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1.xml" ContentType="application/vnd.openxmlformats-officedocument.spreadsheetml.pivotTable+xml"/>
  <Default Extension="jpeg" ContentType="image/jpeg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Cache/pivotCacheRecords1.xml" ContentType="application/vnd.openxmlformats-officedocument.spreadsheetml.pivotCacheRecord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ctrlProps/ctrlProp1.xml" ContentType="application/vnd.ms-excel.controlproperties+xml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worksheets/sheet14.xml" ContentType="application/vnd.openxmlformats-officedocument.spreadsheetml.worksheet+xml"/>
  <Override PartName="/xl/tables/table1.xml" ContentType="application/vnd.openxmlformats-officedocument.spreadsheetml.table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EstaPasta_de_trabalho" hidePivotFieldList="1"/>
  <bookViews>
    <workbookView xWindow="0" yWindow="0" windowWidth="24120" windowHeight="12435" activeTab="7"/>
  </bookViews>
  <sheets>
    <sheet name="Parâmetros" sheetId="15" r:id="rId1"/>
    <sheet name="Ativo" sheetId="17" r:id="rId2"/>
    <sheet name="Passivo" sheetId="18" r:id="rId3"/>
    <sheet name="Sobras-Perdas" sheetId="19" r:id="rId4"/>
    <sheet name="Base" sheetId="8" state="hidden" r:id="rId5"/>
    <sheet name="Sobras-Perdas Mensal" sheetId="27" r:id="rId6"/>
    <sheet name="Sobras Terceiros (2)" sheetId="20" r:id="rId7"/>
    <sheet name="LUCRO REAL (3)" sheetId="25" r:id="rId8"/>
    <sheet name="CSOCIAL (3)" sheetId="24" r:id="rId9"/>
    <sheet name="Destinações" sheetId="26" r:id="rId10"/>
    <sheet name="Dem. Por Produto" sheetId="21" r:id="rId11"/>
    <sheet name="Dem. Por Produto Insumos" sheetId="22" r:id="rId12"/>
    <sheet name="Contas DRE" sheetId="11" state="hidden" r:id="rId13"/>
    <sheet name="Contas Balanço" sheetId="16" state="hidden" r:id="rId14"/>
    <sheet name="Plan1" sheetId="28" state="hidden" r:id="rId15"/>
  </sheets>
  <externalReferences>
    <externalReference r:id="rId16"/>
  </externalReferences>
  <definedNames>
    <definedName name="_xlnm._FilterDatabase" localSheetId="4" hidden="1">Base!#REF!</definedName>
    <definedName name="_xlnm.Print_Area" localSheetId="1">Ativo!$A$1:$K$57</definedName>
    <definedName name="_xlnm.Print_Area" localSheetId="8">'CSOCIAL (3)'!$A$1:$E$46</definedName>
    <definedName name="_xlnm.Print_Area" localSheetId="10">'Dem. Por Produto'!$A$1:$I$88</definedName>
    <definedName name="_xlnm.Print_Area" localSheetId="7">'LUCRO REAL (3)'!$A$1:$G$54</definedName>
    <definedName name="_xlnm.Print_Area" localSheetId="2">Passivo!$A$1:$E$49</definedName>
    <definedName name="_xlnm.Print_Area" localSheetId="6">'Sobras Terceiros (2)'!$A$1:$W$63</definedName>
    <definedName name="_xlnm.Print_Area" localSheetId="3">'Sobras-Perdas'!$A$1:$K$69</definedName>
    <definedName name="_xlnm.Print_Area" localSheetId="5">'Sobras-Perdas Mensal'!$A$1:$L$69</definedName>
    <definedName name="Consulta_de_PRODUCAO" localSheetId="14" hidden="1">Plan1!$A$5:$E$80</definedName>
    <definedName name="DadosExternos_1" localSheetId="4" hidden="1">Base!$B$5:$Q$6626</definedName>
    <definedName name="DadosExternos_1" localSheetId="12" hidden="1">'Contas DRE'!$A$5:$G$775</definedName>
    <definedName name="NCTratamentoSemente">'Dem. Por Produto Insumos'!$G$523</definedName>
    <definedName name="_xlnm.Print_Titles" localSheetId="2">Passivo!$1:$8</definedName>
  </definedNames>
  <calcPr calcId="125725"/>
  <pivotCaches>
    <pivotCache cacheId="6" r:id="rId17"/>
  </pivotCaches>
</workbook>
</file>

<file path=xl/calcChain.xml><?xml version="1.0" encoding="utf-8"?>
<calcChain xmlns="http://schemas.openxmlformats.org/spreadsheetml/2006/main">
  <c r="F6" i="28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A6" i="8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  <c r="A3978"/>
  <c r="A3979"/>
  <c r="A3980"/>
  <c r="A3981"/>
  <c r="A3982"/>
  <c r="A3983"/>
  <c r="A3984"/>
  <c r="A3985"/>
  <c r="A3986"/>
  <c r="A3987"/>
  <c r="A3988"/>
  <c r="A3989"/>
  <c r="A3990"/>
  <c r="A3991"/>
  <c r="A3992"/>
  <c r="A3993"/>
  <c r="A3994"/>
  <c r="A3995"/>
  <c r="A3996"/>
  <c r="A3997"/>
  <c r="A3998"/>
  <c r="A3999"/>
  <c r="A4000"/>
  <c r="A4001"/>
  <c r="A4002"/>
  <c r="A4003"/>
  <c r="A4004"/>
  <c r="A4005"/>
  <c r="A4006"/>
  <c r="A4007"/>
  <c r="A4008"/>
  <c r="A4009"/>
  <c r="A4010"/>
  <c r="A4011"/>
  <c r="A4012"/>
  <c r="A4013"/>
  <c r="A4014"/>
  <c r="A4015"/>
  <c r="A4016"/>
  <c r="A4017"/>
  <c r="A4018"/>
  <c r="A4019"/>
  <c r="A4020"/>
  <c r="A4021"/>
  <c r="A4022"/>
  <c r="A4023"/>
  <c r="A4024"/>
  <c r="A4025"/>
  <c r="A4026"/>
  <c r="A4027"/>
  <c r="A4028"/>
  <c r="A4029"/>
  <c r="A4030"/>
  <c r="A4031"/>
  <c r="A4032"/>
  <c r="A4033"/>
  <c r="A4034"/>
  <c r="A4035"/>
  <c r="A4036"/>
  <c r="A4037"/>
  <c r="A4038"/>
  <c r="A4039"/>
  <c r="A4040"/>
  <c r="A4041"/>
  <c r="A4042"/>
  <c r="A4043"/>
  <c r="A4044"/>
  <c r="A4045"/>
  <c r="A4046"/>
  <c r="A4047"/>
  <c r="A4048"/>
  <c r="A4049"/>
  <c r="A4050"/>
  <c r="A4051"/>
  <c r="A4052"/>
  <c r="A4053"/>
  <c r="A4054"/>
  <c r="A4055"/>
  <c r="A4056"/>
  <c r="A4057"/>
  <c r="A4058"/>
  <c r="A4059"/>
  <c r="A4060"/>
  <c r="A4061"/>
  <c r="A4062"/>
  <c r="A4063"/>
  <c r="A4064"/>
  <c r="A4065"/>
  <c r="A4066"/>
  <c r="A4067"/>
  <c r="A4068"/>
  <c r="A4069"/>
  <c r="A4070"/>
  <c r="A4071"/>
  <c r="A4072"/>
  <c r="A4073"/>
  <c r="A4074"/>
  <c r="A4075"/>
  <c r="A4076"/>
  <c r="A4077"/>
  <c r="A4078"/>
  <c r="A4079"/>
  <c r="A4080"/>
  <c r="A4081"/>
  <c r="A4082"/>
  <c r="A4083"/>
  <c r="A4084"/>
  <c r="A4085"/>
  <c r="A4086"/>
  <c r="A4087"/>
  <c r="A4088"/>
  <c r="A4089"/>
  <c r="A4090"/>
  <c r="A4091"/>
  <c r="A4092"/>
  <c r="A4093"/>
  <c r="A4094"/>
  <c r="A4095"/>
  <c r="A4096"/>
  <c r="A4097"/>
  <c r="A4098"/>
  <c r="A4099"/>
  <c r="A4100"/>
  <c r="A4101"/>
  <c r="A4102"/>
  <c r="A4103"/>
  <c r="A4104"/>
  <c r="A4105"/>
  <c r="A4106"/>
  <c r="A4107"/>
  <c r="A4108"/>
  <c r="A4109"/>
  <c r="A4110"/>
  <c r="A4111"/>
  <c r="A4112"/>
  <c r="A4113"/>
  <c r="A4114"/>
  <c r="A4115"/>
  <c r="A4116"/>
  <c r="A4117"/>
  <c r="A4118"/>
  <c r="A4119"/>
  <c r="A4120"/>
  <c r="A4121"/>
  <c r="A4122"/>
  <c r="A4123"/>
  <c r="A4124"/>
  <c r="A4125"/>
  <c r="A4126"/>
  <c r="A4127"/>
  <c r="A4128"/>
  <c r="A4129"/>
  <c r="A4130"/>
  <c r="A4131"/>
  <c r="A4132"/>
  <c r="A4133"/>
  <c r="A4134"/>
  <c r="A4135"/>
  <c r="A4136"/>
  <c r="A4137"/>
  <c r="A4138"/>
  <c r="A4139"/>
  <c r="A4140"/>
  <c r="A4141"/>
  <c r="A4142"/>
  <c r="A4143"/>
  <c r="A4144"/>
  <c r="A4145"/>
  <c r="A4146"/>
  <c r="A4147"/>
  <c r="A4148"/>
  <c r="A4149"/>
  <c r="A4150"/>
  <c r="A4151"/>
  <c r="A4152"/>
  <c r="A4153"/>
  <c r="A4154"/>
  <c r="A4155"/>
  <c r="A4156"/>
  <c r="A4157"/>
  <c r="A4158"/>
  <c r="A4159"/>
  <c r="A4160"/>
  <c r="A4161"/>
  <c r="A4162"/>
  <c r="A4163"/>
  <c r="A4164"/>
  <c r="A4165"/>
  <c r="A4166"/>
  <c r="A4167"/>
  <c r="A4168"/>
  <c r="A4169"/>
  <c r="A4170"/>
  <c r="A4171"/>
  <c r="A4172"/>
  <c r="A4173"/>
  <c r="A4174"/>
  <c r="A4175"/>
  <c r="A4176"/>
  <c r="A4177"/>
  <c r="A4178"/>
  <c r="A4179"/>
  <c r="A4180"/>
  <c r="A4181"/>
  <c r="A4182"/>
  <c r="A4183"/>
  <c r="A4184"/>
  <c r="A4185"/>
  <c r="A4186"/>
  <c r="A4187"/>
  <c r="A4188"/>
  <c r="A4189"/>
  <c r="A4190"/>
  <c r="A4191"/>
  <c r="A4192"/>
  <c r="A4193"/>
  <c r="A4194"/>
  <c r="A4195"/>
  <c r="A4196"/>
  <c r="A4197"/>
  <c r="A4198"/>
  <c r="A4199"/>
  <c r="A4200"/>
  <c r="A4201"/>
  <c r="A4202"/>
  <c r="A4203"/>
  <c r="A4204"/>
  <c r="A4205"/>
  <c r="A4206"/>
  <c r="A4207"/>
  <c r="A4208"/>
  <c r="A4209"/>
  <c r="A4210"/>
  <c r="A4211"/>
  <c r="A4212"/>
  <c r="A4213"/>
  <c r="A4214"/>
  <c r="A4215"/>
  <c r="A4216"/>
  <c r="A4217"/>
  <c r="A4218"/>
  <c r="A4219"/>
  <c r="A4220"/>
  <c r="A4221"/>
  <c r="A4222"/>
  <c r="A4223"/>
  <c r="A4224"/>
  <c r="A4225"/>
  <c r="A4226"/>
  <c r="A4227"/>
  <c r="A4228"/>
  <c r="A4229"/>
  <c r="A4230"/>
  <c r="A4231"/>
  <c r="A4232"/>
  <c r="A4233"/>
  <c r="A4234"/>
  <c r="A4235"/>
  <c r="A4236"/>
  <c r="A4237"/>
  <c r="A4238"/>
  <c r="A4239"/>
  <c r="A4240"/>
  <c r="A4241"/>
  <c r="A4242"/>
  <c r="A4243"/>
  <c r="A4244"/>
  <c r="A4245"/>
  <c r="A4246"/>
  <c r="A4247"/>
  <c r="A4248"/>
  <c r="A4249"/>
  <c r="A4250"/>
  <c r="A4251"/>
  <c r="A4252"/>
  <c r="A4253"/>
  <c r="A4254"/>
  <c r="A4255"/>
  <c r="A4256"/>
  <c r="A4257"/>
  <c r="A4258"/>
  <c r="A4259"/>
  <c r="A4260"/>
  <c r="A4261"/>
  <c r="A4262"/>
  <c r="A4263"/>
  <c r="A4264"/>
  <c r="A4265"/>
  <c r="A4266"/>
  <c r="A4267"/>
  <c r="A4268"/>
  <c r="A4269"/>
  <c r="A4270"/>
  <c r="A4271"/>
  <c r="A4272"/>
  <c r="A4273"/>
  <c r="A4274"/>
  <c r="A4275"/>
  <c r="A4276"/>
  <c r="A4277"/>
  <c r="A4278"/>
  <c r="A4279"/>
  <c r="A4280"/>
  <c r="A4281"/>
  <c r="A4282"/>
  <c r="A4283"/>
  <c r="A4284"/>
  <c r="A4285"/>
  <c r="A4286"/>
  <c r="A4287"/>
  <c r="A4288"/>
  <c r="A4289"/>
  <c r="A4290"/>
  <c r="A4291"/>
  <c r="A4292"/>
  <c r="A4293"/>
  <c r="A4294"/>
  <c r="A4295"/>
  <c r="A4296"/>
  <c r="A4297"/>
  <c r="A4298"/>
  <c r="A4299"/>
  <c r="A4300"/>
  <c r="A4301"/>
  <c r="A4302"/>
  <c r="A4303"/>
  <c r="A4304"/>
  <c r="A4305"/>
  <c r="A4306"/>
  <c r="A4307"/>
  <c r="A4308"/>
  <c r="A4309"/>
  <c r="A4310"/>
  <c r="A4311"/>
  <c r="A4312"/>
  <c r="A4313"/>
  <c r="A4314"/>
  <c r="A4315"/>
  <c r="A4316"/>
  <c r="A4317"/>
  <c r="A4318"/>
  <c r="A4319"/>
  <c r="A4320"/>
  <c r="A4321"/>
  <c r="A4322"/>
  <c r="A4323"/>
  <c r="A4324"/>
  <c r="A4325"/>
  <c r="A4326"/>
  <c r="A4327"/>
  <c r="A4328"/>
  <c r="A4329"/>
  <c r="A4330"/>
  <c r="A4331"/>
  <c r="A4332"/>
  <c r="A4333"/>
  <c r="A4334"/>
  <c r="A4335"/>
  <c r="A4336"/>
  <c r="A4337"/>
  <c r="A4338"/>
  <c r="A4339"/>
  <c r="A4340"/>
  <c r="A4341"/>
  <c r="A4342"/>
  <c r="A4343"/>
  <c r="A4344"/>
  <c r="A4345"/>
  <c r="A4346"/>
  <c r="A4347"/>
  <c r="A4348"/>
  <c r="A4349"/>
  <c r="A4350"/>
  <c r="A4351"/>
  <c r="A4352"/>
  <c r="A4353"/>
  <c r="A4354"/>
  <c r="A4355"/>
  <c r="A4356"/>
  <c r="A4357"/>
  <c r="A4358"/>
  <c r="A4359"/>
  <c r="A4360"/>
  <c r="A4361"/>
  <c r="A4362"/>
  <c r="A4363"/>
  <c r="A4364"/>
  <c r="A4365"/>
  <c r="A4366"/>
  <c r="A4367"/>
  <c r="A4368"/>
  <c r="A4369"/>
  <c r="A4370"/>
  <c r="A4371"/>
  <c r="A4372"/>
  <c r="A4373"/>
  <c r="A4374"/>
  <c r="A4375"/>
  <c r="A4376"/>
  <c r="A4377"/>
  <c r="A4378"/>
  <c r="A4379"/>
  <c r="A4380"/>
  <c r="A4381"/>
  <c r="A4382"/>
  <c r="A4383"/>
  <c r="A4384"/>
  <c r="A4385"/>
  <c r="A4386"/>
  <c r="A4387"/>
  <c r="A4388"/>
  <c r="A4389"/>
  <c r="A4390"/>
  <c r="A4391"/>
  <c r="A4392"/>
  <c r="A4393"/>
  <c r="A4394"/>
  <c r="A4395"/>
  <c r="A4396"/>
  <c r="A4397"/>
  <c r="A4398"/>
  <c r="A4399"/>
  <c r="A4400"/>
  <c r="A4401"/>
  <c r="A4402"/>
  <c r="A4403"/>
  <c r="A4404"/>
  <c r="A4405"/>
  <c r="A4406"/>
  <c r="A4407"/>
  <c r="A4408"/>
  <c r="A4409"/>
  <c r="A4410"/>
  <c r="A4411"/>
  <c r="A4412"/>
  <c r="A4413"/>
  <c r="A4414"/>
  <c r="A4415"/>
  <c r="A4416"/>
  <c r="A4417"/>
  <c r="A4418"/>
  <c r="A4419"/>
  <c r="A4420"/>
  <c r="A4421"/>
  <c r="A4422"/>
  <c r="A4423"/>
  <c r="A4424"/>
  <c r="A4425"/>
  <c r="A4426"/>
  <c r="A4427"/>
  <c r="A4428"/>
  <c r="A4429"/>
  <c r="A4430"/>
  <c r="A4431"/>
  <c r="A4432"/>
  <c r="A4433"/>
  <c r="A4434"/>
  <c r="A4435"/>
  <c r="A4436"/>
  <c r="A4437"/>
  <c r="A4438"/>
  <c r="A4439"/>
  <c r="A4440"/>
  <c r="A4441"/>
  <c r="A4442"/>
  <c r="A4443"/>
  <c r="A4444"/>
  <c r="A4445"/>
  <c r="A4446"/>
  <c r="A4447"/>
  <c r="A4448"/>
  <c r="A4449"/>
  <c r="A4450"/>
  <c r="A4451"/>
  <c r="A4452"/>
  <c r="A4453"/>
  <c r="A4454"/>
  <c r="A4455"/>
  <c r="A4456"/>
  <c r="A4457"/>
  <c r="A4458"/>
  <c r="A4459"/>
  <c r="A4460"/>
  <c r="A4461"/>
  <c r="A4462"/>
  <c r="A4463"/>
  <c r="A4464"/>
  <c r="A4465"/>
  <c r="A4466"/>
  <c r="A4467"/>
  <c r="A4468"/>
  <c r="A4469"/>
  <c r="A4470"/>
  <c r="A4471"/>
  <c r="A4472"/>
  <c r="A4473"/>
  <c r="A4474"/>
  <c r="A4475"/>
  <c r="A4476"/>
  <c r="A4477"/>
  <c r="A4478"/>
  <c r="A4479"/>
  <c r="A4480"/>
  <c r="A4481"/>
  <c r="A4482"/>
  <c r="A4483"/>
  <c r="A4484"/>
  <c r="A4485"/>
  <c r="A4486"/>
  <c r="A4487"/>
  <c r="A4488"/>
  <c r="A4489"/>
  <c r="A4490"/>
  <c r="A4491"/>
  <c r="A4492"/>
  <c r="A4493"/>
  <c r="A4494"/>
  <c r="A4495"/>
  <c r="A4496"/>
  <c r="A4497"/>
  <c r="A4498"/>
  <c r="A4499"/>
  <c r="A4500"/>
  <c r="A4501"/>
  <c r="A4502"/>
  <c r="A4503"/>
  <c r="A4504"/>
  <c r="A4505"/>
  <c r="A4506"/>
  <c r="A4507"/>
  <c r="A4508"/>
  <c r="A4509"/>
  <c r="A4510"/>
  <c r="A4511"/>
  <c r="A4512"/>
  <c r="A4513"/>
  <c r="A4514"/>
  <c r="A4515"/>
  <c r="A4516"/>
  <c r="A4517"/>
  <c r="A4518"/>
  <c r="A4519"/>
  <c r="A4520"/>
  <c r="A4521"/>
  <c r="A4522"/>
  <c r="A4523"/>
  <c r="A4524"/>
  <c r="A4525"/>
  <c r="A4526"/>
  <c r="A4527"/>
  <c r="A4528"/>
  <c r="A4529"/>
  <c r="A4530"/>
  <c r="A4531"/>
  <c r="A4532"/>
  <c r="A4533"/>
  <c r="A4534"/>
  <c r="A4535"/>
  <c r="A4536"/>
  <c r="A4537"/>
  <c r="A4538"/>
  <c r="A4539"/>
  <c r="A4540"/>
  <c r="A4541"/>
  <c r="A4542"/>
  <c r="A4543"/>
  <c r="A4544"/>
  <c r="A4545"/>
  <c r="A4546"/>
  <c r="A4547"/>
  <c r="A4548"/>
  <c r="A4549"/>
  <c r="A4550"/>
  <c r="A4551"/>
  <c r="A4552"/>
  <c r="A4553"/>
  <c r="A4554"/>
  <c r="A4555"/>
  <c r="A4556"/>
  <c r="A4557"/>
  <c r="A4558"/>
  <c r="A4559"/>
  <c r="A4560"/>
  <c r="A4561"/>
  <c r="A4562"/>
  <c r="A4563"/>
  <c r="A4564"/>
  <c r="A4565"/>
  <c r="A4566"/>
  <c r="A4567"/>
  <c r="A4568"/>
  <c r="A4569"/>
  <c r="A4570"/>
  <c r="A4571"/>
  <c r="A4572"/>
  <c r="A4573"/>
  <c r="A4574"/>
  <c r="A4575"/>
  <c r="A4576"/>
  <c r="A4577"/>
  <c r="A4578"/>
  <c r="A4579"/>
  <c r="A4580"/>
  <c r="A4581"/>
  <c r="A4582"/>
  <c r="A4583"/>
  <c r="A4584"/>
  <c r="A4585"/>
  <c r="A4586"/>
  <c r="A4587"/>
  <c r="A4588"/>
  <c r="A4589"/>
  <c r="A4590"/>
  <c r="A4591"/>
  <c r="A4592"/>
  <c r="A4593"/>
  <c r="A4594"/>
  <c r="A4595"/>
  <c r="A4596"/>
  <c r="A4597"/>
  <c r="A4598"/>
  <c r="A4599"/>
  <c r="A4600"/>
  <c r="A4601"/>
  <c r="A4602"/>
  <c r="A4603"/>
  <c r="A4604"/>
  <c r="A4605"/>
  <c r="A4606"/>
  <c r="A4607"/>
  <c r="A4608"/>
  <c r="A4609"/>
  <c r="A4610"/>
  <c r="A4611"/>
  <c r="A4612"/>
  <c r="A4613"/>
  <c r="A4614"/>
  <c r="A4615"/>
  <c r="A4616"/>
  <c r="A4617"/>
  <c r="A4618"/>
  <c r="A4619"/>
  <c r="A4620"/>
  <c r="A4621"/>
  <c r="A4622"/>
  <c r="A4623"/>
  <c r="A4624"/>
  <c r="A4625"/>
  <c r="A4626"/>
  <c r="A4627"/>
  <c r="A4628"/>
  <c r="A4629"/>
  <c r="A4630"/>
  <c r="A4631"/>
  <c r="A4632"/>
  <c r="A4633"/>
  <c r="A4634"/>
  <c r="A4635"/>
  <c r="A4636"/>
  <c r="A4637"/>
  <c r="A4638"/>
  <c r="A4639"/>
  <c r="A4640"/>
  <c r="A4641"/>
  <c r="A4642"/>
  <c r="A4643"/>
  <c r="A4644"/>
  <c r="A4645"/>
  <c r="A4646"/>
  <c r="A4647"/>
  <c r="A4648"/>
  <c r="A4649"/>
  <c r="A4650"/>
  <c r="A4651"/>
  <c r="A4652"/>
  <c r="A4653"/>
  <c r="A4654"/>
  <c r="A4655"/>
  <c r="A4656"/>
  <c r="A4657"/>
  <c r="A4658"/>
  <c r="A4659"/>
  <c r="A4660"/>
  <c r="A4661"/>
  <c r="A4662"/>
  <c r="A4663"/>
  <c r="A4664"/>
  <c r="A4665"/>
  <c r="A4666"/>
  <c r="A4667"/>
  <c r="A4668"/>
  <c r="A4669"/>
  <c r="A4670"/>
  <c r="A4671"/>
  <c r="A4672"/>
  <c r="A4673"/>
  <c r="A4674"/>
  <c r="A4675"/>
  <c r="A4676"/>
  <c r="A4677"/>
  <c r="A4678"/>
  <c r="A4679"/>
  <c r="A4680"/>
  <c r="A4681"/>
  <c r="A4682"/>
  <c r="A4683"/>
  <c r="A4684"/>
  <c r="A4685"/>
  <c r="A4686"/>
  <c r="A4687"/>
  <c r="A4688"/>
  <c r="A4689"/>
  <c r="A4690"/>
  <c r="A4691"/>
  <c r="A4692"/>
  <c r="A4693"/>
  <c r="A4694"/>
  <c r="A4695"/>
  <c r="A4696"/>
  <c r="A4697"/>
  <c r="A4698"/>
  <c r="A4699"/>
  <c r="A4700"/>
  <c r="A4701"/>
  <c r="A4702"/>
  <c r="A4703"/>
  <c r="A4704"/>
  <c r="A4705"/>
  <c r="A4706"/>
  <c r="A4707"/>
  <c r="A4708"/>
  <c r="A4709"/>
  <c r="A4710"/>
  <c r="A4711"/>
  <c r="A4712"/>
  <c r="A4713"/>
  <c r="A4714"/>
  <c r="A4715"/>
  <c r="A4716"/>
  <c r="A4717"/>
  <c r="A4718"/>
  <c r="A4719"/>
  <c r="A4720"/>
  <c r="A4721"/>
  <c r="A4722"/>
  <c r="A4723"/>
  <c r="A4724"/>
  <c r="A4725"/>
  <c r="A4726"/>
  <c r="A4727"/>
  <c r="A4728"/>
  <c r="A4729"/>
  <c r="A4730"/>
  <c r="A4731"/>
  <c r="A4732"/>
  <c r="A4733"/>
  <c r="A4734"/>
  <c r="A4735"/>
  <c r="A4736"/>
  <c r="A4737"/>
  <c r="A4738"/>
  <c r="A4739"/>
  <c r="A4740"/>
  <c r="A4741"/>
  <c r="A4742"/>
  <c r="A4743"/>
  <c r="A4744"/>
  <c r="A4745"/>
  <c r="A4746"/>
  <c r="A4747"/>
  <c r="A4748"/>
  <c r="A4749"/>
  <c r="A4750"/>
  <c r="A4751"/>
  <c r="A4752"/>
  <c r="A4753"/>
  <c r="A4754"/>
  <c r="A4755"/>
  <c r="A4756"/>
  <c r="A4757"/>
  <c r="A4758"/>
  <c r="A4759"/>
  <c r="A4760"/>
  <c r="A4761"/>
  <c r="A4762"/>
  <c r="A4763"/>
  <c r="A4764"/>
  <c r="A4765"/>
  <c r="A4766"/>
  <c r="A4767"/>
  <c r="A4768"/>
  <c r="A4769"/>
  <c r="A4770"/>
  <c r="A4771"/>
  <c r="A4772"/>
  <c r="A4773"/>
  <c r="A4774"/>
  <c r="A4775"/>
  <c r="A4776"/>
  <c r="A4777"/>
  <c r="A4778"/>
  <c r="A4779"/>
  <c r="A4780"/>
  <c r="A4781"/>
  <c r="A4782"/>
  <c r="A4783"/>
  <c r="A4784"/>
  <c r="A4785"/>
  <c r="A4786"/>
  <c r="A4787"/>
  <c r="A4788"/>
  <c r="A4789"/>
  <c r="A4790"/>
  <c r="A4791"/>
  <c r="A4792"/>
  <c r="A4793"/>
  <c r="A4794"/>
  <c r="A4795"/>
  <c r="A4796"/>
  <c r="A4797"/>
  <c r="A4798"/>
  <c r="A4799"/>
  <c r="A4800"/>
  <c r="A4801"/>
  <c r="A4802"/>
  <c r="A4803"/>
  <c r="A4804"/>
  <c r="A4805"/>
  <c r="A4806"/>
  <c r="A4807"/>
  <c r="A4808"/>
  <c r="A4809"/>
  <c r="A4810"/>
  <c r="A4811"/>
  <c r="A4812"/>
  <c r="A4813"/>
  <c r="A4814"/>
  <c r="A4815"/>
  <c r="A4816"/>
  <c r="A4817"/>
  <c r="A4818"/>
  <c r="A4819"/>
  <c r="A4820"/>
  <c r="A4821"/>
  <c r="A4822"/>
  <c r="A4823"/>
  <c r="A4824"/>
  <c r="A4825"/>
  <c r="A4826"/>
  <c r="A4827"/>
  <c r="A4828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A5539"/>
  <c r="A5540"/>
  <c r="A5541"/>
  <c r="A5542"/>
  <c r="A5543"/>
  <c r="A5544"/>
  <c r="A5545"/>
  <c r="A5546"/>
  <c r="A5547"/>
  <c r="A5548"/>
  <c r="A5549"/>
  <c r="A5550"/>
  <c r="A5551"/>
  <c r="A5552"/>
  <c r="A5553"/>
  <c r="A5554"/>
  <c r="A5555"/>
  <c r="A5556"/>
  <c r="A5557"/>
  <c r="A5558"/>
  <c r="A5559"/>
  <c r="A5560"/>
  <c r="A5561"/>
  <c r="A5562"/>
  <c r="A5563"/>
  <c r="A5564"/>
  <c r="A5565"/>
  <c r="A5566"/>
  <c r="A5567"/>
  <c r="A5568"/>
  <c r="A5569"/>
  <c r="A5570"/>
  <c r="A5571"/>
  <c r="A5572"/>
  <c r="A5573"/>
  <c r="A5574"/>
  <c r="A5575"/>
  <c r="A5576"/>
  <c r="A5577"/>
  <c r="A5578"/>
  <c r="A5579"/>
  <c r="A5580"/>
  <c r="A5581"/>
  <c r="A5582"/>
  <c r="A5583"/>
  <c r="A5584"/>
  <c r="A5585"/>
  <c r="A5586"/>
  <c r="A5587"/>
  <c r="A5588"/>
  <c r="A5589"/>
  <c r="A5590"/>
  <c r="A5591"/>
  <c r="A5592"/>
  <c r="A5593"/>
  <c r="A5594"/>
  <c r="A5595"/>
  <c r="A5596"/>
  <c r="A5597"/>
  <c r="A5598"/>
  <c r="A5599"/>
  <c r="A5600"/>
  <c r="A5601"/>
  <c r="A5602"/>
  <c r="A5603"/>
  <c r="A5604"/>
  <c r="A5605"/>
  <c r="A5606"/>
  <c r="A5607"/>
  <c r="A5608"/>
  <c r="A5609"/>
  <c r="A5610"/>
  <c r="A5611"/>
  <c r="A5612"/>
  <c r="A5613"/>
  <c r="A5614"/>
  <c r="A5615"/>
  <c r="A5616"/>
  <c r="A5617"/>
  <c r="A5618"/>
  <c r="A5619"/>
  <c r="A5620"/>
  <c r="A5621"/>
  <c r="A5622"/>
  <c r="A5623"/>
  <c r="A5624"/>
  <c r="A5625"/>
  <c r="A5626"/>
  <c r="A5627"/>
  <c r="A5628"/>
  <c r="A5629"/>
  <c r="A5630"/>
  <c r="A5631"/>
  <c r="A5632"/>
  <c r="A5633"/>
  <c r="A5634"/>
  <c r="A5635"/>
  <c r="A5636"/>
  <c r="A5637"/>
  <c r="A5638"/>
  <c r="A5639"/>
  <c r="A5640"/>
  <c r="A5641"/>
  <c r="A5642"/>
  <c r="A5643"/>
  <c r="A5644"/>
  <c r="A5645"/>
  <c r="A5646"/>
  <c r="A5647"/>
  <c r="A5648"/>
  <c r="A5649"/>
  <c r="A5650"/>
  <c r="A5651"/>
  <c r="A5652"/>
  <c r="A5653"/>
  <c r="A5654"/>
  <c r="A5655"/>
  <c r="A5656"/>
  <c r="A5657"/>
  <c r="A5658"/>
  <c r="A5659"/>
  <c r="A5660"/>
  <c r="A5661"/>
  <c r="A5662"/>
  <c r="A5663"/>
  <c r="A5664"/>
  <c r="A5665"/>
  <c r="A5666"/>
  <c r="A5667"/>
  <c r="A5668"/>
  <c r="A5669"/>
  <c r="A5670"/>
  <c r="A5671"/>
  <c r="A5672"/>
  <c r="A5673"/>
  <c r="A5674"/>
  <c r="A5675"/>
  <c r="A5676"/>
  <c r="A5677"/>
  <c r="A5678"/>
  <c r="A5679"/>
  <c r="A5680"/>
  <c r="A5681"/>
  <c r="A5682"/>
  <c r="A5683"/>
  <c r="A5684"/>
  <c r="A5685"/>
  <c r="A5686"/>
  <c r="A5687"/>
  <c r="A5688"/>
  <c r="A5689"/>
  <c r="A5690"/>
  <c r="A5691"/>
  <c r="A5692"/>
  <c r="A5693"/>
  <c r="A5694"/>
  <c r="A5695"/>
  <c r="A5696"/>
  <c r="A5697"/>
  <c r="A5698"/>
  <c r="A5699"/>
  <c r="A5700"/>
  <c r="A5701"/>
  <c r="A5702"/>
  <c r="A5703"/>
  <c r="A5704"/>
  <c r="A5705"/>
  <c r="A5706"/>
  <c r="A5707"/>
  <c r="A5708"/>
  <c r="A5709"/>
  <c r="A5710"/>
  <c r="A5711"/>
  <c r="A5712"/>
  <c r="A5713"/>
  <c r="A5714"/>
  <c r="A5715"/>
  <c r="A5716"/>
  <c r="A5717"/>
  <c r="A5718"/>
  <c r="A5719"/>
  <c r="A5720"/>
  <c r="A5721"/>
  <c r="A5722"/>
  <c r="A5723"/>
  <c r="A5724"/>
  <c r="A5725"/>
  <c r="A5726"/>
  <c r="A5727"/>
  <c r="A5728"/>
  <c r="A5729"/>
  <c r="A5730"/>
  <c r="A5731"/>
  <c r="A5732"/>
  <c r="A5733"/>
  <c r="A5734"/>
  <c r="A5735"/>
  <c r="A5736"/>
  <c r="A5737"/>
  <c r="A5738"/>
  <c r="A5739"/>
  <c r="A5740"/>
  <c r="A5741"/>
  <c r="A5742"/>
  <c r="A5743"/>
  <c r="A5744"/>
  <c r="A5745"/>
  <c r="A5746"/>
  <c r="A5747"/>
  <c r="A5748"/>
  <c r="A5749"/>
  <c r="A5750"/>
  <c r="A5751"/>
  <c r="A5752"/>
  <c r="A5753"/>
  <c r="A5754"/>
  <c r="A5755"/>
  <c r="A5756"/>
  <c r="A5757"/>
  <c r="A5758"/>
  <c r="A5759"/>
  <c r="A5760"/>
  <c r="A5761"/>
  <c r="A5762"/>
  <c r="A5763"/>
  <c r="A5764"/>
  <c r="A5765"/>
  <c r="A5766"/>
  <c r="A5767"/>
  <c r="A5768"/>
  <c r="A5769"/>
  <c r="A5770"/>
  <c r="A5771"/>
  <c r="A5772"/>
  <c r="A5773"/>
  <c r="A5774"/>
  <c r="A5775"/>
  <c r="A5776"/>
  <c r="A5777"/>
  <c r="A5778"/>
  <c r="A5779"/>
  <c r="A5780"/>
  <c r="A5781"/>
  <c r="A5782"/>
  <c r="A5783"/>
  <c r="A5784"/>
  <c r="A5785"/>
  <c r="A5786"/>
  <c r="A5787"/>
  <c r="A5788"/>
  <c r="A5789"/>
  <c r="A5790"/>
  <c r="A5791"/>
  <c r="A5792"/>
  <c r="A5793"/>
  <c r="A5794"/>
  <c r="A5795"/>
  <c r="A5796"/>
  <c r="A5797"/>
  <c r="A5798"/>
  <c r="A5799"/>
  <c r="A5800"/>
  <c r="A5801"/>
  <c r="A5802"/>
  <c r="A5803"/>
  <c r="A5804"/>
  <c r="A5805"/>
  <c r="A5806"/>
  <c r="A5807"/>
  <c r="A5808"/>
  <c r="A5809"/>
  <c r="A5810"/>
  <c r="A5811"/>
  <c r="A5812"/>
  <c r="A5813"/>
  <c r="A5814"/>
  <c r="A5815"/>
  <c r="A5816"/>
  <c r="A5817"/>
  <c r="A5818"/>
  <c r="A5819"/>
  <c r="A5820"/>
  <c r="A5821"/>
  <c r="A5822"/>
  <c r="A5823"/>
  <c r="A5824"/>
  <c r="A5825"/>
  <c r="A5826"/>
  <c r="A5827"/>
  <c r="A5828"/>
  <c r="A5829"/>
  <c r="A5830"/>
  <c r="A5831"/>
  <c r="A5832"/>
  <c r="A5833"/>
  <c r="A5834"/>
  <c r="A5835"/>
  <c r="A5836"/>
  <c r="A5837"/>
  <c r="A5838"/>
  <c r="A5839"/>
  <c r="A5840"/>
  <c r="A5841"/>
  <c r="A5842"/>
  <c r="A5843"/>
  <c r="A5844"/>
  <c r="A5845"/>
  <c r="A5846"/>
  <c r="A5847"/>
  <c r="A5848"/>
  <c r="A5849"/>
  <c r="A5850"/>
  <c r="A5851"/>
  <c r="A5852"/>
  <c r="A5853"/>
  <c r="A5854"/>
  <c r="A5855"/>
  <c r="A5856"/>
  <c r="A5857"/>
  <c r="A5858"/>
  <c r="A5859"/>
  <c r="A5860"/>
  <c r="A5861"/>
  <c r="A5862"/>
  <c r="A5863"/>
  <c r="A5864"/>
  <c r="A5865"/>
  <c r="A5866"/>
  <c r="A5867"/>
  <c r="A5868"/>
  <c r="A5869"/>
  <c r="A5870"/>
  <c r="A5871"/>
  <c r="A5872"/>
  <c r="A5873"/>
  <c r="A5874"/>
  <c r="A5875"/>
  <c r="A5876"/>
  <c r="A5877"/>
  <c r="A5878"/>
  <c r="A5879"/>
  <c r="A5880"/>
  <c r="A5881"/>
  <c r="A5882"/>
  <c r="A5883"/>
  <c r="A5884"/>
  <c r="A5885"/>
  <c r="A5886"/>
  <c r="A5887"/>
  <c r="A5888"/>
  <c r="A5889"/>
  <c r="A5890"/>
  <c r="A5891"/>
  <c r="A5892"/>
  <c r="A5893"/>
  <c r="A5894"/>
  <c r="A5895"/>
  <c r="A5896"/>
  <c r="A5897"/>
  <c r="A5898"/>
  <c r="A5899"/>
  <c r="A5900"/>
  <c r="A5901"/>
  <c r="A5902"/>
  <c r="A5903"/>
  <c r="A5904"/>
  <c r="A5905"/>
  <c r="A5906"/>
  <c r="A5907"/>
  <c r="A5908"/>
  <c r="A5909"/>
  <c r="A5910"/>
  <c r="A5911"/>
  <c r="A5912"/>
  <c r="A5913"/>
  <c r="A5914"/>
  <c r="A5915"/>
  <c r="A5916"/>
  <c r="A5917"/>
  <c r="A5918"/>
  <c r="A5919"/>
  <c r="A5920"/>
  <c r="A5921"/>
  <c r="A5922"/>
  <c r="A5923"/>
  <c r="A5924"/>
  <c r="A5925"/>
  <c r="A5926"/>
  <c r="A5927"/>
  <c r="A5928"/>
  <c r="A5929"/>
  <c r="A5930"/>
  <c r="A5931"/>
  <c r="A5932"/>
  <c r="A5933"/>
  <c r="A5934"/>
  <c r="A5935"/>
  <c r="A5936"/>
  <c r="A5937"/>
  <c r="A5938"/>
  <c r="A5939"/>
  <c r="A5940"/>
  <c r="A5941"/>
  <c r="A5942"/>
  <c r="A5943"/>
  <c r="A5944"/>
  <c r="A5945"/>
  <c r="A5946"/>
  <c r="A5947"/>
  <c r="A5948"/>
  <c r="A5949"/>
  <c r="A5950"/>
  <c r="A5951"/>
  <c r="A5952"/>
  <c r="A5953"/>
  <c r="A5954"/>
  <c r="A5955"/>
  <c r="A5956"/>
  <c r="A5957"/>
  <c r="A5958"/>
  <c r="A5959"/>
  <c r="A5960"/>
  <c r="A5961"/>
  <c r="A5962"/>
  <c r="A5963"/>
  <c r="A5964"/>
  <c r="A5965"/>
  <c r="A5966"/>
  <c r="A5967"/>
  <c r="A5968"/>
  <c r="A5969"/>
  <c r="A5970"/>
  <c r="A5971"/>
  <c r="A5972"/>
  <c r="A5973"/>
  <c r="A5974"/>
  <c r="A5975"/>
  <c r="A5976"/>
  <c r="A5977"/>
  <c r="A5978"/>
  <c r="A5979"/>
  <c r="A5980"/>
  <c r="A5981"/>
  <c r="A5982"/>
  <c r="A5983"/>
  <c r="A5984"/>
  <c r="A5985"/>
  <c r="A5986"/>
  <c r="A5987"/>
  <c r="A5988"/>
  <c r="A5989"/>
  <c r="A5990"/>
  <c r="A5991"/>
  <c r="A5992"/>
  <c r="A5993"/>
  <c r="A5994"/>
  <c r="A5995"/>
  <c r="A5996"/>
  <c r="A5997"/>
  <c r="A5998"/>
  <c r="A5999"/>
  <c r="A6000"/>
  <c r="A6001"/>
  <c r="A6002"/>
  <c r="A6003"/>
  <c r="A6004"/>
  <c r="A6005"/>
  <c r="A6006"/>
  <c r="A6007"/>
  <c r="A6008"/>
  <c r="A6009"/>
  <c r="A6010"/>
  <c r="A6011"/>
  <c r="A6012"/>
  <c r="A6013"/>
  <c r="A6014"/>
  <c r="A6015"/>
  <c r="A6016"/>
  <c r="A6017"/>
  <c r="A6018"/>
  <c r="A6019"/>
  <c r="A6020"/>
  <c r="A6021"/>
  <c r="A6022"/>
  <c r="A6023"/>
  <c r="A6024"/>
  <c r="A6025"/>
  <c r="A6026"/>
  <c r="A6027"/>
  <c r="A6028"/>
  <c r="A6029"/>
  <c r="A6030"/>
  <c r="A6031"/>
  <c r="A6032"/>
  <c r="A6033"/>
  <c r="A6034"/>
  <c r="A6035"/>
  <c r="A6036"/>
  <c r="A6037"/>
  <c r="A6038"/>
  <c r="A6039"/>
  <c r="A6040"/>
  <c r="A6041"/>
  <c r="A6042"/>
  <c r="A6043"/>
  <c r="A6044"/>
  <c r="A6045"/>
  <c r="A6046"/>
  <c r="A6047"/>
  <c r="A6048"/>
  <c r="A6049"/>
  <c r="A6050"/>
  <c r="A6051"/>
  <c r="A6052"/>
  <c r="A6053"/>
  <c r="A6054"/>
  <c r="A6055"/>
  <c r="A6056"/>
  <c r="A6057"/>
  <c r="A6058"/>
  <c r="A6059"/>
  <c r="A6060"/>
  <c r="A6061"/>
  <c r="A6062"/>
  <c r="A6063"/>
  <c r="A6064"/>
  <c r="A6065"/>
  <c r="A6066"/>
  <c r="A6067"/>
  <c r="A6068"/>
  <c r="A6069"/>
  <c r="A6070"/>
  <c r="A6071"/>
  <c r="A6072"/>
  <c r="A6073"/>
  <c r="A6074"/>
  <c r="A6075"/>
  <c r="A6076"/>
  <c r="A6077"/>
  <c r="A6078"/>
  <c r="A6079"/>
  <c r="A6080"/>
  <c r="A6081"/>
  <c r="A6082"/>
  <c r="A6083"/>
  <c r="A6084"/>
  <c r="A6085"/>
  <c r="A6086"/>
  <c r="A6087"/>
  <c r="A6088"/>
  <c r="A6089"/>
  <c r="A6090"/>
  <c r="A6091"/>
  <c r="A6092"/>
  <c r="A6093"/>
  <c r="A6094"/>
  <c r="A6095"/>
  <c r="A6096"/>
  <c r="A6097"/>
  <c r="A6098"/>
  <c r="A6099"/>
  <c r="A6100"/>
  <c r="A6101"/>
  <c r="A6102"/>
  <c r="A6103"/>
  <c r="A6104"/>
  <c r="A6105"/>
  <c r="A6106"/>
  <c r="A6107"/>
  <c r="A6108"/>
  <c r="A6109"/>
  <c r="A6110"/>
  <c r="A6111"/>
  <c r="A6112"/>
  <c r="A6113"/>
  <c r="A6114"/>
  <c r="A6115"/>
  <c r="A6116"/>
  <c r="A6117"/>
  <c r="A6118"/>
  <c r="A6119"/>
  <c r="A6120"/>
  <c r="A6121"/>
  <c r="A6122"/>
  <c r="A6123"/>
  <c r="A6124"/>
  <c r="A6125"/>
  <c r="A6126"/>
  <c r="A6127"/>
  <c r="A6128"/>
  <c r="A6129"/>
  <c r="A6130"/>
  <c r="A6131"/>
  <c r="A6132"/>
  <c r="A6133"/>
  <c r="A6134"/>
  <c r="A6135"/>
  <c r="A6136"/>
  <c r="A6137"/>
  <c r="A6138"/>
  <c r="A6139"/>
  <c r="A6140"/>
  <c r="A6141"/>
  <c r="A6142"/>
  <c r="A6143"/>
  <c r="A6144"/>
  <c r="A6145"/>
  <c r="A6146"/>
  <c r="A6147"/>
  <c r="A6148"/>
  <c r="A6149"/>
  <c r="A6150"/>
  <c r="A6151"/>
  <c r="A6152"/>
  <c r="A6153"/>
  <c r="A6154"/>
  <c r="A6155"/>
  <c r="A6156"/>
  <c r="A6157"/>
  <c r="A6158"/>
  <c r="A6159"/>
  <c r="A6160"/>
  <c r="A6161"/>
  <c r="A6162"/>
  <c r="A6163"/>
  <c r="A6164"/>
  <c r="A6165"/>
  <c r="A6166"/>
  <c r="A6167"/>
  <c r="A6168"/>
  <c r="A6169"/>
  <c r="A6170"/>
  <c r="A6171"/>
  <c r="A6172"/>
  <c r="A6173"/>
  <c r="A6174"/>
  <c r="A6175"/>
  <c r="A6176"/>
  <c r="A6177"/>
  <c r="A6178"/>
  <c r="A6179"/>
  <c r="A6180"/>
  <c r="A6181"/>
  <c r="A6182"/>
  <c r="A6183"/>
  <c r="A6184"/>
  <c r="A6185"/>
  <c r="A6186"/>
  <c r="A6187"/>
  <c r="A6188"/>
  <c r="A6189"/>
  <c r="A6190"/>
  <c r="A6191"/>
  <c r="A6192"/>
  <c r="A6193"/>
  <c r="A6194"/>
  <c r="A6195"/>
  <c r="A6196"/>
  <c r="A6197"/>
  <c r="A6198"/>
  <c r="A6199"/>
  <c r="A6200"/>
  <c r="A6201"/>
  <c r="A6202"/>
  <c r="A6203"/>
  <c r="A6204"/>
  <c r="A6205"/>
  <c r="A6206"/>
  <c r="A6207"/>
  <c r="A6208"/>
  <c r="A6209"/>
  <c r="A6210"/>
  <c r="A6211"/>
  <c r="A6212"/>
  <c r="A6213"/>
  <c r="A6214"/>
  <c r="A6215"/>
  <c r="A6216"/>
  <c r="A6217"/>
  <c r="A6218"/>
  <c r="A6219"/>
  <c r="A6220"/>
  <c r="A6221"/>
  <c r="A6222"/>
  <c r="A6223"/>
  <c r="A6224"/>
  <c r="A6225"/>
  <c r="A6226"/>
  <c r="A6227"/>
  <c r="A6228"/>
  <c r="A6229"/>
  <c r="A6230"/>
  <c r="A6231"/>
  <c r="A6232"/>
  <c r="A6233"/>
  <c r="A6234"/>
  <c r="A6235"/>
  <c r="A6236"/>
  <c r="A6237"/>
  <c r="A6238"/>
  <c r="A6239"/>
  <c r="A6240"/>
  <c r="A6241"/>
  <c r="A6242"/>
  <c r="A6243"/>
  <c r="A6244"/>
  <c r="A6245"/>
  <c r="A6246"/>
  <c r="A6247"/>
  <c r="A6248"/>
  <c r="A6249"/>
  <c r="A6250"/>
  <c r="A6251"/>
  <c r="A6252"/>
  <c r="A6253"/>
  <c r="A6254"/>
  <c r="A6255"/>
  <c r="A6256"/>
  <c r="A6257"/>
  <c r="A6258"/>
  <c r="A6259"/>
  <c r="A6260"/>
  <c r="A6261"/>
  <c r="A6262"/>
  <c r="A6263"/>
  <c r="A6264"/>
  <c r="A6265"/>
  <c r="A6266"/>
  <c r="A6267"/>
  <c r="A6268"/>
  <c r="A6269"/>
  <c r="A6270"/>
  <c r="A6271"/>
  <c r="A6272"/>
  <c r="A6273"/>
  <c r="A6274"/>
  <c r="A6275"/>
  <c r="A6276"/>
  <c r="A6277"/>
  <c r="A6278"/>
  <c r="A6279"/>
  <c r="A6280"/>
  <c r="A6281"/>
  <c r="A6282"/>
  <c r="A6283"/>
  <c r="A6284"/>
  <c r="A6285"/>
  <c r="A6286"/>
  <c r="A6287"/>
  <c r="A6288"/>
  <c r="A6289"/>
  <c r="A6290"/>
  <c r="A6291"/>
  <c r="A6292"/>
  <c r="A6293"/>
  <c r="A6294"/>
  <c r="A6295"/>
  <c r="A6296"/>
  <c r="A6297"/>
  <c r="A6298"/>
  <c r="A6299"/>
  <c r="A6300"/>
  <c r="A6301"/>
  <c r="A6302"/>
  <c r="A6303"/>
  <c r="A6304"/>
  <c r="A6305"/>
  <c r="A6306"/>
  <c r="A6307"/>
  <c r="A6308"/>
  <c r="A6309"/>
  <c r="A6310"/>
  <c r="A6311"/>
  <c r="A6312"/>
  <c r="A6313"/>
  <c r="A6314"/>
  <c r="A6315"/>
  <c r="A6316"/>
  <c r="A6317"/>
  <c r="A6318"/>
  <c r="A6319"/>
  <c r="A6320"/>
  <c r="A6321"/>
  <c r="A6322"/>
  <c r="A6323"/>
  <c r="A6324"/>
  <c r="A6325"/>
  <c r="A6326"/>
  <c r="A6327"/>
  <c r="A6328"/>
  <c r="A6329"/>
  <c r="A6330"/>
  <c r="A6331"/>
  <c r="A6332"/>
  <c r="A6333"/>
  <c r="A6334"/>
  <c r="A6335"/>
  <c r="A6336"/>
  <c r="A6337"/>
  <c r="A6338"/>
  <c r="A6339"/>
  <c r="A6340"/>
  <c r="A6341"/>
  <c r="A6342"/>
  <c r="A6343"/>
  <c r="A6344"/>
  <c r="A6345"/>
  <c r="A6346"/>
  <c r="A6347"/>
  <c r="A6348"/>
  <c r="A6349"/>
  <c r="A6350"/>
  <c r="A6351"/>
  <c r="A6352"/>
  <c r="A6353"/>
  <c r="A6354"/>
  <c r="A6355"/>
  <c r="A6356"/>
  <c r="A6357"/>
  <c r="A6358"/>
  <c r="A6359"/>
  <c r="A6360"/>
  <c r="A6361"/>
  <c r="A6362"/>
  <c r="A6363"/>
  <c r="A6364"/>
  <c r="A6365"/>
  <c r="A6366"/>
  <c r="A6367"/>
  <c r="A6368"/>
  <c r="A6369"/>
  <c r="A6370"/>
  <c r="A6371"/>
  <c r="A6372"/>
  <c r="A6373"/>
  <c r="A6374"/>
  <c r="A6375"/>
  <c r="A6376"/>
  <c r="A6377"/>
  <c r="A6378"/>
  <c r="A6379"/>
  <c r="A6380"/>
  <c r="A6381"/>
  <c r="A6382"/>
  <c r="A6383"/>
  <c r="A6384"/>
  <c r="A6385"/>
  <c r="A6386"/>
  <c r="A6387"/>
  <c r="A6388"/>
  <c r="A6389"/>
  <c r="A6390"/>
  <c r="A6391"/>
  <c r="A6392"/>
  <c r="A6393"/>
  <c r="A6394"/>
  <c r="A6395"/>
  <c r="A6396"/>
  <c r="A6397"/>
  <c r="A6398"/>
  <c r="A6399"/>
  <c r="A6400"/>
  <c r="A6401"/>
  <c r="A6402"/>
  <c r="A6403"/>
  <c r="A6404"/>
  <c r="A6405"/>
  <c r="A6406"/>
  <c r="A6407"/>
  <c r="A6408"/>
  <c r="A6409"/>
  <c r="A6410"/>
  <c r="A6411"/>
  <c r="A6412"/>
  <c r="A6413"/>
  <c r="A6414"/>
  <c r="A6415"/>
  <c r="A6416"/>
  <c r="A6417"/>
  <c r="A6418"/>
  <c r="A6419"/>
  <c r="A6420"/>
  <c r="A6421"/>
  <c r="A6422"/>
  <c r="A6423"/>
  <c r="A6424"/>
  <c r="A6425"/>
  <c r="A6426"/>
  <c r="A6427"/>
  <c r="A6428"/>
  <c r="A6429"/>
  <c r="A6430"/>
  <c r="A6431"/>
  <c r="A6432"/>
  <c r="A6433"/>
  <c r="A6434"/>
  <c r="A6435"/>
  <c r="A6436"/>
  <c r="A6437"/>
  <c r="A6438"/>
  <c r="A6439"/>
  <c r="A6440"/>
  <c r="A6441"/>
  <c r="A6442"/>
  <c r="A6443"/>
  <c r="A6444"/>
  <c r="A6445"/>
  <c r="A6446"/>
  <c r="A6447"/>
  <c r="A6448"/>
  <c r="A6449"/>
  <c r="A6450"/>
  <c r="A6451"/>
  <c r="A6452"/>
  <c r="A6453"/>
  <c r="A6454"/>
  <c r="A6455"/>
  <c r="A6456"/>
  <c r="A6457"/>
  <c r="A6458"/>
  <c r="A6459"/>
  <c r="A6460"/>
  <c r="A6461"/>
  <c r="A6462"/>
  <c r="A6463"/>
  <c r="A6464"/>
  <c r="A6465"/>
  <c r="A6466"/>
  <c r="A6467"/>
  <c r="A6468"/>
  <c r="A6469"/>
  <c r="A6470"/>
  <c r="A6471"/>
  <c r="A6472"/>
  <c r="A6473"/>
  <c r="A6474"/>
  <c r="A6475"/>
  <c r="A6476"/>
  <c r="A6477"/>
  <c r="A6478"/>
  <c r="A6479"/>
  <c r="A6480"/>
  <c r="A6481"/>
  <c r="A6482"/>
  <c r="A6483"/>
  <c r="A6484"/>
  <c r="A6485"/>
  <c r="A6486"/>
  <c r="A6487"/>
  <c r="A6488"/>
  <c r="A6489"/>
  <c r="A6490"/>
  <c r="A6491"/>
  <c r="A6492"/>
  <c r="A6493"/>
  <c r="A6494"/>
  <c r="A6495"/>
  <c r="A6496"/>
  <c r="A6497"/>
  <c r="A6498"/>
  <c r="A6499"/>
  <c r="A6500"/>
  <c r="A6501"/>
  <c r="A6502"/>
  <c r="A6503"/>
  <c r="A6504"/>
  <c r="A6505"/>
  <c r="A6506"/>
  <c r="A6507"/>
  <c r="A6508"/>
  <c r="A6509"/>
  <c r="A6510"/>
  <c r="A6511"/>
  <c r="A6512"/>
  <c r="A6513"/>
  <c r="A6514"/>
  <c r="A6515"/>
  <c r="A6516"/>
  <c r="A6517"/>
  <c r="A6518"/>
  <c r="A6519"/>
  <c r="A6520"/>
  <c r="A6521"/>
  <c r="A6522"/>
  <c r="A6523"/>
  <c r="A6524"/>
  <c r="A6525"/>
  <c r="A6526"/>
  <c r="A6527"/>
  <c r="A6528"/>
  <c r="A6529"/>
  <c r="A6530"/>
  <c r="A6531"/>
  <c r="A6532"/>
  <c r="A6533"/>
  <c r="A6534"/>
  <c r="A6535"/>
  <c r="A6536"/>
  <c r="A6537"/>
  <c r="A6538"/>
  <c r="A6539"/>
  <c r="A6540"/>
  <c r="A6541"/>
  <c r="A6542"/>
  <c r="A6543"/>
  <c r="A6544"/>
  <c r="A6545"/>
  <c r="A6546"/>
  <c r="A6547"/>
  <c r="A6548"/>
  <c r="A6549"/>
  <c r="A6550"/>
  <c r="A6551"/>
  <c r="A6552"/>
  <c r="A6553"/>
  <c r="A6554"/>
  <c r="A6555"/>
  <c r="A6556"/>
  <c r="A6557"/>
  <c r="A6558"/>
  <c r="A6559"/>
  <c r="A6560"/>
  <c r="A6561"/>
  <c r="A6562"/>
  <c r="A6563"/>
  <c r="A6564"/>
  <c r="A6565"/>
  <c r="A6566"/>
  <c r="A6567"/>
  <c r="A6568"/>
  <c r="A6569"/>
  <c r="A6570"/>
  <c r="A6571"/>
  <c r="A6572"/>
  <c r="A6573"/>
  <c r="A6574"/>
  <c r="A6575"/>
  <c r="A6576"/>
  <c r="A6577"/>
  <c r="A6578"/>
  <c r="A6579"/>
  <c r="A6580"/>
  <c r="A6581"/>
  <c r="A6582"/>
  <c r="A6583"/>
  <c r="A6584"/>
  <c r="A6585"/>
  <c r="A6586"/>
  <c r="A6587"/>
  <c r="A6588"/>
  <c r="A6589"/>
  <c r="A6590"/>
  <c r="A6591"/>
  <c r="A6592"/>
  <c r="A6593"/>
  <c r="A6594"/>
  <c r="A6595"/>
  <c r="A6596"/>
  <c r="A6597"/>
  <c r="A6598"/>
  <c r="A6599"/>
  <c r="A6600"/>
  <c r="A6601"/>
  <c r="A6602"/>
  <c r="A6603"/>
  <c r="A6604"/>
  <c r="A6605"/>
  <c r="A6606"/>
  <c r="A6607"/>
  <c r="A6608"/>
  <c r="A6609"/>
  <c r="A6610"/>
  <c r="A6611"/>
  <c r="A6612"/>
  <c r="A6613"/>
  <c r="A6614"/>
  <c r="A6615"/>
  <c r="A6616"/>
  <c r="A6617"/>
  <c r="A6618"/>
  <c r="A6619"/>
  <c r="A6620"/>
  <c r="A6621"/>
  <c r="A6622"/>
  <c r="A6623"/>
  <c r="A6624"/>
  <c r="A6625"/>
  <c r="A6626"/>
  <c r="E6"/>
  <c r="E7"/>
  <c r="E8"/>
  <c r="E9"/>
  <c r="F9" s="1"/>
  <c r="E10"/>
  <c r="F10" s="1"/>
  <c r="E11"/>
  <c r="F11" s="1"/>
  <c r="E12"/>
  <c r="E13"/>
  <c r="E14"/>
  <c r="F14" s="1"/>
  <c r="E15"/>
  <c r="E16"/>
  <c r="E17"/>
  <c r="E18"/>
  <c r="E19"/>
  <c r="E20"/>
  <c r="E21"/>
  <c r="E22"/>
  <c r="E23"/>
  <c r="E24"/>
  <c r="E25"/>
  <c r="F25" s="1"/>
  <c r="E26"/>
  <c r="F26" s="1"/>
  <c r="E27"/>
  <c r="F27" s="1"/>
  <c r="E28"/>
  <c r="E29"/>
  <c r="F29" s="1"/>
  <c r="E30"/>
  <c r="F30" s="1"/>
  <c r="E31"/>
  <c r="F31" s="1"/>
  <c r="E32"/>
  <c r="E33"/>
  <c r="E34"/>
  <c r="E35"/>
  <c r="E36"/>
  <c r="E37"/>
  <c r="E38"/>
  <c r="E39"/>
  <c r="E40"/>
  <c r="E41"/>
  <c r="F41" s="1"/>
  <c r="E42"/>
  <c r="F42" s="1"/>
  <c r="E43"/>
  <c r="F43" s="1"/>
  <c r="E44"/>
  <c r="E45"/>
  <c r="F45" s="1"/>
  <c r="E46"/>
  <c r="F46" s="1"/>
  <c r="E47"/>
  <c r="F47" s="1"/>
  <c r="E48"/>
  <c r="E49"/>
  <c r="E50"/>
  <c r="E51"/>
  <c r="E52"/>
  <c r="E53"/>
  <c r="E54"/>
  <c r="E55"/>
  <c r="E56"/>
  <c r="E57"/>
  <c r="F57" s="1"/>
  <c r="E58"/>
  <c r="F58" s="1"/>
  <c r="E59"/>
  <c r="F59" s="1"/>
  <c r="E60"/>
  <c r="E61"/>
  <c r="F61" s="1"/>
  <c r="E62"/>
  <c r="F62" s="1"/>
  <c r="E63"/>
  <c r="F63" s="1"/>
  <c r="E64"/>
  <c r="E65"/>
  <c r="E66"/>
  <c r="E67"/>
  <c r="E68"/>
  <c r="E69"/>
  <c r="E70"/>
  <c r="E71"/>
  <c r="E72"/>
  <c r="E73"/>
  <c r="F73" s="1"/>
  <c r="E74"/>
  <c r="F74" s="1"/>
  <c r="E75"/>
  <c r="E76"/>
  <c r="E77"/>
  <c r="F77" s="1"/>
  <c r="E78"/>
  <c r="F78" s="1"/>
  <c r="E79"/>
  <c r="F79" s="1"/>
  <c r="E80"/>
  <c r="E81"/>
  <c r="E82"/>
  <c r="E83"/>
  <c r="E84"/>
  <c r="E85"/>
  <c r="E86"/>
  <c r="E87"/>
  <c r="E88"/>
  <c r="E89"/>
  <c r="F89" s="1"/>
  <c r="E90"/>
  <c r="F90" s="1"/>
  <c r="E91"/>
  <c r="E92"/>
  <c r="E93"/>
  <c r="E94"/>
  <c r="F94" s="1"/>
  <c r="E95"/>
  <c r="F95" s="1"/>
  <c r="E96"/>
  <c r="E97"/>
  <c r="E98"/>
  <c r="E99"/>
  <c r="E100"/>
  <c r="E101"/>
  <c r="E102"/>
  <c r="E103"/>
  <c r="E104"/>
  <c r="E105"/>
  <c r="E106"/>
  <c r="F106" s="1"/>
  <c r="E107"/>
  <c r="E108"/>
  <c r="E109"/>
  <c r="E110"/>
  <c r="F110" s="1"/>
  <c r="E111"/>
  <c r="F111" s="1"/>
  <c r="E112"/>
  <c r="E113"/>
  <c r="E114"/>
  <c r="E115"/>
  <c r="E116"/>
  <c r="E117"/>
  <c r="E118"/>
  <c r="E119"/>
  <c r="E120"/>
  <c r="E121"/>
  <c r="F121" s="1"/>
  <c r="E122"/>
  <c r="F122" s="1"/>
  <c r="E123"/>
  <c r="E124"/>
  <c r="E125"/>
  <c r="E126"/>
  <c r="F126" s="1"/>
  <c r="E127"/>
  <c r="F127" s="1"/>
  <c r="E128"/>
  <c r="E129"/>
  <c r="E130"/>
  <c r="E131"/>
  <c r="E132"/>
  <c r="E133"/>
  <c r="E134"/>
  <c r="E135"/>
  <c r="E136"/>
  <c r="E137"/>
  <c r="F137" s="1"/>
  <c r="E138"/>
  <c r="F138" s="1"/>
  <c r="E139"/>
  <c r="F139" s="1"/>
  <c r="E140"/>
  <c r="E141"/>
  <c r="E142"/>
  <c r="F142" s="1"/>
  <c r="E143"/>
  <c r="E144"/>
  <c r="E145"/>
  <c r="E146"/>
  <c r="E147"/>
  <c r="E148"/>
  <c r="E149"/>
  <c r="E150"/>
  <c r="E151"/>
  <c r="E152"/>
  <c r="E153"/>
  <c r="F153" s="1"/>
  <c r="E154"/>
  <c r="F154" s="1"/>
  <c r="E155"/>
  <c r="F155" s="1"/>
  <c r="E156"/>
  <c r="E157"/>
  <c r="F157" s="1"/>
  <c r="E158"/>
  <c r="F158" s="1"/>
  <c r="E159"/>
  <c r="F159" s="1"/>
  <c r="E160"/>
  <c r="E161"/>
  <c r="E162"/>
  <c r="E163"/>
  <c r="E164"/>
  <c r="E165"/>
  <c r="E166"/>
  <c r="E167"/>
  <c r="E168"/>
  <c r="E169"/>
  <c r="F169" s="1"/>
  <c r="E170"/>
  <c r="F170" s="1"/>
  <c r="E171"/>
  <c r="F171" s="1"/>
  <c r="E172"/>
  <c r="E173"/>
  <c r="F173" s="1"/>
  <c r="E174"/>
  <c r="F174" s="1"/>
  <c r="E175"/>
  <c r="F175" s="1"/>
  <c r="E176"/>
  <c r="E177"/>
  <c r="E178"/>
  <c r="E179"/>
  <c r="E180"/>
  <c r="E181"/>
  <c r="E182"/>
  <c r="E183"/>
  <c r="E184"/>
  <c r="E185"/>
  <c r="F185" s="1"/>
  <c r="E186"/>
  <c r="F186" s="1"/>
  <c r="E187"/>
  <c r="F187" s="1"/>
  <c r="E188"/>
  <c r="E189"/>
  <c r="F189" s="1"/>
  <c r="E190"/>
  <c r="F190" s="1"/>
  <c r="E191"/>
  <c r="F191" s="1"/>
  <c r="E192"/>
  <c r="E193"/>
  <c r="E194"/>
  <c r="E195"/>
  <c r="E196"/>
  <c r="E197"/>
  <c r="E198"/>
  <c r="E199"/>
  <c r="E200"/>
  <c r="E201"/>
  <c r="F201" s="1"/>
  <c r="E202"/>
  <c r="F202" s="1"/>
  <c r="E203"/>
  <c r="E204"/>
  <c r="E205"/>
  <c r="F205" s="1"/>
  <c r="E206"/>
  <c r="F206" s="1"/>
  <c r="E207"/>
  <c r="F207" s="1"/>
  <c r="E208"/>
  <c r="E209"/>
  <c r="E210"/>
  <c r="E211"/>
  <c r="E212"/>
  <c r="E213"/>
  <c r="E214"/>
  <c r="E215"/>
  <c r="E216"/>
  <c r="E217"/>
  <c r="F217" s="1"/>
  <c r="E218"/>
  <c r="F218" s="1"/>
  <c r="E219"/>
  <c r="E220"/>
  <c r="E221"/>
  <c r="E222"/>
  <c r="F222" s="1"/>
  <c r="E223"/>
  <c r="F223" s="1"/>
  <c r="E224"/>
  <c r="E225"/>
  <c r="E226"/>
  <c r="E227"/>
  <c r="E228"/>
  <c r="E229"/>
  <c r="E230"/>
  <c r="E231"/>
  <c r="E232"/>
  <c r="E233"/>
  <c r="E234"/>
  <c r="F234" s="1"/>
  <c r="E235"/>
  <c r="E236"/>
  <c r="E237"/>
  <c r="E238"/>
  <c r="F238" s="1"/>
  <c r="E239"/>
  <c r="F239" s="1"/>
  <c r="E240"/>
  <c r="E241"/>
  <c r="E242"/>
  <c r="E243"/>
  <c r="E244"/>
  <c r="E245"/>
  <c r="E246"/>
  <c r="E247"/>
  <c r="E248"/>
  <c r="E249"/>
  <c r="F249" s="1"/>
  <c r="E250"/>
  <c r="F250" s="1"/>
  <c r="E251"/>
  <c r="E252"/>
  <c r="E253"/>
  <c r="E254"/>
  <c r="F254" s="1"/>
  <c r="E255"/>
  <c r="F255" s="1"/>
  <c r="E256"/>
  <c r="E257"/>
  <c r="E258"/>
  <c r="E259"/>
  <c r="E260"/>
  <c r="E261"/>
  <c r="E262"/>
  <c r="E263"/>
  <c r="E264"/>
  <c r="E265"/>
  <c r="F265" s="1"/>
  <c r="E266"/>
  <c r="F266" s="1"/>
  <c r="E267"/>
  <c r="F267" s="1"/>
  <c r="E268"/>
  <c r="E269"/>
  <c r="E270"/>
  <c r="F270" s="1"/>
  <c r="E271"/>
  <c r="E272"/>
  <c r="E273"/>
  <c r="E274"/>
  <c r="E275"/>
  <c r="E276"/>
  <c r="E277"/>
  <c r="E278"/>
  <c r="E279"/>
  <c r="E280"/>
  <c r="E281"/>
  <c r="F281" s="1"/>
  <c r="E282"/>
  <c r="F282" s="1"/>
  <c r="E283"/>
  <c r="F283" s="1"/>
  <c r="E284"/>
  <c r="E285"/>
  <c r="F285" s="1"/>
  <c r="E286"/>
  <c r="F286" s="1"/>
  <c r="E287"/>
  <c r="F287" s="1"/>
  <c r="E288"/>
  <c r="E289"/>
  <c r="E290"/>
  <c r="E291"/>
  <c r="E292"/>
  <c r="E293"/>
  <c r="E294"/>
  <c r="E295"/>
  <c r="E296"/>
  <c r="E297"/>
  <c r="F297" s="1"/>
  <c r="E298"/>
  <c r="F298" s="1"/>
  <c r="E299"/>
  <c r="F299" s="1"/>
  <c r="E300"/>
  <c r="E301"/>
  <c r="F301" s="1"/>
  <c r="E302"/>
  <c r="F302" s="1"/>
  <c r="E303"/>
  <c r="F303" s="1"/>
  <c r="E304"/>
  <c r="E305"/>
  <c r="E306"/>
  <c r="E307"/>
  <c r="E308"/>
  <c r="E309"/>
  <c r="E310"/>
  <c r="E311"/>
  <c r="E312"/>
  <c r="E313"/>
  <c r="F313" s="1"/>
  <c r="E314"/>
  <c r="F314" s="1"/>
  <c r="E315"/>
  <c r="F315" s="1"/>
  <c r="E316"/>
  <c r="E317"/>
  <c r="F317" s="1"/>
  <c r="E318"/>
  <c r="F318" s="1"/>
  <c r="E319"/>
  <c r="F319" s="1"/>
  <c r="E320"/>
  <c r="E321"/>
  <c r="E322"/>
  <c r="E323"/>
  <c r="E324"/>
  <c r="E325"/>
  <c r="E326"/>
  <c r="E327"/>
  <c r="E328"/>
  <c r="E329"/>
  <c r="F329" s="1"/>
  <c r="E330"/>
  <c r="F330" s="1"/>
  <c r="E331"/>
  <c r="E332"/>
  <c r="E333"/>
  <c r="F333" s="1"/>
  <c r="E334"/>
  <c r="F334" s="1"/>
  <c r="E335"/>
  <c r="F335" s="1"/>
  <c r="E336"/>
  <c r="E337"/>
  <c r="E338"/>
  <c r="E339"/>
  <c r="E340"/>
  <c r="E341"/>
  <c r="E342"/>
  <c r="E343"/>
  <c r="E344"/>
  <c r="E345"/>
  <c r="F345" s="1"/>
  <c r="E346"/>
  <c r="F346" s="1"/>
  <c r="E347"/>
  <c r="E348"/>
  <c r="E349"/>
  <c r="E350"/>
  <c r="F350" s="1"/>
  <c r="E351"/>
  <c r="F351" s="1"/>
  <c r="E352"/>
  <c r="E353"/>
  <c r="E354"/>
  <c r="E355"/>
  <c r="E356"/>
  <c r="E357"/>
  <c r="E358"/>
  <c r="E359"/>
  <c r="E360"/>
  <c r="E361"/>
  <c r="E362"/>
  <c r="F362" s="1"/>
  <c r="E363"/>
  <c r="E364"/>
  <c r="E365"/>
  <c r="E366"/>
  <c r="F366" s="1"/>
  <c r="E367"/>
  <c r="F367" s="1"/>
  <c r="E368"/>
  <c r="E369"/>
  <c r="E370"/>
  <c r="E371"/>
  <c r="E372"/>
  <c r="E373"/>
  <c r="E374"/>
  <c r="E375"/>
  <c r="E376"/>
  <c r="E377"/>
  <c r="F377" s="1"/>
  <c r="E378"/>
  <c r="F378" s="1"/>
  <c r="E379"/>
  <c r="E380"/>
  <c r="E381"/>
  <c r="E382"/>
  <c r="F382" s="1"/>
  <c r="E383"/>
  <c r="F383" s="1"/>
  <c r="E384"/>
  <c r="E385"/>
  <c r="E386"/>
  <c r="E387"/>
  <c r="E388"/>
  <c r="E389"/>
  <c r="E390"/>
  <c r="E391"/>
  <c r="E392"/>
  <c r="E393"/>
  <c r="F393" s="1"/>
  <c r="E394"/>
  <c r="F394" s="1"/>
  <c r="E395"/>
  <c r="F395" s="1"/>
  <c r="E396"/>
  <c r="E397"/>
  <c r="E398"/>
  <c r="F398" s="1"/>
  <c r="E399"/>
  <c r="E400"/>
  <c r="E401"/>
  <c r="E402"/>
  <c r="E403"/>
  <c r="E404"/>
  <c r="E405"/>
  <c r="E406"/>
  <c r="E407"/>
  <c r="E408"/>
  <c r="E409"/>
  <c r="F409" s="1"/>
  <c r="E410"/>
  <c r="F410" s="1"/>
  <c r="E411"/>
  <c r="F411" s="1"/>
  <c r="E412"/>
  <c r="E413"/>
  <c r="F413" s="1"/>
  <c r="E414"/>
  <c r="F414" s="1"/>
  <c r="E415"/>
  <c r="F415" s="1"/>
  <c r="E416"/>
  <c r="E417"/>
  <c r="E418"/>
  <c r="E419"/>
  <c r="E420"/>
  <c r="E421"/>
  <c r="E422"/>
  <c r="E423"/>
  <c r="E424"/>
  <c r="E425"/>
  <c r="F425" s="1"/>
  <c r="E426"/>
  <c r="F426" s="1"/>
  <c r="E427"/>
  <c r="F427" s="1"/>
  <c r="E428"/>
  <c r="E429"/>
  <c r="F429" s="1"/>
  <c r="E430"/>
  <c r="F430" s="1"/>
  <c r="E431"/>
  <c r="F431" s="1"/>
  <c r="E432"/>
  <c r="E433"/>
  <c r="E434"/>
  <c r="E435"/>
  <c r="E436"/>
  <c r="E437"/>
  <c r="E438"/>
  <c r="E439"/>
  <c r="E440"/>
  <c r="E441"/>
  <c r="F441" s="1"/>
  <c r="E442"/>
  <c r="F442" s="1"/>
  <c r="E443"/>
  <c r="F443" s="1"/>
  <c r="E444"/>
  <c r="E445"/>
  <c r="F445" s="1"/>
  <c r="E446"/>
  <c r="F446" s="1"/>
  <c r="E447"/>
  <c r="F447" s="1"/>
  <c r="E448"/>
  <c r="E449"/>
  <c r="E450"/>
  <c r="E451"/>
  <c r="E452"/>
  <c r="E453"/>
  <c r="E454"/>
  <c r="E455"/>
  <c r="E456"/>
  <c r="E457"/>
  <c r="F457" s="1"/>
  <c r="E458"/>
  <c r="F458" s="1"/>
  <c r="E459"/>
  <c r="E460"/>
  <c r="E461"/>
  <c r="F461" s="1"/>
  <c r="E462"/>
  <c r="F462" s="1"/>
  <c r="E463"/>
  <c r="F463" s="1"/>
  <c r="E464"/>
  <c r="E465"/>
  <c r="E466"/>
  <c r="E467"/>
  <c r="E468"/>
  <c r="E469"/>
  <c r="E470"/>
  <c r="E471"/>
  <c r="E472"/>
  <c r="E473"/>
  <c r="F473" s="1"/>
  <c r="E474"/>
  <c r="E475"/>
  <c r="F475" s="1"/>
  <c r="E476"/>
  <c r="E477"/>
  <c r="F477" s="1"/>
  <c r="E478"/>
  <c r="F478" s="1"/>
  <c r="E479"/>
  <c r="F479" s="1"/>
  <c r="E480"/>
  <c r="E481"/>
  <c r="E482"/>
  <c r="E483"/>
  <c r="E484"/>
  <c r="E485"/>
  <c r="E486"/>
  <c r="E487"/>
  <c r="E488"/>
  <c r="E489"/>
  <c r="E490"/>
  <c r="F490" s="1"/>
  <c r="E491"/>
  <c r="F491" s="1"/>
  <c r="E492"/>
  <c r="E493"/>
  <c r="F493" s="1"/>
  <c r="E494"/>
  <c r="F494" s="1"/>
  <c r="E495"/>
  <c r="E496"/>
  <c r="E497"/>
  <c r="E498"/>
  <c r="E499"/>
  <c r="E500"/>
  <c r="E501"/>
  <c r="E502"/>
  <c r="E503"/>
  <c r="E504"/>
  <c r="E505"/>
  <c r="E506"/>
  <c r="F506" s="1"/>
  <c r="E507"/>
  <c r="E508"/>
  <c r="E509"/>
  <c r="F509" s="1"/>
  <c r="E510"/>
  <c r="F510" s="1"/>
  <c r="E511"/>
  <c r="E512"/>
  <c r="E513"/>
  <c r="E514"/>
  <c r="E515"/>
  <c r="E516"/>
  <c r="E517"/>
  <c r="E518"/>
  <c r="E519"/>
  <c r="E520"/>
  <c r="E521"/>
  <c r="F521" s="1"/>
  <c r="E522"/>
  <c r="F522" s="1"/>
  <c r="E523"/>
  <c r="F523" s="1"/>
  <c r="E524"/>
  <c r="E525"/>
  <c r="E526"/>
  <c r="F526" s="1"/>
  <c r="E527"/>
  <c r="E528"/>
  <c r="E529"/>
  <c r="E530"/>
  <c r="E531"/>
  <c r="E532"/>
  <c r="E533"/>
  <c r="E534"/>
  <c r="E535"/>
  <c r="E536"/>
  <c r="E537"/>
  <c r="F537" s="1"/>
  <c r="E538"/>
  <c r="F538" s="1"/>
  <c r="E539"/>
  <c r="F539" s="1"/>
  <c r="E540"/>
  <c r="E541"/>
  <c r="F541" s="1"/>
  <c r="E542"/>
  <c r="F542" s="1"/>
  <c r="E543"/>
  <c r="E544"/>
  <c r="E545"/>
  <c r="E546"/>
  <c r="E547"/>
  <c r="E548"/>
  <c r="E549"/>
  <c r="E550"/>
  <c r="E551"/>
  <c r="E552"/>
  <c r="E553"/>
  <c r="F553" s="1"/>
  <c r="E554"/>
  <c r="F554" s="1"/>
  <c r="E555"/>
  <c r="F555" s="1"/>
  <c r="E556"/>
  <c r="E557"/>
  <c r="F557" s="1"/>
  <c r="E558"/>
  <c r="F558" s="1"/>
  <c r="E559"/>
  <c r="F559" s="1"/>
  <c r="E560"/>
  <c r="E561"/>
  <c r="E562"/>
  <c r="E563"/>
  <c r="E564"/>
  <c r="E565"/>
  <c r="E566"/>
  <c r="E567"/>
  <c r="E568"/>
  <c r="E569"/>
  <c r="F569" s="1"/>
  <c r="E570"/>
  <c r="F570" s="1"/>
  <c r="E571"/>
  <c r="F571" s="1"/>
  <c r="E572"/>
  <c r="E573"/>
  <c r="F573" s="1"/>
  <c r="E574"/>
  <c r="F574" s="1"/>
  <c r="E575"/>
  <c r="F575" s="1"/>
  <c r="E576"/>
  <c r="E577"/>
  <c r="E578"/>
  <c r="E579"/>
  <c r="E580"/>
  <c r="E581"/>
  <c r="E582"/>
  <c r="E583"/>
  <c r="E584"/>
  <c r="E585"/>
  <c r="E586"/>
  <c r="F586" s="1"/>
  <c r="E587"/>
  <c r="F587" s="1"/>
  <c r="E588"/>
  <c r="E589"/>
  <c r="F589" s="1"/>
  <c r="E590"/>
  <c r="F590" s="1"/>
  <c r="E591"/>
  <c r="F591" s="1"/>
  <c r="E592"/>
  <c r="E593"/>
  <c r="E594"/>
  <c r="E595"/>
  <c r="E596"/>
  <c r="E597"/>
  <c r="E598"/>
  <c r="E599"/>
  <c r="E600"/>
  <c r="E601"/>
  <c r="E602"/>
  <c r="F602" s="1"/>
  <c r="E603"/>
  <c r="F603" s="1"/>
  <c r="E604"/>
  <c r="E605"/>
  <c r="F605" s="1"/>
  <c r="E606"/>
  <c r="F606" s="1"/>
  <c r="E607"/>
  <c r="F607" s="1"/>
  <c r="E608"/>
  <c r="E609"/>
  <c r="E610"/>
  <c r="E611"/>
  <c r="E612"/>
  <c r="E613"/>
  <c r="E614"/>
  <c r="E615"/>
  <c r="E616"/>
  <c r="E617"/>
  <c r="E618"/>
  <c r="F618" s="1"/>
  <c r="E619"/>
  <c r="F619" s="1"/>
  <c r="E620"/>
  <c r="E621"/>
  <c r="F621" s="1"/>
  <c r="E622"/>
  <c r="F622" s="1"/>
  <c r="E623"/>
  <c r="E624"/>
  <c r="E625"/>
  <c r="E626"/>
  <c r="E627"/>
  <c r="E628"/>
  <c r="E629"/>
  <c r="E630"/>
  <c r="E631"/>
  <c r="E632"/>
  <c r="E633"/>
  <c r="E634"/>
  <c r="F634" s="1"/>
  <c r="E635"/>
  <c r="E636"/>
  <c r="E637"/>
  <c r="F637" s="1"/>
  <c r="E638"/>
  <c r="F638" s="1"/>
  <c r="E639"/>
  <c r="E640"/>
  <c r="E641"/>
  <c r="E642"/>
  <c r="E643"/>
  <c r="E644"/>
  <c r="E645"/>
  <c r="E646"/>
  <c r="E647"/>
  <c r="E648"/>
  <c r="E649"/>
  <c r="F649" s="1"/>
  <c r="E650"/>
  <c r="F650" s="1"/>
  <c r="E651"/>
  <c r="F651" s="1"/>
  <c r="E652"/>
  <c r="E653"/>
  <c r="E654"/>
  <c r="F654" s="1"/>
  <c r="E655"/>
  <c r="E656"/>
  <c r="E657"/>
  <c r="E658"/>
  <c r="E659"/>
  <c r="E660"/>
  <c r="E661"/>
  <c r="E662"/>
  <c r="E663"/>
  <c r="E664"/>
  <c r="E665"/>
  <c r="F665" s="1"/>
  <c r="E666"/>
  <c r="F666" s="1"/>
  <c r="E667"/>
  <c r="F667" s="1"/>
  <c r="E668"/>
  <c r="E669"/>
  <c r="F669" s="1"/>
  <c r="E670"/>
  <c r="F670" s="1"/>
  <c r="E671"/>
  <c r="E672"/>
  <c r="E673"/>
  <c r="E674"/>
  <c r="E675"/>
  <c r="E676"/>
  <c r="E677"/>
  <c r="E678"/>
  <c r="E679"/>
  <c r="E680"/>
  <c r="E681"/>
  <c r="F681" s="1"/>
  <c r="E682"/>
  <c r="F682" s="1"/>
  <c r="E683"/>
  <c r="F683" s="1"/>
  <c r="E684"/>
  <c r="E685"/>
  <c r="F685" s="1"/>
  <c r="E686"/>
  <c r="F686" s="1"/>
  <c r="E687"/>
  <c r="F687" s="1"/>
  <c r="E688"/>
  <c r="E689"/>
  <c r="E690"/>
  <c r="E691"/>
  <c r="E692"/>
  <c r="E693"/>
  <c r="E694"/>
  <c r="E695"/>
  <c r="E696"/>
  <c r="E697"/>
  <c r="F697" s="1"/>
  <c r="E698"/>
  <c r="F698" s="1"/>
  <c r="E699"/>
  <c r="F699" s="1"/>
  <c r="E700"/>
  <c r="E701"/>
  <c r="F701" s="1"/>
  <c r="E702"/>
  <c r="F702" s="1"/>
  <c r="E703"/>
  <c r="F703" s="1"/>
  <c r="E704"/>
  <c r="E705"/>
  <c r="E706"/>
  <c r="E707"/>
  <c r="E708"/>
  <c r="E709"/>
  <c r="E710"/>
  <c r="E711"/>
  <c r="E712"/>
  <c r="E713"/>
  <c r="E714"/>
  <c r="F714" s="1"/>
  <c r="E715"/>
  <c r="F715" s="1"/>
  <c r="E716"/>
  <c r="E717"/>
  <c r="F717" s="1"/>
  <c r="E718"/>
  <c r="F718" s="1"/>
  <c r="E719"/>
  <c r="F719" s="1"/>
  <c r="E720"/>
  <c r="E721"/>
  <c r="E722"/>
  <c r="E723"/>
  <c r="E724"/>
  <c r="E725"/>
  <c r="E726"/>
  <c r="E727"/>
  <c r="E728"/>
  <c r="E729"/>
  <c r="E730"/>
  <c r="F730" s="1"/>
  <c r="E731"/>
  <c r="F731" s="1"/>
  <c r="E732"/>
  <c r="E733"/>
  <c r="F733" s="1"/>
  <c r="E734"/>
  <c r="F734" s="1"/>
  <c r="E735"/>
  <c r="F735" s="1"/>
  <c r="E736"/>
  <c r="E737"/>
  <c r="E738"/>
  <c r="E739"/>
  <c r="E740"/>
  <c r="E741"/>
  <c r="E742"/>
  <c r="E743"/>
  <c r="E744"/>
  <c r="E745"/>
  <c r="E746"/>
  <c r="F746" s="1"/>
  <c r="E747"/>
  <c r="F747" s="1"/>
  <c r="E748"/>
  <c r="E749"/>
  <c r="F749" s="1"/>
  <c r="E750"/>
  <c r="F750" s="1"/>
  <c r="E751"/>
  <c r="E752"/>
  <c r="E753"/>
  <c r="E754"/>
  <c r="E755"/>
  <c r="E756"/>
  <c r="E757"/>
  <c r="E758"/>
  <c r="E759"/>
  <c r="E760"/>
  <c r="E761"/>
  <c r="E762"/>
  <c r="F762" s="1"/>
  <c r="E763"/>
  <c r="E764"/>
  <c r="E765"/>
  <c r="F765" s="1"/>
  <c r="E766"/>
  <c r="F766" s="1"/>
  <c r="E767"/>
  <c r="E768"/>
  <c r="E769"/>
  <c r="E770"/>
  <c r="E771"/>
  <c r="E772"/>
  <c r="E773"/>
  <c r="E774"/>
  <c r="E775"/>
  <c r="E776"/>
  <c r="E777"/>
  <c r="F777" s="1"/>
  <c r="E778"/>
  <c r="F778" s="1"/>
  <c r="E779"/>
  <c r="F779" s="1"/>
  <c r="E780"/>
  <c r="E781"/>
  <c r="E782"/>
  <c r="F782" s="1"/>
  <c r="E783"/>
  <c r="E784"/>
  <c r="E785"/>
  <c r="E786"/>
  <c r="E787"/>
  <c r="E788"/>
  <c r="E789"/>
  <c r="E790"/>
  <c r="E791"/>
  <c r="E792"/>
  <c r="E793"/>
  <c r="F793" s="1"/>
  <c r="E794"/>
  <c r="F794" s="1"/>
  <c r="E795"/>
  <c r="F795" s="1"/>
  <c r="E796"/>
  <c r="E797"/>
  <c r="F797" s="1"/>
  <c r="E798"/>
  <c r="F798" s="1"/>
  <c r="E799"/>
  <c r="E800"/>
  <c r="E801"/>
  <c r="E802"/>
  <c r="E803"/>
  <c r="E804"/>
  <c r="E805"/>
  <c r="E806"/>
  <c r="E807"/>
  <c r="E808"/>
  <c r="E809"/>
  <c r="F809" s="1"/>
  <c r="E810"/>
  <c r="F810" s="1"/>
  <c r="E811"/>
  <c r="F811" s="1"/>
  <c r="E812"/>
  <c r="E813"/>
  <c r="F813" s="1"/>
  <c r="E814"/>
  <c r="F814" s="1"/>
  <c r="E815"/>
  <c r="F815" s="1"/>
  <c r="E816"/>
  <c r="E817"/>
  <c r="E818"/>
  <c r="E819"/>
  <c r="E820"/>
  <c r="E821"/>
  <c r="E822"/>
  <c r="E823"/>
  <c r="E824"/>
  <c r="E825"/>
  <c r="F825" s="1"/>
  <c r="E826"/>
  <c r="F826" s="1"/>
  <c r="E827"/>
  <c r="F827" s="1"/>
  <c r="E828"/>
  <c r="E829"/>
  <c r="F829" s="1"/>
  <c r="E830"/>
  <c r="F830" s="1"/>
  <c r="E831"/>
  <c r="F831" s="1"/>
  <c r="E832"/>
  <c r="E833"/>
  <c r="E834"/>
  <c r="E835"/>
  <c r="E836"/>
  <c r="E837"/>
  <c r="E838"/>
  <c r="E839"/>
  <c r="E840"/>
  <c r="E841"/>
  <c r="E842"/>
  <c r="F842" s="1"/>
  <c r="E843"/>
  <c r="F843" s="1"/>
  <c r="E844"/>
  <c r="E845"/>
  <c r="F845" s="1"/>
  <c r="E846"/>
  <c r="F846" s="1"/>
  <c r="E847"/>
  <c r="F847" s="1"/>
  <c r="E848"/>
  <c r="E849"/>
  <c r="E850"/>
  <c r="E851"/>
  <c r="E852"/>
  <c r="E853"/>
  <c r="E854"/>
  <c r="E855"/>
  <c r="E856"/>
  <c r="E857"/>
  <c r="E858"/>
  <c r="F858" s="1"/>
  <c r="E859"/>
  <c r="F859" s="1"/>
  <c r="E860"/>
  <c r="E861"/>
  <c r="F861" s="1"/>
  <c r="E862"/>
  <c r="F862" s="1"/>
  <c r="E863"/>
  <c r="F863" s="1"/>
  <c r="E864"/>
  <c r="E865"/>
  <c r="E866"/>
  <c r="E867"/>
  <c r="E868"/>
  <c r="E869"/>
  <c r="E870"/>
  <c r="E871"/>
  <c r="E872"/>
  <c r="E873"/>
  <c r="E874"/>
  <c r="F874" s="1"/>
  <c r="E875"/>
  <c r="F875" s="1"/>
  <c r="E876"/>
  <c r="E877"/>
  <c r="F877" s="1"/>
  <c r="E878"/>
  <c r="F878" s="1"/>
  <c r="E879"/>
  <c r="E880"/>
  <c r="E881"/>
  <c r="E882"/>
  <c r="E883"/>
  <c r="E884"/>
  <c r="E885"/>
  <c r="E886"/>
  <c r="E887"/>
  <c r="E888"/>
  <c r="E889"/>
  <c r="E890"/>
  <c r="F890" s="1"/>
  <c r="E891"/>
  <c r="E892"/>
  <c r="E893"/>
  <c r="F893" s="1"/>
  <c r="E894"/>
  <c r="F894" s="1"/>
  <c r="E895"/>
  <c r="E896"/>
  <c r="E897"/>
  <c r="E898"/>
  <c r="E899"/>
  <c r="E900"/>
  <c r="E901"/>
  <c r="E902"/>
  <c r="E903"/>
  <c r="E904"/>
  <c r="E905"/>
  <c r="F905" s="1"/>
  <c r="E906"/>
  <c r="F906" s="1"/>
  <c r="E907"/>
  <c r="F907" s="1"/>
  <c r="E908"/>
  <c r="E909"/>
  <c r="E910"/>
  <c r="F910" s="1"/>
  <c r="E911"/>
  <c r="E912"/>
  <c r="E913"/>
  <c r="E914"/>
  <c r="E915"/>
  <c r="E916"/>
  <c r="E917"/>
  <c r="E918"/>
  <c r="E919"/>
  <c r="E920"/>
  <c r="E921"/>
  <c r="F921" s="1"/>
  <c r="E922"/>
  <c r="F922" s="1"/>
  <c r="E923"/>
  <c r="F923" s="1"/>
  <c r="E924"/>
  <c r="E925"/>
  <c r="E926"/>
  <c r="F926" s="1"/>
  <c r="E927"/>
  <c r="E928"/>
  <c r="E929"/>
  <c r="E930"/>
  <c r="E931"/>
  <c r="E932"/>
  <c r="E933"/>
  <c r="E934"/>
  <c r="E935"/>
  <c r="E936"/>
  <c r="E937"/>
  <c r="F937" s="1"/>
  <c r="E938"/>
  <c r="F938" s="1"/>
  <c r="E939"/>
  <c r="F939" s="1"/>
  <c r="E940"/>
  <c r="E941"/>
  <c r="F941" s="1"/>
  <c r="E942"/>
  <c r="F942" s="1"/>
  <c r="E943"/>
  <c r="F943" s="1"/>
  <c r="E944"/>
  <c r="E945"/>
  <c r="E946"/>
  <c r="E947"/>
  <c r="E948"/>
  <c r="E949"/>
  <c r="E950"/>
  <c r="E951"/>
  <c r="E952"/>
  <c r="E953"/>
  <c r="F953" s="1"/>
  <c r="E954"/>
  <c r="F954" s="1"/>
  <c r="E955"/>
  <c r="F955" s="1"/>
  <c r="E956"/>
  <c r="E957"/>
  <c r="F957" s="1"/>
  <c r="E958"/>
  <c r="F958" s="1"/>
  <c r="E959"/>
  <c r="F959" s="1"/>
  <c r="E960"/>
  <c r="E961"/>
  <c r="E962"/>
  <c r="E963"/>
  <c r="E964"/>
  <c r="E965"/>
  <c r="E966"/>
  <c r="E967"/>
  <c r="E968"/>
  <c r="E969"/>
  <c r="F969" s="1"/>
  <c r="E970"/>
  <c r="F970" s="1"/>
  <c r="E971"/>
  <c r="F971" s="1"/>
  <c r="E972"/>
  <c r="E973"/>
  <c r="F973" s="1"/>
  <c r="E974"/>
  <c r="F974" s="1"/>
  <c r="E975"/>
  <c r="F975" s="1"/>
  <c r="E976"/>
  <c r="E977"/>
  <c r="E978"/>
  <c r="E979"/>
  <c r="E980"/>
  <c r="E981"/>
  <c r="E982"/>
  <c r="E983"/>
  <c r="E984"/>
  <c r="E985"/>
  <c r="F985" s="1"/>
  <c r="E986"/>
  <c r="F986" s="1"/>
  <c r="E987"/>
  <c r="E988"/>
  <c r="E989"/>
  <c r="F989" s="1"/>
  <c r="E990"/>
  <c r="F990" s="1"/>
  <c r="E991"/>
  <c r="F991" s="1"/>
  <c r="E992"/>
  <c r="E993"/>
  <c r="E994"/>
  <c r="E995"/>
  <c r="E996"/>
  <c r="E997"/>
  <c r="E998"/>
  <c r="E999"/>
  <c r="E1000"/>
  <c r="E1001"/>
  <c r="F1001" s="1"/>
  <c r="E1002"/>
  <c r="F1002" s="1"/>
  <c r="E1003"/>
  <c r="E1004"/>
  <c r="E1005"/>
  <c r="E1006"/>
  <c r="F1006" s="1"/>
  <c r="E1007"/>
  <c r="F1007" s="1"/>
  <c r="E1008"/>
  <c r="E1009"/>
  <c r="E1010"/>
  <c r="E1011"/>
  <c r="E1012"/>
  <c r="E1013"/>
  <c r="E1014"/>
  <c r="E1015"/>
  <c r="E1016"/>
  <c r="E1017"/>
  <c r="E1018"/>
  <c r="F1018" s="1"/>
  <c r="E1019"/>
  <c r="E1020"/>
  <c r="E1021"/>
  <c r="E1022"/>
  <c r="F1022" s="1"/>
  <c r="E1023"/>
  <c r="F1023" s="1"/>
  <c r="E1024"/>
  <c r="E1025"/>
  <c r="E1026"/>
  <c r="E1027"/>
  <c r="E1028"/>
  <c r="E1029"/>
  <c r="E1030"/>
  <c r="E1031"/>
  <c r="E1032"/>
  <c r="E1033"/>
  <c r="F1033" s="1"/>
  <c r="E1034"/>
  <c r="F1034" s="1"/>
  <c r="E1035"/>
  <c r="E1036"/>
  <c r="E1037"/>
  <c r="E1038"/>
  <c r="F1038" s="1"/>
  <c r="E1039"/>
  <c r="F1039" s="1"/>
  <c r="E1040"/>
  <c r="E1041"/>
  <c r="E1042"/>
  <c r="E1043"/>
  <c r="E1044"/>
  <c r="E1045"/>
  <c r="E1046"/>
  <c r="E1047"/>
  <c r="E1048"/>
  <c r="E1049"/>
  <c r="F1049" s="1"/>
  <c r="E1050"/>
  <c r="F1050" s="1"/>
  <c r="E1051"/>
  <c r="F1051" s="1"/>
  <c r="E1052"/>
  <c r="E1053"/>
  <c r="E1054"/>
  <c r="F1054" s="1"/>
  <c r="E1055"/>
  <c r="E1056"/>
  <c r="E1057"/>
  <c r="E1058"/>
  <c r="E1059"/>
  <c r="E1060"/>
  <c r="E1061"/>
  <c r="E1062"/>
  <c r="E1063"/>
  <c r="E1064"/>
  <c r="E1065"/>
  <c r="F1065" s="1"/>
  <c r="E1066"/>
  <c r="F1066" s="1"/>
  <c r="E1067"/>
  <c r="F1067" s="1"/>
  <c r="E1068"/>
  <c r="E1069"/>
  <c r="F1069" s="1"/>
  <c r="E1070"/>
  <c r="F1070" s="1"/>
  <c r="E1071"/>
  <c r="F1071" s="1"/>
  <c r="E1072"/>
  <c r="E1073"/>
  <c r="E1074"/>
  <c r="E1075"/>
  <c r="E1076"/>
  <c r="E1077"/>
  <c r="E1078"/>
  <c r="E1079"/>
  <c r="E1080"/>
  <c r="E1081"/>
  <c r="F1081" s="1"/>
  <c r="E1082"/>
  <c r="F1082" s="1"/>
  <c r="E1083"/>
  <c r="F1083" s="1"/>
  <c r="E1084"/>
  <c r="E1085"/>
  <c r="F1085" s="1"/>
  <c r="E1086"/>
  <c r="F1086" s="1"/>
  <c r="E1087"/>
  <c r="F1087" s="1"/>
  <c r="E1088"/>
  <c r="E1089"/>
  <c r="E1090"/>
  <c r="E1091"/>
  <c r="E1092"/>
  <c r="E1093"/>
  <c r="E1094"/>
  <c r="E1095"/>
  <c r="E1096"/>
  <c r="E1097"/>
  <c r="F1097" s="1"/>
  <c r="E1098"/>
  <c r="F1098" s="1"/>
  <c r="E1099"/>
  <c r="F1099" s="1"/>
  <c r="E1100"/>
  <c r="E1101"/>
  <c r="F1101" s="1"/>
  <c r="E1102"/>
  <c r="F1102" s="1"/>
  <c r="E1103"/>
  <c r="F1103" s="1"/>
  <c r="E1104"/>
  <c r="E1105"/>
  <c r="E1106"/>
  <c r="E1107"/>
  <c r="E1108"/>
  <c r="E1109"/>
  <c r="E1110"/>
  <c r="E1111"/>
  <c r="E1112"/>
  <c r="E1113"/>
  <c r="F1113" s="1"/>
  <c r="E1114"/>
  <c r="F1114" s="1"/>
  <c r="E1115"/>
  <c r="E1116"/>
  <c r="E1117"/>
  <c r="F1117" s="1"/>
  <c r="E1118"/>
  <c r="F1118" s="1"/>
  <c r="E1119"/>
  <c r="F1119" s="1"/>
  <c r="E1120"/>
  <c r="E1121"/>
  <c r="E1122"/>
  <c r="E1123"/>
  <c r="E1124"/>
  <c r="E1125"/>
  <c r="E1126"/>
  <c r="E1127"/>
  <c r="E1128"/>
  <c r="E1129"/>
  <c r="F1129" s="1"/>
  <c r="E1130"/>
  <c r="F1130" s="1"/>
  <c r="E1131"/>
  <c r="E1132"/>
  <c r="E1133"/>
  <c r="E1134"/>
  <c r="F1134" s="1"/>
  <c r="E1135"/>
  <c r="F1135" s="1"/>
  <c r="E1136"/>
  <c r="E1137"/>
  <c r="E1138"/>
  <c r="E1139"/>
  <c r="E1140"/>
  <c r="E1141"/>
  <c r="E1142"/>
  <c r="E1143"/>
  <c r="E1144"/>
  <c r="E1145"/>
  <c r="E1146"/>
  <c r="F1146" s="1"/>
  <c r="E1147"/>
  <c r="E1148"/>
  <c r="E1149"/>
  <c r="E1150"/>
  <c r="F1150" s="1"/>
  <c r="E1151"/>
  <c r="F1151" s="1"/>
  <c r="E1152"/>
  <c r="E1153"/>
  <c r="E1154"/>
  <c r="E1155"/>
  <c r="E1156"/>
  <c r="E1157"/>
  <c r="E1158"/>
  <c r="E1159"/>
  <c r="E1160"/>
  <c r="E1161"/>
  <c r="F1161" s="1"/>
  <c r="E1162"/>
  <c r="F1162" s="1"/>
  <c r="E1163"/>
  <c r="E1164"/>
  <c r="E1165"/>
  <c r="E1166"/>
  <c r="F1166" s="1"/>
  <c r="E1167"/>
  <c r="F1167" s="1"/>
  <c r="E1168"/>
  <c r="E1169"/>
  <c r="E1170"/>
  <c r="E1171"/>
  <c r="E1172"/>
  <c r="E1173"/>
  <c r="E1174"/>
  <c r="E1175"/>
  <c r="E1176"/>
  <c r="E1177"/>
  <c r="F1177" s="1"/>
  <c r="E1178"/>
  <c r="F1178" s="1"/>
  <c r="E1179"/>
  <c r="F1179" s="1"/>
  <c r="E1180"/>
  <c r="E1181"/>
  <c r="E1182"/>
  <c r="F1182" s="1"/>
  <c r="E1183"/>
  <c r="E1184"/>
  <c r="E1185"/>
  <c r="E1186"/>
  <c r="E1187"/>
  <c r="E1188"/>
  <c r="E1189"/>
  <c r="E1190"/>
  <c r="E1191"/>
  <c r="E1192"/>
  <c r="E1193"/>
  <c r="F1193" s="1"/>
  <c r="E1194"/>
  <c r="F1194" s="1"/>
  <c r="E1195"/>
  <c r="F1195" s="1"/>
  <c r="E1196"/>
  <c r="E1197"/>
  <c r="F1197" s="1"/>
  <c r="E1198"/>
  <c r="F1198" s="1"/>
  <c r="E1199"/>
  <c r="F1199" s="1"/>
  <c r="E1200"/>
  <c r="E1201"/>
  <c r="E1202"/>
  <c r="E1203"/>
  <c r="E1204"/>
  <c r="E1205"/>
  <c r="E1206"/>
  <c r="E1207"/>
  <c r="E1208"/>
  <c r="E1209"/>
  <c r="F1209" s="1"/>
  <c r="E1210"/>
  <c r="F1210" s="1"/>
  <c r="E1211"/>
  <c r="F1211" s="1"/>
  <c r="E1212"/>
  <c r="E1213"/>
  <c r="F1213" s="1"/>
  <c r="E1214"/>
  <c r="F1214" s="1"/>
  <c r="E1215"/>
  <c r="F1215" s="1"/>
  <c r="E1216"/>
  <c r="E1217"/>
  <c r="E1218"/>
  <c r="E1219"/>
  <c r="E1220"/>
  <c r="E1221"/>
  <c r="E1222"/>
  <c r="E1223"/>
  <c r="E1224"/>
  <c r="E1225"/>
  <c r="F1225" s="1"/>
  <c r="E1226"/>
  <c r="F1226" s="1"/>
  <c r="E1227"/>
  <c r="F1227" s="1"/>
  <c r="E1228"/>
  <c r="E1229"/>
  <c r="F1229" s="1"/>
  <c r="E1230"/>
  <c r="F1230" s="1"/>
  <c r="E1231"/>
  <c r="F1231" s="1"/>
  <c r="E1232"/>
  <c r="E1233"/>
  <c r="E1234"/>
  <c r="E1235"/>
  <c r="E1236"/>
  <c r="E1237"/>
  <c r="E1238"/>
  <c r="E1239"/>
  <c r="E1240"/>
  <c r="E1241"/>
  <c r="F1241" s="1"/>
  <c r="E1242"/>
  <c r="F1242" s="1"/>
  <c r="E1243"/>
  <c r="E1244"/>
  <c r="E1245"/>
  <c r="F1245" s="1"/>
  <c r="E1246"/>
  <c r="F1246" s="1"/>
  <c r="E1247"/>
  <c r="F1247" s="1"/>
  <c r="E1248"/>
  <c r="E1249"/>
  <c r="E1250"/>
  <c r="E1251"/>
  <c r="E1252"/>
  <c r="E1253"/>
  <c r="E1254"/>
  <c r="E1255"/>
  <c r="E1256"/>
  <c r="E1257"/>
  <c r="F1257" s="1"/>
  <c r="E1258"/>
  <c r="F1258" s="1"/>
  <c r="E1259"/>
  <c r="E1260"/>
  <c r="E1261"/>
  <c r="E1262"/>
  <c r="F1262" s="1"/>
  <c r="E1263"/>
  <c r="F1263" s="1"/>
  <c r="E1264"/>
  <c r="E1265"/>
  <c r="E1266"/>
  <c r="E1267"/>
  <c r="E1268"/>
  <c r="E1269"/>
  <c r="E1270"/>
  <c r="E1271"/>
  <c r="E1272"/>
  <c r="E1273"/>
  <c r="E1274"/>
  <c r="F1274" s="1"/>
  <c r="E1275"/>
  <c r="E1276"/>
  <c r="E1277"/>
  <c r="E1278"/>
  <c r="F1278" s="1"/>
  <c r="E1279"/>
  <c r="F1279" s="1"/>
  <c r="E1280"/>
  <c r="E1281"/>
  <c r="E1282"/>
  <c r="E1283"/>
  <c r="E1284"/>
  <c r="E1285"/>
  <c r="E1286"/>
  <c r="E1287"/>
  <c r="E1288"/>
  <c r="E1289"/>
  <c r="F1289" s="1"/>
  <c r="E1290"/>
  <c r="F1290" s="1"/>
  <c r="E1291"/>
  <c r="E1292"/>
  <c r="E1293"/>
  <c r="E1294"/>
  <c r="F1294" s="1"/>
  <c r="E1295"/>
  <c r="F1295" s="1"/>
  <c r="E1296"/>
  <c r="E1297"/>
  <c r="E1298"/>
  <c r="E1299"/>
  <c r="E1300"/>
  <c r="E1301"/>
  <c r="E1302"/>
  <c r="E1303"/>
  <c r="E1304"/>
  <c r="E1305"/>
  <c r="F1305" s="1"/>
  <c r="E1306"/>
  <c r="F1306" s="1"/>
  <c r="E1307"/>
  <c r="F1307" s="1"/>
  <c r="E1308"/>
  <c r="E1309"/>
  <c r="E1310"/>
  <c r="F1310" s="1"/>
  <c r="E1311"/>
  <c r="E1312"/>
  <c r="E1313"/>
  <c r="E1314"/>
  <c r="E1315"/>
  <c r="E1316"/>
  <c r="E1317"/>
  <c r="E1318"/>
  <c r="E1319"/>
  <c r="E1320"/>
  <c r="E1321"/>
  <c r="F1321" s="1"/>
  <c r="E1322"/>
  <c r="F1322" s="1"/>
  <c r="E1323"/>
  <c r="F1323" s="1"/>
  <c r="E1324"/>
  <c r="E1325"/>
  <c r="F1325" s="1"/>
  <c r="E1326"/>
  <c r="F1326" s="1"/>
  <c r="E1327"/>
  <c r="F1327" s="1"/>
  <c r="E1328"/>
  <c r="E1329"/>
  <c r="E1330"/>
  <c r="E1331"/>
  <c r="E1332"/>
  <c r="E1333"/>
  <c r="E1334"/>
  <c r="E1335"/>
  <c r="E1336"/>
  <c r="E1337"/>
  <c r="F1337" s="1"/>
  <c r="E1338"/>
  <c r="F1338" s="1"/>
  <c r="E1339"/>
  <c r="F1339" s="1"/>
  <c r="E1340"/>
  <c r="E1341"/>
  <c r="F1341" s="1"/>
  <c r="E1342"/>
  <c r="F1342" s="1"/>
  <c r="E1343"/>
  <c r="F1343" s="1"/>
  <c r="E1344"/>
  <c r="E1345"/>
  <c r="E1346"/>
  <c r="E1347"/>
  <c r="E1348"/>
  <c r="E1349"/>
  <c r="E1350"/>
  <c r="E1351"/>
  <c r="E1352"/>
  <c r="E1353"/>
  <c r="F1353" s="1"/>
  <c r="E1354"/>
  <c r="F1354" s="1"/>
  <c r="E1355"/>
  <c r="F1355" s="1"/>
  <c r="E1356"/>
  <c r="E1357"/>
  <c r="F1357" s="1"/>
  <c r="E1358"/>
  <c r="F1358" s="1"/>
  <c r="E1359"/>
  <c r="F1359" s="1"/>
  <c r="E1360"/>
  <c r="E1361"/>
  <c r="E1362"/>
  <c r="E1363"/>
  <c r="E1364"/>
  <c r="E1365"/>
  <c r="E1366"/>
  <c r="E1367"/>
  <c r="E1368"/>
  <c r="E1369"/>
  <c r="F1369" s="1"/>
  <c r="E1370"/>
  <c r="F1370" s="1"/>
  <c r="E1371"/>
  <c r="E1372"/>
  <c r="E1373"/>
  <c r="F1373" s="1"/>
  <c r="E1374"/>
  <c r="F1374" s="1"/>
  <c r="E1375"/>
  <c r="F1375" s="1"/>
  <c r="E1376"/>
  <c r="E1377"/>
  <c r="E1378"/>
  <c r="E1379"/>
  <c r="E1380"/>
  <c r="E1381"/>
  <c r="E1382"/>
  <c r="E1383"/>
  <c r="E1384"/>
  <c r="E1385"/>
  <c r="F1385" s="1"/>
  <c r="E1386"/>
  <c r="F1386" s="1"/>
  <c r="E1387"/>
  <c r="E1388"/>
  <c r="E1389"/>
  <c r="E1390"/>
  <c r="F1390" s="1"/>
  <c r="E1391"/>
  <c r="F1391" s="1"/>
  <c r="E1392"/>
  <c r="E1393"/>
  <c r="E1394"/>
  <c r="E1395"/>
  <c r="E1396"/>
  <c r="E1397"/>
  <c r="E1398"/>
  <c r="E1399"/>
  <c r="E1400"/>
  <c r="E1401"/>
  <c r="E1402"/>
  <c r="F1402" s="1"/>
  <c r="E1403"/>
  <c r="E1404"/>
  <c r="E1405"/>
  <c r="E1406"/>
  <c r="F1406" s="1"/>
  <c r="E1407"/>
  <c r="F1407" s="1"/>
  <c r="E1408"/>
  <c r="E1409"/>
  <c r="E1410"/>
  <c r="E1411"/>
  <c r="E1412"/>
  <c r="E1413"/>
  <c r="E1414"/>
  <c r="E1415"/>
  <c r="E1416"/>
  <c r="E1417"/>
  <c r="F1417" s="1"/>
  <c r="E1418"/>
  <c r="F1418" s="1"/>
  <c r="E1419"/>
  <c r="E1420"/>
  <c r="E1421"/>
  <c r="E1422"/>
  <c r="F1422" s="1"/>
  <c r="E1423"/>
  <c r="F1423" s="1"/>
  <c r="E1424"/>
  <c r="E1425"/>
  <c r="E1426"/>
  <c r="E1427"/>
  <c r="E1428"/>
  <c r="E1429"/>
  <c r="E1430"/>
  <c r="E1431"/>
  <c r="E1432"/>
  <c r="E1433"/>
  <c r="F1433" s="1"/>
  <c r="E1434"/>
  <c r="F1434" s="1"/>
  <c r="E1435"/>
  <c r="F1435" s="1"/>
  <c r="E1436"/>
  <c r="E1437"/>
  <c r="E1438"/>
  <c r="F1438" s="1"/>
  <c r="E1439"/>
  <c r="E1440"/>
  <c r="E1441"/>
  <c r="E1442"/>
  <c r="E1443"/>
  <c r="E1444"/>
  <c r="E1445"/>
  <c r="E1446"/>
  <c r="E1447"/>
  <c r="E1448"/>
  <c r="E1449"/>
  <c r="F1449" s="1"/>
  <c r="E1450"/>
  <c r="F1450" s="1"/>
  <c r="E1451"/>
  <c r="F1451" s="1"/>
  <c r="E1452"/>
  <c r="E1453"/>
  <c r="F1453" s="1"/>
  <c r="E1454"/>
  <c r="F1454" s="1"/>
  <c r="E1455"/>
  <c r="F1455" s="1"/>
  <c r="E1456"/>
  <c r="E1457"/>
  <c r="E1458"/>
  <c r="E1459"/>
  <c r="E1460"/>
  <c r="E1461"/>
  <c r="E1462"/>
  <c r="E1463"/>
  <c r="E1464"/>
  <c r="E1465"/>
  <c r="F1465" s="1"/>
  <c r="E1466"/>
  <c r="F1466" s="1"/>
  <c r="E1467"/>
  <c r="F1467" s="1"/>
  <c r="E1468"/>
  <c r="E1469"/>
  <c r="F1469" s="1"/>
  <c r="E1470"/>
  <c r="F1470" s="1"/>
  <c r="E1471"/>
  <c r="F1471" s="1"/>
  <c r="E1472"/>
  <c r="E1473"/>
  <c r="E1474"/>
  <c r="E1475"/>
  <c r="E1476"/>
  <c r="E1477"/>
  <c r="E1478"/>
  <c r="E1479"/>
  <c r="E1480"/>
  <c r="E1481"/>
  <c r="F1481" s="1"/>
  <c r="E1482"/>
  <c r="F1482" s="1"/>
  <c r="E1483"/>
  <c r="F1483" s="1"/>
  <c r="E1484"/>
  <c r="E1485"/>
  <c r="F1485" s="1"/>
  <c r="E1486"/>
  <c r="F1486" s="1"/>
  <c r="E1487"/>
  <c r="F1487" s="1"/>
  <c r="E1488"/>
  <c r="E1489"/>
  <c r="E1490"/>
  <c r="E1491"/>
  <c r="E1492"/>
  <c r="E1493"/>
  <c r="E1494"/>
  <c r="E1495"/>
  <c r="E1496"/>
  <c r="E1497"/>
  <c r="F1497" s="1"/>
  <c r="E1498"/>
  <c r="E1499"/>
  <c r="F1499" s="1"/>
  <c r="E1500"/>
  <c r="E1501"/>
  <c r="F1501" s="1"/>
  <c r="E1502"/>
  <c r="F1502" s="1"/>
  <c r="E1503"/>
  <c r="F1503" s="1"/>
  <c r="E1504"/>
  <c r="E1505"/>
  <c r="E1506"/>
  <c r="E1507"/>
  <c r="E1508"/>
  <c r="E1509"/>
  <c r="E1510"/>
  <c r="E1511"/>
  <c r="E1512"/>
  <c r="E1513"/>
  <c r="E1514"/>
  <c r="F1514" s="1"/>
  <c r="E1515"/>
  <c r="F1515" s="1"/>
  <c r="E1516"/>
  <c r="E1517"/>
  <c r="F1517" s="1"/>
  <c r="E1518"/>
  <c r="F1518" s="1"/>
  <c r="E1519"/>
  <c r="F1519" s="1"/>
  <c r="E1520"/>
  <c r="E1521"/>
  <c r="E1522"/>
  <c r="E1523"/>
  <c r="E1524"/>
  <c r="E1525"/>
  <c r="E1526"/>
  <c r="E1527"/>
  <c r="E1528"/>
  <c r="E1529"/>
  <c r="E1530"/>
  <c r="F1530" s="1"/>
  <c r="E1531"/>
  <c r="F1531" s="1"/>
  <c r="E1532"/>
  <c r="E1533"/>
  <c r="F1533" s="1"/>
  <c r="E1534"/>
  <c r="F1534" s="1"/>
  <c r="E1535"/>
  <c r="E1536"/>
  <c r="E1537"/>
  <c r="E1538"/>
  <c r="E1539"/>
  <c r="E1540"/>
  <c r="E1541"/>
  <c r="E1542"/>
  <c r="E1543"/>
  <c r="E1544"/>
  <c r="E1545"/>
  <c r="E1546"/>
  <c r="F1546" s="1"/>
  <c r="E1547"/>
  <c r="E1548"/>
  <c r="E1549"/>
  <c r="F1549" s="1"/>
  <c r="E1550"/>
  <c r="F1550" s="1"/>
  <c r="E1551"/>
  <c r="E1552"/>
  <c r="E1553"/>
  <c r="E1554"/>
  <c r="E1555"/>
  <c r="E1556"/>
  <c r="E1557"/>
  <c r="E1558"/>
  <c r="E1559"/>
  <c r="E1560"/>
  <c r="E1561"/>
  <c r="F1561" s="1"/>
  <c r="E1562"/>
  <c r="F1562" s="1"/>
  <c r="E1563"/>
  <c r="F1563" s="1"/>
  <c r="E1564"/>
  <c r="E1565"/>
  <c r="E1566"/>
  <c r="F1566" s="1"/>
  <c r="E1567"/>
  <c r="E1568"/>
  <c r="E1569"/>
  <c r="E1570"/>
  <c r="E1571"/>
  <c r="E1572"/>
  <c r="E1573"/>
  <c r="E1574"/>
  <c r="E1575"/>
  <c r="E1576"/>
  <c r="E1577"/>
  <c r="F1577" s="1"/>
  <c r="E1578"/>
  <c r="F1578" s="1"/>
  <c r="E1579"/>
  <c r="F1579" s="1"/>
  <c r="E1580"/>
  <c r="E1581"/>
  <c r="F1581" s="1"/>
  <c r="E1582"/>
  <c r="F1582" s="1"/>
  <c r="E1583"/>
  <c r="E1584"/>
  <c r="E1585"/>
  <c r="E1586"/>
  <c r="E1587"/>
  <c r="E1588"/>
  <c r="E1589"/>
  <c r="E1590"/>
  <c r="E1591"/>
  <c r="E1592"/>
  <c r="E1593"/>
  <c r="F1593" s="1"/>
  <c r="E1594"/>
  <c r="F1594" s="1"/>
  <c r="E1595"/>
  <c r="F1595" s="1"/>
  <c r="E1596"/>
  <c r="E1597"/>
  <c r="F1597" s="1"/>
  <c r="E1598"/>
  <c r="F1598" s="1"/>
  <c r="E1599"/>
  <c r="F1599" s="1"/>
  <c r="E1600"/>
  <c r="E1601"/>
  <c r="E1602"/>
  <c r="E1603"/>
  <c r="E1604"/>
  <c r="E1605"/>
  <c r="E1606"/>
  <c r="E1607"/>
  <c r="E1608"/>
  <c r="E1609"/>
  <c r="F1609" s="1"/>
  <c r="E1610"/>
  <c r="F1610" s="1"/>
  <c r="E1611"/>
  <c r="F1611" s="1"/>
  <c r="E1612"/>
  <c r="E1613"/>
  <c r="F1613" s="1"/>
  <c r="E1614"/>
  <c r="F1614" s="1"/>
  <c r="E1615"/>
  <c r="F1615" s="1"/>
  <c r="E1616"/>
  <c r="E1617"/>
  <c r="E1618"/>
  <c r="E1619"/>
  <c r="E1620"/>
  <c r="E1621"/>
  <c r="E1622"/>
  <c r="E1623"/>
  <c r="E1624"/>
  <c r="E1625"/>
  <c r="E1626"/>
  <c r="F1626" s="1"/>
  <c r="E1627"/>
  <c r="F1627" s="1"/>
  <c r="E1628"/>
  <c r="E1629"/>
  <c r="F1629" s="1"/>
  <c r="E1630"/>
  <c r="F1630" s="1"/>
  <c r="E1631"/>
  <c r="F1631" s="1"/>
  <c r="E1632"/>
  <c r="E1633"/>
  <c r="E1634"/>
  <c r="E1635"/>
  <c r="E1636"/>
  <c r="E1637"/>
  <c r="E1638"/>
  <c r="E1639"/>
  <c r="E1640"/>
  <c r="E1641"/>
  <c r="E1642"/>
  <c r="F1642" s="1"/>
  <c r="E1643"/>
  <c r="F1643" s="1"/>
  <c r="E1644"/>
  <c r="E1645"/>
  <c r="F1645" s="1"/>
  <c r="E1646"/>
  <c r="F1646" s="1"/>
  <c r="E1647"/>
  <c r="F1647" s="1"/>
  <c r="E1648"/>
  <c r="E1649"/>
  <c r="E1650"/>
  <c r="E1651"/>
  <c r="E1652"/>
  <c r="E1653"/>
  <c r="E1654"/>
  <c r="E1655"/>
  <c r="E1656"/>
  <c r="E1657"/>
  <c r="E1658"/>
  <c r="F1658" s="1"/>
  <c r="E1659"/>
  <c r="F1659" s="1"/>
  <c r="E1660"/>
  <c r="E1661"/>
  <c r="F1661" s="1"/>
  <c r="E1662"/>
  <c r="F1662" s="1"/>
  <c r="E1663"/>
  <c r="E1664"/>
  <c r="E1665"/>
  <c r="E1666"/>
  <c r="E1667"/>
  <c r="E1668"/>
  <c r="E1669"/>
  <c r="E1670"/>
  <c r="E1671"/>
  <c r="E1672"/>
  <c r="E1673"/>
  <c r="E1674"/>
  <c r="F1674" s="1"/>
  <c r="E1675"/>
  <c r="E1676"/>
  <c r="E1677"/>
  <c r="F1677" s="1"/>
  <c r="E1678"/>
  <c r="F1678" s="1"/>
  <c r="E1679"/>
  <c r="E1680"/>
  <c r="E1681"/>
  <c r="E1682"/>
  <c r="E1683"/>
  <c r="E1684"/>
  <c r="E1685"/>
  <c r="E1686"/>
  <c r="E1687"/>
  <c r="E1688"/>
  <c r="E1689"/>
  <c r="F1689" s="1"/>
  <c r="E1690"/>
  <c r="F1690" s="1"/>
  <c r="E1691"/>
  <c r="F1691" s="1"/>
  <c r="E1692"/>
  <c r="E1693"/>
  <c r="E1694"/>
  <c r="F1694" s="1"/>
  <c r="E1695"/>
  <c r="E1696"/>
  <c r="E1697"/>
  <c r="E1698"/>
  <c r="E1699"/>
  <c r="E1700"/>
  <c r="E1701"/>
  <c r="E1702"/>
  <c r="E1703"/>
  <c r="E1704"/>
  <c r="E1705"/>
  <c r="F1705" s="1"/>
  <c r="E1706"/>
  <c r="F1706" s="1"/>
  <c r="E1707"/>
  <c r="F1707" s="1"/>
  <c r="E1708"/>
  <c r="E1709"/>
  <c r="F1709" s="1"/>
  <c r="E1710"/>
  <c r="F1710" s="1"/>
  <c r="E1711"/>
  <c r="E1712"/>
  <c r="E1713"/>
  <c r="E1714"/>
  <c r="E1715"/>
  <c r="E1716"/>
  <c r="E1717"/>
  <c r="E1718"/>
  <c r="E1719"/>
  <c r="E1720"/>
  <c r="E1721"/>
  <c r="F1721" s="1"/>
  <c r="E1722"/>
  <c r="F1722" s="1"/>
  <c r="E1723"/>
  <c r="F1723" s="1"/>
  <c r="E1724"/>
  <c r="E1725"/>
  <c r="F1725" s="1"/>
  <c r="E1726"/>
  <c r="F1726" s="1"/>
  <c r="E1727"/>
  <c r="F1727" s="1"/>
  <c r="E1728"/>
  <c r="E1729"/>
  <c r="E1730"/>
  <c r="E1731"/>
  <c r="E1732"/>
  <c r="E1733"/>
  <c r="E1734"/>
  <c r="E1735"/>
  <c r="E1736"/>
  <c r="E1737"/>
  <c r="F1737" s="1"/>
  <c r="E1738"/>
  <c r="F1738" s="1"/>
  <c r="E1739"/>
  <c r="F1739" s="1"/>
  <c r="E1740"/>
  <c r="E1741"/>
  <c r="F1741" s="1"/>
  <c r="E1742"/>
  <c r="F1742" s="1"/>
  <c r="E1743"/>
  <c r="F1743" s="1"/>
  <c r="E1744"/>
  <c r="E1745"/>
  <c r="E1746"/>
  <c r="E1747"/>
  <c r="E1748"/>
  <c r="E1749"/>
  <c r="E1750"/>
  <c r="E1751"/>
  <c r="E1752"/>
  <c r="E1753"/>
  <c r="F1753" s="1"/>
  <c r="E1754"/>
  <c r="F1754" s="1"/>
  <c r="E1755"/>
  <c r="F1755" s="1"/>
  <c r="E1756"/>
  <c r="E1757"/>
  <c r="F1757" s="1"/>
  <c r="E1758"/>
  <c r="F1758" s="1"/>
  <c r="E1759"/>
  <c r="F1759" s="1"/>
  <c r="E1760"/>
  <c r="E1761"/>
  <c r="E1762"/>
  <c r="E1763"/>
  <c r="E1764"/>
  <c r="E1765"/>
  <c r="E1766"/>
  <c r="E1767"/>
  <c r="E1768"/>
  <c r="E1769"/>
  <c r="F1769" s="1"/>
  <c r="E1770"/>
  <c r="F1770" s="1"/>
  <c r="E1771"/>
  <c r="E1772"/>
  <c r="E1773"/>
  <c r="F1773" s="1"/>
  <c r="E1774"/>
  <c r="F1774" s="1"/>
  <c r="E1775"/>
  <c r="F1775" s="1"/>
  <c r="E1776"/>
  <c r="E1777"/>
  <c r="E1778"/>
  <c r="E1779"/>
  <c r="E1780"/>
  <c r="E1781"/>
  <c r="E1782"/>
  <c r="E1783"/>
  <c r="E1784"/>
  <c r="E1785"/>
  <c r="F1785" s="1"/>
  <c r="E1786"/>
  <c r="F1786" s="1"/>
  <c r="E1787"/>
  <c r="E1788"/>
  <c r="E1789"/>
  <c r="E1790"/>
  <c r="F1790" s="1"/>
  <c r="E1791"/>
  <c r="F1791" s="1"/>
  <c r="E1792"/>
  <c r="E1793"/>
  <c r="E1794"/>
  <c r="E1795"/>
  <c r="E1796"/>
  <c r="E1797"/>
  <c r="E1798"/>
  <c r="E1799"/>
  <c r="E1800"/>
  <c r="E1801"/>
  <c r="E1802"/>
  <c r="F1802" s="1"/>
  <c r="E1803"/>
  <c r="E1804"/>
  <c r="E1805"/>
  <c r="E1806"/>
  <c r="F1806" s="1"/>
  <c r="E1807"/>
  <c r="F1807" s="1"/>
  <c r="E1808"/>
  <c r="E1809"/>
  <c r="E1810"/>
  <c r="E1811"/>
  <c r="E1812"/>
  <c r="E1813"/>
  <c r="E1814"/>
  <c r="E1815"/>
  <c r="E1816"/>
  <c r="E1817"/>
  <c r="F1817" s="1"/>
  <c r="E1818"/>
  <c r="F1818" s="1"/>
  <c r="E1819"/>
  <c r="E1820"/>
  <c r="E1821"/>
  <c r="E1822"/>
  <c r="F1822" s="1"/>
  <c r="E1823"/>
  <c r="F1823" s="1"/>
  <c r="E1824"/>
  <c r="E1825"/>
  <c r="E1826"/>
  <c r="E1827"/>
  <c r="E1828"/>
  <c r="E1829"/>
  <c r="E1830"/>
  <c r="E1831"/>
  <c r="E1832"/>
  <c r="E1833"/>
  <c r="F1833" s="1"/>
  <c r="E1834"/>
  <c r="F1834" s="1"/>
  <c r="E1835"/>
  <c r="F1835" s="1"/>
  <c r="E1836"/>
  <c r="E1837"/>
  <c r="E1838"/>
  <c r="F1838" s="1"/>
  <c r="E1839"/>
  <c r="E1840"/>
  <c r="E1841"/>
  <c r="E1842"/>
  <c r="E1843"/>
  <c r="E1844"/>
  <c r="E1845"/>
  <c r="E1846"/>
  <c r="E1847"/>
  <c r="E1848"/>
  <c r="E1849"/>
  <c r="F1849" s="1"/>
  <c r="E1850"/>
  <c r="F1850" s="1"/>
  <c r="E1851"/>
  <c r="F1851" s="1"/>
  <c r="E1852"/>
  <c r="E1853"/>
  <c r="F1853" s="1"/>
  <c r="E1854"/>
  <c r="F1854" s="1"/>
  <c r="E1855"/>
  <c r="F1855" s="1"/>
  <c r="E1856"/>
  <c r="E1857"/>
  <c r="E1858"/>
  <c r="E1859"/>
  <c r="E1860"/>
  <c r="E1861"/>
  <c r="E1862"/>
  <c r="E1863"/>
  <c r="E1864"/>
  <c r="E1865"/>
  <c r="F1865" s="1"/>
  <c r="E1866"/>
  <c r="F1866" s="1"/>
  <c r="E1867"/>
  <c r="F1867" s="1"/>
  <c r="E1868"/>
  <c r="E1869"/>
  <c r="F1869" s="1"/>
  <c r="E1870"/>
  <c r="F1870" s="1"/>
  <c r="E1871"/>
  <c r="F1871" s="1"/>
  <c r="E1872"/>
  <c r="E1873"/>
  <c r="E1874"/>
  <c r="E1875"/>
  <c r="E1876"/>
  <c r="E1877"/>
  <c r="E1878"/>
  <c r="E1879"/>
  <c r="E1880"/>
  <c r="E1881"/>
  <c r="F1881" s="1"/>
  <c r="E1882"/>
  <c r="F1882" s="1"/>
  <c r="E1883"/>
  <c r="F1883" s="1"/>
  <c r="E1884"/>
  <c r="E1885"/>
  <c r="F1885" s="1"/>
  <c r="E1886"/>
  <c r="F1886" s="1"/>
  <c r="E1887"/>
  <c r="F1887" s="1"/>
  <c r="E1888"/>
  <c r="E1889"/>
  <c r="E1890"/>
  <c r="E1891"/>
  <c r="E1892"/>
  <c r="E1893"/>
  <c r="E1894"/>
  <c r="E1895"/>
  <c r="E1896"/>
  <c r="E1897"/>
  <c r="F1897" s="1"/>
  <c r="E1898"/>
  <c r="F1898" s="1"/>
  <c r="E1899"/>
  <c r="E1900"/>
  <c r="E1901"/>
  <c r="F1901" s="1"/>
  <c r="E1902"/>
  <c r="F1902" s="1"/>
  <c r="E1903"/>
  <c r="F1903" s="1"/>
  <c r="E1904"/>
  <c r="E1905"/>
  <c r="E1906"/>
  <c r="E1907"/>
  <c r="E1908"/>
  <c r="E1909"/>
  <c r="E1910"/>
  <c r="E1911"/>
  <c r="E1912"/>
  <c r="E1913"/>
  <c r="F1913" s="1"/>
  <c r="E1914"/>
  <c r="F1914" s="1"/>
  <c r="E1915"/>
  <c r="E1916"/>
  <c r="E1917"/>
  <c r="E1918"/>
  <c r="F1918" s="1"/>
  <c r="E1919"/>
  <c r="F1919" s="1"/>
  <c r="E1920"/>
  <c r="E1921"/>
  <c r="E1922"/>
  <c r="E1923"/>
  <c r="E1924"/>
  <c r="E1925"/>
  <c r="E1926"/>
  <c r="E1927"/>
  <c r="E1928"/>
  <c r="E1929"/>
  <c r="E1930"/>
  <c r="F1930" s="1"/>
  <c r="E1931"/>
  <c r="E1932"/>
  <c r="E1933"/>
  <c r="E1934"/>
  <c r="F1934" s="1"/>
  <c r="E1935"/>
  <c r="F1935" s="1"/>
  <c r="E1936"/>
  <c r="E1937"/>
  <c r="E1938"/>
  <c r="E1939"/>
  <c r="E1940"/>
  <c r="E1941"/>
  <c r="E1942"/>
  <c r="E1943"/>
  <c r="E1944"/>
  <c r="E1945"/>
  <c r="F1945" s="1"/>
  <c r="E1946"/>
  <c r="E1947"/>
  <c r="E1948"/>
  <c r="E1949"/>
  <c r="F1949" s="1"/>
  <c r="E1950"/>
  <c r="F1950" s="1"/>
  <c r="E1951"/>
  <c r="E1952"/>
  <c r="E1953"/>
  <c r="E1954"/>
  <c r="E1955"/>
  <c r="E1956"/>
  <c r="E1957"/>
  <c r="E1958"/>
  <c r="E1959"/>
  <c r="E1960"/>
  <c r="E1961"/>
  <c r="F1961" s="1"/>
  <c r="E1962"/>
  <c r="F1962" s="1"/>
  <c r="E1963"/>
  <c r="F1963" s="1"/>
  <c r="E1964"/>
  <c r="E1965"/>
  <c r="E1966"/>
  <c r="F1966" s="1"/>
  <c r="E1967"/>
  <c r="E1968"/>
  <c r="E1969"/>
  <c r="E1970"/>
  <c r="E1971"/>
  <c r="E1972"/>
  <c r="E1973"/>
  <c r="E1974"/>
  <c r="E1975"/>
  <c r="E1976"/>
  <c r="E1977"/>
  <c r="F1977" s="1"/>
  <c r="E1978"/>
  <c r="F1978" s="1"/>
  <c r="E1979"/>
  <c r="F1979" s="1"/>
  <c r="E1980"/>
  <c r="E1981"/>
  <c r="F1981" s="1"/>
  <c r="E1982"/>
  <c r="F1982" s="1"/>
  <c r="E1983"/>
  <c r="E1984"/>
  <c r="E1985"/>
  <c r="E1986"/>
  <c r="E1987"/>
  <c r="E1988"/>
  <c r="E1989"/>
  <c r="E1990"/>
  <c r="E1991"/>
  <c r="E1992"/>
  <c r="E1993"/>
  <c r="F1993" s="1"/>
  <c r="E1994"/>
  <c r="F1994" s="1"/>
  <c r="E1995"/>
  <c r="F1995" s="1"/>
  <c r="E1996"/>
  <c r="E1997"/>
  <c r="F1997" s="1"/>
  <c r="E1998"/>
  <c r="F1998" s="1"/>
  <c r="E1999"/>
  <c r="F1999" s="1"/>
  <c r="E2000"/>
  <c r="E2001"/>
  <c r="E2002"/>
  <c r="E2003"/>
  <c r="E2004"/>
  <c r="E2005"/>
  <c r="E2006"/>
  <c r="E2007"/>
  <c r="E2008"/>
  <c r="E2009"/>
  <c r="F2009" s="1"/>
  <c r="E2010"/>
  <c r="F2010" s="1"/>
  <c r="E2011"/>
  <c r="F2011" s="1"/>
  <c r="E2012"/>
  <c r="E2013"/>
  <c r="F2013" s="1"/>
  <c r="E2014"/>
  <c r="F2014" s="1"/>
  <c r="E2015"/>
  <c r="F2015" s="1"/>
  <c r="E2016"/>
  <c r="E2017"/>
  <c r="E2018"/>
  <c r="E2019"/>
  <c r="E2020"/>
  <c r="E2021"/>
  <c r="E2022"/>
  <c r="E2023"/>
  <c r="E2024"/>
  <c r="E2025"/>
  <c r="E2026"/>
  <c r="F2026" s="1"/>
  <c r="E2027"/>
  <c r="F2027" s="1"/>
  <c r="E2028"/>
  <c r="E2029"/>
  <c r="F2029" s="1"/>
  <c r="E2030"/>
  <c r="F2030" s="1"/>
  <c r="E2031"/>
  <c r="F2031" s="1"/>
  <c r="E2032"/>
  <c r="E2033"/>
  <c r="E2034"/>
  <c r="E2035"/>
  <c r="E2036"/>
  <c r="E2037"/>
  <c r="E2038"/>
  <c r="E2039"/>
  <c r="E2040"/>
  <c r="E2041"/>
  <c r="E2042"/>
  <c r="F2042" s="1"/>
  <c r="E2043"/>
  <c r="F2043" s="1"/>
  <c r="E2044"/>
  <c r="E2045"/>
  <c r="F2045" s="1"/>
  <c r="E2046"/>
  <c r="F2046" s="1"/>
  <c r="E2047"/>
  <c r="F2047" s="1"/>
  <c r="E2048"/>
  <c r="E2049"/>
  <c r="E2050"/>
  <c r="E2051"/>
  <c r="E2052"/>
  <c r="E2053"/>
  <c r="E2054"/>
  <c r="E2055"/>
  <c r="E2056"/>
  <c r="E2057"/>
  <c r="E2058"/>
  <c r="F2058" s="1"/>
  <c r="E2059"/>
  <c r="F2059" s="1"/>
  <c r="E2060"/>
  <c r="E2061"/>
  <c r="F2061" s="1"/>
  <c r="E2062"/>
  <c r="F2062" s="1"/>
  <c r="E2063"/>
  <c r="E2064"/>
  <c r="E2065"/>
  <c r="E2066"/>
  <c r="E2067"/>
  <c r="E2068"/>
  <c r="E2069"/>
  <c r="E2070"/>
  <c r="E2071"/>
  <c r="E2072"/>
  <c r="E2073"/>
  <c r="E2074"/>
  <c r="F2074" s="1"/>
  <c r="E2075"/>
  <c r="E2076"/>
  <c r="E2077"/>
  <c r="F2077" s="1"/>
  <c r="E2078"/>
  <c r="F2078" s="1"/>
  <c r="E2079"/>
  <c r="E2080"/>
  <c r="E2081"/>
  <c r="E2082"/>
  <c r="E2083"/>
  <c r="E2084"/>
  <c r="E2085"/>
  <c r="E2086"/>
  <c r="E2087"/>
  <c r="E2088"/>
  <c r="E2089"/>
  <c r="F2089" s="1"/>
  <c r="E2090"/>
  <c r="F2090" s="1"/>
  <c r="E2091"/>
  <c r="F2091" s="1"/>
  <c r="E2092"/>
  <c r="E2093"/>
  <c r="E2094"/>
  <c r="F2094" s="1"/>
  <c r="E2095"/>
  <c r="E2096"/>
  <c r="E2097"/>
  <c r="E2098"/>
  <c r="E2099"/>
  <c r="E2100"/>
  <c r="E2101"/>
  <c r="E2102"/>
  <c r="E2103"/>
  <c r="E2104"/>
  <c r="E2105"/>
  <c r="F2105" s="1"/>
  <c r="E2106"/>
  <c r="F2106" s="1"/>
  <c r="E2107"/>
  <c r="F2107" s="1"/>
  <c r="E2108"/>
  <c r="E2109"/>
  <c r="F2109" s="1"/>
  <c r="E2110"/>
  <c r="F2110" s="1"/>
  <c r="E2111"/>
  <c r="E2112"/>
  <c r="E2113"/>
  <c r="E2114"/>
  <c r="E2115"/>
  <c r="E2116"/>
  <c r="E2117"/>
  <c r="E2118"/>
  <c r="E2119"/>
  <c r="E2120"/>
  <c r="E2121"/>
  <c r="F2121" s="1"/>
  <c r="E2122"/>
  <c r="F2122" s="1"/>
  <c r="E2123"/>
  <c r="F2123" s="1"/>
  <c r="E2124"/>
  <c r="E2125"/>
  <c r="F2125" s="1"/>
  <c r="E2126"/>
  <c r="F2126" s="1"/>
  <c r="E2127"/>
  <c r="F2127" s="1"/>
  <c r="E2128"/>
  <c r="E2129"/>
  <c r="E2130"/>
  <c r="E2131"/>
  <c r="E2132"/>
  <c r="E2133"/>
  <c r="E2134"/>
  <c r="E2135"/>
  <c r="E2136"/>
  <c r="E2137"/>
  <c r="F2137" s="1"/>
  <c r="E2138"/>
  <c r="F2138" s="1"/>
  <c r="E2139"/>
  <c r="F2139" s="1"/>
  <c r="E2140"/>
  <c r="E2141"/>
  <c r="F2141" s="1"/>
  <c r="E2142"/>
  <c r="F2142" s="1"/>
  <c r="E2143"/>
  <c r="F2143" s="1"/>
  <c r="E2144"/>
  <c r="E2145"/>
  <c r="E2146"/>
  <c r="E2147"/>
  <c r="E2148"/>
  <c r="E2149"/>
  <c r="E2150"/>
  <c r="E2151"/>
  <c r="E2152"/>
  <c r="E2153"/>
  <c r="E2154"/>
  <c r="F2154" s="1"/>
  <c r="E2155"/>
  <c r="F2155" s="1"/>
  <c r="E2156"/>
  <c r="E2157"/>
  <c r="F2157" s="1"/>
  <c r="E2158"/>
  <c r="F2158" s="1"/>
  <c r="E2159"/>
  <c r="F2159" s="1"/>
  <c r="E2160"/>
  <c r="E2161"/>
  <c r="E2162"/>
  <c r="E2163"/>
  <c r="E2164"/>
  <c r="E2165"/>
  <c r="E2166"/>
  <c r="E2167"/>
  <c r="E2168"/>
  <c r="E2169"/>
  <c r="E2170"/>
  <c r="F2170" s="1"/>
  <c r="E2171"/>
  <c r="F2171" s="1"/>
  <c r="E2172"/>
  <c r="E2173"/>
  <c r="F2173" s="1"/>
  <c r="E2174"/>
  <c r="F2174" s="1"/>
  <c r="E2175"/>
  <c r="F2175" s="1"/>
  <c r="E2176"/>
  <c r="E2177"/>
  <c r="E2178"/>
  <c r="E2179"/>
  <c r="E2180"/>
  <c r="E2181"/>
  <c r="E2182"/>
  <c r="E2183"/>
  <c r="E2184"/>
  <c r="E2185"/>
  <c r="E2186"/>
  <c r="F2186" s="1"/>
  <c r="E2187"/>
  <c r="F2187" s="1"/>
  <c r="E2188"/>
  <c r="E2189"/>
  <c r="F2189" s="1"/>
  <c r="E2190"/>
  <c r="F2190" s="1"/>
  <c r="E2191"/>
  <c r="E2192"/>
  <c r="E2193"/>
  <c r="E2194"/>
  <c r="E2195"/>
  <c r="E2196"/>
  <c r="E2197"/>
  <c r="E2198"/>
  <c r="E2199"/>
  <c r="E2200"/>
  <c r="E2201"/>
  <c r="E2202"/>
  <c r="F2202" s="1"/>
  <c r="E2203"/>
  <c r="E2204"/>
  <c r="E2205"/>
  <c r="F2205" s="1"/>
  <c r="E2206"/>
  <c r="F2206" s="1"/>
  <c r="E2207"/>
  <c r="E2208"/>
  <c r="E2209"/>
  <c r="E2210"/>
  <c r="E2211"/>
  <c r="E2212"/>
  <c r="E2213"/>
  <c r="E2214"/>
  <c r="E2215"/>
  <c r="E2216"/>
  <c r="E2217"/>
  <c r="F2217" s="1"/>
  <c r="E2218"/>
  <c r="F2218" s="1"/>
  <c r="E2219"/>
  <c r="F2219" s="1"/>
  <c r="E2220"/>
  <c r="E2221"/>
  <c r="E2222"/>
  <c r="F2222" s="1"/>
  <c r="E2223"/>
  <c r="E2224"/>
  <c r="E2225"/>
  <c r="E2226"/>
  <c r="E2227"/>
  <c r="E2228"/>
  <c r="E2229"/>
  <c r="E2230"/>
  <c r="E2231"/>
  <c r="E2232"/>
  <c r="E2233"/>
  <c r="F2233" s="1"/>
  <c r="E2234"/>
  <c r="F2234" s="1"/>
  <c r="E2235"/>
  <c r="F2235" s="1"/>
  <c r="E2236"/>
  <c r="E2237"/>
  <c r="F2237" s="1"/>
  <c r="E2238"/>
  <c r="F2238" s="1"/>
  <c r="E2239"/>
  <c r="E2240"/>
  <c r="E2241"/>
  <c r="E2242"/>
  <c r="E2243"/>
  <c r="E2244"/>
  <c r="E2245"/>
  <c r="E2246"/>
  <c r="E2247"/>
  <c r="E2248"/>
  <c r="E2249"/>
  <c r="F2249" s="1"/>
  <c r="E2250"/>
  <c r="F2250" s="1"/>
  <c r="E2251"/>
  <c r="F2251" s="1"/>
  <c r="E2252"/>
  <c r="E2253"/>
  <c r="F2253" s="1"/>
  <c r="E2254"/>
  <c r="F2254" s="1"/>
  <c r="E2255"/>
  <c r="F2255" s="1"/>
  <c r="E2256"/>
  <c r="E2257"/>
  <c r="E2258"/>
  <c r="E2259"/>
  <c r="E2260"/>
  <c r="E2261"/>
  <c r="E2262"/>
  <c r="E2263"/>
  <c r="E2264"/>
  <c r="E2265"/>
  <c r="F2265" s="1"/>
  <c r="E2266"/>
  <c r="F2266" s="1"/>
  <c r="E2267"/>
  <c r="F2267" s="1"/>
  <c r="E2268"/>
  <c r="E2269"/>
  <c r="F2269" s="1"/>
  <c r="E2270"/>
  <c r="F2270" s="1"/>
  <c r="E2271"/>
  <c r="F2271" s="1"/>
  <c r="E2272"/>
  <c r="E2273"/>
  <c r="E2274"/>
  <c r="E2275"/>
  <c r="E2276"/>
  <c r="E2277"/>
  <c r="E2278"/>
  <c r="E2279"/>
  <c r="E2280"/>
  <c r="E2281"/>
  <c r="E2282"/>
  <c r="F2282" s="1"/>
  <c r="E2283"/>
  <c r="F2283" s="1"/>
  <c r="E2284"/>
  <c r="E2285"/>
  <c r="F2285" s="1"/>
  <c r="E2286"/>
  <c r="F2286" s="1"/>
  <c r="E2287"/>
  <c r="F2287" s="1"/>
  <c r="E2288"/>
  <c r="E2289"/>
  <c r="E2290"/>
  <c r="E2291"/>
  <c r="E2292"/>
  <c r="E2293"/>
  <c r="E2294"/>
  <c r="E2295"/>
  <c r="E2296"/>
  <c r="E2297"/>
  <c r="E2298"/>
  <c r="F2298" s="1"/>
  <c r="E2299"/>
  <c r="F2299" s="1"/>
  <c r="E2300"/>
  <c r="E2301"/>
  <c r="F2301" s="1"/>
  <c r="E2302"/>
  <c r="F2302" s="1"/>
  <c r="E2303"/>
  <c r="F2303" s="1"/>
  <c r="E2304"/>
  <c r="E2305"/>
  <c r="E2306"/>
  <c r="E2307"/>
  <c r="E2308"/>
  <c r="E2309"/>
  <c r="E2310"/>
  <c r="E2311"/>
  <c r="E2312"/>
  <c r="E2313"/>
  <c r="E2314"/>
  <c r="F2314" s="1"/>
  <c r="E2315"/>
  <c r="F2315" s="1"/>
  <c r="E2316"/>
  <c r="E2317"/>
  <c r="F2317" s="1"/>
  <c r="E2318"/>
  <c r="F2318" s="1"/>
  <c r="E2319"/>
  <c r="E2320"/>
  <c r="E2321"/>
  <c r="E2322"/>
  <c r="E2323"/>
  <c r="E2324"/>
  <c r="E2325"/>
  <c r="E2326"/>
  <c r="E2327"/>
  <c r="E2328"/>
  <c r="E2329"/>
  <c r="E2330"/>
  <c r="F2330" s="1"/>
  <c r="E2331"/>
  <c r="E2332"/>
  <c r="E2333"/>
  <c r="F2333" s="1"/>
  <c r="E2334"/>
  <c r="F2334" s="1"/>
  <c r="E2335"/>
  <c r="E2336"/>
  <c r="E2337"/>
  <c r="E2338"/>
  <c r="E2339"/>
  <c r="E2340"/>
  <c r="E2341"/>
  <c r="E2342"/>
  <c r="E2343"/>
  <c r="E2344"/>
  <c r="E2345"/>
  <c r="F2345" s="1"/>
  <c r="E2346"/>
  <c r="F2346" s="1"/>
  <c r="E2347"/>
  <c r="F2347" s="1"/>
  <c r="E2348"/>
  <c r="E2349"/>
  <c r="E2350"/>
  <c r="F2350" s="1"/>
  <c r="E2351"/>
  <c r="E2352"/>
  <c r="E2353"/>
  <c r="E2354"/>
  <c r="E2355"/>
  <c r="E2356"/>
  <c r="E2357"/>
  <c r="E2358"/>
  <c r="E2359"/>
  <c r="E2360"/>
  <c r="E2361"/>
  <c r="F2361" s="1"/>
  <c r="E2362"/>
  <c r="F2362" s="1"/>
  <c r="E2363"/>
  <c r="F2363" s="1"/>
  <c r="E2364"/>
  <c r="E2365"/>
  <c r="F2365" s="1"/>
  <c r="E2366"/>
  <c r="F2366" s="1"/>
  <c r="E2367"/>
  <c r="E2368"/>
  <c r="E2369"/>
  <c r="E2370"/>
  <c r="E2371"/>
  <c r="E2372"/>
  <c r="E2373"/>
  <c r="E2374"/>
  <c r="E2375"/>
  <c r="E2376"/>
  <c r="E2377"/>
  <c r="F2377" s="1"/>
  <c r="E2378"/>
  <c r="F2378" s="1"/>
  <c r="E2379"/>
  <c r="F2379" s="1"/>
  <c r="E2380"/>
  <c r="E2381"/>
  <c r="F2381" s="1"/>
  <c r="E2382"/>
  <c r="F2382" s="1"/>
  <c r="E2383"/>
  <c r="F2383" s="1"/>
  <c r="E2384"/>
  <c r="E2385"/>
  <c r="E2386"/>
  <c r="E2387"/>
  <c r="E2388"/>
  <c r="E2389"/>
  <c r="E2390"/>
  <c r="E2391"/>
  <c r="E2392"/>
  <c r="E2393"/>
  <c r="F2393" s="1"/>
  <c r="E2394"/>
  <c r="F2394" s="1"/>
  <c r="E2395"/>
  <c r="F2395" s="1"/>
  <c r="E2396"/>
  <c r="E2397"/>
  <c r="F2397" s="1"/>
  <c r="E2398"/>
  <c r="F2398" s="1"/>
  <c r="E2399"/>
  <c r="F2399" s="1"/>
  <c r="E2400"/>
  <c r="E2401"/>
  <c r="E2402"/>
  <c r="E2403"/>
  <c r="E2404"/>
  <c r="E2405"/>
  <c r="E2406"/>
  <c r="E2407"/>
  <c r="E2408"/>
  <c r="E2409"/>
  <c r="E2410"/>
  <c r="F2410" s="1"/>
  <c r="E2411"/>
  <c r="F2411" s="1"/>
  <c r="E2412"/>
  <c r="E2413"/>
  <c r="F2413" s="1"/>
  <c r="E2414"/>
  <c r="F2414" s="1"/>
  <c r="E2415"/>
  <c r="F2415" s="1"/>
  <c r="E2416"/>
  <c r="E2417"/>
  <c r="E2418"/>
  <c r="E2419"/>
  <c r="E2420"/>
  <c r="E2421"/>
  <c r="E2422"/>
  <c r="E2423"/>
  <c r="E2424"/>
  <c r="E2425"/>
  <c r="E2426"/>
  <c r="F2426" s="1"/>
  <c r="E2427"/>
  <c r="F2427" s="1"/>
  <c r="E2428"/>
  <c r="E2429"/>
  <c r="F2429" s="1"/>
  <c r="E2430"/>
  <c r="F2430" s="1"/>
  <c r="E2431"/>
  <c r="F2431" s="1"/>
  <c r="E2432"/>
  <c r="E2433"/>
  <c r="E2434"/>
  <c r="E2435"/>
  <c r="E2436"/>
  <c r="E2437"/>
  <c r="E2438"/>
  <c r="E2439"/>
  <c r="E2440"/>
  <c r="E2441"/>
  <c r="E2442"/>
  <c r="F2442" s="1"/>
  <c r="E2443"/>
  <c r="F2443" s="1"/>
  <c r="E2444"/>
  <c r="E2445"/>
  <c r="F2445" s="1"/>
  <c r="E2446"/>
  <c r="F2446" s="1"/>
  <c r="E2447"/>
  <c r="E2448"/>
  <c r="E2449"/>
  <c r="E2450"/>
  <c r="E2451"/>
  <c r="E2452"/>
  <c r="E2453"/>
  <c r="E2454"/>
  <c r="E2455"/>
  <c r="E2456"/>
  <c r="E2457"/>
  <c r="E2458"/>
  <c r="F2458" s="1"/>
  <c r="E2459"/>
  <c r="E2460"/>
  <c r="E2461"/>
  <c r="F2461" s="1"/>
  <c r="E2462"/>
  <c r="F2462" s="1"/>
  <c r="E2463"/>
  <c r="E2464"/>
  <c r="E2465"/>
  <c r="E2466"/>
  <c r="E2467"/>
  <c r="E2468"/>
  <c r="E2469"/>
  <c r="E2470"/>
  <c r="E2471"/>
  <c r="E2472"/>
  <c r="E2473"/>
  <c r="F2473" s="1"/>
  <c r="E2474"/>
  <c r="F2474" s="1"/>
  <c r="E2475"/>
  <c r="F2475" s="1"/>
  <c r="E2476"/>
  <c r="E2477"/>
  <c r="E2478"/>
  <c r="F2478" s="1"/>
  <c r="E2479"/>
  <c r="E2480"/>
  <c r="E2481"/>
  <c r="E2482"/>
  <c r="E2483"/>
  <c r="E2484"/>
  <c r="E2485"/>
  <c r="E2486"/>
  <c r="E2487"/>
  <c r="E2488"/>
  <c r="E2489"/>
  <c r="F2489" s="1"/>
  <c r="E2490"/>
  <c r="F2490" s="1"/>
  <c r="E2491"/>
  <c r="F2491" s="1"/>
  <c r="E2492"/>
  <c r="E2493"/>
  <c r="F2493" s="1"/>
  <c r="E2494"/>
  <c r="F2494" s="1"/>
  <c r="E2495"/>
  <c r="E2496"/>
  <c r="E2497"/>
  <c r="E2498"/>
  <c r="E2499"/>
  <c r="E2500"/>
  <c r="E2501"/>
  <c r="E2502"/>
  <c r="E2503"/>
  <c r="E2504"/>
  <c r="E2505"/>
  <c r="F2505" s="1"/>
  <c r="E2506"/>
  <c r="F2506" s="1"/>
  <c r="E2507"/>
  <c r="F2507" s="1"/>
  <c r="E2508"/>
  <c r="E2509"/>
  <c r="F2509" s="1"/>
  <c r="E2510"/>
  <c r="F2510" s="1"/>
  <c r="E2511"/>
  <c r="F2511" s="1"/>
  <c r="E2512"/>
  <c r="E2513"/>
  <c r="E2514"/>
  <c r="E2515"/>
  <c r="E2516"/>
  <c r="E2517"/>
  <c r="E2518"/>
  <c r="E2519"/>
  <c r="E2520"/>
  <c r="E2521"/>
  <c r="F2521" s="1"/>
  <c r="E2522"/>
  <c r="F2522" s="1"/>
  <c r="E2523"/>
  <c r="F2523" s="1"/>
  <c r="E2524"/>
  <c r="E2525"/>
  <c r="F2525" s="1"/>
  <c r="E2526"/>
  <c r="F2526" s="1"/>
  <c r="E2527"/>
  <c r="F2527" s="1"/>
  <c r="E2528"/>
  <c r="E2529"/>
  <c r="E2530"/>
  <c r="E2531"/>
  <c r="E2532"/>
  <c r="E2533"/>
  <c r="E2534"/>
  <c r="E2535"/>
  <c r="E2536"/>
  <c r="E2537"/>
  <c r="E2538"/>
  <c r="F2538" s="1"/>
  <c r="E2539"/>
  <c r="F2539" s="1"/>
  <c r="E2540"/>
  <c r="E2541"/>
  <c r="F2541" s="1"/>
  <c r="E2542"/>
  <c r="F2542" s="1"/>
  <c r="E2543"/>
  <c r="F2543" s="1"/>
  <c r="E2544"/>
  <c r="E2545"/>
  <c r="E2546"/>
  <c r="E2547"/>
  <c r="E2548"/>
  <c r="E2549"/>
  <c r="E2550"/>
  <c r="E2551"/>
  <c r="E2552"/>
  <c r="E2553"/>
  <c r="E2554"/>
  <c r="F2554" s="1"/>
  <c r="E2555"/>
  <c r="F2555" s="1"/>
  <c r="E2556"/>
  <c r="E2557"/>
  <c r="F2557" s="1"/>
  <c r="E2558"/>
  <c r="F2558" s="1"/>
  <c r="E2559"/>
  <c r="F2559" s="1"/>
  <c r="E2560"/>
  <c r="E2561"/>
  <c r="E2562"/>
  <c r="E2563"/>
  <c r="E2564"/>
  <c r="E2565"/>
  <c r="E2566"/>
  <c r="E2567"/>
  <c r="E2568"/>
  <c r="E2569"/>
  <c r="E2570"/>
  <c r="F2570" s="1"/>
  <c r="E2571"/>
  <c r="F2571" s="1"/>
  <c r="E2572"/>
  <c r="E2573"/>
  <c r="F2573" s="1"/>
  <c r="E2574"/>
  <c r="F2574" s="1"/>
  <c r="E2575"/>
  <c r="E2576"/>
  <c r="E2577"/>
  <c r="E2578"/>
  <c r="E2579"/>
  <c r="E2580"/>
  <c r="E2581"/>
  <c r="E2582"/>
  <c r="E2583"/>
  <c r="E2584"/>
  <c r="E2585"/>
  <c r="E2586"/>
  <c r="F2586" s="1"/>
  <c r="E2587"/>
  <c r="E2588"/>
  <c r="E2589"/>
  <c r="F2589" s="1"/>
  <c r="E2590"/>
  <c r="F2590" s="1"/>
  <c r="E2591"/>
  <c r="E2592"/>
  <c r="E2593"/>
  <c r="E2594"/>
  <c r="E2595"/>
  <c r="E2596"/>
  <c r="E2597"/>
  <c r="E2598"/>
  <c r="E2599"/>
  <c r="E2600"/>
  <c r="E2601"/>
  <c r="F2601" s="1"/>
  <c r="E2602"/>
  <c r="F2602" s="1"/>
  <c r="E2603"/>
  <c r="F2603" s="1"/>
  <c r="E2604"/>
  <c r="E2605"/>
  <c r="E2606"/>
  <c r="F2606" s="1"/>
  <c r="E2607"/>
  <c r="E2608"/>
  <c r="E2609"/>
  <c r="E2610"/>
  <c r="E2611"/>
  <c r="E2612"/>
  <c r="E2613"/>
  <c r="E2614"/>
  <c r="E2615"/>
  <c r="E2616"/>
  <c r="E2617"/>
  <c r="F2617" s="1"/>
  <c r="E2618"/>
  <c r="F2618" s="1"/>
  <c r="E2619"/>
  <c r="F2619" s="1"/>
  <c r="E2620"/>
  <c r="E2621"/>
  <c r="F2621" s="1"/>
  <c r="E2622"/>
  <c r="F2622" s="1"/>
  <c r="E2623"/>
  <c r="E2624"/>
  <c r="E2625"/>
  <c r="E2626"/>
  <c r="E2627"/>
  <c r="E2628"/>
  <c r="E2629"/>
  <c r="E2630"/>
  <c r="E2631"/>
  <c r="E2632"/>
  <c r="E2633"/>
  <c r="F2633" s="1"/>
  <c r="E2634"/>
  <c r="F2634" s="1"/>
  <c r="E2635"/>
  <c r="F2635" s="1"/>
  <c r="E2636"/>
  <c r="E2637"/>
  <c r="F2637" s="1"/>
  <c r="E2638"/>
  <c r="F2638" s="1"/>
  <c r="E2639"/>
  <c r="F2639" s="1"/>
  <c r="E2640"/>
  <c r="E2641"/>
  <c r="E2642"/>
  <c r="E2643"/>
  <c r="E2644"/>
  <c r="E2645"/>
  <c r="E2646"/>
  <c r="E2647"/>
  <c r="E2648"/>
  <c r="E2649"/>
  <c r="F2649" s="1"/>
  <c r="E2650"/>
  <c r="F2650" s="1"/>
  <c r="E2651"/>
  <c r="F2651" s="1"/>
  <c r="E2652"/>
  <c r="E2653"/>
  <c r="F2653" s="1"/>
  <c r="E2654"/>
  <c r="F2654" s="1"/>
  <c r="E2655"/>
  <c r="F2655" s="1"/>
  <c r="E2656"/>
  <c r="E2657"/>
  <c r="E2658"/>
  <c r="E2659"/>
  <c r="E2660"/>
  <c r="E2661"/>
  <c r="E2662"/>
  <c r="E2663"/>
  <c r="E2664"/>
  <c r="E2665"/>
  <c r="E2666"/>
  <c r="F2666" s="1"/>
  <c r="E2667"/>
  <c r="F2667" s="1"/>
  <c r="E2668"/>
  <c r="E2669"/>
  <c r="F2669" s="1"/>
  <c r="E2670"/>
  <c r="F2670" s="1"/>
  <c r="E2671"/>
  <c r="F2671" s="1"/>
  <c r="E2672"/>
  <c r="E2673"/>
  <c r="E2674"/>
  <c r="E2675"/>
  <c r="E2676"/>
  <c r="E2677"/>
  <c r="E2678"/>
  <c r="E2679"/>
  <c r="E2680"/>
  <c r="E2681"/>
  <c r="E2682"/>
  <c r="F2682" s="1"/>
  <c r="E2683"/>
  <c r="F2683" s="1"/>
  <c r="E2684"/>
  <c r="E2685"/>
  <c r="F2685" s="1"/>
  <c r="E2686"/>
  <c r="F2686" s="1"/>
  <c r="E2687"/>
  <c r="F2687" s="1"/>
  <c r="E2688"/>
  <c r="E2689"/>
  <c r="E2690"/>
  <c r="E2691"/>
  <c r="E2692"/>
  <c r="E2693"/>
  <c r="E2694"/>
  <c r="E2695"/>
  <c r="E2696"/>
  <c r="E2697"/>
  <c r="E2698"/>
  <c r="F2698" s="1"/>
  <c r="E2699"/>
  <c r="F2699" s="1"/>
  <c r="E2700"/>
  <c r="E2701"/>
  <c r="F2701" s="1"/>
  <c r="E2702"/>
  <c r="F2702" s="1"/>
  <c r="E2703"/>
  <c r="E2704"/>
  <c r="E2705"/>
  <c r="E2706"/>
  <c r="E2707"/>
  <c r="E2708"/>
  <c r="E2709"/>
  <c r="E2710"/>
  <c r="E2711"/>
  <c r="E2712"/>
  <c r="E2713"/>
  <c r="E2714"/>
  <c r="F2714" s="1"/>
  <c r="E2715"/>
  <c r="E2716"/>
  <c r="E2717"/>
  <c r="F2717" s="1"/>
  <c r="E2718"/>
  <c r="F2718" s="1"/>
  <c r="E2719"/>
  <c r="E2720"/>
  <c r="E2721"/>
  <c r="E2722"/>
  <c r="E2723"/>
  <c r="E2724"/>
  <c r="E2725"/>
  <c r="E2726"/>
  <c r="E2727"/>
  <c r="E2728"/>
  <c r="E2729"/>
  <c r="F2729" s="1"/>
  <c r="E2730"/>
  <c r="F2730" s="1"/>
  <c r="E2731"/>
  <c r="F2731" s="1"/>
  <c r="E2732"/>
  <c r="E2733"/>
  <c r="E2734"/>
  <c r="F2734" s="1"/>
  <c r="E2735"/>
  <c r="E2736"/>
  <c r="E2737"/>
  <c r="E2738"/>
  <c r="E2739"/>
  <c r="E2740"/>
  <c r="E2741"/>
  <c r="E2742"/>
  <c r="E2743"/>
  <c r="E2744"/>
  <c r="E2745"/>
  <c r="F2745" s="1"/>
  <c r="E2746"/>
  <c r="F2746" s="1"/>
  <c r="E2747"/>
  <c r="F2747" s="1"/>
  <c r="E2748"/>
  <c r="E2749"/>
  <c r="F2749" s="1"/>
  <c r="E2750"/>
  <c r="F2750" s="1"/>
  <c r="E2751"/>
  <c r="E2752"/>
  <c r="E2753"/>
  <c r="E2754"/>
  <c r="E2755"/>
  <c r="E2756"/>
  <c r="E2757"/>
  <c r="E2758"/>
  <c r="E2759"/>
  <c r="E2760"/>
  <c r="E2761"/>
  <c r="F2761" s="1"/>
  <c r="E2762"/>
  <c r="F2762" s="1"/>
  <c r="E2763"/>
  <c r="F2763" s="1"/>
  <c r="E2764"/>
  <c r="E2765"/>
  <c r="F2765" s="1"/>
  <c r="E2766"/>
  <c r="F2766" s="1"/>
  <c r="E2767"/>
  <c r="F2767" s="1"/>
  <c r="E2768"/>
  <c r="E2769"/>
  <c r="E2770"/>
  <c r="E2771"/>
  <c r="E2772"/>
  <c r="E2773"/>
  <c r="E2774"/>
  <c r="E2775"/>
  <c r="E2776"/>
  <c r="E2777"/>
  <c r="F2777" s="1"/>
  <c r="E2778"/>
  <c r="F2778" s="1"/>
  <c r="E2779"/>
  <c r="F2779" s="1"/>
  <c r="E2780"/>
  <c r="E2781"/>
  <c r="F2781" s="1"/>
  <c r="E2782"/>
  <c r="F2782" s="1"/>
  <c r="E2783"/>
  <c r="F2783" s="1"/>
  <c r="E2784"/>
  <c r="E2785"/>
  <c r="E2786"/>
  <c r="E2787"/>
  <c r="E2788"/>
  <c r="E2789"/>
  <c r="E2790"/>
  <c r="E2791"/>
  <c r="E2792"/>
  <c r="E2793"/>
  <c r="E2794"/>
  <c r="F2794" s="1"/>
  <c r="E2795"/>
  <c r="F2795" s="1"/>
  <c r="E2796"/>
  <c r="E2797"/>
  <c r="F2797" s="1"/>
  <c r="E2798"/>
  <c r="F2798" s="1"/>
  <c r="E2799"/>
  <c r="F2799" s="1"/>
  <c r="E2800"/>
  <c r="E2801"/>
  <c r="E2802"/>
  <c r="E2803"/>
  <c r="E2804"/>
  <c r="E2805"/>
  <c r="E2806"/>
  <c r="E2807"/>
  <c r="E2808"/>
  <c r="E2809"/>
  <c r="E2810"/>
  <c r="F2810" s="1"/>
  <c r="E2811"/>
  <c r="F2811" s="1"/>
  <c r="E2812"/>
  <c r="E2813"/>
  <c r="F2813" s="1"/>
  <c r="E2814"/>
  <c r="F2814" s="1"/>
  <c r="E2815"/>
  <c r="F2815" s="1"/>
  <c r="E2816"/>
  <c r="E2817"/>
  <c r="E2818"/>
  <c r="E2819"/>
  <c r="E2820"/>
  <c r="E2821"/>
  <c r="E2822"/>
  <c r="E2823"/>
  <c r="E2824"/>
  <c r="E2825"/>
  <c r="E2826"/>
  <c r="F2826" s="1"/>
  <c r="E2827"/>
  <c r="F2827" s="1"/>
  <c r="E2828"/>
  <c r="E2829"/>
  <c r="F2829" s="1"/>
  <c r="E2830"/>
  <c r="F2830" s="1"/>
  <c r="E2831"/>
  <c r="E2832"/>
  <c r="E2833"/>
  <c r="E2834"/>
  <c r="E2835"/>
  <c r="E2836"/>
  <c r="E2837"/>
  <c r="E2838"/>
  <c r="E2839"/>
  <c r="E2840"/>
  <c r="E2841"/>
  <c r="E2842"/>
  <c r="F2842" s="1"/>
  <c r="E2843"/>
  <c r="E2844"/>
  <c r="E2845"/>
  <c r="F2845" s="1"/>
  <c r="E2846"/>
  <c r="F2846" s="1"/>
  <c r="E2847"/>
  <c r="E2848"/>
  <c r="E2849"/>
  <c r="E2850"/>
  <c r="E2851"/>
  <c r="E2852"/>
  <c r="E2853"/>
  <c r="E2854"/>
  <c r="E2855"/>
  <c r="E2856"/>
  <c r="E2857"/>
  <c r="F2857" s="1"/>
  <c r="E2858"/>
  <c r="F2858" s="1"/>
  <c r="E2859"/>
  <c r="F2859" s="1"/>
  <c r="E2860"/>
  <c r="E2861"/>
  <c r="E2862"/>
  <c r="F2862" s="1"/>
  <c r="E2863"/>
  <c r="E2864"/>
  <c r="E2865"/>
  <c r="E2866"/>
  <c r="E2867"/>
  <c r="E2868"/>
  <c r="E2869"/>
  <c r="E2870"/>
  <c r="E2871"/>
  <c r="E2872"/>
  <c r="E2873"/>
  <c r="F2873" s="1"/>
  <c r="E2874"/>
  <c r="F2874" s="1"/>
  <c r="E2875"/>
  <c r="F2875" s="1"/>
  <c r="E2876"/>
  <c r="E2877"/>
  <c r="F2877" s="1"/>
  <c r="E2878"/>
  <c r="F2878" s="1"/>
  <c r="E2879"/>
  <c r="E2880"/>
  <c r="E2881"/>
  <c r="E2882"/>
  <c r="E2883"/>
  <c r="E2884"/>
  <c r="E2885"/>
  <c r="E2886"/>
  <c r="E2887"/>
  <c r="E2888"/>
  <c r="E2889"/>
  <c r="F2889" s="1"/>
  <c r="E2890"/>
  <c r="F2890" s="1"/>
  <c r="E2891"/>
  <c r="F2891" s="1"/>
  <c r="E2892"/>
  <c r="E2893"/>
  <c r="F2893" s="1"/>
  <c r="E2894"/>
  <c r="F2894" s="1"/>
  <c r="E2895"/>
  <c r="F2895" s="1"/>
  <c r="E2896"/>
  <c r="E2897"/>
  <c r="E2898"/>
  <c r="E2899"/>
  <c r="E2900"/>
  <c r="E2901"/>
  <c r="E2902"/>
  <c r="E2903"/>
  <c r="E2904"/>
  <c r="E2905"/>
  <c r="F2905" s="1"/>
  <c r="E2906"/>
  <c r="F2906" s="1"/>
  <c r="E2907"/>
  <c r="F2907" s="1"/>
  <c r="E2908"/>
  <c r="E2909"/>
  <c r="F2909" s="1"/>
  <c r="E2910"/>
  <c r="F2910" s="1"/>
  <c r="E2911"/>
  <c r="F2911" s="1"/>
  <c r="E2912"/>
  <c r="E2913"/>
  <c r="E2914"/>
  <c r="E2915"/>
  <c r="E2916"/>
  <c r="E2917"/>
  <c r="E2918"/>
  <c r="E2919"/>
  <c r="E2920"/>
  <c r="E2921"/>
  <c r="E2922"/>
  <c r="F2922" s="1"/>
  <c r="E2923"/>
  <c r="F2923" s="1"/>
  <c r="E2924"/>
  <c r="E2925"/>
  <c r="F2925" s="1"/>
  <c r="E2926"/>
  <c r="F2926" s="1"/>
  <c r="E2927"/>
  <c r="F2927" s="1"/>
  <c r="E2928"/>
  <c r="E2929"/>
  <c r="E2930"/>
  <c r="E2931"/>
  <c r="E2932"/>
  <c r="E2933"/>
  <c r="E2934"/>
  <c r="E2935"/>
  <c r="E2936"/>
  <c r="E2937"/>
  <c r="E2938"/>
  <c r="F2938" s="1"/>
  <c r="E2939"/>
  <c r="F2939" s="1"/>
  <c r="E2940"/>
  <c r="E2941"/>
  <c r="F2941" s="1"/>
  <c r="E2942"/>
  <c r="F2942" s="1"/>
  <c r="E2943"/>
  <c r="F2943" s="1"/>
  <c r="E2944"/>
  <c r="E2945"/>
  <c r="E2946"/>
  <c r="E2947"/>
  <c r="E2948"/>
  <c r="E2949"/>
  <c r="E2950"/>
  <c r="E2951"/>
  <c r="E2952"/>
  <c r="E2953"/>
  <c r="E2954"/>
  <c r="F2954" s="1"/>
  <c r="E2955"/>
  <c r="F2955" s="1"/>
  <c r="E2956"/>
  <c r="E2957"/>
  <c r="F2957" s="1"/>
  <c r="E2958"/>
  <c r="F2958" s="1"/>
  <c r="E2959"/>
  <c r="E2960"/>
  <c r="E2961"/>
  <c r="E2962"/>
  <c r="E2963"/>
  <c r="E2964"/>
  <c r="E2965"/>
  <c r="E2966"/>
  <c r="E2967"/>
  <c r="E2968"/>
  <c r="E2969"/>
  <c r="E2970"/>
  <c r="F2970" s="1"/>
  <c r="E2971"/>
  <c r="E2972"/>
  <c r="E2973"/>
  <c r="F2973" s="1"/>
  <c r="E2974"/>
  <c r="F2974" s="1"/>
  <c r="E2975"/>
  <c r="E2976"/>
  <c r="E2977"/>
  <c r="E2978"/>
  <c r="E2979"/>
  <c r="E2980"/>
  <c r="E2981"/>
  <c r="E2982"/>
  <c r="E2983"/>
  <c r="E2984"/>
  <c r="E2985"/>
  <c r="F2985" s="1"/>
  <c r="E2986"/>
  <c r="F2986" s="1"/>
  <c r="E2987"/>
  <c r="F2987" s="1"/>
  <c r="E2988"/>
  <c r="E2989"/>
  <c r="E2990"/>
  <c r="F2990" s="1"/>
  <c r="E2991"/>
  <c r="E2992"/>
  <c r="E2993"/>
  <c r="E2994"/>
  <c r="E2995"/>
  <c r="E2996"/>
  <c r="E2997"/>
  <c r="E2998"/>
  <c r="E2999"/>
  <c r="E3000"/>
  <c r="E3001"/>
  <c r="F3001" s="1"/>
  <c r="E3002"/>
  <c r="F3002" s="1"/>
  <c r="E3003"/>
  <c r="F3003" s="1"/>
  <c r="E3004"/>
  <c r="E3005"/>
  <c r="F3005" s="1"/>
  <c r="E3006"/>
  <c r="F3006" s="1"/>
  <c r="E3007"/>
  <c r="E3008"/>
  <c r="E3009"/>
  <c r="E3010"/>
  <c r="E3011"/>
  <c r="E3012"/>
  <c r="E3013"/>
  <c r="E3014"/>
  <c r="E3015"/>
  <c r="E3016"/>
  <c r="E3017"/>
  <c r="F3017" s="1"/>
  <c r="E3018"/>
  <c r="F3018" s="1"/>
  <c r="E3019"/>
  <c r="F3019" s="1"/>
  <c r="E3020"/>
  <c r="E3021"/>
  <c r="F3021" s="1"/>
  <c r="E3022"/>
  <c r="F3022" s="1"/>
  <c r="E3023"/>
  <c r="F3023" s="1"/>
  <c r="E3024"/>
  <c r="E3025"/>
  <c r="E3026"/>
  <c r="E3027"/>
  <c r="E3028"/>
  <c r="E3029"/>
  <c r="E3030"/>
  <c r="E3031"/>
  <c r="E3032"/>
  <c r="E3033"/>
  <c r="F3033" s="1"/>
  <c r="E3034"/>
  <c r="F3034" s="1"/>
  <c r="E3035"/>
  <c r="F3035" s="1"/>
  <c r="E3036"/>
  <c r="E3037"/>
  <c r="F3037" s="1"/>
  <c r="E3038"/>
  <c r="F3038" s="1"/>
  <c r="E3039"/>
  <c r="F3039" s="1"/>
  <c r="E3040"/>
  <c r="E3041"/>
  <c r="E3042"/>
  <c r="E3043"/>
  <c r="E3044"/>
  <c r="E3045"/>
  <c r="E3046"/>
  <c r="E3047"/>
  <c r="E3048"/>
  <c r="E3049"/>
  <c r="E3050"/>
  <c r="F3050" s="1"/>
  <c r="E3051"/>
  <c r="F3051" s="1"/>
  <c r="E3052"/>
  <c r="E3053"/>
  <c r="F3053" s="1"/>
  <c r="E3054"/>
  <c r="F3054" s="1"/>
  <c r="E3055"/>
  <c r="F3055" s="1"/>
  <c r="E3056"/>
  <c r="E3057"/>
  <c r="E3058"/>
  <c r="E3059"/>
  <c r="E3060"/>
  <c r="E3061"/>
  <c r="E3062"/>
  <c r="E3063"/>
  <c r="E3064"/>
  <c r="E3065"/>
  <c r="E3066"/>
  <c r="F3066" s="1"/>
  <c r="E3067"/>
  <c r="F3067" s="1"/>
  <c r="E3068"/>
  <c r="E3069"/>
  <c r="F3069" s="1"/>
  <c r="E3070"/>
  <c r="F3070" s="1"/>
  <c r="E3071"/>
  <c r="F3071" s="1"/>
  <c r="E3072"/>
  <c r="E3073"/>
  <c r="E3074"/>
  <c r="E3075"/>
  <c r="E3076"/>
  <c r="E3077"/>
  <c r="E3078"/>
  <c r="E3079"/>
  <c r="E3080"/>
  <c r="E3081"/>
  <c r="E3082"/>
  <c r="F3082" s="1"/>
  <c r="E3083"/>
  <c r="F3083" s="1"/>
  <c r="E3084"/>
  <c r="E3085"/>
  <c r="F3085" s="1"/>
  <c r="E3086"/>
  <c r="F3086" s="1"/>
  <c r="E3087"/>
  <c r="E3088"/>
  <c r="E3089"/>
  <c r="E3090"/>
  <c r="E3091"/>
  <c r="E3092"/>
  <c r="E3093"/>
  <c r="E3094"/>
  <c r="E3095"/>
  <c r="E3096"/>
  <c r="E3097"/>
  <c r="E3098"/>
  <c r="F3098" s="1"/>
  <c r="E3099"/>
  <c r="E3100"/>
  <c r="E3101"/>
  <c r="F3101" s="1"/>
  <c r="E3102"/>
  <c r="F3102" s="1"/>
  <c r="E3103"/>
  <c r="E3104"/>
  <c r="E3105"/>
  <c r="E3106"/>
  <c r="E3107"/>
  <c r="E3108"/>
  <c r="E3109"/>
  <c r="E3110"/>
  <c r="E3111"/>
  <c r="E3112"/>
  <c r="E3113"/>
  <c r="F3113" s="1"/>
  <c r="E3114"/>
  <c r="F3114" s="1"/>
  <c r="E3115"/>
  <c r="F3115" s="1"/>
  <c r="E3116"/>
  <c r="E3117"/>
  <c r="E3118"/>
  <c r="F3118" s="1"/>
  <c r="E3119"/>
  <c r="E3120"/>
  <c r="E3121"/>
  <c r="E3122"/>
  <c r="E3123"/>
  <c r="E3124"/>
  <c r="E3125"/>
  <c r="E3126"/>
  <c r="E3127"/>
  <c r="E3128"/>
  <c r="E3129"/>
  <c r="F3129" s="1"/>
  <c r="E3130"/>
  <c r="F3130" s="1"/>
  <c r="E3131"/>
  <c r="F3131" s="1"/>
  <c r="E3132"/>
  <c r="E3133"/>
  <c r="F3133" s="1"/>
  <c r="E3134"/>
  <c r="F3134" s="1"/>
  <c r="E3135"/>
  <c r="E3136"/>
  <c r="E3137"/>
  <c r="E3138"/>
  <c r="E3139"/>
  <c r="E3140"/>
  <c r="E3141"/>
  <c r="E3142"/>
  <c r="E3143"/>
  <c r="E3144"/>
  <c r="E3145"/>
  <c r="F3145" s="1"/>
  <c r="E3146"/>
  <c r="F3146" s="1"/>
  <c r="E3147"/>
  <c r="F3147" s="1"/>
  <c r="E3148"/>
  <c r="E3149"/>
  <c r="F3149" s="1"/>
  <c r="E3150"/>
  <c r="F3150" s="1"/>
  <c r="E3151"/>
  <c r="F3151" s="1"/>
  <c r="E3152"/>
  <c r="E3153"/>
  <c r="E3154"/>
  <c r="E3155"/>
  <c r="E3156"/>
  <c r="E3157"/>
  <c r="E3158"/>
  <c r="E3159"/>
  <c r="E3160"/>
  <c r="E3161"/>
  <c r="F3161" s="1"/>
  <c r="E3162"/>
  <c r="F3162" s="1"/>
  <c r="E3163"/>
  <c r="F3163" s="1"/>
  <c r="E3164"/>
  <c r="E3165"/>
  <c r="F3165" s="1"/>
  <c r="E3166"/>
  <c r="F3166" s="1"/>
  <c r="E3167"/>
  <c r="F3167" s="1"/>
  <c r="E3168"/>
  <c r="E3169"/>
  <c r="E3170"/>
  <c r="E3171"/>
  <c r="E3172"/>
  <c r="E3173"/>
  <c r="E3174"/>
  <c r="E3175"/>
  <c r="E3176"/>
  <c r="E3177"/>
  <c r="E3178"/>
  <c r="F3178" s="1"/>
  <c r="E3179"/>
  <c r="F3179" s="1"/>
  <c r="E3180"/>
  <c r="E3181"/>
  <c r="F3181" s="1"/>
  <c r="E3182"/>
  <c r="F3182" s="1"/>
  <c r="E3183"/>
  <c r="F3183" s="1"/>
  <c r="E3184"/>
  <c r="E3185"/>
  <c r="E3186"/>
  <c r="E3187"/>
  <c r="E3188"/>
  <c r="E3189"/>
  <c r="E3190"/>
  <c r="E3191"/>
  <c r="E3192"/>
  <c r="E3193"/>
  <c r="E3194"/>
  <c r="F3194" s="1"/>
  <c r="E3195"/>
  <c r="F3195" s="1"/>
  <c r="E3196"/>
  <c r="E3197"/>
  <c r="F3197" s="1"/>
  <c r="E3198"/>
  <c r="F3198" s="1"/>
  <c r="E3199"/>
  <c r="F3199" s="1"/>
  <c r="E3200"/>
  <c r="E3201"/>
  <c r="E3202"/>
  <c r="E3203"/>
  <c r="E3204"/>
  <c r="E3205"/>
  <c r="E3206"/>
  <c r="E3207"/>
  <c r="E3208"/>
  <c r="E3209"/>
  <c r="E3210"/>
  <c r="F3210" s="1"/>
  <c r="E3211"/>
  <c r="F3211" s="1"/>
  <c r="E3212"/>
  <c r="E3213"/>
  <c r="F3213" s="1"/>
  <c r="E3214"/>
  <c r="F3214" s="1"/>
  <c r="E3215"/>
  <c r="E3216"/>
  <c r="E3217"/>
  <c r="E3218"/>
  <c r="E3219"/>
  <c r="E3220"/>
  <c r="E3221"/>
  <c r="E3222"/>
  <c r="E3223"/>
  <c r="E3224"/>
  <c r="E3225"/>
  <c r="E3226"/>
  <c r="F3226" s="1"/>
  <c r="E3227"/>
  <c r="E3228"/>
  <c r="E3229"/>
  <c r="F3229" s="1"/>
  <c r="E3230"/>
  <c r="F3230" s="1"/>
  <c r="E3231"/>
  <c r="E3232"/>
  <c r="E3233"/>
  <c r="E3234"/>
  <c r="E3235"/>
  <c r="E3236"/>
  <c r="E3237"/>
  <c r="E3238"/>
  <c r="E3239"/>
  <c r="E3240"/>
  <c r="E3241"/>
  <c r="F3241" s="1"/>
  <c r="E3242"/>
  <c r="F3242" s="1"/>
  <c r="E3243"/>
  <c r="F3243" s="1"/>
  <c r="E3244"/>
  <c r="E3245"/>
  <c r="E3246"/>
  <c r="F3246" s="1"/>
  <c r="E3247"/>
  <c r="E3248"/>
  <c r="E3249"/>
  <c r="E3250"/>
  <c r="E3251"/>
  <c r="E3252"/>
  <c r="E3253"/>
  <c r="E3254"/>
  <c r="E3255"/>
  <c r="E3256"/>
  <c r="E3257"/>
  <c r="F3257" s="1"/>
  <c r="E3258"/>
  <c r="F3258" s="1"/>
  <c r="E3259"/>
  <c r="F3259" s="1"/>
  <c r="E3260"/>
  <c r="E3261"/>
  <c r="F3261" s="1"/>
  <c r="E3262"/>
  <c r="F3262" s="1"/>
  <c r="E3263"/>
  <c r="E3264"/>
  <c r="E3265"/>
  <c r="E3266"/>
  <c r="E3267"/>
  <c r="E3268"/>
  <c r="E3269"/>
  <c r="E3270"/>
  <c r="E3271"/>
  <c r="E3272"/>
  <c r="E3273"/>
  <c r="F3273" s="1"/>
  <c r="E3274"/>
  <c r="F3274" s="1"/>
  <c r="E3275"/>
  <c r="F3275" s="1"/>
  <c r="E3276"/>
  <c r="E3277"/>
  <c r="F3277" s="1"/>
  <c r="E3278"/>
  <c r="F3278" s="1"/>
  <c r="E3279"/>
  <c r="F3279" s="1"/>
  <c r="E3280"/>
  <c r="E3281"/>
  <c r="E3282"/>
  <c r="E3283"/>
  <c r="E3284"/>
  <c r="E3285"/>
  <c r="E3286"/>
  <c r="E3287"/>
  <c r="E3288"/>
  <c r="E3289"/>
  <c r="F3289" s="1"/>
  <c r="E3290"/>
  <c r="F3290" s="1"/>
  <c r="E3291"/>
  <c r="F3291" s="1"/>
  <c r="E3292"/>
  <c r="E3293"/>
  <c r="F3293" s="1"/>
  <c r="E3294"/>
  <c r="F3294" s="1"/>
  <c r="E3295"/>
  <c r="F3295" s="1"/>
  <c r="E3296"/>
  <c r="E3297"/>
  <c r="E3298"/>
  <c r="E3299"/>
  <c r="E3300"/>
  <c r="E3301"/>
  <c r="E3302"/>
  <c r="E3303"/>
  <c r="E3304"/>
  <c r="E3305"/>
  <c r="E3306"/>
  <c r="F3306" s="1"/>
  <c r="E3307"/>
  <c r="F3307" s="1"/>
  <c r="E3308"/>
  <c r="E3309"/>
  <c r="F3309" s="1"/>
  <c r="E3310"/>
  <c r="F3310" s="1"/>
  <c r="E3311"/>
  <c r="F3311" s="1"/>
  <c r="E3312"/>
  <c r="E3313"/>
  <c r="E3314"/>
  <c r="E3315"/>
  <c r="E3316"/>
  <c r="E3317"/>
  <c r="E3318"/>
  <c r="E3319"/>
  <c r="E3320"/>
  <c r="E3321"/>
  <c r="E3322"/>
  <c r="F3322" s="1"/>
  <c r="E3323"/>
  <c r="F3323" s="1"/>
  <c r="E3324"/>
  <c r="E3325"/>
  <c r="F3325" s="1"/>
  <c r="E3326"/>
  <c r="F3326" s="1"/>
  <c r="E3327"/>
  <c r="F3327" s="1"/>
  <c r="E3328"/>
  <c r="E3329"/>
  <c r="E3330"/>
  <c r="E3331"/>
  <c r="E3332"/>
  <c r="E3333"/>
  <c r="E3334"/>
  <c r="E3335"/>
  <c r="E3336"/>
  <c r="E3337"/>
  <c r="E3338"/>
  <c r="F3338" s="1"/>
  <c r="E3339"/>
  <c r="F3339" s="1"/>
  <c r="E3340"/>
  <c r="E3341"/>
  <c r="F3341" s="1"/>
  <c r="E3342"/>
  <c r="F3342" s="1"/>
  <c r="E3343"/>
  <c r="E3344"/>
  <c r="E3345"/>
  <c r="E3346"/>
  <c r="E3347"/>
  <c r="E3348"/>
  <c r="E3349"/>
  <c r="E3350"/>
  <c r="E3351"/>
  <c r="E3352"/>
  <c r="E3353"/>
  <c r="E3354"/>
  <c r="F3354" s="1"/>
  <c r="E3355"/>
  <c r="E3356"/>
  <c r="E3357"/>
  <c r="F3357" s="1"/>
  <c r="E3358"/>
  <c r="F3358" s="1"/>
  <c r="E3359"/>
  <c r="E3360"/>
  <c r="E3361"/>
  <c r="E3362"/>
  <c r="E3363"/>
  <c r="E3364"/>
  <c r="E3365"/>
  <c r="E3366"/>
  <c r="E3367"/>
  <c r="E3368"/>
  <c r="E3369"/>
  <c r="F3369" s="1"/>
  <c r="E3370"/>
  <c r="F3370" s="1"/>
  <c r="E3371"/>
  <c r="F3371" s="1"/>
  <c r="E3372"/>
  <c r="E3373"/>
  <c r="E3374"/>
  <c r="F3374" s="1"/>
  <c r="E3375"/>
  <c r="E3376"/>
  <c r="E3377"/>
  <c r="E3378"/>
  <c r="E3379"/>
  <c r="E3380"/>
  <c r="E3381"/>
  <c r="E3382"/>
  <c r="E3383"/>
  <c r="E3384"/>
  <c r="E3385"/>
  <c r="F3385" s="1"/>
  <c r="E3386"/>
  <c r="F3386" s="1"/>
  <c r="E3387"/>
  <c r="F3387" s="1"/>
  <c r="E3388"/>
  <c r="E3389"/>
  <c r="F3389" s="1"/>
  <c r="E3390"/>
  <c r="F3390" s="1"/>
  <c r="E3391"/>
  <c r="E3392"/>
  <c r="E3393"/>
  <c r="E3394"/>
  <c r="E3395"/>
  <c r="E3396"/>
  <c r="E3397"/>
  <c r="E3398"/>
  <c r="E3399"/>
  <c r="E3400"/>
  <c r="E3401"/>
  <c r="F3401" s="1"/>
  <c r="E3402"/>
  <c r="F3402" s="1"/>
  <c r="E3403"/>
  <c r="F3403" s="1"/>
  <c r="E3404"/>
  <c r="E3405"/>
  <c r="F3405" s="1"/>
  <c r="E3406"/>
  <c r="F3406" s="1"/>
  <c r="E3407"/>
  <c r="F3407" s="1"/>
  <c r="E3408"/>
  <c r="E3409"/>
  <c r="E3410"/>
  <c r="E3411"/>
  <c r="E3412"/>
  <c r="E3413"/>
  <c r="E3414"/>
  <c r="E3415"/>
  <c r="E3416"/>
  <c r="E3417"/>
  <c r="F3417" s="1"/>
  <c r="E3418"/>
  <c r="F3418" s="1"/>
  <c r="E3419"/>
  <c r="F3419" s="1"/>
  <c r="E3420"/>
  <c r="E3421"/>
  <c r="F3421" s="1"/>
  <c r="E3422"/>
  <c r="F3422" s="1"/>
  <c r="E3423"/>
  <c r="F3423" s="1"/>
  <c r="E3424"/>
  <c r="E3425"/>
  <c r="E3426"/>
  <c r="E3427"/>
  <c r="E3428"/>
  <c r="E3429"/>
  <c r="E3430"/>
  <c r="E3431"/>
  <c r="E3432"/>
  <c r="E3433"/>
  <c r="E3434"/>
  <c r="F3434" s="1"/>
  <c r="E3435"/>
  <c r="F3435" s="1"/>
  <c r="E3436"/>
  <c r="E3437"/>
  <c r="F3437" s="1"/>
  <c r="E3438"/>
  <c r="F3438" s="1"/>
  <c r="E3439"/>
  <c r="F3439" s="1"/>
  <c r="E3440"/>
  <c r="E3441"/>
  <c r="E3442"/>
  <c r="E3443"/>
  <c r="E3444"/>
  <c r="E3445"/>
  <c r="E3446"/>
  <c r="E3447"/>
  <c r="E3448"/>
  <c r="E3449"/>
  <c r="E3450"/>
  <c r="F3450" s="1"/>
  <c r="E3451"/>
  <c r="F3451" s="1"/>
  <c r="E3452"/>
  <c r="E3453"/>
  <c r="F3453" s="1"/>
  <c r="E3454"/>
  <c r="F3454" s="1"/>
  <c r="E3455"/>
  <c r="F3455" s="1"/>
  <c r="E3456"/>
  <c r="E3457"/>
  <c r="E3458"/>
  <c r="E3459"/>
  <c r="E3460"/>
  <c r="E3461"/>
  <c r="E3462"/>
  <c r="E3463"/>
  <c r="E3464"/>
  <c r="E3465"/>
  <c r="E3466"/>
  <c r="F3466" s="1"/>
  <c r="E3467"/>
  <c r="F3467" s="1"/>
  <c r="E3468"/>
  <c r="E3469"/>
  <c r="F3469" s="1"/>
  <c r="E3470"/>
  <c r="F3470" s="1"/>
  <c r="E3471"/>
  <c r="E3472"/>
  <c r="E3473"/>
  <c r="E3474"/>
  <c r="E3475"/>
  <c r="E3476"/>
  <c r="E3477"/>
  <c r="E3478"/>
  <c r="E3479"/>
  <c r="E3480"/>
  <c r="E3481"/>
  <c r="E3482"/>
  <c r="F3482" s="1"/>
  <c r="E3483"/>
  <c r="E3484"/>
  <c r="E3485"/>
  <c r="F3485" s="1"/>
  <c r="E3486"/>
  <c r="F3486" s="1"/>
  <c r="E3487"/>
  <c r="E3488"/>
  <c r="E3489"/>
  <c r="E3490"/>
  <c r="E3491"/>
  <c r="E3492"/>
  <c r="E3493"/>
  <c r="E3494"/>
  <c r="E3495"/>
  <c r="E3496"/>
  <c r="E3497"/>
  <c r="F3497" s="1"/>
  <c r="E3498"/>
  <c r="F3498" s="1"/>
  <c r="E3499"/>
  <c r="F3499" s="1"/>
  <c r="E3500"/>
  <c r="E3501"/>
  <c r="E3502"/>
  <c r="F3502" s="1"/>
  <c r="E3503"/>
  <c r="E3504"/>
  <c r="E3505"/>
  <c r="E3506"/>
  <c r="E3507"/>
  <c r="E3508"/>
  <c r="E3509"/>
  <c r="E3510"/>
  <c r="E3511"/>
  <c r="E3512"/>
  <c r="E3513"/>
  <c r="F3513" s="1"/>
  <c r="E3514"/>
  <c r="F3514" s="1"/>
  <c r="E3515"/>
  <c r="F3515" s="1"/>
  <c r="E3516"/>
  <c r="E3517"/>
  <c r="F3517" s="1"/>
  <c r="E3518"/>
  <c r="F3518" s="1"/>
  <c r="E3519"/>
  <c r="E3520"/>
  <c r="E3521"/>
  <c r="E3522"/>
  <c r="E3523"/>
  <c r="E3524"/>
  <c r="E3525"/>
  <c r="E3526"/>
  <c r="E3527"/>
  <c r="E3528"/>
  <c r="E3529"/>
  <c r="F3529" s="1"/>
  <c r="E3530"/>
  <c r="F3530" s="1"/>
  <c r="E3531"/>
  <c r="F3531" s="1"/>
  <c r="E3532"/>
  <c r="E3533"/>
  <c r="F3533" s="1"/>
  <c r="E3534"/>
  <c r="F3534" s="1"/>
  <c r="E3535"/>
  <c r="F3535" s="1"/>
  <c r="E3536"/>
  <c r="E3537"/>
  <c r="E3538"/>
  <c r="E3539"/>
  <c r="E3540"/>
  <c r="E3541"/>
  <c r="E3542"/>
  <c r="E3543"/>
  <c r="E3544"/>
  <c r="E3545"/>
  <c r="F3545" s="1"/>
  <c r="E3546"/>
  <c r="F3546" s="1"/>
  <c r="E3547"/>
  <c r="F3547" s="1"/>
  <c r="E3548"/>
  <c r="E3549"/>
  <c r="F3549" s="1"/>
  <c r="E3550"/>
  <c r="F3550" s="1"/>
  <c r="E3551"/>
  <c r="F3551" s="1"/>
  <c r="E3552"/>
  <c r="E3553"/>
  <c r="E3554"/>
  <c r="E3555"/>
  <c r="E3556"/>
  <c r="E3557"/>
  <c r="E3558"/>
  <c r="E3559"/>
  <c r="E3560"/>
  <c r="E3561"/>
  <c r="E3562"/>
  <c r="F3562" s="1"/>
  <c r="E3563"/>
  <c r="F3563" s="1"/>
  <c r="E3564"/>
  <c r="E3565"/>
  <c r="F3565" s="1"/>
  <c r="E3566"/>
  <c r="F3566" s="1"/>
  <c r="E3567"/>
  <c r="F3567" s="1"/>
  <c r="E3568"/>
  <c r="E3569"/>
  <c r="E3570"/>
  <c r="E3571"/>
  <c r="E3572"/>
  <c r="E3573"/>
  <c r="E3574"/>
  <c r="E3575"/>
  <c r="E3576"/>
  <c r="E3577"/>
  <c r="E3578"/>
  <c r="F3578" s="1"/>
  <c r="E3579"/>
  <c r="F3579" s="1"/>
  <c r="E3580"/>
  <c r="E3581"/>
  <c r="F3581" s="1"/>
  <c r="E3582"/>
  <c r="F3582" s="1"/>
  <c r="E3583"/>
  <c r="F3583" s="1"/>
  <c r="E3584"/>
  <c r="E3585"/>
  <c r="E3586"/>
  <c r="E3587"/>
  <c r="E3588"/>
  <c r="E3589"/>
  <c r="E3590"/>
  <c r="E3591"/>
  <c r="E3592"/>
  <c r="E3593"/>
  <c r="E3594"/>
  <c r="F3594" s="1"/>
  <c r="E3595"/>
  <c r="F3595" s="1"/>
  <c r="E3596"/>
  <c r="E3597"/>
  <c r="F3597" s="1"/>
  <c r="E3598"/>
  <c r="F3598" s="1"/>
  <c r="E3599"/>
  <c r="E3600"/>
  <c r="E3601"/>
  <c r="E3602"/>
  <c r="E3603"/>
  <c r="E3604"/>
  <c r="E3605"/>
  <c r="E3606"/>
  <c r="E3607"/>
  <c r="E3608"/>
  <c r="E3609"/>
  <c r="E3610"/>
  <c r="F3610" s="1"/>
  <c r="E3611"/>
  <c r="E3612"/>
  <c r="E3613"/>
  <c r="F3613" s="1"/>
  <c r="E3614"/>
  <c r="F3614" s="1"/>
  <c r="E3615"/>
  <c r="E3616"/>
  <c r="E3617"/>
  <c r="E3618"/>
  <c r="E3619"/>
  <c r="E3620"/>
  <c r="E3621"/>
  <c r="E3622"/>
  <c r="E3623"/>
  <c r="E3624"/>
  <c r="E3625"/>
  <c r="F3625" s="1"/>
  <c r="E3626"/>
  <c r="F3626" s="1"/>
  <c r="E3627"/>
  <c r="F3627" s="1"/>
  <c r="E3628"/>
  <c r="E3629"/>
  <c r="E3630"/>
  <c r="F3630" s="1"/>
  <c r="E3631"/>
  <c r="E3632"/>
  <c r="E3633"/>
  <c r="E3634"/>
  <c r="E3635"/>
  <c r="E3636"/>
  <c r="E3637"/>
  <c r="E3638"/>
  <c r="E3639"/>
  <c r="E3640"/>
  <c r="E3641"/>
  <c r="F3641" s="1"/>
  <c r="E3642"/>
  <c r="F3642" s="1"/>
  <c r="E3643"/>
  <c r="F3643" s="1"/>
  <c r="E3644"/>
  <c r="E3645"/>
  <c r="F3645" s="1"/>
  <c r="E3646"/>
  <c r="F3646" s="1"/>
  <c r="E3647"/>
  <c r="E3648"/>
  <c r="E3649"/>
  <c r="E3650"/>
  <c r="E3651"/>
  <c r="E3652"/>
  <c r="E3653"/>
  <c r="E3654"/>
  <c r="E3655"/>
  <c r="E3656"/>
  <c r="E3657"/>
  <c r="F3657" s="1"/>
  <c r="E3658"/>
  <c r="F3658" s="1"/>
  <c r="E3659"/>
  <c r="F3659" s="1"/>
  <c r="E3660"/>
  <c r="E3661"/>
  <c r="F3661" s="1"/>
  <c r="E3662"/>
  <c r="F3662" s="1"/>
  <c r="E3663"/>
  <c r="F3663" s="1"/>
  <c r="E3664"/>
  <c r="E3665"/>
  <c r="E3666"/>
  <c r="E3667"/>
  <c r="E3668"/>
  <c r="E3669"/>
  <c r="E3670"/>
  <c r="E3671"/>
  <c r="E3672"/>
  <c r="E3673"/>
  <c r="F3673" s="1"/>
  <c r="E3674"/>
  <c r="F3674" s="1"/>
  <c r="E3675"/>
  <c r="F3675" s="1"/>
  <c r="E3676"/>
  <c r="E3677"/>
  <c r="F3677" s="1"/>
  <c r="E3678"/>
  <c r="F3678" s="1"/>
  <c r="E3679"/>
  <c r="F3679" s="1"/>
  <c r="E3680"/>
  <c r="E3681"/>
  <c r="E3682"/>
  <c r="E3683"/>
  <c r="E3684"/>
  <c r="E3685"/>
  <c r="E3686"/>
  <c r="E3687"/>
  <c r="E3688"/>
  <c r="E3689"/>
  <c r="E3690"/>
  <c r="F3690" s="1"/>
  <c r="E3691"/>
  <c r="F3691" s="1"/>
  <c r="E3692"/>
  <c r="E3693"/>
  <c r="F3693" s="1"/>
  <c r="E3694"/>
  <c r="F3694" s="1"/>
  <c r="E3695"/>
  <c r="F3695" s="1"/>
  <c r="E3696"/>
  <c r="E3697"/>
  <c r="E3698"/>
  <c r="E3699"/>
  <c r="E3700"/>
  <c r="E3701"/>
  <c r="E3702"/>
  <c r="E3703"/>
  <c r="E3704"/>
  <c r="E3705"/>
  <c r="E3706"/>
  <c r="F3706" s="1"/>
  <c r="E3707"/>
  <c r="F3707" s="1"/>
  <c r="E3708"/>
  <c r="E3709"/>
  <c r="F3709" s="1"/>
  <c r="E3710"/>
  <c r="F3710" s="1"/>
  <c r="E3711"/>
  <c r="F3711" s="1"/>
  <c r="E3712"/>
  <c r="E3713"/>
  <c r="E3714"/>
  <c r="E3715"/>
  <c r="E3716"/>
  <c r="E3717"/>
  <c r="E3718"/>
  <c r="E3719"/>
  <c r="E3720"/>
  <c r="E3721"/>
  <c r="E3722"/>
  <c r="F3722" s="1"/>
  <c r="E3723"/>
  <c r="F3723" s="1"/>
  <c r="E3724"/>
  <c r="E3725"/>
  <c r="F3725" s="1"/>
  <c r="E3726"/>
  <c r="F3726" s="1"/>
  <c r="E3727"/>
  <c r="E3728"/>
  <c r="E3729"/>
  <c r="E3730"/>
  <c r="E3731"/>
  <c r="E3732"/>
  <c r="E3733"/>
  <c r="E3734"/>
  <c r="E3735"/>
  <c r="E3736"/>
  <c r="E3737"/>
  <c r="E3738"/>
  <c r="F3738" s="1"/>
  <c r="E3739"/>
  <c r="E3740"/>
  <c r="E3741"/>
  <c r="F3741" s="1"/>
  <c r="E3742"/>
  <c r="F3742" s="1"/>
  <c r="E3743"/>
  <c r="E3744"/>
  <c r="E3745"/>
  <c r="E3746"/>
  <c r="E3747"/>
  <c r="E3748"/>
  <c r="E3749"/>
  <c r="E3750"/>
  <c r="E3751"/>
  <c r="E3752"/>
  <c r="E3753"/>
  <c r="F3753" s="1"/>
  <c r="E3754"/>
  <c r="F3754" s="1"/>
  <c r="E3755"/>
  <c r="F3755" s="1"/>
  <c r="E3756"/>
  <c r="E3757"/>
  <c r="E3758"/>
  <c r="F3758" s="1"/>
  <c r="E3759"/>
  <c r="E3760"/>
  <c r="E3761"/>
  <c r="E3762"/>
  <c r="E3763"/>
  <c r="E3764"/>
  <c r="E3765"/>
  <c r="E3766"/>
  <c r="E3767"/>
  <c r="E3768"/>
  <c r="E3769"/>
  <c r="F3769" s="1"/>
  <c r="E3770"/>
  <c r="F3770" s="1"/>
  <c r="E3771"/>
  <c r="F3771" s="1"/>
  <c r="E3772"/>
  <c r="E3773"/>
  <c r="F3773" s="1"/>
  <c r="E3774"/>
  <c r="F3774" s="1"/>
  <c r="E3775"/>
  <c r="E3776"/>
  <c r="E3777"/>
  <c r="E3778"/>
  <c r="E3779"/>
  <c r="E3780"/>
  <c r="E3781"/>
  <c r="E3782"/>
  <c r="E3783"/>
  <c r="E3784"/>
  <c r="E3785"/>
  <c r="F3785" s="1"/>
  <c r="E3786"/>
  <c r="F3786" s="1"/>
  <c r="E3787"/>
  <c r="F3787" s="1"/>
  <c r="E3788"/>
  <c r="E3789"/>
  <c r="F3789" s="1"/>
  <c r="E3790"/>
  <c r="F3790" s="1"/>
  <c r="E3791"/>
  <c r="F3791" s="1"/>
  <c r="E3792"/>
  <c r="E3793"/>
  <c r="E3794"/>
  <c r="E3795"/>
  <c r="E3796"/>
  <c r="E3797"/>
  <c r="E3798"/>
  <c r="E3799"/>
  <c r="E3800"/>
  <c r="E3801"/>
  <c r="F3801" s="1"/>
  <c r="E3802"/>
  <c r="F3802" s="1"/>
  <c r="E3803"/>
  <c r="F3803" s="1"/>
  <c r="E3804"/>
  <c r="E3805"/>
  <c r="F3805" s="1"/>
  <c r="E3806"/>
  <c r="F3806" s="1"/>
  <c r="E3807"/>
  <c r="F3807" s="1"/>
  <c r="E3808"/>
  <c r="E3809"/>
  <c r="E3810"/>
  <c r="E3811"/>
  <c r="E3812"/>
  <c r="E3813"/>
  <c r="E3814"/>
  <c r="E3815"/>
  <c r="E3816"/>
  <c r="E3817"/>
  <c r="E3818"/>
  <c r="F3818" s="1"/>
  <c r="E3819"/>
  <c r="F3819" s="1"/>
  <c r="E3820"/>
  <c r="E3821"/>
  <c r="F3821" s="1"/>
  <c r="E3822"/>
  <c r="F3822" s="1"/>
  <c r="E3823"/>
  <c r="F3823" s="1"/>
  <c r="E3824"/>
  <c r="E3825"/>
  <c r="E3826"/>
  <c r="E3827"/>
  <c r="E3828"/>
  <c r="E3829"/>
  <c r="E3830"/>
  <c r="E3831"/>
  <c r="E3832"/>
  <c r="E3833"/>
  <c r="E3834"/>
  <c r="F3834" s="1"/>
  <c r="E3835"/>
  <c r="F3835" s="1"/>
  <c r="E3836"/>
  <c r="E3837"/>
  <c r="F3837" s="1"/>
  <c r="E3838"/>
  <c r="F3838" s="1"/>
  <c r="E3839"/>
  <c r="F3839" s="1"/>
  <c r="E3840"/>
  <c r="E3841"/>
  <c r="E3842"/>
  <c r="E3843"/>
  <c r="E3844"/>
  <c r="E3845"/>
  <c r="E3846"/>
  <c r="E3847"/>
  <c r="E3848"/>
  <c r="E3849"/>
  <c r="E3850"/>
  <c r="F3850" s="1"/>
  <c r="E3851"/>
  <c r="F3851" s="1"/>
  <c r="E3852"/>
  <c r="E3853"/>
  <c r="F3853" s="1"/>
  <c r="E3854"/>
  <c r="F3854" s="1"/>
  <c r="E3855"/>
  <c r="E3856"/>
  <c r="E3857"/>
  <c r="E3858"/>
  <c r="E3859"/>
  <c r="E3860"/>
  <c r="E3861"/>
  <c r="E3862"/>
  <c r="E3863"/>
  <c r="E3864"/>
  <c r="E3865"/>
  <c r="E3866"/>
  <c r="F3866" s="1"/>
  <c r="E3867"/>
  <c r="E3868"/>
  <c r="E3869"/>
  <c r="F3869" s="1"/>
  <c r="E3870"/>
  <c r="F3870" s="1"/>
  <c r="E3871"/>
  <c r="E3872"/>
  <c r="E3873"/>
  <c r="E3874"/>
  <c r="E3875"/>
  <c r="E3876"/>
  <c r="E3877"/>
  <c r="E3878"/>
  <c r="E3879"/>
  <c r="E3880"/>
  <c r="E3881"/>
  <c r="F3881" s="1"/>
  <c r="E3882"/>
  <c r="F3882" s="1"/>
  <c r="E3883"/>
  <c r="F3883" s="1"/>
  <c r="E3884"/>
  <c r="E3885"/>
  <c r="E3886"/>
  <c r="F3886" s="1"/>
  <c r="E3887"/>
  <c r="E3888"/>
  <c r="E3889"/>
  <c r="E3890"/>
  <c r="E3891"/>
  <c r="E3892"/>
  <c r="E3893"/>
  <c r="E3894"/>
  <c r="E3895"/>
  <c r="E3896"/>
  <c r="E3897"/>
  <c r="F3897" s="1"/>
  <c r="E3898"/>
  <c r="F3898" s="1"/>
  <c r="E3899"/>
  <c r="F3899" s="1"/>
  <c r="E3900"/>
  <c r="E3901"/>
  <c r="F3901" s="1"/>
  <c r="E3902"/>
  <c r="F3902" s="1"/>
  <c r="E3903"/>
  <c r="E3904"/>
  <c r="E3905"/>
  <c r="E3906"/>
  <c r="E3907"/>
  <c r="E3908"/>
  <c r="E3909"/>
  <c r="E3910"/>
  <c r="E3911"/>
  <c r="E3912"/>
  <c r="E3913"/>
  <c r="F3913" s="1"/>
  <c r="E3914"/>
  <c r="F3914" s="1"/>
  <c r="E3915"/>
  <c r="F3915" s="1"/>
  <c r="E3916"/>
  <c r="E3917"/>
  <c r="F3917" s="1"/>
  <c r="E3918"/>
  <c r="F3918" s="1"/>
  <c r="E3919"/>
  <c r="F3919" s="1"/>
  <c r="E3920"/>
  <c r="E3921"/>
  <c r="E3922"/>
  <c r="E3923"/>
  <c r="E3924"/>
  <c r="E3925"/>
  <c r="E3926"/>
  <c r="E3927"/>
  <c r="E3928"/>
  <c r="E3929"/>
  <c r="F3929" s="1"/>
  <c r="E3930"/>
  <c r="F3930" s="1"/>
  <c r="E3931"/>
  <c r="F3931" s="1"/>
  <c r="E3932"/>
  <c r="E3933"/>
  <c r="F3933" s="1"/>
  <c r="E3934"/>
  <c r="F3934" s="1"/>
  <c r="E3935"/>
  <c r="F3935" s="1"/>
  <c r="E3936"/>
  <c r="E3937"/>
  <c r="E3938"/>
  <c r="E3939"/>
  <c r="E3940"/>
  <c r="E3941"/>
  <c r="E3942"/>
  <c r="E3943"/>
  <c r="E3944"/>
  <c r="E3945"/>
  <c r="E3946"/>
  <c r="F3946" s="1"/>
  <c r="E3947"/>
  <c r="F3947" s="1"/>
  <c r="E3948"/>
  <c r="E3949"/>
  <c r="F3949" s="1"/>
  <c r="E3950"/>
  <c r="F3950" s="1"/>
  <c r="E3951"/>
  <c r="F3951" s="1"/>
  <c r="E3952"/>
  <c r="E3953"/>
  <c r="E3954"/>
  <c r="E3955"/>
  <c r="E3956"/>
  <c r="E3957"/>
  <c r="E3958"/>
  <c r="E3959"/>
  <c r="E3960"/>
  <c r="E3961"/>
  <c r="E3962"/>
  <c r="F3962" s="1"/>
  <c r="E3963"/>
  <c r="F3963" s="1"/>
  <c r="E3964"/>
  <c r="E3965"/>
  <c r="F3965" s="1"/>
  <c r="E3966"/>
  <c r="F3966" s="1"/>
  <c r="E3967"/>
  <c r="F3967" s="1"/>
  <c r="E3968"/>
  <c r="E3969"/>
  <c r="E3970"/>
  <c r="E3971"/>
  <c r="E3972"/>
  <c r="E3973"/>
  <c r="E3974"/>
  <c r="E3975"/>
  <c r="E3976"/>
  <c r="E3977"/>
  <c r="E3978"/>
  <c r="F3978" s="1"/>
  <c r="E3979"/>
  <c r="F3979" s="1"/>
  <c r="E3980"/>
  <c r="E3981"/>
  <c r="F3981" s="1"/>
  <c r="E3982"/>
  <c r="F3982" s="1"/>
  <c r="E3983"/>
  <c r="E3984"/>
  <c r="E3985"/>
  <c r="E3986"/>
  <c r="E3987"/>
  <c r="E3988"/>
  <c r="E3989"/>
  <c r="E3990"/>
  <c r="E3991"/>
  <c r="E3992"/>
  <c r="E3993"/>
  <c r="E3994"/>
  <c r="F3994" s="1"/>
  <c r="E3995"/>
  <c r="E3996"/>
  <c r="E3997"/>
  <c r="F3997" s="1"/>
  <c r="E3998"/>
  <c r="F3998" s="1"/>
  <c r="E3999"/>
  <c r="E4000"/>
  <c r="E4001"/>
  <c r="E4002"/>
  <c r="E4003"/>
  <c r="E4004"/>
  <c r="E4005"/>
  <c r="E4006"/>
  <c r="E4007"/>
  <c r="E4008"/>
  <c r="E4009"/>
  <c r="F4009" s="1"/>
  <c r="E4010"/>
  <c r="F4010" s="1"/>
  <c r="E4011"/>
  <c r="F4011" s="1"/>
  <c r="E4012"/>
  <c r="E4013"/>
  <c r="E4014"/>
  <c r="F4014" s="1"/>
  <c r="E4015"/>
  <c r="E4016"/>
  <c r="E4017"/>
  <c r="E4018"/>
  <c r="E4019"/>
  <c r="E4020"/>
  <c r="E4021"/>
  <c r="E4022"/>
  <c r="E4023"/>
  <c r="E4024"/>
  <c r="E4025"/>
  <c r="F4025" s="1"/>
  <c r="E4026"/>
  <c r="F4026" s="1"/>
  <c r="E4027"/>
  <c r="F4027" s="1"/>
  <c r="E4028"/>
  <c r="E4029"/>
  <c r="F4029" s="1"/>
  <c r="E4030"/>
  <c r="F4030" s="1"/>
  <c r="E4031"/>
  <c r="E4032"/>
  <c r="E4033"/>
  <c r="E4034"/>
  <c r="E4035"/>
  <c r="E4036"/>
  <c r="E4037"/>
  <c r="E4038"/>
  <c r="E4039"/>
  <c r="E4040"/>
  <c r="E4041"/>
  <c r="F4041" s="1"/>
  <c r="E4042"/>
  <c r="F4042" s="1"/>
  <c r="E4043"/>
  <c r="F4043" s="1"/>
  <c r="E4044"/>
  <c r="E4045"/>
  <c r="F4045" s="1"/>
  <c r="E4046"/>
  <c r="F4046" s="1"/>
  <c r="E4047"/>
  <c r="F4047" s="1"/>
  <c r="E4048"/>
  <c r="E4049"/>
  <c r="E4050"/>
  <c r="E4051"/>
  <c r="E4052"/>
  <c r="E4053"/>
  <c r="E4054"/>
  <c r="E4055"/>
  <c r="E4056"/>
  <c r="E4057"/>
  <c r="F4057" s="1"/>
  <c r="E4058"/>
  <c r="F4058" s="1"/>
  <c r="E4059"/>
  <c r="F4059" s="1"/>
  <c r="E4060"/>
  <c r="E4061"/>
  <c r="F4061" s="1"/>
  <c r="E4062"/>
  <c r="F4062" s="1"/>
  <c r="E4063"/>
  <c r="F4063" s="1"/>
  <c r="E4064"/>
  <c r="E4065"/>
  <c r="E4066"/>
  <c r="E4067"/>
  <c r="E4068"/>
  <c r="E4069"/>
  <c r="E4070"/>
  <c r="E4071"/>
  <c r="E4072"/>
  <c r="E4073"/>
  <c r="E4074"/>
  <c r="F4074" s="1"/>
  <c r="E4075"/>
  <c r="F4075" s="1"/>
  <c r="E4076"/>
  <c r="E4077"/>
  <c r="F4077" s="1"/>
  <c r="E4078"/>
  <c r="F4078" s="1"/>
  <c r="E4079"/>
  <c r="F4079" s="1"/>
  <c r="E4080"/>
  <c r="E4081"/>
  <c r="E4082"/>
  <c r="E4083"/>
  <c r="E4084"/>
  <c r="E4085"/>
  <c r="E4086"/>
  <c r="E4087"/>
  <c r="E4088"/>
  <c r="E4089"/>
  <c r="E4090"/>
  <c r="F4090" s="1"/>
  <c r="E4091"/>
  <c r="F4091" s="1"/>
  <c r="E4092"/>
  <c r="E4093"/>
  <c r="F4093" s="1"/>
  <c r="E4094"/>
  <c r="F4094" s="1"/>
  <c r="E4095"/>
  <c r="F4095" s="1"/>
  <c r="E4096"/>
  <c r="E4097"/>
  <c r="E4098"/>
  <c r="E4099"/>
  <c r="E4100"/>
  <c r="E4101"/>
  <c r="E4102"/>
  <c r="E4103"/>
  <c r="E4104"/>
  <c r="E4105"/>
  <c r="E4106"/>
  <c r="F4106" s="1"/>
  <c r="E4107"/>
  <c r="F4107" s="1"/>
  <c r="E4108"/>
  <c r="E4109"/>
  <c r="F4109" s="1"/>
  <c r="E4110"/>
  <c r="F4110" s="1"/>
  <c r="E4111"/>
  <c r="E4112"/>
  <c r="E4113"/>
  <c r="E4114"/>
  <c r="E4115"/>
  <c r="E4116"/>
  <c r="E4117"/>
  <c r="E4118"/>
  <c r="E4119"/>
  <c r="E4120"/>
  <c r="E4121"/>
  <c r="E4122"/>
  <c r="F4122" s="1"/>
  <c r="E4123"/>
  <c r="E4124"/>
  <c r="E4125"/>
  <c r="F4125" s="1"/>
  <c r="E4126"/>
  <c r="F4126" s="1"/>
  <c r="E4127"/>
  <c r="E4128"/>
  <c r="E4129"/>
  <c r="E4130"/>
  <c r="E4131"/>
  <c r="E4132"/>
  <c r="E4133"/>
  <c r="E4134"/>
  <c r="E4135"/>
  <c r="E4136"/>
  <c r="E4137"/>
  <c r="F4137" s="1"/>
  <c r="E4138"/>
  <c r="F4138" s="1"/>
  <c r="E4139"/>
  <c r="F4139" s="1"/>
  <c r="E4140"/>
  <c r="E4141"/>
  <c r="E4142"/>
  <c r="F4142" s="1"/>
  <c r="E4143"/>
  <c r="E4144"/>
  <c r="E4145"/>
  <c r="E4146"/>
  <c r="E4147"/>
  <c r="E4148"/>
  <c r="E4149"/>
  <c r="E4150"/>
  <c r="E4151"/>
  <c r="E4152"/>
  <c r="E4153"/>
  <c r="F4153" s="1"/>
  <c r="E4154"/>
  <c r="F4154" s="1"/>
  <c r="E4155"/>
  <c r="F4155" s="1"/>
  <c r="E4156"/>
  <c r="E4157"/>
  <c r="F4157" s="1"/>
  <c r="E4158"/>
  <c r="F4158" s="1"/>
  <c r="E4159"/>
  <c r="E4160"/>
  <c r="E4161"/>
  <c r="E4162"/>
  <c r="E4163"/>
  <c r="E4164"/>
  <c r="E4165"/>
  <c r="E4166"/>
  <c r="E4167"/>
  <c r="E4168"/>
  <c r="E4169"/>
  <c r="F4169" s="1"/>
  <c r="E4170"/>
  <c r="F4170" s="1"/>
  <c r="E4171"/>
  <c r="F4171" s="1"/>
  <c r="E4172"/>
  <c r="E4173"/>
  <c r="F4173" s="1"/>
  <c r="E4174"/>
  <c r="F4174" s="1"/>
  <c r="E4175"/>
  <c r="F4175" s="1"/>
  <c r="E4176"/>
  <c r="E4177"/>
  <c r="E4178"/>
  <c r="E4179"/>
  <c r="E4180"/>
  <c r="E4181"/>
  <c r="E4182"/>
  <c r="E4183"/>
  <c r="E4184"/>
  <c r="E4185"/>
  <c r="F4185" s="1"/>
  <c r="E4186"/>
  <c r="F4186" s="1"/>
  <c r="E4187"/>
  <c r="F4187" s="1"/>
  <c r="E4188"/>
  <c r="E4189"/>
  <c r="F4189" s="1"/>
  <c r="E4190"/>
  <c r="F4190" s="1"/>
  <c r="E4191"/>
  <c r="F4191" s="1"/>
  <c r="E4192"/>
  <c r="E4193"/>
  <c r="E4194"/>
  <c r="E4195"/>
  <c r="E4196"/>
  <c r="E4197"/>
  <c r="E4198"/>
  <c r="E4199"/>
  <c r="E4200"/>
  <c r="E4201"/>
  <c r="E4202"/>
  <c r="F4202" s="1"/>
  <c r="E4203"/>
  <c r="F4203" s="1"/>
  <c r="E4204"/>
  <c r="E4205"/>
  <c r="F4205" s="1"/>
  <c r="E4206"/>
  <c r="F4206" s="1"/>
  <c r="E4207"/>
  <c r="F4207" s="1"/>
  <c r="E4208"/>
  <c r="E4209"/>
  <c r="E4210"/>
  <c r="E4211"/>
  <c r="E4212"/>
  <c r="E4213"/>
  <c r="E4214"/>
  <c r="E4215"/>
  <c r="E4216"/>
  <c r="E4217"/>
  <c r="E4218"/>
  <c r="F4218" s="1"/>
  <c r="E4219"/>
  <c r="F4219" s="1"/>
  <c r="E4220"/>
  <c r="E4221"/>
  <c r="F4221" s="1"/>
  <c r="E4222"/>
  <c r="F4222" s="1"/>
  <c r="E4223"/>
  <c r="F4223" s="1"/>
  <c r="E4224"/>
  <c r="E4225"/>
  <c r="E4226"/>
  <c r="E4227"/>
  <c r="E4228"/>
  <c r="E4229"/>
  <c r="E4230"/>
  <c r="E4231"/>
  <c r="E4232"/>
  <c r="E4233"/>
  <c r="E4234"/>
  <c r="F4234" s="1"/>
  <c r="E4235"/>
  <c r="F4235" s="1"/>
  <c r="E4236"/>
  <c r="E4237"/>
  <c r="F4237" s="1"/>
  <c r="E4238"/>
  <c r="F4238" s="1"/>
  <c r="E4239"/>
  <c r="E4240"/>
  <c r="E4241"/>
  <c r="E4242"/>
  <c r="E4243"/>
  <c r="E4244"/>
  <c r="E4245"/>
  <c r="E4246"/>
  <c r="E4247"/>
  <c r="E4248"/>
  <c r="E4249"/>
  <c r="E4250"/>
  <c r="F4250" s="1"/>
  <c r="E4251"/>
  <c r="E4252"/>
  <c r="E4253"/>
  <c r="F4253" s="1"/>
  <c r="E4254"/>
  <c r="F4254" s="1"/>
  <c r="E4255"/>
  <c r="E4256"/>
  <c r="E4257"/>
  <c r="E4258"/>
  <c r="E4259"/>
  <c r="E4260"/>
  <c r="E4261"/>
  <c r="E4262"/>
  <c r="E4263"/>
  <c r="E4264"/>
  <c r="E4265"/>
  <c r="F4265" s="1"/>
  <c r="E4266"/>
  <c r="F4266" s="1"/>
  <c r="E4267"/>
  <c r="F4267" s="1"/>
  <c r="E4268"/>
  <c r="E4269"/>
  <c r="E4270"/>
  <c r="F4270" s="1"/>
  <c r="E4271"/>
  <c r="E4272"/>
  <c r="E4273"/>
  <c r="E4274"/>
  <c r="E4275"/>
  <c r="E4276"/>
  <c r="E4277"/>
  <c r="E4278"/>
  <c r="E4279"/>
  <c r="E4280"/>
  <c r="E4281"/>
  <c r="F4281" s="1"/>
  <c r="E4282"/>
  <c r="F4282" s="1"/>
  <c r="E4283"/>
  <c r="F4283" s="1"/>
  <c r="E4284"/>
  <c r="E4285"/>
  <c r="F4285" s="1"/>
  <c r="E4286"/>
  <c r="F4286" s="1"/>
  <c r="E4287"/>
  <c r="E4288"/>
  <c r="E4289"/>
  <c r="E4290"/>
  <c r="E4291"/>
  <c r="E4292"/>
  <c r="E4293"/>
  <c r="E4294"/>
  <c r="E4295"/>
  <c r="E4296"/>
  <c r="E4297"/>
  <c r="F4297" s="1"/>
  <c r="E4298"/>
  <c r="F4298" s="1"/>
  <c r="E4299"/>
  <c r="F4299" s="1"/>
  <c r="E4300"/>
  <c r="E4301"/>
  <c r="F4301" s="1"/>
  <c r="E4302"/>
  <c r="F4302" s="1"/>
  <c r="E4303"/>
  <c r="F4303" s="1"/>
  <c r="E4304"/>
  <c r="E4305"/>
  <c r="E4306"/>
  <c r="E4307"/>
  <c r="E4308"/>
  <c r="E4309"/>
  <c r="E4310"/>
  <c r="E4311"/>
  <c r="E4312"/>
  <c r="E4313"/>
  <c r="F4313" s="1"/>
  <c r="E4314"/>
  <c r="F4314" s="1"/>
  <c r="E4315"/>
  <c r="F4315" s="1"/>
  <c r="E4316"/>
  <c r="E4317"/>
  <c r="F4317" s="1"/>
  <c r="E4318"/>
  <c r="F4318" s="1"/>
  <c r="E4319"/>
  <c r="F4319" s="1"/>
  <c r="E4320"/>
  <c r="E4321"/>
  <c r="E4322"/>
  <c r="E4323"/>
  <c r="E4324"/>
  <c r="E4325"/>
  <c r="E4326"/>
  <c r="E4327"/>
  <c r="E4328"/>
  <c r="E4329"/>
  <c r="E4330"/>
  <c r="F4330" s="1"/>
  <c r="E4331"/>
  <c r="F4331" s="1"/>
  <c r="E4332"/>
  <c r="E4333"/>
  <c r="F4333" s="1"/>
  <c r="E4334"/>
  <c r="F4334" s="1"/>
  <c r="E4335"/>
  <c r="F4335" s="1"/>
  <c r="E4336"/>
  <c r="E4337"/>
  <c r="E4338"/>
  <c r="E4339"/>
  <c r="E4340"/>
  <c r="E4341"/>
  <c r="E4342"/>
  <c r="E4343"/>
  <c r="E4344"/>
  <c r="E4345"/>
  <c r="E4346"/>
  <c r="F4346" s="1"/>
  <c r="E4347"/>
  <c r="F4347" s="1"/>
  <c r="E4348"/>
  <c r="E4349"/>
  <c r="F4349" s="1"/>
  <c r="E4350"/>
  <c r="F4350" s="1"/>
  <c r="E4351"/>
  <c r="F4351" s="1"/>
  <c r="E4352"/>
  <c r="E4353"/>
  <c r="E4354"/>
  <c r="E4355"/>
  <c r="E4356"/>
  <c r="E4357"/>
  <c r="E4358"/>
  <c r="E4359"/>
  <c r="E4360"/>
  <c r="E4361"/>
  <c r="E4362"/>
  <c r="F4362" s="1"/>
  <c r="E4363"/>
  <c r="F4363" s="1"/>
  <c r="E4364"/>
  <c r="E4365"/>
  <c r="F4365" s="1"/>
  <c r="E4366"/>
  <c r="F4366" s="1"/>
  <c r="E4367"/>
  <c r="E4368"/>
  <c r="E4369"/>
  <c r="E4370"/>
  <c r="E4371"/>
  <c r="E4372"/>
  <c r="E4373"/>
  <c r="E4374"/>
  <c r="E4375"/>
  <c r="E4376"/>
  <c r="E4377"/>
  <c r="E4378"/>
  <c r="F4378" s="1"/>
  <c r="E4379"/>
  <c r="E4380"/>
  <c r="E4381"/>
  <c r="F4381" s="1"/>
  <c r="E4382"/>
  <c r="F4382" s="1"/>
  <c r="E4383"/>
  <c r="E4384"/>
  <c r="E4385"/>
  <c r="E4386"/>
  <c r="E4387"/>
  <c r="E4388"/>
  <c r="E4389"/>
  <c r="E4390"/>
  <c r="E4391"/>
  <c r="E4392"/>
  <c r="E4393"/>
  <c r="F4393" s="1"/>
  <c r="E4394"/>
  <c r="F4394" s="1"/>
  <c r="E4395"/>
  <c r="F4395" s="1"/>
  <c r="E4396"/>
  <c r="E4397"/>
  <c r="E4398"/>
  <c r="F4398" s="1"/>
  <c r="E4399"/>
  <c r="E4400"/>
  <c r="E4401"/>
  <c r="E4402"/>
  <c r="E4403"/>
  <c r="E4404"/>
  <c r="E4405"/>
  <c r="E4406"/>
  <c r="E4407"/>
  <c r="E4408"/>
  <c r="E4409"/>
  <c r="F4409" s="1"/>
  <c r="E4410"/>
  <c r="F4410" s="1"/>
  <c r="E4411"/>
  <c r="F4411" s="1"/>
  <c r="E4412"/>
  <c r="E4413"/>
  <c r="F4413" s="1"/>
  <c r="E4414"/>
  <c r="F4414" s="1"/>
  <c r="E4415"/>
  <c r="E4416"/>
  <c r="E4417"/>
  <c r="E4418"/>
  <c r="E4419"/>
  <c r="E4420"/>
  <c r="E4421"/>
  <c r="E4422"/>
  <c r="E4423"/>
  <c r="E4424"/>
  <c r="E4425"/>
  <c r="F4425" s="1"/>
  <c r="E4426"/>
  <c r="F4426" s="1"/>
  <c r="E4427"/>
  <c r="F4427" s="1"/>
  <c r="E4428"/>
  <c r="E4429"/>
  <c r="F4429" s="1"/>
  <c r="E4430"/>
  <c r="F4430" s="1"/>
  <c r="E4431"/>
  <c r="F4431" s="1"/>
  <c r="E4432"/>
  <c r="E4433"/>
  <c r="E4434"/>
  <c r="E4435"/>
  <c r="E4436"/>
  <c r="E4437"/>
  <c r="E4438"/>
  <c r="E4439"/>
  <c r="E4440"/>
  <c r="E4441"/>
  <c r="F4441" s="1"/>
  <c r="E4442"/>
  <c r="F4442" s="1"/>
  <c r="E4443"/>
  <c r="F4443" s="1"/>
  <c r="E4444"/>
  <c r="E4445"/>
  <c r="F4445" s="1"/>
  <c r="E4446"/>
  <c r="F4446" s="1"/>
  <c r="E4447"/>
  <c r="F4447" s="1"/>
  <c r="E4448"/>
  <c r="E4449"/>
  <c r="E4450"/>
  <c r="E4451"/>
  <c r="E4452"/>
  <c r="E4453"/>
  <c r="E4454"/>
  <c r="E4455"/>
  <c r="E4456"/>
  <c r="E4457"/>
  <c r="E4458"/>
  <c r="F4458" s="1"/>
  <c r="E4459"/>
  <c r="F4459" s="1"/>
  <c r="E4460"/>
  <c r="E4461"/>
  <c r="F4461" s="1"/>
  <c r="E4462"/>
  <c r="F4462" s="1"/>
  <c r="E4463"/>
  <c r="F4463" s="1"/>
  <c r="E4464"/>
  <c r="E4465"/>
  <c r="E4466"/>
  <c r="E4467"/>
  <c r="E4468"/>
  <c r="E4469"/>
  <c r="E4470"/>
  <c r="E4471"/>
  <c r="E4472"/>
  <c r="E4473"/>
  <c r="E4474"/>
  <c r="F4474" s="1"/>
  <c r="E4475"/>
  <c r="F4475" s="1"/>
  <c r="E4476"/>
  <c r="E4477"/>
  <c r="F4477" s="1"/>
  <c r="E4478"/>
  <c r="F4478" s="1"/>
  <c r="E4479"/>
  <c r="F4479" s="1"/>
  <c r="E4480"/>
  <c r="E4481"/>
  <c r="E4482"/>
  <c r="E4483"/>
  <c r="E4484"/>
  <c r="E4485"/>
  <c r="E4486"/>
  <c r="E4487"/>
  <c r="E4488"/>
  <c r="E4489"/>
  <c r="E4490"/>
  <c r="F4490" s="1"/>
  <c r="E4491"/>
  <c r="F4491" s="1"/>
  <c r="E4492"/>
  <c r="E4493"/>
  <c r="F4493" s="1"/>
  <c r="E4494"/>
  <c r="F4494" s="1"/>
  <c r="E4495"/>
  <c r="E4496"/>
  <c r="E4497"/>
  <c r="E4498"/>
  <c r="E4499"/>
  <c r="E4500"/>
  <c r="E4501"/>
  <c r="E4502"/>
  <c r="E4503"/>
  <c r="E4504"/>
  <c r="E4505"/>
  <c r="E4506"/>
  <c r="F4506" s="1"/>
  <c r="E4507"/>
  <c r="E4508"/>
  <c r="E4509"/>
  <c r="F4509" s="1"/>
  <c r="E4510"/>
  <c r="F4510" s="1"/>
  <c r="E4511"/>
  <c r="E4512"/>
  <c r="E4513"/>
  <c r="E4514"/>
  <c r="E4515"/>
  <c r="E4516"/>
  <c r="E4517"/>
  <c r="E4518"/>
  <c r="E4519"/>
  <c r="E4520"/>
  <c r="E4521"/>
  <c r="F4521" s="1"/>
  <c r="E4522"/>
  <c r="F4522" s="1"/>
  <c r="E4523"/>
  <c r="F4523" s="1"/>
  <c r="E4524"/>
  <c r="E4525"/>
  <c r="E4526"/>
  <c r="F4526" s="1"/>
  <c r="E4527"/>
  <c r="E4528"/>
  <c r="E4529"/>
  <c r="E4530"/>
  <c r="E4531"/>
  <c r="E4532"/>
  <c r="E4533"/>
  <c r="E4534"/>
  <c r="E4535"/>
  <c r="E4536"/>
  <c r="E4537"/>
  <c r="F4537" s="1"/>
  <c r="E4538"/>
  <c r="F4538" s="1"/>
  <c r="E4539"/>
  <c r="F4539" s="1"/>
  <c r="E4540"/>
  <c r="E4541"/>
  <c r="F4541" s="1"/>
  <c r="E4542"/>
  <c r="F4542" s="1"/>
  <c r="E4543"/>
  <c r="E4544"/>
  <c r="E4545"/>
  <c r="E4546"/>
  <c r="E4547"/>
  <c r="E4548"/>
  <c r="E4549"/>
  <c r="E4550"/>
  <c r="E4551"/>
  <c r="E4552"/>
  <c r="E4553"/>
  <c r="F4553" s="1"/>
  <c r="E4554"/>
  <c r="F4554" s="1"/>
  <c r="E4555"/>
  <c r="F4555" s="1"/>
  <c r="E4556"/>
  <c r="E4557"/>
  <c r="F4557" s="1"/>
  <c r="E4558"/>
  <c r="F4558" s="1"/>
  <c r="E4559"/>
  <c r="F4559" s="1"/>
  <c r="E4560"/>
  <c r="E4561"/>
  <c r="E4562"/>
  <c r="E4563"/>
  <c r="E4564"/>
  <c r="E4565"/>
  <c r="E4566"/>
  <c r="E4567"/>
  <c r="E4568"/>
  <c r="E4569"/>
  <c r="F4569" s="1"/>
  <c r="E4570"/>
  <c r="F4570" s="1"/>
  <c r="E4571"/>
  <c r="F4571" s="1"/>
  <c r="E4572"/>
  <c r="E4573"/>
  <c r="F4573" s="1"/>
  <c r="E4574"/>
  <c r="F4574" s="1"/>
  <c r="E4575"/>
  <c r="F4575" s="1"/>
  <c r="E4576"/>
  <c r="E4577"/>
  <c r="E4578"/>
  <c r="E4579"/>
  <c r="E4580"/>
  <c r="E4581"/>
  <c r="E4582"/>
  <c r="E4583"/>
  <c r="E4584"/>
  <c r="E4585"/>
  <c r="E4586"/>
  <c r="F4586" s="1"/>
  <c r="E4587"/>
  <c r="F4587" s="1"/>
  <c r="E4588"/>
  <c r="E4589"/>
  <c r="F4589" s="1"/>
  <c r="E4590"/>
  <c r="F4590" s="1"/>
  <c r="E4591"/>
  <c r="F4591" s="1"/>
  <c r="E4592"/>
  <c r="E4593"/>
  <c r="E4594"/>
  <c r="E4595"/>
  <c r="E4596"/>
  <c r="E4597"/>
  <c r="E4598"/>
  <c r="E4599"/>
  <c r="E4600"/>
  <c r="E4601"/>
  <c r="E4602"/>
  <c r="F4602" s="1"/>
  <c r="E4603"/>
  <c r="F4603" s="1"/>
  <c r="E4604"/>
  <c r="E4605"/>
  <c r="F4605" s="1"/>
  <c r="E4606"/>
  <c r="F4606" s="1"/>
  <c r="E4607"/>
  <c r="F4607" s="1"/>
  <c r="E4608"/>
  <c r="E4609"/>
  <c r="E4610"/>
  <c r="E4611"/>
  <c r="E4612"/>
  <c r="E4613"/>
  <c r="E4614"/>
  <c r="E4615"/>
  <c r="E4616"/>
  <c r="E4617"/>
  <c r="E4618"/>
  <c r="F4618" s="1"/>
  <c r="E4619"/>
  <c r="F4619" s="1"/>
  <c r="E4620"/>
  <c r="E4621"/>
  <c r="F4621" s="1"/>
  <c r="E4622"/>
  <c r="F4622" s="1"/>
  <c r="E4623"/>
  <c r="E4624"/>
  <c r="E4625"/>
  <c r="E4626"/>
  <c r="E4627"/>
  <c r="E4628"/>
  <c r="E4629"/>
  <c r="E4630"/>
  <c r="E4631"/>
  <c r="E4632"/>
  <c r="E4633"/>
  <c r="E4634"/>
  <c r="F4634" s="1"/>
  <c r="E4635"/>
  <c r="E4636"/>
  <c r="E4637"/>
  <c r="F4637" s="1"/>
  <c r="E4638"/>
  <c r="F4638" s="1"/>
  <c r="E4639"/>
  <c r="E4640"/>
  <c r="E4641"/>
  <c r="E4642"/>
  <c r="E4643"/>
  <c r="E4644"/>
  <c r="E4645"/>
  <c r="E4646"/>
  <c r="E4647"/>
  <c r="E4648"/>
  <c r="E4649"/>
  <c r="F4649" s="1"/>
  <c r="E4650"/>
  <c r="F4650" s="1"/>
  <c r="E4651"/>
  <c r="F4651" s="1"/>
  <c r="E4652"/>
  <c r="E4653"/>
  <c r="E4654"/>
  <c r="F4654" s="1"/>
  <c r="E4655"/>
  <c r="E4656"/>
  <c r="E4657"/>
  <c r="E4658"/>
  <c r="E4659"/>
  <c r="E4660"/>
  <c r="E4661"/>
  <c r="E4662"/>
  <c r="E4663"/>
  <c r="E4664"/>
  <c r="E4665"/>
  <c r="F4665" s="1"/>
  <c r="E4666"/>
  <c r="F4666" s="1"/>
  <c r="E4667"/>
  <c r="F4667" s="1"/>
  <c r="E4668"/>
  <c r="E4669"/>
  <c r="F4669" s="1"/>
  <c r="E4670"/>
  <c r="F4670" s="1"/>
  <c r="E4671"/>
  <c r="E4672"/>
  <c r="E4673"/>
  <c r="E4674"/>
  <c r="E4675"/>
  <c r="E4676"/>
  <c r="E4677"/>
  <c r="E4678"/>
  <c r="E4679"/>
  <c r="E4680"/>
  <c r="E4681"/>
  <c r="F4681" s="1"/>
  <c r="E4682"/>
  <c r="F4682" s="1"/>
  <c r="E4683"/>
  <c r="F4683" s="1"/>
  <c r="E4684"/>
  <c r="E4685"/>
  <c r="F4685" s="1"/>
  <c r="E4686"/>
  <c r="F4686" s="1"/>
  <c r="E4687"/>
  <c r="F4687" s="1"/>
  <c r="E4688"/>
  <c r="E4689"/>
  <c r="E4690"/>
  <c r="E4691"/>
  <c r="E4692"/>
  <c r="E4693"/>
  <c r="E4694"/>
  <c r="E4695"/>
  <c r="E4696"/>
  <c r="E4697"/>
  <c r="F4697" s="1"/>
  <c r="E4698"/>
  <c r="F4698" s="1"/>
  <c r="E4699"/>
  <c r="F4699" s="1"/>
  <c r="E4700"/>
  <c r="E4701"/>
  <c r="F4701" s="1"/>
  <c r="E4702"/>
  <c r="F4702" s="1"/>
  <c r="E4703"/>
  <c r="F4703" s="1"/>
  <c r="E4704"/>
  <c r="E4705"/>
  <c r="E4706"/>
  <c r="E4707"/>
  <c r="E4708"/>
  <c r="E4709"/>
  <c r="E4710"/>
  <c r="E4711"/>
  <c r="E4712"/>
  <c r="E4713"/>
  <c r="E4714"/>
  <c r="F4714" s="1"/>
  <c r="E4715"/>
  <c r="F4715" s="1"/>
  <c r="E4716"/>
  <c r="E4717"/>
  <c r="F4717" s="1"/>
  <c r="E4718"/>
  <c r="F4718" s="1"/>
  <c r="E4719"/>
  <c r="F4719" s="1"/>
  <c r="E4720"/>
  <c r="E4721"/>
  <c r="E4722"/>
  <c r="E4723"/>
  <c r="E4724"/>
  <c r="E4725"/>
  <c r="E4726"/>
  <c r="E4727"/>
  <c r="E4728"/>
  <c r="E4729"/>
  <c r="E4730"/>
  <c r="F4730" s="1"/>
  <c r="E4731"/>
  <c r="F4731" s="1"/>
  <c r="E4732"/>
  <c r="E4733"/>
  <c r="F4733" s="1"/>
  <c r="E4734"/>
  <c r="F4734" s="1"/>
  <c r="E4735"/>
  <c r="F4735" s="1"/>
  <c r="E4736"/>
  <c r="E4737"/>
  <c r="E4738"/>
  <c r="E4739"/>
  <c r="E4740"/>
  <c r="E4741"/>
  <c r="E4742"/>
  <c r="E4743"/>
  <c r="E4744"/>
  <c r="E4745"/>
  <c r="E4746"/>
  <c r="F4746" s="1"/>
  <c r="E4747"/>
  <c r="F4747" s="1"/>
  <c r="E4748"/>
  <c r="E4749"/>
  <c r="F4749" s="1"/>
  <c r="E4750"/>
  <c r="F4750" s="1"/>
  <c r="E4751"/>
  <c r="E4752"/>
  <c r="E4753"/>
  <c r="E4754"/>
  <c r="E4755"/>
  <c r="E4756"/>
  <c r="E4757"/>
  <c r="E4758"/>
  <c r="E4759"/>
  <c r="E4760"/>
  <c r="E4761"/>
  <c r="E4762"/>
  <c r="F4762" s="1"/>
  <c r="E4763"/>
  <c r="E4764"/>
  <c r="E4765"/>
  <c r="F4765" s="1"/>
  <c r="E4766"/>
  <c r="F4766" s="1"/>
  <c r="E4767"/>
  <c r="E4768"/>
  <c r="E4769"/>
  <c r="E4770"/>
  <c r="E4771"/>
  <c r="E4772"/>
  <c r="E4773"/>
  <c r="E4774"/>
  <c r="E4775"/>
  <c r="E4776"/>
  <c r="E4777"/>
  <c r="F4777" s="1"/>
  <c r="E4778"/>
  <c r="F4778" s="1"/>
  <c r="E4779"/>
  <c r="F4779" s="1"/>
  <c r="E4780"/>
  <c r="E4781"/>
  <c r="E4782"/>
  <c r="F4782" s="1"/>
  <c r="E4783"/>
  <c r="E4784"/>
  <c r="E4785"/>
  <c r="E4786"/>
  <c r="E4787"/>
  <c r="E4788"/>
  <c r="E4789"/>
  <c r="E4790"/>
  <c r="E4791"/>
  <c r="E4792"/>
  <c r="E4793"/>
  <c r="F4793" s="1"/>
  <c r="E4794"/>
  <c r="F4794" s="1"/>
  <c r="E4795"/>
  <c r="F4795" s="1"/>
  <c r="E4796"/>
  <c r="E4797"/>
  <c r="F4797" s="1"/>
  <c r="E4798"/>
  <c r="F4798" s="1"/>
  <c r="E4799"/>
  <c r="E4800"/>
  <c r="E4801"/>
  <c r="E4802"/>
  <c r="E4803"/>
  <c r="E4804"/>
  <c r="E4805"/>
  <c r="E4806"/>
  <c r="E4807"/>
  <c r="E4808"/>
  <c r="E4809"/>
  <c r="F4809" s="1"/>
  <c r="E4810"/>
  <c r="F4810" s="1"/>
  <c r="E4811"/>
  <c r="F4811" s="1"/>
  <c r="E4812"/>
  <c r="E4813"/>
  <c r="F4813" s="1"/>
  <c r="E4814"/>
  <c r="F4814" s="1"/>
  <c r="E4815"/>
  <c r="F4815" s="1"/>
  <c r="E4816"/>
  <c r="E4817"/>
  <c r="E4818"/>
  <c r="E4819"/>
  <c r="E4820"/>
  <c r="E4821"/>
  <c r="E4822"/>
  <c r="E4823"/>
  <c r="E4824"/>
  <c r="E4825"/>
  <c r="F4825" s="1"/>
  <c r="E4826"/>
  <c r="F4826" s="1"/>
  <c r="E4827"/>
  <c r="F4827" s="1"/>
  <c r="E4828"/>
  <c r="E4829"/>
  <c r="F4829" s="1"/>
  <c r="E4830"/>
  <c r="F4830" s="1"/>
  <c r="E4831"/>
  <c r="F4831" s="1"/>
  <c r="E4832"/>
  <c r="E4833"/>
  <c r="E4834"/>
  <c r="E4835"/>
  <c r="E4836"/>
  <c r="E4837"/>
  <c r="E4838"/>
  <c r="E4839"/>
  <c r="E4840"/>
  <c r="E4841"/>
  <c r="E4842"/>
  <c r="F4842" s="1"/>
  <c r="E4843"/>
  <c r="F4843" s="1"/>
  <c r="E4844"/>
  <c r="E4845"/>
  <c r="F4845" s="1"/>
  <c r="E4846"/>
  <c r="F4846" s="1"/>
  <c r="E4847"/>
  <c r="F4847" s="1"/>
  <c r="E4848"/>
  <c r="E4849"/>
  <c r="E4850"/>
  <c r="E4851"/>
  <c r="E4852"/>
  <c r="E4853"/>
  <c r="E4854"/>
  <c r="E4855"/>
  <c r="E4856"/>
  <c r="E4857"/>
  <c r="E4858"/>
  <c r="F4858" s="1"/>
  <c r="E4859"/>
  <c r="F4859" s="1"/>
  <c r="E4860"/>
  <c r="E4861"/>
  <c r="F4861" s="1"/>
  <c r="E4862"/>
  <c r="F4862" s="1"/>
  <c r="E4863"/>
  <c r="F4863" s="1"/>
  <c r="E4864"/>
  <c r="E4865"/>
  <c r="E4866"/>
  <c r="E4867"/>
  <c r="E4868"/>
  <c r="E4869"/>
  <c r="E4870"/>
  <c r="E4871"/>
  <c r="E4872"/>
  <c r="E4873"/>
  <c r="E4874"/>
  <c r="F4874" s="1"/>
  <c r="E4875"/>
  <c r="F4875" s="1"/>
  <c r="E4876"/>
  <c r="E4877"/>
  <c r="F4877" s="1"/>
  <c r="E4878"/>
  <c r="F4878" s="1"/>
  <c r="E4879"/>
  <c r="E4880"/>
  <c r="E4881"/>
  <c r="E4882"/>
  <c r="E4883"/>
  <c r="E4884"/>
  <c r="E4885"/>
  <c r="E4886"/>
  <c r="E4887"/>
  <c r="E4888"/>
  <c r="E4889"/>
  <c r="E4890"/>
  <c r="F4890" s="1"/>
  <c r="E4891"/>
  <c r="E4892"/>
  <c r="E4893"/>
  <c r="F4893" s="1"/>
  <c r="E4894"/>
  <c r="F4894" s="1"/>
  <c r="E4895"/>
  <c r="E4896"/>
  <c r="E4897"/>
  <c r="E4898"/>
  <c r="E4899"/>
  <c r="E4900"/>
  <c r="E4901"/>
  <c r="E4902"/>
  <c r="E4903"/>
  <c r="E4904"/>
  <c r="E4905"/>
  <c r="F4905" s="1"/>
  <c r="E4906"/>
  <c r="F4906" s="1"/>
  <c r="E4907"/>
  <c r="F4907" s="1"/>
  <c r="E4908"/>
  <c r="E4909"/>
  <c r="E4910"/>
  <c r="F4910" s="1"/>
  <c r="E4911"/>
  <c r="E4912"/>
  <c r="E4913"/>
  <c r="E4914"/>
  <c r="E4915"/>
  <c r="E4916"/>
  <c r="E4917"/>
  <c r="E4918"/>
  <c r="E4919"/>
  <c r="E4920"/>
  <c r="E4921"/>
  <c r="F4921" s="1"/>
  <c r="E4922"/>
  <c r="F4922" s="1"/>
  <c r="E4923"/>
  <c r="F4923" s="1"/>
  <c r="E4924"/>
  <c r="E4925"/>
  <c r="F4925" s="1"/>
  <c r="E4926"/>
  <c r="F4926" s="1"/>
  <c r="E4927"/>
  <c r="E4928"/>
  <c r="E4929"/>
  <c r="E4930"/>
  <c r="E4931"/>
  <c r="E4932"/>
  <c r="E4933"/>
  <c r="E4934"/>
  <c r="E4935"/>
  <c r="E4936"/>
  <c r="E4937"/>
  <c r="F4937" s="1"/>
  <c r="E4938"/>
  <c r="F4938" s="1"/>
  <c r="E4939"/>
  <c r="F4939" s="1"/>
  <c r="E4940"/>
  <c r="E4941"/>
  <c r="F4941" s="1"/>
  <c r="E4942"/>
  <c r="F4942" s="1"/>
  <c r="E4943"/>
  <c r="F4943" s="1"/>
  <c r="E4944"/>
  <c r="E4945"/>
  <c r="E4946"/>
  <c r="E4947"/>
  <c r="E4948"/>
  <c r="E4949"/>
  <c r="E4950"/>
  <c r="E4951"/>
  <c r="E4952"/>
  <c r="E4953"/>
  <c r="F4953" s="1"/>
  <c r="E4954"/>
  <c r="F4954" s="1"/>
  <c r="E4955"/>
  <c r="F4955" s="1"/>
  <c r="E4956"/>
  <c r="E4957"/>
  <c r="F4957" s="1"/>
  <c r="E4958"/>
  <c r="F4958" s="1"/>
  <c r="E4959"/>
  <c r="F4959" s="1"/>
  <c r="E4960"/>
  <c r="E4961"/>
  <c r="E4962"/>
  <c r="E4963"/>
  <c r="E4964"/>
  <c r="E4965"/>
  <c r="E4966"/>
  <c r="E4967"/>
  <c r="E4968"/>
  <c r="E4969"/>
  <c r="E4970"/>
  <c r="F4970" s="1"/>
  <c r="E4971"/>
  <c r="F4971" s="1"/>
  <c r="E4972"/>
  <c r="E4973"/>
  <c r="F4973" s="1"/>
  <c r="E4974"/>
  <c r="F4974" s="1"/>
  <c r="E4975"/>
  <c r="F4975" s="1"/>
  <c r="E4976"/>
  <c r="E4977"/>
  <c r="E4978"/>
  <c r="E4979"/>
  <c r="E4980"/>
  <c r="E4981"/>
  <c r="E4982"/>
  <c r="E4983"/>
  <c r="E4984"/>
  <c r="E4985"/>
  <c r="E4986"/>
  <c r="F4986" s="1"/>
  <c r="E4987"/>
  <c r="F4987" s="1"/>
  <c r="E4988"/>
  <c r="E4989"/>
  <c r="F4989" s="1"/>
  <c r="E4990"/>
  <c r="F4990" s="1"/>
  <c r="E4991"/>
  <c r="F4991" s="1"/>
  <c r="E4992"/>
  <c r="E4993"/>
  <c r="E4994"/>
  <c r="E4995"/>
  <c r="E4996"/>
  <c r="E4997"/>
  <c r="E4998"/>
  <c r="E4999"/>
  <c r="E5000"/>
  <c r="E5001"/>
  <c r="E5002"/>
  <c r="F5002" s="1"/>
  <c r="E5003"/>
  <c r="F5003" s="1"/>
  <c r="E5004"/>
  <c r="E5005"/>
  <c r="F5005" s="1"/>
  <c r="E5006"/>
  <c r="F5006" s="1"/>
  <c r="E5007"/>
  <c r="E5008"/>
  <c r="E5009"/>
  <c r="E5010"/>
  <c r="E5011"/>
  <c r="E5012"/>
  <c r="E5013"/>
  <c r="E5014"/>
  <c r="E5015"/>
  <c r="E5016"/>
  <c r="E5017"/>
  <c r="E5018"/>
  <c r="F5018" s="1"/>
  <c r="E5019"/>
  <c r="E5020"/>
  <c r="E5021"/>
  <c r="F5021" s="1"/>
  <c r="E5022"/>
  <c r="F5022" s="1"/>
  <c r="E5023"/>
  <c r="E5024"/>
  <c r="E5025"/>
  <c r="E5026"/>
  <c r="E5027"/>
  <c r="E5028"/>
  <c r="E5029"/>
  <c r="E5030"/>
  <c r="E5031"/>
  <c r="E5032"/>
  <c r="E5033"/>
  <c r="F5033" s="1"/>
  <c r="E5034"/>
  <c r="F5034" s="1"/>
  <c r="E5035"/>
  <c r="F5035" s="1"/>
  <c r="E5036"/>
  <c r="E5037"/>
  <c r="E5038"/>
  <c r="F5038" s="1"/>
  <c r="E5039"/>
  <c r="E5040"/>
  <c r="E5041"/>
  <c r="E5042"/>
  <c r="E5043"/>
  <c r="E5044"/>
  <c r="E5045"/>
  <c r="E5046"/>
  <c r="E5047"/>
  <c r="E5048"/>
  <c r="E5049"/>
  <c r="F5049" s="1"/>
  <c r="E5050"/>
  <c r="F5050" s="1"/>
  <c r="E5051"/>
  <c r="F5051" s="1"/>
  <c r="E5052"/>
  <c r="E5053"/>
  <c r="F5053" s="1"/>
  <c r="E5054"/>
  <c r="F5054" s="1"/>
  <c r="E5055"/>
  <c r="E5056"/>
  <c r="E5057"/>
  <c r="E5058"/>
  <c r="E5059"/>
  <c r="E5060"/>
  <c r="E5061"/>
  <c r="E5062"/>
  <c r="E5063"/>
  <c r="E5064"/>
  <c r="E5065"/>
  <c r="F5065" s="1"/>
  <c r="E5066"/>
  <c r="F5066" s="1"/>
  <c r="E5067"/>
  <c r="F5067" s="1"/>
  <c r="E5068"/>
  <c r="E5069"/>
  <c r="F5069" s="1"/>
  <c r="E5070"/>
  <c r="F5070" s="1"/>
  <c r="E5071"/>
  <c r="F5071" s="1"/>
  <c r="E5072"/>
  <c r="E5073"/>
  <c r="E5074"/>
  <c r="E5075"/>
  <c r="E5076"/>
  <c r="E5077"/>
  <c r="E5078"/>
  <c r="E5079"/>
  <c r="E5080"/>
  <c r="E5081"/>
  <c r="F5081" s="1"/>
  <c r="E5082"/>
  <c r="F5082" s="1"/>
  <c r="E5083"/>
  <c r="F5083" s="1"/>
  <c r="E5084"/>
  <c r="E5085"/>
  <c r="F5085" s="1"/>
  <c r="E5086"/>
  <c r="F5086" s="1"/>
  <c r="E5087"/>
  <c r="F5087" s="1"/>
  <c r="E5088"/>
  <c r="E5089"/>
  <c r="E5090"/>
  <c r="E5091"/>
  <c r="E5092"/>
  <c r="E5093"/>
  <c r="E5094"/>
  <c r="E5095"/>
  <c r="E5096"/>
  <c r="E5097"/>
  <c r="E5098"/>
  <c r="F5098" s="1"/>
  <c r="E5099"/>
  <c r="F5099" s="1"/>
  <c r="E5100"/>
  <c r="E5101"/>
  <c r="F5101" s="1"/>
  <c r="E5102"/>
  <c r="F5102" s="1"/>
  <c r="E5103"/>
  <c r="F5103" s="1"/>
  <c r="E5104"/>
  <c r="E5105"/>
  <c r="E5106"/>
  <c r="E5107"/>
  <c r="E5108"/>
  <c r="E5109"/>
  <c r="E5110"/>
  <c r="E5111"/>
  <c r="E5112"/>
  <c r="E5113"/>
  <c r="E5114"/>
  <c r="F5114" s="1"/>
  <c r="E5115"/>
  <c r="F5115" s="1"/>
  <c r="E5116"/>
  <c r="E5117"/>
  <c r="F5117" s="1"/>
  <c r="E5118"/>
  <c r="F5118" s="1"/>
  <c r="E5119"/>
  <c r="F5119" s="1"/>
  <c r="E5120"/>
  <c r="E5121"/>
  <c r="E5122"/>
  <c r="E5123"/>
  <c r="E5124"/>
  <c r="E5125"/>
  <c r="E5126"/>
  <c r="E5127"/>
  <c r="E5128"/>
  <c r="E5129"/>
  <c r="E5130"/>
  <c r="F5130" s="1"/>
  <c r="E5131"/>
  <c r="F5131" s="1"/>
  <c r="E5132"/>
  <c r="E5133"/>
  <c r="F5133" s="1"/>
  <c r="E5134"/>
  <c r="F5134" s="1"/>
  <c r="E5135"/>
  <c r="E5136"/>
  <c r="E5137"/>
  <c r="E5138"/>
  <c r="E5139"/>
  <c r="E5140"/>
  <c r="E5141"/>
  <c r="E5142"/>
  <c r="E5143"/>
  <c r="E5144"/>
  <c r="E5145"/>
  <c r="E5146"/>
  <c r="F5146" s="1"/>
  <c r="E5147"/>
  <c r="E5148"/>
  <c r="E5149"/>
  <c r="F5149" s="1"/>
  <c r="E5150"/>
  <c r="F5150" s="1"/>
  <c r="E5151"/>
  <c r="E5152"/>
  <c r="E5153"/>
  <c r="E5154"/>
  <c r="E5155"/>
  <c r="E5156"/>
  <c r="E5157"/>
  <c r="E5158"/>
  <c r="E5159"/>
  <c r="E5160"/>
  <c r="E5161"/>
  <c r="F5161" s="1"/>
  <c r="E5162"/>
  <c r="F5162" s="1"/>
  <c r="E5163"/>
  <c r="F5163" s="1"/>
  <c r="E5164"/>
  <c r="E5165"/>
  <c r="E5166"/>
  <c r="F5166" s="1"/>
  <c r="E5167"/>
  <c r="E5168"/>
  <c r="E5169"/>
  <c r="E5170"/>
  <c r="E5171"/>
  <c r="E5172"/>
  <c r="E5173"/>
  <c r="E5174"/>
  <c r="E5175"/>
  <c r="E5176"/>
  <c r="E5177"/>
  <c r="F5177" s="1"/>
  <c r="E5178"/>
  <c r="F5178" s="1"/>
  <c r="E5179"/>
  <c r="F5179" s="1"/>
  <c r="E5180"/>
  <c r="E5181"/>
  <c r="F5181" s="1"/>
  <c r="E5182"/>
  <c r="F5182" s="1"/>
  <c r="E5183"/>
  <c r="E5184"/>
  <c r="E5185"/>
  <c r="E5186"/>
  <c r="E5187"/>
  <c r="E5188"/>
  <c r="E5189"/>
  <c r="E5190"/>
  <c r="E5191"/>
  <c r="E5192"/>
  <c r="E5193"/>
  <c r="F5193" s="1"/>
  <c r="E5194"/>
  <c r="F5194" s="1"/>
  <c r="E5195"/>
  <c r="F5195" s="1"/>
  <c r="E5196"/>
  <c r="E5197"/>
  <c r="F5197" s="1"/>
  <c r="E5198"/>
  <c r="F5198" s="1"/>
  <c r="E5199"/>
  <c r="F5199" s="1"/>
  <c r="E5200"/>
  <c r="E5201"/>
  <c r="E5202"/>
  <c r="E5203"/>
  <c r="E5204"/>
  <c r="E5205"/>
  <c r="E5206"/>
  <c r="E5207"/>
  <c r="E5208"/>
  <c r="E5209"/>
  <c r="F5209" s="1"/>
  <c r="E5210"/>
  <c r="F5210" s="1"/>
  <c r="E5211"/>
  <c r="F5211" s="1"/>
  <c r="E5212"/>
  <c r="E5213"/>
  <c r="F5213" s="1"/>
  <c r="E5214"/>
  <c r="F5214" s="1"/>
  <c r="E5215"/>
  <c r="F5215" s="1"/>
  <c r="E5216"/>
  <c r="E5217"/>
  <c r="E5218"/>
  <c r="E5219"/>
  <c r="E5220"/>
  <c r="E5221"/>
  <c r="E5222"/>
  <c r="E5223"/>
  <c r="E5224"/>
  <c r="E5225"/>
  <c r="E5226"/>
  <c r="F5226" s="1"/>
  <c r="E5227"/>
  <c r="F5227" s="1"/>
  <c r="E5228"/>
  <c r="E5229"/>
  <c r="F5229" s="1"/>
  <c r="E5230"/>
  <c r="F5230" s="1"/>
  <c r="E5231"/>
  <c r="F5231" s="1"/>
  <c r="E5232"/>
  <c r="E5233"/>
  <c r="E5234"/>
  <c r="E5235"/>
  <c r="E5236"/>
  <c r="E5237"/>
  <c r="E5238"/>
  <c r="E5239"/>
  <c r="E5240"/>
  <c r="E5241"/>
  <c r="E5242"/>
  <c r="F5242" s="1"/>
  <c r="E5243"/>
  <c r="F5243" s="1"/>
  <c r="E5244"/>
  <c r="E5245"/>
  <c r="F5245" s="1"/>
  <c r="E5246"/>
  <c r="F5246" s="1"/>
  <c r="E5247"/>
  <c r="F5247" s="1"/>
  <c r="E5248"/>
  <c r="E5249"/>
  <c r="E5250"/>
  <c r="E5251"/>
  <c r="E5252"/>
  <c r="E5253"/>
  <c r="E5254"/>
  <c r="E5255"/>
  <c r="E5256"/>
  <c r="E5257"/>
  <c r="E5258"/>
  <c r="F5258" s="1"/>
  <c r="E5259"/>
  <c r="F5259" s="1"/>
  <c r="E5260"/>
  <c r="E5261"/>
  <c r="F5261" s="1"/>
  <c r="E5262"/>
  <c r="F5262" s="1"/>
  <c r="E5263"/>
  <c r="E5264"/>
  <c r="E5265"/>
  <c r="E5266"/>
  <c r="E5267"/>
  <c r="E5268"/>
  <c r="E5269"/>
  <c r="E5270"/>
  <c r="E5271"/>
  <c r="E5272"/>
  <c r="E5273"/>
  <c r="E5274"/>
  <c r="F5274" s="1"/>
  <c r="E5275"/>
  <c r="E5276"/>
  <c r="E5277"/>
  <c r="F5277" s="1"/>
  <c r="E5278"/>
  <c r="F5278" s="1"/>
  <c r="E5279"/>
  <c r="E5280"/>
  <c r="E5281"/>
  <c r="E5282"/>
  <c r="E5283"/>
  <c r="E5284"/>
  <c r="E5285"/>
  <c r="E5286"/>
  <c r="E5287"/>
  <c r="E5288"/>
  <c r="E5289"/>
  <c r="F5289" s="1"/>
  <c r="E5290"/>
  <c r="F5290" s="1"/>
  <c r="E5291"/>
  <c r="F5291" s="1"/>
  <c r="E5292"/>
  <c r="E5293"/>
  <c r="E5294"/>
  <c r="F5294" s="1"/>
  <c r="E5295"/>
  <c r="E5296"/>
  <c r="E5297"/>
  <c r="E5298"/>
  <c r="E5299"/>
  <c r="E5300"/>
  <c r="E5301"/>
  <c r="E5302"/>
  <c r="E5303"/>
  <c r="E5304"/>
  <c r="E5305"/>
  <c r="F5305" s="1"/>
  <c r="E5306"/>
  <c r="F5306" s="1"/>
  <c r="E5307"/>
  <c r="F5307" s="1"/>
  <c r="E5308"/>
  <c r="E5309"/>
  <c r="F5309" s="1"/>
  <c r="E5310"/>
  <c r="F5310" s="1"/>
  <c r="E5311"/>
  <c r="E5312"/>
  <c r="E5313"/>
  <c r="E5314"/>
  <c r="E5315"/>
  <c r="E5316"/>
  <c r="E5317"/>
  <c r="E5318"/>
  <c r="E5319"/>
  <c r="E5320"/>
  <c r="E5321"/>
  <c r="F5321" s="1"/>
  <c r="E5322"/>
  <c r="F5322" s="1"/>
  <c r="E5323"/>
  <c r="F5323" s="1"/>
  <c r="E5324"/>
  <c r="E5325"/>
  <c r="F5325" s="1"/>
  <c r="E5326"/>
  <c r="F5326" s="1"/>
  <c r="E5327"/>
  <c r="F5327" s="1"/>
  <c r="E5328"/>
  <c r="E5329"/>
  <c r="E5330"/>
  <c r="E5331"/>
  <c r="E5332"/>
  <c r="E5333"/>
  <c r="E5334"/>
  <c r="E5335"/>
  <c r="E5336"/>
  <c r="E5337"/>
  <c r="F5337" s="1"/>
  <c r="E5338"/>
  <c r="F5338" s="1"/>
  <c r="E5339"/>
  <c r="F5339" s="1"/>
  <c r="E5340"/>
  <c r="E5341"/>
  <c r="F5341" s="1"/>
  <c r="E5342"/>
  <c r="F5342" s="1"/>
  <c r="E5343"/>
  <c r="F5343" s="1"/>
  <c r="E5344"/>
  <c r="E5345"/>
  <c r="E5346"/>
  <c r="E5347"/>
  <c r="E5348"/>
  <c r="E5349"/>
  <c r="E5350"/>
  <c r="E5351"/>
  <c r="E5352"/>
  <c r="E5353"/>
  <c r="E5354"/>
  <c r="F5354" s="1"/>
  <c r="E5355"/>
  <c r="F5355" s="1"/>
  <c r="E5356"/>
  <c r="E5357"/>
  <c r="F5357" s="1"/>
  <c r="E5358"/>
  <c r="F5358" s="1"/>
  <c r="E5359"/>
  <c r="F5359" s="1"/>
  <c r="E5360"/>
  <c r="E5361"/>
  <c r="E5362"/>
  <c r="E5363"/>
  <c r="E5364"/>
  <c r="E5365"/>
  <c r="E5366"/>
  <c r="E5367"/>
  <c r="E5368"/>
  <c r="E5369"/>
  <c r="E5370"/>
  <c r="F5370" s="1"/>
  <c r="E5371"/>
  <c r="F5371" s="1"/>
  <c r="E5372"/>
  <c r="E5373"/>
  <c r="F5373" s="1"/>
  <c r="E5374"/>
  <c r="F5374" s="1"/>
  <c r="E5375"/>
  <c r="F5375" s="1"/>
  <c r="E5376"/>
  <c r="E5377"/>
  <c r="E5378"/>
  <c r="E5379"/>
  <c r="E5380"/>
  <c r="E5381"/>
  <c r="E5382"/>
  <c r="E5383"/>
  <c r="E5384"/>
  <c r="E5385"/>
  <c r="E5386"/>
  <c r="F5386" s="1"/>
  <c r="E5387"/>
  <c r="F5387" s="1"/>
  <c r="E5388"/>
  <c r="E5389"/>
  <c r="F5389" s="1"/>
  <c r="E5390"/>
  <c r="F5390" s="1"/>
  <c r="E5391"/>
  <c r="E5392"/>
  <c r="E5393"/>
  <c r="E5394"/>
  <c r="E5395"/>
  <c r="E5396"/>
  <c r="E5397"/>
  <c r="E5398"/>
  <c r="E5399"/>
  <c r="E5400"/>
  <c r="E5401"/>
  <c r="E5402"/>
  <c r="F5402" s="1"/>
  <c r="E5403"/>
  <c r="E5404"/>
  <c r="E5405"/>
  <c r="F5405" s="1"/>
  <c r="E5406"/>
  <c r="F5406" s="1"/>
  <c r="E5407"/>
  <c r="E5408"/>
  <c r="E5409"/>
  <c r="E5410"/>
  <c r="E5411"/>
  <c r="E5412"/>
  <c r="E5413"/>
  <c r="E5414"/>
  <c r="E5415"/>
  <c r="E5416"/>
  <c r="E5417"/>
  <c r="F5417" s="1"/>
  <c r="E5418"/>
  <c r="F5418" s="1"/>
  <c r="E5419"/>
  <c r="F5419" s="1"/>
  <c r="E5420"/>
  <c r="E5421"/>
  <c r="E5422"/>
  <c r="F5422" s="1"/>
  <c r="E5423"/>
  <c r="E5424"/>
  <c r="E5425"/>
  <c r="E5426"/>
  <c r="E5427"/>
  <c r="E5428"/>
  <c r="E5429"/>
  <c r="E5430"/>
  <c r="E5431"/>
  <c r="E5432"/>
  <c r="E5433"/>
  <c r="F5433" s="1"/>
  <c r="E5434"/>
  <c r="F5434" s="1"/>
  <c r="E5435"/>
  <c r="F5435" s="1"/>
  <c r="E5436"/>
  <c r="E5437"/>
  <c r="F5437" s="1"/>
  <c r="E5438"/>
  <c r="F5438" s="1"/>
  <c r="E5439"/>
  <c r="E5440"/>
  <c r="E5441"/>
  <c r="E5442"/>
  <c r="E5443"/>
  <c r="E5444"/>
  <c r="E5445"/>
  <c r="E5446"/>
  <c r="E5447"/>
  <c r="E5448"/>
  <c r="E5449"/>
  <c r="F5449" s="1"/>
  <c r="E5450"/>
  <c r="F5450" s="1"/>
  <c r="E5451"/>
  <c r="F5451" s="1"/>
  <c r="E5452"/>
  <c r="E5453"/>
  <c r="F5453" s="1"/>
  <c r="E5454"/>
  <c r="F5454" s="1"/>
  <c r="E5455"/>
  <c r="F5455" s="1"/>
  <c r="E5456"/>
  <c r="E5457"/>
  <c r="E5458"/>
  <c r="E5459"/>
  <c r="E5460"/>
  <c r="E5461"/>
  <c r="E5462"/>
  <c r="E5463"/>
  <c r="E5464"/>
  <c r="E5465"/>
  <c r="F5465" s="1"/>
  <c r="E5466"/>
  <c r="F5466" s="1"/>
  <c r="E5467"/>
  <c r="F5467" s="1"/>
  <c r="E5468"/>
  <c r="E5469"/>
  <c r="F5469" s="1"/>
  <c r="E5470"/>
  <c r="F5470" s="1"/>
  <c r="E5471"/>
  <c r="F5471" s="1"/>
  <c r="E5472"/>
  <c r="E5473"/>
  <c r="E5474"/>
  <c r="E5475"/>
  <c r="E5476"/>
  <c r="E5477"/>
  <c r="E5478"/>
  <c r="E5479"/>
  <c r="E5480"/>
  <c r="E5481"/>
  <c r="E5482"/>
  <c r="F5482" s="1"/>
  <c r="E5483"/>
  <c r="F5483" s="1"/>
  <c r="E5484"/>
  <c r="E5485"/>
  <c r="F5485" s="1"/>
  <c r="E5486"/>
  <c r="F5486" s="1"/>
  <c r="E5487"/>
  <c r="F5487" s="1"/>
  <c r="E5488"/>
  <c r="E5489"/>
  <c r="E5490"/>
  <c r="E5491"/>
  <c r="E5492"/>
  <c r="E5493"/>
  <c r="E5494"/>
  <c r="E5495"/>
  <c r="E5496"/>
  <c r="E5497"/>
  <c r="E5498"/>
  <c r="F5498" s="1"/>
  <c r="E5499"/>
  <c r="F5499" s="1"/>
  <c r="E5500"/>
  <c r="E5501"/>
  <c r="F5501" s="1"/>
  <c r="E5502"/>
  <c r="F5502" s="1"/>
  <c r="E5503"/>
  <c r="F5503" s="1"/>
  <c r="E5504"/>
  <c r="E5505"/>
  <c r="E5506"/>
  <c r="E5507"/>
  <c r="E5508"/>
  <c r="E5509"/>
  <c r="E5510"/>
  <c r="E5511"/>
  <c r="E5512"/>
  <c r="E5513"/>
  <c r="E5514"/>
  <c r="F5514" s="1"/>
  <c r="E5515"/>
  <c r="F5515" s="1"/>
  <c r="E5516"/>
  <c r="E5517"/>
  <c r="F5517" s="1"/>
  <c r="E5518"/>
  <c r="F5518" s="1"/>
  <c r="E5519"/>
  <c r="E5520"/>
  <c r="E5521"/>
  <c r="E5522"/>
  <c r="E5523"/>
  <c r="E5524"/>
  <c r="E5525"/>
  <c r="E5526"/>
  <c r="E5527"/>
  <c r="E5528"/>
  <c r="E5529"/>
  <c r="E5530"/>
  <c r="F5530" s="1"/>
  <c r="E5531"/>
  <c r="E5532"/>
  <c r="E5533"/>
  <c r="F5533" s="1"/>
  <c r="E5534"/>
  <c r="F5534" s="1"/>
  <c r="E5535"/>
  <c r="E5536"/>
  <c r="E5537"/>
  <c r="E5538"/>
  <c r="E5539"/>
  <c r="E5540"/>
  <c r="E5541"/>
  <c r="E5542"/>
  <c r="E5543"/>
  <c r="E5544"/>
  <c r="E5545"/>
  <c r="F5545" s="1"/>
  <c r="E5546"/>
  <c r="F5546" s="1"/>
  <c r="E5547"/>
  <c r="F5547" s="1"/>
  <c r="E5548"/>
  <c r="E5549"/>
  <c r="E5550"/>
  <c r="F5550" s="1"/>
  <c r="E5551"/>
  <c r="E5552"/>
  <c r="E5553"/>
  <c r="E5554"/>
  <c r="E5555"/>
  <c r="E5556"/>
  <c r="E5557"/>
  <c r="E5558"/>
  <c r="E5559"/>
  <c r="E5560"/>
  <c r="E5561"/>
  <c r="F5561" s="1"/>
  <c r="E5562"/>
  <c r="F5562" s="1"/>
  <c r="E5563"/>
  <c r="F5563" s="1"/>
  <c r="E5564"/>
  <c r="E5565"/>
  <c r="F5565" s="1"/>
  <c r="E5566"/>
  <c r="F5566" s="1"/>
  <c r="E5567"/>
  <c r="E5568"/>
  <c r="E5569"/>
  <c r="E5570"/>
  <c r="E5571"/>
  <c r="E5572"/>
  <c r="E5573"/>
  <c r="E5574"/>
  <c r="E5575"/>
  <c r="E5576"/>
  <c r="E5577"/>
  <c r="F5577" s="1"/>
  <c r="E5578"/>
  <c r="F5578" s="1"/>
  <c r="E5579"/>
  <c r="F5579" s="1"/>
  <c r="E5580"/>
  <c r="E5581"/>
  <c r="F5581" s="1"/>
  <c r="E5582"/>
  <c r="F5582" s="1"/>
  <c r="E5583"/>
  <c r="F5583" s="1"/>
  <c r="E5584"/>
  <c r="E5585"/>
  <c r="E5586"/>
  <c r="E5587"/>
  <c r="E5588"/>
  <c r="E5589"/>
  <c r="E5590"/>
  <c r="E5591"/>
  <c r="E5592"/>
  <c r="E5593"/>
  <c r="F5593" s="1"/>
  <c r="E5594"/>
  <c r="F5594" s="1"/>
  <c r="E5595"/>
  <c r="F5595" s="1"/>
  <c r="E5596"/>
  <c r="E5597"/>
  <c r="F5597" s="1"/>
  <c r="E5598"/>
  <c r="F5598" s="1"/>
  <c r="E5599"/>
  <c r="F5599" s="1"/>
  <c r="E5600"/>
  <c r="E5601"/>
  <c r="E5602"/>
  <c r="E5603"/>
  <c r="E5604"/>
  <c r="E5605"/>
  <c r="E5606"/>
  <c r="E5607"/>
  <c r="E5608"/>
  <c r="E5609"/>
  <c r="E5610"/>
  <c r="F5610" s="1"/>
  <c r="E5611"/>
  <c r="F5611" s="1"/>
  <c r="E5612"/>
  <c r="E5613"/>
  <c r="F5613" s="1"/>
  <c r="E5614"/>
  <c r="F5614" s="1"/>
  <c r="E5615"/>
  <c r="F5615" s="1"/>
  <c r="E5616"/>
  <c r="E5617"/>
  <c r="E5618"/>
  <c r="E5619"/>
  <c r="E5620"/>
  <c r="E5621"/>
  <c r="E5622"/>
  <c r="E5623"/>
  <c r="E5624"/>
  <c r="E5625"/>
  <c r="E5626"/>
  <c r="F5626" s="1"/>
  <c r="E5627"/>
  <c r="F5627" s="1"/>
  <c r="E5628"/>
  <c r="E5629"/>
  <c r="F5629" s="1"/>
  <c r="E5630"/>
  <c r="F5630" s="1"/>
  <c r="E5631"/>
  <c r="F5631" s="1"/>
  <c r="E5632"/>
  <c r="E5633"/>
  <c r="E5634"/>
  <c r="E5635"/>
  <c r="E5636"/>
  <c r="E5637"/>
  <c r="E5638"/>
  <c r="E5639"/>
  <c r="E5640"/>
  <c r="E5641"/>
  <c r="E5642"/>
  <c r="F5642" s="1"/>
  <c r="E5643"/>
  <c r="F5643" s="1"/>
  <c r="E5644"/>
  <c r="E5645"/>
  <c r="F5645" s="1"/>
  <c r="E5646"/>
  <c r="F5646" s="1"/>
  <c r="E5647"/>
  <c r="E5648"/>
  <c r="E5649"/>
  <c r="E5650"/>
  <c r="E5651"/>
  <c r="E5652"/>
  <c r="E5653"/>
  <c r="E5654"/>
  <c r="E5655"/>
  <c r="E5656"/>
  <c r="E5657"/>
  <c r="E5658"/>
  <c r="F5658" s="1"/>
  <c r="E5659"/>
  <c r="E5660"/>
  <c r="E5661"/>
  <c r="F5661" s="1"/>
  <c r="E5662"/>
  <c r="F5662" s="1"/>
  <c r="E5663"/>
  <c r="E5664"/>
  <c r="E5665"/>
  <c r="E5666"/>
  <c r="E5667"/>
  <c r="E5668"/>
  <c r="E5669"/>
  <c r="E5670"/>
  <c r="E5671"/>
  <c r="E5672"/>
  <c r="E5673"/>
  <c r="F5673" s="1"/>
  <c r="E5674"/>
  <c r="F5674" s="1"/>
  <c r="E5675"/>
  <c r="F5675" s="1"/>
  <c r="E5676"/>
  <c r="E5677"/>
  <c r="E5678"/>
  <c r="F5678" s="1"/>
  <c r="E5679"/>
  <c r="E5680"/>
  <c r="E5681"/>
  <c r="E5682"/>
  <c r="E5683"/>
  <c r="E5684"/>
  <c r="E5685"/>
  <c r="E5686"/>
  <c r="E5687"/>
  <c r="E5688"/>
  <c r="E5689"/>
  <c r="F5689" s="1"/>
  <c r="E5690"/>
  <c r="F5690" s="1"/>
  <c r="E5691"/>
  <c r="F5691" s="1"/>
  <c r="E5692"/>
  <c r="E5693"/>
  <c r="F5693" s="1"/>
  <c r="E5694"/>
  <c r="F5694" s="1"/>
  <c r="E5695"/>
  <c r="E5696"/>
  <c r="E5697"/>
  <c r="E5698"/>
  <c r="E5699"/>
  <c r="E5700"/>
  <c r="E5701"/>
  <c r="E5702"/>
  <c r="E5703"/>
  <c r="E5704"/>
  <c r="E5705"/>
  <c r="F5705" s="1"/>
  <c r="E5706"/>
  <c r="F5706" s="1"/>
  <c r="E5707"/>
  <c r="F5707" s="1"/>
  <c r="E5708"/>
  <c r="E5709"/>
  <c r="F5709" s="1"/>
  <c r="E5710"/>
  <c r="F5710" s="1"/>
  <c r="E5711"/>
  <c r="F5711" s="1"/>
  <c r="E5712"/>
  <c r="E5713"/>
  <c r="E5714"/>
  <c r="E5715"/>
  <c r="E5716"/>
  <c r="E5717"/>
  <c r="E5718"/>
  <c r="E5719"/>
  <c r="E5720"/>
  <c r="E5721"/>
  <c r="F5721" s="1"/>
  <c r="E5722"/>
  <c r="F5722" s="1"/>
  <c r="E5723"/>
  <c r="F5723" s="1"/>
  <c r="E5724"/>
  <c r="E5725"/>
  <c r="F5725" s="1"/>
  <c r="E5726"/>
  <c r="F5726" s="1"/>
  <c r="E5727"/>
  <c r="F5727" s="1"/>
  <c r="E5728"/>
  <c r="E5729"/>
  <c r="E5730"/>
  <c r="E5731"/>
  <c r="E5732"/>
  <c r="E5733"/>
  <c r="E5734"/>
  <c r="E5735"/>
  <c r="E5736"/>
  <c r="E5737"/>
  <c r="E5738"/>
  <c r="F5738" s="1"/>
  <c r="E5739"/>
  <c r="F5739" s="1"/>
  <c r="E5740"/>
  <c r="E5741"/>
  <c r="F5741" s="1"/>
  <c r="E5742"/>
  <c r="F5742" s="1"/>
  <c r="E5743"/>
  <c r="F5743" s="1"/>
  <c r="E5744"/>
  <c r="E5745"/>
  <c r="E5746"/>
  <c r="E5747"/>
  <c r="E5748"/>
  <c r="E5749"/>
  <c r="E5750"/>
  <c r="E5751"/>
  <c r="E5752"/>
  <c r="E5753"/>
  <c r="E5754"/>
  <c r="F5754" s="1"/>
  <c r="E5755"/>
  <c r="F5755" s="1"/>
  <c r="E5756"/>
  <c r="E5757"/>
  <c r="F5757" s="1"/>
  <c r="E5758"/>
  <c r="F5758" s="1"/>
  <c r="E5759"/>
  <c r="F5759" s="1"/>
  <c r="E5760"/>
  <c r="E5761"/>
  <c r="E5762"/>
  <c r="E5763"/>
  <c r="E5764"/>
  <c r="E5765"/>
  <c r="E5766"/>
  <c r="E5767"/>
  <c r="E5768"/>
  <c r="E5769"/>
  <c r="E5770"/>
  <c r="F5770" s="1"/>
  <c r="E5771"/>
  <c r="F5771" s="1"/>
  <c r="E5772"/>
  <c r="E5773"/>
  <c r="F5773" s="1"/>
  <c r="E5774"/>
  <c r="F5774" s="1"/>
  <c r="E5775"/>
  <c r="E5776"/>
  <c r="E5777"/>
  <c r="E5778"/>
  <c r="E5779"/>
  <c r="E5780"/>
  <c r="E5781"/>
  <c r="E5782"/>
  <c r="E5783"/>
  <c r="E5784"/>
  <c r="E5785"/>
  <c r="E5786"/>
  <c r="F5786" s="1"/>
  <c r="E5787"/>
  <c r="E5788"/>
  <c r="E5789"/>
  <c r="F5789" s="1"/>
  <c r="E5790"/>
  <c r="F5790" s="1"/>
  <c r="E5791"/>
  <c r="E5792"/>
  <c r="E5793"/>
  <c r="E5794"/>
  <c r="E5795"/>
  <c r="E5796"/>
  <c r="E5797"/>
  <c r="E5798"/>
  <c r="E5799"/>
  <c r="E5800"/>
  <c r="E5801"/>
  <c r="F5801" s="1"/>
  <c r="E5802"/>
  <c r="F5802" s="1"/>
  <c r="E5803"/>
  <c r="F5803" s="1"/>
  <c r="E5804"/>
  <c r="E5805"/>
  <c r="E5806"/>
  <c r="F5806" s="1"/>
  <c r="E5807"/>
  <c r="E5808"/>
  <c r="E5809"/>
  <c r="E5810"/>
  <c r="E5811"/>
  <c r="E5812"/>
  <c r="E5813"/>
  <c r="E5814"/>
  <c r="E5815"/>
  <c r="E5816"/>
  <c r="E5817"/>
  <c r="F5817" s="1"/>
  <c r="E5818"/>
  <c r="F5818" s="1"/>
  <c r="E5819"/>
  <c r="F5819" s="1"/>
  <c r="E5820"/>
  <c r="E5821"/>
  <c r="F5821" s="1"/>
  <c r="E5822"/>
  <c r="F5822" s="1"/>
  <c r="E5823"/>
  <c r="E5824"/>
  <c r="E5825"/>
  <c r="E5826"/>
  <c r="E5827"/>
  <c r="E5828"/>
  <c r="E5829"/>
  <c r="E5830"/>
  <c r="E5831"/>
  <c r="E5832"/>
  <c r="E5833"/>
  <c r="F5833" s="1"/>
  <c r="E5834"/>
  <c r="F5834" s="1"/>
  <c r="E5835"/>
  <c r="F5835" s="1"/>
  <c r="E5836"/>
  <c r="E5837"/>
  <c r="F5837" s="1"/>
  <c r="E5838"/>
  <c r="F5838" s="1"/>
  <c r="E5839"/>
  <c r="F5839" s="1"/>
  <c r="E5840"/>
  <c r="E5841"/>
  <c r="E5842"/>
  <c r="E5843"/>
  <c r="E5844"/>
  <c r="E5845"/>
  <c r="E5846"/>
  <c r="E5847"/>
  <c r="E5848"/>
  <c r="E5849"/>
  <c r="F5849" s="1"/>
  <c r="E5850"/>
  <c r="F5850" s="1"/>
  <c r="E5851"/>
  <c r="F5851" s="1"/>
  <c r="E5852"/>
  <c r="E5853"/>
  <c r="F5853" s="1"/>
  <c r="E5854"/>
  <c r="F5854" s="1"/>
  <c r="E5855"/>
  <c r="F5855" s="1"/>
  <c r="E5856"/>
  <c r="E5857"/>
  <c r="E5858"/>
  <c r="E5859"/>
  <c r="E5860"/>
  <c r="E5861"/>
  <c r="E5862"/>
  <c r="E5863"/>
  <c r="E5864"/>
  <c r="E5865"/>
  <c r="E5866"/>
  <c r="F5866" s="1"/>
  <c r="E5867"/>
  <c r="F5867" s="1"/>
  <c r="E5868"/>
  <c r="E5869"/>
  <c r="F5869" s="1"/>
  <c r="E5870"/>
  <c r="F5870" s="1"/>
  <c r="E5871"/>
  <c r="F5871" s="1"/>
  <c r="E5872"/>
  <c r="E5873"/>
  <c r="E5874"/>
  <c r="E5875"/>
  <c r="E5876"/>
  <c r="E5877"/>
  <c r="E5878"/>
  <c r="E5879"/>
  <c r="E5880"/>
  <c r="E5881"/>
  <c r="E5882"/>
  <c r="F5882" s="1"/>
  <c r="E5883"/>
  <c r="F5883" s="1"/>
  <c r="E5884"/>
  <c r="E5885"/>
  <c r="F5885" s="1"/>
  <c r="E5886"/>
  <c r="F5886" s="1"/>
  <c r="E5887"/>
  <c r="F5887" s="1"/>
  <c r="E5888"/>
  <c r="E5889"/>
  <c r="E5890"/>
  <c r="E5891"/>
  <c r="E5892"/>
  <c r="E5893"/>
  <c r="E5894"/>
  <c r="E5895"/>
  <c r="E5896"/>
  <c r="E5897"/>
  <c r="E5898"/>
  <c r="F5898" s="1"/>
  <c r="E5899"/>
  <c r="F5899" s="1"/>
  <c r="E5900"/>
  <c r="E5901"/>
  <c r="F5901" s="1"/>
  <c r="E5902"/>
  <c r="F5902" s="1"/>
  <c r="E5903"/>
  <c r="E5904"/>
  <c r="E5905"/>
  <c r="E5906"/>
  <c r="E5907"/>
  <c r="E5908"/>
  <c r="E5909"/>
  <c r="E5910"/>
  <c r="E5911"/>
  <c r="E5912"/>
  <c r="E5913"/>
  <c r="E5914"/>
  <c r="F5914" s="1"/>
  <c r="E5915"/>
  <c r="E5916"/>
  <c r="E5917"/>
  <c r="F5917" s="1"/>
  <c r="E5918"/>
  <c r="F5918" s="1"/>
  <c r="E5919"/>
  <c r="E5920"/>
  <c r="E5921"/>
  <c r="E5922"/>
  <c r="E5923"/>
  <c r="E5924"/>
  <c r="E5925"/>
  <c r="E5926"/>
  <c r="E5927"/>
  <c r="E5928"/>
  <c r="E5929"/>
  <c r="F5929" s="1"/>
  <c r="E5930"/>
  <c r="F5930" s="1"/>
  <c r="E5931"/>
  <c r="F5931" s="1"/>
  <c r="E5932"/>
  <c r="E5933"/>
  <c r="E5934"/>
  <c r="F5934" s="1"/>
  <c r="E5935"/>
  <c r="E5936"/>
  <c r="E5937"/>
  <c r="E5938"/>
  <c r="E5939"/>
  <c r="E5940"/>
  <c r="E5941"/>
  <c r="E5942"/>
  <c r="E5943"/>
  <c r="E5944"/>
  <c r="E5945"/>
  <c r="F5945" s="1"/>
  <c r="E5946"/>
  <c r="F5946" s="1"/>
  <c r="E5947"/>
  <c r="F5947" s="1"/>
  <c r="E5948"/>
  <c r="E5949"/>
  <c r="F5949" s="1"/>
  <c r="E5950"/>
  <c r="F5950" s="1"/>
  <c r="E5951"/>
  <c r="E5952"/>
  <c r="E5953"/>
  <c r="E5954"/>
  <c r="E5955"/>
  <c r="E5956"/>
  <c r="E5957"/>
  <c r="E5958"/>
  <c r="E5959"/>
  <c r="E5960"/>
  <c r="E5961"/>
  <c r="F5961" s="1"/>
  <c r="E5962"/>
  <c r="F5962" s="1"/>
  <c r="E5963"/>
  <c r="F5963" s="1"/>
  <c r="E5964"/>
  <c r="E5965"/>
  <c r="F5965" s="1"/>
  <c r="E5966"/>
  <c r="F5966" s="1"/>
  <c r="E5967"/>
  <c r="F5967" s="1"/>
  <c r="E5968"/>
  <c r="E5969"/>
  <c r="E5970"/>
  <c r="E5971"/>
  <c r="E5972"/>
  <c r="E5973"/>
  <c r="E5974"/>
  <c r="E5975"/>
  <c r="E5976"/>
  <c r="E5977"/>
  <c r="F5977" s="1"/>
  <c r="E5978"/>
  <c r="F5978" s="1"/>
  <c r="E5979"/>
  <c r="F5979" s="1"/>
  <c r="E5980"/>
  <c r="E5981"/>
  <c r="F5981" s="1"/>
  <c r="E5982"/>
  <c r="F5982" s="1"/>
  <c r="E5983"/>
  <c r="F5983" s="1"/>
  <c r="E5984"/>
  <c r="E5985"/>
  <c r="E5986"/>
  <c r="E5987"/>
  <c r="E5988"/>
  <c r="E5989"/>
  <c r="E5990"/>
  <c r="E5991"/>
  <c r="E5992"/>
  <c r="E5993"/>
  <c r="E5994"/>
  <c r="F5994" s="1"/>
  <c r="E5995"/>
  <c r="F5995" s="1"/>
  <c r="E5996"/>
  <c r="E5997"/>
  <c r="F5997" s="1"/>
  <c r="E5998"/>
  <c r="F5998" s="1"/>
  <c r="E5999"/>
  <c r="F5999" s="1"/>
  <c r="E6000"/>
  <c r="E6001"/>
  <c r="E6002"/>
  <c r="E6003"/>
  <c r="E6004"/>
  <c r="E6005"/>
  <c r="E6006"/>
  <c r="E6007"/>
  <c r="E6008"/>
  <c r="E6009"/>
  <c r="E6010"/>
  <c r="F6010" s="1"/>
  <c r="E6011"/>
  <c r="F6011" s="1"/>
  <c r="E6012"/>
  <c r="E6013"/>
  <c r="F6013" s="1"/>
  <c r="E6014"/>
  <c r="F6014" s="1"/>
  <c r="E6015"/>
  <c r="F6015" s="1"/>
  <c r="E6016"/>
  <c r="E6017"/>
  <c r="E6018"/>
  <c r="E6019"/>
  <c r="E6020"/>
  <c r="E6021"/>
  <c r="E6022"/>
  <c r="E6023"/>
  <c r="E6024"/>
  <c r="E6025"/>
  <c r="E6026"/>
  <c r="F6026" s="1"/>
  <c r="E6027"/>
  <c r="F6027" s="1"/>
  <c r="E6028"/>
  <c r="E6029"/>
  <c r="F6029" s="1"/>
  <c r="E6030"/>
  <c r="F6030" s="1"/>
  <c r="E6031"/>
  <c r="E6032"/>
  <c r="E6033"/>
  <c r="E6034"/>
  <c r="E6035"/>
  <c r="E6036"/>
  <c r="E6037"/>
  <c r="E6038"/>
  <c r="E6039"/>
  <c r="E6040"/>
  <c r="E6041"/>
  <c r="E6042"/>
  <c r="F6042" s="1"/>
  <c r="E6043"/>
  <c r="E6044"/>
  <c r="E6045"/>
  <c r="F6045" s="1"/>
  <c r="E6046"/>
  <c r="F6046" s="1"/>
  <c r="E6047"/>
  <c r="E6048"/>
  <c r="E6049"/>
  <c r="E6050"/>
  <c r="E6051"/>
  <c r="E6052"/>
  <c r="E6053"/>
  <c r="E6054"/>
  <c r="E6055"/>
  <c r="E6056"/>
  <c r="E6057"/>
  <c r="F6057" s="1"/>
  <c r="E6058"/>
  <c r="F6058" s="1"/>
  <c r="E6059"/>
  <c r="F6059" s="1"/>
  <c r="E6060"/>
  <c r="E6061"/>
  <c r="E6062"/>
  <c r="F6062" s="1"/>
  <c r="E6063"/>
  <c r="E6064"/>
  <c r="E6065"/>
  <c r="E6066"/>
  <c r="E6067"/>
  <c r="E6068"/>
  <c r="E6069"/>
  <c r="E6070"/>
  <c r="E6071"/>
  <c r="E6072"/>
  <c r="E6073"/>
  <c r="F6073" s="1"/>
  <c r="E6074"/>
  <c r="F6074" s="1"/>
  <c r="E6075"/>
  <c r="F6075" s="1"/>
  <c r="E6076"/>
  <c r="E6077"/>
  <c r="F6077" s="1"/>
  <c r="E6078"/>
  <c r="F6078" s="1"/>
  <c r="E6079"/>
  <c r="E6080"/>
  <c r="E6081"/>
  <c r="E6082"/>
  <c r="E6083"/>
  <c r="E6084"/>
  <c r="E6085"/>
  <c r="E6086"/>
  <c r="E6087"/>
  <c r="E6088"/>
  <c r="E6089"/>
  <c r="F6089" s="1"/>
  <c r="E6090"/>
  <c r="F6090" s="1"/>
  <c r="E6091"/>
  <c r="F6091" s="1"/>
  <c r="E6092"/>
  <c r="E6093"/>
  <c r="F6093" s="1"/>
  <c r="E6094"/>
  <c r="F6094" s="1"/>
  <c r="E6095"/>
  <c r="F6095" s="1"/>
  <c r="E6096"/>
  <c r="E6097"/>
  <c r="E6098"/>
  <c r="E6099"/>
  <c r="E6100"/>
  <c r="E6101"/>
  <c r="E6102"/>
  <c r="E6103"/>
  <c r="E6104"/>
  <c r="E6105"/>
  <c r="F6105" s="1"/>
  <c r="E6106"/>
  <c r="F6106" s="1"/>
  <c r="E6107"/>
  <c r="F6107" s="1"/>
  <c r="E6108"/>
  <c r="E6109"/>
  <c r="F6109" s="1"/>
  <c r="E6110"/>
  <c r="F6110" s="1"/>
  <c r="E6111"/>
  <c r="F6111" s="1"/>
  <c r="E6112"/>
  <c r="E6113"/>
  <c r="E6114"/>
  <c r="E6115"/>
  <c r="E6116"/>
  <c r="E6117"/>
  <c r="E6118"/>
  <c r="E6119"/>
  <c r="E6120"/>
  <c r="E6121"/>
  <c r="E6122"/>
  <c r="F6122" s="1"/>
  <c r="E6123"/>
  <c r="F6123" s="1"/>
  <c r="E6124"/>
  <c r="E6125"/>
  <c r="F6125" s="1"/>
  <c r="E6126"/>
  <c r="F6126" s="1"/>
  <c r="E6127"/>
  <c r="F6127" s="1"/>
  <c r="E6128"/>
  <c r="E6129"/>
  <c r="E6130"/>
  <c r="E6131"/>
  <c r="E6132"/>
  <c r="E6133"/>
  <c r="E6134"/>
  <c r="E6135"/>
  <c r="E6136"/>
  <c r="E6137"/>
  <c r="E6138"/>
  <c r="F6138" s="1"/>
  <c r="E6139"/>
  <c r="F6139" s="1"/>
  <c r="E6140"/>
  <c r="E6141"/>
  <c r="F6141" s="1"/>
  <c r="E6142"/>
  <c r="F6142" s="1"/>
  <c r="E6143"/>
  <c r="F6143" s="1"/>
  <c r="E6144"/>
  <c r="E6145"/>
  <c r="E6146"/>
  <c r="E6147"/>
  <c r="E6148"/>
  <c r="E6149"/>
  <c r="E6150"/>
  <c r="E6151"/>
  <c r="E6152"/>
  <c r="E6153"/>
  <c r="E6154"/>
  <c r="F6154" s="1"/>
  <c r="E6155"/>
  <c r="F6155" s="1"/>
  <c r="E6156"/>
  <c r="E6157"/>
  <c r="F6157" s="1"/>
  <c r="E6158"/>
  <c r="F6158" s="1"/>
  <c r="E6159"/>
  <c r="E6160"/>
  <c r="E6161"/>
  <c r="E6162"/>
  <c r="E6163"/>
  <c r="E6164"/>
  <c r="E6165"/>
  <c r="E6166"/>
  <c r="E6167"/>
  <c r="E6168"/>
  <c r="E6169"/>
  <c r="E6170"/>
  <c r="F6170" s="1"/>
  <c r="E6171"/>
  <c r="E6172"/>
  <c r="E6173"/>
  <c r="F6173" s="1"/>
  <c r="E6174"/>
  <c r="F6174" s="1"/>
  <c r="E6175"/>
  <c r="E6176"/>
  <c r="E6177"/>
  <c r="E6178"/>
  <c r="E6179"/>
  <c r="E6180"/>
  <c r="E6181"/>
  <c r="E6182"/>
  <c r="E6183"/>
  <c r="E6184"/>
  <c r="E6185"/>
  <c r="F6185" s="1"/>
  <c r="E6186"/>
  <c r="F6186" s="1"/>
  <c r="E6187"/>
  <c r="F6187" s="1"/>
  <c r="E6188"/>
  <c r="E6189"/>
  <c r="E6190"/>
  <c r="F6190" s="1"/>
  <c r="E6191"/>
  <c r="E6192"/>
  <c r="E6193"/>
  <c r="E6194"/>
  <c r="E6195"/>
  <c r="E6196"/>
  <c r="E6197"/>
  <c r="E6198"/>
  <c r="E6199"/>
  <c r="E6200"/>
  <c r="E6201"/>
  <c r="F6201" s="1"/>
  <c r="E6202"/>
  <c r="F6202" s="1"/>
  <c r="E6203"/>
  <c r="F6203" s="1"/>
  <c r="E6204"/>
  <c r="E6205"/>
  <c r="F6205" s="1"/>
  <c r="E6206"/>
  <c r="F6206" s="1"/>
  <c r="E6207"/>
  <c r="E6208"/>
  <c r="E6209"/>
  <c r="E6210"/>
  <c r="E6211"/>
  <c r="E6212"/>
  <c r="E6213"/>
  <c r="E6214"/>
  <c r="E6215"/>
  <c r="E6216"/>
  <c r="E6217"/>
  <c r="F6217" s="1"/>
  <c r="E6218"/>
  <c r="F6218" s="1"/>
  <c r="E6219"/>
  <c r="F6219" s="1"/>
  <c r="E6220"/>
  <c r="E6221"/>
  <c r="F6221" s="1"/>
  <c r="E6222"/>
  <c r="F6222" s="1"/>
  <c r="E6223"/>
  <c r="F6223" s="1"/>
  <c r="E6224"/>
  <c r="E6225"/>
  <c r="E6226"/>
  <c r="E6227"/>
  <c r="E6228"/>
  <c r="E6229"/>
  <c r="E6230"/>
  <c r="E6231"/>
  <c r="E6232"/>
  <c r="E6233"/>
  <c r="F6233" s="1"/>
  <c r="E6234"/>
  <c r="F6234" s="1"/>
  <c r="E6235"/>
  <c r="F6235" s="1"/>
  <c r="E6236"/>
  <c r="E6237"/>
  <c r="F6237" s="1"/>
  <c r="E6238"/>
  <c r="F6238" s="1"/>
  <c r="E6239"/>
  <c r="F6239" s="1"/>
  <c r="E6240"/>
  <c r="E6241"/>
  <c r="E6242"/>
  <c r="E6243"/>
  <c r="E6244"/>
  <c r="E6245"/>
  <c r="E6246"/>
  <c r="E6247"/>
  <c r="E6248"/>
  <c r="E6249"/>
  <c r="E6250"/>
  <c r="F6250" s="1"/>
  <c r="E6251"/>
  <c r="F6251" s="1"/>
  <c r="E6252"/>
  <c r="E6253"/>
  <c r="F6253" s="1"/>
  <c r="E6254"/>
  <c r="F6254" s="1"/>
  <c r="E6255"/>
  <c r="F6255" s="1"/>
  <c r="E6256"/>
  <c r="E6257"/>
  <c r="E6258"/>
  <c r="E6259"/>
  <c r="E6260"/>
  <c r="E6261"/>
  <c r="E6262"/>
  <c r="E6263"/>
  <c r="E6264"/>
  <c r="E6265"/>
  <c r="E6266"/>
  <c r="F6266" s="1"/>
  <c r="E6267"/>
  <c r="F6267" s="1"/>
  <c r="E6268"/>
  <c r="E6269"/>
  <c r="F6269" s="1"/>
  <c r="E6270"/>
  <c r="F6270" s="1"/>
  <c r="E6271"/>
  <c r="F6271" s="1"/>
  <c r="E6272"/>
  <c r="E6273"/>
  <c r="E6274"/>
  <c r="E6275"/>
  <c r="E6276"/>
  <c r="E6277"/>
  <c r="E6278"/>
  <c r="E6279"/>
  <c r="E6280"/>
  <c r="E6281"/>
  <c r="E6282"/>
  <c r="F6282" s="1"/>
  <c r="E6283"/>
  <c r="F6283" s="1"/>
  <c r="E6284"/>
  <c r="E6285"/>
  <c r="F6285" s="1"/>
  <c r="E6286"/>
  <c r="F6286" s="1"/>
  <c r="E6287"/>
  <c r="E6288"/>
  <c r="E6289"/>
  <c r="E6290"/>
  <c r="E6291"/>
  <c r="E6292"/>
  <c r="E6293"/>
  <c r="E6294"/>
  <c r="E6295"/>
  <c r="E6296"/>
  <c r="E6297"/>
  <c r="E6298"/>
  <c r="F6298" s="1"/>
  <c r="E6299"/>
  <c r="E6300"/>
  <c r="E6301"/>
  <c r="F6301" s="1"/>
  <c r="E6302"/>
  <c r="F6302" s="1"/>
  <c r="E6303"/>
  <c r="E6304"/>
  <c r="E6305"/>
  <c r="E6306"/>
  <c r="E6307"/>
  <c r="E6308"/>
  <c r="E6309"/>
  <c r="E6310"/>
  <c r="E6311"/>
  <c r="E6312"/>
  <c r="E6313"/>
  <c r="F6313" s="1"/>
  <c r="E6314"/>
  <c r="F6314" s="1"/>
  <c r="E6315"/>
  <c r="F6315" s="1"/>
  <c r="E6316"/>
  <c r="E6317"/>
  <c r="E6318"/>
  <c r="F6318" s="1"/>
  <c r="E6319"/>
  <c r="E6320"/>
  <c r="E6321"/>
  <c r="E6322"/>
  <c r="E6323"/>
  <c r="E6324"/>
  <c r="E6325"/>
  <c r="E6326"/>
  <c r="E6327"/>
  <c r="E6328"/>
  <c r="E6329"/>
  <c r="F6329" s="1"/>
  <c r="E6330"/>
  <c r="F6330" s="1"/>
  <c r="E6331"/>
  <c r="F6331" s="1"/>
  <c r="E6332"/>
  <c r="E6333"/>
  <c r="F6333" s="1"/>
  <c r="E6334"/>
  <c r="F6334" s="1"/>
  <c r="E6335"/>
  <c r="E6336"/>
  <c r="E6337"/>
  <c r="E6338"/>
  <c r="E6339"/>
  <c r="E6340"/>
  <c r="E6341"/>
  <c r="E6342"/>
  <c r="E6343"/>
  <c r="E6344"/>
  <c r="E6345"/>
  <c r="F6345" s="1"/>
  <c r="E6346"/>
  <c r="F6346" s="1"/>
  <c r="E6347"/>
  <c r="F6347" s="1"/>
  <c r="E6348"/>
  <c r="E6349"/>
  <c r="F6349" s="1"/>
  <c r="E6350"/>
  <c r="F6350" s="1"/>
  <c r="E6351"/>
  <c r="F6351" s="1"/>
  <c r="E6352"/>
  <c r="E6353"/>
  <c r="E6354"/>
  <c r="E6355"/>
  <c r="E6356"/>
  <c r="E6357"/>
  <c r="E6358"/>
  <c r="E6359"/>
  <c r="E6360"/>
  <c r="E6361"/>
  <c r="F6361" s="1"/>
  <c r="E6362"/>
  <c r="F6362" s="1"/>
  <c r="E6363"/>
  <c r="F6363" s="1"/>
  <c r="E6364"/>
  <c r="E6365"/>
  <c r="F6365" s="1"/>
  <c r="E6366"/>
  <c r="F6366" s="1"/>
  <c r="E6367"/>
  <c r="F6367" s="1"/>
  <c r="E6368"/>
  <c r="E6369"/>
  <c r="E6370"/>
  <c r="E6371"/>
  <c r="E6372"/>
  <c r="E6373"/>
  <c r="E6374"/>
  <c r="E6375"/>
  <c r="E6376"/>
  <c r="E6377"/>
  <c r="E6378"/>
  <c r="F6378" s="1"/>
  <c r="E6379"/>
  <c r="F6379" s="1"/>
  <c r="E6380"/>
  <c r="E6381"/>
  <c r="F6381" s="1"/>
  <c r="E6382"/>
  <c r="F6382" s="1"/>
  <c r="E6383"/>
  <c r="F6383" s="1"/>
  <c r="E6384"/>
  <c r="E6385"/>
  <c r="E6386"/>
  <c r="E6387"/>
  <c r="E6388"/>
  <c r="E6389"/>
  <c r="E6390"/>
  <c r="E6391"/>
  <c r="E6392"/>
  <c r="E6393"/>
  <c r="E6394"/>
  <c r="F6394" s="1"/>
  <c r="E6395"/>
  <c r="F6395" s="1"/>
  <c r="E6396"/>
  <c r="E6397"/>
  <c r="F6397" s="1"/>
  <c r="E6398"/>
  <c r="F6398" s="1"/>
  <c r="E6399"/>
  <c r="F6399" s="1"/>
  <c r="E6400"/>
  <c r="E6401"/>
  <c r="E6402"/>
  <c r="E6403"/>
  <c r="E6404"/>
  <c r="E6405"/>
  <c r="E6406"/>
  <c r="E6407"/>
  <c r="E6408"/>
  <c r="E6409"/>
  <c r="E6410"/>
  <c r="F6410" s="1"/>
  <c r="E6411"/>
  <c r="F6411" s="1"/>
  <c r="E6412"/>
  <c r="E6413"/>
  <c r="F6413" s="1"/>
  <c r="E6414"/>
  <c r="F6414" s="1"/>
  <c r="E6415"/>
  <c r="E6416"/>
  <c r="E6417"/>
  <c r="E6418"/>
  <c r="E6419"/>
  <c r="E6420"/>
  <c r="E6421"/>
  <c r="E6422"/>
  <c r="E6423"/>
  <c r="E6424"/>
  <c r="E6425"/>
  <c r="E6426"/>
  <c r="F6426" s="1"/>
  <c r="E6427"/>
  <c r="E6428"/>
  <c r="E6429"/>
  <c r="F6429" s="1"/>
  <c r="E6430"/>
  <c r="F6430" s="1"/>
  <c r="E6431"/>
  <c r="E6432"/>
  <c r="E6433"/>
  <c r="E6434"/>
  <c r="E6435"/>
  <c r="E6436"/>
  <c r="E6437"/>
  <c r="E6438"/>
  <c r="E6439"/>
  <c r="E6440"/>
  <c r="E6441"/>
  <c r="F6441" s="1"/>
  <c r="E6442"/>
  <c r="F6442" s="1"/>
  <c r="E6443"/>
  <c r="F6443" s="1"/>
  <c r="E6444"/>
  <c r="E6445"/>
  <c r="E6446"/>
  <c r="F6446" s="1"/>
  <c r="E6447"/>
  <c r="E6448"/>
  <c r="E6449"/>
  <c r="E6450"/>
  <c r="E6451"/>
  <c r="E6452"/>
  <c r="E6453"/>
  <c r="E6454"/>
  <c r="E6455"/>
  <c r="E6456"/>
  <c r="E6457"/>
  <c r="F6457" s="1"/>
  <c r="E6458"/>
  <c r="F6458" s="1"/>
  <c r="E6459"/>
  <c r="F6459" s="1"/>
  <c r="E6460"/>
  <c r="E6461"/>
  <c r="F6461" s="1"/>
  <c r="E6462"/>
  <c r="F6462" s="1"/>
  <c r="E6463"/>
  <c r="E6464"/>
  <c r="E6465"/>
  <c r="E6466"/>
  <c r="E6467"/>
  <c r="E6468"/>
  <c r="E6469"/>
  <c r="E6470"/>
  <c r="E6471"/>
  <c r="E6472"/>
  <c r="E6473"/>
  <c r="F6473" s="1"/>
  <c r="E6474"/>
  <c r="F6474" s="1"/>
  <c r="E6475"/>
  <c r="F6475" s="1"/>
  <c r="E6476"/>
  <c r="E6477"/>
  <c r="F6477" s="1"/>
  <c r="E6478"/>
  <c r="F6478" s="1"/>
  <c r="E6479"/>
  <c r="F6479" s="1"/>
  <c r="E6480"/>
  <c r="E6481"/>
  <c r="E6482"/>
  <c r="E6483"/>
  <c r="E6484"/>
  <c r="E6485"/>
  <c r="E6486"/>
  <c r="E6487"/>
  <c r="E6488"/>
  <c r="E6489"/>
  <c r="F6489" s="1"/>
  <c r="E6490"/>
  <c r="F6490" s="1"/>
  <c r="E6491"/>
  <c r="F6491" s="1"/>
  <c r="E6492"/>
  <c r="E6493"/>
  <c r="F6493" s="1"/>
  <c r="E6494"/>
  <c r="F6494" s="1"/>
  <c r="E6495"/>
  <c r="F6495" s="1"/>
  <c r="E6496"/>
  <c r="E6497"/>
  <c r="E6498"/>
  <c r="E6499"/>
  <c r="E6500"/>
  <c r="E6501"/>
  <c r="E6502"/>
  <c r="E6503"/>
  <c r="E6504"/>
  <c r="E6505"/>
  <c r="E6506"/>
  <c r="F6506" s="1"/>
  <c r="E6507"/>
  <c r="F6507" s="1"/>
  <c r="E6508"/>
  <c r="E6509"/>
  <c r="F6509" s="1"/>
  <c r="E6510"/>
  <c r="F6510" s="1"/>
  <c r="E6511"/>
  <c r="F6511" s="1"/>
  <c r="E6512"/>
  <c r="E6513"/>
  <c r="E6514"/>
  <c r="E6515"/>
  <c r="E6516"/>
  <c r="E6517"/>
  <c r="E6518"/>
  <c r="E6519"/>
  <c r="E6520"/>
  <c r="E6521"/>
  <c r="E6522"/>
  <c r="F6522" s="1"/>
  <c r="E6523"/>
  <c r="F6523" s="1"/>
  <c r="E6524"/>
  <c r="E6525"/>
  <c r="F6525" s="1"/>
  <c r="E6526"/>
  <c r="F6526" s="1"/>
  <c r="E6527"/>
  <c r="F6527" s="1"/>
  <c r="E6528"/>
  <c r="E6529"/>
  <c r="E6530"/>
  <c r="E6531"/>
  <c r="E6532"/>
  <c r="E6533"/>
  <c r="E6534"/>
  <c r="E6535"/>
  <c r="E6536"/>
  <c r="E6537"/>
  <c r="E6538"/>
  <c r="F6538" s="1"/>
  <c r="E6539"/>
  <c r="F6539" s="1"/>
  <c r="E6540"/>
  <c r="E6541"/>
  <c r="F6541" s="1"/>
  <c r="E6542"/>
  <c r="F6542" s="1"/>
  <c r="E6543"/>
  <c r="E6544"/>
  <c r="E6545"/>
  <c r="E6546"/>
  <c r="E6547"/>
  <c r="E6548"/>
  <c r="E6549"/>
  <c r="E6550"/>
  <c r="E6551"/>
  <c r="E6552"/>
  <c r="E6553"/>
  <c r="E6554"/>
  <c r="F6554" s="1"/>
  <c r="E6555"/>
  <c r="E6556"/>
  <c r="E6557"/>
  <c r="F6557" s="1"/>
  <c r="E6558"/>
  <c r="F6558" s="1"/>
  <c r="E6559"/>
  <c r="E6560"/>
  <c r="E6561"/>
  <c r="E6562"/>
  <c r="E6563"/>
  <c r="E6564"/>
  <c r="E6565"/>
  <c r="E6566"/>
  <c r="E6567"/>
  <c r="E6568"/>
  <c r="E6569"/>
  <c r="F6569" s="1"/>
  <c r="E6570"/>
  <c r="F6570" s="1"/>
  <c r="E6571"/>
  <c r="F6571" s="1"/>
  <c r="E6572"/>
  <c r="E6573"/>
  <c r="E6574"/>
  <c r="F6574" s="1"/>
  <c r="E6575"/>
  <c r="E6576"/>
  <c r="E6577"/>
  <c r="E6578"/>
  <c r="E6579"/>
  <c r="E6580"/>
  <c r="E6581"/>
  <c r="E6582"/>
  <c r="E6583"/>
  <c r="E6584"/>
  <c r="E6585"/>
  <c r="F6585" s="1"/>
  <c r="E6586"/>
  <c r="F6586" s="1"/>
  <c r="E6587"/>
  <c r="F6587" s="1"/>
  <c r="E6588"/>
  <c r="E6589"/>
  <c r="F6589" s="1"/>
  <c r="E6590"/>
  <c r="F6590" s="1"/>
  <c r="E6591"/>
  <c r="E6592"/>
  <c r="E6593"/>
  <c r="E6594"/>
  <c r="E6595"/>
  <c r="E6596"/>
  <c r="E6597"/>
  <c r="E6598"/>
  <c r="E6599"/>
  <c r="E6600"/>
  <c r="E6601"/>
  <c r="F6601" s="1"/>
  <c r="E6602"/>
  <c r="F6602" s="1"/>
  <c r="E6603"/>
  <c r="F6603" s="1"/>
  <c r="E6604"/>
  <c r="E6605"/>
  <c r="F6605" s="1"/>
  <c r="E6606"/>
  <c r="F6606" s="1"/>
  <c r="E6607"/>
  <c r="F6607" s="1"/>
  <c r="E6608"/>
  <c r="E6609"/>
  <c r="E6610"/>
  <c r="E6611"/>
  <c r="E6612"/>
  <c r="E6613"/>
  <c r="E6614"/>
  <c r="E6615"/>
  <c r="E6616"/>
  <c r="E6617"/>
  <c r="F6617" s="1"/>
  <c r="E6618"/>
  <c r="F6618" s="1"/>
  <c r="E6619"/>
  <c r="F6619" s="1"/>
  <c r="E6620"/>
  <c r="E6621"/>
  <c r="F6621" s="1"/>
  <c r="E6622"/>
  <c r="F6622" s="1"/>
  <c r="E6623"/>
  <c r="F6623" s="1"/>
  <c r="E6624"/>
  <c r="E6625"/>
  <c r="E6626"/>
  <c r="F6"/>
  <c r="F7"/>
  <c r="F8"/>
  <c r="F12"/>
  <c r="F13"/>
  <c r="F15"/>
  <c r="F16"/>
  <c r="F17"/>
  <c r="F18"/>
  <c r="F19"/>
  <c r="F20"/>
  <c r="F21"/>
  <c r="F22"/>
  <c r="F23"/>
  <c r="F24"/>
  <c r="F28"/>
  <c r="F32"/>
  <c r="F33"/>
  <c r="F34"/>
  <c r="F35"/>
  <c r="F36"/>
  <c r="F37"/>
  <c r="F38"/>
  <c r="F39"/>
  <c r="F40"/>
  <c r="F44"/>
  <c r="F48"/>
  <c r="F49"/>
  <c r="F50"/>
  <c r="F51"/>
  <c r="F52"/>
  <c r="F53"/>
  <c r="F54"/>
  <c r="F55"/>
  <c r="F56"/>
  <c r="F60"/>
  <c r="F64"/>
  <c r="F65"/>
  <c r="F66"/>
  <c r="F67"/>
  <c r="F68"/>
  <c r="F69"/>
  <c r="F70"/>
  <c r="F71"/>
  <c r="F72"/>
  <c r="F75"/>
  <c r="F76"/>
  <c r="F80"/>
  <c r="F81"/>
  <c r="F82"/>
  <c r="F83"/>
  <c r="F84"/>
  <c r="F85"/>
  <c r="F86"/>
  <c r="F87"/>
  <c r="F88"/>
  <c r="F91"/>
  <c r="F92"/>
  <c r="F93"/>
  <c r="F96"/>
  <c r="F97"/>
  <c r="F98"/>
  <c r="F99"/>
  <c r="F100"/>
  <c r="F101"/>
  <c r="F102"/>
  <c r="F103"/>
  <c r="F104"/>
  <c r="F105"/>
  <c r="F107"/>
  <c r="F108"/>
  <c r="F109"/>
  <c r="F112"/>
  <c r="F113"/>
  <c r="F114"/>
  <c r="F115"/>
  <c r="F116"/>
  <c r="F117"/>
  <c r="F118"/>
  <c r="F119"/>
  <c r="F120"/>
  <c r="F123"/>
  <c r="F124"/>
  <c r="F125"/>
  <c r="F128"/>
  <c r="F129"/>
  <c r="F130"/>
  <c r="F131"/>
  <c r="F132"/>
  <c r="F133"/>
  <c r="F134"/>
  <c r="F135"/>
  <c r="F136"/>
  <c r="F140"/>
  <c r="F141"/>
  <c r="F143"/>
  <c r="F144"/>
  <c r="F145"/>
  <c r="F146"/>
  <c r="F147"/>
  <c r="F148"/>
  <c r="F149"/>
  <c r="F150"/>
  <c r="F151"/>
  <c r="F152"/>
  <c r="F156"/>
  <c r="F160"/>
  <c r="F161"/>
  <c r="F162"/>
  <c r="F163"/>
  <c r="F164"/>
  <c r="F165"/>
  <c r="F166"/>
  <c r="F167"/>
  <c r="F168"/>
  <c r="F172"/>
  <c r="F176"/>
  <c r="F177"/>
  <c r="F178"/>
  <c r="F179"/>
  <c r="F180"/>
  <c r="F181"/>
  <c r="F182"/>
  <c r="F183"/>
  <c r="F184"/>
  <c r="F188"/>
  <c r="F192"/>
  <c r="F193"/>
  <c r="F194"/>
  <c r="F195"/>
  <c r="F196"/>
  <c r="F197"/>
  <c r="F198"/>
  <c r="F199"/>
  <c r="F200"/>
  <c r="F203"/>
  <c r="F204"/>
  <c r="F208"/>
  <c r="F209"/>
  <c r="F210"/>
  <c r="F211"/>
  <c r="F212"/>
  <c r="F213"/>
  <c r="F214"/>
  <c r="F215"/>
  <c r="F216"/>
  <c r="F219"/>
  <c r="F220"/>
  <c r="F221"/>
  <c r="F224"/>
  <c r="F225"/>
  <c r="F226"/>
  <c r="F227"/>
  <c r="F228"/>
  <c r="F229"/>
  <c r="F230"/>
  <c r="F231"/>
  <c r="F232"/>
  <c r="F233"/>
  <c r="F235"/>
  <c r="F236"/>
  <c r="F237"/>
  <c r="F240"/>
  <c r="F241"/>
  <c r="F242"/>
  <c r="F243"/>
  <c r="F244"/>
  <c r="F245"/>
  <c r="F246"/>
  <c r="F247"/>
  <c r="F248"/>
  <c r="F251"/>
  <c r="F252"/>
  <c r="F253"/>
  <c r="F256"/>
  <c r="F257"/>
  <c r="F258"/>
  <c r="F259"/>
  <c r="F260"/>
  <c r="F261"/>
  <c r="F262"/>
  <c r="F263"/>
  <c r="F264"/>
  <c r="F268"/>
  <c r="F269"/>
  <c r="F271"/>
  <c r="F272"/>
  <c r="F273"/>
  <c r="F274"/>
  <c r="F275"/>
  <c r="F276"/>
  <c r="F277"/>
  <c r="F278"/>
  <c r="F279"/>
  <c r="F280"/>
  <c r="F284"/>
  <c r="F288"/>
  <c r="F289"/>
  <c r="F290"/>
  <c r="F291"/>
  <c r="F292"/>
  <c r="F293"/>
  <c r="F294"/>
  <c r="F295"/>
  <c r="F296"/>
  <c r="F300"/>
  <c r="F304"/>
  <c r="F305"/>
  <c r="F306"/>
  <c r="F307"/>
  <c r="F308"/>
  <c r="F309"/>
  <c r="F310"/>
  <c r="F311"/>
  <c r="F312"/>
  <c r="F316"/>
  <c r="F320"/>
  <c r="F321"/>
  <c r="F322"/>
  <c r="F323"/>
  <c r="F324"/>
  <c r="F325"/>
  <c r="F326"/>
  <c r="F327"/>
  <c r="F328"/>
  <c r="F331"/>
  <c r="F332"/>
  <c r="F336"/>
  <c r="F337"/>
  <c r="F338"/>
  <c r="F339"/>
  <c r="F340"/>
  <c r="F341"/>
  <c r="F342"/>
  <c r="F343"/>
  <c r="F344"/>
  <c r="F347"/>
  <c r="F348"/>
  <c r="F349"/>
  <c r="F352"/>
  <c r="F353"/>
  <c r="F354"/>
  <c r="F355"/>
  <c r="F356"/>
  <c r="F357"/>
  <c r="F358"/>
  <c r="F359"/>
  <c r="F360"/>
  <c r="F361"/>
  <c r="F363"/>
  <c r="F364"/>
  <c r="F365"/>
  <c r="F368"/>
  <c r="F369"/>
  <c r="F370"/>
  <c r="F371"/>
  <c r="F372"/>
  <c r="F373"/>
  <c r="F374"/>
  <c r="F375"/>
  <c r="F376"/>
  <c r="F379"/>
  <c r="F380"/>
  <c r="F381"/>
  <c r="F384"/>
  <c r="F385"/>
  <c r="F386"/>
  <c r="F387"/>
  <c r="F388"/>
  <c r="F389"/>
  <c r="F390"/>
  <c r="F391"/>
  <c r="F392"/>
  <c r="F396"/>
  <c r="F397"/>
  <c r="F399"/>
  <c r="F400"/>
  <c r="F401"/>
  <c r="F402"/>
  <c r="F403"/>
  <c r="F404"/>
  <c r="F405"/>
  <c r="F406"/>
  <c r="F407"/>
  <c r="F408"/>
  <c r="F412"/>
  <c r="F416"/>
  <c r="F417"/>
  <c r="F418"/>
  <c r="F419"/>
  <c r="F420"/>
  <c r="F421"/>
  <c r="F422"/>
  <c r="F423"/>
  <c r="F424"/>
  <c r="F428"/>
  <c r="F432"/>
  <c r="F433"/>
  <c r="F434"/>
  <c r="F435"/>
  <c r="F436"/>
  <c r="F437"/>
  <c r="F438"/>
  <c r="F439"/>
  <c r="F440"/>
  <c r="F444"/>
  <c r="F448"/>
  <c r="F449"/>
  <c r="F450"/>
  <c r="F451"/>
  <c r="F452"/>
  <c r="F453"/>
  <c r="F454"/>
  <c r="F455"/>
  <c r="F456"/>
  <c r="F459"/>
  <c r="F460"/>
  <c r="F464"/>
  <c r="F465"/>
  <c r="F466"/>
  <c r="F467"/>
  <c r="F468"/>
  <c r="F469"/>
  <c r="F470"/>
  <c r="F471"/>
  <c r="F472"/>
  <c r="F474"/>
  <c r="F476"/>
  <c r="F480"/>
  <c r="F481"/>
  <c r="F482"/>
  <c r="F483"/>
  <c r="F484"/>
  <c r="F485"/>
  <c r="F486"/>
  <c r="F487"/>
  <c r="F488"/>
  <c r="F489"/>
  <c r="F492"/>
  <c r="F495"/>
  <c r="F496"/>
  <c r="F497"/>
  <c r="F498"/>
  <c r="F499"/>
  <c r="F500"/>
  <c r="F501"/>
  <c r="F502"/>
  <c r="F503"/>
  <c r="F504"/>
  <c r="F505"/>
  <c r="F507"/>
  <c r="F508"/>
  <c r="F511"/>
  <c r="F512"/>
  <c r="F513"/>
  <c r="F514"/>
  <c r="F515"/>
  <c r="F516"/>
  <c r="F517"/>
  <c r="F518"/>
  <c r="F519"/>
  <c r="F520"/>
  <c r="F524"/>
  <c r="F525"/>
  <c r="F527"/>
  <c r="F528"/>
  <c r="F529"/>
  <c r="F530"/>
  <c r="F531"/>
  <c r="F532"/>
  <c r="F533"/>
  <c r="F534"/>
  <c r="F535"/>
  <c r="F536"/>
  <c r="F540"/>
  <c r="F543"/>
  <c r="F544"/>
  <c r="F545"/>
  <c r="F546"/>
  <c r="F547"/>
  <c r="F548"/>
  <c r="F549"/>
  <c r="F550"/>
  <c r="F551"/>
  <c r="F552"/>
  <c r="F556"/>
  <c r="F560"/>
  <c r="F561"/>
  <c r="F562"/>
  <c r="F563"/>
  <c r="F564"/>
  <c r="F565"/>
  <c r="F566"/>
  <c r="F567"/>
  <c r="F568"/>
  <c r="F572"/>
  <c r="F576"/>
  <c r="F577"/>
  <c r="F578"/>
  <c r="F579"/>
  <c r="F580"/>
  <c r="F581"/>
  <c r="F582"/>
  <c r="F583"/>
  <c r="F584"/>
  <c r="F585"/>
  <c r="F588"/>
  <c r="F592"/>
  <c r="F593"/>
  <c r="F594"/>
  <c r="F595"/>
  <c r="F596"/>
  <c r="F597"/>
  <c r="F598"/>
  <c r="F599"/>
  <c r="F600"/>
  <c r="F601"/>
  <c r="F604"/>
  <c r="F608"/>
  <c r="F609"/>
  <c r="F610"/>
  <c r="F611"/>
  <c r="F612"/>
  <c r="F613"/>
  <c r="F614"/>
  <c r="F615"/>
  <c r="F616"/>
  <c r="F617"/>
  <c r="F620"/>
  <c r="F623"/>
  <c r="F624"/>
  <c r="F625"/>
  <c r="F626"/>
  <c r="F627"/>
  <c r="F628"/>
  <c r="F629"/>
  <c r="F630"/>
  <c r="F631"/>
  <c r="F632"/>
  <c r="F633"/>
  <c r="F635"/>
  <c r="F636"/>
  <c r="F639"/>
  <c r="F640"/>
  <c r="F641"/>
  <c r="F642"/>
  <c r="F643"/>
  <c r="F644"/>
  <c r="F645"/>
  <c r="F646"/>
  <c r="F647"/>
  <c r="F648"/>
  <c r="F652"/>
  <c r="F653"/>
  <c r="F655"/>
  <c r="F656"/>
  <c r="F657"/>
  <c r="F658"/>
  <c r="F659"/>
  <c r="F660"/>
  <c r="F661"/>
  <c r="F662"/>
  <c r="F663"/>
  <c r="F664"/>
  <c r="F668"/>
  <c r="F671"/>
  <c r="F672"/>
  <c r="F673"/>
  <c r="F674"/>
  <c r="F675"/>
  <c r="F676"/>
  <c r="F677"/>
  <c r="F678"/>
  <c r="F679"/>
  <c r="F680"/>
  <c r="F684"/>
  <c r="F688"/>
  <c r="F689"/>
  <c r="F690"/>
  <c r="F691"/>
  <c r="F692"/>
  <c r="F693"/>
  <c r="F694"/>
  <c r="F695"/>
  <c r="F696"/>
  <c r="F700"/>
  <c r="F704"/>
  <c r="F705"/>
  <c r="F706"/>
  <c r="F707"/>
  <c r="F708"/>
  <c r="F709"/>
  <c r="F710"/>
  <c r="F711"/>
  <c r="F712"/>
  <c r="F713"/>
  <c r="F716"/>
  <c r="F720"/>
  <c r="F721"/>
  <c r="F722"/>
  <c r="F723"/>
  <c r="F724"/>
  <c r="F725"/>
  <c r="F726"/>
  <c r="F727"/>
  <c r="F728"/>
  <c r="F729"/>
  <c r="F732"/>
  <c r="F736"/>
  <c r="F737"/>
  <c r="F738"/>
  <c r="F739"/>
  <c r="F740"/>
  <c r="F741"/>
  <c r="F742"/>
  <c r="F743"/>
  <c r="F744"/>
  <c r="F745"/>
  <c r="F748"/>
  <c r="F751"/>
  <c r="F752"/>
  <c r="F753"/>
  <c r="F754"/>
  <c r="F755"/>
  <c r="F756"/>
  <c r="F757"/>
  <c r="F758"/>
  <c r="F759"/>
  <c r="F760"/>
  <c r="F761"/>
  <c r="F763"/>
  <c r="F764"/>
  <c r="F767"/>
  <c r="F768"/>
  <c r="F769"/>
  <c r="F770"/>
  <c r="F771"/>
  <c r="F772"/>
  <c r="F773"/>
  <c r="F774"/>
  <c r="F775"/>
  <c r="F776"/>
  <c r="F780"/>
  <c r="F781"/>
  <c r="F783"/>
  <c r="F784"/>
  <c r="F785"/>
  <c r="F786"/>
  <c r="F787"/>
  <c r="F788"/>
  <c r="F789"/>
  <c r="F790"/>
  <c r="F791"/>
  <c r="F792"/>
  <c r="F796"/>
  <c r="F799"/>
  <c r="F800"/>
  <c r="F801"/>
  <c r="F802"/>
  <c r="F803"/>
  <c r="F804"/>
  <c r="F805"/>
  <c r="F806"/>
  <c r="F807"/>
  <c r="F808"/>
  <c r="F812"/>
  <c r="F816"/>
  <c r="F817"/>
  <c r="F818"/>
  <c r="F819"/>
  <c r="F820"/>
  <c r="F821"/>
  <c r="F822"/>
  <c r="F823"/>
  <c r="F824"/>
  <c r="F828"/>
  <c r="F832"/>
  <c r="F833"/>
  <c r="F834"/>
  <c r="F835"/>
  <c r="F836"/>
  <c r="F837"/>
  <c r="F838"/>
  <c r="F839"/>
  <c r="F840"/>
  <c r="F841"/>
  <c r="F844"/>
  <c r="F848"/>
  <c r="F849"/>
  <c r="F850"/>
  <c r="F851"/>
  <c r="F852"/>
  <c r="F853"/>
  <c r="F854"/>
  <c r="F855"/>
  <c r="F856"/>
  <c r="F857"/>
  <c r="F860"/>
  <c r="F864"/>
  <c r="F865"/>
  <c r="F866"/>
  <c r="F867"/>
  <c r="F868"/>
  <c r="F869"/>
  <c r="F870"/>
  <c r="F871"/>
  <c r="F872"/>
  <c r="F873"/>
  <c r="F876"/>
  <c r="F879"/>
  <c r="F880"/>
  <c r="F881"/>
  <c r="F882"/>
  <c r="F883"/>
  <c r="F884"/>
  <c r="F885"/>
  <c r="F886"/>
  <c r="F887"/>
  <c r="F888"/>
  <c r="F889"/>
  <c r="F891"/>
  <c r="F892"/>
  <c r="F895"/>
  <c r="F896"/>
  <c r="F897"/>
  <c r="F898"/>
  <c r="F899"/>
  <c r="F900"/>
  <c r="F901"/>
  <c r="F902"/>
  <c r="F903"/>
  <c r="F904"/>
  <c r="F908"/>
  <c r="F909"/>
  <c r="F911"/>
  <c r="F912"/>
  <c r="F913"/>
  <c r="F914"/>
  <c r="F915"/>
  <c r="F916"/>
  <c r="F917"/>
  <c r="F918"/>
  <c r="F919"/>
  <c r="F920"/>
  <c r="F924"/>
  <c r="F925"/>
  <c r="F927"/>
  <c r="F928"/>
  <c r="F929"/>
  <c r="F930"/>
  <c r="F931"/>
  <c r="F932"/>
  <c r="F933"/>
  <c r="F934"/>
  <c r="F935"/>
  <c r="F936"/>
  <c r="F940"/>
  <c r="F944"/>
  <c r="F945"/>
  <c r="F946"/>
  <c r="F947"/>
  <c r="F948"/>
  <c r="F949"/>
  <c r="F950"/>
  <c r="F951"/>
  <c r="F952"/>
  <c r="F956"/>
  <c r="F960"/>
  <c r="F961"/>
  <c r="F962"/>
  <c r="F963"/>
  <c r="F964"/>
  <c r="F965"/>
  <c r="F966"/>
  <c r="F967"/>
  <c r="F968"/>
  <c r="F972"/>
  <c r="F976"/>
  <c r="F977"/>
  <c r="F978"/>
  <c r="F979"/>
  <c r="F980"/>
  <c r="F981"/>
  <c r="F982"/>
  <c r="F983"/>
  <c r="F984"/>
  <c r="F987"/>
  <c r="F988"/>
  <c r="F992"/>
  <c r="F993"/>
  <c r="F994"/>
  <c r="F995"/>
  <c r="F996"/>
  <c r="F997"/>
  <c r="F998"/>
  <c r="F999"/>
  <c r="F1000"/>
  <c r="F1003"/>
  <c r="F1004"/>
  <c r="F1005"/>
  <c r="F1008"/>
  <c r="F1009"/>
  <c r="F1010"/>
  <c r="F1011"/>
  <c r="F1012"/>
  <c r="F1013"/>
  <c r="F1014"/>
  <c r="F1015"/>
  <c r="F1016"/>
  <c r="F1017"/>
  <c r="F1019"/>
  <c r="F1020"/>
  <c r="F1021"/>
  <c r="F1024"/>
  <c r="F1025"/>
  <c r="F1026"/>
  <c r="F1027"/>
  <c r="F1028"/>
  <c r="F1029"/>
  <c r="F1030"/>
  <c r="F1031"/>
  <c r="F1032"/>
  <c r="F1035"/>
  <c r="F1036"/>
  <c r="F1037"/>
  <c r="F1040"/>
  <c r="F1041"/>
  <c r="F1042"/>
  <c r="F1043"/>
  <c r="F1044"/>
  <c r="F1045"/>
  <c r="F1046"/>
  <c r="F1047"/>
  <c r="F1048"/>
  <c r="F1052"/>
  <c r="F1053"/>
  <c r="F1055"/>
  <c r="F1056"/>
  <c r="F1057"/>
  <c r="F1058"/>
  <c r="F1059"/>
  <c r="F1060"/>
  <c r="F1061"/>
  <c r="F1062"/>
  <c r="F1063"/>
  <c r="F1064"/>
  <c r="F1068"/>
  <c r="F1072"/>
  <c r="F1073"/>
  <c r="F1074"/>
  <c r="F1075"/>
  <c r="F1076"/>
  <c r="F1077"/>
  <c r="F1078"/>
  <c r="F1079"/>
  <c r="F1080"/>
  <c r="F1084"/>
  <c r="F1088"/>
  <c r="F1089"/>
  <c r="F1090"/>
  <c r="F1091"/>
  <c r="F1092"/>
  <c r="F1093"/>
  <c r="F1094"/>
  <c r="F1095"/>
  <c r="F1096"/>
  <c r="F1100"/>
  <c r="F1104"/>
  <c r="F1105"/>
  <c r="F1106"/>
  <c r="F1107"/>
  <c r="F1108"/>
  <c r="F1109"/>
  <c r="F1110"/>
  <c r="F1111"/>
  <c r="F1112"/>
  <c r="F1115"/>
  <c r="F1116"/>
  <c r="F1120"/>
  <c r="F1121"/>
  <c r="F1122"/>
  <c r="F1123"/>
  <c r="F1124"/>
  <c r="F1125"/>
  <c r="F1126"/>
  <c r="F1127"/>
  <c r="F1128"/>
  <c r="F1131"/>
  <c r="F1132"/>
  <c r="F1133"/>
  <c r="F1136"/>
  <c r="F1137"/>
  <c r="F1138"/>
  <c r="F1139"/>
  <c r="F1140"/>
  <c r="F1141"/>
  <c r="F1142"/>
  <c r="F1143"/>
  <c r="F1144"/>
  <c r="F1145"/>
  <c r="F1147"/>
  <c r="F1148"/>
  <c r="F1149"/>
  <c r="F1152"/>
  <c r="F1153"/>
  <c r="F1154"/>
  <c r="F1155"/>
  <c r="F1156"/>
  <c r="F1157"/>
  <c r="F1158"/>
  <c r="F1159"/>
  <c r="F1160"/>
  <c r="F1163"/>
  <c r="F1164"/>
  <c r="F1165"/>
  <c r="F1168"/>
  <c r="F1169"/>
  <c r="F1170"/>
  <c r="F1171"/>
  <c r="F1172"/>
  <c r="F1173"/>
  <c r="F1174"/>
  <c r="F1175"/>
  <c r="F1176"/>
  <c r="F1180"/>
  <c r="F1181"/>
  <c r="F1183"/>
  <c r="F1184"/>
  <c r="F1185"/>
  <c r="F1186"/>
  <c r="F1187"/>
  <c r="F1188"/>
  <c r="F1189"/>
  <c r="F1190"/>
  <c r="F1191"/>
  <c r="F1192"/>
  <c r="F1196"/>
  <c r="F1200"/>
  <c r="F1201"/>
  <c r="F1202"/>
  <c r="F1203"/>
  <c r="F1204"/>
  <c r="F1205"/>
  <c r="F1206"/>
  <c r="F1207"/>
  <c r="F1208"/>
  <c r="F1212"/>
  <c r="F1216"/>
  <c r="F1217"/>
  <c r="F1218"/>
  <c r="F1219"/>
  <c r="F1220"/>
  <c r="F1221"/>
  <c r="F1222"/>
  <c r="F1223"/>
  <c r="F1224"/>
  <c r="F1228"/>
  <c r="F1232"/>
  <c r="F1233"/>
  <c r="F1234"/>
  <c r="F1235"/>
  <c r="F1236"/>
  <c r="F1237"/>
  <c r="F1238"/>
  <c r="F1239"/>
  <c r="F1240"/>
  <c r="F1243"/>
  <c r="F1244"/>
  <c r="F1248"/>
  <c r="F1249"/>
  <c r="F1250"/>
  <c r="F1251"/>
  <c r="F1252"/>
  <c r="F1253"/>
  <c r="F1254"/>
  <c r="F1255"/>
  <c r="F1256"/>
  <c r="F1259"/>
  <c r="F1260"/>
  <c r="F1261"/>
  <c r="F1264"/>
  <c r="F1265"/>
  <c r="F1266"/>
  <c r="F1267"/>
  <c r="F1268"/>
  <c r="F1269"/>
  <c r="F1270"/>
  <c r="F1271"/>
  <c r="F1272"/>
  <c r="F1273"/>
  <c r="F1275"/>
  <c r="F1276"/>
  <c r="F1277"/>
  <c r="F1280"/>
  <c r="F1281"/>
  <c r="F1282"/>
  <c r="F1283"/>
  <c r="F1284"/>
  <c r="F1285"/>
  <c r="F1286"/>
  <c r="F1287"/>
  <c r="F1288"/>
  <c r="F1291"/>
  <c r="F1292"/>
  <c r="F1293"/>
  <c r="F1296"/>
  <c r="F1297"/>
  <c r="F1298"/>
  <c r="F1299"/>
  <c r="F1300"/>
  <c r="F1301"/>
  <c r="F1302"/>
  <c r="F1303"/>
  <c r="F1304"/>
  <c r="F1308"/>
  <c r="F1309"/>
  <c r="F1311"/>
  <c r="F1312"/>
  <c r="F1313"/>
  <c r="F1314"/>
  <c r="F1315"/>
  <c r="F1316"/>
  <c r="F1317"/>
  <c r="F1318"/>
  <c r="F1319"/>
  <c r="F1320"/>
  <c r="F1324"/>
  <c r="F1328"/>
  <c r="F1329"/>
  <c r="F1330"/>
  <c r="F1331"/>
  <c r="F1332"/>
  <c r="F1333"/>
  <c r="F1334"/>
  <c r="F1335"/>
  <c r="F1336"/>
  <c r="F1340"/>
  <c r="F1344"/>
  <c r="F1345"/>
  <c r="F1346"/>
  <c r="F1347"/>
  <c r="F1348"/>
  <c r="F1349"/>
  <c r="F1350"/>
  <c r="F1351"/>
  <c r="F1352"/>
  <c r="F1356"/>
  <c r="F1360"/>
  <c r="F1361"/>
  <c r="F1362"/>
  <c r="F1363"/>
  <c r="F1364"/>
  <c r="F1365"/>
  <c r="F1366"/>
  <c r="F1367"/>
  <c r="F1368"/>
  <c r="F1371"/>
  <c r="F1372"/>
  <c r="F1376"/>
  <c r="F1377"/>
  <c r="F1378"/>
  <c r="F1379"/>
  <c r="F1380"/>
  <c r="F1381"/>
  <c r="F1382"/>
  <c r="F1383"/>
  <c r="F1384"/>
  <c r="F1387"/>
  <c r="F1388"/>
  <c r="F1389"/>
  <c r="F1392"/>
  <c r="F1393"/>
  <c r="F1394"/>
  <c r="F1395"/>
  <c r="F1396"/>
  <c r="F1397"/>
  <c r="F1398"/>
  <c r="F1399"/>
  <c r="F1400"/>
  <c r="F1401"/>
  <c r="F1403"/>
  <c r="F1404"/>
  <c r="F1405"/>
  <c r="F1408"/>
  <c r="F1409"/>
  <c r="F1410"/>
  <c r="F1411"/>
  <c r="F1412"/>
  <c r="F1413"/>
  <c r="F1414"/>
  <c r="F1415"/>
  <c r="F1416"/>
  <c r="F1419"/>
  <c r="F1420"/>
  <c r="F1421"/>
  <c r="F1424"/>
  <c r="F1425"/>
  <c r="F1426"/>
  <c r="F1427"/>
  <c r="F1428"/>
  <c r="F1429"/>
  <c r="F1430"/>
  <c r="F1431"/>
  <c r="F1432"/>
  <c r="F1436"/>
  <c r="F1437"/>
  <c r="F1439"/>
  <c r="F1440"/>
  <c r="F1441"/>
  <c r="F1442"/>
  <c r="F1443"/>
  <c r="F1444"/>
  <c r="F1445"/>
  <c r="F1446"/>
  <c r="F1447"/>
  <c r="F1448"/>
  <c r="F1452"/>
  <c r="F1456"/>
  <c r="F1457"/>
  <c r="F1458"/>
  <c r="F1459"/>
  <c r="F1460"/>
  <c r="F1461"/>
  <c r="F1462"/>
  <c r="F1463"/>
  <c r="F1464"/>
  <c r="F1468"/>
  <c r="F1472"/>
  <c r="F1473"/>
  <c r="F1474"/>
  <c r="F1475"/>
  <c r="F1476"/>
  <c r="F1477"/>
  <c r="F1478"/>
  <c r="F1479"/>
  <c r="F1480"/>
  <c r="F1484"/>
  <c r="F1488"/>
  <c r="F1489"/>
  <c r="F1490"/>
  <c r="F1491"/>
  <c r="F1492"/>
  <c r="F1493"/>
  <c r="F1494"/>
  <c r="F1495"/>
  <c r="F1496"/>
  <c r="F1498"/>
  <c r="F1500"/>
  <c r="F1504"/>
  <c r="F1505"/>
  <c r="F1506"/>
  <c r="F1507"/>
  <c r="F1508"/>
  <c r="F1509"/>
  <c r="F1510"/>
  <c r="F1511"/>
  <c r="F1512"/>
  <c r="F1513"/>
  <c r="F1516"/>
  <c r="F1520"/>
  <c r="F1521"/>
  <c r="F1522"/>
  <c r="F1523"/>
  <c r="F1524"/>
  <c r="F1525"/>
  <c r="F1526"/>
  <c r="F1527"/>
  <c r="F1528"/>
  <c r="F1529"/>
  <c r="F1532"/>
  <c r="F1535"/>
  <c r="F1536"/>
  <c r="F1537"/>
  <c r="F1538"/>
  <c r="F1539"/>
  <c r="F1540"/>
  <c r="F1541"/>
  <c r="F1542"/>
  <c r="F1543"/>
  <c r="F1544"/>
  <c r="F1545"/>
  <c r="F1547"/>
  <c r="F1548"/>
  <c r="F1551"/>
  <c r="F1552"/>
  <c r="F1553"/>
  <c r="F1554"/>
  <c r="F1555"/>
  <c r="F1556"/>
  <c r="F1557"/>
  <c r="F1558"/>
  <c r="F1559"/>
  <c r="F1560"/>
  <c r="F1564"/>
  <c r="F1565"/>
  <c r="F1567"/>
  <c r="F1568"/>
  <c r="F1569"/>
  <c r="F1570"/>
  <c r="F1571"/>
  <c r="F1572"/>
  <c r="F1573"/>
  <c r="F1574"/>
  <c r="F1575"/>
  <c r="F1576"/>
  <c r="F1580"/>
  <c r="F1583"/>
  <c r="F1584"/>
  <c r="F1585"/>
  <c r="F1586"/>
  <c r="F1587"/>
  <c r="F1588"/>
  <c r="F1589"/>
  <c r="F1590"/>
  <c r="F1591"/>
  <c r="F1592"/>
  <c r="F1596"/>
  <c r="F1600"/>
  <c r="F1601"/>
  <c r="F1602"/>
  <c r="F1603"/>
  <c r="F1604"/>
  <c r="F1605"/>
  <c r="F1606"/>
  <c r="F1607"/>
  <c r="F1608"/>
  <c r="F1612"/>
  <c r="F1616"/>
  <c r="F1617"/>
  <c r="F1618"/>
  <c r="F1619"/>
  <c r="F1620"/>
  <c r="F1621"/>
  <c r="F1622"/>
  <c r="F1623"/>
  <c r="F1624"/>
  <c r="F1625"/>
  <c r="F1628"/>
  <c r="F1632"/>
  <c r="F1633"/>
  <c r="F1634"/>
  <c r="F1635"/>
  <c r="F1636"/>
  <c r="F1637"/>
  <c r="F1638"/>
  <c r="F1639"/>
  <c r="F1640"/>
  <c r="F1641"/>
  <c r="F1644"/>
  <c r="F1648"/>
  <c r="F1649"/>
  <c r="F1650"/>
  <c r="F1651"/>
  <c r="F1652"/>
  <c r="F1653"/>
  <c r="F1654"/>
  <c r="F1655"/>
  <c r="F1656"/>
  <c r="F1657"/>
  <c r="F1660"/>
  <c r="F1663"/>
  <c r="F1664"/>
  <c r="F1665"/>
  <c r="F1666"/>
  <c r="F1667"/>
  <c r="F1668"/>
  <c r="F1669"/>
  <c r="F1670"/>
  <c r="F1671"/>
  <c r="F1672"/>
  <c r="F1673"/>
  <c r="F1675"/>
  <c r="F1676"/>
  <c r="F1679"/>
  <c r="F1680"/>
  <c r="F1681"/>
  <c r="F1682"/>
  <c r="F1683"/>
  <c r="F1684"/>
  <c r="F1685"/>
  <c r="F1686"/>
  <c r="F1687"/>
  <c r="F1688"/>
  <c r="F1692"/>
  <c r="F1693"/>
  <c r="F1695"/>
  <c r="F1696"/>
  <c r="F1697"/>
  <c r="F1698"/>
  <c r="F1699"/>
  <c r="F1700"/>
  <c r="F1701"/>
  <c r="F1702"/>
  <c r="F1703"/>
  <c r="F1704"/>
  <c r="F1708"/>
  <c r="F1711"/>
  <c r="F1712"/>
  <c r="F1713"/>
  <c r="F1714"/>
  <c r="F1715"/>
  <c r="F1716"/>
  <c r="F1717"/>
  <c r="F1718"/>
  <c r="F1719"/>
  <c r="F1720"/>
  <c r="F1724"/>
  <c r="F1728"/>
  <c r="F1729"/>
  <c r="F1730"/>
  <c r="F1731"/>
  <c r="F1732"/>
  <c r="F1733"/>
  <c r="F1734"/>
  <c r="F1735"/>
  <c r="F1736"/>
  <c r="F1740"/>
  <c r="F1744"/>
  <c r="F1745"/>
  <c r="F1746"/>
  <c r="F1747"/>
  <c r="F1748"/>
  <c r="F1749"/>
  <c r="F1750"/>
  <c r="F1751"/>
  <c r="F1752"/>
  <c r="F1756"/>
  <c r="F1760"/>
  <c r="F1761"/>
  <c r="F1762"/>
  <c r="F1763"/>
  <c r="F1764"/>
  <c r="F1765"/>
  <c r="F1766"/>
  <c r="F1767"/>
  <c r="F1768"/>
  <c r="F1771"/>
  <c r="F1772"/>
  <c r="F1776"/>
  <c r="F1777"/>
  <c r="F1778"/>
  <c r="F1779"/>
  <c r="F1780"/>
  <c r="F1781"/>
  <c r="F1782"/>
  <c r="F1783"/>
  <c r="F1784"/>
  <c r="F1787"/>
  <c r="F1788"/>
  <c r="F1789"/>
  <c r="F1792"/>
  <c r="F1793"/>
  <c r="F1794"/>
  <c r="F1795"/>
  <c r="F1796"/>
  <c r="F1797"/>
  <c r="F1798"/>
  <c r="F1799"/>
  <c r="F1800"/>
  <c r="F1801"/>
  <c r="F1803"/>
  <c r="F1804"/>
  <c r="F1805"/>
  <c r="F1808"/>
  <c r="F1809"/>
  <c r="F1810"/>
  <c r="F1811"/>
  <c r="F1812"/>
  <c r="F1813"/>
  <c r="F1814"/>
  <c r="F1815"/>
  <c r="F1816"/>
  <c r="F1819"/>
  <c r="F1820"/>
  <c r="F1821"/>
  <c r="F1824"/>
  <c r="F1825"/>
  <c r="F1826"/>
  <c r="F1827"/>
  <c r="F1828"/>
  <c r="F1829"/>
  <c r="F1830"/>
  <c r="F1831"/>
  <c r="F1832"/>
  <c r="F1836"/>
  <c r="F1837"/>
  <c r="F1839"/>
  <c r="F1840"/>
  <c r="F1841"/>
  <c r="F1842"/>
  <c r="F1843"/>
  <c r="F1844"/>
  <c r="F1845"/>
  <c r="F1846"/>
  <c r="F1847"/>
  <c r="F1848"/>
  <c r="F1852"/>
  <c r="F1856"/>
  <c r="F1857"/>
  <c r="F1858"/>
  <c r="F1859"/>
  <c r="F1860"/>
  <c r="F1861"/>
  <c r="F1862"/>
  <c r="F1863"/>
  <c r="F1864"/>
  <c r="F1868"/>
  <c r="F1872"/>
  <c r="F1873"/>
  <c r="F1874"/>
  <c r="F1875"/>
  <c r="F1876"/>
  <c r="F1877"/>
  <c r="F1878"/>
  <c r="F1879"/>
  <c r="F1880"/>
  <c r="F1884"/>
  <c r="F1888"/>
  <c r="F1889"/>
  <c r="F1890"/>
  <c r="F1891"/>
  <c r="F1892"/>
  <c r="F1893"/>
  <c r="F1894"/>
  <c r="F1895"/>
  <c r="F1896"/>
  <c r="F1899"/>
  <c r="F1900"/>
  <c r="F1904"/>
  <c r="F1905"/>
  <c r="F1906"/>
  <c r="F1907"/>
  <c r="F1908"/>
  <c r="F1909"/>
  <c r="F1910"/>
  <c r="F1911"/>
  <c r="F1912"/>
  <c r="F1915"/>
  <c r="F1916"/>
  <c r="F1917"/>
  <c r="F1920"/>
  <c r="F1921"/>
  <c r="F1922"/>
  <c r="F1923"/>
  <c r="F1924"/>
  <c r="F1925"/>
  <c r="F1926"/>
  <c r="F1927"/>
  <c r="F1928"/>
  <c r="F1929"/>
  <c r="F1931"/>
  <c r="F1932"/>
  <c r="F1933"/>
  <c r="F1936"/>
  <c r="F1937"/>
  <c r="F1938"/>
  <c r="F1939"/>
  <c r="F1940"/>
  <c r="F1941"/>
  <c r="F1942"/>
  <c r="F1943"/>
  <c r="F1944"/>
  <c r="F1946"/>
  <c r="F1947"/>
  <c r="F1948"/>
  <c r="F1951"/>
  <c r="F1952"/>
  <c r="F1953"/>
  <c r="F1954"/>
  <c r="F1955"/>
  <c r="F1956"/>
  <c r="F1957"/>
  <c r="F1958"/>
  <c r="F1959"/>
  <c r="F1960"/>
  <c r="F1964"/>
  <c r="F1965"/>
  <c r="F1967"/>
  <c r="F1968"/>
  <c r="F1969"/>
  <c r="F1970"/>
  <c r="F1971"/>
  <c r="F1972"/>
  <c r="F1973"/>
  <c r="F1974"/>
  <c r="F1975"/>
  <c r="F1976"/>
  <c r="F1980"/>
  <c r="F1983"/>
  <c r="F1984"/>
  <c r="F1985"/>
  <c r="F1986"/>
  <c r="F1987"/>
  <c r="F1988"/>
  <c r="F1989"/>
  <c r="F1990"/>
  <c r="F1991"/>
  <c r="F1992"/>
  <c r="F1996"/>
  <c r="F2000"/>
  <c r="F2001"/>
  <c r="F2002"/>
  <c r="F2003"/>
  <c r="F2004"/>
  <c r="F2005"/>
  <c r="F2006"/>
  <c r="F2007"/>
  <c r="F2008"/>
  <c r="F2012"/>
  <c r="F2016"/>
  <c r="F2017"/>
  <c r="F2018"/>
  <c r="F2019"/>
  <c r="F2020"/>
  <c r="F2021"/>
  <c r="F2022"/>
  <c r="F2023"/>
  <c r="F2024"/>
  <c r="F2025"/>
  <c r="F2028"/>
  <c r="F2032"/>
  <c r="F2033"/>
  <c r="F2034"/>
  <c r="F2035"/>
  <c r="F2036"/>
  <c r="F2037"/>
  <c r="F2038"/>
  <c r="F2039"/>
  <c r="F2040"/>
  <c r="F2041"/>
  <c r="F2044"/>
  <c r="F2048"/>
  <c r="F2049"/>
  <c r="F2050"/>
  <c r="F2051"/>
  <c r="F2052"/>
  <c r="F2053"/>
  <c r="F2054"/>
  <c r="F2055"/>
  <c r="F2056"/>
  <c r="F2057"/>
  <c r="F2060"/>
  <c r="F2063"/>
  <c r="F2064"/>
  <c r="F2065"/>
  <c r="F2066"/>
  <c r="F2067"/>
  <c r="F2068"/>
  <c r="F2069"/>
  <c r="F2070"/>
  <c r="F2071"/>
  <c r="F2072"/>
  <c r="F2073"/>
  <c r="F2075"/>
  <c r="F2076"/>
  <c r="F2079"/>
  <c r="F2080"/>
  <c r="F2081"/>
  <c r="F2082"/>
  <c r="F2083"/>
  <c r="F2084"/>
  <c r="F2085"/>
  <c r="F2086"/>
  <c r="F2087"/>
  <c r="F2088"/>
  <c r="F2092"/>
  <c r="F2093"/>
  <c r="F2095"/>
  <c r="F2096"/>
  <c r="F2097"/>
  <c r="F2098"/>
  <c r="F2099"/>
  <c r="F2100"/>
  <c r="F2101"/>
  <c r="F2102"/>
  <c r="F2103"/>
  <c r="F2104"/>
  <c r="F2108"/>
  <c r="F2111"/>
  <c r="F2112"/>
  <c r="F2113"/>
  <c r="F2114"/>
  <c r="F2115"/>
  <c r="F2116"/>
  <c r="F2117"/>
  <c r="F2118"/>
  <c r="F2119"/>
  <c r="F2120"/>
  <c r="F2124"/>
  <c r="F2128"/>
  <c r="F2129"/>
  <c r="F2130"/>
  <c r="F2131"/>
  <c r="F2132"/>
  <c r="F2133"/>
  <c r="F2134"/>
  <c r="F2135"/>
  <c r="F2136"/>
  <c r="F2140"/>
  <c r="F2144"/>
  <c r="F2145"/>
  <c r="F2146"/>
  <c r="F2147"/>
  <c r="F2148"/>
  <c r="F2149"/>
  <c r="F2150"/>
  <c r="F2151"/>
  <c r="F2152"/>
  <c r="F2153"/>
  <c r="F2156"/>
  <c r="F2160"/>
  <c r="F2161"/>
  <c r="F2162"/>
  <c r="F2163"/>
  <c r="F2164"/>
  <c r="F2165"/>
  <c r="F2166"/>
  <c r="F2167"/>
  <c r="F2168"/>
  <c r="F2169"/>
  <c r="F2172"/>
  <c r="F2176"/>
  <c r="F2177"/>
  <c r="F2178"/>
  <c r="F2179"/>
  <c r="F2180"/>
  <c r="F2181"/>
  <c r="F2182"/>
  <c r="F2183"/>
  <c r="F2184"/>
  <c r="F2185"/>
  <c r="F2188"/>
  <c r="F2191"/>
  <c r="F2192"/>
  <c r="F2193"/>
  <c r="F2194"/>
  <c r="F2195"/>
  <c r="F2196"/>
  <c r="F2197"/>
  <c r="F2198"/>
  <c r="F2199"/>
  <c r="F2200"/>
  <c r="F2201"/>
  <c r="F2203"/>
  <c r="F2204"/>
  <c r="F2207"/>
  <c r="F2208"/>
  <c r="F2209"/>
  <c r="F2210"/>
  <c r="F2211"/>
  <c r="F2212"/>
  <c r="F2213"/>
  <c r="F2214"/>
  <c r="F2215"/>
  <c r="F2216"/>
  <c r="F2220"/>
  <c r="F2221"/>
  <c r="F2223"/>
  <c r="F2224"/>
  <c r="F2225"/>
  <c r="F2226"/>
  <c r="F2227"/>
  <c r="F2228"/>
  <c r="F2229"/>
  <c r="F2230"/>
  <c r="F2231"/>
  <c r="F2232"/>
  <c r="F2236"/>
  <c r="F2239"/>
  <c r="F2240"/>
  <c r="F2241"/>
  <c r="F2242"/>
  <c r="F2243"/>
  <c r="F2244"/>
  <c r="F2245"/>
  <c r="F2246"/>
  <c r="F2247"/>
  <c r="F2248"/>
  <c r="F2252"/>
  <c r="F2256"/>
  <c r="F2257"/>
  <c r="F2258"/>
  <c r="F2259"/>
  <c r="F2260"/>
  <c r="F2261"/>
  <c r="F2262"/>
  <c r="F2263"/>
  <c r="F2264"/>
  <c r="F2268"/>
  <c r="F2272"/>
  <c r="F2273"/>
  <c r="F2274"/>
  <c r="F2275"/>
  <c r="F2276"/>
  <c r="F2277"/>
  <c r="F2278"/>
  <c r="F2279"/>
  <c r="F2280"/>
  <c r="F2281"/>
  <c r="F2284"/>
  <c r="F2288"/>
  <c r="F2289"/>
  <c r="F2290"/>
  <c r="F2291"/>
  <c r="F2292"/>
  <c r="F2293"/>
  <c r="F2294"/>
  <c r="F2295"/>
  <c r="F2296"/>
  <c r="F2297"/>
  <c r="F2300"/>
  <c r="F2304"/>
  <c r="F2305"/>
  <c r="F2306"/>
  <c r="F2307"/>
  <c r="F2308"/>
  <c r="F2309"/>
  <c r="F2310"/>
  <c r="F2311"/>
  <c r="F2312"/>
  <c r="F2313"/>
  <c r="F2316"/>
  <c r="F2319"/>
  <c r="F2320"/>
  <c r="F2321"/>
  <c r="F2322"/>
  <c r="F2323"/>
  <c r="F2324"/>
  <c r="F2325"/>
  <c r="F2326"/>
  <c r="F2327"/>
  <c r="F2328"/>
  <c r="F2329"/>
  <c r="F2331"/>
  <c r="F2332"/>
  <c r="F2335"/>
  <c r="F2336"/>
  <c r="F2337"/>
  <c r="F2338"/>
  <c r="F2339"/>
  <c r="F2340"/>
  <c r="F2341"/>
  <c r="F2342"/>
  <c r="F2343"/>
  <c r="F2344"/>
  <c r="F2348"/>
  <c r="F2349"/>
  <c r="F2351"/>
  <c r="F2352"/>
  <c r="F2353"/>
  <c r="F2354"/>
  <c r="F2355"/>
  <c r="F2356"/>
  <c r="F2357"/>
  <c r="F2358"/>
  <c r="F2359"/>
  <c r="F2360"/>
  <c r="F2364"/>
  <c r="F2367"/>
  <c r="F2368"/>
  <c r="F2369"/>
  <c r="F2370"/>
  <c r="F2371"/>
  <c r="F2372"/>
  <c r="F2373"/>
  <c r="F2374"/>
  <c r="F2375"/>
  <c r="F2376"/>
  <c r="F2380"/>
  <c r="F2384"/>
  <c r="F2385"/>
  <c r="F2386"/>
  <c r="F2387"/>
  <c r="F2388"/>
  <c r="F2389"/>
  <c r="F2390"/>
  <c r="F2391"/>
  <c r="F2392"/>
  <c r="F2396"/>
  <c r="F2400"/>
  <c r="F2401"/>
  <c r="F2402"/>
  <c r="F2403"/>
  <c r="F2404"/>
  <c r="F2405"/>
  <c r="F2406"/>
  <c r="F2407"/>
  <c r="F2408"/>
  <c r="F2409"/>
  <c r="F2412"/>
  <c r="F2416"/>
  <c r="F2417"/>
  <c r="F2418"/>
  <c r="F2419"/>
  <c r="F2420"/>
  <c r="F2421"/>
  <c r="F2422"/>
  <c r="F2423"/>
  <c r="F2424"/>
  <c r="F2425"/>
  <c r="F2428"/>
  <c r="F2432"/>
  <c r="F2433"/>
  <c r="F2434"/>
  <c r="F2435"/>
  <c r="F2436"/>
  <c r="F2437"/>
  <c r="F2438"/>
  <c r="F2439"/>
  <c r="F2440"/>
  <c r="F2441"/>
  <c r="F2444"/>
  <c r="F2447"/>
  <c r="F2448"/>
  <c r="F2449"/>
  <c r="F2450"/>
  <c r="F2451"/>
  <c r="F2452"/>
  <c r="F2453"/>
  <c r="F2454"/>
  <c r="F2455"/>
  <c r="F2456"/>
  <c r="F2457"/>
  <c r="F2459"/>
  <c r="F2460"/>
  <c r="F2463"/>
  <c r="F2464"/>
  <c r="F2465"/>
  <c r="F2466"/>
  <c r="F2467"/>
  <c r="F2468"/>
  <c r="F2469"/>
  <c r="F2470"/>
  <c r="F2471"/>
  <c r="F2472"/>
  <c r="F2476"/>
  <c r="F2477"/>
  <c r="F2479"/>
  <c r="F2480"/>
  <c r="F2481"/>
  <c r="F2482"/>
  <c r="F2483"/>
  <c r="F2484"/>
  <c r="F2485"/>
  <c r="F2486"/>
  <c r="F2487"/>
  <c r="F2488"/>
  <c r="F2492"/>
  <c r="F2495"/>
  <c r="F2496"/>
  <c r="F2497"/>
  <c r="F2498"/>
  <c r="F2499"/>
  <c r="F2500"/>
  <c r="F2501"/>
  <c r="F2502"/>
  <c r="F2503"/>
  <c r="F2504"/>
  <c r="F2508"/>
  <c r="F2512"/>
  <c r="F2513"/>
  <c r="F2514"/>
  <c r="F2515"/>
  <c r="F2516"/>
  <c r="F2517"/>
  <c r="F2518"/>
  <c r="F2519"/>
  <c r="F2520"/>
  <c r="F2524"/>
  <c r="F2528"/>
  <c r="F2529"/>
  <c r="F2530"/>
  <c r="F2531"/>
  <c r="F2532"/>
  <c r="F2533"/>
  <c r="F2534"/>
  <c r="F2535"/>
  <c r="F2536"/>
  <c r="F2537"/>
  <c r="F2540"/>
  <c r="F2544"/>
  <c r="F2545"/>
  <c r="F2546"/>
  <c r="F2547"/>
  <c r="F2548"/>
  <c r="F2549"/>
  <c r="F2550"/>
  <c r="F2551"/>
  <c r="F2552"/>
  <c r="F2553"/>
  <c r="F2556"/>
  <c r="F2560"/>
  <c r="F2561"/>
  <c r="F2562"/>
  <c r="F2563"/>
  <c r="F2564"/>
  <c r="F2565"/>
  <c r="F2566"/>
  <c r="F2567"/>
  <c r="F2568"/>
  <c r="F2569"/>
  <c r="F2572"/>
  <c r="F2575"/>
  <c r="F2576"/>
  <c r="F2577"/>
  <c r="F2578"/>
  <c r="F2579"/>
  <c r="F2580"/>
  <c r="F2581"/>
  <c r="F2582"/>
  <c r="F2583"/>
  <c r="F2584"/>
  <c r="F2585"/>
  <c r="F2587"/>
  <c r="F2588"/>
  <c r="F2591"/>
  <c r="F2592"/>
  <c r="F2593"/>
  <c r="F2594"/>
  <c r="F2595"/>
  <c r="F2596"/>
  <c r="F2597"/>
  <c r="F2598"/>
  <c r="F2599"/>
  <c r="F2600"/>
  <c r="F2604"/>
  <c r="F2605"/>
  <c r="F2607"/>
  <c r="F2608"/>
  <c r="F2609"/>
  <c r="F2610"/>
  <c r="F2611"/>
  <c r="F2612"/>
  <c r="F2613"/>
  <c r="F2614"/>
  <c r="F2615"/>
  <c r="F2616"/>
  <c r="F2620"/>
  <c r="F2623"/>
  <c r="F2624"/>
  <c r="F2625"/>
  <c r="F2626"/>
  <c r="F2627"/>
  <c r="F2628"/>
  <c r="F2629"/>
  <c r="F2630"/>
  <c r="F2631"/>
  <c r="F2632"/>
  <c r="F2636"/>
  <c r="F2640"/>
  <c r="F2641"/>
  <c r="F2642"/>
  <c r="F2643"/>
  <c r="F2644"/>
  <c r="F2645"/>
  <c r="F2646"/>
  <c r="F2647"/>
  <c r="F2648"/>
  <c r="F2652"/>
  <c r="F2656"/>
  <c r="F2657"/>
  <c r="F2658"/>
  <c r="F2659"/>
  <c r="F2660"/>
  <c r="F2661"/>
  <c r="F2662"/>
  <c r="F2663"/>
  <c r="F2664"/>
  <c r="F2665"/>
  <c r="F2668"/>
  <c r="F2672"/>
  <c r="F2673"/>
  <c r="F2674"/>
  <c r="F2675"/>
  <c r="F2676"/>
  <c r="F2677"/>
  <c r="F2678"/>
  <c r="F2679"/>
  <c r="F2680"/>
  <c r="F2681"/>
  <c r="F2684"/>
  <c r="F2688"/>
  <c r="F2689"/>
  <c r="F2690"/>
  <c r="F2691"/>
  <c r="F2692"/>
  <c r="F2693"/>
  <c r="F2694"/>
  <c r="F2695"/>
  <c r="F2696"/>
  <c r="F2697"/>
  <c r="F2700"/>
  <c r="F2703"/>
  <c r="F2704"/>
  <c r="F2705"/>
  <c r="F2706"/>
  <c r="F2707"/>
  <c r="F2708"/>
  <c r="F2709"/>
  <c r="F2710"/>
  <c r="F2711"/>
  <c r="F2712"/>
  <c r="F2713"/>
  <c r="F2715"/>
  <c r="F2716"/>
  <c r="F2719"/>
  <c r="F2720"/>
  <c r="F2721"/>
  <c r="F2722"/>
  <c r="F2723"/>
  <c r="F2724"/>
  <c r="F2725"/>
  <c r="F2726"/>
  <c r="F2727"/>
  <c r="F2728"/>
  <c r="F2732"/>
  <c r="F2733"/>
  <c r="F2735"/>
  <c r="F2736"/>
  <c r="F2737"/>
  <c r="F2738"/>
  <c r="F2739"/>
  <c r="F2740"/>
  <c r="F2741"/>
  <c r="F2742"/>
  <c r="F2743"/>
  <c r="F2744"/>
  <c r="F2748"/>
  <c r="F2751"/>
  <c r="F2752"/>
  <c r="F2753"/>
  <c r="F2754"/>
  <c r="F2755"/>
  <c r="F2756"/>
  <c r="F2757"/>
  <c r="F2758"/>
  <c r="F2759"/>
  <c r="F2760"/>
  <c r="F2764"/>
  <c r="F2768"/>
  <c r="F2769"/>
  <c r="F2770"/>
  <c r="F2771"/>
  <c r="F2772"/>
  <c r="F2773"/>
  <c r="F2774"/>
  <c r="F2775"/>
  <c r="F2776"/>
  <c r="F2780"/>
  <c r="F2784"/>
  <c r="F2785"/>
  <c r="F2786"/>
  <c r="F2787"/>
  <c r="F2788"/>
  <c r="F2789"/>
  <c r="F2790"/>
  <c r="F2791"/>
  <c r="F2792"/>
  <c r="F2793"/>
  <c r="F2796"/>
  <c r="F2800"/>
  <c r="F2801"/>
  <c r="F2802"/>
  <c r="F2803"/>
  <c r="F2804"/>
  <c r="F2805"/>
  <c r="F2806"/>
  <c r="F2807"/>
  <c r="F2808"/>
  <c r="F2809"/>
  <c r="F2812"/>
  <c r="F2816"/>
  <c r="F2817"/>
  <c r="F2818"/>
  <c r="F2819"/>
  <c r="F2820"/>
  <c r="F2821"/>
  <c r="F2822"/>
  <c r="F2823"/>
  <c r="F2824"/>
  <c r="F2825"/>
  <c r="F2828"/>
  <c r="F2831"/>
  <c r="F2832"/>
  <c r="F2833"/>
  <c r="F2834"/>
  <c r="F2835"/>
  <c r="F2836"/>
  <c r="F2837"/>
  <c r="F2838"/>
  <c r="F2839"/>
  <c r="F2840"/>
  <c r="F2841"/>
  <c r="F2843"/>
  <c r="F2844"/>
  <c r="F2847"/>
  <c r="F2848"/>
  <c r="F2849"/>
  <c r="F2850"/>
  <c r="F2851"/>
  <c r="F2852"/>
  <c r="F2853"/>
  <c r="F2854"/>
  <c r="F2855"/>
  <c r="F2856"/>
  <c r="F2860"/>
  <c r="F2861"/>
  <c r="F2863"/>
  <c r="F2864"/>
  <c r="F2865"/>
  <c r="F2866"/>
  <c r="F2867"/>
  <c r="F2868"/>
  <c r="F2869"/>
  <c r="F2870"/>
  <c r="F2871"/>
  <c r="F2872"/>
  <c r="F2876"/>
  <c r="F2879"/>
  <c r="F2880"/>
  <c r="F2881"/>
  <c r="F2882"/>
  <c r="F2883"/>
  <c r="F2884"/>
  <c r="F2885"/>
  <c r="F2886"/>
  <c r="F2887"/>
  <c r="F2888"/>
  <c r="F2892"/>
  <c r="F2896"/>
  <c r="F2897"/>
  <c r="F2898"/>
  <c r="F2899"/>
  <c r="F2900"/>
  <c r="F2901"/>
  <c r="F2902"/>
  <c r="F2903"/>
  <c r="F2904"/>
  <c r="F2908"/>
  <c r="F2912"/>
  <c r="F2913"/>
  <c r="F2914"/>
  <c r="F2915"/>
  <c r="F2916"/>
  <c r="F2917"/>
  <c r="F2918"/>
  <c r="F2919"/>
  <c r="F2920"/>
  <c r="F2921"/>
  <c r="F2924"/>
  <c r="F2928"/>
  <c r="F2929"/>
  <c r="F2930"/>
  <c r="F2931"/>
  <c r="F2932"/>
  <c r="F2933"/>
  <c r="F2934"/>
  <c r="F2935"/>
  <c r="F2936"/>
  <c r="F2937"/>
  <c r="F2940"/>
  <c r="F2944"/>
  <c r="F2945"/>
  <c r="F2946"/>
  <c r="F2947"/>
  <c r="F2948"/>
  <c r="F2949"/>
  <c r="F2950"/>
  <c r="F2951"/>
  <c r="F2952"/>
  <c r="F2953"/>
  <c r="F2956"/>
  <c r="F2959"/>
  <c r="F2960"/>
  <c r="F2961"/>
  <c r="F2962"/>
  <c r="F2963"/>
  <c r="F2964"/>
  <c r="F2965"/>
  <c r="F2966"/>
  <c r="F2967"/>
  <c r="F2968"/>
  <c r="F2969"/>
  <c r="F2971"/>
  <c r="F2972"/>
  <c r="F2975"/>
  <c r="F2976"/>
  <c r="F2977"/>
  <c r="F2978"/>
  <c r="F2979"/>
  <c r="F2980"/>
  <c r="F2981"/>
  <c r="F2982"/>
  <c r="F2983"/>
  <c r="F2984"/>
  <c r="F2988"/>
  <c r="F2989"/>
  <c r="F2991"/>
  <c r="F2992"/>
  <c r="F2993"/>
  <c r="F2994"/>
  <c r="F2995"/>
  <c r="F2996"/>
  <c r="F2997"/>
  <c r="F2998"/>
  <c r="F2999"/>
  <c r="F3000"/>
  <c r="F3004"/>
  <c r="F3007"/>
  <c r="F3008"/>
  <c r="F3009"/>
  <c r="F3010"/>
  <c r="F3011"/>
  <c r="F3012"/>
  <c r="F3013"/>
  <c r="F3014"/>
  <c r="F3015"/>
  <c r="F3016"/>
  <c r="F3020"/>
  <c r="F3024"/>
  <c r="F3025"/>
  <c r="F3026"/>
  <c r="F3027"/>
  <c r="F3028"/>
  <c r="F3029"/>
  <c r="F3030"/>
  <c r="F3031"/>
  <c r="F3032"/>
  <c r="F3036"/>
  <c r="F3040"/>
  <c r="F3041"/>
  <c r="F3042"/>
  <c r="F3043"/>
  <c r="F3044"/>
  <c r="F3045"/>
  <c r="F3046"/>
  <c r="F3047"/>
  <c r="F3048"/>
  <c r="F3049"/>
  <c r="F3052"/>
  <c r="F3056"/>
  <c r="F3057"/>
  <c r="F3058"/>
  <c r="F3059"/>
  <c r="F3060"/>
  <c r="F3061"/>
  <c r="F3062"/>
  <c r="F3063"/>
  <c r="F3064"/>
  <c r="F3065"/>
  <c r="F3068"/>
  <c r="F3072"/>
  <c r="F3073"/>
  <c r="F3074"/>
  <c r="F3075"/>
  <c r="F3076"/>
  <c r="F3077"/>
  <c r="F3078"/>
  <c r="F3079"/>
  <c r="F3080"/>
  <c r="F3081"/>
  <c r="F3084"/>
  <c r="F3087"/>
  <c r="F3088"/>
  <c r="F3089"/>
  <c r="F3090"/>
  <c r="F3091"/>
  <c r="F3092"/>
  <c r="F3093"/>
  <c r="F3094"/>
  <c r="F3095"/>
  <c r="F3096"/>
  <c r="F3097"/>
  <c r="F3099"/>
  <c r="F3100"/>
  <c r="F3103"/>
  <c r="F3104"/>
  <c r="F3105"/>
  <c r="F3106"/>
  <c r="F3107"/>
  <c r="F3108"/>
  <c r="F3109"/>
  <c r="F3110"/>
  <c r="F3111"/>
  <c r="F3112"/>
  <c r="F3116"/>
  <c r="F3117"/>
  <c r="F3119"/>
  <c r="F3120"/>
  <c r="F3121"/>
  <c r="F3122"/>
  <c r="F3123"/>
  <c r="F3124"/>
  <c r="F3125"/>
  <c r="F3126"/>
  <c r="F3127"/>
  <c r="F3128"/>
  <c r="F3132"/>
  <c r="F3135"/>
  <c r="F3136"/>
  <c r="F3137"/>
  <c r="F3138"/>
  <c r="F3139"/>
  <c r="F3140"/>
  <c r="F3141"/>
  <c r="F3142"/>
  <c r="F3143"/>
  <c r="F3144"/>
  <c r="F3148"/>
  <c r="F3152"/>
  <c r="F3153"/>
  <c r="F3154"/>
  <c r="F3155"/>
  <c r="F3156"/>
  <c r="F3157"/>
  <c r="F3158"/>
  <c r="F3159"/>
  <c r="F3160"/>
  <c r="F3164"/>
  <c r="F3168"/>
  <c r="F3169"/>
  <c r="F3170"/>
  <c r="F3171"/>
  <c r="F3172"/>
  <c r="F3173"/>
  <c r="F3174"/>
  <c r="F3175"/>
  <c r="F3176"/>
  <c r="F3177"/>
  <c r="F3180"/>
  <c r="F3184"/>
  <c r="F3185"/>
  <c r="F3186"/>
  <c r="F3187"/>
  <c r="F3188"/>
  <c r="F3189"/>
  <c r="F3190"/>
  <c r="F3191"/>
  <c r="F3192"/>
  <c r="F3193"/>
  <c r="F3196"/>
  <c r="F3200"/>
  <c r="F3201"/>
  <c r="F3202"/>
  <c r="F3203"/>
  <c r="F3204"/>
  <c r="F3205"/>
  <c r="F3206"/>
  <c r="F3207"/>
  <c r="F3208"/>
  <c r="F3209"/>
  <c r="F3212"/>
  <c r="F3215"/>
  <c r="F3216"/>
  <c r="F3217"/>
  <c r="F3218"/>
  <c r="F3219"/>
  <c r="F3220"/>
  <c r="F3221"/>
  <c r="F3222"/>
  <c r="F3223"/>
  <c r="F3224"/>
  <c r="F3225"/>
  <c r="F3227"/>
  <c r="F3228"/>
  <c r="F3231"/>
  <c r="F3232"/>
  <c r="F3233"/>
  <c r="F3234"/>
  <c r="F3235"/>
  <c r="F3236"/>
  <c r="F3237"/>
  <c r="F3238"/>
  <c r="F3239"/>
  <c r="F3240"/>
  <c r="F3244"/>
  <c r="F3245"/>
  <c r="F3247"/>
  <c r="F3248"/>
  <c r="F3249"/>
  <c r="F3250"/>
  <c r="F3251"/>
  <c r="F3252"/>
  <c r="F3253"/>
  <c r="F3254"/>
  <c r="F3255"/>
  <c r="F3256"/>
  <c r="F3260"/>
  <c r="F3263"/>
  <c r="F3264"/>
  <c r="F3265"/>
  <c r="F3266"/>
  <c r="F3267"/>
  <c r="F3268"/>
  <c r="F3269"/>
  <c r="F3270"/>
  <c r="F3271"/>
  <c r="F3272"/>
  <c r="F3276"/>
  <c r="F3280"/>
  <c r="F3281"/>
  <c r="F3282"/>
  <c r="F3283"/>
  <c r="F3284"/>
  <c r="F3285"/>
  <c r="F3286"/>
  <c r="F3287"/>
  <c r="F3288"/>
  <c r="F3292"/>
  <c r="F3296"/>
  <c r="F3297"/>
  <c r="F3298"/>
  <c r="F3299"/>
  <c r="F3300"/>
  <c r="F3301"/>
  <c r="F3302"/>
  <c r="F3303"/>
  <c r="F3304"/>
  <c r="F3305"/>
  <c r="F3308"/>
  <c r="F3312"/>
  <c r="F3313"/>
  <c r="F3314"/>
  <c r="F3315"/>
  <c r="F3316"/>
  <c r="F3317"/>
  <c r="F3318"/>
  <c r="F3319"/>
  <c r="F3320"/>
  <c r="F3321"/>
  <c r="F3324"/>
  <c r="F3328"/>
  <c r="F3329"/>
  <c r="F3330"/>
  <c r="F3331"/>
  <c r="F3332"/>
  <c r="F3333"/>
  <c r="F3334"/>
  <c r="F3335"/>
  <c r="F3336"/>
  <c r="F3337"/>
  <c r="F3340"/>
  <c r="F3343"/>
  <c r="F3344"/>
  <c r="F3345"/>
  <c r="F3346"/>
  <c r="F3347"/>
  <c r="F3348"/>
  <c r="F3349"/>
  <c r="F3350"/>
  <c r="F3351"/>
  <c r="F3352"/>
  <c r="F3353"/>
  <c r="F3355"/>
  <c r="F3356"/>
  <c r="F3359"/>
  <c r="F3360"/>
  <c r="F3361"/>
  <c r="F3362"/>
  <c r="F3363"/>
  <c r="F3364"/>
  <c r="F3365"/>
  <c r="F3366"/>
  <c r="F3367"/>
  <c r="F3368"/>
  <c r="F3372"/>
  <c r="F3373"/>
  <c r="F3375"/>
  <c r="F3376"/>
  <c r="F3377"/>
  <c r="F3378"/>
  <c r="F3379"/>
  <c r="F3380"/>
  <c r="F3381"/>
  <c r="F3382"/>
  <c r="F3383"/>
  <c r="F3384"/>
  <c r="F3388"/>
  <c r="F3391"/>
  <c r="F3392"/>
  <c r="F3393"/>
  <c r="F3394"/>
  <c r="F3395"/>
  <c r="F3396"/>
  <c r="F3397"/>
  <c r="F3398"/>
  <c r="F3399"/>
  <c r="F3400"/>
  <c r="F3404"/>
  <c r="F3408"/>
  <c r="F3409"/>
  <c r="F3410"/>
  <c r="F3411"/>
  <c r="F3412"/>
  <c r="F3413"/>
  <c r="F3414"/>
  <c r="F3415"/>
  <c r="F3416"/>
  <c r="F3420"/>
  <c r="F3424"/>
  <c r="F3425"/>
  <c r="F3426"/>
  <c r="F3427"/>
  <c r="F3428"/>
  <c r="F3429"/>
  <c r="F3430"/>
  <c r="F3431"/>
  <c r="F3432"/>
  <c r="F3433"/>
  <c r="F3436"/>
  <c r="F3440"/>
  <c r="F3441"/>
  <c r="F3442"/>
  <c r="F3443"/>
  <c r="F3444"/>
  <c r="F3445"/>
  <c r="F3446"/>
  <c r="F3447"/>
  <c r="F3448"/>
  <c r="F3449"/>
  <c r="F3452"/>
  <c r="F3456"/>
  <c r="F3457"/>
  <c r="F3458"/>
  <c r="F3459"/>
  <c r="F3460"/>
  <c r="F3461"/>
  <c r="F3462"/>
  <c r="F3463"/>
  <c r="F3464"/>
  <c r="F3465"/>
  <c r="F3468"/>
  <c r="F3471"/>
  <c r="F3472"/>
  <c r="F3473"/>
  <c r="F3474"/>
  <c r="F3475"/>
  <c r="F3476"/>
  <c r="F3477"/>
  <c r="F3478"/>
  <c r="F3479"/>
  <c r="F3480"/>
  <c r="F3481"/>
  <c r="F3483"/>
  <c r="F3484"/>
  <c r="F3487"/>
  <c r="F3488"/>
  <c r="F3489"/>
  <c r="F3490"/>
  <c r="F3491"/>
  <c r="F3492"/>
  <c r="F3493"/>
  <c r="F3494"/>
  <c r="F3495"/>
  <c r="F3496"/>
  <c r="F3500"/>
  <c r="F3501"/>
  <c r="F3503"/>
  <c r="F3504"/>
  <c r="F3505"/>
  <c r="F3506"/>
  <c r="F3507"/>
  <c r="F3508"/>
  <c r="F3509"/>
  <c r="F3510"/>
  <c r="F3511"/>
  <c r="F3512"/>
  <c r="F3516"/>
  <c r="F3519"/>
  <c r="F3520"/>
  <c r="F3521"/>
  <c r="F3522"/>
  <c r="F3523"/>
  <c r="F3524"/>
  <c r="F3525"/>
  <c r="F3526"/>
  <c r="F3527"/>
  <c r="F3528"/>
  <c r="F3532"/>
  <c r="F3536"/>
  <c r="F3537"/>
  <c r="F3538"/>
  <c r="F3539"/>
  <c r="F3540"/>
  <c r="F3541"/>
  <c r="F3542"/>
  <c r="F3543"/>
  <c r="F3544"/>
  <c r="F3548"/>
  <c r="F3552"/>
  <c r="F3553"/>
  <c r="F3554"/>
  <c r="F3555"/>
  <c r="F3556"/>
  <c r="F3557"/>
  <c r="F3558"/>
  <c r="F3559"/>
  <c r="F3560"/>
  <c r="F3561"/>
  <c r="F3564"/>
  <c r="F3568"/>
  <c r="F3569"/>
  <c r="F3570"/>
  <c r="F3571"/>
  <c r="F3572"/>
  <c r="F3573"/>
  <c r="F3574"/>
  <c r="F3575"/>
  <c r="F3576"/>
  <c r="F3577"/>
  <c r="F3580"/>
  <c r="F3584"/>
  <c r="F3585"/>
  <c r="F3586"/>
  <c r="F3587"/>
  <c r="F3588"/>
  <c r="F3589"/>
  <c r="F3590"/>
  <c r="F3591"/>
  <c r="F3592"/>
  <c r="F3593"/>
  <c r="F3596"/>
  <c r="F3599"/>
  <c r="F3600"/>
  <c r="F3601"/>
  <c r="F3602"/>
  <c r="F3603"/>
  <c r="F3604"/>
  <c r="F3605"/>
  <c r="F3606"/>
  <c r="F3607"/>
  <c r="F3608"/>
  <c r="F3609"/>
  <c r="F3611"/>
  <c r="F3612"/>
  <c r="F3615"/>
  <c r="F3616"/>
  <c r="F3617"/>
  <c r="F3618"/>
  <c r="F3619"/>
  <c r="F3620"/>
  <c r="F3621"/>
  <c r="F3622"/>
  <c r="F3623"/>
  <c r="F3624"/>
  <c r="F3628"/>
  <c r="F3629"/>
  <c r="F3631"/>
  <c r="F3632"/>
  <c r="F3633"/>
  <c r="F3634"/>
  <c r="F3635"/>
  <c r="F3636"/>
  <c r="F3637"/>
  <c r="F3638"/>
  <c r="F3639"/>
  <c r="F3640"/>
  <c r="F3644"/>
  <c r="F3647"/>
  <c r="F3648"/>
  <c r="F3649"/>
  <c r="F3650"/>
  <c r="F3651"/>
  <c r="F3652"/>
  <c r="F3653"/>
  <c r="F3654"/>
  <c r="F3655"/>
  <c r="F3656"/>
  <c r="F3660"/>
  <c r="F3664"/>
  <c r="F3665"/>
  <c r="F3666"/>
  <c r="F3667"/>
  <c r="F3668"/>
  <c r="F3669"/>
  <c r="F3670"/>
  <c r="F3671"/>
  <c r="F3672"/>
  <c r="F3676"/>
  <c r="F3680"/>
  <c r="F3681"/>
  <c r="F3682"/>
  <c r="F3683"/>
  <c r="F3684"/>
  <c r="F3685"/>
  <c r="F3686"/>
  <c r="F3687"/>
  <c r="F3688"/>
  <c r="F3689"/>
  <c r="F3692"/>
  <c r="F3696"/>
  <c r="F3697"/>
  <c r="F3698"/>
  <c r="F3699"/>
  <c r="F3700"/>
  <c r="F3701"/>
  <c r="F3702"/>
  <c r="F3703"/>
  <c r="F3704"/>
  <c r="F3705"/>
  <c r="F3708"/>
  <c r="F3712"/>
  <c r="F3713"/>
  <c r="F3714"/>
  <c r="F3715"/>
  <c r="F3716"/>
  <c r="F3717"/>
  <c r="F3718"/>
  <c r="F3719"/>
  <c r="F3720"/>
  <c r="F3721"/>
  <c r="F3724"/>
  <c r="F3727"/>
  <c r="F3728"/>
  <c r="F3729"/>
  <c r="F3730"/>
  <c r="F3731"/>
  <c r="F3732"/>
  <c r="F3733"/>
  <c r="F3734"/>
  <c r="F3735"/>
  <c r="F3736"/>
  <c r="F3737"/>
  <c r="F3739"/>
  <c r="F3740"/>
  <c r="F3743"/>
  <c r="F3744"/>
  <c r="F3745"/>
  <c r="F3746"/>
  <c r="F3747"/>
  <c r="F3748"/>
  <c r="F3749"/>
  <c r="F3750"/>
  <c r="F3751"/>
  <c r="F3752"/>
  <c r="F3756"/>
  <c r="F3757"/>
  <c r="F3759"/>
  <c r="F3760"/>
  <c r="F3761"/>
  <c r="F3762"/>
  <c r="F3763"/>
  <c r="F3764"/>
  <c r="F3765"/>
  <c r="F3766"/>
  <c r="F3767"/>
  <c r="F3768"/>
  <c r="F3772"/>
  <c r="F3775"/>
  <c r="F3776"/>
  <c r="F3777"/>
  <c r="F3778"/>
  <c r="F3779"/>
  <c r="F3780"/>
  <c r="F3781"/>
  <c r="F3782"/>
  <c r="F3783"/>
  <c r="F3784"/>
  <c r="F3788"/>
  <c r="F3792"/>
  <c r="F3793"/>
  <c r="F3794"/>
  <c r="F3795"/>
  <c r="F3796"/>
  <c r="F3797"/>
  <c r="F3798"/>
  <c r="F3799"/>
  <c r="F3800"/>
  <c r="F3804"/>
  <c r="F3808"/>
  <c r="F3809"/>
  <c r="F3810"/>
  <c r="F3811"/>
  <c r="F3812"/>
  <c r="F3813"/>
  <c r="F3814"/>
  <c r="F3815"/>
  <c r="F3816"/>
  <c r="F3817"/>
  <c r="F3820"/>
  <c r="F3824"/>
  <c r="F3825"/>
  <c r="F3826"/>
  <c r="F3827"/>
  <c r="F3828"/>
  <c r="F3829"/>
  <c r="F3830"/>
  <c r="F3831"/>
  <c r="F3832"/>
  <c r="F3833"/>
  <c r="F3836"/>
  <c r="F3840"/>
  <c r="F3841"/>
  <c r="F3842"/>
  <c r="F3843"/>
  <c r="F3844"/>
  <c r="F3845"/>
  <c r="F3846"/>
  <c r="F3847"/>
  <c r="F3848"/>
  <c r="F3849"/>
  <c r="F3852"/>
  <c r="F3855"/>
  <c r="F3856"/>
  <c r="F3857"/>
  <c r="F3858"/>
  <c r="F3859"/>
  <c r="F3860"/>
  <c r="F3861"/>
  <c r="F3862"/>
  <c r="F3863"/>
  <c r="F3864"/>
  <c r="F3865"/>
  <c r="F3867"/>
  <c r="F3868"/>
  <c r="F3871"/>
  <c r="F3872"/>
  <c r="F3873"/>
  <c r="F3874"/>
  <c r="F3875"/>
  <c r="F3876"/>
  <c r="F3877"/>
  <c r="F3878"/>
  <c r="F3879"/>
  <c r="F3880"/>
  <c r="F3884"/>
  <c r="F3885"/>
  <c r="F3887"/>
  <c r="F3888"/>
  <c r="F3889"/>
  <c r="F3890"/>
  <c r="F3891"/>
  <c r="F3892"/>
  <c r="F3893"/>
  <c r="F3894"/>
  <c r="F3895"/>
  <c r="F3896"/>
  <c r="F3900"/>
  <c r="F3903"/>
  <c r="F3904"/>
  <c r="F3905"/>
  <c r="F3906"/>
  <c r="F3907"/>
  <c r="F3908"/>
  <c r="F3909"/>
  <c r="F3910"/>
  <c r="F3911"/>
  <c r="F3912"/>
  <c r="F3916"/>
  <c r="F3920"/>
  <c r="F3921"/>
  <c r="F3922"/>
  <c r="F3923"/>
  <c r="F3924"/>
  <c r="F3925"/>
  <c r="F3926"/>
  <c r="F3927"/>
  <c r="F3928"/>
  <c r="F3932"/>
  <c r="F3936"/>
  <c r="F3937"/>
  <c r="F3938"/>
  <c r="F3939"/>
  <c r="F3940"/>
  <c r="F3941"/>
  <c r="F3942"/>
  <c r="F3943"/>
  <c r="F3944"/>
  <c r="F3945"/>
  <c r="F3948"/>
  <c r="F3952"/>
  <c r="F3953"/>
  <c r="F3954"/>
  <c r="F3955"/>
  <c r="F3956"/>
  <c r="F3957"/>
  <c r="F3958"/>
  <c r="F3959"/>
  <c r="F3960"/>
  <c r="F3961"/>
  <c r="F3964"/>
  <c r="F3968"/>
  <c r="F3969"/>
  <c r="F3970"/>
  <c r="F3971"/>
  <c r="F3972"/>
  <c r="F3973"/>
  <c r="F3974"/>
  <c r="F3975"/>
  <c r="F3976"/>
  <c r="F3977"/>
  <c r="F3980"/>
  <c r="F3983"/>
  <c r="F3984"/>
  <c r="F3985"/>
  <c r="F3986"/>
  <c r="F3987"/>
  <c r="F3988"/>
  <c r="F3989"/>
  <c r="F3990"/>
  <c r="F3991"/>
  <c r="F3992"/>
  <c r="F3993"/>
  <c r="F3995"/>
  <c r="F3996"/>
  <c r="F3999"/>
  <c r="F4000"/>
  <c r="F4001"/>
  <c r="F4002"/>
  <c r="F4003"/>
  <c r="F4004"/>
  <c r="F4005"/>
  <c r="F4006"/>
  <c r="F4007"/>
  <c r="F4008"/>
  <c r="F4012"/>
  <c r="F4013"/>
  <c r="F4015"/>
  <c r="F4016"/>
  <c r="F4017"/>
  <c r="F4018"/>
  <c r="F4019"/>
  <c r="F4020"/>
  <c r="F4021"/>
  <c r="F4022"/>
  <c r="F4023"/>
  <c r="F4024"/>
  <c r="F4028"/>
  <c r="F4031"/>
  <c r="F4032"/>
  <c r="F4033"/>
  <c r="F4034"/>
  <c r="F4035"/>
  <c r="F4036"/>
  <c r="F4037"/>
  <c r="F4038"/>
  <c r="F4039"/>
  <c r="F4040"/>
  <c r="F4044"/>
  <c r="F4048"/>
  <c r="F4049"/>
  <c r="F4050"/>
  <c r="F4051"/>
  <c r="F4052"/>
  <c r="F4053"/>
  <c r="F4054"/>
  <c r="F4055"/>
  <c r="F4056"/>
  <c r="F4060"/>
  <c r="F4064"/>
  <c r="F4065"/>
  <c r="F4066"/>
  <c r="F4067"/>
  <c r="F4068"/>
  <c r="F4069"/>
  <c r="F4070"/>
  <c r="F4071"/>
  <c r="F4072"/>
  <c r="F4073"/>
  <c r="F4076"/>
  <c r="F4080"/>
  <c r="F4081"/>
  <c r="F4082"/>
  <c r="F4083"/>
  <c r="F4084"/>
  <c r="F4085"/>
  <c r="F4086"/>
  <c r="F4087"/>
  <c r="F4088"/>
  <c r="F4089"/>
  <c r="F4092"/>
  <c r="F4096"/>
  <c r="F4097"/>
  <c r="F4098"/>
  <c r="F4099"/>
  <c r="F4100"/>
  <c r="F4101"/>
  <c r="F4102"/>
  <c r="F4103"/>
  <c r="F4104"/>
  <c r="F4105"/>
  <c r="F4108"/>
  <c r="F4111"/>
  <c r="F4112"/>
  <c r="F4113"/>
  <c r="F4114"/>
  <c r="F4115"/>
  <c r="F4116"/>
  <c r="F4117"/>
  <c r="F4118"/>
  <c r="F4119"/>
  <c r="F4120"/>
  <c r="F4121"/>
  <c r="F4123"/>
  <c r="F4124"/>
  <c r="F4127"/>
  <c r="F4128"/>
  <c r="F4129"/>
  <c r="F4130"/>
  <c r="F4131"/>
  <c r="F4132"/>
  <c r="F4133"/>
  <c r="F4134"/>
  <c r="F4135"/>
  <c r="F4136"/>
  <c r="F4140"/>
  <c r="F4141"/>
  <c r="F4143"/>
  <c r="F4144"/>
  <c r="F4145"/>
  <c r="F4146"/>
  <c r="F4147"/>
  <c r="F4148"/>
  <c r="F4149"/>
  <c r="F4150"/>
  <c r="F4151"/>
  <c r="F4152"/>
  <c r="F4156"/>
  <c r="F4159"/>
  <c r="F4160"/>
  <c r="F4161"/>
  <c r="F4162"/>
  <c r="F4163"/>
  <c r="F4164"/>
  <c r="F4165"/>
  <c r="F4166"/>
  <c r="F4167"/>
  <c r="F4168"/>
  <c r="F4172"/>
  <c r="F4176"/>
  <c r="F4177"/>
  <c r="F4178"/>
  <c r="F4179"/>
  <c r="F4180"/>
  <c r="F4181"/>
  <c r="F4182"/>
  <c r="F4183"/>
  <c r="F4184"/>
  <c r="F4188"/>
  <c r="F4192"/>
  <c r="F4193"/>
  <c r="F4194"/>
  <c r="F4195"/>
  <c r="F4196"/>
  <c r="F4197"/>
  <c r="F4198"/>
  <c r="F4199"/>
  <c r="F4200"/>
  <c r="F4201"/>
  <c r="F4204"/>
  <c r="F4208"/>
  <c r="F4209"/>
  <c r="F4210"/>
  <c r="F4211"/>
  <c r="F4212"/>
  <c r="F4213"/>
  <c r="F4214"/>
  <c r="F4215"/>
  <c r="F4216"/>
  <c r="F4217"/>
  <c r="F4220"/>
  <c r="F4224"/>
  <c r="F4225"/>
  <c r="F4226"/>
  <c r="F4227"/>
  <c r="F4228"/>
  <c r="F4229"/>
  <c r="F4230"/>
  <c r="F4231"/>
  <c r="F4232"/>
  <c r="F4233"/>
  <c r="F4236"/>
  <c r="F4239"/>
  <c r="F4240"/>
  <c r="F4241"/>
  <c r="F4242"/>
  <c r="F4243"/>
  <c r="F4244"/>
  <c r="F4245"/>
  <c r="F4246"/>
  <c r="F4247"/>
  <c r="F4248"/>
  <c r="F4249"/>
  <c r="F4251"/>
  <c r="F4252"/>
  <c r="F4255"/>
  <c r="F4256"/>
  <c r="F4257"/>
  <c r="F4258"/>
  <c r="F4259"/>
  <c r="F4260"/>
  <c r="F4261"/>
  <c r="F4262"/>
  <c r="F4263"/>
  <c r="F4264"/>
  <c r="F4268"/>
  <c r="F4269"/>
  <c r="F4271"/>
  <c r="F4272"/>
  <c r="F4273"/>
  <c r="F4274"/>
  <c r="F4275"/>
  <c r="F4276"/>
  <c r="F4277"/>
  <c r="F4278"/>
  <c r="F4279"/>
  <c r="F4280"/>
  <c r="F4284"/>
  <c r="F4287"/>
  <c r="F4288"/>
  <c r="F4289"/>
  <c r="F4290"/>
  <c r="F4291"/>
  <c r="F4292"/>
  <c r="F4293"/>
  <c r="F4294"/>
  <c r="F4295"/>
  <c r="F4296"/>
  <c r="F4300"/>
  <c r="F4304"/>
  <c r="F4305"/>
  <c r="F4306"/>
  <c r="F4307"/>
  <c r="F4308"/>
  <c r="F4309"/>
  <c r="F4310"/>
  <c r="F4311"/>
  <c r="F4312"/>
  <c r="F4316"/>
  <c r="F4320"/>
  <c r="F4321"/>
  <c r="F4322"/>
  <c r="F4323"/>
  <c r="F4324"/>
  <c r="F4325"/>
  <c r="F4326"/>
  <c r="F4327"/>
  <c r="F4328"/>
  <c r="F4329"/>
  <c r="F4332"/>
  <c r="F4336"/>
  <c r="F4337"/>
  <c r="F4338"/>
  <c r="F4339"/>
  <c r="F4340"/>
  <c r="F4341"/>
  <c r="F4342"/>
  <c r="F4343"/>
  <c r="F4344"/>
  <c r="F4345"/>
  <c r="F4348"/>
  <c r="F4352"/>
  <c r="F4353"/>
  <c r="F4354"/>
  <c r="F4355"/>
  <c r="F4356"/>
  <c r="F4357"/>
  <c r="F4358"/>
  <c r="F4359"/>
  <c r="F4360"/>
  <c r="F4361"/>
  <c r="F4364"/>
  <c r="F4367"/>
  <c r="F4368"/>
  <c r="F4369"/>
  <c r="F4370"/>
  <c r="F4371"/>
  <c r="F4372"/>
  <c r="F4373"/>
  <c r="F4374"/>
  <c r="F4375"/>
  <c r="F4376"/>
  <c r="F4377"/>
  <c r="F4379"/>
  <c r="F4380"/>
  <c r="F4383"/>
  <c r="F4384"/>
  <c r="F4385"/>
  <c r="F4386"/>
  <c r="F4387"/>
  <c r="F4388"/>
  <c r="F4389"/>
  <c r="F4390"/>
  <c r="F4391"/>
  <c r="F4392"/>
  <c r="F4396"/>
  <c r="F4397"/>
  <c r="F4399"/>
  <c r="F4400"/>
  <c r="F4401"/>
  <c r="F4402"/>
  <c r="F4403"/>
  <c r="F4404"/>
  <c r="F4405"/>
  <c r="F4406"/>
  <c r="F4407"/>
  <c r="F4408"/>
  <c r="F4412"/>
  <c r="F4415"/>
  <c r="F4416"/>
  <c r="F4417"/>
  <c r="F4418"/>
  <c r="F4419"/>
  <c r="F4420"/>
  <c r="F4421"/>
  <c r="F4422"/>
  <c r="F4423"/>
  <c r="F4424"/>
  <c r="F4428"/>
  <c r="F4432"/>
  <c r="F4433"/>
  <c r="F4434"/>
  <c r="F4435"/>
  <c r="F4436"/>
  <c r="F4437"/>
  <c r="F4438"/>
  <c r="F4439"/>
  <c r="F4440"/>
  <c r="F4444"/>
  <c r="F4448"/>
  <c r="F4449"/>
  <c r="F4450"/>
  <c r="F4451"/>
  <c r="F4452"/>
  <c r="F4453"/>
  <c r="F4454"/>
  <c r="F4455"/>
  <c r="F4456"/>
  <c r="F4457"/>
  <c r="F4460"/>
  <c r="F4464"/>
  <c r="F4465"/>
  <c r="F4466"/>
  <c r="F4467"/>
  <c r="F4468"/>
  <c r="F4469"/>
  <c r="F4470"/>
  <c r="F4471"/>
  <c r="F4472"/>
  <c r="F4473"/>
  <c r="F4476"/>
  <c r="F4480"/>
  <c r="F4481"/>
  <c r="F4482"/>
  <c r="F4483"/>
  <c r="F4484"/>
  <c r="F4485"/>
  <c r="F4486"/>
  <c r="F4487"/>
  <c r="F4488"/>
  <c r="F4489"/>
  <c r="F4492"/>
  <c r="F4495"/>
  <c r="F4496"/>
  <c r="F4497"/>
  <c r="F4498"/>
  <c r="F4499"/>
  <c r="F4500"/>
  <c r="F4501"/>
  <c r="F4502"/>
  <c r="F4503"/>
  <c r="F4504"/>
  <c r="F4505"/>
  <c r="F4507"/>
  <c r="F4508"/>
  <c r="F4511"/>
  <c r="F4512"/>
  <c r="F4513"/>
  <c r="F4514"/>
  <c r="F4515"/>
  <c r="F4516"/>
  <c r="F4517"/>
  <c r="F4518"/>
  <c r="F4519"/>
  <c r="F4520"/>
  <c r="F4524"/>
  <c r="F4525"/>
  <c r="F4527"/>
  <c r="F4528"/>
  <c r="F4529"/>
  <c r="F4530"/>
  <c r="F4531"/>
  <c r="F4532"/>
  <c r="F4533"/>
  <c r="F4534"/>
  <c r="F4535"/>
  <c r="F4536"/>
  <c r="F4540"/>
  <c r="F4543"/>
  <c r="F4544"/>
  <c r="F4545"/>
  <c r="F4546"/>
  <c r="F4547"/>
  <c r="F4548"/>
  <c r="F4549"/>
  <c r="F4550"/>
  <c r="F4551"/>
  <c r="F4552"/>
  <c r="F4556"/>
  <c r="F4560"/>
  <c r="F4561"/>
  <c r="F4562"/>
  <c r="F4563"/>
  <c r="F4564"/>
  <c r="F4565"/>
  <c r="F4566"/>
  <c r="F4567"/>
  <c r="F4568"/>
  <c r="F4572"/>
  <c r="F4576"/>
  <c r="F4577"/>
  <c r="F4578"/>
  <c r="F4579"/>
  <c r="F4580"/>
  <c r="F4581"/>
  <c r="F4582"/>
  <c r="F4583"/>
  <c r="F4584"/>
  <c r="F4585"/>
  <c r="F4588"/>
  <c r="F4592"/>
  <c r="F4593"/>
  <c r="F4594"/>
  <c r="F4595"/>
  <c r="F4596"/>
  <c r="F4597"/>
  <c r="F4598"/>
  <c r="F4599"/>
  <c r="F4600"/>
  <c r="F4601"/>
  <c r="F4604"/>
  <c r="F4608"/>
  <c r="F4609"/>
  <c r="F4610"/>
  <c r="F4611"/>
  <c r="F4612"/>
  <c r="F4613"/>
  <c r="F4614"/>
  <c r="F4615"/>
  <c r="F4616"/>
  <c r="F4617"/>
  <c r="F4620"/>
  <c r="F4623"/>
  <c r="F4624"/>
  <c r="F4625"/>
  <c r="F4626"/>
  <c r="F4627"/>
  <c r="F4628"/>
  <c r="F4629"/>
  <c r="F4630"/>
  <c r="F4631"/>
  <c r="F4632"/>
  <c r="F4633"/>
  <c r="F4635"/>
  <c r="F4636"/>
  <c r="F4639"/>
  <c r="F4640"/>
  <c r="F4641"/>
  <c r="F4642"/>
  <c r="F4643"/>
  <c r="F4644"/>
  <c r="F4645"/>
  <c r="F4646"/>
  <c r="F4647"/>
  <c r="F4648"/>
  <c r="F4652"/>
  <c r="F4653"/>
  <c r="F4655"/>
  <c r="F4656"/>
  <c r="F4657"/>
  <c r="F4658"/>
  <c r="F4659"/>
  <c r="F4660"/>
  <c r="F4661"/>
  <c r="F4662"/>
  <c r="F4663"/>
  <c r="F4664"/>
  <c r="F4668"/>
  <c r="F4671"/>
  <c r="F4672"/>
  <c r="F4673"/>
  <c r="F4674"/>
  <c r="F4675"/>
  <c r="F4676"/>
  <c r="F4677"/>
  <c r="F4678"/>
  <c r="F4679"/>
  <c r="F4680"/>
  <c r="F4684"/>
  <c r="F4688"/>
  <c r="F4689"/>
  <c r="F4690"/>
  <c r="F4691"/>
  <c r="F4692"/>
  <c r="F4693"/>
  <c r="F4694"/>
  <c r="F4695"/>
  <c r="F4696"/>
  <c r="F4700"/>
  <c r="F4704"/>
  <c r="F4705"/>
  <c r="F4706"/>
  <c r="F4707"/>
  <c r="F4708"/>
  <c r="F4709"/>
  <c r="F4710"/>
  <c r="F4711"/>
  <c r="F4712"/>
  <c r="F4713"/>
  <c r="F4716"/>
  <c r="F4720"/>
  <c r="F4721"/>
  <c r="F4722"/>
  <c r="F4723"/>
  <c r="F4724"/>
  <c r="F4725"/>
  <c r="F4726"/>
  <c r="F4727"/>
  <c r="F4728"/>
  <c r="F4729"/>
  <c r="F4732"/>
  <c r="F4736"/>
  <c r="F4737"/>
  <c r="F4738"/>
  <c r="F4739"/>
  <c r="F4740"/>
  <c r="F4741"/>
  <c r="F4742"/>
  <c r="F4743"/>
  <c r="F4744"/>
  <c r="F4745"/>
  <c r="F4748"/>
  <c r="F4751"/>
  <c r="F4752"/>
  <c r="F4753"/>
  <c r="F4754"/>
  <c r="F4755"/>
  <c r="F4756"/>
  <c r="F4757"/>
  <c r="F4758"/>
  <c r="F4759"/>
  <c r="F4760"/>
  <c r="F4761"/>
  <c r="F4763"/>
  <c r="F4764"/>
  <c r="F4767"/>
  <c r="F4768"/>
  <c r="F4769"/>
  <c r="F4770"/>
  <c r="F4771"/>
  <c r="F4772"/>
  <c r="F4773"/>
  <c r="F4774"/>
  <c r="F4775"/>
  <c r="F4776"/>
  <c r="F4780"/>
  <c r="F4781"/>
  <c r="F4783"/>
  <c r="F4784"/>
  <c r="F4785"/>
  <c r="F4786"/>
  <c r="F4787"/>
  <c r="F4788"/>
  <c r="F4789"/>
  <c r="F4790"/>
  <c r="F4791"/>
  <c r="F4792"/>
  <c r="F4796"/>
  <c r="F4799"/>
  <c r="F4800"/>
  <c r="F4801"/>
  <c r="F4802"/>
  <c r="F4803"/>
  <c r="F4804"/>
  <c r="F4805"/>
  <c r="F4806"/>
  <c r="F4807"/>
  <c r="F4808"/>
  <c r="F4812"/>
  <c r="F4816"/>
  <c r="F4817"/>
  <c r="F4818"/>
  <c r="F4819"/>
  <c r="F4820"/>
  <c r="F4821"/>
  <c r="F4822"/>
  <c r="F4823"/>
  <c r="F4824"/>
  <c r="F4828"/>
  <c r="F4832"/>
  <c r="F4833"/>
  <c r="F4834"/>
  <c r="F4835"/>
  <c r="F4836"/>
  <c r="F4837"/>
  <c r="F4838"/>
  <c r="F4839"/>
  <c r="F4840"/>
  <c r="F4841"/>
  <c r="F4844"/>
  <c r="F4848"/>
  <c r="F4849"/>
  <c r="F4850"/>
  <c r="F4851"/>
  <c r="F4852"/>
  <c r="F4853"/>
  <c r="F4854"/>
  <c r="F4855"/>
  <c r="F4856"/>
  <c r="F4857"/>
  <c r="F4860"/>
  <c r="F4864"/>
  <c r="F4865"/>
  <c r="F4866"/>
  <c r="F4867"/>
  <c r="F4868"/>
  <c r="F4869"/>
  <c r="F4870"/>
  <c r="F4871"/>
  <c r="F4872"/>
  <c r="F4873"/>
  <c r="F4876"/>
  <c r="F4879"/>
  <c r="F4880"/>
  <c r="F4881"/>
  <c r="F4882"/>
  <c r="F4883"/>
  <c r="F4884"/>
  <c r="F4885"/>
  <c r="F4886"/>
  <c r="F4887"/>
  <c r="F4888"/>
  <c r="F4889"/>
  <c r="F4891"/>
  <c r="F4892"/>
  <c r="F4895"/>
  <c r="F4896"/>
  <c r="F4897"/>
  <c r="F4898"/>
  <c r="F4899"/>
  <c r="F4900"/>
  <c r="F4901"/>
  <c r="F4902"/>
  <c r="F4903"/>
  <c r="F4904"/>
  <c r="F4908"/>
  <c r="F4909"/>
  <c r="F4911"/>
  <c r="F4912"/>
  <c r="F4913"/>
  <c r="F4914"/>
  <c r="F4915"/>
  <c r="F4916"/>
  <c r="F4917"/>
  <c r="F4918"/>
  <c r="F4919"/>
  <c r="F4920"/>
  <c r="F4924"/>
  <c r="F4927"/>
  <c r="F4928"/>
  <c r="F4929"/>
  <c r="F4930"/>
  <c r="F4931"/>
  <c r="F4932"/>
  <c r="F4933"/>
  <c r="F4934"/>
  <c r="F4935"/>
  <c r="F4936"/>
  <c r="F4940"/>
  <c r="F4944"/>
  <c r="F4945"/>
  <c r="F4946"/>
  <c r="F4947"/>
  <c r="F4948"/>
  <c r="F4949"/>
  <c r="F4950"/>
  <c r="F4951"/>
  <c r="F4952"/>
  <c r="F4956"/>
  <c r="F4960"/>
  <c r="F4961"/>
  <c r="F4962"/>
  <c r="F4963"/>
  <c r="F4964"/>
  <c r="F4965"/>
  <c r="F4966"/>
  <c r="F4967"/>
  <c r="F4968"/>
  <c r="F4969"/>
  <c r="F4972"/>
  <c r="F4976"/>
  <c r="F4977"/>
  <c r="F4978"/>
  <c r="F4979"/>
  <c r="F4980"/>
  <c r="F4981"/>
  <c r="F4982"/>
  <c r="F4983"/>
  <c r="F4984"/>
  <c r="F4985"/>
  <c r="F4988"/>
  <c r="F4992"/>
  <c r="F4993"/>
  <c r="F4994"/>
  <c r="F4995"/>
  <c r="F4996"/>
  <c r="F4997"/>
  <c r="F4998"/>
  <c r="F4999"/>
  <c r="F5000"/>
  <c r="F5001"/>
  <c r="F5004"/>
  <c r="F5007"/>
  <c r="F5008"/>
  <c r="F5009"/>
  <c r="F5010"/>
  <c r="F5011"/>
  <c r="F5012"/>
  <c r="F5013"/>
  <c r="F5014"/>
  <c r="F5015"/>
  <c r="F5016"/>
  <c r="F5017"/>
  <c r="F5019"/>
  <c r="F5020"/>
  <c r="F5023"/>
  <c r="F5024"/>
  <c r="F5025"/>
  <c r="F5026"/>
  <c r="F5027"/>
  <c r="F5028"/>
  <c r="F5029"/>
  <c r="F5030"/>
  <c r="F5031"/>
  <c r="F5032"/>
  <c r="F5036"/>
  <c r="F5037"/>
  <c r="F5039"/>
  <c r="F5040"/>
  <c r="F5041"/>
  <c r="F5042"/>
  <c r="F5043"/>
  <c r="F5044"/>
  <c r="F5045"/>
  <c r="F5046"/>
  <c r="F5047"/>
  <c r="F5048"/>
  <c r="F5052"/>
  <c r="F5055"/>
  <c r="F5056"/>
  <c r="F5057"/>
  <c r="F5058"/>
  <c r="F5059"/>
  <c r="F5060"/>
  <c r="F5061"/>
  <c r="F5062"/>
  <c r="F5063"/>
  <c r="F5064"/>
  <c r="F5068"/>
  <c r="F5072"/>
  <c r="F5073"/>
  <c r="F5074"/>
  <c r="F5075"/>
  <c r="F5076"/>
  <c r="F5077"/>
  <c r="F5078"/>
  <c r="F5079"/>
  <c r="F5080"/>
  <c r="F5084"/>
  <c r="F5088"/>
  <c r="F5089"/>
  <c r="F5090"/>
  <c r="F5091"/>
  <c r="F5092"/>
  <c r="F5093"/>
  <c r="F5094"/>
  <c r="F5095"/>
  <c r="F5096"/>
  <c r="F5097"/>
  <c r="F5100"/>
  <c r="F5104"/>
  <c r="F5105"/>
  <c r="F5106"/>
  <c r="F5107"/>
  <c r="F5108"/>
  <c r="F5109"/>
  <c r="F5110"/>
  <c r="F5111"/>
  <c r="F5112"/>
  <c r="F5113"/>
  <c r="F5116"/>
  <c r="F5120"/>
  <c r="F5121"/>
  <c r="F5122"/>
  <c r="F5123"/>
  <c r="F5124"/>
  <c r="F5125"/>
  <c r="F5126"/>
  <c r="F5127"/>
  <c r="F5128"/>
  <c r="F5129"/>
  <c r="F5132"/>
  <c r="F5135"/>
  <c r="F5136"/>
  <c r="F5137"/>
  <c r="F5138"/>
  <c r="F5139"/>
  <c r="F5140"/>
  <c r="F5141"/>
  <c r="F5142"/>
  <c r="F5143"/>
  <c r="F5144"/>
  <c r="F5145"/>
  <c r="F5147"/>
  <c r="F5148"/>
  <c r="F5151"/>
  <c r="F5152"/>
  <c r="F5153"/>
  <c r="F5154"/>
  <c r="F5155"/>
  <c r="F5156"/>
  <c r="F5157"/>
  <c r="F5158"/>
  <c r="F5159"/>
  <c r="F5160"/>
  <c r="F5164"/>
  <c r="F5165"/>
  <c r="F5167"/>
  <c r="F5168"/>
  <c r="F5169"/>
  <c r="F5170"/>
  <c r="F5171"/>
  <c r="F5172"/>
  <c r="F5173"/>
  <c r="F5174"/>
  <c r="F5175"/>
  <c r="F5176"/>
  <c r="F5180"/>
  <c r="F5183"/>
  <c r="F5184"/>
  <c r="F5185"/>
  <c r="F5186"/>
  <c r="F5187"/>
  <c r="F5188"/>
  <c r="F5189"/>
  <c r="F5190"/>
  <c r="F5191"/>
  <c r="F5192"/>
  <c r="F5196"/>
  <c r="F5200"/>
  <c r="F5201"/>
  <c r="F5202"/>
  <c r="F5203"/>
  <c r="F5204"/>
  <c r="F5205"/>
  <c r="F5206"/>
  <c r="F5207"/>
  <c r="F5208"/>
  <c r="F5212"/>
  <c r="F5216"/>
  <c r="F5217"/>
  <c r="F5218"/>
  <c r="F5219"/>
  <c r="F5220"/>
  <c r="F5221"/>
  <c r="F5222"/>
  <c r="F5223"/>
  <c r="F5224"/>
  <c r="F5225"/>
  <c r="F5228"/>
  <c r="F5232"/>
  <c r="F5233"/>
  <c r="F5234"/>
  <c r="F5235"/>
  <c r="F5236"/>
  <c r="F5237"/>
  <c r="F5238"/>
  <c r="F5239"/>
  <c r="F5240"/>
  <c r="F5241"/>
  <c r="F5244"/>
  <c r="F5248"/>
  <c r="F5249"/>
  <c r="F5250"/>
  <c r="F5251"/>
  <c r="F5252"/>
  <c r="F5253"/>
  <c r="F5254"/>
  <c r="F5255"/>
  <c r="F5256"/>
  <c r="F5257"/>
  <c r="F5260"/>
  <c r="F5263"/>
  <c r="F5264"/>
  <c r="F5265"/>
  <c r="F5266"/>
  <c r="F5267"/>
  <c r="F5268"/>
  <c r="F5269"/>
  <c r="F5270"/>
  <c r="F5271"/>
  <c r="F5272"/>
  <c r="F5273"/>
  <c r="F5275"/>
  <c r="F5276"/>
  <c r="F5279"/>
  <c r="F5280"/>
  <c r="F5281"/>
  <c r="F5282"/>
  <c r="F5283"/>
  <c r="F5284"/>
  <c r="F5285"/>
  <c r="F5286"/>
  <c r="F5287"/>
  <c r="F5288"/>
  <c r="F5292"/>
  <c r="F5293"/>
  <c r="F5295"/>
  <c r="F5296"/>
  <c r="F5297"/>
  <c r="F5298"/>
  <c r="F5299"/>
  <c r="F5300"/>
  <c r="F5301"/>
  <c r="F5302"/>
  <c r="F5303"/>
  <c r="F5304"/>
  <c r="F5308"/>
  <c r="F5311"/>
  <c r="F5312"/>
  <c r="F5313"/>
  <c r="F5314"/>
  <c r="F5315"/>
  <c r="F5316"/>
  <c r="F5317"/>
  <c r="F5318"/>
  <c r="F5319"/>
  <c r="F5320"/>
  <c r="F5324"/>
  <c r="F5328"/>
  <c r="F5329"/>
  <c r="F5330"/>
  <c r="F5331"/>
  <c r="F5332"/>
  <c r="F5333"/>
  <c r="F5334"/>
  <c r="F5335"/>
  <c r="F5336"/>
  <c r="F5340"/>
  <c r="F5344"/>
  <c r="F5345"/>
  <c r="F5346"/>
  <c r="F5347"/>
  <c r="F5348"/>
  <c r="F5349"/>
  <c r="F5350"/>
  <c r="F5351"/>
  <c r="F5352"/>
  <c r="F5353"/>
  <c r="F5356"/>
  <c r="F5360"/>
  <c r="F5361"/>
  <c r="F5362"/>
  <c r="F5363"/>
  <c r="F5364"/>
  <c r="F5365"/>
  <c r="F5366"/>
  <c r="F5367"/>
  <c r="F5368"/>
  <c r="F5369"/>
  <c r="F5372"/>
  <c r="F5376"/>
  <c r="F5377"/>
  <c r="F5378"/>
  <c r="F5379"/>
  <c r="F5380"/>
  <c r="F5381"/>
  <c r="F5382"/>
  <c r="F5383"/>
  <c r="F5384"/>
  <c r="F5385"/>
  <c r="F5388"/>
  <c r="F5391"/>
  <c r="F5392"/>
  <c r="F5393"/>
  <c r="F5394"/>
  <c r="F5395"/>
  <c r="F5396"/>
  <c r="F5397"/>
  <c r="F5398"/>
  <c r="F5399"/>
  <c r="F5400"/>
  <c r="F5401"/>
  <c r="F5403"/>
  <c r="F5404"/>
  <c r="F5407"/>
  <c r="F5408"/>
  <c r="F5409"/>
  <c r="F5410"/>
  <c r="F5411"/>
  <c r="F5412"/>
  <c r="F5413"/>
  <c r="F5414"/>
  <c r="F5415"/>
  <c r="F5416"/>
  <c r="F5420"/>
  <c r="F5421"/>
  <c r="F5423"/>
  <c r="F5424"/>
  <c r="F5425"/>
  <c r="F5426"/>
  <c r="F5427"/>
  <c r="F5428"/>
  <c r="F5429"/>
  <c r="F5430"/>
  <c r="F5431"/>
  <c r="F5432"/>
  <c r="F5436"/>
  <c r="F5439"/>
  <c r="F5440"/>
  <c r="F5441"/>
  <c r="F5442"/>
  <c r="F5443"/>
  <c r="F5444"/>
  <c r="F5445"/>
  <c r="F5446"/>
  <c r="F5447"/>
  <c r="F5448"/>
  <c r="F5452"/>
  <c r="F5456"/>
  <c r="F5457"/>
  <c r="F5458"/>
  <c r="F5459"/>
  <c r="F5460"/>
  <c r="F5461"/>
  <c r="F5462"/>
  <c r="F5463"/>
  <c r="F5464"/>
  <c r="F5468"/>
  <c r="F5472"/>
  <c r="F5473"/>
  <c r="F5474"/>
  <c r="F5475"/>
  <c r="F5476"/>
  <c r="F5477"/>
  <c r="F5478"/>
  <c r="F5479"/>
  <c r="F5480"/>
  <c r="F5481"/>
  <c r="F5484"/>
  <c r="F5488"/>
  <c r="F5489"/>
  <c r="F5490"/>
  <c r="F5491"/>
  <c r="F5492"/>
  <c r="F5493"/>
  <c r="F5494"/>
  <c r="F5495"/>
  <c r="F5496"/>
  <c r="F5497"/>
  <c r="F5500"/>
  <c r="F5504"/>
  <c r="F5505"/>
  <c r="F5506"/>
  <c r="F5507"/>
  <c r="F5508"/>
  <c r="F5509"/>
  <c r="F5510"/>
  <c r="F5511"/>
  <c r="F5512"/>
  <c r="F5513"/>
  <c r="F5516"/>
  <c r="F5519"/>
  <c r="F5520"/>
  <c r="F5521"/>
  <c r="F5522"/>
  <c r="F5523"/>
  <c r="F5524"/>
  <c r="F5525"/>
  <c r="F5526"/>
  <c r="F5527"/>
  <c r="F5528"/>
  <c r="F5529"/>
  <c r="F5531"/>
  <c r="F5532"/>
  <c r="F5535"/>
  <c r="F5536"/>
  <c r="F5537"/>
  <c r="F5538"/>
  <c r="F5539"/>
  <c r="F5540"/>
  <c r="F5541"/>
  <c r="F5542"/>
  <c r="F5543"/>
  <c r="F5544"/>
  <c r="F5548"/>
  <c r="F5549"/>
  <c r="F5551"/>
  <c r="F5552"/>
  <c r="F5553"/>
  <c r="F5554"/>
  <c r="F5555"/>
  <c r="F5556"/>
  <c r="F5557"/>
  <c r="F5558"/>
  <c r="F5559"/>
  <c r="F5560"/>
  <c r="F5564"/>
  <c r="F5567"/>
  <c r="F5568"/>
  <c r="F5569"/>
  <c r="F5570"/>
  <c r="F5571"/>
  <c r="F5572"/>
  <c r="F5573"/>
  <c r="F5574"/>
  <c r="F5575"/>
  <c r="F5576"/>
  <c r="F5580"/>
  <c r="F5584"/>
  <c r="F5585"/>
  <c r="F5586"/>
  <c r="F5587"/>
  <c r="F5588"/>
  <c r="F5589"/>
  <c r="F5590"/>
  <c r="F5591"/>
  <c r="F5592"/>
  <c r="F5596"/>
  <c r="F5600"/>
  <c r="F5601"/>
  <c r="F5602"/>
  <c r="F5603"/>
  <c r="F5604"/>
  <c r="F5605"/>
  <c r="F5606"/>
  <c r="F5607"/>
  <c r="F5608"/>
  <c r="F5609"/>
  <c r="F5612"/>
  <c r="F5616"/>
  <c r="F5617"/>
  <c r="F5618"/>
  <c r="F5619"/>
  <c r="F5620"/>
  <c r="F5621"/>
  <c r="F5622"/>
  <c r="F5623"/>
  <c r="F5624"/>
  <c r="F5625"/>
  <c r="F5628"/>
  <c r="F5632"/>
  <c r="F5633"/>
  <c r="F5634"/>
  <c r="F5635"/>
  <c r="F5636"/>
  <c r="F5637"/>
  <c r="F5638"/>
  <c r="F5639"/>
  <c r="F5640"/>
  <c r="F5641"/>
  <c r="F5644"/>
  <c r="F5647"/>
  <c r="F5648"/>
  <c r="F5649"/>
  <c r="F5650"/>
  <c r="F5651"/>
  <c r="F5652"/>
  <c r="F5653"/>
  <c r="F5654"/>
  <c r="F5655"/>
  <c r="F5656"/>
  <c r="F5657"/>
  <c r="F5659"/>
  <c r="F5660"/>
  <c r="F5663"/>
  <c r="F5664"/>
  <c r="F5665"/>
  <c r="F5666"/>
  <c r="F5667"/>
  <c r="F5668"/>
  <c r="F5669"/>
  <c r="F5670"/>
  <c r="F5671"/>
  <c r="F5672"/>
  <c r="F5676"/>
  <c r="F5677"/>
  <c r="F5679"/>
  <c r="F5680"/>
  <c r="F5681"/>
  <c r="F5682"/>
  <c r="F5683"/>
  <c r="F5684"/>
  <c r="F5685"/>
  <c r="F5686"/>
  <c r="F5687"/>
  <c r="F5688"/>
  <c r="F5692"/>
  <c r="F5695"/>
  <c r="F5696"/>
  <c r="F5697"/>
  <c r="F5698"/>
  <c r="F5699"/>
  <c r="F5700"/>
  <c r="F5701"/>
  <c r="F5702"/>
  <c r="F5703"/>
  <c r="F5704"/>
  <c r="F5708"/>
  <c r="F5712"/>
  <c r="F5713"/>
  <c r="F5714"/>
  <c r="F5715"/>
  <c r="F5716"/>
  <c r="F5717"/>
  <c r="F5718"/>
  <c r="F5719"/>
  <c r="F5720"/>
  <c r="F5724"/>
  <c r="F5728"/>
  <c r="F5729"/>
  <c r="F5730"/>
  <c r="F5731"/>
  <c r="F5732"/>
  <c r="F5733"/>
  <c r="F5734"/>
  <c r="F5735"/>
  <c r="F5736"/>
  <c r="F5737"/>
  <c r="F5740"/>
  <c r="F5744"/>
  <c r="F5745"/>
  <c r="F5746"/>
  <c r="F5747"/>
  <c r="F5748"/>
  <c r="F5749"/>
  <c r="F5750"/>
  <c r="F5751"/>
  <c r="F5752"/>
  <c r="F5753"/>
  <c r="F5756"/>
  <c r="F5760"/>
  <c r="F5761"/>
  <c r="F5762"/>
  <c r="F5763"/>
  <c r="F5764"/>
  <c r="F5765"/>
  <c r="F5766"/>
  <c r="F5767"/>
  <c r="F5768"/>
  <c r="F5769"/>
  <c r="F5772"/>
  <c r="F5775"/>
  <c r="F5776"/>
  <c r="F5777"/>
  <c r="F5778"/>
  <c r="F5779"/>
  <c r="F5780"/>
  <c r="F5781"/>
  <c r="F5782"/>
  <c r="F5783"/>
  <c r="F5784"/>
  <c r="F5785"/>
  <c r="F5787"/>
  <c r="F5788"/>
  <c r="F5791"/>
  <c r="F5792"/>
  <c r="F5793"/>
  <c r="F5794"/>
  <c r="F5795"/>
  <c r="F5796"/>
  <c r="F5797"/>
  <c r="F5798"/>
  <c r="F5799"/>
  <c r="F5800"/>
  <c r="F5804"/>
  <c r="F5805"/>
  <c r="F5807"/>
  <c r="F5808"/>
  <c r="F5809"/>
  <c r="F5810"/>
  <c r="F5811"/>
  <c r="F5812"/>
  <c r="F5813"/>
  <c r="F5814"/>
  <c r="F5815"/>
  <c r="F5816"/>
  <c r="F5820"/>
  <c r="F5823"/>
  <c r="F5824"/>
  <c r="F5825"/>
  <c r="F5826"/>
  <c r="F5827"/>
  <c r="F5828"/>
  <c r="F5829"/>
  <c r="F5830"/>
  <c r="F5831"/>
  <c r="F5832"/>
  <c r="F5836"/>
  <c r="F5840"/>
  <c r="F5841"/>
  <c r="F5842"/>
  <c r="F5843"/>
  <c r="F5844"/>
  <c r="F5845"/>
  <c r="F5846"/>
  <c r="F5847"/>
  <c r="F5848"/>
  <c r="F5852"/>
  <c r="F5856"/>
  <c r="F5857"/>
  <c r="F5858"/>
  <c r="F5859"/>
  <c r="F5860"/>
  <c r="F5861"/>
  <c r="F5862"/>
  <c r="F5863"/>
  <c r="F5864"/>
  <c r="F5865"/>
  <c r="F5868"/>
  <c r="F5872"/>
  <c r="F5873"/>
  <c r="F5874"/>
  <c r="F5875"/>
  <c r="F5876"/>
  <c r="F5877"/>
  <c r="F5878"/>
  <c r="F5879"/>
  <c r="F5880"/>
  <c r="F5881"/>
  <c r="F5884"/>
  <c r="F5888"/>
  <c r="F5889"/>
  <c r="F5890"/>
  <c r="F5891"/>
  <c r="F5892"/>
  <c r="F5893"/>
  <c r="F5894"/>
  <c r="F5895"/>
  <c r="F5896"/>
  <c r="F5897"/>
  <c r="F5900"/>
  <c r="F5903"/>
  <c r="F5904"/>
  <c r="F5905"/>
  <c r="F5906"/>
  <c r="F5907"/>
  <c r="F5908"/>
  <c r="F5909"/>
  <c r="F5910"/>
  <c r="F5911"/>
  <c r="F5912"/>
  <c r="F5913"/>
  <c r="F5915"/>
  <c r="F5916"/>
  <c r="F5919"/>
  <c r="F5920"/>
  <c r="F5921"/>
  <c r="F5922"/>
  <c r="F5923"/>
  <c r="F5924"/>
  <c r="F5925"/>
  <c r="F5926"/>
  <c r="F5927"/>
  <c r="F5928"/>
  <c r="F5932"/>
  <c r="F5933"/>
  <c r="F5935"/>
  <c r="F5936"/>
  <c r="F5937"/>
  <c r="F5938"/>
  <c r="F5939"/>
  <c r="F5940"/>
  <c r="F5941"/>
  <c r="F5942"/>
  <c r="F5943"/>
  <c r="F5944"/>
  <c r="F5948"/>
  <c r="F5951"/>
  <c r="F5952"/>
  <c r="F5953"/>
  <c r="F5954"/>
  <c r="F5955"/>
  <c r="F5956"/>
  <c r="F5957"/>
  <c r="F5958"/>
  <c r="F5959"/>
  <c r="F5960"/>
  <c r="F5964"/>
  <c r="F5968"/>
  <c r="F5969"/>
  <c r="F5970"/>
  <c r="F5971"/>
  <c r="F5972"/>
  <c r="F5973"/>
  <c r="F5974"/>
  <c r="F5975"/>
  <c r="F5976"/>
  <c r="F5980"/>
  <c r="F5984"/>
  <c r="F5985"/>
  <c r="F5986"/>
  <c r="F5987"/>
  <c r="F5988"/>
  <c r="F5989"/>
  <c r="F5990"/>
  <c r="F5991"/>
  <c r="F5992"/>
  <c r="F5993"/>
  <c r="F5996"/>
  <c r="F6000"/>
  <c r="F6001"/>
  <c r="F6002"/>
  <c r="F6003"/>
  <c r="F6004"/>
  <c r="F6005"/>
  <c r="F6006"/>
  <c r="F6007"/>
  <c r="F6008"/>
  <c r="F6009"/>
  <c r="F6012"/>
  <c r="F6016"/>
  <c r="F6017"/>
  <c r="F6018"/>
  <c r="F6019"/>
  <c r="F6020"/>
  <c r="F6021"/>
  <c r="F6022"/>
  <c r="F6023"/>
  <c r="F6024"/>
  <c r="F6025"/>
  <c r="F6028"/>
  <c r="F6031"/>
  <c r="F6032"/>
  <c r="F6033"/>
  <c r="F6034"/>
  <c r="F6035"/>
  <c r="F6036"/>
  <c r="F6037"/>
  <c r="F6038"/>
  <c r="F6039"/>
  <c r="F6040"/>
  <c r="F6041"/>
  <c r="F6043"/>
  <c r="F6044"/>
  <c r="F6047"/>
  <c r="F6048"/>
  <c r="F6049"/>
  <c r="F6050"/>
  <c r="F6051"/>
  <c r="F6052"/>
  <c r="F6053"/>
  <c r="F6054"/>
  <c r="F6055"/>
  <c r="F6056"/>
  <c r="F6060"/>
  <c r="F6061"/>
  <c r="F6063"/>
  <c r="F6064"/>
  <c r="F6065"/>
  <c r="F6066"/>
  <c r="F6067"/>
  <c r="F6068"/>
  <c r="F6069"/>
  <c r="F6070"/>
  <c r="F6071"/>
  <c r="F6072"/>
  <c r="F6076"/>
  <c r="F6079"/>
  <c r="F6080"/>
  <c r="F6081"/>
  <c r="F6082"/>
  <c r="F6083"/>
  <c r="F6084"/>
  <c r="F6085"/>
  <c r="F6086"/>
  <c r="F6087"/>
  <c r="F6088"/>
  <c r="F6092"/>
  <c r="F6096"/>
  <c r="F6097"/>
  <c r="F6098"/>
  <c r="F6099"/>
  <c r="F6100"/>
  <c r="F6101"/>
  <c r="F6102"/>
  <c r="F6103"/>
  <c r="F6104"/>
  <c r="F6108"/>
  <c r="F6112"/>
  <c r="F6113"/>
  <c r="F6114"/>
  <c r="F6115"/>
  <c r="F6116"/>
  <c r="F6117"/>
  <c r="F6118"/>
  <c r="F6119"/>
  <c r="F6120"/>
  <c r="F6121"/>
  <c r="F6124"/>
  <c r="F6128"/>
  <c r="F6129"/>
  <c r="F6130"/>
  <c r="F6131"/>
  <c r="F6132"/>
  <c r="F6133"/>
  <c r="F6134"/>
  <c r="F6135"/>
  <c r="F6136"/>
  <c r="F6137"/>
  <c r="F6140"/>
  <c r="F6144"/>
  <c r="F6145"/>
  <c r="F6146"/>
  <c r="F6147"/>
  <c r="F6148"/>
  <c r="F6149"/>
  <c r="F6150"/>
  <c r="F6151"/>
  <c r="F6152"/>
  <c r="F6153"/>
  <c r="F6156"/>
  <c r="F6159"/>
  <c r="F6160"/>
  <c r="F6161"/>
  <c r="F6162"/>
  <c r="F6163"/>
  <c r="F6164"/>
  <c r="F6165"/>
  <c r="F6166"/>
  <c r="F6167"/>
  <c r="F6168"/>
  <c r="F6169"/>
  <c r="F6171"/>
  <c r="F6172"/>
  <c r="F6175"/>
  <c r="F6176"/>
  <c r="F6177"/>
  <c r="F6178"/>
  <c r="F6179"/>
  <c r="F6180"/>
  <c r="F6181"/>
  <c r="F6182"/>
  <c r="F6183"/>
  <c r="F6184"/>
  <c r="F6188"/>
  <c r="F6189"/>
  <c r="F6191"/>
  <c r="F6192"/>
  <c r="F6193"/>
  <c r="F6194"/>
  <c r="F6195"/>
  <c r="F6196"/>
  <c r="F6197"/>
  <c r="F6198"/>
  <c r="F6199"/>
  <c r="F6200"/>
  <c r="F6204"/>
  <c r="F6207"/>
  <c r="F6208"/>
  <c r="F6209"/>
  <c r="F6210"/>
  <c r="F6211"/>
  <c r="F6212"/>
  <c r="F6213"/>
  <c r="F6214"/>
  <c r="F6215"/>
  <c r="F6216"/>
  <c r="F6220"/>
  <c r="F6224"/>
  <c r="F6225"/>
  <c r="F6226"/>
  <c r="F6227"/>
  <c r="F6228"/>
  <c r="F6229"/>
  <c r="F6230"/>
  <c r="F6231"/>
  <c r="F6232"/>
  <c r="F6236"/>
  <c r="F6240"/>
  <c r="F6241"/>
  <c r="F6242"/>
  <c r="F6243"/>
  <c r="F6244"/>
  <c r="F6245"/>
  <c r="F6246"/>
  <c r="F6247"/>
  <c r="F6248"/>
  <c r="F6249"/>
  <c r="F6252"/>
  <c r="F6256"/>
  <c r="F6257"/>
  <c r="F6258"/>
  <c r="F6259"/>
  <c r="F6260"/>
  <c r="F6261"/>
  <c r="F6262"/>
  <c r="F6263"/>
  <c r="F6264"/>
  <c r="F6265"/>
  <c r="F6268"/>
  <c r="F6272"/>
  <c r="F6273"/>
  <c r="F6274"/>
  <c r="F6275"/>
  <c r="F6276"/>
  <c r="F6277"/>
  <c r="F6278"/>
  <c r="F6279"/>
  <c r="F6280"/>
  <c r="F6281"/>
  <c r="F6284"/>
  <c r="F6287"/>
  <c r="F6288"/>
  <c r="F6289"/>
  <c r="F6290"/>
  <c r="F6291"/>
  <c r="F6292"/>
  <c r="F6293"/>
  <c r="F6294"/>
  <c r="F6295"/>
  <c r="F6296"/>
  <c r="F6297"/>
  <c r="F6299"/>
  <c r="F6300"/>
  <c r="F6303"/>
  <c r="F6304"/>
  <c r="F6305"/>
  <c r="F6306"/>
  <c r="F6307"/>
  <c r="F6308"/>
  <c r="F6309"/>
  <c r="F6310"/>
  <c r="F6311"/>
  <c r="F6312"/>
  <c r="F6316"/>
  <c r="F6317"/>
  <c r="F6319"/>
  <c r="F6320"/>
  <c r="F6321"/>
  <c r="F6322"/>
  <c r="F6323"/>
  <c r="F6324"/>
  <c r="F6325"/>
  <c r="F6326"/>
  <c r="F6327"/>
  <c r="F6328"/>
  <c r="F6332"/>
  <c r="F6335"/>
  <c r="F6336"/>
  <c r="F6337"/>
  <c r="F6338"/>
  <c r="F6339"/>
  <c r="F6340"/>
  <c r="F6341"/>
  <c r="F6342"/>
  <c r="F6343"/>
  <c r="F6344"/>
  <c r="F6348"/>
  <c r="F6352"/>
  <c r="F6353"/>
  <c r="F6354"/>
  <c r="F6355"/>
  <c r="F6356"/>
  <c r="F6357"/>
  <c r="F6358"/>
  <c r="F6359"/>
  <c r="F6360"/>
  <c r="F6364"/>
  <c r="F6368"/>
  <c r="F6369"/>
  <c r="F6370"/>
  <c r="F6371"/>
  <c r="F6372"/>
  <c r="F6373"/>
  <c r="F6374"/>
  <c r="F6375"/>
  <c r="F6376"/>
  <c r="F6377"/>
  <c r="F6380"/>
  <c r="F6384"/>
  <c r="F6385"/>
  <c r="F6386"/>
  <c r="F6387"/>
  <c r="F6388"/>
  <c r="F6389"/>
  <c r="F6390"/>
  <c r="F6391"/>
  <c r="F6392"/>
  <c r="F6393"/>
  <c r="F6396"/>
  <c r="F6400"/>
  <c r="F6401"/>
  <c r="F6402"/>
  <c r="F6403"/>
  <c r="F6404"/>
  <c r="F6405"/>
  <c r="F6406"/>
  <c r="F6407"/>
  <c r="F6408"/>
  <c r="F6409"/>
  <c r="F6412"/>
  <c r="F6415"/>
  <c r="F6416"/>
  <c r="F6417"/>
  <c r="F6418"/>
  <c r="F6419"/>
  <c r="F6420"/>
  <c r="F6421"/>
  <c r="F6422"/>
  <c r="F6423"/>
  <c r="F6424"/>
  <c r="F6425"/>
  <c r="F6427"/>
  <c r="F6428"/>
  <c r="F6431"/>
  <c r="F6432"/>
  <c r="F6433"/>
  <c r="F6434"/>
  <c r="F6435"/>
  <c r="F6436"/>
  <c r="F6437"/>
  <c r="F6438"/>
  <c r="F6439"/>
  <c r="F6440"/>
  <c r="F6444"/>
  <c r="F6445"/>
  <c r="F6447"/>
  <c r="F6448"/>
  <c r="F6449"/>
  <c r="F6450"/>
  <c r="F6451"/>
  <c r="F6452"/>
  <c r="F6453"/>
  <c r="F6454"/>
  <c r="F6455"/>
  <c r="F6456"/>
  <c r="F6460"/>
  <c r="F6463"/>
  <c r="F6464"/>
  <c r="F6465"/>
  <c r="F6466"/>
  <c r="F6467"/>
  <c r="F6468"/>
  <c r="F6469"/>
  <c r="F6470"/>
  <c r="F6471"/>
  <c r="F6472"/>
  <c r="F6476"/>
  <c r="F6480"/>
  <c r="F6481"/>
  <c r="F6482"/>
  <c r="F6483"/>
  <c r="F6484"/>
  <c r="F6485"/>
  <c r="F6486"/>
  <c r="F6487"/>
  <c r="F6488"/>
  <c r="F6492"/>
  <c r="F6496"/>
  <c r="F6497"/>
  <c r="F6498"/>
  <c r="F6499"/>
  <c r="F6500"/>
  <c r="F6501"/>
  <c r="F6502"/>
  <c r="F6503"/>
  <c r="F6504"/>
  <c r="F6505"/>
  <c r="F6508"/>
  <c r="F6512"/>
  <c r="F6513"/>
  <c r="F6514"/>
  <c r="F6515"/>
  <c r="F6516"/>
  <c r="F6517"/>
  <c r="F6518"/>
  <c r="F6519"/>
  <c r="F6520"/>
  <c r="F6521"/>
  <c r="F6524"/>
  <c r="F6528"/>
  <c r="F6529"/>
  <c r="F6530"/>
  <c r="F6531"/>
  <c r="F6532"/>
  <c r="F6533"/>
  <c r="F6534"/>
  <c r="F6535"/>
  <c r="F6536"/>
  <c r="F6537"/>
  <c r="F6540"/>
  <c r="F6543"/>
  <c r="F6544"/>
  <c r="F6545"/>
  <c r="F6546"/>
  <c r="F6547"/>
  <c r="F6548"/>
  <c r="F6549"/>
  <c r="F6550"/>
  <c r="F6551"/>
  <c r="F6552"/>
  <c r="F6553"/>
  <c r="F6555"/>
  <c r="F6556"/>
  <c r="F6559"/>
  <c r="F6560"/>
  <c r="F6561"/>
  <c r="F6562"/>
  <c r="F6563"/>
  <c r="F6564"/>
  <c r="F6565"/>
  <c r="F6566"/>
  <c r="F6567"/>
  <c r="F6568"/>
  <c r="F6572"/>
  <c r="F6573"/>
  <c r="F6575"/>
  <c r="F6576"/>
  <c r="F6577"/>
  <c r="F6578"/>
  <c r="F6579"/>
  <c r="F6580"/>
  <c r="F6581"/>
  <c r="F6582"/>
  <c r="F6583"/>
  <c r="F6584"/>
  <c r="F6588"/>
  <c r="F6591"/>
  <c r="F6592"/>
  <c r="F6593"/>
  <c r="F6594"/>
  <c r="F6595"/>
  <c r="F6596"/>
  <c r="F6597"/>
  <c r="F6598"/>
  <c r="F6599"/>
  <c r="F6600"/>
  <c r="F6604"/>
  <c r="F6608"/>
  <c r="F6609"/>
  <c r="F6610"/>
  <c r="F6611"/>
  <c r="F6612"/>
  <c r="F6613"/>
  <c r="F6614"/>
  <c r="F6615"/>
  <c r="F6616"/>
  <c r="F6620"/>
  <c r="F6624"/>
  <c r="F6625"/>
  <c r="F6626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L6318"/>
  <c r="L6319"/>
  <c r="L6320"/>
  <c r="L6321"/>
  <c r="L6322"/>
  <c r="L6323"/>
  <c r="L6324"/>
  <c r="L6325"/>
  <c r="L6326"/>
  <c r="L6327"/>
  <c r="L6328"/>
  <c r="L6329"/>
  <c r="L6330"/>
  <c r="L6331"/>
  <c r="L6332"/>
  <c r="L6333"/>
  <c r="L6334"/>
  <c r="L6335"/>
  <c r="L6336"/>
  <c r="L6337"/>
  <c r="L6338"/>
  <c r="L6339"/>
  <c r="L6340"/>
  <c r="L6341"/>
  <c r="L6342"/>
  <c r="L6343"/>
  <c r="L6344"/>
  <c r="L6345"/>
  <c r="L6346"/>
  <c r="L6347"/>
  <c r="L6348"/>
  <c r="L6349"/>
  <c r="L6350"/>
  <c r="L6351"/>
  <c r="L6352"/>
  <c r="L6353"/>
  <c r="L6354"/>
  <c r="L6355"/>
  <c r="L6356"/>
  <c r="L6357"/>
  <c r="L6358"/>
  <c r="L6359"/>
  <c r="L6360"/>
  <c r="L6361"/>
  <c r="L6362"/>
  <c r="L6363"/>
  <c r="L6364"/>
  <c r="L6365"/>
  <c r="L6366"/>
  <c r="L6367"/>
  <c r="L6368"/>
  <c r="L6369"/>
  <c r="L6370"/>
  <c r="L6371"/>
  <c r="L6372"/>
  <c r="L6373"/>
  <c r="L6374"/>
  <c r="L6375"/>
  <c r="L6376"/>
  <c r="L6377"/>
  <c r="L6378"/>
  <c r="L6379"/>
  <c r="L6380"/>
  <c r="L6381"/>
  <c r="L6382"/>
  <c r="L6383"/>
  <c r="L6384"/>
  <c r="L6385"/>
  <c r="L6386"/>
  <c r="L6387"/>
  <c r="L6388"/>
  <c r="L6389"/>
  <c r="L6390"/>
  <c r="L6391"/>
  <c r="L6392"/>
  <c r="L6393"/>
  <c r="L6394"/>
  <c r="L6395"/>
  <c r="L6396"/>
  <c r="L6397"/>
  <c r="L6398"/>
  <c r="L6399"/>
  <c r="L6400"/>
  <c r="L6401"/>
  <c r="L6402"/>
  <c r="L6403"/>
  <c r="L6404"/>
  <c r="L6405"/>
  <c r="L6406"/>
  <c r="L6407"/>
  <c r="L6408"/>
  <c r="L6409"/>
  <c r="L6410"/>
  <c r="L6411"/>
  <c r="L6412"/>
  <c r="L6413"/>
  <c r="L6414"/>
  <c r="L6415"/>
  <c r="L6416"/>
  <c r="L6417"/>
  <c r="L6418"/>
  <c r="L6419"/>
  <c r="L6420"/>
  <c r="L6421"/>
  <c r="L6422"/>
  <c r="L6423"/>
  <c r="L6424"/>
  <c r="L6425"/>
  <c r="L6426"/>
  <c r="L6427"/>
  <c r="L6428"/>
  <c r="L6429"/>
  <c r="L6430"/>
  <c r="L6431"/>
  <c r="L6432"/>
  <c r="L6433"/>
  <c r="L6434"/>
  <c r="L6435"/>
  <c r="L6436"/>
  <c r="L6437"/>
  <c r="L6438"/>
  <c r="L6439"/>
  <c r="L6440"/>
  <c r="L6441"/>
  <c r="L6442"/>
  <c r="L6443"/>
  <c r="L6444"/>
  <c r="L6445"/>
  <c r="L6446"/>
  <c r="L6447"/>
  <c r="L6448"/>
  <c r="L6449"/>
  <c r="L6450"/>
  <c r="L6451"/>
  <c r="L6452"/>
  <c r="L6453"/>
  <c r="L6454"/>
  <c r="L6455"/>
  <c r="L6456"/>
  <c r="L6457"/>
  <c r="L6458"/>
  <c r="L6459"/>
  <c r="L6460"/>
  <c r="L6461"/>
  <c r="L6462"/>
  <c r="L6463"/>
  <c r="L6464"/>
  <c r="L6465"/>
  <c r="L6466"/>
  <c r="L6467"/>
  <c r="L6468"/>
  <c r="L6469"/>
  <c r="L6470"/>
  <c r="L6471"/>
  <c r="L6472"/>
  <c r="L6473"/>
  <c r="L6474"/>
  <c r="L6475"/>
  <c r="L6476"/>
  <c r="L6477"/>
  <c r="L6478"/>
  <c r="L6479"/>
  <c r="L6480"/>
  <c r="L6481"/>
  <c r="L6482"/>
  <c r="L6483"/>
  <c r="L6484"/>
  <c r="L6485"/>
  <c r="L6486"/>
  <c r="L6487"/>
  <c r="L6488"/>
  <c r="L6489"/>
  <c r="L6490"/>
  <c r="L6491"/>
  <c r="L6492"/>
  <c r="L6493"/>
  <c r="L6494"/>
  <c r="L6495"/>
  <c r="L6496"/>
  <c r="L6497"/>
  <c r="L6498"/>
  <c r="L6499"/>
  <c r="L6500"/>
  <c r="L6501"/>
  <c r="L6502"/>
  <c r="L6503"/>
  <c r="L6504"/>
  <c r="L6505"/>
  <c r="L6506"/>
  <c r="L6507"/>
  <c r="L6508"/>
  <c r="L6509"/>
  <c r="L6510"/>
  <c r="L6511"/>
  <c r="L6512"/>
  <c r="L6513"/>
  <c r="L6514"/>
  <c r="L6515"/>
  <c r="L6516"/>
  <c r="L6517"/>
  <c r="L6518"/>
  <c r="L6519"/>
  <c r="L6520"/>
  <c r="L6521"/>
  <c r="L6522"/>
  <c r="L6523"/>
  <c r="L6524"/>
  <c r="L6525"/>
  <c r="L6526"/>
  <c r="L6527"/>
  <c r="L6528"/>
  <c r="L6529"/>
  <c r="L6530"/>
  <c r="L6531"/>
  <c r="L6532"/>
  <c r="L6533"/>
  <c r="L6534"/>
  <c r="L6535"/>
  <c r="L6536"/>
  <c r="L6537"/>
  <c r="L6538"/>
  <c r="L6539"/>
  <c r="L6540"/>
  <c r="L6541"/>
  <c r="L6542"/>
  <c r="L6543"/>
  <c r="L6544"/>
  <c r="L6545"/>
  <c r="L6546"/>
  <c r="L6547"/>
  <c r="L6548"/>
  <c r="L6549"/>
  <c r="L6550"/>
  <c r="L6551"/>
  <c r="L6552"/>
  <c r="L6553"/>
  <c r="L6554"/>
  <c r="L6555"/>
  <c r="L6556"/>
  <c r="L6557"/>
  <c r="L6558"/>
  <c r="L6559"/>
  <c r="L6560"/>
  <c r="L6561"/>
  <c r="L6562"/>
  <c r="L6563"/>
  <c r="L6564"/>
  <c r="L6565"/>
  <c r="L6566"/>
  <c r="L6567"/>
  <c r="L6568"/>
  <c r="L6569"/>
  <c r="L6570"/>
  <c r="L6571"/>
  <c r="L6572"/>
  <c r="L6573"/>
  <c r="L6574"/>
  <c r="L6575"/>
  <c r="L6576"/>
  <c r="L6577"/>
  <c r="L6578"/>
  <c r="L6579"/>
  <c r="L6580"/>
  <c r="L6581"/>
  <c r="L6582"/>
  <c r="L6583"/>
  <c r="L6584"/>
  <c r="L6585"/>
  <c r="L6586"/>
  <c r="L6587"/>
  <c r="L6588"/>
  <c r="L6589"/>
  <c r="L6590"/>
  <c r="L6591"/>
  <c r="L6592"/>
  <c r="L6593"/>
  <c r="L6594"/>
  <c r="L6595"/>
  <c r="L6596"/>
  <c r="L6597"/>
  <c r="L6598"/>
  <c r="L6599"/>
  <c r="L6600"/>
  <c r="L6601"/>
  <c r="L6602"/>
  <c r="L6603"/>
  <c r="L6604"/>
  <c r="L6605"/>
  <c r="L6606"/>
  <c r="L6607"/>
  <c r="L6608"/>
  <c r="L6609"/>
  <c r="L6610"/>
  <c r="L6611"/>
  <c r="L6612"/>
  <c r="L6613"/>
  <c r="L6614"/>
  <c r="L6615"/>
  <c r="L6616"/>
  <c r="L6617"/>
  <c r="L6618"/>
  <c r="L6619"/>
  <c r="L6620"/>
  <c r="L6621"/>
  <c r="L6622"/>
  <c r="L6623"/>
  <c r="L6624"/>
  <c r="L6625"/>
  <c r="L6626"/>
  <c r="M623"/>
  <c r="M5649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4816"/>
  <c r="R4817"/>
  <c r="R4818"/>
  <c r="R4819"/>
  <c r="R4820"/>
  <c r="R4821"/>
  <c r="R4822"/>
  <c r="R4823"/>
  <c r="R4824"/>
  <c r="R4825"/>
  <c r="R4826"/>
  <c r="R4827"/>
  <c r="R4828"/>
  <c r="R4829"/>
  <c r="R4830"/>
  <c r="R4831"/>
  <c r="R4832"/>
  <c r="R4833"/>
  <c r="R4834"/>
  <c r="R4835"/>
  <c r="R4836"/>
  <c r="R4837"/>
  <c r="R4838"/>
  <c r="R4839"/>
  <c r="R4840"/>
  <c r="R4841"/>
  <c r="R4842"/>
  <c r="R4843"/>
  <c r="R4844"/>
  <c r="R4845"/>
  <c r="R4846"/>
  <c r="R4847"/>
  <c r="R4848"/>
  <c r="R4849"/>
  <c r="R4850"/>
  <c r="R4851"/>
  <c r="R4852"/>
  <c r="R4853"/>
  <c r="R4854"/>
  <c r="R4855"/>
  <c r="R4856"/>
  <c r="R4857"/>
  <c r="R4858"/>
  <c r="R4859"/>
  <c r="R4860"/>
  <c r="R4861"/>
  <c r="R4862"/>
  <c r="R4863"/>
  <c r="R4864"/>
  <c r="R4865"/>
  <c r="R4866"/>
  <c r="R4867"/>
  <c r="R4868"/>
  <c r="R4869"/>
  <c r="R4870"/>
  <c r="R4871"/>
  <c r="R4872"/>
  <c r="R4873"/>
  <c r="R4874"/>
  <c r="R4875"/>
  <c r="R4876"/>
  <c r="R4877"/>
  <c r="R4878"/>
  <c r="R4879"/>
  <c r="R4880"/>
  <c r="R4881"/>
  <c r="R4882"/>
  <c r="R4883"/>
  <c r="R4884"/>
  <c r="R4885"/>
  <c r="R4886"/>
  <c r="R4887"/>
  <c r="R4888"/>
  <c r="R4889"/>
  <c r="R4890"/>
  <c r="R4891"/>
  <c r="R4892"/>
  <c r="R4893"/>
  <c r="R4894"/>
  <c r="R4895"/>
  <c r="R4896"/>
  <c r="R4897"/>
  <c r="R4898"/>
  <c r="R4899"/>
  <c r="R4900"/>
  <c r="R4901"/>
  <c r="R4902"/>
  <c r="R4903"/>
  <c r="R4904"/>
  <c r="R4905"/>
  <c r="R4906"/>
  <c r="R4907"/>
  <c r="R4908"/>
  <c r="R4909"/>
  <c r="R4910"/>
  <c r="R4911"/>
  <c r="R4912"/>
  <c r="R4913"/>
  <c r="R4914"/>
  <c r="R4915"/>
  <c r="R4916"/>
  <c r="R4917"/>
  <c r="R4918"/>
  <c r="R4919"/>
  <c r="R4920"/>
  <c r="R4921"/>
  <c r="R4922"/>
  <c r="R4923"/>
  <c r="R4924"/>
  <c r="R4925"/>
  <c r="R4926"/>
  <c r="R4927"/>
  <c r="R4928"/>
  <c r="R4929"/>
  <c r="R4930"/>
  <c r="R4931"/>
  <c r="R4932"/>
  <c r="R4933"/>
  <c r="R4934"/>
  <c r="R4935"/>
  <c r="R4936"/>
  <c r="R4937"/>
  <c r="R4938"/>
  <c r="R4939"/>
  <c r="R4940"/>
  <c r="R4941"/>
  <c r="R4942"/>
  <c r="R4943"/>
  <c r="R4944"/>
  <c r="R4945"/>
  <c r="R4946"/>
  <c r="R4947"/>
  <c r="R4948"/>
  <c r="R4949"/>
  <c r="R4950"/>
  <c r="R4951"/>
  <c r="R4952"/>
  <c r="R4953"/>
  <c r="R4954"/>
  <c r="R4955"/>
  <c r="R4956"/>
  <c r="R4957"/>
  <c r="R4958"/>
  <c r="R4959"/>
  <c r="R4960"/>
  <c r="R4961"/>
  <c r="R4962"/>
  <c r="R4963"/>
  <c r="R4964"/>
  <c r="R4965"/>
  <c r="R4966"/>
  <c r="R4967"/>
  <c r="R4968"/>
  <c r="R4969"/>
  <c r="R4970"/>
  <c r="R4971"/>
  <c r="R4972"/>
  <c r="R4973"/>
  <c r="R4974"/>
  <c r="R4975"/>
  <c r="R4976"/>
  <c r="R4977"/>
  <c r="R4978"/>
  <c r="R4979"/>
  <c r="R4980"/>
  <c r="R4981"/>
  <c r="R4982"/>
  <c r="R4983"/>
  <c r="R4984"/>
  <c r="R4985"/>
  <c r="R4986"/>
  <c r="R4987"/>
  <c r="R4988"/>
  <c r="R4989"/>
  <c r="R4990"/>
  <c r="R4991"/>
  <c r="R4992"/>
  <c r="R4993"/>
  <c r="R4994"/>
  <c r="R4995"/>
  <c r="R4996"/>
  <c r="R4997"/>
  <c r="R4998"/>
  <c r="R4999"/>
  <c r="R5000"/>
  <c r="R5001"/>
  <c r="R5002"/>
  <c r="R5003"/>
  <c r="R5004"/>
  <c r="R5005"/>
  <c r="R5006"/>
  <c r="R5007"/>
  <c r="R5008"/>
  <c r="R5009"/>
  <c r="R5010"/>
  <c r="R5011"/>
  <c r="R5012"/>
  <c r="R5013"/>
  <c r="R5014"/>
  <c r="R5015"/>
  <c r="R5016"/>
  <c r="R5017"/>
  <c r="R5018"/>
  <c r="R5019"/>
  <c r="R5020"/>
  <c r="R5021"/>
  <c r="R5022"/>
  <c r="R5023"/>
  <c r="R5024"/>
  <c r="R5025"/>
  <c r="R5026"/>
  <c r="R5027"/>
  <c r="R5028"/>
  <c r="R5029"/>
  <c r="R5030"/>
  <c r="R5031"/>
  <c r="R5032"/>
  <c r="R5033"/>
  <c r="R5034"/>
  <c r="R5035"/>
  <c r="R5036"/>
  <c r="R5037"/>
  <c r="R5038"/>
  <c r="R5039"/>
  <c r="R5040"/>
  <c r="R5041"/>
  <c r="R5042"/>
  <c r="R5043"/>
  <c r="R5044"/>
  <c r="R5045"/>
  <c r="R5046"/>
  <c r="R5047"/>
  <c r="R5048"/>
  <c r="R5049"/>
  <c r="R5050"/>
  <c r="R5051"/>
  <c r="R5052"/>
  <c r="R5053"/>
  <c r="R5054"/>
  <c r="R5055"/>
  <c r="R5056"/>
  <c r="R5057"/>
  <c r="R5058"/>
  <c r="R5059"/>
  <c r="R5060"/>
  <c r="R5061"/>
  <c r="R5062"/>
  <c r="R5063"/>
  <c r="R5064"/>
  <c r="R5065"/>
  <c r="R5066"/>
  <c r="R5067"/>
  <c r="R5068"/>
  <c r="R5069"/>
  <c r="R5070"/>
  <c r="R5071"/>
  <c r="R5072"/>
  <c r="R5073"/>
  <c r="R5074"/>
  <c r="R5075"/>
  <c r="R5076"/>
  <c r="R5077"/>
  <c r="R5078"/>
  <c r="R5079"/>
  <c r="R5080"/>
  <c r="R5081"/>
  <c r="R5082"/>
  <c r="R5083"/>
  <c r="R5084"/>
  <c r="R5085"/>
  <c r="R5086"/>
  <c r="R5087"/>
  <c r="R5088"/>
  <c r="R5089"/>
  <c r="R5090"/>
  <c r="R5091"/>
  <c r="R5092"/>
  <c r="R5093"/>
  <c r="R5094"/>
  <c r="R5095"/>
  <c r="R5096"/>
  <c r="R5097"/>
  <c r="R5098"/>
  <c r="R5099"/>
  <c r="R5100"/>
  <c r="R5101"/>
  <c r="R5102"/>
  <c r="R5103"/>
  <c r="R5104"/>
  <c r="R5105"/>
  <c r="R5106"/>
  <c r="R5107"/>
  <c r="R5108"/>
  <c r="R5109"/>
  <c r="R5110"/>
  <c r="R5111"/>
  <c r="R5112"/>
  <c r="R5113"/>
  <c r="R5114"/>
  <c r="R5115"/>
  <c r="R5116"/>
  <c r="R5117"/>
  <c r="R5118"/>
  <c r="R5119"/>
  <c r="R5120"/>
  <c r="R5121"/>
  <c r="R5122"/>
  <c r="R5123"/>
  <c r="R5124"/>
  <c r="R5125"/>
  <c r="R5126"/>
  <c r="R5127"/>
  <c r="R5128"/>
  <c r="R5129"/>
  <c r="R5130"/>
  <c r="R5131"/>
  <c r="R5132"/>
  <c r="R5133"/>
  <c r="R5134"/>
  <c r="R5135"/>
  <c r="R5136"/>
  <c r="R5137"/>
  <c r="R5138"/>
  <c r="R5139"/>
  <c r="R5140"/>
  <c r="R5141"/>
  <c r="R5142"/>
  <c r="R5143"/>
  <c r="R5144"/>
  <c r="R5145"/>
  <c r="R5146"/>
  <c r="R5147"/>
  <c r="R5148"/>
  <c r="R5149"/>
  <c r="R5150"/>
  <c r="R5151"/>
  <c r="R5152"/>
  <c r="R5153"/>
  <c r="R5154"/>
  <c r="R5155"/>
  <c r="R5156"/>
  <c r="R5157"/>
  <c r="R5158"/>
  <c r="R5159"/>
  <c r="R5160"/>
  <c r="R5161"/>
  <c r="R5162"/>
  <c r="R5163"/>
  <c r="R5164"/>
  <c r="R5165"/>
  <c r="R5166"/>
  <c r="R5167"/>
  <c r="R5168"/>
  <c r="R5169"/>
  <c r="R5170"/>
  <c r="R5171"/>
  <c r="R5172"/>
  <c r="R5173"/>
  <c r="R5174"/>
  <c r="R5175"/>
  <c r="R5176"/>
  <c r="R5177"/>
  <c r="R5178"/>
  <c r="R5179"/>
  <c r="R5180"/>
  <c r="R5181"/>
  <c r="R5182"/>
  <c r="R5183"/>
  <c r="R5184"/>
  <c r="R5185"/>
  <c r="R5186"/>
  <c r="R5187"/>
  <c r="R5188"/>
  <c r="R5189"/>
  <c r="R5190"/>
  <c r="R5191"/>
  <c r="R5192"/>
  <c r="R5193"/>
  <c r="R5194"/>
  <c r="R5195"/>
  <c r="R5196"/>
  <c r="R5197"/>
  <c r="R5198"/>
  <c r="R5199"/>
  <c r="R5200"/>
  <c r="R5201"/>
  <c r="R5202"/>
  <c r="R5203"/>
  <c r="R5204"/>
  <c r="R5205"/>
  <c r="R5206"/>
  <c r="R5207"/>
  <c r="R5208"/>
  <c r="R5209"/>
  <c r="R5210"/>
  <c r="R5211"/>
  <c r="R5212"/>
  <c r="R5213"/>
  <c r="R5214"/>
  <c r="R5215"/>
  <c r="R5216"/>
  <c r="R5217"/>
  <c r="R5218"/>
  <c r="R5219"/>
  <c r="R5220"/>
  <c r="R5221"/>
  <c r="R5222"/>
  <c r="R5223"/>
  <c r="R5224"/>
  <c r="R5225"/>
  <c r="R5226"/>
  <c r="R5227"/>
  <c r="R5228"/>
  <c r="R5229"/>
  <c r="R5230"/>
  <c r="R5231"/>
  <c r="R5232"/>
  <c r="R5233"/>
  <c r="R5234"/>
  <c r="R5235"/>
  <c r="R5236"/>
  <c r="R5237"/>
  <c r="R5238"/>
  <c r="R5239"/>
  <c r="R5240"/>
  <c r="R5241"/>
  <c r="R5242"/>
  <c r="R5243"/>
  <c r="R5244"/>
  <c r="R5245"/>
  <c r="R5246"/>
  <c r="R5247"/>
  <c r="R5248"/>
  <c r="R5249"/>
  <c r="R5250"/>
  <c r="R5251"/>
  <c r="R5252"/>
  <c r="R5253"/>
  <c r="R5254"/>
  <c r="R5255"/>
  <c r="R5256"/>
  <c r="R5257"/>
  <c r="R5258"/>
  <c r="R5259"/>
  <c r="R5260"/>
  <c r="R5261"/>
  <c r="R5262"/>
  <c r="R5263"/>
  <c r="R5264"/>
  <c r="R5265"/>
  <c r="R5266"/>
  <c r="R5267"/>
  <c r="R5268"/>
  <c r="R5269"/>
  <c r="R5270"/>
  <c r="R5271"/>
  <c r="R5272"/>
  <c r="R5273"/>
  <c r="R5274"/>
  <c r="R5275"/>
  <c r="R5276"/>
  <c r="R5277"/>
  <c r="R5278"/>
  <c r="R5279"/>
  <c r="R5280"/>
  <c r="R5281"/>
  <c r="R5282"/>
  <c r="R5283"/>
  <c r="R5284"/>
  <c r="R5285"/>
  <c r="R5286"/>
  <c r="R5287"/>
  <c r="R5288"/>
  <c r="R5289"/>
  <c r="R5290"/>
  <c r="R5291"/>
  <c r="R5292"/>
  <c r="R5293"/>
  <c r="R5294"/>
  <c r="R5295"/>
  <c r="R5296"/>
  <c r="R5297"/>
  <c r="R5298"/>
  <c r="R5299"/>
  <c r="R5300"/>
  <c r="R5301"/>
  <c r="R5302"/>
  <c r="R5303"/>
  <c r="R5304"/>
  <c r="R5305"/>
  <c r="R5306"/>
  <c r="R5307"/>
  <c r="R5308"/>
  <c r="R5309"/>
  <c r="R5310"/>
  <c r="R5311"/>
  <c r="R5312"/>
  <c r="R5313"/>
  <c r="R5314"/>
  <c r="R5315"/>
  <c r="R5316"/>
  <c r="R5317"/>
  <c r="R5318"/>
  <c r="R5319"/>
  <c r="R5320"/>
  <c r="R5321"/>
  <c r="R5322"/>
  <c r="R5323"/>
  <c r="R5324"/>
  <c r="R5325"/>
  <c r="R5326"/>
  <c r="R5327"/>
  <c r="R5328"/>
  <c r="R5329"/>
  <c r="R5330"/>
  <c r="R5331"/>
  <c r="R5332"/>
  <c r="R5333"/>
  <c r="R5334"/>
  <c r="R5335"/>
  <c r="R5336"/>
  <c r="R5337"/>
  <c r="R5338"/>
  <c r="R5339"/>
  <c r="R5340"/>
  <c r="R5341"/>
  <c r="R5342"/>
  <c r="R5343"/>
  <c r="R5344"/>
  <c r="R5345"/>
  <c r="R5346"/>
  <c r="R5347"/>
  <c r="R5348"/>
  <c r="R5349"/>
  <c r="R5350"/>
  <c r="R5351"/>
  <c r="R5352"/>
  <c r="R5353"/>
  <c r="R5354"/>
  <c r="R5355"/>
  <c r="R5356"/>
  <c r="R5357"/>
  <c r="R5358"/>
  <c r="R5359"/>
  <c r="R5360"/>
  <c r="R5361"/>
  <c r="R5362"/>
  <c r="R5363"/>
  <c r="R5364"/>
  <c r="R5365"/>
  <c r="R5366"/>
  <c r="R5367"/>
  <c r="R5368"/>
  <c r="R5369"/>
  <c r="R5370"/>
  <c r="R5371"/>
  <c r="R5372"/>
  <c r="R5373"/>
  <c r="R5374"/>
  <c r="R5375"/>
  <c r="R5376"/>
  <c r="R5377"/>
  <c r="R5378"/>
  <c r="R5379"/>
  <c r="R5380"/>
  <c r="R5381"/>
  <c r="R5382"/>
  <c r="R5383"/>
  <c r="R5384"/>
  <c r="R5385"/>
  <c r="R5386"/>
  <c r="R5387"/>
  <c r="R5388"/>
  <c r="R5389"/>
  <c r="R5390"/>
  <c r="R5391"/>
  <c r="R5392"/>
  <c r="R5393"/>
  <c r="R5394"/>
  <c r="R5395"/>
  <c r="R5396"/>
  <c r="R5397"/>
  <c r="R5398"/>
  <c r="R5399"/>
  <c r="R5400"/>
  <c r="R5401"/>
  <c r="R5402"/>
  <c r="R5403"/>
  <c r="R5404"/>
  <c r="R5405"/>
  <c r="R5406"/>
  <c r="R5407"/>
  <c r="R5408"/>
  <c r="R5409"/>
  <c r="R5410"/>
  <c r="R5411"/>
  <c r="R5412"/>
  <c r="R5413"/>
  <c r="R5414"/>
  <c r="R5415"/>
  <c r="R5416"/>
  <c r="R5417"/>
  <c r="R5418"/>
  <c r="R5419"/>
  <c r="R5420"/>
  <c r="R5421"/>
  <c r="R5422"/>
  <c r="R5423"/>
  <c r="R5424"/>
  <c r="R5425"/>
  <c r="R5426"/>
  <c r="R5427"/>
  <c r="R5428"/>
  <c r="R5429"/>
  <c r="R5430"/>
  <c r="R5431"/>
  <c r="R5432"/>
  <c r="R5433"/>
  <c r="R5434"/>
  <c r="R5435"/>
  <c r="R5436"/>
  <c r="R5437"/>
  <c r="R5438"/>
  <c r="R5439"/>
  <c r="R5440"/>
  <c r="R5441"/>
  <c r="R5442"/>
  <c r="R5443"/>
  <c r="R5444"/>
  <c r="R5445"/>
  <c r="R5446"/>
  <c r="R5447"/>
  <c r="R5448"/>
  <c r="R5449"/>
  <c r="R5450"/>
  <c r="R5451"/>
  <c r="R5452"/>
  <c r="R5453"/>
  <c r="R5454"/>
  <c r="R5455"/>
  <c r="R5456"/>
  <c r="R5457"/>
  <c r="R5458"/>
  <c r="R5459"/>
  <c r="R5460"/>
  <c r="R5461"/>
  <c r="R5462"/>
  <c r="R5463"/>
  <c r="R5464"/>
  <c r="R5465"/>
  <c r="R5466"/>
  <c r="R5467"/>
  <c r="R5468"/>
  <c r="R5469"/>
  <c r="R5470"/>
  <c r="R5471"/>
  <c r="R5472"/>
  <c r="R5473"/>
  <c r="R5474"/>
  <c r="R5475"/>
  <c r="R5476"/>
  <c r="R5477"/>
  <c r="R5478"/>
  <c r="R5479"/>
  <c r="R5480"/>
  <c r="R5481"/>
  <c r="R5482"/>
  <c r="R5483"/>
  <c r="R5484"/>
  <c r="R5485"/>
  <c r="R5486"/>
  <c r="R5487"/>
  <c r="R5488"/>
  <c r="R5489"/>
  <c r="R5490"/>
  <c r="R5491"/>
  <c r="R5492"/>
  <c r="R5493"/>
  <c r="R5494"/>
  <c r="R5495"/>
  <c r="R5496"/>
  <c r="R5497"/>
  <c r="R5498"/>
  <c r="R5499"/>
  <c r="R5500"/>
  <c r="R5501"/>
  <c r="R5502"/>
  <c r="R5503"/>
  <c r="R5504"/>
  <c r="R5505"/>
  <c r="R5506"/>
  <c r="R5507"/>
  <c r="R5508"/>
  <c r="R5509"/>
  <c r="R5510"/>
  <c r="R5511"/>
  <c r="R5512"/>
  <c r="R5513"/>
  <c r="R5514"/>
  <c r="R5515"/>
  <c r="R5516"/>
  <c r="R5517"/>
  <c r="R5518"/>
  <c r="R5519"/>
  <c r="R5520"/>
  <c r="R5521"/>
  <c r="R5522"/>
  <c r="R5523"/>
  <c r="R5524"/>
  <c r="R5525"/>
  <c r="R5526"/>
  <c r="R5527"/>
  <c r="R5528"/>
  <c r="R5529"/>
  <c r="R5530"/>
  <c r="R5531"/>
  <c r="R5532"/>
  <c r="R5533"/>
  <c r="R5534"/>
  <c r="R5535"/>
  <c r="R5536"/>
  <c r="R5537"/>
  <c r="R5538"/>
  <c r="R5539"/>
  <c r="R5540"/>
  <c r="R5541"/>
  <c r="R5542"/>
  <c r="R5543"/>
  <c r="R5544"/>
  <c r="R5545"/>
  <c r="R5546"/>
  <c r="R5547"/>
  <c r="R5548"/>
  <c r="R5549"/>
  <c r="R5550"/>
  <c r="R5551"/>
  <c r="R5552"/>
  <c r="R5553"/>
  <c r="R5554"/>
  <c r="R5555"/>
  <c r="R5556"/>
  <c r="R5557"/>
  <c r="R5558"/>
  <c r="R5559"/>
  <c r="R5560"/>
  <c r="R5561"/>
  <c r="R5562"/>
  <c r="R5563"/>
  <c r="R5564"/>
  <c r="R5565"/>
  <c r="R5566"/>
  <c r="R5567"/>
  <c r="R5568"/>
  <c r="R5569"/>
  <c r="R5570"/>
  <c r="R5571"/>
  <c r="R5572"/>
  <c r="R5573"/>
  <c r="R5574"/>
  <c r="R5575"/>
  <c r="R5576"/>
  <c r="R5577"/>
  <c r="R5578"/>
  <c r="R5579"/>
  <c r="R5580"/>
  <c r="R5581"/>
  <c r="R5582"/>
  <c r="R5583"/>
  <c r="R5584"/>
  <c r="R5585"/>
  <c r="R5586"/>
  <c r="R5587"/>
  <c r="R5588"/>
  <c r="R5589"/>
  <c r="R5590"/>
  <c r="R5591"/>
  <c r="R5592"/>
  <c r="R5593"/>
  <c r="R5594"/>
  <c r="R5595"/>
  <c r="R5596"/>
  <c r="R5597"/>
  <c r="R5598"/>
  <c r="R5599"/>
  <c r="R5600"/>
  <c r="R5601"/>
  <c r="R5602"/>
  <c r="R5603"/>
  <c r="R5604"/>
  <c r="R5605"/>
  <c r="R5606"/>
  <c r="R5607"/>
  <c r="R5608"/>
  <c r="R5609"/>
  <c r="R5610"/>
  <c r="R5611"/>
  <c r="R5612"/>
  <c r="R5613"/>
  <c r="R5614"/>
  <c r="R5615"/>
  <c r="R5616"/>
  <c r="R5617"/>
  <c r="R5618"/>
  <c r="R5619"/>
  <c r="R5620"/>
  <c r="R5621"/>
  <c r="R5622"/>
  <c r="R5623"/>
  <c r="R5624"/>
  <c r="R5625"/>
  <c r="R5626"/>
  <c r="R5627"/>
  <c r="R5628"/>
  <c r="R5629"/>
  <c r="R5630"/>
  <c r="R5631"/>
  <c r="R5632"/>
  <c r="R5633"/>
  <c r="R5634"/>
  <c r="R5635"/>
  <c r="R5636"/>
  <c r="R5637"/>
  <c r="R5638"/>
  <c r="R5639"/>
  <c r="R5640"/>
  <c r="R5641"/>
  <c r="R5642"/>
  <c r="R5643"/>
  <c r="R5644"/>
  <c r="R5645"/>
  <c r="R5646"/>
  <c r="R5647"/>
  <c r="R5648"/>
  <c r="R5649"/>
  <c r="R5650"/>
  <c r="R5651"/>
  <c r="R5652"/>
  <c r="R5653"/>
  <c r="R5654"/>
  <c r="R5655"/>
  <c r="R5656"/>
  <c r="R5657"/>
  <c r="R5658"/>
  <c r="R5659"/>
  <c r="R5660"/>
  <c r="R5661"/>
  <c r="R5662"/>
  <c r="R5663"/>
  <c r="R5664"/>
  <c r="R5665"/>
  <c r="R5666"/>
  <c r="R5667"/>
  <c r="R5668"/>
  <c r="R5669"/>
  <c r="R5670"/>
  <c r="R5671"/>
  <c r="R5672"/>
  <c r="R5673"/>
  <c r="R5674"/>
  <c r="R5675"/>
  <c r="R5676"/>
  <c r="R5677"/>
  <c r="R5678"/>
  <c r="R5679"/>
  <c r="R5680"/>
  <c r="R5681"/>
  <c r="R5682"/>
  <c r="R5683"/>
  <c r="R5684"/>
  <c r="R5685"/>
  <c r="R5686"/>
  <c r="R5687"/>
  <c r="R5688"/>
  <c r="R5689"/>
  <c r="R5690"/>
  <c r="R5691"/>
  <c r="R5692"/>
  <c r="R5693"/>
  <c r="R5694"/>
  <c r="R5695"/>
  <c r="R5696"/>
  <c r="R5697"/>
  <c r="R5698"/>
  <c r="R5699"/>
  <c r="R5700"/>
  <c r="R5701"/>
  <c r="R5702"/>
  <c r="R5703"/>
  <c r="R5704"/>
  <c r="R5705"/>
  <c r="R5706"/>
  <c r="R5707"/>
  <c r="R5708"/>
  <c r="R5709"/>
  <c r="R5710"/>
  <c r="R5711"/>
  <c r="R5712"/>
  <c r="R5713"/>
  <c r="R5714"/>
  <c r="R5715"/>
  <c r="R5716"/>
  <c r="R5717"/>
  <c r="R5718"/>
  <c r="R5719"/>
  <c r="R5720"/>
  <c r="R5721"/>
  <c r="R5722"/>
  <c r="R5723"/>
  <c r="R5724"/>
  <c r="R5725"/>
  <c r="R5726"/>
  <c r="R5727"/>
  <c r="R5728"/>
  <c r="R5729"/>
  <c r="R5730"/>
  <c r="R5731"/>
  <c r="R5732"/>
  <c r="R5733"/>
  <c r="R5734"/>
  <c r="R5735"/>
  <c r="R5736"/>
  <c r="R5737"/>
  <c r="R5738"/>
  <c r="R5739"/>
  <c r="R5740"/>
  <c r="R5741"/>
  <c r="R5742"/>
  <c r="R5743"/>
  <c r="R5744"/>
  <c r="R5745"/>
  <c r="R5746"/>
  <c r="R5747"/>
  <c r="R5748"/>
  <c r="R5749"/>
  <c r="R5750"/>
  <c r="R5751"/>
  <c r="R5752"/>
  <c r="R5753"/>
  <c r="R5754"/>
  <c r="R5755"/>
  <c r="R5756"/>
  <c r="R5757"/>
  <c r="R5758"/>
  <c r="R5759"/>
  <c r="R5760"/>
  <c r="R5761"/>
  <c r="R5762"/>
  <c r="R5763"/>
  <c r="R5764"/>
  <c r="R5765"/>
  <c r="R5766"/>
  <c r="R5767"/>
  <c r="R5768"/>
  <c r="R5769"/>
  <c r="R5770"/>
  <c r="R5771"/>
  <c r="R5772"/>
  <c r="R5773"/>
  <c r="R5774"/>
  <c r="R5775"/>
  <c r="R5776"/>
  <c r="R5777"/>
  <c r="R5778"/>
  <c r="R5779"/>
  <c r="R5780"/>
  <c r="R5781"/>
  <c r="R5782"/>
  <c r="R5783"/>
  <c r="R5784"/>
  <c r="R5785"/>
  <c r="R5786"/>
  <c r="R5787"/>
  <c r="R5788"/>
  <c r="R5789"/>
  <c r="R5790"/>
  <c r="R5791"/>
  <c r="R5792"/>
  <c r="R5793"/>
  <c r="R5794"/>
  <c r="R5795"/>
  <c r="R5796"/>
  <c r="R5797"/>
  <c r="R5798"/>
  <c r="R5799"/>
  <c r="R5800"/>
  <c r="R5801"/>
  <c r="R5802"/>
  <c r="R5803"/>
  <c r="R5804"/>
  <c r="R5805"/>
  <c r="R5806"/>
  <c r="R5807"/>
  <c r="R5808"/>
  <c r="R5809"/>
  <c r="R5810"/>
  <c r="R5811"/>
  <c r="R5812"/>
  <c r="R5813"/>
  <c r="R5814"/>
  <c r="R5815"/>
  <c r="R5816"/>
  <c r="R5817"/>
  <c r="R5818"/>
  <c r="R5819"/>
  <c r="R5820"/>
  <c r="R5821"/>
  <c r="R5822"/>
  <c r="R5823"/>
  <c r="R5824"/>
  <c r="R5825"/>
  <c r="R5826"/>
  <c r="R5827"/>
  <c r="R5828"/>
  <c r="R5829"/>
  <c r="R5830"/>
  <c r="R5831"/>
  <c r="R5832"/>
  <c r="R5833"/>
  <c r="R5834"/>
  <c r="R5835"/>
  <c r="R5836"/>
  <c r="R5837"/>
  <c r="R5838"/>
  <c r="R5839"/>
  <c r="R5840"/>
  <c r="R5841"/>
  <c r="R5842"/>
  <c r="R5843"/>
  <c r="R5844"/>
  <c r="R5845"/>
  <c r="R5846"/>
  <c r="R5847"/>
  <c r="R5848"/>
  <c r="R5849"/>
  <c r="R5850"/>
  <c r="R5851"/>
  <c r="R5852"/>
  <c r="R5853"/>
  <c r="R5854"/>
  <c r="R5855"/>
  <c r="R5856"/>
  <c r="R5857"/>
  <c r="R5858"/>
  <c r="R5859"/>
  <c r="R5860"/>
  <c r="R5861"/>
  <c r="R5862"/>
  <c r="R5863"/>
  <c r="R5864"/>
  <c r="R5865"/>
  <c r="R5866"/>
  <c r="R5867"/>
  <c r="R5868"/>
  <c r="R5869"/>
  <c r="R5870"/>
  <c r="R5871"/>
  <c r="R5872"/>
  <c r="R5873"/>
  <c r="R5874"/>
  <c r="R5875"/>
  <c r="R5876"/>
  <c r="R5877"/>
  <c r="R5878"/>
  <c r="R5879"/>
  <c r="R5880"/>
  <c r="R5881"/>
  <c r="R5882"/>
  <c r="R5883"/>
  <c r="R5884"/>
  <c r="R5885"/>
  <c r="R5886"/>
  <c r="R5887"/>
  <c r="R5888"/>
  <c r="R5889"/>
  <c r="R5890"/>
  <c r="R5891"/>
  <c r="R5892"/>
  <c r="R5893"/>
  <c r="R5894"/>
  <c r="R5895"/>
  <c r="R5896"/>
  <c r="R5897"/>
  <c r="R5898"/>
  <c r="R5899"/>
  <c r="R5900"/>
  <c r="R5901"/>
  <c r="R5902"/>
  <c r="R5903"/>
  <c r="R5904"/>
  <c r="R5905"/>
  <c r="R5906"/>
  <c r="R5907"/>
  <c r="R5908"/>
  <c r="R5909"/>
  <c r="R5910"/>
  <c r="R5911"/>
  <c r="R5912"/>
  <c r="R5913"/>
  <c r="R5914"/>
  <c r="R5915"/>
  <c r="R5916"/>
  <c r="R5917"/>
  <c r="R5918"/>
  <c r="R5919"/>
  <c r="R5920"/>
  <c r="R5921"/>
  <c r="R5922"/>
  <c r="R5923"/>
  <c r="R5924"/>
  <c r="R5925"/>
  <c r="R5926"/>
  <c r="R5927"/>
  <c r="R5928"/>
  <c r="R5929"/>
  <c r="R5930"/>
  <c r="R5931"/>
  <c r="R5932"/>
  <c r="R5933"/>
  <c r="R5934"/>
  <c r="R5935"/>
  <c r="R5936"/>
  <c r="R5937"/>
  <c r="R5938"/>
  <c r="R5939"/>
  <c r="R5940"/>
  <c r="R5941"/>
  <c r="R5942"/>
  <c r="R5943"/>
  <c r="R5944"/>
  <c r="R5945"/>
  <c r="R5946"/>
  <c r="R5947"/>
  <c r="R5948"/>
  <c r="R5949"/>
  <c r="R5950"/>
  <c r="R5951"/>
  <c r="R5952"/>
  <c r="R5953"/>
  <c r="R5954"/>
  <c r="R5955"/>
  <c r="R5956"/>
  <c r="R5957"/>
  <c r="R5958"/>
  <c r="R5959"/>
  <c r="R5960"/>
  <c r="R5961"/>
  <c r="R5962"/>
  <c r="R5963"/>
  <c r="R5964"/>
  <c r="R5965"/>
  <c r="R5966"/>
  <c r="R5967"/>
  <c r="R5968"/>
  <c r="R5969"/>
  <c r="R5970"/>
  <c r="R5971"/>
  <c r="R5972"/>
  <c r="R5973"/>
  <c r="R5974"/>
  <c r="R5975"/>
  <c r="R5976"/>
  <c r="R5977"/>
  <c r="R5978"/>
  <c r="R5979"/>
  <c r="R5980"/>
  <c r="R5981"/>
  <c r="R5982"/>
  <c r="R5983"/>
  <c r="R5984"/>
  <c r="R5985"/>
  <c r="R5986"/>
  <c r="R5987"/>
  <c r="R5988"/>
  <c r="R5989"/>
  <c r="R5990"/>
  <c r="R5991"/>
  <c r="R5992"/>
  <c r="R5993"/>
  <c r="R5994"/>
  <c r="R5995"/>
  <c r="R5996"/>
  <c r="R5997"/>
  <c r="R5998"/>
  <c r="R5999"/>
  <c r="R6000"/>
  <c r="R6001"/>
  <c r="R6002"/>
  <c r="R6003"/>
  <c r="R6004"/>
  <c r="R6005"/>
  <c r="R6006"/>
  <c r="R6007"/>
  <c r="R6008"/>
  <c r="R6009"/>
  <c r="R6010"/>
  <c r="R6011"/>
  <c r="R6012"/>
  <c r="R6013"/>
  <c r="R6014"/>
  <c r="R6015"/>
  <c r="R6016"/>
  <c r="R6017"/>
  <c r="R6018"/>
  <c r="R6019"/>
  <c r="R6020"/>
  <c r="R6021"/>
  <c r="R6022"/>
  <c r="R6023"/>
  <c r="R6024"/>
  <c r="R6025"/>
  <c r="R6026"/>
  <c r="R6027"/>
  <c r="R6028"/>
  <c r="R6029"/>
  <c r="R6030"/>
  <c r="R6031"/>
  <c r="R6032"/>
  <c r="R6033"/>
  <c r="R6034"/>
  <c r="R6035"/>
  <c r="R6036"/>
  <c r="R6037"/>
  <c r="R6038"/>
  <c r="R6039"/>
  <c r="R6040"/>
  <c r="R6041"/>
  <c r="R6042"/>
  <c r="R6043"/>
  <c r="R6044"/>
  <c r="R6045"/>
  <c r="R6046"/>
  <c r="R6047"/>
  <c r="R6048"/>
  <c r="R6049"/>
  <c r="R6050"/>
  <c r="R6051"/>
  <c r="R6052"/>
  <c r="R6053"/>
  <c r="R6054"/>
  <c r="R6055"/>
  <c r="R6056"/>
  <c r="R6057"/>
  <c r="R6058"/>
  <c r="R6059"/>
  <c r="R6060"/>
  <c r="R6061"/>
  <c r="R6062"/>
  <c r="R6063"/>
  <c r="R6064"/>
  <c r="R6065"/>
  <c r="R6066"/>
  <c r="R6067"/>
  <c r="R6068"/>
  <c r="R6069"/>
  <c r="R6070"/>
  <c r="R6071"/>
  <c r="R6072"/>
  <c r="R6073"/>
  <c r="R6074"/>
  <c r="R6075"/>
  <c r="R6076"/>
  <c r="R6077"/>
  <c r="R6078"/>
  <c r="R6079"/>
  <c r="R6080"/>
  <c r="R6081"/>
  <c r="R6082"/>
  <c r="R6083"/>
  <c r="R6084"/>
  <c r="R6085"/>
  <c r="R6086"/>
  <c r="R6087"/>
  <c r="R6088"/>
  <c r="R6089"/>
  <c r="R6090"/>
  <c r="R6091"/>
  <c r="R6092"/>
  <c r="R6093"/>
  <c r="R6094"/>
  <c r="R6095"/>
  <c r="R6096"/>
  <c r="R6097"/>
  <c r="R6098"/>
  <c r="R6099"/>
  <c r="R6100"/>
  <c r="R6101"/>
  <c r="R6102"/>
  <c r="R6103"/>
  <c r="R6104"/>
  <c r="R6105"/>
  <c r="R6106"/>
  <c r="R6107"/>
  <c r="R6108"/>
  <c r="R6109"/>
  <c r="R6110"/>
  <c r="R6111"/>
  <c r="R6112"/>
  <c r="R6113"/>
  <c r="R6114"/>
  <c r="R6115"/>
  <c r="R6116"/>
  <c r="R6117"/>
  <c r="R6118"/>
  <c r="R6119"/>
  <c r="R6120"/>
  <c r="R6121"/>
  <c r="R6122"/>
  <c r="R6123"/>
  <c r="R6124"/>
  <c r="R6125"/>
  <c r="R6126"/>
  <c r="R6127"/>
  <c r="R6128"/>
  <c r="R6129"/>
  <c r="R6130"/>
  <c r="R6131"/>
  <c r="R6132"/>
  <c r="R6133"/>
  <c r="R6134"/>
  <c r="R6135"/>
  <c r="R6136"/>
  <c r="R6137"/>
  <c r="R6138"/>
  <c r="R6139"/>
  <c r="R6140"/>
  <c r="R6141"/>
  <c r="R6142"/>
  <c r="R6143"/>
  <c r="R6144"/>
  <c r="R6145"/>
  <c r="R6146"/>
  <c r="R6147"/>
  <c r="R6148"/>
  <c r="R6149"/>
  <c r="R6150"/>
  <c r="R6151"/>
  <c r="R6152"/>
  <c r="R6153"/>
  <c r="R6154"/>
  <c r="R6155"/>
  <c r="R6156"/>
  <c r="R6157"/>
  <c r="R6158"/>
  <c r="R6159"/>
  <c r="R6160"/>
  <c r="R6161"/>
  <c r="R6162"/>
  <c r="R6163"/>
  <c r="R6164"/>
  <c r="R6165"/>
  <c r="R6166"/>
  <c r="R6167"/>
  <c r="R6168"/>
  <c r="R6169"/>
  <c r="R6170"/>
  <c r="R6171"/>
  <c r="R6172"/>
  <c r="R6173"/>
  <c r="R6174"/>
  <c r="R6175"/>
  <c r="R6176"/>
  <c r="R6177"/>
  <c r="R6178"/>
  <c r="R6179"/>
  <c r="R6180"/>
  <c r="R6181"/>
  <c r="R6182"/>
  <c r="R6183"/>
  <c r="R6184"/>
  <c r="R6185"/>
  <c r="R6186"/>
  <c r="R6187"/>
  <c r="R6188"/>
  <c r="R6189"/>
  <c r="R6190"/>
  <c r="R6191"/>
  <c r="R6192"/>
  <c r="R6193"/>
  <c r="R6194"/>
  <c r="R6195"/>
  <c r="R6196"/>
  <c r="R6197"/>
  <c r="R6198"/>
  <c r="R6199"/>
  <c r="R6200"/>
  <c r="R6201"/>
  <c r="R6202"/>
  <c r="R6203"/>
  <c r="R6204"/>
  <c r="R6205"/>
  <c r="R6206"/>
  <c r="R6207"/>
  <c r="R6208"/>
  <c r="R6209"/>
  <c r="R6210"/>
  <c r="R6211"/>
  <c r="R6212"/>
  <c r="R6213"/>
  <c r="R6214"/>
  <c r="R6215"/>
  <c r="R6216"/>
  <c r="R6217"/>
  <c r="R6218"/>
  <c r="R6219"/>
  <c r="R6220"/>
  <c r="R6221"/>
  <c r="R6222"/>
  <c r="R6223"/>
  <c r="R6224"/>
  <c r="R6225"/>
  <c r="R6226"/>
  <c r="R6227"/>
  <c r="R6228"/>
  <c r="R6229"/>
  <c r="R6230"/>
  <c r="R6231"/>
  <c r="R6232"/>
  <c r="R6233"/>
  <c r="R6234"/>
  <c r="R6235"/>
  <c r="R6236"/>
  <c r="R6237"/>
  <c r="R6238"/>
  <c r="R6239"/>
  <c r="R6240"/>
  <c r="R6241"/>
  <c r="R6242"/>
  <c r="R6243"/>
  <c r="R6244"/>
  <c r="R6245"/>
  <c r="R6246"/>
  <c r="R6247"/>
  <c r="R6248"/>
  <c r="R6249"/>
  <c r="R6250"/>
  <c r="R6251"/>
  <c r="R6252"/>
  <c r="R6253"/>
  <c r="R6254"/>
  <c r="R6255"/>
  <c r="R6256"/>
  <c r="R6257"/>
  <c r="R6258"/>
  <c r="R6259"/>
  <c r="R6260"/>
  <c r="R6261"/>
  <c r="R6262"/>
  <c r="R6263"/>
  <c r="R6264"/>
  <c r="R6265"/>
  <c r="R6266"/>
  <c r="R6267"/>
  <c r="R6268"/>
  <c r="R6269"/>
  <c r="R6270"/>
  <c r="R6271"/>
  <c r="R6272"/>
  <c r="R6273"/>
  <c r="R6274"/>
  <c r="R6275"/>
  <c r="R6276"/>
  <c r="R6277"/>
  <c r="R6278"/>
  <c r="R6279"/>
  <c r="R6280"/>
  <c r="R6281"/>
  <c r="R6282"/>
  <c r="R6283"/>
  <c r="R6284"/>
  <c r="R6285"/>
  <c r="R6286"/>
  <c r="R6287"/>
  <c r="R6288"/>
  <c r="R6289"/>
  <c r="R6290"/>
  <c r="R6291"/>
  <c r="R6292"/>
  <c r="R6293"/>
  <c r="R6294"/>
  <c r="R6295"/>
  <c r="R6296"/>
  <c r="R6297"/>
  <c r="R6298"/>
  <c r="R6299"/>
  <c r="R6300"/>
  <c r="R6301"/>
  <c r="R6302"/>
  <c r="R6303"/>
  <c r="R6304"/>
  <c r="R6305"/>
  <c r="R6306"/>
  <c r="R6307"/>
  <c r="R6308"/>
  <c r="R6309"/>
  <c r="R6310"/>
  <c r="R6311"/>
  <c r="R6312"/>
  <c r="R6313"/>
  <c r="R6314"/>
  <c r="R6315"/>
  <c r="R6316"/>
  <c r="R6317"/>
  <c r="R6318"/>
  <c r="R6319"/>
  <c r="R6320"/>
  <c r="R6321"/>
  <c r="R6322"/>
  <c r="R6323"/>
  <c r="R6324"/>
  <c r="R6325"/>
  <c r="R6326"/>
  <c r="R6327"/>
  <c r="R6328"/>
  <c r="R6329"/>
  <c r="R6330"/>
  <c r="R6331"/>
  <c r="R6332"/>
  <c r="R6333"/>
  <c r="R6334"/>
  <c r="R6335"/>
  <c r="R6336"/>
  <c r="R6337"/>
  <c r="R6338"/>
  <c r="R6339"/>
  <c r="R6340"/>
  <c r="R6341"/>
  <c r="R6342"/>
  <c r="R6343"/>
  <c r="R6344"/>
  <c r="R6345"/>
  <c r="R6346"/>
  <c r="R6347"/>
  <c r="R6348"/>
  <c r="R6349"/>
  <c r="R6350"/>
  <c r="R6351"/>
  <c r="R6352"/>
  <c r="R6353"/>
  <c r="R6354"/>
  <c r="R6355"/>
  <c r="R6356"/>
  <c r="R6357"/>
  <c r="R6358"/>
  <c r="R6359"/>
  <c r="R6360"/>
  <c r="R6361"/>
  <c r="R6362"/>
  <c r="R6363"/>
  <c r="R6364"/>
  <c r="R6365"/>
  <c r="R6366"/>
  <c r="R6367"/>
  <c r="R6368"/>
  <c r="R6369"/>
  <c r="R6370"/>
  <c r="R6371"/>
  <c r="R6372"/>
  <c r="R6373"/>
  <c r="R6374"/>
  <c r="R6375"/>
  <c r="R6376"/>
  <c r="R6377"/>
  <c r="R6378"/>
  <c r="R6379"/>
  <c r="R6380"/>
  <c r="R6381"/>
  <c r="R6382"/>
  <c r="R6383"/>
  <c r="R6384"/>
  <c r="R6385"/>
  <c r="R6386"/>
  <c r="R6387"/>
  <c r="R6388"/>
  <c r="R6389"/>
  <c r="R6390"/>
  <c r="R6391"/>
  <c r="R6392"/>
  <c r="R6393"/>
  <c r="R6394"/>
  <c r="R6395"/>
  <c r="R6396"/>
  <c r="R6397"/>
  <c r="R6398"/>
  <c r="R6399"/>
  <c r="R6400"/>
  <c r="R6401"/>
  <c r="R6402"/>
  <c r="R6403"/>
  <c r="R6404"/>
  <c r="R6405"/>
  <c r="R6406"/>
  <c r="R6407"/>
  <c r="R6408"/>
  <c r="R6409"/>
  <c r="R6410"/>
  <c r="R6411"/>
  <c r="R6412"/>
  <c r="R6413"/>
  <c r="R6414"/>
  <c r="R6415"/>
  <c r="R6416"/>
  <c r="R6417"/>
  <c r="R6418"/>
  <c r="R6419"/>
  <c r="R6420"/>
  <c r="R6421"/>
  <c r="R6422"/>
  <c r="R6423"/>
  <c r="R6424"/>
  <c r="R6425"/>
  <c r="R6426"/>
  <c r="R6427"/>
  <c r="R6428"/>
  <c r="R6429"/>
  <c r="R6430"/>
  <c r="R6431"/>
  <c r="R6432"/>
  <c r="R6433"/>
  <c r="R6434"/>
  <c r="R6435"/>
  <c r="R6436"/>
  <c r="R6437"/>
  <c r="R6438"/>
  <c r="R6439"/>
  <c r="R6440"/>
  <c r="R6441"/>
  <c r="R6442"/>
  <c r="R6443"/>
  <c r="R6444"/>
  <c r="R6445"/>
  <c r="R6446"/>
  <c r="R6447"/>
  <c r="R6448"/>
  <c r="R6449"/>
  <c r="R6450"/>
  <c r="R6451"/>
  <c r="R6452"/>
  <c r="R6453"/>
  <c r="R6454"/>
  <c r="R6455"/>
  <c r="R6456"/>
  <c r="R6457"/>
  <c r="R6458"/>
  <c r="R6459"/>
  <c r="R6460"/>
  <c r="R6461"/>
  <c r="R6462"/>
  <c r="R6463"/>
  <c r="R6464"/>
  <c r="R6465"/>
  <c r="R6466"/>
  <c r="R6467"/>
  <c r="R6468"/>
  <c r="R6469"/>
  <c r="R6470"/>
  <c r="R6471"/>
  <c r="R6472"/>
  <c r="R6473"/>
  <c r="R6474"/>
  <c r="R6475"/>
  <c r="R6476"/>
  <c r="R6477"/>
  <c r="R6478"/>
  <c r="R6479"/>
  <c r="R6480"/>
  <c r="R6481"/>
  <c r="R6482"/>
  <c r="R6483"/>
  <c r="R6484"/>
  <c r="R6485"/>
  <c r="R6486"/>
  <c r="R6487"/>
  <c r="R6488"/>
  <c r="R6489"/>
  <c r="R6490"/>
  <c r="R6491"/>
  <c r="R6492"/>
  <c r="R6493"/>
  <c r="R6494"/>
  <c r="R6495"/>
  <c r="R6496"/>
  <c r="R6497"/>
  <c r="R6498"/>
  <c r="R6499"/>
  <c r="R6500"/>
  <c r="R6501"/>
  <c r="R6502"/>
  <c r="R6503"/>
  <c r="R6504"/>
  <c r="R6505"/>
  <c r="R6506"/>
  <c r="R6507"/>
  <c r="R6508"/>
  <c r="R6509"/>
  <c r="R6510"/>
  <c r="R6511"/>
  <c r="R6512"/>
  <c r="R6513"/>
  <c r="R6514"/>
  <c r="R6515"/>
  <c r="R6516"/>
  <c r="R6517"/>
  <c r="R6518"/>
  <c r="R6519"/>
  <c r="R6520"/>
  <c r="R6521"/>
  <c r="R6522"/>
  <c r="R6523"/>
  <c r="R6524"/>
  <c r="R6525"/>
  <c r="R6526"/>
  <c r="R6527"/>
  <c r="R6528"/>
  <c r="R6529"/>
  <c r="R6530"/>
  <c r="R6531"/>
  <c r="R6532"/>
  <c r="R6533"/>
  <c r="R6534"/>
  <c r="R6535"/>
  <c r="R6536"/>
  <c r="R6537"/>
  <c r="R6538"/>
  <c r="R6539"/>
  <c r="R6540"/>
  <c r="R6541"/>
  <c r="R6542"/>
  <c r="R6543"/>
  <c r="R6544"/>
  <c r="R6545"/>
  <c r="R6546"/>
  <c r="R6547"/>
  <c r="R6548"/>
  <c r="R6549"/>
  <c r="R6550"/>
  <c r="R6551"/>
  <c r="R6552"/>
  <c r="R6553"/>
  <c r="R6554"/>
  <c r="R6555"/>
  <c r="R6556"/>
  <c r="R6557"/>
  <c r="R6558"/>
  <c r="R6559"/>
  <c r="R6560"/>
  <c r="R6561"/>
  <c r="R6562"/>
  <c r="R6563"/>
  <c r="R6564"/>
  <c r="R6565"/>
  <c r="R6566"/>
  <c r="R6567"/>
  <c r="R6568"/>
  <c r="R6569"/>
  <c r="R6570"/>
  <c r="R6571"/>
  <c r="R6572"/>
  <c r="R6573"/>
  <c r="R6574"/>
  <c r="R6575"/>
  <c r="R6576"/>
  <c r="R6577"/>
  <c r="R6578"/>
  <c r="R6579"/>
  <c r="R6580"/>
  <c r="R6581"/>
  <c r="R6582"/>
  <c r="R6583"/>
  <c r="R6584"/>
  <c r="R6585"/>
  <c r="R6586"/>
  <c r="R6587"/>
  <c r="R6588"/>
  <c r="R6589"/>
  <c r="R6590"/>
  <c r="R6591"/>
  <c r="R6592"/>
  <c r="R6593"/>
  <c r="R6594"/>
  <c r="R6595"/>
  <c r="R6596"/>
  <c r="R6597"/>
  <c r="R6598"/>
  <c r="R6599"/>
  <c r="R6600"/>
  <c r="R6601"/>
  <c r="R6602"/>
  <c r="R6603"/>
  <c r="R6604"/>
  <c r="R6605"/>
  <c r="R6606"/>
  <c r="R6607"/>
  <c r="R6608"/>
  <c r="R6609"/>
  <c r="R6610"/>
  <c r="R6611"/>
  <c r="R6612"/>
  <c r="R6613"/>
  <c r="R6614"/>
  <c r="R6615"/>
  <c r="R6616"/>
  <c r="R6617"/>
  <c r="R6618"/>
  <c r="R6619"/>
  <c r="R6620"/>
  <c r="R6621"/>
  <c r="R6622"/>
  <c r="R6623"/>
  <c r="R6624"/>
  <c r="R6625"/>
  <c r="R6626"/>
  <c r="S6"/>
  <c r="M6" s="1"/>
  <c r="S7"/>
  <c r="M7" s="1"/>
  <c r="S8"/>
  <c r="M8" s="1"/>
  <c r="S9"/>
  <c r="M9" s="1"/>
  <c r="S10"/>
  <c r="M10" s="1"/>
  <c r="S11"/>
  <c r="M11" s="1"/>
  <c r="S12"/>
  <c r="M12" s="1"/>
  <c r="S13"/>
  <c r="M13" s="1"/>
  <c r="S14"/>
  <c r="M14" s="1"/>
  <c r="S15"/>
  <c r="M15" s="1"/>
  <c r="S16"/>
  <c r="M16" s="1"/>
  <c r="S17"/>
  <c r="M17" s="1"/>
  <c r="S18"/>
  <c r="M18" s="1"/>
  <c r="S19"/>
  <c r="M19" s="1"/>
  <c r="S20"/>
  <c r="M20" s="1"/>
  <c r="S21"/>
  <c r="M21" s="1"/>
  <c r="S22"/>
  <c r="M22" s="1"/>
  <c r="S23"/>
  <c r="M23" s="1"/>
  <c r="S24"/>
  <c r="M24" s="1"/>
  <c r="S25"/>
  <c r="M25" s="1"/>
  <c r="S26"/>
  <c r="M26" s="1"/>
  <c r="S27"/>
  <c r="M27" s="1"/>
  <c r="S28"/>
  <c r="M28" s="1"/>
  <c r="S29"/>
  <c r="M29" s="1"/>
  <c r="S30"/>
  <c r="M30" s="1"/>
  <c r="S31"/>
  <c r="M31" s="1"/>
  <c r="S32"/>
  <c r="M32" s="1"/>
  <c r="S33"/>
  <c r="M33" s="1"/>
  <c r="S34"/>
  <c r="M34" s="1"/>
  <c r="S35"/>
  <c r="M35" s="1"/>
  <c r="S36"/>
  <c r="M36" s="1"/>
  <c r="S37"/>
  <c r="M37" s="1"/>
  <c r="S38"/>
  <c r="M38" s="1"/>
  <c r="S39"/>
  <c r="M39" s="1"/>
  <c r="S40"/>
  <c r="M40" s="1"/>
  <c r="S41"/>
  <c r="M41" s="1"/>
  <c r="S42"/>
  <c r="M42" s="1"/>
  <c r="S43"/>
  <c r="M43" s="1"/>
  <c r="S44"/>
  <c r="M44" s="1"/>
  <c r="S45"/>
  <c r="M45" s="1"/>
  <c r="S46"/>
  <c r="M46" s="1"/>
  <c r="S47"/>
  <c r="M47" s="1"/>
  <c r="S48"/>
  <c r="M48" s="1"/>
  <c r="S49"/>
  <c r="M49" s="1"/>
  <c r="S50"/>
  <c r="M50" s="1"/>
  <c r="S51"/>
  <c r="M51" s="1"/>
  <c r="S52"/>
  <c r="M52" s="1"/>
  <c r="S53"/>
  <c r="M53" s="1"/>
  <c r="S54"/>
  <c r="M54" s="1"/>
  <c r="S55"/>
  <c r="M55" s="1"/>
  <c r="S56"/>
  <c r="M56" s="1"/>
  <c r="S57"/>
  <c r="M57" s="1"/>
  <c r="S58"/>
  <c r="M58" s="1"/>
  <c r="S59"/>
  <c r="M59" s="1"/>
  <c r="S60"/>
  <c r="M60" s="1"/>
  <c r="S61"/>
  <c r="M61" s="1"/>
  <c r="S62"/>
  <c r="M62" s="1"/>
  <c r="S63"/>
  <c r="M63" s="1"/>
  <c r="S64"/>
  <c r="M64" s="1"/>
  <c r="S65"/>
  <c r="M65" s="1"/>
  <c r="S66"/>
  <c r="M66" s="1"/>
  <c r="S67"/>
  <c r="M67" s="1"/>
  <c r="S68"/>
  <c r="M68" s="1"/>
  <c r="S69"/>
  <c r="M69" s="1"/>
  <c r="S70"/>
  <c r="M70" s="1"/>
  <c r="S71"/>
  <c r="M71" s="1"/>
  <c r="S72"/>
  <c r="M72" s="1"/>
  <c r="S73"/>
  <c r="M73" s="1"/>
  <c r="S74"/>
  <c r="M74" s="1"/>
  <c r="S75"/>
  <c r="M75" s="1"/>
  <c r="S76"/>
  <c r="M76" s="1"/>
  <c r="S77"/>
  <c r="M77" s="1"/>
  <c r="S78"/>
  <c r="M78" s="1"/>
  <c r="S79"/>
  <c r="M79" s="1"/>
  <c r="S80"/>
  <c r="M80" s="1"/>
  <c r="S81"/>
  <c r="M81" s="1"/>
  <c r="S82"/>
  <c r="M82" s="1"/>
  <c r="S83"/>
  <c r="M83" s="1"/>
  <c r="S84"/>
  <c r="M84" s="1"/>
  <c r="S85"/>
  <c r="M85" s="1"/>
  <c r="S86"/>
  <c r="M86" s="1"/>
  <c r="S87"/>
  <c r="M87" s="1"/>
  <c r="S88"/>
  <c r="M88" s="1"/>
  <c r="S89"/>
  <c r="M89" s="1"/>
  <c r="S90"/>
  <c r="M90" s="1"/>
  <c r="S91"/>
  <c r="M91" s="1"/>
  <c r="S92"/>
  <c r="M92" s="1"/>
  <c r="S93"/>
  <c r="M93" s="1"/>
  <c r="S94"/>
  <c r="M94" s="1"/>
  <c r="S95"/>
  <c r="M95" s="1"/>
  <c r="S96"/>
  <c r="M96" s="1"/>
  <c r="S97"/>
  <c r="M97" s="1"/>
  <c r="S98"/>
  <c r="M98" s="1"/>
  <c r="S99"/>
  <c r="M99" s="1"/>
  <c r="S100"/>
  <c r="M100" s="1"/>
  <c r="S101"/>
  <c r="M101" s="1"/>
  <c r="S102"/>
  <c r="M102" s="1"/>
  <c r="S103"/>
  <c r="M103" s="1"/>
  <c r="S104"/>
  <c r="M104" s="1"/>
  <c r="S105"/>
  <c r="M105" s="1"/>
  <c r="S106"/>
  <c r="M106" s="1"/>
  <c r="S107"/>
  <c r="M107" s="1"/>
  <c r="S108"/>
  <c r="M108" s="1"/>
  <c r="S109"/>
  <c r="M109" s="1"/>
  <c r="S110"/>
  <c r="M110" s="1"/>
  <c r="S111"/>
  <c r="M111" s="1"/>
  <c r="S112"/>
  <c r="M112" s="1"/>
  <c r="S113"/>
  <c r="M113" s="1"/>
  <c r="S114"/>
  <c r="M114" s="1"/>
  <c r="S115"/>
  <c r="M115" s="1"/>
  <c r="S116"/>
  <c r="M116" s="1"/>
  <c r="S117"/>
  <c r="M117" s="1"/>
  <c r="S118"/>
  <c r="M118" s="1"/>
  <c r="S119"/>
  <c r="M119" s="1"/>
  <c r="S120"/>
  <c r="M120" s="1"/>
  <c r="S121"/>
  <c r="M121" s="1"/>
  <c r="S122"/>
  <c r="M122" s="1"/>
  <c r="S123"/>
  <c r="M123" s="1"/>
  <c r="S124"/>
  <c r="M124" s="1"/>
  <c r="S125"/>
  <c r="M125" s="1"/>
  <c r="S126"/>
  <c r="M126" s="1"/>
  <c r="S127"/>
  <c r="M127" s="1"/>
  <c r="S128"/>
  <c r="M128" s="1"/>
  <c r="S129"/>
  <c r="M129" s="1"/>
  <c r="S130"/>
  <c r="M130" s="1"/>
  <c r="S131"/>
  <c r="M131" s="1"/>
  <c r="S132"/>
  <c r="M132" s="1"/>
  <c r="S133"/>
  <c r="M133" s="1"/>
  <c r="S134"/>
  <c r="M134" s="1"/>
  <c r="S135"/>
  <c r="M135" s="1"/>
  <c r="S136"/>
  <c r="M136" s="1"/>
  <c r="S137"/>
  <c r="M137" s="1"/>
  <c r="S138"/>
  <c r="M138" s="1"/>
  <c r="S139"/>
  <c r="M139" s="1"/>
  <c r="S140"/>
  <c r="M140" s="1"/>
  <c r="S141"/>
  <c r="M141" s="1"/>
  <c r="S142"/>
  <c r="M142" s="1"/>
  <c r="S143"/>
  <c r="M143" s="1"/>
  <c r="S144"/>
  <c r="M144" s="1"/>
  <c r="S145"/>
  <c r="M145" s="1"/>
  <c r="S146"/>
  <c r="M146" s="1"/>
  <c r="S147"/>
  <c r="M147" s="1"/>
  <c r="S148"/>
  <c r="M148" s="1"/>
  <c r="S149"/>
  <c r="M149" s="1"/>
  <c r="S150"/>
  <c r="M150" s="1"/>
  <c r="S151"/>
  <c r="M151" s="1"/>
  <c r="S152"/>
  <c r="M152" s="1"/>
  <c r="S153"/>
  <c r="M153" s="1"/>
  <c r="S154"/>
  <c r="M154" s="1"/>
  <c r="S155"/>
  <c r="M155" s="1"/>
  <c r="S156"/>
  <c r="M156" s="1"/>
  <c r="S157"/>
  <c r="M157" s="1"/>
  <c r="S158"/>
  <c r="M158" s="1"/>
  <c r="S159"/>
  <c r="M159" s="1"/>
  <c r="S160"/>
  <c r="M160" s="1"/>
  <c r="S161"/>
  <c r="M161" s="1"/>
  <c r="S162"/>
  <c r="M162" s="1"/>
  <c r="S163"/>
  <c r="M163" s="1"/>
  <c r="S164"/>
  <c r="M164" s="1"/>
  <c r="S165"/>
  <c r="M165" s="1"/>
  <c r="S166"/>
  <c r="M166" s="1"/>
  <c r="S167"/>
  <c r="M167" s="1"/>
  <c r="S168"/>
  <c r="M168" s="1"/>
  <c r="S169"/>
  <c r="M169" s="1"/>
  <c r="S170"/>
  <c r="M170" s="1"/>
  <c r="S171"/>
  <c r="M171" s="1"/>
  <c r="S172"/>
  <c r="M172" s="1"/>
  <c r="S173"/>
  <c r="M173" s="1"/>
  <c r="S174"/>
  <c r="M174" s="1"/>
  <c r="S175"/>
  <c r="M175" s="1"/>
  <c r="S176"/>
  <c r="M176" s="1"/>
  <c r="S177"/>
  <c r="M177" s="1"/>
  <c r="S178"/>
  <c r="M178" s="1"/>
  <c r="S179"/>
  <c r="M179" s="1"/>
  <c r="S180"/>
  <c r="M180" s="1"/>
  <c r="S181"/>
  <c r="M181" s="1"/>
  <c r="S182"/>
  <c r="M182" s="1"/>
  <c r="S183"/>
  <c r="M183" s="1"/>
  <c r="S184"/>
  <c r="M184" s="1"/>
  <c r="S185"/>
  <c r="M185" s="1"/>
  <c r="S186"/>
  <c r="M186" s="1"/>
  <c r="S187"/>
  <c r="M187" s="1"/>
  <c r="S188"/>
  <c r="M188" s="1"/>
  <c r="S189"/>
  <c r="M189" s="1"/>
  <c r="S190"/>
  <c r="M190" s="1"/>
  <c r="S191"/>
  <c r="M191" s="1"/>
  <c r="S192"/>
  <c r="M192" s="1"/>
  <c r="S193"/>
  <c r="M193" s="1"/>
  <c r="S194"/>
  <c r="M194" s="1"/>
  <c r="S195"/>
  <c r="M195" s="1"/>
  <c r="S196"/>
  <c r="M196" s="1"/>
  <c r="S197"/>
  <c r="M197" s="1"/>
  <c r="S198"/>
  <c r="M198" s="1"/>
  <c r="S199"/>
  <c r="M199" s="1"/>
  <c r="S200"/>
  <c r="M200" s="1"/>
  <c r="S201"/>
  <c r="M201" s="1"/>
  <c r="S202"/>
  <c r="M202" s="1"/>
  <c r="S203"/>
  <c r="M203" s="1"/>
  <c r="S204"/>
  <c r="M204" s="1"/>
  <c r="S205"/>
  <c r="M205" s="1"/>
  <c r="S206"/>
  <c r="M206" s="1"/>
  <c r="S207"/>
  <c r="M207" s="1"/>
  <c r="S208"/>
  <c r="M208" s="1"/>
  <c r="S209"/>
  <c r="M209" s="1"/>
  <c r="S210"/>
  <c r="M210" s="1"/>
  <c r="S211"/>
  <c r="M211" s="1"/>
  <c r="S212"/>
  <c r="M212" s="1"/>
  <c r="S213"/>
  <c r="M213" s="1"/>
  <c r="S214"/>
  <c r="M214" s="1"/>
  <c r="S215"/>
  <c r="M215" s="1"/>
  <c r="S216"/>
  <c r="M216" s="1"/>
  <c r="S217"/>
  <c r="M217" s="1"/>
  <c r="S218"/>
  <c r="M218" s="1"/>
  <c r="S219"/>
  <c r="M219" s="1"/>
  <c r="S220"/>
  <c r="M220" s="1"/>
  <c r="S221"/>
  <c r="M221" s="1"/>
  <c r="S222"/>
  <c r="M222" s="1"/>
  <c r="S223"/>
  <c r="M223" s="1"/>
  <c r="S224"/>
  <c r="M224" s="1"/>
  <c r="S225"/>
  <c r="M225" s="1"/>
  <c r="S226"/>
  <c r="M226" s="1"/>
  <c r="S227"/>
  <c r="M227" s="1"/>
  <c r="S228"/>
  <c r="M228" s="1"/>
  <c r="S229"/>
  <c r="M229" s="1"/>
  <c r="S230"/>
  <c r="M230" s="1"/>
  <c r="S231"/>
  <c r="M231" s="1"/>
  <c r="S232"/>
  <c r="M232" s="1"/>
  <c r="S233"/>
  <c r="M233" s="1"/>
  <c r="S234"/>
  <c r="M234" s="1"/>
  <c r="S235"/>
  <c r="M235" s="1"/>
  <c r="S236"/>
  <c r="M236" s="1"/>
  <c r="S237"/>
  <c r="M237" s="1"/>
  <c r="S238"/>
  <c r="M238" s="1"/>
  <c r="S239"/>
  <c r="M239" s="1"/>
  <c r="S240"/>
  <c r="M240" s="1"/>
  <c r="S241"/>
  <c r="M241" s="1"/>
  <c r="S242"/>
  <c r="M242" s="1"/>
  <c r="S243"/>
  <c r="M243" s="1"/>
  <c r="S244"/>
  <c r="M244" s="1"/>
  <c r="S245"/>
  <c r="M245" s="1"/>
  <c r="S246"/>
  <c r="M246" s="1"/>
  <c r="S247"/>
  <c r="M247" s="1"/>
  <c r="S248"/>
  <c r="M248" s="1"/>
  <c r="S249"/>
  <c r="M249" s="1"/>
  <c r="S250"/>
  <c r="M250" s="1"/>
  <c r="S251"/>
  <c r="M251" s="1"/>
  <c r="S252"/>
  <c r="M252" s="1"/>
  <c r="S253"/>
  <c r="M253" s="1"/>
  <c r="S254"/>
  <c r="M254" s="1"/>
  <c r="S255"/>
  <c r="M255" s="1"/>
  <c r="S256"/>
  <c r="M256" s="1"/>
  <c r="S257"/>
  <c r="M257" s="1"/>
  <c r="S258"/>
  <c r="M258" s="1"/>
  <c r="S259"/>
  <c r="M259" s="1"/>
  <c r="S260"/>
  <c r="M260" s="1"/>
  <c r="S261"/>
  <c r="M261" s="1"/>
  <c r="S262"/>
  <c r="M262" s="1"/>
  <c r="S263"/>
  <c r="M263" s="1"/>
  <c r="S264"/>
  <c r="M264" s="1"/>
  <c r="S265"/>
  <c r="M265" s="1"/>
  <c r="S266"/>
  <c r="M266" s="1"/>
  <c r="S267"/>
  <c r="M267" s="1"/>
  <c r="S268"/>
  <c r="M268" s="1"/>
  <c r="S269"/>
  <c r="M269" s="1"/>
  <c r="S270"/>
  <c r="M270" s="1"/>
  <c r="S271"/>
  <c r="M271" s="1"/>
  <c r="S272"/>
  <c r="M272" s="1"/>
  <c r="S273"/>
  <c r="M273" s="1"/>
  <c r="S274"/>
  <c r="M274" s="1"/>
  <c r="S275"/>
  <c r="M275" s="1"/>
  <c r="S276"/>
  <c r="M276" s="1"/>
  <c r="S277"/>
  <c r="M277" s="1"/>
  <c r="S278"/>
  <c r="M278" s="1"/>
  <c r="S279"/>
  <c r="M279" s="1"/>
  <c r="S280"/>
  <c r="M280" s="1"/>
  <c r="S281"/>
  <c r="M281" s="1"/>
  <c r="S282"/>
  <c r="M282" s="1"/>
  <c r="S283"/>
  <c r="M283" s="1"/>
  <c r="S284"/>
  <c r="M284" s="1"/>
  <c r="S285"/>
  <c r="M285" s="1"/>
  <c r="S286"/>
  <c r="M286" s="1"/>
  <c r="S287"/>
  <c r="M287" s="1"/>
  <c r="S288"/>
  <c r="M288" s="1"/>
  <c r="S289"/>
  <c r="M289" s="1"/>
  <c r="S290"/>
  <c r="M290" s="1"/>
  <c r="S291"/>
  <c r="M291" s="1"/>
  <c r="S292"/>
  <c r="M292" s="1"/>
  <c r="S293"/>
  <c r="M293" s="1"/>
  <c r="S294"/>
  <c r="M294" s="1"/>
  <c r="S295"/>
  <c r="M295" s="1"/>
  <c r="S296"/>
  <c r="M296" s="1"/>
  <c r="S297"/>
  <c r="M297" s="1"/>
  <c r="S298"/>
  <c r="M298" s="1"/>
  <c r="S299"/>
  <c r="M299" s="1"/>
  <c r="S300"/>
  <c r="M300" s="1"/>
  <c r="S301"/>
  <c r="M301" s="1"/>
  <c r="S302"/>
  <c r="M302" s="1"/>
  <c r="S303"/>
  <c r="M303" s="1"/>
  <c r="S304"/>
  <c r="M304" s="1"/>
  <c r="S305"/>
  <c r="M305" s="1"/>
  <c r="S306"/>
  <c r="M306" s="1"/>
  <c r="S307"/>
  <c r="M307" s="1"/>
  <c r="S308"/>
  <c r="M308" s="1"/>
  <c r="S309"/>
  <c r="M309" s="1"/>
  <c r="S310"/>
  <c r="M310" s="1"/>
  <c r="S311"/>
  <c r="M311" s="1"/>
  <c r="S312"/>
  <c r="M312" s="1"/>
  <c r="S313"/>
  <c r="M313" s="1"/>
  <c r="S314"/>
  <c r="M314" s="1"/>
  <c r="S315"/>
  <c r="M315" s="1"/>
  <c r="S316"/>
  <c r="M316" s="1"/>
  <c r="S317"/>
  <c r="M317" s="1"/>
  <c r="S318"/>
  <c r="M318" s="1"/>
  <c r="S319"/>
  <c r="M319" s="1"/>
  <c r="S320"/>
  <c r="M320" s="1"/>
  <c r="S321"/>
  <c r="M321" s="1"/>
  <c r="S322"/>
  <c r="M322" s="1"/>
  <c r="S323"/>
  <c r="M323" s="1"/>
  <c r="S324"/>
  <c r="M324" s="1"/>
  <c r="S325"/>
  <c r="M325" s="1"/>
  <c r="S326"/>
  <c r="M326" s="1"/>
  <c r="S327"/>
  <c r="M327" s="1"/>
  <c r="S328"/>
  <c r="M328" s="1"/>
  <c r="S329"/>
  <c r="M329" s="1"/>
  <c r="S330"/>
  <c r="M330" s="1"/>
  <c r="S331"/>
  <c r="M331" s="1"/>
  <c r="S332"/>
  <c r="M332" s="1"/>
  <c r="S333"/>
  <c r="M333" s="1"/>
  <c r="S334"/>
  <c r="M334" s="1"/>
  <c r="S335"/>
  <c r="M335" s="1"/>
  <c r="S336"/>
  <c r="M336" s="1"/>
  <c r="S337"/>
  <c r="M337" s="1"/>
  <c r="S338"/>
  <c r="M338" s="1"/>
  <c r="S339"/>
  <c r="M339" s="1"/>
  <c r="S340"/>
  <c r="M340" s="1"/>
  <c r="S341"/>
  <c r="M341" s="1"/>
  <c r="S342"/>
  <c r="M342" s="1"/>
  <c r="S343"/>
  <c r="M343" s="1"/>
  <c r="S344"/>
  <c r="M344" s="1"/>
  <c r="S345"/>
  <c r="M345" s="1"/>
  <c r="S346"/>
  <c r="M346" s="1"/>
  <c r="S347"/>
  <c r="M347" s="1"/>
  <c r="S348"/>
  <c r="M348" s="1"/>
  <c r="S349"/>
  <c r="M349" s="1"/>
  <c r="S350"/>
  <c r="M350" s="1"/>
  <c r="S351"/>
  <c r="M351" s="1"/>
  <c r="S352"/>
  <c r="M352" s="1"/>
  <c r="S353"/>
  <c r="M353" s="1"/>
  <c r="S354"/>
  <c r="M354" s="1"/>
  <c r="S355"/>
  <c r="M355" s="1"/>
  <c r="S356"/>
  <c r="M356" s="1"/>
  <c r="S357"/>
  <c r="M357" s="1"/>
  <c r="S358"/>
  <c r="M358" s="1"/>
  <c r="S359"/>
  <c r="M359" s="1"/>
  <c r="S360"/>
  <c r="M360" s="1"/>
  <c r="S361"/>
  <c r="M361" s="1"/>
  <c r="S362"/>
  <c r="M362" s="1"/>
  <c r="S363"/>
  <c r="M363" s="1"/>
  <c r="S364"/>
  <c r="M364" s="1"/>
  <c r="S365"/>
  <c r="M365" s="1"/>
  <c r="S366"/>
  <c r="M366" s="1"/>
  <c r="S367"/>
  <c r="M367" s="1"/>
  <c r="S368"/>
  <c r="M368" s="1"/>
  <c r="S369"/>
  <c r="M369" s="1"/>
  <c r="S370"/>
  <c r="M370" s="1"/>
  <c r="S371"/>
  <c r="M371" s="1"/>
  <c r="S372"/>
  <c r="M372" s="1"/>
  <c r="S373"/>
  <c r="M373" s="1"/>
  <c r="S374"/>
  <c r="M374" s="1"/>
  <c r="S375"/>
  <c r="M375" s="1"/>
  <c r="S376"/>
  <c r="M376" s="1"/>
  <c r="S377"/>
  <c r="M377" s="1"/>
  <c r="S378"/>
  <c r="M378" s="1"/>
  <c r="S379"/>
  <c r="M379" s="1"/>
  <c r="S380"/>
  <c r="M380" s="1"/>
  <c r="S381"/>
  <c r="M381" s="1"/>
  <c r="S382"/>
  <c r="M382" s="1"/>
  <c r="S383"/>
  <c r="M383" s="1"/>
  <c r="S384"/>
  <c r="M384" s="1"/>
  <c r="S385"/>
  <c r="M385" s="1"/>
  <c r="S386"/>
  <c r="M386" s="1"/>
  <c r="S387"/>
  <c r="M387" s="1"/>
  <c r="S388"/>
  <c r="M388" s="1"/>
  <c r="S389"/>
  <c r="M389" s="1"/>
  <c r="S390"/>
  <c r="M390" s="1"/>
  <c r="S391"/>
  <c r="M391" s="1"/>
  <c r="S392"/>
  <c r="M392" s="1"/>
  <c r="S393"/>
  <c r="M393" s="1"/>
  <c r="S394"/>
  <c r="M394" s="1"/>
  <c r="S395"/>
  <c r="M395" s="1"/>
  <c r="S396"/>
  <c r="M396" s="1"/>
  <c r="S397"/>
  <c r="M397" s="1"/>
  <c r="S398"/>
  <c r="M398" s="1"/>
  <c r="S399"/>
  <c r="M399" s="1"/>
  <c r="S400"/>
  <c r="M400" s="1"/>
  <c r="S401"/>
  <c r="M401" s="1"/>
  <c r="S402"/>
  <c r="M402" s="1"/>
  <c r="S403"/>
  <c r="M403" s="1"/>
  <c r="S404"/>
  <c r="M404" s="1"/>
  <c r="S405"/>
  <c r="M405" s="1"/>
  <c r="S406"/>
  <c r="M406" s="1"/>
  <c r="S407"/>
  <c r="M407" s="1"/>
  <c r="S408"/>
  <c r="M408" s="1"/>
  <c r="S409"/>
  <c r="M409" s="1"/>
  <c r="S410"/>
  <c r="M410" s="1"/>
  <c r="S411"/>
  <c r="M411" s="1"/>
  <c r="S412"/>
  <c r="M412" s="1"/>
  <c r="S413"/>
  <c r="M413" s="1"/>
  <c r="S414"/>
  <c r="M414" s="1"/>
  <c r="S415"/>
  <c r="M415" s="1"/>
  <c r="S416"/>
  <c r="M416" s="1"/>
  <c r="S417"/>
  <c r="M417" s="1"/>
  <c r="S418"/>
  <c r="M418" s="1"/>
  <c r="S419"/>
  <c r="M419" s="1"/>
  <c r="S420"/>
  <c r="M420" s="1"/>
  <c r="S421"/>
  <c r="M421" s="1"/>
  <c r="S422"/>
  <c r="M422" s="1"/>
  <c r="S423"/>
  <c r="M423" s="1"/>
  <c r="S424"/>
  <c r="M424" s="1"/>
  <c r="S425"/>
  <c r="M425" s="1"/>
  <c r="S426"/>
  <c r="M426" s="1"/>
  <c r="S427"/>
  <c r="M427" s="1"/>
  <c r="S428"/>
  <c r="M428" s="1"/>
  <c r="S429"/>
  <c r="M429" s="1"/>
  <c r="S430"/>
  <c r="M430" s="1"/>
  <c r="S431"/>
  <c r="M431" s="1"/>
  <c r="S432"/>
  <c r="M432" s="1"/>
  <c r="S433"/>
  <c r="M433" s="1"/>
  <c r="S434"/>
  <c r="M434" s="1"/>
  <c r="S435"/>
  <c r="M435" s="1"/>
  <c r="S436"/>
  <c r="M436" s="1"/>
  <c r="S437"/>
  <c r="M437" s="1"/>
  <c r="S438"/>
  <c r="M438" s="1"/>
  <c r="S439"/>
  <c r="M439" s="1"/>
  <c r="S440"/>
  <c r="M440" s="1"/>
  <c r="S441"/>
  <c r="M441" s="1"/>
  <c r="S442"/>
  <c r="M442" s="1"/>
  <c r="S443"/>
  <c r="M443" s="1"/>
  <c r="S444"/>
  <c r="M444" s="1"/>
  <c r="S445"/>
  <c r="M445" s="1"/>
  <c r="S446"/>
  <c r="M446" s="1"/>
  <c r="S447"/>
  <c r="M447" s="1"/>
  <c r="S448"/>
  <c r="M448" s="1"/>
  <c r="S449"/>
  <c r="M449" s="1"/>
  <c r="S450"/>
  <c r="M450" s="1"/>
  <c r="S451"/>
  <c r="M451" s="1"/>
  <c r="S452"/>
  <c r="M452" s="1"/>
  <c r="S453"/>
  <c r="M453" s="1"/>
  <c r="S454"/>
  <c r="M454" s="1"/>
  <c r="S455"/>
  <c r="M455" s="1"/>
  <c r="S456"/>
  <c r="M456" s="1"/>
  <c r="S457"/>
  <c r="M457" s="1"/>
  <c r="S458"/>
  <c r="M458" s="1"/>
  <c r="S459"/>
  <c r="M459" s="1"/>
  <c r="S460"/>
  <c r="M460" s="1"/>
  <c r="S461"/>
  <c r="M461" s="1"/>
  <c r="S462"/>
  <c r="M462" s="1"/>
  <c r="S463"/>
  <c r="M463" s="1"/>
  <c r="S464"/>
  <c r="M464" s="1"/>
  <c r="S465"/>
  <c r="M465" s="1"/>
  <c r="S466"/>
  <c r="M466" s="1"/>
  <c r="S467"/>
  <c r="M467" s="1"/>
  <c r="S468"/>
  <c r="M468" s="1"/>
  <c r="S469"/>
  <c r="M469" s="1"/>
  <c r="S470"/>
  <c r="M470" s="1"/>
  <c r="S471"/>
  <c r="M471" s="1"/>
  <c r="S472"/>
  <c r="M472" s="1"/>
  <c r="S473"/>
  <c r="M473" s="1"/>
  <c r="S474"/>
  <c r="M474" s="1"/>
  <c r="S475"/>
  <c r="M475" s="1"/>
  <c r="S476"/>
  <c r="M476" s="1"/>
  <c r="S477"/>
  <c r="M477" s="1"/>
  <c r="S478"/>
  <c r="M478" s="1"/>
  <c r="S479"/>
  <c r="M479" s="1"/>
  <c r="S480"/>
  <c r="M480" s="1"/>
  <c r="S481"/>
  <c r="M481" s="1"/>
  <c r="S482"/>
  <c r="M482" s="1"/>
  <c r="S483"/>
  <c r="M483" s="1"/>
  <c r="S484"/>
  <c r="M484" s="1"/>
  <c r="S485"/>
  <c r="M485" s="1"/>
  <c r="S486"/>
  <c r="M486" s="1"/>
  <c r="S487"/>
  <c r="M487" s="1"/>
  <c r="S488"/>
  <c r="M488" s="1"/>
  <c r="S489"/>
  <c r="M489" s="1"/>
  <c r="S490"/>
  <c r="M490" s="1"/>
  <c r="S491"/>
  <c r="M491" s="1"/>
  <c r="S492"/>
  <c r="M492" s="1"/>
  <c r="S493"/>
  <c r="M493" s="1"/>
  <c r="S494"/>
  <c r="M494" s="1"/>
  <c r="S495"/>
  <c r="M495" s="1"/>
  <c r="S496"/>
  <c r="M496" s="1"/>
  <c r="S497"/>
  <c r="M497" s="1"/>
  <c r="S498"/>
  <c r="M498" s="1"/>
  <c r="S499"/>
  <c r="M499" s="1"/>
  <c r="S500"/>
  <c r="M500" s="1"/>
  <c r="S501"/>
  <c r="M501" s="1"/>
  <c r="S502"/>
  <c r="M502" s="1"/>
  <c r="S503"/>
  <c r="M503" s="1"/>
  <c r="S504"/>
  <c r="M504" s="1"/>
  <c r="S505"/>
  <c r="M505" s="1"/>
  <c r="S506"/>
  <c r="M506" s="1"/>
  <c r="S507"/>
  <c r="M507" s="1"/>
  <c r="S508"/>
  <c r="M508" s="1"/>
  <c r="S509"/>
  <c r="M509" s="1"/>
  <c r="S510"/>
  <c r="M510" s="1"/>
  <c r="S511"/>
  <c r="M511" s="1"/>
  <c r="S512"/>
  <c r="M512" s="1"/>
  <c r="S513"/>
  <c r="M513" s="1"/>
  <c r="S514"/>
  <c r="M514" s="1"/>
  <c r="S515"/>
  <c r="M515" s="1"/>
  <c r="S516"/>
  <c r="M516" s="1"/>
  <c r="S517"/>
  <c r="M517" s="1"/>
  <c r="S518"/>
  <c r="M518" s="1"/>
  <c r="S519"/>
  <c r="M519" s="1"/>
  <c r="S520"/>
  <c r="M520" s="1"/>
  <c r="S521"/>
  <c r="M521" s="1"/>
  <c r="S522"/>
  <c r="M522" s="1"/>
  <c r="S523"/>
  <c r="M523" s="1"/>
  <c r="S524"/>
  <c r="M524" s="1"/>
  <c r="S525"/>
  <c r="M525" s="1"/>
  <c r="S526"/>
  <c r="M526" s="1"/>
  <c r="S527"/>
  <c r="M527" s="1"/>
  <c r="S528"/>
  <c r="M528" s="1"/>
  <c r="S529"/>
  <c r="M529" s="1"/>
  <c r="S530"/>
  <c r="M530" s="1"/>
  <c r="S531"/>
  <c r="M531" s="1"/>
  <c r="S532"/>
  <c r="M532" s="1"/>
  <c r="S533"/>
  <c r="M533" s="1"/>
  <c r="S534"/>
  <c r="M534" s="1"/>
  <c r="S535"/>
  <c r="M535" s="1"/>
  <c r="S536"/>
  <c r="M536" s="1"/>
  <c r="S537"/>
  <c r="M537" s="1"/>
  <c r="S538"/>
  <c r="M538" s="1"/>
  <c r="S539"/>
  <c r="M539" s="1"/>
  <c r="S540"/>
  <c r="M540" s="1"/>
  <c r="S541"/>
  <c r="M541" s="1"/>
  <c r="S542"/>
  <c r="M542" s="1"/>
  <c r="S543"/>
  <c r="M543" s="1"/>
  <c r="S544"/>
  <c r="M544" s="1"/>
  <c r="S545"/>
  <c r="M545" s="1"/>
  <c r="S546"/>
  <c r="M546" s="1"/>
  <c r="S547"/>
  <c r="M547" s="1"/>
  <c r="S548"/>
  <c r="M548" s="1"/>
  <c r="S549"/>
  <c r="M549" s="1"/>
  <c r="S550"/>
  <c r="M550" s="1"/>
  <c r="S551"/>
  <c r="M551" s="1"/>
  <c r="S552"/>
  <c r="M552" s="1"/>
  <c r="S553"/>
  <c r="M553" s="1"/>
  <c r="S554"/>
  <c r="M554" s="1"/>
  <c r="S555"/>
  <c r="M555" s="1"/>
  <c r="S556"/>
  <c r="M556" s="1"/>
  <c r="S557"/>
  <c r="M557" s="1"/>
  <c r="S558"/>
  <c r="M558" s="1"/>
  <c r="S559"/>
  <c r="M559" s="1"/>
  <c r="S560"/>
  <c r="M560" s="1"/>
  <c r="S561"/>
  <c r="M561" s="1"/>
  <c r="S562"/>
  <c r="M562" s="1"/>
  <c r="S563"/>
  <c r="M563" s="1"/>
  <c r="S564"/>
  <c r="M564" s="1"/>
  <c r="S565"/>
  <c r="M565" s="1"/>
  <c r="S566"/>
  <c r="M566" s="1"/>
  <c r="S567"/>
  <c r="M567" s="1"/>
  <c r="S568"/>
  <c r="M568" s="1"/>
  <c r="S569"/>
  <c r="M569" s="1"/>
  <c r="S570"/>
  <c r="M570" s="1"/>
  <c r="S571"/>
  <c r="M571" s="1"/>
  <c r="S572"/>
  <c r="M572" s="1"/>
  <c r="S573"/>
  <c r="M573" s="1"/>
  <c r="S574"/>
  <c r="M574" s="1"/>
  <c r="S575"/>
  <c r="M575" s="1"/>
  <c r="S576"/>
  <c r="M576" s="1"/>
  <c r="S577"/>
  <c r="M577" s="1"/>
  <c r="S578"/>
  <c r="M578" s="1"/>
  <c r="S579"/>
  <c r="M579" s="1"/>
  <c r="S580"/>
  <c r="M580" s="1"/>
  <c r="S581"/>
  <c r="M581" s="1"/>
  <c r="S582"/>
  <c r="M582" s="1"/>
  <c r="S583"/>
  <c r="M583" s="1"/>
  <c r="S584"/>
  <c r="M584" s="1"/>
  <c r="S585"/>
  <c r="M585" s="1"/>
  <c r="S586"/>
  <c r="M586" s="1"/>
  <c r="S587"/>
  <c r="M587" s="1"/>
  <c r="S588"/>
  <c r="M588" s="1"/>
  <c r="S589"/>
  <c r="M589" s="1"/>
  <c r="S590"/>
  <c r="M590" s="1"/>
  <c r="S591"/>
  <c r="M591" s="1"/>
  <c r="S592"/>
  <c r="M592" s="1"/>
  <c r="S593"/>
  <c r="M593" s="1"/>
  <c r="S594"/>
  <c r="M594" s="1"/>
  <c r="S595"/>
  <c r="M595" s="1"/>
  <c r="S596"/>
  <c r="M596" s="1"/>
  <c r="S597"/>
  <c r="M597" s="1"/>
  <c r="S598"/>
  <c r="M598" s="1"/>
  <c r="S599"/>
  <c r="M599" s="1"/>
  <c r="S600"/>
  <c r="M600" s="1"/>
  <c r="S601"/>
  <c r="M601" s="1"/>
  <c r="S602"/>
  <c r="M602" s="1"/>
  <c r="S603"/>
  <c r="M603" s="1"/>
  <c r="S604"/>
  <c r="M604" s="1"/>
  <c r="S605"/>
  <c r="M605" s="1"/>
  <c r="S606"/>
  <c r="M606" s="1"/>
  <c r="S607"/>
  <c r="M607" s="1"/>
  <c r="S608"/>
  <c r="M608" s="1"/>
  <c r="S609"/>
  <c r="M609" s="1"/>
  <c r="S610"/>
  <c r="M610" s="1"/>
  <c r="S611"/>
  <c r="M611" s="1"/>
  <c r="S612"/>
  <c r="M612" s="1"/>
  <c r="S613"/>
  <c r="M613" s="1"/>
  <c r="S614"/>
  <c r="M614" s="1"/>
  <c r="S615"/>
  <c r="M615" s="1"/>
  <c r="S616"/>
  <c r="M616" s="1"/>
  <c r="S617"/>
  <c r="M617" s="1"/>
  <c r="S618"/>
  <c r="M618" s="1"/>
  <c r="S619"/>
  <c r="M619" s="1"/>
  <c r="S620"/>
  <c r="M620" s="1"/>
  <c r="S621"/>
  <c r="M621" s="1"/>
  <c r="S622"/>
  <c r="M622" s="1"/>
  <c r="S623"/>
  <c r="S624"/>
  <c r="M624" s="1"/>
  <c r="S625"/>
  <c r="M625" s="1"/>
  <c r="S626"/>
  <c r="M626" s="1"/>
  <c r="S627"/>
  <c r="M627" s="1"/>
  <c r="S628"/>
  <c r="M628" s="1"/>
  <c r="S629"/>
  <c r="M629" s="1"/>
  <c r="S630"/>
  <c r="M630" s="1"/>
  <c r="S631"/>
  <c r="M631" s="1"/>
  <c r="S632"/>
  <c r="M632" s="1"/>
  <c r="S633"/>
  <c r="M633" s="1"/>
  <c r="S634"/>
  <c r="M634" s="1"/>
  <c r="S635"/>
  <c r="M635" s="1"/>
  <c r="S636"/>
  <c r="M636" s="1"/>
  <c r="S637"/>
  <c r="M637" s="1"/>
  <c r="S638"/>
  <c r="M638" s="1"/>
  <c r="S639"/>
  <c r="M639" s="1"/>
  <c r="S640"/>
  <c r="M640" s="1"/>
  <c r="S641"/>
  <c r="M641" s="1"/>
  <c r="S642"/>
  <c r="M642" s="1"/>
  <c r="S643"/>
  <c r="M643" s="1"/>
  <c r="S644"/>
  <c r="M644" s="1"/>
  <c r="S645"/>
  <c r="M645" s="1"/>
  <c r="S646"/>
  <c r="M646" s="1"/>
  <c r="S647"/>
  <c r="M647" s="1"/>
  <c r="S648"/>
  <c r="M648" s="1"/>
  <c r="S649"/>
  <c r="M649" s="1"/>
  <c r="S650"/>
  <c r="M650" s="1"/>
  <c r="S651"/>
  <c r="M651" s="1"/>
  <c r="S652"/>
  <c r="M652" s="1"/>
  <c r="S653"/>
  <c r="M653" s="1"/>
  <c r="S654"/>
  <c r="M654" s="1"/>
  <c r="S655"/>
  <c r="M655" s="1"/>
  <c r="S656"/>
  <c r="M656" s="1"/>
  <c r="S657"/>
  <c r="M657" s="1"/>
  <c r="S658"/>
  <c r="M658" s="1"/>
  <c r="S659"/>
  <c r="M659" s="1"/>
  <c r="S660"/>
  <c r="M660" s="1"/>
  <c r="S661"/>
  <c r="M661" s="1"/>
  <c r="S662"/>
  <c r="M662" s="1"/>
  <c r="S663"/>
  <c r="M663" s="1"/>
  <c r="S664"/>
  <c r="M664" s="1"/>
  <c r="S665"/>
  <c r="M665" s="1"/>
  <c r="S666"/>
  <c r="M666" s="1"/>
  <c r="S667"/>
  <c r="M667" s="1"/>
  <c r="S668"/>
  <c r="M668" s="1"/>
  <c r="S669"/>
  <c r="M669" s="1"/>
  <c r="S670"/>
  <c r="M670" s="1"/>
  <c r="S671"/>
  <c r="M671" s="1"/>
  <c r="S672"/>
  <c r="M672" s="1"/>
  <c r="S673"/>
  <c r="M673" s="1"/>
  <c r="S674"/>
  <c r="M674" s="1"/>
  <c r="S675"/>
  <c r="M675" s="1"/>
  <c r="S676"/>
  <c r="M676" s="1"/>
  <c r="S677"/>
  <c r="M677" s="1"/>
  <c r="S678"/>
  <c r="M678" s="1"/>
  <c r="S679"/>
  <c r="M679" s="1"/>
  <c r="S680"/>
  <c r="M680" s="1"/>
  <c r="S681"/>
  <c r="M681" s="1"/>
  <c r="S682"/>
  <c r="M682" s="1"/>
  <c r="S683"/>
  <c r="M683" s="1"/>
  <c r="S684"/>
  <c r="M684" s="1"/>
  <c r="S685"/>
  <c r="M685" s="1"/>
  <c r="S686"/>
  <c r="M686" s="1"/>
  <c r="S687"/>
  <c r="M687" s="1"/>
  <c r="S688"/>
  <c r="M688" s="1"/>
  <c r="S689"/>
  <c r="M689" s="1"/>
  <c r="S690"/>
  <c r="M690" s="1"/>
  <c r="S691"/>
  <c r="M691" s="1"/>
  <c r="S692"/>
  <c r="M692" s="1"/>
  <c r="S693"/>
  <c r="M693" s="1"/>
  <c r="S694"/>
  <c r="M694" s="1"/>
  <c r="S695"/>
  <c r="M695" s="1"/>
  <c r="S696"/>
  <c r="M696" s="1"/>
  <c r="S697"/>
  <c r="M697" s="1"/>
  <c r="S698"/>
  <c r="M698" s="1"/>
  <c r="S699"/>
  <c r="M699" s="1"/>
  <c r="S700"/>
  <c r="M700" s="1"/>
  <c r="S701"/>
  <c r="M701" s="1"/>
  <c r="S702"/>
  <c r="M702" s="1"/>
  <c r="S703"/>
  <c r="M703" s="1"/>
  <c r="S704"/>
  <c r="M704" s="1"/>
  <c r="S705"/>
  <c r="M705" s="1"/>
  <c r="S706"/>
  <c r="M706" s="1"/>
  <c r="S707"/>
  <c r="M707" s="1"/>
  <c r="S708"/>
  <c r="M708" s="1"/>
  <c r="S709"/>
  <c r="M709" s="1"/>
  <c r="S710"/>
  <c r="M710" s="1"/>
  <c r="S711"/>
  <c r="M711" s="1"/>
  <c r="S712"/>
  <c r="M712" s="1"/>
  <c r="S713"/>
  <c r="M713" s="1"/>
  <c r="S714"/>
  <c r="M714" s="1"/>
  <c r="S715"/>
  <c r="M715" s="1"/>
  <c r="S716"/>
  <c r="M716" s="1"/>
  <c r="S717"/>
  <c r="M717" s="1"/>
  <c r="S718"/>
  <c r="M718" s="1"/>
  <c r="S719"/>
  <c r="M719" s="1"/>
  <c r="S720"/>
  <c r="M720" s="1"/>
  <c r="S721"/>
  <c r="M721" s="1"/>
  <c r="S722"/>
  <c r="M722" s="1"/>
  <c r="S723"/>
  <c r="M723" s="1"/>
  <c r="S724"/>
  <c r="M724" s="1"/>
  <c r="S725"/>
  <c r="M725" s="1"/>
  <c r="S726"/>
  <c r="M726" s="1"/>
  <c r="S727"/>
  <c r="M727" s="1"/>
  <c r="S728"/>
  <c r="M728" s="1"/>
  <c r="S729"/>
  <c r="M729" s="1"/>
  <c r="S730"/>
  <c r="M730" s="1"/>
  <c r="S731"/>
  <c r="M731" s="1"/>
  <c r="S732"/>
  <c r="M732" s="1"/>
  <c r="S733"/>
  <c r="M733" s="1"/>
  <c r="S734"/>
  <c r="M734" s="1"/>
  <c r="S735"/>
  <c r="M735" s="1"/>
  <c r="S736"/>
  <c r="M736" s="1"/>
  <c r="S737"/>
  <c r="M737" s="1"/>
  <c r="S738"/>
  <c r="M738" s="1"/>
  <c r="S739"/>
  <c r="M739" s="1"/>
  <c r="S740"/>
  <c r="M740" s="1"/>
  <c r="S741"/>
  <c r="M741" s="1"/>
  <c r="S742"/>
  <c r="M742" s="1"/>
  <c r="S743"/>
  <c r="M743" s="1"/>
  <c r="S744"/>
  <c r="M744" s="1"/>
  <c r="S745"/>
  <c r="M745" s="1"/>
  <c r="S746"/>
  <c r="M746" s="1"/>
  <c r="S747"/>
  <c r="M747" s="1"/>
  <c r="S748"/>
  <c r="M748" s="1"/>
  <c r="S749"/>
  <c r="M749" s="1"/>
  <c r="S750"/>
  <c r="M750" s="1"/>
  <c r="S751"/>
  <c r="M751" s="1"/>
  <c r="S752"/>
  <c r="M752" s="1"/>
  <c r="S753"/>
  <c r="M753" s="1"/>
  <c r="S754"/>
  <c r="M754" s="1"/>
  <c r="S755"/>
  <c r="M755" s="1"/>
  <c r="S756"/>
  <c r="M756" s="1"/>
  <c r="S757"/>
  <c r="M757" s="1"/>
  <c r="S758"/>
  <c r="M758" s="1"/>
  <c r="S759"/>
  <c r="M759" s="1"/>
  <c r="S760"/>
  <c r="M760" s="1"/>
  <c r="S761"/>
  <c r="M761" s="1"/>
  <c r="S762"/>
  <c r="M762" s="1"/>
  <c r="S763"/>
  <c r="M763" s="1"/>
  <c r="S764"/>
  <c r="M764" s="1"/>
  <c r="S765"/>
  <c r="M765" s="1"/>
  <c r="S766"/>
  <c r="M766" s="1"/>
  <c r="S767"/>
  <c r="M767" s="1"/>
  <c r="S768"/>
  <c r="M768" s="1"/>
  <c r="S769"/>
  <c r="M769" s="1"/>
  <c r="S770"/>
  <c r="M770" s="1"/>
  <c r="S771"/>
  <c r="M771" s="1"/>
  <c r="S772"/>
  <c r="M772" s="1"/>
  <c r="S773"/>
  <c r="M773" s="1"/>
  <c r="S774"/>
  <c r="M774" s="1"/>
  <c r="S775"/>
  <c r="M775" s="1"/>
  <c r="S776"/>
  <c r="M776" s="1"/>
  <c r="S777"/>
  <c r="M777" s="1"/>
  <c r="S778"/>
  <c r="M778" s="1"/>
  <c r="S779"/>
  <c r="M779" s="1"/>
  <c r="S780"/>
  <c r="M780" s="1"/>
  <c r="S781"/>
  <c r="M781" s="1"/>
  <c r="S782"/>
  <c r="M782" s="1"/>
  <c r="S783"/>
  <c r="M783" s="1"/>
  <c r="S784"/>
  <c r="M784" s="1"/>
  <c r="S785"/>
  <c r="M785" s="1"/>
  <c r="S786"/>
  <c r="M786" s="1"/>
  <c r="S787"/>
  <c r="M787" s="1"/>
  <c r="S788"/>
  <c r="M788" s="1"/>
  <c r="S789"/>
  <c r="M789" s="1"/>
  <c r="S790"/>
  <c r="M790" s="1"/>
  <c r="S791"/>
  <c r="M791" s="1"/>
  <c r="S792"/>
  <c r="M792" s="1"/>
  <c r="S793"/>
  <c r="M793" s="1"/>
  <c r="S794"/>
  <c r="M794" s="1"/>
  <c r="S795"/>
  <c r="M795" s="1"/>
  <c r="S796"/>
  <c r="M796" s="1"/>
  <c r="S797"/>
  <c r="M797" s="1"/>
  <c r="S798"/>
  <c r="M798" s="1"/>
  <c r="S799"/>
  <c r="M799" s="1"/>
  <c r="S800"/>
  <c r="M800" s="1"/>
  <c r="S801"/>
  <c r="M801" s="1"/>
  <c r="S802"/>
  <c r="M802" s="1"/>
  <c r="S803"/>
  <c r="M803" s="1"/>
  <c r="S804"/>
  <c r="M804" s="1"/>
  <c r="S805"/>
  <c r="M805" s="1"/>
  <c r="S806"/>
  <c r="M806" s="1"/>
  <c r="S807"/>
  <c r="M807" s="1"/>
  <c r="S808"/>
  <c r="M808" s="1"/>
  <c r="S809"/>
  <c r="M809" s="1"/>
  <c r="S810"/>
  <c r="M810" s="1"/>
  <c r="S811"/>
  <c r="M811" s="1"/>
  <c r="S812"/>
  <c r="M812" s="1"/>
  <c r="S813"/>
  <c r="M813" s="1"/>
  <c r="S814"/>
  <c r="M814" s="1"/>
  <c r="S815"/>
  <c r="M815" s="1"/>
  <c r="S816"/>
  <c r="M816" s="1"/>
  <c r="S817"/>
  <c r="M817" s="1"/>
  <c r="S818"/>
  <c r="M818" s="1"/>
  <c r="S819"/>
  <c r="M819" s="1"/>
  <c r="S820"/>
  <c r="M820" s="1"/>
  <c r="S821"/>
  <c r="M821" s="1"/>
  <c r="S822"/>
  <c r="M822" s="1"/>
  <c r="S823"/>
  <c r="M823" s="1"/>
  <c r="S824"/>
  <c r="M824" s="1"/>
  <c r="S825"/>
  <c r="M825" s="1"/>
  <c r="S826"/>
  <c r="M826" s="1"/>
  <c r="S827"/>
  <c r="M827" s="1"/>
  <c r="S828"/>
  <c r="M828" s="1"/>
  <c r="S829"/>
  <c r="M829" s="1"/>
  <c r="S830"/>
  <c r="M830" s="1"/>
  <c r="S831"/>
  <c r="M831" s="1"/>
  <c r="S832"/>
  <c r="M832" s="1"/>
  <c r="S833"/>
  <c r="M833" s="1"/>
  <c r="S834"/>
  <c r="M834" s="1"/>
  <c r="S835"/>
  <c r="M835" s="1"/>
  <c r="S836"/>
  <c r="M836" s="1"/>
  <c r="S837"/>
  <c r="M837" s="1"/>
  <c r="S838"/>
  <c r="M838" s="1"/>
  <c r="S839"/>
  <c r="M839" s="1"/>
  <c r="S840"/>
  <c r="M840" s="1"/>
  <c r="S841"/>
  <c r="M841" s="1"/>
  <c r="S842"/>
  <c r="M842" s="1"/>
  <c r="S843"/>
  <c r="M843" s="1"/>
  <c r="S844"/>
  <c r="M844" s="1"/>
  <c r="S845"/>
  <c r="M845" s="1"/>
  <c r="S846"/>
  <c r="M846" s="1"/>
  <c r="S847"/>
  <c r="M847" s="1"/>
  <c r="S848"/>
  <c r="M848" s="1"/>
  <c r="S849"/>
  <c r="M849" s="1"/>
  <c r="S850"/>
  <c r="M850" s="1"/>
  <c r="S851"/>
  <c r="M851" s="1"/>
  <c r="S852"/>
  <c r="M852" s="1"/>
  <c r="S853"/>
  <c r="M853" s="1"/>
  <c r="S854"/>
  <c r="M854" s="1"/>
  <c r="S855"/>
  <c r="M855" s="1"/>
  <c r="S856"/>
  <c r="M856" s="1"/>
  <c r="S857"/>
  <c r="M857" s="1"/>
  <c r="S858"/>
  <c r="M858" s="1"/>
  <c r="S859"/>
  <c r="M859" s="1"/>
  <c r="S860"/>
  <c r="M860" s="1"/>
  <c r="S861"/>
  <c r="M861" s="1"/>
  <c r="S862"/>
  <c r="M862" s="1"/>
  <c r="S863"/>
  <c r="M863" s="1"/>
  <c r="S864"/>
  <c r="M864" s="1"/>
  <c r="S865"/>
  <c r="M865" s="1"/>
  <c r="S866"/>
  <c r="M866" s="1"/>
  <c r="S867"/>
  <c r="M867" s="1"/>
  <c r="S868"/>
  <c r="M868" s="1"/>
  <c r="S869"/>
  <c r="M869" s="1"/>
  <c r="S870"/>
  <c r="M870" s="1"/>
  <c r="S871"/>
  <c r="M871" s="1"/>
  <c r="S872"/>
  <c r="M872" s="1"/>
  <c r="S873"/>
  <c r="M873" s="1"/>
  <c r="S874"/>
  <c r="M874" s="1"/>
  <c r="S875"/>
  <c r="M875" s="1"/>
  <c r="S876"/>
  <c r="M876" s="1"/>
  <c r="S877"/>
  <c r="M877" s="1"/>
  <c r="S878"/>
  <c r="M878" s="1"/>
  <c r="S879"/>
  <c r="M879" s="1"/>
  <c r="S880"/>
  <c r="M880" s="1"/>
  <c r="S881"/>
  <c r="M881" s="1"/>
  <c r="S882"/>
  <c r="M882" s="1"/>
  <c r="S883"/>
  <c r="M883" s="1"/>
  <c r="S884"/>
  <c r="M884" s="1"/>
  <c r="S885"/>
  <c r="M885" s="1"/>
  <c r="S886"/>
  <c r="M886" s="1"/>
  <c r="S887"/>
  <c r="M887" s="1"/>
  <c r="S888"/>
  <c r="M888" s="1"/>
  <c r="S889"/>
  <c r="M889" s="1"/>
  <c r="S890"/>
  <c r="M890" s="1"/>
  <c r="S891"/>
  <c r="M891" s="1"/>
  <c r="S892"/>
  <c r="M892" s="1"/>
  <c r="S893"/>
  <c r="M893" s="1"/>
  <c r="S894"/>
  <c r="M894" s="1"/>
  <c r="S895"/>
  <c r="M895" s="1"/>
  <c r="S896"/>
  <c r="M896" s="1"/>
  <c r="S897"/>
  <c r="M897" s="1"/>
  <c r="S898"/>
  <c r="M898" s="1"/>
  <c r="S899"/>
  <c r="M899" s="1"/>
  <c r="S900"/>
  <c r="M900" s="1"/>
  <c r="S901"/>
  <c r="M901" s="1"/>
  <c r="S902"/>
  <c r="M902" s="1"/>
  <c r="S903"/>
  <c r="M903" s="1"/>
  <c r="S904"/>
  <c r="M904" s="1"/>
  <c r="S905"/>
  <c r="M905" s="1"/>
  <c r="S906"/>
  <c r="M906" s="1"/>
  <c r="S907"/>
  <c r="M907" s="1"/>
  <c r="S908"/>
  <c r="M908" s="1"/>
  <c r="S909"/>
  <c r="M909" s="1"/>
  <c r="S910"/>
  <c r="M910" s="1"/>
  <c r="S911"/>
  <c r="M911" s="1"/>
  <c r="S912"/>
  <c r="M912" s="1"/>
  <c r="S913"/>
  <c r="M913" s="1"/>
  <c r="S914"/>
  <c r="M914" s="1"/>
  <c r="S915"/>
  <c r="M915" s="1"/>
  <c r="S916"/>
  <c r="M916" s="1"/>
  <c r="S917"/>
  <c r="M917" s="1"/>
  <c r="S918"/>
  <c r="M918" s="1"/>
  <c r="S919"/>
  <c r="M919" s="1"/>
  <c r="S920"/>
  <c r="M920" s="1"/>
  <c r="S921"/>
  <c r="M921" s="1"/>
  <c r="S922"/>
  <c r="M922" s="1"/>
  <c r="S923"/>
  <c r="M923" s="1"/>
  <c r="S924"/>
  <c r="M924" s="1"/>
  <c r="S925"/>
  <c r="M925" s="1"/>
  <c r="S926"/>
  <c r="M926" s="1"/>
  <c r="S927"/>
  <c r="M927" s="1"/>
  <c r="S928"/>
  <c r="M928" s="1"/>
  <c r="S929"/>
  <c r="M929" s="1"/>
  <c r="S930"/>
  <c r="M930" s="1"/>
  <c r="S931"/>
  <c r="M931" s="1"/>
  <c r="S932"/>
  <c r="M932" s="1"/>
  <c r="S933"/>
  <c r="M933" s="1"/>
  <c r="S934"/>
  <c r="M934" s="1"/>
  <c r="S935"/>
  <c r="M935" s="1"/>
  <c r="S936"/>
  <c r="M936" s="1"/>
  <c r="S937"/>
  <c r="M937" s="1"/>
  <c r="S938"/>
  <c r="M938" s="1"/>
  <c r="S939"/>
  <c r="M939" s="1"/>
  <c r="S940"/>
  <c r="M940" s="1"/>
  <c r="S941"/>
  <c r="M941" s="1"/>
  <c r="S942"/>
  <c r="M942" s="1"/>
  <c r="S943"/>
  <c r="M943" s="1"/>
  <c r="S944"/>
  <c r="M944" s="1"/>
  <c r="S945"/>
  <c r="M945" s="1"/>
  <c r="S946"/>
  <c r="M946" s="1"/>
  <c r="S947"/>
  <c r="M947" s="1"/>
  <c r="S948"/>
  <c r="M948" s="1"/>
  <c r="S949"/>
  <c r="M949" s="1"/>
  <c r="S950"/>
  <c r="M950" s="1"/>
  <c r="S951"/>
  <c r="M951" s="1"/>
  <c r="S952"/>
  <c r="M952" s="1"/>
  <c r="S953"/>
  <c r="M953" s="1"/>
  <c r="S954"/>
  <c r="M954" s="1"/>
  <c r="S955"/>
  <c r="M955" s="1"/>
  <c r="S956"/>
  <c r="M956" s="1"/>
  <c r="S957"/>
  <c r="M957" s="1"/>
  <c r="S958"/>
  <c r="M958" s="1"/>
  <c r="S959"/>
  <c r="M959" s="1"/>
  <c r="S960"/>
  <c r="M960" s="1"/>
  <c r="S961"/>
  <c r="M961" s="1"/>
  <c r="S962"/>
  <c r="M962" s="1"/>
  <c r="S963"/>
  <c r="M963" s="1"/>
  <c r="S964"/>
  <c r="M964" s="1"/>
  <c r="S965"/>
  <c r="M965" s="1"/>
  <c r="S966"/>
  <c r="M966" s="1"/>
  <c r="S967"/>
  <c r="M967" s="1"/>
  <c r="S968"/>
  <c r="M968" s="1"/>
  <c r="S969"/>
  <c r="M969" s="1"/>
  <c r="S970"/>
  <c r="M970" s="1"/>
  <c r="S971"/>
  <c r="M971" s="1"/>
  <c r="S972"/>
  <c r="M972" s="1"/>
  <c r="S973"/>
  <c r="M973" s="1"/>
  <c r="S974"/>
  <c r="M974" s="1"/>
  <c r="S975"/>
  <c r="M975" s="1"/>
  <c r="S976"/>
  <c r="M976" s="1"/>
  <c r="S977"/>
  <c r="M977" s="1"/>
  <c r="S978"/>
  <c r="M978" s="1"/>
  <c r="S979"/>
  <c r="M979" s="1"/>
  <c r="S980"/>
  <c r="M980" s="1"/>
  <c r="S981"/>
  <c r="M981" s="1"/>
  <c r="S982"/>
  <c r="M982" s="1"/>
  <c r="S983"/>
  <c r="M983" s="1"/>
  <c r="S984"/>
  <c r="M984" s="1"/>
  <c r="S985"/>
  <c r="M985" s="1"/>
  <c r="S986"/>
  <c r="M986" s="1"/>
  <c r="S987"/>
  <c r="M987" s="1"/>
  <c r="S988"/>
  <c r="M988" s="1"/>
  <c r="S989"/>
  <c r="M989" s="1"/>
  <c r="S990"/>
  <c r="M990" s="1"/>
  <c r="S991"/>
  <c r="M991" s="1"/>
  <c r="S992"/>
  <c r="M992" s="1"/>
  <c r="S993"/>
  <c r="M993" s="1"/>
  <c r="S994"/>
  <c r="M994" s="1"/>
  <c r="S995"/>
  <c r="M995" s="1"/>
  <c r="S996"/>
  <c r="M996" s="1"/>
  <c r="S997"/>
  <c r="M997" s="1"/>
  <c r="S998"/>
  <c r="M998" s="1"/>
  <c r="S999"/>
  <c r="M999" s="1"/>
  <c r="S1000"/>
  <c r="M1000" s="1"/>
  <c r="S1001"/>
  <c r="M1001" s="1"/>
  <c r="S1002"/>
  <c r="M1002" s="1"/>
  <c r="S1003"/>
  <c r="M1003" s="1"/>
  <c r="S1004"/>
  <c r="M1004" s="1"/>
  <c r="S1005"/>
  <c r="M1005" s="1"/>
  <c r="S1006"/>
  <c r="M1006" s="1"/>
  <c r="S1007"/>
  <c r="M1007" s="1"/>
  <c r="S1008"/>
  <c r="M1008" s="1"/>
  <c r="S1009"/>
  <c r="M1009" s="1"/>
  <c r="S1010"/>
  <c r="M1010" s="1"/>
  <c r="S1011"/>
  <c r="M1011" s="1"/>
  <c r="S1012"/>
  <c r="M1012" s="1"/>
  <c r="S1013"/>
  <c r="M1013" s="1"/>
  <c r="S1014"/>
  <c r="M1014" s="1"/>
  <c r="S1015"/>
  <c r="M1015" s="1"/>
  <c r="S1016"/>
  <c r="M1016" s="1"/>
  <c r="S1017"/>
  <c r="M1017" s="1"/>
  <c r="S1018"/>
  <c r="M1018" s="1"/>
  <c r="S1019"/>
  <c r="M1019" s="1"/>
  <c r="S1020"/>
  <c r="M1020" s="1"/>
  <c r="S1021"/>
  <c r="M1021" s="1"/>
  <c r="S1022"/>
  <c r="M1022" s="1"/>
  <c r="S1023"/>
  <c r="M1023" s="1"/>
  <c r="S1024"/>
  <c r="M1024" s="1"/>
  <c r="S1025"/>
  <c r="M1025" s="1"/>
  <c r="S1026"/>
  <c r="M1026" s="1"/>
  <c r="S1027"/>
  <c r="M1027" s="1"/>
  <c r="S1028"/>
  <c r="M1028" s="1"/>
  <c r="S1029"/>
  <c r="M1029" s="1"/>
  <c r="S1030"/>
  <c r="M1030" s="1"/>
  <c r="S1031"/>
  <c r="M1031" s="1"/>
  <c r="S1032"/>
  <c r="M1032" s="1"/>
  <c r="S1033"/>
  <c r="M1033" s="1"/>
  <c r="S1034"/>
  <c r="M1034" s="1"/>
  <c r="S1035"/>
  <c r="M1035" s="1"/>
  <c r="S1036"/>
  <c r="M1036" s="1"/>
  <c r="S1037"/>
  <c r="M1037" s="1"/>
  <c r="S1038"/>
  <c r="M1038" s="1"/>
  <c r="S1039"/>
  <c r="M1039" s="1"/>
  <c r="S1040"/>
  <c r="M1040" s="1"/>
  <c r="S1041"/>
  <c r="M1041" s="1"/>
  <c r="S1042"/>
  <c r="M1042" s="1"/>
  <c r="S1043"/>
  <c r="M1043" s="1"/>
  <c r="S1044"/>
  <c r="M1044" s="1"/>
  <c r="S1045"/>
  <c r="M1045" s="1"/>
  <c r="S1046"/>
  <c r="M1046" s="1"/>
  <c r="S1047"/>
  <c r="M1047" s="1"/>
  <c r="S1048"/>
  <c r="M1048" s="1"/>
  <c r="S1049"/>
  <c r="M1049" s="1"/>
  <c r="S1050"/>
  <c r="M1050" s="1"/>
  <c r="S1051"/>
  <c r="M1051" s="1"/>
  <c r="S1052"/>
  <c r="M1052" s="1"/>
  <c r="S1053"/>
  <c r="M1053" s="1"/>
  <c r="S1054"/>
  <c r="M1054" s="1"/>
  <c r="S1055"/>
  <c r="M1055" s="1"/>
  <c r="S1056"/>
  <c r="M1056" s="1"/>
  <c r="S1057"/>
  <c r="M1057" s="1"/>
  <c r="S1058"/>
  <c r="M1058" s="1"/>
  <c r="S1059"/>
  <c r="M1059" s="1"/>
  <c r="S1060"/>
  <c r="M1060" s="1"/>
  <c r="S1061"/>
  <c r="M1061" s="1"/>
  <c r="S1062"/>
  <c r="M1062" s="1"/>
  <c r="S1063"/>
  <c r="M1063" s="1"/>
  <c r="S1064"/>
  <c r="M1064" s="1"/>
  <c r="S1065"/>
  <c r="M1065" s="1"/>
  <c r="S1066"/>
  <c r="M1066" s="1"/>
  <c r="S1067"/>
  <c r="M1067" s="1"/>
  <c r="S1068"/>
  <c r="M1068" s="1"/>
  <c r="S1069"/>
  <c r="M1069" s="1"/>
  <c r="S1070"/>
  <c r="M1070" s="1"/>
  <c r="S1071"/>
  <c r="M1071" s="1"/>
  <c r="S1072"/>
  <c r="M1072" s="1"/>
  <c r="S1073"/>
  <c r="M1073" s="1"/>
  <c r="S1074"/>
  <c r="M1074" s="1"/>
  <c r="S1075"/>
  <c r="M1075" s="1"/>
  <c r="S1076"/>
  <c r="M1076" s="1"/>
  <c r="S1077"/>
  <c r="M1077" s="1"/>
  <c r="S1078"/>
  <c r="M1078" s="1"/>
  <c r="S1079"/>
  <c r="M1079" s="1"/>
  <c r="S1080"/>
  <c r="M1080" s="1"/>
  <c r="S1081"/>
  <c r="M1081" s="1"/>
  <c r="S1082"/>
  <c r="M1082" s="1"/>
  <c r="S1083"/>
  <c r="M1083" s="1"/>
  <c r="S1084"/>
  <c r="M1084" s="1"/>
  <c r="S1085"/>
  <c r="M1085" s="1"/>
  <c r="S1086"/>
  <c r="M1086" s="1"/>
  <c r="S1087"/>
  <c r="M1087" s="1"/>
  <c r="S1088"/>
  <c r="M1088" s="1"/>
  <c r="S1089"/>
  <c r="M1089" s="1"/>
  <c r="S1090"/>
  <c r="M1090" s="1"/>
  <c r="S1091"/>
  <c r="M1091" s="1"/>
  <c r="S1092"/>
  <c r="M1092" s="1"/>
  <c r="S1093"/>
  <c r="M1093" s="1"/>
  <c r="S1094"/>
  <c r="M1094" s="1"/>
  <c r="S1095"/>
  <c r="M1095" s="1"/>
  <c r="S1096"/>
  <c r="M1096" s="1"/>
  <c r="S1097"/>
  <c r="M1097" s="1"/>
  <c r="S1098"/>
  <c r="M1098" s="1"/>
  <c r="S1099"/>
  <c r="M1099" s="1"/>
  <c r="S1100"/>
  <c r="M1100" s="1"/>
  <c r="S1101"/>
  <c r="M1101" s="1"/>
  <c r="S1102"/>
  <c r="M1102" s="1"/>
  <c r="S1103"/>
  <c r="M1103" s="1"/>
  <c r="S1104"/>
  <c r="M1104" s="1"/>
  <c r="S1105"/>
  <c r="M1105" s="1"/>
  <c r="S1106"/>
  <c r="M1106" s="1"/>
  <c r="S1107"/>
  <c r="M1107" s="1"/>
  <c r="S1108"/>
  <c r="M1108" s="1"/>
  <c r="S1109"/>
  <c r="M1109" s="1"/>
  <c r="S1110"/>
  <c r="M1110" s="1"/>
  <c r="S1111"/>
  <c r="M1111" s="1"/>
  <c r="S1112"/>
  <c r="M1112" s="1"/>
  <c r="S1113"/>
  <c r="M1113" s="1"/>
  <c r="S1114"/>
  <c r="M1114" s="1"/>
  <c r="S1115"/>
  <c r="M1115" s="1"/>
  <c r="S1116"/>
  <c r="M1116" s="1"/>
  <c r="S1117"/>
  <c r="M1117" s="1"/>
  <c r="S1118"/>
  <c r="M1118" s="1"/>
  <c r="S1119"/>
  <c r="M1119" s="1"/>
  <c r="S1120"/>
  <c r="M1120" s="1"/>
  <c r="S1121"/>
  <c r="M1121" s="1"/>
  <c r="S1122"/>
  <c r="M1122" s="1"/>
  <c r="S1123"/>
  <c r="M1123" s="1"/>
  <c r="S1124"/>
  <c r="M1124" s="1"/>
  <c r="S1125"/>
  <c r="M1125" s="1"/>
  <c r="S1126"/>
  <c r="M1126" s="1"/>
  <c r="S1127"/>
  <c r="M1127" s="1"/>
  <c r="S1128"/>
  <c r="M1128" s="1"/>
  <c r="S1129"/>
  <c r="M1129" s="1"/>
  <c r="S1130"/>
  <c r="M1130" s="1"/>
  <c r="S1131"/>
  <c r="M1131" s="1"/>
  <c r="S1132"/>
  <c r="M1132" s="1"/>
  <c r="S1133"/>
  <c r="M1133" s="1"/>
  <c r="S1134"/>
  <c r="M1134" s="1"/>
  <c r="S1135"/>
  <c r="M1135" s="1"/>
  <c r="S1136"/>
  <c r="M1136" s="1"/>
  <c r="S1137"/>
  <c r="M1137" s="1"/>
  <c r="S1138"/>
  <c r="M1138" s="1"/>
  <c r="S1139"/>
  <c r="M1139" s="1"/>
  <c r="S1140"/>
  <c r="M1140" s="1"/>
  <c r="S1141"/>
  <c r="M1141" s="1"/>
  <c r="S1142"/>
  <c r="M1142" s="1"/>
  <c r="S1143"/>
  <c r="M1143" s="1"/>
  <c r="S1144"/>
  <c r="M1144" s="1"/>
  <c r="S1145"/>
  <c r="M1145" s="1"/>
  <c r="S1146"/>
  <c r="M1146" s="1"/>
  <c r="S1147"/>
  <c r="M1147" s="1"/>
  <c r="S1148"/>
  <c r="M1148" s="1"/>
  <c r="S1149"/>
  <c r="M1149" s="1"/>
  <c r="S1150"/>
  <c r="M1150" s="1"/>
  <c r="S1151"/>
  <c r="M1151" s="1"/>
  <c r="S1152"/>
  <c r="M1152" s="1"/>
  <c r="S1153"/>
  <c r="M1153" s="1"/>
  <c r="S1154"/>
  <c r="M1154" s="1"/>
  <c r="S1155"/>
  <c r="M1155" s="1"/>
  <c r="S1156"/>
  <c r="M1156" s="1"/>
  <c r="S1157"/>
  <c r="M1157" s="1"/>
  <c r="S1158"/>
  <c r="M1158" s="1"/>
  <c r="S1159"/>
  <c r="M1159" s="1"/>
  <c r="S1160"/>
  <c r="M1160" s="1"/>
  <c r="S1161"/>
  <c r="M1161" s="1"/>
  <c r="S1162"/>
  <c r="M1162" s="1"/>
  <c r="S1163"/>
  <c r="M1163" s="1"/>
  <c r="S1164"/>
  <c r="M1164" s="1"/>
  <c r="S1165"/>
  <c r="M1165" s="1"/>
  <c r="S1166"/>
  <c r="M1166" s="1"/>
  <c r="S1167"/>
  <c r="M1167" s="1"/>
  <c r="S1168"/>
  <c r="M1168" s="1"/>
  <c r="S1169"/>
  <c r="M1169" s="1"/>
  <c r="S1170"/>
  <c r="M1170" s="1"/>
  <c r="S1171"/>
  <c r="M1171" s="1"/>
  <c r="S1172"/>
  <c r="M1172" s="1"/>
  <c r="S1173"/>
  <c r="M1173" s="1"/>
  <c r="S1174"/>
  <c r="M1174" s="1"/>
  <c r="S1175"/>
  <c r="M1175" s="1"/>
  <c r="S1176"/>
  <c r="M1176" s="1"/>
  <c r="S1177"/>
  <c r="M1177" s="1"/>
  <c r="S1178"/>
  <c r="M1178" s="1"/>
  <c r="S1179"/>
  <c r="M1179" s="1"/>
  <c r="S1180"/>
  <c r="M1180" s="1"/>
  <c r="S1181"/>
  <c r="M1181" s="1"/>
  <c r="S1182"/>
  <c r="M1182" s="1"/>
  <c r="S1183"/>
  <c r="M1183" s="1"/>
  <c r="S1184"/>
  <c r="M1184" s="1"/>
  <c r="S1185"/>
  <c r="M1185" s="1"/>
  <c r="S1186"/>
  <c r="M1186" s="1"/>
  <c r="S1187"/>
  <c r="M1187" s="1"/>
  <c r="S1188"/>
  <c r="M1188" s="1"/>
  <c r="S1189"/>
  <c r="M1189" s="1"/>
  <c r="S1190"/>
  <c r="M1190" s="1"/>
  <c r="S1191"/>
  <c r="M1191" s="1"/>
  <c r="S1192"/>
  <c r="M1192" s="1"/>
  <c r="S1193"/>
  <c r="M1193" s="1"/>
  <c r="S1194"/>
  <c r="M1194" s="1"/>
  <c r="S1195"/>
  <c r="M1195" s="1"/>
  <c r="S1196"/>
  <c r="M1196" s="1"/>
  <c r="S1197"/>
  <c r="M1197" s="1"/>
  <c r="S1198"/>
  <c r="M1198" s="1"/>
  <c r="S1199"/>
  <c r="M1199" s="1"/>
  <c r="S1200"/>
  <c r="M1200" s="1"/>
  <c r="S1201"/>
  <c r="M1201" s="1"/>
  <c r="S1202"/>
  <c r="M1202" s="1"/>
  <c r="S1203"/>
  <c r="M1203" s="1"/>
  <c r="S1204"/>
  <c r="M1204" s="1"/>
  <c r="S1205"/>
  <c r="M1205" s="1"/>
  <c r="S1206"/>
  <c r="M1206" s="1"/>
  <c r="S1207"/>
  <c r="M1207" s="1"/>
  <c r="S1208"/>
  <c r="M1208" s="1"/>
  <c r="S1209"/>
  <c r="M1209" s="1"/>
  <c r="S1210"/>
  <c r="M1210" s="1"/>
  <c r="S1211"/>
  <c r="M1211" s="1"/>
  <c r="S1212"/>
  <c r="M1212" s="1"/>
  <c r="S1213"/>
  <c r="M1213" s="1"/>
  <c r="S1214"/>
  <c r="M1214" s="1"/>
  <c r="S1215"/>
  <c r="M1215" s="1"/>
  <c r="S1216"/>
  <c r="M1216" s="1"/>
  <c r="S1217"/>
  <c r="M1217" s="1"/>
  <c r="S1218"/>
  <c r="M1218" s="1"/>
  <c r="S1219"/>
  <c r="M1219" s="1"/>
  <c r="S1220"/>
  <c r="M1220" s="1"/>
  <c r="S1221"/>
  <c r="M1221" s="1"/>
  <c r="S1222"/>
  <c r="M1222" s="1"/>
  <c r="S1223"/>
  <c r="M1223" s="1"/>
  <c r="S1224"/>
  <c r="M1224" s="1"/>
  <c r="S1225"/>
  <c r="M1225" s="1"/>
  <c r="S1226"/>
  <c r="M1226" s="1"/>
  <c r="S1227"/>
  <c r="M1227" s="1"/>
  <c r="S1228"/>
  <c r="M1228" s="1"/>
  <c r="S1229"/>
  <c r="M1229" s="1"/>
  <c r="S1230"/>
  <c r="M1230" s="1"/>
  <c r="S1231"/>
  <c r="M1231" s="1"/>
  <c r="S1232"/>
  <c r="M1232" s="1"/>
  <c r="S1233"/>
  <c r="M1233" s="1"/>
  <c r="S1234"/>
  <c r="M1234" s="1"/>
  <c r="S1235"/>
  <c r="M1235" s="1"/>
  <c r="S1236"/>
  <c r="M1236" s="1"/>
  <c r="S1237"/>
  <c r="M1237" s="1"/>
  <c r="S1238"/>
  <c r="M1238" s="1"/>
  <c r="S1239"/>
  <c r="M1239" s="1"/>
  <c r="S1240"/>
  <c r="M1240" s="1"/>
  <c r="S1241"/>
  <c r="M1241" s="1"/>
  <c r="S1242"/>
  <c r="M1242" s="1"/>
  <c r="S1243"/>
  <c r="M1243" s="1"/>
  <c r="S1244"/>
  <c r="M1244" s="1"/>
  <c r="S1245"/>
  <c r="M1245" s="1"/>
  <c r="S1246"/>
  <c r="M1246" s="1"/>
  <c r="S1247"/>
  <c r="M1247" s="1"/>
  <c r="S1248"/>
  <c r="M1248" s="1"/>
  <c r="S1249"/>
  <c r="M1249" s="1"/>
  <c r="S1250"/>
  <c r="M1250" s="1"/>
  <c r="S1251"/>
  <c r="M1251" s="1"/>
  <c r="S1252"/>
  <c r="M1252" s="1"/>
  <c r="S1253"/>
  <c r="M1253" s="1"/>
  <c r="S1254"/>
  <c r="M1254" s="1"/>
  <c r="S1255"/>
  <c r="M1255" s="1"/>
  <c r="S1256"/>
  <c r="M1256" s="1"/>
  <c r="S1257"/>
  <c r="M1257" s="1"/>
  <c r="S1258"/>
  <c r="M1258" s="1"/>
  <c r="S1259"/>
  <c r="M1259" s="1"/>
  <c r="S1260"/>
  <c r="M1260" s="1"/>
  <c r="S1261"/>
  <c r="M1261" s="1"/>
  <c r="S1262"/>
  <c r="M1262" s="1"/>
  <c r="S1263"/>
  <c r="M1263" s="1"/>
  <c r="S1264"/>
  <c r="M1264" s="1"/>
  <c r="S1265"/>
  <c r="M1265" s="1"/>
  <c r="S1266"/>
  <c r="M1266" s="1"/>
  <c r="S1267"/>
  <c r="M1267" s="1"/>
  <c r="S1268"/>
  <c r="M1268" s="1"/>
  <c r="S1269"/>
  <c r="M1269" s="1"/>
  <c r="S1270"/>
  <c r="M1270" s="1"/>
  <c r="S1271"/>
  <c r="M1271" s="1"/>
  <c r="S1272"/>
  <c r="M1272" s="1"/>
  <c r="S1273"/>
  <c r="M1273" s="1"/>
  <c r="S1274"/>
  <c r="M1274" s="1"/>
  <c r="S1275"/>
  <c r="M1275" s="1"/>
  <c r="S1276"/>
  <c r="M1276" s="1"/>
  <c r="S1277"/>
  <c r="M1277" s="1"/>
  <c r="S1278"/>
  <c r="M1278" s="1"/>
  <c r="S1279"/>
  <c r="M1279" s="1"/>
  <c r="S1280"/>
  <c r="M1280" s="1"/>
  <c r="S1281"/>
  <c r="M1281" s="1"/>
  <c r="S1282"/>
  <c r="M1282" s="1"/>
  <c r="S1283"/>
  <c r="M1283" s="1"/>
  <c r="S1284"/>
  <c r="M1284" s="1"/>
  <c r="S1285"/>
  <c r="M1285" s="1"/>
  <c r="S1286"/>
  <c r="M1286" s="1"/>
  <c r="S1287"/>
  <c r="M1287" s="1"/>
  <c r="S1288"/>
  <c r="M1288" s="1"/>
  <c r="S1289"/>
  <c r="M1289" s="1"/>
  <c r="S1290"/>
  <c r="M1290" s="1"/>
  <c r="S1291"/>
  <c r="M1291" s="1"/>
  <c r="S1292"/>
  <c r="M1292" s="1"/>
  <c r="S1293"/>
  <c r="M1293" s="1"/>
  <c r="S1294"/>
  <c r="M1294" s="1"/>
  <c r="S1295"/>
  <c r="M1295" s="1"/>
  <c r="S1296"/>
  <c r="M1296" s="1"/>
  <c r="S1297"/>
  <c r="M1297" s="1"/>
  <c r="S1298"/>
  <c r="M1298" s="1"/>
  <c r="S1299"/>
  <c r="M1299" s="1"/>
  <c r="S1300"/>
  <c r="M1300" s="1"/>
  <c r="S1301"/>
  <c r="M1301" s="1"/>
  <c r="S1302"/>
  <c r="M1302" s="1"/>
  <c r="S1303"/>
  <c r="M1303" s="1"/>
  <c r="S1304"/>
  <c r="M1304" s="1"/>
  <c r="S1305"/>
  <c r="M1305" s="1"/>
  <c r="S1306"/>
  <c r="M1306" s="1"/>
  <c r="S1307"/>
  <c r="M1307" s="1"/>
  <c r="S1308"/>
  <c r="M1308" s="1"/>
  <c r="S1309"/>
  <c r="M1309" s="1"/>
  <c r="S1310"/>
  <c r="M1310" s="1"/>
  <c r="S1311"/>
  <c r="M1311" s="1"/>
  <c r="S1312"/>
  <c r="M1312" s="1"/>
  <c r="S1313"/>
  <c r="M1313" s="1"/>
  <c r="S1314"/>
  <c r="M1314" s="1"/>
  <c r="S1315"/>
  <c r="M1315" s="1"/>
  <c r="S1316"/>
  <c r="M1316" s="1"/>
  <c r="S1317"/>
  <c r="M1317" s="1"/>
  <c r="S1318"/>
  <c r="M1318" s="1"/>
  <c r="S1319"/>
  <c r="M1319" s="1"/>
  <c r="S1320"/>
  <c r="M1320" s="1"/>
  <c r="S1321"/>
  <c r="M1321" s="1"/>
  <c r="S1322"/>
  <c r="M1322" s="1"/>
  <c r="S1323"/>
  <c r="M1323" s="1"/>
  <c r="S1324"/>
  <c r="M1324" s="1"/>
  <c r="S1325"/>
  <c r="M1325" s="1"/>
  <c r="S1326"/>
  <c r="M1326" s="1"/>
  <c r="S1327"/>
  <c r="M1327" s="1"/>
  <c r="S1328"/>
  <c r="M1328" s="1"/>
  <c r="S1329"/>
  <c r="M1329" s="1"/>
  <c r="S1330"/>
  <c r="M1330" s="1"/>
  <c r="S1331"/>
  <c r="M1331" s="1"/>
  <c r="S1332"/>
  <c r="M1332" s="1"/>
  <c r="S1333"/>
  <c r="M1333" s="1"/>
  <c r="S1334"/>
  <c r="M1334" s="1"/>
  <c r="S1335"/>
  <c r="M1335" s="1"/>
  <c r="S1336"/>
  <c r="M1336" s="1"/>
  <c r="S1337"/>
  <c r="M1337" s="1"/>
  <c r="S1338"/>
  <c r="M1338" s="1"/>
  <c r="S1339"/>
  <c r="M1339" s="1"/>
  <c r="S1340"/>
  <c r="M1340" s="1"/>
  <c r="S1341"/>
  <c r="M1341" s="1"/>
  <c r="S1342"/>
  <c r="M1342" s="1"/>
  <c r="S1343"/>
  <c r="M1343" s="1"/>
  <c r="S1344"/>
  <c r="M1344" s="1"/>
  <c r="S1345"/>
  <c r="M1345" s="1"/>
  <c r="S1346"/>
  <c r="M1346" s="1"/>
  <c r="S1347"/>
  <c r="M1347" s="1"/>
  <c r="S1348"/>
  <c r="M1348" s="1"/>
  <c r="S1349"/>
  <c r="M1349" s="1"/>
  <c r="S1350"/>
  <c r="M1350" s="1"/>
  <c r="S1351"/>
  <c r="M1351" s="1"/>
  <c r="S1352"/>
  <c r="M1352" s="1"/>
  <c r="S1353"/>
  <c r="M1353" s="1"/>
  <c r="S1354"/>
  <c r="M1354" s="1"/>
  <c r="S1355"/>
  <c r="M1355" s="1"/>
  <c r="S1356"/>
  <c r="M1356" s="1"/>
  <c r="S1357"/>
  <c r="M1357" s="1"/>
  <c r="S1358"/>
  <c r="M1358" s="1"/>
  <c r="S1359"/>
  <c r="M1359" s="1"/>
  <c r="S1360"/>
  <c r="M1360" s="1"/>
  <c r="S1361"/>
  <c r="M1361" s="1"/>
  <c r="S1362"/>
  <c r="M1362" s="1"/>
  <c r="S1363"/>
  <c r="M1363" s="1"/>
  <c r="S1364"/>
  <c r="M1364" s="1"/>
  <c r="S1365"/>
  <c r="M1365" s="1"/>
  <c r="S1366"/>
  <c r="M1366" s="1"/>
  <c r="S1367"/>
  <c r="M1367" s="1"/>
  <c r="S1368"/>
  <c r="M1368" s="1"/>
  <c r="S1369"/>
  <c r="M1369" s="1"/>
  <c r="S1370"/>
  <c r="M1370" s="1"/>
  <c r="S1371"/>
  <c r="M1371" s="1"/>
  <c r="S1372"/>
  <c r="M1372" s="1"/>
  <c r="S1373"/>
  <c r="M1373" s="1"/>
  <c r="S1374"/>
  <c r="M1374" s="1"/>
  <c r="S1375"/>
  <c r="M1375" s="1"/>
  <c r="S1376"/>
  <c r="M1376" s="1"/>
  <c r="S1377"/>
  <c r="M1377" s="1"/>
  <c r="S1378"/>
  <c r="M1378" s="1"/>
  <c r="S1379"/>
  <c r="M1379" s="1"/>
  <c r="S1380"/>
  <c r="M1380" s="1"/>
  <c r="S1381"/>
  <c r="M1381" s="1"/>
  <c r="S1382"/>
  <c r="M1382" s="1"/>
  <c r="S1383"/>
  <c r="M1383" s="1"/>
  <c r="S1384"/>
  <c r="M1384" s="1"/>
  <c r="S1385"/>
  <c r="M1385" s="1"/>
  <c r="S1386"/>
  <c r="M1386" s="1"/>
  <c r="S1387"/>
  <c r="M1387" s="1"/>
  <c r="S1388"/>
  <c r="M1388" s="1"/>
  <c r="S1389"/>
  <c r="M1389" s="1"/>
  <c r="S1390"/>
  <c r="M1390" s="1"/>
  <c r="S1391"/>
  <c r="M1391" s="1"/>
  <c r="S1392"/>
  <c r="M1392" s="1"/>
  <c r="S1393"/>
  <c r="M1393" s="1"/>
  <c r="S1394"/>
  <c r="M1394" s="1"/>
  <c r="S1395"/>
  <c r="M1395" s="1"/>
  <c r="S1396"/>
  <c r="M1396" s="1"/>
  <c r="S1397"/>
  <c r="M1397" s="1"/>
  <c r="S1398"/>
  <c r="M1398" s="1"/>
  <c r="S1399"/>
  <c r="M1399" s="1"/>
  <c r="S1400"/>
  <c r="M1400" s="1"/>
  <c r="S1401"/>
  <c r="M1401" s="1"/>
  <c r="S1402"/>
  <c r="M1402" s="1"/>
  <c r="S1403"/>
  <c r="M1403" s="1"/>
  <c r="S1404"/>
  <c r="M1404" s="1"/>
  <c r="S1405"/>
  <c r="M1405" s="1"/>
  <c r="S1406"/>
  <c r="M1406" s="1"/>
  <c r="S1407"/>
  <c r="M1407" s="1"/>
  <c r="S1408"/>
  <c r="M1408" s="1"/>
  <c r="S1409"/>
  <c r="M1409" s="1"/>
  <c r="S1410"/>
  <c r="M1410" s="1"/>
  <c r="S1411"/>
  <c r="M1411" s="1"/>
  <c r="S1412"/>
  <c r="M1412" s="1"/>
  <c r="S1413"/>
  <c r="M1413" s="1"/>
  <c r="S1414"/>
  <c r="M1414" s="1"/>
  <c r="S1415"/>
  <c r="M1415" s="1"/>
  <c r="S1416"/>
  <c r="M1416" s="1"/>
  <c r="S1417"/>
  <c r="M1417" s="1"/>
  <c r="S1418"/>
  <c r="M1418" s="1"/>
  <c r="S1419"/>
  <c r="M1419" s="1"/>
  <c r="S1420"/>
  <c r="M1420" s="1"/>
  <c r="S1421"/>
  <c r="M1421" s="1"/>
  <c r="S1422"/>
  <c r="M1422" s="1"/>
  <c r="S1423"/>
  <c r="M1423" s="1"/>
  <c r="S1424"/>
  <c r="M1424" s="1"/>
  <c r="S1425"/>
  <c r="M1425" s="1"/>
  <c r="S1426"/>
  <c r="M1426" s="1"/>
  <c r="S1427"/>
  <c r="M1427" s="1"/>
  <c r="S1428"/>
  <c r="M1428" s="1"/>
  <c r="S1429"/>
  <c r="M1429" s="1"/>
  <c r="S1430"/>
  <c r="M1430" s="1"/>
  <c r="S1431"/>
  <c r="M1431" s="1"/>
  <c r="S1432"/>
  <c r="M1432" s="1"/>
  <c r="S1433"/>
  <c r="M1433" s="1"/>
  <c r="S1434"/>
  <c r="M1434" s="1"/>
  <c r="S1435"/>
  <c r="M1435" s="1"/>
  <c r="S1436"/>
  <c r="M1436" s="1"/>
  <c r="S1437"/>
  <c r="M1437" s="1"/>
  <c r="S1438"/>
  <c r="M1438" s="1"/>
  <c r="S1439"/>
  <c r="M1439" s="1"/>
  <c r="S1440"/>
  <c r="M1440" s="1"/>
  <c r="S1441"/>
  <c r="M1441" s="1"/>
  <c r="S1442"/>
  <c r="M1442" s="1"/>
  <c r="S1443"/>
  <c r="M1443" s="1"/>
  <c r="S1444"/>
  <c r="M1444" s="1"/>
  <c r="S1445"/>
  <c r="M1445" s="1"/>
  <c r="S1446"/>
  <c r="M1446" s="1"/>
  <c r="S1447"/>
  <c r="M1447" s="1"/>
  <c r="S1448"/>
  <c r="M1448" s="1"/>
  <c r="S1449"/>
  <c r="M1449" s="1"/>
  <c r="S1450"/>
  <c r="M1450" s="1"/>
  <c r="S1451"/>
  <c r="M1451" s="1"/>
  <c r="S1452"/>
  <c r="M1452" s="1"/>
  <c r="S1453"/>
  <c r="M1453" s="1"/>
  <c r="S1454"/>
  <c r="M1454" s="1"/>
  <c r="S1455"/>
  <c r="M1455" s="1"/>
  <c r="S1456"/>
  <c r="M1456" s="1"/>
  <c r="S1457"/>
  <c r="M1457" s="1"/>
  <c r="S1458"/>
  <c r="M1458" s="1"/>
  <c r="S1459"/>
  <c r="M1459" s="1"/>
  <c r="S1460"/>
  <c r="M1460" s="1"/>
  <c r="S1461"/>
  <c r="M1461" s="1"/>
  <c r="S1462"/>
  <c r="M1462" s="1"/>
  <c r="S1463"/>
  <c r="M1463" s="1"/>
  <c r="S1464"/>
  <c r="M1464" s="1"/>
  <c r="S1465"/>
  <c r="M1465" s="1"/>
  <c r="S1466"/>
  <c r="M1466" s="1"/>
  <c r="S1467"/>
  <c r="M1467" s="1"/>
  <c r="S1468"/>
  <c r="M1468" s="1"/>
  <c r="S1469"/>
  <c r="M1469" s="1"/>
  <c r="S1470"/>
  <c r="M1470" s="1"/>
  <c r="S1471"/>
  <c r="M1471" s="1"/>
  <c r="S1472"/>
  <c r="M1472" s="1"/>
  <c r="S1473"/>
  <c r="M1473" s="1"/>
  <c r="S1474"/>
  <c r="M1474" s="1"/>
  <c r="S1475"/>
  <c r="M1475" s="1"/>
  <c r="S1476"/>
  <c r="M1476" s="1"/>
  <c r="S1477"/>
  <c r="M1477" s="1"/>
  <c r="S1478"/>
  <c r="M1478" s="1"/>
  <c r="S1479"/>
  <c r="M1479" s="1"/>
  <c r="S1480"/>
  <c r="M1480" s="1"/>
  <c r="S1481"/>
  <c r="M1481" s="1"/>
  <c r="S1482"/>
  <c r="M1482" s="1"/>
  <c r="S1483"/>
  <c r="M1483" s="1"/>
  <c r="S1484"/>
  <c r="M1484" s="1"/>
  <c r="S1485"/>
  <c r="M1485" s="1"/>
  <c r="S1486"/>
  <c r="M1486" s="1"/>
  <c r="S1487"/>
  <c r="M1487" s="1"/>
  <c r="S1488"/>
  <c r="M1488" s="1"/>
  <c r="S1489"/>
  <c r="M1489" s="1"/>
  <c r="S1490"/>
  <c r="M1490" s="1"/>
  <c r="S1491"/>
  <c r="M1491" s="1"/>
  <c r="S1492"/>
  <c r="M1492" s="1"/>
  <c r="S1493"/>
  <c r="M1493" s="1"/>
  <c r="S1494"/>
  <c r="M1494" s="1"/>
  <c r="S1495"/>
  <c r="M1495" s="1"/>
  <c r="S1496"/>
  <c r="M1496" s="1"/>
  <c r="S1497"/>
  <c r="M1497" s="1"/>
  <c r="S1498"/>
  <c r="M1498" s="1"/>
  <c r="S1499"/>
  <c r="M1499" s="1"/>
  <c r="S1500"/>
  <c r="M1500" s="1"/>
  <c r="S1501"/>
  <c r="M1501" s="1"/>
  <c r="S1502"/>
  <c r="M1502" s="1"/>
  <c r="S1503"/>
  <c r="M1503" s="1"/>
  <c r="S1504"/>
  <c r="M1504" s="1"/>
  <c r="S1505"/>
  <c r="M1505" s="1"/>
  <c r="S1506"/>
  <c r="M1506" s="1"/>
  <c r="S1507"/>
  <c r="M1507" s="1"/>
  <c r="S1508"/>
  <c r="M1508" s="1"/>
  <c r="S1509"/>
  <c r="M1509" s="1"/>
  <c r="S1510"/>
  <c r="M1510" s="1"/>
  <c r="S1511"/>
  <c r="M1511" s="1"/>
  <c r="S1512"/>
  <c r="M1512" s="1"/>
  <c r="S1513"/>
  <c r="M1513" s="1"/>
  <c r="S1514"/>
  <c r="M1514" s="1"/>
  <c r="S1515"/>
  <c r="M1515" s="1"/>
  <c r="S1516"/>
  <c r="M1516" s="1"/>
  <c r="S1517"/>
  <c r="M1517" s="1"/>
  <c r="S1518"/>
  <c r="M1518" s="1"/>
  <c r="S1519"/>
  <c r="M1519" s="1"/>
  <c r="S1520"/>
  <c r="M1520" s="1"/>
  <c r="S1521"/>
  <c r="M1521" s="1"/>
  <c r="S1522"/>
  <c r="M1522" s="1"/>
  <c r="S1523"/>
  <c r="M1523" s="1"/>
  <c r="S1524"/>
  <c r="M1524" s="1"/>
  <c r="S1525"/>
  <c r="M1525" s="1"/>
  <c r="S1526"/>
  <c r="M1526" s="1"/>
  <c r="S1527"/>
  <c r="M1527" s="1"/>
  <c r="S1528"/>
  <c r="M1528" s="1"/>
  <c r="S1529"/>
  <c r="M1529" s="1"/>
  <c r="S1530"/>
  <c r="M1530" s="1"/>
  <c r="S1531"/>
  <c r="M1531" s="1"/>
  <c r="S1532"/>
  <c r="M1532" s="1"/>
  <c r="S1533"/>
  <c r="M1533" s="1"/>
  <c r="S1534"/>
  <c r="M1534" s="1"/>
  <c r="S1535"/>
  <c r="M1535" s="1"/>
  <c r="S1536"/>
  <c r="M1536" s="1"/>
  <c r="S1537"/>
  <c r="M1537" s="1"/>
  <c r="S1538"/>
  <c r="M1538" s="1"/>
  <c r="S1539"/>
  <c r="M1539" s="1"/>
  <c r="S1540"/>
  <c r="M1540" s="1"/>
  <c r="S1541"/>
  <c r="M1541" s="1"/>
  <c r="S1542"/>
  <c r="M1542" s="1"/>
  <c r="S1543"/>
  <c r="M1543" s="1"/>
  <c r="S1544"/>
  <c r="M1544" s="1"/>
  <c r="S1545"/>
  <c r="M1545" s="1"/>
  <c r="S1546"/>
  <c r="M1546" s="1"/>
  <c r="S1547"/>
  <c r="M1547" s="1"/>
  <c r="S1548"/>
  <c r="M1548" s="1"/>
  <c r="S1549"/>
  <c r="M1549" s="1"/>
  <c r="S1550"/>
  <c r="M1550" s="1"/>
  <c r="S1551"/>
  <c r="M1551" s="1"/>
  <c r="S1552"/>
  <c r="M1552" s="1"/>
  <c r="S1553"/>
  <c r="M1553" s="1"/>
  <c r="S1554"/>
  <c r="M1554" s="1"/>
  <c r="S1555"/>
  <c r="M1555" s="1"/>
  <c r="S1556"/>
  <c r="M1556" s="1"/>
  <c r="S1557"/>
  <c r="M1557" s="1"/>
  <c r="S1558"/>
  <c r="M1558" s="1"/>
  <c r="S1559"/>
  <c r="M1559" s="1"/>
  <c r="S1560"/>
  <c r="M1560" s="1"/>
  <c r="S1561"/>
  <c r="M1561" s="1"/>
  <c r="S1562"/>
  <c r="M1562" s="1"/>
  <c r="S1563"/>
  <c r="M1563" s="1"/>
  <c r="S1564"/>
  <c r="M1564" s="1"/>
  <c r="S1565"/>
  <c r="M1565" s="1"/>
  <c r="S1566"/>
  <c r="M1566" s="1"/>
  <c r="S1567"/>
  <c r="M1567" s="1"/>
  <c r="S1568"/>
  <c r="M1568" s="1"/>
  <c r="S1569"/>
  <c r="M1569" s="1"/>
  <c r="S1570"/>
  <c r="M1570" s="1"/>
  <c r="S1571"/>
  <c r="M1571" s="1"/>
  <c r="S1572"/>
  <c r="M1572" s="1"/>
  <c r="S1573"/>
  <c r="M1573" s="1"/>
  <c r="S1574"/>
  <c r="M1574" s="1"/>
  <c r="S1575"/>
  <c r="M1575" s="1"/>
  <c r="S1576"/>
  <c r="M1576" s="1"/>
  <c r="S1577"/>
  <c r="M1577" s="1"/>
  <c r="S1578"/>
  <c r="M1578" s="1"/>
  <c r="S1579"/>
  <c r="M1579" s="1"/>
  <c r="S1580"/>
  <c r="M1580" s="1"/>
  <c r="S1581"/>
  <c r="M1581" s="1"/>
  <c r="S1582"/>
  <c r="M1582" s="1"/>
  <c r="S1583"/>
  <c r="M1583" s="1"/>
  <c r="S1584"/>
  <c r="M1584" s="1"/>
  <c r="S1585"/>
  <c r="M1585" s="1"/>
  <c r="S1586"/>
  <c r="M1586" s="1"/>
  <c r="S1587"/>
  <c r="M1587" s="1"/>
  <c r="S1588"/>
  <c r="M1588" s="1"/>
  <c r="S1589"/>
  <c r="M1589" s="1"/>
  <c r="S1590"/>
  <c r="M1590" s="1"/>
  <c r="S1591"/>
  <c r="M1591" s="1"/>
  <c r="S1592"/>
  <c r="M1592" s="1"/>
  <c r="S1593"/>
  <c r="M1593" s="1"/>
  <c r="S1594"/>
  <c r="M1594" s="1"/>
  <c r="S1595"/>
  <c r="M1595" s="1"/>
  <c r="S1596"/>
  <c r="M1596" s="1"/>
  <c r="S1597"/>
  <c r="M1597" s="1"/>
  <c r="S1598"/>
  <c r="M1598" s="1"/>
  <c r="S1599"/>
  <c r="M1599" s="1"/>
  <c r="S1600"/>
  <c r="M1600" s="1"/>
  <c r="S1601"/>
  <c r="M1601" s="1"/>
  <c r="S1602"/>
  <c r="M1602" s="1"/>
  <c r="S1603"/>
  <c r="M1603" s="1"/>
  <c r="S1604"/>
  <c r="M1604" s="1"/>
  <c r="S1605"/>
  <c r="M1605" s="1"/>
  <c r="S1606"/>
  <c r="M1606" s="1"/>
  <c r="S1607"/>
  <c r="M1607" s="1"/>
  <c r="S1608"/>
  <c r="M1608" s="1"/>
  <c r="S1609"/>
  <c r="M1609" s="1"/>
  <c r="S1610"/>
  <c r="M1610" s="1"/>
  <c r="S1611"/>
  <c r="M1611" s="1"/>
  <c r="S1612"/>
  <c r="M1612" s="1"/>
  <c r="S1613"/>
  <c r="M1613" s="1"/>
  <c r="S1614"/>
  <c r="M1614" s="1"/>
  <c r="S1615"/>
  <c r="M1615" s="1"/>
  <c r="S1616"/>
  <c r="M1616" s="1"/>
  <c r="S1617"/>
  <c r="M1617" s="1"/>
  <c r="S1618"/>
  <c r="M1618" s="1"/>
  <c r="S1619"/>
  <c r="M1619" s="1"/>
  <c r="S1620"/>
  <c r="M1620" s="1"/>
  <c r="S1621"/>
  <c r="M1621" s="1"/>
  <c r="S1622"/>
  <c r="M1622" s="1"/>
  <c r="S1623"/>
  <c r="M1623" s="1"/>
  <c r="S1624"/>
  <c r="M1624" s="1"/>
  <c r="S1625"/>
  <c r="M1625" s="1"/>
  <c r="S1626"/>
  <c r="M1626" s="1"/>
  <c r="S1627"/>
  <c r="M1627" s="1"/>
  <c r="S1628"/>
  <c r="M1628" s="1"/>
  <c r="S1629"/>
  <c r="M1629" s="1"/>
  <c r="S1630"/>
  <c r="M1630" s="1"/>
  <c r="S1631"/>
  <c r="M1631" s="1"/>
  <c r="S1632"/>
  <c r="M1632" s="1"/>
  <c r="S1633"/>
  <c r="M1633" s="1"/>
  <c r="S1634"/>
  <c r="M1634" s="1"/>
  <c r="S1635"/>
  <c r="M1635" s="1"/>
  <c r="S1636"/>
  <c r="M1636" s="1"/>
  <c r="S1637"/>
  <c r="M1637" s="1"/>
  <c r="S1638"/>
  <c r="M1638" s="1"/>
  <c r="S1639"/>
  <c r="M1639" s="1"/>
  <c r="S1640"/>
  <c r="M1640" s="1"/>
  <c r="S1641"/>
  <c r="M1641" s="1"/>
  <c r="S1642"/>
  <c r="M1642" s="1"/>
  <c r="S1643"/>
  <c r="M1643" s="1"/>
  <c r="S1644"/>
  <c r="M1644" s="1"/>
  <c r="S1645"/>
  <c r="M1645" s="1"/>
  <c r="S1646"/>
  <c r="M1646" s="1"/>
  <c r="S1647"/>
  <c r="M1647" s="1"/>
  <c r="S1648"/>
  <c r="M1648" s="1"/>
  <c r="S1649"/>
  <c r="M1649" s="1"/>
  <c r="S1650"/>
  <c r="M1650" s="1"/>
  <c r="S1651"/>
  <c r="M1651" s="1"/>
  <c r="S1652"/>
  <c r="M1652" s="1"/>
  <c r="S1653"/>
  <c r="M1653" s="1"/>
  <c r="S1654"/>
  <c r="M1654" s="1"/>
  <c r="S1655"/>
  <c r="M1655" s="1"/>
  <c r="S1656"/>
  <c r="M1656" s="1"/>
  <c r="S1657"/>
  <c r="M1657" s="1"/>
  <c r="S1658"/>
  <c r="M1658" s="1"/>
  <c r="S1659"/>
  <c r="M1659" s="1"/>
  <c r="S1660"/>
  <c r="M1660" s="1"/>
  <c r="S1661"/>
  <c r="M1661" s="1"/>
  <c r="S1662"/>
  <c r="M1662" s="1"/>
  <c r="S1663"/>
  <c r="M1663" s="1"/>
  <c r="S1664"/>
  <c r="M1664" s="1"/>
  <c r="S1665"/>
  <c r="M1665" s="1"/>
  <c r="S1666"/>
  <c r="M1666" s="1"/>
  <c r="S1667"/>
  <c r="M1667" s="1"/>
  <c r="S1668"/>
  <c r="M1668" s="1"/>
  <c r="S1669"/>
  <c r="M1669" s="1"/>
  <c r="S1670"/>
  <c r="M1670" s="1"/>
  <c r="S1671"/>
  <c r="M1671" s="1"/>
  <c r="S1672"/>
  <c r="M1672" s="1"/>
  <c r="S1673"/>
  <c r="M1673" s="1"/>
  <c r="S1674"/>
  <c r="M1674" s="1"/>
  <c r="S1675"/>
  <c r="M1675" s="1"/>
  <c r="S1676"/>
  <c r="M1676" s="1"/>
  <c r="S1677"/>
  <c r="M1677" s="1"/>
  <c r="S1678"/>
  <c r="M1678" s="1"/>
  <c r="S1679"/>
  <c r="M1679" s="1"/>
  <c r="S1680"/>
  <c r="M1680" s="1"/>
  <c r="S1681"/>
  <c r="M1681" s="1"/>
  <c r="S1682"/>
  <c r="M1682" s="1"/>
  <c r="S1683"/>
  <c r="M1683" s="1"/>
  <c r="S1684"/>
  <c r="M1684" s="1"/>
  <c r="S1685"/>
  <c r="M1685" s="1"/>
  <c r="S1686"/>
  <c r="M1686" s="1"/>
  <c r="S1687"/>
  <c r="M1687" s="1"/>
  <c r="S1688"/>
  <c r="M1688" s="1"/>
  <c r="S1689"/>
  <c r="M1689" s="1"/>
  <c r="S1690"/>
  <c r="M1690" s="1"/>
  <c r="S1691"/>
  <c r="M1691" s="1"/>
  <c r="S1692"/>
  <c r="M1692" s="1"/>
  <c r="S1693"/>
  <c r="M1693" s="1"/>
  <c r="S1694"/>
  <c r="M1694" s="1"/>
  <c r="S1695"/>
  <c r="M1695" s="1"/>
  <c r="S1696"/>
  <c r="M1696" s="1"/>
  <c r="S1697"/>
  <c r="M1697" s="1"/>
  <c r="S1698"/>
  <c r="M1698" s="1"/>
  <c r="S1699"/>
  <c r="M1699" s="1"/>
  <c r="S1700"/>
  <c r="M1700" s="1"/>
  <c r="S1701"/>
  <c r="M1701" s="1"/>
  <c r="S1702"/>
  <c r="M1702" s="1"/>
  <c r="S1703"/>
  <c r="M1703" s="1"/>
  <c r="S1704"/>
  <c r="M1704" s="1"/>
  <c r="S1705"/>
  <c r="M1705" s="1"/>
  <c r="S1706"/>
  <c r="M1706" s="1"/>
  <c r="S1707"/>
  <c r="M1707" s="1"/>
  <c r="S1708"/>
  <c r="M1708" s="1"/>
  <c r="S1709"/>
  <c r="M1709" s="1"/>
  <c r="S1710"/>
  <c r="M1710" s="1"/>
  <c r="S1711"/>
  <c r="M1711" s="1"/>
  <c r="S1712"/>
  <c r="M1712" s="1"/>
  <c r="S1713"/>
  <c r="M1713" s="1"/>
  <c r="S1714"/>
  <c r="M1714" s="1"/>
  <c r="S1715"/>
  <c r="M1715" s="1"/>
  <c r="S1716"/>
  <c r="M1716" s="1"/>
  <c r="S1717"/>
  <c r="M1717" s="1"/>
  <c r="S1718"/>
  <c r="M1718" s="1"/>
  <c r="S1719"/>
  <c r="M1719" s="1"/>
  <c r="S1720"/>
  <c r="M1720" s="1"/>
  <c r="S1721"/>
  <c r="M1721" s="1"/>
  <c r="S1722"/>
  <c r="M1722" s="1"/>
  <c r="S1723"/>
  <c r="M1723" s="1"/>
  <c r="S1724"/>
  <c r="M1724" s="1"/>
  <c r="S1725"/>
  <c r="M1725" s="1"/>
  <c r="S1726"/>
  <c r="M1726" s="1"/>
  <c r="S1727"/>
  <c r="M1727" s="1"/>
  <c r="S1728"/>
  <c r="M1728" s="1"/>
  <c r="S1729"/>
  <c r="M1729" s="1"/>
  <c r="S1730"/>
  <c r="M1730" s="1"/>
  <c r="S1731"/>
  <c r="M1731" s="1"/>
  <c r="S1732"/>
  <c r="M1732" s="1"/>
  <c r="S1733"/>
  <c r="M1733" s="1"/>
  <c r="S1734"/>
  <c r="M1734" s="1"/>
  <c r="S1735"/>
  <c r="M1735" s="1"/>
  <c r="S1736"/>
  <c r="M1736" s="1"/>
  <c r="S1737"/>
  <c r="M1737" s="1"/>
  <c r="S1738"/>
  <c r="M1738" s="1"/>
  <c r="S1739"/>
  <c r="M1739" s="1"/>
  <c r="S1740"/>
  <c r="M1740" s="1"/>
  <c r="S1741"/>
  <c r="M1741" s="1"/>
  <c r="S1742"/>
  <c r="M1742" s="1"/>
  <c r="S1743"/>
  <c r="M1743" s="1"/>
  <c r="S1744"/>
  <c r="M1744" s="1"/>
  <c r="S1745"/>
  <c r="M1745" s="1"/>
  <c r="S1746"/>
  <c r="M1746" s="1"/>
  <c r="S1747"/>
  <c r="M1747" s="1"/>
  <c r="S1748"/>
  <c r="M1748" s="1"/>
  <c r="S1749"/>
  <c r="M1749" s="1"/>
  <c r="S1750"/>
  <c r="M1750" s="1"/>
  <c r="S1751"/>
  <c r="M1751" s="1"/>
  <c r="S1752"/>
  <c r="M1752" s="1"/>
  <c r="S1753"/>
  <c r="M1753" s="1"/>
  <c r="S1754"/>
  <c r="M1754" s="1"/>
  <c r="S1755"/>
  <c r="M1755" s="1"/>
  <c r="S1756"/>
  <c r="M1756" s="1"/>
  <c r="S1757"/>
  <c r="M1757" s="1"/>
  <c r="S1758"/>
  <c r="M1758" s="1"/>
  <c r="S1759"/>
  <c r="M1759" s="1"/>
  <c r="S1760"/>
  <c r="M1760" s="1"/>
  <c r="S1761"/>
  <c r="M1761" s="1"/>
  <c r="S1762"/>
  <c r="M1762" s="1"/>
  <c r="S1763"/>
  <c r="M1763" s="1"/>
  <c r="S1764"/>
  <c r="M1764" s="1"/>
  <c r="S1765"/>
  <c r="M1765" s="1"/>
  <c r="S1766"/>
  <c r="M1766" s="1"/>
  <c r="S1767"/>
  <c r="M1767" s="1"/>
  <c r="S1768"/>
  <c r="M1768" s="1"/>
  <c r="S1769"/>
  <c r="M1769" s="1"/>
  <c r="S1770"/>
  <c r="M1770" s="1"/>
  <c r="S1771"/>
  <c r="M1771" s="1"/>
  <c r="S1772"/>
  <c r="M1772" s="1"/>
  <c r="S1773"/>
  <c r="M1773" s="1"/>
  <c r="S1774"/>
  <c r="M1774" s="1"/>
  <c r="S1775"/>
  <c r="M1775" s="1"/>
  <c r="S1776"/>
  <c r="M1776" s="1"/>
  <c r="S1777"/>
  <c r="M1777" s="1"/>
  <c r="S1778"/>
  <c r="M1778" s="1"/>
  <c r="S1779"/>
  <c r="M1779" s="1"/>
  <c r="S1780"/>
  <c r="M1780" s="1"/>
  <c r="S1781"/>
  <c r="M1781" s="1"/>
  <c r="S1782"/>
  <c r="M1782" s="1"/>
  <c r="S1783"/>
  <c r="M1783" s="1"/>
  <c r="S1784"/>
  <c r="M1784" s="1"/>
  <c r="S1785"/>
  <c r="M1785" s="1"/>
  <c r="S1786"/>
  <c r="M1786" s="1"/>
  <c r="S1787"/>
  <c r="M1787" s="1"/>
  <c r="S1788"/>
  <c r="M1788" s="1"/>
  <c r="S1789"/>
  <c r="M1789" s="1"/>
  <c r="S1790"/>
  <c r="M1790" s="1"/>
  <c r="S1791"/>
  <c r="M1791" s="1"/>
  <c r="S1792"/>
  <c r="M1792" s="1"/>
  <c r="S1793"/>
  <c r="M1793" s="1"/>
  <c r="S1794"/>
  <c r="M1794" s="1"/>
  <c r="S1795"/>
  <c r="M1795" s="1"/>
  <c r="S1796"/>
  <c r="M1796" s="1"/>
  <c r="S1797"/>
  <c r="M1797" s="1"/>
  <c r="S1798"/>
  <c r="M1798" s="1"/>
  <c r="S1799"/>
  <c r="M1799" s="1"/>
  <c r="S1800"/>
  <c r="M1800" s="1"/>
  <c r="S1801"/>
  <c r="M1801" s="1"/>
  <c r="S1802"/>
  <c r="M1802" s="1"/>
  <c r="S1803"/>
  <c r="M1803" s="1"/>
  <c r="S1804"/>
  <c r="M1804" s="1"/>
  <c r="S1805"/>
  <c r="M1805" s="1"/>
  <c r="S1806"/>
  <c r="M1806" s="1"/>
  <c r="S1807"/>
  <c r="M1807" s="1"/>
  <c r="S1808"/>
  <c r="M1808" s="1"/>
  <c r="S1809"/>
  <c r="M1809" s="1"/>
  <c r="S1810"/>
  <c r="M1810" s="1"/>
  <c r="S1811"/>
  <c r="M1811" s="1"/>
  <c r="S1812"/>
  <c r="M1812" s="1"/>
  <c r="S1813"/>
  <c r="M1813" s="1"/>
  <c r="S1814"/>
  <c r="M1814" s="1"/>
  <c r="S1815"/>
  <c r="M1815" s="1"/>
  <c r="S1816"/>
  <c r="M1816" s="1"/>
  <c r="S1817"/>
  <c r="M1817" s="1"/>
  <c r="S1818"/>
  <c r="M1818" s="1"/>
  <c r="S1819"/>
  <c r="M1819" s="1"/>
  <c r="S1820"/>
  <c r="M1820" s="1"/>
  <c r="S1821"/>
  <c r="M1821" s="1"/>
  <c r="S1822"/>
  <c r="M1822" s="1"/>
  <c r="S1823"/>
  <c r="M1823" s="1"/>
  <c r="S1824"/>
  <c r="M1824" s="1"/>
  <c r="S1825"/>
  <c r="M1825" s="1"/>
  <c r="S1826"/>
  <c r="M1826" s="1"/>
  <c r="S1827"/>
  <c r="M1827" s="1"/>
  <c r="S1828"/>
  <c r="M1828" s="1"/>
  <c r="S1829"/>
  <c r="M1829" s="1"/>
  <c r="S1830"/>
  <c r="M1830" s="1"/>
  <c r="S1831"/>
  <c r="M1831" s="1"/>
  <c r="S1832"/>
  <c r="M1832" s="1"/>
  <c r="S1833"/>
  <c r="M1833" s="1"/>
  <c r="S1834"/>
  <c r="M1834" s="1"/>
  <c r="S1835"/>
  <c r="M1835" s="1"/>
  <c r="S1836"/>
  <c r="M1836" s="1"/>
  <c r="S1837"/>
  <c r="M1837" s="1"/>
  <c r="S1838"/>
  <c r="M1838" s="1"/>
  <c r="S1839"/>
  <c r="M1839" s="1"/>
  <c r="S1840"/>
  <c r="M1840" s="1"/>
  <c r="S1841"/>
  <c r="M1841" s="1"/>
  <c r="S1842"/>
  <c r="M1842" s="1"/>
  <c r="S1843"/>
  <c r="M1843" s="1"/>
  <c r="S1844"/>
  <c r="M1844" s="1"/>
  <c r="S1845"/>
  <c r="M1845" s="1"/>
  <c r="S1846"/>
  <c r="M1846" s="1"/>
  <c r="S1847"/>
  <c r="M1847" s="1"/>
  <c r="S1848"/>
  <c r="M1848" s="1"/>
  <c r="S1849"/>
  <c r="M1849" s="1"/>
  <c r="S1850"/>
  <c r="M1850" s="1"/>
  <c r="S1851"/>
  <c r="M1851" s="1"/>
  <c r="S1852"/>
  <c r="M1852" s="1"/>
  <c r="S1853"/>
  <c r="M1853" s="1"/>
  <c r="S1854"/>
  <c r="M1854" s="1"/>
  <c r="S1855"/>
  <c r="M1855" s="1"/>
  <c r="S1856"/>
  <c r="M1856" s="1"/>
  <c r="S1857"/>
  <c r="M1857" s="1"/>
  <c r="S1858"/>
  <c r="M1858" s="1"/>
  <c r="S1859"/>
  <c r="M1859" s="1"/>
  <c r="S1860"/>
  <c r="M1860" s="1"/>
  <c r="S1861"/>
  <c r="M1861" s="1"/>
  <c r="S1862"/>
  <c r="M1862" s="1"/>
  <c r="S1863"/>
  <c r="M1863" s="1"/>
  <c r="S1864"/>
  <c r="M1864" s="1"/>
  <c r="S1865"/>
  <c r="M1865" s="1"/>
  <c r="S1866"/>
  <c r="M1866" s="1"/>
  <c r="S1867"/>
  <c r="M1867" s="1"/>
  <c r="S1868"/>
  <c r="M1868" s="1"/>
  <c r="S1869"/>
  <c r="M1869" s="1"/>
  <c r="S1870"/>
  <c r="M1870" s="1"/>
  <c r="S1871"/>
  <c r="M1871" s="1"/>
  <c r="S1872"/>
  <c r="M1872" s="1"/>
  <c r="S1873"/>
  <c r="M1873" s="1"/>
  <c r="S1874"/>
  <c r="M1874" s="1"/>
  <c r="S1875"/>
  <c r="M1875" s="1"/>
  <c r="S1876"/>
  <c r="M1876" s="1"/>
  <c r="S1877"/>
  <c r="M1877" s="1"/>
  <c r="S1878"/>
  <c r="M1878" s="1"/>
  <c r="S1879"/>
  <c r="M1879" s="1"/>
  <c r="S1880"/>
  <c r="M1880" s="1"/>
  <c r="S1881"/>
  <c r="M1881" s="1"/>
  <c r="S1882"/>
  <c r="M1882" s="1"/>
  <c r="S1883"/>
  <c r="M1883" s="1"/>
  <c r="S1884"/>
  <c r="M1884" s="1"/>
  <c r="S1885"/>
  <c r="M1885" s="1"/>
  <c r="S1886"/>
  <c r="M1886" s="1"/>
  <c r="S1887"/>
  <c r="M1887" s="1"/>
  <c r="S1888"/>
  <c r="M1888" s="1"/>
  <c r="S1889"/>
  <c r="M1889" s="1"/>
  <c r="S1890"/>
  <c r="M1890" s="1"/>
  <c r="S1891"/>
  <c r="M1891" s="1"/>
  <c r="S1892"/>
  <c r="M1892" s="1"/>
  <c r="S1893"/>
  <c r="M1893" s="1"/>
  <c r="S1894"/>
  <c r="M1894" s="1"/>
  <c r="S1895"/>
  <c r="M1895" s="1"/>
  <c r="S1896"/>
  <c r="M1896" s="1"/>
  <c r="S1897"/>
  <c r="M1897" s="1"/>
  <c r="S1898"/>
  <c r="M1898" s="1"/>
  <c r="S1899"/>
  <c r="M1899" s="1"/>
  <c r="S1900"/>
  <c r="M1900" s="1"/>
  <c r="S1901"/>
  <c r="M1901" s="1"/>
  <c r="S1902"/>
  <c r="M1902" s="1"/>
  <c r="S1903"/>
  <c r="M1903" s="1"/>
  <c r="S1904"/>
  <c r="M1904" s="1"/>
  <c r="S1905"/>
  <c r="M1905" s="1"/>
  <c r="S1906"/>
  <c r="M1906" s="1"/>
  <c r="S1907"/>
  <c r="M1907" s="1"/>
  <c r="S1908"/>
  <c r="M1908" s="1"/>
  <c r="S1909"/>
  <c r="M1909" s="1"/>
  <c r="S1910"/>
  <c r="M1910" s="1"/>
  <c r="S1911"/>
  <c r="M1911" s="1"/>
  <c r="S1912"/>
  <c r="M1912" s="1"/>
  <c r="S1913"/>
  <c r="M1913" s="1"/>
  <c r="S1914"/>
  <c r="M1914" s="1"/>
  <c r="S1915"/>
  <c r="M1915" s="1"/>
  <c r="S1916"/>
  <c r="M1916" s="1"/>
  <c r="S1917"/>
  <c r="M1917" s="1"/>
  <c r="S1918"/>
  <c r="M1918" s="1"/>
  <c r="S1919"/>
  <c r="M1919" s="1"/>
  <c r="S1920"/>
  <c r="M1920" s="1"/>
  <c r="S1921"/>
  <c r="M1921" s="1"/>
  <c r="S1922"/>
  <c r="M1922" s="1"/>
  <c r="S1923"/>
  <c r="M1923" s="1"/>
  <c r="S1924"/>
  <c r="M1924" s="1"/>
  <c r="S1925"/>
  <c r="M1925" s="1"/>
  <c r="S1926"/>
  <c r="M1926" s="1"/>
  <c r="S1927"/>
  <c r="M1927" s="1"/>
  <c r="S1928"/>
  <c r="M1928" s="1"/>
  <c r="S1929"/>
  <c r="M1929" s="1"/>
  <c r="S1930"/>
  <c r="M1930" s="1"/>
  <c r="S1931"/>
  <c r="M1931" s="1"/>
  <c r="S1932"/>
  <c r="M1932" s="1"/>
  <c r="S1933"/>
  <c r="M1933" s="1"/>
  <c r="S1934"/>
  <c r="M1934" s="1"/>
  <c r="S1935"/>
  <c r="M1935" s="1"/>
  <c r="S1936"/>
  <c r="M1936" s="1"/>
  <c r="S1937"/>
  <c r="M1937" s="1"/>
  <c r="S1938"/>
  <c r="M1938" s="1"/>
  <c r="S1939"/>
  <c r="M1939" s="1"/>
  <c r="S1940"/>
  <c r="M1940" s="1"/>
  <c r="S1941"/>
  <c r="M1941" s="1"/>
  <c r="S1942"/>
  <c r="M1942" s="1"/>
  <c r="S1943"/>
  <c r="M1943" s="1"/>
  <c r="S1944"/>
  <c r="M1944" s="1"/>
  <c r="S1945"/>
  <c r="M1945" s="1"/>
  <c r="S1946"/>
  <c r="M1946" s="1"/>
  <c r="S1947"/>
  <c r="M1947" s="1"/>
  <c r="S1948"/>
  <c r="M1948" s="1"/>
  <c r="S1949"/>
  <c r="M1949" s="1"/>
  <c r="S1950"/>
  <c r="M1950" s="1"/>
  <c r="S1951"/>
  <c r="M1951" s="1"/>
  <c r="S1952"/>
  <c r="M1952" s="1"/>
  <c r="S1953"/>
  <c r="M1953" s="1"/>
  <c r="S1954"/>
  <c r="M1954" s="1"/>
  <c r="S1955"/>
  <c r="M1955" s="1"/>
  <c r="S1956"/>
  <c r="M1956" s="1"/>
  <c r="S1957"/>
  <c r="M1957" s="1"/>
  <c r="S1958"/>
  <c r="M1958" s="1"/>
  <c r="S1959"/>
  <c r="M1959" s="1"/>
  <c r="S1960"/>
  <c r="M1960" s="1"/>
  <c r="S1961"/>
  <c r="M1961" s="1"/>
  <c r="S1962"/>
  <c r="M1962" s="1"/>
  <c r="S1963"/>
  <c r="M1963" s="1"/>
  <c r="S1964"/>
  <c r="M1964" s="1"/>
  <c r="S1965"/>
  <c r="M1965" s="1"/>
  <c r="S1966"/>
  <c r="M1966" s="1"/>
  <c r="S1967"/>
  <c r="M1967" s="1"/>
  <c r="S1968"/>
  <c r="M1968" s="1"/>
  <c r="S1969"/>
  <c r="M1969" s="1"/>
  <c r="S1970"/>
  <c r="M1970" s="1"/>
  <c r="S1971"/>
  <c r="M1971" s="1"/>
  <c r="S1972"/>
  <c r="M1972" s="1"/>
  <c r="S1973"/>
  <c r="M1973" s="1"/>
  <c r="S1974"/>
  <c r="M1974" s="1"/>
  <c r="S1975"/>
  <c r="M1975" s="1"/>
  <c r="S1976"/>
  <c r="M1976" s="1"/>
  <c r="S1977"/>
  <c r="M1977" s="1"/>
  <c r="S1978"/>
  <c r="M1978" s="1"/>
  <c r="S1979"/>
  <c r="M1979" s="1"/>
  <c r="S1980"/>
  <c r="M1980" s="1"/>
  <c r="S1981"/>
  <c r="M1981" s="1"/>
  <c r="S1982"/>
  <c r="M1982" s="1"/>
  <c r="S1983"/>
  <c r="M1983" s="1"/>
  <c r="S1984"/>
  <c r="M1984" s="1"/>
  <c r="S1985"/>
  <c r="M1985" s="1"/>
  <c r="S1986"/>
  <c r="M1986" s="1"/>
  <c r="S1987"/>
  <c r="M1987" s="1"/>
  <c r="S1988"/>
  <c r="M1988" s="1"/>
  <c r="S1989"/>
  <c r="M1989" s="1"/>
  <c r="S1990"/>
  <c r="M1990" s="1"/>
  <c r="S1991"/>
  <c r="M1991" s="1"/>
  <c r="S1992"/>
  <c r="M1992" s="1"/>
  <c r="S1993"/>
  <c r="M1993" s="1"/>
  <c r="S1994"/>
  <c r="M1994" s="1"/>
  <c r="S1995"/>
  <c r="M1995" s="1"/>
  <c r="S1996"/>
  <c r="M1996" s="1"/>
  <c r="S1997"/>
  <c r="M1997" s="1"/>
  <c r="S1998"/>
  <c r="M1998" s="1"/>
  <c r="S1999"/>
  <c r="M1999" s="1"/>
  <c r="S2000"/>
  <c r="M2000" s="1"/>
  <c r="S2001"/>
  <c r="M2001" s="1"/>
  <c r="S2002"/>
  <c r="M2002" s="1"/>
  <c r="S2003"/>
  <c r="M2003" s="1"/>
  <c r="S2004"/>
  <c r="M2004" s="1"/>
  <c r="S2005"/>
  <c r="M2005" s="1"/>
  <c r="S2006"/>
  <c r="M2006" s="1"/>
  <c r="S2007"/>
  <c r="M2007" s="1"/>
  <c r="S2008"/>
  <c r="M2008" s="1"/>
  <c r="S2009"/>
  <c r="M2009" s="1"/>
  <c r="S2010"/>
  <c r="M2010" s="1"/>
  <c r="S2011"/>
  <c r="M2011" s="1"/>
  <c r="S2012"/>
  <c r="M2012" s="1"/>
  <c r="S2013"/>
  <c r="M2013" s="1"/>
  <c r="S2014"/>
  <c r="M2014" s="1"/>
  <c r="S2015"/>
  <c r="M2015" s="1"/>
  <c r="S2016"/>
  <c r="M2016" s="1"/>
  <c r="S2017"/>
  <c r="M2017" s="1"/>
  <c r="S2018"/>
  <c r="M2018" s="1"/>
  <c r="S2019"/>
  <c r="M2019" s="1"/>
  <c r="S2020"/>
  <c r="M2020" s="1"/>
  <c r="S2021"/>
  <c r="M2021" s="1"/>
  <c r="S2022"/>
  <c r="M2022" s="1"/>
  <c r="S2023"/>
  <c r="M2023" s="1"/>
  <c r="S2024"/>
  <c r="M2024" s="1"/>
  <c r="S2025"/>
  <c r="M2025" s="1"/>
  <c r="S2026"/>
  <c r="M2026" s="1"/>
  <c r="S2027"/>
  <c r="M2027" s="1"/>
  <c r="S2028"/>
  <c r="M2028" s="1"/>
  <c r="S2029"/>
  <c r="M2029" s="1"/>
  <c r="S2030"/>
  <c r="M2030" s="1"/>
  <c r="S2031"/>
  <c r="M2031" s="1"/>
  <c r="S2032"/>
  <c r="M2032" s="1"/>
  <c r="S2033"/>
  <c r="M2033" s="1"/>
  <c r="S2034"/>
  <c r="M2034" s="1"/>
  <c r="S2035"/>
  <c r="M2035" s="1"/>
  <c r="S2036"/>
  <c r="M2036" s="1"/>
  <c r="S2037"/>
  <c r="M2037" s="1"/>
  <c r="S2038"/>
  <c r="M2038" s="1"/>
  <c r="S2039"/>
  <c r="M2039" s="1"/>
  <c r="S2040"/>
  <c r="M2040" s="1"/>
  <c r="S2041"/>
  <c r="M2041" s="1"/>
  <c r="S2042"/>
  <c r="M2042" s="1"/>
  <c r="S2043"/>
  <c r="M2043" s="1"/>
  <c r="S2044"/>
  <c r="M2044" s="1"/>
  <c r="S2045"/>
  <c r="M2045" s="1"/>
  <c r="S2046"/>
  <c r="M2046" s="1"/>
  <c r="S2047"/>
  <c r="M2047" s="1"/>
  <c r="S2048"/>
  <c r="M2048" s="1"/>
  <c r="S2049"/>
  <c r="M2049" s="1"/>
  <c r="S2050"/>
  <c r="M2050" s="1"/>
  <c r="S2051"/>
  <c r="M2051" s="1"/>
  <c r="S2052"/>
  <c r="M2052" s="1"/>
  <c r="S2053"/>
  <c r="M2053" s="1"/>
  <c r="S2054"/>
  <c r="M2054" s="1"/>
  <c r="S2055"/>
  <c r="M2055" s="1"/>
  <c r="S2056"/>
  <c r="M2056" s="1"/>
  <c r="S2057"/>
  <c r="M2057" s="1"/>
  <c r="S2058"/>
  <c r="M2058" s="1"/>
  <c r="S2059"/>
  <c r="M2059" s="1"/>
  <c r="S2060"/>
  <c r="M2060" s="1"/>
  <c r="S2061"/>
  <c r="M2061" s="1"/>
  <c r="S2062"/>
  <c r="M2062" s="1"/>
  <c r="S2063"/>
  <c r="M2063" s="1"/>
  <c r="S2064"/>
  <c r="M2064" s="1"/>
  <c r="S2065"/>
  <c r="M2065" s="1"/>
  <c r="S2066"/>
  <c r="M2066" s="1"/>
  <c r="S2067"/>
  <c r="M2067" s="1"/>
  <c r="S2068"/>
  <c r="M2068" s="1"/>
  <c r="S2069"/>
  <c r="M2069" s="1"/>
  <c r="S2070"/>
  <c r="M2070" s="1"/>
  <c r="S2071"/>
  <c r="M2071" s="1"/>
  <c r="S2072"/>
  <c r="M2072" s="1"/>
  <c r="S2073"/>
  <c r="M2073" s="1"/>
  <c r="S2074"/>
  <c r="M2074" s="1"/>
  <c r="S2075"/>
  <c r="M2075" s="1"/>
  <c r="S2076"/>
  <c r="M2076" s="1"/>
  <c r="S2077"/>
  <c r="M2077" s="1"/>
  <c r="S2078"/>
  <c r="M2078" s="1"/>
  <c r="S2079"/>
  <c r="M2079" s="1"/>
  <c r="S2080"/>
  <c r="M2080" s="1"/>
  <c r="S2081"/>
  <c r="M2081" s="1"/>
  <c r="S2082"/>
  <c r="M2082" s="1"/>
  <c r="S2083"/>
  <c r="M2083" s="1"/>
  <c r="S2084"/>
  <c r="M2084" s="1"/>
  <c r="S2085"/>
  <c r="M2085" s="1"/>
  <c r="S2086"/>
  <c r="M2086" s="1"/>
  <c r="S2087"/>
  <c r="M2087" s="1"/>
  <c r="S2088"/>
  <c r="M2088" s="1"/>
  <c r="S2089"/>
  <c r="M2089" s="1"/>
  <c r="S2090"/>
  <c r="M2090" s="1"/>
  <c r="S2091"/>
  <c r="M2091" s="1"/>
  <c r="S2092"/>
  <c r="M2092" s="1"/>
  <c r="S2093"/>
  <c r="M2093" s="1"/>
  <c r="S2094"/>
  <c r="M2094" s="1"/>
  <c r="S2095"/>
  <c r="M2095" s="1"/>
  <c r="S2096"/>
  <c r="M2096" s="1"/>
  <c r="S2097"/>
  <c r="M2097" s="1"/>
  <c r="S2098"/>
  <c r="M2098" s="1"/>
  <c r="S2099"/>
  <c r="M2099" s="1"/>
  <c r="S2100"/>
  <c r="M2100" s="1"/>
  <c r="S2101"/>
  <c r="M2101" s="1"/>
  <c r="S2102"/>
  <c r="M2102" s="1"/>
  <c r="S2103"/>
  <c r="M2103" s="1"/>
  <c r="S2104"/>
  <c r="M2104" s="1"/>
  <c r="S2105"/>
  <c r="M2105" s="1"/>
  <c r="S2106"/>
  <c r="M2106" s="1"/>
  <c r="S2107"/>
  <c r="M2107" s="1"/>
  <c r="S2108"/>
  <c r="M2108" s="1"/>
  <c r="S2109"/>
  <c r="M2109" s="1"/>
  <c r="S2110"/>
  <c r="M2110" s="1"/>
  <c r="S2111"/>
  <c r="M2111" s="1"/>
  <c r="S2112"/>
  <c r="M2112" s="1"/>
  <c r="S2113"/>
  <c r="M2113" s="1"/>
  <c r="S2114"/>
  <c r="M2114" s="1"/>
  <c r="S2115"/>
  <c r="M2115" s="1"/>
  <c r="S2116"/>
  <c r="M2116" s="1"/>
  <c r="S2117"/>
  <c r="M2117" s="1"/>
  <c r="S2118"/>
  <c r="M2118" s="1"/>
  <c r="S2119"/>
  <c r="M2119" s="1"/>
  <c r="S2120"/>
  <c r="M2120" s="1"/>
  <c r="S2121"/>
  <c r="M2121" s="1"/>
  <c r="S2122"/>
  <c r="M2122" s="1"/>
  <c r="S2123"/>
  <c r="M2123" s="1"/>
  <c r="S2124"/>
  <c r="M2124" s="1"/>
  <c r="S2125"/>
  <c r="M2125" s="1"/>
  <c r="S2126"/>
  <c r="M2126" s="1"/>
  <c r="S2127"/>
  <c r="M2127" s="1"/>
  <c r="S2128"/>
  <c r="M2128" s="1"/>
  <c r="S2129"/>
  <c r="M2129" s="1"/>
  <c r="S2130"/>
  <c r="M2130" s="1"/>
  <c r="S2131"/>
  <c r="M2131" s="1"/>
  <c r="S2132"/>
  <c r="M2132" s="1"/>
  <c r="S2133"/>
  <c r="M2133" s="1"/>
  <c r="S2134"/>
  <c r="M2134" s="1"/>
  <c r="S2135"/>
  <c r="M2135" s="1"/>
  <c r="S2136"/>
  <c r="M2136" s="1"/>
  <c r="S2137"/>
  <c r="M2137" s="1"/>
  <c r="S2138"/>
  <c r="M2138" s="1"/>
  <c r="S2139"/>
  <c r="M2139" s="1"/>
  <c r="S2140"/>
  <c r="M2140" s="1"/>
  <c r="S2141"/>
  <c r="M2141" s="1"/>
  <c r="S2142"/>
  <c r="M2142" s="1"/>
  <c r="S2143"/>
  <c r="M2143" s="1"/>
  <c r="S2144"/>
  <c r="M2144" s="1"/>
  <c r="S2145"/>
  <c r="M2145" s="1"/>
  <c r="S2146"/>
  <c r="M2146" s="1"/>
  <c r="S2147"/>
  <c r="M2147" s="1"/>
  <c r="S2148"/>
  <c r="M2148" s="1"/>
  <c r="S2149"/>
  <c r="M2149" s="1"/>
  <c r="S2150"/>
  <c r="M2150" s="1"/>
  <c r="S2151"/>
  <c r="M2151" s="1"/>
  <c r="S2152"/>
  <c r="M2152" s="1"/>
  <c r="S2153"/>
  <c r="M2153" s="1"/>
  <c r="S2154"/>
  <c r="M2154" s="1"/>
  <c r="S2155"/>
  <c r="M2155" s="1"/>
  <c r="S2156"/>
  <c r="M2156" s="1"/>
  <c r="S2157"/>
  <c r="M2157" s="1"/>
  <c r="S2158"/>
  <c r="M2158" s="1"/>
  <c r="S2159"/>
  <c r="M2159" s="1"/>
  <c r="S2160"/>
  <c r="M2160" s="1"/>
  <c r="S2161"/>
  <c r="M2161" s="1"/>
  <c r="S2162"/>
  <c r="M2162" s="1"/>
  <c r="S2163"/>
  <c r="M2163" s="1"/>
  <c r="S2164"/>
  <c r="M2164" s="1"/>
  <c r="S2165"/>
  <c r="M2165" s="1"/>
  <c r="S2166"/>
  <c r="M2166" s="1"/>
  <c r="S2167"/>
  <c r="M2167" s="1"/>
  <c r="S2168"/>
  <c r="M2168" s="1"/>
  <c r="S2169"/>
  <c r="M2169" s="1"/>
  <c r="S2170"/>
  <c r="M2170" s="1"/>
  <c r="S2171"/>
  <c r="M2171" s="1"/>
  <c r="S2172"/>
  <c r="M2172" s="1"/>
  <c r="S2173"/>
  <c r="M2173" s="1"/>
  <c r="S2174"/>
  <c r="M2174" s="1"/>
  <c r="S2175"/>
  <c r="M2175" s="1"/>
  <c r="S2176"/>
  <c r="M2176" s="1"/>
  <c r="S2177"/>
  <c r="M2177" s="1"/>
  <c r="S2178"/>
  <c r="M2178" s="1"/>
  <c r="S2179"/>
  <c r="M2179" s="1"/>
  <c r="S2180"/>
  <c r="M2180" s="1"/>
  <c r="S2181"/>
  <c r="M2181" s="1"/>
  <c r="S2182"/>
  <c r="M2182" s="1"/>
  <c r="S2183"/>
  <c r="M2183" s="1"/>
  <c r="S2184"/>
  <c r="M2184" s="1"/>
  <c r="S2185"/>
  <c r="M2185" s="1"/>
  <c r="S2186"/>
  <c r="M2186" s="1"/>
  <c r="S2187"/>
  <c r="M2187" s="1"/>
  <c r="S2188"/>
  <c r="M2188" s="1"/>
  <c r="S2189"/>
  <c r="M2189" s="1"/>
  <c r="S2190"/>
  <c r="M2190" s="1"/>
  <c r="S2191"/>
  <c r="M2191" s="1"/>
  <c r="S2192"/>
  <c r="M2192" s="1"/>
  <c r="S2193"/>
  <c r="M2193" s="1"/>
  <c r="S2194"/>
  <c r="M2194" s="1"/>
  <c r="S2195"/>
  <c r="M2195" s="1"/>
  <c r="S2196"/>
  <c r="M2196" s="1"/>
  <c r="S2197"/>
  <c r="M2197" s="1"/>
  <c r="S2198"/>
  <c r="M2198" s="1"/>
  <c r="S2199"/>
  <c r="M2199" s="1"/>
  <c r="S2200"/>
  <c r="M2200" s="1"/>
  <c r="S2201"/>
  <c r="M2201" s="1"/>
  <c r="S2202"/>
  <c r="M2202" s="1"/>
  <c r="S2203"/>
  <c r="M2203" s="1"/>
  <c r="S2204"/>
  <c r="M2204" s="1"/>
  <c r="S2205"/>
  <c r="M2205" s="1"/>
  <c r="S2206"/>
  <c r="M2206" s="1"/>
  <c r="S2207"/>
  <c r="M2207" s="1"/>
  <c r="S2208"/>
  <c r="M2208" s="1"/>
  <c r="S2209"/>
  <c r="M2209" s="1"/>
  <c r="S2210"/>
  <c r="M2210" s="1"/>
  <c r="S2211"/>
  <c r="M2211" s="1"/>
  <c r="S2212"/>
  <c r="M2212" s="1"/>
  <c r="S2213"/>
  <c r="M2213" s="1"/>
  <c r="S2214"/>
  <c r="M2214" s="1"/>
  <c r="S2215"/>
  <c r="M2215" s="1"/>
  <c r="S2216"/>
  <c r="M2216" s="1"/>
  <c r="S2217"/>
  <c r="M2217" s="1"/>
  <c r="S2218"/>
  <c r="M2218" s="1"/>
  <c r="S2219"/>
  <c r="M2219" s="1"/>
  <c r="S2220"/>
  <c r="M2220" s="1"/>
  <c r="S2221"/>
  <c r="M2221" s="1"/>
  <c r="S2222"/>
  <c r="M2222" s="1"/>
  <c r="S2223"/>
  <c r="M2223" s="1"/>
  <c r="S2224"/>
  <c r="M2224" s="1"/>
  <c r="S2225"/>
  <c r="M2225" s="1"/>
  <c r="S2226"/>
  <c r="M2226" s="1"/>
  <c r="S2227"/>
  <c r="M2227" s="1"/>
  <c r="S2228"/>
  <c r="M2228" s="1"/>
  <c r="S2229"/>
  <c r="M2229" s="1"/>
  <c r="S2230"/>
  <c r="M2230" s="1"/>
  <c r="S2231"/>
  <c r="M2231" s="1"/>
  <c r="S2232"/>
  <c r="M2232" s="1"/>
  <c r="S2233"/>
  <c r="M2233" s="1"/>
  <c r="S2234"/>
  <c r="M2234" s="1"/>
  <c r="S2235"/>
  <c r="M2235" s="1"/>
  <c r="S2236"/>
  <c r="M2236" s="1"/>
  <c r="S2237"/>
  <c r="M2237" s="1"/>
  <c r="S2238"/>
  <c r="M2238" s="1"/>
  <c r="S2239"/>
  <c r="M2239" s="1"/>
  <c r="S2240"/>
  <c r="M2240" s="1"/>
  <c r="S2241"/>
  <c r="M2241" s="1"/>
  <c r="S2242"/>
  <c r="M2242" s="1"/>
  <c r="S2243"/>
  <c r="M2243" s="1"/>
  <c r="S2244"/>
  <c r="M2244" s="1"/>
  <c r="S2245"/>
  <c r="M2245" s="1"/>
  <c r="S2246"/>
  <c r="M2246" s="1"/>
  <c r="S2247"/>
  <c r="M2247" s="1"/>
  <c r="S2248"/>
  <c r="M2248" s="1"/>
  <c r="S2249"/>
  <c r="M2249" s="1"/>
  <c r="S2250"/>
  <c r="M2250" s="1"/>
  <c r="S2251"/>
  <c r="M2251" s="1"/>
  <c r="S2252"/>
  <c r="M2252" s="1"/>
  <c r="S2253"/>
  <c r="M2253" s="1"/>
  <c r="S2254"/>
  <c r="M2254" s="1"/>
  <c r="S2255"/>
  <c r="M2255" s="1"/>
  <c r="S2256"/>
  <c r="M2256" s="1"/>
  <c r="S2257"/>
  <c r="M2257" s="1"/>
  <c r="S2258"/>
  <c r="M2258" s="1"/>
  <c r="S2259"/>
  <c r="M2259" s="1"/>
  <c r="S2260"/>
  <c r="M2260" s="1"/>
  <c r="S2261"/>
  <c r="M2261" s="1"/>
  <c r="S2262"/>
  <c r="M2262" s="1"/>
  <c r="S2263"/>
  <c r="M2263" s="1"/>
  <c r="S2264"/>
  <c r="M2264" s="1"/>
  <c r="S2265"/>
  <c r="M2265" s="1"/>
  <c r="S2266"/>
  <c r="M2266" s="1"/>
  <c r="S2267"/>
  <c r="M2267" s="1"/>
  <c r="S2268"/>
  <c r="M2268" s="1"/>
  <c r="S2269"/>
  <c r="M2269" s="1"/>
  <c r="S2270"/>
  <c r="M2270" s="1"/>
  <c r="S2271"/>
  <c r="M2271" s="1"/>
  <c r="S2272"/>
  <c r="M2272" s="1"/>
  <c r="S2273"/>
  <c r="M2273" s="1"/>
  <c r="S2274"/>
  <c r="M2274" s="1"/>
  <c r="S2275"/>
  <c r="M2275" s="1"/>
  <c r="S2276"/>
  <c r="M2276" s="1"/>
  <c r="S2277"/>
  <c r="M2277" s="1"/>
  <c r="S2278"/>
  <c r="M2278" s="1"/>
  <c r="S2279"/>
  <c r="M2279" s="1"/>
  <c r="S2280"/>
  <c r="M2280" s="1"/>
  <c r="S2281"/>
  <c r="M2281" s="1"/>
  <c r="S2282"/>
  <c r="M2282" s="1"/>
  <c r="S2283"/>
  <c r="M2283" s="1"/>
  <c r="S2284"/>
  <c r="M2284" s="1"/>
  <c r="S2285"/>
  <c r="M2285" s="1"/>
  <c r="S2286"/>
  <c r="M2286" s="1"/>
  <c r="S2287"/>
  <c r="M2287" s="1"/>
  <c r="S2288"/>
  <c r="M2288" s="1"/>
  <c r="S2289"/>
  <c r="M2289" s="1"/>
  <c r="S2290"/>
  <c r="M2290" s="1"/>
  <c r="S2291"/>
  <c r="M2291" s="1"/>
  <c r="S2292"/>
  <c r="M2292" s="1"/>
  <c r="S2293"/>
  <c r="M2293" s="1"/>
  <c r="S2294"/>
  <c r="M2294" s="1"/>
  <c r="S2295"/>
  <c r="M2295" s="1"/>
  <c r="S2296"/>
  <c r="M2296" s="1"/>
  <c r="S2297"/>
  <c r="M2297" s="1"/>
  <c r="S2298"/>
  <c r="M2298" s="1"/>
  <c r="S2299"/>
  <c r="M2299" s="1"/>
  <c r="S2300"/>
  <c r="M2300" s="1"/>
  <c r="S2301"/>
  <c r="M2301" s="1"/>
  <c r="S2302"/>
  <c r="M2302" s="1"/>
  <c r="S2303"/>
  <c r="M2303" s="1"/>
  <c r="S2304"/>
  <c r="M2304" s="1"/>
  <c r="S2305"/>
  <c r="M2305" s="1"/>
  <c r="S2306"/>
  <c r="M2306" s="1"/>
  <c r="S2307"/>
  <c r="M2307" s="1"/>
  <c r="S2308"/>
  <c r="M2308" s="1"/>
  <c r="S2309"/>
  <c r="M2309" s="1"/>
  <c r="S2310"/>
  <c r="M2310" s="1"/>
  <c r="S2311"/>
  <c r="M2311" s="1"/>
  <c r="S2312"/>
  <c r="M2312" s="1"/>
  <c r="S2313"/>
  <c r="M2313" s="1"/>
  <c r="S2314"/>
  <c r="M2314" s="1"/>
  <c r="S2315"/>
  <c r="M2315" s="1"/>
  <c r="S2316"/>
  <c r="M2316" s="1"/>
  <c r="S2317"/>
  <c r="M2317" s="1"/>
  <c r="S2318"/>
  <c r="M2318" s="1"/>
  <c r="S2319"/>
  <c r="M2319" s="1"/>
  <c r="S2320"/>
  <c r="M2320" s="1"/>
  <c r="S2321"/>
  <c r="M2321" s="1"/>
  <c r="S2322"/>
  <c r="M2322" s="1"/>
  <c r="S2323"/>
  <c r="M2323" s="1"/>
  <c r="S2324"/>
  <c r="M2324" s="1"/>
  <c r="S2325"/>
  <c r="M2325" s="1"/>
  <c r="S2326"/>
  <c r="M2326" s="1"/>
  <c r="S2327"/>
  <c r="M2327" s="1"/>
  <c r="S2328"/>
  <c r="M2328" s="1"/>
  <c r="S2329"/>
  <c r="M2329" s="1"/>
  <c r="S2330"/>
  <c r="M2330" s="1"/>
  <c r="S2331"/>
  <c r="M2331" s="1"/>
  <c r="S2332"/>
  <c r="M2332" s="1"/>
  <c r="S2333"/>
  <c r="M2333" s="1"/>
  <c r="S2334"/>
  <c r="M2334" s="1"/>
  <c r="S2335"/>
  <c r="M2335" s="1"/>
  <c r="S2336"/>
  <c r="M2336" s="1"/>
  <c r="S2337"/>
  <c r="M2337" s="1"/>
  <c r="S2338"/>
  <c r="M2338" s="1"/>
  <c r="S2339"/>
  <c r="M2339" s="1"/>
  <c r="S2340"/>
  <c r="M2340" s="1"/>
  <c r="S2341"/>
  <c r="M2341" s="1"/>
  <c r="S2342"/>
  <c r="M2342" s="1"/>
  <c r="S2343"/>
  <c r="M2343" s="1"/>
  <c r="S2344"/>
  <c r="M2344" s="1"/>
  <c r="S2345"/>
  <c r="M2345" s="1"/>
  <c r="S2346"/>
  <c r="M2346" s="1"/>
  <c r="S2347"/>
  <c r="M2347" s="1"/>
  <c r="S2348"/>
  <c r="M2348" s="1"/>
  <c r="S2349"/>
  <c r="M2349" s="1"/>
  <c r="S2350"/>
  <c r="M2350" s="1"/>
  <c r="S2351"/>
  <c r="M2351" s="1"/>
  <c r="S2352"/>
  <c r="M2352" s="1"/>
  <c r="S2353"/>
  <c r="M2353" s="1"/>
  <c r="S2354"/>
  <c r="M2354" s="1"/>
  <c r="S2355"/>
  <c r="M2355" s="1"/>
  <c r="S2356"/>
  <c r="M2356" s="1"/>
  <c r="S2357"/>
  <c r="M2357" s="1"/>
  <c r="S2358"/>
  <c r="M2358" s="1"/>
  <c r="S2359"/>
  <c r="M2359" s="1"/>
  <c r="S2360"/>
  <c r="M2360" s="1"/>
  <c r="S2361"/>
  <c r="M2361" s="1"/>
  <c r="S2362"/>
  <c r="M2362" s="1"/>
  <c r="S2363"/>
  <c r="M2363" s="1"/>
  <c r="S2364"/>
  <c r="M2364" s="1"/>
  <c r="S2365"/>
  <c r="M2365" s="1"/>
  <c r="S2366"/>
  <c r="M2366" s="1"/>
  <c r="S2367"/>
  <c r="M2367" s="1"/>
  <c r="S2368"/>
  <c r="M2368" s="1"/>
  <c r="S2369"/>
  <c r="M2369" s="1"/>
  <c r="S2370"/>
  <c r="M2370" s="1"/>
  <c r="S2371"/>
  <c r="M2371" s="1"/>
  <c r="S2372"/>
  <c r="M2372" s="1"/>
  <c r="S2373"/>
  <c r="M2373" s="1"/>
  <c r="S2374"/>
  <c r="M2374" s="1"/>
  <c r="S2375"/>
  <c r="M2375" s="1"/>
  <c r="S2376"/>
  <c r="M2376" s="1"/>
  <c r="S2377"/>
  <c r="M2377" s="1"/>
  <c r="S2378"/>
  <c r="M2378" s="1"/>
  <c r="S2379"/>
  <c r="M2379" s="1"/>
  <c r="S2380"/>
  <c r="M2380" s="1"/>
  <c r="S2381"/>
  <c r="M2381" s="1"/>
  <c r="S2382"/>
  <c r="M2382" s="1"/>
  <c r="S2383"/>
  <c r="M2383" s="1"/>
  <c r="S2384"/>
  <c r="M2384" s="1"/>
  <c r="S2385"/>
  <c r="M2385" s="1"/>
  <c r="S2386"/>
  <c r="M2386" s="1"/>
  <c r="S2387"/>
  <c r="M2387" s="1"/>
  <c r="S2388"/>
  <c r="M2388" s="1"/>
  <c r="S2389"/>
  <c r="M2389" s="1"/>
  <c r="S2390"/>
  <c r="M2390" s="1"/>
  <c r="S2391"/>
  <c r="M2391" s="1"/>
  <c r="S2392"/>
  <c r="M2392" s="1"/>
  <c r="S2393"/>
  <c r="M2393" s="1"/>
  <c r="S2394"/>
  <c r="M2394" s="1"/>
  <c r="S2395"/>
  <c r="M2395" s="1"/>
  <c r="S2396"/>
  <c r="M2396" s="1"/>
  <c r="S2397"/>
  <c r="M2397" s="1"/>
  <c r="S2398"/>
  <c r="M2398" s="1"/>
  <c r="S2399"/>
  <c r="M2399" s="1"/>
  <c r="S2400"/>
  <c r="M2400" s="1"/>
  <c r="S2401"/>
  <c r="M2401" s="1"/>
  <c r="S2402"/>
  <c r="M2402" s="1"/>
  <c r="S2403"/>
  <c r="M2403" s="1"/>
  <c r="S2404"/>
  <c r="M2404" s="1"/>
  <c r="S2405"/>
  <c r="M2405" s="1"/>
  <c r="S2406"/>
  <c r="M2406" s="1"/>
  <c r="S2407"/>
  <c r="M2407" s="1"/>
  <c r="S2408"/>
  <c r="M2408" s="1"/>
  <c r="S2409"/>
  <c r="M2409" s="1"/>
  <c r="S2410"/>
  <c r="M2410" s="1"/>
  <c r="S2411"/>
  <c r="M2411" s="1"/>
  <c r="S2412"/>
  <c r="M2412" s="1"/>
  <c r="S2413"/>
  <c r="M2413" s="1"/>
  <c r="S2414"/>
  <c r="M2414" s="1"/>
  <c r="S2415"/>
  <c r="M2415" s="1"/>
  <c r="S2416"/>
  <c r="M2416" s="1"/>
  <c r="S2417"/>
  <c r="M2417" s="1"/>
  <c r="S2418"/>
  <c r="M2418" s="1"/>
  <c r="S2419"/>
  <c r="M2419" s="1"/>
  <c r="S2420"/>
  <c r="M2420" s="1"/>
  <c r="S2421"/>
  <c r="M2421" s="1"/>
  <c r="S2422"/>
  <c r="M2422" s="1"/>
  <c r="S2423"/>
  <c r="M2423" s="1"/>
  <c r="S2424"/>
  <c r="M2424" s="1"/>
  <c r="S2425"/>
  <c r="M2425" s="1"/>
  <c r="S2426"/>
  <c r="M2426" s="1"/>
  <c r="S2427"/>
  <c r="M2427" s="1"/>
  <c r="S2428"/>
  <c r="M2428" s="1"/>
  <c r="S2429"/>
  <c r="M2429" s="1"/>
  <c r="S2430"/>
  <c r="M2430" s="1"/>
  <c r="S2431"/>
  <c r="M2431" s="1"/>
  <c r="S2432"/>
  <c r="M2432" s="1"/>
  <c r="S2433"/>
  <c r="M2433" s="1"/>
  <c r="S2434"/>
  <c r="M2434" s="1"/>
  <c r="S2435"/>
  <c r="M2435" s="1"/>
  <c r="S2436"/>
  <c r="M2436" s="1"/>
  <c r="S2437"/>
  <c r="M2437" s="1"/>
  <c r="S2438"/>
  <c r="M2438" s="1"/>
  <c r="S2439"/>
  <c r="M2439" s="1"/>
  <c r="S2440"/>
  <c r="M2440" s="1"/>
  <c r="S2441"/>
  <c r="M2441" s="1"/>
  <c r="S2442"/>
  <c r="M2442" s="1"/>
  <c r="S2443"/>
  <c r="M2443" s="1"/>
  <c r="S2444"/>
  <c r="M2444" s="1"/>
  <c r="S2445"/>
  <c r="M2445" s="1"/>
  <c r="S2446"/>
  <c r="M2446" s="1"/>
  <c r="S2447"/>
  <c r="M2447" s="1"/>
  <c r="S2448"/>
  <c r="M2448" s="1"/>
  <c r="S2449"/>
  <c r="M2449" s="1"/>
  <c r="S2450"/>
  <c r="M2450" s="1"/>
  <c r="S2451"/>
  <c r="M2451" s="1"/>
  <c r="S2452"/>
  <c r="M2452" s="1"/>
  <c r="S2453"/>
  <c r="M2453" s="1"/>
  <c r="S2454"/>
  <c r="M2454" s="1"/>
  <c r="S2455"/>
  <c r="M2455" s="1"/>
  <c r="S2456"/>
  <c r="M2456" s="1"/>
  <c r="S2457"/>
  <c r="M2457" s="1"/>
  <c r="S2458"/>
  <c r="M2458" s="1"/>
  <c r="S2459"/>
  <c r="M2459" s="1"/>
  <c r="S2460"/>
  <c r="M2460" s="1"/>
  <c r="S2461"/>
  <c r="M2461" s="1"/>
  <c r="S2462"/>
  <c r="M2462" s="1"/>
  <c r="S2463"/>
  <c r="M2463" s="1"/>
  <c r="S2464"/>
  <c r="M2464" s="1"/>
  <c r="S2465"/>
  <c r="M2465" s="1"/>
  <c r="S2466"/>
  <c r="M2466" s="1"/>
  <c r="S2467"/>
  <c r="M2467" s="1"/>
  <c r="S2468"/>
  <c r="M2468" s="1"/>
  <c r="S2469"/>
  <c r="M2469" s="1"/>
  <c r="S2470"/>
  <c r="M2470" s="1"/>
  <c r="S2471"/>
  <c r="M2471" s="1"/>
  <c r="S2472"/>
  <c r="M2472" s="1"/>
  <c r="S2473"/>
  <c r="M2473" s="1"/>
  <c r="S2474"/>
  <c r="M2474" s="1"/>
  <c r="S2475"/>
  <c r="M2475" s="1"/>
  <c r="S2476"/>
  <c r="M2476" s="1"/>
  <c r="S2477"/>
  <c r="M2477" s="1"/>
  <c r="S2478"/>
  <c r="M2478" s="1"/>
  <c r="S2479"/>
  <c r="M2479" s="1"/>
  <c r="S2480"/>
  <c r="M2480" s="1"/>
  <c r="S2481"/>
  <c r="M2481" s="1"/>
  <c r="S2482"/>
  <c r="M2482" s="1"/>
  <c r="S2483"/>
  <c r="M2483" s="1"/>
  <c r="S2484"/>
  <c r="M2484" s="1"/>
  <c r="S2485"/>
  <c r="M2485" s="1"/>
  <c r="S2486"/>
  <c r="M2486" s="1"/>
  <c r="S2487"/>
  <c r="M2487" s="1"/>
  <c r="S2488"/>
  <c r="M2488" s="1"/>
  <c r="S2489"/>
  <c r="M2489" s="1"/>
  <c r="S2490"/>
  <c r="M2490" s="1"/>
  <c r="S2491"/>
  <c r="M2491" s="1"/>
  <c r="S2492"/>
  <c r="M2492" s="1"/>
  <c r="S2493"/>
  <c r="M2493" s="1"/>
  <c r="S2494"/>
  <c r="M2494" s="1"/>
  <c r="S2495"/>
  <c r="M2495" s="1"/>
  <c r="S2496"/>
  <c r="M2496" s="1"/>
  <c r="S2497"/>
  <c r="M2497" s="1"/>
  <c r="S2498"/>
  <c r="M2498" s="1"/>
  <c r="S2499"/>
  <c r="M2499" s="1"/>
  <c r="S2500"/>
  <c r="M2500" s="1"/>
  <c r="S2501"/>
  <c r="M2501" s="1"/>
  <c r="S2502"/>
  <c r="M2502" s="1"/>
  <c r="S2503"/>
  <c r="M2503" s="1"/>
  <c r="S2504"/>
  <c r="M2504" s="1"/>
  <c r="S2505"/>
  <c r="M2505" s="1"/>
  <c r="S2506"/>
  <c r="M2506" s="1"/>
  <c r="S2507"/>
  <c r="M2507" s="1"/>
  <c r="S2508"/>
  <c r="M2508" s="1"/>
  <c r="S2509"/>
  <c r="M2509" s="1"/>
  <c r="S2510"/>
  <c r="M2510" s="1"/>
  <c r="S2511"/>
  <c r="M2511" s="1"/>
  <c r="S2512"/>
  <c r="M2512" s="1"/>
  <c r="S2513"/>
  <c r="M2513" s="1"/>
  <c r="S2514"/>
  <c r="M2514" s="1"/>
  <c r="S2515"/>
  <c r="M2515" s="1"/>
  <c r="S2516"/>
  <c r="M2516" s="1"/>
  <c r="S2517"/>
  <c r="M2517" s="1"/>
  <c r="S2518"/>
  <c r="M2518" s="1"/>
  <c r="S2519"/>
  <c r="M2519" s="1"/>
  <c r="S2520"/>
  <c r="M2520" s="1"/>
  <c r="S2521"/>
  <c r="M2521" s="1"/>
  <c r="S2522"/>
  <c r="M2522" s="1"/>
  <c r="S2523"/>
  <c r="M2523" s="1"/>
  <c r="S2524"/>
  <c r="M2524" s="1"/>
  <c r="S2525"/>
  <c r="M2525" s="1"/>
  <c r="S2526"/>
  <c r="M2526" s="1"/>
  <c r="S2527"/>
  <c r="M2527" s="1"/>
  <c r="S2528"/>
  <c r="M2528" s="1"/>
  <c r="S2529"/>
  <c r="M2529" s="1"/>
  <c r="S2530"/>
  <c r="M2530" s="1"/>
  <c r="S2531"/>
  <c r="M2531" s="1"/>
  <c r="S2532"/>
  <c r="M2532" s="1"/>
  <c r="S2533"/>
  <c r="M2533" s="1"/>
  <c r="S2534"/>
  <c r="M2534" s="1"/>
  <c r="S2535"/>
  <c r="M2535" s="1"/>
  <c r="S2536"/>
  <c r="M2536" s="1"/>
  <c r="S2537"/>
  <c r="M2537" s="1"/>
  <c r="S2538"/>
  <c r="M2538" s="1"/>
  <c r="S2539"/>
  <c r="M2539" s="1"/>
  <c r="S2540"/>
  <c r="M2540" s="1"/>
  <c r="S2541"/>
  <c r="M2541" s="1"/>
  <c r="S2542"/>
  <c r="M2542" s="1"/>
  <c r="S2543"/>
  <c r="M2543" s="1"/>
  <c r="S2544"/>
  <c r="M2544" s="1"/>
  <c r="S2545"/>
  <c r="M2545" s="1"/>
  <c r="S2546"/>
  <c r="M2546" s="1"/>
  <c r="S2547"/>
  <c r="M2547" s="1"/>
  <c r="S2548"/>
  <c r="M2548" s="1"/>
  <c r="S2549"/>
  <c r="M2549" s="1"/>
  <c r="S2550"/>
  <c r="M2550" s="1"/>
  <c r="S2551"/>
  <c r="M2551" s="1"/>
  <c r="S2552"/>
  <c r="M2552" s="1"/>
  <c r="S2553"/>
  <c r="M2553" s="1"/>
  <c r="S2554"/>
  <c r="M2554" s="1"/>
  <c r="S2555"/>
  <c r="M2555" s="1"/>
  <c r="S2556"/>
  <c r="M2556" s="1"/>
  <c r="S2557"/>
  <c r="M2557" s="1"/>
  <c r="S2558"/>
  <c r="M2558" s="1"/>
  <c r="S2559"/>
  <c r="M2559" s="1"/>
  <c r="S2560"/>
  <c r="M2560" s="1"/>
  <c r="S2561"/>
  <c r="M2561" s="1"/>
  <c r="S2562"/>
  <c r="M2562" s="1"/>
  <c r="S2563"/>
  <c r="M2563" s="1"/>
  <c r="S2564"/>
  <c r="M2564" s="1"/>
  <c r="S2565"/>
  <c r="M2565" s="1"/>
  <c r="S2566"/>
  <c r="M2566" s="1"/>
  <c r="S2567"/>
  <c r="M2567" s="1"/>
  <c r="S2568"/>
  <c r="M2568" s="1"/>
  <c r="S2569"/>
  <c r="M2569" s="1"/>
  <c r="S2570"/>
  <c r="M2570" s="1"/>
  <c r="S2571"/>
  <c r="M2571" s="1"/>
  <c r="S2572"/>
  <c r="M2572" s="1"/>
  <c r="S2573"/>
  <c r="M2573" s="1"/>
  <c r="S2574"/>
  <c r="M2574" s="1"/>
  <c r="S2575"/>
  <c r="M2575" s="1"/>
  <c r="S2576"/>
  <c r="M2576" s="1"/>
  <c r="S2577"/>
  <c r="M2577" s="1"/>
  <c r="S2578"/>
  <c r="M2578" s="1"/>
  <c r="S2579"/>
  <c r="M2579" s="1"/>
  <c r="S2580"/>
  <c r="M2580" s="1"/>
  <c r="S2581"/>
  <c r="M2581" s="1"/>
  <c r="S2582"/>
  <c r="M2582" s="1"/>
  <c r="S2583"/>
  <c r="M2583" s="1"/>
  <c r="S2584"/>
  <c r="M2584" s="1"/>
  <c r="S2585"/>
  <c r="M2585" s="1"/>
  <c r="S2586"/>
  <c r="M2586" s="1"/>
  <c r="S2587"/>
  <c r="M2587" s="1"/>
  <c r="S2588"/>
  <c r="M2588" s="1"/>
  <c r="S2589"/>
  <c r="M2589" s="1"/>
  <c r="S2590"/>
  <c r="M2590" s="1"/>
  <c r="S2591"/>
  <c r="M2591" s="1"/>
  <c r="S2592"/>
  <c r="M2592" s="1"/>
  <c r="S2593"/>
  <c r="M2593" s="1"/>
  <c r="S2594"/>
  <c r="M2594" s="1"/>
  <c r="S2595"/>
  <c r="M2595" s="1"/>
  <c r="S2596"/>
  <c r="M2596" s="1"/>
  <c r="S2597"/>
  <c r="M2597" s="1"/>
  <c r="S2598"/>
  <c r="M2598" s="1"/>
  <c r="S2599"/>
  <c r="M2599" s="1"/>
  <c r="S2600"/>
  <c r="M2600" s="1"/>
  <c r="S2601"/>
  <c r="M2601" s="1"/>
  <c r="S2602"/>
  <c r="M2602" s="1"/>
  <c r="S2603"/>
  <c r="M2603" s="1"/>
  <c r="S2604"/>
  <c r="M2604" s="1"/>
  <c r="S2605"/>
  <c r="M2605" s="1"/>
  <c r="S2606"/>
  <c r="M2606" s="1"/>
  <c r="S2607"/>
  <c r="M2607" s="1"/>
  <c r="S2608"/>
  <c r="M2608" s="1"/>
  <c r="S2609"/>
  <c r="M2609" s="1"/>
  <c r="S2610"/>
  <c r="M2610" s="1"/>
  <c r="S2611"/>
  <c r="M2611" s="1"/>
  <c r="S2612"/>
  <c r="M2612" s="1"/>
  <c r="S2613"/>
  <c r="M2613" s="1"/>
  <c r="S2614"/>
  <c r="M2614" s="1"/>
  <c r="S2615"/>
  <c r="M2615" s="1"/>
  <c r="S2616"/>
  <c r="M2616" s="1"/>
  <c r="S2617"/>
  <c r="M2617" s="1"/>
  <c r="S2618"/>
  <c r="M2618" s="1"/>
  <c r="S2619"/>
  <c r="M2619" s="1"/>
  <c r="S2620"/>
  <c r="M2620" s="1"/>
  <c r="S2621"/>
  <c r="M2621" s="1"/>
  <c r="S2622"/>
  <c r="M2622" s="1"/>
  <c r="S2623"/>
  <c r="M2623" s="1"/>
  <c r="S2624"/>
  <c r="M2624" s="1"/>
  <c r="S2625"/>
  <c r="M2625" s="1"/>
  <c r="S2626"/>
  <c r="M2626" s="1"/>
  <c r="S2627"/>
  <c r="M2627" s="1"/>
  <c r="S2628"/>
  <c r="M2628" s="1"/>
  <c r="S2629"/>
  <c r="M2629" s="1"/>
  <c r="S2630"/>
  <c r="M2630" s="1"/>
  <c r="S2631"/>
  <c r="M2631" s="1"/>
  <c r="S2632"/>
  <c r="M2632" s="1"/>
  <c r="S2633"/>
  <c r="M2633" s="1"/>
  <c r="S2634"/>
  <c r="M2634" s="1"/>
  <c r="S2635"/>
  <c r="M2635" s="1"/>
  <c r="S2636"/>
  <c r="M2636" s="1"/>
  <c r="S2637"/>
  <c r="M2637" s="1"/>
  <c r="S2638"/>
  <c r="M2638" s="1"/>
  <c r="S2639"/>
  <c r="M2639" s="1"/>
  <c r="S2640"/>
  <c r="M2640" s="1"/>
  <c r="S2641"/>
  <c r="M2641" s="1"/>
  <c r="S2642"/>
  <c r="M2642" s="1"/>
  <c r="S2643"/>
  <c r="M2643" s="1"/>
  <c r="S2644"/>
  <c r="M2644" s="1"/>
  <c r="S2645"/>
  <c r="M2645" s="1"/>
  <c r="S2646"/>
  <c r="M2646" s="1"/>
  <c r="S2647"/>
  <c r="M2647" s="1"/>
  <c r="S2648"/>
  <c r="M2648" s="1"/>
  <c r="S2649"/>
  <c r="M2649" s="1"/>
  <c r="S2650"/>
  <c r="M2650" s="1"/>
  <c r="S2651"/>
  <c r="M2651" s="1"/>
  <c r="S2652"/>
  <c r="M2652" s="1"/>
  <c r="S2653"/>
  <c r="M2653" s="1"/>
  <c r="S2654"/>
  <c r="M2654" s="1"/>
  <c r="S2655"/>
  <c r="M2655" s="1"/>
  <c r="S2656"/>
  <c r="M2656" s="1"/>
  <c r="S2657"/>
  <c r="M2657" s="1"/>
  <c r="S2658"/>
  <c r="M2658" s="1"/>
  <c r="S2659"/>
  <c r="M2659" s="1"/>
  <c r="S2660"/>
  <c r="M2660" s="1"/>
  <c r="S2661"/>
  <c r="M2661" s="1"/>
  <c r="S2662"/>
  <c r="M2662" s="1"/>
  <c r="S2663"/>
  <c r="M2663" s="1"/>
  <c r="S2664"/>
  <c r="M2664" s="1"/>
  <c r="S2665"/>
  <c r="M2665" s="1"/>
  <c r="S2666"/>
  <c r="M2666" s="1"/>
  <c r="S2667"/>
  <c r="M2667" s="1"/>
  <c r="S2668"/>
  <c r="M2668" s="1"/>
  <c r="S2669"/>
  <c r="M2669" s="1"/>
  <c r="S2670"/>
  <c r="M2670" s="1"/>
  <c r="S2671"/>
  <c r="M2671" s="1"/>
  <c r="S2672"/>
  <c r="M2672" s="1"/>
  <c r="S2673"/>
  <c r="M2673" s="1"/>
  <c r="S2674"/>
  <c r="M2674" s="1"/>
  <c r="S2675"/>
  <c r="M2675" s="1"/>
  <c r="S2676"/>
  <c r="M2676" s="1"/>
  <c r="S2677"/>
  <c r="M2677" s="1"/>
  <c r="S2678"/>
  <c r="M2678" s="1"/>
  <c r="S2679"/>
  <c r="M2679" s="1"/>
  <c r="S2680"/>
  <c r="M2680" s="1"/>
  <c r="S2681"/>
  <c r="M2681" s="1"/>
  <c r="S2682"/>
  <c r="M2682" s="1"/>
  <c r="S2683"/>
  <c r="M2683" s="1"/>
  <c r="S2684"/>
  <c r="M2684" s="1"/>
  <c r="S2685"/>
  <c r="M2685" s="1"/>
  <c r="S2686"/>
  <c r="M2686" s="1"/>
  <c r="S2687"/>
  <c r="M2687" s="1"/>
  <c r="S2688"/>
  <c r="M2688" s="1"/>
  <c r="S2689"/>
  <c r="M2689" s="1"/>
  <c r="S2690"/>
  <c r="M2690" s="1"/>
  <c r="S2691"/>
  <c r="V2691" s="1"/>
  <c r="S2692"/>
  <c r="M2692" s="1"/>
  <c r="S2693"/>
  <c r="M2693" s="1"/>
  <c r="S2694"/>
  <c r="M2694" s="1"/>
  <c r="S2695"/>
  <c r="M2695" s="1"/>
  <c r="S2696"/>
  <c r="M2696" s="1"/>
  <c r="S2697"/>
  <c r="M2697" s="1"/>
  <c r="S2698"/>
  <c r="M2698" s="1"/>
  <c r="S2699"/>
  <c r="M2699" s="1"/>
  <c r="S2700"/>
  <c r="M2700" s="1"/>
  <c r="S2701"/>
  <c r="M2701" s="1"/>
  <c r="S2702"/>
  <c r="M2702" s="1"/>
  <c r="S2703"/>
  <c r="M2703" s="1"/>
  <c r="S2704"/>
  <c r="M2704" s="1"/>
  <c r="S2705"/>
  <c r="M2705" s="1"/>
  <c r="S2706"/>
  <c r="M2706" s="1"/>
  <c r="S2707"/>
  <c r="M2707" s="1"/>
  <c r="S2708"/>
  <c r="M2708" s="1"/>
  <c r="S2709"/>
  <c r="M2709" s="1"/>
  <c r="S2710"/>
  <c r="M2710" s="1"/>
  <c r="S2711"/>
  <c r="M2711" s="1"/>
  <c r="S2712"/>
  <c r="M2712" s="1"/>
  <c r="S2713"/>
  <c r="M2713" s="1"/>
  <c r="S2714"/>
  <c r="M2714" s="1"/>
  <c r="S2715"/>
  <c r="M2715" s="1"/>
  <c r="S2716"/>
  <c r="M2716" s="1"/>
  <c r="S2717"/>
  <c r="M2717" s="1"/>
  <c r="S2718"/>
  <c r="M2718" s="1"/>
  <c r="S2719"/>
  <c r="M2719" s="1"/>
  <c r="S2720"/>
  <c r="M2720" s="1"/>
  <c r="S2721"/>
  <c r="M2721" s="1"/>
  <c r="S2722"/>
  <c r="M2722" s="1"/>
  <c r="S2723"/>
  <c r="M2723" s="1"/>
  <c r="S2724"/>
  <c r="M2724" s="1"/>
  <c r="S2725"/>
  <c r="M2725" s="1"/>
  <c r="S2726"/>
  <c r="M2726" s="1"/>
  <c r="S2727"/>
  <c r="M2727" s="1"/>
  <c r="S2728"/>
  <c r="M2728" s="1"/>
  <c r="S2729"/>
  <c r="M2729" s="1"/>
  <c r="S2730"/>
  <c r="M2730" s="1"/>
  <c r="S2731"/>
  <c r="M2731" s="1"/>
  <c r="S2732"/>
  <c r="M2732" s="1"/>
  <c r="S2733"/>
  <c r="M2733" s="1"/>
  <c r="S2734"/>
  <c r="M2734" s="1"/>
  <c r="S2735"/>
  <c r="M2735" s="1"/>
  <c r="S2736"/>
  <c r="M2736" s="1"/>
  <c r="S2737"/>
  <c r="M2737" s="1"/>
  <c r="S2738"/>
  <c r="M2738" s="1"/>
  <c r="S2739"/>
  <c r="M2739" s="1"/>
  <c r="S2740"/>
  <c r="M2740" s="1"/>
  <c r="S2741"/>
  <c r="M2741" s="1"/>
  <c r="S2742"/>
  <c r="M2742" s="1"/>
  <c r="S2743"/>
  <c r="M2743" s="1"/>
  <c r="S2744"/>
  <c r="M2744" s="1"/>
  <c r="S2745"/>
  <c r="M2745" s="1"/>
  <c r="S2746"/>
  <c r="M2746" s="1"/>
  <c r="S2747"/>
  <c r="M2747" s="1"/>
  <c r="S2748"/>
  <c r="M2748" s="1"/>
  <c r="S2749"/>
  <c r="M2749" s="1"/>
  <c r="S2750"/>
  <c r="M2750" s="1"/>
  <c r="S2751"/>
  <c r="M2751" s="1"/>
  <c r="S2752"/>
  <c r="M2752" s="1"/>
  <c r="S2753"/>
  <c r="M2753" s="1"/>
  <c r="S2754"/>
  <c r="M2754" s="1"/>
  <c r="S2755"/>
  <c r="M2755" s="1"/>
  <c r="S2756"/>
  <c r="M2756" s="1"/>
  <c r="S2757"/>
  <c r="M2757" s="1"/>
  <c r="S2758"/>
  <c r="M2758" s="1"/>
  <c r="S2759"/>
  <c r="M2759" s="1"/>
  <c r="S2760"/>
  <c r="M2760" s="1"/>
  <c r="S2761"/>
  <c r="M2761" s="1"/>
  <c r="S2762"/>
  <c r="M2762" s="1"/>
  <c r="S2763"/>
  <c r="M2763" s="1"/>
  <c r="S2764"/>
  <c r="M2764" s="1"/>
  <c r="S2765"/>
  <c r="M2765" s="1"/>
  <c r="S2766"/>
  <c r="M2766" s="1"/>
  <c r="S2767"/>
  <c r="M2767" s="1"/>
  <c r="S2768"/>
  <c r="M2768" s="1"/>
  <c r="S2769"/>
  <c r="M2769" s="1"/>
  <c r="S2770"/>
  <c r="M2770" s="1"/>
  <c r="S2771"/>
  <c r="M2771" s="1"/>
  <c r="S2772"/>
  <c r="M2772" s="1"/>
  <c r="S2773"/>
  <c r="M2773" s="1"/>
  <c r="S2774"/>
  <c r="M2774" s="1"/>
  <c r="S2775"/>
  <c r="M2775" s="1"/>
  <c r="S2776"/>
  <c r="M2776" s="1"/>
  <c r="S2777"/>
  <c r="M2777" s="1"/>
  <c r="S2778"/>
  <c r="M2778" s="1"/>
  <c r="S2779"/>
  <c r="M2779" s="1"/>
  <c r="S2780"/>
  <c r="M2780" s="1"/>
  <c r="S2781"/>
  <c r="M2781" s="1"/>
  <c r="S2782"/>
  <c r="M2782" s="1"/>
  <c r="S2783"/>
  <c r="M2783" s="1"/>
  <c r="S2784"/>
  <c r="M2784" s="1"/>
  <c r="S2785"/>
  <c r="M2785" s="1"/>
  <c r="S2786"/>
  <c r="M2786" s="1"/>
  <c r="S2787"/>
  <c r="M2787" s="1"/>
  <c r="S2788"/>
  <c r="M2788" s="1"/>
  <c r="S2789"/>
  <c r="M2789" s="1"/>
  <c r="S2790"/>
  <c r="M2790" s="1"/>
  <c r="S2791"/>
  <c r="M2791" s="1"/>
  <c r="S2792"/>
  <c r="M2792" s="1"/>
  <c r="S2793"/>
  <c r="M2793" s="1"/>
  <c r="S2794"/>
  <c r="M2794" s="1"/>
  <c r="S2795"/>
  <c r="M2795" s="1"/>
  <c r="S2796"/>
  <c r="M2796" s="1"/>
  <c r="S2797"/>
  <c r="M2797" s="1"/>
  <c r="S2798"/>
  <c r="M2798" s="1"/>
  <c r="S2799"/>
  <c r="M2799" s="1"/>
  <c r="S2800"/>
  <c r="M2800" s="1"/>
  <c r="S2801"/>
  <c r="M2801" s="1"/>
  <c r="S2802"/>
  <c r="M2802" s="1"/>
  <c r="S2803"/>
  <c r="M2803" s="1"/>
  <c r="S2804"/>
  <c r="M2804" s="1"/>
  <c r="S2805"/>
  <c r="M2805" s="1"/>
  <c r="S2806"/>
  <c r="M2806" s="1"/>
  <c r="S2807"/>
  <c r="M2807" s="1"/>
  <c r="S2808"/>
  <c r="M2808" s="1"/>
  <c r="S2809"/>
  <c r="M2809" s="1"/>
  <c r="S2810"/>
  <c r="M2810" s="1"/>
  <c r="S2811"/>
  <c r="M2811" s="1"/>
  <c r="S2812"/>
  <c r="M2812" s="1"/>
  <c r="S2813"/>
  <c r="M2813" s="1"/>
  <c r="S2814"/>
  <c r="M2814" s="1"/>
  <c r="S2815"/>
  <c r="M2815" s="1"/>
  <c r="S2816"/>
  <c r="M2816" s="1"/>
  <c r="S2817"/>
  <c r="M2817" s="1"/>
  <c r="S2818"/>
  <c r="M2818" s="1"/>
  <c r="S2819"/>
  <c r="M2819" s="1"/>
  <c r="S2820"/>
  <c r="M2820" s="1"/>
  <c r="S2821"/>
  <c r="M2821" s="1"/>
  <c r="S2822"/>
  <c r="M2822" s="1"/>
  <c r="S2823"/>
  <c r="M2823" s="1"/>
  <c r="S2824"/>
  <c r="M2824" s="1"/>
  <c r="S2825"/>
  <c r="M2825" s="1"/>
  <c r="S2826"/>
  <c r="M2826" s="1"/>
  <c r="S2827"/>
  <c r="M2827" s="1"/>
  <c r="S2828"/>
  <c r="M2828" s="1"/>
  <c r="S2829"/>
  <c r="M2829" s="1"/>
  <c r="S2830"/>
  <c r="M2830" s="1"/>
  <c r="S2831"/>
  <c r="M2831" s="1"/>
  <c r="S2832"/>
  <c r="M2832" s="1"/>
  <c r="S2833"/>
  <c r="M2833" s="1"/>
  <c r="S2834"/>
  <c r="M2834" s="1"/>
  <c r="S2835"/>
  <c r="V2835" s="1"/>
  <c r="S2836"/>
  <c r="M2836" s="1"/>
  <c r="S2837"/>
  <c r="M2837" s="1"/>
  <c r="S2838"/>
  <c r="M2838" s="1"/>
  <c r="S2839"/>
  <c r="M2839" s="1"/>
  <c r="S2840"/>
  <c r="M2840" s="1"/>
  <c r="S2841"/>
  <c r="M2841" s="1"/>
  <c r="S2842"/>
  <c r="M2842" s="1"/>
  <c r="S2843"/>
  <c r="M2843" s="1"/>
  <c r="S2844"/>
  <c r="M2844" s="1"/>
  <c r="S2845"/>
  <c r="M2845" s="1"/>
  <c r="S2846"/>
  <c r="M2846" s="1"/>
  <c r="S2847"/>
  <c r="M2847" s="1"/>
  <c r="S2848"/>
  <c r="M2848" s="1"/>
  <c r="S2849"/>
  <c r="M2849" s="1"/>
  <c r="S2850"/>
  <c r="M2850" s="1"/>
  <c r="S2851"/>
  <c r="M2851" s="1"/>
  <c r="S2852"/>
  <c r="M2852" s="1"/>
  <c r="S2853"/>
  <c r="M2853" s="1"/>
  <c r="S2854"/>
  <c r="M2854" s="1"/>
  <c r="S2855"/>
  <c r="M2855" s="1"/>
  <c r="S2856"/>
  <c r="M2856" s="1"/>
  <c r="S2857"/>
  <c r="M2857" s="1"/>
  <c r="S2858"/>
  <c r="M2858" s="1"/>
  <c r="S2859"/>
  <c r="M2859" s="1"/>
  <c r="S2860"/>
  <c r="M2860" s="1"/>
  <c r="S2861"/>
  <c r="M2861" s="1"/>
  <c r="S2862"/>
  <c r="M2862" s="1"/>
  <c r="S2863"/>
  <c r="M2863" s="1"/>
  <c r="S2864"/>
  <c r="M2864" s="1"/>
  <c r="S2865"/>
  <c r="M2865" s="1"/>
  <c r="S2866"/>
  <c r="M2866" s="1"/>
  <c r="S2867"/>
  <c r="M2867" s="1"/>
  <c r="S2868"/>
  <c r="M2868" s="1"/>
  <c r="S2869"/>
  <c r="M2869" s="1"/>
  <c r="S2870"/>
  <c r="M2870" s="1"/>
  <c r="S2871"/>
  <c r="M2871" s="1"/>
  <c r="S2872"/>
  <c r="M2872" s="1"/>
  <c r="S2873"/>
  <c r="M2873" s="1"/>
  <c r="S2874"/>
  <c r="M2874" s="1"/>
  <c r="S2875"/>
  <c r="M2875" s="1"/>
  <c r="S2876"/>
  <c r="M2876" s="1"/>
  <c r="S2877"/>
  <c r="M2877" s="1"/>
  <c r="S2878"/>
  <c r="M2878" s="1"/>
  <c r="S2879"/>
  <c r="M2879" s="1"/>
  <c r="S2880"/>
  <c r="M2880" s="1"/>
  <c r="S2881"/>
  <c r="M2881" s="1"/>
  <c r="S2882"/>
  <c r="M2882" s="1"/>
  <c r="S2883"/>
  <c r="M2883" s="1"/>
  <c r="S2884"/>
  <c r="M2884" s="1"/>
  <c r="S2885"/>
  <c r="M2885" s="1"/>
  <c r="S2886"/>
  <c r="M2886" s="1"/>
  <c r="S2887"/>
  <c r="M2887" s="1"/>
  <c r="S2888"/>
  <c r="M2888" s="1"/>
  <c r="S2889"/>
  <c r="M2889" s="1"/>
  <c r="S2890"/>
  <c r="M2890" s="1"/>
  <c r="S2891"/>
  <c r="M2891" s="1"/>
  <c r="S2892"/>
  <c r="M2892" s="1"/>
  <c r="S2893"/>
  <c r="M2893" s="1"/>
  <c r="S2894"/>
  <c r="M2894" s="1"/>
  <c r="S2895"/>
  <c r="M2895" s="1"/>
  <c r="S2896"/>
  <c r="M2896" s="1"/>
  <c r="S2897"/>
  <c r="M2897" s="1"/>
  <c r="S2898"/>
  <c r="M2898" s="1"/>
  <c r="S2899"/>
  <c r="M2899" s="1"/>
  <c r="S2900"/>
  <c r="M2900" s="1"/>
  <c r="S2901"/>
  <c r="M2901" s="1"/>
  <c r="S2902"/>
  <c r="M2902" s="1"/>
  <c r="S2903"/>
  <c r="M2903" s="1"/>
  <c r="S2904"/>
  <c r="M2904" s="1"/>
  <c r="S2905"/>
  <c r="M2905" s="1"/>
  <c r="S2906"/>
  <c r="M2906" s="1"/>
  <c r="S2907"/>
  <c r="M2907" s="1"/>
  <c r="S2908"/>
  <c r="M2908" s="1"/>
  <c r="S2909"/>
  <c r="M2909" s="1"/>
  <c r="S2910"/>
  <c r="M2910" s="1"/>
  <c r="S2911"/>
  <c r="M2911" s="1"/>
  <c r="S2912"/>
  <c r="M2912" s="1"/>
  <c r="S2913"/>
  <c r="M2913" s="1"/>
  <c r="S2914"/>
  <c r="M2914" s="1"/>
  <c r="S2915"/>
  <c r="M2915" s="1"/>
  <c r="S2916"/>
  <c r="M2916" s="1"/>
  <c r="S2917"/>
  <c r="M2917" s="1"/>
  <c r="S2918"/>
  <c r="M2918" s="1"/>
  <c r="S2919"/>
  <c r="M2919" s="1"/>
  <c r="S2920"/>
  <c r="M2920" s="1"/>
  <c r="S2921"/>
  <c r="M2921" s="1"/>
  <c r="S2922"/>
  <c r="M2922" s="1"/>
  <c r="S2923"/>
  <c r="M2923" s="1"/>
  <c r="S2924"/>
  <c r="M2924" s="1"/>
  <c r="S2925"/>
  <c r="M2925" s="1"/>
  <c r="S2926"/>
  <c r="M2926" s="1"/>
  <c r="S2927"/>
  <c r="M2927" s="1"/>
  <c r="S2928"/>
  <c r="M2928" s="1"/>
  <c r="S2929"/>
  <c r="M2929" s="1"/>
  <c r="S2930"/>
  <c r="M2930" s="1"/>
  <c r="S2931"/>
  <c r="M2931" s="1"/>
  <c r="S2932"/>
  <c r="M2932" s="1"/>
  <c r="S2933"/>
  <c r="M2933" s="1"/>
  <c r="S2934"/>
  <c r="M2934" s="1"/>
  <c r="S2935"/>
  <c r="M2935" s="1"/>
  <c r="S2936"/>
  <c r="M2936" s="1"/>
  <c r="S2937"/>
  <c r="M2937" s="1"/>
  <c r="S2938"/>
  <c r="M2938" s="1"/>
  <c r="S2939"/>
  <c r="M2939" s="1"/>
  <c r="S2940"/>
  <c r="M2940" s="1"/>
  <c r="S2941"/>
  <c r="M2941" s="1"/>
  <c r="S2942"/>
  <c r="M2942" s="1"/>
  <c r="S2943"/>
  <c r="M2943" s="1"/>
  <c r="S2944"/>
  <c r="M2944" s="1"/>
  <c r="S2945"/>
  <c r="M2945" s="1"/>
  <c r="S2946"/>
  <c r="M2946" s="1"/>
  <c r="S2947"/>
  <c r="M2947" s="1"/>
  <c r="S2948"/>
  <c r="M2948" s="1"/>
  <c r="S2949"/>
  <c r="M2949" s="1"/>
  <c r="S2950"/>
  <c r="M2950" s="1"/>
  <c r="S2951"/>
  <c r="M2951" s="1"/>
  <c r="S2952"/>
  <c r="M2952" s="1"/>
  <c r="S2953"/>
  <c r="M2953" s="1"/>
  <c r="S2954"/>
  <c r="M2954" s="1"/>
  <c r="S2955"/>
  <c r="M2955" s="1"/>
  <c r="S2956"/>
  <c r="M2956" s="1"/>
  <c r="S2957"/>
  <c r="M2957" s="1"/>
  <c r="S2958"/>
  <c r="M2958" s="1"/>
  <c r="S2959"/>
  <c r="M2959" s="1"/>
  <c r="S2960"/>
  <c r="M2960" s="1"/>
  <c r="S2961"/>
  <c r="M2961" s="1"/>
  <c r="S2962"/>
  <c r="M2962" s="1"/>
  <c r="S2963"/>
  <c r="M2963" s="1"/>
  <c r="S2964"/>
  <c r="M2964" s="1"/>
  <c r="S2965"/>
  <c r="M2965" s="1"/>
  <c r="S2966"/>
  <c r="M2966" s="1"/>
  <c r="S2967"/>
  <c r="M2967" s="1"/>
  <c r="S2968"/>
  <c r="M2968" s="1"/>
  <c r="S2969"/>
  <c r="M2969" s="1"/>
  <c r="S2970"/>
  <c r="M2970" s="1"/>
  <c r="S2971"/>
  <c r="M2971" s="1"/>
  <c r="S2972"/>
  <c r="M2972" s="1"/>
  <c r="S2973"/>
  <c r="M2973" s="1"/>
  <c r="S2974"/>
  <c r="M2974" s="1"/>
  <c r="S2975"/>
  <c r="M2975" s="1"/>
  <c r="S2976"/>
  <c r="M2976" s="1"/>
  <c r="S2977"/>
  <c r="M2977" s="1"/>
  <c r="S2978"/>
  <c r="M2978" s="1"/>
  <c r="S2979"/>
  <c r="M2979" s="1"/>
  <c r="S2980"/>
  <c r="M2980" s="1"/>
  <c r="S2981"/>
  <c r="M2981" s="1"/>
  <c r="S2982"/>
  <c r="M2982" s="1"/>
  <c r="S2983"/>
  <c r="M2983" s="1"/>
  <c r="S2984"/>
  <c r="M2984" s="1"/>
  <c r="S2985"/>
  <c r="M2985" s="1"/>
  <c r="S2986"/>
  <c r="M2986" s="1"/>
  <c r="S2987"/>
  <c r="M2987" s="1"/>
  <c r="S2988"/>
  <c r="M2988" s="1"/>
  <c r="S2989"/>
  <c r="M2989" s="1"/>
  <c r="S2990"/>
  <c r="M2990" s="1"/>
  <c r="S2991"/>
  <c r="M2991" s="1"/>
  <c r="S2992"/>
  <c r="M2992" s="1"/>
  <c r="S2993"/>
  <c r="M2993" s="1"/>
  <c r="S2994"/>
  <c r="M2994" s="1"/>
  <c r="S2995"/>
  <c r="M2995" s="1"/>
  <c r="S2996"/>
  <c r="M2996" s="1"/>
  <c r="S2997"/>
  <c r="M2997" s="1"/>
  <c r="S2998"/>
  <c r="M2998" s="1"/>
  <c r="S2999"/>
  <c r="M2999" s="1"/>
  <c r="S3000"/>
  <c r="M3000" s="1"/>
  <c r="S3001"/>
  <c r="M3001" s="1"/>
  <c r="S3002"/>
  <c r="M3002" s="1"/>
  <c r="S3003"/>
  <c r="M3003" s="1"/>
  <c r="S3004"/>
  <c r="M3004" s="1"/>
  <c r="S3005"/>
  <c r="M3005" s="1"/>
  <c r="S3006"/>
  <c r="M3006" s="1"/>
  <c r="S3007"/>
  <c r="M3007" s="1"/>
  <c r="S3008"/>
  <c r="M3008" s="1"/>
  <c r="S3009"/>
  <c r="M3009" s="1"/>
  <c r="S3010"/>
  <c r="M3010" s="1"/>
  <c r="S3011"/>
  <c r="M3011" s="1"/>
  <c r="S3012"/>
  <c r="M3012" s="1"/>
  <c r="S3013"/>
  <c r="M3013" s="1"/>
  <c r="S3014"/>
  <c r="M3014" s="1"/>
  <c r="S3015"/>
  <c r="M3015" s="1"/>
  <c r="S3016"/>
  <c r="M3016" s="1"/>
  <c r="S3017"/>
  <c r="M3017" s="1"/>
  <c r="S3018"/>
  <c r="M3018" s="1"/>
  <c r="S3019"/>
  <c r="M3019" s="1"/>
  <c r="S3020"/>
  <c r="M3020" s="1"/>
  <c r="S3021"/>
  <c r="M3021" s="1"/>
  <c r="S3022"/>
  <c r="M3022" s="1"/>
  <c r="S3023"/>
  <c r="M3023" s="1"/>
  <c r="S3024"/>
  <c r="M3024" s="1"/>
  <c r="S3025"/>
  <c r="M3025" s="1"/>
  <c r="S3026"/>
  <c r="M3026" s="1"/>
  <c r="S3027"/>
  <c r="M3027" s="1"/>
  <c r="S3028"/>
  <c r="M3028" s="1"/>
  <c r="S3029"/>
  <c r="M3029" s="1"/>
  <c r="S3030"/>
  <c r="M3030" s="1"/>
  <c r="S3031"/>
  <c r="M3031" s="1"/>
  <c r="S3032"/>
  <c r="M3032" s="1"/>
  <c r="S3033"/>
  <c r="M3033" s="1"/>
  <c r="S3034"/>
  <c r="M3034" s="1"/>
  <c r="S3035"/>
  <c r="M3035" s="1"/>
  <c r="S3036"/>
  <c r="M3036" s="1"/>
  <c r="S3037"/>
  <c r="M3037" s="1"/>
  <c r="S3038"/>
  <c r="M3038" s="1"/>
  <c r="S3039"/>
  <c r="M3039" s="1"/>
  <c r="S3040"/>
  <c r="M3040" s="1"/>
  <c r="S3041"/>
  <c r="M3041" s="1"/>
  <c r="S3042"/>
  <c r="M3042" s="1"/>
  <c r="S3043"/>
  <c r="M3043" s="1"/>
  <c r="S3044"/>
  <c r="M3044" s="1"/>
  <c r="S3045"/>
  <c r="M3045" s="1"/>
  <c r="S3046"/>
  <c r="M3046" s="1"/>
  <c r="S3047"/>
  <c r="M3047" s="1"/>
  <c r="S3048"/>
  <c r="M3048" s="1"/>
  <c r="S3049"/>
  <c r="M3049" s="1"/>
  <c r="S3050"/>
  <c r="M3050" s="1"/>
  <c r="S3051"/>
  <c r="M3051" s="1"/>
  <c r="S3052"/>
  <c r="M3052" s="1"/>
  <c r="S3053"/>
  <c r="M3053" s="1"/>
  <c r="S3054"/>
  <c r="M3054" s="1"/>
  <c r="S3055"/>
  <c r="M3055" s="1"/>
  <c r="S3056"/>
  <c r="M3056" s="1"/>
  <c r="S3057"/>
  <c r="M3057" s="1"/>
  <c r="S3058"/>
  <c r="M3058" s="1"/>
  <c r="S3059"/>
  <c r="M3059" s="1"/>
  <c r="S3060"/>
  <c r="M3060" s="1"/>
  <c r="S3061"/>
  <c r="M3061" s="1"/>
  <c r="S3062"/>
  <c r="M3062" s="1"/>
  <c r="S3063"/>
  <c r="M3063" s="1"/>
  <c r="S3064"/>
  <c r="M3064" s="1"/>
  <c r="S3065"/>
  <c r="M3065" s="1"/>
  <c r="S3066"/>
  <c r="M3066" s="1"/>
  <c r="S3067"/>
  <c r="M3067" s="1"/>
  <c r="S3068"/>
  <c r="M3068" s="1"/>
  <c r="S3069"/>
  <c r="M3069" s="1"/>
  <c r="S3070"/>
  <c r="M3070" s="1"/>
  <c r="S3071"/>
  <c r="M3071" s="1"/>
  <c r="S3072"/>
  <c r="M3072" s="1"/>
  <c r="S3073"/>
  <c r="M3073" s="1"/>
  <c r="S3074"/>
  <c r="M3074" s="1"/>
  <c r="S3075"/>
  <c r="M3075" s="1"/>
  <c r="S3076"/>
  <c r="M3076" s="1"/>
  <c r="S3077"/>
  <c r="M3077" s="1"/>
  <c r="S3078"/>
  <c r="M3078" s="1"/>
  <c r="S3079"/>
  <c r="M3079" s="1"/>
  <c r="S3080"/>
  <c r="M3080" s="1"/>
  <c r="S3081"/>
  <c r="M3081" s="1"/>
  <c r="S3082"/>
  <c r="M3082" s="1"/>
  <c r="S3083"/>
  <c r="M3083" s="1"/>
  <c r="S3084"/>
  <c r="M3084" s="1"/>
  <c r="S3085"/>
  <c r="M3085" s="1"/>
  <c r="S3086"/>
  <c r="M3086" s="1"/>
  <c r="S3087"/>
  <c r="M3087" s="1"/>
  <c r="S3088"/>
  <c r="M3088" s="1"/>
  <c r="S3089"/>
  <c r="M3089" s="1"/>
  <c r="S3090"/>
  <c r="M3090" s="1"/>
  <c r="S3091"/>
  <c r="M3091" s="1"/>
  <c r="S3092"/>
  <c r="M3092" s="1"/>
  <c r="S3093"/>
  <c r="M3093" s="1"/>
  <c r="S3094"/>
  <c r="M3094" s="1"/>
  <c r="S3095"/>
  <c r="M3095" s="1"/>
  <c r="S3096"/>
  <c r="M3096" s="1"/>
  <c r="S3097"/>
  <c r="M3097" s="1"/>
  <c r="S3098"/>
  <c r="M3098" s="1"/>
  <c r="S3099"/>
  <c r="M3099" s="1"/>
  <c r="S3100"/>
  <c r="M3100" s="1"/>
  <c r="S3101"/>
  <c r="M3101" s="1"/>
  <c r="S3102"/>
  <c r="M3102" s="1"/>
  <c r="S3103"/>
  <c r="M3103" s="1"/>
  <c r="S3104"/>
  <c r="M3104" s="1"/>
  <c r="S3105"/>
  <c r="M3105" s="1"/>
  <c r="S3106"/>
  <c r="M3106" s="1"/>
  <c r="S3107"/>
  <c r="M3107" s="1"/>
  <c r="S3108"/>
  <c r="M3108" s="1"/>
  <c r="S3109"/>
  <c r="M3109" s="1"/>
  <c r="S3110"/>
  <c r="M3110" s="1"/>
  <c r="S3111"/>
  <c r="M3111" s="1"/>
  <c r="S3112"/>
  <c r="M3112" s="1"/>
  <c r="S3113"/>
  <c r="M3113" s="1"/>
  <c r="S3114"/>
  <c r="M3114" s="1"/>
  <c r="S3115"/>
  <c r="M3115" s="1"/>
  <c r="S3116"/>
  <c r="M3116" s="1"/>
  <c r="S3117"/>
  <c r="M3117" s="1"/>
  <c r="S3118"/>
  <c r="M3118" s="1"/>
  <c r="S3119"/>
  <c r="M3119" s="1"/>
  <c r="S3120"/>
  <c r="M3120" s="1"/>
  <c r="S3121"/>
  <c r="M3121" s="1"/>
  <c r="S3122"/>
  <c r="M3122" s="1"/>
  <c r="S3123"/>
  <c r="M3123" s="1"/>
  <c r="S3124"/>
  <c r="M3124" s="1"/>
  <c r="S3125"/>
  <c r="M3125" s="1"/>
  <c r="S3126"/>
  <c r="M3126" s="1"/>
  <c r="S3127"/>
  <c r="M3127" s="1"/>
  <c r="S3128"/>
  <c r="M3128" s="1"/>
  <c r="S3129"/>
  <c r="M3129" s="1"/>
  <c r="S3130"/>
  <c r="M3130" s="1"/>
  <c r="S3131"/>
  <c r="M3131" s="1"/>
  <c r="S3132"/>
  <c r="M3132" s="1"/>
  <c r="S3133"/>
  <c r="M3133" s="1"/>
  <c r="S3134"/>
  <c r="M3134" s="1"/>
  <c r="S3135"/>
  <c r="M3135" s="1"/>
  <c r="S3136"/>
  <c r="M3136" s="1"/>
  <c r="S3137"/>
  <c r="M3137" s="1"/>
  <c r="S3138"/>
  <c r="M3138" s="1"/>
  <c r="S3139"/>
  <c r="M3139" s="1"/>
  <c r="S3140"/>
  <c r="M3140" s="1"/>
  <c r="S3141"/>
  <c r="M3141" s="1"/>
  <c r="S3142"/>
  <c r="M3142" s="1"/>
  <c r="S3143"/>
  <c r="M3143" s="1"/>
  <c r="S3144"/>
  <c r="M3144" s="1"/>
  <c r="S3145"/>
  <c r="M3145" s="1"/>
  <c r="S3146"/>
  <c r="M3146" s="1"/>
  <c r="S3147"/>
  <c r="M3147" s="1"/>
  <c r="S3148"/>
  <c r="M3148" s="1"/>
  <c r="S3149"/>
  <c r="M3149" s="1"/>
  <c r="S3150"/>
  <c r="M3150" s="1"/>
  <c r="S3151"/>
  <c r="M3151" s="1"/>
  <c r="S3152"/>
  <c r="M3152" s="1"/>
  <c r="S3153"/>
  <c r="M3153" s="1"/>
  <c r="S3154"/>
  <c r="M3154" s="1"/>
  <c r="S3155"/>
  <c r="M3155" s="1"/>
  <c r="S3156"/>
  <c r="M3156" s="1"/>
  <c r="S3157"/>
  <c r="M3157" s="1"/>
  <c r="S3158"/>
  <c r="M3158" s="1"/>
  <c r="S3159"/>
  <c r="M3159" s="1"/>
  <c r="S3160"/>
  <c r="M3160" s="1"/>
  <c r="S3161"/>
  <c r="M3161" s="1"/>
  <c r="S3162"/>
  <c r="M3162" s="1"/>
  <c r="S3163"/>
  <c r="M3163" s="1"/>
  <c r="S3164"/>
  <c r="M3164" s="1"/>
  <c r="S3165"/>
  <c r="M3165" s="1"/>
  <c r="S3166"/>
  <c r="M3166" s="1"/>
  <c r="S3167"/>
  <c r="M3167" s="1"/>
  <c r="S3168"/>
  <c r="M3168" s="1"/>
  <c r="S3169"/>
  <c r="M3169" s="1"/>
  <c r="S3170"/>
  <c r="M3170" s="1"/>
  <c r="S3171"/>
  <c r="M3171" s="1"/>
  <c r="S3172"/>
  <c r="M3172" s="1"/>
  <c r="S3173"/>
  <c r="M3173" s="1"/>
  <c r="S3174"/>
  <c r="M3174" s="1"/>
  <c r="S3175"/>
  <c r="M3175" s="1"/>
  <c r="S3176"/>
  <c r="M3176" s="1"/>
  <c r="S3177"/>
  <c r="M3177" s="1"/>
  <c r="S3178"/>
  <c r="M3178" s="1"/>
  <c r="S3179"/>
  <c r="M3179" s="1"/>
  <c r="S3180"/>
  <c r="M3180" s="1"/>
  <c r="S3181"/>
  <c r="M3181" s="1"/>
  <c r="S3182"/>
  <c r="M3182" s="1"/>
  <c r="S3183"/>
  <c r="M3183" s="1"/>
  <c r="S3184"/>
  <c r="M3184" s="1"/>
  <c r="S3185"/>
  <c r="M3185" s="1"/>
  <c r="S3186"/>
  <c r="M3186" s="1"/>
  <c r="S3187"/>
  <c r="M3187" s="1"/>
  <c r="S3188"/>
  <c r="M3188" s="1"/>
  <c r="S3189"/>
  <c r="M3189" s="1"/>
  <c r="S3190"/>
  <c r="M3190" s="1"/>
  <c r="S3191"/>
  <c r="M3191" s="1"/>
  <c r="S3192"/>
  <c r="M3192" s="1"/>
  <c r="S3193"/>
  <c r="M3193" s="1"/>
  <c r="S3194"/>
  <c r="M3194" s="1"/>
  <c r="S3195"/>
  <c r="M3195" s="1"/>
  <c r="S3196"/>
  <c r="M3196" s="1"/>
  <c r="S3197"/>
  <c r="M3197" s="1"/>
  <c r="S3198"/>
  <c r="M3198" s="1"/>
  <c r="S3199"/>
  <c r="M3199" s="1"/>
  <c r="S3200"/>
  <c r="M3200" s="1"/>
  <c r="S3201"/>
  <c r="M3201" s="1"/>
  <c r="S3202"/>
  <c r="M3202" s="1"/>
  <c r="S3203"/>
  <c r="M3203" s="1"/>
  <c r="S3204"/>
  <c r="M3204" s="1"/>
  <c r="S3205"/>
  <c r="M3205" s="1"/>
  <c r="S3206"/>
  <c r="M3206" s="1"/>
  <c r="S3207"/>
  <c r="M3207" s="1"/>
  <c r="S3208"/>
  <c r="M3208" s="1"/>
  <c r="S3209"/>
  <c r="M3209" s="1"/>
  <c r="S3210"/>
  <c r="M3210" s="1"/>
  <c r="S3211"/>
  <c r="M3211" s="1"/>
  <c r="S3212"/>
  <c r="M3212" s="1"/>
  <c r="S3213"/>
  <c r="M3213" s="1"/>
  <c r="S3214"/>
  <c r="M3214" s="1"/>
  <c r="S3215"/>
  <c r="M3215" s="1"/>
  <c r="S3216"/>
  <c r="M3216" s="1"/>
  <c r="S3217"/>
  <c r="M3217" s="1"/>
  <c r="S3218"/>
  <c r="M3218" s="1"/>
  <c r="S3219"/>
  <c r="M3219" s="1"/>
  <c r="S3220"/>
  <c r="M3220" s="1"/>
  <c r="S3221"/>
  <c r="M3221" s="1"/>
  <c r="S3222"/>
  <c r="M3222" s="1"/>
  <c r="S3223"/>
  <c r="M3223" s="1"/>
  <c r="S3224"/>
  <c r="M3224" s="1"/>
  <c r="S3225"/>
  <c r="M3225" s="1"/>
  <c r="S3226"/>
  <c r="M3226" s="1"/>
  <c r="S3227"/>
  <c r="M3227" s="1"/>
  <c r="S3228"/>
  <c r="M3228" s="1"/>
  <c r="S3229"/>
  <c r="M3229" s="1"/>
  <c r="S3230"/>
  <c r="M3230" s="1"/>
  <c r="S3231"/>
  <c r="M3231" s="1"/>
  <c r="S3232"/>
  <c r="M3232" s="1"/>
  <c r="S3233"/>
  <c r="M3233" s="1"/>
  <c r="S3234"/>
  <c r="M3234" s="1"/>
  <c r="S3235"/>
  <c r="M3235" s="1"/>
  <c r="S3236"/>
  <c r="M3236" s="1"/>
  <c r="S3237"/>
  <c r="M3237" s="1"/>
  <c r="S3238"/>
  <c r="M3238" s="1"/>
  <c r="S3239"/>
  <c r="M3239" s="1"/>
  <c r="S3240"/>
  <c r="M3240" s="1"/>
  <c r="S3241"/>
  <c r="M3241" s="1"/>
  <c r="S3242"/>
  <c r="M3242" s="1"/>
  <c r="S3243"/>
  <c r="M3243" s="1"/>
  <c r="S3244"/>
  <c r="M3244" s="1"/>
  <c r="S3245"/>
  <c r="M3245" s="1"/>
  <c r="S3246"/>
  <c r="M3246" s="1"/>
  <c r="S3247"/>
  <c r="M3247" s="1"/>
  <c r="S3248"/>
  <c r="M3248" s="1"/>
  <c r="S3249"/>
  <c r="M3249" s="1"/>
  <c r="S3250"/>
  <c r="M3250" s="1"/>
  <c r="S3251"/>
  <c r="M3251" s="1"/>
  <c r="S3252"/>
  <c r="M3252" s="1"/>
  <c r="S3253"/>
  <c r="M3253" s="1"/>
  <c r="S3254"/>
  <c r="M3254" s="1"/>
  <c r="S3255"/>
  <c r="M3255" s="1"/>
  <c r="S3256"/>
  <c r="M3256" s="1"/>
  <c r="S3257"/>
  <c r="M3257" s="1"/>
  <c r="S3258"/>
  <c r="M3258" s="1"/>
  <c r="S3259"/>
  <c r="M3259" s="1"/>
  <c r="S3260"/>
  <c r="M3260" s="1"/>
  <c r="S3261"/>
  <c r="M3261" s="1"/>
  <c r="S3262"/>
  <c r="M3262" s="1"/>
  <c r="S3263"/>
  <c r="M3263" s="1"/>
  <c r="S3264"/>
  <c r="M3264" s="1"/>
  <c r="S3265"/>
  <c r="M3265" s="1"/>
  <c r="S3266"/>
  <c r="M3266" s="1"/>
  <c r="S3267"/>
  <c r="M3267" s="1"/>
  <c r="S3268"/>
  <c r="M3268" s="1"/>
  <c r="S3269"/>
  <c r="M3269" s="1"/>
  <c r="S3270"/>
  <c r="M3270" s="1"/>
  <c r="S3271"/>
  <c r="M3271" s="1"/>
  <c r="S3272"/>
  <c r="M3272" s="1"/>
  <c r="S3273"/>
  <c r="M3273" s="1"/>
  <c r="S3274"/>
  <c r="M3274" s="1"/>
  <c r="S3275"/>
  <c r="M3275" s="1"/>
  <c r="S3276"/>
  <c r="M3276" s="1"/>
  <c r="S3277"/>
  <c r="M3277" s="1"/>
  <c r="S3278"/>
  <c r="M3278" s="1"/>
  <c r="S3279"/>
  <c r="M3279" s="1"/>
  <c r="S3280"/>
  <c r="M3280" s="1"/>
  <c r="S3281"/>
  <c r="M3281" s="1"/>
  <c r="S3282"/>
  <c r="M3282" s="1"/>
  <c r="S3283"/>
  <c r="M3283" s="1"/>
  <c r="S3284"/>
  <c r="M3284" s="1"/>
  <c r="S3285"/>
  <c r="M3285" s="1"/>
  <c r="S3286"/>
  <c r="M3286" s="1"/>
  <c r="S3287"/>
  <c r="M3287" s="1"/>
  <c r="S3288"/>
  <c r="M3288" s="1"/>
  <c r="S3289"/>
  <c r="M3289" s="1"/>
  <c r="S3290"/>
  <c r="M3290" s="1"/>
  <c r="S3291"/>
  <c r="M3291" s="1"/>
  <c r="S3292"/>
  <c r="M3292" s="1"/>
  <c r="S3293"/>
  <c r="M3293" s="1"/>
  <c r="S3294"/>
  <c r="M3294" s="1"/>
  <c r="S3295"/>
  <c r="M3295" s="1"/>
  <c r="S3296"/>
  <c r="M3296" s="1"/>
  <c r="S3297"/>
  <c r="M3297" s="1"/>
  <c r="S3298"/>
  <c r="M3298" s="1"/>
  <c r="S3299"/>
  <c r="M3299" s="1"/>
  <c r="S3300"/>
  <c r="M3300" s="1"/>
  <c r="S3301"/>
  <c r="M3301" s="1"/>
  <c r="S3302"/>
  <c r="M3302" s="1"/>
  <c r="S3303"/>
  <c r="M3303" s="1"/>
  <c r="S3304"/>
  <c r="M3304" s="1"/>
  <c r="S3305"/>
  <c r="M3305" s="1"/>
  <c r="S3306"/>
  <c r="M3306" s="1"/>
  <c r="S3307"/>
  <c r="M3307" s="1"/>
  <c r="S3308"/>
  <c r="M3308" s="1"/>
  <c r="S3309"/>
  <c r="M3309" s="1"/>
  <c r="S3310"/>
  <c r="M3310" s="1"/>
  <c r="S3311"/>
  <c r="M3311" s="1"/>
  <c r="S3312"/>
  <c r="M3312" s="1"/>
  <c r="S3313"/>
  <c r="M3313" s="1"/>
  <c r="S3314"/>
  <c r="M3314" s="1"/>
  <c r="S3315"/>
  <c r="M3315" s="1"/>
  <c r="S3316"/>
  <c r="M3316" s="1"/>
  <c r="S3317"/>
  <c r="M3317" s="1"/>
  <c r="S3318"/>
  <c r="M3318" s="1"/>
  <c r="S3319"/>
  <c r="M3319" s="1"/>
  <c r="S3320"/>
  <c r="M3320" s="1"/>
  <c r="S3321"/>
  <c r="M3321" s="1"/>
  <c r="S3322"/>
  <c r="M3322" s="1"/>
  <c r="S3323"/>
  <c r="M3323" s="1"/>
  <c r="S3324"/>
  <c r="M3324" s="1"/>
  <c r="S3325"/>
  <c r="M3325" s="1"/>
  <c r="S3326"/>
  <c r="M3326" s="1"/>
  <c r="S3327"/>
  <c r="M3327" s="1"/>
  <c r="S3328"/>
  <c r="M3328" s="1"/>
  <c r="S3329"/>
  <c r="M3329" s="1"/>
  <c r="S3330"/>
  <c r="M3330" s="1"/>
  <c r="S3331"/>
  <c r="M3331" s="1"/>
  <c r="S3332"/>
  <c r="M3332" s="1"/>
  <c r="S3333"/>
  <c r="M3333" s="1"/>
  <c r="S3334"/>
  <c r="M3334" s="1"/>
  <c r="S3335"/>
  <c r="M3335" s="1"/>
  <c r="S3336"/>
  <c r="M3336" s="1"/>
  <c r="S3337"/>
  <c r="M3337" s="1"/>
  <c r="S3338"/>
  <c r="M3338" s="1"/>
  <c r="S3339"/>
  <c r="M3339" s="1"/>
  <c r="S3340"/>
  <c r="M3340" s="1"/>
  <c r="S3341"/>
  <c r="M3341" s="1"/>
  <c r="S3342"/>
  <c r="M3342" s="1"/>
  <c r="S3343"/>
  <c r="M3343" s="1"/>
  <c r="S3344"/>
  <c r="M3344" s="1"/>
  <c r="S3345"/>
  <c r="M3345" s="1"/>
  <c r="S3346"/>
  <c r="M3346" s="1"/>
  <c r="S3347"/>
  <c r="M3347" s="1"/>
  <c r="S3348"/>
  <c r="M3348" s="1"/>
  <c r="S3349"/>
  <c r="M3349" s="1"/>
  <c r="S3350"/>
  <c r="M3350" s="1"/>
  <c r="S3351"/>
  <c r="M3351" s="1"/>
  <c r="S3352"/>
  <c r="M3352" s="1"/>
  <c r="S3353"/>
  <c r="M3353" s="1"/>
  <c r="S3354"/>
  <c r="M3354" s="1"/>
  <c r="S3355"/>
  <c r="M3355" s="1"/>
  <c r="S3356"/>
  <c r="M3356" s="1"/>
  <c r="S3357"/>
  <c r="M3357" s="1"/>
  <c r="S3358"/>
  <c r="M3358" s="1"/>
  <c r="S3359"/>
  <c r="M3359" s="1"/>
  <c r="S3360"/>
  <c r="M3360" s="1"/>
  <c r="S3361"/>
  <c r="M3361" s="1"/>
  <c r="S3362"/>
  <c r="M3362" s="1"/>
  <c r="S3363"/>
  <c r="M3363" s="1"/>
  <c r="S3364"/>
  <c r="M3364" s="1"/>
  <c r="S3365"/>
  <c r="M3365" s="1"/>
  <c r="S3366"/>
  <c r="M3366" s="1"/>
  <c r="S3367"/>
  <c r="M3367" s="1"/>
  <c r="S3368"/>
  <c r="M3368" s="1"/>
  <c r="S3369"/>
  <c r="M3369" s="1"/>
  <c r="S3370"/>
  <c r="M3370" s="1"/>
  <c r="S3371"/>
  <c r="M3371" s="1"/>
  <c r="S3372"/>
  <c r="M3372" s="1"/>
  <c r="S3373"/>
  <c r="M3373" s="1"/>
  <c r="S3374"/>
  <c r="M3374" s="1"/>
  <c r="S3375"/>
  <c r="M3375" s="1"/>
  <c r="S3376"/>
  <c r="M3376" s="1"/>
  <c r="S3377"/>
  <c r="M3377" s="1"/>
  <c r="S3378"/>
  <c r="M3378" s="1"/>
  <c r="S3379"/>
  <c r="M3379" s="1"/>
  <c r="S3380"/>
  <c r="M3380" s="1"/>
  <c r="S3381"/>
  <c r="M3381" s="1"/>
  <c r="S3382"/>
  <c r="M3382" s="1"/>
  <c r="S3383"/>
  <c r="M3383" s="1"/>
  <c r="S3384"/>
  <c r="M3384" s="1"/>
  <c r="S3385"/>
  <c r="M3385" s="1"/>
  <c r="S3386"/>
  <c r="M3386" s="1"/>
  <c r="S3387"/>
  <c r="M3387" s="1"/>
  <c r="S3388"/>
  <c r="M3388" s="1"/>
  <c r="S3389"/>
  <c r="M3389" s="1"/>
  <c r="S3390"/>
  <c r="M3390" s="1"/>
  <c r="S3391"/>
  <c r="M3391" s="1"/>
  <c r="S3392"/>
  <c r="M3392" s="1"/>
  <c r="S3393"/>
  <c r="M3393" s="1"/>
  <c r="S3394"/>
  <c r="M3394" s="1"/>
  <c r="S3395"/>
  <c r="M3395" s="1"/>
  <c r="S3396"/>
  <c r="M3396" s="1"/>
  <c r="S3397"/>
  <c r="M3397" s="1"/>
  <c r="S3398"/>
  <c r="M3398" s="1"/>
  <c r="S3399"/>
  <c r="M3399" s="1"/>
  <c r="S3400"/>
  <c r="M3400" s="1"/>
  <c r="S3401"/>
  <c r="M3401" s="1"/>
  <c r="S3402"/>
  <c r="M3402" s="1"/>
  <c r="S3403"/>
  <c r="M3403" s="1"/>
  <c r="S3404"/>
  <c r="M3404" s="1"/>
  <c r="S3405"/>
  <c r="M3405" s="1"/>
  <c r="S3406"/>
  <c r="M3406" s="1"/>
  <c r="S3407"/>
  <c r="M3407" s="1"/>
  <c r="S3408"/>
  <c r="M3408" s="1"/>
  <c r="S3409"/>
  <c r="M3409" s="1"/>
  <c r="S3410"/>
  <c r="M3410" s="1"/>
  <c r="S3411"/>
  <c r="M3411" s="1"/>
  <c r="S3412"/>
  <c r="M3412" s="1"/>
  <c r="S3413"/>
  <c r="M3413" s="1"/>
  <c r="S3414"/>
  <c r="M3414" s="1"/>
  <c r="S3415"/>
  <c r="M3415" s="1"/>
  <c r="S3416"/>
  <c r="M3416" s="1"/>
  <c r="S3417"/>
  <c r="M3417" s="1"/>
  <c r="S3418"/>
  <c r="M3418" s="1"/>
  <c r="S3419"/>
  <c r="M3419" s="1"/>
  <c r="S3420"/>
  <c r="M3420" s="1"/>
  <c r="S3421"/>
  <c r="M3421" s="1"/>
  <c r="S3422"/>
  <c r="M3422" s="1"/>
  <c r="S3423"/>
  <c r="M3423" s="1"/>
  <c r="S3424"/>
  <c r="M3424" s="1"/>
  <c r="S3425"/>
  <c r="M3425" s="1"/>
  <c r="S3426"/>
  <c r="M3426" s="1"/>
  <c r="S3427"/>
  <c r="M3427" s="1"/>
  <c r="S3428"/>
  <c r="M3428" s="1"/>
  <c r="S3429"/>
  <c r="M3429" s="1"/>
  <c r="S3430"/>
  <c r="M3430" s="1"/>
  <c r="S3431"/>
  <c r="M3431" s="1"/>
  <c r="S3432"/>
  <c r="M3432" s="1"/>
  <c r="S3433"/>
  <c r="M3433" s="1"/>
  <c r="S3434"/>
  <c r="M3434" s="1"/>
  <c r="S3435"/>
  <c r="M3435" s="1"/>
  <c r="S3436"/>
  <c r="M3436" s="1"/>
  <c r="S3437"/>
  <c r="M3437" s="1"/>
  <c r="S3438"/>
  <c r="M3438" s="1"/>
  <c r="S3439"/>
  <c r="M3439" s="1"/>
  <c r="S3440"/>
  <c r="M3440" s="1"/>
  <c r="S3441"/>
  <c r="M3441" s="1"/>
  <c r="S3442"/>
  <c r="M3442" s="1"/>
  <c r="S3443"/>
  <c r="M3443" s="1"/>
  <c r="S3444"/>
  <c r="M3444" s="1"/>
  <c r="S3445"/>
  <c r="M3445" s="1"/>
  <c r="S3446"/>
  <c r="M3446" s="1"/>
  <c r="S3447"/>
  <c r="M3447" s="1"/>
  <c r="S3448"/>
  <c r="M3448" s="1"/>
  <c r="S3449"/>
  <c r="M3449" s="1"/>
  <c r="S3450"/>
  <c r="M3450" s="1"/>
  <c r="S3451"/>
  <c r="M3451" s="1"/>
  <c r="S3452"/>
  <c r="M3452" s="1"/>
  <c r="S3453"/>
  <c r="M3453" s="1"/>
  <c r="S3454"/>
  <c r="M3454" s="1"/>
  <c r="S3455"/>
  <c r="M3455" s="1"/>
  <c r="S3456"/>
  <c r="M3456" s="1"/>
  <c r="S3457"/>
  <c r="M3457" s="1"/>
  <c r="S3458"/>
  <c r="M3458" s="1"/>
  <c r="S3459"/>
  <c r="M3459" s="1"/>
  <c r="S3460"/>
  <c r="M3460" s="1"/>
  <c r="S3461"/>
  <c r="M3461" s="1"/>
  <c r="S3462"/>
  <c r="M3462" s="1"/>
  <c r="S3463"/>
  <c r="M3463" s="1"/>
  <c r="S3464"/>
  <c r="M3464" s="1"/>
  <c r="S3465"/>
  <c r="M3465" s="1"/>
  <c r="S3466"/>
  <c r="M3466" s="1"/>
  <c r="S3467"/>
  <c r="M3467" s="1"/>
  <c r="S3468"/>
  <c r="M3468" s="1"/>
  <c r="S3469"/>
  <c r="M3469" s="1"/>
  <c r="S3470"/>
  <c r="M3470" s="1"/>
  <c r="S3471"/>
  <c r="M3471" s="1"/>
  <c r="S3472"/>
  <c r="M3472" s="1"/>
  <c r="S3473"/>
  <c r="M3473" s="1"/>
  <c r="S3474"/>
  <c r="M3474" s="1"/>
  <c r="S3475"/>
  <c r="M3475" s="1"/>
  <c r="S3476"/>
  <c r="M3476" s="1"/>
  <c r="S3477"/>
  <c r="M3477" s="1"/>
  <c r="S3478"/>
  <c r="M3478" s="1"/>
  <c r="S3479"/>
  <c r="M3479" s="1"/>
  <c r="S3480"/>
  <c r="M3480" s="1"/>
  <c r="S3481"/>
  <c r="M3481" s="1"/>
  <c r="S3482"/>
  <c r="M3482" s="1"/>
  <c r="S3483"/>
  <c r="M3483" s="1"/>
  <c r="S3484"/>
  <c r="M3484" s="1"/>
  <c r="S3485"/>
  <c r="M3485" s="1"/>
  <c r="S3486"/>
  <c r="M3486" s="1"/>
  <c r="S3487"/>
  <c r="M3487" s="1"/>
  <c r="S3488"/>
  <c r="M3488" s="1"/>
  <c r="S3489"/>
  <c r="M3489" s="1"/>
  <c r="S3490"/>
  <c r="M3490" s="1"/>
  <c r="S3491"/>
  <c r="M3491" s="1"/>
  <c r="S3492"/>
  <c r="M3492" s="1"/>
  <c r="S3493"/>
  <c r="M3493" s="1"/>
  <c r="S3494"/>
  <c r="M3494" s="1"/>
  <c r="S3495"/>
  <c r="M3495" s="1"/>
  <c r="S3496"/>
  <c r="M3496" s="1"/>
  <c r="S3497"/>
  <c r="M3497" s="1"/>
  <c r="S3498"/>
  <c r="M3498" s="1"/>
  <c r="S3499"/>
  <c r="M3499" s="1"/>
  <c r="S3500"/>
  <c r="M3500" s="1"/>
  <c r="S3501"/>
  <c r="M3501" s="1"/>
  <c r="S3502"/>
  <c r="M3502" s="1"/>
  <c r="S3503"/>
  <c r="M3503" s="1"/>
  <c r="S3504"/>
  <c r="M3504" s="1"/>
  <c r="S3505"/>
  <c r="M3505" s="1"/>
  <c r="S3506"/>
  <c r="M3506" s="1"/>
  <c r="S3507"/>
  <c r="M3507" s="1"/>
  <c r="S3508"/>
  <c r="M3508" s="1"/>
  <c r="S3509"/>
  <c r="M3509" s="1"/>
  <c r="S3510"/>
  <c r="M3510" s="1"/>
  <c r="S3511"/>
  <c r="M3511" s="1"/>
  <c r="S3512"/>
  <c r="M3512" s="1"/>
  <c r="S3513"/>
  <c r="M3513" s="1"/>
  <c r="S3514"/>
  <c r="M3514" s="1"/>
  <c r="S3515"/>
  <c r="M3515" s="1"/>
  <c r="S3516"/>
  <c r="M3516" s="1"/>
  <c r="S3517"/>
  <c r="M3517" s="1"/>
  <c r="S3518"/>
  <c r="M3518" s="1"/>
  <c r="S3519"/>
  <c r="M3519" s="1"/>
  <c r="S3520"/>
  <c r="M3520" s="1"/>
  <c r="S3521"/>
  <c r="M3521" s="1"/>
  <c r="S3522"/>
  <c r="M3522" s="1"/>
  <c r="S3523"/>
  <c r="M3523" s="1"/>
  <c r="S3524"/>
  <c r="M3524" s="1"/>
  <c r="S3525"/>
  <c r="M3525" s="1"/>
  <c r="S3526"/>
  <c r="M3526" s="1"/>
  <c r="S3527"/>
  <c r="M3527" s="1"/>
  <c r="S3528"/>
  <c r="M3528" s="1"/>
  <c r="S3529"/>
  <c r="M3529" s="1"/>
  <c r="S3530"/>
  <c r="M3530" s="1"/>
  <c r="S3531"/>
  <c r="M3531" s="1"/>
  <c r="S3532"/>
  <c r="M3532" s="1"/>
  <c r="S3533"/>
  <c r="M3533" s="1"/>
  <c r="S3534"/>
  <c r="M3534" s="1"/>
  <c r="S3535"/>
  <c r="M3535" s="1"/>
  <c r="S3536"/>
  <c r="M3536" s="1"/>
  <c r="S3537"/>
  <c r="M3537" s="1"/>
  <c r="S3538"/>
  <c r="M3538" s="1"/>
  <c r="S3539"/>
  <c r="M3539" s="1"/>
  <c r="S3540"/>
  <c r="M3540" s="1"/>
  <c r="S3541"/>
  <c r="M3541" s="1"/>
  <c r="S3542"/>
  <c r="M3542" s="1"/>
  <c r="S3543"/>
  <c r="M3543" s="1"/>
  <c r="S3544"/>
  <c r="M3544" s="1"/>
  <c r="S3545"/>
  <c r="M3545" s="1"/>
  <c r="S3546"/>
  <c r="M3546" s="1"/>
  <c r="S3547"/>
  <c r="M3547" s="1"/>
  <c r="S3548"/>
  <c r="M3548" s="1"/>
  <c r="S3549"/>
  <c r="M3549" s="1"/>
  <c r="S3550"/>
  <c r="M3550" s="1"/>
  <c r="S3551"/>
  <c r="M3551" s="1"/>
  <c r="S3552"/>
  <c r="M3552" s="1"/>
  <c r="S3553"/>
  <c r="M3553" s="1"/>
  <c r="S3554"/>
  <c r="M3554" s="1"/>
  <c r="S3555"/>
  <c r="V3555" s="1"/>
  <c r="S3556"/>
  <c r="M3556" s="1"/>
  <c r="S3557"/>
  <c r="M3557" s="1"/>
  <c r="S3558"/>
  <c r="M3558" s="1"/>
  <c r="S3559"/>
  <c r="M3559" s="1"/>
  <c r="S3560"/>
  <c r="M3560" s="1"/>
  <c r="S3561"/>
  <c r="M3561" s="1"/>
  <c r="S3562"/>
  <c r="M3562" s="1"/>
  <c r="S3563"/>
  <c r="M3563" s="1"/>
  <c r="S3564"/>
  <c r="M3564" s="1"/>
  <c r="S3565"/>
  <c r="M3565" s="1"/>
  <c r="S3566"/>
  <c r="M3566" s="1"/>
  <c r="S3567"/>
  <c r="M3567" s="1"/>
  <c r="S3568"/>
  <c r="M3568" s="1"/>
  <c r="S3569"/>
  <c r="M3569" s="1"/>
  <c r="S3570"/>
  <c r="M3570" s="1"/>
  <c r="S3571"/>
  <c r="M3571" s="1"/>
  <c r="S3572"/>
  <c r="M3572" s="1"/>
  <c r="S3573"/>
  <c r="M3573" s="1"/>
  <c r="S3574"/>
  <c r="M3574" s="1"/>
  <c r="S3575"/>
  <c r="M3575" s="1"/>
  <c r="S3576"/>
  <c r="M3576" s="1"/>
  <c r="S3577"/>
  <c r="M3577" s="1"/>
  <c r="S3578"/>
  <c r="M3578" s="1"/>
  <c r="S3579"/>
  <c r="M3579" s="1"/>
  <c r="S3580"/>
  <c r="M3580" s="1"/>
  <c r="S3581"/>
  <c r="M3581" s="1"/>
  <c r="S3582"/>
  <c r="M3582" s="1"/>
  <c r="S3583"/>
  <c r="M3583" s="1"/>
  <c r="S3584"/>
  <c r="M3584" s="1"/>
  <c r="S3585"/>
  <c r="M3585" s="1"/>
  <c r="S3586"/>
  <c r="M3586" s="1"/>
  <c r="S3587"/>
  <c r="M3587" s="1"/>
  <c r="S3588"/>
  <c r="M3588" s="1"/>
  <c r="S3589"/>
  <c r="M3589" s="1"/>
  <c r="S3590"/>
  <c r="M3590" s="1"/>
  <c r="S3591"/>
  <c r="M3591" s="1"/>
  <c r="S3592"/>
  <c r="M3592" s="1"/>
  <c r="S3593"/>
  <c r="M3593" s="1"/>
  <c r="S3594"/>
  <c r="M3594" s="1"/>
  <c r="S3595"/>
  <c r="M3595" s="1"/>
  <c r="S3596"/>
  <c r="M3596" s="1"/>
  <c r="S3597"/>
  <c r="M3597" s="1"/>
  <c r="S3598"/>
  <c r="M3598" s="1"/>
  <c r="S3599"/>
  <c r="M3599" s="1"/>
  <c r="S3600"/>
  <c r="M3600" s="1"/>
  <c r="S3601"/>
  <c r="M3601" s="1"/>
  <c r="S3602"/>
  <c r="M3602" s="1"/>
  <c r="S3603"/>
  <c r="M3603" s="1"/>
  <c r="S3604"/>
  <c r="M3604" s="1"/>
  <c r="S3605"/>
  <c r="M3605" s="1"/>
  <c r="S3606"/>
  <c r="M3606" s="1"/>
  <c r="S3607"/>
  <c r="M3607" s="1"/>
  <c r="S3608"/>
  <c r="M3608" s="1"/>
  <c r="S3609"/>
  <c r="M3609" s="1"/>
  <c r="S3610"/>
  <c r="M3610" s="1"/>
  <c r="S3611"/>
  <c r="M3611" s="1"/>
  <c r="S3612"/>
  <c r="M3612" s="1"/>
  <c r="S3613"/>
  <c r="M3613" s="1"/>
  <c r="S3614"/>
  <c r="M3614" s="1"/>
  <c r="S3615"/>
  <c r="M3615" s="1"/>
  <c r="S3616"/>
  <c r="M3616" s="1"/>
  <c r="S3617"/>
  <c r="M3617" s="1"/>
  <c r="S3618"/>
  <c r="M3618" s="1"/>
  <c r="S3619"/>
  <c r="M3619" s="1"/>
  <c r="S3620"/>
  <c r="M3620" s="1"/>
  <c r="S3621"/>
  <c r="M3621" s="1"/>
  <c r="S3622"/>
  <c r="M3622" s="1"/>
  <c r="S3623"/>
  <c r="M3623" s="1"/>
  <c r="S3624"/>
  <c r="M3624" s="1"/>
  <c r="S3625"/>
  <c r="M3625" s="1"/>
  <c r="S3626"/>
  <c r="M3626" s="1"/>
  <c r="S3627"/>
  <c r="M3627" s="1"/>
  <c r="S3628"/>
  <c r="M3628" s="1"/>
  <c r="S3629"/>
  <c r="M3629" s="1"/>
  <c r="S3630"/>
  <c r="M3630" s="1"/>
  <c r="S3631"/>
  <c r="M3631" s="1"/>
  <c r="S3632"/>
  <c r="M3632" s="1"/>
  <c r="S3633"/>
  <c r="M3633" s="1"/>
  <c r="S3634"/>
  <c r="M3634" s="1"/>
  <c r="S3635"/>
  <c r="V3635" s="1"/>
  <c r="S3636"/>
  <c r="M3636" s="1"/>
  <c r="S3637"/>
  <c r="M3637" s="1"/>
  <c r="S3638"/>
  <c r="M3638" s="1"/>
  <c r="S3639"/>
  <c r="M3639" s="1"/>
  <c r="S3640"/>
  <c r="M3640" s="1"/>
  <c r="S3641"/>
  <c r="M3641" s="1"/>
  <c r="S3642"/>
  <c r="M3642" s="1"/>
  <c r="S3643"/>
  <c r="M3643" s="1"/>
  <c r="S3644"/>
  <c r="M3644" s="1"/>
  <c r="S3645"/>
  <c r="M3645" s="1"/>
  <c r="S3646"/>
  <c r="M3646" s="1"/>
  <c r="S3647"/>
  <c r="M3647" s="1"/>
  <c r="S3648"/>
  <c r="M3648" s="1"/>
  <c r="S3649"/>
  <c r="M3649" s="1"/>
  <c r="S3650"/>
  <c r="M3650" s="1"/>
  <c r="S3651"/>
  <c r="M3651" s="1"/>
  <c r="S3652"/>
  <c r="M3652" s="1"/>
  <c r="S3653"/>
  <c r="M3653" s="1"/>
  <c r="S3654"/>
  <c r="M3654" s="1"/>
  <c r="S3655"/>
  <c r="M3655" s="1"/>
  <c r="S3656"/>
  <c r="M3656" s="1"/>
  <c r="S3657"/>
  <c r="M3657" s="1"/>
  <c r="S3658"/>
  <c r="M3658" s="1"/>
  <c r="S3659"/>
  <c r="M3659" s="1"/>
  <c r="S3660"/>
  <c r="M3660" s="1"/>
  <c r="S3661"/>
  <c r="M3661" s="1"/>
  <c r="S3662"/>
  <c r="M3662" s="1"/>
  <c r="S3663"/>
  <c r="M3663" s="1"/>
  <c r="S3664"/>
  <c r="M3664" s="1"/>
  <c r="S3665"/>
  <c r="M3665" s="1"/>
  <c r="S3666"/>
  <c r="M3666" s="1"/>
  <c r="S3667"/>
  <c r="M3667" s="1"/>
  <c r="S3668"/>
  <c r="M3668" s="1"/>
  <c r="S3669"/>
  <c r="M3669" s="1"/>
  <c r="S3670"/>
  <c r="M3670" s="1"/>
  <c r="S3671"/>
  <c r="M3671" s="1"/>
  <c r="S3672"/>
  <c r="M3672" s="1"/>
  <c r="S3673"/>
  <c r="M3673" s="1"/>
  <c r="S3674"/>
  <c r="M3674" s="1"/>
  <c r="S3675"/>
  <c r="M3675" s="1"/>
  <c r="S3676"/>
  <c r="M3676" s="1"/>
  <c r="S3677"/>
  <c r="M3677" s="1"/>
  <c r="S3678"/>
  <c r="M3678" s="1"/>
  <c r="S3679"/>
  <c r="M3679" s="1"/>
  <c r="S3680"/>
  <c r="M3680" s="1"/>
  <c r="S3681"/>
  <c r="M3681" s="1"/>
  <c r="S3682"/>
  <c r="M3682" s="1"/>
  <c r="S3683"/>
  <c r="M3683" s="1"/>
  <c r="S3684"/>
  <c r="M3684" s="1"/>
  <c r="S3685"/>
  <c r="M3685" s="1"/>
  <c r="S3686"/>
  <c r="M3686" s="1"/>
  <c r="S3687"/>
  <c r="M3687" s="1"/>
  <c r="S3688"/>
  <c r="M3688" s="1"/>
  <c r="S3689"/>
  <c r="M3689" s="1"/>
  <c r="S3690"/>
  <c r="M3690" s="1"/>
  <c r="S3691"/>
  <c r="M3691" s="1"/>
  <c r="S3692"/>
  <c r="M3692" s="1"/>
  <c r="S3693"/>
  <c r="M3693" s="1"/>
  <c r="S3694"/>
  <c r="M3694" s="1"/>
  <c r="S3695"/>
  <c r="M3695" s="1"/>
  <c r="S3696"/>
  <c r="M3696" s="1"/>
  <c r="S3697"/>
  <c r="M3697" s="1"/>
  <c r="S3698"/>
  <c r="M3698" s="1"/>
  <c r="S3699"/>
  <c r="M3699" s="1"/>
  <c r="S3700"/>
  <c r="M3700" s="1"/>
  <c r="S3701"/>
  <c r="M3701" s="1"/>
  <c r="S3702"/>
  <c r="M3702" s="1"/>
  <c r="S3703"/>
  <c r="M3703" s="1"/>
  <c r="S3704"/>
  <c r="M3704" s="1"/>
  <c r="S3705"/>
  <c r="M3705" s="1"/>
  <c r="S3706"/>
  <c r="M3706" s="1"/>
  <c r="S3707"/>
  <c r="M3707" s="1"/>
  <c r="S3708"/>
  <c r="M3708" s="1"/>
  <c r="S3709"/>
  <c r="M3709" s="1"/>
  <c r="S3710"/>
  <c r="M3710" s="1"/>
  <c r="S3711"/>
  <c r="M3711" s="1"/>
  <c r="S3712"/>
  <c r="M3712" s="1"/>
  <c r="S3713"/>
  <c r="M3713" s="1"/>
  <c r="S3714"/>
  <c r="M3714" s="1"/>
  <c r="S3715"/>
  <c r="M3715" s="1"/>
  <c r="S3716"/>
  <c r="M3716" s="1"/>
  <c r="S3717"/>
  <c r="M3717" s="1"/>
  <c r="S3718"/>
  <c r="M3718" s="1"/>
  <c r="S3719"/>
  <c r="M3719" s="1"/>
  <c r="S3720"/>
  <c r="M3720" s="1"/>
  <c r="S3721"/>
  <c r="M3721" s="1"/>
  <c r="S3722"/>
  <c r="M3722" s="1"/>
  <c r="S3723"/>
  <c r="M3723" s="1"/>
  <c r="S3724"/>
  <c r="M3724" s="1"/>
  <c r="S3725"/>
  <c r="M3725" s="1"/>
  <c r="S3726"/>
  <c r="M3726" s="1"/>
  <c r="S3727"/>
  <c r="M3727" s="1"/>
  <c r="S3728"/>
  <c r="M3728" s="1"/>
  <c r="S3729"/>
  <c r="M3729" s="1"/>
  <c r="S3730"/>
  <c r="M3730" s="1"/>
  <c r="S3731"/>
  <c r="M3731" s="1"/>
  <c r="S3732"/>
  <c r="M3732" s="1"/>
  <c r="S3733"/>
  <c r="M3733" s="1"/>
  <c r="S3734"/>
  <c r="M3734" s="1"/>
  <c r="S3735"/>
  <c r="M3735" s="1"/>
  <c r="S3736"/>
  <c r="M3736" s="1"/>
  <c r="S3737"/>
  <c r="M3737" s="1"/>
  <c r="S3738"/>
  <c r="M3738" s="1"/>
  <c r="S3739"/>
  <c r="M3739" s="1"/>
  <c r="S3740"/>
  <c r="M3740" s="1"/>
  <c r="S3741"/>
  <c r="M3741" s="1"/>
  <c r="S3742"/>
  <c r="M3742" s="1"/>
  <c r="S3743"/>
  <c r="M3743" s="1"/>
  <c r="S3744"/>
  <c r="M3744" s="1"/>
  <c r="S3745"/>
  <c r="M3745" s="1"/>
  <c r="S3746"/>
  <c r="M3746" s="1"/>
  <c r="S3747"/>
  <c r="M3747" s="1"/>
  <c r="S3748"/>
  <c r="M3748" s="1"/>
  <c r="S3749"/>
  <c r="M3749" s="1"/>
  <c r="S3750"/>
  <c r="M3750" s="1"/>
  <c r="S3751"/>
  <c r="M3751" s="1"/>
  <c r="S3752"/>
  <c r="M3752" s="1"/>
  <c r="S3753"/>
  <c r="M3753" s="1"/>
  <c r="S3754"/>
  <c r="M3754" s="1"/>
  <c r="S3755"/>
  <c r="M3755" s="1"/>
  <c r="S3756"/>
  <c r="M3756" s="1"/>
  <c r="S3757"/>
  <c r="M3757" s="1"/>
  <c r="S3758"/>
  <c r="M3758" s="1"/>
  <c r="S3759"/>
  <c r="M3759" s="1"/>
  <c r="S3760"/>
  <c r="M3760" s="1"/>
  <c r="S3761"/>
  <c r="M3761" s="1"/>
  <c r="S3762"/>
  <c r="M3762" s="1"/>
  <c r="S3763"/>
  <c r="M3763" s="1"/>
  <c r="S3764"/>
  <c r="M3764" s="1"/>
  <c r="S3765"/>
  <c r="M3765" s="1"/>
  <c r="S3766"/>
  <c r="M3766" s="1"/>
  <c r="S3767"/>
  <c r="M3767" s="1"/>
  <c r="S3768"/>
  <c r="M3768" s="1"/>
  <c r="S3769"/>
  <c r="M3769" s="1"/>
  <c r="S3770"/>
  <c r="M3770" s="1"/>
  <c r="S3771"/>
  <c r="M3771" s="1"/>
  <c r="S3772"/>
  <c r="M3772" s="1"/>
  <c r="S3773"/>
  <c r="M3773" s="1"/>
  <c r="S3774"/>
  <c r="M3774" s="1"/>
  <c r="S3775"/>
  <c r="M3775" s="1"/>
  <c r="S3776"/>
  <c r="M3776" s="1"/>
  <c r="S3777"/>
  <c r="M3777" s="1"/>
  <c r="S3778"/>
  <c r="M3778" s="1"/>
  <c r="S3779"/>
  <c r="M3779" s="1"/>
  <c r="S3780"/>
  <c r="M3780" s="1"/>
  <c r="S3781"/>
  <c r="M3781" s="1"/>
  <c r="S3782"/>
  <c r="M3782" s="1"/>
  <c r="S3783"/>
  <c r="M3783" s="1"/>
  <c r="S3784"/>
  <c r="M3784" s="1"/>
  <c r="S3785"/>
  <c r="M3785" s="1"/>
  <c r="S3786"/>
  <c r="M3786" s="1"/>
  <c r="S3787"/>
  <c r="M3787" s="1"/>
  <c r="S3788"/>
  <c r="M3788" s="1"/>
  <c r="S3789"/>
  <c r="M3789" s="1"/>
  <c r="S3790"/>
  <c r="M3790" s="1"/>
  <c r="S3791"/>
  <c r="M3791" s="1"/>
  <c r="S3792"/>
  <c r="M3792" s="1"/>
  <c r="S3793"/>
  <c r="M3793" s="1"/>
  <c r="S3794"/>
  <c r="M3794" s="1"/>
  <c r="S3795"/>
  <c r="M3795" s="1"/>
  <c r="S3796"/>
  <c r="M3796" s="1"/>
  <c r="S3797"/>
  <c r="M3797" s="1"/>
  <c r="S3798"/>
  <c r="M3798" s="1"/>
  <c r="S3799"/>
  <c r="M3799" s="1"/>
  <c r="S3800"/>
  <c r="M3800" s="1"/>
  <c r="S3801"/>
  <c r="M3801" s="1"/>
  <c r="S3802"/>
  <c r="M3802" s="1"/>
  <c r="S3803"/>
  <c r="M3803" s="1"/>
  <c r="S3804"/>
  <c r="M3804" s="1"/>
  <c r="S3805"/>
  <c r="M3805" s="1"/>
  <c r="S3806"/>
  <c r="M3806" s="1"/>
  <c r="S3807"/>
  <c r="M3807" s="1"/>
  <c r="S3808"/>
  <c r="M3808" s="1"/>
  <c r="S3809"/>
  <c r="M3809" s="1"/>
  <c r="S3810"/>
  <c r="M3810" s="1"/>
  <c r="S3811"/>
  <c r="M3811" s="1"/>
  <c r="S3812"/>
  <c r="M3812" s="1"/>
  <c r="S3813"/>
  <c r="M3813" s="1"/>
  <c r="S3814"/>
  <c r="M3814" s="1"/>
  <c r="S3815"/>
  <c r="M3815" s="1"/>
  <c r="S3816"/>
  <c r="M3816" s="1"/>
  <c r="S3817"/>
  <c r="M3817" s="1"/>
  <c r="S3818"/>
  <c r="M3818" s="1"/>
  <c r="S3819"/>
  <c r="M3819" s="1"/>
  <c r="S3820"/>
  <c r="M3820" s="1"/>
  <c r="S3821"/>
  <c r="M3821" s="1"/>
  <c r="S3822"/>
  <c r="M3822" s="1"/>
  <c r="S3823"/>
  <c r="M3823" s="1"/>
  <c r="S3824"/>
  <c r="M3824" s="1"/>
  <c r="S3825"/>
  <c r="M3825" s="1"/>
  <c r="S3826"/>
  <c r="M3826" s="1"/>
  <c r="S3827"/>
  <c r="M3827" s="1"/>
  <c r="S3828"/>
  <c r="M3828" s="1"/>
  <c r="S3829"/>
  <c r="M3829" s="1"/>
  <c r="S3830"/>
  <c r="M3830" s="1"/>
  <c r="S3831"/>
  <c r="M3831" s="1"/>
  <c r="S3832"/>
  <c r="M3832" s="1"/>
  <c r="S3833"/>
  <c r="M3833" s="1"/>
  <c r="S3834"/>
  <c r="M3834" s="1"/>
  <c r="S3835"/>
  <c r="M3835" s="1"/>
  <c r="S3836"/>
  <c r="M3836" s="1"/>
  <c r="S3837"/>
  <c r="M3837" s="1"/>
  <c r="S3838"/>
  <c r="M3838" s="1"/>
  <c r="S3839"/>
  <c r="M3839" s="1"/>
  <c r="S3840"/>
  <c r="M3840" s="1"/>
  <c r="S3841"/>
  <c r="M3841" s="1"/>
  <c r="S3842"/>
  <c r="M3842" s="1"/>
  <c r="S3843"/>
  <c r="M3843" s="1"/>
  <c r="S3844"/>
  <c r="M3844" s="1"/>
  <c r="S3845"/>
  <c r="M3845" s="1"/>
  <c r="S3846"/>
  <c r="M3846" s="1"/>
  <c r="S3847"/>
  <c r="M3847" s="1"/>
  <c r="S3848"/>
  <c r="M3848" s="1"/>
  <c r="S3849"/>
  <c r="M3849" s="1"/>
  <c r="S3850"/>
  <c r="M3850" s="1"/>
  <c r="S3851"/>
  <c r="M3851" s="1"/>
  <c r="S3852"/>
  <c r="M3852" s="1"/>
  <c r="S3853"/>
  <c r="M3853" s="1"/>
  <c r="S3854"/>
  <c r="M3854" s="1"/>
  <c r="S3855"/>
  <c r="M3855" s="1"/>
  <c r="S3856"/>
  <c r="M3856" s="1"/>
  <c r="S3857"/>
  <c r="M3857" s="1"/>
  <c r="S3858"/>
  <c r="M3858" s="1"/>
  <c r="S3859"/>
  <c r="M3859" s="1"/>
  <c r="S3860"/>
  <c r="M3860" s="1"/>
  <c r="S3861"/>
  <c r="M3861" s="1"/>
  <c r="S3862"/>
  <c r="M3862" s="1"/>
  <c r="S3863"/>
  <c r="M3863" s="1"/>
  <c r="S3864"/>
  <c r="M3864" s="1"/>
  <c r="S3865"/>
  <c r="M3865" s="1"/>
  <c r="S3866"/>
  <c r="M3866" s="1"/>
  <c r="S3867"/>
  <c r="M3867" s="1"/>
  <c r="S3868"/>
  <c r="M3868" s="1"/>
  <c r="S3869"/>
  <c r="M3869" s="1"/>
  <c r="S3870"/>
  <c r="M3870" s="1"/>
  <c r="S3871"/>
  <c r="M3871" s="1"/>
  <c r="S3872"/>
  <c r="M3872" s="1"/>
  <c r="S3873"/>
  <c r="M3873" s="1"/>
  <c r="S3874"/>
  <c r="M3874" s="1"/>
  <c r="S3875"/>
  <c r="M3875" s="1"/>
  <c r="S3876"/>
  <c r="M3876" s="1"/>
  <c r="S3877"/>
  <c r="M3877" s="1"/>
  <c r="S3878"/>
  <c r="M3878" s="1"/>
  <c r="S3879"/>
  <c r="M3879" s="1"/>
  <c r="S3880"/>
  <c r="M3880" s="1"/>
  <c r="S3881"/>
  <c r="M3881" s="1"/>
  <c r="S3882"/>
  <c r="M3882" s="1"/>
  <c r="S3883"/>
  <c r="M3883" s="1"/>
  <c r="S3884"/>
  <c r="M3884" s="1"/>
  <c r="S3885"/>
  <c r="M3885" s="1"/>
  <c r="S3886"/>
  <c r="M3886" s="1"/>
  <c r="S3887"/>
  <c r="M3887" s="1"/>
  <c r="S3888"/>
  <c r="M3888" s="1"/>
  <c r="S3889"/>
  <c r="M3889" s="1"/>
  <c r="S3890"/>
  <c r="M3890" s="1"/>
  <c r="S3891"/>
  <c r="M3891" s="1"/>
  <c r="S3892"/>
  <c r="M3892" s="1"/>
  <c r="S3893"/>
  <c r="M3893" s="1"/>
  <c r="S3894"/>
  <c r="M3894" s="1"/>
  <c r="S3895"/>
  <c r="M3895" s="1"/>
  <c r="S3896"/>
  <c r="M3896" s="1"/>
  <c r="S3897"/>
  <c r="M3897" s="1"/>
  <c r="S3898"/>
  <c r="M3898" s="1"/>
  <c r="S3899"/>
  <c r="M3899" s="1"/>
  <c r="S3900"/>
  <c r="M3900" s="1"/>
  <c r="S3901"/>
  <c r="M3901" s="1"/>
  <c r="S3902"/>
  <c r="M3902" s="1"/>
  <c r="S3903"/>
  <c r="M3903" s="1"/>
  <c r="S3904"/>
  <c r="M3904" s="1"/>
  <c r="S3905"/>
  <c r="M3905" s="1"/>
  <c r="S3906"/>
  <c r="M3906" s="1"/>
  <c r="S3907"/>
  <c r="M3907" s="1"/>
  <c r="S3908"/>
  <c r="M3908" s="1"/>
  <c r="S3909"/>
  <c r="M3909" s="1"/>
  <c r="S3910"/>
  <c r="M3910" s="1"/>
  <c r="S3911"/>
  <c r="M3911" s="1"/>
  <c r="S3912"/>
  <c r="M3912" s="1"/>
  <c r="S3913"/>
  <c r="M3913" s="1"/>
  <c r="S3914"/>
  <c r="M3914" s="1"/>
  <c r="S3915"/>
  <c r="M3915" s="1"/>
  <c r="S3916"/>
  <c r="M3916" s="1"/>
  <c r="S3917"/>
  <c r="M3917" s="1"/>
  <c r="S3918"/>
  <c r="M3918" s="1"/>
  <c r="S3919"/>
  <c r="M3919" s="1"/>
  <c r="S3920"/>
  <c r="M3920" s="1"/>
  <c r="S3921"/>
  <c r="M3921" s="1"/>
  <c r="S3922"/>
  <c r="M3922" s="1"/>
  <c r="S3923"/>
  <c r="M3923" s="1"/>
  <c r="S3924"/>
  <c r="M3924" s="1"/>
  <c r="S3925"/>
  <c r="M3925" s="1"/>
  <c r="S3926"/>
  <c r="M3926" s="1"/>
  <c r="S3927"/>
  <c r="M3927" s="1"/>
  <c r="S3928"/>
  <c r="M3928" s="1"/>
  <c r="S3929"/>
  <c r="M3929" s="1"/>
  <c r="S3930"/>
  <c r="M3930" s="1"/>
  <c r="S3931"/>
  <c r="M3931" s="1"/>
  <c r="S3932"/>
  <c r="M3932" s="1"/>
  <c r="S3933"/>
  <c r="M3933" s="1"/>
  <c r="S3934"/>
  <c r="M3934" s="1"/>
  <c r="S3935"/>
  <c r="M3935" s="1"/>
  <c r="S3936"/>
  <c r="M3936" s="1"/>
  <c r="S3937"/>
  <c r="M3937" s="1"/>
  <c r="S3938"/>
  <c r="M3938" s="1"/>
  <c r="S3939"/>
  <c r="M3939" s="1"/>
  <c r="S3940"/>
  <c r="M3940" s="1"/>
  <c r="S3941"/>
  <c r="M3941" s="1"/>
  <c r="S3942"/>
  <c r="M3942" s="1"/>
  <c r="S3943"/>
  <c r="M3943" s="1"/>
  <c r="S3944"/>
  <c r="M3944" s="1"/>
  <c r="S3945"/>
  <c r="M3945" s="1"/>
  <c r="S3946"/>
  <c r="M3946" s="1"/>
  <c r="S3947"/>
  <c r="M3947" s="1"/>
  <c r="S3948"/>
  <c r="M3948" s="1"/>
  <c r="S3949"/>
  <c r="M3949" s="1"/>
  <c r="S3950"/>
  <c r="M3950" s="1"/>
  <c r="S3951"/>
  <c r="M3951" s="1"/>
  <c r="S3952"/>
  <c r="M3952" s="1"/>
  <c r="S3953"/>
  <c r="M3953" s="1"/>
  <c r="S3954"/>
  <c r="M3954" s="1"/>
  <c r="S3955"/>
  <c r="M3955" s="1"/>
  <c r="S3956"/>
  <c r="M3956" s="1"/>
  <c r="S3957"/>
  <c r="M3957" s="1"/>
  <c r="S3958"/>
  <c r="M3958" s="1"/>
  <c r="S3959"/>
  <c r="M3959" s="1"/>
  <c r="S3960"/>
  <c r="M3960" s="1"/>
  <c r="S3961"/>
  <c r="M3961" s="1"/>
  <c r="S3962"/>
  <c r="M3962" s="1"/>
  <c r="S3963"/>
  <c r="M3963" s="1"/>
  <c r="S3964"/>
  <c r="M3964" s="1"/>
  <c r="S3965"/>
  <c r="M3965" s="1"/>
  <c r="S3966"/>
  <c r="M3966" s="1"/>
  <c r="S3967"/>
  <c r="M3967" s="1"/>
  <c r="S3968"/>
  <c r="M3968" s="1"/>
  <c r="S3969"/>
  <c r="M3969" s="1"/>
  <c r="S3970"/>
  <c r="M3970" s="1"/>
  <c r="S3971"/>
  <c r="M3971" s="1"/>
  <c r="S3972"/>
  <c r="M3972" s="1"/>
  <c r="S3973"/>
  <c r="M3973" s="1"/>
  <c r="S3974"/>
  <c r="M3974" s="1"/>
  <c r="S3975"/>
  <c r="M3975" s="1"/>
  <c r="S3976"/>
  <c r="M3976" s="1"/>
  <c r="S3977"/>
  <c r="M3977" s="1"/>
  <c r="S3978"/>
  <c r="M3978" s="1"/>
  <c r="S3979"/>
  <c r="M3979" s="1"/>
  <c r="S3980"/>
  <c r="M3980" s="1"/>
  <c r="S3981"/>
  <c r="M3981" s="1"/>
  <c r="S3982"/>
  <c r="M3982" s="1"/>
  <c r="S3983"/>
  <c r="M3983" s="1"/>
  <c r="S3984"/>
  <c r="M3984" s="1"/>
  <c r="S3985"/>
  <c r="M3985" s="1"/>
  <c r="S3986"/>
  <c r="M3986" s="1"/>
  <c r="S3987"/>
  <c r="M3987" s="1"/>
  <c r="S3988"/>
  <c r="M3988" s="1"/>
  <c r="S3989"/>
  <c r="M3989" s="1"/>
  <c r="S3990"/>
  <c r="M3990" s="1"/>
  <c r="S3991"/>
  <c r="M3991" s="1"/>
  <c r="S3992"/>
  <c r="M3992" s="1"/>
  <c r="S3993"/>
  <c r="M3993" s="1"/>
  <c r="S3994"/>
  <c r="M3994" s="1"/>
  <c r="S3995"/>
  <c r="M3995" s="1"/>
  <c r="S3996"/>
  <c r="M3996" s="1"/>
  <c r="S3997"/>
  <c r="M3997" s="1"/>
  <c r="S3998"/>
  <c r="M3998" s="1"/>
  <c r="S3999"/>
  <c r="M3999" s="1"/>
  <c r="S4000"/>
  <c r="M4000" s="1"/>
  <c r="S4001"/>
  <c r="M4001" s="1"/>
  <c r="S4002"/>
  <c r="M4002" s="1"/>
  <c r="S4003"/>
  <c r="M4003" s="1"/>
  <c r="S4004"/>
  <c r="M4004" s="1"/>
  <c r="S4005"/>
  <c r="M4005" s="1"/>
  <c r="S4006"/>
  <c r="M4006" s="1"/>
  <c r="S4007"/>
  <c r="M4007" s="1"/>
  <c r="S4008"/>
  <c r="M4008" s="1"/>
  <c r="S4009"/>
  <c r="M4009" s="1"/>
  <c r="S4010"/>
  <c r="M4010" s="1"/>
  <c r="S4011"/>
  <c r="M4011" s="1"/>
  <c r="S4012"/>
  <c r="M4012" s="1"/>
  <c r="S4013"/>
  <c r="M4013" s="1"/>
  <c r="S4014"/>
  <c r="M4014" s="1"/>
  <c r="S4015"/>
  <c r="M4015" s="1"/>
  <c r="S4016"/>
  <c r="M4016" s="1"/>
  <c r="S4017"/>
  <c r="M4017" s="1"/>
  <c r="S4018"/>
  <c r="M4018" s="1"/>
  <c r="S4019"/>
  <c r="M4019" s="1"/>
  <c r="S4020"/>
  <c r="M4020" s="1"/>
  <c r="S4021"/>
  <c r="M4021" s="1"/>
  <c r="S4022"/>
  <c r="M4022" s="1"/>
  <c r="S4023"/>
  <c r="M4023" s="1"/>
  <c r="S4024"/>
  <c r="M4024" s="1"/>
  <c r="S4025"/>
  <c r="M4025" s="1"/>
  <c r="S4026"/>
  <c r="M4026" s="1"/>
  <c r="S4027"/>
  <c r="M4027" s="1"/>
  <c r="S4028"/>
  <c r="M4028" s="1"/>
  <c r="S4029"/>
  <c r="M4029" s="1"/>
  <c r="S4030"/>
  <c r="M4030" s="1"/>
  <c r="S4031"/>
  <c r="M4031" s="1"/>
  <c r="S4032"/>
  <c r="M4032" s="1"/>
  <c r="S4033"/>
  <c r="M4033" s="1"/>
  <c r="S4034"/>
  <c r="M4034" s="1"/>
  <c r="S4035"/>
  <c r="M4035" s="1"/>
  <c r="S4036"/>
  <c r="M4036" s="1"/>
  <c r="S4037"/>
  <c r="M4037" s="1"/>
  <c r="S4038"/>
  <c r="M4038" s="1"/>
  <c r="S4039"/>
  <c r="M4039" s="1"/>
  <c r="S4040"/>
  <c r="M4040" s="1"/>
  <c r="S4041"/>
  <c r="M4041" s="1"/>
  <c r="S4042"/>
  <c r="M4042" s="1"/>
  <c r="S4043"/>
  <c r="M4043" s="1"/>
  <c r="S4044"/>
  <c r="M4044" s="1"/>
  <c r="S4045"/>
  <c r="M4045" s="1"/>
  <c r="S4046"/>
  <c r="M4046" s="1"/>
  <c r="S4047"/>
  <c r="M4047" s="1"/>
  <c r="S4048"/>
  <c r="M4048" s="1"/>
  <c r="S4049"/>
  <c r="M4049" s="1"/>
  <c r="S4050"/>
  <c r="M4050" s="1"/>
  <c r="S4051"/>
  <c r="M4051" s="1"/>
  <c r="S4052"/>
  <c r="M4052" s="1"/>
  <c r="S4053"/>
  <c r="M4053" s="1"/>
  <c r="S4054"/>
  <c r="M4054" s="1"/>
  <c r="S4055"/>
  <c r="M4055" s="1"/>
  <c r="S4056"/>
  <c r="M4056" s="1"/>
  <c r="S4057"/>
  <c r="M4057" s="1"/>
  <c r="S4058"/>
  <c r="M4058" s="1"/>
  <c r="S4059"/>
  <c r="M4059" s="1"/>
  <c r="S4060"/>
  <c r="M4060" s="1"/>
  <c r="S4061"/>
  <c r="M4061" s="1"/>
  <c r="S4062"/>
  <c r="M4062" s="1"/>
  <c r="S4063"/>
  <c r="M4063" s="1"/>
  <c r="S4064"/>
  <c r="M4064" s="1"/>
  <c r="S4065"/>
  <c r="M4065" s="1"/>
  <c r="S4066"/>
  <c r="M4066" s="1"/>
  <c r="S4067"/>
  <c r="M4067" s="1"/>
  <c r="S4068"/>
  <c r="M4068" s="1"/>
  <c r="S4069"/>
  <c r="M4069" s="1"/>
  <c r="S4070"/>
  <c r="M4070" s="1"/>
  <c r="S4071"/>
  <c r="M4071" s="1"/>
  <c r="S4072"/>
  <c r="M4072" s="1"/>
  <c r="S4073"/>
  <c r="M4073" s="1"/>
  <c r="S4074"/>
  <c r="M4074" s="1"/>
  <c r="S4075"/>
  <c r="M4075" s="1"/>
  <c r="S4076"/>
  <c r="M4076" s="1"/>
  <c r="S4077"/>
  <c r="M4077" s="1"/>
  <c r="S4078"/>
  <c r="M4078" s="1"/>
  <c r="S4079"/>
  <c r="M4079" s="1"/>
  <c r="S4080"/>
  <c r="M4080" s="1"/>
  <c r="S4081"/>
  <c r="M4081" s="1"/>
  <c r="S4082"/>
  <c r="M4082" s="1"/>
  <c r="S4083"/>
  <c r="M4083" s="1"/>
  <c r="S4084"/>
  <c r="M4084" s="1"/>
  <c r="S4085"/>
  <c r="M4085" s="1"/>
  <c r="S4086"/>
  <c r="M4086" s="1"/>
  <c r="S4087"/>
  <c r="M4087" s="1"/>
  <c r="S4088"/>
  <c r="M4088" s="1"/>
  <c r="S4089"/>
  <c r="M4089" s="1"/>
  <c r="S4090"/>
  <c r="M4090" s="1"/>
  <c r="S4091"/>
  <c r="M4091" s="1"/>
  <c r="S4092"/>
  <c r="M4092" s="1"/>
  <c r="S4093"/>
  <c r="M4093" s="1"/>
  <c r="S4094"/>
  <c r="M4094" s="1"/>
  <c r="S4095"/>
  <c r="M4095" s="1"/>
  <c r="S4096"/>
  <c r="M4096" s="1"/>
  <c r="S4097"/>
  <c r="M4097" s="1"/>
  <c r="S4098"/>
  <c r="M4098" s="1"/>
  <c r="S4099"/>
  <c r="M4099" s="1"/>
  <c r="S4100"/>
  <c r="M4100" s="1"/>
  <c r="S4101"/>
  <c r="M4101" s="1"/>
  <c r="S4102"/>
  <c r="M4102" s="1"/>
  <c r="S4103"/>
  <c r="M4103" s="1"/>
  <c r="S4104"/>
  <c r="M4104" s="1"/>
  <c r="S4105"/>
  <c r="M4105" s="1"/>
  <c r="S4106"/>
  <c r="M4106" s="1"/>
  <c r="S4107"/>
  <c r="M4107" s="1"/>
  <c r="S4108"/>
  <c r="M4108" s="1"/>
  <c r="S4109"/>
  <c r="M4109" s="1"/>
  <c r="S4110"/>
  <c r="M4110" s="1"/>
  <c r="S4111"/>
  <c r="M4111" s="1"/>
  <c r="S4112"/>
  <c r="M4112" s="1"/>
  <c r="S4113"/>
  <c r="M4113" s="1"/>
  <c r="S4114"/>
  <c r="M4114" s="1"/>
  <c r="S4115"/>
  <c r="M4115" s="1"/>
  <c r="S4116"/>
  <c r="M4116" s="1"/>
  <c r="S4117"/>
  <c r="M4117" s="1"/>
  <c r="S4118"/>
  <c r="M4118" s="1"/>
  <c r="S4119"/>
  <c r="M4119" s="1"/>
  <c r="S4120"/>
  <c r="M4120" s="1"/>
  <c r="S4121"/>
  <c r="M4121" s="1"/>
  <c r="S4122"/>
  <c r="M4122" s="1"/>
  <c r="S4123"/>
  <c r="M4123" s="1"/>
  <c r="S4124"/>
  <c r="M4124" s="1"/>
  <c r="S4125"/>
  <c r="M4125" s="1"/>
  <c r="S4126"/>
  <c r="M4126" s="1"/>
  <c r="S4127"/>
  <c r="M4127" s="1"/>
  <c r="S4128"/>
  <c r="M4128" s="1"/>
  <c r="S4129"/>
  <c r="M4129" s="1"/>
  <c r="S4130"/>
  <c r="M4130" s="1"/>
  <c r="S4131"/>
  <c r="M4131" s="1"/>
  <c r="S4132"/>
  <c r="M4132" s="1"/>
  <c r="S4133"/>
  <c r="M4133" s="1"/>
  <c r="S4134"/>
  <c r="M4134" s="1"/>
  <c r="S4135"/>
  <c r="M4135" s="1"/>
  <c r="S4136"/>
  <c r="M4136" s="1"/>
  <c r="S4137"/>
  <c r="M4137" s="1"/>
  <c r="S4138"/>
  <c r="M4138" s="1"/>
  <c r="S4139"/>
  <c r="M4139" s="1"/>
  <c r="S4140"/>
  <c r="M4140" s="1"/>
  <c r="S4141"/>
  <c r="M4141" s="1"/>
  <c r="S4142"/>
  <c r="M4142" s="1"/>
  <c r="S4143"/>
  <c r="M4143" s="1"/>
  <c r="S4144"/>
  <c r="M4144" s="1"/>
  <c r="S4145"/>
  <c r="M4145" s="1"/>
  <c r="S4146"/>
  <c r="M4146" s="1"/>
  <c r="S4147"/>
  <c r="M4147" s="1"/>
  <c r="S4148"/>
  <c r="M4148" s="1"/>
  <c r="S4149"/>
  <c r="M4149" s="1"/>
  <c r="S4150"/>
  <c r="M4150" s="1"/>
  <c r="S4151"/>
  <c r="M4151" s="1"/>
  <c r="S4152"/>
  <c r="M4152" s="1"/>
  <c r="S4153"/>
  <c r="M4153" s="1"/>
  <c r="S4154"/>
  <c r="M4154" s="1"/>
  <c r="S4155"/>
  <c r="M4155" s="1"/>
  <c r="S4156"/>
  <c r="M4156" s="1"/>
  <c r="S4157"/>
  <c r="M4157" s="1"/>
  <c r="S4158"/>
  <c r="M4158" s="1"/>
  <c r="S4159"/>
  <c r="M4159" s="1"/>
  <c r="S4160"/>
  <c r="M4160" s="1"/>
  <c r="S4161"/>
  <c r="M4161" s="1"/>
  <c r="S4162"/>
  <c r="M4162" s="1"/>
  <c r="S4163"/>
  <c r="M4163" s="1"/>
  <c r="S4164"/>
  <c r="M4164" s="1"/>
  <c r="S4165"/>
  <c r="M4165" s="1"/>
  <c r="S4166"/>
  <c r="M4166" s="1"/>
  <c r="S4167"/>
  <c r="M4167" s="1"/>
  <c r="S4168"/>
  <c r="M4168" s="1"/>
  <c r="S4169"/>
  <c r="M4169" s="1"/>
  <c r="S4170"/>
  <c r="M4170" s="1"/>
  <c r="S4171"/>
  <c r="M4171" s="1"/>
  <c r="S4172"/>
  <c r="M4172" s="1"/>
  <c r="S4173"/>
  <c r="M4173" s="1"/>
  <c r="S4174"/>
  <c r="M4174" s="1"/>
  <c r="S4175"/>
  <c r="M4175" s="1"/>
  <c r="S4176"/>
  <c r="M4176" s="1"/>
  <c r="S4177"/>
  <c r="M4177" s="1"/>
  <c r="S4178"/>
  <c r="M4178" s="1"/>
  <c r="S4179"/>
  <c r="M4179" s="1"/>
  <c r="S4180"/>
  <c r="M4180" s="1"/>
  <c r="S4181"/>
  <c r="M4181" s="1"/>
  <c r="S4182"/>
  <c r="M4182" s="1"/>
  <c r="S4183"/>
  <c r="M4183" s="1"/>
  <c r="S4184"/>
  <c r="M4184" s="1"/>
  <c r="S4185"/>
  <c r="M4185" s="1"/>
  <c r="S4186"/>
  <c r="M4186" s="1"/>
  <c r="S4187"/>
  <c r="M4187" s="1"/>
  <c r="S4188"/>
  <c r="M4188" s="1"/>
  <c r="S4189"/>
  <c r="M4189" s="1"/>
  <c r="S4190"/>
  <c r="M4190" s="1"/>
  <c r="S4191"/>
  <c r="M4191" s="1"/>
  <c r="S4192"/>
  <c r="M4192" s="1"/>
  <c r="S4193"/>
  <c r="M4193" s="1"/>
  <c r="S4194"/>
  <c r="M4194" s="1"/>
  <c r="S4195"/>
  <c r="M4195" s="1"/>
  <c r="S4196"/>
  <c r="M4196" s="1"/>
  <c r="S4197"/>
  <c r="M4197" s="1"/>
  <c r="S4198"/>
  <c r="M4198" s="1"/>
  <c r="S4199"/>
  <c r="M4199" s="1"/>
  <c r="S4200"/>
  <c r="M4200" s="1"/>
  <c r="S4201"/>
  <c r="M4201" s="1"/>
  <c r="S4202"/>
  <c r="M4202" s="1"/>
  <c r="S4203"/>
  <c r="M4203" s="1"/>
  <c r="S4204"/>
  <c r="M4204" s="1"/>
  <c r="S4205"/>
  <c r="M4205" s="1"/>
  <c r="S4206"/>
  <c r="M4206" s="1"/>
  <c r="S4207"/>
  <c r="M4207" s="1"/>
  <c r="S4208"/>
  <c r="M4208" s="1"/>
  <c r="S4209"/>
  <c r="M4209" s="1"/>
  <c r="S4210"/>
  <c r="M4210" s="1"/>
  <c r="S4211"/>
  <c r="M4211" s="1"/>
  <c r="S4212"/>
  <c r="M4212" s="1"/>
  <c r="S4213"/>
  <c r="M4213" s="1"/>
  <c r="S4214"/>
  <c r="M4214" s="1"/>
  <c r="S4215"/>
  <c r="M4215" s="1"/>
  <c r="S4216"/>
  <c r="M4216" s="1"/>
  <c r="S4217"/>
  <c r="M4217" s="1"/>
  <c r="S4218"/>
  <c r="M4218" s="1"/>
  <c r="S4219"/>
  <c r="M4219" s="1"/>
  <c r="S4220"/>
  <c r="M4220" s="1"/>
  <c r="S4221"/>
  <c r="M4221" s="1"/>
  <c r="S4222"/>
  <c r="M4222" s="1"/>
  <c r="S4223"/>
  <c r="M4223" s="1"/>
  <c r="S4224"/>
  <c r="M4224" s="1"/>
  <c r="S4225"/>
  <c r="M4225" s="1"/>
  <c r="S4226"/>
  <c r="M4226" s="1"/>
  <c r="S4227"/>
  <c r="M4227" s="1"/>
  <c r="S4228"/>
  <c r="M4228" s="1"/>
  <c r="S4229"/>
  <c r="M4229" s="1"/>
  <c r="S4230"/>
  <c r="M4230" s="1"/>
  <c r="S4231"/>
  <c r="M4231" s="1"/>
  <c r="S4232"/>
  <c r="M4232" s="1"/>
  <c r="S4233"/>
  <c r="M4233" s="1"/>
  <c r="S4234"/>
  <c r="M4234" s="1"/>
  <c r="S4235"/>
  <c r="M4235" s="1"/>
  <c r="S4236"/>
  <c r="M4236" s="1"/>
  <c r="S4237"/>
  <c r="M4237" s="1"/>
  <c r="S4238"/>
  <c r="M4238" s="1"/>
  <c r="S4239"/>
  <c r="M4239" s="1"/>
  <c r="S4240"/>
  <c r="M4240" s="1"/>
  <c r="S4241"/>
  <c r="M4241" s="1"/>
  <c r="S4242"/>
  <c r="M4242" s="1"/>
  <c r="S4243"/>
  <c r="M4243" s="1"/>
  <c r="S4244"/>
  <c r="M4244" s="1"/>
  <c r="S4245"/>
  <c r="M4245" s="1"/>
  <c r="S4246"/>
  <c r="M4246" s="1"/>
  <c r="S4247"/>
  <c r="M4247" s="1"/>
  <c r="S4248"/>
  <c r="M4248" s="1"/>
  <c r="S4249"/>
  <c r="M4249" s="1"/>
  <c r="S4250"/>
  <c r="M4250" s="1"/>
  <c r="S4251"/>
  <c r="M4251" s="1"/>
  <c r="S4252"/>
  <c r="M4252" s="1"/>
  <c r="S4253"/>
  <c r="M4253" s="1"/>
  <c r="S4254"/>
  <c r="M4254" s="1"/>
  <c r="S4255"/>
  <c r="M4255" s="1"/>
  <c r="S4256"/>
  <c r="M4256" s="1"/>
  <c r="S4257"/>
  <c r="M4257" s="1"/>
  <c r="S4258"/>
  <c r="M4258" s="1"/>
  <c r="S4259"/>
  <c r="M4259" s="1"/>
  <c r="S4260"/>
  <c r="M4260" s="1"/>
  <c r="S4261"/>
  <c r="M4261" s="1"/>
  <c r="S4262"/>
  <c r="M4262" s="1"/>
  <c r="S4263"/>
  <c r="M4263" s="1"/>
  <c r="S4264"/>
  <c r="M4264" s="1"/>
  <c r="S4265"/>
  <c r="M4265" s="1"/>
  <c r="S4266"/>
  <c r="M4266" s="1"/>
  <c r="S4267"/>
  <c r="M4267" s="1"/>
  <c r="S4268"/>
  <c r="M4268" s="1"/>
  <c r="S4269"/>
  <c r="M4269" s="1"/>
  <c r="S4270"/>
  <c r="M4270" s="1"/>
  <c r="S4271"/>
  <c r="M4271" s="1"/>
  <c r="S4272"/>
  <c r="M4272" s="1"/>
  <c r="S4273"/>
  <c r="M4273" s="1"/>
  <c r="S4274"/>
  <c r="M4274" s="1"/>
  <c r="S4275"/>
  <c r="M4275" s="1"/>
  <c r="S4276"/>
  <c r="M4276" s="1"/>
  <c r="S4277"/>
  <c r="M4277" s="1"/>
  <c r="S4278"/>
  <c r="M4278" s="1"/>
  <c r="S4279"/>
  <c r="M4279" s="1"/>
  <c r="S4280"/>
  <c r="M4280" s="1"/>
  <c r="S4281"/>
  <c r="M4281" s="1"/>
  <c r="S4282"/>
  <c r="M4282" s="1"/>
  <c r="S4283"/>
  <c r="M4283" s="1"/>
  <c r="S4284"/>
  <c r="M4284" s="1"/>
  <c r="S4285"/>
  <c r="M4285" s="1"/>
  <c r="S4286"/>
  <c r="M4286" s="1"/>
  <c r="S4287"/>
  <c r="M4287" s="1"/>
  <c r="S4288"/>
  <c r="M4288" s="1"/>
  <c r="S4289"/>
  <c r="M4289" s="1"/>
  <c r="S4290"/>
  <c r="M4290" s="1"/>
  <c r="S4291"/>
  <c r="M4291" s="1"/>
  <c r="S4292"/>
  <c r="M4292" s="1"/>
  <c r="S4293"/>
  <c r="M4293" s="1"/>
  <c r="S4294"/>
  <c r="M4294" s="1"/>
  <c r="S4295"/>
  <c r="M4295" s="1"/>
  <c r="S4296"/>
  <c r="M4296" s="1"/>
  <c r="S4297"/>
  <c r="M4297" s="1"/>
  <c r="S4298"/>
  <c r="M4298" s="1"/>
  <c r="S4299"/>
  <c r="M4299" s="1"/>
  <c r="S4300"/>
  <c r="M4300" s="1"/>
  <c r="S4301"/>
  <c r="M4301" s="1"/>
  <c r="S4302"/>
  <c r="M4302" s="1"/>
  <c r="S4303"/>
  <c r="M4303" s="1"/>
  <c r="S4304"/>
  <c r="M4304" s="1"/>
  <c r="S4305"/>
  <c r="M4305" s="1"/>
  <c r="S4306"/>
  <c r="M4306" s="1"/>
  <c r="S4307"/>
  <c r="M4307" s="1"/>
  <c r="S4308"/>
  <c r="M4308" s="1"/>
  <c r="S4309"/>
  <c r="M4309" s="1"/>
  <c r="S4310"/>
  <c r="M4310" s="1"/>
  <c r="S4311"/>
  <c r="M4311" s="1"/>
  <c r="S4312"/>
  <c r="M4312" s="1"/>
  <c r="S4313"/>
  <c r="M4313" s="1"/>
  <c r="S4314"/>
  <c r="M4314" s="1"/>
  <c r="S4315"/>
  <c r="M4315" s="1"/>
  <c r="S4316"/>
  <c r="M4316" s="1"/>
  <c r="S4317"/>
  <c r="M4317" s="1"/>
  <c r="S4318"/>
  <c r="M4318" s="1"/>
  <c r="S4319"/>
  <c r="M4319" s="1"/>
  <c r="S4320"/>
  <c r="M4320" s="1"/>
  <c r="S4321"/>
  <c r="M4321" s="1"/>
  <c r="S4322"/>
  <c r="M4322" s="1"/>
  <c r="S4323"/>
  <c r="M4323" s="1"/>
  <c r="S4324"/>
  <c r="M4324" s="1"/>
  <c r="S4325"/>
  <c r="M4325" s="1"/>
  <c r="S4326"/>
  <c r="M4326" s="1"/>
  <c r="S4327"/>
  <c r="M4327" s="1"/>
  <c r="S4328"/>
  <c r="M4328" s="1"/>
  <c r="S4329"/>
  <c r="M4329" s="1"/>
  <c r="S4330"/>
  <c r="M4330" s="1"/>
  <c r="S4331"/>
  <c r="M4331" s="1"/>
  <c r="S4332"/>
  <c r="M4332" s="1"/>
  <c r="S4333"/>
  <c r="M4333" s="1"/>
  <c r="S4334"/>
  <c r="M4334" s="1"/>
  <c r="S4335"/>
  <c r="M4335" s="1"/>
  <c r="S4336"/>
  <c r="M4336" s="1"/>
  <c r="S4337"/>
  <c r="M4337" s="1"/>
  <c r="S4338"/>
  <c r="M4338" s="1"/>
  <c r="S4339"/>
  <c r="M4339" s="1"/>
  <c r="S4340"/>
  <c r="M4340" s="1"/>
  <c r="S4341"/>
  <c r="M4341" s="1"/>
  <c r="S4342"/>
  <c r="M4342" s="1"/>
  <c r="S4343"/>
  <c r="M4343" s="1"/>
  <c r="S4344"/>
  <c r="M4344" s="1"/>
  <c r="S4345"/>
  <c r="M4345" s="1"/>
  <c r="S4346"/>
  <c r="M4346" s="1"/>
  <c r="S4347"/>
  <c r="M4347" s="1"/>
  <c r="S4348"/>
  <c r="M4348" s="1"/>
  <c r="S4349"/>
  <c r="M4349" s="1"/>
  <c r="S4350"/>
  <c r="M4350" s="1"/>
  <c r="S4351"/>
  <c r="M4351" s="1"/>
  <c r="S4352"/>
  <c r="M4352" s="1"/>
  <c r="S4353"/>
  <c r="M4353" s="1"/>
  <c r="S4354"/>
  <c r="M4354" s="1"/>
  <c r="S4355"/>
  <c r="M4355" s="1"/>
  <c r="S4356"/>
  <c r="M4356" s="1"/>
  <c r="S4357"/>
  <c r="M4357" s="1"/>
  <c r="S4358"/>
  <c r="M4358" s="1"/>
  <c r="S4359"/>
  <c r="M4359" s="1"/>
  <c r="S4360"/>
  <c r="M4360" s="1"/>
  <c r="S4361"/>
  <c r="M4361" s="1"/>
  <c r="S4362"/>
  <c r="M4362" s="1"/>
  <c r="S4363"/>
  <c r="M4363" s="1"/>
  <c r="S4364"/>
  <c r="M4364" s="1"/>
  <c r="S4365"/>
  <c r="M4365" s="1"/>
  <c r="S4366"/>
  <c r="M4366" s="1"/>
  <c r="S4367"/>
  <c r="M4367" s="1"/>
  <c r="S4368"/>
  <c r="M4368" s="1"/>
  <c r="S4369"/>
  <c r="M4369" s="1"/>
  <c r="S4370"/>
  <c r="M4370" s="1"/>
  <c r="S4371"/>
  <c r="M4371" s="1"/>
  <c r="S4372"/>
  <c r="M4372" s="1"/>
  <c r="S4373"/>
  <c r="M4373" s="1"/>
  <c r="S4374"/>
  <c r="M4374" s="1"/>
  <c r="S4375"/>
  <c r="M4375" s="1"/>
  <c r="S4376"/>
  <c r="M4376" s="1"/>
  <c r="S4377"/>
  <c r="M4377" s="1"/>
  <c r="S4378"/>
  <c r="M4378" s="1"/>
  <c r="S4379"/>
  <c r="M4379" s="1"/>
  <c r="S4380"/>
  <c r="M4380" s="1"/>
  <c r="S4381"/>
  <c r="M4381" s="1"/>
  <c r="S4382"/>
  <c r="M4382" s="1"/>
  <c r="S4383"/>
  <c r="M4383" s="1"/>
  <c r="S4384"/>
  <c r="M4384" s="1"/>
  <c r="S4385"/>
  <c r="M4385" s="1"/>
  <c r="S4386"/>
  <c r="M4386" s="1"/>
  <c r="S4387"/>
  <c r="M4387" s="1"/>
  <c r="S4388"/>
  <c r="M4388" s="1"/>
  <c r="S4389"/>
  <c r="M4389" s="1"/>
  <c r="S4390"/>
  <c r="M4390" s="1"/>
  <c r="S4391"/>
  <c r="M4391" s="1"/>
  <c r="S4392"/>
  <c r="M4392" s="1"/>
  <c r="S4393"/>
  <c r="M4393" s="1"/>
  <c r="S4394"/>
  <c r="M4394" s="1"/>
  <c r="S4395"/>
  <c r="M4395" s="1"/>
  <c r="S4396"/>
  <c r="M4396" s="1"/>
  <c r="S4397"/>
  <c r="M4397" s="1"/>
  <c r="S4398"/>
  <c r="M4398" s="1"/>
  <c r="S4399"/>
  <c r="M4399" s="1"/>
  <c r="S4400"/>
  <c r="M4400" s="1"/>
  <c r="S4401"/>
  <c r="M4401" s="1"/>
  <c r="S4402"/>
  <c r="M4402" s="1"/>
  <c r="S4403"/>
  <c r="M4403" s="1"/>
  <c r="S4404"/>
  <c r="M4404" s="1"/>
  <c r="S4405"/>
  <c r="M4405" s="1"/>
  <c r="S4406"/>
  <c r="M4406" s="1"/>
  <c r="S4407"/>
  <c r="M4407" s="1"/>
  <c r="S4408"/>
  <c r="M4408" s="1"/>
  <c r="S4409"/>
  <c r="M4409" s="1"/>
  <c r="S4410"/>
  <c r="M4410" s="1"/>
  <c r="S4411"/>
  <c r="M4411" s="1"/>
  <c r="S4412"/>
  <c r="M4412" s="1"/>
  <c r="S4413"/>
  <c r="M4413" s="1"/>
  <c r="S4414"/>
  <c r="M4414" s="1"/>
  <c r="S4415"/>
  <c r="M4415" s="1"/>
  <c r="S4416"/>
  <c r="M4416" s="1"/>
  <c r="S4417"/>
  <c r="M4417" s="1"/>
  <c r="S4418"/>
  <c r="M4418" s="1"/>
  <c r="S4419"/>
  <c r="M4419" s="1"/>
  <c r="S4420"/>
  <c r="M4420" s="1"/>
  <c r="S4421"/>
  <c r="M4421" s="1"/>
  <c r="S4422"/>
  <c r="M4422" s="1"/>
  <c r="S4423"/>
  <c r="M4423" s="1"/>
  <c r="S4424"/>
  <c r="M4424" s="1"/>
  <c r="S4425"/>
  <c r="M4425" s="1"/>
  <c r="S4426"/>
  <c r="M4426" s="1"/>
  <c r="S4427"/>
  <c r="M4427" s="1"/>
  <c r="S4428"/>
  <c r="M4428" s="1"/>
  <c r="S4429"/>
  <c r="M4429" s="1"/>
  <c r="S4430"/>
  <c r="M4430" s="1"/>
  <c r="S4431"/>
  <c r="M4431" s="1"/>
  <c r="S4432"/>
  <c r="M4432" s="1"/>
  <c r="S4433"/>
  <c r="M4433" s="1"/>
  <c r="S4434"/>
  <c r="M4434" s="1"/>
  <c r="S4435"/>
  <c r="M4435" s="1"/>
  <c r="S4436"/>
  <c r="M4436" s="1"/>
  <c r="S4437"/>
  <c r="M4437" s="1"/>
  <c r="S4438"/>
  <c r="M4438" s="1"/>
  <c r="S4439"/>
  <c r="M4439" s="1"/>
  <c r="S4440"/>
  <c r="M4440" s="1"/>
  <c r="S4441"/>
  <c r="M4441" s="1"/>
  <c r="S4442"/>
  <c r="M4442" s="1"/>
  <c r="S4443"/>
  <c r="M4443" s="1"/>
  <c r="S4444"/>
  <c r="M4444" s="1"/>
  <c r="S4445"/>
  <c r="M4445" s="1"/>
  <c r="S4446"/>
  <c r="M4446" s="1"/>
  <c r="S4447"/>
  <c r="M4447" s="1"/>
  <c r="S4448"/>
  <c r="M4448" s="1"/>
  <c r="S4449"/>
  <c r="M4449" s="1"/>
  <c r="S4450"/>
  <c r="M4450" s="1"/>
  <c r="S4451"/>
  <c r="M4451" s="1"/>
  <c r="S4452"/>
  <c r="M4452" s="1"/>
  <c r="S4453"/>
  <c r="M4453" s="1"/>
  <c r="S4454"/>
  <c r="M4454" s="1"/>
  <c r="S4455"/>
  <c r="M4455" s="1"/>
  <c r="S4456"/>
  <c r="M4456" s="1"/>
  <c r="S4457"/>
  <c r="M4457" s="1"/>
  <c r="S4458"/>
  <c r="M4458" s="1"/>
  <c r="S4459"/>
  <c r="M4459" s="1"/>
  <c r="S4460"/>
  <c r="M4460" s="1"/>
  <c r="S4461"/>
  <c r="M4461" s="1"/>
  <c r="S4462"/>
  <c r="M4462" s="1"/>
  <c r="S4463"/>
  <c r="M4463" s="1"/>
  <c r="S4464"/>
  <c r="M4464" s="1"/>
  <c r="S4465"/>
  <c r="M4465" s="1"/>
  <c r="S4466"/>
  <c r="M4466" s="1"/>
  <c r="S4467"/>
  <c r="M4467" s="1"/>
  <c r="S4468"/>
  <c r="M4468" s="1"/>
  <c r="S4469"/>
  <c r="M4469" s="1"/>
  <c r="S4470"/>
  <c r="M4470" s="1"/>
  <c r="S4471"/>
  <c r="M4471" s="1"/>
  <c r="S4472"/>
  <c r="M4472" s="1"/>
  <c r="S4473"/>
  <c r="M4473" s="1"/>
  <c r="S4474"/>
  <c r="M4474" s="1"/>
  <c r="S4475"/>
  <c r="M4475" s="1"/>
  <c r="S4476"/>
  <c r="M4476" s="1"/>
  <c r="S4477"/>
  <c r="M4477" s="1"/>
  <c r="S4478"/>
  <c r="M4478" s="1"/>
  <c r="S4479"/>
  <c r="M4479" s="1"/>
  <c r="S4480"/>
  <c r="M4480" s="1"/>
  <c r="S4481"/>
  <c r="M4481" s="1"/>
  <c r="S4482"/>
  <c r="M4482" s="1"/>
  <c r="S4483"/>
  <c r="M4483" s="1"/>
  <c r="S4484"/>
  <c r="M4484" s="1"/>
  <c r="S4485"/>
  <c r="M4485" s="1"/>
  <c r="S4486"/>
  <c r="M4486" s="1"/>
  <c r="S4487"/>
  <c r="M4487" s="1"/>
  <c r="S4488"/>
  <c r="M4488" s="1"/>
  <c r="S4489"/>
  <c r="M4489" s="1"/>
  <c r="S4490"/>
  <c r="M4490" s="1"/>
  <c r="S4491"/>
  <c r="M4491" s="1"/>
  <c r="S4492"/>
  <c r="M4492" s="1"/>
  <c r="S4493"/>
  <c r="M4493" s="1"/>
  <c r="S4494"/>
  <c r="M4494" s="1"/>
  <c r="S4495"/>
  <c r="M4495" s="1"/>
  <c r="S4496"/>
  <c r="M4496" s="1"/>
  <c r="S4497"/>
  <c r="M4497" s="1"/>
  <c r="S4498"/>
  <c r="M4498" s="1"/>
  <c r="S4499"/>
  <c r="M4499" s="1"/>
  <c r="S4500"/>
  <c r="M4500" s="1"/>
  <c r="S4501"/>
  <c r="M4501" s="1"/>
  <c r="S4502"/>
  <c r="M4502" s="1"/>
  <c r="S4503"/>
  <c r="M4503" s="1"/>
  <c r="S4504"/>
  <c r="M4504" s="1"/>
  <c r="S4505"/>
  <c r="M4505" s="1"/>
  <c r="S4506"/>
  <c r="M4506" s="1"/>
  <c r="S4507"/>
  <c r="M4507" s="1"/>
  <c r="S4508"/>
  <c r="M4508" s="1"/>
  <c r="S4509"/>
  <c r="M4509" s="1"/>
  <c r="S4510"/>
  <c r="M4510" s="1"/>
  <c r="S4511"/>
  <c r="M4511" s="1"/>
  <c r="S4512"/>
  <c r="M4512" s="1"/>
  <c r="S4513"/>
  <c r="M4513" s="1"/>
  <c r="S4514"/>
  <c r="M4514" s="1"/>
  <c r="S4515"/>
  <c r="M4515" s="1"/>
  <c r="S4516"/>
  <c r="M4516" s="1"/>
  <c r="S4517"/>
  <c r="M4517" s="1"/>
  <c r="S4518"/>
  <c r="M4518" s="1"/>
  <c r="S4519"/>
  <c r="M4519" s="1"/>
  <c r="S4520"/>
  <c r="M4520" s="1"/>
  <c r="S4521"/>
  <c r="M4521" s="1"/>
  <c r="S4522"/>
  <c r="M4522" s="1"/>
  <c r="S4523"/>
  <c r="M4523" s="1"/>
  <c r="S4524"/>
  <c r="M4524" s="1"/>
  <c r="S4525"/>
  <c r="M4525" s="1"/>
  <c r="S4526"/>
  <c r="M4526" s="1"/>
  <c r="S4527"/>
  <c r="M4527" s="1"/>
  <c r="S4528"/>
  <c r="M4528" s="1"/>
  <c r="S4529"/>
  <c r="M4529" s="1"/>
  <c r="S4530"/>
  <c r="M4530" s="1"/>
  <c r="S4531"/>
  <c r="M4531" s="1"/>
  <c r="S4532"/>
  <c r="M4532" s="1"/>
  <c r="S4533"/>
  <c r="M4533" s="1"/>
  <c r="S4534"/>
  <c r="M4534" s="1"/>
  <c r="S4535"/>
  <c r="M4535" s="1"/>
  <c r="S4536"/>
  <c r="M4536" s="1"/>
  <c r="S4537"/>
  <c r="M4537" s="1"/>
  <c r="S4538"/>
  <c r="M4538" s="1"/>
  <c r="S4539"/>
  <c r="M4539" s="1"/>
  <c r="S4540"/>
  <c r="M4540" s="1"/>
  <c r="S4541"/>
  <c r="M4541" s="1"/>
  <c r="S4542"/>
  <c r="M4542" s="1"/>
  <c r="S4543"/>
  <c r="M4543" s="1"/>
  <c r="S4544"/>
  <c r="M4544" s="1"/>
  <c r="S4545"/>
  <c r="M4545" s="1"/>
  <c r="S4546"/>
  <c r="M4546" s="1"/>
  <c r="S4547"/>
  <c r="M4547" s="1"/>
  <c r="S4548"/>
  <c r="M4548" s="1"/>
  <c r="S4549"/>
  <c r="M4549" s="1"/>
  <c r="S4550"/>
  <c r="M4550" s="1"/>
  <c r="S4551"/>
  <c r="M4551" s="1"/>
  <c r="S4552"/>
  <c r="M4552" s="1"/>
  <c r="S4553"/>
  <c r="M4553" s="1"/>
  <c r="S4554"/>
  <c r="M4554" s="1"/>
  <c r="S4555"/>
  <c r="M4555" s="1"/>
  <c r="S4556"/>
  <c r="M4556" s="1"/>
  <c r="S4557"/>
  <c r="M4557" s="1"/>
  <c r="S4558"/>
  <c r="M4558" s="1"/>
  <c r="S4559"/>
  <c r="M4559" s="1"/>
  <c r="S4560"/>
  <c r="M4560" s="1"/>
  <c r="S4561"/>
  <c r="M4561" s="1"/>
  <c r="S4562"/>
  <c r="M4562" s="1"/>
  <c r="S4563"/>
  <c r="V4563" s="1"/>
  <c r="S4564"/>
  <c r="M4564" s="1"/>
  <c r="S4565"/>
  <c r="M4565" s="1"/>
  <c r="S4566"/>
  <c r="M4566" s="1"/>
  <c r="S4567"/>
  <c r="M4567" s="1"/>
  <c r="S4568"/>
  <c r="M4568" s="1"/>
  <c r="S4569"/>
  <c r="M4569" s="1"/>
  <c r="S4570"/>
  <c r="M4570" s="1"/>
  <c r="S4571"/>
  <c r="M4571" s="1"/>
  <c r="S4572"/>
  <c r="M4572" s="1"/>
  <c r="S4573"/>
  <c r="M4573" s="1"/>
  <c r="S4574"/>
  <c r="M4574" s="1"/>
  <c r="S4575"/>
  <c r="M4575" s="1"/>
  <c r="S4576"/>
  <c r="M4576" s="1"/>
  <c r="S4577"/>
  <c r="M4577" s="1"/>
  <c r="S4578"/>
  <c r="M4578" s="1"/>
  <c r="S4579"/>
  <c r="M4579" s="1"/>
  <c r="S4580"/>
  <c r="M4580" s="1"/>
  <c r="S4581"/>
  <c r="M4581" s="1"/>
  <c r="S4582"/>
  <c r="M4582" s="1"/>
  <c r="S4583"/>
  <c r="M4583" s="1"/>
  <c r="S4584"/>
  <c r="M4584" s="1"/>
  <c r="S4585"/>
  <c r="M4585" s="1"/>
  <c r="S4586"/>
  <c r="M4586" s="1"/>
  <c r="S4587"/>
  <c r="M4587" s="1"/>
  <c r="S4588"/>
  <c r="M4588" s="1"/>
  <c r="S4589"/>
  <c r="M4589" s="1"/>
  <c r="S4590"/>
  <c r="M4590" s="1"/>
  <c r="S4591"/>
  <c r="M4591" s="1"/>
  <c r="S4592"/>
  <c r="M4592" s="1"/>
  <c r="S4593"/>
  <c r="M4593" s="1"/>
  <c r="S4594"/>
  <c r="M4594" s="1"/>
  <c r="S4595"/>
  <c r="M4595" s="1"/>
  <c r="S4596"/>
  <c r="M4596" s="1"/>
  <c r="S4597"/>
  <c r="M4597" s="1"/>
  <c r="S4598"/>
  <c r="M4598" s="1"/>
  <c r="S4599"/>
  <c r="M4599" s="1"/>
  <c r="S4600"/>
  <c r="M4600" s="1"/>
  <c r="S4601"/>
  <c r="M4601" s="1"/>
  <c r="S4602"/>
  <c r="M4602" s="1"/>
  <c r="S4603"/>
  <c r="M4603" s="1"/>
  <c r="S4604"/>
  <c r="M4604" s="1"/>
  <c r="S4605"/>
  <c r="M4605" s="1"/>
  <c r="S4606"/>
  <c r="M4606" s="1"/>
  <c r="S4607"/>
  <c r="M4607" s="1"/>
  <c r="S4608"/>
  <c r="M4608" s="1"/>
  <c r="S4609"/>
  <c r="M4609" s="1"/>
  <c r="S4610"/>
  <c r="M4610" s="1"/>
  <c r="S4611"/>
  <c r="M4611" s="1"/>
  <c r="S4612"/>
  <c r="M4612" s="1"/>
  <c r="S4613"/>
  <c r="M4613" s="1"/>
  <c r="S4614"/>
  <c r="M4614" s="1"/>
  <c r="S4615"/>
  <c r="M4615" s="1"/>
  <c r="S4616"/>
  <c r="M4616" s="1"/>
  <c r="S4617"/>
  <c r="M4617" s="1"/>
  <c r="S4618"/>
  <c r="M4618" s="1"/>
  <c r="S4619"/>
  <c r="M4619" s="1"/>
  <c r="S4620"/>
  <c r="M4620" s="1"/>
  <c r="S4621"/>
  <c r="M4621" s="1"/>
  <c r="S4622"/>
  <c r="M4622" s="1"/>
  <c r="S4623"/>
  <c r="M4623" s="1"/>
  <c r="S4624"/>
  <c r="M4624" s="1"/>
  <c r="S4625"/>
  <c r="M4625" s="1"/>
  <c r="S4626"/>
  <c r="M4626" s="1"/>
  <c r="S4627"/>
  <c r="M4627" s="1"/>
  <c r="S4628"/>
  <c r="M4628" s="1"/>
  <c r="S4629"/>
  <c r="M4629" s="1"/>
  <c r="S4630"/>
  <c r="M4630" s="1"/>
  <c r="S4631"/>
  <c r="M4631" s="1"/>
  <c r="S4632"/>
  <c r="M4632" s="1"/>
  <c r="S4633"/>
  <c r="M4633" s="1"/>
  <c r="S4634"/>
  <c r="M4634" s="1"/>
  <c r="S4635"/>
  <c r="M4635" s="1"/>
  <c r="S4636"/>
  <c r="M4636" s="1"/>
  <c r="S4637"/>
  <c r="M4637" s="1"/>
  <c r="S4638"/>
  <c r="M4638" s="1"/>
  <c r="S4639"/>
  <c r="M4639" s="1"/>
  <c r="S4640"/>
  <c r="M4640" s="1"/>
  <c r="S4641"/>
  <c r="M4641" s="1"/>
  <c r="S4642"/>
  <c r="M4642" s="1"/>
  <c r="S4643"/>
  <c r="M4643" s="1"/>
  <c r="S4644"/>
  <c r="M4644" s="1"/>
  <c r="S4645"/>
  <c r="M4645" s="1"/>
  <c r="S4646"/>
  <c r="M4646" s="1"/>
  <c r="S4647"/>
  <c r="M4647" s="1"/>
  <c r="S4648"/>
  <c r="M4648" s="1"/>
  <c r="S4649"/>
  <c r="M4649" s="1"/>
  <c r="S4650"/>
  <c r="M4650" s="1"/>
  <c r="S4651"/>
  <c r="M4651" s="1"/>
  <c r="S4652"/>
  <c r="M4652" s="1"/>
  <c r="S4653"/>
  <c r="M4653" s="1"/>
  <c r="S4654"/>
  <c r="M4654" s="1"/>
  <c r="S4655"/>
  <c r="M4655" s="1"/>
  <c r="S4656"/>
  <c r="M4656" s="1"/>
  <c r="S4657"/>
  <c r="M4657" s="1"/>
  <c r="S4658"/>
  <c r="M4658" s="1"/>
  <c r="S4659"/>
  <c r="M4659" s="1"/>
  <c r="S4660"/>
  <c r="M4660" s="1"/>
  <c r="S4661"/>
  <c r="M4661" s="1"/>
  <c r="S4662"/>
  <c r="M4662" s="1"/>
  <c r="S4663"/>
  <c r="M4663" s="1"/>
  <c r="S4664"/>
  <c r="M4664" s="1"/>
  <c r="S4665"/>
  <c r="M4665" s="1"/>
  <c r="S4666"/>
  <c r="M4666" s="1"/>
  <c r="S4667"/>
  <c r="M4667" s="1"/>
  <c r="S4668"/>
  <c r="M4668" s="1"/>
  <c r="S4669"/>
  <c r="M4669" s="1"/>
  <c r="S4670"/>
  <c r="M4670" s="1"/>
  <c r="S4671"/>
  <c r="M4671" s="1"/>
  <c r="S4672"/>
  <c r="M4672" s="1"/>
  <c r="S4673"/>
  <c r="M4673" s="1"/>
  <c r="S4674"/>
  <c r="M4674" s="1"/>
  <c r="S4675"/>
  <c r="M4675" s="1"/>
  <c r="S4676"/>
  <c r="M4676" s="1"/>
  <c r="S4677"/>
  <c r="M4677" s="1"/>
  <c r="S4678"/>
  <c r="M4678" s="1"/>
  <c r="S4679"/>
  <c r="M4679" s="1"/>
  <c r="S4680"/>
  <c r="M4680" s="1"/>
  <c r="S4681"/>
  <c r="M4681" s="1"/>
  <c r="S4682"/>
  <c r="M4682" s="1"/>
  <c r="S4683"/>
  <c r="M4683" s="1"/>
  <c r="S4684"/>
  <c r="M4684" s="1"/>
  <c r="S4685"/>
  <c r="M4685" s="1"/>
  <c r="S4686"/>
  <c r="M4686" s="1"/>
  <c r="S4687"/>
  <c r="M4687" s="1"/>
  <c r="S4688"/>
  <c r="M4688" s="1"/>
  <c r="S4689"/>
  <c r="M4689" s="1"/>
  <c r="S4690"/>
  <c r="M4690" s="1"/>
  <c r="S4691"/>
  <c r="V4691" s="1"/>
  <c r="S4692"/>
  <c r="M4692" s="1"/>
  <c r="S4693"/>
  <c r="M4693" s="1"/>
  <c r="S4694"/>
  <c r="M4694" s="1"/>
  <c r="S4695"/>
  <c r="M4695" s="1"/>
  <c r="S4696"/>
  <c r="M4696" s="1"/>
  <c r="S4697"/>
  <c r="M4697" s="1"/>
  <c r="S4698"/>
  <c r="M4698" s="1"/>
  <c r="S4699"/>
  <c r="M4699" s="1"/>
  <c r="S4700"/>
  <c r="M4700" s="1"/>
  <c r="S4701"/>
  <c r="M4701" s="1"/>
  <c r="S4702"/>
  <c r="M4702" s="1"/>
  <c r="S4703"/>
  <c r="M4703" s="1"/>
  <c r="S4704"/>
  <c r="M4704" s="1"/>
  <c r="S4705"/>
  <c r="M4705" s="1"/>
  <c r="S4706"/>
  <c r="M4706" s="1"/>
  <c r="S4707"/>
  <c r="M4707" s="1"/>
  <c r="S4708"/>
  <c r="M4708" s="1"/>
  <c r="S4709"/>
  <c r="M4709" s="1"/>
  <c r="S4710"/>
  <c r="M4710" s="1"/>
  <c r="S4711"/>
  <c r="M4711" s="1"/>
  <c r="S4712"/>
  <c r="M4712" s="1"/>
  <c r="S4713"/>
  <c r="M4713" s="1"/>
  <c r="S4714"/>
  <c r="M4714" s="1"/>
  <c r="S4715"/>
  <c r="M4715" s="1"/>
  <c r="S4716"/>
  <c r="M4716" s="1"/>
  <c r="S4717"/>
  <c r="M4717" s="1"/>
  <c r="S4718"/>
  <c r="M4718" s="1"/>
  <c r="S4719"/>
  <c r="M4719" s="1"/>
  <c r="S4720"/>
  <c r="M4720" s="1"/>
  <c r="S4721"/>
  <c r="M4721" s="1"/>
  <c r="S4722"/>
  <c r="M4722" s="1"/>
  <c r="S4723"/>
  <c r="M4723" s="1"/>
  <c r="S4724"/>
  <c r="M4724" s="1"/>
  <c r="S4725"/>
  <c r="M4725" s="1"/>
  <c r="S4726"/>
  <c r="M4726" s="1"/>
  <c r="S4727"/>
  <c r="M4727" s="1"/>
  <c r="S4728"/>
  <c r="M4728" s="1"/>
  <c r="S4729"/>
  <c r="M4729" s="1"/>
  <c r="S4730"/>
  <c r="M4730" s="1"/>
  <c r="S4731"/>
  <c r="M4731" s="1"/>
  <c r="S4732"/>
  <c r="M4732" s="1"/>
  <c r="S4733"/>
  <c r="M4733" s="1"/>
  <c r="S4734"/>
  <c r="M4734" s="1"/>
  <c r="S4735"/>
  <c r="M4735" s="1"/>
  <c r="S4736"/>
  <c r="M4736" s="1"/>
  <c r="S4737"/>
  <c r="M4737" s="1"/>
  <c r="S4738"/>
  <c r="M4738" s="1"/>
  <c r="S4739"/>
  <c r="M4739" s="1"/>
  <c r="S4740"/>
  <c r="M4740" s="1"/>
  <c r="S4741"/>
  <c r="M4741" s="1"/>
  <c r="S4742"/>
  <c r="M4742" s="1"/>
  <c r="S4743"/>
  <c r="M4743" s="1"/>
  <c r="S4744"/>
  <c r="M4744" s="1"/>
  <c r="S4745"/>
  <c r="M4745" s="1"/>
  <c r="S4746"/>
  <c r="M4746" s="1"/>
  <c r="S4747"/>
  <c r="M4747" s="1"/>
  <c r="S4748"/>
  <c r="M4748" s="1"/>
  <c r="S4749"/>
  <c r="M4749" s="1"/>
  <c r="S4750"/>
  <c r="M4750" s="1"/>
  <c r="S4751"/>
  <c r="M4751" s="1"/>
  <c r="S4752"/>
  <c r="M4752" s="1"/>
  <c r="S4753"/>
  <c r="M4753" s="1"/>
  <c r="S4754"/>
  <c r="M4754" s="1"/>
  <c r="S4755"/>
  <c r="M4755" s="1"/>
  <c r="S4756"/>
  <c r="M4756" s="1"/>
  <c r="S4757"/>
  <c r="M4757" s="1"/>
  <c r="S4758"/>
  <c r="M4758" s="1"/>
  <c r="S4759"/>
  <c r="M4759" s="1"/>
  <c r="S4760"/>
  <c r="M4760" s="1"/>
  <c r="S4761"/>
  <c r="M4761" s="1"/>
  <c r="S4762"/>
  <c r="M4762" s="1"/>
  <c r="S4763"/>
  <c r="M4763" s="1"/>
  <c r="S4764"/>
  <c r="M4764" s="1"/>
  <c r="S4765"/>
  <c r="M4765" s="1"/>
  <c r="S4766"/>
  <c r="M4766" s="1"/>
  <c r="S4767"/>
  <c r="M4767" s="1"/>
  <c r="S4768"/>
  <c r="M4768" s="1"/>
  <c r="S4769"/>
  <c r="M4769" s="1"/>
  <c r="S4770"/>
  <c r="M4770" s="1"/>
  <c r="S4771"/>
  <c r="M4771" s="1"/>
  <c r="S4772"/>
  <c r="M4772" s="1"/>
  <c r="S4773"/>
  <c r="M4773" s="1"/>
  <c r="S4774"/>
  <c r="M4774" s="1"/>
  <c r="S4775"/>
  <c r="M4775" s="1"/>
  <c r="S4776"/>
  <c r="M4776" s="1"/>
  <c r="S4777"/>
  <c r="M4777" s="1"/>
  <c r="S4778"/>
  <c r="M4778" s="1"/>
  <c r="S4779"/>
  <c r="M4779" s="1"/>
  <c r="S4780"/>
  <c r="M4780" s="1"/>
  <c r="S4781"/>
  <c r="M4781" s="1"/>
  <c r="S4782"/>
  <c r="M4782" s="1"/>
  <c r="S4783"/>
  <c r="M4783" s="1"/>
  <c r="S4784"/>
  <c r="M4784" s="1"/>
  <c r="S4785"/>
  <c r="M4785" s="1"/>
  <c r="S4786"/>
  <c r="M4786" s="1"/>
  <c r="S4787"/>
  <c r="M4787" s="1"/>
  <c r="S4788"/>
  <c r="M4788" s="1"/>
  <c r="S4789"/>
  <c r="M4789" s="1"/>
  <c r="S4790"/>
  <c r="M4790" s="1"/>
  <c r="S4791"/>
  <c r="M4791" s="1"/>
  <c r="S4792"/>
  <c r="M4792" s="1"/>
  <c r="S4793"/>
  <c r="M4793" s="1"/>
  <c r="S4794"/>
  <c r="M4794" s="1"/>
  <c r="S4795"/>
  <c r="M4795" s="1"/>
  <c r="S4796"/>
  <c r="M4796" s="1"/>
  <c r="S4797"/>
  <c r="M4797" s="1"/>
  <c r="S4798"/>
  <c r="M4798" s="1"/>
  <c r="S4799"/>
  <c r="M4799" s="1"/>
  <c r="S4800"/>
  <c r="M4800" s="1"/>
  <c r="S4801"/>
  <c r="M4801" s="1"/>
  <c r="S4802"/>
  <c r="M4802" s="1"/>
  <c r="S4803"/>
  <c r="M4803" s="1"/>
  <c r="S4804"/>
  <c r="M4804" s="1"/>
  <c r="S4805"/>
  <c r="M4805" s="1"/>
  <c r="S4806"/>
  <c r="M4806" s="1"/>
  <c r="S4807"/>
  <c r="M4807" s="1"/>
  <c r="S4808"/>
  <c r="M4808" s="1"/>
  <c r="S4809"/>
  <c r="M4809" s="1"/>
  <c r="S4810"/>
  <c r="M4810" s="1"/>
  <c r="S4811"/>
  <c r="M4811" s="1"/>
  <c r="S4812"/>
  <c r="M4812" s="1"/>
  <c r="S4813"/>
  <c r="M4813" s="1"/>
  <c r="S4814"/>
  <c r="M4814" s="1"/>
  <c r="S4815"/>
  <c r="M4815" s="1"/>
  <c r="S4816"/>
  <c r="M4816" s="1"/>
  <c r="S4817"/>
  <c r="M4817" s="1"/>
  <c r="S4818"/>
  <c r="M4818" s="1"/>
  <c r="S4819"/>
  <c r="V4819" s="1"/>
  <c r="S4820"/>
  <c r="M4820" s="1"/>
  <c r="S4821"/>
  <c r="M4821" s="1"/>
  <c r="S4822"/>
  <c r="M4822" s="1"/>
  <c r="S4823"/>
  <c r="M4823" s="1"/>
  <c r="S4824"/>
  <c r="M4824" s="1"/>
  <c r="S4825"/>
  <c r="M4825" s="1"/>
  <c r="S4826"/>
  <c r="M4826" s="1"/>
  <c r="S4827"/>
  <c r="M4827" s="1"/>
  <c r="S4828"/>
  <c r="M4828" s="1"/>
  <c r="S4829"/>
  <c r="M4829" s="1"/>
  <c r="S4830"/>
  <c r="M4830" s="1"/>
  <c r="S4831"/>
  <c r="M4831" s="1"/>
  <c r="S4832"/>
  <c r="M4832" s="1"/>
  <c r="S4833"/>
  <c r="M4833" s="1"/>
  <c r="S4834"/>
  <c r="M4834" s="1"/>
  <c r="S4835"/>
  <c r="M4835" s="1"/>
  <c r="S4836"/>
  <c r="M4836" s="1"/>
  <c r="S4837"/>
  <c r="M4837" s="1"/>
  <c r="S4838"/>
  <c r="M4838" s="1"/>
  <c r="S4839"/>
  <c r="M4839" s="1"/>
  <c r="S4840"/>
  <c r="M4840" s="1"/>
  <c r="S4841"/>
  <c r="M4841" s="1"/>
  <c r="S4842"/>
  <c r="M4842" s="1"/>
  <c r="S4843"/>
  <c r="M4843" s="1"/>
  <c r="S4844"/>
  <c r="M4844" s="1"/>
  <c r="S4845"/>
  <c r="M4845" s="1"/>
  <c r="S4846"/>
  <c r="M4846" s="1"/>
  <c r="S4847"/>
  <c r="M4847" s="1"/>
  <c r="S4848"/>
  <c r="M4848" s="1"/>
  <c r="S4849"/>
  <c r="M4849" s="1"/>
  <c r="S4850"/>
  <c r="M4850" s="1"/>
  <c r="S4851"/>
  <c r="M4851" s="1"/>
  <c r="S4852"/>
  <c r="M4852" s="1"/>
  <c r="S4853"/>
  <c r="M4853" s="1"/>
  <c r="S4854"/>
  <c r="M4854" s="1"/>
  <c r="S4855"/>
  <c r="M4855" s="1"/>
  <c r="S4856"/>
  <c r="M4856" s="1"/>
  <c r="S4857"/>
  <c r="M4857" s="1"/>
  <c r="S4858"/>
  <c r="M4858" s="1"/>
  <c r="S4859"/>
  <c r="M4859" s="1"/>
  <c r="S4860"/>
  <c r="M4860" s="1"/>
  <c r="S4861"/>
  <c r="M4861" s="1"/>
  <c r="S4862"/>
  <c r="M4862" s="1"/>
  <c r="S4863"/>
  <c r="M4863" s="1"/>
  <c r="S4864"/>
  <c r="M4864" s="1"/>
  <c r="S4865"/>
  <c r="M4865" s="1"/>
  <c r="S4866"/>
  <c r="M4866" s="1"/>
  <c r="S4867"/>
  <c r="M4867" s="1"/>
  <c r="S4868"/>
  <c r="M4868" s="1"/>
  <c r="S4869"/>
  <c r="M4869" s="1"/>
  <c r="S4870"/>
  <c r="M4870" s="1"/>
  <c r="S4871"/>
  <c r="M4871" s="1"/>
  <c r="S4872"/>
  <c r="M4872" s="1"/>
  <c r="S4873"/>
  <c r="M4873" s="1"/>
  <c r="S4874"/>
  <c r="M4874" s="1"/>
  <c r="S4875"/>
  <c r="M4875" s="1"/>
  <c r="S4876"/>
  <c r="M4876" s="1"/>
  <c r="S4877"/>
  <c r="M4877" s="1"/>
  <c r="S4878"/>
  <c r="M4878" s="1"/>
  <c r="S4879"/>
  <c r="M4879" s="1"/>
  <c r="S4880"/>
  <c r="M4880" s="1"/>
  <c r="S4881"/>
  <c r="M4881" s="1"/>
  <c r="S4882"/>
  <c r="M4882" s="1"/>
  <c r="S4883"/>
  <c r="M4883" s="1"/>
  <c r="S4884"/>
  <c r="M4884" s="1"/>
  <c r="S4885"/>
  <c r="M4885" s="1"/>
  <c r="S4886"/>
  <c r="M4886" s="1"/>
  <c r="S4887"/>
  <c r="M4887" s="1"/>
  <c r="S4888"/>
  <c r="M4888" s="1"/>
  <c r="S4889"/>
  <c r="M4889" s="1"/>
  <c r="S4890"/>
  <c r="M4890" s="1"/>
  <c r="S4891"/>
  <c r="M4891" s="1"/>
  <c r="S4892"/>
  <c r="M4892" s="1"/>
  <c r="S4893"/>
  <c r="M4893" s="1"/>
  <c r="S4894"/>
  <c r="M4894" s="1"/>
  <c r="S4895"/>
  <c r="M4895" s="1"/>
  <c r="S4896"/>
  <c r="M4896" s="1"/>
  <c r="S4897"/>
  <c r="M4897" s="1"/>
  <c r="S4898"/>
  <c r="M4898" s="1"/>
  <c r="S4899"/>
  <c r="M4899" s="1"/>
  <c r="S4900"/>
  <c r="M4900" s="1"/>
  <c r="S4901"/>
  <c r="M4901" s="1"/>
  <c r="S4902"/>
  <c r="M4902" s="1"/>
  <c r="S4903"/>
  <c r="M4903" s="1"/>
  <c r="S4904"/>
  <c r="M4904" s="1"/>
  <c r="S4905"/>
  <c r="M4905" s="1"/>
  <c r="S4906"/>
  <c r="M4906" s="1"/>
  <c r="S4907"/>
  <c r="M4907" s="1"/>
  <c r="S4908"/>
  <c r="M4908" s="1"/>
  <c r="S4909"/>
  <c r="M4909" s="1"/>
  <c r="S4910"/>
  <c r="M4910" s="1"/>
  <c r="S4911"/>
  <c r="M4911" s="1"/>
  <c r="S4912"/>
  <c r="M4912" s="1"/>
  <c r="S4913"/>
  <c r="M4913" s="1"/>
  <c r="S4914"/>
  <c r="M4914" s="1"/>
  <c r="S4915"/>
  <c r="M4915" s="1"/>
  <c r="S4916"/>
  <c r="M4916" s="1"/>
  <c r="S4917"/>
  <c r="M4917" s="1"/>
  <c r="S4918"/>
  <c r="M4918" s="1"/>
  <c r="S4919"/>
  <c r="M4919" s="1"/>
  <c r="S4920"/>
  <c r="M4920" s="1"/>
  <c r="S4921"/>
  <c r="M4921" s="1"/>
  <c r="S4922"/>
  <c r="M4922" s="1"/>
  <c r="S4923"/>
  <c r="M4923" s="1"/>
  <c r="S4924"/>
  <c r="M4924" s="1"/>
  <c r="S4925"/>
  <c r="M4925" s="1"/>
  <c r="S4926"/>
  <c r="M4926" s="1"/>
  <c r="S4927"/>
  <c r="M4927" s="1"/>
  <c r="S4928"/>
  <c r="M4928" s="1"/>
  <c r="S4929"/>
  <c r="M4929" s="1"/>
  <c r="S4930"/>
  <c r="M4930" s="1"/>
  <c r="S4931"/>
  <c r="M4931" s="1"/>
  <c r="S4932"/>
  <c r="M4932" s="1"/>
  <c r="S4933"/>
  <c r="M4933" s="1"/>
  <c r="S4934"/>
  <c r="M4934" s="1"/>
  <c r="S4935"/>
  <c r="M4935" s="1"/>
  <c r="S4936"/>
  <c r="M4936" s="1"/>
  <c r="S4937"/>
  <c r="M4937" s="1"/>
  <c r="S4938"/>
  <c r="M4938" s="1"/>
  <c r="S4939"/>
  <c r="M4939" s="1"/>
  <c r="S4940"/>
  <c r="M4940" s="1"/>
  <c r="S4941"/>
  <c r="M4941" s="1"/>
  <c r="S4942"/>
  <c r="M4942" s="1"/>
  <c r="S4943"/>
  <c r="M4943" s="1"/>
  <c r="S4944"/>
  <c r="M4944" s="1"/>
  <c r="S4945"/>
  <c r="M4945" s="1"/>
  <c r="S4946"/>
  <c r="M4946" s="1"/>
  <c r="S4947"/>
  <c r="V4947" s="1"/>
  <c r="S4948"/>
  <c r="M4948" s="1"/>
  <c r="S4949"/>
  <c r="M4949" s="1"/>
  <c r="S4950"/>
  <c r="M4950" s="1"/>
  <c r="S4951"/>
  <c r="M4951" s="1"/>
  <c r="S4952"/>
  <c r="M4952" s="1"/>
  <c r="S4953"/>
  <c r="M4953" s="1"/>
  <c r="S4954"/>
  <c r="M4954" s="1"/>
  <c r="S4955"/>
  <c r="M4955" s="1"/>
  <c r="S4956"/>
  <c r="M4956" s="1"/>
  <c r="S4957"/>
  <c r="M4957" s="1"/>
  <c r="S4958"/>
  <c r="M4958" s="1"/>
  <c r="S4959"/>
  <c r="M4959" s="1"/>
  <c r="S4960"/>
  <c r="M4960" s="1"/>
  <c r="S4961"/>
  <c r="M4961" s="1"/>
  <c r="S4962"/>
  <c r="M4962" s="1"/>
  <c r="S4963"/>
  <c r="M4963" s="1"/>
  <c r="S4964"/>
  <c r="M4964" s="1"/>
  <c r="S4965"/>
  <c r="M4965" s="1"/>
  <c r="S4966"/>
  <c r="M4966" s="1"/>
  <c r="S4967"/>
  <c r="M4967" s="1"/>
  <c r="S4968"/>
  <c r="M4968" s="1"/>
  <c r="S4969"/>
  <c r="M4969" s="1"/>
  <c r="S4970"/>
  <c r="M4970" s="1"/>
  <c r="S4971"/>
  <c r="M4971" s="1"/>
  <c r="S4972"/>
  <c r="M4972" s="1"/>
  <c r="S4973"/>
  <c r="M4973" s="1"/>
  <c r="S4974"/>
  <c r="M4974" s="1"/>
  <c r="S4975"/>
  <c r="M4975" s="1"/>
  <c r="S4976"/>
  <c r="M4976" s="1"/>
  <c r="S4977"/>
  <c r="M4977" s="1"/>
  <c r="S4978"/>
  <c r="M4978" s="1"/>
  <c r="S4979"/>
  <c r="M4979" s="1"/>
  <c r="S4980"/>
  <c r="M4980" s="1"/>
  <c r="S4981"/>
  <c r="M4981" s="1"/>
  <c r="S4982"/>
  <c r="M4982" s="1"/>
  <c r="S4983"/>
  <c r="M4983" s="1"/>
  <c r="S4984"/>
  <c r="M4984" s="1"/>
  <c r="S4985"/>
  <c r="M4985" s="1"/>
  <c r="S4986"/>
  <c r="M4986" s="1"/>
  <c r="S4987"/>
  <c r="M4987" s="1"/>
  <c r="S4988"/>
  <c r="M4988" s="1"/>
  <c r="S4989"/>
  <c r="M4989" s="1"/>
  <c r="S4990"/>
  <c r="M4990" s="1"/>
  <c r="S4991"/>
  <c r="M4991" s="1"/>
  <c r="S4992"/>
  <c r="M4992" s="1"/>
  <c r="S4993"/>
  <c r="M4993" s="1"/>
  <c r="S4994"/>
  <c r="M4994" s="1"/>
  <c r="S4995"/>
  <c r="M4995" s="1"/>
  <c r="S4996"/>
  <c r="M4996" s="1"/>
  <c r="S4997"/>
  <c r="M4997" s="1"/>
  <c r="S4998"/>
  <c r="M4998" s="1"/>
  <c r="S4999"/>
  <c r="M4999" s="1"/>
  <c r="S5000"/>
  <c r="M5000" s="1"/>
  <c r="S5001"/>
  <c r="M5001" s="1"/>
  <c r="S5002"/>
  <c r="M5002" s="1"/>
  <c r="S5003"/>
  <c r="M5003" s="1"/>
  <c r="S5004"/>
  <c r="M5004" s="1"/>
  <c r="S5005"/>
  <c r="M5005" s="1"/>
  <c r="S5006"/>
  <c r="M5006" s="1"/>
  <c r="S5007"/>
  <c r="M5007" s="1"/>
  <c r="S5008"/>
  <c r="M5008" s="1"/>
  <c r="S5009"/>
  <c r="M5009" s="1"/>
  <c r="S5010"/>
  <c r="M5010" s="1"/>
  <c r="S5011"/>
  <c r="M5011" s="1"/>
  <c r="S5012"/>
  <c r="M5012" s="1"/>
  <c r="S5013"/>
  <c r="M5013" s="1"/>
  <c r="S5014"/>
  <c r="M5014" s="1"/>
  <c r="S5015"/>
  <c r="M5015" s="1"/>
  <c r="S5016"/>
  <c r="M5016" s="1"/>
  <c r="S5017"/>
  <c r="M5017" s="1"/>
  <c r="S5018"/>
  <c r="M5018" s="1"/>
  <c r="S5019"/>
  <c r="M5019" s="1"/>
  <c r="S5020"/>
  <c r="M5020" s="1"/>
  <c r="S5021"/>
  <c r="M5021" s="1"/>
  <c r="S5022"/>
  <c r="M5022" s="1"/>
  <c r="S5023"/>
  <c r="M5023" s="1"/>
  <c r="S5024"/>
  <c r="M5024" s="1"/>
  <c r="S5025"/>
  <c r="M5025" s="1"/>
  <c r="S5026"/>
  <c r="M5026" s="1"/>
  <c r="S5027"/>
  <c r="M5027" s="1"/>
  <c r="S5028"/>
  <c r="M5028" s="1"/>
  <c r="S5029"/>
  <c r="M5029" s="1"/>
  <c r="S5030"/>
  <c r="M5030" s="1"/>
  <c r="S5031"/>
  <c r="M5031" s="1"/>
  <c r="S5032"/>
  <c r="M5032" s="1"/>
  <c r="S5033"/>
  <c r="M5033" s="1"/>
  <c r="S5034"/>
  <c r="M5034" s="1"/>
  <c r="S5035"/>
  <c r="M5035" s="1"/>
  <c r="S5036"/>
  <c r="M5036" s="1"/>
  <c r="S5037"/>
  <c r="M5037" s="1"/>
  <c r="S5038"/>
  <c r="M5038" s="1"/>
  <c r="S5039"/>
  <c r="M5039" s="1"/>
  <c r="S5040"/>
  <c r="M5040" s="1"/>
  <c r="S5041"/>
  <c r="M5041" s="1"/>
  <c r="S5042"/>
  <c r="M5042" s="1"/>
  <c r="S5043"/>
  <c r="M5043" s="1"/>
  <c r="S5044"/>
  <c r="M5044" s="1"/>
  <c r="S5045"/>
  <c r="M5045" s="1"/>
  <c r="S5046"/>
  <c r="M5046" s="1"/>
  <c r="S5047"/>
  <c r="M5047" s="1"/>
  <c r="S5048"/>
  <c r="M5048" s="1"/>
  <c r="S5049"/>
  <c r="M5049" s="1"/>
  <c r="S5050"/>
  <c r="M5050" s="1"/>
  <c r="S5051"/>
  <c r="M5051" s="1"/>
  <c r="S5052"/>
  <c r="M5052" s="1"/>
  <c r="S5053"/>
  <c r="M5053" s="1"/>
  <c r="S5054"/>
  <c r="M5054" s="1"/>
  <c r="S5055"/>
  <c r="M5055" s="1"/>
  <c r="S5056"/>
  <c r="M5056" s="1"/>
  <c r="S5057"/>
  <c r="M5057" s="1"/>
  <c r="S5058"/>
  <c r="M5058" s="1"/>
  <c r="S5059"/>
  <c r="M5059" s="1"/>
  <c r="S5060"/>
  <c r="M5060" s="1"/>
  <c r="S5061"/>
  <c r="M5061" s="1"/>
  <c r="S5062"/>
  <c r="M5062" s="1"/>
  <c r="S5063"/>
  <c r="M5063" s="1"/>
  <c r="S5064"/>
  <c r="M5064" s="1"/>
  <c r="S5065"/>
  <c r="M5065" s="1"/>
  <c r="S5066"/>
  <c r="M5066" s="1"/>
  <c r="S5067"/>
  <c r="M5067" s="1"/>
  <c r="S5068"/>
  <c r="M5068" s="1"/>
  <c r="S5069"/>
  <c r="M5069" s="1"/>
  <c r="S5070"/>
  <c r="M5070" s="1"/>
  <c r="S5071"/>
  <c r="M5071" s="1"/>
  <c r="S5072"/>
  <c r="M5072" s="1"/>
  <c r="S5073"/>
  <c r="M5073" s="1"/>
  <c r="S5074"/>
  <c r="M5074" s="1"/>
  <c r="S5075"/>
  <c r="V5075" s="1"/>
  <c r="S5076"/>
  <c r="M5076" s="1"/>
  <c r="S5077"/>
  <c r="M5077" s="1"/>
  <c r="S5078"/>
  <c r="M5078" s="1"/>
  <c r="S5079"/>
  <c r="M5079" s="1"/>
  <c r="S5080"/>
  <c r="M5080" s="1"/>
  <c r="S5081"/>
  <c r="M5081" s="1"/>
  <c r="S5082"/>
  <c r="M5082" s="1"/>
  <c r="S5083"/>
  <c r="M5083" s="1"/>
  <c r="S5084"/>
  <c r="M5084" s="1"/>
  <c r="S5085"/>
  <c r="M5085" s="1"/>
  <c r="S5086"/>
  <c r="M5086" s="1"/>
  <c r="S5087"/>
  <c r="M5087" s="1"/>
  <c r="S5088"/>
  <c r="M5088" s="1"/>
  <c r="S5089"/>
  <c r="M5089" s="1"/>
  <c r="S5090"/>
  <c r="M5090" s="1"/>
  <c r="S5091"/>
  <c r="M5091" s="1"/>
  <c r="S5092"/>
  <c r="M5092" s="1"/>
  <c r="S5093"/>
  <c r="M5093" s="1"/>
  <c r="S5094"/>
  <c r="M5094" s="1"/>
  <c r="S5095"/>
  <c r="M5095" s="1"/>
  <c r="S5096"/>
  <c r="M5096" s="1"/>
  <c r="S5097"/>
  <c r="M5097" s="1"/>
  <c r="S5098"/>
  <c r="M5098" s="1"/>
  <c r="S5099"/>
  <c r="M5099" s="1"/>
  <c r="S5100"/>
  <c r="M5100" s="1"/>
  <c r="S5101"/>
  <c r="M5101" s="1"/>
  <c r="S5102"/>
  <c r="M5102" s="1"/>
  <c r="S5103"/>
  <c r="M5103" s="1"/>
  <c r="S5104"/>
  <c r="M5104" s="1"/>
  <c r="S5105"/>
  <c r="M5105" s="1"/>
  <c r="S5106"/>
  <c r="M5106" s="1"/>
  <c r="S5107"/>
  <c r="M5107" s="1"/>
  <c r="S5108"/>
  <c r="M5108" s="1"/>
  <c r="S5109"/>
  <c r="M5109" s="1"/>
  <c r="S5110"/>
  <c r="M5110" s="1"/>
  <c r="S5111"/>
  <c r="M5111" s="1"/>
  <c r="S5112"/>
  <c r="M5112" s="1"/>
  <c r="S5113"/>
  <c r="M5113" s="1"/>
  <c r="S5114"/>
  <c r="M5114" s="1"/>
  <c r="S5115"/>
  <c r="M5115" s="1"/>
  <c r="S5116"/>
  <c r="M5116" s="1"/>
  <c r="S5117"/>
  <c r="M5117" s="1"/>
  <c r="S5118"/>
  <c r="M5118" s="1"/>
  <c r="S5119"/>
  <c r="M5119" s="1"/>
  <c r="S5120"/>
  <c r="M5120" s="1"/>
  <c r="S5121"/>
  <c r="M5121" s="1"/>
  <c r="S5122"/>
  <c r="M5122" s="1"/>
  <c r="S5123"/>
  <c r="M5123" s="1"/>
  <c r="S5124"/>
  <c r="M5124" s="1"/>
  <c r="S5125"/>
  <c r="M5125" s="1"/>
  <c r="S5126"/>
  <c r="M5126" s="1"/>
  <c r="S5127"/>
  <c r="M5127" s="1"/>
  <c r="S5128"/>
  <c r="M5128" s="1"/>
  <c r="S5129"/>
  <c r="M5129" s="1"/>
  <c r="S5130"/>
  <c r="M5130" s="1"/>
  <c r="S5131"/>
  <c r="M5131" s="1"/>
  <c r="S5132"/>
  <c r="M5132" s="1"/>
  <c r="S5133"/>
  <c r="M5133" s="1"/>
  <c r="S5134"/>
  <c r="M5134" s="1"/>
  <c r="S5135"/>
  <c r="M5135" s="1"/>
  <c r="S5136"/>
  <c r="M5136" s="1"/>
  <c r="S5137"/>
  <c r="M5137" s="1"/>
  <c r="S5138"/>
  <c r="M5138" s="1"/>
  <c r="S5139"/>
  <c r="M5139" s="1"/>
  <c r="S5140"/>
  <c r="M5140" s="1"/>
  <c r="S5141"/>
  <c r="M5141" s="1"/>
  <c r="S5142"/>
  <c r="M5142" s="1"/>
  <c r="S5143"/>
  <c r="M5143" s="1"/>
  <c r="S5144"/>
  <c r="M5144" s="1"/>
  <c r="S5145"/>
  <c r="M5145" s="1"/>
  <c r="S5146"/>
  <c r="M5146" s="1"/>
  <c r="S5147"/>
  <c r="M5147" s="1"/>
  <c r="S5148"/>
  <c r="M5148" s="1"/>
  <c r="S5149"/>
  <c r="M5149" s="1"/>
  <c r="S5150"/>
  <c r="M5150" s="1"/>
  <c r="S5151"/>
  <c r="M5151" s="1"/>
  <c r="S5152"/>
  <c r="M5152" s="1"/>
  <c r="S5153"/>
  <c r="M5153" s="1"/>
  <c r="S5154"/>
  <c r="M5154" s="1"/>
  <c r="S5155"/>
  <c r="M5155" s="1"/>
  <c r="S5156"/>
  <c r="M5156" s="1"/>
  <c r="S5157"/>
  <c r="M5157" s="1"/>
  <c r="S5158"/>
  <c r="M5158" s="1"/>
  <c r="S5159"/>
  <c r="M5159" s="1"/>
  <c r="S5160"/>
  <c r="M5160" s="1"/>
  <c r="S5161"/>
  <c r="M5161" s="1"/>
  <c r="S5162"/>
  <c r="M5162" s="1"/>
  <c r="S5163"/>
  <c r="M5163" s="1"/>
  <c r="S5164"/>
  <c r="M5164" s="1"/>
  <c r="S5165"/>
  <c r="M5165" s="1"/>
  <c r="S5166"/>
  <c r="M5166" s="1"/>
  <c r="S5167"/>
  <c r="M5167" s="1"/>
  <c r="S5168"/>
  <c r="M5168" s="1"/>
  <c r="S5169"/>
  <c r="M5169" s="1"/>
  <c r="S5170"/>
  <c r="M5170" s="1"/>
  <c r="S5171"/>
  <c r="M5171" s="1"/>
  <c r="S5172"/>
  <c r="M5172" s="1"/>
  <c r="S5173"/>
  <c r="M5173" s="1"/>
  <c r="S5174"/>
  <c r="M5174" s="1"/>
  <c r="S5175"/>
  <c r="M5175" s="1"/>
  <c r="S5176"/>
  <c r="M5176" s="1"/>
  <c r="S5177"/>
  <c r="M5177" s="1"/>
  <c r="S5178"/>
  <c r="M5178" s="1"/>
  <c r="S5179"/>
  <c r="M5179" s="1"/>
  <c r="S5180"/>
  <c r="M5180" s="1"/>
  <c r="S5181"/>
  <c r="M5181" s="1"/>
  <c r="S5182"/>
  <c r="M5182" s="1"/>
  <c r="S5183"/>
  <c r="M5183" s="1"/>
  <c r="S5184"/>
  <c r="M5184" s="1"/>
  <c r="S5185"/>
  <c r="M5185" s="1"/>
  <c r="S5186"/>
  <c r="M5186" s="1"/>
  <c r="S5187"/>
  <c r="M5187" s="1"/>
  <c r="S5188"/>
  <c r="M5188" s="1"/>
  <c r="S5189"/>
  <c r="M5189" s="1"/>
  <c r="S5190"/>
  <c r="M5190" s="1"/>
  <c r="S5191"/>
  <c r="M5191" s="1"/>
  <c r="S5192"/>
  <c r="M5192" s="1"/>
  <c r="S5193"/>
  <c r="M5193" s="1"/>
  <c r="S5194"/>
  <c r="M5194" s="1"/>
  <c r="S5195"/>
  <c r="M5195" s="1"/>
  <c r="S5196"/>
  <c r="M5196" s="1"/>
  <c r="S5197"/>
  <c r="M5197" s="1"/>
  <c r="S5198"/>
  <c r="M5198" s="1"/>
  <c r="S5199"/>
  <c r="M5199" s="1"/>
  <c r="S5200"/>
  <c r="M5200" s="1"/>
  <c r="S5201"/>
  <c r="M5201" s="1"/>
  <c r="S5202"/>
  <c r="M5202" s="1"/>
  <c r="S5203"/>
  <c r="V5203" s="1"/>
  <c r="S5204"/>
  <c r="M5204" s="1"/>
  <c r="S5205"/>
  <c r="M5205" s="1"/>
  <c r="S5206"/>
  <c r="M5206" s="1"/>
  <c r="S5207"/>
  <c r="M5207" s="1"/>
  <c r="S5208"/>
  <c r="M5208" s="1"/>
  <c r="S5209"/>
  <c r="M5209" s="1"/>
  <c r="S5210"/>
  <c r="M5210" s="1"/>
  <c r="S5211"/>
  <c r="M5211" s="1"/>
  <c r="S5212"/>
  <c r="M5212" s="1"/>
  <c r="S5213"/>
  <c r="M5213" s="1"/>
  <c r="S5214"/>
  <c r="M5214" s="1"/>
  <c r="S5215"/>
  <c r="M5215" s="1"/>
  <c r="S5216"/>
  <c r="M5216" s="1"/>
  <c r="S5217"/>
  <c r="M5217" s="1"/>
  <c r="S5218"/>
  <c r="M5218" s="1"/>
  <c r="S5219"/>
  <c r="M5219" s="1"/>
  <c r="S5220"/>
  <c r="M5220" s="1"/>
  <c r="S5221"/>
  <c r="M5221" s="1"/>
  <c r="S5222"/>
  <c r="M5222" s="1"/>
  <c r="S5223"/>
  <c r="M5223" s="1"/>
  <c r="S5224"/>
  <c r="M5224" s="1"/>
  <c r="S5225"/>
  <c r="M5225" s="1"/>
  <c r="S5226"/>
  <c r="M5226" s="1"/>
  <c r="S5227"/>
  <c r="M5227" s="1"/>
  <c r="S5228"/>
  <c r="M5228" s="1"/>
  <c r="S5229"/>
  <c r="M5229" s="1"/>
  <c r="S5230"/>
  <c r="M5230" s="1"/>
  <c r="S5231"/>
  <c r="M5231" s="1"/>
  <c r="S5232"/>
  <c r="M5232" s="1"/>
  <c r="S5233"/>
  <c r="M5233" s="1"/>
  <c r="S5234"/>
  <c r="M5234" s="1"/>
  <c r="S5235"/>
  <c r="M5235" s="1"/>
  <c r="S5236"/>
  <c r="M5236" s="1"/>
  <c r="S5237"/>
  <c r="M5237" s="1"/>
  <c r="S5238"/>
  <c r="M5238" s="1"/>
  <c r="S5239"/>
  <c r="M5239" s="1"/>
  <c r="S5240"/>
  <c r="M5240" s="1"/>
  <c r="S5241"/>
  <c r="M5241" s="1"/>
  <c r="S5242"/>
  <c r="M5242" s="1"/>
  <c r="S5243"/>
  <c r="M5243" s="1"/>
  <c r="S5244"/>
  <c r="M5244" s="1"/>
  <c r="S5245"/>
  <c r="M5245" s="1"/>
  <c r="S5246"/>
  <c r="M5246" s="1"/>
  <c r="S5247"/>
  <c r="M5247" s="1"/>
  <c r="S5248"/>
  <c r="M5248" s="1"/>
  <c r="S5249"/>
  <c r="M5249" s="1"/>
  <c r="S5250"/>
  <c r="M5250" s="1"/>
  <c r="S5251"/>
  <c r="M5251" s="1"/>
  <c r="S5252"/>
  <c r="M5252" s="1"/>
  <c r="S5253"/>
  <c r="M5253" s="1"/>
  <c r="S5254"/>
  <c r="M5254" s="1"/>
  <c r="S5255"/>
  <c r="M5255" s="1"/>
  <c r="S5256"/>
  <c r="M5256" s="1"/>
  <c r="S5257"/>
  <c r="M5257" s="1"/>
  <c r="S5258"/>
  <c r="M5258" s="1"/>
  <c r="S5259"/>
  <c r="M5259" s="1"/>
  <c r="S5260"/>
  <c r="M5260" s="1"/>
  <c r="S5261"/>
  <c r="M5261" s="1"/>
  <c r="S5262"/>
  <c r="M5262" s="1"/>
  <c r="S5263"/>
  <c r="M5263" s="1"/>
  <c r="S5264"/>
  <c r="M5264" s="1"/>
  <c r="S5265"/>
  <c r="M5265" s="1"/>
  <c r="S5266"/>
  <c r="M5266" s="1"/>
  <c r="S5267"/>
  <c r="M5267" s="1"/>
  <c r="S5268"/>
  <c r="M5268" s="1"/>
  <c r="S5269"/>
  <c r="M5269" s="1"/>
  <c r="S5270"/>
  <c r="M5270" s="1"/>
  <c r="S5271"/>
  <c r="M5271" s="1"/>
  <c r="S5272"/>
  <c r="M5272" s="1"/>
  <c r="S5273"/>
  <c r="M5273" s="1"/>
  <c r="S5274"/>
  <c r="M5274" s="1"/>
  <c r="S5275"/>
  <c r="M5275" s="1"/>
  <c r="S5276"/>
  <c r="M5276" s="1"/>
  <c r="S5277"/>
  <c r="M5277" s="1"/>
  <c r="S5278"/>
  <c r="M5278" s="1"/>
  <c r="S5279"/>
  <c r="M5279" s="1"/>
  <c r="S5280"/>
  <c r="M5280" s="1"/>
  <c r="S5281"/>
  <c r="M5281" s="1"/>
  <c r="S5282"/>
  <c r="M5282" s="1"/>
  <c r="S5283"/>
  <c r="M5283" s="1"/>
  <c r="S5284"/>
  <c r="M5284" s="1"/>
  <c r="S5285"/>
  <c r="M5285" s="1"/>
  <c r="S5286"/>
  <c r="M5286" s="1"/>
  <c r="S5287"/>
  <c r="M5287" s="1"/>
  <c r="S5288"/>
  <c r="M5288" s="1"/>
  <c r="S5289"/>
  <c r="M5289" s="1"/>
  <c r="S5290"/>
  <c r="M5290" s="1"/>
  <c r="S5291"/>
  <c r="M5291" s="1"/>
  <c r="S5292"/>
  <c r="M5292" s="1"/>
  <c r="S5293"/>
  <c r="M5293" s="1"/>
  <c r="S5294"/>
  <c r="M5294" s="1"/>
  <c r="S5295"/>
  <c r="M5295" s="1"/>
  <c r="S5296"/>
  <c r="M5296" s="1"/>
  <c r="S5297"/>
  <c r="M5297" s="1"/>
  <c r="S5298"/>
  <c r="M5298" s="1"/>
  <c r="S5299"/>
  <c r="M5299" s="1"/>
  <c r="S5300"/>
  <c r="M5300" s="1"/>
  <c r="S5301"/>
  <c r="M5301" s="1"/>
  <c r="S5302"/>
  <c r="M5302" s="1"/>
  <c r="S5303"/>
  <c r="M5303" s="1"/>
  <c r="S5304"/>
  <c r="M5304" s="1"/>
  <c r="S5305"/>
  <c r="M5305" s="1"/>
  <c r="S5306"/>
  <c r="M5306" s="1"/>
  <c r="S5307"/>
  <c r="M5307" s="1"/>
  <c r="S5308"/>
  <c r="M5308" s="1"/>
  <c r="S5309"/>
  <c r="M5309" s="1"/>
  <c r="S5310"/>
  <c r="M5310" s="1"/>
  <c r="S5311"/>
  <c r="M5311" s="1"/>
  <c r="S5312"/>
  <c r="M5312" s="1"/>
  <c r="S5313"/>
  <c r="M5313" s="1"/>
  <c r="S5314"/>
  <c r="M5314" s="1"/>
  <c r="S5315"/>
  <c r="M5315" s="1"/>
  <c r="S5316"/>
  <c r="M5316" s="1"/>
  <c r="S5317"/>
  <c r="M5317" s="1"/>
  <c r="S5318"/>
  <c r="M5318" s="1"/>
  <c r="S5319"/>
  <c r="M5319" s="1"/>
  <c r="S5320"/>
  <c r="V5320" s="1"/>
  <c r="S5321"/>
  <c r="M5321" s="1"/>
  <c r="S5322"/>
  <c r="M5322" s="1"/>
  <c r="S5323"/>
  <c r="M5323" s="1"/>
  <c r="S5324"/>
  <c r="M5324" s="1"/>
  <c r="S5325"/>
  <c r="M5325" s="1"/>
  <c r="S5326"/>
  <c r="M5326" s="1"/>
  <c r="S5327"/>
  <c r="M5327" s="1"/>
  <c r="S5328"/>
  <c r="M5328" s="1"/>
  <c r="S5329"/>
  <c r="M5329" s="1"/>
  <c r="S5330"/>
  <c r="M5330" s="1"/>
  <c r="S5331"/>
  <c r="V5331" s="1"/>
  <c r="S5332"/>
  <c r="M5332" s="1"/>
  <c r="S5333"/>
  <c r="M5333" s="1"/>
  <c r="S5334"/>
  <c r="M5334" s="1"/>
  <c r="S5335"/>
  <c r="M5335" s="1"/>
  <c r="S5336"/>
  <c r="M5336" s="1"/>
  <c r="S5337"/>
  <c r="M5337" s="1"/>
  <c r="S5338"/>
  <c r="M5338" s="1"/>
  <c r="S5339"/>
  <c r="M5339" s="1"/>
  <c r="S5340"/>
  <c r="M5340" s="1"/>
  <c r="S5341"/>
  <c r="M5341" s="1"/>
  <c r="S5342"/>
  <c r="M5342" s="1"/>
  <c r="S5343"/>
  <c r="M5343" s="1"/>
  <c r="S5344"/>
  <c r="M5344" s="1"/>
  <c r="S5345"/>
  <c r="M5345" s="1"/>
  <c r="S5346"/>
  <c r="M5346" s="1"/>
  <c r="S5347"/>
  <c r="M5347" s="1"/>
  <c r="S5348"/>
  <c r="M5348" s="1"/>
  <c r="S5349"/>
  <c r="M5349" s="1"/>
  <c r="S5350"/>
  <c r="M5350" s="1"/>
  <c r="S5351"/>
  <c r="M5351" s="1"/>
  <c r="S5352"/>
  <c r="M5352" s="1"/>
  <c r="S5353"/>
  <c r="M5353" s="1"/>
  <c r="S5354"/>
  <c r="M5354" s="1"/>
  <c r="S5355"/>
  <c r="M5355" s="1"/>
  <c r="S5356"/>
  <c r="M5356" s="1"/>
  <c r="S5357"/>
  <c r="M5357" s="1"/>
  <c r="S5358"/>
  <c r="M5358" s="1"/>
  <c r="S5359"/>
  <c r="M5359" s="1"/>
  <c r="S5360"/>
  <c r="M5360" s="1"/>
  <c r="S5361"/>
  <c r="M5361" s="1"/>
  <c r="S5362"/>
  <c r="M5362" s="1"/>
  <c r="S5363"/>
  <c r="M5363" s="1"/>
  <c r="S5364"/>
  <c r="M5364" s="1"/>
  <c r="S5365"/>
  <c r="M5365" s="1"/>
  <c r="S5366"/>
  <c r="M5366" s="1"/>
  <c r="S5367"/>
  <c r="M5367" s="1"/>
  <c r="S5368"/>
  <c r="M5368" s="1"/>
  <c r="S5369"/>
  <c r="M5369" s="1"/>
  <c r="S5370"/>
  <c r="M5370" s="1"/>
  <c r="S5371"/>
  <c r="M5371" s="1"/>
  <c r="S5372"/>
  <c r="M5372" s="1"/>
  <c r="S5373"/>
  <c r="M5373" s="1"/>
  <c r="S5374"/>
  <c r="M5374" s="1"/>
  <c r="S5375"/>
  <c r="M5375" s="1"/>
  <c r="S5376"/>
  <c r="M5376" s="1"/>
  <c r="S5377"/>
  <c r="M5377" s="1"/>
  <c r="S5378"/>
  <c r="M5378" s="1"/>
  <c r="S5379"/>
  <c r="M5379" s="1"/>
  <c r="S5380"/>
  <c r="M5380" s="1"/>
  <c r="S5381"/>
  <c r="M5381" s="1"/>
  <c r="S5382"/>
  <c r="M5382" s="1"/>
  <c r="S5383"/>
  <c r="M5383" s="1"/>
  <c r="S5384"/>
  <c r="M5384" s="1"/>
  <c r="S5385"/>
  <c r="M5385" s="1"/>
  <c r="S5386"/>
  <c r="M5386" s="1"/>
  <c r="S5387"/>
  <c r="M5387" s="1"/>
  <c r="S5388"/>
  <c r="M5388" s="1"/>
  <c r="S5389"/>
  <c r="M5389" s="1"/>
  <c r="S5390"/>
  <c r="M5390" s="1"/>
  <c r="S5391"/>
  <c r="M5391" s="1"/>
  <c r="S5392"/>
  <c r="M5392" s="1"/>
  <c r="S5393"/>
  <c r="M5393" s="1"/>
  <c r="S5394"/>
  <c r="M5394" s="1"/>
  <c r="S5395"/>
  <c r="M5395" s="1"/>
  <c r="S5396"/>
  <c r="M5396" s="1"/>
  <c r="S5397"/>
  <c r="M5397" s="1"/>
  <c r="S5398"/>
  <c r="M5398" s="1"/>
  <c r="S5399"/>
  <c r="M5399" s="1"/>
  <c r="S5400"/>
  <c r="M5400" s="1"/>
  <c r="S5401"/>
  <c r="M5401" s="1"/>
  <c r="S5402"/>
  <c r="M5402" s="1"/>
  <c r="S5403"/>
  <c r="M5403" s="1"/>
  <c r="S5404"/>
  <c r="M5404" s="1"/>
  <c r="S5405"/>
  <c r="M5405" s="1"/>
  <c r="S5406"/>
  <c r="M5406" s="1"/>
  <c r="S5407"/>
  <c r="M5407" s="1"/>
  <c r="S5408"/>
  <c r="M5408" s="1"/>
  <c r="S5409"/>
  <c r="M5409" s="1"/>
  <c r="S5410"/>
  <c r="M5410" s="1"/>
  <c r="S5411"/>
  <c r="M5411" s="1"/>
  <c r="S5412"/>
  <c r="M5412" s="1"/>
  <c r="S5413"/>
  <c r="M5413" s="1"/>
  <c r="S5414"/>
  <c r="M5414" s="1"/>
  <c r="S5415"/>
  <c r="M5415" s="1"/>
  <c r="S5416"/>
  <c r="M5416" s="1"/>
  <c r="S5417"/>
  <c r="M5417" s="1"/>
  <c r="S5418"/>
  <c r="M5418" s="1"/>
  <c r="S5419"/>
  <c r="M5419" s="1"/>
  <c r="S5420"/>
  <c r="M5420" s="1"/>
  <c r="S5421"/>
  <c r="M5421" s="1"/>
  <c r="S5422"/>
  <c r="M5422" s="1"/>
  <c r="S5423"/>
  <c r="M5423" s="1"/>
  <c r="S5424"/>
  <c r="M5424" s="1"/>
  <c r="S5425"/>
  <c r="M5425" s="1"/>
  <c r="S5426"/>
  <c r="M5426" s="1"/>
  <c r="S5427"/>
  <c r="M5427" s="1"/>
  <c r="S5428"/>
  <c r="M5428" s="1"/>
  <c r="S5429"/>
  <c r="M5429" s="1"/>
  <c r="S5430"/>
  <c r="M5430" s="1"/>
  <c r="S5431"/>
  <c r="M5431" s="1"/>
  <c r="S5432"/>
  <c r="M5432" s="1"/>
  <c r="S5433"/>
  <c r="M5433" s="1"/>
  <c r="S5434"/>
  <c r="M5434" s="1"/>
  <c r="S5435"/>
  <c r="M5435" s="1"/>
  <c r="S5436"/>
  <c r="M5436" s="1"/>
  <c r="S5437"/>
  <c r="M5437" s="1"/>
  <c r="S5438"/>
  <c r="M5438" s="1"/>
  <c r="S5439"/>
  <c r="M5439" s="1"/>
  <c r="S5440"/>
  <c r="M5440" s="1"/>
  <c r="S5441"/>
  <c r="M5441" s="1"/>
  <c r="S5442"/>
  <c r="M5442" s="1"/>
  <c r="S5443"/>
  <c r="M5443" s="1"/>
  <c r="S5444"/>
  <c r="M5444" s="1"/>
  <c r="S5445"/>
  <c r="M5445" s="1"/>
  <c r="S5446"/>
  <c r="M5446" s="1"/>
  <c r="S5447"/>
  <c r="M5447" s="1"/>
  <c r="S5448"/>
  <c r="M5448" s="1"/>
  <c r="S5449"/>
  <c r="M5449" s="1"/>
  <c r="S5450"/>
  <c r="M5450" s="1"/>
  <c r="S5451"/>
  <c r="M5451" s="1"/>
  <c r="S5452"/>
  <c r="M5452" s="1"/>
  <c r="S5453"/>
  <c r="M5453" s="1"/>
  <c r="S5454"/>
  <c r="M5454" s="1"/>
  <c r="S5455"/>
  <c r="M5455" s="1"/>
  <c r="S5456"/>
  <c r="M5456" s="1"/>
  <c r="S5457"/>
  <c r="M5457" s="1"/>
  <c r="S5458"/>
  <c r="M5458" s="1"/>
  <c r="S5459"/>
  <c r="V5459" s="1"/>
  <c r="S5460"/>
  <c r="M5460" s="1"/>
  <c r="S5461"/>
  <c r="M5461" s="1"/>
  <c r="S5462"/>
  <c r="M5462" s="1"/>
  <c r="S5463"/>
  <c r="M5463" s="1"/>
  <c r="S5464"/>
  <c r="M5464" s="1"/>
  <c r="S5465"/>
  <c r="M5465" s="1"/>
  <c r="S5466"/>
  <c r="M5466" s="1"/>
  <c r="S5467"/>
  <c r="M5467" s="1"/>
  <c r="S5468"/>
  <c r="M5468" s="1"/>
  <c r="S5469"/>
  <c r="M5469" s="1"/>
  <c r="S5470"/>
  <c r="M5470" s="1"/>
  <c r="S5471"/>
  <c r="M5471" s="1"/>
  <c r="S5472"/>
  <c r="M5472" s="1"/>
  <c r="S5473"/>
  <c r="M5473" s="1"/>
  <c r="S5474"/>
  <c r="M5474" s="1"/>
  <c r="S5475"/>
  <c r="M5475" s="1"/>
  <c r="S5476"/>
  <c r="M5476" s="1"/>
  <c r="S5477"/>
  <c r="M5477" s="1"/>
  <c r="S5478"/>
  <c r="M5478" s="1"/>
  <c r="S5479"/>
  <c r="M5479" s="1"/>
  <c r="S5480"/>
  <c r="M5480" s="1"/>
  <c r="S5481"/>
  <c r="M5481" s="1"/>
  <c r="S5482"/>
  <c r="M5482" s="1"/>
  <c r="S5483"/>
  <c r="M5483" s="1"/>
  <c r="S5484"/>
  <c r="M5484" s="1"/>
  <c r="S5485"/>
  <c r="M5485" s="1"/>
  <c r="S5486"/>
  <c r="M5486" s="1"/>
  <c r="S5487"/>
  <c r="M5487" s="1"/>
  <c r="S5488"/>
  <c r="M5488" s="1"/>
  <c r="S5489"/>
  <c r="M5489" s="1"/>
  <c r="S5490"/>
  <c r="M5490" s="1"/>
  <c r="S5491"/>
  <c r="M5491" s="1"/>
  <c r="S5492"/>
  <c r="M5492" s="1"/>
  <c r="S5493"/>
  <c r="M5493" s="1"/>
  <c r="S5494"/>
  <c r="M5494" s="1"/>
  <c r="S5495"/>
  <c r="M5495" s="1"/>
  <c r="S5496"/>
  <c r="M5496" s="1"/>
  <c r="S5497"/>
  <c r="M5497" s="1"/>
  <c r="S5498"/>
  <c r="M5498" s="1"/>
  <c r="S5499"/>
  <c r="M5499" s="1"/>
  <c r="S5500"/>
  <c r="M5500" s="1"/>
  <c r="S5501"/>
  <c r="M5501" s="1"/>
  <c r="S5502"/>
  <c r="M5502" s="1"/>
  <c r="S5503"/>
  <c r="M5503" s="1"/>
  <c r="S5504"/>
  <c r="M5504" s="1"/>
  <c r="S5505"/>
  <c r="M5505" s="1"/>
  <c r="S5506"/>
  <c r="M5506" s="1"/>
  <c r="S5507"/>
  <c r="M5507" s="1"/>
  <c r="S5508"/>
  <c r="M5508" s="1"/>
  <c r="S5509"/>
  <c r="M5509" s="1"/>
  <c r="S5510"/>
  <c r="M5510" s="1"/>
  <c r="S5511"/>
  <c r="M5511" s="1"/>
  <c r="S5512"/>
  <c r="M5512" s="1"/>
  <c r="S5513"/>
  <c r="M5513" s="1"/>
  <c r="S5514"/>
  <c r="M5514" s="1"/>
  <c r="S5515"/>
  <c r="M5515" s="1"/>
  <c r="S5516"/>
  <c r="M5516" s="1"/>
  <c r="S5517"/>
  <c r="M5517" s="1"/>
  <c r="S5518"/>
  <c r="M5518" s="1"/>
  <c r="S5519"/>
  <c r="M5519" s="1"/>
  <c r="S5520"/>
  <c r="M5520" s="1"/>
  <c r="S5521"/>
  <c r="M5521" s="1"/>
  <c r="S5522"/>
  <c r="M5522" s="1"/>
  <c r="S5523"/>
  <c r="M5523" s="1"/>
  <c r="S5524"/>
  <c r="M5524" s="1"/>
  <c r="S5525"/>
  <c r="M5525" s="1"/>
  <c r="S5526"/>
  <c r="M5526" s="1"/>
  <c r="S5527"/>
  <c r="M5527" s="1"/>
  <c r="S5528"/>
  <c r="M5528" s="1"/>
  <c r="S5529"/>
  <c r="M5529" s="1"/>
  <c r="S5530"/>
  <c r="M5530" s="1"/>
  <c r="S5531"/>
  <c r="M5531" s="1"/>
  <c r="S5532"/>
  <c r="M5532" s="1"/>
  <c r="S5533"/>
  <c r="M5533" s="1"/>
  <c r="S5534"/>
  <c r="M5534" s="1"/>
  <c r="S5535"/>
  <c r="M5535" s="1"/>
  <c r="S5536"/>
  <c r="M5536" s="1"/>
  <c r="S5537"/>
  <c r="M5537" s="1"/>
  <c r="S5538"/>
  <c r="M5538" s="1"/>
  <c r="S5539"/>
  <c r="M5539" s="1"/>
  <c r="S5540"/>
  <c r="M5540" s="1"/>
  <c r="S5541"/>
  <c r="M5541" s="1"/>
  <c r="S5542"/>
  <c r="M5542" s="1"/>
  <c r="S5543"/>
  <c r="M5543" s="1"/>
  <c r="S5544"/>
  <c r="M5544" s="1"/>
  <c r="S5545"/>
  <c r="M5545" s="1"/>
  <c r="S5546"/>
  <c r="M5546" s="1"/>
  <c r="S5547"/>
  <c r="M5547" s="1"/>
  <c r="S5548"/>
  <c r="M5548" s="1"/>
  <c r="S5549"/>
  <c r="M5549" s="1"/>
  <c r="S5550"/>
  <c r="M5550" s="1"/>
  <c r="S5551"/>
  <c r="M5551" s="1"/>
  <c r="S5552"/>
  <c r="M5552" s="1"/>
  <c r="S5553"/>
  <c r="M5553" s="1"/>
  <c r="S5554"/>
  <c r="M5554" s="1"/>
  <c r="S5555"/>
  <c r="M5555" s="1"/>
  <c r="S5556"/>
  <c r="M5556" s="1"/>
  <c r="S5557"/>
  <c r="M5557" s="1"/>
  <c r="S5558"/>
  <c r="M5558" s="1"/>
  <c r="S5559"/>
  <c r="M5559" s="1"/>
  <c r="S5560"/>
  <c r="M5560" s="1"/>
  <c r="S5561"/>
  <c r="M5561" s="1"/>
  <c r="S5562"/>
  <c r="M5562" s="1"/>
  <c r="S5563"/>
  <c r="M5563" s="1"/>
  <c r="S5564"/>
  <c r="M5564" s="1"/>
  <c r="S5565"/>
  <c r="M5565" s="1"/>
  <c r="S5566"/>
  <c r="M5566" s="1"/>
  <c r="S5567"/>
  <c r="M5567" s="1"/>
  <c r="S5568"/>
  <c r="M5568" s="1"/>
  <c r="S5569"/>
  <c r="M5569" s="1"/>
  <c r="S5570"/>
  <c r="M5570" s="1"/>
  <c r="S5571"/>
  <c r="M5571" s="1"/>
  <c r="S5572"/>
  <c r="M5572" s="1"/>
  <c r="S5573"/>
  <c r="M5573" s="1"/>
  <c r="S5574"/>
  <c r="M5574" s="1"/>
  <c r="S5575"/>
  <c r="M5575" s="1"/>
  <c r="S5576"/>
  <c r="M5576" s="1"/>
  <c r="S5577"/>
  <c r="M5577" s="1"/>
  <c r="S5578"/>
  <c r="M5578" s="1"/>
  <c r="S5579"/>
  <c r="M5579" s="1"/>
  <c r="S5580"/>
  <c r="M5580" s="1"/>
  <c r="S5581"/>
  <c r="M5581" s="1"/>
  <c r="S5582"/>
  <c r="M5582" s="1"/>
  <c r="S5583"/>
  <c r="M5583" s="1"/>
  <c r="S5584"/>
  <c r="M5584" s="1"/>
  <c r="S5585"/>
  <c r="M5585" s="1"/>
  <c r="S5586"/>
  <c r="M5586" s="1"/>
  <c r="S5587"/>
  <c r="V5587" s="1"/>
  <c r="S5588"/>
  <c r="M5588" s="1"/>
  <c r="S5589"/>
  <c r="M5589" s="1"/>
  <c r="S5590"/>
  <c r="M5590" s="1"/>
  <c r="S5591"/>
  <c r="M5591" s="1"/>
  <c r="S5592"/>
  <c r="M5592" s="1"/>
  <c r="S5593"/>
  <c r="M5593" s="1"/>
  <c r="S5594"/>
  <c r="M5594" s="1"/>
  <c r="S5595"/>
  <c r="M5595" s="1"/>
  <c r="S5596"/>
  <c r="M5596" s="1"/>
  <c r="S5597"/>
  <c r="M5597" s="1"/>
  <c r="S5598"/>
  <c r="M5598" s="1"/>
  <c r="S5599"/>
  <c r="M5599" s="1"/>
  <c r="S5600"/>
  <c r="M5600" s="1"/>
  <c r="S5601"/>
  <c r="M5601" s="1"/>
  <c r="S5602"/>
  <c r="M5602" s="1"/>
  <c r="S5603"/>
  <c r="M5603" s="1"/>
  <c r="S5604"/>
  <c r="M5604" s="1"/>
  <c r="S5605"/>
  <c r="M5605" s="1"/>
  <c r="S5606"/>
  <c r="M5606" s="1"/>
  <c r="S5607"/>
  <c r="M5607" s="1"/>
  <c r="S5608"/>
  <c r="M5608" s="1"/>
  <c r="S5609"/>
  <c r="M5609" s="1"/>
  <c r="S5610"/>
  <c r="M5610" s="1"/>
  <c r="S5611"/>
  <c r="M5611" s="1"/>
  <c r="S5612"/>
  <c r="M5612" s="1"/>
  <c r="S5613"/>
  <c r="M5613" s="1"/>
  <c r="S5614"/>
  <c r="M5614" s="1"/>
  <c r="S5615"/>
  <c r="M5615" s="1"/>
  <c r="S5616"/>
  <c r="M5616" s="1"/>
  <c r="S5617"/>
  <c r="M5617" s="1"/>
  <c r="S5618"/>
  <c r="M5618" s="1"/>
  <c r="S5619"/>
  <c r="M5619" s="1"/>
  <c r="S5620"/>
  <c r="M5620" s="1"/>
  <c r="S5621"/>
  <c r="M5621" s="1"/>
  <c r="S5622"/>
  <c r="M5622" s="1"/>
  <c r="S5623"/>
  <c r="M5623" s="1"/>
  <c r="S5624"/>
  <c r="M5624" s="1"/>
  <c r="S5625"/>
  <c r="M5625" s="1"/>
  <c r="S5626"/>
  <c r="M5626" s="1"/>
  <c r="S5627"/>
  <c r="M5627" s="1"/>
  <c r="S5628"/>
  <c r="M5628" s="1"/>
  <c r="S5629"/>
  <c r="M5629" s="1"/>
  <c r="S5630"/>
  <c r="M5630" s="1"/>
  <c r="S5631"/>
  <c r="M5631" s="1"/>
  <c r="S5632"/>
  <c r="M5632" s="1"/>
  <c r="S5633"/>
  <c r="M5633" s="1"/>
  <c r="S5634"/>
  <c r="M5634" s="1"/>
  <c r="S5635"/>
  <c r="M5635" s="1"/>
  <c r="S5636"/>
  <c r="M5636" s="1"/>
  <c r="S5637"/>
  <c r="M5637" s="1"/>
  <c r="S5638"/>
  <c r="M5638" s="1"/>
  <c r="S5639"/>
  <c r="M5639" s="1"/>
  <c r="S5640"/>
  <c r="M5640" s="1"/>
  <c r="S5641"/>
  <c r="M5641" s="1"/>
  <c r="S5642"/>
  <c r="M5642" s="1"/>
  <c r="S5643"/>
  <c r="M5643" s="1"/>
  <c r="S5644"/>
  <c r="M5644" s="1"/>
  <c r="S5645"/>
  <c r="M5645" s="1"/>
  <c r="S5646"/>
  <c r="M5646" s="1"/>
  <c r="S5647"/>
  <c r="M5647" s="1"/>
  <c r="S5648"/>
  <c r="M5648" s="1"/>
  <c r="S5649"/>
  <c r="S5650"/>
  <c r="M5650" s="1"/>
  <c r="S5651"/>
  <c r="M5651" s="1"/>
  <c r="S5652"/>
  <c r="M5652" s="1"/>
  <c r="S5653"/>
  <c r="M5653" s="1"/>
  <c r="S5654"/>
  <c r="M5654" s="1"/>
  <c r="S5655"/>
  <c r="M5655" s="1"/>
  <c r="S5656"/>
  <c r="M5656" s="1"/>
  <c r="S5657"/>
  <c r="M5657" s="1"/>
  <c r="S5658"/>
  <c r="M5658" s="1"/>
  <c r="S5659"/>
  <c r="M5659" s="1"/>
  <c r="S5660"/>
  <c r="M5660" s="1"/>
  <c r="S5661"/>
  <c r="M5661" s="1"/>
  <c r="S5662"/>
  <c r="M5662" s="1"/>
  <c r="S5663"/>
  <c r="M5663" s="1"/>
  <c r="S5664"/>
  <c r="M5664" s="1"/>
  <c r="S5665"/>
  <c r="M5665" s="1"/>
  <c r="S5666"/>
  <c r="M5666" s="1"/>
  <c r="S5667"/>
  <c r="M5667" s="1"/>
  <c r="S5668"/>
  <c r="M5668" s="1"/>
  <c r="S5669"/>
  <c r="M5669" s="1"/>
  <c r="S5670"/>
  <c r="M5670" s="1"/>
  <c r="S5671"/>
  <c r="M5671" s="1"/>
  <c r="S5672"/>
  <c r="M5672" s="1"/>
  <c r="S5673"/>
  <c r="M5673" s="1"/>
  <c r="S5674"/>
  <c r="M5674" s="1"/>
  <c r="S5675"/>
  <c r="M5675" s="1"/>
  <c r="S5676"/>
  <c r="M5676" s="1"/>
  <c r="S5677"/>
  <c r="M5677" s="1"/>
  <c r="S5678"/>
  <c r="M5678" s="1"/>
  <c r="S5679"/>
  <c r="M5679" s="1"/>
  <c r="S5680"/>
  <c r="M5680" s="1"/>
  <c r="S5681"/>
  <c r="M5681" s="1"/>
  <c r="S5682"/>
  <c r="M5682" s="1"/>
  <c r="S5683"/>
  <c r="M5683" s="1"/>
  <c r="S5684"/>
  <c r="M5684" s="1"/>
  <c r="S5685"/>
  <c r="M5685" s="1"/>
  <c r="S5686"/>
  <c r="M5686" s="1"/>
  <c r="S5687"/>
  <c r="M5687" s="1"/>
  <c r="S5688"/>
  <c r="M5688" s="1"/>
  <c r="S5689"/>
  <c r="M5689" s="1"/>
  <c r="S5690"/>
  <c r="M5690" s="1"/>
  <c r="S5691"/>
  <c r="M5691" s="1"/>
  <c r="S5692"/>
  <c r="M5692" s="1"/>
  <c r="S5693"/>
  <c r="M5693" s="1"/>
  <c r="S5694"/>
  <c r="M5694" s="1"/>
  <c r="S5695"/>
  <c r="M5695" s="1"/>
  <c r="S5696"/>
  <c r="M5696" s="1"/>
  <c r="S5697"/>
  <c r="M5697" s="1"/>
  <c r="S5698"/>
  <c r="M5698" s="1"/>
  <c r="S5699"/>
  <c r="M5699" s="1"/>
  <c r="S5700"/>
  <c r="M5700" s="1"/>
  <c r="S5701"/>
  <c r="M5701" s="1"/>
  <c r="S5702"/>
  <c r="M5702" s="1"/>
  <c r="S5703"/>
  <c r="M5703" s="1"/>
  <c r="S5704"/>
  <c r="M5704" s="1"/>
  <c r="S5705"/>
  <c r="M5705" s="1"/>
  <c r="S5706"/>
  <c r="M5706" s="1"/>
  <c r="S5707"/>
  <c r="M5707" s="1"/>
  <c r="S5708"/>
  <c r="M5708" s="1"/>
  <c r="S5709"/>
  <c r="M5709" s="1"/>
  <c r="S5710"/>
  <c r="M5710" s="1"/>
  <c r="S5711"/>
  <c r="M5711" s="1"/>
  <c r="S5712"/>
  <c r="M5712" s="1"/>
  <c r="S5713"/>
  <c r="M5713" s="1"/>
  <c r="S5714"/>
  <c r="M5714" s="1"/>
  <c r="S5715"/>
  <c r="V5715" s="1"/>
  <c r="S5716"/>
  <c r="M5716" s="1"/>
  <c r="S5717"/>
  <c r="M5717" s="1"/>
  <c r="S5718"/>
  <c r="M5718" s="1"/>
  <c r="S5719"/>
  <c r="M5719" s="1"/>
  <c r="S5720"/>
  <c r="M5720" s="1"/>
  <c r="S5721"/>
  <c r="M5721" s="1"/>
  <c r="S5722"/>
  <c r="M5722" s="1"/>
  <c r="S5723"/>
  <c r="M5723" s="1"/>
  <c r="S5724"/>
  <c r="M5724" s="1"/>
  <c r="S5725"/>
  <c r="M5725" s="1"/>
  <c r="S5726"/>
  <c r="M5726" s="1"/>
  <c r="S5727"/>
  <c r="M5727" s="1"/>
  <c r="S5728"/>
  <c r="M5728" s="1"/>
  <c r="S5729"/>
  <c r="M5729" s="1"/>
  <c r="S5730"/>
  <c r="M5730" s="1"/>
  <c r="S5731"/>
  <c r="M5731" s="1"/>
  <c r="S5732"/>
  <c r="M5732" s="1"/>
  <c r="S5733"/>
  <c r="M5733" s="1"/>
  <c r="S5734"/>
  <c r="M5734" s="1"/>
  <c r="S5735"/>
  <c r="M5735" s="1"/>
  <c r="S5736"/>
  <c r="M5736" s="1"/>
  <c r="S5737"/>
  <c r="M5737" s="1"/>
  <c r="S5738"/>
  <c r="M5738" s="1"/>
  <c r="S5739"/>
  <c r="M5739" s="1"/>
  <c r="S5740"/>
  <c r="M5740" s="1"/>
  <c r="S5741"/>
  <c r="M5741" s="1"/>
  <c r="S5742"/>
  <c r="M5742" s="1"/>
  <c r="S5743"/>
  <c r="M5743" s="1"/>
  <c r="S5744"/>
  <c r="M5744" s="1"/>
  <c r="S5745"/>
  <c r="M5745" s="1"/>
  <c r="S5746"/>
  <c r="M5746" s="1"/>
  <c r="S5747"/>
  <c r="M5747" s="1"/>
  <c r="S5748"/>
  <c r="M5748" s="1"/>
  <c r="S5749"/>
  <c r="M5749" s="1"/>
  <c r="S5750"/>
  <c r="M5750" s="1"/>
  <c r="S5751"/>
  <c r="M5751" s="1"/>
  <c r="S5752"/>
  <c r="M5752" s="1"/>
  <c r="S5753"/>
  <c r="M5753" s="1"/>
  <c r="S5754"/>
  <c r="M5754" s="1"/>
  <c r="S5755"/>
  <c r="M5755" s="1"/>
  <c r="S5756"/>
  <c r="M5756" s="1"/>
  <c r="S5757"/>
  <c r="M5757" s="1"/>
  <c r="S5758"/>
  <c r="M5758" s="1"/>
  <c r="S5759"/>
  <c r="M5759" s="1"/>
  <c r="S5760"/>
  <c r="M5760" s="1"/>
  <c r="S5761"/>
  <c r="M5761" s="1"/>
  <c r="S5762"/>
  <c r="M5762" s="1"/>
  <c r="S5763"/>
  <c r="M5763" s="1"/>
  <c r="S5764"/>
  <c r="M5764" s="1"/>
  <c r="S5765"/>
  <c r="M5765" s="1"/>
  <c r="S5766"/>
  <c r="M5766" s="1"/>
  <c r="S5767"/>
  <c r="M5767" s="1"/>
  <c r="S5768"/>
  <c r="M5768" s="1"/>
  <c r="S5769"/>
  <c r="M5769" s="1"/>
  <c r="S5770"/>
  <c r="M5770" s="1"/>
  <c r="S5771"/>
  <c r="M5771" s="1"/>
  <c r="S5772"/>
  <c r="M5772" s="1"/>
  <c r="S5773"/>
  <c r="M5773" s="1"/>
  <c r="S5774"/>
  <c r="M5774" s="1"/>
  <c r="S5775"/>
  <c r="M5775" s="1"/>
  <c r="S5776"/>
  <c r="M5776" s="1"/>
  <c r="S5777"/>
  <c r="M5777" s="1"/>
  <c r="S5778"/>
  <c r="M5778" s="1"/>
  <c r="S5779"/>
  <c r="M5779" s="1"/>
  <c r="S5780"/>
  <c r="M5780" s="1"/>
  <c r="S5781"/>
  <c r="M5781" s="1"/>
  <c r="S5782"/>
  <c r="M5782" s="1"/>
  <c r="S5783"/>
  <c r="M5783" s="1"/>
  <c r="S5784"/>
  <c r="M5784" s="1"/>
  <c r="S5785"/>
  <c r="M5785" s="1"/>
  <c r="S5786"/>
  <c r="M5786" s="1"/>
  <c r="S5787"/>
  <c r="M5787" s="1"/>
  <c r="S5788"/>
  <c r="M5788" s="1"/>
  <c r="S5789"/>
  <c r="M5789" s="1"/>
  <c r="S5790"/>
  <c r="M5790" s="1"/>
  <c r="S5791"/>
  <c r="M5791" s="1"/>
  <c r="S5792"/>
  <c r="M5792" s="1"/>
  <c r="S5793"/>
  <c r="M5793" s="1"/>
  <c r="S5794"/>
  <c r="M5794" s="1"/>
  <c r="S5795"/>
  <c r="M5795" s="1"/>
  <c r="S5796"/>
  <c r="M5796" s="1"/>
  <c r="S5797"/>
  <c r="M5797" s="1"/>
  <c r="S5798"/>
  <c r="M5798" s="1"/>
  <c r="S5799"/>
  <c r="M5799" s="1"/>
  <c r="S5800"/>
  <c r="M5800" s="1"/>
  <c r="S5801"/>
  <c r="M5801" s="1"/>
  <c r="S5802"/>
  <c r="M5802" s="1"/>
  <c r="S5803"/>
  <c r="M5803" s="1"/>
  <c r="S5804"/>
  <c r="M5804" s="1"/>
  <c r="S5805"/>
  <c r="M5805" s="1"/>
  <c r="S5806"/>
  <c r="M5806" s="1"/>
  <c r="S5807"/>
  <c r="M5807" s="1"/>
  <c r="S5808"/>
  <c r="M5808" s="1"/>
  <c r="S5809"/>
  <c r="M5809" s="1"/>
  <c r="S5810"/>
  <c r="M5810" s="1"/>
  <c r="S5811"/>
  <c r="M5811" s="1"/>
  <c r="S5812"/>
  <c r="M5812" s="1"/>
  <c r="S5813"/>
  <c r="M5813" s="1"/>
  <c r="S5814"/>
  <c r="M5814" s="1"/>
  <c r="S5815"/>
  <c r="M5815" s="1"/>
  <c r="S5816"/>
  <c r="M5816" s="1"/>
  <c r="S5817"/>
  <c r="M5817" s="1"/>
  <c r="S5818"/>
  <c r="M5818" s="1"/>
  <c r="S5819"/>
  <c r="M5819" s="1"/>
  <c r="S5820"/>
  <c r="M5820" s="1"/>
  <c r="S5821"/>
  <c r="M5821" s="1"/>
  <c r="S5822"/>
  <c r="M5822" s="1"/>
  <c r="S5823"/>
  <c r="M5823" s="1"/>
  <c r="S5824"/>
  <c r="M5824" s="1"/>
  <c r="S5825"/>
  <c r="M5825" s="1"/>
  <c r="S5826"/>
  <c r="M5826" s="1"/>
  <c r="S5827"/>
  <c r="M5827" s="1"/>
  <c r="S5828"/>
  <c r="M5828" s="1"/>
  <c r="S5829"/>
  <c r="M5829" s="1"/>
  <c r="S5830"/>
  <c r="M5830" s="1"/>
  <c r="S5831"/>
  <c r="M5831" s="1"/>
  <c r="S5832"/>
  <c r="M5832" s="1"/>
  <c r="S5833"/>
  <c r="M5833" s="1"/>
  <c r="S5834"/>
  <c r="M5834" s="1"/>
  <c r="S5835"/>
  <c r="M5835" s="1"/>
  <c r="S5836"/>
  <c r="M5836" s="1"/>
  <c r="S5837"/>
  <c r="M5837" s="1"/>
  <c r="S5838"/>
  <c r="M5838" s="1"/>
  <c r="S5839"/>
  <c r="M5839" s="1"/>
  <c r="S5840"/>
  <c r="M5840" s="1"/>
  <c r="S5841"/>
  <c r="M5841" s="1"/>
  <c r="S5842"/>
  <c r="M5842" s="1"/>
  <c r="S5843"/>
  <c r="V5843" s="1"/>
  <c r="S5844"/>
  <c r="M5844" s="1"/>
  <c r="S5845"/>
  <c r="M5845" s="1"/>
  <c r="S5846"/>
  <c r="M5846" s="1"/>
  <c r="S5847"/>
  <c r="M5847" s="1"/>
  <c r="S5848"/>
  <c r="S5849"/>
  <c r="M5849" s="1"/>
  <c r="S5850"/>
  <c r="M5850" s="1"/>
  <c r="S5851"/>
  <c r="M5851" s="1"/>
  <c r="S5852"/>
  <c r="M5852" s="1"/>
  <c r="S5853"/>
  <c r="M5853" s="1"/>
  <c r="S5854"/>
  <c r="M5854" s="1"/>
  <c r="S5855"/>
  <c r="M5855" s="1"/>
  <c r="S5856"/>
  <c r="M5856" s="1"/>
  <c r="S5857"/>
  <c r="M5857" s="1"/>
  <c r="S5858"/>
  <c r="M5858" s="1"/>
  <c r="S5859"/>
  <c r="M5859" s="1"/>
  <c r="S5860"/>
  <c r="M5860" s="1"/>
  <c r="S5861"/>
  <c r="M5861" s="1"/>
  <c r="S5862"/>
  <c r="M5862" s="1"/>
  <c r="S5863"/>
  <c r="M5863" s="1"/>
  <c r="S5864"/>
  <c r="M5864" s="1"/>
  <c r="S5865"/>
  <c r="M5865" s="1"/>
  <c r="S5866"/>
  <c r="M5866" s="1"/>
  <c r="S5867"/>
  <c r="M5867" s="1"/>
  <c r="S5868"/>
  <c r="M5868" s="1"/>
  <c r="S5869"/>
  <c r="M5869" s="1"/>
  <c r="S5870"/>
  <c r="M5870" s="1"/>
  <c r="S5871"/>
  <c r="M5871" s="1"/>
  <c r="S5872"/>
  <c r="M5872" s="1"/>
  <c r="S5873"/>
  <c r="M5873" s="1"/>
  <c r="S5874"/>
  <c r="M5874" s="1"/>
  <c r="S5875"/>
  <c r="M5875" s="1"/>
  <c r="S5876"/>
  <c r="M5876" s="1"/>
  <c r="S5877"/>
  <c r="M5877" s="1"/>
  <c r="S5878"/>
  <c r="M5878" s="1"/>
  <c r="S5879"/>
  <c r="M5879" s="1"/>
  <c r="S5880"/>
  <c r="M5880" s="1"/>
  <c r="S5881"/>
  <c r="M5881" s="1"/>
  <c r="S5882"/>
  <c r="M5882" s="1"/>
  <c r="S5883"/>
  <c r="M5883" s="1"/>
  <c r="S5884"/>
  <c r="M5884" s="1"/>
  <c r="S5885"/>
  <c r="M5885" s="1"/>
  <c r="S5886"/>
  <c r="M5886" s="1"/>
  <c r="S5887"/>
  <c r="M5887" s="1"/>
  <c r="S5888"/>
  <c r="M5888" s="1"/>
  <c r="S5889"/>
  <c r="M5889" s="1"/>
  <c r="S5890"/>
  <c r="M5890" s="1"/>
  <c r="S5891"/>
  <c r="M5891" s="1"/>
  <c r="S5892"/>
  <c r="M5892" s="1"/>
  <c r="S5893"/>
  <c r="M5893" s="1"/>
  <c r="S5894"/>
  <c r="M5894" s="1"/>
  <c r="S5895"/>
  <c r="M5895" s="1"/>
  <c r="S5896"/>
  <c r="M5896" s="1"/>
  <c r="S5897"/>
  <c r="M5897" s="1"/>
  <c r="S5898"/>
  <c r="M5898" s="1"/>
  <c r="S5899"/>
  <c r="M5899" s="1"/>
  <c r="S5900"/>
  <c r="M5900" s="1"/>
  <c r="S5901"/>
  <c r="M5901" s="1"/>
  <c r="S5902"/>
  <c r="M5902" s="1"/>
  <c r="S5903"/>
  <c r="M5903" s="1"/>
  <c r="S5904"/>
  <c r="M5904" s="1"/>
  <c r="S5905"/>
  <c r="M5905" s="1"/>
  <c r="S5906"/>
  <c r="M5906" s="1"/>
  <c r="S5907"/>
  <c r="M5907" s="1"/>
  <c r="S5908"/>
  <c r="M5908" s="1"/>
  <c r="S5909"/>
  <c r="M5909" s="1"/>
  <c r="S5910"/>
  <c r="M5910" s="1"/>
  <c r="S5911"/>
  <c r="M5911" s="1"/>
  <c r="S5912"/>
  <c r="M5912" s="1"/>
  <c r="S5913"/>
  <c r="M5913" s="1"/>
  <c r="S5914"/>
  <c r="M5914" s="1"/>
  <c r="S5915"/>
  <c r="M5915" s="1"/>
  <c r="S5916"/>
  <c r="M5916" s="1"/>
  <c r="S5917"/>
  <c r="M5917" s="1"/>
  <c r="S5918"/>
  <c r="M5918" s="1"/>
  <c r="S5919"/>
  <c r="M5919" s="1"/>
  <c r="S5920"/>
  <c r="M5920" s="1"/>
  <c r="S5921"/>
  <c r="M5921" s="1"/>
  <c r="S5922"/>
  <c r="M5922" s="1"/>
  <c r="S5923"/>
  <c r="M5923" s="1"/>
  <c r="S5924"/>
  <c r="M5924" s="1"/>
  <c r="S5925"/>
  <c r="M5925" s="1"/>
  <c r="S5926"/>
  <c r="M5926" s="1"/>
  <c r="S5927"/>
  <c r="M5927" s="1"/>
  <c r="S5928"/>
  <c r="M5928" s="1"/>
  <c r="S5929"/>
  <c r="M5929" s="1"/>
  <c r="S5930"/>
  <c r="M5930" s="1"/>
  <c r="S5931"/>
  <c r="M5931" s="1"/>
  <c r="S5932"/>
  <c r="M5932" s="1"/>
  <c r="S5933"/>
  <c r="M5933" s="1"/>
  <c r="S5934"/>
  <c r="M5934" s="1"/>
  <c r="S5935"/>
  <c r="M5935" s="1"/>
  <c r="S5936"/>
  <c r="M5936" s="1"/>
  <c r="S5937"/>
  <c r="M5937" s="1"/>
  <c r="S5938"/>
  <c r="M5938" s="1"/>
  <c r="S5939"/>
  <c r="M5939" s="1"/>
  <c r="S5940"/>
  <c r="M5940" s="1"/>
  <c r="S5941"/>
  <c r="M5941" s="1"/>
  <c r="S5942"/>
  <c r="M5942" s="1"/>
  <c r="S5943"/>
  <c r="M5943" s="1"/>
  <c r="S5944"/>
  <c r="M5944" s="1"/>
  <c r="S5945"/>
  <c r="M5945" s="1"/>
  <c r="S5946"/>
  <c r="M5946" s="1"/>
  <c r="S5947"/>
  <c r="M5947" s="1"/>
  <c r="S5948"/>
  <c r="M5948" s="1"/>
  <c r="S5949"/>
  <c r="M5949" s="1"/>
  <c r="S5950"/>
  <c r="M5950" s="1"/>
  <c r="S5951"/>
  <c r="M5951" s="1"/>
  <c r="S5952"/>
  <c r="M5952" s="1"/>
  <c r="S5953"/>
  <c r="M5953" s="1"/>
  <c r="S5954"/>
  <c r="M5954" s="1"/>
  <c r="S5955"/>
  <c r="M5955" s="1"/>
  <c r="S5956"/>
  <c r="M5956" s="1"/>
  <c r="S5957"/>
  <c r="M5957" s="1"/>
  <c r="S5958"/>
  <c r="M5958" s="1"/>
  <c r="S5959"/>
  <c r="M5959" s="1"/>
  <c r="S5960"/>
  <c r="M5960" s="1"/>
  <c r="S5961"/>
  <c r="M5961" s="1"/>
  <c r="S5962"/>
  <c r="M5962" s="1"/>
  <c r="S5963"/>
  <c r="M5963" s="1"/>
  <c r="S5964"/>
  <c r="M5964" s="1"/>
  <c r="S5965"/>
  <c r="M5965" s="1"/>
  <c r="S5966"/>
  <c r="M5966" s="1"/>
  <c r="S5967"/>
  <c r="M5967" s="1"/>
  <c r="S5968"/>
  <c r="M5968" s="1"/>
  <c r="S5969"/>
  <c r="M5969" s="1"/>
  <c r="S5970"/>
  <c r="M5970" s="1"/>
  <c r="S5971"/>
  <c r="M5971" s="1"/>
  <c r="S5972"/>
  <c r="M5972" s="1"/>
  <c r="S5973"/>
  <c r="M5973" s="1"/>
  <c r="S5974"/>
  <c r="M5974" s="1"/>
  <c r="S5975"/>
  <c r="M5975" s="1"/>
  <c r="S5976"/>
  <c r="M5976" s="1"/>
  <c r="S5977"/>
  <c r="M5977" s="1"/>
  <c r="S5978"/>
  <c r="M5978" s="1"/>
  <c r="S5979"/>
  <c r="M5979" s="1"/>
  <c r="S5980"/>
  <c r="M5980" s="1"/>
  <c r="S5981"/>
  <c r="M5981" s="1"/>
  <c r="S5982"/>
  <c r="M5982" s="1"/>
  <c r="S5983"/>
  <c r="M5983" s="1"/>
  <c r="S5984"/>
  <c r="M5984" s="1"/>
  <c r="S5985"/>
  <c r="M5985" s="1"/>
  <c r="S5986"/>
  <c r="M5986" s="1"/>
  <c r="S5987"/>
  <c r="S5988"/>
  <c r="M5988" s="1"/>
  <c r="S5989"/>
  <c r="M5989" s="1"/>
  <c r="S5990"/>
  <c r="M5990" s="1"/>
  <c r="S5991"/>
  <c r="M5991" s="1"/>
  <c r="S5992"/>
  <c r="V5992" s="1"/>
  <c r="S5993"/>
  <c r="M5993" s="1"/>
  <c r="S5994"/>
  <c r="M5994" s="1"/>
  <c r="S5995"/>
  <c r="M5995" s="1"/>
  <c r="S5996"/>
  <c r="M5996" s="1"/>
  <c r="S5997"/>
  <c r="M5997" s="1"/>
  <c r="S5998"/>
  <c r="M5998" s="1"/>
  <c r="S5999"/>
  <c r="M5999" s="1"/>
  <c r="S6000"/>
  <c r="M6000" s="1"/>
  <c r="S6001"/>
  <c r="M6001" s="1"/>
  <c r="S6002"/>
  <c r="M6002" s="1"/>
  <c r="S6003"/>
  <c r="V6003" s="1"/>
  <c r="S6004"/>
  <c r="M6004" s="1"/>
  <c r="S6005"/>
  <c r="M6005" s="1"/>
  <c r="S6006"/>
  <c r="M6006" s="1"/>
  <c r="S6007"/>
  <c r="M6007" s="1"/>
  <c r="S6008"/>
  <c r="M6008" s="1"/>
  <c r="S6009"/>
  <c r="M6009" s="1"/>
  <c r="S6010"/>
  <c r="M6010" s="1"/>
  <c r="S6011"/>
  <c r="M6011" s="1"/>
  <c r="S6012"/>
  <c r="M6012" s="1"/>
  <c r="S6013"/>
  <c r="M6013" s="1"/>
  <c r="S6014"/>
  <c r="M6014" s="1"/>
  <c r="S6015"/>
  <c r="M6015" s="1"/>
  <c r="S6016"/>
  <c r="M6016" s="1"/>
  <c r="S6017"/>
  <c r="M6017" s="1"/>
  <c r="S6018"/>
  <c r="M6018" s="1"/>
  <c r="S6019"/>
  <c r="V6019" s="1"/>
  <c r="S6020"/>
  <c r="M6020" s="1"/>
  <c r="S6021"/>
  <c r="M6021" s="1"/>
  <c r="S6022"/>
  <c r="M6022" s="1"/>
  <c r="S6023"/>
  <c r="M6023" s="1"/>
  <c r="S6024"/>
  <c r="M6024" s="1"/>
  <c r="S6025"/>
  <c r="M6025" s="1"/>
  <c r="S6026"/>
  <c r="M6026" s="1"/>
  <c r="S6027"/>
  <c r="M6027" s="1"/>
  <c r="S6028"/>
  <c r="M6028" s="1"/>
  <c r="S6029"/>
  <c r="M6029" s="1"/>
  <c r="S6030"/>
  <c r="M6030" s="1"/>
  <c r="S6031"/>
  <c r="M6031" s="1"/>
  <c r="S6032"/>
  <c r="M6032" s="1"/>
  <c r="S6033"/>
  <c r="M6033" s="1"/>
  <c r="S6034"/>
  <c r="M6034" s="1"/>
  <c r="S6035"/>
  <c r="S6036"/>
  <c r="M6036" s="1"/>
  <c r="S6037"/>
  <c r="M6037" s="1"/>
  <c r="S6038"/>
  <c r="M6038" s="1"/>
  <c r="S6039"/>
  <c r="M6039" s="1"/>
  <c r="S6040"/>
  <c r="M6040" s="1"/>
  <c r="S6041"/>
  <c r="M6041" s="1"/>
  <c r="S6042"/>
  <c r="M6042" s="1"/>
  <c r="S6043"/>
  <c r="M6043" s="1"/>
  <c r="S6044"/>
  <c r="M6044" s="1"/>
  <c r="S6045"/>
  <c r="M6045" s="1"/>
  <c r="S6046"/>
  <c r="M6046" s="1"/>
  <c r="S6047"/>
  <c r="M6047" s="1"/>
  <c r="S6048"/>
  <c r="M6048" s="1"/>
  <c r="S6049"/>
  <c r="M6049" s="1"/>
  <c r="S6050"/>
  <c r="M6050" s="1"/>
  <c r="S6051"/>
  <c r="V6051" s="1"/>
  <c r="S6052"/>
  <c r="M6052" s="1"/>
  <c r="S6053"/>
  <c r="M6053" s="1"/>
  <c r="S6054"/>
  <c r="M6054" s="1"/>
  <c r="S6055"/>
  <c r="M6055" s="1"/>
  <c r="S6056"/>
  <c r="M6056" s="1"/>
  <c r="S6057"/>
  <c r="M6057" s="1"/>
  <c r="S6058"/>
  <c r="M6058" s="1"/>
  <c r="S6059"/>
  <c r="M6059" s="1"/>
  <c r="S6060"/>
  <c r="M6060" s="1"/>
  <c r="S6061"/>
  <c r="M6061" s="1"/>
  <c r="S6062"/>
  <c r="M6062" s="1"/>
  <c r="S6063"/>
  <c r="M6063" s="1"/>
  <c r="S6064"/>
  <c r="M6064" s="1"/>
  <c r="S6065"/>
  <c r="M6065" s="1"/>
  <c r="S6066"/>
  <c r="M6066" s="1"/>
  <c r="S6067"/>
  <c r="S6068"/>
  <c r="M6068" s="1"/>
  <c r="S6069"/>
  <c r="M6069" s="1"/>
  <c r="S6070"/>
  <c r="M6070" s="1"/>
  <c r="S6071"/>
  <c r="M6071" s="1"/>
  <c r="S6072"/>
  <c r="M6072" s="1"/>
  <c r="S6073"/>
  <c r="M6073" s="1"/>
  <c r="S6074"/>
  <c r="M6074" s="1"/>
  <c r="S6075"/>
  <c r="M6075" s="1"/>
  <c r="S6076"/>
  <c r="M6076" s="1"/>
  <c r="S6077"/>
  <c r="M6077" s="1"/>
  <c r="S6078"/>
  <c r="M6078" s="1"/>
  <c r="S6079"/>
  <c r="M6079" s="1"/>
  <c r="S6080"/>
  <c r="M6080" s="1"/>
  <c r="S6081"/>
  <c r="M6081" s="1"/>
  <c r="S6082"/>
  <c r="M6082" s="1"/>
  <c r="S6083"/>
  <c r="S6084"/>
  <c r="M6084" s="1"/>
  <c r="S6085"/>
  <c r="M6085" s="1"/>
  <c r="S6086"/>
  <c r="M6086" s="1"/>
  <c r="S6087"/>
  <c r="M6087" s="1"/>
  <c r="S6088"/>
  <c r="M6088" s="1"/>
  <c r="S6089"/>
  <c r="M6089" s="1"/>
  <c r="S6090"/>
  <c r="M6090" s="1"/>
  <c r="S6091"/>
  <c r="M6091" s="1"/>
  <c r="S6092"/>
  <c r="M6092" s="1"/>
  <c r="S6093"/>
  <c r="M6093" s="1"/>
  <c r="S6094"/>
  <c r="M6094" s="1"/>
  <c r="S6095"/>
  <c r="M6095" s="1"/>
  <c r="S6096"/>
  <c r="M6096" s="1"/>
  <c r="S6097"/>
  <c r="M6097" s="1"/>
  <c r="S6098"/>
  <c r="M6098" s="1"/>
  <c r="S6099"/>
  <c r="V6099" s="1"/>
  <c r="S6100"/>
  <c r="M6100" s="1"/>
  <c r="S6101"/>
  <c r="M6101" s="1"/>
  <c r="S6102"/>
  <c r="M6102" s="1"/>
  <c r="S6103"/>
  <c r="M6103" s="1"/>
  <c r="S6104"/>
  <c r="M6104" s="1"/>
  <c r="S6105"/>
  <c r="M6105" s="1"/>
  <c r="S6106"/>
  <c r="M6106" s="1"/>
  <c r="S6107"/>
  <c r="M6107" s="1"/>
  <c r="S6108"/>
  <c r="M6108" s="1"/>
  <c r="S6109"/>
  <c r="M6109" s="1"/>
  <c r="S6110"/>
  <c r="M6110" s="1"/>
  <c r="S6111"/>
  <c r="M6111" s="1"/>
  <c r="S6112"/>
  <c r="M6112" s="1"/>
  <c r="S6113"/>
  <c r="M6113" s="1"/>
  <c r="S6114"/>
  <c r="M6114" s="1"/>
  <c r="S6115"/>
  <c r="V6115" s="1"/>
  <c r="S6116"/>
  <c r="M6116" s="1"/>
  <c r="S6117"/>
  <c r="M6117" s="1"/>
  <c r="S6118"/>
  <c r="M6118" s="1"/>
  <c r="S6119"/>
  <c r="M6119" s="1"/>
  <c r="S6120"/>
  <c r="M6120" s="1"/>
  <c r="S6121"/>
  <c r="M6121" s="1"/>
  <c r="S6122"/>
  <c r="M6122" s="1"/>
  <c r="S6123"/>
  <c r="M6123" s="1"/>
  <c r="S6124"/>
  <c r="M6124" s="1"/>
  <c r="S6125"/>
  <c r="M6125" s="1"/>
  <c r="S6126"/>
  <c r="M6126" s="1"/>
  <c r="S6127"/>
  <c r="M6127" s="1"/>
  <c r="S6128"/>
  <c r="M6128" s="1"/>
  <c r="S6129"/>
  <c r="M6129" s="1"/>
  <c r="S6130"/>
  <c r="M6130" s="1"/>
  <c r="S6131"/>
  <c r="S6132"/>
  <c r="M6132" s="1"/>
  <c r="S6133"/>
  <c r="M6133" s="1"/>
  <c r="S6134"/>
  <c r="M6134" s="1"/>
  <c r="S6135"/>
  <c r="M6135" s="1"/>
  <c r="S6136"/>
  <c r="S6137"/>
  <c r="M6137" s="1"/>
  <c r="S6138"/>
  <c r="M6138" s="1"/>
  <c r="S6139"/>
  <c r="M6139" s="1"/>
  <c r="S6140"/>
  <c r="M6140" s="1"/>
  <c r="S6141"/>
  <c r="M6141" s="1"/>
  <c r="S6142"/>
  <c r="M6142" s="1"/>
  <c r="S6143"/>
  <c r="M6143" s="1"/>
  <c r="S6144"/>
  <c r="M6144" s="1"/>
  <c r="S6145"/>
  <c r="M6145" s="1"/>
  <c r="S6146"/>
  <c r="M6146" s="1"/>
  <c r="S6147"/>
  <c r="S6148"/>
  <c r="M6148" s="1"/>
  <c r="S6149"/>
  <c r="M6149" s="1"/>
  <c r="S6150"/>
  <c r="M6150" s="1"/>
  <c r="S6151"/>
  <c r="M6151" s="1"/>
  <c r="S6152"/>
  <c r="M6152" s="1"/>
  <c r="S6153"/>
  <c r="M6153" s="1"/>
  <c r="S6154"/>
  <c r="M6154" s="1"/>
  <c r="S6155"/>
  <c r="M6155" s="1"/>
  <c r="S6156"/>
  <c r="M6156" s="1"/>
  <c r="S6157"/>
  <c r="M6157" s="1"/>
  <c r="S6158"/>
  <c r="M6158" s="1"/>
  <c r="S6159"/>
  <c r="M6159" s="1"/>
  <c r="S6160"/>
  <c r="M6160" s="1"/>
  <c r="S6161"/>
  <c r="M6161" s="1"/>
  <c r="S6162"/>
  <c r="M6162" s="1"/>
  <c r="S6163"/>
  <c r="S6164"/>
  <c r="M6164" s="1"/>
  <c r="S6165"/>
  <c r="M6165" s="1"/>
  <c r="S6166"/>
  <c r="M6166" s="1"/>
  <c r="S6167"/>
  <c r="M6167" s="1"/>
  <c r="S6168"/>
  <c r="M6168" s="1"/>
  <c r="S6169"/>
  <c r="M6169" s="1"/>
  <c r="S6170"/>
  <c r="M6170" s="1"/>
  <c r="S6171"/>
  <c r="M6171" s="1"/>
  <c r="S6172"/>
  <c r="M6172" s="1"/>
  <c r="S6173"/>
  <c r="M6173" s="1"/>
  <c r="S6174"/>
  <c r="M6174" s="1"/>
  <c r="S6175"/>
  <c r="M6175" s="1"/>
  <c r="S6176"/>
  <c r="M6176" s="1"/>
  <c r="S6177"/>
  <c r="M6177" s="1"/>
  <c r="S6178"/>
  <c r="M6178" s="1"/>
  <c r="S6179"/>
  <c r="S6180"/>
  <c r="M6180" s="1"/>
  <c r="S6181"/>
  <c r="M6181" s="1"/>
  <c r="S6182"/>
  <c r="M6182" s="1"/>
  <c r="S6183"/>
  <c r="M6183" s="1"/>
  <c r="S6184"/>
  <c r="M6184" s="1"/>
  <c r="S6185"/>
  <c r="M6185" s="1"/>
  <c r="S6186"/>
  <c r="M6186" s="1"/>
  <c r="S6187"/>
  <c r="M6187" s="1"/>
  <c r="S6188"/>
  <c r="M6188" s="1"/>
  <c r="S6189"/>
  <c r="M6189" s="1"/>
  <c r="S6190"/>
  <c r="M6190" s="1"/>
  <c r="S6191"/>
  <c r="M6191" s="1"/>
  <c r="S6192"/>
  <c r="M6192" s="1"/>
  <c r="S6193"/>
  <c r="M6193" s="1"/>
  <c r="S6194"/>
  <c r="M6194" s="1"/>
  <c r="S6195"/>
  <c r="S6196"/>
  <c r="M6196" s="1"/>
  <c r="S6197"/>
  <c r="M6197" s="1"/>
  <c r="S6198"/>
  <c r="M6198" s="1"/>
  <c r="S6199"/>
  <c r="M6199" s="1"/>
  <c r="S6200"/>
  <c r="M6200" s="1"/>
  <c r="S6201"/>
  <c r="M6201" s="1"/>
  <c r="S6202"/>
  <c r="M6202" s="1"/>
  <c r="S6203"/>
  <c r="M6203" s="1"/>
  <c r="S6204"/>
  <c r="M6204" s="1"/>
  <c r="S6205"/>
  <c r="M6205" s="1"/>
  <c r="S6206"/>
  <c r="M6206" s="1"/>
  <c r="S6207"/>
  <c r="M6207" s="1"/>
  <c r="S6208"/>
  <c r="M6208" s="1"/>
  <c r="S6209"/>
  <c r="M6209" s="1"/>
  <c r="S6210"/>
  <c r="M6210" s="1"/>
  <c r="S6211"/>
  <c r="S6212"/>
  <c r="M6212" s="1"/>
  <c r="S6213"/>
  <c r="M6213" s="1"/>
  <c r="S6214"/>
  <c r="M6214" s="1"/>
  <c r="S6215"/>
  <c r="M6215" s="1"/>
  <c r="S6216"/>
  <c r="M6216" s="1"/>
  <c r="S6217"/>
  <c r="M6217" s="1"/>
  <c r="S6218"/>
  <c r="M6218" s="1"/>
  <c r="S6219"/>
  <c r="M6219" s="1"/>
  <c r="S6220"/>
  <c r="M6220" s="1"/>
  <c r="S6221"/>
  <c r="M6221" s="1"/>
  <c r="S6222"/>
  <c r="M6222" s="1"/>
  <c r="S6223"/>
  <c r="M6223" s="1"/>
  <c r="S6224"/>
  <c r="M6224" s="1"/>
  <c r="S6225"/>
  <c r="M6225" s="1"/>
  <c r="S6226"/>
  <c r="M6226" s="1"/>
  <c r="S6227"/>
  <c r="S6228"/>
  <c r="M6228" s="1"/>
  <c r="S6229"/>
  <c r="M6229" s="1"/>
  <c r="S6230"/>
  <c r="M6230" s="1"/>
  <c r="S6231"/>
  <c r="M6231" s="1"/>
  <c r="S6232"/>
  <c r="M6232" s="1"/>
  <c r="S6233"/>
  <c r="M6233" s="1"/>
  <c r="S6234"/>
  <c r="M6234" s="1"/>
  <c r="S6235"/>
  <c r="M6235" s="1"/>
  <c r="S6236"/>
  <c r="M6236" s="1"/>
  <c r="S6237"/>
  <c r="M6237" s="1"/>
  <c r="S6238"/>
  <c r="M6238" s="1"/>
  <c r="S6239"/>
  <c r="M6239" s="1"/>
  <c r="S6240"/>
  <c r="M6240" s="1"/>
  <c r="S6241"/>
  <c r="M6241" s="1"/>
  <c r="S6242"/>
  <c r="M6242" s="1"/>
  <c r="S6243"/>
  <c r="S6244"/>
  <c r="M6244" s="1"/>
  <c r="S6245"/>
  <c r="M6245" s="1"/>
  <c r="S6246"/>
  <c r="M6246" s="1"/>
  <c r="S6247"/>
  <c r="M6247" s="1"/>
  <c r="S6248"/>
  <c r="S6249"/>
  <c r="M6249" s="1"/>
  <c r="S6250"/>
  <c r="M6250" s="1"/>
  <c r="S6251"/>
  <c r="M6251" s="1"/>
  <c r="S6252"/>
  <c r="M6252" s="1"/>
  <c r="S6253"/>
  <c r="M6253" s="1"/>
  <c r="S6254"/>
  <c r="M6254" s="1"/>
  <c r="S6255"/>
  <c r="M6255" s="1"/>
  <c r="S6256"/>
  <c r="M6256" s="1"/>
  <c r="S6257"/>
  <c r="M6257" s="1"/>
  <c r="S6258"/>
  <c r="M6258" s="1"/>
  <c r="S6259"/>
  <c r="S6260"/>
  <c r="M6260" s="1"/>
  <c r="S6261"/>
  <c r="M6261" s="1"/>
  <c r="S6262"/>
  <c r="M6262" s="1"/>
  <c r="S6263"/>
  <c r="M6263" s="1"/>
  <c r="S6264"/>
  <c r="M6264" s="1"/>
  <c r="S6265"/>
  <c r="M6265" s="1"/>
  <c r="S6266"/>
  <c r="M6266" s="1"/>
  <c r="S6267"/>
  <c r="M6267" s="1"/>
  <c r="S6268"/>
  <c r="M6268" s="1"/>
  <c r="S6269"/>
  <c r="M6269" s="1"/>
  <c r="S6270"/>
  <c r="M6270" s="1"/>
  <c r="S6271"/>
  <c r="M6271" s="1"/>
  <c r="S6272"/>
  <c r="M6272" s="1"/>
  <c r="S6273"/>
  <c r="M6273" s="1"/>
  <c r="S6274"/>
  <c r="M6274" s="1"/>
  <c r="S6275"/>
  <c r="V6275" s="1"/>
  <c r="S6276"/>
  <c r="M6276" s="1"/>
  <c r="S6277"/>
  <c r="M6277" s="1"/>
  <c r="S6278"/>
  <c r="M6278" s="1"/>
  <c r="S6279"/>
  <c r="M6279" s="1"/>
  <c r="S6280"/>
  <c r="M6280" s="1"/>
  <c r="S6281"/>
  <c r="M6281" s="1"/>
  <c r="S6282"/>
  <c r="M6282" s="1"/>
  <c r="S6283"/>
  <c r="M6283" s="1"/>
  <c r="S6284"/>
  <c r="M6284" s="1"/>
  <c r="S6285"/>
  <c r="M6285" s="1"/>
  <c r="S6286"/>
  <c r="M6286" s="1"/>
  <c r="S6287"/>
  <c r="M6287" s="1"/>
  <c r="S6288"/>
  <c r="M6288" s="1"/>
  <c r="S6289"/>
  <c r="M6289" s="1"/>
  <c r="S6290"/>
  <c r="M6290" s="1"/>
  <c r="S6291"/>
  <c r="V6291" s="1"/>
  <c r="S6292"/>
  <c r="M6292" s="1"/>
  <c r="S6293"/>
  <c r="M6293" s="1"/>
  <c r="S6294"/>
  <c r="M6294" s="1"/>
  <c r="S6295"/>
  <c r="M6295" s="1"/>
  <c r="S6296"/>
  <c r="S6297"/>
  <c r="M6297" s="1"/>
  <c r="S6298"/>
  <c r="M6298" s="1"/>
  <c r="S6299"/>
  <c r="M6299" s="1"/>
  <c r="S6300"/>
  <c r="M6300" s="1"/>
  <c r="S6301"/>
  <c r="M6301" s="1"/>
  <c r="S6302"/>
  <c r="M6302" s="1"/>
  <c r="S6303"/>
  <c r="M6303" s="1"/>
  <c r="S6304"/>
  <c r="M6304" s="1"/>
  <c r="S6305"/>
  <c r="M6305" s="1"/>
  <c r="S6306"/>
  <c r="M6306" s="1"/>
  <c r="S6307"/>
  <c r="V6307" s="1"/>
  <c r="S6308"/>
  <c r="M6308" s="1"/>
  <c r="S6309"/>
  <c r="M6309" s="1"/>
  <c r="S6310"/>
  <c r="M6310" s="1"/>
  <c r="S6311"/>
  <c r="M6311" s="1"/>
  <c r="S6312"/>
  <c r="M6312" s="1"/>
  <c r="S6313"/>
  <c r="M6313" s="1"/>
  <c r="S6314"/>
  <c r="M6314" s="1"/>
  <c r="S6315"/>
  <c r="M6315" s="1"/>
  <c r="S6316"/>
  <c r="M6316" s="1"/>
  <c r="S6317"/>
  <c r="M6317" s="1"/>
  <c r="S6318"/>
  <c r="M6318" s="1"/>
  <c r="S6319"/>
  <c r="M6319" s="1"/>
  <c r="S6320"/>
  <c r="M6320" s="1"/>
  <c r="S6321"/>
  <c r="M6321" s="1"/>
  <c r="S6322"/>
  <c r="M6322" s="1"/>
  <c r="S6323"/>
  <c r="S6324"/>
  <c r="M6324" s="1"/>
  <c r="S6325"/>
  <c r="M6325" s="1"/>
  <c r="S6326"/>
  <c r="M6326" s="1"/>
  <c r="S6327"/>
  <c r="M6327" s="1"/>
  <c r="S6328"/>
  <c r="M6328" s="1"/>
  <c r="S6329"/>
  <c r="M6329" s="1"/>
  <c r="S6330"/>
  <c r="M6330" s="1"/>
  <c r="S6331"/>
  <c r="M6331" s="1"/>
  <c r="S6332"/>
  <c r="M6332" s="1"/>
  <c r="S6333"/>
  <c r="M6333" s="1"/>
  <c r="S6334"/>
  <c r="M6334" s="1"/>
  <c r="S6335"/>
  <c r="M6335" s="1"/>
  <c r="S6336"/>
  <c r="M6336" s="1"/>
  <c r="S6337"/>
  <c r="M6337" s="1"/>
  <c r="S6338"/>
  <c r="M6338" s="1"/>
  <c r="S6339"/>
  <c r="S6340"/>
  <c r="M6340" s="1"/>
  <c r="S6341"/>
  <c r="M6341" s="1"/>
  <c r="S6342"/>
  <c r="M6342" s="1"/>
  <c r="S6343"/>
  <c r="M6343" s="1"/>
  <c r="S6344"/>
  <c r="M6344" s="1"/>
  <c r="S6345"/>
  <c r="M6345" s="1"/>
  <c r="S6346"/>
  <c r="M6346" s="1"/>
  <c r="S6347"/>
  <c r="M6347" s="1"/>
  <c r="S6348"/>
  <c r="M6348" s="1"/>
  <c r="S6349"/>
  <c r="M6349" s="1"/>
  <c r="S6350"/>
  <c r="M6350" s="1"/>
  <c r="S6351"/>
  <c r="M6351" s="1"/>
  <c r="S6352"/>
  <c r="M6352" s="1"/>
  <c r="S6353"/>
  <c r="M6353" s="1"/>
  <c r="S6354"/>
  <c r="M6354" s="1"/>
  <c r="S6355"/>
  <c r="S6356"/>
  <c r="M6356" s="1"/>
  <c r="S6357"/>
  <c r="M6357" s="1"/>
  <c r="S6358"/>
  <c r="M6358" s="1"/>
  <c r="S6359"/>
  <c r="M6359" s="1"/>
  <c r="S6360"/>
  <c r="M6360" s="1"/>
  <c r="S6361"/>
  <c r="M6361" s="1"/>
  <c r="S6362"/>
  <c r="M6362" s="1"/>
  <c r="S6363"/>
  <c r="M6363" s="1"/>
  <c r="S6364"/>
  <c r="M6364" s="1"/>
  <c r="S6365"/>
  <c r="M6365" s="1"/>
  <c r="S6366"/>
  <c r="M6366" s="1"/>
  <c r="S6367"/>
  <c r="M6367" s="1"/>
  <c r="S6368"/>
  <c r="M6368" s="1"/>
  <c r="S6369"/>
  <c r="M6369" s="1"/>
  <c r="S6370"/>
  <c r="M6370" s="1"/>
  <c r="S6371"/>
  <c r="V6371" s="1"/>
  <c r="S6372"/>
  <c r="M6372" s="1"/>
  <c r="S6373"/>
  <c r="M6373" s="1"/>
  <c r="S6374"/>
  <c r="M6374" s="1"/>
  <c r="S6375"/>
  <c r="M6375" s="1"/>
  <c r="S6376"/>
  <c r="M6376" s="1"/>
  <c r="S6377"/>
  <c r="M6377" s="1"/>
  <c r="S6378"/>
  <c r="M6378" s="1"/>
  <c r="S6379"/>
  <c r="M6379" s="1"/>
  <c r="S6380"/>
  <c r="M6380" s="1"/>
  <c r="S6381"/>
  <c r="M6381" s="1"/>
  <c r="S6382"/>
  <c r="M6382" s="1"/>
  <c r="S6383"/>
  <c r="M6383" s="1"/>
  <c r="S6384"/>
  <c r="M6384" s="1"/>
  <c r="S6385"/>
  <c r="M6385" s="1"/>
  <c r="S6386"/>
  <c r="M6386" s="1"/>
  <c r="S6387"/>
  <c r="V6387" s="1"/>
  <c r="S6388"/>
  <c r="M6388" s="1"/>
  <c r="S6389"/>
  <c r="M6389" s="1"/>
  <c r="S6390"/>
  <c r="M6390" s="1"/>
  <c r="S6391"/>
  <c r="M6391" s="1"/>
  <c r="S6392"/>
  <c r="V6392" s="1"/>
  <c r="S6393"/>
  <c r="M6393" s="1"/>
  <c r="S6394"/>
  <c r="M6394" s="1"/>
  <c r="S6395"/>
  <c r="M6395" s="1"/>
  <c r="S6396"/>
  <c r="M6396" s="1"/>
  <c r="S6397"/>
  <c r="M6397" s="1"/>
  <c r="S6398"/>
  <c r="M6398" s="1"/>
  <c r="S6399"/>
  <c r="M6399" s="1"/>
  <c r="S6400"/>
  <c r="M6400" s="1"/>
  <c r="S6401"/>
  <c r="M6401" s="1"/>
  <c r="S6402"/>
  <c r="M6402" s="1"/>
  <c r="S6403"/>
  <c r="V6403" s="1"/>
  <c r="S6404"/>
  <c r="M6404" s="1"/>
  <c r="S6405"/>
  <c r="M6405" s="1"/>
  <c r="S6406"/>
  <c r="M6406" s="1"/>
  <c r="S6407"/>
  <c r="M6407" s="1"/>
  <c r="S6408"/>
  <c r="M6408" s="1"/>
  <c r="S6409"/>
  <c r="M6409" s="1"/>
  <c r="S6410"/>
  <c r="M6410" s="1"/>
  <c r="S6411"/>
  <c r="M6411" s="1"/>
  <c r="S6412"/>
  <c r="M6412" s="1"/>
  <c r="S6413"/>
  <c r="M6413" s="1"/>
  <c r="S6414"/>
  <c r="M6414" s="1"/>
  <c r="S6415"/>
  <c r="M6415" s="1"/>
  <c r="S6416"/>
  <c r="M6416" s="1"/>
  <c r="S6417"/>
  <c r="M6417" s="1"/>
  <c r="S6418"/>
  <c r="M6418" s="1"/>
  <c r="S6419"/>
  <c r="V6419" s="1"/>
  <c r="S6420"/>
  <c r="M6420" s="1"/>
  <c r="S6421"/>
  <c r="M6421" s="1"/>
  <c r="S6422"/>
  <c r="M6422" s="1"/>
  <c r="S6423"/>
  <c r="M6423" s="1"/>
  <c r="S6424"/>
  <c r="M6424" s="1"/>
  <c r="S6425"/>
  <c r="M6425" s="1"/>
  <c r="S6426"/>
  <c r="M6426" s="1"/>
  <c r="S6427"/>
  <c r="M6427" s="1"/>
  <c r="S6428"/>
  <c r="M6428" s="1"/>
  <c r="S6429"/>
  <c r="M6429" s="1"/>
  <c r="S6430"/>
  <c r="M6430" s="1"/>
  <c r="S6431"/>
  <c r="M6431" s="1"/>
  <c r="S6432"/>
  <c r="M6432" s="1"/>
  <c r="S6433"/>
  <c r="M6433" s="1"/>
  <c r="S6434"/>
  <c r="M6434" s="1"/>
  <c r="S6435"/>
  <c r="S6436"/>
  <c r="M6436" s="1"/>
  <c r="S6437"/>
  <c r="M6437" s="1"/>
  <c r="S6438"/>
  <c r="M6438" s="1"/>
  <c r="S6439"/>
  <c r="M6439" s="1"/>
  <c r="S6440"/>
  <c r="M6440" s="1"/>
  <c r="S6441"/>
  <c r="M6441" s="1"/>
  <c r="S6442"/>
  <c r="M6442" s="1"/>
  <c r="S6443"/>
  <c r="M6443" s="1"/>
  <c r="S6444"/>
  <c r="M6444" s="1"/>
  <c r="S6445"/>
  <c r="M6445" s="1"/>
  <c r="S6446"/>
  <c r="M6446" s="1"/>
  <c r="S6447"/>
  <c r="M6447" s="1"/>
  <c r="S6448"/>
  <c r="M6448" s="1"/>
  <c r="S6449"/>
  <c r="M6449" s="1"/>
  <c r="S6450"/>
  <c r="M6450" s="1"/>
  <c r="S6451"/>
  <c r="S6452"/>
  <c r="M6452" s="1"/>
  <c r="S6453"/>
  <c r="M6453" s="1"/>
  <c r="S6454"/>
  <c r="M6454" s="1"/>
  <c r="S6455"/>
  <c r="M6455" s="1"/>
  <c r="S6456"/>
  <c r="M6456" s="1"/>
  <c r="S6457"/>
  <c r="M6457" s="1"/>
  <c r="S6458"/>
  <c r="M6458" s="1"/>
  <c r="S6459"/>
  <c r="M6459" s="1"/>
  <c r="S6460"/>
  <c r="M6460" s="1"/>
  <c r="S6461"/>
  <c r="M6461" s="1"/>
  <c r="S6462"/>
  <c r="M6462" s="1"/>
  <c r="S6463"/>
  <c r="M6463" s="1"/>
  <c r="S6464"/>
  <c r="M6464" s="1"/>
  <c r="S6465"/>
  <c r="M6465" s="1"/>
  <c r="S6466"/>
  <c r="M6466" s="1"/>
  <c r="S6467"/>
  <c r="V6467" s="1"/>
  <c r="S6468"/>
  <c r="M6468" s="1"/>
  <c r="S6469"/>
  <c r="M6469" s="1"/>
  <c r="S6470"/>
  <c r="M6470" s="1"/>
  <c r="S6471"/>
  <c r="M6471" s="1"/>
  <c r="S6472"/>
  <c r="M6472" s="1"/>
  <c r="S6473"/>
  <c r="M6473" s="1"/>
  <c r="S6474"/>
  <c r="M6474" s="1"/>
  <c r="S6475"/>
  <c r="M6475" s="1"/>
  <c r="S6476"/>
  <c r="M6476" s="1"/>
  <c r="S6477"/>
  <c r="M6477" s="1"/>
  <c r="S6478"/>
  <c r="M6478" s="1"/>
  <c r="S6479"/>
  <c r="M6479" s="1"/>
  <c r="S6480"/>
  <c r="M6480" s="1"/>
  <c r="S6481"/>
  <c r="M6481" s="1"/>
  <c r="S6482"/>
  <c r="M6482" s="1"/>
  <c r="S6483"/>
  <c r="S6484"/>
  <c r="M6484" s="1"/>
  <c r="S6485"/>
  <c r="M6485" s="1"/>
  <c r="S6486"/>
  <c r="M6486" s="1"/>
  <c r="S6487"/>
  <c r="M6487" s="1"/>
  <c r="S6488"/>
  <c r="M6488" s="1"/>
  <c r="S6489"/>
  <c r="M6489" s="1"/>
  <c r="S6490"/>
  <c r="M6490" s="1"/>
  <c r="S6491"/>
  <c r="M6491" s="1"/>
  <c r="S6492"/>
  <c r="M6492" s="1"/>
  <c r="S6493"/>
  <c r="M6493" s="1"/>
  <c r="S6494"/>
  <c r="M6494" s="1"/>
  <c r="S6495"/>
  <c r="M6495" s="1"/>
  <c r="S6496"/>
  <c r="M6496" s="1"/>
  <c r="S6497"/>
  <c r="M6497" s="1"/>
  <c r="S6498"/>
  <c r="M6498" s="1"/>
  <c r="S6499"/>
  <c r="S6500"/>
  <c r="M6500" s="1"/>
  <c r="S6501"/>
  <c r="M6501" s="1"/>
  <c r="S6502"/>
  <c r="M6502" s="1"/>
  <c r="S6503"/>
  <c r="M6503" s="1"/>
  <c r="S6504"/>
  <c r="M6504" s="1"/>
  <c r="S6505"/>
  <c r="M6505" s="1"/>
  <c r="S6506"/>
  <c r="M6506" s="1"/>
  <c r="S6507"/>
  <c r="M6507" s="1"/>
  <c r="S6508"/>
  <c r="M6508" s="1"/>
  <c r="S6509"/>
  <c r="M6509" s="1"/>
  <c r="S6510"/>
  <c r="M6510" s="1"/>
  <c r="S6511"/>
  <c r="M6511" s="1"/>
  <c r="S6512"/>
  <c r="M6512" s="1"/>
  <c r="S6513"/>
  <c r="M6513" s="1"/>
  <c r="S6514"/>
  <c r="M6514" s="1"/>
  <c r="S6515"/>
  <c r="S6516"/>
  <c r="M6516" s="1"/>
  <c r="S6517"/>
  <c r="M6517" s="1"/>
  <c r="S6518"/>
  <c r="M6518" s="1"/>
  <c r="S6519"/>
  <c r="M6519" s="1"/>
  <c r="S6520"/>
  <c r="V6520" s="1"/>
  <c r="S6521"/>
  <c r="M6521" s="1"/>
  <c r="S6522"/>
  <c r="M6522" s="1"/>
  <c r="S6523"/>
  <c r="M6523" s="1"/>
  <c r="S6524"/>
  <c r="M6524" s="1"/>
  <c r="S6525"/>
  <c r="M6525" s="1"/>
  <c r="S6526"/>
  <c r="M6526" s="1"/>
  <c r="S6527"/>
  <c r="M6527" s="1"/>
  <c r="S6528"/>
  <c r="M6528" s="1"/>
  <c r="S6529"/>
  <c r="M6529" s="1"/>
  <c r="S6530"/>
  <c r="M6530" s="1"/>
  <c r="S6531"/>
  <c r="S6532"/>
  <c r="M6532" s="1"/>
  <c r="S6533"/>
  <c r="M6533" s="1"/>
  <c r="S6534"/>
  <c r="M6534" s="1"/>
  <c r="S6535"/>
  <c r="M6535" s="1"/>
  <c r="S6536"/>
  <c r="V6536" s="1"/>
  <c r="S6537"/>
  <c r="M6537" s="1"/>
  <c r="S6538"/>
  <c r="M6538" s="1"/>
  <c r="S6539"/>
  <c r="M6539" s="1"/>
  <c r="S6540"/>
  <c r="M6540" s="1"/>
  <c r="S6541"/>
  <c r="M6541" s="1"/>
  <c r="S6542"/>
  <c r="M6542" s="1"/>
  <c r="S6543"/>
  <c r="M6543" s="1"/>
  <c r="S6544"/>
  <c r="M6544" s="1"/>
  <c r="S6545"/>
  <c r="M6545" s="1"/>
  <c r="S6546"/>
  <c r="M6546" s="1"/>
  <c r="S6547"/>
  <c r="V6547" s="1"/>
  <c r="S6548"/>
  <c r="M6548" s="1"/>
  <c r="S6549"/>
  <c r="M6549" s="1"/>
  <c r="S6550"/>
  <c r="M6550" s="1"/>
  <c r="S6551"/>
  <c r="M6551" s="1"/>
  <c r="S6552"/>
  <c r="S6553"/>
  <c r="M6553" s="1"/>
  <c r="S6554"/>
  <c r="M6554" s="1"/>
  <c r="S6555"/>
  <c r="M6555" s="1"/>
  <c r="S6556"/>
  <c r="M6556" s="1"/>
  <c r="S6557"/>
  <c r="M6557" s="1"/>
  <c r="S6558"/>
  <c r="M6558" s="1"/>
  <c r="S6559"/>
  <c r="M6559" s="1"/>
  <c r="S6560"/>
  <c r="M6560" s="1"/>
  <c r="S6561"/>
  <c r="M6561" s="1"/>
  <c r="S6562"/>
  <c r="M6562" s="1"/>
  <c r="S6563"/>
  <c r="V6563" s="1"/>
  <c r="S6564"/>
  <c r="M6564" s="1"/>
  <c r="S6565"/>
  <c r="M6565" s="1"/>
  <c r="S6566"/>
  <c r="M6566" s="1"/>
  <c r="S6567"/>
  <c r="M6567" s="1"/>
  <c r="S6568"/>
  <c r="M6568" s="1"/>
  <c r="S6569"/>
  <c r="M6569" s="1"/>
  <c r="S6570"/>
  <c r="M6570" s="1"/>
  <c r="S6571"/>
  <c r="M6571" s="1"/>
  <c r="S6572"/>
  <c r="M6572" s="1"/>
  <c r="S6573"/>
  <c r="M6573" s="1"/>
  <c r="S6574"/>
  <c r="M6574" s="1"/>
  <c r="S6575"/>
  <c r="M6575" s="1"/>
  <c r="S6576"/>
  <c r="M6576" s="1"/>
  <c r="S6577"/>
  <c r="M6577" s="1"/>
  <c r="S6578"/>
  <c r="M6578" s="1"/>
  <c r="S6579"/>
  <c r="S6580"/>
  <c r="M6580" s="1"/>
  <c r="S6581"/>
  <c r="M6581" s="1"/>
  <c r="S6582"/>
  <c r="M6582" s="1"/>
  <c r="S6583"/>
  <c r="M6583" s="1"/>
  <c r="S6584"/>
  <c r="M6584" s="1"/>
  <c r="S6585"/>
  <c r="M6585" s="1"/>
  <c r="S6586"/>
  <c r="M6586" s="1"/>
  <c r="S6587"/>
  <c r="M6587" s="1"/>
  <c r="S6588"/>
  <c r="M6588" s="1"/>
  <c r="S6589"/>
  <c r="M6589" s="1"/>
  <c r="S6590"/>
  <c r="M6590" s="1"/>
  <c r="S6591"/>
  <c r="M6591" s="1"/>
  <c r="S6592"/>
  <c r="M6592" s="1"/>
  <c r="S6593"/>
  <c r="M6593" s="1"/>
  <c r="S6594"/>
  <c r="M6594" s="1"/>
  <c r="S6595"/>
  <c r="V6595" s="1"/>
  <c r="S6596"/>
  <c r="M6596" s="1"/>
  <c r="S6597"/>
  <c r="M6597" s="1"/>
  <c r="S6598"/>
  <c r="M6598" s="1"/>
  <c r="S6599"/>
  <c r="M6599" s="1"/>
  <c r="S6600"/>
  <c r="M6600" s="1"/>
  <c r="S6601"/>
  <c r="M6601" s="1"/>
  <c r="S6602"/>
  <c r="M6602" s="1"/>
  <c r="S6603"/>
  <c r="M6603" s="1"/>
  <c r="S6604"/>
  <c r="M6604" s="1"/>
  <c r="S6605"/>
  <c r="M6605" s="1"/>
  <c r="S6606"/>
  <c r="M6606" s="1"/>
  <c r="S6607"/>
  <c r="M6607" s="1"/>
  <c r="S6608"/>
  <c r="M6608" s="1"/>
  <c r="S6609"/>
  <c r="M6609" s="1"/>
  <c r="S6610"/>
  <c r="M6610" s="1"/>
  <c r="S6611"/>
  <c r="S6612"/>
  <c r="M6612" s="1"/>
  <c r="S6613"/>
  <c r="M6613" s="1"/>
  <c r="S6614"/>
  <c r="M6614" s="1"/>
  <c r="S6615"/>
  <c r="M6615" s="1"/>
  <c r="S6616"/>
  <c r="M6616" s="1"/>
  <c r="S6617"/>
  <c r="M6617" s="1"/>
  <c r="S6618"/>
  <c r="M6618" s="1"/>
  <c r="S6619"/>
  <c r="M6619" s="1"/>
  <c r="S6620"/>
  <c r="M6620" s="1"/>
  <c r="S6621"/>
  <c r="M6621" s="1"/>
  <c r="S6622"/>
  <c r="M6622" s="1"/>
  <c r="S6623"/>
  <c r="M6623" s="1"/>
  <c r="S6624"/>
  <c r="M6624" s="1"/>
  <c r="S6625"/>
  <c r="M6625" s="1"/>
  <c r="S6626"/>
  <c r="M6626" s="1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3717"/>
  <c r="T3718"/>
  <c r="T3719"/>
  <c r="T3720"/>
  <c r="T3721"/>
  <c r="T3722"/>
  <c r="T3723"/>
  <c r="T3724"/>
  <c r="T3725"/>
  <c r="T3726"/>
  <c r="T3727"/>
  <c r="T3728"/>
  <c r="T3729"/>
  <c r="T3730"/>
  <c r="T3731"/>
  <c r="T3732"/>
  <c r="T3733"/>
  <c r="T3734"/>
  <c r="T3735"/>
  <c r="T3736"/>
  <c r="T3737"/>
  <c r="T3738"/>
  <c r="T3739"/>
  <c r="T3740"/>
  <c r="T3741"/>
  <c r="T3742"/>
  <c r="T3743"/>
  <c r="T3744"/>
  <c r="T3745"/>
  <c r="T3746"/>
  <c r="T3747"/>
  <c r="T3748"/>
  <c r="T3749"/>
  <c r="T3750"/>
  <c r="T3751"/>
  <c r="T3752"/>
  <c r="T3753"/>
  <c r="T3754"/>
  <c r="T3755"/>
  <c r="T3756"/>
  <c r="T3757"/>
  <c r="T3758"/>
  <c r="T3759"/>
  <c r="T3760"/>
  <c r="T3761"/>
  <c r="T3762"/>
  <c r="T3763"/>
  <c r="T3764"/>
  <c r="T3765"/>
  <c r="T3766"/>
  <c r="T3767"/>
  <c r="T3768"/>
  <c r="T3769"/>
  <c r="T3770"/>
  <c r="T3771"/>
  <c r="T3772"/>
  <c r="T3773"/>
  <c r="T3774"/>
  <c r="T3775"/>
  <c r="T3776"/>
  <c r="T3777"/>
  <c r="T3778"/>
  <c r="T3779"/>
  <c r="T3780"/>
  <c r="T3781"/>
  <c r="T3782"/>
  <c r="T3783"/>
  <c r="T3784"/>
  <c r="T3785"/>
  <c r="T3786"/>
  <c r="T3787"/>
  <c r="T3788"/>
  <c r="T3789"/>
  <c r="T3790"/>
  <c r="T3791"/>
  <c r="T3792"/>
  <c r="T3793"/>
  <c r="T3794"/>
  <c r="T3795"/>
  <c r="T3796"/>
  <c r="T3797"/>
  <c r="T3798"/>
  <c r="T3799"/>
  <c r="T3800"/>
  <c r="T3801"/>
  <c r="T3802"/>
  <c r="T3803"/>
  <c r="T3804"/>
  <c r="T3805"/>
  <c r="T3806"/>
  <c r="T3807"/>
  <c r="T3808"/>
  <c r="T3809"/>
  <c r="T3810"/>
  <c r="T3811"/>
  <c r="T3812"/>
  <c r="T3813"/>
  <c r="T3814"/>
  <c r="T3815"/>
  <c r="T3816"/>
  <c r="T3817"/>
  <c r="T3818"/>
  <c r="T3819"/>
  <c r="T3820"/>
  <c r="T3821"/>
  <c r="T3822"/>
  <c r="T3823"/>
  <c r="T3824"/>
  <c r="T3825"/>
  <c r="T3826"/>
  <c r="T3827"/>
  <c r="T3828"/>
  <c r="T3829"/>
  <c r="T3830"/>
  <c r="T3831"/>
  <c r="T3832"/>
  <c r="T3833"/>
  <c r="T3834"/>
  <c r="T3835"/>
  <c r="T3836"/>
  <c r="T3837"/>
  <c r="T3838"/>
  <c r="T3839"/>
  <c r="T3840"/>
  <c r="T3841"/>
  <c r="T3842"/>
  <c r="T3843"/>
  <c r="T3844"/>
  <c r="T3845"/>
  <c r="T3846"/>
  <c r="T3847"/>
  <c r="T3848"/>
  <c r="T3849"/>
  <c r="T3850"/>
  <c r="T3851"/>
  <c r="T3852"/>
  <c r="T3853"/>
  <c r="T3854"/>
  <c r="T3855"/>
  <c r="T3856"/>
  <c r="T3857"/>
  <c r="T3858"/>
  <c r="T3859"/>
  <c r="T3860"/>
  <c r="T3861"/>
  <c r="T3862"/>
  <c r="T3863"/>
  <c r="T3864"/>
  <c r="T3865"/>
  <c r="T3866"/>
  <c r="T3867"/>
  <c r="T3868"/>
  <c r="T3869"/>
  <c r="T3870"/>
  <c r="T3871"/>
  <c r="T3872"/>
  <c r="T3873"/>
  <c r="T3874"/>
  <c r="T3875"/>
  <c r="T3876"/>
  <c r="T3877"/>
  <c r="T3878"/>
  <c r="T3879"/>
  <c r="T3880"/>
  <c r="T3881"/>
  <c r="T3882"/>
  <c r="T3883"/>
  <c r="T3884"/>
  <c r="T3885"/>
  <c r="T3886"/>
  <c r="T3887"/>
  <c r="T3888"/>
  <c r="T3889"/>
  <c r="T3890"/>
  <c r="T3891"/>
  <c r="T3892"/>
  <c r="T3893"/>
  <c r="T3894"/>
  <c r="T3895"/>
  <c r="T3896"/>
  <c r="T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T3933"/>
  <c r="T3934"/>
  <c r="T3935"/>
  <c r="T3936"/>
  <c r="T3937"/>
  <c r="T3938"/>
  <c r="T3939"/>
  <c r="T3940"/>
  <c r="T3941"/>
  <c r="T3942"/>
  <c r="T3943"/>
  <c r="T3944"/>
  <c r="T3945"/>
  <c r="T3946"/>
  <c r="T3947"/>
  <c r="T3948"/>
  <c r="T3949"/>
  <c r="T3950"/>
  <c r="T3951"/>
  <c r="T3952"/>
  <c r="T3953"/>
  <c r="T3954"/>
  <c r="T3955"/>
  <c r="T3956"/>
  <c r="T3957"/>
  <c r="T3958"/>
  <c r="T3959"/>
  <c r="T3960"/>
  <c r="T3961"/>
  <c r="T3962"/>
  <c r="T3963"/>
  <c r="T3964"/>
  <c r="T3965"/>
  <c r="T3966"/>
  <c r="T3967"/>
  <c r="T3968"/>
  <c r="T3969"/>
  <c r="T3970"/>
  <c r="T3971"/>
  <c r="T3972"/>
  <c r="T3973"/>
  <c r="T3974"/>
  <c r="T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3"/>
  <c r="T4114"/>
  <c r="T4115"/>
  <c r="T4116"/>
  <c r="T4117"/>
  <c r="T4118"/>
  <c r="T4119"/>
  <c r="T4120"/>
  <c r="T4121"/>
  <c r="T4122"/>
  <c r="T4123"/>
  <c r="T4124"/>
  <c r="T4125"/>
  <c r="T4126"/>
  <c r="T4127"/>
  <c r="T4128"/>
  <c r="T4129"/>
  <c r="T4130"/>
  <c r="T4131"/>
  <c r="T4132"/>
  <c r="T4133"/>
  <c r="T4134"/>
  <c r="T4135"/>
  <c r="T4136"/>
  <c r="T4137"/>
  <c r="T4138"/>
  <c r="T4139"/>
  <c r="T4140"/>
  <c r="T4141"/>
  <c r="T4142"/>
  <c r="T4143"/>
  <c r="T4144"/>
  <c r="T4145"/>
  <c r="T4146"/>
  <c r="T4147"/>
  <c r="T4148"/>
  <c r="T4149"/>
  <c r="T4150"/>
  <c r="T4151"/>
  <c r="T4152"/>
  <c r="T4153"/>
  <c r="T4154"/>
  <c r="T4155"/>
  <c r="T4156"/>
  <c r="T4157"/>
  <c r="T4158"/>
  <c r="T4159"/>
  <c r="T4160"/>
  <c r="T4161"/>
  <c r="T4162"/>
  <c r="T4163"/>
  <c r="T4164"/>
  <c r="T4165"/>
  <c r="T4166"/>
  <c r="T4167"/>
  <c r="T4168"/>
  <c r="T4169"/>
  <c r="T4170"/>
  <c r="T4171"/>
  <c r="T4172"/>
  <c r="T4173"/>
  <c r="T4174"/>
  <c r="T4175"/>
  <c r="T4176"/>
  <c r="T4177"/>
  <c r="T4178"/>
  <c r="T4179"/>
  <c r="T4180"/>
  <c r="T4181"/>
  <c r="T4182"/>
  <c r="T4183"/>
  <c r="T4184"/>
  <c r="T4185"/>
  <c r="T4186"/>
  <c r="T4187"/>
  <c r="T4188"/>
  <c r="T4189"/>
  <c r="T4190"/>
  <c r="T4191"/>
  <c r="T4192"/>
  <c r="T4193"/>
  <c r="T4194"/>
  <c r="T4195"/>
  <c r="T4196"/>
  <c r="T4197"/>
  <c r="T4198"/>
  <c r="T4199"/>
  <c r="T4200"/>
  <c r="T4201"/>
  <c r="T4202"/>
  <c r="T4203"/>
  <c r="T4204"/>
  <c r="T4205"/>
  <c r="T4206"/>
  <c r="T4207"/>
  <c r="T4208"/>
  <c r="T4209"/>
  <c r="T4210"/>
  <c r="T4211"/>
  <c r="T4212"/>
  <c r="T4213"/>
  <c r="T4214"/>
  <c r="T4215"/>
  <c r="T4216"/>
  <c r="T4217"/>
  <c r="T4218"/>
  <c r="T4219"/>
  <c r="T4220"/>
  <c r="T4221"/>
  <c r="T4222"/>
  <c r="T4223"/>
  <c r="T4224"/>
  <c r="T4225"/>
  <c r="T4226"/>
  <c r="T4227"/>
  <c r="T4228"/>
  <c r="T4229"/>
  <c r="T4230"/>
  <c r="T4231"/>
  <c r="T4232"/>
  <c r="T4233"/>
  <c r="T4234"/>
  <c r="T4235"/>
  <c r="T4236"/>
  <c r="T4237"/>
  <c r="T4238"/>
  <c r="T4239"/>
  <c r="T4240"/>
  <c r="T4241"/>
  <c r="T4242"/>
  <c r="T4243"/>
  <c r="T4244"/>
  <c r="T4245"/>
  <c r="T4246"/>
  <c r="T4247"/>
  <c r="T4248"/>
  <c r="T4249"/>
  <c r="T4250"/>
  <c r="T4251"/>
  <c r="T4252"/>
  <c r="T4253"/>
  <c r="T4254"/>
  <c r="T4255"/>
  <c r="T4256"/>
  <c r="T4257"/>
  <c r="T4258"/>
  <c r="T4259"/>
  <c r="T4260"/>
  <c r="T4261"/>
  <c r="T4262"/>
  <c r="T4263"/>
  <c r="T4264"/>
  <c r="T4265"/>
  <c r="T4266"/>
  <c r="T4267"/>
  <c r="T4268"/>
  <c r="T4269"/>
  <c r="T4270"/>
  <c r="T4271"/>
  <c r="T4272"/>
  <c r="T4273"/>
  <c r="T4274"/>
  <c r="T4275"/>
  <c r="T4276"/>
  <c r="T4277"/>
  <c r="T4278"/>
  <c r="T4279"/>
  <c r="T4280"/>
  <c r="T4281"/>
  <c r="T4282"/>
  <c r="T4283"/>
  <c r="T4284"/>
  <c r="T4285"/>
  <c r="T4286"/>
  <c r="T4287"/>
  <c r="T4288"/>
  <c r="T4289"/>
  <c r="T4290"/>
  <c r="T4291"/>
  <c r="T4292"/>
  <c r="T4293"/>
  <c r="T4294"/>
  <c r="T4295"/>
  <c r="T4296"/>
  <c r="T4297"/>
  <c r="T4298"/>
  <c r="T4299"/>
  <c r="T4300"/>
  <c r="T4301"/>
  <c r="T4302"/>
  <c r="T4303"/>
  <c r="T4304"/>
  <c r="T4305"/>
  <c r="T4306"/>
  <c r="T4307"/>
  <c r="T4308"/>
  <c r="T4309"/>
  <c r="T4310"/>
  <c r="T4311"/>
  <c r="T4312"/>
  <c r="T4313"/>
  <c r="T4314"/>
  <c r="T4315"/>
  <c r="T4316"/>
  <c r="T4317"/>
  <c r="T4318"/>
  <c r="T4319"/>
  <c r="T4320"/>
  <c r="T4321"/>
  <c r="T4322"/>
  <c r="T4323"/>
  <c r="T4324"/>
  <c r="T4325"/>
  <c r="T4326"/>
  <c r="T4327"/>
  <c r="T4328"/>
  <c r="T4329"/>
  <c r="T4330"/>
  <c r="T4331"/>
  <c r="T4332"/>
  <c r="T4333"/>
  <c r="T4334"/>
  <c r="T4335"/>
  <c r="T4336"/>
  <c r="T4337"/>
  <c r="T4338"/>
  <c r="T4339"/>
  <c r="T4340"/>
  <c r="T4341"/>
  <c r="T4342"/>
  <c r="T4343"/>
  <c r="T4344"/>
  <c r="T4345"/>
  <c r="T4346"/>
  <c r="T4347"/>
  <c r="T4348"/>
  <c r="T4349"/>
  <c r="T4350"/>
  <c r="T4351"/>
  <c r="T4352"/>
  <c r="T4353"/>
  <c r="T4354"/>
  <c r="T4355"/>
  <c r="T4356"/>
  <c r="T4357"/>
  <c r="T4358"/>
  <c r="T4359"/>
  <c r="T4360"/>
  <c r="T4361"/>
  <c r="T4362"/>
  <c r="T4363"/>
  <c r="T4364"/>
  <c r="T4365"/>
  <c r="T4366"/>
  <c r="T4367"/>
  <c r="T4368"/>
  <c r="T4369"/>
  <c r="T4370"/>
  <c r="T4371"/>
  <c r="T4372"/>
  <c r="T4373"/>
  <c r="T4374"/>
  <c r="T4375"/>
  <c r="T4376"/>
  <c r="T4377"/>
  <c r="T4378"/>
  <c r="T4379"/>
  <c r="T4380"/>
  <c r="T4381"/>
  <c r="T4382"/>
  <c r="T4383"/>
  <c r="T4384"/>
  <c r="T4385"/>
  <c r="T4386"/>
  <c r="T4387"/>
  <c r="T4388"/>
  <c r="T4389"/>
  <c r="T4390"/>
  <c r="T4391"/>
  <c r="T4392"/>
  <c r="T4393"/>
  <c r="T4394"/>
  <c r="T4395"/>
  <c r="T4396"/>
  <c r="T4397"/>
  <c r="T4398"/>
  <c r="T4399"/>
  <c r="T4400"/>
  <c r="T4401"/>
  <c r="T4402"/>
  <c r="T4403"/>
  <c r="T4404"/>
  <c r="T4405"/>
  <c r="T4406"/>
  <c r="T4407"/>
  <c r="T4408"/>
  <c r="T4409"/>
  <c r="T4410"/>
  <c r="T4411"/>
  <c r="T4412"/>
  <c r="T4413"/>
  <c r="T4414"/>
  <c r="T4415"/>
  <c r="T4416"/>
  <c r="T4417"/>
  <c r="T4418"/>
  <c r="T4419"/>
  <c r="T4420"/>
  <c r="T4421"/>
  <c r="T4422"/>
  <c r="T4423"/>
  <c r="T4424"/>
  <c r="T4425"/>
  <c r="T4426"/>
  <c r="T4427"/>
  <c r="T4428"/>
  <c r="T4429"/>
  <c r="T4430"/>
  <c r="T4431"/>
  <c r="T4432"/>
  <c r="T4433"/>
  <c r="T4434"/>
  <c r="T4435"/>
  <c r="T4436"/>
  <c r="T4437"/>
  <c r="T4438"/>
  <c r="T4439"/>
  <c r="T4440"/>
  <c r="T4441"/>
  <c r="T4442"/>
  <c r="T4443"/>
  <c r="T4444"/>
  <c r="T4445"/>
  <c r="T4446"/>
  <c r="T4447"/>
  <c r="T4448"/>
  <c r="T4449"/>
  <c r="T4450"/>
  <c r="T4451"/>
  <c r="T4452"/>
  <c r="T4453"/>
  <c r="T4454"/>
  <c r="T4455"/>
  <c r="T4456"/>
  <c r="T4457"/>
  <c r="T4458"/>
  <c r="T4459"/>
  <c r="T4460"/>
  <c r="T4461"/>
  <c r="T4462"/>
  <c r="T4463"/>
  <c r="T4464"/>
  <c r="T4465"/>
  <c r="T4466"/>
  <c r="T4467"/>
  <c r="T4468"/>
  <c r="T4469"/>
  <c r="T4470"/>
  <c r="T4471"/>
  <c r="T4472"/>
  <c r="T4473"/>
  <c r="T4474"/>
  <c r="T4475"/>
  <c r="T4476"/>
  <c r="T4477"/>
  <c r="T4478"/>
  <c r="T4479"/>
  <c r="T4480"/>
  <c r="T4481"/>
  <c r="T4482"/>
  <c r="T4483"/>
  <c r="T4484"/>
  <c r="T4485"/>
  <c r="T4486"/>
  <c r="T4487"/>
  <c r="T4488"/>
  <c r="T4489"/>
  <c r="T4490"/>
  <c r="T4491"/>
  <c r="T4492"/>
  <c r="T4493"/>
  <c r="T4494"/>
  <c r="T4495"/>
  <c r="T4496"/>
  <c r="T4497"/>
  <c r="T4498"/>
  <c r="T4499"/>
  <c r="T4500"/>
  <c r="T4501"/>
  <c r="T4502"/>
  <c r="T4503"/>
  <c r="T4504"/>
  <c r="T4505"/>
  <c r="T4506"/>
  <c r="T4507"/>
  <c r="T4508"/>
  <c r="T4509"/>
  <c r="T4510"/>
  <c r="T4511"/>
  <c r="T4512"/>
  <c r="T4513"/>
  <c r="T4514"/>
  <c r="T4515"/>
  <c r="T4516"/>
  <c r="T4517"/>
  <c r="T4518"/>
  <c r="T4519"/>
  <c r="T4520"/>
  <c r="T4521"/>
  <c r="T4522"/>
  <c r="T4523"/>
  <c r="T4524"/>
  <c r="T4525"/>
  <c r="T4526"/>
  <c r="T4527"/>
  <c r="T4528"/>
  <c r="T4529"/>
  <c r="T4530"/>
  <c r="T4531"/>
  <c r="T4532"/>
  <c r="T4533"/>
  <c r="T4534"/>
  <c r="T4535"/>
  <c r="T4536"/>
  <c r="T4537"/>
  <c r="T4538"/>
  <c r="T4539"/>
  <c r="T4540"/>
  <c r="T4541"/>
  <c r="T4542"/>
  <c r="T4543"/>
  <c r="T4544"/>
  <c r="T4545"/>
  <c r="T4546"/>
  <c r="T4547"/>
  <c r="T4548"/>
  <c r="T4549"/>
  <c r="T4550"/>
  <c r="T4551"/>
  <c r="T4552"/>
  <c r="T4553"/>
  <c r="T4554"/>
  <c r="T4555"/>
  <c r="T4556"/>
  <c r="T4557"/>
  <c r="T4558"/>
  <c r="T4559"/>
  <c r="T4560"/>
  <c r="T4561"/>
  <c r="T4562"/>
  <c r="T4563"/>
  <c r="T4564"/>
  <c r="T4565"/>
  <c r="T4566"/>
  <c r="T4567"/>
  <c r="T4568"/>
  <c r="T4569"/>
  <c r="T4570"/>
  <c r="T4571"/>
  <c r="T4572"/>
  <c r="T4573"/>
  <c r="T4574"/>
  <c r="T4575"/>
  <c r="T4576"/>
  <c r="T4577"/>
  <c r="T4578"/>
  <c r="T4579"/>
  <c r="T4580"/>
  <c r="T4581"/>
  <c r="T4582"/>
  <c r="T4583"/>
  <c r="T4584"/>
  <c r="T4585"/>
  <c r="T4586"/>
  <c r="T4587"/>
  <c r="T4588"/>
  <c r="T4589"/>
  <c r="T4590"/>
  <c r="T4591"/>
  <c r="T4592"/>
  <c r="T4593"/>
  <c r="T4594"/>
  <c r="T4595"/>
  <c r="T4596"/>
  <c r="T4597"/>
  <c r="T4598"/>
  <c r="T4599"/>
  <c r="T4600"/>
  <c r="T4601"/>
  <c r="T4602"/>
  <c r="T4603"/>
  <c r="T4604"/>
  <c r="T4605"/>
  <c r="T4606"/>
  <c r="T4607"/>
  <c r="T4608"/>
  <c r="T4609"/>
  <c r="T4610"/>
  <c r="T4611"/>
  <c r="T4612"/>
  <c r="T4613"/>
  <c r="T4614"/>
  <c r="T4615"/>
  <c r="T4616"/>
  <c r="T4617"/>
  <c r="T4618"/>
  <c r="T4619"/>
  <c r="T4620"/>
  <c r="T4621"/>
  <c r="T4622"/>
  <c r="T4623"/>
  <c r="T4624"/>
  <c r="T4625"/>
  <c r="T4626"/>
  <c r="T4627"/>
  <c r="T4628"/>
  <c r="T4629"/>
  <c r="T4630"/>
  <c r="T4631"/>
  <c r="T4632"/>
  <c r="T4633"/>
  <c r="T4634"/>
  <c r="T4635"/>
  <c r="T4636"/>
  <c r="T4637"/>
  <c r="T4638"/>
  <c r="T4639"/>
  <c r="T4640"/>
  <c r="T4641"/>
  <c r="T4642"/>
  <c r="T4643"/>
  <c r="T4644"/>
  <c r="T4645"/>
  <c r="T4646"/>
  <c r="T4647"/>
  <c r="T4648"/>
  <c r="T4649"/>
  <c r="T4650"/>
  <c r="T4651"/>
  <c r="T4652"/>
  <c r="T4653"/>
  <c r="T4654"/>
  <c r="T4655"/>
  <c r="T4656"/>
  <c r="T4657"/>
  <c r="T4658"/>
  <c r="T4659"/>
  <c r="T4660"/>
  <c r="T4661"/>
  <c r="T4662"/>
  <c r="T4663"/>
  <c r="T4664"/>
  <c r="T4665"/>
  <c r="T4666"/>
  <c r="T4667"/>
  <c r="T4668"/>
  <c r="T4669"/>
  <c r="T4670"/>
  <c r="T4671"/>
  <c r="T4672"/>
  <c r="T4673"/>
  <c r="T4674"/>
  <c r="T4675"/>
  <c r="T4676"/>
  <c r="T4677"/>
  <c r="T4678"/>
  <c r="T4679"/>
  <c r="T4680"/>
  <c r="T4681"/>
  <c r="T4682"/>
  <c r="T4683"/>
  <c r="T4684"/>
  <c r="T4685"/>
  <c r="T4686"/>
  <c r="T4687"/>
  <c r="T4688"/>
  <c r="T4689"/>
  <c r="T4690"/>
  <c r="T4691"/>
  <c r="T4692"/>
  <c r="T4693"/>
  <c r="T4694"/>
  <c r="T4695"/>
  <c r="T4696"/>
  <c r="T4697"/>
  <c r="T4698"/>
  <c r="T4699"/>
  <c r="T4700"/>
  <c r="T4701"/>
  <c r="T4702"/>
  <c r="T4703"/>
  <c r="T4704"/>
  <c r="T4705"/>
  <c r="T4706"/>
  <c r="T4707"/>
  <c r="T4708"/>
  <c r="T4709"/>
  <c r="T4710"/>
  <c r="T4711"/>
  <c r="T4712"/>
  <c r="T4713"/>
  <c r="T4714"/>
  <c r="T4715"/>
  <c r="T4716"/>
  <c r="T4717"/>
  <c r="T4718"/>
  <c r="T4719"/>
  <c r="T4720"/>
  <c r="T4721"/>
  <c r="T4722"/>
  <c r="T4723"/>
  <c r="T4724"/>
  <c r="T4725"/>
  <c r="T4726"/>
  <c r="T4727"/>
  <c r="T4728"/>
  <c r="T4729"/>
  <c r="T4730"/>
  <c r="T4731"/>
  <c r="T4732"/>
  <c r="T4733"/>
  <c r="T4734"/>
  <c r="T4735"/>
  <c r="T4736"/>
  <c r="T4737"/>
  <c r="T4738"/>
  <c r="T4739"/>
  <c r="T4740"/>
  <c r="T4741"/>
  <c r="T4742"/>
  <c r="T4743"/>
  <c r="T4744"/>
  <c r="T4745"/>
  <c r="T4746"/>
  <c r="T4747"/>
  <c r="T4748"/>
  <c r="T4749"/>
  <c r="T4750"/>
  <c r="T4751"/>
  <c r="T4752"/>
  <c r="T4753"/>
  <c r="T4754"/>
  <c r="T4755"/>
  <c r="T4756"/>
  <c r="T4757"/>
  <c r="T4758"/>
  <c r="T4759"/>
  <c r="T4760"/>
  <c r="T4761"/>
  <c r="T4762"/>
  <c r="T4763"/>
  <c r="T4764"/>
  <c r="T4765"/>
  <c r="T4766"/>
  <c r="T4767"/>
  <c r="T4768"/>
  <c r="T4769"/>
  <c r="T4770"/>
  <c r="T4771"/>
  <c r="T4772"/>
  <c r="T4773"/>
  <c r="T4774"/>
  <c r="T4775"/>
  <c r="T4776"/>
  <c r="T4777"/>
  <c r="T4778"/>
  <c r="T4779"/>
  <c r="T4780"/>
  <c r="T4781"/>
  <c r="T4782"/>
  <c r="T4783"/>
  <c r="T4784"/>
  <c r="T4785"/>
  <c r="T4786"/>
  <c r="T4787"/>
  <c r="T4788"/>
  <c r="T4789"/>
  <c r="T4790"/>
  <c r="T4791"/>
  <c r="T4792"/>
  <c r="T4793"/>
  <c r="T4794"/>
  <c r="T4795"/>
  <c r="T4796"/>
  <c r="T4797"/>
  <c r="T4798"/>
  <c r="T4799"/>
  <c r="T4800"/>
  <c r="T4801"/>
  <c r="T4802"/>
  <c r="T4803"/>
  <c r="T4804"/>
  <c r="T4805"/>
  <c r="T4806"/>
  <c r="T4807"/>
  <c r="T4808"/>
  <c r="T4809"/>
  <c r="T4810"/>
  <c r="T4811"/>
  <c r="T4812"/>
  <c r="T4813"/>
  <c r="T4814"/>
  <c r="T4815"/>
  <c r="T4816"/>
  <c r="T4817"/>
  <c r="T4818"/>
  <c r="T4819"/>
  <c r="T4820"/>
  <c r="T4821"/>
  <c r="T4822"/>
  <c r="T4823"/>
  <c r="T4824"/>
  <c r="T4825"/>
  <c r="T4826"/>
  <c r="T4827"/>
  <c r="T4828"/>
  <c r="T4829"/>
  <c r="T4830"/>
  <c r="T4831"/>
  <c r="T4832"/>
  <c r="T4833"/>
  <c r="T4834"/>
  <c r="T4835"/>
  <c r="T4836"/>
  <c r="T4837"/>
  <c r="T4838"/>
  <c r="T4839"/>
  <c r="T4840"/>
  <c r="T4841"/>
  <c r="T4842"/>
  <c r="T4843"/>
  <c r="T4844"/>
  <c r="T4845"/>
  <c r="T4846"/>
  <c r="T4847"/>
  <c r="T4848"/>
  <c r="T4849"/>
  <c r="T4850"/>
  <c r="T4851"/>
  <c r="T4852"/>
  <c r="T4853"/>
  <c r="T4854"/>
  <c r="T4855"/>
  <c r="T4856"/>
  <c r="T4857"/>
  <c r="T4858"/>
  <c r="T4859"/>
  <c r="T4860"/>
  <c r="T4861"/>
  <c r="T4862"/>
  <c r="T4863"/>
  <c r="T4864"/>
  <c r="T4865"/>
  <c r="T4866"/>
  <c r="T4867"/>
  <c r="T4868"/>
  <c r="T4869"/>
  <c r="T4870"/>
  <c r="T4871"/>
  <c r="T4872"/>
  <c r="T4873"/>
  <c r="T4874"/>
  <c r="T4875"/>
  <c r="T4876"/>
  <c r="T4877"/>
  <c r="T4878"/>
  <c r="T4879"/>
  <c r="T4880"/>
  <c r="T4881"/>
  <c r="T4882"/>
  <c r="T4883"/>
  <c r="T4884"/>
  <c r="T4885"/>
  <c r="T4886"/>
  <c r="T4887"/>
  <c r="T4888"/>
  <c r="T4889"/>
  <c r="T4890"/>
  <c r="T4891"/>
  <c r="T4892"/>
  <c r="T4893"/>
  <c r="T4894"/>
  <c r="T4895"/>
  <c r="T4896"/>
  <c r="T4897"/>
  <c r="T4898"/>
  <c r="T4899"/>
  <c r="T4900"/>
  <c r="T4901"/>
  <c r="T4902"/>
  <c r="T4903"/>
  <c r="T4904"/>
  <c r="T4905"/>
  <c r="T4906"/>
  <c r="T4907"/>
  <c r="T4908"/>
  <c r="T4909"/>
  <c r="T4910"/>
  <c r="T4911"/>
  <c r="T4912"/>
  <c r="T4913"/>
  <c r="T4914"/>
  <c r="T4915"/>
  <c r="T4916"/>
  <c r="T4917"/>
  <c r="T4918"/>
  <c r="T4919"/>
  <c r="T4920"/>
  <c r="T4921"/>
  <c r="T4922"/>
  <c r="T4923"/>
  <c r="T4924"/>
  <c r="T4925"/>
  <c r="T4926"/>
  <c r="T4927"/>
  <c r="T4928"/>
  <c r="T4929"/>
  <c r="T4930"/>
  <c r="T4931"/>
  <c r="T4932"/>
  <c r="T4933"/>
  <c r="T4934"/>
  <c r="T4935"/>
  <c r="T4936"/>
  <c r="T4937"/>
  <c r="T4938"/>
  <c r="T4939"/>
  <c r="T4940"/>
  <c r="T4941"/>
  <c r="T4942"/>
  <c r="T4943"/>
  <c r="T4944"/>
  <c r="T4945"/>
  <c r="T4946"/>
  <c r="T4947"/>
  <c r="T4948"/>
  <c r="T4949"/>
  <c r="T4950"/>
  <c r="T4951"/>
  <c r="T4952"/>
  <c r="T4953"/>
  <c r="T4954"/>
  <c r="T4955"/>
  <c r="T4956"/>
  <c r="T4957"/>
  <c r="T4958"/>
  <c r="T4959"/>
  <c r="T4960"/>
  <c r="T4961"/>
  <c r="T4962"/>
  <c r="T4963"/>
  <c r="T4964"/>
  <c r="T4965"/>
  <c r="T4966"/>
  <c r="T4967"/>
  <c r="T4968"/>
  <c r="T4969"/>
  <c r="T4970"/>
  <c r="T4971"/>
  <c r="T4972"/>
  <c r="T4973"/>
  <c r="T4974"/>
  <c r="T4975"/>
  <c r="T4976"/>
  <c r="T4977"/>
  <c r="T4978"/>
  <c r="T4979"/>
  <c r="T4980"/>
  <c r="T4981"/>
  <c r="T4982"/>
  <c r="T4983"/>
  <c r="T4984"/>
  <c r="T4985"/>
  <c r="T4986"/>
  <c r="T4987"/>
  <c r="T4988"/>
  <c r="T4989"/>
  <c r="T4990"/>
  <c r="T4991"/>
  <c r="T4992"/>
  <c r="T4993"/>
  <c r="T4994"/>
  <c r="T4995"/>
  <c r="T4996"/>
  <c r="T4997"/>
  <c r="T4998"/>
  <c r="T4999"/>
  <c r="T5000"/>
  <c r="T5001"/>
  <c r="T5002"/>
  <c r="T5003"/>
  <c r="T5004"/>
  <c r="T5005"/>
  <c r="T5006"/>
  <c r="T5007"/>
  <c r="T5008"/>
  <c r="T5009"/>
  <c r="T5010"/>
  <c r="T5011"/>
  <c r="T5012"/>
  <c r="T5013"/>
  <c r="T5014"/>
  <c r="T5015"/>
  <c r="T5016"/>
  <c r="T5017"/>
  <c r="T5018"/>
  <c r="T5019"/>
  <c r="T5020"/>
  <c r="T5021"/>
  <c r="T5022"/>
  <c r="T5023"/>
  <c r="T5024"/>
  <c r="T5025"/>
  <c r="T5026"/>
  <c r="T5027"/>
  <c r="T5028"/>
  <c r="T5029"/>
  <c r="T5030"/>
  <c r="T5031"/>
  <c r="T5032"/>
  <c r="T5033"/>
  <c r="T5034"/>
  <c r="T5035"/>
  <c r="T5036"/>
  <c r="T5037"/>
  <c r="T5038"/>
  <c r="T5039"/>
  <c r="T5040"/>
  <c r="T5041"/>
  <c r="T5042"/>
  <c r="T5043"/>
  <c r="T5044"/>
  <c r="T5045"/>
  <c r="T5046"/>
  <c r="T5047"/>
  <c r="T5048"/>
  <c r="T5049"/>
  <c r="T5050"/>
  <c r="T5051"/>
  <c r="T5052"/>
  <c r="T5053"/>
  <c r="T5054"/>
  <c r="T5055"/>
  <c r="T5056"/>
  <c r="T5057"/>
  <c r="T5058"/>
  <c r="T5059"/>
  <c r="T5060"/>
  <c r="T5061"/>
  <c r="T5062"/>
  <c r="T5063"/>
  <c r="T5064"/>
  <c r="T5065"/>
  <c r="T5066"/>
  <c r="T5067"/>
  <c r="T5068"/>
  <c r="T5069"/>
  <c r="T5070"/>
  <c r="T5071"/>
  <c r="T5072"/>
  <c r="T5073"/>
  <c r="T5074"/>
  <c r="T5075"/>
  <c r="T5076"/>
  <c r="T5077"/>
  <c r="T5078"/>
  <c r="T5079"/>
  <c r="T5080"/>
  <c r="T5081"/>
  <c r="T5082"/>
  <c r="T5083"/>
  <c r="T5084"/>
  <c r="T5085"/>
  <c r="T5086"/>
  <c r="T5087"/>
  <c r="T5088"/>
  <c r="T5089"/>
  <c r="T5090"/>
  <c r="T5091"/>
  <c r="T5092"/>
  <c r="T5093"/>
  <c r="T5094"/>
  <c r="T5095"/>
  <c r="T5096"/>
  <c r="T5097"/>
  <c r="T5098"/>
  <c r="T5099"/>
  <c r="T5100"/>
  <c r="T5101"/>
  <c r="T5102"/>
  <c r="T5103"/>
  <c r="T5104"/>
  <c r="T5105"/>
  <c r="T5106"/>
  <c r="T5107"/>
  <c r="T5108"/>
  <c r="T5109"/>
  <c r="T5110"/>
  <c r="T5111"/>
  <c r="T5112"/>
  <c r="T5113"/>
  <c r="T5114"/>
  <c r="T5115"/>
  <c r="T5116"/>
  <c r="T5117"/>
  <c r="T5118"/>
  <c r="T5119"/>
  <c r="T5120"/>
  <c r="T5121"/>
  <c r="T5122"/>
  <c r="T5123"/>
  <c r="T5124"/>
  <c r="T5125"/>
  <c r="T5126"/>
  <c r="T5127"/>
  <c r="T5128"/>
  <c r="T5129"/>
  <c r="T5130"/>
  <c r="T5131"/>
  <c r="T5132"/>
  <c r="T5133"/>
  <c r="T5134"/>
  <c r="T5135"/>
  <c r="T5136"/>
  <c r="T5137"/>
  <c r="T5138"/>
  <c r="T5139"/>
  <c r="T5140"/>
  <c r="T5141"/>
  <c r="T5142"/>
  <c r="T5143"/>
  <c r="T5144"/>
  <c r="T5145"/>
  <c r="T5146"/>
  <c r="T5147"/>
  <c r="T5148"/>
  <c r="T5149"/>
  <c r="T5150"/>
  <c r="T5151"/>
  <c r="T5152"/>
  <c r="T5153"/>
  <c r="T5154"/>
  <c r="T5155"/>
  <c r="T5156"/>
  <c r="T5157"/>
  <c r="T5158"/>
  <c r="T5159"/>
  <c r="T5160"/>
  <c r="T5161"/>
  <c r="T5162"/>
  <c r="T5163"/>
  <c r="T5164"/>
  <c r="T5165"/>
  <c r="T5166"/>
  <c r="T5167"/>
  <c r="T5168"/>
  <c r="T5169"/>
  <c r="T5170"/>
  <c r="T5171"/>
  <c r="T5172"/>
  <c r="T5173"/>
  <c r="T5174"/>
  <c r="T5175"/>
  <c r="T5176"/>
  <c r="T5177"/>
  <c r="T5178"/>
  <c r="T5179"/>
  <c r="T5180"/>
  <c r="T5181"/>
  <c r="T5182"/>
  <c r="T5183"/>
  <c r="T5184"/>
  <c r="T5185"/>
  <c r="T5186"/>
  <c r="T5187"/>
  <c r="T5188"/>
  <c r="T5189"/>
  <c r="T5190"/>
  <c r="T5191"/>
  <c r="T5192"/>
  <c r="T5193"/>
  <c r="T5194"/>
  <c r="T5195"/>
  <c r="T5196"/>
  <c r="T5197"/>
  <c r="T5198"/>
  <c r="T5199"/>
  <c r="T5200"/>
  <c r="T5201"/>
  <c r="T5202"/>
  <c r="T5203"/>
  <c r="T5204"/>
  <c r="T5205"/>
  <c r="T5206"/>
  <c r="T5207"/>
  <c r="T5208"/>
  <c r="T5209"/>
  <c r="T5210"/>
  <c r="T5211"/>
  <c r="T5212"/>
  <c r="T5213"/>
  <c r="T5214"/>
  <c r="T5215"/>
  <c r="T5216"/>
  <c r="T5217"/>
  <c r="T5218"/>
  <c r="T5219"/>
  <c r="T5220"/>
  <c r="T5221"/>
  <c r="T5222"/>
  <c r="T5223"/>
  <c r="T5224"/>
  <c r="T5225"/>
  <c r="T5226"/>
  <c r="T5227"/>
  <c r="T5228"/>
  <c r="T5229"/>
  <c r="T5230"/>
  <c r="T5231"/>
  <c r="T5232"/>
  <c r="T5233"/>
  <c r="T5234"/>
  <c r="T5235"/>
  <c r="T5236"/>
  <c r="T5237"/>
  <c r="T5238"/>
  <c r="T5239"/>
  <c r="T5240"/>
  <c r="T5241"/>
  <c r="T5242"/>
  <c r="T5243"/>
  <c r="T5244"/>
  <c r="T5245"/>
  <c r="T5246"/>
  <c r="T5247"/>
  <c r="T5248"/>
  <c r="T5249"/>
  <c r="T5250"/>
  <c r="T5251"/>
  <c r="T5252"/>
  <c r="T5253"/>
  <c r="T5254"/>
  <c r="T5255"/>
  <c r="T5256"/>
  <c r="T5257"/>
  <c r="T5258"/>
  <c r="T5259"/>
  <c r="T5260"/>
  <c r="T5261"/>
  <c r="T5262"/>
  <c r="T5263"/>
  <c r="T5264"/>
  <c r="T5265"/>
  <c r="T5266"/>
  <c r="T5267"/>
  <c r="T5268"/>
  <c r="T5269"/>
  <c r="T5270"/>
  <c r="T5271"/>
  <c r="T5272"/>
  <c r="T5273"/>
  <c r="T5274"/>
  <c r="T5275"/>
  <c r="T5276"/>
  <c r="T5277"/>
  <c r="T5278"/>
  <c r="T5279"/>
  <c r="T5280"/>
  <c r="T5281"/>
  <c r="T5282"/>
  <c r="T5283"/>
  <c r="T5284"/>
  <c r="T5285"/>
  <c r="T5286"/>
  <c r="T5287"/>
  <c r="T5288"/>
  <c r="T5289"/>
  <c r="T5290"/>
  <c r="T5291"/>
  <c r="T5292"/>
  <c r="T5293"/>
  <c r="T5294"/>
  <c r="T5295"/>
  <c r="T5296"/>
  <c r="T5297"/>
  <c r="T5298"/>
  <c r="T5299"/>
  <c r="T5300"/>
  <c r="T5301"/>
  <c r="T5302"/>
  <c r="T5303"/>
  <c r="T5304"/>
  <c r="T5305"/>
  <c r="T5306"/>
  <c r="T5307"/>
  <c r="T5308"/>
  <c r="T5309"/>
  <c r="T5310"/>
  <c r="T5311"/>
  <c r="T5312"/>
  <c r="T5313"/>
  <c r="T5314"/>
  <c r="T5315"/>
  <c r="T5316"/>
  <c r="T5317"/>
  <c r="T5318"/>
  <c r="T5319"/>
  <c r="T5320"/>
  <c r="T5321"/>
  <c r="T5322"/>
  <c r="T5323"/>
  <c r="T5324"/>
  <c r="T5325"/>
  <c r="T5326"/>
  <c r="T5327"/>
  <c r="T5328"/>
  <c r="T5329"/>
  <c r="T5330"/>
  <c r="T5331"/>
  <c r="T5332"/>
  <c r="T5333"/>
  <c r="T5334"/>
  <c r="T5335"/>
  <c r="T5336"/>
  <c r="T5337"/>
  <c r="T5338"/>
  <c r="T5339"/>
  <c r="T5340"/>
  <c r="T5341"/>
  <c r="T5342"/>
  <c r="T5343"/>
  <c r="T5344"/>
  <c r="T5345"/>
  <c r="T5346"/>
  <c r="T5347"/>
  <c r="T5348"/>
  <c r="T5349"/>
  <c r="T5350"/>
  <c r="T5351"/>
  <c r="T5352"/>
  <c r="T5353"/>
  <c r="T5354"/>
  <c r="T5355"/>
  <c r="T5356"/>
  <c r="T5357"/>
  <c r="T5358"/>
  <c r="T5359"/>
  <c r="T5360"/>
  <c r="T5361"/>
  <c r="T5362"/>
  <c r="T5363"/>
  <c r="T5364"/>
  <c r="T5365"/>
  <c r="T5366"/>
  <c r="T5367"/>
  <c r="T5368"/>
  <c r="T5369"/>
  <c r="T5370"/>
  <c r="T5371"/>
  <c r="T5372"/>
  <c r="T5373"/>
  <c r="T5374"/>
  <c r="T5375"/>
  <c r="T5376"/>
  <c r="T5377"/>
  <c r="T5378"/>
  <c r="T5379"/>
  <c r="T5380"/>
  <c r="T5381"/>
  <c r="T5382"/>
  <c r="T5383"/>
  <c r="T5384"/>
  <c r="T5385"/>
  <c r="T5386"/>
  <c r="T5387"/>
  <c r="T5388"/>
  <c r="T5389"/>
  <c r="T5390"/>
  <c r="T5391"/>
  <c r="T5392"/>
  <c r="T5393"/>
  <c r="T5394"/>
  <c r="T5395"/>
  <c r="T5396"/>
  <c r="T5397"/>
  <c r="T5398"/>
  <c r="T5399"/>
  <c r="T5400"/>
  <c r="T5401"/>
  <c r="T5402"/>
  <c r="T5403"/>
  <c r="T5404"/>
  <c r="T5405"/>
  <c r="T5406"/>
  <c r="T5407"/>
  <c r="T5408"/>
  <c r="T5409"/>
  <c r="T5410"/>
  <c r="T5411"/>
  <c r="T5412"/>
  <c r="T5413"/>
  <c r="T5414"/>
  <c r="T5415"/>
  <c r="T5416"/>
  <c r="T5417"/>
  <c r="T5418"/>
  <c r="T5419"/>
  <c r="T5420"/>
  <c r="T5421"/>
  <c r="T5422"/>
  <c r="T5423"/>
  <c r="T5424"/>
  <c r="T5425"/>
  <c r="T5426"/>
  <c r="T5427"/>
  <c r="T5428"/>
  <c r="T5429"/>
  <c r="T5430"/>
  <c r="T5431"/>
  <c r="T5432"/>
  <c r="T5433"/>
  <c r="T5434"/>
  <c r="T5435"/>
  <c r="T5436"/>
  <c r="T5437"/>
  <c r="T5438"/>
  <c r="T5439"/>
  <c r="T5440"/>
  <c r="T5441"/>
  <c r="T5442"/>
  <c r="T5443"/>
  <c r="T5444"/>
  <c r="T5445"/>
  <c r="T5446"/>
  <c r="T5447"/>
  <c r="T5448"/>
  <c r="T5449"/>
  <c r="T5450"/>
  <c r="T5451"/>
  <c r="T5452"/>
  <c r="T5453"/>
  <c r="T5454"/>
  <c r="T5455"/>
  <c r="T5456"/>
  <c r="T5457"/>
  <c r="T5458"/>
  <c r="T5459"/>
  <c r="T5460"/>
  <c r="T5461"/>
  <c r="T5462"/>
  <c r="T5463"/>
  <c r="T5464"/>
  <c r="T5465"/>
  <c r="T5466"/>
  <c r="T5467"/>
  <c r="T5468"/>
  <c r="T5469"/>
  <c r="T5470"/>
  <c r="T5471"/>
  <c r="T5472"/>
  <c r="T5473"/>
  <c r="T5474"/>
  <c r="T5475"/>
  <c r="T5476"/>
  <c r="T5477"/>
  <c r="T5478"/>
  <c r="T5479"/>
  <c r="T5480"/>
  <c r="T5481"/>
  <c r="T5482"/>
  <c r="T5483"/>
  <c r="T5484"/>
  <c r="T5485"/>
  <c r="T5486"/>
  <c r="T5487"/>
  <c r="T5488"/>
  <c r="T5489"/>
  <c r="T5490"/>
  <c r="T5491"/>
  <c r="T5492"/>
  <c r="T5493"/>
  <c r="T5494"/>
  <c r="T5495"/>
  <c r="T5496"/>
  <c r="T5497"/>
  <c r="T5498"/>
  <c r="T5499"/>
  <c r="T5500"/>
  <c r="T5501"/>
  <c r="T5502"/>
  <c r="T5503"/>
  <c r="T5504"/>
  <c r="T5505"/>
  <c r="T5506"/>
  <c r="T5507"/>
  <c r="T5508"/>
  <c r="T5509"/>
  <c r="T5510"/>
  <c r="T5511"/>
  <c r="T5512"/>
  <c r="T5513"/>
  <c r="T5514"/>
  <c r="T5515"/>
  <c r="T5516"/>
  <c r="T5517"/>
  <c r="T5518"/>
  <c r="T5519"/>
  <c r="T5520"/>
  <c r="T5521"/>
  <c r="T5522"/>
  <c r="T5523"/>
  <c r="T5524"/>
  <c r="T5525"/>
  <c r="T5526"/>
  <c r="T5527"/>
  <c r="T5528"/>
  <c r="T5529"/>
  <c r="T5530"/>
  <c r="T5531"/>
  <c r="T5532"/>
  <c r="T5533"/>
  <c r="T5534"/>
  <c r="T5535"/>
  <c r="T5536"/>
  <c r="T5537"/>
  <c r="T5538"/>
  <c r="T5539"/>
  <c r="T5540"/>
  <c r="T5541"/>
  <c r="T5542"/>
  <c r="T5543"/>
  <c r="T5544"/>
  <c r="T5545"/>
  <c r="T5546"/>
  <c r="T5547"/>
  <c r="T5548"/>
  <c r="T5549"/>
  <c r="T5550"/>
  <c r="T5551"/>
  <c r="T5552"/>
  <c r="T5553"/>
  <c r="T5554"/>
  <c r="T5555"/>
  <c r="T5556"/>
  <c r="T5557"/>
  <c r="T5558"/>
  <c r="T5559"/>
  <c r="T5560"/>
  <c r="T5561"/>
  <c r="T5562"/>
  <c r="T5563"/>
  <c r="T5564"/>
  <c r="T5565"/>
  <c r="T5566"/>
  <c r="T5567"/>
  <c r="T5568"/>
  <c r="T5569"/>
  <c r="T5570"/>
  <c r="T5571"/>
  <c r="T5572"/>
  <c r="T5573"/>
  <c r="T5574"/>
  <c r="T5575"/>
  <c r="T5576"/>
  <c r="T5577"/>
  <c r="T5578"/>
  <c r="T5579"/>
  <c r="T5580"/>
  <c r="T5581"/>
  <c r="T5582"/>
  <c r="T5583"/>
  <c r="T5584"/>
  <c r="T5585"/>
  <c r="T5586"/>
  <c r="T5587"/>
  <c r="T5588"/>
  <c r="T5589"/>
  <c r="T5590"/>
  <c r="T5591"/>
  <c r="T5592"/>
  <c r="T5593"/>
  <c r="T5594"/>
  <c r="T5595"/>
  <c r="T5596"/>
  <c r="T5597"/>
  <c r="T5598"/>
  <c r="T5599"/>
  <c r="T5600"/>
  <c r="T5601"/>
  <c r="T5602"/>
  <c r="T5603"/>
  <c r="T5604"/>
  <c r="T5605"/>
  <c r="T5606"/>
  <c r="T5607"/>
  <c r="T5608"/>
  <c r="T5609"/>
  <c r="T5610"/>
  <c r="T5611"/>
  <c r="T5612"/>
  <c r="T5613"/>
  <c r="T5614"/>
  <c r="T5615"/>
  <c r="T5616"/>
  <c r="T5617"/>
  <c r="T5618"/>
  <c r="T5619"/>
  <c r="T5620"/>
  <c r="T5621"/>
  <c r="T5622"/>
  <c r="T5623"/>
  <c r="T5624"/>
  <c r="T5625"/>
  <c r="T5626"/>
  <c r="T5627"/>
  <c r="T5628"/>
  <c r="T5629"/>
  <c r="T5630"/>
  <c r="T5631"/>
  <c r="T5632"/>
  <c r="T5633"/>
  <c r="T5634"/>
  <c r="T5635"/>
  <c r="T5636"/>
  <c r="T5637"/>
  <c r="T5638"/>
  <c r="T5639"/>
  <c r="T5640"/>
  <c r="T5641"/>
  <c r="T5642"/>
  <c r="T5643"/>
  <c r="T5644"/>
  <c r="T5645"/>
  <c r="T5646"/>
  <c r="T5647"/>
  <c r="T5648"/>
  <c r="T5649"/>
  <c r="T5650"/>
  <c r="T5651"/>
  <c r="T5652"/>
  <c r="T5653"/>
  <c r="T5654"/>
  <c r="T5655"/>
  <c r="T5656"/>
  <c r="T5657"/>
  <c r="T5658"/>
  <c r="T5659"/>
  <c r="T5660"/>
  <c r="T5661"/>
  <c r="T5662"/>
  <c r="T5663"/>
  <c r="T5664"/>
  <c r="T5665"/>
  <c r="T5666"/>
  <c r="T5667"/>
  <c r="T5668"/>
  <c r="T5669"/>
  <c r="T5670"/>
  <c r="T5671"/>
  <c r="T5672"/>
  <c r="T5673"/>
  <c r="T5674"/>
  <c r="T5675"/>
  <c r="T5676"/>
  <c r="T5677"/>
  <c r="T5678"/>
  <c r="T5679"/>
  <c r="T5680"/>
  <c r="T5681"/>
  <c r="T5682"/>
  <c r="T5683"/>
  <c r="T5684"/>
  <c r="T5685"/>
  <c r="T5686"/>
  <c r="T5687"/>
  <c r="T5688"/>
  <c r="T5689"/>
  <c r="T5690"/>
  <c r="T5691"/>
  <c r="T5692"/>
  <c r="T5693"/>
  <c r="T5694"/>
  <c r="T5695"/>
  <c r="T5696"/>
  <c r="T5697"/>
  <c r="T5698"/>
  <c r="T5699"/>
  <c r="T5700"/>
  <c r="T5701"/>
  <c r="T5702"/>
  <c r="T5703"/>
  <c r="T5704"/>
  <c r="T5705"/>
  <c r="T5706"/>
  <c r="T5707"/>
  <c r="T5708"/>
  <c r="T5709"/>
  <c r="T5710"/>
  <c r="T5711"/>
  <c r="T5712"/>
  <c r="T5713"/>
  <c r="T5714"/>
  <c r="T5715"/>
  <c r="T5716"/>
  <c r="T5717"/>
  <c r="T5718"/>
  <c r="T5719"/>
  <c r="T5720"/>
  <c r="T5721"/>
  <c r="T5722"/>
  <c r="T5723"/>
  <c r="T5724"/>
  <c r="T5725"/>
  <c r="T5726"/>
  <c r="T5727"/>
  <c r="T5728"/>
  <c r="T5729"/>
  <c r="T5730"/>
  <c r="T5731"/>
  <c r="T5732"/>
  <c r="T5733"/>
  <c r="T5734"/>
  <c r="T5735"/>
  <c r="T5736"/>
  <c r="T5737"/>
  <c r="T5738"/>
  <c r="T5739"/>
  <c r="T5740"/>
  <c r="T5741"/>
  <c r="T5742"/>
  <c r="T5743"/>
  <c r="T5744"/>
  <c r="T5745"/>
  <c r="T5746"/>
  <c r="T5747"/>
  <c r="T5748"/>
  <c r="T5749"/>
  <c r="T5750"/>
  <c r="T5751"/>
  <c r="T5752"/>
  <c r="T5753"/>
  <c r="T5754"/>
  <c r="T5755"/>
  <c r="T5756"/>
  <c r="T5757"/>
  <c r="T5758"/>
  <c r="T5759"/>
  <c r="T5760"/>
  <c r="T5761"/>
  <c r="T5762"/>
  <c r="T5763"/>
  <c r="T5764"/>
  <c r="T5765"/>
  <c r="T5766"/>
  <c r="T5767"/>
  <c r="T5768"/>
  <c r="T5769"/>
  <c r="T5770"/>
  <c r="T5771"/>
  <c r="T5772"/>
  <c r="T5773"/>
  <c r="T5774"/>
  <c r="T5775"/>
  <c r="T5776"/>
  <c r="T5777"/>
  <c r="T5778"/>
  <c r="T5779"/>
  <c r="T5780"/>
  <c r="T5781"/>
  <c r="T5782"/>
  <c r="T5783"/>
  <c r="T5784"/>
  <c r="T5785"/>
  <c r="T5786"/>
  <c r="T5787"/>
  <c r="T5788"/>
  <c r="T5789"/>
  <c r="T5790"/>
  <c r="T5791"/>
  <c r="T5792"/>
  <c r="T5793"/>
  <c r="T5794"/>
  <c r="T5795"/>
  <c r="T5796"/>
  <c r="T5797"/>
  <c r="T5798"/>
  <c r="T5799"/>
  <c r="T5800"/>
  <c r="T5801"/>
  <c r="T5802"/>
  <c r="T5803"/>
  <c r="T5804"/>
  <c r="T5805"/>
  <c r="T5806"/>
  <c r="T5807"/>
  <c r="T5808"/>
  <c r="T5809"/>
  <c r="T5810"/>
  <c r="T5811"/>
  <c r="T5812"/>
  <c r="T5813"/>
  <c r="T5814"/>
  <c r="T5815"/>
  <c r="T5816"/>
  <c r="T5817"/>
  <c r="T5818"/>
  <c r="T5819"/>
  <c r="T5820"/>
  <c r="T5821"/>
  <c r="T5822"/>
  <c r="T5823"/>
  <c r="T5824"/>
  <c r="T5825"/>
  <c r="T5826"/>
  <c r="T5827"/>
  <c r="T5828"/>
  <c r="T5829"/>
  <c r="T5830"/>
  <c r="T5831"/>
  <c r="T5832"/>
  <c r="T5833"/>
  <c r="T5834"/>
  <c r="T5835"/>
  <c r="T5836"/>
  <c r="T5837"/>
  <c r="T5838"/>
  <c r="T5839"/>
  <c r="T5840"/>
  <c r="T5841"/>
  <c r="T5842"/>
  <c r="T5843"/>
  <c r="T5844"/>
  <c r="T5845"/>
  <c r="T5846"/>
  <c r="T5847"/>
  <c r="T5848"/>
  <c r="T5849"/>
  <c r="T5850"/>
  <c r="T5851"/>
  <c r="T5852"/>
  <c r="T5853"/>
  <c r="T5854"/>
  <c r="T5855"/>
  <c r="T5856"/>
  <c r="T5857"/>
  <c r="T5858"/>
  <c r="T5859"/>
  <c r="T5860"/>
  <c r="T5861"/>
  <c r="T5862"/>
  <c r="T5863"/>
  <c r="T5864"/>
  <c r="T5865"/>
  <c r="T5866"/>
  <c r="T5867"/>
  <c r="T5868"/>
  <c r="T5869"/>
  <c r="T5870"/>
  <c r="T5871"/>
  <c r="T5872"/>
  <c r="T5873"/>
  <c r="T5874"/>
  <c r="T5875"/>
  <c r="T5876"/>
  <c r="T5877"/>
  <c r="T5878"/>
  <c r="T5879"/>
  <c r="T5880"/>
  <c r="T5881"/>
  <c r="T5882"/>
  <c r="T5883"/>
  <c r="T5884"/>
  <c r="T5885"/>
  <c r="T5886"/>
  <c r="T5887"/>
  <c r="T5888"/>
  <c r="T5889"/>
  <c r="T5890"/>
  <c r="T5891"/>
  <c r="T5892"/>
  <c r="T5893"/>
  <c r="T5894"/>
  <c r="T5895"/>
  <c r="T5896"/>
  <c r="T5897"/>
  <c r="T5898"/>
  <c r="T5899"/>
  <c r="T5900"/>
  <c r="T5901"/>
  <c r="T5902"/>
  <c r="T5903"/>
  <c r="T5904"/>
  <c r="T5905"/>
  <c r="T5906"/>
  <c r="T5907"/>
  <c r="T5908"/>
  <c r="T5909"/>
  <c r="T5910"/>
  <c r="T5911"/>
  <c r="T5912"/>
  <c r="T5913"/>
  <c r="T5914"/>
  <c r="T5915"/>
  <c r="T5916"/>
  <c r="T5917"/>
  <c r="T5918"/>
  <c r="T5919"/>
  <c r="T5920"/>
  <c r="T5921"/>
  <c r="T5922"/>
  <c r="T5923"/>
  <c r="T5924"/>
  <c r="T5925"/>
  <c r="T5926"/>
  <c r="T5927"/>
  <c r="T5928"/>
  <c r="T5929"/>
  <c r="T5930"/>
  <c r="T5931"/>
  <c r="T5932"/>
  <c r="T5933"/>
  <c r="T5934"/>
  <c r="T5935"/>
  <c r="T5936"/>
  <c r="T5937"/>
  <c r="T5938"/>
  <c r="T5939"/>
  <c r="T5940"/>
  <c r="T5941"/>
  <c r="T5942"/>
  <c r="T5943"/>
  <c r="T5944"/>
  <c r="T5945"/>
  <c r="T5946"/>
  <c r="T5947"/>
  <c r="T5948"/>
  <c r="T5949"/>
  <c r="T5950"/>
  <c r="T5951"/>
  <c r="T5952"/>
  <c r="T5953"/>
  <c r="T5954"/>
  <c r="T5955"/>
  <c r="T5956"/>
  <c r="T5957"/>
  <c r="T5958"/>
  <c r="T5959"/>
  <c r="T5960"/>
  <c r="T5961"/>
  <c r="T5962"/>
  <c r="T5963"/>
  <c r="T5964"/>
  <c r="T5965"/>
  <c r="T5966"/>
  <c r="T5967"/>
  <c r="T5968"/>
  <c r="T5969"/>
  <c r="T5970"/>
  <c r="T5971"/>
  <c r="T5972"/>
  <c r="T5973"/>
  <c r="T5974"/>
  <c r="T5975"/>
  <c r="T5976"/>
  <c r="T5977"/>
  <c r="T5978"/>
  <c r="T5979"/>
  <c r="T5980"/>
  <c r="T5981"/>
  <c r="T5982"/>
  <c r="T5983"/>
  <c r="T5984"/>
  <c r="T5985"/>
  <c r="T5986"/>
  <c r="T5987"/>
  <c r="T5988"/>
  <c r="T5989"/>
  <c r="T5990"/>
  <c r="T5991"/>
  <c r="T5992"/>
  <c r="T5993"/>
  <c r="T5994"/>
  <c r="T5995"/>
  <c r="T5996"/>
  <c r="T5997"/>
  <c r="T5998"/>
  <c r="T5999"/>
  <c r="T6000"/>
  <c r="T6001"/>
  <c r="T6002"/>
  <c r="T6003"/>
  <c r="T6004"/>
  <c r="T6005"/>
  <c r="T6006"/>
  <c r="T6007"/>
  <c r="T6008"/>
  <c r="T6009"/>
  <c r="T6010"/>
  <c r="T6011"/>
  <c r="T6012"/>
  <c r="T6013"/>
  <c r="T6014"/>
  <c r="T6015"/>
  <c r="T6016"/>
  <c r="T6017"/>
  <c r="T6018"/>
  <c r="T6019"/>
  <c r="T6020"/>
  <c r="T6021"/>
  <c r="T6022"/>
  <c r="T6023"/>
  <c r="T6024"/>
  <c r="T6025"/>
  <c r="T6026"/>
  <c r="T6027"/>
  <c r="T6028"/>
  <c r="T6029"/>
  <c r="T6030"/>
  <c r="T6031"/>
  <c r="T6032"/>
  <c r="T6033"/>
  <c r="T6034"/>
  <c r="T6035"/>
  <c r="T6036"/>
  <c r="T6037"/>
  <c r="T6038"/>
  <c r="T6039"/>
  <c r="T6040"/>
  <c r="T6041"/>
  <c r="T6042"/>
  <c r="T6043"/>
  <c r="T6044"/>
  <c r="T6045"/>
  <c r="T6046"/>
  <c r="T6047"/>
  <c r="T6048"/>
  <c r="T6049"/>
  <c r="T6050"/>
  <c r="T6051"/>
  <c r="T6052"/>
  <c r="T6053"/>
  <c r="T6054"/>
  <c r="T6055"/>
  <c r="T6056"/>
  <c r="T6057"/>
  <c r="T6058"/>
  <c r="T6059"/>
  <c r="T6060"/>
  <c r="T6061"/>
  <c r="T6062"/>
  <c r="T6063"/>
  <c r="T6064"/>
  <c r="T6065"/>
  <c r="T6066"/>
  <c r="T6067"/>
  <c r="T6068"/>
  <c r="T6069"/>
  <c r="T6070"/>
  <c r="T6071"/>
  <c r="T6072"/>
  <c r="T6073"/>
  <c r="T6074"/>
  <c r="T6075"/>
  <c r="T6076"/>
  <c r="T6077"/>
  <c r="T6078"/>
  <c r="T6079"/>
  <c r="T6080"/>
  <c r="T6081"/>
  <c r="T6082"/>
  <c r="T6083"/>
  <c r="T6084"/>
  <c r="T6085"/>
  <c r="T6086"/>
  <c r="T6087"/>
  <c r="T6088"/>
  <c r="T6089"/>
  <c r="T6090"/>
  <c r="T6091"/>
  <c r="T6092"/>
  <c r="T6093"/>
  <c r="T6094"/>
  <c r="T6095"/>
  <c r="T6096"/>
  <c r="T6097"/>
  <c r="T6098"/>
  <c r="T6099"/>
  <c r="T6100"/>
  <c r="T6101"/>
  <c r="T6102"/>
  <c r="T6103"/>
  <c r="T6104"/>
  <c r="T6105"/>
  <c r="T6106"/>
  <c r="T6107"/>
  <c r="T6108"/>
  <c r="T6109"/>
  <c r="T6110"/>
  <c r="T6111"/>
  <c r="T6112"/>
  <c r="T6113"/>
  <c r="T6114"/>
  <c r="T6115"/>
  <c r="T6116"/>
  <c r="T6117"/>
  <c r="T6118"/>
  <c r="T6119"/>
  <c r="T6120"/>
  <c r="T6121"/>
  <c r="T6122"/>
  <c r="T6123"/>
  <c r="T6124"/>
  <c r="T6125"/>
  <c r="T6126"/>
  <c r="T6127"/>
  <c r="T6128"/>
  <c r="T6129"/>
  <c r="T6130"/>
  <c r="T6131"/>
  <c r="T6132"/>
  <c r="T6133"/>
  <c r="T6134"/>
  <c r="T6135"/>
  <c r="T6136"/>
  <c r="T6137"/>
  <c r="T6138"/>
  <c r="T6139"/>
  <c r="T6140"/>
  <c r="T6141"/>
  <c r="T6142"/>
  <c r="T6143"/>
  <c r="T6144"/>
  <c r="T6145"/>
  <c r="T6146"/>
  <c r="T6147"/>
  <c r="T6148"/>
  <c r="T6149"/>
  <c r="T6150"/>
  <c r="T6151"/>
  <c r="T6152"/>
  <c r="T6153"/>
  <c r="T6154"/>
  <c r="T6155"/>
  <c r="T6156"/>
  <c r="T6157"/>
  <c r="T6158"/>
  <c r="T6159"/>
  <c r="T6160"/>
  <c r="T6161"/>
  <c r="T6162"/>
  <c r="T6163"/>
  <c r="T6164"/>
  <c r="T6165"/>
  <c r="T6166"/>
  <c r="T6167"/>
  <c r="T6168"/>
  <c r="T6169"/>
  <c r="T6170"/>
  <c r="T6171"/>
  <c r="T6172"/>
  <c r="T6173"/>
  <c r="T6174"/>
  <c r="T6175"/>
  <c r="T6176"/>
  <c r="T6177"/>
  <c r="T6178"/>
  <c r="T6179"/>
  <c r="T6180"/>
  <c r="T6181"/>
  <c r="T6182"/>
  <c r="T6183"/>
  <c r="T6184"/>
  <c r="T6185"/>
  <c r="T6186"/>
  <c r="T6187"/>
  <c r="T6188"/>
  <c r="T6189"/>
  <c r="T6190"/>
  <c r="T6191"/>
  <c r="T6192"/>
  <c r="T6193"/>
  <c r="T6194"/>
  <c r="T6195"/>
  <c r="T6196"/>
  <c r="T6197"/>
  <c r="T6198"/>
  <c r="T6199"/>
  <c r="T6200"/>
  <c r="T6201"/>
  <c r="T6202"/>
  <c r="T6203"/>
  <c r="T6204"/>
  <c r="T6205"/>
  <c r="T6206"/>
  <c r="T6207"/>
  <c r="T6208"/>
  <c r="T6209"/>
  <c r="T6210"/>
  <c r="T6211"/>
  <c r="T6212"/>
  <c r="T6213"/>
  <c r="T6214"/>
  <c r="T6215"/>
  <c r="T6216"/>
  <c r="T6217"/>
  <c r="T6218"/>
  <c r="T6219"/>
  <c r="T6220"/>
  <c r="T6221"/>
  <c r="T6222"/>
  <c r="T6223"/>
  <c r="T6224"/>
  <c r="T6225"/>
  <c r="T6226"/>
  <c r="T6227"/>
  <c r="T6228"/>
  <c r="T6229"/>
  <c r="T6230"/>
  <c r="T6231"/>
  <c r="T6232"/>
  <c r="T6233"/>
  <c r="T6234"/>
  <c r="T6235"/>
  <c r="T6236"/>
  <c r="T6237"/>
  <c r="T6238"/>
  <c r="T6239"/>
  <c r="T6240"/>
  <c r="T6241"/>
  <c r="T6242"/>
  <c r="T6243"/>
  <c r="T6244"/>
  <c r="T6245"/>
  <c r="T6246"/>
  <c r="T6247"/>
  <c r="T6248"/>
  <c r="T6249"/>
  <c r="T6250"/>
  <c r="T6251"/>
  <c r="T6252"/>
  <c r="T6253"/>
  <c r="T6254"/>
  <c r="T6255"/>
  <c r="T6256"/>
  <c r="T6257"/>
  <c r="T6258"/>
  <c r="T6259"/>
  <c r="T6260"/>
  <c r="T6261"/>
  <c r="T6262"/>
  <c r="T6263"/>
  <c r="T6264"/>
  <c r="T6265"/>
  <c r="T6266"/>
  <c r="T6267"/>
  <c r="T6268"/>
  <c r="T6269"/>
  <c r="T6270"/>
  <c r="T6271"/>
  <c r="T6272"/>
  <c r="T6273"/>
  <c r="T6274"/>
  <c r="T6275"/>
  <c r="T6276"/>
  <c r="T6277"/>
  <c r="T6278"/>
  <c r="T6279"/>
  <c r="T6280"/>
  <c r="T6281"/>
  <c r="T6282"/>
  <c r="T6283"/>
  <c r="T6284"/>
  <c r="T6285"/>
  <c r="T6286"/>
  <c r="T6287"/>
  <c r="T6288"/>
  <c r="T6289"/>
  <c r="T6290"/>
  <c r="T6291"/>
  <c r="T6292"/>
  <c r="T6293"/>
  <c r="T6294"/>
  <c r="T6295"/>
  <c r="T6296"/>
  <c r="T6297"/>
  <c r="T6298"/>
  <c r="T6299"/>
  <c r="T6300"/>
  <c r="T6301"/>
  <c r="T6302"/>
  <c r="T6303"/>
  <c r="T6304"/>
  <c r="T6305"/>
  <c r="T6306"/>
  <c r="T6307"/>
  <c r="T6308"/>
  <c r="T6309"/>
  <c r="T6310"/>
  <c r="T6311"/>
  <c r="T6312"/>
  <c r="T6313"/>
  <c r="T6314"/>
  <c r="T6315"/>
  <c r="T6316"/>
  <c r="T6317"/>
  <c r="T6318"/>
  <c r="T6319"/>
  <c r="T6320"/>
  <c r="T6321"/>
  <c r="T6322"/>
  <c r="T6323"/>
  <c r="T6324"/>
  <c r="T6325"/>
  <c r="T6326"/>
  <c r="T6327"/>
  <c r="T6328"/>
  <c r="T6329"/>
  <c r="T6330"/>
  <c r="T6331"/>
  <c r="T6332"/>
  <c r="T6333"/>
  <c r="T6334"/>
  <c r="T6335"/>
  <c r="T6336"/>
  <c r="T6337"/>
  <c r="T6338"/>
  <c r="T6339"/>
  <c r="T6340"/>
  <c r="T6341"/>
  <c r="T6342"/>
  <c r="T6343"/>
  <c r="T6344"/>
  <c r="T6345"/>
  <c r="T6346"/>
  <c r="T6347"/>
  <c r="T6348"/>
  <c r="T6349"/>
  <c r="T6350"/>
  <c r="T6351"/>
  <c r="T6352"/>
  <c r="T6353"/>
  <c r="T6354"/>
  <c r="T6355"/>
  <c r="T6356"/>
  <c r="T6357"/>
  <c r="T6358"/>
  <c r="T6359"/>
  <c r="T6360"/>
  <c r="T6361"/>
  <c r="T6362"/>
  <c r="T6363"/>
  <c r="T6364"/>
  <c r="T6365"/>
  <c r="T6366"/>
  <c r="T6367"/>
  <c r="T6368"/>
  <c r="T6369"/>
  <c r="T6370"/>
  <c r="T6371"/>
  <c r="T6372"/>
  <c r="T6373"/>
  <c r="T6374"/>
  <c r="T6375"/>
  <c r="T6376"/>
  <c r="T6377"/>
  <c r="T6378"/>
  <c r="T6379"/>
  <c r="T6380"/>
  <c r="T6381"/>
  <c r="T6382"/>
  <c r="T6383"/>
  <c r="T6384"/>
  <c r="T6385"/>
  <c r="T6386"/>
  <c r="T6387"/>
  <c r="T6388"/>
  <c r="T6389"/>
  <c r="T6390"/>
  <c r="T6391"/>
  <c r="T6392"/>
  <c r="T6393"/>
  <c r="T6394"/>
  <c r="T6395"/>
  <c r="T6396"/>
  <c r="T6397"/>
  <c r="T6398"/>
  <c r="T6399"/>
  <c r="T6400"/>
  <c r="T6401"/>
  <c r="T6402"/>
  <c r="T6403"/>
  <c r="T6404"/>
  <c r="T6405"/>
  <c r="T6406"/>
  <c r="T6407"/>
  <c r="T6408"/>
  <c r="T6409"/>
  <c r="T6410"/>
  <c r="T6411"/>
  <c r="T6412"/>
  <c r="T6413"/>
  <c r="T6414"/>
  <c r="T6415"/>
  <c r="T6416"/>
  <c r="T6417"/>
  <c r="T6418"/>
  <c r="T6419"/>
  <c r="T6420"/>
  <c r="T6421"/>
  <c r="T6422"/>
  <c r="T6423"/>
  <c r="T6424"/>
  <c r="T6425"/>
  <c r="T6426"/>
  <c r="T6427"/>
  <c r="T6428"/>
  <c r="T6429"/>
  <c r="T6430"/>
  <c r="T6431"/>
  <c r="T6432"/>
  <c r="T6433"/>
  <c r="T6434"/>
  <c r="T6435"/>
  <c r="T6436"/>
  <c r="T6437"/>
  <c r="T6438"/>
  <c r="T6439"/>
  <c r="T6440"/>
  <c r="T6441"/>
  <c r="T6442"/>
  <c r="T6443"/>
  <c r="T6444"/>
  <c r="T6445"/>
  <c r="T6446"/>
  <c r="T6447"/>
  <c r="T6448"/>
  <c r="T6449"/>
  <c r="T6450"/>
  <c r="T6451"/>
  <c r="T6452"/>
  <c r="T6453"/>
  <c r="T6454"/>
  <c r="T6455"/>
  <c r="T6456"/>
  <c r="T6457"/>
  <c r="T6458"/>
  <c r="T6459"/>
  <c r="T6460"/>
  <c r="T6461"/>
  <c r="T6462"/>
  <c r="T6463"/>
  <c r="T6464"/>
  <c r="T6465"/>
  <c r="T6466"/>
  <c r="T6467"/>
  <c r="T6468"/>
  <c r="T6469"/>
  <c r="T6470"/>
  <c r="T6471"/>
  <c r="T6472"/>
  <c r="T6473"/>
  <c r="T6474"/>
  <c r="T6475"/>
  <c r="T6476"/>
  <c r="T6477"/>
  <c r="T6478"/>
  <c r="T6479"/>
  <c r="T6480"/>
  <c r="T6481"/>
  <c r="T6482"/>
  <c r="T6483"/>
  <c r="T6484"/>
  <c r="T6485"/>
  <c r="T6486"/>
  <c r="T6487"/>
  <c r="T6488"/>
  <c r="T6489"/>
  <c r="T6490"/>
  <c r="T6491"/>
  <c r="T6492"/>
  <c r="T6493"/>
  <c r="T6494"/>
  <c r="T6495"/>
  <c r="T6496"/>
  <c r="T6497"/>
  <c r="T6498"/>
  <c r="T6499"/>
  <c r="T6500"/>
  <c r="T6501"/>
  <c r="T6502"/>
  <c r="T6503"/>
  <c r="T6504"/>
  <c r="T6505"/>
  <c r="T6506"/>
  <c r="T6507"/>
  <c r="T6508"/>
  <c r="T6509"/>
  <c r="T6510"/>
  <c r="T6511"/>
  <c r="T6512"/>
  <c r="T6513"/>
  <c r="T6514"/>
  <c r="T6515"/>
  <c r="T6516"/>
  <c r="T6517"/>
  <c r="T6518"/>
  <c r="T6519"/>
  <c r="T6520"/>
  <c r="T6521"/>
  <c r="T6522"/>
  <c r="T6523"/>
  <c r="T6524"/>
  <c r="T6525"/>
  <c r="T6526"/>
  <c r="T6527"/>
  <c r="T6528"/>
  <c r="T6529"/>
  <c r="T6530"/>
  <c r="T6531"/>
  <c r="T6532"/>
  <c r="T6533"/>
  <c r="T6534"/>
  <c r="T6535"/>
  <c r="T6536"/>
  <c r="T6537"/>
  <c r="T6538"/>
  <c r="T6539"/>
  <c r="T6540"/>
  <c r="T6541"/>
  <c r="T6542"/>
  <c r="T6543"/>
  <c r="T6544"/>
  <c r="T6545"/>
  <c r="T6546"/>
  <c r="T6547"/>
  <c r="T6548"/>
  <c r="T6549"/>
  <c r="T6550"/>
  <c r="T6551"/>
  <c r="T6552"/>
  <c r="T6553"/>
  <c r="T6554"/>
  <c r="T6555"/>
  <c r="T6556"/>
  <c r="T6557"/>
  <c r="T6558"/>
  <c r="T6559"/>
  <c r="T6560"/>
  <c r="T6561"/>
  <c r="T6562"/>
  <c r="T6563"/>
  <c r="T6564"/>
  <c r="T6565"/>
  <c r="T6566"/>
  <c r="T6567"/>
  <c r="T6568"/>
  <c r="T6569"/>
  <c r="T6570"/>
  <c r="T6571"/>
  <c r="T6572"/>
  <c r="T6573"/>
  <c r="T6574"/>
  <c r="T6575"/>
  <c r="T6576"/>
  <c r="T6577"/>
  <c r="T6578"/>
  <c r="T6579"/>
  <c r="T6580"/>
  <c r="T6581"/>
  <c r="T6582"/>
  <c r="T6583"/>
  <c r="T6584"/>
  <c r="T6585"/>
  <c r="T6586"/>
  <c r="T6587"/>
  <c r="T6588"/>
  <c r="T6589"/>
  <c r="T6590"/>
  <c r="T6591"/>
  <c r="T6592"/>
  <c r="T6593"/>
  <c r="T6594"/>
  <c r="T6595"/>
  <c r="T6596"/>
  <c r="T6597"/>
  <c r="T6598"/>
  <c r="T6599"/>
  <c r="T6600"/>
  <c r="T6601"/>
  <c r="T6602"/>
  <c r="T6603"/>
  <c r="T6604"/>
  <c r="T6605"/>
  <c r="T6606"/>
  <c r="T6607"/>
  <c r="T6608"/>
  <c r="T6609"/>
  <c r="T6610"/>
  <c r="T6611"/>
  <c r="T6612"/>
  <c r="T6613"/>
  <c r="T6614"/>
  <c r="T6615"/>
  <c r="T6616"/>
  <c r="T6617"/>
  <c r="T6618"/>
  <c r="T6619"/>
  <c r="T6620"/>
  <c r="T6621"/>
  <c r="T6622"/>
  <c r="T6623"/>
  <c r="T6624"/>
  <c r="T6625"/>
  <c r="T6626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8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U3153"/>
  <c r="U3154"/>
  <c r="U3155"/>
  <c r="U3156"/>
  <c r="U3157"/>
  <c r="U3158"/>
  <c r="U3159"/>
  <c r="U3160"/>
  <c r="U3161"/>
  <c r="U3162"/>
  <c r="U3163"/>
  <c r="U3164"/>
  <c r="U3165"/>
  <c r="U3166"/>
  <c r="U3167"/>
  <c r="U3168"/>
  <c r="U3169"/>
  <c r="U3170"/>
  <c r="U3171"/>
  <c r="U3172"/>
  <c r="U3173"/>
  <c r="U3174"/>
  <c r="U3175"/>
  <c r="U3176"/>
  <c r="U3177"/>
  <c r="U3178"/>
  <c r="U3179"/>
  <c r="U3180"/>
  <c r="U3181"/>
  <c r="U3182"/>
  <c r="U3183"/>
  <c r="U3184"/>
  <c r="U3185"/>
  <c r="U3186"/>
  <c r="U3187"/>
  <c r="U3188"/>
  <c r="U3189"/>
  <c r="U3190"/>
  <c r="U3191"/>
  <c r="U3192"/>
  <c r="U3193"/>
  <c r="U3194"/>
  <c r="U3195"/>
  <c r="U3196"/>
  <c r="U3197"/>
  <c r="U3198"/>
  <c r="U3199"/>
  <c r="U3200"/>
  <c r="U3201"/>
  <c r="U3202"/>
  <c r="U3203"/>
  <c r="U3204"/>
  <c r="U3205"/>
  <c r="U3206"/>
  <c r="U3207"/>
  <c r="U3208"/>
  <c r="U3209"/>
  <c r="U3210"/>
  <c r="U3211"/>
  <c r="U3212"/>
  <c r="U3213"/>
  <c r="U3214"/>
  <c r="U3215"/>
  <c r="U3216"/>
  <c r="U3217"/>
  <c r="U3218"/>
  <c r="U3219"/>
  <c r="U3220"/>
  <c r="U3221"/>
  <c r="U3222"/>
  <c r="U3223"/>
  <c r="U3224"/>
  <c r="U3225"/>
  <c r="U3226"/>
  <c r="U3227"/>
  <c r="U3228"/>
  <c r="U3229"/>
  <c r="U3230"/>
  <c r="U3231"/>
  <c r="U3232"/>
  <c r="U3233"/>
  <c r="U3234"/>
  <c r="U3235"/>
  <c r="U3236"/>
  <c r="U3237"/>
  <c r="U3238"/>
  <c r="U3239"/>
  <c r="U3240"/>
  <c r="U3241"/>
  <c r="U3242"/>
  <c r="U3243"/>
  <c r="U3244"/>
  <c r="U3245"/>
  <c r="U3246"/>
  <c r="U3247"/>
  <c r="U3248"/>
  <c r="U3249"/>
  <c r="U3250"/>
  <c r="U3251"/>
  <c r="U3252"/>
  <c r="U3253"/>
  <c r="U3254"/>
  <c r="U3255"/>
  <c r="U3256"/>
  <c r="U3257"/>
  <c r="U3258"/>
  <c r="U3259"/>
  <c r="U3260"/>
  <c r="U3261"/>
  <c r="U3262"/>
  <c r="U3263"/>
  <c r="U3264"/>
  <c r="U3265"/>
  <c r="U3266"/>
  <c r="U3267"/>
  <c r="U3268"/>
  <c r="U3269"/>
  <c r="U3270"/>
  <c r="U3271"/>
  <c r="U3272"/>
  <c r="U3273"/>
  <c r="U3274"/>
  <c r="U3275"/>
  <c r="U3276"/>
  <c r="U3277"/>
  <c r="U3278"/>
  <c r="U3279"/>
  <c r="U3280"/>
  <c r="U3281"/>
  <c r="U3282"/>
  <c r="U3283"/>
  <c r="U3284"/>
  <c r="U3285"/>
  <c r="U3286"/>
  <c r="U3287"/>
  <c r="U3288"/>
  <c r="U3289"/>
  <c r="U3290"/>
  <c r="U3291"/>
  <c r="U3292"/>
  <c r="U3293"/>
  <c r="U3294"/>
  <c r="U3295"/>
  <c r="U3296"/>
  <c r="U3297"/>
  <c r="U3298"/>
  <c r="U3299"/>
  <c r="U3300"/>
  <c r="U3301"/>
  <c r="U3302"/>
  <c r="U3303"/>
  <c r="U3304"/>
  <c r="U3305"/>
  <c r="U3306"/>
  <c r="U3307"/>
  <c r="U3308"/>
  <c r="U3309"/>
  <c r="U3310"/>
  <c r="U3311"/>
  <c r="U3312"/>
  <c r="U3313"/>
  <c r="U3314"/>
  <c r="U3315"/>
  <c r="U3316"/>
  <c r="U3317"/>
  <c r="U3318"/>
  <c r="U3319"/>
  <c r="U3320"/>
  <c r="U3321"/>
  <c r="U3322"/>
  <c r="U3323"/>
  <c r="U3324"/>
  <c r="U3325"/>
  <c r="U3326"/>
  <c r="U3327"/>
  <c r="U3328"/>
  <c r="U3329"/>
  <c r="U3330"/>
  <c r="U3331"/>
  <c r="U3332"/>
  <c r="U3333"/>
  <c r="U3334"/>
  <c r="U3335"/>
  <c r="U3336"/>
  <c r="U3337"/>
  <c r="U3338"/>
  <c r="U3339"/>
  <c r="U3340"/>
  <c r="U3341"/>
  <c r="U3342"/>
  <c r="U3343"/>
  <c r="U3344"/>
  <c r="U3345"/>
  <c r="U3346"/>
  <c r="U3347"/>
  <c r="U3348"/>
  <c r="U3349"/>
  <c r="U3350"/>
  <c r="U3351"/>
  <c r="U3352"/>
  <c r="U3353"/>
  <c r="U3354"/>
  <c r="U3355"/>
  <c r="U3356"/>
  <c r="U3357"/>
  <c r="U3358"/>
  <c r="U3359"/>
  <c r="U3360"/>
  <c r="U3361"/>
  <c r="U3362"/>
  <c r="U3363"/>
  <c r="U3364"/>
  <c r="U3365"/>
  <c r="U3366"/>
  <c r="U3367"/>
  <c r="U3368"/>
  <c r="U3369"/>
  <c r="U3370"/>
  <c r="U3371"/>
  <c r="U3372"/>
  <c r="U3373"/>
  <c r="U3374"/>
  <c r="U3375"/>
  <c r="U3376"/>
  <c r="U3377"/>
  <c r="U3378"/>
  <c r="U3379"/>
  <c r="U3380"/>
  <c r="U3381"/>
  <c r="U3382"/>
  <c r="U3383"/>
  <c r="U3384"/>
  <c r="U3385"/>
  <c r="U3386"/>
  <c r="U3387"/>
  <c r="U3388"/>
  <c r="U3389"/>
  <c r="U3390"/>
  <c r="U3391"/>
  <c r="U3392"/>
  <c r="U3393"/>
  <c r="U3394"/>
  <c r="U3395"/>
  <c r="U3396"/>
  <c r="U3397"/>
  <c r="U3398"/>
  <c r="U3399"/>
  <c r="U3400"/>
  <c r="U3401"/>
  <c r="U3402"/>
  <c r="U3403"/>
  <c r="U3404"/>
  <c r="U3405"/>
  <c r="U3406"/>
  <c r="U3407"/>
  <c r="U3408"/>
  <c r="U3409"/>
  <c r="U3410"/>
  <c r="U3411"/>
  <c r="U3412"/>
  <c r="U3413"/>
  <c r="U3414"/>
  <c r="U3415"/>
  <c r="U3416"/>
  <c r="U3417"/>
  <c r="U3418"/>
  <c r="U3419"/>
  <c r="U3420"/>
  <c r="U3421"/>
  <c r="U3422"/>
  <c r="U3423"/>
  <c r="U3424"/>
  <c r="U3425"/>
  <c r="U3426"/>
  <c r="U3427"/>
  <c r="U3428"/>
  <c r="U3429"/>
  <c r="U3430"/>
  <c r="U3431"/>
  <c r="U3432"/>
  <c r="U3433"/>
  <c r="U3434"/>
  <c r="U3435"/>
  <c r="U3436"/>
  <c r="U3437"/>
  <c r="U3438"/>
  <c r="U3439"/>
  <c r="U3440"/>
  <c r="U3441"/>
  <c r="U3442"/>
  <c r="U3443"/>
  <c r="U3444"/>
  <c r="U3445"/>
  <c r="U3446"/>
  <c r="U3447"/>
  <c r="U3448"/>
  <c r="U3449"/>
  <c r="U3450"/>
  <c r="U3451"/>
  <c r="U3452"/>
  <c r="U3453"/>
  <c r="U3454"/>
  <c r="U3455"/>
  <c r="U3456"/>
  <c r="U3457"/>
  <c r="U3458"/>
  <c r="U3459"/>
  <c r="U3460"/>
  <c r="U3461"/>
  <c r="U3462"/>
  <c r="U3463"/>
  <c r="U3464"/>
  <c r="U3465"/>
  <c r="U3466"/>
  <c r="U3467"/>
  <c r="U3468"/>
  <c r="U3469"/>
  <c r="U3470"/>
  <c r="U3471"/>
  <c r="U3472"/>
  <c r="U3473"/>
  <c r="U3474"/>
  <c r="U3475"/>
  <c r="U3476"/>
  <c r="U3477"/>
  <c r="U3478"/>
  <c r="U3479"/>
  <c r="U3480"/>
  <c r="U3481"/>
  <c r="U3482"/>
  <c r="U3483"/>
  <c r="U3484"/>
  <c r="U3485"/>
  <c r="U3486"/>
  <c r="U3487"/>
  <c r="U3488"/>
  <c r="U3489"/>
  <c r="U3490"/>
  <c r="U3491"/>
  <c r="U3492"/>
  <c r="U3493"/>
  <c r="U3494"/>
  <c r="U3495"/>
  <c r="U3496"/>
  <c r="U3497"/>
  <c r="U3498"/>
  <c r="U3499"/>
  <c r="U3500"/>
  <c r="U3501"/>
  <c r="U3502"/>
  <c r="U3503"/>
  <c r="U3504"/>
  <c r="U3505"/>
  <c r="U3506"/>
  <c r="U3507"/>
  <c r="U3508"/>
  <c r="U3509"/>
  <c r="U3510"/>
  <c r="U3511"/>
  <c r="U3512"/>
  <c r="U3513"/>
  <c r="U3514"/>
  <c r="U3515"/>
  <c r="U3516"/>
  <c r="U3517"/>
  <c r="U3518"/>
  <c r="U3519"/>
  <c r="U3520"/>
  <c r="U3521"/>
  <c r="U3522"/>
  <c r="U3523"/>
  <c r="U3524"/>
  <c r="U3525"/>
  <c r="U3526"/>
  <c r="U3527"/>
  <c r="U3528"/>
  <c r="U3529"/>
  <c r="U3530"/>
  <c r="U3531"/>
  <c r="U3532"/>
  <c r="U3533"/>
  <c r="U3534"/>
  <c r="U3535"/>
  <c r="U3536"/>
  <c r="U3537"/>
  <c r="U3538"/>
  <c r="U3539"/>
  <c r="U3540"/>
  <c r="U3541"/>
  <c r="U3542"/>
  <c r="U3543"/>
  <c r="U3544"/>
  <c r="U3545"/>
  <c r="U3546"/>
  <c r="U3547"/>
  <c r="U3548"/>
  <c r="U3549"/>
  <c r="U3550"/>
  <c r="U3551"/>
  <c r="U3552"/>
  <c r="U3553"/>
  <c r="U3554"/>
  <c r="U3555"/>
  <c r="U3556"/>
  <c r="U3557"/>
  <c r="U3558"/>
  <c r="U3559"/>
  <c r="U3560"/>
  <c r="U3561"/>
  <c r="U3562"/>
  <c r="U3563"/>
  <c r="U3564"/>
  <c r="U3565"/>
  <c r="U3566"/>
  <c r="U3567"/>
  <c r="U3568"/>
  <c r="U3569"/>
  <c r="U3570"/>
  <c r="U3571"/>
  <c r="U3572"/>
  <c r="U3573"/>
  <c r="U3574"/>
  <c r="U3575"/>
  <c r="U3576"/>
  <c r="U3577"/>
  <c r="U3578"/>
  <c r="U3579"/>
  <c r="U3580"/>
  <c r="U3581"/>
  <c r="U3582"/>
  <c r="U3583"/>
  <c r="U3584"/>
  <c r="U3585"/>
  <c r="U3586"/>
  <c r="U3587"/>
  <c r="U3588"/>
  <c r="U3589"/>
  <c r="U3590"/>
  <c r="U3591"/>
  <c r="U3592"/>
  <c r="U3593"/>
  <c r="U3594"/>
  <c r="U3595"/>
  <c r="U3596"/>
  <c r="U3597"/>
  <c r="U3598"/>
  <c r="U3599"/>
  <c r="U3600"/>
  <c r="U3601"/>
  <c r="U3602"/>
  <c r="U3603"/>
  <c r="U3604"/>
  <c r="U3605"/>
  <c r="U3606"/>
  <c r="U3607"/>
  <c r="U3608"/>
  <c r="U3609"/>
  <c r="U3610"/>
  <c r="U3611"/>
  <c r="U3612"/>
  <c r="U3613"/>
  <c r="U3614"/>
  <c r="U3615"/>
  <c r="U3616"/>
  <c r="U3617"/>
  <c r="U3618"/>
  <c r="U3619"/>
  <c r="U3620"/>
  <c r="U3621"/>
  <c r="U3622"/>
  <c r="U3623"/>
  <c r="U3624"/>
  <c r="U3625"/>
  <c r="U3626"/>
  <c r="U3627"/>
  <c r="U3628"/>
  <c r="U3629"/>
  <c r="U3630"/>
  <c r="U3631"/>
  <c r="U3632"/>
  <c r="U3633"/>
  <c r="U3634"/>
  <c r="U3635"/>
  <c r="U3636"/>
  <c r="U3637"/>
  <c r="U3638"/>
  <c r="U3639"/>
  <c r="U3640"/>
  <c r="U3641"/>
  <c r="U3642"/>
  <c r="U3643"/>
  <c r="U3644"/>
  <c r="U3645"/>
  <c r="U3646"/>
  <c r="U3647"/>
  <c r="U3648"/>
  <c r="U3649"/>
  <c r="U3650"/>
  <c r="U3651"/>
  <c r="U3652"/>
  <c r="U3653"/>
  <c r="U3654"/>
  <c r="U3655"/>
  <c r="U3656"/>
  <c r="U3657"/>
  <c r="U3658"/>
  <c r="U3659"/>
  <c r="U3660"/>
  <c r="U3661"/>
  <c r="U3662"/>
  <c r="U3663"/>
  <c r="U3664"/>
  <c r="U3665"/>
  <c r="U3666"/>
  <c r="U3667"/>
  <c r="U3668"/>
  <c r="U3669"/>
  <c r="U3670"/>
  <c r="U3671"/>
  <c r="U3672"/>
  <c r="U3673"/>
  <c r="U3674"/>
  <c r="U3675"/>
  <c r="U3676"/>
  <c r="U3677"/>
  <c r="U3678"/>
  <c r="U3679"/>
  <c r="U3680"/>
  <c r="U3681"/>
  <c r="U3682"/>
  <c r="U3683"/>
  <c r="U3684"/>
  <c r="U3685"/>
  <c r="U3686"/>
  <c r="U3687"/>
  <c r="U3688"/>
  <c r="U3689"/>
  <c r="U3690"/>
  <c r="U3691"/>
  <c r="U3692"/>
  <c r="U3693"/>
  <c r="U3694"/>
  <c r="U3695"/>
  <c r="U3696"/>
  <c r="U3697"/>
  <c r="U3698"/>
  <c r="U3699"/>
  <c r="U3700"/>
  <c r="U3701"/>
  <c r="U3702"/>
  <c r="U3703"/>
  <c r="U3704"/>
  <c r="U3705"/>
  <c r="U3706"/>
  <c r="U3707"/>
  <c r="U3708"/>
  <c r="U3709"/>
  <c r="U3710"/>
  <c r="U3711"/>
  <c r="U3712"/>
  <c r="U3713"/>
  <c r="U3714"/>
  <c r="U3715"/>
  <c r="U3716"/>
  <c r="U3717"/>
  <c r="U3718"/>
  <c r="U3719"/>
  <c r="U3720"/>
  <c r="U3721"/>
  <c r="U3722"/>
  <c r="U3723"/>
  <c r="U3724"/>
  <c r="U3725"/>
  <c r="U3726"/>
  <c r="U3727"/>
  <c r="U3728"/>
  <c r="U3729"/>
  <c r="U3730"/>
  <c r="U3731"/>
  <c r="U3732"/>
  <c r="U3733"/>
  <c r="U3734"/>
  <c r="U3735"/>
  <c r="U3736"/>
  <c r="U3737"/>
  <c r="U3738"/>
  <c r="U3739"/>
  <c r="U3740"/>
  <c r="U3741"/>
  <c r="U3742"/>
  <c r="U3743"/>
  <c r="U3744"/>
  <c r="U3745"/>
  <c r="U3746"/>
  <c r="U3747"/>
  <c r="U3748"/>
  <c r="U3749"/>
  <c r="U3750"/>
  <c r="U3751"/>
  <c r="U3752"/>
  <c r="U3753"/>
  <c r="U3754"/>
  <c r="U3755"/>
  <c r="U3756"/>
  <c r="U3757"/>
  <c r="U3758"/>
  <c r="U3759"/>
  <c r="U3760"/>
  <c r="U3761"/>
  <c r="U3762"/>
  <c r="U3763"/>
  <c r="U3764"/>
  <c r="U3765"/>
  <c r="U3766"/>
  <c r="U3767"/>
  <c r="U3768"/>
  <c r="U3769"/>
  <c r="U3770"/>
  <c r="U3771"/>
  <c r="U3772"/>
  <c r="U3773"/>
  <c r="U3774"/>
  <c r="U3775"/>
  <c r="U3776"/>
  <c r="U3777"/>
  <c r="U3778"/>
  <c r="U3779"/>
  <c r="U3780"/>
  <c r="U3781"/>
  <c r="U3782"/>
  <c r="U3783"/>
  <c r="U3784"/>
  <c r="U3785"/>
  <c r="U3786"/>
  <c r="U3787"/>
  <c r="U3788"/>
  <c r="U3789"/>
  <c r="U3790"/>
  <c r="U3791"/>
  <c r="U3792"/>
  <c r="U3793"/>
  <c r="U3794"/>
  <c r="U3795"/>
  <c r="U3796"/>
  <c r="U3797"/>
  <c r="U3798"/>
  <c r="U3799"/>
  <c r="U3800"/>
  <c r="U3801"/>
  <c r="U3802"/>
  <c r="U3803"/>
  <c r="U3804"/>
  <c r="U3805"/>
  <c r="U3806"/>
  <c r="U3807"/>
  <c r="U3808"/>
  <c r="U3809"/>
  <c r="U3810"/>
  <c r="U3811"/>
  <c r="U3812"/>
  <c r="U3813"/>
  <c r="U3814"/>
  <c r="U3815"/>
  <c r="U3816"/>
  <c r="U3817"/>
  <c r="U3818"/>
  <c r="U3819"/>
  <c r="U3820"/>
  <c r="U3821"/>
  <c r="U3822"/>
  <c r="U3823"/>
  <c r="U3824"/>
  <c r="U3825"/>
  <c r="U3826"/>
  <c r="U3827"/>
  <c r="U3828"/>
  <c r="U3829"/>
  <c r="U3830"/>
  <c r="U3831"/>
  <c r="U3832"/>
  <c r="U3833"/>
  <c r="U3834"/>
  <c r="U3835"/>
  <c r="U3836"/>
  <c r="U3837"/>
  <c r="U3838"/>
  <c r="U3839"/>
  <c r="U3840"/>
  <c r="U3841"/>
  <c r="U3842"/>
  <c r="U3843"/>
  <c r="U3844"/>
  <c r="U3845"/>
  <c r="U3846"/>
  <c r="U3847"/>
  <c r="U3848"/>
  <c r="U3849"/>
  <c r="U3850"/>
  <c r="U3851"/>
  <c r="U3852"/>
  <c r="U3853"/>
  <c r="U3854"/>
  <c r="U3855"/>
  <c r="U3856"/>
  <c r="U3857"/>
  <c r="U3858"/>
  <c r="U3859"/>
  <c r="U3860"/>
  <c r="U3861"/>
  <c r="U3862"/>
  <c r="U3863"/>
  <c r="U3864"/>
  <c r="U3865"/>
  <c r="U3866"/>
  <c r="U3867"/>
  <c r="U3868"/>
  <c r="U3869"/>
  <c r="U3870"/>
  <c r="U3871"/>
  <c r="U3872"/>
  <c r="U3873"/>
  <c r="U3874"/>
  <c r="U3875"/>
  <c r="U3876"/>
  <c r="U3877"/>
  <c r="U3878"/>
  <c r="U3879"/>
  <c r="U3880"/>
  <c r="U3881"/>
  <c r="U3882"/>
  <c r="U3883"/>
  <c r="U3884"/>
  <c r="U3885"/>
  <c r="U3886"/>
  <c r="U3887"/>
  <c r="U3888"/>
  <c r="U3889"/>
  <c r="U3890"/>
  <c r="U3891"/>
  <c r="U3892"/>
  <c r="U3893"/>
  <c r="U3894"/>
  <c r="U3895"/>
  <c r="U3896"/>
  <c r="U3897"/>
  <c r="U3898"/>
  <c r="U3899"/>
  <c r="U3900"/>
  <c r="U3901"/>
  <c r="U3902"/>
  <c r="U3903"/>
  <c r="U3904"/>
  <c r="U3905"/>
  <c r="U3906"/>
  <c r="U3907"/>
  <c r="U3908"/>
  <c r="U3909"/>
  <c r="U3910"/>
  <c r="U3911"/>
  <c r="U3912"/>
  <c r="U3913"/>
  <c r="U3914"/>
  <c r="U3915"/>
  <c r="U3916"/>
  <c r="U3917"/>
  <c r="U3918"/>
  <c r="U3919"/>
  <c r="U3920"/>
  <c r="U3921"/>
  <c r="U3922"/>
  <c r="U3923"/>
  <c r="U3924"/>
  <c r="U3925"/>
  <c r="U3926"/>
  <c r="U3927"/>
  <c r="U3928"/>
  <c r="U3929"/>
  <c r="U3930"/>
  <c r="U3931"/>
  <c r="U3932"/>
  <c r="U3933"/>
  <c r="U3934"/>
  <c r="U3935"/>
  <c r="U3936"/>
  <c r="U3937"/>
  <c r="U3938"/>
  <c r="U3939"/>
  <c r="U3940"/>
  <c r="U3941"/>
  <c r="U3942"/>
  <c r="U3943"/>
  <c r="U3944"/>
  <c r="U3945"/>
  <c r="U3946"/>
  <c r="U3947"/>
  <c r="U3948"/>
  <c r="U3949"/>
  <c r="U3950"/>
  <c r="U3951"/>
  <c r="U3952"/>
  <c r="U3953"/>
  <c r="U3954"/>
  <c r="U3955"/>
  <c r="U3956"/>
  <c r="U3957"/>
  <c r="U3958"/>
  <c r="U3959"/>
  <c r="U3960"/>
  <c r="U3961"/>
  <c r="U3962"/>
  <c r="U3963"/>
  <c r="U3964"/>
  <c r="U3965"/>
  <c r="U3966"/>
  <c r="U3967"/>
  <c r="U3968"/>
  <c r="U3969"/>
  <c r="U3970"/>
  <c r="U3971"/>
  <c r="U3972"/>
  <c r="U3973"/>
  <c r="U3974"/>
  <c r="U3975"/>
  <c r="U3976"/>
  <c r="U3977"/>
  <c r="U3978"/>
  <c r="U3979"/>
  <c r="U3980"/>
  <c r="U3981"/>
  <c r="U3982"/>
  <c r="U3983"/>
  <c r="U3984"/>
  <c r="U3985"/>
  <c r="U3986"/>
  <c r="U3987"/>
  <c r="U3988"/>
  <c r="U3989"/>
  <c r="U3990"/>
  <c r="U3991"/>
  <c r="U3992"/>
  <c r="U3993"/>
  <c r="U3994"/>
  <c r="U3995"/>
  <c r="U3996"/>
  <c r="U3997"/>
  <c r="U3998"/>
  <c r="U3999"/>
  <c r="U4000"/>
  <c r="U4001"/>
  <c r="U4002"/>
  <c r="U4003"/>
  <c r="U4004"/>
  <c r="U4005"/>
  <c r="U4006"/>
  <c r="U4007"/>
  <c r="U4008"/>
  <c r="U4009"/>
  <c r="U4010"/>
  <c r="U4011"/>
  <c r="U4012"/>
  <c r="U4013"/>
  <c r="U4014"/>
  <c r="U4015"/>
  <c r="U4016"/>
  <c r="U4017"/>
  <c r="U4018"/>
  <c r="U4019"/>
  <c r="U4020"/>
  <c r="U4021"/>
  <c r="U4022"/>
  <c r="U4023"/>
  <c r="U4024"/>
  <c r="U4025"/>
  <c r="U4026"/>
  <c r="U4027"/>
  <c r="U4028"/>
  <c r="U4029"/>
  <c r="U4030"/>
  <c r="U4031"/>
  <c r="U4032"/>
  <c r="U4033"/>
  <c r="U4034"/>
  <c r="U4035"/>
  <c r="U4036"/>
  <c r="U4037"/>
  <c r="U4038"/>
  <c r="U4039"/>
  <c r="U4040"/>
  <c r="U4041"/>
  <c r="U4042"/>
  <c r="U4043"/>
  <c r="U4044"/>
  <c r="U4045"/>
  <c r="U4046"/>
  <c r="U4047"/>
  <c r="U4048"/>
  <c r="U4049"/>
  <c r="U4050"/>
  <c r="U4051"/>
  <c r="U4052"/>
  <c r="U4053"/>
  <c r="U4054"/>
  <c r="U4055"/>
  <c r="U4056"/>
  <c r="U4057"/>
  <c r="U4058"/>
  <c r="U4059"/>
  <c r="U4060"/>
  <c r="U4061"/>
  <c r="U4062"/>
  <c r="U4063"/>
  <c r="U4064"/>
  <c r="U4065"/>
  <c r="U4066"/>
  <c r="U4067"/>
  <c r="U4068"/>
  <c r="U4069"/>
  <c r="U4070"/>
  <c r="U4071"/>
  <c r="U4072"/>
  <c r="U4073"/>
  <c r="U4074"/>
  <c r="U4075"/>
  <c r="U4076"/>
  <c r="U4077"/>
  <c r="U4078"/>
  <c r="U4079"/>
  <c r="U4080"/>
  <c r="U4081"/>
  <c r="U4082"/>
  <c r="U4083"/>
  <c r="U4084"/>
  <c r="U4085"/>
  <c r="U4086"/>
  <c r="U4087"/>
  <c r="U4088"/>
  <c r="U4089"/>
  <c r="U4090"/>
  <c r="U4091"/>
  <c r="U4092"/>
  <c r="U4093"/>
  <c r="U4094"/>
  <c r="U4095"/>
  <c r="U4096"/>
  <c r="U4097"/>
  <c r="U4098"/>
  <c r="U4099"/>
  <c r="U4100"/>
  <c r="U4101"/>
  <c r="U4102"/>
  <c r="U4103"/>
  <c r="U4104"/>
  <c r="U4105"/>
  <c r="U4106"/>
  <c r="U4107"/>
  <c r="U4108"/>
  <c r="U4109"/>
  <c r="U4110"/>
  <c r="U4111"/>
  <c r="U4112"/>
  <c r="U4113"/>
  <c r="U4114"/>
  <c r="U4115"/>
  <c r="U4116"/>
  <c r="U4117"/>
  <c r="U4118"/>
  <c r="U4119"/>
  <c r="U4120"/>
  <c r="U4121"/>
  <c r="U4122"/>
  <c r="U4123"/>
  <c r="U4124"/>
  <c r="U4125"/>
  <c r="U4126"/>
  <c r="U4127"/>
  <c r="U4128"/>
  <c r="U4129"/>
  <c r="U4130"/>
  <c r="U4131"/>
  <c r="U4132"/>
  <c r="U4133"/>
  <c r="U4134"/>
  <c r="U4135"/>
  <c r="U4136"/>
  <c r="U4137"/>
  <c r="U4138"/>
  <c r="U4139"/>
  <c r="U4140"/>
  <c r="U4141"/>
  <c r="U4142"/>
  <c r="U4143"/>
  <c r="U4144"/>
  <c r="U4145"/>
  <c r="U4146"/>
  <c r="U4147"/>
  <c r="U4148"/>
  <c r="U4149"/>
  <c r="U4150"/>
  <c r="U4151"/>
  <c r="U4152"/>
  <c r="U4153"/>
  <c r="U4154"/>
  <c r="U4155"/>
  <c r="U4156"/>
  <c r="U4157"/>
  <c r="U4158"/>
  <c r="U4159"/>
  <c r="U4160"/>
  <c r="U4161"/>
  <c r="U4162"/>
  <c r="U4163"/>
  <c r="U4164"/>
  <c r="U4165"/>
  <c r="U4166"/>
  <c r="U4167"/>
  <c r="U4168"/>
  <c r="U4169"/>
  <c r="U4170"/>
  <c r="U4171"/>
  <c r="U4172"/>
  <c r="U4173"/>
  <c r="U4174"/>
  <c r="U4175"/>
  <c r="U4176"/>
  <c r="U4177"/>
  <c r="U4178"/>
  <c r="U4179"/>
  <c r="U4180"/>
  <c r="U4181"/>
  <c r="U4182"/>
  <c r="U4183"/>
  <c r="U4184"/>
  <c r="U4185"/>
  <c r="U4186"/>
  <c r="U4187"/>
  <c r="U4188"/>
  <c r="U4189"/>
  <c r="U4190"/>
  <c r="U4191"/>
  <c r="U4192"/>
  <c r="U4193"/>
  <c r="U4194"/>
  <c r="U4195"/>
  <c r="U4196"/>
  <c r="U4197"/>
  <c r="U4198"/>
  <c r="U4199"/>
  <c r="U4200"/>
  <c r="U4201"/>
  <c r="U4202"/>
  <c r="U4203"/>
  <c r="U4204"/>
  <c r="U4205"/>
  <c r="U4206"/>
  <c r="U4207"/>
  <c r="U4208"/>
  <c r="U4209"/>
  <c r="U4210"/>
  <c r="U4211"/>
  <c r="U4212"/>
  <c r="U4213"/>
  <c r="U4214"/>
  <c r="U4215"/>
  <c r="U4216"/>
  <c r="U4217"/>
  <c r="U4218"/>
  <c r="U4219"/>
  <c r="U4220"/>
  <c r="U4221"/>
  <c r="U4222"/>
  <c r="U4223"/>
  <c r="U4224"/>
  <c r="U4225"/>
  <c r="U4226"/>
  <c r="U4227"/>
  <c r="U4228"/>
  <c r="U4229"/>
  <c r="U4230"/>
  <c r="U4231"/>
  <c r="U4232"/>
  <c r="U4233"/>
  <c r="U4234"/>
  <c r="U4235"/>
  <c r="U4236"/>
  <c r="U4237"/>
  <c r="U4238"/>
  <c r="U4239"/>
  <c r="U4240"/>
  <c r="U4241"/>
  <c r="U4242"/>
  <c r="U4243"/>
  <c r="U4244"/>
  <c r="U4245"/>
  <c r="U4246"/>
  <c r="U4247"/>
  <c r="U4248"/>
  <c r="U4249"/>
  <c r="U4250"/>
  <c r="U4251"/>
  <c r="U4252"/>
  <c r="U4253"/>
  <c r="U4254"/>
  <c r="U4255"/>
  <c r="U4256"/>
  <c r="U4257"/>
  <c r="U4258"/>
  <c r="U4259"/>
  <c r="U4260"/>
  <c r="U4261"/>
  <c r="U4262"/>
  <c r="U4263"/>
  <c r="U4264"/>
  <c r="U4265"/>
  <c r="U4266"/>
  <c r="U4267"/>
  <c r="U4268"/>
  <c r="U4269"/>
  <c r="U4270"/>
  <c r="U4271"/>
  <c r="U4272"/>
  <c r="U4273"/>
  <c r="U4274"/>
  <c r="U4275"/>
  <c r="U4276"/>
  <c r="U4277"/>
  <c r="U4278"/>
  <c r="U4279"/>
  <c r="U4280"/>
  <c r="U4281"/>
  <c r="U4282"/>
  <c r="U4283"/>
  <c r="U4284"/>
  <c r="U4285"/>
  <c r="U4286"/>
  <c r="U4287"/>
  <c r="U4288"/>
  <c r="U4289"/>
  <c r="U4290"/>
  <c r="U4291"/>
  <c r="U4292"/>
  <c r="U4293"/>
  <c r="U4294"/>
  <c r="U4295"/>
  <c r="U4296"/>
  <c r="U4297"/>
  <c r="U4298"/>
  <c r="U4299"/>
  <c r="U4300"/>
  <c r="U4301"/>
  <c r="U4302"/>
  <c r="U4303"/>
  <c r="U4304"/>
  <c r="U4305"/>
  <c r="U4306"/>
  <c r="U4307"/>
  <c r="U4308"/>
  <c r="U4309"/>
  <c r="U4310"/>
  <c r="U4311"/>
  <c r="U4312"/>
  <c r="U4313"/>
  <c r="U4314"/>
  <c r="U4315"/>
  <c r="U4316"/>
  <c r="U4317"/>
  <c r="U4318"/>
  <c r="U4319"/>
  <c r="U4320"/>
  <c r="U4321"/>
  <c r="U4322"/>
  <c r="U4323"/>
  <c r="U4324"/>
  <c r="U4325"/>
  <c r="U4326"/>
  <c r="U4327"/>
  <c r="U4328"/>
  <c r="U4329"/>
  <c r="U4330"/>
  <c r="U4331"/>
  <c r="U4332"/>
  <c r="U4333"/>
  <c r="U4334"/>
  <c r="U4335"/>
  <c r="U4336"/>
  <c r="U4337"/>
  <c r="U4338"/>
  <c r="U4339"/>
  <c r="U4340"/>
  <c r="U4341"/>
  <c r="U4342"/>
  <c r="U4343"/>
  <c r="U4344"/>
  <c r="U4345"/>
  <c r="U4346"/>
  <c r="U4347"/>
  <c r="U4348"/>
  <c r="U4349"/>
  <c r="U4350"/>
  <c r="U4351"/>
  <c r="U4352"/>
  <c r="U4353"/>
  <c r="U4354"/>
  <c r="U4355"/>
  <c r="U4356"/>
  <c r="U4357"/>
  <c r="U4358"/>
  <c r="U4359"/>
  <c r="U4360"/>
  <c r="U4361"/>
  <c r="U4362"/>
  <c r="U4363"/>
  <c r="U4364"/>
  <c r="U4365"/>
  <c r="U4366"/>
  <c r="U4367"/>
  <c r="U4368"/>
  <c r="U4369"/>
  <c r="U4370"/>
  <c r="U4371"/>
  <c r="U4372"/>
  <c r="U4373"/>
  <c r="U4374"/>
  <c r="U4375"/>
  <c r="U4376"/>
  <c r="U4377"/>
  <c r="U4378"/>
  <c r="U4379"/>
  <c r="U4380"/>
  <c r="U4381"/>
  <c r="U4382"/>
  <c r="U4383"/>
  <c r="U4384"/>
  <c r="U4385"/>
  <c r="U4386"/>
  <c r="U4387"/>
  <c r="U4388"/>
  <c r="U4389"/>
  <c r="U4390"/>
  <c r="U4391"/>
  <c r="U4392"/>
  <c r="U4393"/>
  <c r="U4394"/>
  <c r="U4395"/>
  <c r="U4396"/>
  <c r="U4397"/>
  <c r="U4398"/>
  <c r="U4399"/>
  <c r="U4400"/>
  <c r="U4401"/>
  <c r="U4402"/>
  <c r="U4403"/>
  <c r="U4404"/>
  <c r="U4405"/>
  <c r="U4406"/>
  <c r="U4407"/>
  <c r="U4408"/>
  <c r="U4409"/>
  <c r="U4410"/>
  <c r="U4411"/>
  <c r="U4412"/>
  <c r="U4413"/>
  <c r="U4414"/>
  <c r="U4415"/>
  <c r="U4416"/>
  <c r="U4417"/>
  <c r="U4418"/>
  <c r="U4419"/>
  <c r="U4420"/>
  <c r="U4421"/>
  <c r="U4422"/>
  <c r="U4423"/>
  <c r="U4424"/>
  <c r="U4425"/>
  <c r="U4426"/>
  <c r="U4427"/>
  <c r="U4428"/>
  <c r="U4429"/>
  <c r="U4430"/>
  <c r="U4431"/>
  <c r="U4432"/>
  <c r="U4433"/>
  <c r="U4434"/>
  <c r="U4435"/>
  <c r="U4436"/>
  <c r="U4437"/>
  <c r="U4438"/>
  <c r="U4439"/>
  <c r="U4440"/>
  <c r="U4441"/>
  <c r="U4442"/>
  <c r="U4443"/>
  <c r="U4444"/>
  <c r="U4445"/>
  <c r="U4446"/>
  <c r="U4447"/>
  <c r="U4448"/>
  <c r="U4449"/>
  <c r="U4450"/>
  <c r="U4451"/>
  <c r="U4452"/>
  <c r="U4453"/>
  <c r="U4454"/>
  <c r="U4455"/>
  <c r="U4456"/>
  <c r="U4457"/>
  <c r="U4458"/>
  <c r="U4459"/>
  <c r="U4460"/>
  <c r="U4461"/>
  <c r="U4462"/>
  <c r="U4463"/>
  <c r="U4464"/>
  <c r="U4465"/>
  <c r="U4466"/>
  <c r="U4467"/>
  <c r="U4468"/>
  <c r="U4469"/>
  <c r="U4470"/>
  <c r="U4471"/>
  <c r="U4472"/>
  <c r="U4473"/>
  <c r="U4474"/>
  <c r="U4475"/>
  <c r="U4476"/>
  <c r="U4477"/>
  <c r="U4478"/>
  <c r="U4479"/>
  <c r="U4480"/>
  <c r="U4481"/>
  <c r="U4482"/>
  <c r="U4483"/>
  <c r="U4484"/>
  <c r="U4485"/>
  <c r="U4486"/>
  <c r="U4487"/>
  <c r="U4488"/>
  <c r="U4489"/>
  <c r="U4490"/>
  <c r="U4491"/>
  <c r="U4492"/>
  <c r="U4493"/>
  <c r="U4494"/>
  <c r="U4495"/>
  <c r="U4496"/>
  <c r="U4497"/>
  <c r="U4498"/>
  <c r="U4499"/>
  <c r="U4500"/>
  <c r="U4501"/>
  <c r="U4502"/>
  <c r="U4503"/>
  <c r="U4504"/>
  <c r="U4505"/>
  <c r="U4506"/>
  <c r="U4507"/>
  <c r="U4508"/>
  <c r="U4509"/>
  <c r="U4510"/>
  <c r="U4511"/>
  <c r="U4512"/>
  <c r="U4513"/>
  <c r="U4514"/>
  <c r="U4515"/>
  <c r="U4516"/>
  <c r="U4517"/>
  <c r="U4518"/>
  <c r="U4519"/>
  <c r="U4520"/>
  <c r="U4521"/>
  <c r="U4522"/>
  <c r="U4523"/>
  <c r="U4524"/>
  <c r="U4525"/>
  <c r="U4526"/>
  <c r="U4527"/>
  <c r="U4528"/>
  <c r="U4529"/>
  <c r="U4530"/>
  <c r="U4531"/>
  <c r="U4532"/>
  <c r="U4533"/>
  <c r="U4534"/>
  <c r="U4535"/>
  <c r="U4536"/>
  <c r="U4537"/>
  <c r="U4538"/>
  <c r="U4539"/>
  <c r="U4540"/>
  <c r="U4541"/>
  <c r="U4542"/>
  <c r="U4543"/>
  <c r="U4544"/>
  <c r="U4545"/>
  <c r="U4546"/>
  <c r="U4547"/>
  <c r="U4548"/>
  <c r="U4549"/>
  <c r="U4550"/>
  <c r="U4551"/>
  <c r="U4552"/>
  <c r="U4553"/>
  <c r="U4554"/>
  <c r="U4555"/>
  <c r="U4556"/>
  <c r="U4557"/>
  <c r="U4558"/>
  <c r="U4559"/>
  <c r="U4560"/>
  <c r="U4561"/>
  <c r="U4562"/>
  <c r="U4563"/>
  <c r="U4564"/>
  <c r="U4565"/>
  <c r="U4566"/>
  <c r="U4567"/>
  <c r="U4568"/>
  <c r="U4569"/>
  <c r="U4570"/>
  <c r="U4571"/>
  <c r="U4572"/>
  <c r="U4573"/>
  <c r="U4574"/>
  <c r="U4575"/>
  <c r="U4576"/>
  <c r="U4577"/>
  <c r="U4578"/>
  <c r="U4579"/>
  <c r="U4580"/>
  <c r="U4581"/>
  <c r="U4582"/>
  <c r="U4583"/>
  <c r="U4584"/>
  <c r="U4585"/>
  <c r="U4586"/>
  <c r="U4587"/>
  <c r="U4588"/>
  <c r="U4589"/>
  <c r="U4590"/>
  <c r="U4591"/>
  <c r="U4592"/>
  <c r="U4593"/>
  <c r="U4594"/>
  <c r="U4595"/>
  <c r="U4596"/>
  <c r="U4597"/>
  <c r="U4598"/>
  <c r="U4599"/>
  <c r="U4600"/>
  <c r="U4601"/>
  <c r="U4602"/>
  <c r="U4603"/>
  <c r="U4604"/>
  <c r="U4605"/>
  <c r="U4606"/>
  <c r="U4607"/>
  <c r="U4608"/>
  <c r="U4609"/>
  <c r="U4610"/>
  <c r="U4611"/>
  <c r="U4612"/>
  <c r="U4613"/>
  <c r="U4614"/>
  <c r="U4615"/>
  <c r="U4616"/>
  <c r="U4617"/>
  <c r="U4618"/>
  <c r="U4619"/>
  <c r="U4620"/>
  <c r="U4621"/>
  <c r="U4622"/>
  <c r="U4623"/>
  <c r="U4624"/>
  <c r="U4625"/>
  <c r="U4626"/>
  <c r="U4627"/>
  <c r="U4628"/>
  <c r="U4629"/>
  <c r="U4630"/>
  <c r="U4631"/>
  <c r="U4632"/>
  <c r="U4633"/>
  <c r="U4634"/>
  <c r="U4635"/>
  <c r="U4636"/>
  <c r="U4637"/>
  <c r="U4638"/>
  <c r="U4639"/>
  <c r="U4640"/>
  <c r="U4641"/>
  <c r="U4642"/>
  <c r="U4643"/>
  <c r="U4644"/>
  <c r="U4645"/>
  <c r="U4646"/>
  <c r="U4647"/>
  <c r="U4648"/>
  <c r="U4649"/>
  <c r="U4650"/>
  <c r="U4651"/>
  <c r="U4652"/>
  <c r="U4653"/>
  <c r="U4654"/>
  <c r="U4655"/>
  <c r="U4656"/>
  <c r="U4657"/>
  <c r="U4658"/>
  <c r="U4659"/>
  <c r="U4660"/>
  <c r="U4661"/>
  <c r="U4662"/>
  <c r="U4663"/>
  <c r="U4664"/>
  <c r="U4665"/>
  <c r="U4666"/>
  <c r="U4667"/>
  <c r="U4668"/>
  <c r="U4669"/>
  <c r="U4670"/>
  <c r="U4671"/>
  <c r="U4672"/>
  <c r="U4673"/>
  <c r="U4674"/>
  <c r="U4675"/>
  <c r="U4676"/>
  <c r="U4677"/>
  <c r="U4678"/>
  <c r="U4679"/>
  <c r="U4680"/>
  <c r="U4681"/>
  <c r="U4682"/>
  <c r="U4683"/>
  <c r="U4684"/>
  <c r="U4685"/>
  <c r="U4686"/>
  <c r="U4687"/>
  <c r="U4688"/>
  <c r="U4689"/>
  <c r="U4690"/>
  <c r="U4691"/>
  <c r="U4692"/>
  <c r="U4693"/>
  <c r="U4694"/>
  <c r="U4695"/>
  <c r="U4696"/>
  <c r="U4697"/>
  <c r="U4698"/>
  <c r="U4699"/>
  <c r="U4700"/>
  <c r="U4701"/>
  <c r="U4702"/>
  <c r="U4703"/>
  <c r="U4704"/>
  <c r="U4705"/>
  <c r="U4706"/>
  <c r="U4707"/>
  <c r="U4708"/>
  <c r="U4709"/>
  <c r="U4710"/>
  <c r="U4711"/>
  <c r="U4712"/>
  <c r="U4713"/>
  <c r="U4714"/>
  <c r="U4715"/>
  <c r="U4716"/>
  <c r="U4717"/>
  <c r="U4718"/>
  <c r="U4719"/>
  <c r="U4720"/>
  <c r="U4721"/>
  <c r="U4722"/>
  <c r="U4723"/>
  <c r="U4724"/>
  <c r="U4725"/>
  <c r="U4726"/>
  <c r="U4727"/>
  <c r="U4728"/>
  <c r="U4729"/>
  <c r="U4730"/>
  <c r="U4731"/>
  <c r="U4732"/>
  <c r="U4733"/>
  <c r="U4734"/>
  <c r="U4735"/>
  <c r="U4736"/>
  <c r="U4737"/>
  <c r="U4738"/>
  <c r="U4739"/>
  <c r="U4740"/>
  <c r="U4741"/>
  <c r="U4742"/>
  <c r="U4743"/>
  <c r="U4744"/>
  <c r="U4745"/>
  <c r="U4746"/>
  <c r="U4747"/>
  <c r="U4748"/>
  <c r="U4749"/>
  <c r="U4750"/>
  <c r="U4751"/>
  <c r="U4752"/>
  <c r="U4753"/>
  <c r="U4754"/>
  <c r="U4755"/>
  <c r="U4756"/>
  <c r="U4757"/>
  <c r="U4758"/>
  <c r="U4759"/>
  <c r="U4760"/>
  <c r="U4761"/>
  <c r="U4762"/>
  <c r="U4763"/>
  <c r="U4764"/>
  <c r="U4765"/>
  <c r="U4766"/>
  <c r="U4767"/>
  <c r="U4768"/>
  <c r="U4769"/>
  <c r="U4770"/>
  <c r="U4771"/>
  <c r="U4772"/>
  <c r="U4773"/>
  <c r="U4774"/>
  <c r="U4775"/>
  <c r="U4776"/>
  <c r="U4777"/>
  <c r="U4778"/>
  <c r="U4779"/>
  <c r="U4780"/>
  <c r="U4781"/>
  <c r="U4782"/>
  <c r="U4783"/>
  <c r="U4784"/>
  <c r="U4785"/>
  <c r="U4786"/>
  <c r="U4787"/>
  <c r="U4788"/>
  <c r="U4789"/>
  <c r="U4790"/>
  <c r="U4791"/>
  <c r="U4792"/>
  <c r="U4793"/>
  <c r="U4794"/>
  <c r="U4795"/>
  <c r="U4796"/>
  <c r="U4797"/>
  <c r="U4798"/>
  <c r="U4799"/>
  <c r="U4800"/>
  <c r="U4801"/>
  <c r="U4802"/>
  <c r="U4803"/>
  <c r="U4804"/>
  <c r="U4805"/>
  <c r="U4806"/>
  <c r="U4807"/>
  <c r="U4808"/>
  <c r="U4809"/>
  <c r="U4810"/>
  <c r="U4811"/>
  <c r="U4812"/>
  <c r="U4813"/>
  <c r="U4814"/>
  <c r="U4815"/>
  <c r="U4816"/>
  <c r="U4817"/>
  <c r="U4818"/>
  <c r="U4819"/>
  <c r="U4820"/>
  <c r="U4821"/>
  <c r="U4822"/>
  <c r="U4823"/>
  <c r="U4824"/>
  <c r="U4825"/>
  <c r="U4826"/>
  <c r="U4827"/>
  <c r="U4828"/>
  <c r="U4829"/>
  <c r="U4830"/>
  <c r="U4831"/>
  <c r="U4832"/>
  <c r="U4833"/>
  <c r="U4834"/>
  <c r="U4835"/>
  <c r="U4836"/>
  <c r="U4837"/>
  <c r="U4838"/>
  <c r="U4839"/>
  <c r="U4840"/>
  <c r="U4841"/>
  <c r="U4842"/>
  <c r="U4843"/>
  <c r="U4844"/>
  <c r="U4845"/>
  <c r="U4846"/>
  <c r="U4847"/>
  <c r="U4848"/>
  <c r="U4849"/>
  <c r="U4850"/>
  <c r="U4851"/>
  <c r="U4852"/>
  <c r="U4853"/>
  <c r="U4854"/>
  <c r="U4855"/>
  <c r="U4856"/>
  <c r="U4857"/>
  <c r="U4858"/>
  <c r="U4859"/>
  <c r="U4860"/>
  <c r="U4861"/>
  <c r="U4862"/>
  <c r="U4863"/>
  <c r="U4864"/>
  <c r="U4865"/>
  <c r="U4866"/>
  <c r="U4867"/>
  <c r="U4868"/>
  <c r="U4869"/>
  <c r="U4870"/>
  <c r="U4871"/>
  <c r="U4872"/>
  <c r="U4873"/>
  <c r="U4874"/>
  <c r="U4875"/>
  <c r="U4876"/>
  <c r="U4877"/>
  <c r="U4878"/>
  <c r="U4879"/>
  <c r="U4880"/>
  <c r="U4881"/>
  <c r="U4882"/>
  <c r="U4883"/>
  <c r="U4884"/>
  <c r="U4885"/>
  <c r="U4886"/>
  <c r="U4887"/>
  <c r="U4888"/>
  <c r="U4889"/>
  <c r="U4890"/>
  <c r="U4891"/>
  <c r="U4892"/>
  <c r="U4893"/>
  <c r="U4894"/>
  <c r="U4895"/>
  <c r="U4896"/>
  <c r="U4897"/>
  <c r="U4898"/>
  <c r="U4899"/>
  <c r="U4900"/>
  <c r="U4901"/>
  <c r="U4902"/>
  <c r="U4903"/>
  <c r="U4904"/>
  <c r="U4905"/>
  <c r="U4906"/>
  <c r="U4907"/>
  <c r="U4908"/>
  <c r="U4909"/>
  <c r="U4910"/>
  <c r="U4911"/>
  <c r="U4912"/>
  <c r="U4913"/>
  <c r="U4914"/>
  <c r="U4915"/>
  <c r="U4916"/>
  <c r="U4917"/>
  <c r="U4918"/>
  <c r="U4919"/>
  <c r="U4920"/>
  <c r="U4921"/>
  <c r="U4922"/>
  <c r="U4923"/>
  <c r="U4924"/>
  <c r="U4925"/>
  <c r="U4926"/>
  <c r="U4927"/>
  <c r="U4928"/>
  <c r="U4929"/>
  <c r="U4930"/>
  <c r="U4931"/>
  <c r="U4932"/>
  <c r="U4933"/>
  <c r="U4934"/>
  <c r="U4935"/>
  <c r="U4936"/>
  <c r="U4937"/>
  <c r="U4938"/>
  <c r="U4939"/>
  <c r="U4940"/>
  <c r="U4941"/>
  <c r="U4942"/>
  <c r="U4943"/>
  <c r="U4944"/>
  <c r="U4945"/>
  <c r="U4946"/>
  <c r="U4947"/>
  <c r="U4948"/>
  <c r="U4949"/>
  <c r="U4950"/>
  <c r="U4951"/>
  <c r="U4952"/>
  <c r="U4953"/>
  <c r="U4954"/>
  <c r="U4955"/>
  <c r="U4956"/>
  <c r="U4957"/>
  <c r="U4958"/>
  <c r="U4959"/>
  <c r="U4960"/>
  <c r="U4961"/>
  <c r="U4962"/>
  <c r="U4963"/>
  <c r="U4964"/>
  <c r="U4965"/>
  <c r="U4966"/>
  <c r="U4967"/>
  <c r="U4968"/>
  <c r="U4969"/>
  <c r="U4970"/>
  <c r="U4971"/>
  <c r="U4972"/>
  <c r="U4973"/>
  <c r="U4974"/>
  <c r="U4975"/>
  <c r="U4976"/>
  <c r="U4977"/>
  <c r="U4978"/>
  <c r="U4979"/>
  <c r="U4980"/>
  <c r="U4981"/>
  <c r="U4982"/>
  <c r="U4983"/>
  <c r="U4984"/>
  <c r="U4985"/>
  <c r="U4986"/>
  <c r="U4987"/>
  <c r="U4988"/>
  <c r="U4989"/>
  <c r="U4990"/>
  <c r="U4991"/>
  <c r="U4992"/>
  <c r="U4993"/>
  <c r="U4994"/>
  <c r="U4995"/>
  <c r="U4996"/>
  <c r="U4997"/>
  <c r="U4998"/>
  <c r="U4999"/>
  <c r="U5000"/>
  <c r="U5001"/>
  <c r="U5002"/>
  <c r="U5003"/>
  <c r="U5004"/>
  <c r="U5005"/>
  <c r="U5006"/>
  <c r="U5007"/>
  <c r="U5008"/>
  <c r="U5009"/>
  <c r="U5010"/>
  <c r="U5011"/>
  <c r="U5012"/>
  <c r="U5013"/>
  <c r="U5014"/>
  <c r="U5015"/>
  <c r="U5016"/>
  <c r="U5017"/>
  <c r="U5018"/>
  <c r="U5019"/>
  <c r="U5020"/>
  <c r="U5021"/>
  <c r="U5022"/>
  <c r="U5023"/>
  <c r="U5024"/>
  <c r="U5025"/>
  <c r="U5026"/>
  <c r="U5027"/>
  <c r="U5028"/>
  <c r="U5029"/>
  <c r="U5030"/>
  <c r="U5031"/>
  <c r="U5032"/>
  <c r="U5033"/>
  <c r="U5034"/>
  <c r="U5035"/>
  <c r="U5036"/>
  <c r="U5037"/>
  <c r="U5038"/>
  <c r="U5039"/>
  <c r="U5040"/>
  <c r="U5041"/>
  <c r="U5042"/>
  <c r="U5043"/>
  <c r="U5044"/>
  <c r="U5045"/>
  <c r="U5046"/>
  <c r="U5047"/>
  <c r="U5048"/>
  <c r="U5049"/>
  <c r="U5050"/>
  <c r="U5051"/>
  <c r="U5052"/>
  <c r="U5053"/>
  <c r="U5054"/>
  <c r="U5055"/>
  <c r="U5056"/>
  <c r="U5057"/>
  <c r="U5058"/>
  <c r="U5059"/>
  <c r="U5060"/>
  <c r="U5061"/>
  <c r="U5062"/>
  <c r="U5063"/>
  <c r="U5064"/>
  <c r="U5065"/>
  <c r="U5066"/>
  <c r="U5067"/>
  <c r="U5068"/>
  <c r="U5069"/>
  <c r="U5070"/>
  <c r="U5071"/>
  <c r="U5072"/>
  <c r="U5073"/>
  <c r="U5074"/>
  <c r="U5075"/>
  <c r="U5076"/>
  <c r="U5077"/>
  <c r="U5078"/>
  <c r="U5079"/>
  <c r="U5080"/>
  <c r="U5081"/>
  <c r="U5082"/>
  <c r="U5083"/>
  <c r="U5084"/>
  <c r="U5085"/>
  <c r="U5086"/>
  <c r="U5087"/>
  <c r="U5088"/>
  <c r="U5089"/>
  <c r="U5090"/>
  <c r="U5091"/>
  <c r="U5092"/>
  <c r="U5093"/>
  <c r="U5094"/>
  <c r="U5095"/>
  <c r="U5096"/>
  <c r="U5097"/>
  <c r="U5098"/>
  <c r="U5099"/>
  <c r="U5100"/>
  <c r="U5101"/>
  <c r="U5102"/>
  <c r="U5103"/>
  <c r="U5104"/>
  <c r="U5105"/>
  <c r="U5106"/>
  <c r="U5107"/>
  <c r="U5108"/>
  <c r="U5109"/>
  <c r="U5110"/>
  <c r="U5111"/>
  <c r="U5112"/>
  <c r="U5113"/>
  <c r="U5114"/>
  <c r="U5115"/>
  <c r="U5116"/>
  <c r="U5117"/>
  <c r="U5118"/>
  <c r="U5119"/>
  <c r="U5120"/>
  <c r="U5121"/>
  <c r="U5122"/>
  <c r="U5123"/>
  <c r="U5124"/>
  <c r="U5125"/>
  <c r="U5126"/>
  <c r="U5127"/>
  <c r="U5128"/>
  <c r="U5129"/>
  <c r="U5130"/>
  <c r="U5131"/>
  <c r="U5132"/>
  <c r="U5133"/>
  <c r="U5134"/>
  <c r="U5135"/>
  <c r="U5136"/>
  <c r="U5137"/>
  <c r="U5138"/>
  <c r="U5139"/>
  <c r="U5140"/>
  <c r="U5141"/>
  <c r="U5142"/>
  <c r="U5143"/>
  <c r="U5144"/>
  <c r="U5145"/>
  <c r="U5146"/>
  <c r="U5147"/>
  <c r="U5148"/>
  <c r="U5149"/>
  <c r="U5150"/>
  <c r="U5151"/>
  <c r="U5152"/>
  <c r="U5153"/>
  <c r="U5154"/>
  <c r="U5155"/>
  <c r="U5156"/>
  <c r="U5157"/>
  <c r="U5158"/>
  <c r="U5159"/>
  <c r="U5160"/>
  <c r="U5161"/>
  <c r="U5162"/>
  <c r="U5163"/>
  <c r="U5164"/>
  <c r="U5165"/>
  <c r="U5166"/>
  <c r="U5167"/>
  <c r="U5168"/>
  <c r="U5169"/>
  <c r="U5170"/>
  <c r="U5171"/>
  <c r="U5172"/>
  <c r="U5173"/>
  <c r="U5174"/>
  <c r="U5175"/>
  <c r="U5176"/>
  <c r="U5177"/>
  <c r="U5178"/>
  <c r="U5179"/>
  <c r="U5180"/>
  <c r="U5181"/>
  <c r="U5182"/>
  <c r="U5183"/>
  <c r="U5184"/>
  <c r="U5185"/>
  <c r="U5186"/>
  <c r="U5187"/>
  <c r="U5188"/>
  <c r="U5189"/>
  <c r="U5190"/>
  <c r="U5191"/>
  <c r="U5192"/>
  <c r="U5193"/>
  <c r="U5194"/>
  <c r="U5195"/>
  <c r="U5196"/>
  <c r="U5197"/>
  <c r="U5198"/>
  <c r="U5199"/>
  <c r="U5200"/>
  <c r="U5201"/>
  <c r="U5202"/>
  <c r="U5203"/>
  <c r="U5204"/>
  <c r="U5205"/>
  <c r="U5206"/>
  <c r="U5207"/>
  <c r="U5208"/>
  <c r="U5209"/>
  <c r="U5210"/>
  <c r="U5211"/>
  <c r="U5212"/>
  <c r="U5213"/>
  <c r="U5214"/>
  <c r="U5215"/>
  <c r="U5216"/>
  <c r="U5217"/>
  <c r="U5218"/>
  <c r="U5219"/>
  <c r="U5220"/>
  <c r="U5221"/>
  <c r="U5222"/>
  <c r="U5223"/>
  <c r="U5224"/>
  <c r="U5225"/>
  <c r="U5226"/>
  <c r="U5227"/>
  <c r="U5228"/>
  <c r="U5229"/>
  <c r="U5230"/>
  <c r="U5231"/>
  <c r="U5232"/>
  <c r="U5233"/>
  <c r="U5234"/>
  <c r="U5235"/>
  <c r="U5236"/>
  <c r="U5237"/>
  <c r="U5238"/>
  <c r="U5239"/>
  <c r="U5240"/>
  <c r="U5241"/>
  <c r="U5242"/>
  <c r="U5243"/>
  <c r="U5244"/>
  <c r="U5245"/>
  <c r="U5246"/>
  <c r="U5247"/>
  <c r="U5248"/>
  <c r="U5249"/>
  <c r="U5250"/>
  <c r="U5251"/>
  <c r="U5252"/>
  <c r="U5253"/>
  <c r="U5254"/>
  <c r="U5255"/>
  <c r="U5256"/>
  <c r="U5257"/>
  <c r="U5258"/>
  <c r="U5259"/>
  <c r="U5260"/>
  <c r="U5261"/>
  <c r="U5262"/>
  <c r="U5263"/>
  <c r="U5264"/>
  <c r="U5265"/>
  <c r="U5266"/>
  <c r="U5267"/>
  <c r="U5268"/>
  <c r="U5269"/>
  <c r="U5270"/>
  <c r="U5271"/>
  <c r="U5272"/>
  <c r="U5273"/>
  <c r="U5274"/>
  <c r="U5275"/>
  <c r="U5276"/>
  <c r="U5277"/>
  <c r="U5278"/>
  <c r="U5279"/>
  <c r="U5280"/>
  <c r="U5281"/>
  <c r="U5282"/>
  <c r="U5283"/>
  <c r="U5284"/>
  <c r="U5285"/>
  <c r="U5286"/>
  <c r="U5287"/>
  <c r="U5288"/>
  <c r="U5289"/>
  <c r="U5290"/>
  <c r="U5291"/>
  <c r="U5292"/>
  <c r="U5293"/>
  <c r="U5294"/>
  <c r="U5295"/>
  <c r="U5296"/>
  <c r="U5297"/>
  <c r="U5298"/>
  <c r="U5299"/>
  <c r="U5300"/>
  <c r="U5301"/>
  <c r="U5302"/>
  <c r="U5303"/>
  <c r="U5304"/>
  <c r="U5305"/>
  <c r="U5306"/>
  <c r="U5307"/>
  <c r="U5308"/>
  <c r="U5309"/>
  <c r="U5310"/>
  <c r="U5311"/>
  <c r="U5312"/>
  <c r="U5313"/>
  <c r="U5314"/>
  <c r="U5315"/>
  <c r="U5316"/>
  <c r="U5317"/>
  <c r="U5318"/>
  <c r="U5319"/>
  <c r="U5320"/>
  <c r="U5321"/>
  <c r="U5322"/>
  <c r="U5323"/>
  <c r="U5324"/>
  <c r="U5325"/>
  <c r="U5326"/>
  <c r="U5327"/>
  <c r="U5328"/>
  <c r="U5329"/>
  <c r="U5330"/>
  <c r="U5331"/>
  <c r="U5332"/>
  <c r="U5333"/>
  <c r="U5334"/>
  <c r="U5335"/>
  <c r="U5336"/>
  <c r="U5337"/>
  <c r="U5338"/>
  <c r="U5339"/>
  <c r="U5340"/>
  <c r="U5341"/>
  <c r="U5342"/>
  <c r="U5343"/>
  <c r="U5344"/>
  <c r="U5345"/>
  <c r="U5346"/>
  <c r="U5347"/>
  <c r="U5348"/>
  <c r="U5349"/>
  <c r="U5350"/>
  <c r="U5351"/>
  <c r="U5352"/>
  <c r="U5353"/>
  <c r="U5354"/>
  <c r="U5355"/>
  <c r="U5356"/>
  <c r="U5357"/>
  <c r="U5358"/>
  <c r="U5359"/>
  <c r="U5360"/>
  <c r="U5361"/>
  <c r="U5362"/>
  <c r="U5363"/>
  <c r="U5364"/>
  <c r="U5365"/>
  <c r="U5366"/>
  <c r="U5367"/>
  <c r="U5368"/>
  <c r="U5369"/>
  <c r="U5370"/>
  <c r="U5371"/>
  <c r="U5372"/>
  <c r="U5373"/>
  <c r="U5374"/>
  <c r="U5375"/>
  <c r="U5376"/>
  <c r="U5377"/>
  <c r="U5378"/>
  <c r="U5379"/>
  <c r="U5380"/>
  <c r="U5381"/>
  <c r="U5382"/>
  <c r="U5383"/>
  <c r="U5384"/>
  <c r="U5385"/>
  <c r="U5386"/>
  <c r="U5387"/>
  <c r="U5388"/>
  <c r="U5389"/>
  <c r="U5390"/>
  <c r="U5391"/>
  <c r="U5392"/>
  <c r="U5393"/>
  <c r="U5394"/>
  <c r="U5395"/>
  <c r="U5396"/>
  <c r="U5397"/>
  <c r="U5398"/>
  <c r="U5399"/>
  <c r="U5400"/>
  <c r="U5401"/>
  <c r="U5402"/>
  <c r="U5403"/>
  <c r="U5404"/>
  <c r="U5405"/>
  <c r="U5406"/>
  <c r="U5407"/>
  <c r="U5408"/>
  <c r="U5409"/>
  <c r="U5410"/>
  <c r="U5411"/>
  <c r="U5412"/>
  <c r="U5413"/>
  <c r="U5414"/>
  <c r="U5415"/>
  <c r="U5416"/>
  <c r="U5417"/>
  <c r="U5418"/>
  <c r="U5419"/>
  <c r="U5420"/>
  <c r="U5421"/>
  <c r="U5422"/>
  <c r="U5423"/>
  <c r="U5424"/>
  <c r="U5425"/>
  <c r="U5426"/>
  <c r="U5427"/>
  <c r="U5428"/>
  <c r="U5429"/>
  <c r="U5430"/>
  <c r="U5431"/>
  <c r="U5432"/>
  <c r="U5433"/>
  <c r="U5434"/>
  <c r="U5435"/>
  <c r="U5436"/>
  <c r="U5437"/>
  <c r="U5438"/>
  <c r="U5439"/>
  <c r="U5440"/>
  <c r="U5441"/>
  <c r="U5442"/>
  <c r="U5443"/>
  <c r="U5444"/>
  <c r="U5445"/>
  <c r="U5446"/>
  <c r="U5447"/>
  <c r="U5448"/>
  <c r="U5449"/>
  <c r="U5450"/>
  <c r="U5451"/>
  <c r="U5452"/>
  <c r="U5453"/>
  <c r="U5454"/>
  <c r="U5455"/>
  <c r="U5456"/>
  <c r="U5457"/>
  <c r="U5458"/>
  <c r="U5459"/>
  <c r="U5460"/>
  <c r="U5461"/>
  <c r="U5462"/>
  <c r="U5463"/>
  <c r="U5464"/>
  <c r="U5465"/>
  <c r="U5466"/>
  <c r="U5467"/>
  <c r="U5468"/>
  <c r="U5469"/>
  <c r="U5470"/>
  <c r="U5471"/>
  <c r="U5472"/>
  <c r="U5473"/>
  <c r="U5474"/>
  <c r="U5475"/>
  <c r="U5476"/>
  <c r="U5477"/>
  <c r="U5478"/>
  <c r="U5479"/>
  <c r="U5480"/>
  <c r="U5481"/>
  <c r="U5482"/>
  <c r="U5483"/>
  <c r="U5484"/>
  <c r="U5485"/>
  <c r="U5486"/>
  <c r="U5487"/>
  <c r="U5488"/>
  <c r="U5489"/>
  <c r="U5490"/>
  <c r="U5491"/>
  <c r="U5492"/>
  <c r="U5493"/>
  <c r="U5494"/>
  <c r="U5495"/>
  <c r="U5496"/>
  <c r="U5497"/>
  <c r="U5498"/>
  <c r="U5499"/>
  <c r="U5500"/>
  <c r="U5501"/>
  <c r="U5502"/>
  <c r="U5503"/>
  <c r="U5504"/>
  <c r="U5505"/>
  <c r="U5506"/>
  <c r="U5507"/>
  <c r="U5508"/>
  <c r="U5509"/>
  <c r="U5510"/>
  <c r="U5511"/>
  <c r="U5512"/>
  <c r="U5513"/>
  <c r="U5514"/>
  <c r="U5515"/>
  <c r="U5516"/>
  <c r="U5517"/>
  <c r="U5518"/>
  <c r="U5519"/>
  <c r="U5520"/>
  <c r="U5521"/>
  <c r="U5522"/>
  <c r="U5523"/>
  <c r="U5524"/>
  <c r="U5525"/>
  <c r="U5526"/>
  <c r="U5527"/>
  <c r="U5528"/>
  <c r="U5529"/>
  <c r="U5530"/>
  <c r="U5531"/>
  <c r="U5532"/>
  <c r="U5533"/>
  <c r="U5534"/>
  <c r="U5535"/>
  <c r="U5536"/>
  <c r="U5537"/>
  <c r="U5538"/>
  <c r="U5539"/>
  <c r="U5540"/>
  <c r="U5541"/>
  <c r="U5542"/>
  <c r="U5543"/>
  <c r="U5544"/>
  <c r="U5545"/>
  <c r="U5546"/>
  <c r="U5547"/>
  <c r="U5548"/>
  <c r="U5549"/>
  <c r="U5550"/>
  <c r="U5551"/>
  <c r="U5552"/>
  <c r="U5553"/>
  <c r="U5554"/>
  <c r="U5555"/>
  <c r="U5556"/>
  <c r="U5557"/>
  <c r="U5558"/>
  <c r="U5559"/>
  <c r="U5560"/>
  <c r="U5561"/>
  <c r="U5562"/>
  <c r="U5563"/>
  <c r="U5564"/>
  <c r="U5565"/>
  <c r="U5566"/>
  <c r="U5567"/>
  <c r="U5568"/>
  <c r="U5569"/>
  <c r="U5570"/>
  <c r="U5571"/>
  <c r="U5572"/>
  <c r="U5573"/>
  <c r="U5574"/>
  <c r="U5575"/>
  <c r="U5576"/>
  <c r="U5577"/>
  <c r="U5578"/>
  <c r="U5579"/>
  <c r="U5580"/>
  <c r="U5581"/>
  <c r="U5582"/>
  <c r="U5583"/>
  <c r="U5584"/>
  <c r="U5585"/>
  <c r="U5586"/>
  <c r="U5587"/>
  <c r="U5588"/>
  <c r="U5589"/>
  <c r="U5590"/>
  <c r="U5591"/>
  <c r="U5592"/>
  <c r="U5593"/>
  <c r="U5594"/>
  <c r="U5595"/>
  <c r="U5596"/>
  <c r="U5597"/>
  <c r="U5598"/>
  <c r="U5599"/>
  <c r="U5600"/>
  <c r="U5601"/>
  <c r="U5602"/>
  <c r="U5603"/>
  <c r="U5604"/>
  <c r="U5605"/>
  <c r="U5606"/>
  <c r="U5607"/>
  <c r="U5608"/>
  <c r="U5609"/>
  <c r="U5610"/>
  <c r="U5611"/>
  <c r="U5612"/>
  <c r="U5613"/>
  <c r="U5614"/>
  <c r="U5615"/>
  <c r="U5616"/>
  <c r="U5617"/>
  <c r="U5618"/>
  <c r="U5619"/>
  <c r="U5620"/>
  <c r="U5621"/>
  <c r="U5622"/>
  <c r="U5623"/>
  <c r="U5624"/>
  <c r="U5625"/>
  <c r="U5626"/>
  <c r="U5627"/>
  <c r="U5628"/>
  <c r="U5629"/>
  <c r="U5630"/>
  <c r="U5631"/>
  <c r="U5632"/>
  <c r="U5633"/>
  <c r="U5634"/>
  <c r="U5635"/>
  <c r="U5636"/>
  <c r="U5637"/>
  <c r="U5638"/>
  <c r="U5639"/>
  <c r="U5640"/>
  <c r="U5641"/>
  <c r="U5642"/>
  <c r="U5643"/>
  <c r="U5644"/>
  <c r="U5645"/>
  <c r="U5646"/>
  <c r="U5647"/>
  <c r="U5648"/>
  <c r="U5649"/>
  <c r="U5650"/>
  <c r="U5651"/>
  <c r="U5652"/>
  <c r="U5653"/>
  <c r="U5654"/>
  <c r="U5655"/>
  <c r="U5656"/>
  <c r="U5657"/>
  <c r="U5658"/>
  <c r="U5659"/>
  <c r="U5660"/>
  <c r="U5661"/>
  <c r="U5662"/>
  <c r="U5663"/>
  <c r="U5664"/>
  <c r="U5665"/>
  <c r="U5666"/>
  <c r="U5667"/>
  <c r="U5668"/>
  <c r="U5669"/>
  <c r="U5670"/>
  <c r="U5671"/>
  <c r="U5672"/>
  <c r="U5673"/>
  <c r="U5674"/>
  <c r="U5675"/>
  <c r="U5676"/>
  <c r="U5677"/>
  <c r="U5678"/>
  <c r="U5679"/>
  <c r="U5680"/>
  <c r="U5681"/>
  <c r="U5682"/>
  <c r="U5683"/>
  <c r="U5684"/>
  <c r="U5685"/>
  <c r="U5686"/>
  <c r="U5687"/>
  <c r="U5688"/>
  <c r="U5689"/>
  <c r="U5690"/>
  <c r="U5691"/>
  <c r="U5692"/>
  <c r="U5693"/>
  <c r="U5694"/>
  <c r="U5695"/>
  <c r="U5696"/>
  <c r="U5697"/>
  <c r="U5698"/>
  <c r="U5699"/>
  <c r="U5700"/>
  <c r="U5701"/>
  <c r="U5702"/>
  <c r="U5703"/>
  <c r="U5704"/>
  <c r="U5705"/>
  <c r="U5706"/>
  <c r="U5707"/>
  <c r="U5708"/>
  <c r="U5709"/>
  <c r="U5710"/>
  <c r="U5711"/>
  <c r="U5712"/>
  <c r="U5713"/>
  <c r="U5714"/>
  <c r="U5715"/>
  <c r="U5716"/>
  <c r="U5717"/>
  <c r="U5718"/>
  <c r="U5719"/>
  <c r="U5720"/>
  <c r="U5721"/>
  <c r="U5722"/>
  <c r="U5723"/>
  <c r="U5724"/>
  <c r="U5725"/>
  <c r="U5726"/>
  <c r="U5727"/>
  <c r="U5728"/>
  <c r="U5729"/>
  <c r="U5730"/>
  <c r="U5731"/>
  <c r="U5732"/>
  <c r="U5733"/>
  <c r="U5734"/>
  <c r="U5735"/>
  <c r="U5736"/>
  <c r="U5737"/>
  <c r="U5738"/>
  <c r="U5739"/>
  <c r="U5740"/>
  <c r="U5741"/>
  <c r="U5742"/>
  <c r="U5743"/>
  <c r="U5744"/>
  <c r="U5745"/>
  <c r="U5746"/>
  <c r="U5747"/>
  <c r="U5748"/>
  <c r="U5749"/>
  <c r="U5750"/>
  <c r="U5751"/>
  <c r="U5752"/>
  <c r="U5753"/>
  <c r="U5754"/>
  <c r="U5755"/>
  <c r="U5756"/>
  <c r="U5757"/>
  <c r="U5758"/>
  <c r="U5759"/>
  <c r="U5760"/>
  <c r="U5761"/>
  <c r="U5762"/>
  <c r="U5763"/>
  <c r="U5764"/>
  <c r="U5765"/>
  <c r="U5766"/>
  <c r="U5767"/>
  <c r="U5768"/>
  <c r="U5769"/>
  <c r="U5770"/>
  <c r="U5771"/>
  <c r="U5772"/>
  <c r="U5773"/>
  <c r="U5774"/>
  <c r="U5775"/>
  <c r="U5776"/>
  <c r="U5777"/>
  <c r="U5778"/>
  <c r="U5779"/>
  <c r="U5780"/>
  <c r="U5781"/>
  <c r="U5782"/>
  <c r="U5783"/>
  <c r="U5784"/>
  <c r="U5785"/>
  <c r="U5786"/>
  <c r="U5787"/>
  <c r="U5788"/>
  <c r="U5789"/>
  <c r="U5790"/>
  <c r="U5791"/>
  <c r="U5792"/>
  <c r="U5793"/>
  <c r="U5794"/>
  <c r="U5795"/>
  <c r="U5796"/>
  <c r="U5797"/>
  <c r="U5798"/>
  <c r="U5799"/>
  <c r="U5800"/>
  <c r="U5801"/>
  <c r="U5802"/>
  <c r="U5803"/>
  <c r="V5803" s="1"/>
  <c r="U5804"/>
  <c r="U5805"/>
  <c r="V5805" s="1"/>
  <c r="U5806"/>
  <c r="U5807"/>
  <c r="V5807" s="1"/>
  <c r="U5808"/>
  <c r="U5809"/>
  <c r="V5809" s="1"/>
  <c r="U5810"/>
  <c r="U5811"/>
  <c r="U5812"/>
  <c r="V5812" s="1"/>
  <c r="U5813"/>
  <c r="U5814"/>
  <c r="V5814" s="1"/>
  <c r="U5815"/>
  <c r="U5816"/>
  <c r="U5817"/>
  <c r="U5818"/>
  <c r="V5818" s="1"/>
  <c r="U5819"/>
  <c r="U5820"/>
  <c r="U5821"/>
  <c r="V5821" s="1"/>
  <c r="U5822"/>
  <c r="U5823"/>
  <c r="V5823" s="1"/>
  <c r="U5824"/>
  <c r="U5825"/>
  <c r="V5825" s="1"/>
  <c r="U5826"/>
  <c r="U5827"/>
  <c r="U5828"/>
  <c r="U5829"/>
  <c r="U5830"/>
  <c r="V5830" s="1"/>
  <c r="U5831"/>
  <c r="U5832"/>
  <c r="V5832" s="1"/>
  <c r="U5833"/>
  <c r="U5834"/>
  <c r="V5834" s="1"/>
  <c r="U5835"/>
  <c r="U5836"/>
  <c r="U5837"/>
  <c r="V5837" s="1"/>
  <c r="U5838"/>
  <c r="U5839"/>
  <c r="V5839" s="1"/>
  <c r="U5840"/>
  <c r="U5841"/>
  <c r="U5842"/>
  <c r="U5843"/>
  <c r="U5844"/>
  <c r="V5844" s="1"/>
  <c r="U5845"/>
  <c r="U5846"/>
  <c r="V5846" s="1"/>
  <c r="U5847"/>
  <c r="U5848"/>
  <c r="U5849"/>
  <c r="U5850"/>
  <c r="V5850" s="1"/>
  <c r="U5851"/>
  <c r="U5852"/>
  <c r="U5853"/>
  <c r="V5853" s="1"/>
  <c r="U5854"/>
  <c r="U5855"/>
  <c r="V5855" s="1"/>
  <c r="U5856"/>
  <c r="U5857"/>
  <c r="V5857" s="1"/>
  <c r="U5858"/>
  <c r="U5859"/>
  <c r="U5860"/>
  <c r="U5861"/>
  <c r="V5861" s="1"/>
  <c r="U5862"/>
  <c r="U5863"/>
  <c r="U5864"/>
  <c r="V5864" s="1"/>
  <c r="U5865"/>
  <c r="U5866"/>
  <c r="V5866" s="1"/>
  <c r="U5867"/>
  <c r="U5868"/>
  <c r="V5868" s="1"/>
  <c r="U5869"/>
  <c r="U5870"/>
  <c r="V5870" s="1"/>
  <c r="U5871"/>
  <c r="U5872"/>
  <c r="V5872" s="1"/>
  <c r="U5873"/>
  <c r="U5874"/>
  <c r="U5875"/>
  <c r="U5876"/>
  <c r="U5877"/>
  <c r="U5878"/>
  <c r="U5879"/>
  <c r="U5880"/>
  <c r="U5881"/>
  <c r="V5881" s="1"/>
  <c r="U5882"/>
  <c r="U5883"/>
  <c r="U5884"/>
  <c r="V5884" s="1"/>
  <c r="U5885"/>
  <c r="U5886"/>
  <c r="V5886" s="1"/>
  <c r="U5887"/>
  <c r="U5888"/>
  <c r="U5889"/>
  <c r="U5890"/>
  <c r="V5890" s="1"/>
  <c r="U5891"/>
  <c r="U5892"/>
  <c r="V5892" s="1"/>
  <c r="U5893"/>
  <c r="U5894"/>
  <c r="U5895"/>
  <c r="U5896"/>
  <c r="U5897"/>
  <c r="V5897" s="1"/>
  <c r="U5898"/>
  <c r="U5899"/>
  <c r="U5900"/>
  <c r="U5901"/>
  <c r="V5901" s="1"/>
  <c r="U5902"/>
  <c r="U5903"/>
  <c r="V5903" s="1"/>
  <c r="U5904"/>
  <c r="U5905"/>
  <c r="V5905" s="1"/>
  <c r="U5906"/>
  <c r="U5907"/>
  <c r="U5908"/>
  <c r="U5909"/>
  <c r="U5910"/>
  <c r="U5911"/>
  <c r="U5912"/>
  <c r="V5912" s="1"/>
  <c r="U5913"/>
  <c r="U5914"/>
  <c r="V5914" s="1"/>
  <c r="U5915"/>
  <c r="U5916"/>
  <c r="V5916" s="1"/>
  <c r="U5917"/>
  <c r="U5918"/>
  <c r="U5919"/>
  <c r="V5919" s="1"/>
  <c r="U5920"/>
  <c r="U5921"/>
  <c r="V5921" s="1"/>
  <c r="U5922"/>
  <c r="U5923"/>
  <c r="U5924"/>
  <c r="U5925"/>
  <c r="U5926"/>
  <c r="V5926" s="1"/>
  <c r="U5927"/>
  <c r="U5928"/>
  <c r="U5929"/>
  <c r="U5930"/>
  <c r="V5930" s="1"/>
  <c r="U5931"/>
  <c r="U5932"/>
  <c r="U5933"/>
  <c r="V5933" s="1"/>
  <c r="U5934"/>
  <c r="U5935"/>
  <c r="V5935" s="1"/>
  <c r="U5936"/>
  <c r="U5937"/>
  <c r="U5938"/>
  <c r="V5938" s="1"/>
  <c r="U5939"/>
  <c r="U5940"/>
  <c r="V5940" s="1"/>
  <c r="U5941"/>
  <c r="U5942"/>
  <c r="V5942" s="1"/>
  <c r="U5943"/>
  <c r="U5944"/>
  <c r="U5945"/>
  <c r="V5945" s="1"/>
  <c r="U5946"/>
  <c r="U5947"/>
  <c r="V5947" s="1"/>
  <c r="U5948"/>
  <c r="U5949"/>
  <c r="V5949" s="1"/>
  <c r="U5950"/>
  <c r="U5951"/>
  <c r="U5952"/>
  <c r="U5953"/>
  <c r="V5953" s="1"/>
  <c r="U5954"/>
  <c r="U5955"/>
  <c r="U5956"/>
  <c r="U5957"/>
  <c r="U5958"/>
  <c r="U5959"/>
  <c r="U5960"/>
  <c r="U5961"/>
  <c r="V5961" s="1"/>
  <c r="U5962"/>
  <c r="U5963"/>
  <c r="U5964"/>
  <c r="V5964" s="1"/>
  <c r="U5965"/>
  <c r="U5966"/>
  <c r="V5966" s="1"/>
  <c r="U5967"/>
  <c r="U5968"/>
  <c r="V5968" s="1"/>
  <c r="U5969"/>
  <c r="U5970"/>
  <c r="V5970" s="1"/>
  <c r="U5971"/>
  <c r="U5972"/>
  <c r="U5973"/>
  <c r="U5974"/>
  <c r="U5975"/>
  <c r="U5976"/>
  <c r="U5977"/>
  <c r="V5977" s="1"/>
  <c r="U5978"/>
  <c r="U5979"/>
  <c r="U5980"/>
  <c r="V5980" s="1"/>
  <c r="U5981"/>
  <c r="U5982"/>
  <c r="V5982" s="1"/>
  <c r="U5983"/>
  <c r="U5984"/>
  <c r="V5984" s="1"/>
  <c r="U5985"/>
  <c r="U5986"/>
  <c r="U5987"/>
  <c r="U5988"/>
  <c r="U5989"/>
  <c r="V5989" s="1"/>
  <c r="U5990"/>
  <c r="U5991"/>
  <c r="U5992"/>
  <c r="U5993"/>
  <c r="V5993" s="1"/>
  <c r="U5994"/>
  <c r="U5995"/>
  <c r="U5996"/>
  <c r="V5996" s="1"/>
  <c r="U5997"/>
  <c r="U5998"/>
  <c r="V5998" s="1"/>
  <c r="U5999"/>
  <c r="U6000"/>
  <c r="V6000" s="1"/>
  <c r="U6001"/>
  <c r="U6002"/>
  <c r="V6002" s="1"/>
  <c r="U6003"/>
  <c r="U6004"/>
  <c r="U6005"/>
  <c r="U6006"/>
  <c r="V6006" s="1"/>
  <c r="U6007"/>
  <c r="U6008"/>
  <c r="V6008" s="1"/>
  <c r="U6009"/>
  <c r="U6010"/>
  <c r="U6011"/>
  <c r="U6012"/>
  <c r="U6013"/>
  <c r="V6013" s="1"/>
  <c r="U6014"/>
  <c r="U6015"/>
  <c r="U6016"/>
  <c r="V6016" s="1"/>
  <c r="U6017"/>
  <c r="U6018"/>
  <c r="V6018" s="1"/>
  <c r="U6019"/>
  <c r="U6020"/>
  <c r="V6020" s="1"/>
  <c r="U6021"/>
  <c r="U6022"/>
  <c r="U6023"/>
  <c r="U6024"/>
  <c r="U6025"/>
  <c r="V6025" s="1"/>
  <c r="U6026"/>
  <c r="U6027"/>
  <c r="V6027" s="1"/>
  <c r="U6028"/>
  <c r="U6029"/>
  <c r="U6030"/>
  <c r="V6030" s="1"/>
  <c r="U6031"/>
  <c r="U6032"/>
  <c r="U6033"/>
  <c r="U6034"/>
  <c r="U6035"/>
  <c r="U6036"/>
  <c r="U6037"/>
  <c r="U6038"/>
  <c r="U6039"/>
  <c r="V6039" s="1"/>
  <c r="U6040"/>
  <c r="U6041"/>
  <c r="U6042"/>
  <c r="V6042" s="1"/>
  <c r="U6043"/>
  <c r="U6044"/>
  <c r="V6044" s="1"/>
  <c r="U6045"/>
  <c r="U6046"/>
  <c r="V6046" s="1"/>
  <c r="U6047"/>
  <c r="U6048"/>
  <c r="U6049"/>
  <c r="V6049" s="1"/>
  <c r="U6050"/>
  <c r="U6051"/>
  <c r="U6052"/>
  <c r="U6053"/>
  <c r="U6054"/>
  <c r="V6054" s="1"/>
  <c r="U6055"/>
  <c r="U6056"/>
  <c r="V6056" s="1"/>
  <c r="U6057"/>
  <c r="U6058"/>
  <c r="V6058" s="1"/>
  <c r="U6059"/>
  <c r="U6060"/>
  <c r="U6061"/>
  <c r="U6062"/>
  <c r="U6063"/>
  <c r="V6063" s="1"/>
  <c r="U6064"/>
  <c r="U6065"/>
  <c r="V6065" s="1"/>
  <c r="U6066"/>
  <c r="U6067"/>
  <c r="U6068"/>
  <c r="U6069"/>
  <c r="U6070"/>
  <c r="U6071"/>
  <c r="U6072"/>
  <c r="U6073"/>
  <c r="U6074"/>
  <c r="V6074" s="1"/>
  <c r="U6075"/>
  <c r="U6076"/>
  <c r="V6076" s="1"/>
  <c r="U6077"/>
  <c r="U6078"/>
  <c r="V6078" s="1"/>
  <c r="U6079"/>
  <c r="U6080"/>
  <c r="U6081"/>
  <c r="V6081" s="1"/>
  <c r="U6082"/>
  <c r="U6083"/>
  <c r="U6084"/>
  <c r="U6085"/>
  <c r="U6086"/>
  <c r="U6087"/>
  <c r="V6087" s="1"/>
  <c r="U6088"/>
  <c r="U6089"/>
  <c r="U6090"/>
  <c r="U6091"/>
  <c r="V6091" s="1"/>
  <c r="U6092"/>
  <c r="U6093"/>
  <c r="V6093" s="1"/>
  <c r="U6094"/>
  <c r="U6095"/>
  <c r="V6095" s="1"/>
  <c r="U6096"/>
  <c r="U6097"/>
  <c r="U6098"/>
  <c r="V6098" s="1"/>
  <c r="U6099"/>
  <c r="U6100"/>
  <c r="V6100" s="1"/>
  <c r="U6101"/>
  <c r="U6102"/>
  <c r="V6102" s="1"/>
  <c r="U6103"/>
  <c r="U6104"/>
  <c r="U6105"/>
  <c r="U6106"/>
  <c r="U6107"/>
  <c r="V6107" s="1"/>
  <c r="U6108"/>
  <c r="U6109"/>
  <c r="V6109" s="1"/>
  <c r="U6110"/>
  <c r="U6111"/>
  <c r="V6111" s="1"/>
  <c r="U6112"/>
  <c r="U6113"/>
  <c r="V6113" s="1"/>
  <c r="U6114"/>
  <c r="U6115"/>
  <c r="U6116"/>
  <c r="U6117"/>
  <c r="U6118"/>
  <c r="U6119"/>
  <c r="U6120"/>
  <c r="U6121"/>
  <c r="V6121" s="1"/>
  <c r="U6122"/>
  <c r="U6123"/>
  <c r="V6123" s="1"/>
  <c r="U6124"/>
  <c r="V6124" s="1"/>
  <c r="U6125"/>
  <c r="V6125" s="1"/>
  <c r="U6126"/>
  <c r="U6127"/>
  <c r="V6127" s="1"/>
  <c r="U6128"/>
  <c r="V6128" s="1"/>
  <c r="U6129"/>
  <c r="U6130"/>
  <c r="V6130" s="1"/>
  <c r="U6131"/>
  <c r="U6132"/>
  <c r="V6132" s="1"/>
  <c r="U6133"/>
  <c r="U6134"/>
  <c r="V6134" s="1"/>
  <c r="U6135"/>
  <c r="U6136"/>
  <c r="U6137"/>
  <c r="V6137" s="1"/>
  <c r="U6138"/>
  <c r="V6138" s="1"/>
  <c r="U6139"/>
  <c r="V6139" s="1"/>
  <c r="U6140"/>
  <c r="V6140" s="1"/>
  <c r="U6141"/>
  <c r="U6142"/>
  <c r="U6143"/>
  <c r="V6143" s="1"/>
  <c r="U6144"/>
  <c r="U6145"/>
  <c r="V6145" s="1"/>
  <c r="U6146"/>
  <c r="V6146" s="1"/>
  <c r="U6147"/>
  <c r="U6148"/>
  <c r="U6149"/>
  <c r="U6150"/>
  <c r="V6150" s="1"/>
  <c r="U6151"/>
  <c r="U6152"/>
  <c r="V6152" s="1"/>
  <c r="U6153"/>
  <c r="V6153" s="1"/>
  <c r="U6154"/>
  <c r="V6154" s="1"/>
  <c r="U6155"/>
  <c r="U6156"/>
  <c r="U6157"/>
  <c r="V6157" s="1"/>
  <c r="U6158"/>
  <c r="U6159"/>
  <c r="V6159" s="1"/>
  <c r="U6160"/>
  <c r="U6161"/>
  <c r="V6161" s="1"/>
  <c r="U6162"/>
  <c r="U6163"/>
  <c r="U6164"/>
  <c r="U6165"/>
  <c r="U6166"/>
  <c r="U6167"/>
  <c r="U6168"/>
  <c r="U6169"/>
  <c r="V6169" s="1"/>
  <c r="U6170"/>
  <c r="V6170" s="1"/>
  <c r="U6171"/>
  <c r="V6171" s="1"/>
  <c r="U6172"/>
  <c r="V6172" s="1"/>
  <c r="U6173"/>
  <c r="V6173" s="1"/>
  <c r="U6174"/>
  <c r="V6174" s="1"/>
  <c r="U6175"/>
  <c r="V6175" s="1"/>
  <c r="U6176"/>
  <c r="V6176" s="1"/>
  <c r="U6177"/>
  <c r="V6177" s="1"/>
  <c r="U6178"/>
  <c r="V6178" s="1"/>
  <c r="U6179"/>
  <c r="U6180"/>
  <c r="V6180" s="1"/>
  <c r="U6181"/>
  <c r="V6181" s="1"/>
  <c r="U6182"/>
  <c r="V6182" s="1"/>
  <c r="U6183"/>
  <c r="U6184"/>
  <c r="U6185"/>
  <c r="V6185" s="1"/>
  <c r="U6186"/>
  <c r="V6186" s="1"/>
  <c r="U6187"/>
  <c r="V6187" s="1"/>
  <c r="U6188"/>
  <c r="V6188" s="1"/>
  <c r="U6189"/>
  <c r="U6190"/>
  <c r="V6190" s="1"/>
  <c r="U6191"/>
  <c r="V6191" s="1"/>
  <c r="U6192"/>
  <c r="V6192" s="1"/>
  <c r="U6193"/>
  <c r="V6193" s="1"/>
  <c r="U6194"/>
  <c r="V6194" s="1"/>
  <c r="U6195"/>
  <c r="U6196"/>
  <c r="V6196" s="1"/>
  <c r="U6197"/>
  <c r="V6197" s="1"/>
  <c r="U6198"/>
  <c r="V6198" s="1"/>
  <c r="U6199"/>
  <c r="U6200"/>
  <c r="U6201"/>
  <c r="V6201" s="1"/>
  <c r="U6202"/>
  <c r="V6202" s="1"/>
  <c r="U6203"/>
  <c r="V6203" s="1"/>
  <c r="U6204"/>
  <c r="V6204" s="1"/>
  <c r="U6205"/>
  <c r="V6205" s="1"/>
  <c r="U6206"/>
  <c r="V6206" s="1"/>
  <c r="U6207"/>
  <c r="V6207" s="1"/>
  <c r="U6208"/>
  <c r="V6208" s="1"/>
  <c r="U6209"/>
  <c r="V6209" s="1"/>
  <c r="U6210"/>
  <c r="V6210" s="1"/>
  <c r="U6211"/>
  <c r="U6212"/>
  <c r="V6212" s="1"/>
  <c r="U6213"/>
  <c r="U6214"/>
  <c r="V6214" s="1"/>
  <c r="U6215"/>
  <c r="U6216"/>
  <c r="U6217"/>
  <c r="V6217" s="1"/>
  <c r="U6218"/>
  <c r="V6218" s="1"/>
  <c r="U6219"/>
  <c r="V6219" s="1"/>
  <c r="U6220"/>
  <c r="V6220" s="1"/>
  <c r="U6221"/>
  <c r="V6221" s="1"/>
  <c r="U6222"/>
  <c r="V6222" s="1"/>
  <c r="U6223"/>
  <c r="V6223" s="1"/>
  <c r="U6224"/>
  <c r="V6224" s="1"/>
  <c r="U6225"/>
  <c r="V6225" s="1"/>
  <c r="U6226"/>
  <c r="V6226" s="1"/>
  <c r="U6227"/>
  <c r="U6228"/>
  <c r="V6228" s="1"/>
  <c r="U6229"/>
  <c r="V6229" s="1"/>
  <c r="U6230"/>
  <c r="V6230" s="1"/>
  <c r="U6231"/>
  <c r="V6231" s="1"/>
  <c r="U6232"/>
  <c r="U6233"/>
  <c r="V6233" s="1"/>
  <c r="U6234"/>
  <c r="V6234" s="1"/>
  <c r="U6235"/>
  <c r="V6235" s="1"/>
  <c r="U6236"/>
  <c r="V6236" s="1"/>
  <c r="U6237"/>
  <c r="V6237" s="1"/>
  <c r="U6238"/>
  <c r="V6238" s="1"/>
  <c r="U6239"/>
  <c r="U6240"/>
  <c r="U6241"/>
  <c r="V6241" s="1"/>
  <c r="U6242"/>
  <c r="V6242" s="1"/>
  <c r="U6243"/>
  <c r="U6244"/>
  <c r="V6244" s="1"/>
  <c r="U6245"/>
  <c r="U6246"/>
  <c r="V6246" s="1"/>
  <c r="U6247"/>
  <c r="V6247" s="1"/>
  <c r="U6248"/>
  <c r="U6249"/>
  <c r="V6249" s="1"/>
  <c r="U6250"/>
  <c r="V6250" s="1"/>
  <c r="U6251"/>
  <c r="U6252"/>
  <c r="V6252" s="1"/>
  <c r="U6253"/>
  <c r="V6253" s="1"/>
  <c r="U6254"/>
  <c r="V6254" s="1"/>
  <c r="U6255"/>
  <c r="V6255" s="1"/>
  <c r="U6256"/>
  <c r="V6256" s="1"/>
  <c r="U6257"/>
  <c r="V6257" s="1"/>
  <c r="U6258"/>
  <c r="U6259"/>
  <c r="U6260"/>
  <c r="V6260" s="1"/>
  <c r="U6261"/>
  <c r="V6261" s="1"/>
  <c r="U6262"/>
  <c r="V6262" s="1"/>
  <c r="U6263"/>
  <c r="U6264"/>
  <c r="U6265"/>
  <c r="V6265" s="1"/>
  <c r="U6266"/>
  <c r="V6266" s="1"/>
  <c r="U6267"/>
  <c r="V6267" s="1"/>
  <c r="U6268"/>
  <c r="U6269"/>
  <c r="V6269" s="1"/>
  <c r="U6270"/>
  <c r="V6270" s="1"/>
  <c r="U6271"/>
  <c r="V6271" s="1"/>
  <c r="U6272"/>
  <c r="V6272" s="1"/>
  <c r="U6273"/>
  <c r="V6273" s="1"/>
  <c r="U6274"/>
  <c r="V6274" s="1"/>
  <c r="U6275"/>
  <c r="U6276"/>
  <c r="U6277"/>
  <c r="V6277" s="1"/>
  <c r="U6278"/>
  <c r="U6279"/>
  <c r="U6280"/>
  <c r="U6281"/>
  <c r="V6281" s="1"/>
  <c r="U6282"/>
  <c r="V6282" s="1"/>
  <c r="U6283"/>
  <c r="V6283" s="1"/>
  <c r="U6284"/>
  <c r="V6284" s="1"/>
  <c r="U6285"/>
  <c r="V6285" s="1"/>
  <c r="U6286"/>
  <c r="U6287"/>
  <c r="V6287" s="1"/>
  <c r="U6288"/>
  <c r="V6288" s="1"/>
  <c r="U6289"/>
  <c r="V6289" s="1"/>
  <c r="U6290"/>
  <c r="U6291"/>
  <c r="U6292"/>
  <c r="V6292" s="1"/>
  <c r="U6293"/>
  <c r="V6293" s="1"/>
  <c r="U6294"/>
  <c r="V6294" s="1"/>
  <c r="U6295"/>
  <c r="U6296"/>
  <c r="U6297"/>
  <c r="V6297" s="1"/>
  <c r="U6298"/>
  <c r="U6299"/>
  <c r="V6299" s="1"/>
  <c r="U6300"/>
  <c r="V6300" s="1"/>
  <c r="U6301"/>
  <c r="U6302"/>
  <c r="U6303"/>
  <c r="U6304"/>
  <c r="V6304" s="1"/>
  <c r="U6305"/>
  <c r="U6306"/>
  <c r="U6307"/>
  <c r="U6308"/>
  <c r="U6309"/>
  <c r="U6310"/>
  <c r="U6311"/>
  <c r="U6312"/>
  <c r="U6313"/>
  <c r="U6314"/>
  <c r="V6314" s="1"/>
  <c r="U6315"/>
  <c r="U6316"/>
  <c r="V6316" s="1"/>
  <c r="U6317"/>
  <c r="U6318"/>
  <c r="V6318" s="1"/>
  <c r="U6319"/>
  <c r="U6320"/>
  <c r="U6321"/>
  <c r="V6321" s="1"/>
  <c r="U6322"/>
  <c r="U6323"/>
  <c r="U6324"/>
  <c r="U6325"/>
  <c r="V6325" s="1"/>
  <c r="U6326"/>
  <c r="U6327"/>
  <c r="V6327" s="1"/>
  <c r="U6328"/>
  <c r="U6329"/>
  <c r="U6330"/>
  <c r="V6330" s="1"/>
  <c r="U6331"/>
  <c r="U6332"/>
  <c r="V6332" s="1"/>
  <c r="U6333"/>
  <c r="U6334"/>
  <c r="V6334" s="1"/>
  <c r="U6335"/>
  <c r="U6336"/>
  <c r="U6337"/>
  <c r="U6338"/>
  <c r="U6339"/>
  <c r="U6340"/>
  <c r="U6341"/>
  <c r="V6341" s="1"/>
  <c r="U6342"/>
  <c r="U6343"/>
  <c r="V6343" s="1"/>
  <c r="U6344"/>
  <c r="U6345"/>
  <c r="U6346"/>
  <c r="V6346" s="1"/>
  <c r="U6347"/>
  <c r="U6348"/>
  <c r="U6349"/>
  <c r="U6350"/>
  <c r="V6350" s="1"/>
  <c r="U6351"/>
  <c r="U6352"/>
  <c r="U6353"/>
  <c r="U6354"/>
  <c r="U6355"/>
  <c r="U6356"/>
  <c r="U6357"/>
  <c r="U6358"/>
  <c r="U6359"/>
  <c r="U6360"/>
  <c r="U6361"/>
  <c r="V6361" s="1"/>
  <c r="U6362"/>
  <c r="U6363"/>
  <c r="U6364"/>
  <c r="V6364" s="1"/>
  <c r="U6365"/>
  <c r="U6366"/>
  <c r="V6366" s="1"/>
  <c r="U6367"/>
  <c r="U6368"/>
  <c r="U6369"/>
  <c r="U6370"/>
  <c r="V6370" s="1"/>
  <c r="U6371"/>
  <c r="U6372"/>
  <c r="V6372" s="1"/>
  <c r="U6373"/>
  <c r="U6374"/>
  <c r="U6375"/>
  <c r="U6376"/>
  <c r="U6377"/>
  <c r="V6377" s="1"/>
  <c r="U6378"/>
  <c r="U6379"/>
  <c r="V6379" s="1"/>
  <c r="U6380"/>
  <c r="U6381"/>
  <c r="V6381" s="1"/>
  <c r="U6382"/>
  <c r="U6383"/>
  <c r="U6384"/>
  <c r="V6384" s="1"/>
  <c r="U6385"/>
  <c r="U6386"/>
  <c r="V6386" s="1"/>
  <c r="U6387"/>
  <c r="U6388"/>
  <c r="U6389"/>
  <c r="V6389" s="1"/>
  <c r="U6390"/>
  <c r="U6391"/>
  <c r="V6391" s="1"/>
  <c r="U6392"/>
  <c r="U6393"/>
  <c r="V6393" s="1"/>
  <c r="U6394"/>
  <c r="U6395"/>
  <c r="U6396"/>
  <c r="V6396" s="1"/>
  <c r="U6397"/>
  <c r="U6398"/>
  <c r="U6399"/>
  <c r="U6400"/>
  <c r="V6400" s="1"/>
  <c r="U6401"/>
  <c r="U6402"/>
  <c r="V6402" s="1"/>
  <c r="U6403"/>
  <c r="U6404"/>
  <c r="V6404" s="1"/>
  <c r="U6405"/>
  <c r="U6406"/>
  <c r="V6406" s="1"/>
  <c r="U6407"/>
  <c r="U6408"/>
  <c r="U6409"/>
  <c r="V6409" s="1"/>
  <c r="U6410"/>
  <c r="U6411"/>
  <c r="V6411" s="1"/>
  <c r="U6412"/>
  <c r="U6413"/>
  <c r="U6414"/>
  <c r="V6414" s="1"/>
  <c r="U6415"/>
  <c r="U6416"/>
  <c r="U6417"/>
  <c r="U6418"/>
  <c r="V6418" s="1"/>
  <c r="U6419"/>
  <c r="U6420"/>
  <c r="V6420" s="1"/>
  <c r="U6421"/>
  <c r="U6422"/>
  <c r="V6422" s="1"/>
  <c r="U6423"/>
  <c r="U6424"/>
  <c r="U6425"/>
  <c r="V6425" s="1"/>
  <c r="U6426"/>
  <c r="U6427"/>
  <c r="U6428"/>
  <c r="V6428" s="1"/>
  <c r="U6429"/>
  <c r="U6430"/>
  <c r="V6430" s="1"/>
  <c r="U6431"/>
  <c r="U6432"/>
  <c r="U6433"/>
  <c r="U6434"/>
  <c r="U6435"/>
  <c r="U6436"/>
  <c r="U6437"/>
  <c r="U6438"/>
  <c r="V6438" s="1"/>
  <c r="U6439"/>
  <c r="U6440"/>
  <c r="V6440" s="1"/>
  <c r="U6441"/>
  <c r="U6442"/>
  <c r="U6443"/>
  <c r="U6444"/>
  <c r="V6444" s="1"/>
  <c r="U6445"/>
  <c r="U6446"/>
  <c r="V6446" s="1"/>
  <c r="U6447"/>
  <c r="U6448"/>
  <c r="U6449"/>
  <c r="U6450"/>
  <c r="U6451"/>
  <c r="U6452"/>
  <c r="U6453"/>
  <c r="V6453" s="1"/>
  <c r="U6454"/>
  <c r="U6455"/>
  <c r="U6456"/>
  <c r="U6457"/>
  <c r="U6458"/>
  <c r="V6458" s="1"/>
  <c r="U6459"/>
  <c r="U6460"/>
  <c r="V6460" s="1"/>
  <c r="U6461"/>
  <c r="U6462"/>
  <c r="U6463"/>
  <c r="V6463" s="1"/>
  <c r="U6464"/>
  <c r="U6465"/>
  <c r="V6465" s="1"/>
  <c r="U6466"/>
  <c r="U6467"/>
  <c r="U6468"/>
  <c r="U6469"/>
  <c r="U6470"/>
  <c r="V6470" s="1"/>
  <c r="U6471"/>
  <c r="U6472"/>
  <c r="U6473"/>
  <c r="U6474"/>
  <c r="V6474" s="1"/>
  <c r="U6475"/>
  <c r="U6476"/>
  <c r="V6476" s="1"/>
  <c r="U6477"/>
  <c r="U6478"/>
  <c r="U6479"/>
  <c r="U6480"/>
  <c r="U6481"/>
  <c r="V6481" s="1"/>
  <c r="U6482"/>
  <c r="U6483"/>
  <c r="U6484"/>
  <c r="U6485"/>
  <c r="V6485" s="1"/>
  <c r="U6486"/>
  <c r="U6487"/>
  <c r="U6488"/>
  <c r="U6489"/>
  <c r="U6490"/>
  <c r="U6491"/>
  <c r="V6491" s="1"/>
  <c r="U6492"/>
  <c r="U6493"/>
  <c r="U6494"/>
  <c r="V6494" s="1"/>
  <c r="U6495"/>
  <c r="U6496"/>
  <c r="V6496" s="1"/>
  <c r="U6497"/>
  <c r="U6498"/>
  <c r="U6499"/>
  <c r="U6500"/>
  <c r="U6501"/>
  <c r="U6502"/>
  <c r="U6503"/>
  <c r="U6504"/>
  <c r="U6505"/>
  <c r="U6506"/>
  <c r="V6506" s="1"/>
  <c r="U6507"/>
  <c r="U6508"/>
  <c r="U6509"/>
  <c r="U6510"/>
  <c r="U6511"/>
  <c r="U6512"/>
  <c r="U6513"/>
  <c r="V6513" s="1"/>
  <c r="U6514"/>
  <c r="U6515"/>
  <c r="U6516"/>
  <c r="U6517"/>
  <c r="V6517" s="1"/>
  <c r="U6518"/>
  <c r="U6519"/>
  <c r="V6519" s="1"/>
  <c r="U6520"/>
  <c r="U6521"/>
  <c r="U6522"/>
  <c r="V6522" s="1"/>
  <c r="U6523"/>
  <c r="U6524"/>
  <c r="V6524" s="1"/>
  <c r="U6525"/>
  <c r="U6526"/>
  <c r="V6526" s="1"/>
  <c r="U6527"/>
  <c r="U6528"/>
  <c r="V6528" s="1"/>
  <c r="U6529"/>
  <c r="U6530"/>
  <c r="U6531"/>
  <c r="U6532"/>
  <c r="U6533"/>
  <c r="V6533" s="1"/>
  <c r="U6534"/>
  <c r="U6535"/>
  <c r="U6536"/>
  <c r="U6537"/>
  <c r="V6537" s="1"/>
  <c r="U6538"/>
  <c r="U6539"/>
  <c r="U6540"/>
  <c r="U6541"/>
  <c r="V6541" s="1"/>
  <c r="U6542"/>
  <c r="U6543"/>
  <c r="V6543" s="1"/>
  <c r="U6544"/>
  <c r="U6545"/>
  <c r="U6546"/>
  <c r="V6546" s="1"/>
  <c r="U6547"/>
  <c r="U6548"/>
  <c r="V6548" s="1"/>
  <c r="U6549"/>
  <c r="U6550"/>
  <c r="V6550" s="1"/>
  <c r="U6551"/>
  <c r="U6552"/>
  <c r="U6553"/>
  <c r="U6554"/>
  <c r="U6555"/>
  <c r="V6555" s="1"/>
  <c r="U6556"/>
  <c r="U6557"/>
  <c r="V6557" s="1"/>
  <c r="U6558"/>
  <c r="U6559"/>
  <c r="V6559" s="1"/>
  <c r="U6560"/>
  <c r="U6561"/>
  <c r="U6562"/>
  <c r="U6563"/>
  <c r="U6564"/>
  <c r="U6565"/>
  <c r="U6566"/>
  <c r="U6567"/>
  <c r="U6568"/>
  <c r="U6569"/>
  <c r="V6569" s="1"/>
  <c r="U6570"/>
  <c r="U6571"/>
  <c r="U6572"/>
  <c r="V6572" s="1"/>
  <c r="U6573"/>
  <c r="U6574"/>
  <c r="U6575"/>
  <c r="V6575" s="1"/>
  <c r="U6576"/>
  <c r="U6577"/>
  <c r="V6577" s="1"/>
  <c r="U6578"/>
  <c r="V6578" s="1"/>
  <c r="U6579"/>
  <c r="U6580"/>
  <c r="U6581"/>
  <c r="U6582"/>
  <c r="V6582" s="1"/>
  <c r="U6583"/>
  <c r="U6584"/>
  <c r="U6585"/>
  <c r="V6585" s="1"/>
  <c r="U6586"/>
  <c r="V6586" s="1"/>
  <c r="U6587"/>
  <c r="U6588"/>
  <c r="U6589"/>
  <c r="V6589" s="1"/>
  <c r="U6590"/>
  <c r="U6591"/>
  <c r="V6591" s="1"/>
  <c r="U6592"/>
  <c r="U6593"/>
  <c r="U6594"/>
  <c r="U6595"/>
  <c r="U6596"/>
  <c r="V6596" s="1"/>
  <c r="U6597"/>
  <c r="V6597" s="1"/>
  <c r="U6598"/>
  <c r="V6598" s="1"/>
  <c r="U6599"/>
  <c r="U6600"/>
  <c r="U6601"/>
  <c r="V6601" s="1"/>
  <c r="U6602"/>
  <c r="U6603"/>
  <c r="U6604"/>
  <c r="V6604" s="1"/>
  <c r="U6605"/>
  <c r="V6605" s="1"/>
  <c r="U6606"/>
  <c r="V6606" s="1"/>
  <c r="U6607"/>
  <c r="U6608"/>
  <c r="U6609"/>
  <c r="V6609" s="1"/>
  <c r="U6610"/>
  <c r="V6610" s="1"/>
  <c r="U6611"/>
  <c r="U6612"/>
  <c r="U6613"/>
  <c r="V6613" s="1"/>
  <c r="U6614"/>
  <c r="U6615"/>
  <c r="U6616"/>
  <c r="V6616" s="1"/>
  <c r="U6617"/>
  <c r="V6617" s="1"/>
  <c r="U6618"/>
  <c r="V6618" s="1"/>
  <c r="U6619"/>
  <c r="V6619" s="1"/>
  <c r="U6620"/>
  <c r="V6620" s="1"/>
  <c r="U6621"/>
  <c r="V6621" s="1"/>
  <c r="U6622"/>
  <c r="U6623"/>
  <c r="V6623" s="1"/>
  <c r="U6624"/>
  <c r="U6625"/>
  <c r="V6625" s="1"/>
  <c r="U6626"/>
  <c r="V6626" s="1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6"/>
  <c r="V2037"/>
  <c r="V2038"/>
  <c r="V2039"/>
  <c r="V2040"/>
  <c r="V2041"/>
  <c r="V2042"/>
  <c r="V2043"/>
  <c r="V2044"/>
  <c r="V2045"/>
  <c r="V2046"/>
  <c r="V2047"/>
  <c r="V2048"/>
  <c r="V2049"/>
  <c r="V2050"/>
  <c r="V2052"/>
  <c r="V2053"/>
  <c r="V2054"/>
  <c r="V2055"/>
  <c r="V2056"/>
  <c r="V2057"/>
  <c r="V2058"/>
  <c r="V2059"/>
  <c r="V2060"/>
  <c r="V2061"/>
  <c r="V2062"/>
  <c r="V2063"/>
  <c r="V2064"/>
  <c r="V2065"/>
  <c r="V2066"/>
  <c r="V2068"/>
  <c r="V2069"/>
  <c r="V2070"/>
  <c r="V2071"/>
  <c r="V2072"/>
  <c r="V2073"/>
  <c r="V2074"/>
  <c r="V2075"/>
  <c r="V2076"/>
  <c r="V2077"/>
  <c r="V2078"/>
  <c r="V2079"/>
  <c r="V2080"/>
  <c r="V2081"/>
  <c r="V2082"/>
  <c r="V2084"/>
  <c r="V2085"/>
  <c r="V2086"/>
  <c r="V2087"/>
  <c r="V2088"/>
  <c r="V2089"/>
  <c r="V2090"/>
  <c r="V2091"/>
  <c r="V2092"/>
  <c r="V2093"/>
  <c r="V2094"/>
  <c r="V2095"/>
  <c r="V2096"/>
  <c r="V2097"/>
  <c r="V2098"/>
  <c r="V2100"/>
  <c r="V2101"/>
  <c r="V2102"/>
  <c r="V2103"/>
  <c r="V2104"/>
  <c r="V2105"/>
  <c r="V2106"/>
  <c r="V2107"/>
  <c r="V2108"/>
  <c r="V2109"/>
  <c r="V2110"/>
  <c r="V2111"/>
  <c r="V2112"/>
  <c r="V2113"/>
  <c r="V2114"/>
  <c r="V2116"/>
  <c r="V2117"/>
  <c r="V2118"/>
  <c r="V2119"/>
  <c r="V2120"/>
  <c r="V2121"/>
  <c r="V2122"/>
  <c r="V2123"/>
  <c r="V2124"/>
  <c r="V2125"/>
  <c r="V2126"/>
  <c r="V2127"/>
  <c r="V2128"/>
  <c r="V2129"/>
  <c r="V2130"/>
  <c r="V2132"/>
  <c r="V2133"/>
  <c r="V2134"/>
  <c r="V2135"/>
  <c r="V2136"/>
  <c r="V2137"/>
  <c r="V2138"/>
  <c r="V2139"/>
  <c r="V2140"/>
  <c r="V2141"/>
  <c r="V2142"/>
  <c r="V2143"/>
  <c r="V2144"/>
  <c r="V2145"/>
  <c r="V2146"/>
  <c r="V2148"/>
  <c r="V2149"/>
  <c r="V2150"/>
  <c r="V2151"/>
  <c r="V2152"/>
  <c r="V2153"/>
  <c r="V2154"/>
  <c r="V2155"/>
  <c r="V2156"/>
  <c r="V2157"/>
  <c r="V2158"/>
  <c r="V2159"/>
  <c r="V2160"/>
  <c r="V2161"/>
  <c r="V2162"/>
  <c r="V2164"/>
  <c r="V2165"/>
  <c r="V2166"/>
  <c r="V2167"/>
  <c r="V2168"/>
  <c r="V2169"/>
  <c r="V2170"/>
  <c r="V2171"/>
  <c r="V2172"/>
  <c r="V2173"/>
  <c r="V2174"/>
  <c r="V2175"/>
  <c r="V2176"/>
  <c r="V2177"/>
  <c r="V2178"/>
  <c r="V2180"/>
  <c r="V2181"/>
  <c r="V2182"/>
  <c r="V2183"/>
  <c r="V2184"/>
  <c r="V2185"/>
  <c r="V2186"/>
  <c r="V2187"/>
  <c r="V2188"/>
  <c r="V2189"/>
  <c r="V2190"/>
  <c r="V2191"/>
  <c r="V2192"/>
  <c r="V2193"/>
  <c r="V2194"/>
  <c r="V2196"/>
  <c r="V2197"/>
  <c r="V2198"/>
  <c r="V2199"/>
  <c r="V2200"/>
  <c r="V2201"/>
  <c r="V2202"/>
  <c r="V2203"/>
  <c r="V2204"/>
  <c r="V2205"/>
  <c r="V2206"/>
  <c r="V2207"/>
  <c r="V2208"/>
  <c r="V2209"/>
  <c r="V2210"/>
  <c r="V2212"/>
  <c r="V2213"/>
  <c r="V2214"/>
  <c r="V2215"/>
  <c r="V2216"/>
  <c r="V2217"/>
  <c r="V2218"/>
  <c r="V2219"/>
  <c r="V2220"/>
  <c r="V2221"/>
  <c r="V2222"/>
  <c r="V2223"/>
  <c r="V2224"/>
  <c r="V2225"/>
  <c r="V2226"/>
  <c r="V2228"/>
  <c r="V2229"/>
  <c r="V2230"/>
  <c r="V2231"/>
  <c r="V2232"/>
  <c r="V2233"/>
  <c r="V2234"/>
  <c r="V2235"/>
  <c r="V2236"/>
  <c r="V2237"/>
  <c r="V2238"/>
  <c r="V2239"/>
  <c r="V2240"/>
  <c r="V2241"/>
  <c r="V2242"/>
  <c r="V2244"/>
  <c r="V2245"/>
  <c r="V2246"/>
  <c r="V2247"/>
  <c r="V2248"/>
  <c r="V2249"/>
  <c r="V2250"/>
  <c r="V2251"/>
  <c r="V2252"/>
  <c r="V2253"/>
  <c r="V2254"/>
  <c r="V2255"/>
  <c r="V2256"/>
  <c r="V2257"/>
  <c r="V2258"/>
  <c r="V2260"/>
  <c r="V2261"/>
  <c r="V2262"/>
  <c r="V2263"/>
  <c r="V2264"/>
  <c r="V2265"/>
  <c r="V2266"/>
  <c r="V2267"/>
  <c r="V2268"/>
  <c r="V2269"/>
  <c r="V2270"/>
  <c r="V2271"/>
  <c r="V2272"/>
  <c r="V2273"/>
  <c r="V2274"/>
  <c r="V2276"/>
  <c r="V2277"/>
  <c r="V2278"/>
  <c r="V2279"/>
  <c r="V2280"/>
  <c r="V2281"/>
  <c r="V2282"/>
  <c r="V2283"/>
  <c r="V2284"/>
  <c r="V2285"/>
  <c r="V2286"/>
  <c r="V2287"/>
  <c r="V2288"/>
  <c r="V2289"/>
  <c r="V2290"/>
  <c r="V2292"/>
  <c r="V2293"/>
  <c r="V2294"/>
  <c r="V2295"/>
  <c r="V2296"/>
  <c r="V2297"/>
  <c r="V2298"/>
  <c r="V2299"/>
  <c r="V2300"/>
  <c r="V2301"/>
  <c r="V2302"/>
  <c r="V2303"/>
  <c r="V2304"/>
  <c r="V2305"/>
  <c r="V2306"/>
  <c r="V2308"/>
  <c r="V2309"/>
  <c r="V2310"/>
  <c r="V2311"/>
  <c r="V2312"/>
  <c r="V2313"/>
  <c r="V2314"/>
  <c r="V2315"/>
  <c r="V2316"/>
  <c r="V2317"/>
  <c r="V2318"/>
  <c r="V2319"/>
  <c r="V2320"/>
  <c r="V2321"/>
  <c r="V2322"/>
  <c r="V2324"/>
  <c r="V2325"/>
  <c r="V2326"/>
  <c r="V2327"/>
  <c r="V2328"/>
  <c r="V2329"/>
  <c r="V2330"/>
  <c r="V2331"/>
  <c r="V2332"/>
  <c r="V2333"/>
  <c r="V2334"/>
  <c r="V2335"/>
  <c r="V2336"/>
  <c r="V2337"/>
  <c r="V2338"/>
  <c r="V2340"/>
  <c r="V2341"/>
  <c r="V2342"/>
  <c r="V2343"/>
  <c r="V2344"/>
  <c r="V2345"/>
  <c r="V2346"/>
  <c r="V2347"/>
  <c r="V2348"/>
  <c r="V2349"/>
  <c r="V2350"/>
  <c r="V2351"/>
  <c r="V2352"/>
  <c r="V2353"/>
  <c r="V2354"/>
  <c r="V2356"/>
  <c r="V2357"/>
  <c r="V2358"/>
  <c r="V2359"/>
  <c r="V2360"/>
  <c r="V2361"/>
  <c r="V2362"/>
  <c r="V2363"/>
  <c r="V2364"/>
  <c r="V2365"/>
  <c r="V2366"/>
  <c r="V2367"/>
  <c r="V2368"/>
  <c r="V2369"/>
  <c r="V2370"/>
  <c r="V2372"/>
  <c r="V2373"/>
  <c r="V2374"/>
  <c r="V2375"/>
  <c r="V2376"/>
  <c r="V2377"/>
  <c r="V2378"/>
  <c r="V2379"/>
  <c r="V2380"/>
  <c r="V2381"/>
  <c r="V2382"/>
  <c r="V2383"/>
  <c r="V2384"/>
  <c r="V2385"/>
  <c r="V2386"/>
  <c r="V2388"/>
  <c r="V2389"/>
  <c r="V2390"/>
  <c r="V2391"/>
  <c r="V2392"/>
  <c r="V2393"/>
  <c r="V2394"/>
  <c r="V2395"/>
  <c r="V2396"/>
  <c r="V2397"/>
  <c r="V2398"/>
  <c r="V2399"/>
  <c r="V2400"/>
  <c r="V2401"/>
  <c r="V2402"/>
  <c r="V2404"/>
  <c r="V2405"/>
  <c r="V2406"/>
  <c r="V2407"/>
  <c r="V2408"/>
  <c r="V2409"/>
  <c r="V2410"/>
  <c r="V2411"/>
  <c r="V2412"/>
  <c r="V2413"/>
  <c r="V2414"/>
  <c r="V2415"/>
  <c r="V2416"/>
  <c r="V2417"/>
  <c r="V2418"/>
  <c r="V2420"/>
  <c r="V2421"/>
  <c r="V2422"/>
  <c r="V2423"/>
  <c r="V2424"/>
  <c r="V2425"/>
  <c r="V2426"/>
  <c r="V2427"/>
  <c r="V2428"/>
  <c r="V2429"/>
  <c r="V2430"/>
  <c r="V2431"/>
  <c r="V2432"/>
  <c r="V2433"/>
  <c r="V2434"/>
  <c r="V2436"/>
  <c r="V2437"/>
  <c r="V2438"/>
  <c r="V2439"/>
  <c r="V2440"/>
  <c r="V2441"/>
  <c r="V2442"/>
  <c r="V2443"/>
  <c r="V2444"/>
  <c r="V2445"/>
  <c r="V2446"/>
  <c r="V2447"/>
  <c r="V2448"/>
  <c r="V2449"/>
  <c r="V2450"/>
  <c r="V2452"/>
  <c r="V2453"/>
  <c r="V2454"/>
  <c r="V2455"/>
  <c r="V2456"/>
  <c r="V2457"/>
  <c r="V2458"/>
  <c r="V2459"/>
  <c r="V2460"/>
  <c r="V2461"/>
  <c r="V2462"/>
  <c r="V2463"/>
  <c r="V2464"/>
  <c r="V2465"/>
  <c r="V2466"/>
  <c r="V2468"/>
  <c r="V2469"/>
  <c r="V2470"/>
  <c r="V2471"/>
  <c r="V2472"/>
  <c r="V2473"/>
  <c r="V2474"/>
  <c r="V2475"/>
  <c r="V2476"/>
  <c r="V2477"/>
  <c r="V2478"/>
  <c r="V2479"/>
  <c r="V2480"/>
  <c r="V2481"/>
  <c r="V2482"/>
  <c r="V2484"/>
  <c r="V2485"/>
  <c r="V2486"/>
  <c r="V2487"/>
  <c r="V2488"/>
  <c r="V2489"/>
  <c r="V2490"/>
  <c r="V2491"/>
  <c r="V2492"/>
  <c r="V2493"/>
  <c r="V2494"/>
  <c r="V2495"/>
  <c r="V2496"/>
  <c r="V2497"/>
  <c r="V2498"/>
  <c r="V2500"/>
  <c r="V2501"/>
  <c r="V2502"/>
  <c r="V2503"/>
  <c r="V2504"/>
  <c r="V2505"/>
  <c r="V2506"/>
  <c r="V2507"/>
  <c r="V2508"/>
  <c r="V2509"/>
  <c r="V2510"/>
  <c r="V2511"/>
  <c r="V2512"/>
  <c r="V2513"/>
  <c r="V2514"/>
  <c r="V2516"/>
  <c r="V2517"/>
  <c r="V2518"/>
  <c r="V2519"/>
  <c r="V2520"/>
  <c r="V2521"/>
  <c r="V2522"/>
  <c r="V2523"/>
  <c r="V2524"/>
  <c r="V2525"/>
  <c r="V2526"/>
  <c r="V2527"/>
  <c r="V2528"/>
  <c r="V2529"/>
  <c r="V2530"/>
  <c r="V2532"/>
  <c r="V2533"/>
  <c r="V2534"/>
  <c r="V2535"/>
  <c r="V2536"/>
  <c r="V2537"/>
  <c r="V2538"/>
  <c r="V2539"/>
  <c r="V2540"/>
  <c r="V2541"/>
  <c r="V2542"/>
  <c r="V2543"/>
  <c r="V2544"/>
  <c r="V2545"/>
  <c r="V2546"/>
  <c r="V2548"/>
  <c r="V2549"/>
  <c r="V2550"/>
  <c r="V2551"/>
  <c r="V2552"/>
  <c r="V2553"/>
  <c r="V2554"/>
  <c r="V2555"/>
  <c r="V2556"/>
  <c r="V2557"/>
  <c r="V2558"/>
  <c r="V2559"/>
  <c r="V2560"/>
  <c r="V2561"/>
  <c r="V2562"/>
  <c r="V2564"/>
  <c r="V2565"/>
  <c r="V2566"/>
  <c r="V2567"/>
  <c r="V2568"/>
  <c r="V2569"/>
  <c r="V2570"/>
  <c r="V2571"/>
  <c r="V2572"/>
  <c r="V2573"/>
  <c r="V2574"/>
  <c r="V2575"/>
  <c r="V2576"/>
  <c r="V2577"/>
  <c r="V2578"/>
  <c r="V2580"/>
  <c r="V2581"/>
  <c r="V2582"/>
  <c r="V2583"/>
  <c r="V2584"/>
  <c r="V2585"/>
  <c r="V2586"/>
  <c r="V2587"/>
  <c r="V2588"/>
  <c r="V2589"/>
  <c r="V2590"/>
  <c r="V2591"/>
  <c r="V2592"/>
  <c r="V2593"/>
  <c r="V2594"/>
  <c r="V2596"/>
  <c r="V2597"/>
  <c r="V2598"/>
  <c r="V2599"/>
  <c r="V2600"/>
  <c r="V2601"/>
  <c r="V2602"/>
  <c r="V2603"/>
  <c r="V2604"/>
  <c r="V2605"/>
  <c r="V2606"/>
  <c r="V2607"/>
  <c r="V2608"/>
  <c r="V2609"/>
  <c r="V2610"/>
  <c r="V2612"/>
  <c r="V2613"/>
  <c r="V2614"/>
  <c r="V2615"/>
  <c r="V2616"/>
  <c r="V2617"/>
  <c r="V2618"/>
  <c r="V2619"/>
  <c r="V2620"/>
  <c r="V2621"/>
  <c r="V2622"/>
  <c r="V2623"/>
  <c r="V2624"/>
  <c r="V2625"/>
  <c r="V2626"/>
  <c r="V2628"/>
  <c r="V2629"/>
  <c r="V2630"/>
  <c r="V2631"/>
  <c r="V2632"/>
  <c r="V2633"/>
  <c r="V2634"/>
  <c r="V2635"/>
  <c r="V2636"/>
  <c r="V2637"/>
  <c r="V2638"/>
  <c r="V2639"/>
  <c r="V2640"/>
  <c r="V2641"/>
  <c r="V2642"/>
  <c r="V2644"/>
  <c r="V2645"/>
  <c r="V2646"/>
  <c r="V2647"/>
  <c r="V2648"/>
  <c r="V2649"/>
  <c r="V2650"/>
  <c r="V2651"/>
  <c r="V2652"/>
  <c r="V2653"/>
  <c r="V2654"/>
  <c r="V2655"/>
  <c r="V2656"/>
  <c r="V2657"/>
  <c r="V2658"/>
  <c r="V2660"/>
  <c r="V2661"/>
  <c r="V2662"/>
  <c r="V2663"/>
  <c r="V2664"/>
  <c r="V2665"/>
  <c r="V2666"/>
  <c r="V2667"/>
  <c r="V2668"/>
  <c r="V2669"/>
  <c r="V2670"/>
  <c r="V2671"/>
  <c r="V2672"/>
  <c r="V2673"/>
  <c r="V2674"/>
  <c r="V2676"/>
  <c r="V2677"/>
  <c r="V2678"/>
  <c r="V2679"/>
  <c r="V2680"/>
  <c r="V2681"/>
  <c r="V2682"/>
  <c r="V2683"/>
  <c r="V2684"/>
  <c r="V2685"/>
  <c r="V2686"/>
  <c r="V2687"/>
  <c r="V2688"/>
  <c r="V2689"/>
  <c r="V2690"/>
  <c r="V2692"/>
  <c r="V2693"/>
  <c r="V2694"/>
  <c r="V2695"/>
  <c r="V2696"/>
  <c r="V2697"/>
  <c r="V2698"/>
  <c r="V2699"/>
  <c r="V2700"/>
  <c r="V2701"/>
  <c r="V2702"/>
  <c r="V2703"/>
  <c r="V2704"/>
  <c r="V2705"/>
  <c r="V2706"/>
  <c r="V2708"/>
  <c r="V2709"/>
  <c r="V2710"/>
  <c r="V2711"/>
  <c r="V2712"/>
  <c r="V2713"/>
  <c r="V2714"/>
  <c r="V2715"/>
  <c r="V2716"/>
  <c r="V2717"/>
  <c r="V2718"/>
  <c r="V2719"/>
  <c r="V2720"/>
  <c r="V2721"/>
  <c r="V2722"/>
  <c r="V2724"/>
  <c r="V2725"/>
  <c r="V2726"/>
  <c r="V2727"/>
  <c r="V2728"/>
  <c r="V2729"/>
  <c r="V2730"/>
  <c r="V2731"/>
  <c r="V2732"/>
  <c r="V2733"/>
  <c r="V2734"/>
  <c r="V2735"/>
  <c r="V2736"/>
  <c r="V2737"/>
  <c r="V2738"/>
  <c r="V2740"/>
  <c r="V2741"/>
  <c r="V2742"/>
  <c r="V2743"/>
  <c r="V2744"/>
  <c r="V2745"/>
  <c r="V2746"/>
  <c r="V2747"/>
  <c r="V2748"/>
  <c r="V2749"/>
  <c r="V2750"/>
  <c r="V2751"/>
  <c r="V2752"/>
  <c r="V2753"/>
  <c r="V2754"/>
  <c r="V2756"/>
  <c r="V2757"/>
  <c r="V2758"/>
  <c r="V2759"/>
  <c r="V2760"/>
  <c r="V2761"/>
  <c r="V2762"/>
  <c r="V2763"/>
  <c r="V2764"/>
  <c r="V2765"/>
  <c r="V2766"/>
  <c r="V2767"/>
  <c r="V2768"/>
  <c r="V2769"/>
  <c r="V2770"/>
  <c r="V2772"/>
  <c r="V2773"/>
  <c r="V2774"/>
  <c r="V2775"/>
  <c r="V2776"/>
  <c r="V2777"/>
  <c r="V2778"/>
  <c r="V2779"/>
  <c r="V2780"/>
  <c r="V2781"/>
  <c r="V2782"/>
  <c r="V2783"/>
  <c r="V2784"/>
  <c r="V2785"/>
  <c r="V2786"/>
  <c r="V2788"/>
  <c r="V2789"/>
  <c r="V2790"/>
  <c r="V2791"/>
  <c r="V2792"/>
  <c r="V2793"/>
  <c r="V2794"/>
  <c r="V2795"/>
  <c r="V2796"/>
  <c r="V2797"/>
  <c r="V2798"/>
  <c r="V2799"/>
  <c r="V2800"/>
  <c r="V2801"/>
  <c r="V2802"/>
  <c r="V2804"/>
  <c r="V2805"/>
  <c r="V2806"/>
  <c r="V2807"/>
  <c r="V2808"/>
  <c r="V2809"/>
  <c r="V2810"/>
  <c r="V2811"/>
  <c r="V2812"/>
  <c r="V2813"/>
  <c r="V2814"/>
  <c r="V2815"/>
  <c r="V2816"/>
  <c r="V2817"/>
  <c r="V2818"/>
  <c r="V2820"/>
  <c r="V2821"/>
  <c r="V2822"/>
  <c r="V2823"/>
  <c r="V2824"/>
  <c r="V2825"/>
  <c r="V2826"/>
  <c r="V2827"/>
  <c r="V2828"/>
  <c r="V2829"/>
  <c r="V2830"/>
  <c r="V2831"/>
  <c r="V2832"/>
  <c r="V2833"/>
  <c r="V2834"/>
  <c r="V2836"/>
  <c r="V2837"/>
  <c r="V2838"/>
  <c r="V2839"/>
  <c r="V2840"/>
  <c r="V2841"/>
  <c r="V2842"/>
  <c r="V2843"/>
  <c r="V2844"/>
  <c r="V2845"/>
  <c r="V2846"/>
  <c r="V2847"/>
  <c r="V2848"/>
  <c r="V2849"/>
  <c r="V2850"/>
  <c r="V2852"/>
  <c r="V2853"/>
  <c r="V2854"/>
  <c r="V2855"/>
  <c r="V2856"/>
  <c r="V2857"/>
  <c r="V2858"/>
  <c r="V2859"/>
  <c r="V2860"/>
  <c r="V2861"/>
  <c r="V2862"/>
  <c r="V2863"/>
  <c r="V2864"/>
  <c r="V2865"/>
  <c r="V2866"/>
  <c r="V2868"/>
  <c r="V2869"/>
  <c r="V2870"/>
  <c r="V2871"/>
  <c r="V2872"/>
  <c r="V2873"/>
  <c r="V2874"/>
  <c r="V2875"/>
  <c r="V2876"/>
  <c r="V2877"/>
  <c r="V2878"/>
  <c r="V2879"/>
  <c r="V2880"/>
  <c r="V2881"/>
  <c r="V2882"/>
  <c r="V2884"/>
  <c r="V2885"/>
  <c r="V2886"/>
  <c r="V2887"/>
  <c r="V2888"/>
  <c r="V2889"/>
  <c r="V2890"/>
  <c r="V2891"/>
  <c r="V2892"/>
  <c r="V2893"/>
  <c r="V2894"/>
  <c r="V2895"/>
  <c r="V2896"/>
  <c r="V2897"/>
  <c r="V2898"/>
  <c r="V2900"/>
  <c r="V2901"/>
  <c r="V2902"/>
  <c r="V2903"/>
  <c r="V2904"/>
  <c r="V2905"/>
  <c r="V2906"/>
  <c r="V2907"/>
  <c r="V2908"/>
  <c r="V2909"/>
  <c r="V2910"/>
  <c r="V2911"/>
  <c r="V2912"/>
  <c r="V2913"/>
  <c r="V2914"/>
  <c r="V2916"/>
  <c r="V2917"/>
  <c r="V2918"/>
  <c r="V2919"/>
  <c r="V2921"/>
  <c r="V2922"/>
  <c r="V2923"/>
  <c r="V2924"/>
  <c r="V2925"/>
  <c r="V2926"/>
  <c r="V2927"/>
  <c r="V2928"/>
  <c r="V2929"/>
  <c r="V2930"/>
  <c r="V2932"/>
  <c r="V2933"/>
  <c r="V2934"/>
  <c r="V2935"/>
  <c r="V2936"/>
  <c r="V2937"/>
  <c r="V2938"/>
  <c r="V2939"/>
  <c r="V2940"/>
  <c r="V2941"/>
  <c r="V2942"/>
  <c r="V2943"/>
  <c r="V2944"/>
  <c r="V2945"/>
  <c r="V2946"/>
  <c r="V2948"/>
  <c r="V2949"/>
  <c r="V2950"/>
  <c r="V2951"/>
  <c r="V2952"/>
  <c r="V2953"/>
  <c r="V2954"/>
  <c r="V2955"/>
  <c r="V2956"/>
  <c r="V2957"/>
  <c r="V2958"/>
  <c r="V2959"/>
  <c r="V2960"/>
  <c r="V2961"/>
  <c r="V2962"/>
  <c r="V2964"/>
  <c r="V2965"/>
  <c r="V2966"/>
  <c r="V2967"/>
  <c r="V2968"/>
  <c r="V2969"/>
  <c r="V2970"/>
  <c r="V2971"/>
  <c r="V2972"/>
  <c r="V2973"/>
  <c r="V2974"/>
  <c r="V2975"/>
  <c r="V2976"/>
  <c r="V2977"/>
  <c r="V2978"/>
  <c r="V2980"/>
  <c r="V2981"/>
  <c r="V2982"/>
  <c r="V2983"/>
  <c r="V2984"/>
  <c r="V2985"/>
  <c r="V2986"/>
  <c r="V2987"/>
  <c r="V2988"/>
  <c r="V2989"/>
  <c r="V2990"/>
  <c r="V2991"/>
  <c r="V2992"/>
  <c r="V2993"/>
  <c r="V2994"/>
  <c r="V2996"/>
  <c r="V2997"/>
  <c r="V2998"/>
  <c r="V2999"/>
  <c r="V3000"/>
  <c r="V3001"/>
  <c r="V3002"/>
  <c r="V3003"/>
  <c r="V3004"/>
  <c r="V3005"/>
  <c r="V3006"/>
  <c r="V3007"/>
  <c r="V3008"/>
  <c r="V3009"/>
  <c r="V3010"/>
  <c r="V3012"/>
  <c r="V3013"/>
  <c r="V3014"/>
  <c r="V3015"/>
  <c r="V3016"/>
  <c r="V3017"/>
  <c r="V3018"/>
  <c r="V3019"/>
  <c r="V3020"/>
  <c r="V3021"/>
  <c r="V3022"/>
  <c r="V3023"/>
  <c r="V3024"/>
  <c r="V3025"/>
  <c r="V3026"/>
  <c r="V3028"/>
  <c r="V3029"/>
  <c r="V3030"/>
  <c r="V3031"/>
  <c r="V3032"/>
  <c r="V3033"/>
  <c r="V3034"/>
  <c r="V3035"/>
  <c r="V3036"/>
  <c r="V3037"/>
  <c r="V3038"/>
  <c r="V3039"/>
  <c r="V3040"/>
  <c r="V3041"/>
  <c r="V3042"/>
  <c r="V3044"/>
  <c r="V3045"/>
  <c r="V3046"/>
  <c r="V3047"/>
  <c r="V3048"/>
  <c r="V3049"/>
  <c r="V3050"/>
  <c r="V3051"/>
  <c r="V3052"/>
  <c r="V3053"/>
  <c r="V3054"/>
  <c r="V3055"/>
  <c r="V3056"/>
  <c r="V3057"/>
  <c r="V3058"/>
  <c r="V3060"/>
  <c r="V3061"/>
  <c r="V3062"/>
  <c r="V3063"/>
  <c r="V3064"/>
  <c r="V3065"/>
  <c r="V3066"/>
  <c r="V3067"/>
  <c r="V3068"/>
  <c r="V3069"/>
  <c r="V3070"/>
  <c r="V3071"/>
  <c r="V3072"/>
  <c r="V3073"/>
  <c r="V3074"/>
  <c r="V3076"/>
  <c r="V3077"/>
  <c r="V3078"/>
  <c r="V3079"/>
  <c r="V3080"/>
  <c r="V3081"/>
  <c r="V3082"/>
  <c r="V3083"/>
  <c r="V3084"/>
  <c r="V3085"/>
  <c r="V3086"/>
  <c r="V3087"/>
  <c r="V3088"/>
  <c r="V3089"/>
  <c r="V3090"/>
  <c r="V3092"/>
  <c r="V3093"/>
  <c r="V3094"/>
  <c r="V3095"/>
  <c r="V3096"/>
  <c r="V3097"/>
  <c r="V3098"/>
  <c r="V3099"/>
  <c r="V3100"/>
  <c r="V3101"/>
  <c r="V3102"/>
  <c r="V3103"/>
  <c r="V3104"/>
  <c r="V3105"/>
  <c r="V3106"/>
  <c r="V3108"/>
  <c r="V3109"/>
  <c r="V3110"/>
  <c r="V3111"/>
  <c r="V3112"/>
  <c r="V3113"/>
  <c r="V3114"/>
  <c r="V3115"/>
  <c r="V3116"/>
  <c r="V3117"/>
  <c r="V3118"/>
  <c r="V3119"/>
  <c r="V3120"/>
  <c r="V3121"/>
  <c r="V3122"/>
  <c r="V3124"/>
  <c r="V3125"/>
  <c r="V3126"/>
  <c r="V3127"/>
  <c r="V3128"/>
  <c r="V3129"/>
  <c r="V3130"/>
  <c r="V3131"/>
  <c r="V3132"/>
  <c r="V3133"/>
  <c r="V3134"/>
  <c r="V3135"/>
  <c r="V3136"/>
  <c r="V3137"/>
  <c r="V3138"/>
  <c r="V3140"/>
  <c r="V3141"/>
  <c r="V3142"/>
  <c r="V3143"/>
  <c r="V3144"/>
  <c r="V3145"/>
  <c r="V3146"/>
  <c r="V3147"/>
  <c r="V3148"/>
  <c r="V3149"/>
  <c r="V3150"/>
  <c r="V3151"/>
  <c r="V3152"/>
  <c r="V3153"/>
  <c r="V3154"/>
  <c r="V3156"/>
  <c r="V3157"/>
  <c r="V3158"/>
  <c r="V3159"/>
  <c r="V3160"/>
  <c r="V3161"/>
  <c r="V3162"/>
  <c r="V3163"/>
  <c r="V3164"/>
  <c r="V3165"/>
  <c r="V3166"/>
  <c r="V3167"/>
  <c r="V3168"/>
  <c r="V3169"/>
  <c r="V3170"/>
  <c r="V3172"/>
  <c r="V3173"/>
  <c r="V3174"/>
  <c r="V3175"/>
  <c r="V3177"/>
  <c r="V3178"/>
  <c r="V3179"/>
  <c r="V3180"/>
  <c r="V3181"/>
  <c r="V3182"/>
  <c r="V3183"/>
  <c r="V3184"/>
  <c r="V3185"/>
  <c r="V3186"/>
  <c r="V3188"/>
  <c r="V3189"/>
  <c r="V3190"/>
  <c r="V3191"/>
  <c r="V3192"/>
  <c r="V3193"/>
  <c r="V3194"/>
  <c r="V3195"/>
  <c r="V3196"/>
  <c r="V3197"/>
  <c r="V3198"/>
  <c r="V3199"/>
  <c r="V3200"/>
  <c r="V3201"/>
  <c r="V3202"/>
  <c r="V3204"/>
  <c r="V3205"/>
  <c r="V3206"/>
  <c r="V3207"/>
  <c r="V3208"/>
  <c r="V3209"/>
  <c r="V3210"/>
  <c r="V3211"/>
  <c r="V3212"/>
  <c r="V3213"/>
  <c r="V3214"/>
  <c r="V3215"/>
  <c r="V3216"/>
  <c r="V3217"/>
  <c r="V3218"/>
  <c r="V3220"/>
  <c r="V3221"/>
  <c r="V3222"/>
  <c r="V3223"/>
  <c r="V3224"/>
  <c r="V3225"/>
  <c r="V3226"/>
  <c r="V3227"/>
  <c r="V3228"/>
  <c r="V3229"/>
  <c r="V3230"/>
  <c r="V3231"/>
  <c r="V3232"/>
  <c r="V3233"/>
  <c r="V3234"/>
  <c r="V3236"/>
  <c r="V3237"/>
  <c r="V3238"/>
  <c r="V3239"/>
  <c r="V3240"/>
  <c r="V3241"/>
  <c r="V3242"/>
  <c r="V3243"/>
  <c r="V3244"/>
  <c r="V3245"/>
  <c r="V3246"/>
  <c r="V3247"/>
  <c r="V3248"/>
  <c r="V3249"/>
  <c r="V3250"/>
  <c r="V3252"/>
  <c r="V3253"/>
  <c r="V3254"/>
  <c r="V3255"/>
  <c r="V3256"/>
  <c r="V3257"/>
  <c r="V3258"/>
  <c r="V3259"/>
  <c r="V3260"/>
  <c r="V3261"/>
  <c r="V3262"/>
  <c r="V3263"/>
  <c r="V3264"/>
  <c r="V3265"/>
  <c r="V3266"/>
  <c r="V3268"/>
  <c r="V3269"/>
  <c r="V3270"/>
  <c r="V3271"/>
  <c r="V3272"/>
  <c r="V3273"/>
  <c r="V3274"/>
  <c r="V3275"/>
  <c r="V3276"/>
  <c r="V3277"/>
  <c r="V3278"/>
  <c r="V3279"/>
  <c r="V3280"/>
  <c r="V3281"/>
  <c r="V3282"/>
  <c r="V3284"/>
  <c r="V3285"/>
  <c r="V3286"/>
  <c r="V3287"/>
  <c r="V3288"/>
  <c r="V3289"/>
  <c r="V3290"/>
  <c r="V3291"/>
  <c r="V3292"/>
  <c r="V3293"/>
  <c r="V3294"/>
  <c r="V3295"/>
  <c r="V3296"/>
  <c r="V3297"/>
  <c r="V3298"/>
  <c r="V3300"/>
  <c r="V3301"/>
  <c r="V3302"/>
  <c r="V3303"/>
  <c r="V3304"/>
  <c r="V3305"/>
  <c r="V3306"/>
  <c r="V3307"/>
  <c r="V3308"/>
  <c r="V3309"/>
  <c r="V3310"/>
  <c r="V3311"/>
  <c r="V3312"/>
  <c r="V3313"/>
  <c r="V3314"/>
  <c r="V3316"/>
  <c r="V3317"/>
  <c r="V3318"/>
  <c r="V3319"/>
  <c r="V3320"/>
  <c r="V3321"/>
  <c r="V3322"/>
  <c r="V3323"/>
  <c r="V3324"/>
  <c r="V3325"/>
  <c r="V3326"/>
  <c r="V3327"/>
  <c r="V3328"/>
  <c r="V3329"/>
  <c r="V3330"/>
  <c r="V3332"/>
  <c r="V3333"/>
  <c r="V3334"/>
  <c r="V3335"/>
  <c r="V3336"/>
  <c r="V3337"/>
  <c r="V3338"/>
  <c r="V3339"/>
  <c r="V3340"/>
  <c r="V3341"/>
  <c r="V3342"/>
  <c r="V3343"/>
  <c r="V3344"/>
  <c r="V3345"/>
  <c r="V3346"/>
  <c r="V3348"/>
  <c r="V3349"/>
  <c r="V3350"/>
  <c r="V3351"/>
  <c r="V3352"/>
  <c r="V3353"/>
  <c r="V3354"/>
  <c r="V3355"/>
  <c r="V3356"/>
  <c r="V3357"/>
  <c r="V3358"/>
  <c r="V3359"/>
  <c r="V3360"/>
  <c r="V3361"/>
  <c r="V3362"/>
  <c r="V3364"/>
  <c r="V3365"/>
  <c r="V3366"/>
  <c r="V3367"/>
  <c r="V3368"/>
  <c r="V3369"/>
  <c r="V3370"/>
  <c r="V3371"/>
  <c r="V3372"/>
  <c r="V3373"/>
  <c r="V3374"/>
  <c r="V3375"/>
  <c r="V3376"/>
  <c r="V3377"/>
  <c r="V3378"/>
  <c r="V3380"/>
  <c r="V3381"/>
  <c r="V3382"/>
  <c r="V3383"/>
  <c r="V3384"/>
  <c r="V3385"/>
  <c r="V3386"/>
  <c r="V3387"/>
  <c r="V3388"/>
  <c r="V3389"/>
  <c r="V3390"/>
  <c r="V3391"/>
  <c r="V3392"/>
  <c r="V3393"/>
  <c r="V3394"/>
  <c r="V3396"/>
  <c r="V3397"/>
  <c r="V3398"/>
  <c r="V3399"/>
  <c r="V3400"/>
  <c r="V3401"/>
  <c r="V3402"/>
  <c r="V3403"/>
  <c r="V3404"/>
  <c r="V3405"/>
  <c r="V3406"/>
  <c r="V3407"/>
  <c r="V3408"/>
  <c r="V3409"/>
  <c r="V3410"/>
  <c r="V3412"/>
  <c r="V3413"/>
  <c r="V3414"/>
  <c r="V3415"/>
  <c r="V3416"/>
  <c r="V3417"/>
  <c r="V3418"/>
  <c r="V3419"/>
  <c r="V3420"/>
  <c r="V3421"/>
  <c r="V3422"/>
  <c r="V3423"/>
  <c r="V3424"/>
  <c r="V3425"/>
  <c r="V3426"/>
  <c r="V3428"/>
  <c r="V3429"/>
  <c r="V3430"/>
  <c r="V3431"/>
  <c r="V3433"/>
  <c r="V3434"/>
  <c r="V3435"/>
  <c r="V3436"/>
  <c r="V3437"/>
  <c r="V3438"/>
  <c r="V3439"/>
  <c r="V3440"/>
  <c r="V3441"/>
  <c r="V3442"/>
  <c r="V3444"/>
  <c r="V3445"/>
  <c r="V3446"/>
  <c r="V3447"/>
  <c r="V3448"/>
  <c r="V3449"/>
  <c r="V3450"/>
  <c r="V3451"/>
  <c r="V3452"/>
  <c r="V3453"/>
  <c r="V3454"/>
  <c r="V3455"/>
  <c r="V3456"/>
  <c r="V3457"/>
  <c r="V3458"/>
  <c r="V3460"/>
  <c r="V3461"/>
  <c r="V3462"/>
  <c r="V3463"/>
  <c r="V3464"/>
  <c r="V3465"/>
  <c r="V3466"/>
  <c r="V3467"/>
  <c r="V3468"/>
  <c r="V3469"/>
  <c r="V3470"/>
  <c r="V3471"/>
  <c r="V3472"/>
  <c r="V3473"/>
  <c r="V3474"/>
  <c r="V3476"/>
  <c r="V3477"/>
  <c r="V3478"/>
  <c r="V3479"/>
  <c r="V3480"/>
  <c r="V3481"/>
  <c r="V3482"/>
  <c r="V3483"/>
  <c r="V3484"/>
  <c r="V3485"/>
  <c r="V3486"/>
  <c r="V3487"/>
  <c r="V3488"/>
  <c r="V3489"/>
  <c r="V3490"/>
  <c r="V3492"/>
  <c r="V3493"/>
  <c r="V3494"/>
  <c r="V3495"/>
  <c r="V3496"/>
  <c r="V3497"/>
  <c r="V3498"/>
  <c r="V3499"/>
  <c r="V3500"/>
  <c r="V3501"/>
  <c r="V3502"/>
  <c r="V3503"/>
  <c r="V3504"/>
  <c r="V3505"/>
  <c r="V3506"/>
  <c r="V3508"/>
  <c r="V3509"/>
  <c r="V3510"/>
  <c r="V3511"/>
  <c r="V3512"/>
  <c r="V3513"/>
  <c r="V3514"/>
  <c r="V3515"/>
  <c r="V3516"/>
  <c r="V3517"/>
  <c r="V3518"/>
  <c r="V3519"/>
  <c r="V3520"/>
  <c r="V3521"/>
  <c r="V3522"/>
  <c r="V3524"/>
  <c r="V3525"/>
  <c r="V3526"/>
  <c r="V3527"/>
  <c r="V3528"/>
  <c r="V3529"/>
  <c r="V3530"/>
  <c r="V3531"/>
  <c r="V3532"/>
  <c r="V3533"/>
  <c r="V3534"/>
  <c r="V3535"/>
  <c r="V3536"/>
  <c r="V3537"/>
  <c r="V3538"/>
  <c r="V3540"/>
  <c r="V3541"/>
  <c r="V3542"/>
  <c r="V3543"/>
  <c r="V3544"/>
  <c r="V3545"/>
  <c r="V3546"/>
  <c r="V3547"/>
  <c r="V3548"/>
  <c r="V3549"/>
  <c r="V3550"/>
  <c r="V3551"/>
  <c r="V3552"/>
  <c r="V3553"/>
  <c r="V3554"/>
  <c r="V3556"/>
  <c r="V3557"/>
  <c r="V3558"/>
  <c r="V3559"/>
  <c r="V3560"/>
  <c r="V3561"/>
  <c r="V3562"/>
  <c r="V3563"/>
  <c r="V3564"/>
  <c r="V3565"/>
  <c r="V3566"/>
  <c r="V3567"/>
  <c r="V3568"/>
  <c r="V3569"/>
  <c r="V3570"/>
  <c r="V3572"/>
  <c r="V3573"/>
  <c r="V3574"/>
  <c r="V3575"/>
  <c r="V3576"/>
  <c r="V3577"/>
  <c r="V3578"/>
  <c r="V3579"/>
  <c r="V3580"/>
  <c r="V3581"/>
  <c r="V3582"/>
  <c r="V3583"/>
  <c r="V3584"/>
  <c r="V3585"/>
  <c r="V3586"/>
  <c r="V3588"/>
  <c r="V3589"/>
  <c r="V3590"/>
  <c r="V3591"/>
  <c r="V3592"/>
  <c r="V3593"/>
  <c r="V3594"/>
  <c r="V3595"/>
  <c r="V3596"/>
  <c r="V3597"/>
  <c r="V3598"/>
  <c r="V3599"/>
  <c r="V3600"/>
  <c r="V3601"/>
  <c r="V3602"/>
  <c r="V3604"/>
  <c r="V3605"/>
  <c r="V3606"/>
  <c r="V3607"/>
  <c r="V3608"/>
  <c r="V3609"/>
  <c r="V3610"/>
  <c r="V3611"/>
  <c r="V3612"/>
  <c r="V3613"/>
  <c r="V3614"/>
  <c r="V3615"/>
  <c r="V3616"/>
  <c r="V3617"/>
  <c r="V3618"/>
  <c r="V3620"/>
  <c r="V3621"/>
  <c r="V3622"/>
  <c r="V3623"/>
  <c r="V3624"/>
  <c r="V3625"/>
  <c r="V3626"/>
  <c r="V3627"/>
  <c r="V3628"/>
  <c r="V3629"/>
  <c r="V3630"/>
  <c r="V3631"/>
  <c r="V3632"/>
  <c r="V3633"/>
  <c r="V3634"/>
  <c r="V3636"/>
  <c r="V3637"/>
  <c r="V3638"/>
  <c r="V3639"/>
  <c r="V3640"/>
  <c r="V3641"/>
  <c r="V3642"/>
  <c r="V3643"/>
  <c r="V3644"/>
  <c r="V3645"/>
  <c r="V3646"/>
  <c r="V3647"/>
  <c r="V3648"/>
  <c r="V3649"/>
  <c r="V3650"/>
  <c r="V3652"/>
  <c r="V3653"/>
  <c r="V3654"/>
  <c r="V3655"/>
  <c r="V3656"/>
  <c r="V3657"/>
  <c r="V3658"/>
  <c r="V3659"/>
  <c r="V3660"/>
  <c r="V3661"/>
  <c r="V3662"/>
  <c r="V3663"/>
  <c r="V3664"/>
  <c r="V3665"/>
  <c r="V3666"/>
  <c r="V3668"/>
  <c r="V3669"/>
  <c r="V3670"/>
  <c r="V3671"/>
  <c r="V3672"/>
  <c r="V3673"/>
  <c r="V3674"/>
  <c r="V3675"/>
  <c r="V3676"/>
  <c r="V3677"/>
  <c r="V3678"/>
  <c r="V3679"/>
  <c r="V3680"/>
  <c r="V3681"/>
  <c r="V3682"/>
  <c r="V3684"/>
  <c r="V3685"/>
  <c r="V3686"/>
  <c r="V3687"/>
  <c r="V3689"/>
  <c r="V3690"/>
  <c r="V3691"/>
  <c r="V3692"/>
  <c r="V3693"/>
  <c r="V3694"/>
  <c r="V3695"/>
  <c r="V3696"/>
  <c r="V3697"/>
  <c r="V3698"/>
  <c r="V3700"/>
  <c r="V3701"/>
  <c r="V3702"/>
  <c r="V3703"/>
  <c r="V3704"/>
  <c r="V3705"/>
  <c r="V3706"/>
  <c r="V3707"/>
  <c r="V3708"/>
  <c r="V3709"/>
  <c r="V3710"/>
  <c r="V3711"/>
  <c r="V3712"/>
  <c r="V3713"/>
  <c r="V3714"/>
  <c r="V3716"/>
  <c r="V3717"/>
  <c r="V3718"/>
  <c r="V3719"/>
  <c r="V3720"/>
  <c r="V3721"/>
  <c r="V3722"/>
  <c r="V3723"/>
  <c r="V3724"/>
  <c r="V3725"/>
  <c r="V3726"/>
  <c r="V3727"/>
  <c r="V3728"/>
  <c r="V3729"/>
  <c r="V3730"/>
  <c r="V3732"/>
  <c r="V3733"/>
  <c r="V3734"/>
  <c r="V3735"/>
  <c r="V3736"/>
  <c r="V3737"/>
  <c r="V3738"/>
  <c r="V3739"/>
  <c r="V3740"/>
  <c r="V3741"/>
  <c r="V3742"/>
  <c r="V3743"/>
  <c r="V3744"/>
  <c r="V3745"/>
  <c r="V3746"/>
  <c r="V3748"/>
  <c r="V3749"/>
  <c r="V3750"/>
  <c r="V3751"/>
  <c r="V3752"/>
  <c r="V3753"/>
  <c r="V3754"/>
  <c r="V3755"/>
  <c r="V3756"/>
  <c r="V3757"/>
  <c r="V3758"/>
  <c r="V3759"/>
  <c r="V3760"/>
  <c r="V3761"/>
  <c r="V3762"/>
  <c r="V3764"/>
  <c r="V3765"/>
  <c r="V3766"/>
  <c r="V3767"/>
  <c r="V3768"/>
  <c r="V3769"/>
  <c r="V3770"/>
  <c r="V3771"/>
  <c r="V3772"/>
  <c r="V3773"/>
  <c r="V3774"/>
  <c r="V3775"/>
  <c r="V3776"/>
  <c r="V3777"/>
  <c r="V3778"/>
  <c r="V3780"/>
  <c r="V3781"/>
  <c r="V3782"/>
  <c r="V3783"/>
  <c r="V3784"/>
  <c r="V3785"/>
  <c r="V3786"/>
  <c r="V3787"/>
  <c r="V3788"/>
  <c r="V3789"/>
  <c r="V3790"/>
  <c r="V3791"/>
  <c r="V3792"/>
  <c r="V3793"/>
  <c r="V3794"/>
  <c r="V3796"/>
  <c r="V3797"/>
  <c r="V3798"/>
  <c r="V3799"/>
  <c r="V3800"/>
  <c r="V3801"/>
  <c r="V3802"/>
  <c r="V3803"/>
  <c r="V3804"/>
  <c r="V3805"/>
  <c r="V3806"/>
  <c r="V3807"/>
  <c r="V3808"/>
  <c r="V3809"/>
  <c r="V3810"/>
  <c r="V3812"/>
  <c r="V3813"/>
  <c r="V3814"/>
  <c r="V3815"/>
  <c r="V3816"/>
  <c r="V3817"/>
  <c r="V3818"/>
  <c r="V3819"/>
  <c r="V3820"/>
  <c r="V3821"/>
  <c r="V3822"/>
  <c r="V3823"/>
  <c r="V3824"/>
  <c r="V3825"/>
  <c r="V3826"/>
  <c r="V3828"/>
  <c r="V3829"/>
  <c r="V3830"/>
  <c r="V3831"/>
  <c r="V3832"/>
  <c r="V3833"/>
  <c r="V3834"/>
  <c r="V3835"/>
  <c r="V3836"/>
  <c r="V3837"/>
  <c r="V3838"/>
  <c r="V3839"/>
  <c r="V3840"/>
  <c r="V3841"/>
  <c r="V3842"/>
  <c r="V3844"/>
  <c r="V3845"/>
  <c r="V3846"/>
  <c r="V3847"/>
  <c r="V3848"/>
  <c r="V3849"/>
  <c r="V3850"/>
  <c r="V3851"/>
  <c r="V3852"/>
  <c r="V3853"/>
  <c r="V3854"/>
  <c r="V3855"/>
  <c r="V3856"/>
  <c r="V3857"/>
  <c r="V3858"/>
  <c r="V3860"/>
  <c r="V3861"/>
  <c r="V3862"/>
  <c r="V3863"/>
  <c r="V3864"/>
  <c r="V3865"/>
  <c r="V3866"/>
  <c r="V3867"/>
  <c r="V3868"/>
  <c r="V3869"/>
  <c r="V3870"/>
  <c r="V3871"/>
  <c r="V3872"/>
  <c r="V3873"/>
  <c r="V3874"/>
  <c r="V3876"/>
  <c r="V3877"/>
  <c r="V3878"/>
  <c r="V3879"/>
  <c r="V3880"/>
  <c r="V3881"/>
  <c r="V3882"/>
  <c r="V3883"/>
  <c r="V3884"/>
  <c r="V3885"/>
  <c r="V3886"/>
  <c r="V3887"/>
  <c r="V3888"/>
  <c r="V3889"/>
  <c r="V3890"/>
  <c r="V3892"/>
  <c r="V3893"/>
  <c r="V3894"/>
  <c r="V3895"/>
  <c r="V3896"/>
  <c r="V3897"/>
  <c r="V3898"/>
  <c r="V3899"/>
  <c r="V3900"/>
  <c r="V3901"/>
  <c r="V3902"/>
  <c r="V3903"/>
  <c r="V3904"/>
  <c r="V3905"/>
  <c r="V3906"/>
  <c r="V3908"/>
  <c r="V3909"/>
  <c r="V3910"/>
  <c r="V3911"/>
  <c r="V3912"/>
  <c r="V3913"/>
  <c r="V3914"/>
  <c r="V3915"/>
  <c r="V3916"/>
  <c r="V3917"/>
  <c r="V3918"/>
  <c r="V3919"/>
  <c r="V3920"/>
  <c r="V3921"/>
  <c r="V3922"/>
  <c r="V3924"/>
  <c r="V3925"/>
  <c r="V3926"/>
  <c r="V3927"/>
  <c r="V3928"/>
  <c r="V3929"/>
  <c r="V3930"/>
  <c r="V3931"/>
  <c r="V3932"/>
  <c r="V3933"/>
  <c r="V3934"/>
  <c r="V3935"/>
  <c r="V3936"/>
  <c r="V3937"/>
  <c r="V3938"/>
  <c r="V3940"/>
  <c r="V3941"/>
  <c r="V3942"/>
  <c r="V3943"/>
  <c r="V3945"/>
  <c r="V3946"/>
  <c r="V3947"/>
  <c r="V3948"/>
  <c r="V3949"/>
  <c r="V3950"/>
  <c r="V3951"/>
  <c r="V3952"/>
  <c r="V3953"/>
  <c r="V3954"/>
  <c r="V3956"/>
  <c r="V3957"/>
  <c r="V3958"/>
  <c r="V3959"/>
  <c r="V3960"/>
  <c r="V3961"/>
  <c r="V3962"/>
  <c r="V3963"/>
  <c r="V3964"/>
  <c r="V3965"/>
  <c r="V3966"/>
  <c r="V3967"/>
  <c r="V3968"/>
  <c r="V3969"/>
  <c r="V3970"/>
  <c r="V3972"/>
  <c r="V3973"/>
  <c r="V3974"/>
  <c r="V3975"/>
  <c r="V3976"/>
  <c r="V3977"/>
  <c r="V3978"/>
  <c r="V3979"/>
  <c r="V3980"/>
  <c r="V3981"/>
  <c r="V3982"/>
  <c r="V3983"/>
  <c r="V3984"/>
  <c r="V3985"/>
  <c r="V3986"/>
  <c r="V3988"/>
  <c r="V3989"/>
  <c r="V3990"/>
  <c r="V3991"/>
  <c r="V3992"/>
  <c r="V3993"/>
  <c r="V3994"/>
  <c r="V3995"/>
  <c r="V3996"/>
  <c r="V3997"/>
  <c r="V3998"/>
  <c r="V3999"/>
  <c r="V4000"/>
  <c r="V4001"/>
  <c r="V4002"/>
  <c r="V4004"/>
  <c r="V4005"/>
  <c r="V4006"/>
  <c r="V4007"/>
  <c r="V4008"/>
  <c r="V4009"/>
  <c r="V4010"/>
  <c r="V4011"/>
  <c r="V4012"/>
  <c r="V4013"/>
  <c r="V4014"/>
  <c r="V4015"/>
  <c r="V4016"/>
  <c r="V4017"/>
  <c r="V4018"/>
  <c r="V4020"/>
  <c r="V4021"/>
  <c r="V4022"/>
  <c r="V4023"/>
  <c r="V4024"/>
  <c r="V4025"/>
  <c r="V4026"/>
  <c r="V4027"/>
  <c r="V4028"/>
  <c r="V4029"/>
  <c r="V4030"/>
  <c r="V4031"/>
  <c r="V4032"/>
  <c r="V4033"/>
  <c r="V4034"/>
  <c r="V4036"/>
  <c r="V4037"/>
  <c r="V4038"/>
  <c r="V4039"/>
  <c r="V4041"/>
  <c r="V4042"/>
  <c r="V4043"/>
  <c r="V4044"/>
  <c r="V4045"/>
  <c r="V4046"/>
  <c r="V4047"/>
  <c r="V4048"/>
  <c r="V4049"/>
  <c r="V4050"/>
  <c r="V4052"/>
  <c r="V4053"/>
  <c r="V4054"/>
  <c r="V4055"/>
  <c r="V4056"/>
  <c r="V4057"/>
  <c r="V4058"/>
  <c r="V4059"/>
  <c r="V4060"/>
  <c r="V4061"/>
  <c r="V4062"/>
  <c r="V4063"/>
  <c r="V4064"/>
  <c r="V4065"/>
  <c r="V4066"/>
  <c r="V4068"/>
  <c r="V4069"/>
  <c r="V4070"/>
  <c r="V4071"/>
  <c r="V4072"/>
  <c r="V4073"/>
  <c r="V4074"/>
  <c r="V4075"/>
  <c r="V4076"/>
  <c r="V4077"/>
  <c r="V4078"/>
  <c r="V4079"/>
  <c r="V4080"/>
  <c r="V4081"/>
  <c r="V4082"/>
  <c r="V4084"/>
  <c r="V4085"/>
  <c r="V4086"/>
  <c r="V4087"/>
  <c r="V4088"/>
  <c r="V4089"/>
  <c r="V4090"/>
  <c r="V4091"/>
  <c r="V4092"/>
  <c r="V4093"/>
  <c r="V4094"/>
  <c r="V4095"/>
  <c r="V4096"/>
  <c r="V4097"/>
  <c r="V4098"/>
  <c r="V4100"/>
  <c r="V4101"/>
  <c r="V4102"/>
  <c r="V4103"/>
  <c r="V4104"/>
  <c r="V4105"/>
  <c r="V4106"/>
  <c r="V4107"/>
  <c r="V4108"/>
  <c r="V4109"/>
  <c r="V4110"/>
  <c r="V4111"/>
  <c r="V4112"/>
  <c r="V4113"/>
  <c r="V4114"/>
  <c r="V4116"/>
  <c r="V4117"/>
  <c r="V4118"/>
  <c r="V4119"/>
  <c r="V4120"/>
  <c r="V4121"/>
  <c r="V4122"/>
  <c r="V4123"/>
  <c r="V4124"/>
  <c r="V4125"/>
  <c r="V4126"/>
  <c r="V4127"/>
  <c r="V4128"/>
  <c r="V4129"/>
  <c r="V4130"/>
  <c r="V4132"/>
  <c r="V4133"/>
  <c r="V4134"/>
  <c r="V4135"/>
  <c r="V4136"/>
  <c r="V4137"/>
  <c r="V4138"/>
  <c r="V4139"/>
  <c r="V4140"/>
  <c r="V4141"/>
  <c r="V4142"/>
  <c r="V4143"/>
  <c r="V4144"/>
  <c r="V4145"/>
  <c r="V4146"/>
  <c r="V4148"/>
  <c r="V4149"/>
  <c r="V4150"/>
  <c r="V4151"/>
  <c r="V4152"/>
  <c r="V4153"/>
  <c r="V4154"/>
  <c r="V4155"/>
  <c r="V4156"/>
  <c r="V4157"/>
  <c r="V4158"/>
  <c r="V4159"/>
  <c r="V4160"/>
  <c r="V4161"/>
  <c r="V4162"/>
  <c r="V4164"/>
  <c r="V4165"/>
  <c r="V4166"/>
  <c r="V4167"/>
  <c r="V4168"/>
  <c r="V4169"/>
  <c r="V4170"/>
  <c r="V4171"/>
  <c r="V4172"/>
  <c r="V4173"/>
  <c r="V4174"/>
  <c r="V4175"/>
  <c r="V4176"/>
  <c r="V4177"/>
  <c r="V4178"/>
  <c r="V4180"/>
  <c r="V4181"/>
  <c r="V4182"/>
  <c r="V4183"/>
  <c r="V4184"/>
  <c r="V4185"/>
  <c r="V4186"/>
  <c r="V4187"/>
  <c r="V4188"/>
  <c r="V4189"/>
  <c r="V4190"/>
  <c r="V4191"/>
  <c r="V4192"/>
  <c r="V4193"/>
  <c r="V4194"/>
  <c r="V4196"/>
  <c r="V4197"/>
  <c r="V4198"/>
  <c r="V4199"/>
  <c r="V4201"/>
  <c r="V4202"/>
  <c r="V4203"/>
  <c r="V4204"/>
  <c r="V4205"/>
  <c r="V4206"/>
  <c r="V4207"/>
  <c r="V4208"/>
  <c r="V4209"/>
  <c r="V4210"/>
  <c r="V4212"/>
  <c r="V4213"/>
  <c r="V4214"/>
  <c r="V4215"/>
  <c r="V4216"/>
  <c r="V4217"/>
  <c r="V4218"/>
  <c r="V4219"/>
  <c r="V4220"/>
  <c r="V4221"/>
  <c r="V4222"/>
  <c r="V4223"/>
  <c r="V4224"/>
  <c r="V4225"/>
  <c r="V4226"/>
  <c r="V4228"/>
  <c r="V4229"/>
  <c r="V4230"/>
  <c r="V4231"/>
  <c r="V4232"/>
  <c r="V4233"/>
  <c r="V4234"/>
  <c r="V4235"/>
  <c r="V4236"/>
  <c r="V4237"/>
  <c r="V4238"/>
  <c r="V4239"/>
  <c r="V4240"/>
  <c r="V4241"/>
  <c r="V4242"/>
  <c r="V4244"/>
  <c r="V4245"/>
  <c r="V4246"/>
  <c r="V4247"/>
  <c r="V4249"/>
  <c r="V4250"/>
  <c r="V4251"/>
  <c r="V4252"/>
  <c r="V4253"/>
  <c r="V4254"/>
  <c r="V4255"/>
  <c r="V4256"/>
  <c r="V4257"/>
  <c r="V4258"/>
  <c r="V4260"/>
  <c r="V4261"/>
  <c r="V4262"/>
  <c r="V4263"/>
  <c r="V4264"/>
  <c r="V4265"/>
  <c r="V4266"/>
  <c r="V4267"/>
  <c r="V4268"/>
  <c r="V4269"/>
  <c r="V4270"/>
  <c r="V4271"/>
  <c r="V4272"/>
  <c r="V4273"/>
  <c r="V4274"/>
  <c r="V4276"/>
  <c r="V4277"/>
  <c r="V4278"/>
  <c r="V4279"/>
  <c r="V4280"/>
  <c r="V4281"/>
  <c r="V4282"/>
  <c r="V4283"/>
  <c r="V4284"/>
  <c r="V4285"/>
  <c r="V4286"/>
  <c r="V4287"/>
  <c r="V4288"/>
  <c r="V4289"/>
  <c r="V4290"/>
  <c r="V4292"/>
  <c r="V4293"/>
  <c r="V4294"/>
  <c r="V4295"/>
  <c r="V4297"/>
  <c r="V4298"/>
  <c r="V4299"/>
  <c r="V4300"/>
  <c r="V4301"/>
  <c r="V4302"/>
  <c r="V4303"/>
  <c r="V4304"/>
  <c r="V4305"/>
  <c r="V4306"/>
  <c r="V4308"/>
  <c r="V4309"/>
  <c r="V4310"/>
  <c r="V4311"/>
  <c r="V4312"/>
  <c r="V4313"/>
  <c r="V4314"/>
  <c r="V4315"/>
  <c r="V4316"/>
  <c r="V4317"/>
  <c r="V4318"/>
  <c r="V4319"/>
  <c r="V4320"/>
  <c r="V4321"/>
  <c r="V4322"/>
  <c r="V4324"/>
  <c r="V4325"/>
  <c r="V4326"/>
  <c r="V4327"/>
  <c r="V4329"/>
  <c r="V4330"/>
  <c r="V4331"/>
  <c r="V4332"/>
  <c r="V4333"/>
  <c r="V4334"/>
  <c r="V4335"/>
  <c r="V4336"/>
  <c r="V4337"/>
  <c r="V4338"/>
  <c r="V4340"/>
  <c r="V4341"/>
  <c r="V4342"/>
  <c r="V4343"/>
  <c r="V4344"/>
  <c r="V4345"/>
  <c r="V4346"/>
  <c r="V4347"/>
  <c r="V4348"/>
  <c r="V4349"/>
  <c r="V4350"/>
  <c r="V4351"/>
  <c r="V4352"/>
  <c r="V4353"/>
  <c r="V4354"/>
  <c r="V4356"/>
  <c r="V4357"/>
  <c r="V4358"/>
  <c r="V4359"/>
  <c r="V4360"/>
  <c r="V4361"/>
  <c r="V4362"/>
  <c r="V4363"/>
  <c r="V4364"/>
  <c r="V4365"/>
  <c r="V4366"/>
  <c r="V4367"/>
  <c r="V4368"/>
  <c r="V4369"/>
  <c r="V4370"/>
  <c r="V4372"/>
  <c r="V4373"/>
  <c r="V4374"/>
  <c r="V4375"/>
  <c r="V4376"/>
  <c r="V4377"/>
  <c r="V4378"/>
  <c r="V4379"/>
  <c r="V4380"/>
  <c r="V4381"/>
  <c r="V4382"/>
  <c r="V4383"/>
  <c r="V4384"/>
  <c r="V4385"/>
  <c r="V4386"/>
  <c r="V4388"/>
  <c r="V4389"/>
  <c r="V4390"/>
  <c r="V4391"/>
  <c r="V4392"/>
  <c r="V4393"/>
  <c r="V4394"/>
  <c r="V4395"/>
  <c r="V4396"/>
  <c r="V4397"/>
  <c r="V4398"/>
  <c r="V4399"/>
  <c r="V4400"/>
  <c r="V4401"/>
  <c r="V4402"/>
  <c r="V4404"/>
  <c r="V4405"/>
  <c r="V4406"/>
  <c r="V4407"/>
  <c r="V4409"/>
  <c r="V4410"/>
  <c r="V4411"/>
  <c r="V4412"/>
  <c r="V4413"/>
  <c r="V4414"/>
  <c r="V4415"/>
  <c r="V4416"/>
  <c r="V4417"/>
  <c r="V4418"/>
  <c r="V4420"/>
  <c r="V4421"/>
  <c r="V4422"/>
  <c r="V4423"/>
  <c r="V4424"/>
  <c r="V4425"/>
  <c r="V4426"/>
  <c r="V4427"/>
  <c r="V4428"/>
  <c r="V4429"/>
  <c r="V4430"/>
  <c r="V4431"/>
  <c r="V4432"/>
  <c r="V4433"/>
  <c r="V4434"/>
  <c r="V4436"/>
  <c r="V4437"/>
  <c r="V4438"/>
  <c r="V4439"/>
  <c r="V4440"/>
  <c r="V4441"/>
  <c r="V4442"/>
  <c r="V4443"/>
  <c r="V4444"/>
  <c r="V4445"/>
  <c r="V4446"/>
  <c r="V4447"/>
  <c r="V4448"/>
  <c r="V4449"/>
  <c r="V4450"/>
  <c r="V4452"/>
  <c r="V4453"/>
  <c r="V4454"/>
  <c r="V4455"/>
  <c r="V4457"/>
  <c r="V4458"/>
  <c r="V4459"/>
  <c r="V4460"/>
  <c r="V4461"/>
  <c r="V4462"/>
  <c r="V4463"/>
  <c r="V4464"/>
  <c r="V4465"/>
  <c r="V4466"/>
  <c r="V4468"/>
  <c r="V4469"/>
  <c r="V4470"/>
  <c r="V4471"/>
  <c r="V4472"/>
  <c r="V4473"/>
  <c r="V4474"/>
  <c r="V4475"/>
  <c r="V4476"/>
  <c r="V4477"/>
  <c r="V4478"/>
  <c r="V4479"/>
  <c r="V4480"/>
  <c r="V4481"/>
  <c r="V4482"/>
  <c r="V4484"/>
  <c r="V4485"/>
  <c r="V4486"/>
  <c r="V4487"/>
  <c r="V4488"/>
  <c r="V4489"/>
  <c r="V4490"/>
  <c r="V4491"/>
  <c r="V4492"/>
  <c r="V4493"/>
  <c r="V4494"/>
  <c r="V4495"/>
  <c r="V4496"/>
  <c r="V4497"/>
  <c r="V4498"/>
  <c r="V4500"/>
  <c r="V4501"/>
  <c r="V4502"/>
  <c r="V4503"/>
  <c r="V4505"/>
  <c r="V4506"/>
  <c r="V4507"/>
  <c r="V4508"/>
  <c r="V4509"/>
  <c r="V4510"/>
  <c r="V4511"/>
  <c r="V4512"/>
  <c r="V4513"/>
  <c r="V4514"/>
  <c r="V4516"/>
  <c r="V4517"/>
  <c r="V4518"/>
  <c r="V4519"/>
  <c r="V4520"/>
  <c r="V4521"/>
  <c r="V4522"/>
  <c r="V4523"/>
  <c r="V4524"/>
  <c r="V4525"/>
  <c r="V4526"/>
  <c r="V4527"/>
  <c r="V4528"/>
  <c r="V4529"/>
  <c r="V4530"/>
  <c r="V4532"/>
  <c r="V4533"/>
  <c r="V4534"/>
  <c r="V4535"/>
  <c r="V4536"/>
  <c r="V4537"/>
  <c r="V4538"/>
  <c r="V4539"/>
  <c r="V4540"/>
  <c r="V4541"/>
  <c r="V4542"/>
  <c r="V4543"/>
  <c r="V4544"/>
  <c r="V4545"/>
  <c r="V4546"/>
  <c r="V4548"/>
  <c r="V4549"/>
  <c r="V4550"/>
  <c r="V4551"/>
  <c r="V4553"/>
  <c r="V4554"/>
  <c r="V4555"/>
  <c r="V4556"/>
  <c r="V4557"/>
  <c r="V4558"/>
  <c r="V4559"/>
  <c r="V4560"/>
  <c r="V4561"/>
  <c r="V4562"/>
  <c r="V4564"/>
  <c r="V4565"/>
  <c r="V4566"/>
  <c r="V4567"/>
  <c r="V4568"/>
  <c r="V4569"/>
  <c r="V4570"/>
  <c r="V4571"/>
  <c r="V4572"/>
  <c r="V4573"/>
  <c r="V4574"/>
  <c r="V4575"/>
  <c r="V4576"/>
  <c r="V4577"/>
  <c r="V4578"/>
  <c r="V4580"/>
  <c r="V4581"/>
  <c r="V4582"/>
  <c r="V4583"/>
  <c r="V4585"/>
  <c r="V4586"/>
  <c r="V4587"/>
  <c r="V4588"/>
  <c r="V4589"/>
  <c r="V4590"/>
  <c r="V4591"/>
  <c r="V4592"/>
  <c r="V4593"/>
  <c r="V4594"/>
  <c r="V4596"/>
  <c r="V4597"/>
  <c r="V4598"/>
  <c r="V4599"/>
  <c r="V4600"/>
  <c r="V4601"/>
  <c r="V4602"/>
  <c r="V4603"/>
  <c r="V4604"/>
  <c r="V4605"/>
  <c r="V4606"/>
  <c r="V4607"/>
  <c r="V4608"/>
  <c r="V4609"/>
  <c r="V4610"/>
  <c r="V4612"/>
  <c r="V4613"/>
  <c r="V4614"/>
  <c r="V4615"/>
  <c r="V4616"/>
  <c r="V4617"/>
  <c r="V4618"/>
  <c r="V4619"/>
  <c r="V4620"/>
  <c r="V4621"/>
  <c r="V4622"/>
  <c r="V4623"/>
  <c r="V4624"/>
  <c r="V4625"/>
  <c r="V4626"/>
  <c r="V4628"/>
  <c r="V4629"/>
  <c r="V4630"/>
  <c r="V4631"/>
  <c r="V4632"/>
  <c r="V4633"/>
  <c r="V4634"/>
  <c r="V4635"/>
  <c r="V4636"/>
  <c r="V4637"/>
  <c r="V4638"/>
  <c r="V4639"/>
  <c r="V4640"/>
  <c r="V4641"/>
  <c r="V4642"/>
  <c r="V4644"/>
  <c r="V4645"/>
  <c r="V4646"/>
  <c r="V4647"/>
  <c r="V4648"/>
  <c r="V4649"/>
  <c r="V4650"/>
  <c r="V4651"/>
  <c r="V4652"/>
  <c r="V4653"/>
  <c r="V4654"/>
  <c r="V4655"/>
  <c r="V4656"/>
  <c r="V4657"/>
  <c r="V4658"/>
  <c r="V4660"/>
  <c r="V4661"/>
  <c r="V4662"/>
  <c r="V4663"/>
  <c r="V4665"/>
  <c r="V4666"/>
  <c r="V4667"/>
  <c r="V4668"/>
  <c r="V4669"/>
  <c r="V4670"/>
  <c r="V4671"/>
  <c r="V4672"/>
  <c r="V4673"/>
  <c r="V4674"/>
  <c r="V4676"/>
  <c r="V4677"/>
  <c r="V4678"/>
  <c r="V4679"/>
  <c r="V4680"/>
  <c r="V4681"/>
  <c r="V4682"/>
  <c r="V4683"/>
  <c r="V4684"/>
  <c r="V4685"/>
  <c r="V4686"/>
  <c r="V4687"/>
  <c r="V4688"/>
  <c r="V4689"/>
  <c r="V4690"/>
  <c r="V4692"/>
  <c r="V4693"/>
  <c r="V4694"/>
  <c r="V4695"/>
  <c r="V4696"/>
  <c r="V4697"/>
  <c r="V4698"/>
  <c r="V4699"/>
  <c r="V4700"/>
  <c r="V4701"/>
  <c r="V4702"/>
  <c r="V4703"/>
  <c r="V4704"/>
  <c r="V4705"/>
  <c r="V4706"/>
  <c r="V4708"/>
  <c r="V4709"/>
  <c r="V4710"/>
  <c r="V4711"/>
  <c r="V4713"/>
  <c r="V4714"/>
  <c r="V4715"/>
  <c r="V4716"/>
  <c r="V4717"/>
  <c r="V4718"/>
  <c r="V4719"/>
  <c r="V4720"/>
  <c r="V4721"/>
  <c r="V4722"/>
  <c r="V4724"/>
  <c r="V4725"/>
  <c r="V4726"/>
  <c r="V4727"/>
  <c r="V4728"/>
  <c r="V4729"/>
  <c r="V4730"/>
  <c r="V4731"/>
  <c r="V4732"/>
  <c r="V4733"/>
  <c r="V4734"/>
  <c r="V4735"/>
  <c r="V4736"/>
  <c r="V4737"/>
  <c r="V4738"/>
  <c r="V4740"/>
  <c r="V4741"/>
  <c r="V4742"/>
  <c r="V4743"/>
  <c r="V4744"/>
  <c r="V4745"/>
  <c r="V4746"/>
  <c r="V4747"/>
  <c r="V4748"/>
  <c r="V4749"/>
  <c r="V4750"/>
  <c r="V4751"/>
  <c r="V4752"/>
  <c r="V4753"/>
  <c r="V4754"/>
  <c r="V4756"/>
  <c r="V4757"/>
  <c r="V4758"/>
  <c r="V4759"/>
  <c r="V4761"/>
  <c r="V4762"/>
  <c r="V4763"/>
  <c r="V4764"/>
  <c r="V4765"/>
  <c r="V4766"/>
  <c r="V4767"/>
  <c r="V4768"/>
  <c r="V4769"/>
  <c r="V4770"/>
  <c r="V4772"/>
  <c r="V4773"/>
  <c r="V4774"/>
  <c r="V4775"/>
  <c r="V4776"/>
  <c r="V4777"/>
  <c r="V4778"/>
  <c r="V4779"/>
  <c r="V4780"/>
  <c r="V4781"/>
  <c r="V4782"/>
  <c r="V4783"/>
  <c r="V4784"/>
  <c r="V4785"/>
  <c r="V4786"/>
  <c r="V4788"/>
  <c r="V4789"/>
  <c r="V4790"/>
  <c r="V4791"/>
  <c r="V4792"/>
  <c r="V4793"/>
  <c r="V4794"/>
  <c r="V4795"/>
  <c r="V4796"/>
  <c r="V4797"/>
  <c r="V4798"/>
  <c r="V4799"/>
  <c r="V4800"/>
  <c r="V4801"/>
  <c r="V4802"/>
  <c r="V4804"/>
  <c r="V4805"/>
  <c r="V4806"/>
  <c r="V4807"/>
  <c r="V4809"/>
  <c r="V4810"/>
  <c r="V4811"/>
  <c r="V4812"/>
  <c r="V4813"/>
  <c r="V4814"/>
  <c r="V4815"/>
  <c r="V4816"/>
  <c r="V4817"/>
  <c r="V4818"/>
  <c r="V4820"/>
  <c r="V4821"/>
  <c r="V4822"/>
  <c r="V4823"/>
  <c r="V4824"/>
  <c r="V4825"/>
  <c r="V4826"/>
  <c r="V4827"/>
  <c r="V4828"/>
  <c r="V4829"/>
  <c r="V4830"/>
  <c r="V4831"/>
  <c r="V4832"/>
  <c r="V4833"/>
  <c r="V4834"/>
  <c r="V4836"/>
  <c r="V4837"/>
  <c r="V4838"/>
  <c r="V4839"/>
  <c r="V4841"/>
  <c r="V4842"/>
  <c r="V4843"/>
  <c r="V4844"/>
  <c r="V4845"/>
  <c r="V4846"/>
  <c r="V4847"/>
  <c r="V4848"/>
  <c r="V4849"/>
  <c r="V4850"/>
  <c r="V4852"/>
  <c r="V4853"/>
  <c r="V4854"/>
  <c r="V4855"/>
  <c r="V4856"/>
  <c r="V4857"/>
  <c r="V4858"/>
  <c r="V4859"/>
  <c r="V4860"/>
  <c r="V4861"/>
  <c r="V4862"/>
  <c r="V4863"/>
  <c r="V4864"/>
  <c r="V4865"/>
  <c r="V4866"/>
  <c r="V4868"/>
  <c r="V4869"/>
  <c r="V4870"/>
  <c r="V4871"/>
  <c r="V4872"/>
  <c r="V4873"/>
  <c r="V4874"/>
  <c r="V4875"/>
  <c r="V4876"/>
  <c r="V4877"/>
  <c r="V4878"/>
  <c r="V4879"/>
  <c r="V4880"/>
  <c r="V4881"/>
  <c r="V4882"/>
  <c r="V4884"/>
  <c r="V4885"/>
  <c r="V4886"/>
  <c r="V4887"/>
  <c r="V4888"/>
  <c r="V4889"/>
  <c r="V4890"/>
  <c r="V4891"/>
  <c r="V4892"/>
  <c r="V4893"/>
  <c r="V4894"/>
  <c r="V4895"/>
  <c r="V4896"/>
  <c r="V4897"/>
  <c r="V4898"/>
  <c r="V4900"/>
  <c r="V4901"/>
  <c r="V4902"/>
  <c r="V4903"/>
  <c r="V4904"/>
  <c r="V4905"/>
  <c r="V4906"/>
  <c r="V4907"/>
  <c r="V4908"/>
  <c r="V4909"/>
  <c r="V4910"/>
  <c r="V4911"/>
  <c r="V4912"/>
  <c r="V4913"/>
  <c r="V4914"/>
  <c r="V4916"/>
  <c r="V4917"/>
  <c r="V4918"/>
  <c r="V4919"/>
  <c r="V4921"/>
  <c r="V4922"/>
  <c r="V4923"/>
  <c r="V4924"/>
  <c r="V4925"/>
  <c r="V4926"/>
  <c r="V4927"/>
  <c r="V4928"/>
  <c r="V4929"/>
  <c r="V4930"/>
  <c r="V4932"/>
  <c r="V4933"/>
  <c r="V4934"/>
  <c r="V4935"/>
  <c r="V4936"/>
  <c r="V4937"/>
  <c r="V4938"/>
  <c r="V4939"/>
  <c r="V4940"/>
  <c r="V4941"/>
  <c r="V4942"/>
  <c r="V4943"/>
  <c r="V4944"/>
  <c r="V4945"/>
  <c r="V4946"/>
  <c r="V4948"/>
  <c r="V4949"/>
  <c r="V4950"/>
  <c r="V4951"/>
  <c r="V4952"/>
  <c r="V4953"/>
  <c r="V4954"/>
  <c r="V4955"/>
  <c r="V4956"/>
  <c r="V4957"/>
  <c r="V4958"/>
  <c r="V4959"/>
  <c r="V4960"/>
  <c r="V4961"/>
  <c r="V4962"/>
  <c r="V4964"/>
  <c r="V4965"/>
  <c r="V4966"/>
  <c r="V4967"/>
  <c r="V4969"/>
  <c r="V4970"/>
  <c r="V4971"/>
  <c r="V4972"/>
  <c r="V4973"/>
  <c r="V4974"/>
  <c r="V4975"/>
  <c r="V4976"/>
  <c r="V4977"/>
  <c r="V4978"/>
  <c r="V4980"/>
  <c r="V4981"/>
  <c r="V4982"/>
  <c r="V4983"/>
  <c r="V4984"/>
  <c r="V4985"/>
  <c r="V4986"/>
  <c r="V4987"/>
  <c r="V4988"/>
  <c r="V4989"/>
  <c r="V4990"/>
  <c r="V4991"/>
  <c r="V4992"/>
  <c r="V4993"/>
  <c r="V4994"/>
  <c r="V4996"/>
  <c r="V4997"/>
  <c r="V4998"/>
  <c r="V4999"/>
  <c r="V5001"/>
  <c r="V5002"/>
  <c r="V5003"/>
  <c r="V5004"/>
  <c r="V5005"/>
  <c r="V5006"/>
  <c r="V5007"/>
  <c r="V5008"/>
  <c r="V5009"/>
  <c r="V5010"/>
  <c r="V5012"/>
  <c r="V5013"/>
  <c r="V5014"/>
  <c r="V5015"/>
  <c r="V5017"/>
  <c r="V5018"/>
  <c r="V5019"/>
  <c r="V5020"/>
  <c r="V5021"/>
  <c r="V5022"/>
  <c r="V5023"/>
  <c r="V5024"/>
  <c r="V5025"/>
  <c r="V5026"/>
  <c r="V5028"/>
  <c r="V5029"/>
  <c r="V5030"/>
  <c r="V5031"/>
  <c r="V5032"/>
  <c r="V5033"/>
  <c r="V5034"/>
  <c r="V5035"/>
  <c r="V5036"/>
  <c r="V5037"/>
  <c r="V5038"/>
  <c r="V5039"/>
  <c r="V5040"/>
  <c r="V5041"/>
  <c r="V5042"/>
  <c r="V5044"/>
  <c r="V5045"/>
  <c r="V5046"/>
  <c r="V5047"/>
  <c r="V5048"/>
  <c r="V5049"/>
  <c r="V5050"/>
  <c r="V5051"/>
  <c r="V5052"/>
  <c r="V5053"/>
  <c r="V5054"/>
  <c r="V5055"/>
  <c r="V5056"/>
  <c r="V5057"/>
  <c r="V5058"/>
  <c r="V5060"/>
  <c r="V5061"/>
  <c r="V5062"/>
  <c r="V5063"/>
  <c r="V5065"/>
  <c r="V5066"/>
  <c r="V5067"/>
  <c r="V5068"/>
  <c r="V5069"/>
  <c r="V5070"/>
  <c r="V5071"/>
  <c r="V5072"/>
  <c r="V5073"/>
  <c r="V5074"/>
  <c r="V5076"/>
  <c r="V5077"/>
  <c r="V5078"/>
  <c r="V5079"/>
  <c r="V5080"/>
  <c r="V5081"/>
  <c r="V5082"/>
  <c r="V5083"/>
  <c r="V5084"/>
  <c r="V5085"/>
  <c r="V5086"/>
  <c r="V5087"/>
  <c r="V5088"/>
  <c r="V5089"/>
  <c r="V5090"/>
  <c r="V5092"/>
  <c r="V5093"/>
  <c r="V5094"/>
  <c r="V5095"/>
  <c r="V5097"/>
  <c r="V5098"/>
  <c r="V5099"/>
  <c r="V5100"/>
  <c r="V5101"/>
  <c r="V5102"/>
  <c r="V5103"/>
  <c r="V5104"/>
  <c r="V5105"/>
  <c r="V5106"/>
  <c r="V5108"/>
  <c r="V5109"/>
  <c r="V5110"/>
  <c r="V5111"/>
  <c r="V5112"/>
  <c r="V5113"/>
  <c r="V5114"/>
  <c r="V5115"/>
  <c r="V5116"/>
  <c r="V5117"/>
  <c r="V5118"/>
  <c r="V5119"/>
  <c r="V5120"/>
  <c r="V5121"/>
  <c r="V5122"/>
  <c r="V5124"/>
  <c r="V5125"/>
  <c r="V5126"/>
  <c r="V5127"/>
  <c r="V5128"/>
  <c r="V5129"/>
  <c r="V5130"/>
  <c r="V5131"/>
  <c r="V5132"/>
  <c r="V5133"/>
  <c r="V5134"/>
  <c r="V5135"/>
  <c r="V5136"/>
  <c r="V5137"/>
  <c r="V5138"/>
  <c r="V5140"/>
  <c r="V5141"/>
  <c r="V5142"/>
  <c r="V5143"/>
  <c r="V5144"/>
  <c r="V5145"/>
  <c r="V5146"/>
  <c r="V5147"/>
  <c r="V5148"/>
  <c r="V5149"/>
  <c r="V5150"/>
  <c r="V5151"/>
  <c r="V5152"/>
  <c r="V5153"/>
  <c r="V5154"/>
  <c r="V5156"/>
  <c r="V5157"/>
  <c r="V5158"/>
  <c r="V5159"/>
  <c r="V5160"/>
  <c r="V5161"/>
  <c r="V5162"/>
  <c r="V5163"/>
  <c r="V5164"/>
  <c r="V5165"/>
  <c r="V5166"/>
  <c r="V5167"/>
  <c r="V5168"/>
  <c r="V5169"/>
  <c r="V5170"/>
  <c r="V5172"/>
  <c r="V5173"/>
  <c r="V5174"/>
  <c r="V5175"/>
  <c r="V5177"/>
  <c r="V5178"/>
  <c r="V5179"/>
  <c r="V5180"/>
  <c r="V5181"/>
  <c r="V5182"/>
  <c r="V5183"/>
  <c r="V5184"/>
  <c r="V5185"/>
  <c r="V5186"/>
  <c r="V5188"/>
  <c r="V5189"/>
  <c r="V5190"/>
  <c r="V5191"/>
  <c r="V5192"/>
  <c r="V5193"/>
  <c r="V5194"/>
  <c r="V5195"/>
  <c r="V5196"/>
  <c r="V5197"/>
  <c r="V5198"/>
  <c r="V5199"/>
  <c r="V5200"/>
  <c r="V5201"/>
  <c r="V5202"/>
  <c r="V5204"/>
  <c r="V5205"/>
  <c r="V5206"/>
  <c r="V5207"/>
  <c r="V5208"/>
  <c r="V5209"/>
  <c r="V5210"/>
  <c r="V5211"/>
  <c r="V5212"/>
  <c r="V5213"/>
  <c r="V5214"/>
  <c r="V5215"/>
  <c r="V5216"/>
  <c r="V5217"/>
  <c r="V5218"/>
  <c r="V5220"/>
  <c r="V5221"/>
  <c r="V5222"/>
  <c r="V5223"/>
  <c r="V5225"/>
  <c r="V5226"/>
  <c r="V5227"/>
  <c r="V5228"/>
  <c r="V5229"/>
  <c r="V5230"/>
  <c r="V5231"/>
  <c r="V5232"/>
  <c r="V5233"/>
  <c r="V5234"/>
  <c r="V5236"/>
  <c r="V5237"/>
  <c r="V5238"/>
  <c r="V5239"/>
  <c r="V5240"/>
  <c r="V5241"/>
  <c r="V5242"/>
  <c r="V5243"/>
  <c r="V5244"/>
  <c r="V5245"/>
  <c r="V5246"/>
  <c r="V5247"/>
  <c r="V5248"/>
  <c r="V5249"/>
  <c r="V5250"/>
  <c r="V5252"/>
  <c r="V5253"/>
  <c r="V5254"/>
  <c r="V5255"/>
  <c r="V5257"/>
  <c r="V5258"/>
  <c r="V5259"/>
  <c r="V5260"/>
  <c r="V5261"/>
  <c r="V5262"/>
  <c r="V5263"/>
  <c r="V5264"/>
  <c r="V5265"/>
  <c r="V5266"/>
  <c r="V5268"/>
  <c r="V5269"/>
  <c r="V5270"/>
  <c r="V5271"/>
  <c r="V5273"/>
  <c r="V5274"/>
  <c r="V5275"/>
  <c r="V5276"/>
  <c r="V5277"/>
  <c r="V5278"/>
  <c r="V5279"/>
  <c r="V5280"/>
  <c r="V5281"/>
  <c r="V5282"/>
  <c r="V5284"/>
  <c r="V5285"/>
  <c r="V5286"/>
  <c r="V5287"/>
  <c r="V5288"/>
  <c r="V5289"/>
  <c r="V5290"/>
  <c r="V5291"/>
  <c r="V5292"/>
  <c r="V5293"/>
  <c r="V5294"/>
  <c r="V5295"/>
  <c r="V5296"/>
  <c r="V5297"/>
  <c r="V5298"/>
  <c r="V5300"/>
  <c r="V5301"/>
  <c r="V5302"/>
  <c r="V5303"/>
  <c r="V5304"/>
  <c r="V5305"/>
  <c r="V5306"/>
  <c r="V5307"/>
  <c r="V5308"/>
  <c r="V5309"/>
  <c r="V5310"/>
  <c r="V5311"/>
  <c r="V5312"/>
  <c r="V5313"/>
  <c r="V5314"/>
  <c r="V5316"/>
  <c r="V5317"/>
  <c r="V5318"/>
  <c r="V5319"/>
  <c r="V5321"/>
  <c r="V5322"/>
  <c r="V5323"/>
  <c r="V5324"/>
  <c r="V5325"/>
  <c r="V5326"/>
  <c r="V5327"/>
  <c r="V5328"/>
  <c r="V5329"/>
  <c r="V5330"/>
  <c r="V5332"/>
  <c r="V5333"/>
  <c r="V5334"/>
  <c r="V5335"/>
  <c r="V5336"/>
  <c r="V5337"/>
  <c r="V5338"/>
  <c r="V5339"/>
  <c r="V5340"/>
  <c r="V5341"/>
  <c r="V5342"/>
  <c r="V5343"/>
  <c r="V5344"/>
  <c r="V5345"/>
  <c r="V5346"/>
  <c r="V5348"/>
  <c r="V5349"/>
  <c r="V5350"/>
  <c r="V5351"/>
  <c r="V5353"/>
  <c r="V5354"/>
  <c r="V5355"/>
  <c r="V5356"/>
  <c r="V5357"/>
  <c r="V5358"/>
  <c r="V5359"/>
  <c r="V5360"/>
  <c r="V5361"/>
  <c r="V5362"/>
  <c r="V5364"/>
  <c r="V5365"/>
  <c r="V5367"/>
  <c r="V5368"/>
  <c r="V5369"/>
  <c r="V5370"/>
  <c r="V5371"/>
  <c r="V5372"/>
  <c r="V5373"/>
  <c r="V5374"/>
  <c r="V5375"/>
  <c r="V5376"/>
  <c r="V5377"/>
  <c r="V5378"/>
  <c r="V5380"/>
  <c r="V5381"/>
  <c r="V5382"/>
  <c r="V5383"/>
  <c r="V5384"/>
  <c r="V5385"/>
  <c r="V5386"/>
  <c r="V5387"/>
  <c r="V5388"/>
  <c r="V5389"/>
  <c r="V5390"/>
  <c r="V5391"/>
  <c r="V5392"/>
  <c r="V5393"/>
  <c r="V5394"/>
  <c r="V5396"/>
  <c r="V5397"/>
  <c r="V5398"/>
  <c r="V5399"/>
  <c r="V5400"/>
  <c r="V5401"/>
  <c r="V5402"/>
  <c r="V5403"/>
  <c r="V5404"/>
  <c r="V5405"/>
  <c r="V5406"/>
  <c r="V5407"/>
  <c r="V5408"/>
  <c r="V5409"/>
  <c r="V5410"/>
  <c r="V5412"/>
  <c r="V5413"/>
  <c r="V5414"/>
  <c r="V5415"/>
  <c r="V5416"/>
  <c r="V5417"/>
  <c r="V5418"/>
  <c r="V5419"/>
  <c r="V5420"/>
  <c r="V5421"/>
  <c r="V5422"/>
  <c r="V5423"/>
  <c r="V5424"/>
  <c r="V5425"/>
  <c r="V5426"/>
  <c r="V5428"/>
  <c r="V5429"/>
  <c r="V5430"/>
  <c r="V5431"/>
  <c r="V5433"/>
  <c r="V5434"/>
  <c r="V5435"/>
  <c r="V5436"/>
  <c r="V5437"/>
  <c r="V5438"/>
  <c r="V5439"/>
  <c r="V5440"/>
  <c r="V5441"/>
  <c r="V5442"/>
  <c r="V5444"/>
  <c r="V5445"/>
  <c r="V5447"/>
  <c r="V5448"/>
  <c r="V5449"/>
  <c r="V5450"/>
  <c r="V5451"/>
  <c r="V5452"/>
  <c r="V5453"/>
  <c r="V5454"/>
  <c r="V5455"/>
  <c r="V5456"/>
  <c r="V5457"/>
  <c r="V5458"/>
  <c r="V5460"/>
  <c r="V5461"/>
  <c r="V5462"/>
  <c r="V5463"/>
  <c r="V5464"/>
  <c r="V5465"/>
  <c r="V5466"/>
  <c r="V5467"/>
  <c r="V5468"/>
  <c r="V5469"/>
  <c r="V5470"/>
  <c r="V5471"/>
  <c r="V5472"/>
  <c r="V5473"/>
  <c r="V5474"/>
  <c r="V5476"/>
  <c r="V5477"/>
  <c r="V5478"/>
  <c r="V5479"/>
  <c r="V5481"/>
  <c r="V5482"/>
  <c r="V5483"/>
  <c r="V5484"/>
  <c r="V5485"/>
  <c r="V5486"/>
  <c r="V5487"/>
  <c r="V5488"/>
  <c r="V5489"/>
  <c r="V5490"/>
  <c r="V5492"/>
  <c r="V5493"/>
  <c r="V5494"/>
  <c r="V5495"/>
  <c r="V5496"/>
  <c r="V5497"/>
  <c r="V5498"/>
  <c r="V5499"/>
  <c r="V5500"/>
  <c r="V5501"/>
  <c r="V5502"/>
  <c r="V5503"/>
  <c r="V5504"/>
  <c r="V5505"/>
  <c r="V5506"/>
  <c r="V5508"/>
  <c r="V5509"/>
  <c r="V5510"/>
  <c r="V5511"/>
  <c r="V5513"/>
  <c r="V5514"/>
  <c r="V5515"/>
  <c r="V5516"/>
  <c r="V5517"/>
  <c r="V5518"/>
  <c r="V5519"/>
  <c r="V5520"/>
  <c r="V5521"/>
  <c r="V5522"/>
  <c r="V5524"/>
  <c r="V5525"/>
  <c r="V5526"/>
  <c r="V5527"/>
  <c r="V5529"/>
  <c r="V5530"/>
  <c r="V5531"/>
  <c r="V5532"/>
  <c r="V5533"/>
  <c r="V5534"/>
  <c r="V5535"/>
  <c r="V5536"/>
  <c r="V5537"/>
  <c r="V5538"/>
  <c r="V5540"/>
  <c r="V5541"/>
  <c r="V5542"/>
  <c r="V5543"/>
  <c r="V5544"/>
  <c r="V5545"/>
  <c r="V5546"/>
  <c r="V5547"/>
  <c r="V5548"/>
  <c r="V5549"/>
  <c r="V5550"/>
  <c r="V5551"/>
  <c r="V5552"/>
  <c r="V5553"/>
  <c r="V5554"/>
  <c r="V5556"/>
  <c r="V5557"/>
  <c r="V5558"/>
  <c r="V5559"/>
  <c r="V5561"/>
  <c r="V5562"/>
  <c r="V5563"/>
  <c r="V5564"/>
  <c r="V5565"/>
  <c r="V5566"/>
  <c r="V5567"/>
  <c r="V5568"/>
  <c r="V5569"/>
  <c r="V5570"/>
  <c r="V5572"/>
  <c r="V5573"/>
  <c r="V5574"/>
  <c r="V5575"/>
  <c r="V5577"/>
  <c r="V5578"/>
  <c r="V5579"/>
  <c r="V5580"/>
  <c r="V5581"/>
  <c r="V5582"/>
  <c r="V5583"/>
  <c r="V5584"/>
  <c r="V5585"/>
  <c r="V5586"/>
  <c r="V5588"/>
  <c r="V5589"/>
  <c r="V5590"/>
  <c r="V5591"/>
  <c r="V5592"/>
  <c r="V5593"/>
  <c r="V5594"/>
  <c r="V5595"/>
  <c r="V5596"/>
  <c r="V5597"/>
  <c r="V5598"/>
  <c r="V5599"/>
  <c r="V5600"/>
  <c r="V5601"/>
  <c r="V5602"/>
  <c r="V5604"/>
  <c r="V5605"/>
  <c r="V5606"/>
  <c r="V5607"/>
  <c r="V5609"/>
  <c r="V5610"/>
  <c r="V5611"/>
  <c r="V5612"/>
  <c r="V5613"/>
  <c r="V5614"/>
  <c r="V5615"/>
  <c r="V5616"/>
  <c r="V5617"/>
  <c r="V5618"/>
  <c r="V5620"/>
  <c r="V5621"/>
  <c r="V5622"/>
  <c r="V5623"/>
  <c r="V5624"/>
  <c r="V5625"/>
  <c r="V5626"/>
  <c r="V5627"/>
  <c r="V5628"/>
  <c r="V5629"/>
  <c r="V5630"/>
  <c r="V5631"/>
  <c r="V5632"/>
  <c r="V5633"/>
  <c r="V5634"/>
  <c r="V5636"/>
  <c r="V5637"/>
  <c r="V5638"/>
  <c r="V5639"/>
  <c r="V5640"/>
  <c r="V5641"/>
  <c r="V5642"/>
  <c r="V5643"/>
  <c r="V5644"/>
  <c r="V5645"/>
  <c r="V5646"/>
  <c r="V5647"/>
  <c r="V5648"/>
  <c r="V5649"/>
  <c r="V5650"/>
  <c r="V5652"/>
  <c r="V5653"/>
  <c r="V5654"/>
  <c r="V5655"/>
  <c r="V5656"/>
  <c r="V5657"/>
  <c r="V5658"/>
  <c r="V5659"/>
  <c r="V5660"/>
  <c r="V5661"/>
  <c r="V5662"/>
  <c r="V5663"/>
  <c r="V5664"/>
  <c r="V5665"/>
  <c r="V5666"/>
  <c r="V5668"/>
  <c r="V5669"/>
  <c r="V5670"/>
  <c r="V5671"/>
  <c r="V5672"/>
  <c r="V5673"/>
  <c r="V5674"/>
  <c r="V5675"/>
  <c r="V5676"/>
  <c r="V5677"/>
  <c r="V5678"/>
  <c r="V5679"/>
  <c r="V5680"/>
  <c r="V5681"/>
  <c r="V5682"/>
  <c r="V5684"/>
  <c r="V5685"/>
  <c r="V5686"/>
  <c r="V5687"/>
  <c r="V5689"/>
  <c r="V5690"/>
  <c r="V5692"/>
  <c r="V5693"/>
  <c r="V5694"/>
  <c r="V5695"/>
  <c r="V5696"/>
  <c r="V5697"/>
  <c r="V5698"/>
  <c r="V5700"/>
  <c r="V5701"/>
  <c r="V5702"/>
  <c r="V5703"/>
  <c r="V5704"/>
  <c r="V5705"/>
  <c r="V5706"/>
  <c r="V5707"/>
  <c r="V5708"/>
  <c r="V5709"/>
  <c r="V5710"/>
  <c r="V5711"/>
  <c r="V5712"/>
  <c r="V5713"/>
  <c r="V5714"/>
  <c r="V5716"/>
  <c r="V5717"/>
  <c r="V5718"/>
  <c r="V5719"/>
  <c r="V5721"/>
  <c r="V5722"/>
  <c r="V5723"/>
  <c r="V5724"/>
  <c r="V5725"/>
  <c r="V5726"/>
  <c r="V5727"/>
  <c r="V5728"/>
  <c r="V5729"/>
  <c r="V5730"/>
  <c r="V5732"/>
  <c r="V5733"/>
  <c r="V5734"/>
  <c r="V5735"/>
  <c r="V5736"/>
  <c r="V5737"/>
  <c r="V5738"/>
  <c r="V5739"/>
  <c r="V5740"/>
  <c r="V5741"/>
  <c r="V5742"/>
  <c r="V5743"/>
  <c r="V5744"/>
  <c r="V5745"/>
  <c r="V5746"/>
  <c r="V5748"/>
  <c r="V5749"/>
  <c r="V5750"/>
  <c r="V5751"/>
  <c r="V5753"/>
  <c r="V5754"/>
  <c r="V5755"/>
  <c r="V5756"/>
  <c r="V5757"/>
  <c r="V5758"/>
  <c r="V5759"/>
  <c r="V5760"/>
  <c r="V5761"/>
  <c r="V5762"/>
  <c r="V5764"/>
  <c r="V5765"/>
  <c r="V5766"/>
  <c r="V5767"/>
  <c r="V5769"/>
  <c r="V5770"/>
  <c r="V5771"/>
  <c r="V5772"/>
  <c r="V5773"/>
  <c r="V5774"/>
  <c r="V5775"/>
  <c r="V5776"/>
  <c r="V5777"/>
  <c r="V5778"/>
  <c r="V5780"/>
  <c r="V5781"/>
  <c r="V5782"/>
  <c r="V5783"/>
  <c r="V5784"/>
  <c r="V5785"/>
  <c r="V5786"/>
  <c r="V5787"/>
  <c r="V5788"/>
  <c r="V5789"/>
  <c r="V5790"/>
  <c r="V5791"/>
  <c r="V5792"/>
  <c r="V5793"/>
  <c r="V5794"/>
  <c r="V5796"/>
  <c r="V5797"/>
  <c r="V5798"/>
  <c r="V5799"/>
  <c r="V5801"/>
  <c r="V5802"/>
  <c r="V5804"/>
  <c r="V5806"/>
  <c r="V5808"/>
  <c r="V5810"/>
  <c r="V5813"/>
  <c r="V5815"/>
  <c r="V5816"/>
  <c r="V5817"/>
  <c r="V5819"/>
  <c r="V5820"/>
  <c r="V5822"/>
  <c r="V5824"/>
  <c r="V5826"/>
  <c r="V5828"/>
  <c r="V5829"/>
  <c r="V5831"/>
  <c r="V5833"/>
  <c r="V5836"/>
  <c r="V5838"/>
  <c r="V5840"/>
  <c r="V5841"/>
  <c r="V5842"/>
  <c r="V5845"/>
  <c r="V5847"/>
  <c r="V5849"/>
  <c r="V5851"/>
  <c r="V5852"/>
  <c r="V5854"/>
  <c r="V5856"/>
  <c r="V5858"/>
  <c r="V5860"/>
  <c r="V5862"/>
  <c r="V5863"/>
  <c r="V5865"/>
  <c r="V5867"/>
  <c r="V5869"/>
  <c r="V5871"/>
  <c r="V5873"/>
  <c r="V5874"/>
  <c r="V5876"/>
  <c r="V5877"/>
  <c r="V5878"/>
  <c r="V5879"/>
  <c r="V5882"/>
  <c r="V5883"/>
  <c r="V5885"/>
  <c r="V5887"/>
  <c r="V5888"/>
  <c r="V5889"/>
  <c r="V5893"/>
  <c r="V5894"/>
  <c r="V5895"/>
  <c r="V5896"/>
  <c r="V5898"/>
  <c r="V5899"/>
  <c r="V5900"/>
  <c r="V5902"/>
  <c r="V5904"/>
  <c r="V5906"/>
  <c r="V5908"/>
  <c r="V5909"/>
  <c r="V5910"/>
  <c r="V5911"/>
  <c r="V5913"/>
  <c r="V5917"/>
  <c r="V5918"/>
  <c r="V5920"/>
  <c r="V5922"/>
  <c r="V5924"/>
  <c r="V5925"/>
  <c r="V5927"/>
  <c r="V5928"/>
  <c r="V5929"/>
  <c r="V5931"/>
  <c r="V5932"/>
  <c r="V5934"/>
  <c r="V5936"/>
  <c r="V5937"/>
  <c r="V5941"/>
  <c r="V5943"/>
  <c r="V5946"/>
  <c r="V5948"/>
  <c r="V5950"/>
  <c r="V5951"/>
  <c r="V5952"/>
  <c r="V5954"/>
  <c r="V5956"/>
  <c r="V5957"/>
  <c r="V5958"/>
  <c r="V5959"/>
  <c r="V5960"/>
  <c r="V5962"/>
  <c r="V5963"/>
  <c r="V5965"/>
  <c r="V5967"/>
  <c r="V5969"/>
  <c r="V5972"/>
  <c r="V5973"/>
  <c r="V5974"/>
  <c r="V5975"/>
  <c r="V5978"/>
  <c r="V5979"/>
  <c r="V5981"/>
  <c r="V5983"/>
  <c r="V5985"/>
  <c r="V5986"/>
  <c r="V5988"/>
  <c r="V5990"/>
  <c r="V5991"/>
  <c r="V5994"/>
  <c r="V5995"/>
  <c r="V5997"/>
  <c r="V5999"/>
  <c r="V6001"/>
  <c r="V6004"/>
  <c r="V6005"/>
  <c r="V6007"/>
  <c r="V6009"/>
  <c r="V6010"/>
  <c r="V6011"/>
  <c r="V6012"/>
  <c r="V6014"/>
  <c r="V6015"/>
  <c r="V6017"/>
  <c r="V6021"/>
  <c r="V6022"/>
  <c r="V6023"/>
  <c r="V6026"/>
  <c r="V6028"/>
  <c r="V6029"/>
  <c r="V6031"/>
  <c r="V6032"/>
  <c r="V6033"/>
  <c r="V6034"/>
  <c r="V6036"/>
  <c r="V6037"/>
  <c r="V6038"/>
  <c r="V6041"/>
  <c r="V6043"/>
  <c r="V6045"/>
  <c r="V6047"/>
  <c r="V6048"/>
  <c r="V6050"/>
  <c r="V6052"/>
  <c r="V6053"/>
  <c r="V6055"/>
  <c r="V6057"/>
  <c r="V6059"/>
  <c r="V6060"/>
  <c r="V6061"/>
  <c r="V6062"/>
  <c r="V6064"/>
  <c r="V6066"/>
  <c r="V6068"/>
  <c r="V6069"/>
  <c r="V6070"/>
  <c r="V6071"/>
  <c r="V6072"/>
  <c r="V6073"/>
  <c r="V6077"/>
  <c r="V6079"/>
  <c r="V6080"/>
  <c r="V6082"/>
  <c r="V6084"/>
  <c r="V6085"/>
  <c r="V6086"/>
  <c r="V6089"/>
  <c r="V6090"/>
  <c r="V6092"/>
  <c r="V6094"/>
  <c r="V6096"/>
  <c r="V6097"/>
  <c r="V6101"/>
  <c r="V6103"/>
  <c r="V6104"/>
  <c r="V6105"/>
  <c r="V6106"/>
  <c r="V6108"/>
  <c r="V6110"/>
  <c r="V6112"/>
  <c r="V6114"/>
  <c r="V6116"/>
  <c r="V6117"/>
  <c r="V6118"/>
  <c r="V6119"/>
  <c r="V6120"/>
  <c r="V6122"/>
  <c r="V6126"/>
  <c r="V6129"/>
  <c r="V6133"/>
  <c r="V6135"/>
  <c r="V6141"/>
  <c r="V6142"/>
  <c r="V6144"/>
  <c r="V6148"/>
  <c r="V6149"/>
  <c r="V6151"/>
  <c r="V6155"/>
  <c r="V6156"/>
  <c r="V6158"/>
  <c r="V6160"/>
  <c r="V6162"/>
  <c r="V6164"/>
  <c r="V6165"/>
  <c r="V6166"/>
  <c r="V6167"/>
  <c r="V6183"/>
  <c r="V6189"/>
  <c r="V6199"/>
  <c r="V6213"/>
  <c r="V6215"/>
  <c r="V6239"/>
  <c r="V6240"/>
  <c r="V6245"/>
  <c r="V6251"/>
  <c r="V6258"/>
  <c r="V6263"/>
  <c r="V6264"/>
  <c r="V6268"/>
  <c r="V6276"/>
  <c r="V6279"/>
  <c r="V6280"/>
  <c r="V6286"/>
  <c r="V6290"/>
  <c r="V6295"/>
  <c r="V6298"/>
  <c r="V6301"/>
  <c r="V6302"/>
  <c r="V6303"/>
  <c r="V6305"/>
  <c r="V6306"/>
  <c r="V6308"/>
  <c r="V6309"/>
  <c r="V6310"/>
  <c r="V6311"/>
  <c r="V6312"/>
  <c r="V6313"/>
  <c r="V6315"/>
  <c r="V6317"/>
  <c r="V6319"/>
  <c r="V6320"/>
  <c r="V6322"/>
  <c r="V6324"/>
  <c r="V6326"/>
  <c r="V6328"/>
  <c r="V6329"/>
  <c r="V6331"/>
  <c r="V6333"/>
  <c r="V6335"/>
  <c r="V6337"/>
  <c r="V6338"/>
  <c r="V6340"/>
  <c r="V6342"/>
  <c r="V6344"/>
  <c r="V6345"/>
  <c r="V6347"/>
  <c r="V6348"/>
  <c r="V6349"/>
  <c r="V6351"/>
  <c r="V6352"/>
  <c r="V6353"/>
  <c r="V6354"/>
  <c r="V6356"/>
  <c r="V6357"/>
  <c r="V6358"/>
  <c r="V6359"/>
  <c r="V6360"/>
  <c r="V6362"/>
  <c r="V6363"/>
  <c r="V6365"/>
  <c r="V6367"/>
  <c r="V6368"/>
  <c r="V6369"/>
  <c r="V6373"/>
  <c r="V6374"/>
  <c r="V6375"/>
  <c r="V6376"/>
  <c r="V6378"/>
  <c r="V6380"/>
  <c r="V6382"/>
  <c r="V6383"/>
  <c r="V6385"/>
  <c r="V6388"/>
  <c r="V6390"/>
  <c r="V6394"/>
  <c r="V6395"/>
  <c r="V6397"/>
  <c r="V6398"/>
  <c r="V6399"/>
  <c r="V6401"/>
  <c r="V6405"/>
  <c r="V6407"/>
  <c r="V6410"/>
  <c r="V6412"/>
  <c r="V6413"/>
  <c r="V6415"/>
  <c r="V6417"/>
  <c r="V6421"/>
  <c r="V6423"/>
  <c r="V6424"/>
  <c r="V6426"/>
  <c r="V6427"/>
  <c r="V6429"/>
  <c r="V6431"/>
  <c r="V6432"/>
  <c r="V6433"/>
  <c r="V6434"/>
  <c r="V6436"/>
  <c r="V6437"/>
  <c r="V6439"/>
  <c r="V6441"/>
  <c r="V6442"/>
  <c r="V6443"/>
  <c r="V6445"/>
  <c r="V6447"/>
  <c r="V6448"/>
  <c r="V6449"/>
  <c r="V6450"/>
  <c r="V6452"/>
  <c r="V6454"/>
  <c r="V6455"/>
  <c r="V6456"/>
  <c r="V6457"/>
  <c r="V6459"/>
  <c r="V6461"/>
  <c r="V6462"/>
  <c r="V6464"/>
  <c r="V6466"/>
  <c r="V6468"/>
  <c r="V6469"/>
  <c r="V6471"/>
  <c r="V6473"/>
  <c r="V6475"/>
  <c r="V6477"/>
  <c r="V6478"/>
  <c r="V6479"/>
  <c r="V6480"/>
  <c r="V6482"/>
  <c r="V6484"/>
  <c r="V6486"/>
  <c r="V6487"/>
  <c r="V6489"/>
  <c r="V6490"/>
  <c r="V6492"/>
  <c r="V6493"/>
  <c r="V6495"/>
  <c r="V6497"/>
  <c r="V6498"/>
  <c r="V6500"/>
  <c r="V6501"/>
  <c r="V6502"/>
  <c r="V6503"/>
  <c r="V6504"/>
  <c r="V6505"/>
  <c r="V6507"/>
  <c r="V6508"/>
  <c r="V6509"/>
  <c r="V6511"/>
  <c r="V6512"/>
  <c r="V6514"/>
  <c r="V6516"/>
  <c r="V6518"/>
  <c r="V6521"/>
  <c r="V6523"/>
  <c r="V6525"/>
  <c r="V6527"/>
  <c r="V6529"/>
  <c r="V6530"/>
  <c r="V6532"/>
  <c r="V6534"/>
  <c r="V6535"/>
  <c r="V6538"/>
  <c r="V6539"/>
  <c r="V6540"/>
  <c r="V6542"/>
  <c r="V6544"/>
  <c r="V6545"/>
  <c r="V6549"/>
  <c r="V6551"/>
  <c r="V6553"/>
  <c r="V6554"/>
  <c r="V6556"/>
  <c r="V6558"/>
  <c r="V6560"/>
  <c r="V6561"/>
  <c r="V6562"/>
  <c r="V6564"/>
  <c r="V6565"/>
  <c r="V6566"/>
  <c r="V6567"/>
  <c r="V6571"/>
  <c r="V6573"/>
  <c r="V6574"/>
  <c r="V6576"/>
  <c r="V6580"/>
  <c r="V6581"/>
  <c r="V6583"/>
  <c r="V6587"/>
  <c r="V6588"/>
  <c r="V6590"/>
  <c r="V6593"/>
  <c r="V6594"/>
  <c r="V6599"/>
  <c r="V6602"/>
  <c r="V6603"/>
  <c r="V6607"/>
  <c r="V6608"/>
  <c r="V6612"/>
  <c r="V6614"/>
  <c r="V6615"/>
  <c r="V6622"/>
  <c r="V6624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W2696"/>
  <c r="W2697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8"/>
  <c r="W2739"/>
  <c r="W2740"/>
  <c r="W2741"/>
  <c r="W2742"/>
  <c r="W2743"/>
  <c r="W2744"/>
  <c r="W2745"/>
  <c r="W2746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0"/>
  <c r="W2781"/>
  <c r="W2782"/>
  <c r="W2783"/>
  <c r="W2784"/>
  <c r="W2785"/>
  <c r="W2786"/>
  <c r="W2787"/>
  <c r="W2788"/>
  <c r="W2789"/>
  <c r="W2790"/>
  <c r="W2791"/>
  <c r="W2792"/>
  <c r="W2793"/>
  <c r="W2794"/>
  <c r="W2795"/>
  <c r="W2796"/>
  <c r="W2797"/>
  <c r="W2798"/>
  <c r="W2799"/>
  <c r="W2800"/>
  <c r="W2801"/>
  <c r="W2802"/>
  <c r="W2803"/>
  <c r="W2804"/>
  <c r="W2805"/>
  <c r="W2806"/>
  <c r="W2807"/>
  <c r="W2808"/>
  <c r="W2809"/>
  <c r="W2810"/>
  <c r="W2811"/>
  <c r="W2812"/>
  <c r="W2813"/>
  <c r="W2814"/>
  <c r="W2815"/>
  <c r="W2816"/>
  <c r="W2817"/>
  <c r="W2818"/>
  <c r="W2819"/>
  <c r="W2820"/>
  <c r="W2821"/>
  <c r="W2822"/>
  <c r="W2823"/>
  <c r="W2824"/>
  <c r="W2825"/>
  <c r="W2826"/>
  <c r="W2827"/>
  <c r="W2828"/>
  <c r="W2829"/>
  <c r="W2830"/>
  <c r="W2831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1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1"/>
  <c r="W2902"/>
  <c r="W2903"/>
  <c r="W2904"/>
  <c r="W2905"/>
  <c r="W2906"/>
  <c r="W2907"/>
  <c r="W2908"/>
  <c r="W2909"/>
  <c r="W2910"/>
  <c r="W2911"/>
  <c r="W2912"/>
  <c r="W2913"/>
  <c r="W2914"/>
  <c r="W2915"/>
  <c r="W2916"/>
  <c r="W2917"/>
  <c r="W2918"/>
  <c r="W2919"/>
  <c r="W2920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6"/>
  <c r="W2997"/>
  <c r="W2998"/>
  <c r="W2999"/>
  <c r="W3000"/>
  <c r="W3001"/>
  <c r="W3002"/>
  <c r="W3003"/>
  <c r="W3004"/>
  <c r="W3005"/>
  <c r="W3006"/>
  <c r="W3007"/>
  <c r="W3008"/>
  <c r="W3009"/>
  <c r="W3010"/>
  <c r="W3011"/>
  <c r="W3012"/>
  <c r="W3013"/>
  <c r="W3014"/>
  <c r="W3015"/>
  <c r="W3016"/>
  <c r="W3017"/>
  <c r="W3018"/>
  <c r="W3019"/>
  <c r="W3020"/>
  <c r="W3021"/>
  <c r="W3022"/>
  <c r="W3023"/>
  <c r="W3024"/>
  <c r="W3025"/>
  <c r="W3026"/>
  <c r="W3027"/>
  <c r="W3028"/>
  <c r="W3029"/>
  <c r="W3030"/>
  <c r="W3031"/>
  <c r="W3032"/>
  <c r="W3033"/>
  <c r="W3034"/>
  <c r="W3035"/>
  <c r="W3036"/>
  <c r="W3037"/>
  <c r="W3038"/>
  <c r="W3039"/>
  <c r="W3040"/>
  <c r="W3041"/>
  <c r="W3042"/>
  <c r="W3043"/>
  <c r="W3044"/>
  <c r="W3045"/>
  <c r="W3046"/>
  <c r="W3047"/>
  <c r="W3048"/>
  <c r="W3049"/>
  <c r="W3050"/>
  <c r="W3051"/>
  <c r="W3052"/>
  <c r="W3053"/>
  <c r="W3054"/>
  <c r="W3055"/>
  <c r="W3056"/>
  <c r="W3057"/>
  <c r="W3058"/>
  <c r="W3059"/>
  <c r="W3060"/>
  <c r="W3061"/>
  <c r="W3062"/>
  <c r="W3063"/>
  <c r="W3064"/>
  <c r="W3065"/>
  <c r="W3066"/>
  <c r="W3067"/>
  <c r="W3068"/>
  <c r="W3069"/>
  <c r="W3070"/>
  <c r="W3071"/>
  <c r="W3072"/>
  <c r="W3073"/>
  <c r="W3074"/>
  <c r="W3075"/>
  <c r="W3076"/>
  <c r="W3077"/>
  <c r="W3078"/>
  <c r="W3079"/>
  <c r="W3080"/>
  <c r="W3081"/>
  <c r="W3082"/>
  <c r="W3083"/>
  <c r="W3084"/>
  <c r="W3085"/>
  <c r="W3086"/>
  <c r="W3087"/>
  <c r="W3088"/>
  <c r="W3089"/>
  <c r="W3090"/>
  <c r="W3091"/>
  <c r="W3092"/>
  <c r="W3093"/>
  <c r="W3094"/>
  <c r="W3095"/>
  <c r="W3096"/>
  <c r="W3097"/>
  <c r="W3098"/>
  <c r="W3099"/>
  <c r="W3100"/>
  <c r="W3101"/>
  <c r="W3102"/>
  <c r="W3103"/>
  <c r="W3104"/>
  <c r="W3105"/>
  <c r="W3106"/>
  <c r="W3107"/>
  <c r="W3108"/>
  <c r="W3109"/>
  <c r="W3110"/>
  <c r="W3111"/>
  <c r="W3112"/>
  <c r="W3113"/>
  <c r="W3114"/>
  <c r="W3115"/>
  <c r="W3116"/>
  <c r="W3117"/>
  <c r="W3118"/>
  <c r="W3119"/>
  <c r="W3120"/>
  <c r="W3121"/>
  <c r="W3122"/>
  <c r="W3123"/>
  <c r="W3124"/>
  <c r="W3125"/>
  <c r="W3126"/>
  <c r="W3127"/>
  <c r="W3128"/>
  <c r="W3129"/>
  <c r="W3130"/>
  <c r="W3131"/>
  <c r="W3132"/>
  <c r="W3133"/>
  <c r="W3134"/>
  <c r="W3135"/>
  <c r="W3136"/>
  <c r="W3137"/>
  <c r="W3138"/>
  <c r="W3139"/>
  <c r="W3140"/>
  <c r="W3141"/>
  <c r="W3142"/>
  <c r="W3143"/>
  <c r="W3144"/>
  <c r="W3145"/>
  <c r="W3146"/>
  <c r="W3147"/>
  <c r="W3148"/>
  <c r="W3149"/>
  <c r="W3150"/>
  <c r="W3151"/>
  <c r="W3152"/>
  <c r="W3153"/>
  <c r="W3154"/>
  <c r="W3155"/>
  <c r="W3156"/>
  <c r="W3157"/>
  <c r="W3158"/>
  <c r="W3159"/>
  <c r="W3160"/>
  <c r="W3161"/>
  <c r="W3162"/>
  <c r="W3163"/>
  <c r="W3164"/>
  <c r="W3165"/>
  <c r="W3166"/>
  <c r="W3167"/>
  <c r="W3168"/>
  <c r="W3169"/>
  <c r="W3170"/>
  <c r="W3171"/>
  <c r="W3172"/>
  <c r="W3173"/>
  <c r="W3174"/>
  <c r="W3175"/>
  <c r="W3176"/>
  <c r="W3177"/>
  <c r="W3178"/>
  <c r="W3179"/>
  <c r="W3180"/>
  <c r="W3181"/>
  <c r="W3182"/>
  <c r="W3183"/>
  <c r="W3184"/>
  <c r="W3185"/>
  <c r="W3186"/>
  <c r="W3187"/>
  <c r="W3188"/>
  <c r="W3189"/>
  <c r="W3190"/>
  <c r="W3191"/>
  <c r="W3192"/>
  <c r="W3193"/>
  <c r="W3194"/>
  <c r="W3195"/>
  <c r="W3196"/>
  <c r="W3197"/>
  <c r="W3198"/>
  <c r="W3199"/>
  <c r="W3200"/>
  <c r="W3201"/>
  <c r="W3202"/>
  <c r="W3203"/>
  <c r="W3204"/>
  <c r="W3205"/>
  <c r="W3206"/>
  <c r="W3207"/>
  <c r="W3208"/>
  <c r="W3209"/>
  <c r="W3210"/>
  <c r="W3211"/>
  <c r="W3212"/>
  <c r="W3213"/>
  <c r="W3214"/>
  <c r="W3215"/>
  <c r="W3216"/>
  <c r="W3217"/>
  <c r="W3218"/>
  <c r="W3219"/>
  <c r="W3220"/>
  <c r="W3221"/>
  <c r="W3222"/>
  <c r="W3223"/>
  <c r="W3224"/>
  <c r="W3225"/>
  <c r="W3226"/>
  <c r="W3227"/>
  <c r="W3228"/>
  <c r="W3229"/>
  <c r="W3230"/>
  <c r="W3231"/>
  <c r="W3232"/>
  <c r="W3233"/>
  <c r="W3234"/>
  <c r="W3235"/>
  <c r="W3236"/>
  <c r="W3237"/>
  <c r="W3238"/>
  <c r="W3239"/>
  <c r="W3240"/>
  <c r="W3241"/>
  <c r="W3242"/>
  <c r="W3243"/>
  <c r="W3244"/>
  <c r="W3245"/>
  <c r="W3246"/>
  <c r="W3247"/>
  <c r="W3248"/>
  <c r="W3249"/>
  <c r="W3250"/>
  <c r="W3251"/>
  <c r="W3252"/>
  <c r="W3253"/>
  <c r="W3254"/>
  <c r="W3255"/>
  <c r="W3256"/>
  <c r="W3257"/>
  <c r="W3258"/>
  <c r="W3259"/>
  <c r="W3260"/>
  <c r="W3261"/>
  <c r="W3262"/>
  <c r="W3263"/>
  <c r="W3264"/>
  <c r="W3265"/>
  <c r="W3266"/>
  <c r="W3267"/>
  <c r="W3268"/>
  <c r="W3269"/>
  <c r="W3270"/>
  <c r="W3271"/>
  <c r="W3272"/>
  <c r="W3273"/>
  <c r="W3274"/>
  <c r="W3275"/>
  <c r="W3276"/>
  <c r="W3277"/>
  <c r="W3278"/>
  <c r="W3279"/>
  <c r="W3280"/>
  <c r="W3281"/>
  <c r="W3282"/>
  <c r="W3283"/>
  <c r="W3284"/>
  <c r="W3285"/>
  <c r="W3286"/>
  <c r="W3287"/>
  <c r="W3288"/>
  <c r="W3289"/>
  <c r="W3290"/>
  <c r="W3291"/>
  <c r="W3292"/>
  <c r="W3293"/>
  <c r="W3294"/>
  <c r="W3295"/>
  <c r="W3296"/>
  <c r="W3297"/>
  <c r="W3298"/>
  <c r="W3299"/>
  <c r="W3300"/>
  <c r="W3301"/>
  <c r="W3302"/>
  <c r="W3303"/>
  <c r="W3304"/>
  <c r="W3305"/>
  <c r="W3306"/>
  <c r="W3307"/>
  <c r="W3308"/>
  <c r="W3309"/>
  <c r="W3310"/>
  <c r="W3311"/>
  <c r="W3312"/>
  <c r="W3313"/>
  <c r="W3314"/>
  <c r="W3315"/>
  <c r="W3316"/>
  <c r="W3317"/>
  <c r="W3318"/>
  <c r="W3319"/>
  <c r="W3320"/>
  <c r="W3321"/>
  <c r="W3322"/>
  <c r="W3323"/>
  <c r="W3324"/>
  <c r="W3325"/>
  <c r="W3326"/>
  <c r="W3327"/>
  <c r="W3328"/>
  <c r="W3329"/>
  <c r="W3330"/>
  <c r="W3331"/>
  <c r="W3332"/>
  <c r="W3333"/>
  <c r="W3334"/>
  <c r="W3335"/>
  <c r="W3336"/>
  <c r="W3337"/>
  <c r="W3338"/>
  <c r="W3339"/>
  <c r="W3340"/>
  <c r="W3341"/>
  <c r="W3342"/>
  <c r="W3343"/>
  <c r="W3344"/>
  <c r="W3345"/>
  <c r="W3346"/>
  <c r="W3347"/>
  <c r="W3348"/>
  <c r="W3349"/>
  <c r="W3350"/>
  <c r="W3351"/>
  <c r="W3352"/>
  <c r="W3353"/>
  <c r="W3354"/>
  <c r="W3355"/>
  <c r="W3356"/>
  <c r="W3357"/>
  <c r="W3358"/>
  <c r="W3359"/>
  <c r="W3360"/>
  <c r="W3361"/>
  <c r="W3362"/>
  <c r="W3363"/>
  <c r="W3364"/>
  <c r="W3365"/>
  <c r="W3366"/>
  <c r="W3367"/>
  <c r="W3368"/>
  <c r="W3369"/>
  <c r="W3370"/>
  <c r="W3371"/>
  <c r="W3372"/>
  <c r="W3373"/>
  <c r="W3374"/>
  <c r="W3375"/>
  <c r="W3376"/>
  <c r="W3377"/>
  <c r="W3378"/>
  <c r="W3379"/>
  <c r="W3380"/>
  <c r="W3381"/>
  <c r="W3382"/>
  <c r="W3383"/>
  <c r="W3384"/>
  <c r="W3385"/>
  <c r="W3386"/>
  <c r="W3387"/>
  <c r="W3388"/>
  <c r="W3389"/>
  <c r="W3390"/>
  <c r="W3391"/>
  <c r="W3392"/>
  <c r="W3393"/>
  <c r="W3394"/>
  <c r="W3395"/>
  <c r="W3396"/>
  <c r="W3397"/>
  <c r="W3398"/>
  <c r="W3399"/>
  <c r="W3400"/>
  <c r="W3401"/>
  <c r="W3402"/>
  <c r="W3403"/>
  <c r="W3404"/>
  <c r="W3405"/>
  <c r="W3406"/>
  <c r="W3407"/>
  <c r="W3408"/>
  <c r="W3409"/>
  <c r="W3410"/>
  <c r="W3411"/>
  <c r="W3412"/>
  <c r="W3413"/>
  <c r="W3414"/>
  <c r="W3415"/>
  <c r="W3416"/>
  <c r="W3417"/>
  <c r="W3418"/>
  <c r="W3419"/>
  <c r="W3420"/>
  <c r="W3421"/>
  <c r="W3422"/>
  <c r="W3423"/>
  <c r="W3424"/>
  <c r="W3425"/>
  <c r="W3426"/>
  <c r="W3427"/>
  <c r="W3428"/>
  <c r="W3429"/>
  <c r="W3430"/>
  <c r="W3431"/>
  <c r="W3432"/>
  <c r="W3433"/>
  <c r="W3434"/>
  <c r="W3435"/>
  <c r="W3436"/>
  <c r="W3437"/>
  <c r="W3438"/>
  <c r="W3439"/>
  <c r="W3440"/>
  <c r="W3441"/>
  <c r="W3442"/>
  <c r="W3443"/>
  <c r="W3444"/>
  <c r="W3445"/>
  <c r="W3446"/>
  <c r="W3447"/>
  <c r="W3448"/>
  <c r="W3449"/>
  <c r="W3450"/>
  <c r="W3451"/>
  <c r="W3452"/>
  <c r="W3453"/>
  <c r="W3454"/>
  <c r="W3455"/>
  <c r="W3456"/>
  <c r="W3457"/>
  <c r="W3458"/>
  <c r="W3459"/>
  <c r="W3460"/>
  <c r="W3461"/>
  <c r="W3462"/>
  <c r="W3463"/>
  <c r="W3464"/>
  <c r="W3465"/>
  <c r="W3466"/>
  <c r="W3467"/>
  <c r="W3468"/>
  <c r="W3469"/>
  <c r="W3470"/>
  <c r="W3471"/>
  <c r="W3472"/>
  <c r="W3473"/>
  <c r="W3474"/>
  <c r="W3475"/>
  <c r="W3476"/>
  <c r="W3477"/>
  <c r="W3478"/>
  <c r="W3479"/>
  <c r="W3480"/>
  <c r="W3481"/>
  <c r="W3482"/>
  <c r="W3483"/>
  <c r="W3484"/>
  <c r="W3485"/>
  <c r="W3486"/>
  <c r="W3487"/>
  <c r="W3488"/>
  <c r="W3489"/>
  <c r="W3490"/>
  <c r="W3491"/>
  <c r="W3492"/>
  <c r="W3493"/>
  <c r="W3494"/>
  <c r="W3495"/>
  <c r="W3496"/>
  <c r="W3497"/>
  <c r="W3498"/>
  <c r="W3499"/>
  <c r="W3500"/>
  <c r="W3501"/>
  <c r="W3502"/>
  <c r="W3503"/>
  <c r="W3504"/>
  <c r="W3505"/>
  <c r="W3506"/>
  <c r="W3507"/>
  <c r="W3508"/>
  <c r="W3509"/>
  <c r="W3510"/>
  <c r="W3511"/>
  <c r="W3512"/>
  <c r="W3513"/>
  <c r="W3514"/>
  <c r="W3515"/>
  <c r="W3516"/>
  <c r="W3517"/>
  <c r="W3518"/>
  <c r="W3519"/>
  <c r="W3520"/>
  <c r="W3521"/>
  <c r="W3522"/>
  <c r="W3523"/>
  <c r="W3524"/>
  <c r="W3525"/>
  <c r="W3526"/>
  <c r="W3527"/>
  <c r="W3528"/>
  <c r="W3529"/>
  <c r="W3530"/>
  <c r="W3531"/>
  <c r="W3532"/>
  <c r="W3533"/>
  <c r="W3534"/>
  <c r="W3535"/>
  <c r="W3536"/>
  <c r="W3537"/>
  <c r="W3538"/>
  <c r="W3539"/>
  <c r="W3540"/>
  <c r="W3541"/>
  <c r="W3542"/>
  <c r="W3543"/>
  <c r="W3544"/>
  <c r="W3545"/>
  <c r="W3546"/>
  <c r="W3547"/>
  <c r="W3548"/>
  <c r="W3549"/>
  <c r="W3550"/>
  <c r="W3551"/>
  <c r="W3552"/>
  <c r="W3553"/>
  <c r="W3554"/>
  <c r="W3555"/>
  <c r="W3556"/>
  <c r="W3557"/>
  <c r="W3558"/>
  <c r="W3559"/>
  <c r="W3560"/>
  <c r="W3561"/>
  <c r="W3562"/>
  <c r="W3563"/>
  <c r="W3564"/>
  <c r="W3565"/>
  <c r="W3566"/>
  <c r="W3567"/>
  <c r="W3568"/>
  <c r="W3569"/>
  <c r="W3570"/>
  <c r="W3571"/>
  <c r="W3572"/>
  <c r="W3573"/>
  <c r="W3574"/>
  <c r="W3575"/>
  <c r="W3576"/>
  <c r="W3577"/>
  <c r="W3578"/>
  <c r="W3579"/>
  <c r="W3580"/>
  <c r="W3581"/>
  <c r="W3582"/>
  <c r="W3583"/>
  <c r="W3584"/>
  <c r="W3585"/>
  <c r="W3586"/>
  <c r="W3587"/>
  <c r="W3588"/>
  <c r="W3589"/>
  <c r="W3590"/>
  <c r="W3591"/>
  <c r="W3592"/>
  <c r="W3593"/>
  <c r="W3594"/>
  <c r="W3595"/>
  <c r="W3596"/>
  <c r="W3597"/>
  <c r="W3598"/>
  <c r="W3599"/>
  <c r="W3600"/>
  <c r="W3601"/>
  <c r="W3602"/>
  <c r="W3603"/>
  <c r="W3604"/>
  <c r="W3605"/>
  <c r="W3606"/>
  <c r="W3607"/>
  <c r="W3608"/>
  <c r="W3609"/>
  <c r="W3610"/>
  <c r="W3611"/>
  <c r="W3612"/>
  <c r="W3613"/>
  <c r="W3614"/>
  <c r="W3615"/>
  <c r="W3616"/>
  <c r="W3617"/>
  <c r="W3618"/>
  <c r="W3619"/>
  <c r="W3620"/>
  <c r="W3621"/>
  <c r="W3622"/>
  <c r="W3623"/>
  <c r="W3624"/>
  <c r="W3625"/>
  <c r="W3626"/>
  <c r="W3627"/>
  <c r="W3628"/>
  <c r="W3629"/>
  <c r="W3630"/>
  <c r="W3631"/>
  <c r="W3632"/>
  <c r="W3633"/>
  <c r="W3634"/>
  <c r="W3635"/>
  <c r="W3636"/>
  <c r="W3637"/>
  <c r="W3638"/>
  <c r="W3639"/>
  <c r="W3640"/>
  <c r="W3641"/>
  <c r="W3642"/>
  <c r="W3643"/>
  <c r="W3644"/>
  <c r="W3645"/>
  <c r="W3646"/>
  <c r="W3647"/>
  <c r="W3648"/>
  <c r="W3649"/>
  <c r="W3650"/>
  <c r="W3651"/>
  <c r="W3652"/>
  <c r="W3653"/>
  <c r="W3654"/>
  <c r="W3655"/>
  <c r="W3656"/>
  <c r="W3657"/>
  <c r="W3658"/>
  <c r="W3659"/>
  <c r="W3660"/>
  <c r="W3661"/>
  <c r="W3662"/>
  <c r="W3663"/>
  <c r="W3664"/>
  <c r="W3665"/>
  <c r="W3666"/>
  <c r="W3667"/>
  <c r="W3668"/>
  <c r="W3669"/>
  <c r="W3670"/>
  <c r="W3671"/>
  <c r="W3672"/>
  <c r="W3673"/>
  <c r="W3674"/>
  <c r="W3675"/>
  <c r="W3676"/>
  <c r="W3677"/>
  <c r="W3678"/>
  <c r="W3679"/>
  <c r="W3680"/>
  <c r="W3681"/>
  <c r="W3682"/>
  <c r="W3683"/>
  <c r="W3684"/>
  <c r="W3685"/>
  <c r="W3686"/>
  <c r="W3687"/>
  <c r="W3688"/>
  <c r="W3689"/>
  <c r="W3690"/>
  <c r="W3691"/>
  <c r="W3692"/>
  <c r="W3693"/>
  <c r="W3694"/>
  <c r="W3695"/>
  <c r="W3696"/>
  <c r="W3697"/>
  <c r="W3698"/>
  <c r="W3699"/>
  <c r="W3700"/>
  <c r="W3701"/>
  <c r="W3702"/>
  <c r="W3703"/>
  <c r="W3704"/>
  <c r="W3705"/>
  <c r="W3706"/>
  <c r="W3707"/>
  <c r="W3708"/>
  <c r="W3709"/>
  <c r="W3710"/>
  <c r="W3711"/>
  <c r="W3712"/>
  <c r="W3713"/>
  <c r="W3714"/>
  <c r="W3715"/>
  <c r="W3716"/>
  <c r="W3717"/>
  <c r="W3718"/>
  <c r="W3719"/>
  <c r="W3720"/>
  <c r="W3721"/>
  <c r="W3722"/>
  <c r="W3723"/>
  <c r="W3724"/>
  <c r="W3725"/>
  <c r="W3726"/>
  <c r="W3727"/>
  <c r="W3728"/>
  <c r="W3729"/>
  <c r="W3730"/>
  <c r="W3731"/>
  <c r="W3732"/>
  <c r="W3733"/>
  <c r="W3734"/>
  <c r="W3735"/>
  <c r="W3736"/>
  <c r="W3737"/>
  <c r="W3738"/>
  <c r="W3739"/>
  <c r="W3740"/>
  <c r="W3741"/>
  <c r="W3742"/>
  <c r="W3743"/>
  <c r="W3744"/>
  <c r="W3745"/>
  <c r="W3746"/>
  <c r="W3747"/>
  <c r="W3748"/>
  <c r="W3749"/>
  <c r="W3750"/>
  <c r="W3751"/>
  <c r="W3752"/>
  <c r="W3753"/>
  <c r="W3754"/>
  <c r="W3755"/>
  <c r="W3756"/>
  <c r="W3757"/>
  <c r="W3758"/>
  <c r="W3759"/>
  <c r="W3760"/>
  <c r="W3761"/>
  <c r="W3762"/>
  <c r="W3763"/>
  <c r="W3764"/>
  <c r="W3765"/>
  <c r="W3766"/>
  <c r="W3767"/>
  <c r="W3768"/>
  <c r="W3769"/>
  <c r="W3770"/>
  <c r="W3771"/>
  <c r="W3772"/>
  <c r="W3773"/>
  <c r="W3774"/>
  <c r="W3775"/>
  <c r="W3776"/>
  <c r="W3777"/>
  <c r="W3778"/>
  <c r="W3779"/>
  <c r="W3780"/>
  <c r="W3781"/>
  <c r="W3782"/>
  <c r="W3783"/>
  <c r="W3784"/>
  <c r="W3785"/>
  <c r="W3786"/>
  <c r="W3787"/>
  <c r="W3788"/>
  <c r="W3789"/>
  <c r="W3790"/>
  <c r="W3791"/>
  <c r="W3792"/>
  <c r="W3793"/>
  <c r="W3794"/>
  <c r="W3795"/>
  <c r="W3796"/>
  <c r="W3797"/>
  <c r="W3798"/>
  <c r="W3799"/>
  <c r="W3800"/>
  <c r="W3801"/>
  <c r="W3802"/>
  <c r="W3803"/>
  <c r="W3804"/>
  <c r="W3805"/>
  <c r="W3806"/>
  <c r="W3807"/>
  <c r="W3808"/>
  <c r="W3809"/>
  <c r="W3810"/>
  <c r="W3811"/>
  <c r="W3812"/>
  <c r="W3813"/>
  <c r="W3814"/>
  <c r="W3815"/>
  <c r="W3816"/>
  <c r="W3817"/>
  <c r="W3818"/>
  <c r="W3819"/>
  <c r="W3820"/>
  <c r="W3821"/>
  <c r="W3822"/>
  <c r="W3823"/>
  <c r="W3824"/>
  <c r="W3825"/>
  <c r="W3826"/>
  <c r="W3827"/>
  <c r="W3828"/>
  <c r="W3829"/>
  <c r="W3830"/>
  <c r="W3831"/>
  <c r="W3832"/>
  <c r="W3833"/>
  <c r="W3834"/>
  <c r="W3835"/>
  <c r="W3836"/>
  <c r="W3837"/>
  <c r="W3838"/>
  <c r="W3839"/>
  <c r="W3840"/>
  <c r="W3841"/>
  <c r="W3842"/>
  <c r="W3843"/>
  <c r="W3844"/>
  <c r="W3845"/>
  <c r="W3846"/>
  <c r="W3847"/>
  <c r="W3848"/>
  <c r="W3849"/>
  <c r="W3850"/>
  <c r="W3851"/>
  <c r="W3852"/>
  <c r="W3853"/>
  <c r="W3854"/>
  <c r="W3855"/>
  <c r="W3856"/>
  <c r="W3857"/>
  <c r="W3858"/>
  <c r="W3859"/>
  <c r="W3860"/>
  <c r="W3861"/>
  <c r="W3862"/>
  <c r="W3863"/>
  <c r="W3864"/>
  <c r="W3865"/>
  <c r="W3866"/>
  <c r="W3867"/>
  <c r="W3868"/>
  <c r="W3869"/>
  <c r="W3870"/>
  <c r="W3871"/>
  <c r="W3872"/>
  <c r="W3873"/>
  <c r="W3874"/>
  <c r="W3875"/>
  <c r="W3876"/>
  <c r="W3877"/>
  <c r="W3878"/>
  <c r="W3879"/>
  <c r="W3880"/>
  <c r="W3881"/>
  <c r="W3882"/>
  <c r="W3883"/>
  <c r="W3884"/>
  <c r="W3885"/>
  <c r="W3886"/>
  <c r="W3887"/>
  <c r="W3888"/>
  <c r="W3889"/>
  <c r="W3890"/>
  <c r="W3891"/>
  <c r="W3892"/>
  <c r="W3893"/>
  <c r="W3894"/>
  <c r="W3895"/>
  <c r="W3896"/>
  <c r="W3897"/>
  <c r="W3898"/>
  <c r="W3899"/>
  <c r="W3900"/>
  <c r="W3901"/>
  <c r="W3902"/>
  <c r="W3903"/>
  <c r="W3904"/>
  <c r="W3905"/>
  <c r="W3906"/>
  <c r="W3907"/>
  <c r="W3908"/>
  <c r="W3909"/>
  <c r="W3910"/>
  <c r="W3911"/>
  <c r="W3912"/>
  <c r="W3913"/>
  <c r="W3914"/>
  <c r="W3915"/>
  <c r="W3916"/>
  <c r="W3917"/>
  <c r="W3918"/>
  <c r="W3919"/>
  <c r="W3920"/>
  <c r="W3921"/>
  <c r="W3922"/>
  <c r="W3923"/>
  <c r="W3924"/>
  <c r="W3925"/>
  <c r="W3926"/>
  <c r="W3927"/>
  <c r="W3928"/>
  <c r="W3929"/>
  <c r="W3930"/>
  <c r="W3931"/>
  <c r="W3932"/>
  <c r="W3933"/>
  <c r="W3934"/>
  <c r="W3935"/>
  <c r="W3936"/>
  <c r="W3937"/>
  <c r="W3938"/>
  <c r="W3939"/>
  <c r="W3940"/>
  <c r="W3941"/>
  <c r="W3942"/>
  <c r="W3943"/>
  <c r="W3944"/>
  <c r="W3945"/>
  <c r="W3946"/>
  <c r="W3947"/>
  <c r="W3948"/>
  <c r="W3949"/>
  <c r="W3950"/>
  <c r="W3951"/>
  <c r="W3952"/>
  <c r="W3953"/>
  <c r="W3954"/>
  <c r="W3955"/>
  <c r="W3956"/>
  <c r="W3957"/>
  <c r="W3958"/>
  <c r="W3959"/>
  <c r="W3960"/>
  <c r="W3961"/>
  <c r="W3962"/>
  <c r="W3963"/>
  <c r="W3964"/>
  <c r="W3965"/>
  <c r="W3966"/>
  <c r="W3967"/>
  <c r="W3968"/>
  <c r="W3969"/>
  <c r="W3970"/>
  <c r="W3971"/>
  <c r="W3972"/>
  <c r="W3973"/>
  <c r="W3974"/>
  <c r="W3975"/>
  <c r="W3976"/>
  <c r="W3977"/>
  <c r="W3978"/>
  <c r="W3979"/>
  <c r="W3980"/>
  <c r="W3981"/>
  <c r="W3982"/>
  <c r="W3983"/>
  <c r="W3984"/>
  <c r="W3985"/>
  <c r="W3986"/>
  <c r="W3987"/>
  <c r="W3988"/>
  <c r="W3989"/>
  <c r="W3990"/>
  <c r="W3991"/>
  <c r="W3992"/>
  <c r="W3993"/>
  <c r="W3994"/>
  <c r="W3995"/>
  <c r="W3996"/>
  <c r="W3997"/>
  <c r="W3998"/>
  <c r="W3999"/>
  <c r="W4000"/>
  <c r="W4001"/>
  <c r="W4002"/>
  <c r="W4003"/>
  <c r="W4004"/>
  <c r="W4005"/>
  <c r="W4006"/>
  <c r="W4007"/>
  <c r="W4008"/>
  <c r="W4009"/>
  <c r="W4010"/>
  <c r="W4011"/>
  <c r="W4012"/>
  <c r="W4013"/>
  <c r="W4014"/>
  <c r="W4015"/>
  <c r="W4016"/>
  <c r="W4017"/>
  <c r="W4018"/>
  <c r="W4019"/>
  <c r="W4020"/>
  <c r="W4021"/>
  <c r="W4022"/>
  <c r="W4023"/>
  <c r="W4024"/>
  <c r="W4025"/>
  <c r="W4026"/>
  <c r="W4027"/>
  <c r="W4028"/>
  <c r="W4029"/>
  <c r="W4030"/>
  <c r="W4031"/>
  <c r="W4032"/>
  <c r="W4033"/>
  <c r="W4034"/>
  <c r="W4035"/>
  <c r="W4036"/>
  <c r="W4037"/>
  <c r="W4038"/>
  <c r="W4039"/>
  <c r="W4040"/>
  <c r="W4041"/>
  <c r="W4042"/>
  <c r="W4043"/>
  <c r="W4044"/>
  <c r="W4045"/>
  <c r="W4046"/>
  <c r="W4047"/>
  <c r="W4048"/>
  <c r="W4049"/>
  <c r="W4050"/>
  <c r="W4051"/>
  <c r="W4052"/>
  <c r="W4053"/>
  <c r="W4054"/>
  <c r="W4055"/>
  <c r="W4056"/>
  <c r="W4057"/>
  <c r="W4058"/>
  <c r="W4059"/>
  <c r="W4060"/>
  <c r="W4061"/>
  <c r="W4062"/>
  <c r="W4063"/>
  <c r="W4064"/>
  <c r="W4065"/>
  <c r="W4066"/>
  <c r="W4067"/>
  <c r="W4068"/>
  <c r="W4069"/>
  <c r="W4070"/>
  <c r="W4071"/>
  <c r="W4072"/>
  <c r="W4073"/>
  <c r="W4074"/>
  <c r="W4075"/>
  <c r="W4076"/>
  <c r="W4077"/>
  <c r="W4078"/>
  <c r="W4079"/>
  <c r="W4080"/>
  <c r="W4081"/>
  <c r="W4082"/>
  <c r="W4083"/>
  <c r="W4084"/>
  <c r="W4085"/>
  <c r="W4086"/>
  <c r="W4087"/>
  <c r="W4088"/>
  <c r="W4089"/>
  <c r="W4090"/>
  <c r="W4091"/>
  <c r="W4092"/>
  <c r="W4093"/>
  <c r="W4094"/>
  <c r="W4095"/>
  <c r="W4096"/>
  <c r="W4097"/>
  <c r="W4098"/>
  <c r="W4099"/>
  <c r="W4100"/>
  <c r="W4101"/>
  <c r="W4102"/>
  <c r="W4103"/>
  <c r="W4104"/>
  <c r="W4105"/>
  <c r="W4106"/>
  <c r="W4107"/>
  <c r="W4108"/>
  <c r="W4109"/>
  <c r="W4110"/>
  <c r="W4111"/>
  <c r="W4112"/>
  <c r="W4113"/>
  <c r="W4114"/>
  <c r="W4115"/>
  <c r="W4116"/>
  <c r="W4117"/>
  <c r="W4118"/>
  <c r="W4119"/>
  <c r="W4120"/>
  <c r="W4121"/>
  <c r="W4122"/>
  <c r="W4123"/>
  <c r="W4124"/>
  <c r="W4125"/>
  <c r="W4126"/>
  <c r="W4127"/>
  <c r="W4128"/>
  <c r="W4129"/>
  <c r="W4130"/>
  <c r="W4131"/>
  <c r="W4132"/>
  <c r="W4133"/>
  <c r="W4134"/>
  <c r="W4135"/>
  <c r="W4136"/>
  <c r="W4137"/>
  <c r="W4138"/>
  <c r="W4139"/>
  <c r="W4140"/>
  <c r="W4141"/>
  <c r="W4142"/>
  <c r="W4143"/>
  <c r="W4144"/>
  <c r="W4145"/>
  <c r="W4146"/>
  <c r="W4147"/>
  <c r="W4148"/>
  <c r="W4149"/>
  <c r="W4150"/>
  <c r="W4151"/>
  <c r="W4152"/>
  <c r="W4153"/>
  <c r="W4154"/>
  <c r="W4155"/>
  <c r="W4156"/>
  <c r="W4157"/>
  <c r="W4158"/>
  <c r="W4159"/>
  <c r="W4160"/>
  <c r="W4161"/>
  <c r="W4162"/>
  <c r="W4163"/>
  <c r="W4164"/>
  <c r="W4165"/>
  <c r="W4166"/>
  <c r="W4167"/>
  <c r="W4168"/>
  <c r="W4169"/>
  <c r="W4170"/>
  <c r="W4171"/>
  <c r="W4172"/>
  <c r="W4173"/>
  <c r="W4174"/>
  <c r="W4175"/>
  <c r="W4176"/>
  <c r="W4177"/>
  <c r="W4178"/>
  <c r="W4179"/>
  <c r="W4180"/>
  <c r="W4181"/>
  <c r="W4182"/>
  <c r="W4183"/>
  <c r="W4184"/>
  <c r="W4185"/>
  <c r="W4186"/>
  <c r="W4187"/>
  <c r="W4188"/>
  <c r="W4189"/>
  <c r="W4190"/>
  <c r="W4191"/>
  <c r="W4192"/>
  <c r="W4193"/>
  <c r="W4194"/>
  <c r="W4195"/>
  <c r="W4196"/>
  <c r="W4197"/>
  <c r="W4198"/>
  <c r="W4199"/>
  <c r="W4200"/>
  <c r="W4201"/>
  <c r="W4202"/>
  <c r="W4203"/>
  <c r="W4204"/>
  <c r="W4205"/>
  <c r="W4206"/>
  <c r="W4207"/>
  <c r="W4208"/>
  <c r="W4209"/>
  <c r="W4210"/>
  <c r="W4211"/>
  <c r="W4212"/>
  <c r="W4213"/>
  <c r="W4214"/>
  <c r="W4215"/>
  <c r="W4216"/>
  <c r="W4217"/>
  <c r="W4218"/>
  <c r="W4219"/>
  <c r="W4220"/>
  <c r="W4221"/>
  <c r="W4222"/>
  <c r="W4223"/>
  <c r="W4224"/>
  <c r="W4225"/>
  <c r="W4226"/>
  <c r="W4227"/>
  <c r="W4228"/>
  <c r="W4229"/>
  <c r="W4230"/>
  <c r="W4231"/>
  <c r="W4232"/>
  <c r="W4233"/>
  <c r="W4234"/>
  <c r="W4235"/>
  <c r="W4236"/>
  <c r="W4237"/>
  <c r="W4238"/>
  <c r="W4239"/>
  <c r="W4240"/>
  <c r="W4241"/>
  <c r="W4242"/>
  <c r="W4243"/>
  <c r="W4244"/>
  <c r="W4245"/>
  <c r="W4246"/>
  <c r="W4247"/>
  <c r="W4248"/>
  <c r="W4249"/>
  <c r="W4250"/>
  <c r="W4251"/>
  <c r="W4252"/>
  <c r="W4253"/>
  <c r="W4254"/>
  <c r="W4255"/>
  <c r="W4256"/>
  <c r="W4257"/>
  <c r="W4258"/>
  <c r="W4259"/>
  <c r="W4260"/>
  <c r="W4261"/>
  <c r="W4262"/>
  <c r="W4263"/>
  <c r="W4264"/>
  <c r="W4265"/>
  <c r="W4266"/>
  <c r="W4267"/>
  <c r="W4268"/>
  <c r="W4269"/>
  <c r="W4270"/>
  <c r="W4271"/>
  <c r="W4272"/>
  <c r="W4273"/>
  <c r="W4274"/>
  <c r="W4275"/>
  <c r="W4276"/>
  <c r="W4277"/>
  <c r="W4278"/>
  <c r="W4279"/>
  <c r="W4280"/>
  <c r="W4281"/>
  <c r="W4282"/>
  <c r="W4283"/>
  <c r="W4284"/>
  <c r="W4285"/>
  <c r="W4286"/>
  <c r="W4287"/>
  <c r="W4288"/>
  <c r="W4289"/>
  <c r="W4290"/>
  <c r="W4291"/>
  <c r="W4292"/>
  <c r="W4293"/>
  <c r="W4294"/>
  <c r="W4295"/>
  <c r="W4296"/>
  <c r="W4297"/>
  <c r="W4298"/>
  <c r="W4299"/>
  <c r="W4300"/>
  <c r="W4301"/>
  <c r="W4302"/>
  <c r="W4303"/>
  <c r="W4304"/>
  <c r="W4305"/>
  <c r="W4306"/>
  <c r="W4307"/>
  <c r="W4308"/>
  <c r="W4309"/>
  <c r="W4310"/>
  <c r="W4311"/>
  <c r="W4312"/>
  <c r="W4313"/>
  <c r="W4314"/>
  <c r="W4315"/>
  <c r="W4316"/>
  <c r="W4317"/>
  <c r="W4318"/>
  <c r="W4319"/>
  <c r="W4320"/>
  <c r="W4321"/>
  <c r="W4322"/>
  <c r="W4323"/>
  <c r="W4324"/>
  <c r="W4325"/>
  <c r="W4326"/>
  <c r="W4327"/>
  <c r="W4328"/>
  <c r="W4329"/>
  <c r="W4330"/>
  <c r="W4331"/>
  <c r="W4332"/>
  <c r="W4333"/>
  <c r="W4334"/>
  <c r="W4335"/>
  <c r="W4336"/>
  <c r="W4337"/>
  <c r="W4338"/>
  <c r="W4339"/>
  <c r="W4340"/>
  <c r="W4341"/>
  <c r="W4342"/>
  <c r="W4343"/>
  <c r="W4344"/>
  <c r="W4345"/>
  <c r="W4346"/>
  <c r="W4347"/>
  <c r="W4348"/>
  <c r="W4349"/>
  <c r="W4350"/>
  <c r="W4351"/>
  <c r="W4352"/>
  <c r="W4353"/>
  <c r="W4354"/>
  <c r="W4355"/>
  <c r="W4356"/>
  <c r="W4357"/>
  <c r="W4358"/>
  <c r="W4359"/>
  <c r="W4360"/>
  <c r="W4361"/>
  <c r="W4362"/>
  <c r="W4363"/>
  <c r="W4364"/>
  <c r="W4365"/>
  <c r="W4366"/>
  <c r="W4367"/>
  <c r="W4368"/>
  <c r="W4369"/>
  <c r="W4370"/>
  <c r="W4371"/>
  <c r="W4372"/>
  <c r="W4373"/>
  <c r="W4374"/>
  <c r="W4375"/>
  <c r="W4376"/>
  <c r="W4377"/>
  <c r="W4378"/>
  <c r="W4379"/>
  <c r="W4380"/>
  <c r="W4381"/>
  <c r="W4382"/>
  <c r="W4383"/>
  <c r="W4384"/>
  <c r="W4385"/>
  <c r="W4386"/>
  <c r="W4387"/>
  <c r="W4388"/>
  <c r="W4389"/>
  <c r="W4390"/>
  <c r="W4391"/>
  <c r="W4392"/>
  <c r="W4393"/>
  <c r="W4394"/>
  <c r="W4395"/>
  <c r="W4396"/>
  <c r="W4397"/>
  <c r="W4398"/>
  <c r="W4399"/>
  <c r="W4400"/>
  <c r="W4401"/>
  <c r="W4402"/>
  <c r="W4403"/>
  <c r="W4404"/>
  <c r="W4405"/>
  <c r="W4406"/>
  <c r="W4407"/>
  <c r="W4408"/>
  <c r="W4409"/>
  <c r="W4410"/>
  <c r="W4411"/>
  <c r="W4412"/>
  <c r="W4413"/>
  <c r="W4414"/>
  <c r="W4415"/>
  <c r="W4416"/>
  <c r="W4417"/>
  <c r="W4418"/>
  <c r="W4419"/>
  <c r="W4420"/>
  <c r="W4421"/>
  <c r="W4422"/>
  <c r="W4423"/>
  <c r="W4424"/>
  <c r="W4425"/>
  <c r="W4426"/>
  <c r="W4427"/>
  <c r="W4428"/>
  <c r="W4429"/>
  <c r="W4430"/>
  <c r="W4431"/>
  <c r="W4432"/>
  <c r="W4433"/>
  <c r="W4434"/>
  <c r="W4435"/>
  <c r="W4436"/>
  <c r="W4437"/>
  <c r="W4438"/>
  <c r="W4439"/>
  <c r="W4440"/>
  <c r="W4441"/>
  <c r="W4442"/>
  <c r="W4443"/>
  <c r="W4444"/>
  <c r="W4445"/>
  <c r="W4446"/>
  <c r="W4447"/>
  <c r="W4448"/>
  <c r="W4449"/>
  <c r="W4450"/>
  <c r="W4451"/>
  <c r="W4452"/>
  <c r="W4453"/>
  <c r="W4454"/>
  <c r="W4455"/>
  <c r="W4456"/>
  <c r="W4457"/>
  <c r="W4458"/>
  <c r="W4459"/>
  <c r="W4460"/>
  <c r="W4461"/>
  <c r="W4462"/>
  <c r="W4463"/>
  <c r="W4464"/>
  <c r="W4465"/>
  <c r="W4466"/>
  <c r="W4467"/>
  <c r="W4468"/>
  <c r="W4469"/>
  <c r="W4470"/>
  <c r="W4471"/>
  <c r="W4472"/>
  <c r="W4473"/>
  <c r="W4474"/>
  <c r="W4475"/>
  <c r="W4476"/>
  <c r="W4477"/>
  <c r="W4478"/>
  <c r="W4479"/>
  <c r="W4480"/>
  <c r="W4481"/>
  <c r="W4482"/>
  <c r="W4483"/>
  <c r="W4484"/>
  <c r="W4485"/>
  <c r="W4486"/>
  <c r="W4487"/>
  <c r="W4488"/>
  <c r="W4489"/>
  <c r="W4490"/>
  <c r="W4491"/>
  <c r="W4492"/>
  <c r="W4493"/>
  <c r="W4494"/>
  <c r="W4495"/>
  <c r="W4496"/>
  <c r="W4497"/>
  <c r="W4498"/>
  <c r="W4499"/>
  <c r="W4500"/>
  <c r="W4501"/>
  <c r="W4502"/>
  <c r="W4503"/>
  <c r="W4504"/>
  <c r="W4505"/>
  <c r="W4506"/>
  <c r="W4507"/>
  <c r="W4508"/>
  <c r="W4509"/>
  <c r="W4510"/>
  <c r="W4511"/>
  <c r="W4512"/>
  <c r="W4513"/>
  <c r="W4514"/>
  <c r="W4515"/>
  <c r="W4516"/>
  <c r="W4517"/>
  <c r="W4518"/>
  <c r="W4519"/>
  <c r="W4520"/>
  <c r="W4521"/>
  <c r="W4522"/>
  <c r="W4523"/>
  <c r="W4524"/>
  <c r="W4525"/>
  <c r="W4526"/>
  <c r="W4527"/>
  <c r="W4528"/>
  <c r="W4529"/>
  <c r="W4530"/>
  <c r="W4531"/>
  <c r="W4532"/>
  <c r="W4533"/>
  <c r="W4534"/>
  <c r="W4535"/>
  <c r="W4536"/>
  <c r="W4537"/>
  <c r="W4538"/>
  <c r="W4539"/>
  <c r="W4540"/>
  <c r="W4541"/>
  <c r="W4542"/>
  <c r="W4543"/>
  <c r="W4544"/>
  <c r="W4545"/>
  <c r="W4546"/>
  <c r="W4547"/>
  <c r="W4548"/>
  <c r="W4549"/>
  <c r="W4550"/>
  <c r="W4551"/>
  <c r="W4552"/>
  <c r="W4553"/>
  <c r="W4554"/>
  <c r="W4555"/>
  <c r="W4556"/>
  <c r="W4557"/>
  <c r="W4558"/>
  <c r="W4559"/>
  <c r="W4560"/>
  <c r="W4561"/>
  <c r="W4562"/>
  <c r="W4563"/>
  <c r="W4564"/>
  <c r="W4565"/>
  <c r="W4566"/>
  <c r="W4567"/>
  <c r="W4568"/>
  <c r="W4569"/>
  <c r="W4570"/>
  <c r="W4571"/>
  <c r="W4572"/>
  <c r="W4573"/>
  <c r="W4574"/>
  <c r="W4575"/>
  <c r="W4576"/>
  <c r="W4577"/>
  <c r="W4578"/>
  <c r="W4579"/>
  <c r="W4580"/>
  <c r="W4581"/>
  <c r="W4582"/>
  <c r="W4583"/>
  <c r="W4584"/>
  <c r="W4585"/>
  <c r="W4586"/>
  <c r="W4587"/>
  <c r="W4588"/>
  <c r="W4589"/>
  <c r="W4590"/>
  <c r="W4591"/>
  <c r="W4592"/>
  <c r="W4593"/>
  <c r="W4594"/>
  <c r="W4595"/>
  <c r="W4596"/>
  <c r="W4597"/>
  <c r="W4598"/>
  <c r="W4599"/>
  <c r="W4600"/>
  <c r="W4601"/>
  <c r="W4602"/>
  <c r="W4603"/>
  <c r="W4604"/>
  <c r="W4605"/>
  <c r="W4606"/>
  <c r="W4607"/>
  <c r="W4608"/>
  <c r="W4609"/>
  <c r="W4610"/>
  <c r="W4611"/>
  <c r="W4612"/>
  <c r="W4613"/>
  <c r="W4614"/>
  <c r="W4615"/>
  <c r="W4616"/>
  <c r="W4617"/>
  <c r="W4618"/>
  <c r="W4619"/>
  <c r="W4620"/>
  <c r="W4621"/>
  <c r="W4622"/>
  <c r="W4623"/>
  <c r="W4624"/>
  <c r="W4625"/>
  <c r="W4626"/>
  <c r="W4627"/>
  <c r="W4628"/>
  <c r="W4629"/>
  <c r="W4630"/>
  <c r="W4631"/>
  <c r="W4632"/>
  <c r="W4633"/>
  <c r="W4634"/>
  <c r="W4635"/>
  <c r="W4636"/>
  <c r="W4637"/>
  <c r="W4638"/>
  <c r="W4639"/>
  <c r="W4640"/>
  <c r="W4641"/>
  <c r="W4642"/>
  <c r="W4643"/>
  <c r="W4644"/>
  <c r="W4645"/>
  <c r="W4646"/>
  <c r="W4647"/>
  <c r="W4648"/>
  <c r="W4649"/>
  <c r="W4650"/>
  <c r="W4651"/>
  <c r="W4652"/>
  <c r="W4653"/>
  <c r="W4654"/>
  <c r="W4655"/>
  <c r="W4656"/>
  <c r="W4657"/>
  <c r="W4658"/>
  <c r="W4659"/>
  <c r="W4660"/>
  <c r="W4661"/>
  <c r="W4662"/>
  <c r="W4663"/>
  <c r="W4664"/>
  <c r="W4665"/>
  <c r="W4666"/>
  <c r="W4667"/>
  <c r="W4668"/>
  <c r="W4669"/>
  <c r="W4670"/>
  <c r="W4671"/>
  <c r="W4672"/>
  <c r="W4673"/>
  <c r="W4674"/>
  <c r="W4675"/>
  <c r="W4676"/>
  <c r="W4677"/>
  <c r="W4678"/>
  <c r="W4679"/>
  <c r="W4680"/>
  <c r="W4681"/>
  <c r="W4682"/>
  <c r="W4683"/>
  <c r="W4684"/>
  <c r="W4685"/>
  <c r="W4686"/>
  <c r="W4687"/>
  <c r="W4688"/>
  <c r="W4689"/>
  <c r="W4690"/>
  <c r="W4691"/>
  <c r="W4692"/>
  <c r="W4693"/>
  <c r="W4694"/>
  <c r="W4695"/>
  <c r="W4696"/>
  <c r="W4697"/>
  <c r="W4698"/>
  <c r="W4699"/>
  <c r="W4700"/>
  <c r="W4701"/>
  <c r="W4702"/>
  <c r="W4703"/>
  <c r="W4704"/>
  <c r="W4705"/>
  <c r="W4706"/>
  <c r="W4707"/>
  <c r="W4708"/>
  <c r="W4709"/>
  <c r="W4710"/>
  <c r="W4711"/>
  <c r="W4712"/>
  <c r="W4713"/>
  <c r="W4714"/>
  <c r="W4715"/>
  <c r="W4716"/>
  <c r="W4717"/>
  <c r="W4718"/>
  <c r="W4719"/>
  <c r="W4720"/>
  <c r="W4721"/>
  <c r="W4722"/>
  <c r="W4723"/>
  <c r="W4724"/>
  <c r="W4725"/>
  <c r="W4726"/>
  <c r="W4727"/>
  <c r="W4728"/>
  <c r="W4729"/>
  <c r="W4730"/>
  <c r="W4731"/>
  <c r="W4732"/>
  <c r="W4733"/>
  <c r="W4734"/>
  <c r="W4735"/>
  <c r="W4736"/>
  <c r="W4737"/>
  <c r="W4738"/>
  <c r="W4739"/>
  <c r="W4740"/>
  <c r="W4741"/>
  <c r="W4742"/>
  <c r="W4743"/>
  <c r="W4744"/>
  <c r="W4745"/>
  <c r="W4746"/>
  <c r="W4747"/>
  <c r="W4748"/>
  <c r="W4749"/>
  <c r="W4750"/>
  <c r="W4751"/>
  <c r="W4752"/>
  <c r="W4753"/>
  <c r="W4754"/>
  <c r="W4755"/>
  <c r="W4756"/>
  <c r="W4757"/>
  <c r="W4758"/>
  <c r="W4759"/>
  <c r="W4760"/>
  <c r="W4761"/>
  <c r="W4762"/>
  <c r="W4763"/>
  <c r="W4764"/>
  <c r="W4765"/>
  <c r="W4766"/>
  <c r="W4767"/>
  <c r="W4768"/>
  <c r="W4769"/>
  <c r="W4770"/>
  <c r="W4771"/>
  <c r="W4772"/>
  <c r="W4773"/>
  <c r="W4774"/>
  <c r="W4775"/>
  <c r="W4776"/>
  <c r="W4777"/>
  <c r="W4778"/>
  <c r="W4779"/>
  <c r="W4780"/>
  <c r="W4781"/>
  <c r="W4782"/>
  <c r="W4783"/>
  <c r="W4784"/>
  <c r="W4785"/>
  <c r="W4786"/>
  <c r="W4787"/>
  <c r="W4788"/>
  <c r="W4789"/>
  <c r="W4790"/>
  <c r="W4791"/>
  <c r="W4792"/>
  <c r="W4793"/>
  <c r="W4794"/>
  <c r="W4795"/>
  <c r="W4796"/>
  <c r="W4797"/>
  <c r="W4798"/>
  <c r="W4799"/>
  <c r="W4800"/>
  <c r="W4801"/>
  <c r="W4802"/>
  <c r="W4803"/>
  <c r="W4804"/>
  <c r="W4805"/>
  <c r="W4806"/>
  <c r="W4807"/>
  <c r="W4808"/>
  <c r="W4809"/>
  <c r="W4810"/>
  <c r="W4811"/>
  <c r="W4812"/>
  <c r="W4813"/>
  <c r="W4814"/>
  <c r="W4815"/>
  <c r="W4816"/>
  <c r="W4817"/>
  <c r="W4818"/>
  <c r="W4819"/>
  <c r="W4820"/>
  <c r="W4821"/>
  <c r="W4822"/>
  <c r="W4823"/>
  <c r="W4824"/>
  <c r="W4825"/>
  <c r="W4826"/>
  <c r="W4827"/>
  <c r="W4828"/>
  <c r="W4829"/>
  <c r="W4830"/>
  <c r="W4831"/>
  <c r="W4832"/>
  <c r="W4833"/>
  <c r="W4834"/>
  <c r="W4835"/>
  <c r="W4836"/>
  <c r="W4837"/>
  <c r="W4838"/>
  <c r="W4839"/>
  <c r="W4840"/>
  <c r="W4841"/>
  <c r="W4842"/>
  <c r="W4843"/>
  <c r="W4844"/>
  <c r="W4845"/>
  <c r="W4846"/>
  <c r="W4847"/>
  <c r="W4848"/>
  <c r="W4849"/>
  <c r="W4850"/>
  <c r="W4851"/>
  <c r="W4852"/>
  <c r="W4853"/>
  <c r="W4854"/>
  <c r="W4855"/>
  <c r="W4856"/>
  <c r="W4857"/>
  <c r="W4858"/>
  <c r="W4859"/>
  <c r="W4860"/>
  <c r="W4861"/>
  <c r="W4862"/>
  <c r="W4863"/>
  <c r="W4864"/>
  <c r="W4865"/>
  <c r="W4866"/>
  <c r="W4867"/>
  <c r="W4868"/>
  <c r="W4869"/>
  <c r="W4870"/>
  <c r="W4871"/>
  <c r="W4872"/>
  <c r="W4873"/>
  <c r="W4874"/>
  <c r="W4875"/>
  <c r="W4876"/>
  <c r="W4877"/>
  <c r="W4878"/>
  <c r="W4879"/>
  <c r="W4880"/>
  <c r="W4881"/>
  <c r="W4882"/>
  <c r="W4883"/>
  <c r="W4884"/>
  <c r="W4885"/>
  <c r="W4886"/>
  <c r="W4887"/>
  <c r="W4888"/>
  <c r="W4889"/>
  <c r="W4890"/>
  <c r="W4891"/>
  <c r="W4892"/>
  <c r="W4893"/>
  <c r="W4894"/>
  <c r="W4895"/>
  <c r="W4896"/>
  <c r="W4897"/>
  <c r="W4898"/>
  <c r="W4899"/>
  <c r="W4900"/>
  <c r="W4901"/>
  <c r="W4902"/>
  <c r="W4903"/>
  <c r="W4904"/>
  <c r="W4905"/>
  <c r="W4906"/>
  <c r="W4907"/>
  <c r="W4908"/>
  <c r="W4909"/>
  <c r="W4910"/>
  <c r="W4911"/>
  <c r="W4912"/>
  <c r="W4913"/>
  <c r="W4914"/>
  <c r="W4915"/>
  <c r="W4916"/>
  <c r="W4917"/>
  <c r="W4918"/>
  <c r="W4919"/>
  <c r="W4920"/>
  <c r="W4921"/>
  <c r="W4922"/>
  <c r="W4923"/>
  <c r="W4924"/>
  <c r="W4925"/>
  <c r="W4926"/>
  <c r="W4927"/>
  <c r="W4928"/>
  <c r="W4929"/>
  <c r="W4930"/>
  <c r="W4931"/>
  <c r="W4932"/>
  <c r="W4933"/>
  <c r="W4934"/>
  <c r="W4935"/>
  <c r="W4936"/>
  <c r="W4937"/>
  <c r="W4938"/>
  <c r="W4939"/>
  <c r="W4940"/>
  <c r="W4941"/>
  <c r="W4942"/>
  <c r="W4943"/>
  <c r="W4944"/>
  <c r="W4945"/>
  <c r="W4946"/>
  <c r="W4947"/>
  <c r="W4948"/>
  <c r="W4949"/>
  <c r="W4950"/>
  <c r="W4951"/>
  <c r="W4952"/>
  <c r="W4953"/>
  <c r="W4954"/>
  <c r="W4955"/>
  <c r="W4956"/>
  <c r="W4957"/>
  <c r="W4958"/>
  <c r="W4959"/>
  <c r="W4960"/>
  <c r="W4961"/>
  <c r="W4962"/>
  <c r="W4963"/>
  <c r="W4964"/>
  <c r="W4965"/>
  <c r="W4966"/>
  <c r="W4967"/>
  <c r="W4968"/>
  <c r="W4969"/>
  <c r="W4970"/>
  <c r="W4971"/>
  <c r="W4972"/>
  <c r="W4973"/>
  <c r="W4974"/>
  <c r="W4975"/>
  <c r="W4976"/>
  <c r="W4977"/>
  <c r="W4978"/>
  <c r="W4979"/>
  <c r="W4980"/>
  <c r="W4981"/>
  <c r="W4982"/>
  <c r="W4983"/>
  <c r="W4984"/>
  <c r="W4985"/>
  <c r="W4986"/>
  <c r="W4987"/>
  <c r="W4988"/>
  <c r="W4989"/>
  <c r="W4990"/>
  <c r="W4991"/>
  <c r="W4992"/>
  <c r="W4993"/>
  <c r="W4994"/>
  <c r="W4995"/>
  <c r="W4996"/>
  <c r="W4997"/>
  <c r="W4998"/>
  <c r="W4999"/>
  <c r="W5000"/>
  <c r="W5001"/>
  <c r="W5002"/>
  <c r="W5003"/>
  <c r="W5004"/>
  <c r="W5005"/>
  <c r="W5006"/>
  <c r="W5007"/>
  <c r="W5008"/>
  <c r="W5009"/>
  <c r="W5010"/>
  <c r="W5011"/>
  <c r="W5012"/>
  <c r="W5013"/>
  <c r="W5014"/>
  <c r="W5015"/>
  <c r="W5016"/>
  <c r="W5017"/>
  <c r="W5018"/>
  <c r="W5019"/>
  <c r="W5020"/>
  <c r="W5021"/>
  <c r="W5022"/>
  <c r="W5023"/>
  <c r="W5024"/>
  <c r="W5025"/>
  <c r="W5026"/>
  <c r="W5027"/>
  <c r="W5028"/>
  <c r="W5029"/>
  <c r="W5030"/>
  <c r="W5031"/>
  <c r="W5032"/>
  <c r="W5033"/>
  <c r="W5034"/>
  <c r="W5035"/>
  <c r="W5036"/>
  <c r="W5037"/>
  <c r="W5038"/>
  <c r="W5039"/>
  <c r="W5040"/>
  <c r="W5041"/>
  <c r="W5042"/>
  <c r="W5043"/>
  <c r="W5044"/>
  <c r="W5045"/>
  <c r="W5046"/>
  <c r="W5047"/>
  <c r="W5048"/>
  <c r="W5049"/>
  <c r="W5050"/>
  <c r="W5051"/>
  <c r="W5052"/>
  <c r="W5053"/>
  <c r="W5054"/>
  <c r="W5055"/>
  <c r="W5056"/>
  <c r="W5057"/>
  <c r="W5058"/>
  <c r="W5059"/>
  <c r="W5060"/>
  <c r="W5061"/>
  <c r="W5062"/>
  <c r="W5063"/>
  <c r="W5064"/>
  <c r="W5065"/>
  <c r="W5066"/>
  <c r="W5067"/>
  <c r="W5068"/>
  <c r="W5069"/>
  <c r="W5070"/>
  <c r="W5071"/>
  <c r="W5072"/>
  <c r="W5073"/>
  <c r="W5074"/>
  <c r="W5075"/>
  <c r="W5076"/>
  <c r="W5077"/>
  <c r="W5078"/>
  <c r="W5079"/>
  <c r="W5080"/>
  <c r="W5081"/>
  <c r="W5082"/>
  <c r="W5083"/>
  <c r="W5084"/>
  <c r="W5085"/>
  <c r="W5086"/>
  <c r="W5087"/>
  <c r="W5088"/>
  <c r="W5089"/>
  <c r="W5090"/>
  <c r="W5091"/>
  <c r="W5092"/>
  <c r="W5093"/>
  <c r="W5094"/>
  <c r="W5095"/>
  <c r="W5096"/>
  <c r="W5097"/>
  <c r="W5098"/>
  <c r="W5099"/>
  <c r="W5100"/>
  <c r="W5101"/>
  <c r="W5102"/>
  <c r="W5103"/>
  <c r="W5104"/>
  <c r="W5105"/>
  <c r="W5106"/>
  <c r="W5107"/>
  <c r="W5108"/>
  <c r="W5109"/>
  <c r="W5110"/>
  <c r="W5111"/>
  <c r="W5112"/>
  <c r="W5113"/>
  <c r="W5114"/>
  <c r="W5115"/>
  <c r="W5116"/>
  <c r="W5117"/>
  <c r="W5118"/>
  <c r="W5119"/>
  <c r="W5120"/>
  <c r="W5121"/>
  <c r="W5122"/>
  <c r="W5123"/>
  <c r="W5124"/>
  <c r="W5125"/>
  <c r="W5126"/>
  <c r="W5127"/>
  <c r="W5128"/>
  <c r="W5129"/>
  <c r="W5130"/>
  <c r="W5131"/>
  <c r="W5132"/>
  <c r="W5133"/>
  <c r="W5134"/>
  <c r="W5135"/>
  <c r="W5136"/>
  <c r="W5137"/>
  <c r="W5138"/>
  <c r="W5139"/>
  <c r="W5140"/>
  <c r="W5141"/>
  <c r="W5142"/>
  <c r="W5143"/>
  <c r="W5144"/>
  <c r="W5145"/>
  <c r="W5146"/>
  <c r="W5147"/>
  <c r="W5148"/>
  <c r="W5149"/>
  <c r="W5150"/>
  <c r="W5151"/>
  <c r="W5152"/>
  <c r="W5153"/>
  <c r="W5154"/>
  <c r="W5155"/>
  <c r="W5156"/>
  <c r="W5157"/>
  <c r="W5158"/>
  <c r="W5159"/>
  <c r="W5160"/>
  <c r="W5161"/>
  <c r="W5162"/>
  <c r="W5163"/>
  <c r="W5164"/>
  <c r="W5165"/>
  <c r="W5166"/>
  <c r="W5167"/>
  <c r="W5168"/>
  <c r="W5169"/>
  <c r="W5170"/>
  <c r="W5171"/>
  <c r="W5172"/>
  <c r="W5173"/>
  <c r="W5174"/>
  <c r="W5175"/>
  <c r="W5176"/>
  <c r="W5177"/>
  <c r="W5178"/>
  <c r="W5179"/>
  <c r="W5180"/>
  <c r="W5181"/>
  <c r="W5182"/>
  <c r="W5183"/>
  <c r="W5184"/>
  <c r="W5185"/>
  <c r="W5186"/>
  <c r="W5187"/>
  <c r="W5188"/>
  <c r="W5189"/>
  <c r="W5190"/>
  <c r="W5191"/>
  <c r="W5192"/>
  <c r="W5193"/>
  <c r="W5194"/>
  <c r="W5195"/>
  <c r="W5196"/>
  <c r="W5197"/>
  <c r="W5198"/>
  <c r="W5199"/>
  <c r="W5200"/>
  <c r="W5201"/>
  <c r="W5202"/>
  <c r="W5203"/>
  <c r="W5204"/>
  <c r="W5205"/>
  <c r="W5206"/>
  <c r="W5207"/>
  <c r="W5208"/>
  <c r="W5209"/>
  <c r="W5210"/>
  <c r="W5211"/>
  <c r="W5212"/>
  <c r="W5213"/>
  <c r="W5214"/>
  <c r="W5215"/>
  <c r="W5216"/>
  <c r="W5217"/>
  <c r="W5218"/>
  <c r="W5219"/>
  <c r="W5220"/>
  <c r="W5221"/>
  <c r="W5222"/>
  <c r="W5223"/>
  <c r="W5224"/>
  <c r="W5225"/>
  <c r="W5226"/>
  <c r="W5227"/>
  <c r="W5228"/>
  <c r="W5229"/>
  <c r="W5230"/>
  <c r="W5231"/>
  <c r="W5232"/>
  <c r="W5233"/>
  <c r="W5234"/>
  <c r="W5235"/>
  <c r="W5236"/>
  <c r="W5237"/>
  <c r="W5238"/>
  <c r="W5239"/>
  <c r="W5240"/>
  <c r="W5241"/>
  <c r="W5242"/>
  <c r="W5243"/>
  <c r="W5244"/>
  <c r="W5245"/>
  <c r="W5246"/>
  <c r="W5247"/>
  <c r="W5248"/>
  <c r="W5249"/>
  <c r="W5250"/>
  <c r="W5251"/>
  <c r="W5252"/>
  <c r="W5253"/>
  <c r="W5254"/>
  <c r="W5255"/>
  <c r="W5256"/>
  <c r="W5257"/>
  <c r="W5258"/>
  <c r="W5259"/>
  <c r="W5260"/>
  <c r="W5261"/>
  <c r="W5262"/>
  <c r="W5263"/>
  <c r="W5264"/>
  <c r="W5265"/>
  <c r="W5266"/>
  <c r="W5267"/>
  <c r="W5268"/>
  <c r="W5269"/>
  <c r="W5270"/>
  <c r="W5271"/>
  <c r="W5272"/>
  <c r="W5273"/>
  <c r="W5274"/>
  <c r="W5275"/>
  <c r="W5276"/>
  <c r="W5277"/>
  <c r="W5278"/>
  <c r="W5279"/>
  <c r="W5280"/>
  <c r="W5281"/>
  <c r="W5282"/>
  <c r="W5283"/>
  <c r="W5284"/>
  <c r="W5285"/>
  <c r="W5286"/>
  <c r="W5287"/>
  <c r="W5288"/>
  <c r="W5289"/>
  <c r="W5290"/>
  <c r="W5291"/>
  <c r="W5292"/>
  <c r="W5293"/>
  <c r="W5294"/>
  <c r="W5295"/>
  <c r="W5296"/>
  <c r="W5297"/>
  <c r="W5298"/>
  <c r="W5299"/>
  <c r="W5300"/>
  <c r="W5301"/>
  <c r="W5302"/>
  <c r="W5303"/>
  <c r="W5304"/>
  <c r="W5305"/>
  <c r="W5306"/>
  <c r="W5307"/>
  <c r="W5308"/>
  <c r="W5309"/>
  <c r="W5310"/>
  <c r="W5311"/>
  <c r="W5312"/>
  <c r="W5313"/>
  <c r="W5314"/>
  <c r="W5315"/>
  <c r="W5316"/>
  <c r="W5317"/>
  <c r="W5318"/>
  <c r="W5319"/>
  <c r="W5320"/>
  <c r="W5321"/>
  <c r="W5322"/>
  <c r="W5323"/>
  <c r="W5324"/>
  <c r="W5325"/>
  <c r="W5326"/>
  <c r="W5327"/>
  <c r="W5328"/>
  <c r="W5329"/>
  <c r="W5330"/>
  <c r="W5331"/>
  <c r="W5332"/>
  <c r="W5333"/>
  <c r="W5334"/>
  <c r="W5335"/>
  <c r="W5336"/>
  <c r="W5337"/>
  <c r="W5338"/>
  <c r="W5339"/>
  <c r="W5340"/>
  <c r="W5341"/>
  <c r="W5342"/>
  <c r="W5343"/>
  <c r="W5344"/>
  <c r="W5345"/>
  <c r="W5346"/>
  <c r="W5347"/>
  <c r="W5348"/>
  <c r="W5349"/>
  <c r="W5350"/>
  <c r="W5351"/>
  <c r="W5352"/>
  <c r="W5353"/>
  <c r="W5354"/>
  <c r="W5355"/>
  <c r="W5356"/>
  <c r="W5357"/>
  <c r="W5358"/>
  <c r="W5359"/>
  <c r="W5360"/>
  <c r="W5361"/>
  <c r="W5362"/>
  <c r="W5363"/>
  <c r="W5364"/>
  <c r="W5365"/>
  <c r="W5366"/>
  <c r="W5367"/>
  <c r="W5368"/>
  <c r="W5369"/>
  <c r="W5370"/>
  <c r="W5371"/>
  <c r="W5372"/>
  <c r="W5373"/>
  <c r="W5374"/>
  <c r="W5375"/>
  <c r="W5376"/>
  <c r="W5377"/>
  <c r="W5378"/>
  <c r="W5379"/>
  <c r="W5380"/>
  <c r="W5381"/>
  <c r="W5382"/>
  <c r="W5383"/>
  <c r="W5384"/>
  <c r="W5385"/>
  <c r="W5386"/>
  <c r="W5387"/>
  <c r="W5388"/>
  <c r="W5389"/>
  <c r="W5390"/>
  <c r="W5391"/>
  <c r="W5392"/>
  <c r="W5393"/>
  <c r="W5394"/>
  <c r="W5395"/>
  <c r="W5396"/>
  <c r="W5397"/>
  <c r="W5398"/>
  <c r="W5399"/>
  <c r="W5400"/>
  <c r="W5401"/>
  <c r="W5402"/>
  <c r="W5403"/>
  <c r="W5404"/>
  <c r="W5405"/>
  <c r="W5406"/>
  <c r="W5407"/>
  <c r="W5408"/>
  <c r="W5409"/>
  <c r="W5410"/>
  <c r="W5411"/>
  <c r="W5412"/>
  <c r="W5413"/>
  <c r="W5414"/>
  <c r="W5415"/>
  <c r="W5416"/>
  <c r="W5417"/>
  <c r="W5418"/>
  <c r="W5419"/>
  <c r="W5420"/>
  <c r="W5421"/>
  <c r="W5422"/>
  <c r="W5423"/>
  <c r="W5424"/>
  <c r="W5425"/>
  <c r="W5426"/>
  <c r="W5427"/>
  <c r="W5428"/>
  <c r="W5429"/>
  <c r="W5430"/>
  <c r="W5431"/>
  <c r="W5432"/>
  <c r="W5433"/>
  <c r="W5434"/>
  <c r="W5435"/>
  <c r="W5436"/>
  <c r="W5437"/>
  <c r="W5438"/>
  <c r="W5439"/>
  <c r="W5440"/>
  <c r="W5441"/>
  <c r="W5442"/>
  <c r="W5443"/>
  <c r="W5444"/>
  <c r="W5445"/>
  <c r="W5446"/>
  <c r="W5447"/>
  <c r="W5448"/>
  <c r="W5449"/>
  <c r="W5450"/>
  <c r="W5451"/>
  <c r="W5452"/>
  <c r="W5453"/>
  <c r="W5454"/>
  <c r="W5455"/>
  <c r="W5456"/>
  <c r="W5457"/>
  <c r="W5458"/>
  <c r="W5459"/>
  <c r="W5460"/>
  <c r="W5461"/>
  <c r="W5462"/>
  <c r="W5463"/>
  <c r="W5464"/>
  <c r="W5465"/>
  <c r="W5466"/>
  <c r="W5467"/>
  <c r="W5468"/>
  <c r="W5469"/>
  <c r="W5470"/>
  <c r="W5471"/>
  <c r="W5472"/>
  <c r="W5473"/>
  <c r="W5474"/>
  <c r="W5475"/>
  <c r="W5476"/>
  <c r="W5477"/>
  <c r="W5478"/>
  <c r="W5479"/>
  <c r="W5480"/>
  <c r="W5481"/>
  <c r="W5482"/>
  <c r="W5483"/>
  <c r="W5484"/>
  <c r="W5485"/>
  <c r="W5486"/>
  <c r="W5487"/>
  <c r="W5488"/>
  <c r="W5489"/>
  <c r="W5490"/>
  <c r="W5491"/>
  <c r="W5492"/>
  <c r="W5493"/>
  <c r="W5494"/>
  <c r="W5495"/>
  <c r="W5496"/>
  <c r="W5497"/>
  <c r="W5498"/>
  <c r="W5499"/>
  <c r="W5500"/>
  <c r="W5501"/>
  <c r="W5502"/>
  <c r="W5503"/>
  <c r="W5504"/>
  <c r="W5505"/>
  <c r="W5506"/>
  <c r="W5507"/>
  <c r="W5508"/>
  <c r="W5509"/>
  <c r="W5510"/>
  <c r="W5511"/>
  <c r="W5512"/>
  <c r="W5513"/>
  <c r="W5514"/>
  <c r="W5515"/>
  <c r="W5516"/>
  <c r="W5517"/>
  <c r="W5518"/>
  <c r="W5519"/>
  <c r="W5520"/>
  <c r="W5521"/>
  <c r="W5522"/>
  <c r="W5523"/>
  <c r="W5524"/>
  <c r="W5525"/>
  <c r="W5526"/>
  <c r="W5527"/>
  <c r="W5528"/>
  <c r="W5529"/>
  <c r="W5530"/>
  <c r="W5531"/>
  <c r="W5532"/>
  <c r="W5533"/>
  <c r="W5534"/>
  <c r="W5535"/>
  <c r="W5536"/>
  <c r="W5537"/>
  <c r="W5538"/>
  <c r="W5539"/>
  <c r="W5540"/>
  <c r="W5541"/>
  <c r="W5542"/>
  <c r="W5543"/>
  <c r="W5544"/>
  <c r="W5545"/>
  <c r="W5546"/>
  <c r="W5547"/>
  <c r="W5548"/>
  <c r="W5549"/>
  <c r="W5550"/>
  <c r="W5551"/>
  <c r="W5552"/>
  <c r="W5553"/>
  <c r="W5554"/>
  <c r="W5555"/>
  <c r="W5556"/>
  <c r="W5557"/>
  <c r="W5558"/>
  <c r="W5559"/>
  <c r="W5560"/>
  <c r="W5561"/>
  <c r="W5562"/>
  <c r="W5563"/>
  <c r="W5564"/>
  <c r="W5565"/>
  <c r="W5566"/>
  <c r="W5567"/>
  <c r="W5568"/>
  <c r="W5569"/>
  <c r="W5570"/>
  <c r="W5571"/>
  <c r="W5572"/>
  <c r="W5573"/>
  <c r="W5574"/>
  <c r="W5575"/>
  <c r="W5576"/>
  <c r="W5577"/>
  <c r="W5578"/>
  <c r="W5579"/>
  <c r="W5580"/>
  <c r="W5581"/>
  <c r="W5582"/>
  <c r="W5583"/>
  <c r="W5584"/>
  <c r="W5585"/>
  <c r="W5586"/>
  <c r="W5587"/>
  <c r="W5588"/>
  <c r="W5589"/>
  <c r="W5590"/>
  <c r="W5591"/>
  <c r="W5592"/>
  <c r="W5593"/>
  <c r="W5594"/>
  <c r="W5595"/>
  <c r="W5596"/>
  <c r="W5597"/>
  <c r="W5598"/>
  <c r="W5599"/>
  <c r="W5600"/>
  <c r="W5601"/>
  <c r="W5602"/>
  <c r="W5603"/>
  <c r="W5604"/>
  <c r="W5605"/>
  <c r="W5606"/>
  <c r="W5607"/>
  <c r="W5608"/>
  <c r="W5609"/>
  <c r="W5610"/>
  <c r="W5611"/>
  <c r="W5612"/>
  <c r="W5613"/>
  <c r="W5614"/>
  <c r="W5615"/>
  <c r="W5616"/>
  <c r="W5617"/>
  <c r="W5618"/>
  <c r="W5619"/>
  <c r="W5620"/>
  <c r="W5621"/>
  <c r="W5622"/>
  <c r="W5623"/>
  <c r="W5624"/>
  <c r="W5625"/>
  <c r="W5626"/>
  <c r="W5627"/>
  <c r="W5628"/>
  <c r="W5629"/>
  <c r="W5630"/>
  <c r="W5631"/>
  <c r="W5632"/>
  <c r="W5633"/>
  <c r="W5634"/>
  <c r="W5635"/>
  <c r="W5636"/>
  <c r="W5637"/>
  <c r="W5638"/>
  <c r="W5639"/>
  <c r="W5640"/>
  <c r="W5641"/>
  <c r="W5642"/>
  <c r="W5643"/>
  <c r="W5644"/>
  <c r="W5645"/>
  <c r="W5646"/>
  <c r="W5647"/>
  <c r="W5648"/>
  <c r="W5649"/>
  <c r="W5650"/>
  <c r="W5651"/>
  <c r="W5652"/>
  <c r="W5653"/>
  <c r="W5654"/>
  <c r="W5655"/>
  <c r="W5656"/>
  <c r="W5657"/>
  <c r="W5658"/>
  <c r="W5659"/>
  <c r="W5660"/>
  <c r="W5661"/>
  <c r="W5662"/>
  <c r="W5663"/>
  <c r="W5664"/>
  <c r="W5665"/>
  <c r="W5666"/>
  <c r="W5667"/>
  <c r="W5668"/>
  <c r="W5669"/>
  <c r="W5670"/>
  <c r="W5671"/>
  <c r="W5672"/>
  <c r="W5673"/>
  <c r="W5674"/>
  <c r="W5675"/>
  <c r="W5676"/>
  <c r="W5677"/>
  <c r="W5678"/>
  <c r="W5679"/>
  <c r="W5680"/>
  <c r="W5681"/>
  <c r="W5682"/>
  <c r="W5683"/>
  <c r="W5684"/>
  <c r="W5685"/>
  <c r="W5686"/>
  <c r="W5687"/>
  <c r="W5688"/>
  <c r="W5689"/>
  <c r="W5690"/>
  <c r="W5691"/>
  <c r="W5692"/>
  <c r="W5693"/>
  <c r="W5694"/>
  <c r="W5695"/>
  <c r="W5696"/>
  <c r="W5697"/>
  <c r="W5698"/>
  <c r="W5699"/>
  <c r="W5700"/>
  <c r="W5701"/>
  <c r="W5702"/>
  <c r="W5703"/>
  <c r="W5704"/>
  <c r="W5705"/>
  <c r="W5706"/>
  <c r="W5707"/>
  <c r="W5708"/>
  <c r="W5709"/>
  <c r="W5710"/>
  <c r="W5711"/>
  <c r="W5712"/>
  <c r="W5713"/>
  <c r="W5714"/>
  <c r="W5715"/>
  <c r="W5716"/>
  <c r="W5717"/>
  <c r="W5718"/>
  <c r="W5719"/>
  <c r="W5720"/>
  <c r="W5721"/>
  <c r="W5722"/>
  <c r="W5723"/>
  <c r="W5724"/>
  <c r="W5725"/>
  <c r="W5726"/>
  <c r="W5727"/>
  <c r="W5728"/>
  <c r="W5729"/>
  <c r="W5730"/>
  <c r="W5731"/>
  <c r="W5732"/>
  <c r="W5733"/>
  <c r="W5734"/>
  <c r="W5735"/>
  <c r="W5736"/>
  <c r="W5737"/>
  <c r="W5738"/>
  <c r="W5739"/>
  <c r="W5740"/>
  <c r="W5741"/>
  <c r="W5742"/>
  <c r="W5743"/>
  <c r="W5744"/>
  <c r="W5745"/>
  <c r="W5746"/>
  <c r="W5747"/>
  <c r="W5748"/>
  <c r="W5749"/>
  <c r="W5750"/>
  <c r="W5751"/>
  <c r="W5752"/>
  <c r="W5753"/>
  <c r="W5754"/>
  <c r="W5755"/>
  <c r="W5756"/>
  <c r="W5757"/>
  <c r="W5758"/>
  <c r="W5759"/>
  <c r="W5760"/>
  <c r="W5761"/>
  <c r="W5762"/>
  <c r="W5763"/>
  <c r="W5764"/>
  <c r="W5765"/>
  <c r="W5766"/>
  <c r="W5767"/>
  <c r="W5768"/>
  <c r="W5769"/>
  <c r="W5770"/>
  <c r="W5771"/>
  <c r="W5772"/>
  <c r="W5773"/>
  <c r="W5774"/>
  <c r="W5775"/>
  <c r="W5776"/>
  <c r="W5777"/>
  <c r="W5778"/>
  <c r="W5779"/>
  <c r="W5780"/>
  <c r="W5781"/>
  <c r="W5782"/>
  <c r="W5783"/>
  <c r="W5784"/>
  <c r="W5785"/>
  <c r="W5786"/>
  <c r="W5787"/>
  <c r="W5788"/>
  <c r="W5789"/>
  <c r="W5790"/>
  <c r="W5791"/>
  <c r="W5792"/>
  <c r="W5793"/>
  <c r="W5794"/>
  <c r="W5795"/>
  <c r="W5796"/>
  <c r="W5797"/>
  <c r="W5798"/>
  <c r="W5799"/>
  <c r="W5800"/>
  <c r="W5801"/>
  <c r="W5802"/>
  <c r="W5803"/>
  <c r="W5804"/>
  <c r="W5805"/>
  <c r="W5806"/>
  <c r="W5807"/>
  <c r="W5808"/>
  <c r="W5809"/>
  <c r="W5810"/>
  <c r="W5811"/>
  <c r="W5812"/>
  <c r="W5813"/>
  <c r="W5814"/>
  <c r="W5815"/>
  <c r="W5816"/>
  <c r="W5817"/>
  <c r="W5818"/>
  <c r="W5819"/>
  <c r="W5820"/>
  <c r="W5821"/>
  <c r="W5822"/>
  <c r="W5823"/>
  <c r="W5824"/>
  <c r="W5825"/>
  <c r="W5826"/>
  <c r="W5827"/>
  <c r="W5828"/>
  <c r="W5829"/>
  <c r="W5830"/>
  <c r="W5831"/>
  <c r="W5832"/>
  <c r="W5833"/>
  <c r="W5834"/>
  <c r="W5835"/>
  <c r="W5836"/>
  <c r="W5837"/>
  <c r="W5838"/>
  <c r="W5839"/>
  <c r="W5840"/>
  <c r="W5841"/>
  <c r="W5842"/>
  <c r="W5843"/>
  <c r="W5844"/>
  <c r="W5845"/>
  <c r="W5846"/>
  <c r="W5847"/>
  <c r="W5848"/>
  <c r="W5849"/>
  <c r="W5850"/>
  <c r="W5851"/>
  <c r="W5852"/>
  <c r="W5853"/>
  <c r="W5854"/>
  <c r="W5855"/>
  <c r="W5856"/>
  <c r="W5857"/>
  <c r="W5858"/>
  <c r="W5859"/>
  <c r="W5860"/>
  <c r="W5861"/>
  <c r="W5862"/>
  <c r="W5863"/>
  <c r="W5864"/>
  <c r="W5865"/>
  <c r="W5866"/>
  <c r="W5867"/>
  <c r="W5868"/>
  <c r="W5869"/>
  <c r="W5870"/>
  <c r="W5871"/>
  <c r="W5872"/>
  <c r="W5873"/>
  <c r="W5874"/>
  <c r="W5875"/>
  <c r="W5876"/>
  <c r="W5877"/>
  <c r="W5878"/>
  <c r="W5879"/>
  <c r="W5880"/>
  <c r="W5881"/>
  <c r="W5882"/>
  <c r="W5883"/>
  <c r="W5884"/>
  <c r="W5885"/>
  <c r="W5886"/>
  <c r="W5887"/>
  <c r="W5888"/>
  <c r="W5889"/>
  <c r="W5890"/>
  <c r="W5891"/>
  <c r="W5892"/>
  <c r="W5893"/>
  <c r="W5894"/>
  <c r="W5895"/>
  <c r="W5896"/>
  <c r="W5897"/>
  <c r="W5898"/>
  <c r="W5899"/>
  <c r="W5900"/>
  <c r="W5901"/>
  <c r="W5902"/>
  <c r="W5903"/>
  <c r="W5904"/>
  <c r="W5905"/>
  <c r="W5906"/>
  <c r="W5907"/>
  <c r="W5908"/>
  <c r="W5909"/>
  <c r="W5910"/>
  <c r="W5911"/>
  <c r="W5912"/>
  <c r="W5913"/>
  <c r="W5914"/>
  <c r="W5915"/>
  <c r="W5916"/>
  <c r="W5917"/>
  <c r="W5918"/>
  <c r="W5919"/>
  <c r="W5920"/>
  <c r="W5921"/>
  <c r="W5922"/>
  <c r="W5923"/>
  <c r="W5924"/>
  <c r="W5925"/>
  <c r="W5926"/>
  <c r="W5927"/>
  <c r="W5928"/>
  <c r="W5929"/>
  <c r="W5930"/>
  <c r="W5931"/>
  <c r="W5932"/>
  <c r="W5933"/>
  <c r="W5934"/>
  <c r="W5935"/>
  <c r="W5936"/>
  <c r="W5937"/>
  <c r="W5938"/>
  <c r="W5939"/>
  <c r="W5940"/>
  <c r="W5941"/>
  <c r="W5942"/>
  <c r="W5943"/>
  <c r="W5944"/>
  <c r="W5945"/>
  <c r="W5946"/>
  <c r="W5947"/>
  <c r="W5948"/>
  <c r="W5949"/>
  <c r="W5950"/>
  <c r="W5951"/>
  <c r="W5952"/>
  <c r="W5953"/>
  <c r="W5954"/>
  <c r="W5955"/>
  <c r="W5956"/>
  <c r="W5957"/>
  <c r="W5958"/>
  <c r="W5959"/>
  <c r="W5960"/>
  <c r="W5961"/>
  <c r="W5962"/>
  <c r="W5963"/>
  <c r="W5964"/>
  <c r="W5965"/>
  <c r="W5966"/>
  <c r="W5967"/>
  <c r="W5968"/>
  <c r="W5969"/>
  <c r="W5970"/>
  <c r="W5971"/>
  <c r="W5972"/>
  <c r="W5973"/>
  <c r="W5974"/>
  <c r="W5975"/>
  <c r="W5976"/>
  <c r="W5977"/>
  <c r="W5978"/>
  <c r="W5979"/>
  <c r="W5980"/>
  <c r="W5981"/>
  <c r="W5982"/>
  <c r="W5983"/>
  <c r="W5984"/>
  <c r="W5985"/>
  <c r="W5986"/>
  <c r="W5987"/>
  <c r="W5988"/>
  <c r="W5989"/>
  <c r="W5990"/>
  <c r="W5991"/>
  <c r="W5992"/>
  <c r="W5993"/>
  <c r="W5994"/>
  <c r="W5995"/>
  <c r="W5996"/>
  <c r="W5997"/>
  <c r="W5998"/>
  <c r="W5999"/>
  <c r="W6000"/>
  <c r="W6001"/>
  <c r="W6002"/>
  <c r="W6003"/>
  <c r="W6004"/>
  <c r="W6005"/>
  <c r="W6006"/>
  <c r="W6007"/>
  <c r="W6008"/>
  <c r="W6009"/>
  <c r="W6010"/>
  <c r="W6011"/>
  <c r="W6012"/>
  <c r="W6013"/>
  <c r="W6014"/>
  <c r="W6015"/>
  <c r="W6016"/>
  <c r="W6017"/>
  <c r="W6018"/>
  <c r="W6019"/>
  <c r="W6020"/>
  <c r="W6021"/>
  <c r="W6022"/>
  <c r="W6023"/>
  <c r="W6024"/>
  <c r="W6025"/>
  <c r="W6026"/>
  <c r="W6027"/>
  <c r="W6028"/>
  <c r="W6029"/>
  <c r="W6030"/>
  <c r="W6031"/>
  <c r="W6032"/>
  <c r="W6033"/>
  <c r="W6034"/>
  <c r="W6035"/>
  <c r="W6036"/>
  <c r="W6037"/>
  <c r="W6038"/>
  <c r="W6039"/>
  <c r="W6040"/>
  <c r="W6041"/>
  <c r="W6042"/>
  <c r="W6043"/>
  <c r="W6044"/>
  <c r="W6045"/>
  <c r="W6046"/>
  <c r="W6047"/>
  <c r="W6048"/>
  <c r="W6049"/>
  <c r="W6050"/>
  <c r="W6051"/>
  <c r="W6052"/>
  <c r="W6053"/>
  <c r="W6054"/>
  <c r="W6055"/>
  <c r="W6056"/>
  <c r="W6057"/>
  <c r="W6058"/>
  <c r="W6059"/>
  <c r="W6060"/>
  <c r="W6061"/>
  <c r="W6062"/>
  <c r="W6063"/>
  <c r="W6064"/>
  <c r="W6065"/>
  <c r="W6066"/>
  <c r="W6067"/>
  <c r="W6068"/>
  <c r="W6069"/>
  <c r="W6070"/>
  <c r="W6071"/>
  <c r="W6072"/>
  <c r="W6073"/>
  <c r="W6074"/>
  <c r="W6075"/>
  <c r="W6076"/>
  <c r="W6077"/>
  <c r="W6078"/>
  <c r="W6079"/>
  <c r="W6080"/>
  <c r="W6081"/>
  <c r="W6082"/>
  <c r="W6083"/>
  <c r="W6084"/>
  <c r="W6085"/>
  <c r="W6086"/>
  <c r="W6087"/>
  <c r="W6088"/>
  <c r="W6089"/>
  <c r="W6090"/>
  <c r="W6091"/>
  <c r="W6092"/>
  <c r="W6093"/>
  <c r="W6094"/>
  <c r="W6095"/>
  <c r="W6096"/>
  <c r="W6097"/>
  <c r="W6098"/>
  <c r="W6099"/>
  <c r="W6100"/>
  <c r="W6101"/>
  <c r="W6102"/>
  <c r="W6103"/>
  <c r="W6104"/>
  <c r="W6105"/>
  <c r="W6106"/>
  <c r="W6107"/>
  <c r="W6108"/>
  <c r="W6109"/>
  <c r="W6110"/>
  <c r="W6111"/>
  <c r="W6112"/>
  <c r="W6113"/>
  <c r="W6114"/>
  <c r="W6115"/>
  <c r="W6116"/>
  <c r="W6117"/>
  <c r="W6118"/>
  <c r="W6119"/>
  <c r="W6120"/>
  <c r="W6121"/>
  <c r="W6122"/>
  <c r="W6123"/>
  <c r="W6124"/>
  <c r="W6125"/>
  <c r="W6126"/>
  <c r="W6127"/>
  <c r="W6128"/>
  <c r="W6129"/>
  <c r="W6130"/>
  <c r="W6131"/>
  <c r="W6132"/>
  <c r="W6133"/>
  <c r="W6134"/>
  <c r="W6135"/>
  <c r="W6136"/>
  <c r="W6137"/>
  <c r="W6138"/>
  <c r="W6139"/>
  <c r="W6140"/>
  <c r="W6141"/>
  <c r="W6142"/>
  <c r="W6143"/>
  <c r="W6144"/>
  <c r="W6145"/>
  <c r="W6146"/>
  <c r="W6147"/>
  <c r="W6148"/>
  <c r="W6149"/>
  <c r="W6150"/>
  <c r="W6151"/>
  <c r="W6152"/>
  <c r="W6153"/>
  <c r="W6154"/>
  <c r="W6155"/>
  <c r="W6156"/>
  <c r="W6157"/>
  <c r="W6158"/>
  <c r="W6159"/>
  <c r="W6160"/>
  <c r="W6161"/>
  <c r="W6162"/>
  <c r="W6163"/>
  <c r="W6164"/>
  <c r="W6165"/>
  <c r="W6166"/>
  <c r="W6167"/>
  <c r="W6168"/>
  <c r="W6169"/>
  <c r="W6170"/>
  <c r="W6171"/>
  <c r="W6172"/>
  <c r="W6173"/>
  <c r="W6174"/>
  <c r="W6175"/>
  <c r="W6176"/>
  <c r="W6177"/>
  <c r="W6178"/>
  <c r="W6179"/>
  <c r="W6180"/>
  <c r="W6181"/>
  <c r="W6182"/>
  <c r="W6183"/>
  <c r="W6184"/>
  <c r="W6185"/>
  <c r="W6186"/>
  <c r="W6187"/>
  <c r="W6188"/>
  <c r="W6189"/>
  <c r="W6190"/>
  <c r="W6191"/>
  <c r="W6192"/>
  <c r="W6193"/>
  <c r="W6194"/>
  <c r="W6195"/>
  <c r="W6196"/>
  <c r="W6197"/>
  <c r="W6198"/>
  <c r="W6199"/>
  <c r="W6200"/>
  <c r="W6201"/>
  <c r="W6202"/>
  <c r="W6203"/>
  <c r="W6204"/>
  <c r="W6205"/>
  <c r="W6206"/>
  <c r="W6207"/>
  <c r="W6208"/>
  <c r="W6209"/>
  <c r="W6210"/>
  <c r="W6211"/>
  <c r="W6212"/>
  <c r="W6213"/>
  <c r="W6214"/>
  <c r="W6215"/>
  <c r="W6216"/>
  <c r="W6217"/>
  <c r="W6218"/>
  <c r="W6219"/>
  <c r="W6220"/>
  <c r="W6221"/>
  <c r="W6222"/>
  <c r="W6223"/>
  <c r="W6224"/>
  <c r="W6225"/>
  <c r="W6226"/>
  <c r="W6227"/>
  <c r="W6228"/>
  <c r="W6229"/>
  <c r="W6230"/>
  <c r="W6231"/>
  <c r="W6232"/>
  <c r="W6233"/>
  <c r="W6234"/>
  <c r="W6235"/>
  <c r="W6236"/>
  <c r="W6237"/>
  <c r="W6238"/>
  <c r="W6239"/>
  <c r="W6240"/>
  <c r="W6241"/>
  <c r="W6242"/>
  <c r="W6243"/>
  <c r="W6244"/>
  <c r="W6245"/>
  <c r="W6246"/>
  <c r="W6247"/>
  <c r="W6248"/>
  <c r="W6249"/>
  <c r="W6250"/>
  <c r="W6251"/>
  <c r="W6252"/>
  <c r="W6253"/>
  <c r="W6254"/>
  <c r="W6255"/>
  <c r="W6256"/>
  <c r="W6257"/>
  <c r="W6258"/>
  <c r="W6259"/>
  <c r="W6260"/>
  <c r="W6261"/>
  <c r="W6262"/>
  <c r="W6263"/>
  <c r="W6264"/>
  <c r="W6265"/>
  <c r="W6266"/>
  <c r="W6267"/>
  <c r="W6268"/>
  <c r="W6269"/>
  <c r="W6270"/>
  <c r="W6271"/>
  <c r="W6272"/>
  <c r="W6273"/>
  <c r="W6274"/>
  <c r="W6275"/>
  <c r="W6276"/>
  <c r="W6277"/>
  <c r="W6278"/>
  <c r="W6279"/>
  <c r="W6280"/>
  <c r="W6281"/>
  <c r="W6282"/>
  <c r="W6283"/>
  <c r="W6284"/>
  <c r="W6285"/>
  <c r="W6286"/>
  <c r="W6287"/>
  <c r="W6288"/>
  <c r="W6289"/>
  <c r="W6290"/>
  <c r="W6291"/>
  <c r="W6292"/>
  <c r="W6293"/>
  <c r="W6294"/>
  <c r="W6295"/>
  <c r="W6296"/>
  <c r="W6297"/>
  <c r="W6298"/>
  <c r="W6299"/>
  <c r="W6300"/>
  <c r="W6301"/>
  <c r="W6302"/>
  <c r="W6303"/>
  <c r="W6304"/>
  <c r="W6305"/>
  <c r="W6306"/>
  <c r="W6307"/>
  <c r="W6308"/>
  <c r="W6309"/>
  <c r="W6310"/>
  <c r="W6311"/>
  <c r="W6312"/>
  <c r="W6313"/>
  <c r="W6314"/>
  <c r="W6315"/>
  <c r="W6316"/>
  <c r="W6317"/>
  <c r="W6318"/>
  <c r="W6319"/>
  <c r="W6320"/>
  <c r="W6321"/>
  <c r="W6322"/>
  <c r="W6323"/>
  <c r="W6324"/>
  <c r="W6325"/>
  <c r="W6326"/>
  <c r="W6327"/>
  <c r="W6328"/>
  <c r="W6329"/>
  <c r="W6330"/>
  <c r="W6331"/>
  <c r="W6332"/>
  <c r="W6333"/>
  <c r="W6334"/>
  <c r="W6335"/>
  <c r="W6336"/>
  <c r="W6337"/>
  <c r="W6338"/>
  <c r="W6339"/>
  <c r="W6340"/>
  <c r="W6341"/>
  <c r="W6342"/>
  <c r="W6343"/>
  <c r="W6344"/>
  <c r="W6345"/>
  <c r="W6346"/>
  <c r="W6347"/>
  <c r="W6348"/>
  <c r="W6349"/>
  <c r="W6350"/>
  <c r="W6351"/>
  <c r="W6352"/>
  <c r="W6353"/>
  <c r="W6354"/>
  <c r="W6355"/>
  <c r="W6356"/>
  <c r="W6357"/>
  <c r="W6358"/>
  <c r="W6359"/>
  <c r="W6360"/>
  <c r="W6361"/>
  <c r="W6362"/>
  <c r="W6363"/>
  <c r="W6364"/>
  <c r="W6365"/>
  <c r="W6366"/>
  <c r="W6367"/>
  <c r="W6368"/>
  <c r="W6369"/>
  <c r="W6370"/>
  <c r="W6371"/>
  <c r="W6372"/>
  <c r="W6373"/>
  <c r="W6374"/>
  <c r="W6375"/>
  <c r="W6376"/>
  <c r="W6377"/>
  <c r="W6378"/>
  <c r="W6379"/>
  <c r="W6380"/>
  <c r="W6381"/>
  <c r="W6382"/>
  <c r="W6383"/>
  <c r="W6384"/>
  <c r="W6385"/>
  <c r="W6386"/>
  <c r="W6387"/>
  <c r="W6388"/>
  <c r="W6389"/>
  <c r="W6390"/>
  <c r="W6391"/>
  <c r="W6392"/>
  <c r="W6393"/>
  <c r="W6394"/>
  <c r="W6395"/>
  <c r="W6396"/>
  <c r="W6397"/>
  <c r="W6398"/>
  <c r="W6399"/>
  <c r="W6400"/>
  <c r="W6401"/>
  <c r="W6402"/>
  <c r="W6403"/>
  <c r="W6404"/>
  <c r="W6405"/>
  <c r="W6406"/>
  <c r="W6407"/>
  <c r="W6408"/>
  <c r="W6409"/>
  <c r="W6410"/>
  <c r="W6411"/>
  <c r="W6412"/>
  <c r="W6413"/>
  <c r="W6414"/>
  <c r="W6415"/>
  <c r="W6416"/>
  <c r="W6417"/>
  <c r="W6418"/>
  <c r="W6419"/>
  <c r="W6420"/>
  <c r="W6421"/>
  <c r="W6422"/>
  <c r="W6423"/>
  <c r="W6424"/>
  <c r="W6425"/>
  <c r="W6426"/>
  <c r="W6427"/>
  <c r="W6428"/>
  <c r="W6429"/>
  <c r="W6430"/>
  <c r="W6431"/>
  <c r="W6432"/>
  <c r="W6433"/>
  <c r="W6434"/>
  <c r="W6435"/>
  <c r="W6436"/>
  <c r="W6437"/>
  <c r="W6438"/>
  <c r="W6439"/>
  <c r="W6440"/>
  <c r="W6441"/>
  <c r="W6442"/>
  <c r="W6443"/>
  <c r="W6444"/>
  <c r="W6445"/>
  <c r="W6446"/>
  <c r="W6447"/>
  <c r="W6448"/>
  <c r="W6449"/>
  <c r="W6450"/>
  <c r="W6451"/>
  <c r="W6452"/>
  <c r="W6453"/>
  <c r="W6454"/>
  <c r="W6455"/>
  <c r="W6456"/>
  <c r="W6457"/>
  <c r="W6458"/>
  <c r="W6459"/>
  <c r="W6460"/>
  <c r="W6461"/>
  <c r="W6462"/>
  <c r="W6463"/>
  <c r="W6464"/>
  <c r="W6465"/>
  <c r="W6466"/>
  <c r="W6467"/>
  <c r="W6468"/>
  <c r="W6469"/>
  <c r="W6470"/>
  <c r="W6471"/>
  <c r="W6472"/>
  <c r="W6473"/>
  <c r="W6474"/>
  <c r="W6475"/>
  <c r="W6476"/>
  <c r="W6477"/>
  <c r="W6478"/>
  <c r="W6479"/>
  <c r="W6480"/>
  <c r="W6481"/>
  <c r="W6482"/>
  <c r="W6483"/>
  <c r="W6484"/>
  <c r="W6485"/>
  <c r="W6486"/>
  <c r="W6487"/>
  <c r="W6488"/>
  <c r="W6489"/>
  <c r="W6490"/>
  <c r="W6491"/>
  <c r="W6492"/>
  <c r="W6493"/>
  <c r="W6494"/>
  <c r="W6495"/>
  <c r="W6496"/>
  <c r="W6497"/>
  <c r="W6498"/>
  <c r="W6499"/>
  <c r="W6500"/>
  <c r="W6501"/>
  <c r="W6502"/>
  <c r="W6503"/>
  <c r="W6504"/>
  <c r="W6505"/>
  <c r="W6506"/>
  <c r="W6507"/>
  <c r="W6508"/>
  <c r="W6509"/>
  <c r="W6510"/>
  <c r="W6511"/>
  <c r="W6512"/>
  <c r="W6513"/>
  <c r="W6514"/>
  <c r="W6515"/>
  <c r="W6516"/>
  <c r="W6517"/>
  <c r="W6518"/>
  <c r="W6519"/>
  <c r="W6520"/>
  <c r="W6521"/>
  <c r="W6522"/>
  <c r="W6523"/>
  <c r="W6524"/>
  <c r="W6525"/>
  <c r="W6526"/>
  <c r="W6527"/>
  <c r="W6528"/>
  <c r="W6529"/>
  <c r="W6530"/>
  <c r="W6531"/>
  <c r="W6532"/>
  <c r="W6533"/>
  <c r="W6534"/>
  <c r="W6535"/>
  <c r="W6536"/>
  <c r="W6537"/>
  <c r="W6538"/>
  <c r="W6539"/>
  <c r="W6540"/>
  <c r="W6541"/>
  <c r="W6542"/>
  <c r="W6543"/>
  <c r="W6544"/>
  <c r="W6545"/>
  <c r="W6546"/>
  <c r="W6547"/>
  <c r="W6548"/>
  <c r="W6549"/>
  <c r="W6550"/>
  <c r="W6551"/>
  <c r="W6552"/>
  <c r="W6553"/>
  <c r="W6554"/>
  <c r="W6555"/>
  <c r="W6556"/>
  <c r="W6557"/>
  <c r="W6558"/>
  <c r="W6559"/>
  <c r="W6560"/>
  <c r="W6561"/>
  <c r="W6562"/>
  <c r="W6563"/>
  <c r="W6564"/>
  <c r="W6565"/>
  <c r="W6566"/>
  <c r="W6567"/>
  <c r="W6568"/>
  <c r="W6569"/>
  <c r="W6570"/>
  <c r="W6571"/>
  <c r="W6572"/>
  <c r="W6573"/>
  <c r="W6574"/>
  <c r="W6575"/>
  <c r="W6576"/>
  <c r="W6577"/>
  <c r="W6578"/>
  <c r="W6579"/>
  <c r="W6580"/>
  <c r="W6581"/>
  <c r="W6582"/>
  <c r="W6583"/>
  <c r="W6584"/>
  <c r="W6585"/>
  <c r="W6586"/>
  <c r="W6587"/>
  <c r="W6588"/>
  <c r="W6589"/>
  <c r="W6590"/>
  <c r="W6591"/>
  <c r="W6592"/>
  <c r="W6593"/>
  <c r="W6594"/>
  <c r="W6595"/>
  <c r="W6596"/>
  <c r="W6597"/>
  <c r="W6598"/>
  <c r="W6599"/>
  <c r="W6600"/>
  <c r="W6601"/>
  <c r="W6602"/>
  <c r="W6603"/>
  <c r="W6604"/>
  <c r="W6605"/>
  <c r="W6606"/>
  <c r="W6607"/>
  <c r="W6608"/>
  <c r="W6609"/>
  <c r="W6610"/>
  <c r="W6611"/>
  <c r="W6612"/>
  <c r="W6613"/>
  <c r="W6614"/>
  <c r="W6615"/>
  <c r="W6616"/>
  <c r="W6617"/>
  <c r="W6618"/>
  <c r="W6619"/>
  <c r="W6620"/>
  <c r="W6621"/>
  <c r="W6622"/>
  <c r="W6623"/>
  <c r="W6624"/>
  <c r="W6625"/>
  <c r="W6626"/>
  <c r="C11" i="27"/>
  <c r="V6552" i="8" l="1"/>
  <c r="V6296"/>
  <c r="V6248"/>
  <c r="V6136"/>
  <c r="V5848"/>
  <c r="M6520"/>
  <c r="V6488"/>
  <c r="V6278"/>
  <c r="V6232"/>
  <c r="V6168"/>
  <c r="V6088"/>
  <c r="V6024"/>
  <c r="V5976"/>
  <c r="V5880"/>
  <c r="V5720"/>
  <c r="V5480"/>
  <c r="V5446"/>
  <c r="V5224"/>
  <c r="V4968"/>
  <c r="V4712"/>
  <c r="V4456"/>
  <c r="V4200"/>
  <c r="V3944"/>
  <c r="V3688"/>
  <c r="V3432"/>
  <c r="V3176"/>
  <c r="V2920"/>
  <c r="M6536"/>
  <c r="M6136"/>
  <c r="M6552"/>
  <c r="V6584"/>
  <c r="V6184"/>
  <c r="V5688"/>
  <c r="V5432"/>
  <c r="V5176"/>
  <c r="V4920"/>
  <c r="V4664"/>
  <c r="V4408"/>
  <c r="M6248"/>
  <c r="M5848"/>
  <c r="M6296"/>
  <c r="V6408"/>
  <c r="V6200"/>
  <c r="V5608"/>
  <c r="V5352"/>
  <c r="V5096"/>
  <c r="V4840"/>
  <c r="V4584"/>
  <c r="V4328"/>
  <c r="M5320"/>
  <c r="M5992"/>
  <c r="V6600"/>
  <c r="V6568"/>
  <c r="V5944"/>
  <c r="V5576"/>
  <c r="V5064"/>
  <c r="V4808"/>
  <c r="V4552"/>
  <c r="V4296"/>
  <c r="V4040"/>
  <c r="M6392"/>
  <c r="V5366"/>
  <c r="V5800"/>
  <c r="V5560"/>
  <c r="V6472"/>
  <c r="V6040"/>
  <c r="V5768"/>
  <c r="V5528"/>
  <c r="V5272"/>
  <c r="V5016"/>
  <c r="V4760"/>
  <c r="V4504"/>
  <c r="V4248"/>
  <c r="V6216"/>
  <c r="V5752"/>
  <c r="V5512"/>
  <c r="V5256"/>
  <c r="V5000"/>
  <c r="V6592"/>
  <c r="V6570"/>
  <c r="V6510"/>
  <c r="V6416"/>
  <c r="V6336"/>
  <c r="V6075"/>
  <c r="V5915"/>
  <c r="V5835"/>
  <c r="V5691"/>
  <c r="V6611"/>
  <c r="V6579"/>
  <c r="V6531"/>
  <c r="V6515"/>
  <c r="V6499"/>
  <c r="V6483"/>
  <c r="V6451"/>
  <c r="V6435"/>
  <c r="V6355"/>
  <c r="V6339"/>
  <c r="V6323"/>
  <c r="V6259"/>
  <c r="V6243"/>
  <c r="V6227"/>
  <c r="V6211"/>
  <c r="V6195"/>
  <c r="V6179"/>
  <c r="V6163"/>
  <c r="V6147"/>
  <c r="V6131"/>
  <c r="V6083"/>
  <c r="V6067"/>
  <c r="V6035"/>
  <c r="V5987"/>
  <c r="M5843"/>
  <c r="M5715"/>
  <c r="M5587"/>
  <c r="M5459"/>
  <c r="M5331"/>
  <c r="M5203"/>
  <c r="M5075"/>
  <c r="M4947"/>
  <c r="M4819"/>
  <c r="M4691"/>
  <c r="M4563"/>
  <c r="M3635"/>
  <c r="M3555"/>
  <c r="M6611"/>
  <c r="M6595"/>
  <c r="M6579"/>
  <c r="M6563"/>
  <c r="M6547"/>
  <c r="M6531"/>
  <c r="M6515"/>
  <c r="M6499"/>
  <c r="M6483"/>
  <c r="M6467"/>
  <c r="M6451"/>
  <c r="M6435"/>
  <c r="M6419"/>
  <c r="M6403"/>
  <c r="M6387"/>
  <c r="M6371"/>
  <c r="M6355"/>
  <c r="M6339"/>
  <c r="M6323"/>
  <c r="M6307"/>
  <c r="M6291"/>
  <c r="M6275"/>
  <c r="M6259"/>
  <c r="M6243"/>
  <c r="M6227"/>
  <c r="M6211"/>
  <c r="M6195"/>
  <c r="M6179"/>
  <c r="M6163"/>
  <c r="M6147"/>
  <c r="M6131"/>
  <c r="M6115"/>
  <c r="M6099"/>
  <c r="M6083"/>
  <c r="M6067"/>
  <c r="M6051"/>
  <c r="M6035"/>
  <c r="M6019"/>
  <c r="M6003"/>
  <c r="M5987"/>
  <c r="M2835"/>
  <c r="M2691"/>
  <c r="V5971"/>
  <c r="V5955"/>
  <c r="V5939"/>
  <c r="V5923"/>
  <c r="V5907"/>
  <c r="V5891"/>
  <c r="V5875"/>
  <c r="V5859"/>
  <c r="V5827"/>
  <c r="V5811"/>
  <c r="V5795"/>
  <c r="V5779"/>
  <c r="V5763"/>
  <c r="V5747"/>
  <c r="V5731"/>
  <c r="V5699"/>
  <c r="V5683"/>
  <c r="V5667"/>
  <c r="V5651"/>
  <c r="V5635"/>
  <c r="V5619"/>
  <c r="V5603"/>
  <c r="V5571"/>
  <c r="V5555"/>
  <c r="V5539"/>
  <c r="V5523"/>
  <c r="V5507"/>
  <c r="V5491"/>
  <c r="V5475"/>
  <c r="V5443"/>
  <c r="V5427"/>
  <c r="V5411"/>
  <c r="V5395"/>
  <c r="V5379"/>
  <c r="V5363"/>
  <c r="V5347"/>
  <c r="V5315"/>
  <c r="V5299"/>
  <c r="V5283"/>
  <c r="V5267"/>
  <c r="V5251"/>
  <c r="V5235"/>
  <c r="V5219"/>
  <c r="V5187"/>
  <c r="V5171"/>
  <c r="V5155"/>
  <c r="V5139"/>
  <c r="V5123"/>
  <c r="V5107"/>
  <c r="V5091"/>
  <c r="V5059"/>
  <c r="V5043"/>
  <c r="V5027"/>
  <c r="V5011"/>
  <c r="V4995"/>
  <c r="V4979"/>
  <c r="V4963"/>
  <c r="V4931"/>
  <c r="V4915"/>
  <c r="V4899"/>
  <c r="V4883"/>
  <c r="V4867"/>
  <c r="V4851"/>
  <c r="V4835"/>
  <c r="V4803"/>
  <c r="V4787"/>
  <c r="V4771"/>
  <c r="V4755"/>
  <c r="V4739"/>
  <c r="V4723"/>
  <c r="V4707"/>
  <c r="V4675"/>
  <c r="V4659"/>
  <c r="V4643"/>
  <c r="V4627"/>
  <c r="V4611"/>
  <c r="V4595"/>
  <c r="V4579"/>
  <c r="V4547"/>
  <c r="V4531"/>
  <c r="V4515"/>
  <c r="V4499"/>
  <c r="V4483"/>
  <c r="V4467"/>
  <c r="V4451"/>
  <c r="V4435"/>
  <c r="V4419"/>
  <c r="V4403"/>
  <c r="V4387"/>
  <c r="V4371"/>
  <c r="V4355"/>
  <c r="V4339"/>
  <c r="V4323"/>
  <c r="V4307"/>
  <c r="V4291"/>
  <c r="V4275"/>
  <c r="V4259"/>
  <c r="V4243"/>
  <c r="V4227"/>
  <c r="V4211"/>
  <c r="V4195"/>
  <c r="V4179"/>
  <c r="V4163"/>
  <c r="V4147"/>
  <c r="V4131"/>
  <c r="V4115"/>
  <c r="V4099"/>
  <c r="V4083"/>
  <c r="V4067"/>
  <c r="V4051"/>
  <c r="V4035"/>
  <c r="V4019"/>
  <c r="V4003"/>
  <c r="V3987"/>
  <c r="V3971"/>
  <c r="V3955"/>
  <c r="V3939"/>
  <c r="V3923"/>
  <c r="V3907"/>
  <c r="V3891"/>
  <c r="V3875"/>
  <c r="V3859"/>
  <c r="V3843"/>
  <c r="V3827"/>
  <c r="V3811"/>
  <c r="V3795"/>
  <c r="V3779"/>
  <c r="V3763"/>
  <c r="V3747"/>
  <c r="V3731"/>
  <c r="V3715"/>
  <c r="V3699"/>
  <c r="V3683"/>
  <c r="V3667"/>
  <c r="V3651"/>
  <c r="V3619"/>
  <c r="V3603"/>
  <c r="V3587"/>
  <c r="V3571"/>
  <c r="V3539"/>
  <c r="V3523"/>
  <c r="V3507"/>
  <c r="V3491"/>
  <c r="V3475"/>
  <c r="V3459"/>
  <c r="V3443"/>
  <c r="V3427"/>
  <c r="V3411"/>
  <c r="V3395"/>
  <c r="V3379"/>
  <c r="V3363"/>
  <c r="V3347"/>
  <c r="V3331"/>
  <c r="V3315"/>
  <c r="V3299"/>
  <c r="V3283"/>
  <c r="V3267"/>
  <c r="V3251"/>
  <c r="V3235"/>
  <c r="V3219"/>
  <c r="V3203"/>
  <c r="V3187"/>
  <c r="V3171"/>
  <c r="V3155"/>
  <c r="V3139"/>
  <c r="V3123"/>
  <c r="V3107"/>
  <c r="V3091"/>
  <c r="V3075"/>
  <c r="V3059"/>
  <c r="V3043"/>
  <c r="V3027"/>
  <c r="V3011"/>
  <c r="V2995"/>
  <c r="V2979"/>
  <c r="V2963"/>
  <c r="V2947"/>
  <c r="V2931"/>
  <c r="V2915"/>
  <c r="V2899"/>
  <c r="V2883"/>
  <c r="V2867"/>
  <c r="V2851"/>
  <c r="V2819"/>
  <c r="V2803"/>
  <c r="V2787"/>
  <c r="V2771"/>
  <c r="V2755"/>
  <c r="V2739"/>
  <c r="V2723"/>
  <c r="V2707"/>
  <c r="V2675"/>
  <c r="V2659"/>
  <c r="V2643"/>
  <c r="V2627"/>
  <c r="V2611"/>
  <c r="V2595"/>
  <c r="V2579"/>
  <c r="V2563"/>
  <c r="V2547"/>
  <c r="V2531"/>
  <c r="V2515"/>
  <c r="V2499"/>
  <c r="V2483"/>
  <c r="V2467"/>
  <c r="V2451"/>
  <c r="V2435"/>
  <c r="V2419"/>
  <c r="V2403"/>
  <c r="V2387"/>
  <c r="V2371"/>
  <c r="V2355"/>
  <c r="V2339"/>
  <c r="V2323"/>
  <c r="V2307"/>
  <c r="V2291"/>
  <c r="V2275"/>
  <c r="V2259"/>
  <c r="V2243"/>
  <c r="V2227"/>
  <c r="V2211"/>
  <c r="V2195"/>
  <c r="V2179"/>
  <c r="V2163"/>
  <c r="V2147"/>
  <c r="V2131"/>
  <c r="V2115"/>
  <c r="V2099"/>
  <c r="V2083"/>
  <c r="V2067"/>
  <c r="V2051"/>
  <c r="V2035"/>
  <c r="G501" i="22"/>
  <c r="G498"/>
  <c r="G470"/>
  <c r="G451"/>
  <c r="E440"/>
  <c r="G440"/>
  <c r="G439"/>
  <c r="G420"/>
  <c r="Z47" i="20"/>
  <c r="AA47"/>
  <c r="D38" i="18"/>
  <c r="G390" i="22" l="1"/>
  <c r="G389"/>
  <c r="G387"/>
  <c r="G386"/>
  <c r="G370"/>
  <c r="G369"/>
  <c r="G366"/>
  <c r="E370"/>
  <c r="G359"/>
  <c r="G356"/>
  <c r="E360"/>
  <c r="E359"/>
  <c r="E356"/>
  <c r="G349"/>
  <c r="E350"/>
  <c r="E349"/>
  <c r="E348"/>
  <c r="E346"/>
  <c r="G340"/>
  <c r="G336"/>
  <c r="G320"/>
  <c r="E320"/>
  <c r="E319"/>
  <c r="G306"/>
  <c r="E308"/>
  <c r="G300"/>
  <c r="G299"/>
  <c r="G296"/>
  <c r="E300"/>
  <c r="E299"/>
  <c r="E298"/>
  <c r="E296"/>
  <c r="G290"/>
  <c r="E277"/>
  <c r="G259"/>
  <c r="G255"/>
  <c r="E258"/>
  <c r="E257"/>
  <c r="G245"/>
  <c r="E249"/>
  <c r="E245"/>
  <c r="G239"/>
  <c r="G235"/>
  <c r="E238"/>
  <c r="E237"/>
  <c r="E228"/>
  <c r="E227"/>
  <c r="E219"/>
  <c r="E215"/>
  <c r="G208"/>
  <c r="G207"/>
  <c r="E207"/>
  <c r="G198"/>
  <c r="G197"/>
  <c r="E196"/>
  <c r="G186"/>
  <c r="E186"/>
  <c r="G178"/>
  <c r="G176"/>
  <c r="G174"/>
  <c r="E178"/>
  <c r="E176"/>
  <c r="E174"/>
  <c r="G168"/>
  <c r="G158"/>
  <c r="G154"/>
  <c r="E156"/>
  <c r="G148"/>
  <c r="G138"/>
  <c r="G137"/>
  <c r="G134"/>
  <c r="E138"/>
  <c r="G128"/>
  <c r="G127"/>
  <c r="G124"/>
  <c r="E128"/>
  <c r="E127"/>
  <c r="E126"/>
  <c r="E124"/>
  <c r="E117"/>
  <c r="G105"/>
  <c r="E94"/>
  <c r="G87"/>
  <c r="E74"/>
  <c r="G67"/>
  <c r="E67"/>
  <c r="E65"/>
  <c r="E63"/>
  <c r="E56"/>
  <c r="E55"/>
  <c r="E65" i="21"/>
  <c r="E61"/>
  <c r="E53"/>
  <c r="G33"/>
  <c r="E33"/>
  <c r="G24"/>
  <c r="G23"/>
  <c r="E24"/>
  <c r="E23"/>
  <c r="E54" i="22"/>
  <c r="E44"/>
  <c r="G34"/>
  <c r="E34"/>
  <c r="G26"/>
  <c r="C20" i="20" l="1"/>
  <c r="D20"/>
  <c r="D37" i="18"/>
  <c r="G12" i="21"/>
  <c r="E12"/>
  <c r="H22"/>
  <c r="F22"/>
  <c r="H24" i="22"/>
  <c r="H196"/>
  <c r="H287"/>
  <c r="H297"/>
  <c r="H307"/>
  <c r="H399"/>
  <c r="F399"/>
  <c r="F307"/>
  <c r="F297"/>
  <c r="F287"/>
  <c r="F105"/>
  <c r="F24"/>
  <c r="Q18"/>
  <c r="Q17"/>
  <c r="G1" i="28"/>
  <c r="G2" s="1"/>
  <c r="G3" l="1"/>
  <c r="I12" i="21"/>
  <c r="G521" i="22"/>
  <c r="G518"/>
  <c r="G511"/>
  <c r="G508"/>
  <c r="I492"/>
  <c r="G491"/>
  <c r="I490"/>
  <c r="I489"/>
  <c r="G488"/>
  <c r="E493"/>
  <c r="E494" s="1"/>
  <c r="I502"/>
  <c r="G467"/>
  <c r="G469"/>
  <c r="G471"/>
  <c r="G457"/>
  <c r="G459"/>
  <c r="G460"/>
  <c r="G461"/>
  <c r="G441"/>
  <c r="I450"/>
  <c r="I449"/>
  <c r="I448"/>
  <c r="G437"/>
  <c r="G422"/>
  <c r="G421"/>
  <c r="G418"/>
  <c r="G412"/>
  <c r="G411"/>
  <c r="G410"/>
  <c r="G408"/>
  <c r="G398"/>
  <c r="G400"/>
  <c r="G401"/>
  <c r="G402"/>
  <c r="E391"/>
  <c r="E392" s="1"/>
  <c r="I388"/>
  <c r="G330"/>
  <c r="I329"/>
  <c r="I328"/>
  <c r="G327"/>
  <c r="I326"/>
  <c r="I289"/>
  <c r="I288"/>
  <c r="E291"/>
  <c r="G74" i="21"/>
  <c r="G75"/>
  <c r="G71"/>
  <c r="G54"/>
  <c r="E522" i="22"/>
  <c r="E521"/>
  <c r="E518"/>
  <c r="I520"/>
  <c r="I519"/>
  <c r="E511"/>
  <c r="E508"/>
  <c r="I512"/>
  <c r="I510"/>
  <c r="I509"/>
  <c r="E501"/>
  <c r="E498"/>
  <c r="I500"/>
  <c r="I499"/>
  <c r="E482"/>
  <c r="E481"/>
  <c r="E480"/>
  <c r="I479"/>
  <c r="G483"/>
  <c r="G484" s="1"/>
  <c r="E478"/>
  <c r="E470"/>
  <c r="E439"/>
  <c r="E421"/>
  <c r="E401"/>
  <c r="E398"/>
  <c r="E402"/>
  <c r="E293" l="1"/>
  <c r="E292"/>
  <c r="F512"/>
  <c r="H512"/>
  <c r="H520"/>
  <c r="F520"/>
  <c r="H289"/>
  <c r="F289"/>
  <c r="F329"/>
  <c r="H329"/>
  <c r="H450"/>
  <c r="F450"/>
  <c r="H326"/>
  <c r="F326"/>
  <c r="F388"/>
  <c r="H388"/>
  <c r="F492"/>
  <c r="H492"/>
  <c r="F479"/>
  <c r="H479"/>
  <c r="H499"/>
  <c r="F499"/>
  <c r="F509"/>
  <c r="H509"/>
  <c r="H448"/>
  <c r="F448"/>
  <c r="F489"/>
  <c r="H489"/>
  <c r="F500"/>
  <c r="H500"/>
  <c r="F510"/>
  <c r="H510"/>
  <c r="H519"/>
  <c r="F519"/>
  <c r="H288"/>
  <c r="F288"/>
  <c r="F328"/>
  <c r="H328"/>
  <c r="H449"/>
  <c r="F449"/>
  <c r="H502"/>
  <c r="F502"/>
  <c r="H490"/>
  <c r="F490"/>
  <c r="I491"/>
  <c r="F491" s="1"/>
  <c r="I482"/>
  <c r="H482" s="1"/>
  <c r="G513"/>
  <c r="K513" s="1"/>
  <c r="I390"/>
  <c r="F390" s="1"/>
  <c r="I480"/>
  <c r="H480" s="1"/>
  <c r="I389"/>
  <c r="F389" s="1"/>
  <c r="I488"/>
  <c r="F488" s="1"/>
  <c r="G291"/>
  <c r="I387"/>
  <c r="F387" s="1"/>
  <c r="I386"/>
  <c r="F386" s="1"/>
  <c r="I330"/>
  <c r="F330" s="1"/>
  <c r="I481"/>
  <c r="H481" s="1"/>
  <c r="I522"/>
  <c r="H522" s="1"/>
  <c r="G452"/>
  <c r="K452" s="1"/>
  <c r="I518"/>
  <c r="H518" s="1"/>
  <c r="G523"/>
  <c r="G524" s="1"/>
  <c r="E503"/>
  <c r="E483"/>
  <c r="G331"/>
  <c r="G332" s="1"/>
  <c r="I521"/>
  <c r="F521" s="1"/>
  <c r="I511"/>
  <c r="H511" s="1"/>
  <c r="G493"/>
  <c r="G503"/>
  <c r="I501"/>
  <c r="H501" s="1"/>
  <c r="I451"/>
  <c r="F451" s="1"/>
  <c r="I447"/>
  <c r="E452"/>
  <c r="G391"/>
  <c r="E331"/>
  <c r="E332" s="1"/>
  <c r="I327"/>
  <c r="H327" s="1"/>
  <c r="I290"/>
  <c r="F290" s="1"/>
  <c r="I286"/>
  <c r="E523"/>
  <c r="E513"/>
  <c r="I508"/>
  <c r="I498"/>
  <c r="H498" s="1"/>
  <c r="I478"/>
  <c r="F478" s="1"/>
  <c r="I97"/>
  <c r="G96"/>
  <c r="I95"/>
  <c r="E87"/>
  <c r="E83"/>
  <c r="G86"/>
  <c r="I85"/>
  <c r="I84"/>
  <c r="E71" i="21"/>
  <c r="G76"/>
  <c r="I75"/>
  <c r="F75" s="1"/>
  <c r="I74"/>
  <c r="F74" s="1"/>
  <c r="I73"/>
  <c r="I72"/>
  <c r="E54"/>
  <c r="G268" i="22"/>
  <c r="G188"/>
  <c r="G184"/>
  <c r="H105"/>
  <c r="G107"/>
  <c r="E279"/>
  <c r="E275"/>
  <c r="I278"/>
  <c r="I276"/>
  <c r="G280"/>
  <c r="G281" s="1"/>
  <c r="E208"/>
  <c r="F196"/>
  <c r="G177"/>
  <c r="I175"/>
  <c r="E168"/>
  <c r="E164"/>
  <c r="G167"/>
  <c r="I166"/>
  <c r="I165"/>
  <c r="E107"/>
  <c r="G337"/>
  <c r="G310"/>
  <c r="G257"/>
  <c r="G249"/>
  <c r="G247"/>
  <c r="G227"/>
  <c r="G219"/>
  <c r="G215"/>
  <c r="G157"/>
  <c r="G144"/>
  <c r="E144"/>
  <c r="G125"/>
  <c r="G76"/>
  <c r="G55"/>
  <c r="B9" i="26"/>
  <c r="K291" i="22" l="1"/>
  <c r="G292"/>
  <c r="G392"/>
  <c r="H166"/>
  <c r="F166"/>
  <c r="F175"/>
  <c r="H175"/>
  <c r="H278"/>
  <c r="F278"/>
  <c r="F85"/>
  <c r="H85"/>
  <c r="H95"/>
  <c r="F95"/>
  <c r="H286"/>
  <c r="F286"/>
  <c r="H97"/>
  <c r="F97"/>
  <c r="H165"/>
  <c r="F165"/>
  <c r="F276"/>
  <c r="H276"/>
  <c r="F84"/>
  <c r="H84"/>
  <c r="H447"/>
  <c r="F447"/>
  <c r="I513"/>
  <c r="I514" s="1"/>
  <c r="H451"/>
  <c r="H491"/>
  <c r="I391"/>
  <c r="G393" s="1"/>
  <c r="F518"/>
  <c r="K523"/>
  <c r="F498"/>
  <c r="H521"/>
  <c r="H390"/>
  <c r="F511"/>
  <c r="F480"/>
  <c r="H387"/>
  <c r="G514"/>
  <c r="G453"/>
  <c r="H386"/>
  <c r="I277"/>
  <c r="H277" s="1"/>
  <c r="I86"/>
  <c r="F86" s="1"/>
  <c r="F501"/>
  <c r="I177"/>
  <c r="F177" s="1"/>
  <c r="I275"/>
  <c r="H275" s="1"/>
  <c r="F481"/>
  <c r="I331"/>
  <c r="I332" s="1"/>
  <c r="F327"/>
  <c r="I279"/>
  <c r="H279" s="1"/>
  <c r="H389"/>
  <c r="F482"/>
  <c r="H508"/>
  <c r="F508"/>
  <c r="H488"/>
  <c r="I493"/>
  <c r="I494" s="1"/>
  <c r="F522"/>
  <c r="I483"/>
  <c r="I484" s="1"/>
  <c r="H478"/>
  <c r="E98"/>
  <c r="H330"/>
  <c r="I96"/>
  <c r="F96" s="1"/>
  <c r="H290"/>
  <c r="H74" i="21"/>
  <c r="H75"/>
  <c r="I71"/>
  <c r="H71" s="1"/>
  <c r="K76"/>
  <c r="F73"/>
  <c r="H73"/>
  <c r="F72"/>
  <c r="H72"/>
  <c r="I523" i="22"/>
  <c r="I524" s="1"/>
  <c r="J513"/>
  <c r="E514"/>
  <c r="E453"/>
  <c r="K503"/>
  <c r="G504"/>
  <c r="J523"/>
  <c r="E524"/>
  <c r="I452"/>
  <c r="E454" s="1"/>
  <c r="K493"/>
  <c r="G494"/>
  <c r="K331"/>
  <c r="K391"/>
  <c r="J483"/>
  <c r="E484"/>
  <c r="J503"/>
  <c r="E504"/>
  <c r="I503"/>
  <c r="I504" s="1"/>
  <c r="G14"/>
  <c r="I291"/>
  <c r="I292" s="1"/>
  <c r="G77" i="21"/>
  <c r="G88" i="22"/>
  <c r="G89" s="1"/>
  <c r="I87"/>
  <c r="H87" s="1"/>
  <c r="E88"/>
  <c r="E76" i="21"/>
  <c r="I94" i="22"/>
  <c r="H94" s="1"/>
  <c r="G98"/>
  <c r="I93"/>
  <c r="I83"/>
  <c r="H83" s="1"/>
  <c r="G169"/>
  <c r="I178"/>
  <c r="H178" s="1"/>
  <c r="I174"/>
  <c r="F174" s="1"/>
  <c r="I167"/>
  <c r="F167" s="1"/>
  <c r="G179"/>
  <c r="I176"/>
  <c r="F176" s="1"/>
  <c r="I168"/>
  <c r="F168" s="1"/>
  <c r="E280"/>
  <c r="E179"/>
  <c r="E180" s="1"/>
  <c r="E169"/>
  <c r="I164"/>
  <c r="H164" s="1"/>
  <c r="H40" i="18"/>
  <c r="G293" i="22" l="1"/>
  <c r="G99"/>
  <c r="E99"/>
  <c r="G180"/>
  <c r="E393"/>
  <c r="I392"/>
  <c r="F93"/>
  <c r="H93"/>
  <c r="H168"/>
  <c r="E485"/>
  <c r="G515"/>
  <c r="E515"/>
  <c r="J98"/>
  <c r="G485"/>
  <c r="F94"/>
  <c r="I280"/>
  <c r="G282" s="1"/>
  <c r="H167"/>
  <c r="H176"/>
  <c r="F164"/>
  <c r="F178"/>
  <c r="E333"/>
  <c r="F83"/>
  <c r="G495"/>
  <c r="F87"/>
  <c r="F277"/>
  <c r="H174"/>
  <c r="H86"/>
  <c r="H96"/>
  <c r="F279"/>
  <c r="G333"/>
  <c r="E495"/>
  <c r="H177"/>
  <c r="I76" i="21"/>
  <c r="I77" s="1"/>
  <c r="F275" i="22"/>
  <c r="F71" i="21"/>
  <c r="J76"/>
  <c r="G525" i="22"/>
  <c r="E525"/>
  <c r="E505"/>
  <c r="J280"/>
  <c r="E281"/>
  <c r="K179"/>
  <c r="K169"/>
  <c r="G170"/>
  <c r="K88"/>
  <c r="G505"/>
  <c r="J169"/>
  <c r="E170"/>
  <c r="J88"/>
  <c r="E89"/>
  <c r="J179"/>
  <c r="I453"/>
  <c r="G454"/>
  <c r="I88"/>
  <c r="G90" s="1"/>
  <c r="E77" i="21"/>
  <c r="I98" i="22"/>
  <c r="I99" s="1"/>
  <c r="I169"/>
  <c r="I179"/>
  <c r="G181" s="1"/>
  <c r="G100" l="1"/>
  <c r="E100"/>
  <c r="E181"/>
  <c r="I180"/>
  <c r="I281"/>
  <c r="E282"/>
  <c r="E78" i="21"/>
  <c r="G78"/>
  <c r="I89" i="22"/>
  <c r="I170"/>
  <c r="E171"/>
  <c r="E90"/>
  <c r="G171"/>
  <c r="C48" i="27"/>
  <c r="C49"/>
  <c r="C13"/>
  <c r="C26"/>
  <c r="C24"/>
  <c r="C25"/>
  <c r="C30"/>
  <c r="C27"/>
  <c r="C18"/>
  <c r="C19"/>
  <c r="C20"/>
  <c r="C15"/>
  <c r="C14"/>
  <c r="C32"/>
  <c r="C28"/>
  <c r="C29"/>
  <c r="K16" i="18"/>
  <c r="J16"/>
  <c r="K15"/>
  <c r="J15"/>
  <c r="D27" i="17"/>
  <c r="C47" i="27" l="1"/>
  <c r="L15" i="18"/>
  <c r="L16"/>
  <c r="R44" i="17"/>
  <c r="D41"/>
  <c r="X50" i="19"/>
  <c r="L53" i="27"/>
  <c r="E52"/>
  <c r="K51"/>
  <c r="K49"/>
  <c r="K48"/>
  <c r="L47"/>
  <c r="J47"/>
  <c r="K47" s="1"/>
  <c r="K45"/>
  <c r="K43"/>
  <c r="K42"/>
  <c r="K40"/>
  <c r="K39"/>
  <c r="L38"/>
  <c r="J38"/>
  <c r="K38" s="1"/>
  <c r="C38"/>
  <c r="K36"/>
  <c r="K35"/>
  <c r="L34"/>
  <c r="J34"/>
  <c r="K34" s="1"/>
  <c r="L33"/>
  <c r="L31" s="1"/>
  <c r="K33"/>
  <c r="K32"/>
  <c r="J31"/>
  <c r="K31" s="1"/>
  <c r="K30"/>
  <c r="K29"/>
  <c r="K28"/>
  <c r="K27"/>
  <c r="L26"/>
  <c r="L23" s="1"/>
  <c r="K26"/>
  <c r="K25"/>
  <c r="K24"/>
  <c r="J23"/>
  <c r="K23" s="1"/>
  <c r="L21"/>
  <c r="J21"/>
  <c r="K21" s="1"/>
  <c r="K20"/>
  <c r="K19"/>
  <c r="K17"/>
  <c r="L16"/>
  <c r="L22" s="1"/>
  <c r="J16"/>
  <c r="K16" s="1"/>
  <c r="K15"/>
  <c r="K14"/>
  <c r="K13"/>
  <c r="E34" i="21"/>
  <c r="G25"/>
  <c r="G35"/>
  <c r="G45"/>
  <c r="G55"/>
  <c r="G43"/>
  <c r="E43"/>
  <c r="K20" i="19"/>
  <c r="E52"/>
  <c r="J46" i="20"/>
  <c r="J45"/>
  <c r="K40"/>
  <c r="K39"/>
  <c r="J38"/>
  <c r="I38"/>
  <c r="K37"/>
  <c r="K36"/>
  <c r="J35"/>
  <c r="I35"/>
  <c r="K33"/>
  <c r="K32"/>
  <c r="K31"/>
  <c r="K30"/>
  <c r="K29"/>
  <c r="K28"/>
  <c r="J27"/>
  <c r="I27"/>
  <c r="K25"/>
  <c r="J24"/>
  <c r="J23" s="1"/>
  <c r="I23"/>
  <c r="J20"/>
  <c r="J19" s="1"/>
  <c r="I20"/>
  <c r="I19" s="1"/>
  <c r="J17"/>
  <c r="J16" s="1"/>
  <c r="I17"/>
  <c r="K15"/>
  <c r="K14"/>
  <c r="J13"/>
  <c r="J12" s="1"/>
  <c r="I13"/>
  <c r="I12" s="1"/>
  <c r="K38" l="1"/>
  <c r="K27"/>
  <c r="G15" i="21"/>
  <c r="K24" i="20"/>
  <c r="K23" s="1"/>
  <c r="J22" i="27"/>
  <c r="K22" s="1"/>
  <c r="K17" i="20"/>
  <c r="G37" i="25"/>
  <c r="E29" i="24"/>
  <c r="J37" i="27"/>
  <c r="L37"/>
  <c r="L41" s="1"/>
  <c r="L44" s="1"/>
  <c r="L46" s="1"/>
  <c r="L50" s="1"/>
  <c r="L57" s="1"/>
  <c r="L52" s="1"/>
  <c r="K20" i="20"/>
  <c r="I16"/>
  <c r="I21" s="1"/>
  <c r="I26" s="1"/>
  <c r="J21"/>
  <c r="J26" s="1"/>
  <c r="J41" s="1"/>
  <c r="K35"/>
  <c r="K19"/>
  <c r="K13"/>
  <c r="K12" s="1"/>
  <c r="C35" i="27" l="1"/>
  <c r="C12"/>
  <c r="C17"/>
  <c r="C33"/>
  <c r="C36"/>
  <c r="C20" i="19"/>
  <c r="J41" i="27"/>
  <c r="K37"/>
  <c r="K16" i="20"/>
  <c r="K21" s="1"/>
  <c r="J44"/>
  <c r="J47"/>
  <c r="K26"/>
  <c r="K41" s="1"/>
  <c r="I41"/>
  <c r="D24" i="27" l="1"/>
  <c r="C23"/>
  <c r="D23" s="1"/>
  <c r="D15"/>
  <c r="D13"/>
  <c r="D47"/>
  <c r="D48"/>
  <c r="K41"/>
  <c r="J44"/>
  <c r="D14"/>
  <c r="D42"/>
  <c r="C16"/>
  <c r="D43"/>
  <c r="D38"/>
  <c r="D39"/>
  <c r="D45"/>
  <c r="D40"/>
  <c r="D30"/>
  <c r="C21"/>
  <c r="D21" s="1"/>
  <c r="D17"/>
  <c r="D35"/>
  <c r="D49"/>
  <c r="D32"/>
  <c r="D36"/>
  <c r="C34"/>
  <c r="D34" s="1"/>
  <c r="D33"/>
  <c r="C31"/>
  <c r="D31" s="1"/>
  <c r="D25"/>
  <c r="D27"/>
  <c r="D29"/>
  <c r="D20"/>
  <c r="D18"/>
  <c r="D26"/>
  <c r="D28"/>
  <c r="D19"/>
  <c r="I48" i="20"/>
  <c r="I50"/>
  <c r="I22"/>
  <c r="J22"/>
  <c r="I44"/>
  <c r="K44" s="1"/>
  <c r="I47"/>
  <c r="K22" l="1"/>
  <c r="J46" i="27"/>
  <c r="K44"/>
  <c r="D16"/>
  <c r="C22"/>
  <c r="I51" i="20"/>
  <c r="I52"/>
  <c r="I53"/>
  <c r="J50" i="27" l="1"/>
  <c r="K46"/>
  <c r="C37"/>
  <c r="D22"/>
  <c r="I49" i="20"/>
  <c r="I54" s="1"/>
  <c r="K50" i="27" l="1"/>
  <c r="J52"/>
  <c r="C41"/>
  <c r="D37"/>
  <c r="A1" i="26"/>
  <c r="D6" i="21"/>
  <c r="D6" i="22" s="1"/>
  <c r="C10" i="20"/>
  <c r="A36" i="24"/>
  <c r="B42" i="25"/>
  <c r="D6"/>
  <c r="C38" i="19"/>
  <c r="J54" i="27" l="1"/>
  <c r="J55"/>
  <c r="K55" s="1"/>
  <c r="K52"/>
  <c r="J56"/>
  <c r="K56" s="1"/>
  <c r="D41"/>
  <c r="C44"/>
  <c r="D9" i="17"/>
  <c r="A6" s="1"/>
  <c r="A6" i="18" s="1"/>
  <c r="E471" i="22"/>
  <c r="E469"/>
  <c r="E467"/>
  <c r="E461"/>
  <c r="E460"/>
  <c r="E459"/>
  <c r="E457"/>
  <c r="E441"/>
  <c r="E437"/>
  <c r="E433"/>
  <c r="E422"/>
  <c r="E420"/>
  <c r="E418"/>
  <c r="E412"/>
  <c r="E411"/>
  <c r="E410"/>
  <c r="E408"/>
  <c r="I402"/>
  <c r="E400"/>
  <c r="I380"/>
  <c r="E369"/>
  <c r="E368"/>
  <c r="E366"/>
  <c r="E361"/>
  <c r="I359"/>
  <c r="E340"/>
  <c r="E339"/>
  <c r="E336"/>
  <c r="E316"/>
  <c r="E310"/>
  <c r="E309"/>
  <c r="G308"/>
  <c r="E306"/>
  <c r="G301"/>
  <c r="G269"/>
  <c r="E269"/>
  <c r="E268"/>
  <c r="G267"/>
  <c r="E267"/>
  <c r="G265"/>
  <c r="E265"/>
  <c r="E259"/>
  <c r="E255"/>
  <c r="E239"/>
  <c r="E235"/>
  <c r="G229"/>
  <c r="E229"/>
  <c r="G225"/>
  <c r="E225"/>
  <c r="G209"/>
  <c r="E209"/>
  <c r="G205"/>
  <c r="E205"/>
  <c r="G199"/>
  <c r="E199"/>
  <c r="E198"/>
  <c r="E197"/>
  <c r="G195"/>
  <c r="E195"/>
  <c r="E188"/>
  <c r="E184"/>
  <c r="E158"/>
  <c r="I157"/>
  <c r="E154"/>
  <c r="I148"/>
  <c r="E149"/>
  <c r="E136"/>
  <c r="E134"/>
  <c r="G118"/>
  <c r="E118"/>
  <c r="E116"/>
  <c r="E115"/>
  <c r="G114"/>
  <c r="E114"/>
  <c r="G108"/>
  <c r="E108"/>
  <c r="E106"/>
  <c r="G104"/>
  <c r="E104"/>
  <c r="G77"/>
  <c r="E77"/>
  <c r="E76"/>
  <c r="G75"/>
  <c r="E75"/>
  <c r="G73"/>
  <c r="E73"/>
  <c r="G57"/>
  <c r="E57"/>
  <c r="G53"/>
  <c r="E53"/>
  <c r="G47"/>
  <c r="E47"/>
  <c r="G46"/>
  <c r="E46"/>
  <c r="G45"/>
  <c r="E45"/>
  <c r="G43"/>
  <c r="E43"/>
  <c r="G37"/>
  <c r="E37"/>
  <c r="G36"/>
  <c r="E36"/>
  <c r="G35"/>
  <c r="E35"/>
  <c r="G33"/>
  <c r="E33"/>
  <c r="G27"/>
  <c r="E27"/>
  <c r="E26"/>
  <c r="G25"/>
  <c r="E25"/>
  <c r="G23"/>
  <c r="E23"/>
  <c r="E55" i="21"/>
  <c r="G51"/>
  <c r="E51"/>
  <c r="E45"/>
  <c r="G44"/>
  <c r="E44"/>
  <c r="E14" s="1"/>
  <c r="G41"/>
  <c r="E41"/>
  <c r="E35"/>
  <c r="G34"/>
  <c r="G31"/>
  <c r="E31"/>
  <c r="E25"/>
  <c r="G13"/>
  <c r="E13"/>
  <c r="G21"/>
  <c r="E21"/>
  <c r="D35" i="18"/>
  <c r="D34" s="1"/>
  <c r="D32"/>
  <c r="D31"/>
  <c r="D30"/>
  <c r="D27"/>
  <c r="D26"/>
  <c r="D21"/>
  <c r="D20" s="1"/>
  <c r="D18"/>
  <c r="D17"/>
  <c r="D16"/>
  <c r="D15"/>
  <c r="D14"/>
  <c r="D13"/>
  <c r="D12"/>
  <c r="D40" i="17"/>
  <c r="D39"/>
  <c r="D38"/>
  <c r="D37"/>
  <c r="D36"/>
  <c r="D35"/>
  <c r="D34"/>
  <c r="D32"/>
  <c r="D31"/>
  <c r="D28"/>
  <c r="D26"/>
  <c r="D25"/>
  <c r="D24"/>
  <c r="D22"/>
  <c r="D21"/>
  <c r="D20"/>
  <c r="D19"/>
  <c r="D18"/>
  <c r="D14"/>
  <c r="D15"/>
  <c r="D16"/>
  <c r="E67" i="24"/>
  <c r="D67"/>
  <c r="C67"/>
  <c r="B67"/>
  <c r="G472" i="22"/>
  <c r="I470"/>
  <c r="I468"/>
  <c r="G462"/>
  <c r="I458"/>
  <c r="G442"/>
  <c r="I440"/>
  <c r="I439"/>
  <c r="I438"/>
  <c r="G433"/>
  <c r="I431"/>
  <c r="I430"/>
  <c r="I429"/>
  <c r="I428"/>
  <c r="G423"/>
  <c r="I421"/>
  <c r="I419"/>
  <c r="G413"/>
  <c r="I409"/>
  <c r="G403"/>
  <c r="I401"/>
  <c r="E381"/>
  <c r="I379"/>
  <c r="I378"/>
  <c r="I377"/>
  <c r="I376"/>
  <c r="I367"/>
  <c r="I358"/>
  <c r="I357"/>
  <c r="I356"/>
  <c r="I348"/>
  <c r="I347"/>
  <c r="I338"/>
  <c r="I318"/>
  <c r="I317"/>
  <c r="E301"/>
  <c r="E302" s="1"/>
  <c r="I299"/>
  <c r="I298"/>
  <c r="I296"/>
  <c r="I266"/>
  <c r="I258"/>
  <c r="I256"/>
  <c r="I248"/>
  <c r="I246"/>
  <c r="I238"/>
  <c r="I237"/>
  <c r="I236"/>
  <c r="I228"/>
  <c r="I226"/>
  <c r="I218"/>
  <c r="I217"/>
  <c r="I216"/>
  <c r="I208"/>
  <c r="I206"/>
  <c r="I187"/>
  <c r="I186"/>
  <c r="I185"/>
  <c r="I155"/>
  <c r="I147"/>
  <c r="I146"/>
  <c r="I145"/>
  <c r="I137"/>
  <c r="I135"/>
  <c r="I117"/>
  <c r="I107"/>
  <c r="I66"/>
  <c r="I65"/>
  <c r="I64"/>
  <c r="I54"/>
  <c r="G86" i="21"/>
  <c r="E86"/>
  <c r="I85"/>
  <c r="I84"/>
  <c r="I83"/>
  <c r="I82"/>
  <c r="I81"/>
  <c r="G66"/>
  <c r="G67" s="1"/>
  <c r="E66"/>
  <c r="I65"/>
  <c r="I64"/>
  <c r="I63"/>
  <c r="I62"/>
  <c r="I61"/>
  <c r="I53"/>
  <c r="I52"/>
  <c r="I42"/>
  <c r="I32"/>
  <c r="I24"/>
  <c r="U52" i="20"/>
  <c r="U51"/>
  <c r="V49"/>
  <c r="U49"/>
  <c r="S49"/>
  <c r="T46"/>
  <c r="T45"/>
  <c r="T43"/>
  <c r="T42" s="1"/>
  <c r="Q43"/>
  <c r="Q42" s="1"/>
  <c r="X42"/>
  <c r="V42"/>
  <c r="U42"/>
  <c r="S42"/>
  <c r="R42"/>
  <c r="P42"/>
  <c r="O42"/>
  <c r="M42"/>
  <c r="T40"/>
  <c r="Q40"/>
  <c r="M40"/>
  <c r="T39"/>
  <c r="Q39"/>
  <c r="M39"/>
  <c r="Y38"/>
  <c r="X38" s="1"/>
  <c r="V38"/>
  <c r="U38"/>
  <c r="S38"/>
  <c r="R38"/>
  <c r="P38"/>
  <c r="O38"/>
  <c r="L38"/>
  <c r="T37"/>
  <c r="Q37"/>
  <c r="L37"/>
  <c r="M37" s="1"/>
  <c r="T36"/>
  <c r="Q36"/>
  <c r="L36"/>
  <c r="V35"/>
  <c r="U35"/>
  <c r="S35"/>
  <c r="R35"/>
  <c r="P35"/>
  <c r="O35"/>
  <c r="T34"/>
  <c r="Q34"/>
  <c r="M34"/>
  <c r="T33"/>
  <c r="Q33"/>
  <c r="T32"/>
  <c r="Q32"/>
  <c r="M32"/>
  <c r="T30"/>
  <c r="Q30"/>
  <c r="M30"/>
  <c r="T29"/>
  <c r="Q29"/>
  <c r="M29"/>
  <c r="T28"/>
  <c r="Q28"/>
  <c r="V27"/>
  <c r="U27"/>
  <c r="S27"/>
  <c r="R27"/>
  <c r="P27"/>
  <c r="O27"/>
  <c r="L27"/>
  <c r="M27" s="1"/>
  <c r="T25"/>
  <c r="Q25"/>
  <c r="M25"/>
  <c r="S24"/>
  <c r="S23" s="1"/>
  <c r="R24"/>
  <c r="Q24"/>
  <c r="L24"/>
  <c r="Y23"/>
  <c r="Y26" s="1"/>
  <c r="X23"/>
  <c r="X26" s="1"/>
  <c r="V23"/>
  <c r="U23"/>
  <c r="P23"/>
  <c r="O23"/>
  <c r="Y22"/>
  <c r="Y40" s="1"/>
  <c r="X40" s="1"/>
  <c r="X22"/>
  <c r="R20"/>
  <c r="T20" s="1"/>
  <c r="Q20"/>
  <c r="M20"/>
  <c r="Y19"/>
  <c r="X19"/>
  <c r="V19"/>
  <c r="U19"/>
  <c r="S19"/>
  <c r="P19"/>
  <c r="O19"/>
  <c r="L19"/>
  <c r="M19" s="1"/>
  <c r="T17"/>
  <c r="T16" s="1"/>
  <c r="Q17"/>
  <c r="Q16" s="1"/>
  <c r="M17"/>
  <c r="Y16"/>
  <c r="X16"/>
  <c r="V16"/>
  <c r="U16"/>
  <c r="S16"/>
  <c r="R16"/>
  <c r="P16"/>
  <c r="O16"/>
  <c r="L16"/>
  <c r="M16" s="1"/>
  <c r="T15"/>
  <c r="Q15"/>
  <c r="M15"/>
  <c r="T14"/>
  <c r="Q14"/>
  <c r="M14"/>
  <c r="T13"/>
  <c r="Q13"/>
  <c r="Y12"/>
  <c r="X12"/>
  <c r="V12"/>
  <c r="U12"/>
  <c r="S12"/>
  <c r="R12"/>
  <c r="P12"/>
  <c r="O12"/>
  <c r="L53" i="19"/>
  <c r="K51"/>
  <c r="K49"/>
  <c r="K48"/>
  <c r="L47"/>
  <c r="J47"/>
  <c r="K47" s="1"/>
  <c r="K45"/>
  <c r="K43"/>
  <c r="K42"/>
  <c r="K40"/>
  <c r="K39"/>
  <c r="L38"/>
  <c r="J38"/>
  <c r="K38" s="1"/>
  <c r="K36"/>
  <c r="K35"/>
  <c r="L34"/>
  <c r="J34"/>
  <c r="K34" s="1"/>
  <c r="L33"/>
  <c r="L31" s="1"/>
  <c r="K33"/>
  <c r="K32"/>
  <c r="J31"/>
  <c r="K31" s="1"/>
  <c r="K30"/>
  <c r="K29"/>
  <c r="K28"/>
  <c r="K27"/>
  <c r="L26"/>
  <c r="L23" s="1"/>
  <c r="K26"/>
  <c r="K25"/>
  <c r="K24"/>
  <c r="J23"/>
  <c r="K23" s="1"/>
  <c r="L21"/>
  <c r="J21"/>
  <c r="K21" s="1"/>
  <c r="K19"/>
  <c r="K17"/>
  <c r="L16"/>
  <c r="J16"/>
  <c r="K15"/>
  <c r="K14"/>
  <c r="K13"/>
  <c r="P43" i="17"/>
  <c r="P42"/>
  <c r="P41"/>
  <c r="P40"/>
  <c r="P37"/>
  <c r="P36"/>
  <c r="P35"/>
  <c r="P34"/>
  <c r="P33"/>
  <c r="P32"/>
  <c r="P31"/>
  <c r="N30"/>
  <c r="L30"/>
  <c r="J30"/>
  <c r="H30"/>
  <c r="P29"/>
  <c r="P28"/>
  <c r="P26"/>
  <c r="P25"/>
  <c r="P24"/>
  <c r="N23"/>
  <c r="L23"/>
  <c r="J23"/>
  <c r="H23"/>
  <c r="P22"/>
  <c r="P21"/>
  <c r="P20"/>
  <c r="P19"/>
  <c r="P18"/>
  <c r="N17"/>
  <c r="L17"/>
  <c r="J17"/>
  <c r="H17"/>
  <c r="P16"/>
  <c r="P15"/>
  <c r="P14"/>
  <c r="N13"/>
  <c r="L13"/>
  <c r="J13"/>
  <c r="H13"/>
  <c r="P12"/>
  <c r="E382" i="22" l="1"/>
  <c r="G87" i="21"/>
  <c r="E87"/>
  <c r="E67"/>
  <c r="E150" i="22"/>
  <c r="G302"/>
  <c r="E362"/>
  <c r="H145"/>
  <c r="F145"/>
  <c r="H377"/>
  <c r="F377"/>
  <c r="F429"/>
  <c r="H429"/>
  <c r="F64"/>
  <c r="H64"/>
  <c r="F146"/>
  <c r="H146"/>
  <c r="H216"/>
  <c r="F216"/>
  <c r="F246"/>
  <c r="H246"/>
  <c r="H266"/>
  <c r="F266"/>
  <c r="H347"/>
  <c r="F347"/>
  <c r="F358"/>
  <c r="H358"/>
  <c r="F378"/>
  <c r="H378"/>
  <c r="H430"/>
  <c r="F430"/>
  <c r="H380"/>
  <c r="F380"/>
  <c r="H147"/>
  <c r="F147"/>
  <c r="F236"/>
  <c r="H236"/>
  <c r="H367"/>
  <c r="F367"/>
  <c r="H468"/>
  <c r="F468"/>
  <c r="H185"/>
  <c r="F185"/>
  <c r="H226"/>
  <c r="F226"/>
  <c r="H338"/>
  <c r="F338"/>
  <c r="F357"/>
  <c r="H357"/>
  <c r="H419"/>
  <c r="F419"/>
  <c r="F438"/>
  <c r="H438"/>
  <c r="H458"/>
  <c r="F458"/>
  <c r="F135"/>
  <c r="H135"/>
  <c r="H187"/>
  <c r="F187"/>
  <c r="H217"/>
  <c r="F217"/>
  <c r="H248"/>
  <c r="F248"/>
  <c r="F317"/>
  <c r="H317"/>
  <c r="H379"/>
  <c r="F379"/>
  <c r="H409"/>
  <c r="F409"/>
  <c r="F431"/>
  <c r="H431"/>
  <c r="T27" i="20"/>
  <c r="H66" i="22"/>
  <c r="F66"/>
  <c r="F155"/>
  <c r="H155"/>
  <c r="H206"/>
  <c r="F206"/>
  <c r="H218"/>
  <c r="F218"/>
  <c r="H256"/>
  <c r="F256"/>
  <c r="H318"/>
  <c r="F318"/>
  <c r="H376"/>
  <c r="F376"/>
  <c r="F428"/>
  <c r="H428"/>
  <c r="P13" i="17"/>
  <c r="P23"/>
  <c r="G11" i="21"/>
  <c r="P20" s="1"/>
  <c r="P21" s="1"/>
  <c r="H107" i="22"/>
  <c r="F107"/>
  <c r="G68"/>
  <c r="I115"/>
  <c r="H115" s="1"/>
  <c r="F148"/>
  <c r="H148"/>
  <c r="E15" i="21"/>
  <c r="I15" s="1"/>
  <c r="F470" i="22"/>
  <c r="H470"/>
  <c r="H54"/>
  <c r="F54"/>
  <c r="F208"/>
  <c r="H208"/>
  <c r="H299"/>
  <c r="F299"/>
  <c r="F401"/>
  <c r="H401"/>
  <c r="I309"/>
  <c r="H309" s="1"/>
  <c r="I422"/>
  <c r="H422" s="1"/>
  <c r="I420"/>
  <c r="H420" s="1"/>
  <c r="I308"/>
  <c r="F308" s="1"/>
  <c r="F296"/>
  <c r="H296"/>
  <c r="F440"/>
  <c r="H440"/>
  <c r="H359"/>
  <c r="F359"/>
  <c r="I418"/>
  <c r="H418" s="1"/>
  <c r="E11" i="21"/>
  <c r="I136" i="22"/>
  <c r="H136" s="1"/>
  <c r="I350"/>
  <c r="H350" s="1"/>
  <c r="I412"/>
  <c r="H412" s="1"/>
  <c r="F186"/>
  <c r="H186"/>
  <c r="F439"/>
  <c r="H439"/>
  <c r="H258"/>
  <c r="F258"/>
  <c r="I56"/>
  <c r="H56" s="1"/>
  <c r="I106"/>
  <c r="H106" s="1"/>
  <c r="I411"/>
  <c r="H411" s="1"/>
  <c r="I410"/>
  <c r="H410" s="1"/>
  <c r="I346"/>
  <c r="H346" s="1"/>
  <c r="I471"/>
  <c r="H471" s="1"/>
  <c r="I268"/>
  <c r="H268" s="1"/>
  <c r="H402"/>
  <c r="F402"/>
  <c r="I469"/>
  <c r="H469" s="1"/>
  <c r="I63"/>
  <c r="H63" s="1"/>
  <c r="I127"/>
  <c r="F127" s="1"/>
  <c r="I400"/>
  <c r="H400" s="1"/>
  <c r="I467"/>
  <c r="H467" s="1"/>
  <c r="F137"/>
  <c r="H137"/>
  <c r="H237"/>
  <c r="F237"/>
  <c r="H356"/>
  <c r="F356"/>
  <c r="I126"/>
  <c r="H126" s="1"/>
  <c r="I339"/>
  <c r="H339" s="1"/>
  <c r="I461"/>
  <c r="H461" s="1"/>
  <c r="H348"/>
  <c r="F348"/>
  <c r="I336"/>
  <c r="H336" s="1"/>
  <c r="I460"/>
  <c r="H460" s="1"/>
  <c r="H298"/>
  <c r="F298"/>
  <c r="H117"/>
  <c r="F117"/>
  <c r="H228"/>
  <c r="F228"/>
  <c r="H421"/>
  <c r="F421"/>
  <c r="F157"/>
  <c r="H157"/>
  <c r="G321"/>
  <c r="G322" s="1"/>
  <c r="I459"/>
  <c r="H459" s="1"/>
  <c r="G14" i="21"/>
  <c r="I74" i="22"/>
  <c r="H74" s="1"/>
  <c r="I156"/>
  <c r="H156" s="1"/>
  <c r="I207"/>
  <c r="H207" s="1"/>
  <c r="I457"/>
  <c r="H457" s="1"/>
  <c r="H238"/>
  <c r="F238"/>
  <c r="I319"/>
  <c r="H319" s="1"/>
  <c r="I441"/>
  <c r="H441" s="1"/>
  <c r="H65"/>
  <c r="F65"/>
  <c r="I44"/>
  <c r="H44" s="1"/>
  <c r="I116"/>
  <c r="H116" s="1"/>
  <c r="I316"/>
  <c r="H316" s="1"/>
  <c r="I368"/>
  <c r="H368" s="1"/>
  <c r="F85" i="21"/>
  <c r="H85"/>
  <c r="H53"/>
  <c r="F53"/>
  <c r="F52"/>
  <c r="H52"/>
  <c r="I13"/>
  <c r="F84"/>
  <c r="H84"/>
  <c r="H24"/>
  <c r="F24"/>
  <c r="F83"/>
  <c r="H83"/>
  <c r="H42"/>
  <c r="F42"/>
  <c r="H82"/>
  <c r="F82"/>
  <c r="H65"/>
  <c r="F65"/>
  <c r="H64"/>
  <c r="F64"/>
  <c r="H32"/>
  <c r="F32"/>
  <c r="F62"/>
  <c r="H62"/>
  <c r="H81"/>
  <c r="F81"/>
  <c r="H63"/>
  <c r="F63"/>
  <c r="H61"/>
  <c r="F61"/>
  <c r="J361" i="22"/>
  <c r="K301"/>
  <c r="K423"/>
  <c r="G424"/>
  <c r="K413"/>
  <c r="G414"/>
  <c r="K442"/>
  <c r="G443"/>
  <c r="K472"/>
  <c r="G473"/>
  <c r="J301"/>
  <c r="K403"/>
  <c r="G404"/>
  <c r="K462"/>
  <c r="G463"/>
  <c r="E15"/>
  <c r="E17"/>
  <c r="G15"/>
  <c r="G17"/>
  <c r="M29" s="1"/>
  <c r="E13"/>
  <c r="E16"/>
  <c r="G13"/>
  <c r="G16"/>
  <c r="I34"/>
  <c r="H34" s="1"/>
  <c r="E14"/>
  <c r="J66" i="21"/>
  <c r="Y32" i="20"/>
  <c r="X32" s="1"/>
  <c r="M12"/>
  <c r="M38"/>
  <c r="T35"/>
  <c r="Q38"/>
  <c r="P21"/>
  <c r="P26" s="1"/>
  <c r="P41" s="1"/>
  <c r="Y28"/>
  <c r="Y27" s="1"/>
  <c r="Y41" s="1"/>
  <c r="Y44" s="1"/>
  <c r="L21"/>
  <c r="I114" i="22"/>
  <c r="H114" s="1"/>
  <c r="D23" i="17"/>
  <c r="A7" i="19"/>
  <c r="A6" i="24" s="1"/>
  <c r="A7" i="27"/>
  <c r="J53"/>
  <c r="K54"/>
  <c r="C46"/>
  <c r="C50" s="1"/>
  <c r="D44"/>
  <c r="I86" i="21"/>
  <c r="I66"/>
  <c r="E68" s="1"/>
  <c r="J11" i="17"/>
  <c r="J44" s="1"/>
  <c r="H11"/>
  <c r="H44" s="1"/>
  <c r="I38" s="1"/>
  <c r="L11"/>
  <c r="L44" s="1"/>
  <c r="K25" s="1"/>
  <c r="T38" i="20"/>
  <c r="N11" i="17"/>
  <c r="P30"/>
  <c r="T24" i="20"/>
  <c r="V21"/>
  <c r="V26" s="1"/>
  <c r="V41" s="1"/>
  <c r="U21"/>
  <c r="U26" s="1"/>
  <c r="U41" s="1"/>
  <c r="O21"/>
  <c r="O26" s="1"/>
  <c r="O41" s="1"/>
  <c r="O44" s="1"/>
  <c r="R23"/>
  <c r="T23" s="1"/>
  <c r="S21"/>
  <c r="S26" s="1"/>
  <c r="S41" s="1"/>
  <c r="T12"/>
  <c r="Q23"/>
  <c r="Q35"/>
  <c r="Q27"/>
  <c r="Y35"/>
  <c r="X35" s="1"/>
  <c r="P17" i="17"/>
  <c r="J22" i="19"/>
  <c r="L22"/>
  <c r="L37" s="1"/>
  <c r="L41" s="1"/>
  <c r="L44" s="1"/>
  <c r="L46" s="1"/>
  <c r="L50" s="1"/>
  <c r="L57" s="1"/>
  <c r="L52" s="1"/>
  <c r="D9" i="18"/>
  <c r="D17" i="20"/>
  <c r="C29"/>
  <c r="D15"/>
  <c r="C18"/>
  <c r="C32" i="19"/>
  <c r="C25"/>
  <c r="C24" i="20"/>
  <c r="C46"/>
  <c r="D31"/>
  <c r="D14"/>
  <c r="D40"/>
  <c r="D33"/>
  <c r="F28" i="25" s="1"/>
  <c r="D24" i="20"/>
  <c r="C25"/>
  <c r="C33"/>
  <c r="D37"/>
  <c r="D28"/>
  <c r="D45"/>
  <c r="D18"/>
  <c r="C48" i="19"/>
  <c r="C39" i="20"/>
  <c r="C33" i="19"/>
  <c r="D36" i="20"/>
  <c r="C24" i="19"/>
  <c r="D34" i="20"/>
  <c r="D32"/>
  <c r="D25"/>
  <c r="D39"/>
  <c r="C17" i="19"/>
  <c r="C37" i="20"/>
  <c r="D13"/>
  <c r="C19" i="19"/>
  <c r="C30" i="20"/>
  <c r="C36" i="19"/>
  <c r="C29"/>
  <c r="C28"/>
  <c r="D19" i="20"/>
  <c r="C18" i="19"/>
  <c r="C36" i="20"/>
  <c r="C32"/>
  <c r="C12" i="19"/>
  <c r="D30" i="20"/>
  <c r="C26" i="19"/>
  <c r="C27"/>
  <c r="C35"/>
  <c r="C17" i="20"/>
  <c r="C45"/>
  <c r="C34"/>
  <c r="C28"/>
  <c r="D46"/>
  <c r="C15"/>
  <c r="C31"/>
  <c r="C30" i="19"/>
  <c r="C15"/>
  <c r="C40" i="20"/>
  <c r="C14" i="19"/>
  <c r="C13" i="20"/>
  <c r="D29"/>
  <c r="C49" i="19"/>
  <c r="C14" i="20"/>
  <c r="C13" i="19"/>
  <c r="I225" i="22"/>
  <c r="H225" s="1"/>
  <c r="I77"/>
  <c r="H77" s="1"/>
  <c r="G28"/>
  <c r="I36"/>
  <c r="F36" s="1"/>
  <c r="I128"/>
  <c r="H128" s="1"/>
  <c r="I184"/>
  <c r="H184" s="1"/>
  <c r="I35"/>
  <c r="H35" s="1"/>
  <c r="I340"/>
  <c r="H340" s="1"/>
  <c r="I197"/>
  <c r="F197" s="1"/>
  <c r="I138"/>
  <c r="H138" s="1"/>
  <c r="I108"/>
  <c r="H108" s="1"/>
  <c r="G189"/>
  <c r="E36" i="21"/>
  <c r="I269" i="22"/>
  <c r="F269" s="1"/>
  <c r="E26" i="21"/>
  <c r="I199" i="22"/>
  <c r="H199" s="1"/>
  <c r="I45"/>
  <c r="H45" s="1"/>
  <c r="I227"/>
  <c r="H227" s="1"/>
  <c r="E28"/>
  <c r="G250"/>
  <c r="I104"/>
  <c r="H104" s="1"/>
  <c r="G139"/>
  <c r="G140" s="1"/>
  <c r="I219"/>
  <c r="H219" s="1"/>
  <c r="G109"/>
  <c r="I215"/>
  <c r="H215" s="1"/>
  <c r="E270"/>
  <c r="G220"/>
  <c r="I67"/>
  <c r="G270"/>
  <c r="I239"/>
  <c r="H239" s="1"/>
  <c r="E210"/>
  <c r="G240"/>
  <c r="E139"/>
  <c r="E58"/>
  <c r="I43" i="21"/>
  <c r="G119" i="22"/>
  <c r="G230"/>
  <c r="I198"/>
  <c r="F198" s="1"/>
  <c r="E159"/>
  <c r="E371"/>
  <c r="I247"/>
  <c r="I55"/>
  <c r="H55" s="1"/>
  <c r="I158"/>
  <c r="H158" s="1"/>
  <c r="I209"/>
  <c r="F209" s="1"/>
  <c r="I245"/>
  <c r="G341"/>
  <c r="G342" s="1"/>
  <c r="I370"/>
  <c r="H370" s="1"/>
  <c r="E38"/>
  <c r="I21" i="21"/>
  <c r="H21" s="1"/>
  <c r="G371" i="22"/>
  <c r="G372" s="1"/>
  <c r="E129"/>
  <c r="G381"/>
  <c r="G159"/>
  <c r="G160" s="1"/>
  <c r="I320"/>
  <c r="I432"/>
  <c r="G311"/>
  <c r="I47"/>
  <c r="F47" s="1"/>
  <c r="E240"/>
  <c r="E68"/>
  <c r="I349"/>
  <c r="E56" i="21"/>
  <c r="G48" i="22"/>
  <c r="D29" i="18"/>
  <c r="I27" i="22"/>
  <c r="F27" s="1"/>
  <c r="I118"/>
  <c r="H118" s="1"/>
  <c r="G200"/>
  <c r="I229"/>
  <c r="H229" s="1"/>
  <c r="I259"/>
  <c r="H259" s="1"/>
  <c r="E321"/>
  <c r="I26"/>
  <c r="H26" s="1"/>
  <c r="I257"/>
  <c r="H257" s="1"/>
  <c r="E311"/>
  <c r="D25" i="18"/>
  <c r="I25" i="22"/>
  <c r="F25" s="1"/>
  <c r="I57"/>
  <c r="H57" s="1"/>
  <c r="I188"/>
  <c r="H188" s="1"/>
  <c r="I249"/>
  <c r="E403"/>
  <c r="I54" i="21"/>
  <c r="E46"/>
  <c r="I76" i="22"/>
  <c r="H76" s="1"/>
  <c r="G129"/>
  <c r="G210"/>
  <c r="I267"/>
  <c r="F267" s="1"/>
  <c r="I369"/>
  <c r="H369" s="1"/>
  <c r="E442"/>
  <c r="I44" i="21"/>
  <c r="F44" s="1"/>
  <c r="I46" i="22"/>
  <c r="F46" s="1"/>
  <c r="I75"/>
  <c r="F75" s="1"/>
  <c r="G78"/>
  <c r="G149"/>
  <c r="E200"/>
  <c r="E78"/>
  <c r="E48"/>
  <c r="G260"/>
  <c r="G261" s="1"/>
  <c r="E260"/>
  <c r="E413"/>
  <c r="D30" i="17"/>
  <c r="I34" i="21"/>
  <c r="F34" s="1"/>
  <c r="G38" i="22"/>
  <c r="I33" i="21"/>
  <c r="G58" i="22"/>
  <c r="I310"/>
  <c r="H310" s="1"/>
  <c r="I381"/>
  <c r="I382" s="1"/>
  <c r="I37"/>
  <c r="H37" s="1"/>
  <c r="G351"/>
  <c r="I125"/>
  <c r="D17" i="17"/>
  <c r="K22" i="19"/>
  <c r="J37"/>
  <c r="D13" i="17"/>
  <c r="D11" i="18"/>
  <c r="K16" i="19"/>
  <c r="Q19" i="20"/>
  <c r="R19"/>
  <c r="T19" s="1"/>
  <c r="M21"/>
  <c r="L22"/>
  <c r="M22" s="1"/>
  <c r="I23" i="21"/>
  <c r="F23" s="1"/>
  <c r="M24" i="20"/>
  <c r="L23"/>
  <c r="L26" s="1"/>
  <c r="L41" s="1"/>
  <c r="L47" s="1"/>
  <c r="M36"/>
  <c r="L35"/>
  <c r="M35" s="1"/>
  <c r="O47"/>
  <c r="Q12"/>
  <c r="Y29"/>
  <c r="X29" s="1"/>
  <c r="Y30"/>
  <c r="X30" s="1"/>
  <c r="Y33"/>
  <c r="X33" s="1"/>
  <c r="Y34"/>
  <c r="X34" s="1"/>
  <c r="Y39"/>
  <c r="X39" s="1"/>
  <c r="I31" i="21"/>
  <c r="H31" s="1"/>
  <c r="I51"/>
  <c r="F51" s="1"/>
  <c r="I33" i="22"/>
  <c r="F33" s="1"/>
  <c r="I53"/>
  <c r="H53" s="1"/>
  <c r="I73"/>
  <c r="F73" s="1"/>
  <c r="E109"/>
  <c r="E119"/>
  <c r="I134"/>
  <c r="F134" s="1"/>
  <c r="I144"/>
  <c r="I154"/>
  <c r="H154" s="1"/>
  <c r="E189"/>
  <c r="I205"/>
  <c r="H205" s="1"/>
  <c r="E220"/>
  <c r="E230"/>
  <c r="I235"/>
  <c r="H235" s="1"/>
  <c r="E250"/>
  <c r="E251" s="1"/>
  <c r="I255"/>
  <c r="H255" s="1"/>
  <c r="I300"/>
  <c r="I306"/>
  <c r="H306" s="1"/>
  <c r="E341"/>
  <c r="E351"/>
  <c r="I360"/>
  <c r="G361"/>
  <c r="E423"/>
  <c r="E462"/>
  <c r="E472"/>
  <c r="I41" i="21"/>
  <c r="F41" s="1"/>
  <c r="I23" i="22"/>
  <c r="H23" s="1"/>
  <c r="I43"/>
  <c r="F43" s="1"/>
  <c r="I124"/>
  <c r="F124" s="1"/>
  <c r="I195"/>
  <c r="H195" s="1"/>
  <c r="I265"/>
  <c r="F265" s="1"/>
  <c r="I337"/>
  <c r="I366"/>
  <c r="H366" s="1"/>
  <c r="I398"/>
  <c r="I408"/>
  <c r="I437"/>
  <c r="D13" i="19" l="1"/>
  <c r="M13" i="22"/>
  <c r="D12" i="19"/>
  <c r="D20"/>
  <c r="D17"/>
  <c r="D32"/>
  <c r="D14"/>
  <c r="D27"/>
  <c r="D28"/>
  <c r="D19"/>
  <c r="D24"/>
  <c r="D48"/>
  <c r="D30"/>
  <c r="D35"/>
  <c r="D49"/>
  <c r="D26"/>
  <c r="D29"/>
  <c r="D15"/>
  <c r="D18"/>
  <c r="D36"/>
  <c r="D33"/>
  <c r="D25"/>
  <c r="G383" i="22"/>
  <c r="G382"/>
  <c r="E383"/>
  <c r="K321"/>
  <c r="I68"/>
  <c r="I69" s="1"/>
  <c r="G150"/>
  <c r="E69"/>
  <c r="G221"/>
  <c r="G68" i="21"/>
  <c r="I67"/>
  <c r="G352" i="22"/>
  <c r="E221"/>
  <c r="G130"/>
  <c r="G251"/>
  <c r="E352"/>
  <c r="G362"/>
  <c r="E130"/>
  <c r="G69"/>
  <c r="T21" i="20"/>
  <c r="T26" s="1"/>
  <c r="T41" s="1"/>
  <c r="T44" s="1"/>
  <c r="T47" s="1"/>
  <c r="M14" i="22"/>
  <c r="I433"/>
  <c r="F432"/>
  <c r="H432"/>
  <c r="L29"/>
  <c r="N29" s="1"/>
  <c r="M30" s="1"/>
  <c r="I351"/>
  <c r="I352" s="1"/>
  <c r="K68"/>
  <c r="I472"/>
  <c r="I473" s="1"/>
  <c r="I423"/>
  <c r="I424" s="1"/>
  <c r="L26"/>
  <c r="I321"/>
  <c r="I322" s="1"/>
  <c r="M26"/>
  <c r="F411"/>
  <c r="F461"/>
  <c r="F412"/>
  <c r="G16" i="21"/>
  <c r="G17" s="1"/>
  <c r="H127" i="22"/>
  <c r="F400"/>
  <c r="I11" i="21"/>
  <c r="F136" i="22"/>
  <c r="F44"/>
  <c r="F336"/>
  <c r="F77"/>
  <c r="F346"/>
  <c r="F116"/>
  <c r="F460"/>
  <c r="F471"/>
  <c r="F420"/>
  <c r="F156"/>
  <c r="H124"/>
  <c r="F316"/>
  <c r="F268"/>
  <c r="I462"/>
  <c r="I463" s="1"/>
  <c r="F207"/>
  <c r="I14" i="21"/>
  <c r="F126" i="22"/>
  <c r="F469"/>
  <c r="F53"/>
  <c r="F339"/>
  <c r="F106"/>
  <c r="F441"/>
  <c r="F418"/>
  <c r="F114"/>
  <c r="F229"/>
  <c r="F370"/>
  <c r="F227"/>
  <c r="H36"/>
  <c r="F67"/>
  <c r="F337"/>
  <c r="H337"/>
  <c r="I301"/>
  <c r="F300"/>
  <c r="H300"/>
  <c r="I413"/>
  <c r="I414" s="1"/>
  <c r="H408"/>
  <c r="I442"/>
  <c r="I443" s="1"/>
  <c r="H437"/>
  <c r="I361"/>
  <c r="H360"/>
  <c r="F360"/>
  <c r="F125"/>
  <c r="H125"/>
  <c r="I149"/>
  <c r="G151" s="1"/>
  <c r="H144"/>
  <c r="F144"/>
  <c r="I13"/>
  <c r="H13" s="1"/>
  <c r="H269"/>
  <c r="F57"/>
  <c r="I14"/>
  <c r="H14" s="1"/>
  <c r="F247"/>
  <c r="H247"/>
  <c r="I403"/>
  <c r="I404" s="1"/>
  <c r="F398"/>
  <c r="H398"/>
  <c r="I16"/>
  <c r="F16" s="1"/>
  <c r="F74"/>
  <c r="F349"/>
  <c r="H198"/>
  <c r="F108"/>
  <c r="F37"/>
  <c r="F199"/>
  <c r="M19"/>
  <c r="F319"/>
  <c r="H27"/>
  <c r="F467"/>
  <c r="H197"/>
  <c r="F239"/>
  <c r="H67"/>
  <c r="H46"/>
  <c r="H33"/>
  <c r="H134"/>
  <c r="F366"/>
  <c r="H75"/>
  <c r="H47"/>
  <c r="F34"/>
  <c r="F306"/>
  <c r="F138"/>
  <c r="F115"/>
  <c r="X15" i="19"/>
  <c r="Y16" s="1"/>
  <c r="M15" i="22"/>
  <c r="F26"/>
  <c r="F158"/>
  <c r="F184"/>
  <c r="F35"/>
  <c r="H349"/>
  <c r="F235"/>
  <c r="H320"/>
  <c r="F368"/>
  <c r="F45"/>
  <c r="F457"/>
  <c r="F459"/>
  <c r="H209"/>
  <c r="F219"/>
  <c r="F128"/>
  <c r="H308"/>
  <c r="F23"/>
  <c r="H25"/>
  <c r="H73"/>
  <c r="H265"/>
  <c r="F76"/>
  <c r="H267"/>
  <c r="F188"/>
  <c r="F104"/>
  <c r="F410"/>
  <c r="F118"/>
  <c r="F340"/>
  <c r="F225"/>
  <c r="F249"/>
  <c r="H249"/>
  <c r="H245"/>
  <c r="F245"/>
  <c r="F154"/>
  <c r="F215"/>
  <c r="F195"/>
  <c r="F309"/>
  <c r="H43"/>
  <c r="F205"/>
  <c r="F55"/>
  <c r="F350"/>
  <c r="I15"/>
  <c r="F15" s="1"/>
  <c r="F255"/>
  <c r="F257"/>
  <c r="F259"/>
  <c r="F63"/>
  <c r="F56"/>
  <c r="F422"/>
  <c r="I17"/>
  <c r="F17" s="1"/>
  <c r="F437"/>
  <c r="F369"/>
  <c r="F320"/>
  <c r="F408"/>
  <c r="F310"/>
  <c r="H51" i="21"/>
  <c r="H23"/>
  <c r="F31"/>
  <c r="H54"/>
  <c r="F54"/>
  <c r="H43"/>
  <c r="F43"/>
  <c r="F21"/>
  <c r="H41"/>
  <c r="F33"/>
  <c r="H33"/>
  <c r="H34"/>
  <c r="H44"/>
  <c r="E16"/>
  <c r="E17" s="1"/>
  <c r="L21" i="22"/>
  <c r="L19"/>
  <c r="L20"/>
  <c r="J210"/>
  <c r="E211"/>
  <c r="E29"/>
  <c r="G29"/>
  <c r="M20"/>
  <c r="J462"/>
  <c r="E463"/>
  <c r="J351"/>
  <c r="J220"/>
  <c r="K351"/>
  <c r="K58"/>
  <c r="G59"/>
  <c r="J48"/>
  <c r="E49"/>
  <c r="K78"/>
  <c r="G79"/>
  <c r="J442"/>
  <c r="E443"/>
  <c r="K129"/>
  <c r="J68"/>
  <c r="J129"/>
  <c r="J159"/>
  <c r="E160"/>
  <c r="J423"/>
  <c r="E424"/>
  <c r="J341"/>
  <c r="E342"/>
  <c r="J250"/>
  <c r="J413"/>
  <c r="E414"/>
  <c r="J78"/>
  <c r="E79"/>
  <c r="J403"/>
  <c r="E404"/>
  <c r="K200"/>
  <c r="G201"/>
  <c r="K48"/>
  <c r="G49"/>
  <c r="J240"/>
  <c r="E241"/>
  <c r="K371"/>
  <c r="K341"/>
  <c r="J58"/>
  <c r="E59"/>
  <c r="J270"/>
  <c r="E271"/>
  <c r="K139"/>
  <c r="K361"/>
  <c r="J189"/>
  <c r="E190"/>
  <c r="J119"/>
  <c r="E120"/>
  <c r="K38"/>
  <c r="G39"/>
  <c r="J260"/>
  <c r="E261"/>
  <c r="J200"/>
  <c r="E201"/>
  <c r="J321"/>
  <c r="E322"/>
  <c r="K159"/>
  <c r="K230"/>
  <c r="G231"/>
  <c r="J139"/>
  <c r="E140"/>
  <c r="K270"/>
  <c r="G271"/>
  <c r="J472"/>
  <c r="E473"/>
  <c r="J230"/>
  <c r="E231"/>
  <c r="J109"/>
  <c r="E110"/>
  <c r="K260"/>
  <c r="K149"/>
  <c r="K210"/>
  <c r="G211"/>
  <c r="J311"/>
  <c r="E312"/>
  <c r="K311"/>
  <c r="G312"/>
  <c r="J38"/>
  <c r="E39"/>
  <c r="J371"/>
  <c r="E372"/>
  <c r="K119"/>
  <c r="G120"/>
  <c r="K240"/>
  <c r="G241"/>
  <c r="K109"/>
  <c r="G110"/>
  <c r="K250"/>
  <c r="K189"/>
  <c r="G190"/>
  <c r="M21"/>
  <c r="E18"/>
  <c r="G18"/>
  <c r="J56" i="21"/>
  <c r="V22" i="20"/>
  <c r="U22" s="1"/>
  <c r="X28"/>
  <c r="X41" s="1"/>
  <c r="X44" s="1"/>
  <c r="I119" i="22"/>
  <c r="G121" s="1"/>
  <c r="E15" i="20"/>
  <c r="E46"/>
  <c r="E40"/>
  <c r="A6"/>
  <c r="C11" i="19"/>
  <c r="E47" i="21"/>
  <c r="J46"/>
  <c r="K53" i="27"/>
  <c r="J57"/>
  <c r="K57" s="1"/>
  <c r="E18" i="20"/>
  <c r="D46" i="27"/>
  <c r="E27" i="21"/>
  <c r="J26"/>
  <c r="E37"/>
  <c r="J36"/>
  <c r="E57"/>
  <c r="E32" i="20"/>
  <c r="E33"/>
  <c r="E17" i="24" s="1"/>
  <c r="D17" s="1"/>
  <c r="P11" i="17"/>
  <c r="X12" i="19"/>
  <c r="Y13" s="1"/>
  <c r="N44" i="17"/>
  <c r="P44" s="1"/>
  <c r="E14" i="20"/>
  <c r="D12"/>
  <c r="I35" i="17"/>
  <c r="I34"/>
  <c r="I32"/>
  <c r="I31"/>
  <c r="I23"/>
  <c r="I25"/>
  <c r="I30"/>
  <c r="I33"/>
  <c r="I24"/>
  <c r="I37"/>
  <c r="I26"/>
  <c r="I11"/>
  <c r="I21"/>
  <c r="I19"/>
  <c r="I20"/>
  <c r="I16"/>
  <c r="I18"/>
  <c r="M37"/>
  <c r="I40"/>
  <c r="I17"/>
  <c r="I36"/>
  <c r="I39"/>
  <c r="I28"/>
  <c r="I22"/>
  <c r="I14"/>
  <c r="I15"/>
  <c r="I13"/>
  <c r="I41"/>
  <c r="M24"/>
  <c r="M11"/>
  <c r="M18"/>
  <c r="M31"/>
  <c r="K18"/>
  <c r="M15"/>
  <c r="K23"/>
  <c r="O40"/>
  <c r="R21" i="20"/>
  <c r="M17" i="17"/>
  <c r="K14"/>
  <c r="M35"/>
  <c r="K22"/>
  <c r="K40"/>
  <c r="K30"/>
  <c r="K34"/>
  <c r="M21"/>
  <c r="K37"/>
  <c r="K16"/>
  <c r="M36"/>
  <c r="M23"/>
  <c r="K41"/>
  <c r="M26"/>
  <c r="K15"/>
  <c r="M34"/>
  <c r="M25"/>
  <c r="M14"/>
  <c r="K33"/>
  <c r="K24"/>
  <c r="M13"/>
  <c r="K32"/>
  <c r="M22"/>
  <c r="K13"/>
  <c r="K31"/>
  <c r="K21"/>
  <c r="M28"/>
  <c r="E34" i="20"/>
  <c r="K17" i="17"/>
  <c r="K28"/>
  <c r="M16"/>
  <c r="K35"/>
  <c r="Q21" i="20"/>
  <c r="M20" i="17"/>
  <c r="M41"/>
  <c r="K26"/>
  <c r="M30"/>
  <c r="M33"/>
  <c r="K20"/>
  <c r="O36"/>
  <c r="M32"/>
  <c r="M19"/>
  <c r="K36"/>
  <c r="K11"/>
  <c r="K19"/>
  <c r="M40"/>
  <c r="C12" i="20"/>
  <c r="E37"/>
  <c r="D35"/>
  <c r="E24"/>
  <c r="C31" i="19"/>
  <c r="D31" s="1"/>
  <c r="B25" i="25"/>
  <c r="E45" i="20"/>
  <c r="E31"/>
  <c r="E29"/>
  <c r="C23"/>
  <c r="D23"/>
  <c r="D38"/>
  <c r="C21" i="19"/>
  <c r="D21" s="1"/>
  <c r="E25" i="20"/>
  <c r="C16"/>
  <c r="E36"/>
  <c r="C35"/>
  <c r="C23" i="19"/>
  <c r="D23" s="1"/>
  <c r="I189" i="22"/>
  <c r="E191" s="1"/>
  <c r="D16" i="20"/>
  <c r="C16" i="19"/>
  <c r="D16" s="1"/>
  <c r="I109" i="22"/>
  <c r="E111" s="1"/>
  <c r="D27" i="20"/>
  <c r="E17"/>
  <c r="E30"/>
  <c r="E20"/>
  <c r="C19"/>
  <c r="E19" s="1"/>
  <c r="E28"/>
  <c r="C27"/>
  <c r="E13"/>
  <c r="C34" i="19"/>
  <c r="D34" s="1"/>
  <c r="C38" i="20"/>
  <c r="E39"/>
  <c r="D40" i="19"/>
  <c r="D43"/>
  <c r="D45"/>
  <c r="D42"/>
  <c r="D39"/>
  <c r="D38"/>
  <c r="I240" i="22"/>
  <c r="E242" s="1"/>
  <c r="I200"/>
  <c r="G202" s="1"/>
  <c r="I230"/>
  <c r="G232" s="1"/>
  <c r="I38"/>
  <c r="I341"/>
  <c r="I342" s="1"/>
  <c r="I139"/>
  <c r="G141" s="1"/>
  <c r="I220"/>
  <c r="E222" s="1"/>
  <c r="I250"/>
  <c r="I251" s="1"/>
  <c r="I260"/>
  <c r="E262" s="1"/>
  <c r="I270"/>
  <c r="G272" s="1"/>
  <c r="I48"/>
  <c r="G50" s="1"/>
  <c r="I129"/>
  <c r="I130" s="1"/>
  <c r="I371"/>
  <c r="I372" s="1"/>
  <c r="I159"/>
  <c r="E161" s="1"/>
  <c r="I210"/>
  <c r="G212" s="1"/>
  <c r="I78"/>
  <c r="I58"/>
  <c r="E60" s="1"/>
  <c r="I311"/>
  <c r="I312" s="1"/>
  <c r="L53" i="20"/>
  <c r="L51"/>
  <c r="L52"/>
  <c r="S22"/>
  <c r="O52"/>
  <c r="Q52" s="1"/>
  <c r="O53"/>
  <c r="Q53" s="1"/>
  <c r="O51"/>
  <c r="S44"/>
  <c r="S47"/>
  <c r="I28" i="22"/>
  <c r="G30" s="1"/>
  <c r="M44" i="20"/>
  <c r="M23"/>
  <c r="M26" s="1"/>
  <c r="M41" s="1"/>
  <c r="U44"/>
  <c r="U47"/>
  <c r="U54" s="1"/>
  <c r="D11" i="17"/>
  <c r="D44" s="1"/>
  <c r="E27" s="1"/>
  <c r="V47" i="20"/>
  <c r="V54" s="1"/>
  <c r="V44"/>
  <c r="K37" i="19"/>
  <c r="J41"/>
  <c r="P44" i="20"/>
  <c r="E70" i="22" l="1"/>
  <c r="G70"/>
  <c r="G353"/>
  <c r="E131"/>
  <c r="G222"/>
  <c r="E353"/>
  <c r="I362"/>
  <c r="E363"/>
  <c r="G363"/>
  <c r="I150"/>
  <c r="E151"/>
  <c r="I302"/>
  <c r="G303"/>
  <c r="G131"/>
  <c r="G252"/>
  <c r="E303"/>
  <c r="E252"/>
  <c r="M16"/>
  <c r="E415"/>
  <c r="G415"/>
  <c r="L30"/>
  <c r="G323"/>
  <c r="G464"/>
  <c r="G444"/>
  <c r="E323"/>
  <c r="G425"/>
  <c r="E425"/>
  <c r="G474"/>
  <c r="E474"/>
  <c r="E444"/>
  <c r="E464"/>
  <c r="I16" i="21"/>
  <c r="N19" i="22"/>
  <c r="R13" s="1"/>
  <c r="E405"/>
  <c r="G405"/>
  <c r="H17"/>
  <c r="H16"/>
  <c r="N26"/>
  <c r="M27" s="1"/>
  <c r="H15"/>
  <c r="F13"/>
  <c r="F14"/>
  <c r="L22"/>
  <c r="G242"/>
  <c r="G262"/>
  <c r="M22"/>
  <c r="G111"/>
  <c r="G161"/>
  <c r="I79"/>
  <c r="I39"/>
  <c r="E373"/>
  <c r="G313"/>
  <c r="E313"/>
  <c r="E121"/>
  <c r="G80"/>
  <c r="E212"/>
  <c r="G40"/>
  <c r="G343"/>
  <c r="E30"/>
  <c r="I160"/>
  <c r="I271"/>
  <c r="I140"/>
  <c r="I201"/>
  <c r="I110"/>
  <c r="E80"/>
  <c r="N20"/>
  <c r="Q14" s="1"/>
  <c r="I211"/>
  <c r="I49"/>
  <c r="I221"/>
  <c r="I231"/>
  <c r="I190"/>
  <c r="I120"/>
  <c r="N21"/>
  <c r="Q15" s="1"/>
  <c r="I29"/>
  <c r="I59"/>
  <c r="I261"/>
  <c r="I241"/>
  <c r="G191"/>
  <c r="E40"/>
  <c r="E232"/>
  <c r="E141"/>
  <c r="E202"/>
  <c r="E272"/>
  <c r="G373"/>
  <c r="E343"/>
  <c r="E50"/>
  <c r="G60"/>
  <c r="G19"/>
  <c r="E19"/>
  <c r="R22" i="20"/>
  <c r="S44" i="17"/>
  <c r="E38" i="20"/>
  <c r="E12"/>
  <c r="D50" i="27"/>
  <c r="E16" i="20"/>
  <c r="E35"/>
  <c r="R26"/>
  <c r="R41" s="1"/>
  <c r="R44" s="1"/>
  <c r="D21"/>
  <c r="Q26"/>
  <c r="Q41" s="1"/>
  <c r="Q44" s="1"/>
  <c r="P22"/>
  <c r="O22"/>
  <c r="E23"/>
  <c r="C21"/>
  <c r="E27"/>
  <c r="C22" i="19"/>
  <c r="I35" i="21"/>
  <c r="G36"/>
  <c r="Q51" i="20"/>
  <c r="O49"/>
  <c r="O54" s="1"/>
  <c r="J44" i="19"/>
  <c r="K41"/>
  <c r="E11" i="17"/>
  <c r="L49" i="20"/>
  <c r="L54" s="1"/>
  <c r="C37" i="19" l="1"/>
  <c r="D37" s="1"/>
  <c r="D22"/>
  <c r="F21" i="25"/>
  <c r="F19"/>
  <c r="G23" s="1"/>
  <c r="G31" s="1"/>
  <c r="Q13" i="22"/>
  <c r="L27"/>
  <c r="I36" i="21"/>
  <c r="E38" s="1"/>
  <c r="H35"/>
  <c r="F35"/>
  <c r="R14" i="22"/>
  <c r="N22"/>
  <c r="M23" s="1"/>
  <c r="R15"/>
  <c r="K36" i="21"/>
  <c r="E21" i="20"/>
  <c r="F16" i="25" s="1"/>
  <c r="G37" i="21"/>
  <c r="R47" i="20"/>
  <c r="R51" s="1"/>
  <c r="D26"/>
  <c r="C26"/>
  <c r="I45" i="21"/>
  <c r="G46"/>
  <c r="G56"/>
  <c r="I55"/>
  <c r="E41" i="17"/>
  <c r="E40"/>
  <c r="E38"/>
  <c r="E37"/>
  <c r="E36"/>
  <c r="E35"/>
  <c r="E33"/>
  <c r="E32"/>
  <c r="E31"/>
  <c r="E26"/>
  <c r="E25"/>
  <c r="E22"/>
  <c r="E20"/>
  <c r="E18"/>
  <c r="E15"/>
  <c r="E16"/>
  <c r="E19"/>
  <c r="E30"/>
  <c r="E44" s="1"/>
  <c r="E28"/>
  <c r="E34"/>
  <c r="E14"/>
  <c r="E21"/>
  <c r="E17"/>
  <c r="E24"/>
  <c r="E39"/>
  <c r="E23"/>
  <c r="E13"/>
  <c r="J46" i="19"/>
  <c r="K44"/>
  <c r="C22" i="20" l="1"/>
  <c r="D22"/>
  <c r="E21" i="25"/>
  <c r="I46" i="21"/>
  <c r="E48" s="1"/>
  <c r="H45"/>
  <c r="F45"/>
  <c r="I56"/>
  <c r="E58" s="1"/>
  <c r="H55"/>
  <c r="F55"/>
  <c r="G38"/>
  <c r="I37"/>
  <c r="L23" i="22"/>
  <c r="K56" i="21"/>
  <c r="D41" i="20"/>
  <c r="G47" i="21"/>
  <c r="K46"/>
  <c r="G57"/>
  <c r="R52" i="20"/>
  <c r="T52" s="1"/>
  <c r="R53"/>
  <c r="T53" s="1"/>
  <c r="E26"/>
  <c r="E41" s="1"/>
  <c r="F26" i="25" s="1"/>
  <c r="C41" i="20"/>
  <c r="C44" s="1"/>
  <c r="E19" i="25"/>
  <c r="C41" i="19"/>
  <c r="C44" s="1"/>
  <c r="C46" s="1"/>
  <c r="D46" s="1"/>
  <c r="I25" i="21"/>
  <c r="G26"/>
  <c r="T51" i="20"/>
  <c r="K46" i="19"/>
  <c r="J50"/>
  <c r="I57" i="21" l="1"/>
  <c r="I26"/>
  <c r="E28" s="1"/>
  <c r="H25"/>
  <c r="F25"/>
  <c r="I47"/>
  <c r="G48"/>
  <c r="G58"/>
  <c r="K26"/>
  <c r="D44" i="20"/>
  <c r="D47"/>
  <c r="G27" i="21"/>
  <c r="R49" i="20"/>
  <c r="R54" s="1"/>
  <c r="C47"/>
  <c r="Z55" s="1"/>
  <c r="F31" i="25"/>
  <c r="E20" i="24" s="1"/>
  <c r="D20" s="1"/>
  <c r="E14"/>
  <c r="D41" i="19"/>
  <c r="K50"/>
  <c r="J52"/>
  <c r="B5" i="26" l="1"/>
  <c r="AA55" i="20"/>
  <c r="G28" i="21"/>
  <c r="I27"/>
  <c r="E44" i="20"/>
  <c r="E22"/>
  <c r="C52"/>
  <c r="C55" i="27" s="1"/>
  <c r="D55" s="1"/>
  <c r="B8" i="26"/>
  <c r="B10" s="1"/>
  <c r="T49" i="20"/>
  <c r="T54" s="1"/>
  <c r="F32" i="25"/>
  <c r="G33" s="1"/>
  <c r="G35" s="1"/>
  <c r="J27" s="1"/>
  <c r="J29" s="1"/>
  <c r="B4" i="26"/>
  <c r="E22" i="24"/>
  <c r="E26" s="1"/>
  <c r="E28" s="1"/>
  <c r="G28" s="1"/>
  <c r="C53" i="20"/>
  <c r="C51"/>
  <c r="D44" i="19"/>
  <c r="J56"/>
  <c r="K56" s="1"/>
  <c r="J55"/>
  <c r="K55" s="1"/>
  <c r="J54"/>
  <c r="K52"/>
  <c r="C47"/>
  <c r="C50" l="1"/>
  <c r="D50" s="1"/>
  <c r="D47"/>
  <c r="B6" i="26"/>
  <c r="C55" i="19"/>
  <c r="D55" s="1"/>
  <c r="B13" i="26"/>
  <c r="B15"/>
  <c r="C54" i="19"/>
  <c r="D54" s="1"/>
  <c r="C54" i="27"/>
  <c r="C56" i="19"/>
  <c r="D56" s="1"/>
  <c r="C56" i="27"/>
  <c r="D56" s="1"/>
  <c r="B12" i="26"/>
  <c r="J28" i="25"/>
  <c r="J30" s="1"/>
  <c r="G36" s="1"/>
  <c r="B14" i="26"/>
  <c r="G22" i="24"/>
  <c r="C49" i="20"/>
  <c r="C54" s="1"/>
  <c r="E32" i="24"/>
  <c r="J53" i="19"/>
  <c r="K54"/>
  <c r="B11" i="26" l="1"/>
  <c r="B16"/>
  <c r="J36" i="25"/>
  <c r="Y50" i="19"/>
  <c r="Y58" s="1"/>
  <c r="D54" i="27"/>
  <c r="C53"/>
  <c r="C53" i="19"/>
  <c r="D53" s="1"/>
  <c r="M45" i="20"/>
  <c r="P45"/>
  <c r="Q45"/>
  <c r="G38" i="25"/>
  <c r="P46" i="20"/>
  <c r="M46"/>
  <c r="Q46"/>
  <c r="K53" i="19"/>
  <c r="J57"/>
  <c r="K57" s="1"/>
  <c r="D40" i="18" l="1"/>
  <c r="E32" s="1"/>
  <c r="D23"/>
  <c r="D53" i="27"/>
  <c r="P47" i="20"/>
  <c r="Q50" s="1"/>
  <c r="Q47"/>
  <c r="Q49" s="1"/>
  <c r="M47"/>
  <c r="L48" s="1"/>
  <c r="E47"/>
  <c r="C50"/>
  <c r="C48"/>
  <c r="E35" i="18" l="1"/>
  <c r="E29"/>
  <c r="E30"/>
  <c r="E38"/>
  <c r="E21"/>
  <c r="E20"/>
  <c r="E17"/>
  <c r="I40"/>
  <c r="E11"/>
  <c r="E12"/>
  <c r="E14"/>
  <c r="E23"/>
  <c r="E16"/>
  <c r="E31"/>
  <c r="E25"/>
  <c r="E37"/>
  <c r="K40"/>
  <c r="E26"/>
  <c r="E27"/>
  <c r="E18"/>
  <c r="E15"/>
  <c r="E34"/>
  <c r="E13"/>
  <c r="C51" i="19"/>
  <c r="C57" s="1"/>
  <c r="D57" s="1"/>
  <c r="C51" i="27"/>
  <c r="Q54" i="20"/>
  <c r="P54"/>
  <c r="L50"/>
  <c r="E40" i="18" l="1"/>
  <c r="D51" i="27"/>
  <c r="C52"/>
  <c r="D52" s="1"/>
  <c r="C57"/>
  <c r="D57" s="1"/>
  <c r="C52" i="19"/>
  <c r="D52" s="1"/>
  <c r="D51"/>
  <c r="I18" i="22"/>
  <c r="I19" s="1"/>
  <c r="G20" l="1"/>
  <c r="E20"/>
  <c r="H11" i="21"/>
  <c r="F11"/>
  <c r="H12"/>
  <c r="L14" i="22"/>
  <c r="N14" s="1"/>
  <c r="H13" i="21"/>
  <c r="G18"/>
  <c r="E18"/>
  <c r="H15"/>
  <c r="F15"/>
  <c r="L15" i="22"/>
  <c r="N15" s="1"/>
  <c r="L13"/>
  <c r="N13" s="1"/>
  <c r="F12" i="21"/>
  <c r="F13"/>
  <c r="H14"/>
  <c r="F14"/>
  <c r="L16" i="22" l="1"/>
  <c r="N16"/>
  <c r="I17" i="21"/>
</calcChain>
</file>

<file path=xl/connections.xml><?xml version="1.0" encoding="utf-8"?>
<connections xmlns="http://schemas.openxmlformats.org/spreadsheetml/2006/main">
  <connection id="1" name="Balancete Primeiro P" type="1" refreshedVersion="3" saveData="1">
    <dbPr connection="DSN=PRODUCAO;Driver={Firebird/InterBase(r) driver};Dbname=192.168.1.99:E:\econtabil\server\data\cde_win.fdb;CHARSET=NONE;UID=SYSDBA;Client=e:\consultas\fbclient.dll;" command="select * from ctb_rel_balancete(1,?,?,NULL,NULL,NULL,NULL,'N',NULL,'S')"/>
    <parameters count="2">
      <parameter name="Parâmetro1" parameterType="cell" cell="Parâmetros!$B$11"/>
      <parameter name="Parâmetro2" parameterType="cell" cell="Parâmetros!$D$11"/>
    </parameters>
  </connection>
  <connection id="2" name="Contas DRE" type="1" refreshedVersion="3" saveData="1">
    <dbPr connection="DSN=PRODUCAO;Driver={Firebird/InterBase(r) driver};Dbname=192.168.1.99:E:\econtabil\server\data\cde_win.fdb;CHARSET=NONE;UID=SYSDBA;Client=e:\consultas\fbclient.dll;" command="select_x000d__x000a_    _x000d__x000a_    dr.empresa,_x000d__x000a_    dr.sequencia,_x000d__x000a_    dr.tipo_linha,_x000d__x000a_    dr.ordem,_x000d__x000a_    dr.grp_tot,_x000d__x000a_    dr.descricao_linha,_x000d__x000a_    dt.conta_x000d__x000a_    _x000d__x000a_    from ctb_dre dr_x000d__x000a_    left join  ctb_dre_detalhe dt on (dr.empresa=dt.empresa and dr.sequencia=dt.sequencia)"/>
  </connection>
  <connection id="3" name="Memória Rateio" type="1" refreshedVersion="3" saveData="1">
    <dbPr connection="DSN=PRODUCAO;Driver={Firebird/InterBase(r) driver};Dbname=192.168.1.99:e:\Econtabil\server\data\CDE_WIN.FDB;CHARSET=NONE;UID=SYSDBA;Client=e:\consultas\fbclient.dll;" command="select * from ctb_apropria_r_contas_2_rel(1,?,?,null)"/>
    <parameters count="2">
      <parameter name="Parâmetro1" parameterType="cell" cell="Plan1!$G$2"/>
      <parameter name="Parâmetro2" parameterType="cell" cell="Plan1!$G$3"/>
    </parameters>
  </connection>
</connections>
</file>

<file path=xl/sharedStrings.xml><?xml version="1.0" encoding="utf-8"?>
<sst xmlns="http://schemas.openxmlformats.org/spreadsheetml/2006/main" count="36098" uniqueCount="7233">
  <si>
    <t>CONTA</t>
  </si>
  <si>
    <t>Conta</t>
  </si>
  <si>
    <t>TIPO</t>
  </si>
  <si>
    <t>CLASSIFICACAO</t>
  </si>
  <si>
    <t>1.1.1.1</t>
  </si>
  <si>
    <t>Caixa</t>
  </si>
  <si>
    <t>1.1.1.2</t>
  </si>
  <si>
    <t>Banco C/Movimento</t>
  </si>
  <si>
    <t>1.1.1.4</t>
  </si>
  <si>
    <t>Aplicacoes Financeiras Liquidação Imediata</t>
  </si>
  <si>
    <t>1.1.2.1</t>
  </si>
  <si>
    <t>Creditos com Cooperados</t>
  </si>
  <si>
    <t>1.1.2.2</t>
  </si>
  <si>
    <t>Creditos com não Cooperados</t>
  </si>
  <si>
    <t>1.1.2.5</t>
  </si>
  <si>
    <t>Valores a Receber de Entidades Publicas</t>
  </si>
  <si>
    <t>1.1.2.7</t>
  </si>
  <si>
    <t>Aplicacoes Financeiras</t>
  </si>
  <si>
    <t>1.1.2.8</t>
  </si>
  <si>
    <t>Bens de Venda</t>
  </si>
  <si>
    <t>1.1.3.1</t>
  </si>
  <si>
    <t>Estoques Proprios</t>
  </si>
  <si>
    <t>1.1.4.1</t>
  </si>
  <si>
    <t>Estoques de Terceiros</t>
  </si>
  <si>
    <t>1.1.6.1</t>
  </si>
  <si>
    <t>Estoque Em Poder de Terceiros</t>
  </si>
  <si>
    <t>1.1.9.1</t>
  </si>
  <si>
    <t>Dispendios Antecipados</t>
  </si>
  <si>
    <t>1.2.1.1</t>
  </si>
  <si>
    <t>1.2.1.2</t>
  </si>
  <si>
    <t>1.2.3.1</t>
  </si>
  <si>
    <t>Investimentos</t>
  </si>
  <si>
    <t>1.2.4.1</t>
  </si>
  <si>
    <t>Imobilizado Normal</t>
  </si>
  <si>
    <t>1.2.5.1</t>
  </si>
  <si>
    <t>Intangivel</t>
  </si>
  <si>
    <t>1.2.6.1</t>
  </si>
  <si>
    <t>Diferido</t>
  </si>
  <si>
    <t>2.1.1.1</t>
  </si>
  <si>
    <t>Financiamentos Bancarios A Curto Prazo</t>
  </si>
  <si>
    <t>2.1.2.1</t>
  </si>
  <si>
    <t>Fornecedores Cooperados</t>
  </si>
  <si>
    <t>2.1.2.2</t>
  </si>
  <si>
    <t>Fornecedores Não Cooperados</t>
  </si>
  <si>
    <t>2.1.4.1</t>
  </si>
  <si>
    <t>Tributos Federais</t>
  </si>
  <si>
    <t>2.1.4.2</t>
  </si>
  <si>
    <t>Tributos Estaduais</t>
  </si>
  <si>
    <t>2.1.4.3</t>
  </si>
  <si>
    <t>Tributos Municipais</t>
  </si>
  <si>
    <t>2.1.5.1</t>
  </si>
  <si>
    <t>Encargos Trabalhistas</t>
  </si>
  <si>
    <t>2.1.5.2</t>
  </si>
  <si>
    <t>Encargos Sociais</t>
  </si>
  <si>
    <t>2.1.5.3</t>
  </si>
  <si>
    <t>Provisoes Sociais</t>
  </si>
  <si>
    <t>2.1.8.1</t>
  </si>
  <si>
    <t>Obrigacoes Diversas</t>
  </si>
  <si>
    <t>2.1.8.2</t>
  </si>
  <si>
    <t>Vendas A Entregar</t>
  </si>
  <si>
    <t>2.1.9.1</t>
  </si>
  <si>
    <t>Produtos A Fixar</t>
  </si>
  <si>
    <t>2.2.1.1</t>
  </si>
  <si>
    <t>Financiamentos Bancarios A Longo Prazo</t>
  </si>
  <si>
    <t>2.4.1.1</t>
  </si>
  <si>
    <t>Capital Social Realizado</t>
  </si>
  <si>
    <t>2.4.1.2</t>
  </si>
  <si>
    <t>(-)Capital A Integralizar</t>
  </si>
  <si>
    <t>2.4.3.2</t>
  </si>
  <si>
    <t>Reservas de Sobras</t>
  </si>
  <si>
    <t>2.4.5.2</t>
  </si>
  <si>
    <t>Sobras ou Perdas a Disposicao da AGO</t>
  </si>
  <si>
    <t>1.2.4.2</t>
  </si>
  <si>
    <t>Imobilizacao em Andamento</t>
  </si>
  <si>
    <t>2.4.4.1</t>
  </si>
  <si>
    <t>Ajuste de Avaliacao Patrimonial</t>
  </si>
  <si>
    <t>1.2.4.3</t>
  </si>
  <si>
    <t>Imobilizado Custo Atribuido</t>
  </si>
  <si>
    <t>Sub-Titulo</t>
  </si>
  <si>
    <t>Titulo</t>
  </si>
  <si>
    <t>Ativo</t>
  </si>
  <si>
    <t>Disponivel</t>
  </si>
  <si>
    <t>Direitos Realizaveis a Curto Prazo</t>
  </si>
  <si>
    <t>Estoques</t>
  </si>
  <si>
    <t>Dispendios de Exercicios Seguintes</t>
  </si>
  <si>
    <t>Ativo Circulante</t>
  </si>
  <si>
    <t>Ativo Não Circulante</t>
  </si>
  <si>
    <t>Creditos e Valores a Longo Prazo</t>
  </si>
  <si>
    <t>Imobilizado</t>
  </si>
  <si>
    <t>Ativo Diferido</t>
  </si>
  <si>
    <t>Pre-Conta</t>
  </si>
  <si>
    <t>SALDO_ANT</t>
  </si>
  <si>
    <t>Credores por Financiamento</t>
  </si>
  <si>
    <t>Passivo</t>
  </si>
  <si>
    <t>Passivo Circulante</t>
  </si>
  <si>
    <t>Credores por Funcionamento</t>
  </si>
  <si>
    <t>Obrigações Fiscais</t>
  </si>
  <si>
    <t>Obrigações Sociais e Trabalhistas</t>
  </si>
  <si>
    <t>Outras Obrigações</t>
  </si>
  <si>
    <t>Conta Produção</t>
  </si>
  <si>
    <t>Passivo Não Circulante</t>
  </si>
  <si>
    <t>Credor por Financiamento</t>
  </si>
  <si>
    <t>Patrimônio Líquido</t>
  </si>
  <si>
    <t>Capital Social</t>
  </si>
  <si>
    <t>Reservas</t>
  </si>
  <si>
    <t>Ajuste de Avaliação Patrimonial</t>
  </si>
  <si>
    <t xml:space="preserve"> </t>
  </si>
  <si>
    <t>CLASS</t>
  </si>
  <si>
    <t>NOMECONTA</t>
  </si>
  <si>
    <t>DATA_ULT_MOV</t>
  </si>
  <si>
    <t>DEBITOS</t>
  </si>
  <si>
    <t>CREDITOS</t>
  </si>
  <si>
    <t>SALDO_ATUAL</t>
  </si>
  <si>
    <t>TIPOSALDOANT</t>
  </si>
  <si>
    <t>TIPOSALDO</t>
  </si>
  <si>
    <t>NUM_NIVEIS</t>
  </si>
  <si>
    <t>A</t>
  </si>
  <si>
    <t>SOBRA E LUCRO OPERACIONAL DO EXERCICIO ANTES DOS IMPOSTOS</t>
  </si>
  <si>
    <t>Tipo_Linha</t>
  </si>
  <si>
    <t>Grupo</t>
  </si>
  <si>
    <t>Descrição</t>
  </si>
  <si>
    <t>Aux</t>
  </si>
  <si>
    <t>Conta Balanço</t>
  </si>
  <si>
    <t>VALOR DRE</t>
  </si>
  <si>
    <t>VALOR BALANÇO</t>
  </si>
  <si>
    <t>Periodo</t>
  </si>
  <si>
    <t>(=) IMPOSTOS SOBRE O LUCRO</t>
  </si>
  <si>
    <t>(=) RESULTADO DE OUTRAS RECEITAS/DESPESAS OPERACIONAIS</t>
  </si>
  <si>
    <t>(=) RESULTADO FINANCEIRO</t>
  </si>
  <si>
    <t>(=) DISPÊNDIOS E DESPESAS OPERACIONAIS</t>
  </si>
  <si>
    <t>(=) DISPÊNDIOS/CUSTOS DE INGRESSOS E RECEITAS</t>
  </si>
  <si>
    <t>(=) DEDUÇÕES DE INGRESSOS E RECEITAS</t>
  </si>
  <si>
    <t>(=) INGRESSOS E RECEITA BRUTA OPERACIONAL</t>
  </si>
  <si>
    <t>Codigo</t>
  </si>
  <si>
    <t>( = ) RESULTADO BRUTO OPERACIONAL</t>
  </si>
  <si>
    <t>Grupo3</t>
  </si>
  <si>
    <t>Grupo2</t>
  </si>
  <si>
    <t>Grupo1</t>
  </si>
  <si>
    <t>Grupo4</t>
  </si>
  <si>
    <t>Filtro</t>
  </si>
  <si>
    <t>( = ) INGRESSO OPERACIONAL LÍQUIDO</t>
  </si>
  <si>
    <t>COOPERATIVA AGROPECUÁRIA TRADIÇÃO</t>
  </si>
  <si>
    <t>PARÂMETROS</t>
  </si>
  <si>
    <t>COMPARATIVO DE RESULTADOS</t>
  </si>
  <si>
    <t xml:space="preserve">Creditos com Cooperados </t>
  </si>
  <si>
    <t xml:space="preserve">Creditos com não Cooperados </t>
  </si>
  <si>
    <t>BASE COMPARATIVO DE RESULTADOS</t>
  </si>
  <si>
    <t>Cooperativa Agropecuária Tradição</t>
  </si>
  <si>
    <t xml:space="preserve"> PERÍODO: </t>
  </si>
  <si>
    <t>CNPJ: 05.528.196/0001-05</t>
  </si>
  <si>
    <t>BALANÇO PATRIMONIAL</t>
  </si>
  <si>
    <t>(Valores em R$)</t>
  </si>
  <si>
    <t>ATIVO</t>
  </si>
  <si>
    <t>(%)</t>
  </si>
  <si>
    <t>CIRCULANTE</t>
  </si>
  <si>
    <t>DISPONIBILIDADES</t>
  </si>
  <si>
    <t>Bancos Conta Movimento</t>
  </si>
  <si>
    <t>Aplicações de Liquidez Imediata</t>
  </si>
  <si>
    <t>CRÉDITOS</t>
  </si>
  <si>
    <t>Com Associados</t>
  </si>
  <si>
    <t>Clientes</t>
  </si>
  <si>
    <t>Impostos a Recuperar</t>
  </si>
  <si>
    <t>Aplicações Financeiras</t>
  </si>
  <si>
    <t>Bens a Venda</t>
  </si>
  <si>
    <t>ESTOQUES</t>
  </si>
  <si>
    <t>Produtos e Mercadorias</t>
  </si>
  <si>
    <t>Estoque em Poder de Terceiros</t>
  </si>
  <si>
    <t>DESPESAS ANTECIPADAS</t>
  </si>
  <si>
    <t>ATIVO NÃO CIRCULANTE</t>
  </si>
  <si>
    <t>Créditos com Associados</t>
  </si>
  <si>
    <t>Créditos com Terceiros</t>
  </si>
  <si>
    <t>(-) Provisão para Devedores Duvidosos</t>
  </si>
  <si>
    <t>(-) Depreciação Acumulada</t>
  </si>
  <si>
    <t>Construção em Andamento</t>
  </si>
  <si>
    <t>(-) Depreciacao Custo Atribuido</t>
  </si>
  <si>
    <t>Intangível</t>
  </si>
  <si>
    <t>TOTAL ATIVO</t>
  </si>
  <si>
    <t>As notas explicativas fazem parte integrante das demonstrações contábeis.</t>
  </si>
  <si>
    <t>PASSIVO</t>
  </si>
  <si>
    <t>Financiamentos Bancários</t>
  </si>
  <si>
    <t>Fornecedores</t>
  </si>
  <si>
    <t>Provisão Férias e Encargos Sociais</t>
  </si>
  <si>
    <t>Conta Producao - Produtos a fixar</t>
  </si>
  <si>
    <t>PASSIVO NÃO CIRCULANTE</t>
  </si>
  <si>
    <t>PATRIMÔNIO LÍQUIDO</t>
  </si>
  <si>
    <t>CAPITAL SOCIAL</t>
  </si>
  <si>
    <t>Capital Social Subscrito</t>
  </si>
  <si>
    <t>Capital A Integralizar</t>
  </si>
  <si>
    <t>RESERVAS E SOBRAS</t>
  </si>
  <si>
    <t>RATES-Reserva de Assist.Tec.Educ.e Social</t>
  </si>
  <si>
    <t>Fundo de Reserva</t>
  </si>
  <si>
    <t>Fundo de Imobilização</t>
  </si>
  <si>
    <t>AJUSTE DE AVALIACAO PATRIMONIAL</t>
  </si>
  <si>
    <t>SOBRAS A DISPOSIÇÃO DA AGO</t>
  </si>
  <si>
    <t>TOTAL PASSIVO</t>
  </si>
  <si>
    <t>DEMONSTRAÇÃO DE SOBRAS OU PERDAS</t>
  </si>
  <si>
    <t xml:space="preserve">(%) </t>
  </si>
  <si>
    <t>INGRESSOS E REC. DE INSUMOS, MERC. E PROD. AGRICOLAS</t>
  </si>
  <si>
    <t>(-) Devoluções de Ingressos e Receitas de Vendas</t>
  </si>
  <si>
    <t>(-) Impostos Faturados</t>
  </si>
  <si>
    <t>(-) Dispêndios/Custos dos Ingressos e Receitas</t>
  </si>
  <si>
    <t>RESULTADO BRUTO OPERACIONAL DAS VENDAS</t>
  </si>
  <si>
    <t xml:space="preserve">INGRESSOS E RECEITAS DE SERVICOS </t>
  </si>
  <si>
    <t>(-) Anulação de Valor de Frete</t>
  </si>
  <si>
    <t>RESULTADO BRUTO OPERACIONAL DOS SERVIÇOS</t>
  </si>
  <si>
    <t>SOBRA E LUCRO BRUTO OPERACIONAL</t>
  </si>
  <si>
    <t>DISPÊNDIOS E DESPESAS OPERACIONAIS</t>
  </si>
  <si>
    <t>(-) Dispêndios e Despesas com Pessoal</t>
  </si>
  <si>
    <t>(-) Dispêndios e Despesas administrativas</t>
  </si>
  <si>
    <t>(-) Dispêndios e Despesas com Vendas</t>
  </si>
  <si>
    <t xml:space="preserve">(-) Dispêndios e Despesas Tributárias </t>
  </si>
  <si>
    <t>(-) Dispêndios e Despesas Tecnicas</t>
  </si>
  <si>
    <t>(-) Dispêndios e Despesas Indedutiveis</t>
  </si>
  <si>
    <t>(-) Dispêndios e Despesas Rates</t>
  </si>
  <si>
    <t>RESULTADO DE OPERAÇÕES  FINANCEIRAS</t>
  </si>
  <si>
    <t>(-) Dispêndios e Despesas Financeiras</t>
  </si>
  <si>
    <t>(+) Ingressos e Receitas Fianceiras</t>
  </si>
  <si>
    <t>RESULTADO DE OUTROS INGRESSOS E REC. OPERACIONAIS</t>
  </si>
  <si>
    <t>(-) Outros Dispendios e Despesas Operacionais</t>
  </si>
  <si>
    <t>Outros Ingressos e Receitas Operacionais</t>
  </si>
  <si>
    <t>SOBRA E LUCRO  OPERACIONAL</t>
  </si>
  <si>
    <t>OUTRAS RECEITAS OPERACIONAIS</t>
  </si>
  <si>
    <t>(+) Ingressos e Receitas Não Operacionais</t>
  </si>
  <si>
    <t>(-) Dispêndios e despesas não Operacionais</t>
  </si>
  <si>
    <t>SOBRA E LUCRO  DO EXECÍCIO</t>
  </si>
  <si>
    <t>(-) Provisão IRPJ</t>
  </si>
  <si>
    <t>(-) Provisão CSSL</t>
  </si>
  <si>
    <t>SOBRA E LUCRO LÍQUIDO DO EXERCÍCIO</t>
  </si>
  <si>
    <t>Transferência p/FATES Res.c/não Assoc.</t>
  </si>
  <si>
    <t>SOBRA E LUCRO  DO EXERCÍCIO ANTES DOS IMPOSTOS</t>
  </si>
  <si>
    <t>IMPOSTOS SOBRE O LUCRO</t>
  </si>
  <si>
    <t>IRPJ</t>
  </si>
  <si>
    <t>CSLL</t>
  </si>
  <si>
    <t>SOBRA E LUCRO LIQUIDO DO EXERCÍCIO</t>
  </si>
  <si>
    <t>Transf. do Lucro com Não Cooperado para o Rates</t>
  </si>
  <si>
    <t>SOBRAS ANTES DAS DESTIN. LEGAIS E ESTATUTÁRIAS</t>
  </si>
  <si>
    <t xml:space="preserve">DESTINAÇÕES LEGAIS E ESTATUTARIAS </t>
  </si>
  <si>
    <t>RATES - Reserva de Assist.Tec.Educacional e Social - 5%</t>
  </si>
  <si>
    <t>Fundo de Reserva - 10%</t>
  </si>
  <si>
    <t>Fundo  de Imolilizações - 70%</t>
  </si>
  <si>
    <t xml:space="preserve">SOBRAS À DISPOSIÇÃO DA A.G.O. </t>
  </si>
  <si>
    <t>CONTAS</t>
  </si>
  <si>
    <t>Ato Cooperativo</t>
  </si>
  <si>
    <t>Não Cooperativo</t>
  </si>
  <si>
    <t>Total</t>
  </si>
  <si>
    <t>ATO    Cooperativo</t>
  </si>
  <si>
    <t>INGRESSOS E RECEITAS BRUTAS</t>
  </si>
  <si>
    <t>Ingressos e Receitas de Vendas</t>
  </si>
  <si>
    <t>Bonificações Merc. Recebidas</t>
  </si>
  <si>
    <t>Ingressos e Receitas de Prestação de Serviços</t>
  </si>
  <si>
    <t>(-) DEDUÇÕES</t>
  </si>
  <si>
    <t>Devolução de Ingressos e Receitas de Vendas</t>
  </si>
  <si>
    <t>Anulacao do Valor do Frete</t>
  </si>
  <si>
    <t>(-) IMPOSTOS E CONTRIBUIÇÕES</t>
  </si>
  <si>
    <t>(-) Impostos e Contribuições</t>
  </si>
  <si>
    <t>INGRESSOS DE RECEITAS LIQUIDAS</t>
  </si>
  <si>
    <t>PERCENTUAL</t>
  </si>
  <si>
    <t>(-) DISPÊNDIOS E CUSTOS</t>
  </si>
  <si>
    <t>Dos Ingressos e Receitas de Vendas</t>
  </si>
  <si>
    <t>Dos Ingressos e Receitas de Serviços</t>
  </si>
  <si>
    <t>Dispêndios e Despesas com Pessoal</t>
  </si>
  <si>
    <t>Dispêndios e Despesas Administrativas</t>
  </si>
  <si>
    <t>Dispêndios e Despesas Vendas</t>
  </si>
  <si>
    <t>Dispêndios e Despesas Tributarias</t>
  </si>
  <si>
    <t>Dispêndios e Despesas Técnicas</t>
  </si>
  <si>
    <t>Dispêndios e Despesas Indedutíveis</t>
  </si>
  <si>
    <t>Dispêndios e Despesas Rates</t>
  </si>
  <si>
    <t>RESULTADO DE OPERACOES FINANCEIRAS</t>
  </si>
  <si>
    <t>Ingressos e Receitas Financeiras</t>
  </si>
  <si>
    <t>OUTROS INGRESSOS E  REC. OPERACIONAIS</t>
  </si>
  <si>
    <t>(-) Outros Dispêndios e Despesas Operacionais</t>
  </si>
  <si>
    <t>SOBRA E LUCRO LÍQUIDO OPERACIONAL</t>
  </si>
  <si>
    <t>RESULTADO ANTES DOS IMPOSTOS</t>
  </si>
  <si>
    <t>Ingressos e Receitas não Operac.</t>
  </si>
  <si>
    <t>SOBRA E LUCRO DO EXERCÍCIO ANTES DOS IMPOSTOS</t>
  </si>
  <si>
    <t>(-) IRPJ</t>
  </si>
  <si>
    <t>(-) CSSL</t>
  </si>
  <si>
    <t>SOBRAS ANTES DAS DESTIN.  LEGAIS ESTATUTÁRIAS</t>
  </si>
  <si>
    <t>Transf. para o Rates do Lucro Não Cooperado</t>
  </si>
  <si>
    <t>(-) DESTINAÇÕES LEGAIS E ESTATUTÁRIAS</t>
  </si>
  <si>
    <t>RATES - 5,0%</t>
  </si>
  <si>
    <t>Fundo de Imobilização - 70%</t>
  </si>
  <si>
    <t>SOBRAS A DISPOSIÇÃO DA A.G.O</t>
  </si>
  <si>
    <t>DEMONSTRATIVO DE SOBRAS E PERDAS</t>
  </si>
  <si>
    <t>(Valores em Reais)</t>
  </si>
  <si>
    <t>SETORES</t>
  </si>
  <si>
    <t>Cooperados</t>
  </si>
  <si>
    <t>Geral</t>
  </si>
  <si>
    <t>SOJA</t>
  </si>
  <si>
    <t>Valores</t>
  </si>
  <si>
    <t>Ingressos/Receitas Operacionais</t>
  </si>
  <si>
    <t>Outras Receitas Operacionais</t>
  </si>
  <si>
    <t>(-) Devoluções de Ingressos</t>
  </si>
  <si>
    <t>(-) Impostos sobre Ingressos</t>
  </si>
  <si>
    <t>(-) Dispêndios/Custos Diretos</t>
  </si>
  <si>
    <t>Resultado Operacional</t>
  </si>
  <si>
    <t>MILHO</t>
  </si>
  <si>
    <t>TRIGO</t>
  </si>
  <si>
    <t>FEIJAO</t>
  </si>
  <si>
    <t>QUIRERA</t>
  </si>
  <si>
    <t>INSUMOS</t>
  </si>
  <si>
    <t>SERVIÇOS PRESTADOS</t>
  </si>
  <si>
    <t>DEFENSIVOS</t>
  </si>
  <si>
    <t>HERBICIDAS</t>
  </si>
  <si>
    <t>INSETICIDAS</t>
  </si>
  <si>
    <t>FUNGICIDA</t>
  </si>
  <si>
    <t>ESPALHANTE</t>
  </si>
  <si>
    <t>REGULADOR DE CRESCIMENTO</t>
  </si>
  <si>
    <t>ADJUVANTE</t>
  </si>
  <si>
    <t>SEMENTES</t>
  </si>
  <si>
    <t>SEMENTES DE SOJA</t>
  </si>
  <si>
    <t>SEMENTE DE MILHO</t>
  </si>
  <si>
    <t>SEMENTE DE TRIGO</t>
  </si>
  <si>
    <t>SEMENTE DE FEIJAO</t>
  </si>
  <si>
    <t>SEMENTE DE AVEIA</t>
  </si>
  <si>
    <t>SEMENTE DE MILHETO</t>
  </si>
  <si>
    <t>FERTILIZANTE</t>
  </si>
  <si>
    <t>FERTILIZANTE FORMULADO</t>
  </si>
  <si>
    <t>UREIA</t>
  </si>
  <si>
    <t>NITRATO</t>
  </si>
  <si>
    <t>CLORETO DE POTASSIO</t>
  </si>
  <si>
    <t>MAP</t>
  </si>
  <si>
    <t>FERTILIZANTE CORRETIVO</t>
  </si>
  <si>
    <t>FERTILIZANTE LIQUIDO</t>
  </si>
  <si>
    <t>OUTRAS MERCADORIAS</t>
  </si>
  <si>
    <t>PO DE GRAFITE</t>
  </si>
  <si>
    <t>EPI</t>
  </si>
  <si>
    <t>OLEO LUBRIFICANTE</t>
  </si>
  <si>
    <t>ESPUMA E POLICLARO</t>
  </si>
  <si>
    <t>TALCO</t>
  </si>
  <si>
    <t>LENHA</t>
  </si>
  <si>
    <t>PRODUCAO SEMENTE ACABADA</t>
  </si>
  <si>
    <t>PRODUCAO SEMENTE NÃO TRATADA (NT)</t>
  </si>
  <si>
    <t>SEMENTE DE SOJA NT</t>
  </si>
  <si>
    <t>SEMENTE DE TRIGO NT</t>
  </si>
  <si>
    <t>SEMENTE DE FEIJAO NT</t>
  </si>
  <si>
    <t>SEMENTE DE AVEIA NT</t>
  </si>
  <si>
    <t xml:space="preserve">PRODUCAO SEMENTE TRATADA </t>
  </si>
  <si>
    <t>SEMENTE DE SOJA</t>
  </si>
  <si>
    <t>SERVIÇOS</t>
  </si>
  <si>
    <t>FRETES</t>
  </si>
  <si>
    <t>CEVADA</t>
  </si>
  <si>
    <t>BASE DE CÁLCULO DA CONTRIBUIÇÃO SOCIAL</t>
  </si>
  <si>
    <t>MÊS: SETEMBRO/2015</t>
  </si>
  <si>
    <t>PERCENTUAL OPER. TERC.</t>
  </si>
  <si>
    <t>HISTÓRICO</t>
  </si>
  <si>
    <t>CALCULOS</t>
  </si>
  <si>
    <t>AJUSTES</t>
  </si>
  <si>
    <t>RESUMO</t>
  </si>
  <si>
    <t xml:space="preserve">  </t>
  </si>
  <si>
    <t>Resultado Líquido Antes da Contribuição Social</t>
  </si>
  <si>
    <t>ADIÇÕES</t>
  </si>
  <si>
    <t>Multas Indedutíveis</t>
  </si>
  <si>
    <t>EXCLUSÕES</t>
  </si>
  <si>
    <t>Sobras do Ato Cooperativo</t>
  </si>
  <si>
    <t>BASE ANTES DAS COMPENSAÇÕES</t>
  </si>
  <si>
    <t>(-) COMPENSAÇÃO PREJ. ATÉ 30%</t>
  </si>
  <si>
    <t>(=) BASE DE CÁLCULO DEPOIS COMP. PREJ. (9%)</t>
  </si>
  <si>
    <t>(=) CONTRIBUIÇÃO DEVIDA</t>
  </si>
  <si>
    <t>(-) IMPOSTO PAGO POR ESTIMATIVA</t>
  </si>
  <si>
    <t>(-) COMPENSAÇÃO</t>
  </si>
  <si>
    <t>SALDO A RECOLHER - 2484</t>
  </si>
  <si>
    <t>Reconhecemos a exatidão do presente demonstrativo.</t>
  </si>
  <si>
    <t xml:space="preserve">                                                              (Valores em R$)</t>
  </si>
  <si>
    <t>LIVRO  DE APURAÇÃO LUCRO REAL - LALUR</t>
  </si>
  <si>
    <t>PARTE A -  REGISTRO DOS AJUSTES DO LUCRO LÍQUIDO DO EXERCÍCIO</t>
  </si>
  <si>
    <t>DATA</t>
  </si>
  <si>
    <t>PROPORCIONALIDADE DAS</t>
  </si>
  <si>
    <t>OPERAÇÕES COM TERCEIROS</t>
  </si>
  <si>
    <t>%</t>
  </si>
  <si>
    <t>RECEITA LIQUIDA OPERACIONAL</t>
  </si>
  <si>
    <t xml:space="preserve">RECEITA OPERACIONAL COM </t>
  </si>
  <si>
    <t>ASSOCIADOS</t>
  </si>
  <si>
    <t>RECEITA OPERACIONAL COM</t>
  </si>
  <si>
    <t>TERCEIROS</t>
  </si>
  <si>
    <t>RESULTADO ATO COOPERADO</t>
  </si>
  <si>
    <t>DEMONSTRAÇÃO DO LUCRO REAL</t>
  </si>
  <si>
    <t>1-</t>
  </si>
  <si>
    <t>RESULTADO LÍQUIDO ANTES DO IR</t>
  </si>
  <si>
    <t>MEMORIA DO CALCULO IR</t>
  </si>
  <si>
    <t>2-</t>
  </si>
  <si>
    <t>Despesas Indedutíveis</t>
  </si>
  <si>
    <t>Perdas no mercado de renda variável</t>
  </si>
  <si>
    <t>3-</t>
  </si>
  <si>
    <t>Resultado do Ato Cooperativo</t>
  </si>
  <si>
    <t>Totais</t>
  </si>
  <si>
    <t>4-</t>
  </si>
  <si>
    <t>LUCRO REAL ANTES DA COMP. PREJ.</t>
  </si>
  <si>
    <t>5-</t>
  </si>
  <si>
    <t>COMP. PREJUÍZO FISCAL 30%</t>
  </si>
  <si>
    <t>6-</t>
  </si>
  <si>
    <t>LUCRO REAL TRIBUTÁVEL</t>
  </si>
  <si>
    <t>7-</t>
  </si>
  <si>
    <t>IRPJ - 2362</t>
  </si>
  <si>
    <t>COMPENSADO O IMPOSTO RETIDO NA FONTE ANTERIORMENTE</t>
  </si>
  <si>
    <t>1</t>
  </si>
  <si>
    <t>T</t>
  </si>
  <si>
    <t>D</t>
  </si>
  <si>
    <t>1.1</t>
  </si>
  <si>
    <t>1.1.1</t>
  </si>
  <si>
    <t>1.1.1.1.01</t>
  </si>
  <si>
    <t>Caixa - Matriz</t>
  </si>
  <si>
    <t>1.1.1.1.03</t>
  </si>
  <si>
    <t>Caixa - Filial 03</t>
  </si>
  <si>
    <t>1.1.1.1.04</t>
  </si>
  <si>
    <t>Caixa - Filial 04</t>
  </si>
  <si>
    <t>1.1.1.1.05</t>
  </si>
  <si>
    <t>Caixa - Filial 05</t>
  </si>
  <si>
    <t>1.1.1.1.07</t>
  </si>
  <si>
    <t>Caixa - Filial 09</t>
  </si>
  <si>
    <t>1.1.1.1.09</t>
  </si>
  <si>
    <t>Caixa - Filial 11</t>
  </si>
  <si>
    <t>1.1.1.1.11</t>
  </si>
  <si>
    <t>Caixa - Filial 13</t>
  </si>
  <si>
    <t>1.1.1.2.01</t>
  </si>
  <si>
    <t>Bancos Cta Corrente</t>
  </si>
  <si>
    <t>1.1.1.2.01.01</t>
  </si>
  <si>
    <t>Banco do Brasil - Cascavel</t>
  </si>
  <si>
    <t>1.1.1.2.01.03</t>
  </si>
  <si>
    <t>Banco do Brasil - Palma Sola</t>
  </si>
  <si>
    <t>1.1.1.2.01.05</t>
  </si>
  <si>
    <t>Itaú - Pato Branco</t>
  </si>
  <si>
    <t>1.1.1.2.01.06</t>
  </si>
  <si>
    <t>Bradesco - Cascavel</t>
  </si>
  <si>
    <t>1.1.1.2.01.07</t>
  </si>
  <si>
    <t>SICOOB - Pato Branco</t>
  </si>
  <si>
    <t>1.1.1.2.01.08</t>
  </si>
  <si>
    <t>SICOOB - São Lourenço D´Oeste</t>
  </si>
  <si>
    <t>1.1.1.2.01.09</t>
  </si>
  <si>
    <t>SICREDI - Pato Branco</t>
  </si>
  <si>
    <t>1.1.1.2.01.10</t>
  </si>
  <si>
    <t>SICREDI - Renascenca</t>
  </si>
  <si>
    <t>1.1.1.2.01.11</t>
  </si>
  <si>
    <t>Safra - Cascavel</t>
  </si>
  <si>
    <t>1.1.1.2.01.13</t>
  </si>
  <si>
    <t>Santander - Cascavel</t>
  </si>
  <si>
    <t/>
  </si>
  <si>
    <t>1.1.1.2.01.17</t>
  </si>
  <si>
    <t>SICREDI - Palma Sola</t>
  </si>
  <si>
    <t>1.1.1.2.01.19</t>
  </si>
  <si>
    <t>Banco do Brasil - Clevelândia Cascavel</t>
  </si>
  <si>
    <t>1.1.1.2.01.20</t>
  </si>
  <si>
    <t>Banco do Brasil - Renascença</t>
  </si>
  <si>
    <t>1.1.1.2.01.21</t>
  </si>
  <si>
    <t>SICREDI - Clevelandia</t>
  </si>
  <si>
    <t>1.1.1.2.01.22</t>
  </si>
  <si>
    <t>SICOOB - Sao Miguel Do Oeste</t>
  </si>
  <si>
    <t>1.1.1.2.01.23</t>
  </si>
  <si>
    <t>SICREDI - Vitorino</t>
  </si>
  <si>
    <t>1.1.1.2.01.24</t>
  </si>
  <si>
    <t>Banco do Brasil - Vitorino</t>
  </si>
  <si>
    <t>1.1.1.2.01.25</t>
  </si>
  <si>
    <t>Caixa Economica Federal - Matriz</t>
  </si>
  <si>
    <t>1.1.1.2.01.26</t>
  </si>
  <si>
    <t>Banco do Brasil - Palmas</t>
  </si>
  <si>
    <t>1.1.1.2.01.27</t>
  </si>
  <si>
    <t>SICREDI - Palmas</t>
  </si>
  <si>
    <t>1.1.1.2.02</t>
  </si>
  <si>
    <t>Bancos Conta Conciliação</t>
  </si>
  <si>
    <t>C</t>
  </si>
  <si>
    <t>1.1.1.2.02.01</t>
  </si>
  <si>
    <t>Banco do Brasil - Cascavel - CHEQUE</t>
  </si>
  <si>
    <t>1.1.1.2.02.02</t>
  </si>
  <si>
    <t>SICREDI - Pato Branco - CHEQUE</t>
  </si>
  <si>
    <t>1.1.1.2.02.04</t>
  </si>
  <si>
    <t>Banco do Brasil - Palma Sola - CHEQUE</t>
  </si>
  <si>
    <t>1.1.1.2.02.06</t>
  </si>
  <si>
    <t>Banco do Brasil - Renascença - CHEQUE</t>
  </si>
  <si>
    <t>1.1.1.2.02.07</t>
  </si>
  <si>
    <t>SICREDI - Palma Sola - CHEQUE</t>
  </si>
  <si>
    <t>1.1.1.2.02.08</t>
  </si>
  <si>
    <t>SICREDI - Clevelandia - CHEQUE</t>
  </si>
  <si>
    <t>1.1.1.2.02.09</t>
  </si>
  <si>
    <t>SICREDI - Vitorino - CHEQUE</t>
  </si>
  <si>
    <t>1.1.1.2.02.11</t>
  </si>
  <si>
    <t>SICREDI - Renascenca - CHEQUE</t>
  </si>
  <si>
    <t>1.1.1.2.02.12</t>
  </si>
  <si>
    <t>Caixa Economica Federal - Matriz - CHEQUE</t>
  </si>
  <si>
    <t>1.1.1.2.02.13</t>
  </si>
  <si>
    <t>SICOOB - Pato Branco - Cheque</t>
  </si>
  <si>
    <t>1.1.1.2.02.14</t>
  </si>
  <si>
    <t>SICREDI - Palmas - CHEQUE</t>
  </si>
  <si>
    <t>1.1.1.2.02.15</t>
  </si>
  <si>
    <t>Banco do Brasil - Palmas - CHEQUE</t>
  </si>
  <si>
    <t>1.1.1.2.02.16</t>
  </si>
  <si>
    <t>SICOOB - Sao Miguel Do Oeste - CHEQUE</t>
  </si>
  <si>
    <t>1.1.1.3</t>
  </si>
  <si>
    <t>Numerarios em Transito</t>
  </si>
  <si>
    <t>1.1.1.3.01</t>
  </si>
  <si>
    <t>Transferencia de Numerarios</t>
  </si>
  <si>
    <t>1.1.1.4.04</t>
  </si>
  <si>
    <t>1.1.1.4.06</t>
  </si>
  <si>
    <t>Aplicações Imediatas Banco Santander</t>
  </si>
  <si>
    <t>1.1.1.4.07</t>
  </si>
  <si>
    <t>Aplicações Imediatas Banco Safra</t>
  </si>
  <si>
    <t>1.1.1.4.09</t>
  </si>
  <si>
    <t>Aplicações Imediatas Caixa Economica Federal</t>
  </si>
  <si>
    <t>1.1.1.4.50</t>
  </si>
  <si>
    <t>Titulo de Capitalizacao Bradesco</t>
  </si>
  <si>
    <t>1.1.2</t>
  </si>
  <si>
    <t>1.1.2.1.11</t>
  </si>
  <si>
    <t>1.1.2.1.11.01</t>
  </si>
  <si>
    <t>Conta Corrente Cooperados</t>
  </si>
  <si>
    <t>1.1.2.1.11.01.01</t>
  </si>
  <si>
    <t>Adagir Acker</t>
  </si>
  <si>
    <t>Adalberto Antonio Dalponte</t>
  </si>
  <si>
    <t>Adelar Antoninho Polita</t>
  </si>
  <si>
    <t>Adelar Luis Rigo</t>
  </si>
  <si>
    <t>Adelir Capoani</t>
  </si>
  <si>
    <t>Ademar Fabiani Brugnera</t>
  </si>
  <si>
    <t>Ademilson Arlindo Batistella</t>
  </si>
  <si>
    <t>Ademir Bedin</t>
  </si>
  <si>
    <t>Ademir Brugnera</t>
  </si>
  <si>
    <t>Ademir Francisco Bosqueiro</t>
  </si>
  <si>
    <t>Ademir Godinho</t>
  </si>
  <si>
    <t>Adilson Sbabo</t>
  </si>
  <si>
    <t>Adolfo Luiz Menegatti</t>
  </si>
  <si>
    <t>Adonir Forest</t>
  </si>
  <si>
    <t>Adriano Forest</t>
  </si>
  <si>
    <t>Agricola Ghava Ltda EPP</t>
  </si>
  <si>
    <t>Agropecuaria Matelandia Ltda</t>
  </si>
  <si>
    <t>Agropecuaria Santa Rita de Cassia Ltda</t>
  </si>
  <si>
    <t>Alberto Busatto</t>
  </si>
  <si>
    <t>Albino Guarez</t>
  </si>
  <si>
    <t>Alcemar Boldori</t>
  </si>
  <si>
    <t>Alceni Zanella</t>
  </si>
  <si>
    <t>Alceu Viniarski e Outros</t>
  </si>
  <si>
    <t>Alcides Antonio Bresolin</t>
  </si>
  <si>
    <t>Alcir Vanderlei Soares Borges</t>
  </si>
  <si>
    <t>Aldemar Bohn</t>
  </si>
  <si>
    <t>Aldemir Antonio Rigo</t>
  </si>
  <si>
    <t>Alisson Andrei Deliberalli</t>
  </si>
  <si>
    <t>Almir Fabris</t>
  </si>
  <si>
    <t>Almir Rodrigo Sauthier e Outro</t>
  </si>
  <si>
    <t>Altair Isaac Benso</t>
  </si>
  <si>
    <t>Altair Marcos Deitos</t>
  </si>
  <si>
    <t>Altair Schaeffer</t>
  </si>
  <si>
    <t>Altemisto Giovani Vidor</t>
  </si>
  <si>
    <t>Amarildo Bolzan</t>
  </si>
  <si>
    <t>Amarildo Sartori Spagnoli</t>
  </si>
  <si>
    <t>Amarildo Smaniotto</t>
  </si>
  <si>
    <t>Amauri Stival</t>
  </si>
  <si>
    <t>Andre Luiz Ceni</t>
  </si>
  <si>
    <t>Andre Parizotto Davoglio</t>
  </si>
  <si>
    <t>Andre Valdir Scramocin</t>
  </si>
  <si>
    <t>Andrea Faria Virmond Demario e Outros</t>
  </si>
  <si>
    <t>Andrei Gomes de Almeida</t>
  </si>
  <si>
    <t>Andreia Pamela Periolo</t>
  </si>
  <si>
    <t>Anelio da Coreggio</t>
  </si>
  <si>
    <t>Anezio Wojciechowski</t>
  </si>
  <si>
    <t>Angelo Mamoru Hasegawa</t>
  </si>
  <si>
    <t>Angelo Zilmar Mozer</t>
  </si>
  <si>
    <t>Anilton Winiarski e Outros</t>
  </si>
  <si>
    <t>Anisio da Silva</t>
  </si>
  <si>
    <t>Anselmo Bugs Junior</t>
  </si>
  <si>
    <t>Antonio Merlini Cichelero</t>
  </si>
  <si>
    <t>Antonio Picolo</t>
  </si>
  <si>
    <t>Antonio Tomassoni</t>
  </si>
  <si>
    <t>Arai Balena</t>
  </si>
  <si>
    <t>Arcelino de Jesus da Silva Pacheco</t>
  </si>
  <si>
    <t>Ari Antonio Lorenzatto</t>
  </si>
  <si>
    <t>Ari Antonio Reisdoerfer</t>
  </si>
  <si>
    <t>Arlindo Pedro Cadorin</t>
  </si>
  <si>
    <t>Armerindo Miola</t>
  </si>
  <si>
    <t>Ary Boldrini</t>
  </si>
  <si>
    <t>Ary Marchetto</t>
  </si>
  <si>
    <t>Ary Roque Schneider</t>
  </si>
  <si>
    <t>Avelino Antonio Panhosatto</t>
  </si>
  <si>
    <t>Ayrton Jose Schneider</t>
  </si>
  <si>
    <t>Ayrton Sarda</t>
  </si>
  <si>
    <t>Balduino Angelo  Borsatti</t>
  </si>
  <si>
    <t>Barbara Rochelle Crestani e Outros</t>
  </si>
  <si>
    <t>Beloni Wilpert Correa</t>
  </si>
  <si>
    <t>Braulio Portela Maciel</t>
  </si>
  <si>
    <t>Carla Maria Zilli</t>
  </si>
  <si>
    <t>Carlos Alberto Guollo</t>
  </si>
  <si>
    <t>Carlos Dionei Giacomet</t>
  </si>
  <si>
    <t>Carlos Leandro Sartori Spagnoli</t>
  </si>
  <si>
    <t>Caroline Aparecida Verginaci</t>
  </si>
  <si>
    <t>Celestino De Bortoli</t>
  </si>
  <si>
    <t>Celestino Marcante Stanguerlin</t>
  </si>
  <si>
    <t>Celestino Reisdoerfer</t>
  </si>
  <si>
    <t>Celio Luis Mantelli</t>
  </si>
  <si>
    <t>Celso Gobetti</t>
  </si>
  <si>
    <t>Celso Gregolin</t>
  </si>
  <si>
    <t>Cezar Augusto Neuls</t>
  </si>
  <si>
    <t>Cidicley Caldatto</t>
  </si>
  <si>
    <t>Clair Joao Poletto</t>
  </si>
  <si>
    <t>Claudemir Siqueira Carneiro</t>
  </si>
  <si>
    <t>Claudenir Galvan</t>
  </si>
  <si>
    <t>Claudia Crestani</t>
  </si>
  <si>
    <t>Claudiomar Crestani</t>
  </si>
  <si>
    <t>Claudir Jose dos Santos</t>
  </si>
  <si>
    <t>Claudir Mantelli</t>
  </si>
  <si>
    <t>Cleber Ivan Grassi</t>
  </si>
  <si>
    <t>Cleber Roberto Caldato</t>
  </si>
  <si>
    <t>Cleci Grolli Denardin</t>
  </si>
  <si>
    <t>Cleiton Renosto</t>
  </si>
  <si>
    <t>Cleo Antonio Mantelli</t>
  </si>
  <si>
    <t>Cleomar Jose Mantelli</t>
  </si>
  <si>
    <t>Cooperativa Agroindustrial Forte</t>
  </si>
  <si>
    <t>Cooperdaluz Cooperativa Agroindustrial</t>
  </si>
  <si>
    <t>Cristiano Dubena</t>
  </si>
  <si>
    <t>Cristiano Tiago Dallanora</t>
  </si>
  <si>
    <t>Dalci Salvador Martarello</t>
  </si>
  <si>
    <t>Dalvino Chikoski Guarez</t>
  </si>
  <si>
    <t>Daniel Cesar Luvison</t>
  </si>
  <si>
    <t>Daniel Deveras</t>
  </si>
  <si>
    <t>Daniele Reisdoerfer</t>
  </si>
  <si>
    <t>Danilo Formentao</t>
  </si>
  <si>
    <t>Darci Gollmann</t>
  </si>
  <si>
    <t>Darci Maximino Peter</t>
  </si>
  <si>
    <t>Darcy Agustinho Berlatto</t>
  </si>
  <si>
    <t>Darcy Paloschi</t>
  </si>
  <si>
    <t>Darcy Soranco</t>
  </si>
  <si>
    <t>Darcy da Cruz Oliveira</t>
  </si>
  <si>
    <t>Dario Waldeni Griebeler</t>
  </si>
  <si>
    <t>David Zolet</t>
  </si>
  <si>
    <t>Decio Pancote</t>
  </si>
  <si>
    <t>Delmar Zanuz</t>
  </si>
  <si>
    <t>Deoclides Gheller</t>
  </si>
  <si>
    <t>Deoni Antonio Faccin</t>
  </si>
  <si>
    <t>Deonildo Salete Marin</t>
  </si>
  <si>
    <t>Dercio Zummach</t>
  </si>
  <si>
    <t>Devino Vidor</t>
  </si>
  <si>
    <t>Diamantino Marcante Stanguerlin</t>
  </si>
  <si>
    <t>Diego Bordin</t>
  </si>
  <si>
    <t>Diego Griebler</t>
  </si>
  <si>
    <t>Diego Joanan Benso</t>
  </si>
  <si>
    <t>Diego Rumaldo Philippsen</t>
  </si>
  <si>
    <t>Dieison Jose Link</t>
  </si>
  <si>
    <t>Dilmar Diovani Tortelli</t>
  </si>
  <si>
    <t>Dilmar Luiz Giacomini</t>
  </si>
  <si>
    <t>Dilson Bianchin</t>
  </si>
  <si>
    <t>Diogenes Mattei</t>
  </si>
  <si>
    <t>Dirceu Dalla Costa</t>
  </si>
  <si>
    <t>Disue Divino Vottri</t>
  </si>
  <si>
    <t>Eberson Adolfo Gollmann</t>
  </si>
  <si>
    <t>Eberson Adolfo Gollmann e Outros</t>
  </si>
  <si>
    <t>Edson Brocco</t>
  </si>
  <si>
    <t>Edson Martins de Moraes</t>
  </si>
  <si>
    <t>Edson Nei Salvadori Desconsi</t>
  </si>
  <si>
    <t>Edson Roberto Silveira</t>
  </si>
  <si>
    <t>Edson Tomassoni</t>
  </si>
  <si>
    <t>Edyson Boldrini</t>
  </si>
  <si>
    <t>Elcio Fabro</t>
  </si>
  <si>
    <t>Elcio Roque Zanella</t>
  </si>
  <si>
    <t>Elenita Fornari</t>
  </si>
  <si>
    <t>Eleomar Karloh</t>
  </si>
  <si>
    <t>Eliandro Cutchma</t>
  </si>
  <si>
    <t>Elias Cutchma</t>
  </si>
  <si>
    <t>Elias Koslinski</t>
  </si>
  <si>
    <t>Elio Mantelli</t>
  </si>
  <si>
    <t>Elizeu Jose Navarini</t>
  </si>
  <si>
    <t>Elso Luiz Zandona</t>
  </si>
  <si>
    <t>Elton Heone Gheller</t>
  </si>
  <si>
    <t>Erico Ribeiro Da Silva</t>
  </si>
  <si>
    <t>Ertile Domingos Guero</t>
  </si>
  <si>
    <t>Eucir Brocco</t>
  </si>
  <si>
    <t>Euclides Alberto Piana</t>
  </si>
  <si>
    <t>Euclides Brocco</t>
  </si>
  <si>
    <t>Evair Bras Gomes Lopes</t>
  </si>
  <si>
    <t>Everaldo Bocchi</t>
  </si>
  <si>
    <t>Everson Bisatto</t>
  </si>
  <si>
    <t>Everton Bisatto</t>
  </si>
  <si>
    <t>Fabio Jose Padovani</t>
  </si>
  <si>
    <t>Fernando Jose Badia</t>
  </si>
  <si>
    <t>Fernando Loregian</t>
  </si>
  <si>
    <t>Fernando Noriyuki Abe</t>
  </si>
  <si>
    <t>Flademir Echer</t>
  </si>
  <si>
    <t>Flavio Pacheco</t>
  </si>
  <si>
    <t>Francisco Renosto</t>
  </si>
  <si>
    <t>Francisco Tombini Tomassoni</t>
  </si>
  <si>
    <t>Geilto Gustmann</t>
  </si>
  <si>
    <t>Gelso Simioni</t>
  </si>
  <si>
    <t>Gelson Correa e Outros</t>
  </si>
  <si>
    <t>Gerson Joao Stasiak</t>
  </si>
  <si>
    <t>Getulio Luiz Guerro</t>
  </si>
  <si>
    <t>Gilberto Mezzomo</t>
  </si>
  <si>
    <t>Gilberto Oldoni Theodoro</t>
  </si>
  <si>
    <t>Gilmar Bisatto</t>
  </si>
  <si>
    <t>Gionei Spautz Granemann</t>
  </si>
  <si>
    <t>Gustavo Corazza</t>
  </si>
  <si>
    <t>Haroldo Wilson Farinon</t>
  </si>
  <si>
    <t>Heber Eleandro Dubena</t>
  </si>
  <si>
    <t>Heinbert Sand</t>
  </si>
  <si>
    <t>Helio Capeletti</t>
  </si>
  <si>
    <t>Helio Marcante</t>
  </si>
  <si>
    <t>Helmuth Fernando Neuls</t>
  </si>
  <si>
    <t>Hugo Tortelli</t>
  </si>
  <si>
    <t>Humberto Fernando Varaschin</t>
  </si>
  <si>
    <t>Idair Giacomin e Outros</t>
  </si>
  <si>
    <t>Idair Pedro Martarello</t>
  </si>
  <si>
    <t>Idemar Francisco Martarello</t>
  </si>
  <si>
    <t>Inor Francisco Manteli</t>
  </si>
  <si>
    <t>Insuagro Insumos Agricolas Ltda</t>
  </si>
  <si>
    <t>Iraci Zatti Merlo</t>
  </si>
  <si>
    <t>Irani Antonio Calgaro</t>
  </si>
  <si>
    <t>Irene Oldoni Theodoro Marini</t>
  </si>
  <si>
    <t>Irineu Biazolo</t>
  </si>
  <si>
    <t>Irineu Dubena</t>
  </si>
  <si>
    <t>Irineu Fabris</t>
  </si>
  <si>
    <t>Irineu Taparello</t>
  </si>
  <si>
    <t>Irineu Tesser</t>
  </si>
  <si>
    <t>Itacir Fabris</t>
  </si>
  <si>
    <t>Itamar Gregolin</t>
  </si>
  <si>
    <t>Ivaldino Carlos Rubertti</t>
  </si>
  <si>
    <t>Ivanir Dionisio Bernardi</t>
  </si>
  <si>
    <t>Ivanir Giacomin</t>
  </si>
  <si>
    <t>Ivanor de Faveri</t>
  </si>
  <si>
    <t>Ivo Irineu Stadnik</t>
  </si>
  <si>
    <t>Ivo Joao Tamagno</t>
  </si>
  <si>
    <t>Ivo Polo</t>
  </si>
  <si>
    <t>Ivo Rogerio Griebeler</t>
  </si>
  <si>
    <t>Jacir Clai Brustolin</t>
  </si>
  <si>
    <t>Jackes Wendel Festugatto</t>
  </si>
  <si>
    <t>Jaime Luiz Link</t>
  </si>
  <si>
    <t>Jaimor Zilio</t>
  </si>
  <si>
    <t>Jair Carlos Dalmolin</t>
  </si>
  <si>
    <t>Jair Irto Lora</t>
  </si>
  <si>
    <t>Jancar Anghinoni</t>
  </si>
  <si>
    <t>Jandir Bevilacqua</t>
  </si>
  <si>
    <t>Joanico Guzzo</t>
  </si>
  <si>
    <t>Joao Armando Kerber</t>
  </si>
  <si>
    <t>Joao Bruscato</t>
  </si>
  <si>
    <t>Joao Luiz Giertyas</t>
  </si>
  <si>
    <t>Joao Pedro Bonetti</t>
  </si>
  <si>
    <t>Joao Selvino Graff</t>
  </si>
  <si>
    <t>Joao Valderi Schmitt de Souza</t>
  </si>
  <si>
    <t>Joao Zanuz</t>
  </si>
  <si>
    <t>Jocimar Gnotti Biff</t>
  </si>
  <si>
    <t>Joel Luiz Lora</t>
  </si>
  <si>
    <t>Jorge Merlo</t>
  </si>
  <si>
    <t>Jose Ademir Link</t>
  </si>
  <si>
    <t>Jose Andrade</t>
  </si>
  <si>
    <t>Jose Antonio Luvison</t>
  </si>
  <si>
    <t>Jose Antonio Stefanello Rigon</t>
  </si>
  <si>
    <t>Jose Carlos Momesso</t>
  </si>
  <si>
    <t>Jose Carlos Rizzardi</t>
  </si>
  <si>
    <t>Jose Hupalo</t>
  </si>
  <si>
    <t>Jose Mantelli</t>
  </si>
  <si>
    <t>Jose Osmar Parizotto</t>
  </si>
  <si>
    <t>Jose Reinoldo Bayerle</t>
  </si>
  <si>
    <t>Joslei Martinello</t>
  </si>
  <si>
    <t>Juliano Bordin Merlo</t>
  </si>
  <si>
    <t>Julinho Tonus e Outros</t>
  </si>
  <si>
    <t>Junior Antonio Gollmann</t>
  </si>
  <si>
    <t>Junior Luiz Buratto</t>
  </si>
  <si>
    <t>Junior Mendes Leal</t>
  </si>
  <si>
    <t>Juremir Elcio Behm</t>
  </si>
  <si>
    <t>Laelco Ruaro</t>
  </si>
  <si>
    <t>Laurindo Baldissera</t>
  </si>
  <si>
    <t>Lauro Tonon</t>
  </si>
  <si>
    <t>Leandro Formentao</t>
  </si>
  <si>
    <t>Leandro Pacheco</t>
  </si>
  <si>
    <t>Leila Marcia Tesser Augusto e Outros</t>
  </si>
  <si>
    <t>Leoci Scalabrin</t>
  </si>
  <si>
    <t>Leocimar Bolzan</t>
  </si>
  <si>
    <t>Leonardo Rancatti</t>
  </si>
  <si>
    <t>Leonardo Slomochenski</t>
  </si>
  <si>
    <t>Lindemar de Oliveira Vieira</t>
  </si>
  <si>
    <t>Lino Zolett</t>
  </si>
  <si>
    <t>Loiri Vicente Regner</t>
  </si>
  <si>
    <t>Lucas Eduardo Behm</t>
  </si>
  <si>
    <t>Lucival Beutler</t>
  </si>
  <si>
    <t>Luis Cirilo Paludo</t>
  </si>
  <si>
    <t>Luiz Antonio Ferreira Terres</t>
  </si>
  <si>
    <t>Luiz Carlos Zandona</t>
  </si>
  <si>
    <t>Luiz Henrique Crestani</t>
  </si>
  <si>
    <t>Luiz de Lima Sobrinho</t>
  </si>
  <si>
    <t>Maira Regina Brocco Ceni</t>
  </si>
  <si>
    <t>Marcelo Ortolan</t>
  </si>
  <si>
    <t>Marcelo Polo</t>
  </si>
  <si>
    <t>Marciano Manteli</t>
  </si>
  <si>
    <t>Marcio Guidini</t>
  </si>
  <si>
    <t>Marcos Antonio Gritti</t>
  </si>
  <si>
    <t>Marcos Antonio Rampanelli</t>
  </si>
  <si>
    <t>Mariana Aparecida Pereira Langaro</t>
  </si>
  <si>
    <t>Marines Garcia da Rosa</t>
  </si>
  <si>
    <t>Mario Lindenberg Junior</t>
  </si>
  <si>
    <t>Mario Sergio Schmitt de Souza</t>
  </si>
  <si>
    <t>Marlinho Luiz Coraza</t>
  </si>
  <si>
    <t>Mateus da Silva de Andrade</t>
  </si>
  <si>
    <t>Matheus Henrique Barreta</t>
  </si>
  <si>
    <t>Mauricio Loregian</t>
  </si>
  <si>
    <t>Maurilhio Bertoldo</t>
  </si>
  <si>
    <t>Mauro Antonio Merlo</t>
  </si>
  <si>
    <t>Mauro Luiz Camilotti</t>
  </si>
  <si>
    <t>Maximino Jandir Strapasson</t>
  </si>
  <si>
    <t>Miguel Marcolina</t>
  </si>
  <si>
    <t>Nadir Bordin</t>
  </si>
  <si>
    <t>Nadir Caldato</t>
  </si>
  <si>
    <t>Nair Antonio de Faveri</t>
  </si>
  <si>
    <t>Nedio Luckemeier</t>
  </si>
  <si>
    <t>Nedio Tonus</t>
  </si>
  <si>
    <t>Neimar Alves Pereira</t>
  </si>
  <si>
    <t>Neivo Roberto Cavallier</t>
  </si>
  <si>
    <t>Nelson Luckemeier</t>
  </si>
  <si>
    <t>Nelson Luiz Gottardi</t>
  </si>
  <si>
    <t>Nelson Rogerio Pereira</t>
  </si>
  <si>
    <t>Nery Antonio Andriola</t>
  </si>
  <si>
    <t>Nicolau Prochera</t>
  </si>
  <si>
    <t>Nilson Jose Crestani</t>
  </si>
  <si>
    <t>Nilson Pedro Schwingel</t>
  </si>
  <si>
    <t>Nilton Carneiro</t>
  </si>
  <si>
    <t>Nilvo Koch</t>
  </si>
  <si>
    <t>Nilvo Luiz Regner</t>
  </si>
  <si>
    <t>Norihisa Abe</t>
  </si>
  <si>
    <t>Normelio Catusso</t>
  </si>
  <si>
    <t>Oderlei Cardoso dos Santos</t>
  </si>
  <si>
    <t>Odimar Baroni</t>
  </si>
  <si>
    <t>Onivaldo Kerber</t>
  </si>
  <si>
    <t>Orlando Antonio Rother</t>
  </si>
  <si>
    <t>Oudivano Souza Melo</t>
  </si>
  <si>
    <t>Ourides Iung de Mello</t>
  </si>
  <si>
    <t>Paul Pernlochner</t>
  </si>
  <si>
    <t>Paulino Jabornik</t>
  </si>
  <si>
    <t>Paulo Biondo</t>
  </si>
  <si>
    <t>Paulo Luiz Mantelli</t>
  </si>
  <si>
    <t>Paulo Rancatti</t>
  </si>
  <si>
    <t>Paulo Renato Santos e Silva</t>
  </si>
  <si>
    <t>Paulo Rudinei Barboza</t>
  </si>
  <si>
    <t>Paulo Schnorberger</t>
  </si>
  <si>
    <t>Paulo Vitor Lazarin</t>
  </si>
  <si>
    <t>Pedro Espedito Lorenzetti</t>
  </si>
  <si>
    <t>Pedro Espedito Lorenzetti Junior</t>
  </si>
  <si>
    <t>Pedro Martinello</t>
  </si>
  <si>
    <t>Pedro Pagno</t>
  </si>
  <si>
    <t>Pedro Paulo Carneiro</t>
  </si>
  <si>
    <t>Pedro Perin</t>
  </si>
  <si>
    <t>Rafael Reisdoerfer</t>
  </si>
  <si>
    <t>Rafael Rodrigo Oldoni</t>
  </si>
  <si>
    <t>Rafael de Freitas Renosto</t>
  </si>
  <si>
    <t>Reginaldo Antonio Sorgatto</t>
  </si>
  <si>
    <t>Renato Valentini</t>
  </si>
  <si>
    <t>Reni Deliberalli</t>
  </si>
  <si>
    <t>Ricardo Dos Santos Ghidini</t>
  </si>
  <si>
    <t>Roberto Hasse</t>
  </si>
  <si>
    <t>Roberto Kazuto Hasegawa</t>
  </si>
  <si>
    <t>Roberto Luiz Tosatti</t>
  </si>
  <si>
    <t>Roberto Nicola</t>
  </si>
  <si>
    <t>Roberto Sartor</t>
  </si>
  <si>
    <t>Rogerio Raspolt</t>
  </si>
  <si>
    <t>Rogerio Volmir Calgaro</t>
  </si>
  <si>
    <t>Rogerio Volmir Calgaro Junior</t>
  </si>
  <si>
    <t>Ronaldo Tesser</t>
  </si>
  <si>
    <t>Roque Lucio Klein</t>
  </si>
  <si>
    <t>Rosmari Fatima Zanella Lago</t>
  </si>
  <si>
    <t>Rudi Gollmann</t>
  </si>
  <si>
    <t>Rudimar Tonus</t>
  </si>
  <si>
    <t>Rui Mantelli</t>
  </si>
  <si>
    <t>Sadiomar da Silva</t>
  </si>
  <si>
    <t>Sandro Antonietti</t>
  </si>
  <si>
    <t>Sandro Roberto Hasse</t>
  </si>
  <si>
    <t>Selson Caldato</t>
  </si>
  <si>
    <t>Selvino Guarez</t>
  </si>
  <si>
    <t>Sergio Karpinski</t>
  </si>
  <si>
    <t>Sidenei Angelo Zandona</t>
  </si>
  <si>
    <t>Sigmundo Pernlochner</t>
  </si>
  <si>
    <t>Silmar Ghidini</t>
  </si>
  <si>
    <t>Silvestre Pagnoncelli</t>
  </si>
  <si>
    <t>Silvio Hasse</t>
  </si>
  <si>
    <t>Tatiana Vanessa dos Santos</t>
  </si>
  <si>
    <t>Tayrone Balancelli Bodanese</t>
  </si>
  <si>
    <t>Thiago Wilpert Correa</t>
  </si>
  <si>
    <t>Ulisse Jose Burile</t>
  </si>
  <si>
    <t>Vagner Duda e Outro</t>
  </si>
  <si>
    <t>Valdecir Jose Lorenzi</t>
  </si>
  <si>
    <t>Valdecir Jose Ramos</t>
  </si>
  <si>
    <t>Valdecir Ludwig</t>
  </si>
  <si>
    <t>Valdecir Santolin</t>
  </si>
  <si>
    <t>Valdemar Validio Reolon</t>
  </si>
  <si>
    <t>Valdir Antonio Davoglio</t>
  </si>
  <si>
    <t>Valdir Francisco Oldoni</t>
  </si>
  <si>
    <t>Valdir Grassi</t>
  </si>
  <si>
    <t>Valdir Jose Joao Bonetti</t>
  </si>
  <si>
    <t>Valdir Lasta</t>
  </si>
  <si>
    <t>Valdir Viola</t>
  </si>
  <si>
    <t>Valdirene Gomes de Souza</t>
  </si>
  <si>
    <t>Valmor Giacomin</t>
  </si>
  <si>
    <t>Valter Carloh</t>
  </si>
  <si>
    <t>Valter Jose de Costa</t>
  </si>
  <si>
    <t>Veridiane Zilli Peroni</t>
  </si>
  <si>
    <t>Vicente Gilberto Ferrazza</t>
  </si>
  <si>
    <t>Vicente Lucio Michaliszyn</t>
  </si>
  <si>
    <t>Vilmar Antonio Venson</t>
  </si>
  <si>
    <t>Vilmar Schaeffer</t>
  </si>
  <si>
    <t>Vilmo Pedro Borsatti</t>
  </si>
  <si>
    <t>Vilso Luiz Pasini</t>
  </si>
  <si>
    <t>Vilso Stadenik</t>
  </si>
  <si>
    <t>Vilson Monteiro</t>
  </si>
  <si>
    <t>Vilson Schaeffer</t>
  </si>
  <si>
    <t>Vilson Scopel</t>
  </si>
  <si>
    <t>Vinicius Benso</t>
  </si>
  <si>
    <t>Vinicius Dariel Bocchi</t>
  </si>
  <si>
    <t>Vitor Luis Preis Varaschin</t>
  </si>
  <si>
    <t>Volmar Antonio Caramori</t>
  </si>
  <si>
    <t>Volmir Luiz Pauletti</t>
  </si>
  <si>
    <t>Volnei Jaco Zandona</t>
  </si>
  <si>
    <t>Waldemiro Koprovski</t>
  </si>
  <si>
    <t>Waldir Facini</t>
  </si>
  <si>
    <t>Walter Antonio Arnoldo</t>
  </si>
  <si>
    <t>Willian Arthur Raspolt</t>
  </si>
  <si>
    <t>Wilson Cezar Lasta</t>
  </si>
  <si>
    <t>Wilson Daneluz</t>
  </si>
  <si>
    <t>Zeno Bosi</t>
  </si>
  <si>
    <t>Zereth Santos Junior</t>
  </si>
  <si>
    <t>1.1.2.1.12</t>
  </si>
  <si>
    <t>Cheques a Receber de Cooperado</t>
  </si>
  <si>
    <t>1.1.2.1.12.10</t>
  </si>
  <si>
    <t>Cheques A Receber de Cooperados</t>
  </si>
  <si>
    <t>1.1.2.1.12.20</t>
  </si>
  <si>
    <t>Cheques Devolvidos de Cooperados</t>
  </si>
  <si>
    <t>1.1.2.1.14</t>
  </si>
  <si>
    <t>Adiantamentos</t>
  </si>
  <si>
    <t>1.1.2.1.14.06</t>
  </si>
  <si>
    <t>Adiantamento a Cooperados</t>
  </si>
  <si>
    <t>1.1.2.1.14.06.01</t>
  </si>
  <si>
    <t>ADT-F Aires Candiotto</t>
  </si>
  <si>
    <t>ADT-F Rafael Giacomin</t>
  </si>
  <si>
    <t>1.1.2.2.12</t>
  </si>
  <si>
    <t>1.1.2.2.12.01</t>
  </si>
  <si>
    <t>1.1.2.2.12.01.01</t>
  </si>
  <si>
    <t>Adair Jose Grassi</t>
  </si>
  <si>
    <t>Adalir Camiccia</t>
  </si>
  <si>
    <t>Adilson Rossetti</t>
  </si>
  <si>
    <t>Agricola M K Ltda</t>
  </si>
  <si>
    <t>Agropecuaria Casa do Campo Ltda</t>
  </si>
  <si>
    <t>Andre Luis Zanatta</t>
  </si>
  <si>
    <t>Antonio Ivo da Cruz</t>
  </si>
  <si>
    <t>Antonio Orlandini</t>
  </si>
  <si>
    <t>Bayer S A</t>
  </si>
  <si>
    <t>Carlos Alberto Karkling</t>
  </si>
  <si>
    <t>Carlos Santos Siqueira 02347850989</t>
  </si>
  <si>
    <t>Carlos Zanchet</t>
  </si>
  <si>
    <t>Celso Sangali</t>
  </si>
  <si>
    <t>Ceneagro Centro de Negocios Agropecuario</t>
  </si>
  <si>
    <t>Claudenir Colla</t>
  </si>
  <si>
    <t>Claudio Luiz Celso</t>
  </si>
  <si>
    <t>Claudiomir Domingos Pagnoncelli</t>
  </si>
  <si>
    <t>Cleomar Ciquelero</t>
  </si>
  <si>
    <t>Cleverson Martins</t>
  </si>
  <si>
    <t>Cooperativa Agroindustrial Novicarnes</t>
  </si>
  <si>
    <t>Cooperativa De Transportes Bom Retiro</t>
  </si>
  <si>
    <t>Cooperativa de Transportes Bom Retiro</t>
  </si>
  <si>
    <t>Dal Ross Engenharia e Construcoes Ltda M</t>
  </si>
  <si>
    <t>Daniel Perin Bandeira</t>
  </si>
  <si>
    <t>Derli Carlos Cozer</t>
  </si>
  <si>
    <t>Dornelio Antonio Corlassoli</t>
  </si>
  <si>
    <t>Edilvano Selias Vaz</t>
  </si>
  <si>
    <t>Edson das Chagas Cassol</t>
  </si>
  <si>
    <t>Enio Tonus</t>
  </si>
  <si>
    <t>Evandro Erineu Dal Bosco Fabris</t>
  </si>
  <si>
    <t>Everaldo dos Reis</t>
  </si>
  <si>
    <t>Femila Comercio de Cereais Ltda</t>
  </si>
  <si>
    <t>Flavio Ferreira de Souza</t>
  </si>
  <si>
    <t>Francisco Ferreira Paz</t>
  </si>
  <si>
    <t>Gilberto Durigon</t>
  </si>
  <si>
    <t>Glauber Ferraza</t>
  </si>
  <si>
    <t>Isaias Joao Trainotti</t>
  </si>
  <si>
    <t>Jose Atilio Boaretto</t>
  </si>
  <si>
    <t>Jucemar Nichelle</t>
  </si>
  <si>
    <t>Kramer &amp; Cia Ltda EPP</t>
  </si>
  <si>
    <t>Leonir Marin</t>
  </si>
  <si>
    <t>Lia Carlota Muller</t>
  </si>
  <si>
    <t>Luiz Carlos Vidal de Andrade</t>
  </si>
  <si>
    <t>Luiz Fernando Bandeira</t>
  </si>
  <si>
    <t>Madalena Lazarin</t>
  </si>
  <si>
    <t>Martinho Representacoes Comerciais Ltda</t>
  </si>
  <si>
    <t>Mercosul Comercio de Cereais EIRELI ME</t>
  </si>
  <si>
    <t>Miranda Guerra e Cia Ltda</t>
  </si>
  <si>
    <t>Monsanto do Brasil Ltda</t>
  </si>
  <si>
    <t>Nadia Hupalo</t>
  </si>
  <si>
    <t>Nei Vieira</t>
  </si>
  <si>
    <t>Nerci Santin Junior</t>
  </si>
  <si>
    <t>Paulo Alfredo Kasper</t>
  </si>
  <si>
    <t>Pedro Marcelino Santin</t>
  </si>
  <si>
    <t>R Pivatto e Cia Ltda ME</t>
  </si>
  <si>
    <t>Sollo Sul Insumos Agricolas Ltda</t>
  </si>
  <si>
    <t>Syngenta Seeds Ltda</t>
  </si>
  <si>
    <t>Timac Agro Ind e Com de Fertilizantes Lt</t>
  </si>
  <si>
    <t>Valcir Zilli</t>
  </si>
  <si>
    <t>Valdir Marafon</t>
  </si>
  <si>
    <t>Veterinaria Schimar Ltda</t>
  </si>
  <si>
    <t>Vicente Vitor Lazarin</t>
  </si>
  <si>
    <t>1.1.2.2.13</t>
  </si>
  <si>
    <t>Cheques a Receber de Não Cooperado</t>
  </si>
  <si>
    <t>1.1.2.2.14</t>
  </si>
  <si>
    <t>1.1.2.2.14.02</t>
  </si>
  <si>
    <t>Adiantamento de Salarios</t>
  </si>
  <si>
    <t>1.1.2.2.14.04</t>
  </si>
  <si>
    <t>Adiantamento a Fornecedores</t>
  </si>
  <si>
    <t>1.1.2.2.14.04.01</t>
  </si>
  <si>
    <t>ADT-F C Vale Cooperativa Agroindustrial</t>
  </si>
  <si>
    <t>ADT-F Fertipar Fertilizantes do Parana Ltda</t>
  </si>
  <si>
    <t>ADT-F Fundacao de Apoio a Pesquisa Agricola</t>
  </si>
  <si>
    <t>ADT-F Geneze Sementes S A</t>
  </si>
  <si>
    <t>ADT-F Iguacu Celulose Papel S A</t>
  </si>
  <si>
    <t>ADT-F Iharabras SA Industrias Quimicas</t>
  </si>
  <si>
    <t>ADT-F Marcia Estela Sufredini Cominetti</t>
  </si>
  <si>
    <t>ADT-F Maria Goreti Bondan Me</t>
  </si>
  <si>
    <t>ADT-F Monsanto do Brasil Ltda</t>
  </si>
  <si>
    <t>ADT-F Scherer Industria Implementos Agricolas</t>
  </si>
  <si>
    <t>1.1.2.2.14.05</t>
  </si>
  <si>
    <t>Adiantamento Ferias</t>
  </si>
  <si>
    <t>1.1.2.5.01</t>
  </si>
  <si>
    <t>1.1.2.5.01.01</t>
  </si>
  <si>
    <t>Irrf A Recuperar</t>
  </si>
  <si>
    <t>1.1.2.5.01.02</t>
  </si>
  <si>
    <t>Irpj A Recuperar</t>
  </si>
  <si>
    <t>1.1.2.5.01.03</t>
  </si>
  <si>
    <t>Cssl A Recuperar</t>
  </si>
  <si>
    <t>1.1.2.5.01.05</t>
  </si>
  <si>
    <t>Icms Normal A Recuperar</t>
  </si>
  <si>
    <t>1.1.2.5.01.08</t>
  </si>
  <si>
    <t>Pis nao cumulativo  A Recuperar</t>
  </si>
  <si>
    <t>1.1.2.5.01.09</t>
  </si>
  <si>
    <t>Cofins  nao cumulativo A Recuperar</t>
  </si>
  <si>
    <t>1.1.2.5.01.10</t>
  </si>
  <si>
    <t>Inss A Recuperar</t>
  </si>
  <si>
    <t>1.1.2.5.01.12</t>
  </si>
  <si>
    <t>Pis nao cumulativo a recuperar energia eletrica</t>
  </si>
  <si>
    <t>1.1.2.5.01.13</t>
  </si>
  <si>
    <t>Pis nao cumulativo a recuperar fretes</t>
  </si>
  <si>
    <t>1.1.2.5.01.14</t>
  </si>
  <si>
    <t>Pis nao cumulativo a recuperar aluguel</t>
  </si>
  <si>
    <t>1.1.2.5.01.15</t>
  </si>
  <si>
    <t>Pis nao cumulativo a recuperar depreciacao maquina</t>
  </si>
  <si>
    <t>1.1.2.5.01.16</t>
  </si>
  <si>
    <t>Pis nao cumulativo a recuperar depreciacao veiculo</t>
  </si>
  <si>
    <t>1.1.2.5.01.17</t>
  </si>
  <si>
    <t>Cofins nao cumulativo a recuperar energia eletrica</t>
  </si>
  <si>
    <t>1.1.2.5.01.18</t>
  </si>
  <si>
    <t>Cofins nao cumulativo a recuperar fretes</t>
  </si>
  <si>
    <t>1.1.2.5.01.19</t>
  </si>
  <si>
    <t>Cofins nao cumulativo a recuperar aluguel</t>
  </si>
  <si>
    <t>1.1.2.5.01.20</t>
  </si>
  <si>
    <t>Cofins nao cumulativo a recuperar depreciacao maqu</t>
  </si>
  <si>
    <t>1.1.2.5.01.21</t>
  </si>
  <si>
    <t>Cofins nao cumulativo a recuperar depreciaco veicu</t>
  </si>
  <si>
    <t>1.1.2.7.01</t>
  </si>
  <si>
    <t>Bancos Conta Aplicacao</t>
  </si>
  <si>
    <t>1.1.2.7.01.01</t>
  </si>
  <si>
    <t>Aplicaçãoes Banco Itau</t>
  </si>
  <si>
    <t>1.1.2.8.01</t>
  </si>
  <si>
    <t>Bens destinados a Venda</t>
  </si>
  <si>
    <t>1.1.3</t>
  </si>
  <si>
    <t>1.1.3.1.01</t>
  </si>
  <si>
    <t>Produtos Agricolas</t>
  </si>
  <si>
    <t>1.1.3.1.01.01</t>
  </si>
  <si>
    <t>Produtos Para Industria</t>
  </si>
  <si>
    <t>1.1.3.1.01.01.01</t>
  </si>
  <si>
    <t>Soja</t>
  </si>
  <si>
    <t>1.1.3.1.01.01.01.01</t>
  </si>
  <si>
    <t>Estoque Inicial</t>
  </si>
  <si>
    <t>1.1.3.1.01.01.01.01.01</t>
  </si>
  <si>
    <t>1.1.3.1.01.01.01.02</t>
  </si>
  <si>
    <t>Compras de Mercadorias</t>
  </si>
  <si>
    <t>1.1.3.1.01.01.01.02.01</t>
  </si>
  <si>
    <t>Compras de Mercadorias - Cooperados</t>
  </si>
  <si>
    <t>1.1.3.1.01.01.01.02.02</t>
  </si>
  <si>
    <t>Compras de Mercadorias - Nao Cooperados</t>
  </si>
  <si>
    <t>1.1.3.1.01.01.01.08</t>
  </si>
  <si>
    <t>Transferencias</t>
  </si>
  <si>
    <t>1.1.3.1.01.01.01.08.02</t>
  </si>
  <si>
    <t>Transferencias Recebidas - Nao Cooperados</t>
  </si>
  <si>
    <t>1.1.3.1.01.01.01.50</t>
  </si>
  <si>
    <t>(-) Custos das Vendas E Ingressos</t>
  </si>
  <si>
    <t>(-) Custos dos Ingressos - Cooperados</t>
  </si>
  <si>
    <t>1.1.3.1.01.01.01.50.02</t>
  </si>
  <si>
    <t>(-) Custos das Vendas - Nao Cooperados</t>
  </si>
  <si>
    <t>1.1.3.1.01.01.01.56</t>
  </si>
  <si>
    <t>(-) Transferencias Expedidas</t>
  </si>
  <si>
    <t>1.1.3.1.01.01.01.56.02</t>
  </si>
  <si>
    <t>(-) Transferencias Expedidas - Nao Cooperados</t>
  </si>
  <si>
    <t>1.1.3.1.01.01.02</t>
  </si>
  <si>
    <t>Milho</t>
  </si>
  <si>
    <t>1.1.3.1.01.01.02.02</t>
  </si>
  <si>
    <t>1.1.3.1.01.01.02.02.01</t>
  </si>
  <si>
    <t>1.1.3.1.01.01.02.02.02</t>
  </si>
  <si>
    <t>1.1.3.1.01.01.02.08</t>
  </si>
  <si>
    <t>1.1.3.1.01.01.02.08.02</t>
  </si>
  <si>
    <t>1.1.3.1.01.01.02.50</t>
  </si>
  <si>
    <t>1.1.3.1.01.01.02.50.01</t>
  </si>
  <si>
    <t>1.1.3.1.01.01.02.50.02</t>
  </si>
  <si>
    <t>1.1.3.1.01.01.02.56</t>
  </si>
  <si>
    <t>1.1.3.1.01.01.02.56.02</t>
  </si>
  <si>
    <t>1.1.3.1.01.01.03</t>
  </si>
  <si>
    <t>Trigo</t>
  </si>
  <si>
    <t>1.1.3.1.01.01.03.01</t>
  </si>
  <si>
    <t>1.1.3.1.01.01.03.01.01</t>
  </si>
  <si>
    <t>1.1.3.1.01.01.03.02</t>
  </si>
  <si>
    <t>1.1.3.1.01.01.03.02.01</t>
  </si>
  <si>
    <t>1.1.3.1.01.01.03.02.02</t>
  </si>
  <si>
    <t>1.1.3.1.01.01.03.08</t>
  </si>
  <si>
    <t>1.1.3.1.01.01.03.08.02</t>
  </si>
  <si>
    <t>Outras Entradas</t>
  </si>
  <si>
    <t>1.1.3.1.01.01.03.50</t>
  </si>
  <si>
    <t>1.1.3.1.01.01.03.50.02</t>
  </si>
  <si>
    <t>1.1.3.1.01.01.03.56</t>
  </si>
  <si>
    <t>1.1.3.1.01.01.03.56.02</t>
  </si>
  <si>
    <t>1.1.3.1.01.01.04</t>
  </si>
  <si>
    <t>Feijão</t>
  </si>
  <si>
    <t>1.1.3.1.01.01.04.01</t>
  </si>
  <si>
    <t>1.1.3.1.01.01.04.01.01</t>
  </si>
  <si>
    <t>1.1.3.1.01.01.04.02</t>
  </si>
  <si>
    <t>1.1.3.1.01.01.04.02.01</t>
  </si>
  <si>
    <t>1.1.3.1.01.01.04.02.02</t>
  </si>
  <si>
    <t>1.1.3.1.01.01.04.08</t>
  </si>
  <si>
    <t>1.1.3.1.01.01.04.08.02</t>
  </si>
  <si>
    <t>1.1.3.1.01.01.04.50</t>
  </si>
  <si>
    <t>1.1.3.1.01.01.04.50.02</t>
  </si>
  <si>
    <t>Compra de Mercadorias</t>
  </si>
  <si>
    <t>Compra de Mercadorias - Cooperados</t>
  </si>
  <si>
    <t>1.1.3.1.01.02</t>
  </si>
  <si>
    <t>Produtos Destinados a Producao de Sementes</t>
  </si>
  <si>
    <t>1.1.3.1.01.02.01</t>
  </si>
  <si>
    <t>Soja DPS</t>
  </si>
  <si>
    <t>1.1.3.1.01.02.01.02</t>
  </si>
  <si>
    <t>Compra de Materia Prima</t>
  </si>
  <si>
    <t>1.1.3.1.01.02.01.02.01</t>
  </si>
  <si>
    <t>Compra de Materia Prima DPS - Cooperado</t>
  </si>
  <si>
    <t>1.1.3.1.01.02.01.08</t>
  </si>
  <si>
    <t>Transferencia</t>
  </si>
  <si>
    <t>1.1.3.1.01.02.01.08.02</t>
  </si>
  <si>
    <t>Transferencia Recebida - Nao Cooperado</t>
  </si>
  <si>
    <t>1.1.3.1.01.02.01.50</t>
  </si>
  <si>
    <t>(-) Custo das Vendas e Ingressos</t>
  </si>
  <si>
    <t>1.1.3.1.01.02.01.50.01</t>
  </si>
  <si>
    <t>1.1.3.1.01.02.01.56</t>
  </si>
  <si>
    <t>Transferencia Expedidas</t>
  </si>
  <si>
    <t>1.1.3.1.01.02.01.56.02</t>
  </si>
  <si>
    <t>1.1.3.1.01.02.01.70</t>
  </si>
  <si>
    <t>(-)Outras Saidas</t>
  </si>
  <si>
    <t>1.1.3.1.01.02.01.70.05</t>
  </si>
  <si>
    <t>1.1.3.1.01.02.01.70.10</t>
  </si>
  <si>
    <t>Estoque Inicial - Materia Prima DPS</t>
  </si>
  <si>
    <t>Transferencias Recebidas - Nao Cooperado</t>
  </si>
  <si>
    <t>1.1.3.1.01.02.03.70</t>
  </si>
  <si>
    <t>1.1.3.1.01.02.03.70.10</t>
  </si>
  <si>
    <t>(-) Transferencia Producao</t>
  </si>
  <si>
    <t>1.1.3.1.01.02.04.02</t>
  </si>
  <si>
    <t>1.1.3.1.01.02.04.02.01</t>
  </si>
  <si>
    <t>1.1.3.1.01.02.04.08</t>
  </si>
  <si>
    <t>Transferencia Recebida</t>
  </si>
  <si>
    <t>1.1.3.1.01.02.04.08.02</t>
  </si>
  <si>
    <t>1.1.3.1.01.02.04.56</t>
  </si>
  <si>
    <t>1.1.3.1.01.02.04.56.02</t>
  </si>
  <si>
    <t>1.1.3.1.01.02.04.70</t>
  </si>
  <si>
    <t>1.1.3.1.01.02.04.70.10</t>
  </si>
  <si>
    <t>(-) Outras Saidas</t>
  </si>
  <si>
    <t>1.1.3.1.02</t>
  </si>
  <si>
    <t>Insumos</t>
  </si>
  <si>
    <t>1.1.3.1.02.01</t>
  </si>
  <si>
    <t>Defensivos</t>
  </si>
  <si>
    <t>1.1.3.1.02.01.01</t>
  </si>
  <si>
    <t>Herbicidas</t>
  </si>
  <si>
    <t>1.1.3.1.02.01.01.01</t>
  </si>
  <si>
    <t>1.1.3.1.02.01.01.01.01</t>
  </si>
  <si>
    <t>1.1.3.1.02.01.01.02</t>
  </si>
  <si>
    <t>1.1.3.1.02.01.01.02.02</t>
  </si>
  <si>
    <t>1.1.3.1.02.01.01.08</t>
  </si>
  <si>
    <t>1.1.3.1.02.01.01.08.02</t>
  </si>
  <si>
    <t>1.1.3.1.02.01.01.50</t>
  </si>
  <si>
    <t>1.1.3.1.02.01.01.50.01</t>
  </si>
  <si>
    <t>1.1.3.1.02.01.01.50.02</t>
  </si>
  <si>
    <t>(-) Saidas por Devolucoes</t>
  </si>
  <si>
    <t>(-) Devolucoes de Compras - Nao Cooperados</t>
  </si>
  <si>
    <t>1.1.3.1.02.01.01.56</t>
  </si>
  <si>
    <t>1.1.3.1.02.01.01.56.02</t>
  </si>
  <si>
    <t>1.1.3.1.02.01.01.58</t>
  </si>
  <si>
    <t>(-) Bonificacoes Concedidas</t>
  </si>
  <si>
    <t>1.1.3.1.02.01.01.58.01</t>
  </si>
  <si>
    <t>(-) Bonificacoes Concedidas - Cooperados</t>
  </si>
  <si>
    <t>(-) Bonificacoes Concedidas - Nao Cooperados</t>
  </si>
  <si>
    <t>1.1.3.1.02.01.01.70</t>
  </si>
  <si>
    <t>(-) Consumo Proprio</t>
  </si>
  <si>
    <t>1.1.3.1.02.01.02</t>
  </si>
  <si>
    <t>Inseticidas</t>
  </si>
  <si>
    <t>1.1.3.1.02.01.02.01</t>
  </si>
  <si>
    <t>1.1.3.1.02.01.02.01.01</t>
  </si>
  <si>
    <t>1.1.3.1.02.01.02.02</t>
  </si>
  <si>
    <t>1.1.3.1.02.01.02.02.02</t>
  </si>
  <si>
    <t>1.1.3.1.02.01.02.08</t>
  </si>
  <si>
    <t>1.1.3.1.02.01.02.08.02</t>
  </si>
  <si>
    <t>Bonificacoes Recebidas - Nao Cooperados</t>
  </si>
  <si>
    <t>1.1.3.1.02.01.02.50</t>
  </si>
  <si>
    <t>1.1.3.1.02.01.02.50.01</t>
  </si>
  <si>
    <t>1.1.3.1.02.01.02.50.02</t>
  </si>
  <si>
    <t>1.1.3.1.02.01.02.56</t>
  </si>
  <si>
    <t>1.1.3.1.02.01.02.56.02</t>
  </si>
  <si>
    <t>1.1.3.1.02.01.02.58</t>
  </si>
  <si>
    <t>1.1.3.1.02.01.02.58.01</t>
  </si>
  <si>
    <t>1.1.3.1.02.01.03</t>
  </si>
  <si>
    <t>Fungicidas</t>
  </si>
  <si>
    <t>1.1.3.1.02.01.03.01</t>
  </si>
  <si>
    <t>1.1.3.1.02.01.03.01.01</t>
  </si>
  <si>
    <t>1.1.3.1.02.01.03.02</t>
  </si>
  <si>
    <t>1.1.3.1.02.01.03.02.02</t>
  </si>
  <si>
    <t>1.1.3.1.02.01.03.08</t>
  </si>
  <si>
    <t>1.1.3.1.02.01.03.08.02</t>
  </si>
  <si>
    <t>1.1.3.1.02.01.03.50</t>
  </si>
  <si>
    <t>1.1.3.1.02.01.03.50.01</t>
  </si>
  <si>
    <t>1.1.3.1.02.01.03.50.02</t>
  </si>
  <si>
    <t>1.1.3.1.02.01.03.56</t>
  </si>
  <si>
    <t>1.1.3.1.02.01.03.56.02</t>
  </si>
  <si>
    <t>1.1.3.1.02.01.03.58</t>
  </si>
  <si>
    <t>1.1.3.1.02.01.03.58.01</t>
  </si>
  <si>
    <t>1.1.3.1.02.01.03.70</t>
  </si>
  <si>
    <t>1.1.3.1.02.01.04</t>
  </si>
  <si>
    <t>Espalhantes</t>
  </si>
  <si>
    <t>1.1.3.1.02.01.04.01</t>
  </si>
  <si>
    <t>1.1.3.1.02.01.04.01.01</t>
  </si>
  <si>
    <t>1.1.3.1.02.01.04.08</t>
  </si>
  <si>
    <t>1.1.3.1.02.01.04.08.02</t>
  </si>
  <si>
    <t>1.1.3.1.02.01.04.50</t>
  </si>
  <si>
    <t>1.1.3.1.02.01.04.50.01</t>
  </si>
  <si>
    <t>1.1.3.1.02.01.04.56</t>
  </si>
  <si>
    <t>1.1.3.1.02.01.04.56.02</t>
  </si>
  <si>
    <t>1.1.3.1.02.01.05</t>
  </si>
  <si>
    <t>Regulador de Crescimento</t>
  </si>
  <si>
    <t>1.1.3.1.02.01.05.01</t>
  </si>
  <si>
    <t>1.1.3.1.02.01.05.01.01</t>
  </si>
  <si>
    <t>1.1.3.1.02.01.06</t>
  </si>
  <si>
    <t>Adjuvante</t>
  </si>
  <si>
    <t>1.1.3.1.02.01.06.01</t>
  </si>
  <si>
    <t>1.1.3.1.02.01.06.01.01</t>
  </si>
  <si>
    <t>1.1.3.1.02.01.06.02</t>
  </si>
  <si>
    <t>1.1.3.1.02.01.06.02.02</t>
  </si>
  <si>
    <t>1.1.3.1.02.01.06.08</t>
  </si>
  <si>
    <t>1.1.3.1.02.01.06.08.02</t>
  </si>
  <si>
    <t>1.1.3.1.02.01.06.50</t>
  </si>
  <si>
    <t>1.1.3.1.02.01.06.50.01</t>
  </si>
  <si>
    <t>1.1.3.1.02.01.06.50.02</t>
  </si>
  <si>
    <t>1.1.3.1.02.01.06.56</t>
  </si>
  <si>
    <t>1.1.3.1.02.01.06.56.02</t>
  </si>
  <si>
    <t>1.1.3.1.02.01.06.58</t>
  </si>
  <si>
    <t>1.1.3.1.02.01.06.58.01</t>
  </si>
  <si>
    <t>1.1.3.1.02.01.07</t>
  </si>
  <si>
    <t>Mercadorias de Uso Doméstico</t>
  </si>
  <si>
    <t>1.1.3.1.02.01.07.01</t>
  </si>
  <si>
    <t>1.1.3.1.02.01.07.01.01</t>
  </si>
  <si>
    <t>Compra de Mercadorias - Não Cooperados</t>
  </si>
  <si>
    <t>1.1.3.1.02.02</t>
  </si>
  <si>
    <t>Sementes</t>
  </si>
  <si>
    <t>Semente de Soja</t>
  </si>
  <si>
    <t>1.1.3.1.02.02.01.01</t>
  </si>
  <si>
    <t>1.1.3.1.02.02.01.01.01</t>
  </si>
  <si>
    <t>1.1.3.1.02.02.01.08</t>
  </si>
  <si>
    <t>1.1.3.1.02.02.01.08.02</t>
  </si>
  <si>
    <t>1.1.3.1.02.02.01.50</t>
  </si>
  <si>
    <t>1.1.3.1.02.02.01.50.01</t>
  </si>
  <si>
    <t>1.1.3.1.02.02.01.50.02</t>
  </si>
  <si>
    <t>1.1.3.1.02.02.01.56</t>
  </si>
  <si>
    <t>1.1.3.1.02.02.01.56.02</t>
  </si>
  <si>
    <t>1.1.3.1.02.02.01.58</t>
  </si>
  <si>
    <t>1.1.3.1.02.02.01.58.01</t>
  </si>
  <si>
    <t>1.1.3.1.02.02.02</t>
  </si>
  <si>
    <t>Semente de Milho</t>
  </si>
  <si>
    <t>1.1.3.1.02.02.02.01</t>
  </si>
  <si>
    <t>1.1.3.1.02.02.02.01.01</t>
  </si>
  <si>
    <t>1.1.3.1.02.02.02.02</t>
  </si>
  <si>
    <t>1.1.3.1.02.02.02.02.02</t>
  </si>
  <si>
    <t>1.1.3.1.02.02.02.08</t>
  </si>
  <si>
    <t>1.1.3.1.02.02.02.08.02</t>
  </si>
  <si>
    <t>1.1.3.1.02.02.02.50</t>
  </si>
  <si>
    <t>1.1.3.1.02.02.02.50.01</t>
  </si>
  <si>
    <t>1.1.3.1.02.02.02.50.02</t>
  </si>
  <si>
    <t>1.1.3.1.02.02.02.56</t>
  </si>
  <si>
    <t>1.1.3.1.02.02.02.56.02</t>
  </si>
  <si>
    <t>1.1.3.1.02.02.02.58</t>
  </si>
  <si>
    <t>1.1.3.1.02.02.02.58.01</t>
  </si>
  <si>
    <t>Semente de Trigo</t>
  </si>
  <si>
    <t>Semente de Feijao</t>
  </si>
  <si>
    <t>1.1.3.1.02.02.04.01</t>
  </si>
  <si>
    <t>1.1.3.1.02.02.04.01.01</t>
  </si>
  <si>
    <t>1.1.3.1.02.02.04.02</t>
  </si>
  <si>
    <t>1.1.3.1.02.02.04.02.02</t>
  </si>
  <si>
    <t>Semente de Triticale</t>
  </si>
  <si>
    <t>1.1.3.1.02.02.06</t>
  </si>
  <si>
    <t>Semente Aveia</t>
  </si>
  <si>
    <t>1.1.3.1.02.02.07</t>
  </si>
  <si>
    <t>Semente de Sorgo</t>
  </si>
  <si>
    <t>1.1.3.1.02.02.07.01</t>
  </si>
  <si>
    <t>1.1.3.1.02.02.07.01.01</t>
  </si>
  <si>
    <t>1.1.3.1.02.02.07.08</t>
  </si>
  <si>
    <t>1.1.3.1.02.02.07.08.02</t>
  </si>
  <si>
    <t>1.1.3.1.02.02.07.50</t>
  </si>
  <si>
    <t>1.1.3.1.02.02.07.50.01</t>
  </si>
  <si>
    <t>1.1.3.1.02.02.07.56</t>
  </si>
  <si>
    <t>1.1.3.1.02.02.07.56.02</t>
  </si>
  <si>
    <t>1.1.3.1.02.02.10</t>
  </si>
  <si>
    <t>Semente de Milheto</t>
  </si>
  <si>
    <t>1.1.3.1.02.02.10.01</t>
  </si>
  <si>
    <t>1.1.3.1.02.02.10.01.01</t>
  </si>
  <si>
    <t>1.1.3.1.02.02.10.08</t>
  </si>
  <si>
    <t>1.1.3.1.02.02.10.08.02</t>
  </si>
  <si>
    <t>1.1.3.1.02.02.10.50</t>
  </si>
  <si>
    <t>1.1.3.1.02.02.10.50.01</t>
  </si>
  <si>
    <t>1.1.3.1.02.02.10.50.02</t>
  </si>
  <si>
    <t>1.1.3.1.02.02.10.56</t>
  </si>
  <si>
    <t>1.1.3.1.02.02.10.56.02</t>
  </si>
  <si>
    <t>1.1.3.1.02.03</t>
  </si>
  <si>
    <t>Fertilizantes</t>
  </si>
  <si>
    <t>1.1.3.1.02.03.01</t>
  </si>
  <si>
    <t>Fertilizante Formulado</t>
  </si>
  <si>
    <t>1.1.3.1.02.03.01.01</t>
  </si>
  <si>
    <t>1.1.3.1.02.03.01.01.01</t>
  </si>
  <si>
    <t>1.1.3.1.02.03.01.02</t>
  </si>
  <si>
    <t>1.1.3.1.02.03.01.02.01</t>
  </si>
  <si>
    <t>1.1.3.1.02.03.01.02.02</t>
  </si>
  <si>
    <t>1.1.3.1.02.03.01.08</t>
  </si>
  <si>
    <t>1.1.3.1.02.03.01.08.02</t>
  </si>
  <si>
    <t>1.1.3.1.02.03.01.50</t>
  </si>
  <si>
    <t>1.1.3.1.02.03.01.50.01</t>
  </si>
  <si>
    <t>1.1.3.1.02.03.01.50.02</t>
  </si>
  <si>
    <t>1.1.3.1.02.03.01.56</t>
  </si>
  <si>
    <t>1.1.3.1.02.03.01.56.02</t>
  </si>
  <si>
    <t>1.1.3.1.02.03.01.58</t>
  </si>
  <si>
    <t>1.1.3.1.02.03.01.58.01</t>
  </si>
  <si>
    <t>1.1.3.1.02.03.02</t>
  </si>
  <si>
    <t>Uréia</t>
  </si>
  <si>
    <t>1.1.3.1.02.03.02.01</t>
  </si>
  <si>
    <t>1.1.3.1.02.03.02.01.01</t>
  </si>
  <si>
    <t>1.1.3.1.02.03.02.02</t>
  </si>
  <si>
    <t>1.1.3.1.02.03.02.02.01</t>
  </si>
  <si>
    <t>1.1.3.1.02.03.02.02.02</t>
  </si>
  <si>
    <t>1.1.3.1.02.03.02.08</t>
  </si>
  <si>
    <t>1.1.3.1.02.03.02.08.02</t>
  </si>
  <si>
    <t>1.1.3.1.02.03.02.50</t>
  </si>
  <si>
    <t>1.1.3.1.02.03.02.50.01</t>
  </si>
  <si>
    <t>1.1.3.1.02.03.02.50.02</t>
  </si>
  <si>
    <t>1.1.3.1.02.03.02.56</t>
  </si>
  <si>
    <t>1.1.3.1.02.03.02.56.02</t>
  </si>
  <si>
    <t>Nitrato</t>
  </si>
  <si>
    <t>1.1.3.1.02.03.04</t>
  </si>
  <si>
    <t>Cloreto de Potássio</t>
  </si>
  <si>
    <t>1.1.3.1.02.03.04.01</t>
  </si>
  <si>
    <t>1.1.3.1.02.03.04.01.01</t>
  </si>
  <si>
    <t>1.1.3.1.02.03.04.02</t>
  </si>
  <si>
    <t>1.1.3.1.02.03.04.02.02</t>
  </si>
  <si>
    <t>1.1.3.1.02.03.04.08</t>
  </si>
  <si>
    <t>1.1.3.1.02.03.04.08.02</t>
  </si>
  <si>
    <t>1.1.3.1.02.03.04.50</t>
  </si>
  <si>
    <t>1.1.3.1.02.03.04.50.01</t>
  </si>
  <si>
    <t>1.1.3.1.02.03.04.50.02</t>
  </si>
  <si>
    <t>1.1.3.1.02.03.04.56</t>
  </si>
  <si>
    <t>1.1.3.1.02.03.04.56.02</t>
  </si>
  <si>
    <t>1.1.3.1.02.03.06</t>
  </si>
  <si>
    <t>1.1.3.1.02.03.06.01</t>
  </si>
  <si>
    <t>1.1.3.1.02.03.06.01.01</t>
  </si>
  <si>
    <t>1.1.3.1.02.03.06.50</t>
  </si>
  <si>
    <t>1.1.3.1.02.03.06.50.01</t>
  </si>
  <si>
    <t>1.1.3.1.02.03.09</t>
  </si>
  <si>
    <t>Fertilizante Corretivo</t>
  </si>
  <si>
    <t>1.1.3.1.02.03.09.01</t>
  </si>
  <si>
    <t>1.1.3.1.02.03.09.01.01</t>
  </si>
  <si>
    <t>1.1.3.1.02.03.09.08</t>
  </si>
  <si>
    <t>1.1.3.1.02.03.09.08.02</t>
  </si>
  <si>
    <t>1.1.3.1.02.03.09.50</t>
  </si>
  <si>
    <t>1.1.3.1.02.03.09.50.01</t>
  </si>
  <si>
    <t>1.1.3.1.02.03.09.56</t>
  </si>
  <si>
    <t>1.1.3.1.02.03.09.56.02</t>
  </si>
  <si>
    <t>1.1.3.1.02.03.10</t>
  </si>
  <si>
    <t>Fertilizante Líquido</t>
  </si>
  <si>
    <t>1.1.3.1.02.03.10.01</t>
  </si>
  <si>
    <t>1.1.3.1.02.03.10.01.01</t>
  </si>
  <si>
    <t>1.1.3.1.02.03.10.02</t>
  </si>
  <si>
    <t>1.1.3.1.02.03.10.02.02</t>
  </si>
  <si>
    <t>1.1.3.1.02.03.10.08</t>
  </si>
  <si>
    <t>1.1.3.1.02.03.10.08.02</t>
  </si>
  <si>
    <t>1.1.3.1.02.03.10.50</t>
  </si>
  <si>
    <t>1.1.3.1.02.03.10.50.01</t>
  </si>
  <si>
    <t>1.1.3.1.02.03.10.50.02</t>
  </si>
  <si>
    <t>1.1.3.1.02.03.10.56</t>
  </si>
  <si>
    <t>1.1.3.1.02.03.10.56.02</t>
  </si>
  <si>
    <t>1.1.3.1.02.03.10.58</t>
  </si>
  <si>
    <t>1.1.3.1.02.03.10.58.01</t>
  </si>
  <si>
    <t>(-) Bonificações Concedidas - Cooperados</t>
  </si>
  <si>
    <t>1.1.3.1.02.03.10.58.02</t>
  </si>
  <si>
    <t>1.1.3.1.03</t>
  </si>
  <si>
    <t>Outras Mercadorias</t>
  </si>
  <si>
    <t>1.1.3.1.03.01</t>
  </si>
  <si>
    <t>Mercadorias Diversas</t>
  </si>
  <si>
    <t>1.1.3.1.03.01.02</t>
  </si>
  <si>
    <t>Discos, Aneis e Rosetas</t>
  </si>
  <si>
    <t>1.1.3.1.03.01.02.01</t>
  </si>
  <si>
    <t>1.1.3.1.03.01.02.01.01</t>
  </si>
  <si>
    <t>1.1.3.1.03.01.03</t>
  </si>
  <si>
    <t>Pó de Grafite</t>
  </si>
  <si>
    <t>1.1.3.1.03.01.03.01</t>
  </si>
  <si>
    <t>1.1.3.1.03.01.03.01.01</t>
  </si>
  <si>
    <t>1.1.3.1.03.01.03.08</t>
  </si>
  <si>
    <t>1.1.3.1.03.01.03.08.02</t>
  </si>
  <si>
    <t>1.1.3.1.03.01.03.50</t>
  </si>
  <si>
    <t>1.1.3.1.03.01.03.50.01</t>
  </si>
  <si>
    <t>1.1.3.1.03.01.03.56</t>
  </si>
  <si>
    <t>1.1.3.1.03.01.03.56.02</t>
  </si>
  <si>
    <t>1.1.3.1.03.01.04</t>
  </si>
  <si>
    <t>Conjunto de EPI</t>
  </si>
  <si>
    <t>1.1.3.1.03.01.04.01</t>
  </si>
  <si>
    <t>1.1.3.1.03.01.04.01.01</t>
  </si>
  <si>
    <t>1.1.3.1.03.01.04.08</t>
  </si>
  <si>
    <t>1.1.3.1.03.01.04.08.02</t>
  </si>
  <si>
    <t>1.1.3.1.03.01.04.56</t>
  </si>
  <si>
    <t>1.1.3.1.03.01.04.56.02</t>
  </si>
  <si>
    <t>1.1.3.1.03.01.05</t>
  </si>
  <si>
    <t>Produto Tratamento de Semente</t>
  </si>
  <si>
    <t>1.1.3.1.03.01.05.01</t>
  </si>
  <si>
    <t>1.1.3.1.03.01.05.01.01</t>
  </si>
  <si>
    <t>1.1.3.1.03.01.06</t>
  </si>
  <si>
    <t>Oleo Lubrificante</t>
  </si>
  <si>
    <t>1.1.3.1.03.01.06.01</t>
  </si>
  <si>
    <t>1.1.3.1.03.01.06.01.01</t>
  </si>
  <si>
    <t>1.1.3.1.03.01.06.08</t>
  </si>
  <si>
    <t>1.1.3.1.03.01.06.08.02</t>
  </si>
  <si>
    <t>1.1.3.1.03.01.06.50</t>
  </si>
  <si>
    <t>1.1.3.1.03.01.06.50.01</t>
  </si>
  <si>
    <t>1.1.3.1.03.01.06.56</t>
  </si>
  <si>
    <t>1.1.3.1.03.01.06.56.02</t>
  </si>
  <si>
    <t>1.1.3.1.03.01.07</t>
  </si>
  <si>
    <t>Espuma e Policlaro</t>
  </si>
  <si>
    <t>1.1.3.1.03.01.07.01</t>
  </si>
  <si>
    <t>1.1.3.1.03.01.07.01.01</t>
  </si>
  <si>
    <t>1.1.3.1.03.01.07.50</t>
  </si>
  <si>
    <t>Sacarias</t>
  </si>
  <si>
    <t>Peças e Acessorios</t>
  </si>
  <si>
    <t>1.1.3.1.03.01.14</t>
  </si>
  <si>
    <t>Talco Mineral</t>
  </si>
  <si>
    <t>1.1.3.1.03.01.14.02</t>
  </si>
  <si>
    <t>1.1.3.1.03.01.14.02.02</t>
  </si>
  <si>
    <t>Compra de Mercadoria - Nao Cooperados</t>
  </si>
  <si>
    <t>1.1.3.1.03.01.14.50</t>
  </si>
  <si>
    <t>1.1.3.1.03.01.14.50.01</t>
  </si>
  <si>
    <t>1.1.3.1.03.01.14.51</t>
  </si>
  <si>
    <t>Transferências</t>
  </si>
  <si>
    <t>1.1.3.1.03.01.14.51.1</t>
  </si>
  <si>
    <t>Transferencias Recebidas Nao Cooperados</t>
  </si>
  <si>
    <t>1.1.3.1.03.01.14.52</t>
  </si>
  <si>
    <t>Transferencias Expedidas</t>
  </si>
  <si>
    <t>1.1.3.1.03.01.14.52.1</t>
  </si>
  <si>
    <t>1.1.3.1.03.01.15</t>
  </si>
  <si>
    <t>Embalagens</t>
  </si>
  <si>
    <t>1.1.3.1.03.01.15.02</t>
  </si>
  <si>
    <t>1.1.3.1.03.01.15.02.02</t>
  </si>
  <si>
    <t>Compra de Mercadorias Nao Cooperados</t>
  </si>
  <si>
    <t>1.1.3.1.03.01.15.02.03</t>
  </si>
  <si>
    <t>Compra de Mercadorias - Producao -Nao Cooperados</t>
  </si>
  <si>
    <t>1.1.3.1.03.01.15.70</t>
  </si>
  <si>
    <t>1.1.3.1.03.01.15.70.10</t>
  </si>
  <si>
    <t>1.1.3.1.03.01.16</t>
  </si>
  <si>
    <t>Maquina Kiss</t>
  </si>
  <si>
    <t>Transferencias Recebidas</t>
  </si>
  <si>
    <t>1.1.3.1.04</t>
  </si>
  <si>
    <t>Materiais de Uso E Consumo</t>
  </si>
  <si>
    <t>1.1.3.1.04.01</t>
  </si>
  <si>
    <t>Materiais Diversos</t>
  </si>
  <si>
    <t>1.1.3.1.04.01.01</t>
  </si>
  <si>
    <t>Lenha</t>
  </si>
  <si>
    <t>1.1.3.1.04.01.01.01</t>
  </si>
  <si>
    <t>1.1.3.1.04.01.01.01.01</t>
  </si>
  <si>
    <t>1.1.3.1.04.01.01.02</t>
  </si>
  <si>
    <t>1.1.3.1.04.01.01.02.01</t>
  </si>
  <si>
    <t>1.1.3.1.04.01.01.02.02</t>
  </si>
  <si>
    <t>1.1.3.1.04.02</t>
  </si>
  <si>
    <t>Almoxarifado</t>
  </si>
  <si>
    <t>1.1.3.1.04.02.03</t>
  </si>
  <si>
    <t>Pecas/componentes e acessorios manutencao</t>
  </si>
  <si>
    <t>1.1.3.1.04.02.03.02</t>
  </si>
  <si>
    <t>1.1.3.1.04.02.03.02.02</t>
  </si>
  <si>
    <t>1.1.3.1.04.02.05</t>
  </si>
  <si>
    <t>Laboratório</t>
  </si>
  <si>
    <t>1.1.3.1.04.02.05.02</t>
  </si>
  <si>
    <t>1.1.3.1.04.02.05.02.02</t>
  </si>
  <si>
    <t>1.1.3.1.04.02.05.70</t>
  </si>
  <si>
    <t>1.1.3.1.04.02.05.70.01</t>
  </si>
  <si>
    <t>1.1.3.1.50</t>
  </si>
  <si>
    <t>Produto Acabado</t>
  </si>
  <si>
    <t>1.1.3.1.50.01</t>
  </si>
  <si>
    <t>Semente Produzida NT</t>
  </si>
  <si>
    <t>1.1.3.1.50.01.01</t>
  </si>
  <si>
    <t>1.1.3.1.50.01.01.01</t>
  </si>
  <si>
    <t>1.1.3.1.50.01.01.01.01</t>
  </si>
  <si>
    <t>1.1.3.1.50.01.01.08</t>
  </si>
  <si>
    <t>1.1.3.1.50.01.01.08.01</t>
  </si>
  <si>
    <t>1.1.3.1.50.01.01.50</t>
  </si>
  <si>
    <t>(-) Custos de Producao</t>
  </si>
  <si>
    <t>1.1.3.1.50.01.01.50.01</t>
  </si>
  <si>
    <t>(-) Custos dos Producao</t>
  </si>
  <si>
    <t>1.1.3.1.50.01.01.56</t>
  </si>
  <si>
    <t>1.1.3.1.50.01.01.56.01</t>
  </si>
  <si>
    <t xml:space="preserve">(-) Transferencias Expedidas </t>
  </si>
  <si>
    <t>1.1.3.1.50.01.04</t>
  </si>
  <si>
    <t>Semente de Feijao NT</t>
  </si>
  <si>
    <t>1.1.3.1.50.01.04.01</t>
  </si>
  <si>
    <t>1.1.3.1.50.01.04.01.01</t>
  </si>
  <si>
    <t>1.1.3.1.50.01.04.08</t>
  </si>
  <si>
    <t>1.1.3.1.50.01.04.08.01</t>
  </si>
  <si>
    <t>1.1.3.1.50.01.04.50</t>
  </si>
  <si>
    <t>1.1.3.1.50.01.04.50.01</t>
  </si>
  <si>
    <t>1.1.3.1.50.01.04.56</t>
  </si>
  <si>
    <t>1.1.3.1.50.01.04.56.01</t>
  </si>
  <si>
    <t>1.1.3.1.50.02</t>
  </si>
  <si>
    <t>Semente Produzida Tratada</t>
  </si>
  <si>
    <t>1.1.3.1.50.02.01</t>
  </si>
  <si>
    <t>1.1.3.1.50.02.01.01</t>
  </si>
  <si>
    <t>1.1.3.1.50.02.01.01.01</t>
  </si>
  <si>
    <t>1.1.3.1.50.02.01.08</t>
  </si>
  <si>
    <t>1.1.3.1.50.02.01.08.01</t>
  </si>
  <si>
    <t>1.1.3.1.50.02.01.50</t>
  </si>
  <si>
    <t>1.1.3.1.50.02.01.50.01</t>
  </si>
  <si>
    <t>1.1.3.1.50.02.01.56</t>
  </si>
  <si>
    <t>1.1.3.1.50.02.01.56.01</t>
  </si>
  <si>
    <t>1.1.3.1.50.02.04.01</t>
  </si>
  <si>
    <t>1.1.3.1.50.02.04.01.01</t>
  </si>
  <si>
    <t>1.1.3.1.50.02.04.08</t>
  </si>
  <si>
    <t>1.1.3.1.50.02.04.08.01</t>
  </si>
  <si>
    <t>1.1.3.1.50.02.04.50</t>
  </si>
  <si>
    <t>1.1.3.1.50.02.04.50.01</t>
  </si>
  <si>
    <t>1.1.3.1.50.02.04.56</t>
  </si>
  <si>
    <t>1.1.3.1.50.02.04.56.01</t>
  </si>
  <si>
    <t>1.1.3.1.70</t>
  </si>
  <si>
    <t>Produto em Elaboracao</t>
  </si>
  <si>
    <t>1.1.3.1.70.01</t>
  </si>
  <si>
    <t>Mao de Obra com Pessoal</t>
  </si>
  <si>
    <t>1.1.3.1.70.01.01</t>
  </si>
  <si>
    <t>Ordenados e Salarios - Producao</t>
  </si>
  <si>
    <t>1.1.3.1.70.01.02</t>
  </si>
  <si>
    <t>Horas Extras - Producao</t>
  </si>
  <si>
    <t>1.1.3.1.70.01.04</t>
  </si>
  <si>
    <t>Gratificacoes - Producao</t>
  </si>
  <si>
    <t>1.1.3.1.70.01.06</t>
  </si>
  <si>
    <t>Fgts - Producao</t>
  </si>
  <si>
    <t>1.1.3.1.70.01.07</t>
  </si>
  <si>
    <t>Inss - Producao</t>
  </si>
  <si>
    <t>1.1.3.1.70.01.08</t>
  </si>
  <si>
    <t>Pis Folha de Pagamento - Producao</t>
  </si>
  <si>
    <t>1.1.3.1.70.01.09</t>
  </si>
  <si>
    <t>Decimo Terceiro - Producao</t>
  </si>
  <si>
    <t>1.1.3.1.70.01.10</t>
  </si>
  <si>
    <t>Ferias - Producao</t>
  </si>
  <si>
    <t>1.1.3.1.70.01.14</t>
  </si>
  <si>
    <t>Mao de Obra de Terceiros - Producao</t>
  </si>
  <si>
    <t>1.1.3.1.70.01.17</t>
  </si>
  <si>
    <t>Refeicoes de Funcionarios - Producao</t>
  </si>
  <si>
    <t>1.1.3.1.70.01.22</t>
  </si>
  <si>
    <t>Periculosidade - Producao</t>
  </si>
  <si>
    <t>(-) Transferencias Produto Acabado</t>
  </si>
  <si>
    <t>1.1.3.1.70.10</t>
  </si>
  <si>
    <t>Materia Prima</t>
  </si>
  <si>
    <t>1.1.3.1.70.10.01</t>
  </si>
  <si>
    <t>1.1.3.1.70.10.01.01</t>
  </si>
  <si>
    <t>1.1.3.1.70.10.03</t>
  </si>
  <si>
    <t>Semente Trigo</t>
  </si>
  <si>
    <t>1.1.3.1.70.10.03.01</t>
  </si>
  <si>
    <t>1.1.3.1.70.10.04</t>
  </si>
  <si>
    <t>1.1.3.1.70.10.04.01</t>
  </si>
  <si>
    <t>1.1.3.1.70.20</t>
  </si>
  <si>
    <t>Dispendios Gerais de Producao</t>
  </si>
  <si>
    <t>1.1.3.1.70.20.02</t>
  </si>
  <si>
    <t>Energia Eletrica - Producao</t>
  </si>
  <si>
    <t>1.1.3.1.70.20.06</t>
  </si>
  <si>
    <t>Conservacao de Bens - Producao</t>
  </si>
  <si>
    <t>1.1.3.1.70.20.09</t>
  </si>
  <si>
    <t>Depreciacoes - Producao</t>
  </si>
  <si>
    <t>1.1.3.1.70.20.14</t>
  </si>
  <si>
    <t>Certificacao e Analise - Producao</t>
  </si>
  <si>
    <t>1.1.4</t>
  </si>
  <si>
    <t>1.1.4.1.01</t>
  </si>
  <si>
    <t>1.1.4.1.01.01</t>
  </si>
  <si>
    <t>1.1.4.1.01.01.01</t>
  </si>
  <si>
    <t>1.1.4.1.01.01.01.02</t>
  </si>
  <si>
    <t>Mercadorias Em deposito A Fixar</t>
  </si>
  <si>
    <t>1.1.4.1.01.01.01.03</t>
  </si>
  <si>
    <t>Mercadorias Em deposito A Fixar DPS</t>
  </si>
  <si>
    <t>1.1.4.1.01.01.01.04</t>
  </si>
  <si>
    <t>Mercadorias Em deposito</t>
  </si>
  <si>
    <t>1.1.4.1.01.01.02</t>
  </si>
  <si>
    <t>1.1.4.1.01.01.02.02</t>
  </si>
  <si>
    <t>1.1.4.1.01.01.02.04</t>
  </si>
  <si>
    <t>1.1.4.1.01.01.03</t>
  </si>
  <si>
    <t>1.1.4.1.01.01.03.02</t>
  </si>
  <si>
    <t>1.1.4.1.01.01.03.03</t>
  </si>
  <si>
    <t>1.1.4.1.01.01.03.04</t>
  </si>
  <si>
    <t>1.1.4.1.01.01.04</t>
  </si>
  <si>
    <t>1.1.4.1.01.01.04.02</t>
  </si>
  <si>
    <t>1.1.4.1.02</t>
  </si>
  <si>
    <t>1.1.4.1.02.02</t>
  </si>
  <si>
    <t>1.1.4.1.02.02.01</t>
  </si>
  <si>
    <t>1.1.4.1.02.02.01.01</t>
  </si>
  <si>
    <t>Mercadoria em Deposito</t>
  </si>
  <si>
    <t>1.1.4.1.50</t>
  </si>
  <si>
    <t>Sementes Produzidas</t>
  </si>
  <si>
    <t>1.1.4.1.50.01</t>
  </si>
  <si>
    <t>Semente NT</t>
  </si>
  <si>
    <t>1.1.4.1.50.01.01</t>
  </si>
  <si>
    <t>Semente Soja NT</t>
  </si>
  <si>
    <t>1.1.4.1.50.01.01.01</t>
  </si>
  <si>
    <t>Mercadorias em Deposito</t>
  </si>
  <si>
    <t>1.1.4.1.50.02</t>
  </si>
  <si>
    <t>Semente Tratada</t>
  </si>
  <si>
    <t>1.1.4.1.50.02.01</t>
  </si>
  <si>
    <t>Semente de Soja Tratada</t>
  </si>
  <si>
    <t>1.1.4.1.50.02.01.01</t>
  </si>
  <si>
    <t>1.1.5</t>
  </si>
  <si>
    <t>Estoques Em Transito</t>
  </si>
  <si>
    <t>1.1.5.1</t>
  </si>
  <si>
    <t>Mercadorias Em Transito</t>
  </si>
  <si>
    <t>1.1.5.1.01</t>
  </si>
  <si>
    <t>1.1.6</t>
  </si>
  <si>
    <t>1.1.6.1.02</t>
  </si>
  <si>
    <t>1.1.6.1.02.02</t>
  </si>
  <si>
    <t>1.1.6.1.02.02.01</t>
  </si>
  <si>
    <t>1.1.6.1.02.02.01.01</t>
  </si>
  <si>
    <t>Compras C/ Tradicao Futura</t>
  </si>
  <si>
    <t>1.1.6.1.02.02.01.02</t>
  </si>
  <si>
    <t>Compras A Conta E Ordem de Terceiros</t>
  </si>
  <si>
    <t>1.1.6.1.02.02.02</t>
  </si>
  <si>
    <t>1.1.6.1.02.02.02.01</t>
  </si>
  <si>
    <t>1.1.6.1.02.02.03</t>
  </si>
  <si>
    <t>1.1.6.1.02.02.03.01</t>
  </si>
  <si>
    <t>1.1.6.1.02.03</t>
  </si>
  <si>
    <t>1.1.6.1.02.03.01</t>
  </si>
  <si>
    <t>1.1.6.1.02.03.01.01</t>
  </si>
  <si>
    <t>Compra para Entrega Futura</t>
  </si>
  <si>
    <t>1.1.9</t>
  </si>
  <si>
    <t>1.1.9.1.01</t>
  </si>
  <si>
    <t>Dispendios A Apropriar</t>
  </si>
  <si>
    <t>1.1.9.1.01.02</t>
  </si>
  <si>
    <t>Encargos Financeiros a Apropriar</t>
  </si>
  <si>
    <t>1.1.9.1.01.03</t>
  </si>
  <si>
    <t>Premios de Seguros</t>
  </si>
  <si>
    <t>1.1.9.1.01.04</t>
  </si>
  <si>
    <t>Alugueis</t>
  </si>
  <si>
    <t>1.1.9.1.01.06</t>
  </si>
  <si>
    <t>Despesas Com Veiculos</t>
  </si>
  <si>
    <t>1.2</t>
  </si>
  <si>
    <t>Ativo não Circulante</t>
  </si>
  <si>
    <t>1.2.1</t>
  </si>
  <si>
    <t>1.2.1.1.11</t>
  </si>
  <si>
    <t>Creditos Com Cooperados</t>
  </si>
  <si>
    <t>1.2.1.1.11.60</t>
  </si>
  <si>
    <t>Creditos Cooperados</t>
  </si>
  <si>
    <t>1.2.1.2.12</t>
  </si>
  <si>
    <t>1.2.1.2.12.01</t>
  </si>
  <si>
    <t>1.2.3</t>
  </si>
  <si>
    <t>1.2.3.1.01</t>
  </si>
  <si>
    <t>Participacoes Em Instituicoes Financeiras</t>
  </si>
  <si>
    <t>1.2.3.1.01.01</t>
  </si>
  <si>
    <t>Participacoes Societarias</t>
  </si>
  <si>
    <t>1.2.3.1.03</t>
  </si>
  <si>
    <t>Direito de Uso Softwares</t>
  </si>
  <si>
    <t>1.2.3.1.03.01</t>
  </si>
  <si>
    <t>Softwares</t>
  </si>
  <si>
    <t>1.2.4</t>
  </si>
  <si>
    <t>1.2.4.1.01</t>
  </si>
  <si>
    <t>Valor Corrigido</t>
  </si>
  <si>
    <t>1.2.4.1.01.02</t>
  </si>
  <si>
    <t>Maquinas E Equipamentos Producao</t>
  </si>
  <si>
    <t>1.2.4.1.01.03</t>
  </si>
  <si>
    <t>Edificacoes</t>
  </si>
  <si>
    <t>1.2.4.1.01.04</t>
  </si>
  <si>
    <t>Equipamentos de Informatica</t>
  </si>
  <si>
    <t>1.2.4.1.01.06</t>
  </si>
  <si>
    <t>Equipamento de Escritorio</t>
  </si>
  <si>
    <t>1.2.4.1.01.08</t>
  </si>
  <si>
    <t>Moveis E Utensilios</t>
  </si>
  <si>
    <t>1.2.4.1.01.09</t>
  </si>
  <si>
    <t>Terrenos</t>
  </si>
  <si>
    <t>1.2.4.1.01.10</t>
  </si>
  <si>
    <t>Veiculos</t>
  </si>
  <si>
    <t>1.2.4.1.02</t>
  </si>
  <si>
    <t>1.2.4.1.02.01</t>
  </si>
  <si>
    <t>1.2.4.1.02.02</t>
  </si>
  <si>
    <t>1.2.4.1.02.04</t>
  </si>
  <si>
    <t>1.2.4.1.02.05</t>
  </si>
  <si>
    <t>1.2.4.1.02.06</t>
  </si>
  <si>
    <t>1.2.4.1.02.07</t>
  </si>
  <si>
    <t>1.2.4.2.01</t>
  </si>
  <si>
    <t>Construcao Em Andamento</t>
  </si>
  <si>
    <t>1.2.4.3.01</t>
  </si>
  <si>
    <t>Valor Corrigido Custo Atibuido</t>
  </si>
  <si>
    <t>1.2.4.3.01.01</t>
  </si>
  <si>
    <t>1.2.4.3.01.06</t>
  </si>
  <si>
    <t>1.2.4.3.01.07</t>
  </si>
  <si>
    <t>Maquinas e Equip. de Producao</t>
  </si>
  <si>
    <t>1.2.4.3.01.09</t>
  </si>
  <si>
    <t>1.2.4.3.02</t>
  </si>
  <si>
    <t>(-) Depreciacao Acumulada Custo Atribuido</t>
  </si>
  <si>
    <t>1.2.4.3.02.01</t>
  </si>
  <si>
    <t>1.2.4.3.02.06</t>
  </si>
  <si>
    <t>1.2.4.3.02.07</t>
  </si>
  <si>
    <t>1.2.5</t>
  </si>
  <si>
    <t>1.2.5.1.1</t>
  </si>
  <si>
    <t>1.5</t>
  </si>
  <si>
    <t>Ativo Compensado</t>
  </si>
  <si>
    <t>1.5.1</t>
  </si>
  <si>
    <t>Compensacao Ativa</t>
  </si>
  <si>
    <t>1.5.1.1</t>
  </si>
  <si>
    <t>1.5.1.1.01</t>
  </si>
  <si>
    <t>1.5.1.1.01.01</t>
  </si>
  <si>
    <t>1.5.1.1.01.01.01</t>
  </si>
  <si>
    <t>Remessa Para Emprestimo</t>
  </si>
  <si>
    <t>1.5.1.1.01.01.01.03</t>
  </si>
  <si>
    <t>Remessa Para deposito</t>
  </si>
  <si>
    <t>1.5.1.1.01.01.01.04</t>
  </si>
  <si>
    <t>Industrializacao por encomenda</t>
  </si>
  <si>
    <t>1.5.1.1.02</t>
  </si>
  <si>
    <t>1.5.1.1.02.01</t>
  </si>
  <si>
    <t>1.5.1.1.02.01.03</t>
  </si>
  <si>
    <t>1.5.1.1.02.01.03.01</t>
  </si>
  <si>
    <t>1.5.1.3</t>
  </si>
  <si>
    <t>Outras Compensacoes</t>
  </si>
  <si>
    <t>1.5.1.3.02</t>
  </si>
  <si>
    <t>Mercadorias Enviadas Para Conserto</t>
  </si>
  <si>
    <t>2</t>
  </si>
  <si>
    <t>2.1</t>
  </si>
  <si>
    <t>2.1.1</t>
  </si>
  <si>
    <t>2.1.1.1.26</t>
  </si>
  <si>
    <t>Financiamentos</t>
  </si>
  <si>
    <t>2.1.1.1.26.01</t>
  </si>
  <si>
    <t>Financiamentos Para Capital de Giro</t>
  </si>
  <si>
    <t>2.1.1.1.26.02</t>
  </si>
  <si>
    <t>Financiamentos Para Credito Rural</t>
  </si>
  <si>
    <t>2.1.1.1.26.03</t>
  </si>
  <si>
    <t>Financiamentos de Investimentos</t>
  </si>
  <si>
    <t>2.1.2</t>
  </si>
  <si>
    <t>2.1.2.1.11</t>
  </si>
  <si>
    <t>2.1.2.1.11.01</t>
  </si>
  <si>
    <t>Conta Corrente</t>
  </si>
  <si>
    <t>2.1.2.1.11.01.01</t>
  </si>
  <si>
    <t>Andre Candiotto</t>
  </si>
  <si>
    <t>Cooperativa Agricola Mista Sao Cristovao</t>
  </si>
  <si>
    <t>Cooperativa Regional Agropecuaria de Cam</t>
  </si>
  <si>
    <t>Darci Miguel Vezaro</t>
  </si>
  <si>
    <t>Jeovani Felix Correa</t>
  </si>
  <si>
    <t>Luiz Frizon</t>
  </si>
  <si>
    <t>Luiz Roberto Mascarello Massarotto</t>
  </si>
  <si>
    <t>Nelson Alfredo Echer</t>
  </si>
  <si>
    <t>2.1.2.1.21</t>
  </si>
  <si>
    <t>Debitos Com Cooperados</t>
  </si>
  <si>
    <t>2.1.2.1.21.04</t>
  </si>
  <si>
    <t>Provisao de Complemento de Preço por Fidelização</t>
  </si>
  <si>
    <t>2.1.2.1.21.20</t>
  </si>
  <si>
    <t>Adiantamentos Recebidos de Cooperados</t>
  </si>
  <si>
    <t>2.1.2.1.21.20.01</t>
  </si>
  <si>
    <t>ADT-C Adair Busanello</t>
  </si>
  <si>
    <t>ADT-C Adair Pedro Regner</t>
  </si>
  <si>
    <t>ADT-C Adalberto Antonio Dalponte</t>
  </si>
  <si>
    <t>ADT-C Adao de Almeida Machado</t>
  </si>
  <si>
    <t>ADT-C Ademar Fabiani Brugnera</t>
  </si>
  <si>
    <t>ADT-C Adilton Antonio Badia</t>
  </si>
  <si>
    <t>ADT-C Adolfo Luiz Menegatti</t>
  </si>
  <si>
    <t>ADT-C Adriano Forest</t>
  </si>
  <si>
    <t>ADT-C Albino Guarez</t>
  </si>
  <si>
    <t>ADT-C Alcemir Candiotto</t>
  </si>
  <si>
    <t>ADT-C Alceni Zanella</t>
  </si>
  <si>
    <t>ADT-C Alceno Schaeffer</t>
  </si>
  <si>
    <t>ADT-C Alcides Antonio Bresolin</t>
  </si>
  <si>
    <t>ADT-C Alcione Cossul</t>
  </si>
  <si>
    <t>ADT-C Aldinei Luiz Candiotto</t>
  </si>
  <si>
    <t>ADT-C Alfeu Araldi</t>
  </si>
  <si>
    <t>ADT-C Aline Pais Vigano Catusso</t>
  </si>
  <si>
    <t>ADT-C Alini Juliana Lange Bernardi</t>
  </si>
  <si>
    <t>ADT-C Alivair Valerio Jordani</t>
  </si>
  <si>
    <t>ADT-C Almir Fabris</t>
  </si>
  <si>
    <t>ADT-C Almir Rodrigo Sauthier e Outro</t>
  </si>
  <si>
    <t>ADT-C Altair Marcos Deitos</t>
  </si>
  <si>
    <t>ADT-C Altair Schaeffer</t>
  </si>
  <si>
    <t>ADT-C Altemisto Giovani Vidor</t>
  </si>
  <si>
    <t>ADT-C Amilton Barbosa de Linhares</t>
  </si>
  <si>
    <t>ADT-C Ana Paula Petrikoski</t>
  </si>
  <si>
    <t>ADT-C Andre Eneas Regoso</t>
  </si>
  <si>
    <t>ADT-C Andre Valdir Scramocin</t>
  </si>
  <si>
    <t>ADT-C Andrea Faria Virmond Demario e Outros</t>
  </si>
  <si>
    <t>ADT-C Anezio Wojciechowski</t>
  </si>
  <si>
    <t>ADT-C Angelo Mamoru Hasegawa</t>
  </si>
  <si>
    <t>ADT-C Anibal Virmond Neto</t>
  </si>
  <si>
    <t>ADT-C Antoninho Luiz Ziliotto</t>
  </si>
  <si>
    <t>ADT-C Antonio Bisello</t>
  </si>
  <si>
    <t>ADT-C Antonio Giacomim</t>
  </si>
  <si>
    <t>ADT-C Antonio Meneghetti</t>
  </si>
  <si>
    <t>ADT-C Antonio Picolo</t>
  </si>
  <si>
    <t>ADT-C Antonio Vicente Sincovski</t>
  </si>
  <si>
    <t>ADT-C Arcelino Schmitt de Souza</t>
  </si>
  <si>
    <t>ADT-C Ari Antonio Reisdoerfer</t>
  </si>
  <si>
    <t>ADT-C Arlindo Pedro Cadorin</t>
  </si>
  <si>
    <t>ADT-C Armerindo Miola</t>
  </si>
  <si>
    <t>ADT-C Ary Marchetto</t>
  </si>
  <si>
    <t>ADT-C Ary Roque Schneider</t>
  </si>
  <si>
    <t>ADT-C Ayrton Jose Schneider</t>
  </si>
  <si>
    <t>ADT-C Barbara Rochelle Crestani e Outros</t>
  </si>
  <si>
    <t>ADT-C Beloni Wilpert Correa</t>
  </si>
  <si>
    <t>ADT-C Benhur Antonio Tonatto</t>
  </si>
  <si>
    <t>ADT-C Carlos Antonio Valentini</t>
  </si>
  <si>
    <t>ADT-C Carlos Jose Deliberalli</t>
  </si>
  <si>
    <t>ADT-C Carlos Leandro Sartori Spagnoli</t>
  </si>
  <si>
    <t>ADT-C Carmo da Silva</t>
  </si>
  <si>
    <t>ADT-C Celestino De Bortoli</t>
  </si>
  <si>
    <t>ADT-C Celestino Luiz Cocco Bisello</t>
  </si>
  <si>
    <t>ADT-C Celio Luis Mantelli</t>
  </si>
  <si>
    <t>ADT-C Celso Antonio Pizato</t>
  </si>
  <si>
    <t>ADT-C Celso Dessordi</t>
  </si>
  <si>
    <t>ADT-C Celso Gobetti</t>
  </si>
  <si>
    <t>ADT-C Cesar Luiz Mantelli</t>
  </si>
  <si>
    <t>ADT-C Cezar Augusto Neuls</t>
  </si>
  <si>
    <t>ADT-C Clair Joao Poletto</t>
  </si>
  <si>
    <t>ADT-C Claudemir Siqueira Carneiro</t>
  </si>
  <si>
    <t>ADT-C Claudio Jose  Bresolin</t>
  </si>
  <si>
    <t>ADT-C Claudir Jose dos Santos</t>
  </si>
  <si>
    <t>ADT-C Cleide Tomassoni Olivo</t>
  </si>
  <si>
    <t>ADT-C Cleo Antonio Mantelli</t>
  </si>
  <si>
    <t>ADT-C Clessi Polazzo Borsatti</t>
  </si>
  <si>
    <t>ADT-C Cooperativa de Agric Familiares de Palma</t>
  </si>
  <si>
    <t>ADT-C Dalci Salvador Martarello</t>
  </si>
  <si>
    <t>ADT-C Dalvino Chikoski Guarez</t>
  </si>
  <si>
    <t>ADT-C Daniel Busanello</t>
  </si>
  <si>
    <t>ADT-C Daniel Ivo Marcante Stanguerlin</t>
  </si>
  <si>
    <t>ADT-C Daniele Reisdoerfer</t>
  </si>
  <si>
    <t>ADT-C Danilo Formentao</t>
  </si>
  <si>
    <t>ADT-C Darcy Agustinho Berlatto</t>
  </si>
  <si>
    <t>ADT-C Darcy Paloschi</t>
  </si>
  <si>
    <t>ADT-C Dario Kozievitch</t>
  </si>
  <si>
    <t>ADT-C Dario Waldeni Griebeler</t>
  </si>
  <si>
    <t>ADT-C Dauri da Silva</t>
  </si>
  <si>
    <t>ADT-C Decio Pancote</t>
  </si>
  <si>
    <t>ADT-C Delma Maria Tamagno Biff</t>
  </si>
  <si>
    <t>ADT-C Delmar Zanuz</t>
  </si>
  <si>
    <t>ADT-C Diego Bordin</t>
  </si>
  <si>
    <t>ADT-C Diogenes Mattei</t>
  </si>
  <si>
    <t>ADT-C Disue Divino Vottri</t>
  </si>
  <si>
    <t>ADT-C Domingos Panhosatto</t>
  </si>
  <si>
    <t>ADT-C Eberson Adolfo Gollmann</t>
  </si>
  <si>
    <t>ADT-C Edmundo Antonio Stefaniak</t>
  </si>
  <si>
    <t>ADT-C Edson Brocco</t>
  </si>
  <si>
    <t>ADT-C Edson Martins de Moraes</t>
  </si>
  <si>
    <t>ADT-C Edson Roberto Silveira</t>
  </si>
  <si>
    <t>ADT-C Eduardo Rafael Schneider</t>
  </si>
  <si>
    <t>ADT-C Elenita Fornari</t>
  </si>
  <si>
    <t>ADT-C Eleomar Karloh</t>
  </si>
  <si>
    <t>ADT-C Elias Koslinski</t>
  </si>
  <si>
    <t>ADT-C Elio Mantelli</t>
  </si>
  <si>
    <t>ADT-C Elio Zilio</t>
  </si>
  <si>
    <t>ADT-C Ertile Domingos Guero</t>
  </si>
  <si>
    <t>ADT-C Eucir Brocco</t>
  </si>
  <si>
    <t>ADT-C Euremia Kozelinski Hupalo</t>
  </si>
  <si>
    <t>ADT-C Evair Bras Gomes Lopes</t>
  </si>
  <si>
    <t>ADT-C Evandro Luiz Morandi</t>
  </si>
  <si>
    <t>ADT-C Everton Antonio Grassi</t>
  </si>
  <si>
    <t>ADT-C Faustino Bertoldo</t>
  </si>
  <si>
    <t>ADT-C Fernando Noriyuki Abe</t>
  </si>
  <si>
    <t>ADT-C Fernando Paglia</t>
  </si>
  <si>
    <t>ADT-C Flademir Echer</t>
  </si>
  <si>
    <t>ADT-C Florentino Marcante</t>
  </si>
  <si>
    <t>ADT-C Fraides Machado Weirich</t>
  </si>
  <si>
    <t>ADT-C Francisco Adao Maroni</t>
  </si>
  <si>
    <t>ADT-C Francisco Bisello</t>
  </si>
  <si>
    <t>ADT-C Francisco Renosto</t>
  </si>
  <si>
    <t>ADT-C Gaspar Sganzerlla</t>
  </si>
  <si>
    <t>ADT-C Geilto Gustmann</t>
  </si>
  <si>
    <t>ADT-C Gelson Biazus</t>
  </si>
  <si>
    <t>ADT-C Gelson Correa e Outros</t>
  </si>
  <si>
    <t>ADT-C Geronilde Gustmann</t>
  </si>
  <si>
    <t>ADT-C Gerson Joao Stasiak</t>
  </si>
  <si>
    <t>ADT-C Getulio Luiz Guerro</t>
  </si>
  <si>
    <t>ADT-C Gilmar Foppa</t>
  </si>
  <si>
    <t>ADT-C Gilmar Vicente Frizon</t>
  </si>
  <si>
    <t>ADT-C Gilson Carneiro Gustmann</t>
  </si>
  <si>
    <t>ADT-C Gionei Spautz Granemann</t>
  </si>
  <si>
    <t>ADT-C Haroldo Wilson Farinon</t>
  </si>
  <si>
    <t>ADT-C Helena Piovesan Bertoldo</t>
  </si>
  <si>
    <t>ADT-C Helio Marcante</t>
  </si>
  <si>
    <t>ADT-C Hugolino Trevisan</t>
  </si>
  <si>
    <t>ADT-C Humberto Fernando Varaschin</t>
  </si>
  <si>
    <t>ADT-C Idair Giacomin e Outros</t>
  </si>
  <si>
    <t>ADT-C Idir Cecconi</t>
  </si>
  <si>
    <t>ADT-C Ilmar Baldissera</t>
  </si>
  <si>
    <t>ADT-C Inor Francisco Manteli</t>
  </si>
  <si>
    <t>ADT-C Iraci Dala Costa</t>
  </si>
  <si>
    <t>ADT-C Iraci Zatti Merlo</t>
  </si>
  <si>
    <t>ADT-C Irene Oldoni Theodoro Marini</t>
  </si>
  <si>
    <t>ADT-C Irineu Tesser</t>
  </si>
  <si>
    <t>ADT-C Itacir Fabris</t>
  </si>
  <si>
    <t>ADT-C Ivaldino Carlos Rubertti</t>
  </si>
  <si>
    <t>ADT-C Ivo Joao Tamagno</t>
  </si>
  <si>
    <t>ADT-C Ivo Polo</t>
  </si>
  <si>
    <t>ADT-C Ivo Rogerio Griebeler</t>
  </si>
  <si>
    <t>ADT-C Jaime Luiz Link</t>
  </si>
  <si>
    <t>ADT-C Jaimor Zilio</t>
  </si>
  <si>
    <t>ADT-C Jairi Pereira de Souza da Silva</t>
  </si>
  <si>
    <t>ADT-C Jancar Anghinoni</t>
  </si>
  <si>
    <t>ADT-C Jauri Goncalves de Almeida</t>
  </si>
  <si>
    <t>ADT-C Jeovani Felix Correa</t>
  </si>
  <si>
    <t>ADT-C Joao Bruscato</t>
  </si>
  <si>
    <t>ADT-C Joao de Almeida Machado</t>
  </si>
  <si>
    <t>ADT-C Jocemar Corazza</t>
  </si>
  <si>
    <t>ADT-C Jocimar Gnotti Biff</t>
  </si>
  <si>
    <t>ADT-C Jorge Merlo</t>
  </si>
  <si>
    <t>ADT-C Jose Ademir Link</t>
  </si>
  <si>
    <t>ADT-C Jose Antonio Luvison</t>
  </si>
  <si>
    <t>ADT-C Jose Carlos Momesso</t>
  </si>
  <si>
    <t>ADT-C Jose Mantelli</t>
  </si>
  <si>
    <t>ADT-C Jose Pernlochner</t>
  </si>
  <si>
    <t>ADT-C Josemar Stefanello Rigon</t>
  </si>
  <si>
    <t>ADT-C Jozelene Ankoski Hermann</t>
  </si>
  <si>
    <t>ADT-C Jucelito Bordin</t>
  </si>
  <si>
    <t>ADT-C Juliano Bordin Merlo</t>
  </si>
  <si>
    <t>ADT-C Julinho Tonus e Outros</t>
  </si>
  <si>
    <t>ADT-C Julio Merlo</t>
  </si>
  <si>
    <t>ADT-C Juremir Elcio Behm</t>
  </si>
  <si>
    <t>ADT-C Kelly Gustmann</t>
  </si>
  <si>
    <t>ADT-C Laelco Ruaro</t>
  </si>
  <si>
    <t>ADT-C Laurindo Baldissera</t>
  </si>
  <si>
    <t>ADT-C Leila Marcia Tesser Augusto e Outros</t>
  </si>
  <si>
    <t>ADT-C Leoci Scalabrin</t>
  </si>
  <si>
    <t>ADT-C Leocimar Bolzan</t>
  </si>
  <si>
    <t>ADT-C Leonardo Rancatti</t>
  </si>
  <si>
    <t>ADT-C Levino Schneider</t>
  </si>
  <si>
    <t>ADT-C Lirio Calza</t>
  </si>
  <si>
    <t>ADT-C Loiri Vicente Regner</t>
  </si>
  <si>
    <t>ADT-C Luciana Vigano Ascari e Outro</t>
  </si>
  <si>
    <t>ADT-C Luiz Roberto Mascarello Massarotto</t>
  </si>
  <si>
    <t>ADT-C Luiz Simionatto</t>
  </si>
  <si>
    <t>ADT-C Marcelo Ortolan</t>
  </si>
  <si>
    <t>ADT-C Marciano Manteli</t>
  </si>
  <si>
    <t>ADT-C Marcio Guidini</t>
  </si>
  <si>
    <t>ADT-C Marcio Luiz Bassetto</t>
  </si>
  <si>
    <t>ADT-C Marcio Martinello</t>
  </si>
  <si>
    <t>ADT-C Marcio Trevisan</t>
  </si>
  <si>
    <t>ADT-C Marcos Antonio Ottoni</t>
  </si>
  <si>
    <t>ADT-C Marcos Aurelio Franchin</t>
  </si>
  <si>
    <t>ADT-C Marcos Giovani Celso</t>
  </si>
  <si>
    <t>ADT-C Marcos Luiz Venson</t>
  </si>
  <si>
    <t>ADT-C Marilde Maria Cristina Tatto</t>
  </si>
  <si>
    <t>ADT-C Mario Lindenberg Junior</t>
  </si>
  <si>
    <t>ADT-C Marlinho Luiz Coraza</t>
  </si>
  <si>
    <t>ADT-C Maurilhio Bertoldo</t>
  </si>
  <si>
    <t>ADT-C Maximino Jandir Strapasson</t>
  </si>
  <si>
    <t>ADT-C Miguel Marcolina</t>
  </si>
  <si>
    <t>ADT-C Moacir Jose Borsoi</t>
  </si>
  <si>
    <t>ADT-C Nadir Caldato</t>
  </si>
  <si>
    <t>ADT-C Nedio Tonus</t>
  </si>
  <si>
    <t>ADT-C Nery Antonio Andriola</t>
  </si>
  <si>
    <t>ADT-C Nilson Jose Crestani</t>
  </si>
  <si>
    <t>ADT-C Nilton Carneiro</t>
  </si>
  <si>
    <t>ADT-C Nilvo Koch</t>
  </si>
  <si>
    <t>ADT-C Nilvo Luiz Regner</t>
  </si>
  <si>
    <t>ADT-C Nilvo Ronsani</t>
  </si>
  <si>
    <t>ADT-C Noacir Schmitt de Souza</t>
  </si>
  <si>
    <t>ADT-C Onivaldo Kerber</t>
  </si>
  <si>
    <t>ADT-C Osvaldo Coronetti Fontana</t>
  </si>
  <si>
    <t>ADT-C Oudivano Souza Melo</t>
  </si>
  <si>
    <t>ADT-C Paul Pernlochner</t>
  </si>
  <si>
    <t>ADT-C Paulo Biondo</t>
  </si>
  <si>
    <t>ADT-C Paulo Luiz Mantelli</t>
  </si>
  <si>
    <t>ADT-C Paulo Rancatti</t>
  </si>
  <si>
    <t>ADT-C Pedro Espedito Lorenzetti</t>
  </si>
  <si>
    <t>ADT-C Pedro Romeu Lange</t>
  </si>
  <si>
    <t>ADT-C Pedro Soveral Bortot</t>
  </si>
  <si>
    <t>ADT-C Percy Milton Groth</t>
  </si>
  <si>
    <t>ADT-C Rafael Rodrigo Oldoni</t>
  </si>
  <si>
    <t>ADT-C Rafael Zago</t>
  </si>
  <si>
    <t>ADT-C Ralf Murilo Bertol</t>
  </si>
  <si>
    <t>ADT-C Reni Deliberalli</t>
  </si>
  <si>
    <t>ADT-C Roberto Hasse</t>
  </si>
  <si>
    <t>ADT-C Roberto Kazuto Hasegawa</t>
  </si>
  <si>
    <t>ADT-C Roberto Sartor</t>
  </si>
  <si>
    <t>ADT-C Rodrigo Ivaldino Spagnol Gobbi</t>
  </si>
  <si>
    <t>ADT-C Rogerio Raspolt</t>
  </si>
  <si>
    <t>ADT-C Roque Lucio Klein</t>
  </si>
  <si>
    <t>ADT-C Rubens Jose Radaelli</t>
  </si>
  <si>
    <t>ADT-C Sadi Fidelis de Oliveira</t>
  </si>
  <si>
    <t>ADT-C Sadiomar da Silva</t>
  </si>
  <si>
    <t>ADT-C Salete Gubert</t>
  </si>
  <si>
    <t>ADT-C Salete de Almeida Ferrari</t>
  </si>
  <si>
    <t>ADT-C Sandro Antonietti</t>
  </si>
  <si>
    <t>ADT-C Sandro Roberto Hasse</t>
  </si>
  <si>
    <t>ADT-C Sebastiao Mascaranha de Oliveira</t>
  </si>
  <si>
    <t>ADT-C Sergio Karpinski</t>
  </si>
  <si>
    <t>ADT-C Sergio Mantelli</t>
  </si>
  <si>
    <t>ADT-C Setembrino Antonietti</t>
  </si>
  <si>
    <t>ADT-C Sidinei Carloh</t>
  </si>
  <si>
    <t>ADT-C Sidnei Cora</t>
  </si>
  <si>
    <t>ADT-C Sigmundo Pernlochner</t>
  </si>
  <si>
    <t>ADT-C Silvano Jose Daneluz</t>
  </si>
  <si>
    <t>ADT-C Silverio Mantelli</t>
  </si>
  <si>
    <t>ADT-C Thiago Wilpert Correa</t>
  </si>
  <si>
    <t>ADT-C Tiago Gilberto Winiarski</t>
  </si>
  <si>
    <t>ADT-C Valdecir Santolin</t>
  </si>
  <si>
    <t>ADT-C Valdemar Validio Reolon</t>
  </si>
  <si>
    <t>ADT-C Valdir Francisco Oldoni</t>
  </si>
  <si>
    <t>ADT-C Valdomiro Tumelero</t>
  </si>
  <si>
    <t>ADT-C Valmor Giacomin</t>
  </si>
  <si>
    <t>ADT-C Vicente Gilberto Ferraza</t>
  </si>
  <si>
    <t>ADT-C Vicente Lucio Michaliszyn</t>
  </si>
  <si>
    <t>ADT-C Vilmar Schaeffer</t>
  </si>
  <si>
    <t>ADT-C Vilmar Valentin Tonatto</t>
  </si>
  <si>
    <t>ADT-C Vilso Luiz Pasini</t>
  </si>
  <si>
    <t>ADT-C Vilson Schaeffer</t>
  </si>
  <si>
    <t>ADT-C Vitor Luis Preis Varaschin</t>
  </si>
  <si>
    <t>ADT-C Vitorio Mariano Petrikoski</t>
  </si>
  <si>
    <t>ADT-C Volmir Luiz Pauletti</t>
  </si>
  <si>
    <t>ADT-C Volnei Jaco Zandona</t>
  </si>
  <si>
    <t>ADT-C Waldemiro Koprovski</t>
  </si>
  <si>
    <t>ADT-C Walter Antonio Arnoldo</t>
  </si>
  <si>
    <t>ADT-C Wilson Daneluz</t>
  </si>
  <si>
    <t>ADT-C Zilmar Luiz Borsatti</t>
  </si>
  <si>
    <t>2.1.2.2.11</t>
  </si>
  <si>
    <t>Creditos Com Não Cooperados</t>
  </si>
  <si>
    <t>2.1.2.2.11.01</t>
  </si>
  <si>
    <t>2.1.2.2.11.01.01</t>
  </si>
  <si>
    <t>ACCAR Ass Com Cultural e Artistico de Re</t>
  </si>
  <si>
    <t>Abel Ficanha</t>
  </si>
  <si>
    <t>Acessorios e Auto Eletrica Gemeos Ltda</t>
  </si>
  <si>
    <t>Ademar Bodanese</t>
  </si>
  <si>
    <t>Allianz Seguros S A</t>
  </si>
  <si>
    <t>Almirio Luiz da Silva</t>
  </si>
  <si>
    <t>Alvear Roque de Fabris</t>
  </si>
  <si>
    <t>Ampernet Telecomunicações Ltda ME</t>
  </si>
  <si>
    <t>Anderson Batista Mozer</t>
  </si>
  <si>
    <t>Arcom S A</t>
  </si>
  <si>
    <t>Auto Posto Cometa Ltda</t>
  </si>
  <si>
    <t>Auto Posto Irmaos Alves Ltda</t>
  </si>
  <si>
    <t>Auto Posto Mariental Ltda</t>
  </si>
  <si>
    <t>Auto Posto Vale De Maria Ltda</t>
  </si>
  <si>
    <t>Ayron Piccoli Antonietti</t>
  </si>
  <si>
    <t>Br Connection Com e Ser de Informatica L</t>
  </si>
  <si>
    <t>CMA Consultoria Metodos Assessoria Merca</t>
  </si>
  <si>
    <t>Caixa Economica Federal</t>
  </si>
  <si>
    <t xml:space="preserve">Cajueiro Representacoes Agricolas e Com </t>
  </si>
  <si>
    <t>Carraro Hainosz &amp; Cia Ltda  Me</t>
  </si>
  <si>
    <t xml:space="preserve">Casan  Companhia Catarinense de Aguas e </t>
  </si>
  <si>
    <t>Catusso e Saggin Ltda Me</t>
  </si>
  <si>
    <t>Celesc  Distribuicao S A</t>
  </si>
  <si>
    <t>Centro de Gestao de Meios de Pagto S A</t>
  </si>
  <si>
    <t>Cigarra Comercio de Combustiveis Ltda</t>
  </si>
  <si>
    <t>Cipabra Comercio de Parafusos Pato Branc</t>
  </si>
  <si>
    <t>Clemente Renosto</t>
  </si>
  <si>
    <t>Comercio de Combustiveis Bom Retiro Ltda</t>
  </si>
  <si>
    <t>Comercio de Combustiveis Pastorello S A</t>
  </si>
  <si>
    <t xml:space="preserve">Comercio de Mangueiras e Term Hidrotema </t>
  </si>
  <si>
    <t xml:space="preserve">Conselho Regional de Eng Arq e Agro Est </t>
  </si>
  <si>
    <t>Cooperativa Agropecuaria Guarany Ltda</t>
  </si>
  <si>
    <t>Copel Distribuicao S A</t>
  </si>
  <si>
    <t>Copel Telecomunicacoes S A</t>
  </si>
  <si>
    <t>Dalle Laste Supermercado Ltda</t>
  </si>
  <si>
    <t>Dalvair Echer</t>
  </si>
  <si>
    <t>Darci Valdomiro Antonietti</t>
  </si>
  <si>
    <t>Doroti Ferst Kleinibing</t>
  </si>
  <si>
    <t>Econtabil Informatica Ltda</t>
  </si>
  <si>
    <t>Eduardo Seerig &amp; Cia Ltda</t>
  </si>
  <si>
    <t>Eli Terezinha Jaboinski</t>
  </si>
  <si>
    <t>Elisete Beledelli</t>
  </si>
  <si>
    <t>Empresa Brasileira de Correios e Telegra</t>
  </si>
  <si>
    <t>Fed dos Trab e Trab Celet em Coop no Est</t>
  </si>
  <si>
    <t>Fernando Sbabo</t>
  </si>
  <si>
    <t>Fernando Tscha Vaz</t>
  </si>
  <si>
    <t>Fertipar Fertilizantes do Parana Ltda</t>
  </si>
  <si>
    <t>Flavio Zanela</t>
  </si>
  <si>
    <t>Forca e Luz Coronel Vivida Ltda</t>
  </si>
  <si>
    <t>Fundabem Fund Pato Branco do Bem Estar d</t>
  </si>
  <si>
    <t>Fundacao Cultural Celinauta</t>
  </si>
  <si>
    <t>G de Medeiros Hotel e Restaurante Eireli</t>
  </si>
  <si>
    <t>Gabriel Zilio</t>
  </si>
  <si>
    <t>Genesio Jose Bortoli</t>
  </si>
  <si>
    <t>Geni Dallastra Borsatto</t>
  </si>
  <si>
    <t>Giovani Francisco Antonietti</t>
  </si>
  <si>
    <t>Guarda e Pimentel Ltda Me</t>
  </si>
  <si>
    <t>Hobi S/A Mineracao de Areia e Concreto</t>
  </si>
  <si>
    <t>Iguacu Celulose Papel S A</t>
  </si>
  <si>
    <t>Info 10 Horas Com de Informatica Ltda</t>
  </si>
  <si>
    <t xml:space="preserve">Instituto Bars do Meio Ambien e dos Rec </t>
  </si>
  <si>
    <t>Irmaos Ravanello Ltda</t>
  </si>
  <si>
    <t>J O Parizotto &amp; Cia Ltda</t>
  </si>
  <si>
    <t>Jarmir Tessaro Rigo</t>
  </si>
  <si>
    <t>Joao Duda</t>
  </si>
  <si>
    <t>Jose Carlos Sutilli</t>
  </si>
  <si>
    <t>Koso Abe</t>
  </si>
  <si>
    <t>L E Correias e Rolamentos Ltda ME</t>
  </si>
  <si>
    <t>Laudi Pastorello</t>
  </si>
  <si>
    <t>Leom Comercio de Combustiveis Ltda</t>
  </si>
  <si>
    <t>Leomar Luiz Tombini</t>
  </si>
  <si>
    <t>Luciano Zanela</t>
  </si>
  <si>
    <t>Luquini e Baioco Ltda Me</t>
  </si>
  <si>
    <t>Marcelo Andrei Antoniolli 86132393900</t>
  </si>
  <si>
    <t>Marcio Valmir Rigo</t>
  </si>
  <si>
    <t>Margarete Tessaro Martignoni Me</t>
  </si>
  <si>
    <t>Marilei Salete Svidzinski</t>
  </si>
  <si>
    <t>Marisa de Fatima Annibelli</t>
  </si>
  <si>
    <t>Mauricio Beyerler</t>
  </si>
  <si>
    <t>Ministerio da Fazenda Federal</t>
  </si>
  <si>
    <t>Ministerio da agricultura Pecuaria e Aba</t>
  </si>
  <si>
    <t>N Tonial e Cia Ltda</t>
  </si>
  <si>
    <t>Neitzke &amp; Favretto Advogados e Associado</t>
  </si>
  <si>
    <t>Nelson Oliboni</t>
  </si>
  <si>
    <t>Neodi Lunardi</t>
  </si>
  <si>
    <t>Nestor Lachman &amp; Cia Ltda</t>
  </si>
  <si>
    <t>Nogartel Telecomunicacoes Ltda</t>
  </si>
  <si>
    <t>Oi S A</t>
  </si>
  <si>
    <t>Oi SA</t>
  </si>
  <si>
    <t>Olinto L Barbosa</t>
  </si>
  <si>
    <t>Oscar Zschornak</t>
  </si>
  <si>
    <t>P M Pneus Comercial Ltda</t>
  </si>
  <si>
    <t>Patocorte Distribuidora de Ferros Ltda</t>
  </si>
  <si>
    <t>Patoeste Eletro Instaladora Ltda</t>
  </si>
  <si>
    <t>Paulo Afonso Zilio</t>
  </si>
  <si>
    <t>Paulo Cezar Gobbi</t>
  </si>
  <si>
    <t>Paulo Fernando Chemin</t>
  </si>
  <si>
    <t>Paulo Geraldo Sutilli</t>
  </si>
  <si>
    <t>Pizzatto &amp; Fiel Gestao da Informacao Ltd</t>
  </si>
  <si>
    <t>Prefeitura Municipal de Palmas</t>
  </si>
  <si>
    <t>Prefeitura Municipal de Pato Branco</t>
  </si>
  <si>
    <t>Prefeitura Municipal de Vitorino</t>
  </si>
  <si>
    <t>Prisma Informatica Ltda</t>
  </si>
  <si>
    <t>Pulsar Tecnologia Ind e Com Ltda</t>
  </si>
  <si>
    <t>Real Epis Com de Equipamentos de Seguran</t>
  </si>
  <si>
    <t>Realinho Ortolan</t>
  </si>
  <si>
    <t>Recapadora P Pneus Ltda</t>
  </si>
  <si>
    <t>Rede Check Ex Comercio e Servicos Ltda</t>
  </si>
  <si>
    <t>Renato Barrivieira</t>
  </si>
  <si>
    <t>Renilton Antonio Ribas</t>
  </si>
  <si>
    <t>Rodolfo Kusma ME</t>
  </si>
  <si>
    <t>Sanepar Companhia de Saneamento do Paran</t>
  </si>
  <si>
    <t>Semler Semler e Cia Ltda</t>
  </si>
  <si>
    <t>Sercomtel SA Telecomunicacoes</t>
  </si>
  <si>
    <t>Servico Social da Industria Sesi</t>
  </si>
  <si>
    <t>Silmara do Rocio Zaramela Ferreira</t>
  </si>
  <si>
    <t xml:space="preserve">Sindicato Dos Trab Na Mov Merc Em Geral </t>
  </si>
  <si>
    <t>Sindicato Rural de Pato Branco</t>
  </si>
  <si>
    <t>Sindicato do Com Varejista de Pato Branc</t>
  </si>
  <si>
    <t>Sintropab Sindicato dos Motoristas de Pa</t>
  </si>
  <si>
    <t>Sitracoosp Sindicato Trabalhadores das C</t>
  </si>
  <si>
    <t>Supergasbras Energia Ltda</t>
  </si>
  <si>
    <t>Tag Assessoria e Consultoria Ltda EPP</t>
  </si>
  <si>
    <t>Telefonica Brasil S A</t>
  </si>
  <si>
    <t>Unimed Pato Branco</t>
  </si>
  <si>
    <t>Vermoehlen e Vermoehlen Ltda Epp</t>
  </si>
  <si>
    <t>Volmar Antonietti</t>
  </si>
  <si>
    <t>Volmar Duda</t>
  </si>
  <si>
    <t>Volvo do Brasil Veiculos Ltda</t>
  </si>
  <si>
    <t>Waldemar Gomes Kleiniibing</t>
  </si>
  <si>
    <t>Zaime Luiz Pastorello</t>
  </si>
  <si>
    <t>Zambonin e Zambonin Ltda</t>
  </si>
  <si>
    <t>Zenvia Mobile Servicos Digitais S A</t>
  </si>
  <si>
    <t>2.1.2.2.22</t>
  </si>
  <si>
    <t>Fornecedores Terceiros</t>
  </si>
  <si>
    <t>2.1.2.2.22.20</t>
  </si>
  <si>
    <t>Adiantamentos Recebidos de Não Cooperados</t>
  </si>
  <si>
    <t>2.1.2.2.22.20.01</t>
  </si>
  <si>
    <t>ADT-C Adelar Pedro Junges</t>
  </si>
  <si>
    <t>ADT-C Ademir Gnoatto</t>
  </si>
  <si>
    <t>ADT-C Adesir Piovesan</t>
  </si>
  <si>
    <t>ADT-C Adriana Vendruscolo Rusch</t>
  </si>
  <si>
    <t>ADT-C Albino Arno Rauch</t>
  </si>
  <si>
    <t>ADT-C Artemio Antonio Glovacki</t>
  </si>
  <si>
    <t>ADT-C Avelino Castro Tondo</t>
  </si>
  <si>
    <t>ADT-C Celso Alves Siqueira</t>
  </si>
  <si>
    <t>ADT-C Cerealista Ceccon Vere Ltda</t>
  </si>
  <si>
    <t>ADT-C Clemente Renosto</t>
  </si>
  <si>
    <t>ADT-C Daniel Dalcin Rigon</t>
  </si>
  <si>
    <t>ADT-C Darci Valdomiro Antonietti</t>
  </si>
  <si>
    <t>ADT-C Demetrio Bertol</t>
  </si>
  <si>
    <t>ADT-C Dornelio Antonio Corlassoli</t>
  </si>
  <si>
    <t>ADT-C Edson Vizzotto</t>
  </si>
  <si>
    <t>ADT-C Egidio Munaretto</t>
  </si>
  <si>
    <t>ADT-C Erineu Caldato</t>
  </si>
  <si>
    <t>ADT-C Fabricio Lachman</t>
  </si>
  <si>
    <t>ADT-C Fernando Luiz Fornari</t>
  </si>
  <si>
    <t>ADT-C Flavio Miguel Petkowicz</t>
  </si>
  <si>
    <t>ADT-C Francisco Smaniotto</t>
  </si>
  <si>
    <t>ADT-C Gelson Sandrin</t>
  </si>
  <si>
    <t>ADT-C Genesio Jose Bortoli</t>
  </si>
  <si>
    <t>ADT-C Geni Dallastra Borsatto</t>
  </si>
  <si>
    <t>ADT-C Geraldo Pedro Sbabo</t>
  </si>
  <si>
    <t>ADT-C Gilliard Grosbelli</t>
  </si>
  <si>
    <t>ADT-C Glauber Ferraza</t>
  </si>
  <si>
    <t>ADT-C Heraclito Petrycoski</t>
  </si>
  <si>
    <t>ADT-C Irno Jose Rosanelli</t>
  </si>
  <si>
    <t>ADT-C Ivanete Miotto Deitos</t>
  </si>
  <si>
    <t>ADT-C Jandir Deliberal</t>
  </si>
  <si>
    <t>ADT-C Joao Candido Ferraza</t>
  </si>
  <si>
    <t>ADT-C Jose Cicanovicius</t>
  </si>
  <si>
    <t>ADT-C Kelin Giacomin Piovesan</t>
  </si>
  <si>
    <t>ADT-C Lauro Merlo</t>
  </si>
  <si>
    <t>ADT-C Leidi Carla Schneider</t>
  </si>
  <si>
    <t>ADT-C Lenir Maria Schmitt de Souza</t>
  </si>
  <si>
    <t>ADT-C Leozir Luiz Baretta</t>
  </si>
  <si>
    <t>ADT-C Lucival Beutler</t>
  </si>
  <si>
    <t>ADT-C Luis Carlos Froner</t>
  </si>
  <si>
    <t>ADT-C Luis Cirilo Paludo</t>
  </si>
  <si>
    <t>ADT-C Luiz Biazzolo</t>
  </si>
  <si>
    <t>ADT-C Luiz Jose Della Vechia</t>
  </si>
  <si>
    <t>ADT-C Madalena Lazarin</t>
  </si>
  <si>
    <t>ADT-C Maria Ines Kozak Romano</t>
  </si>
  <si>
    <t>ADT-C Maria Mior Boggio</t>
  </si>
  <si>
    <t>ADT-C Mario Cezar Sartoretto</t>
  </si>
  <si>
    <t>ADT-C Mario Luiz Corlassoli</t>
  </si>
  <si>
    <t>ADT-C Mauro Jose Nicola</t>
  </si>
  <si>
    <t>ADT-C Moacir Corazza</t>
  </si>
  <si>
    <t>ADT-C Neodi Lunardi</t>
  </si>
  <si>
    <t>ADT-C Nilva Maria Corazza Zambiazzi</t>
  </si>
  <si>
    <t>ADT-C Nivia Maria Begrow</t>
  </si>
  <si>
    <t>ADT-C Noble Brasil S A</t>
  </si>
  <si>
    <t>ADT-C Paulo Schnorberger</t>
  </si>
  <si>
    <t>ADT-C Ronaldo da Rosa Rigon</t>
  </si>
  <si>
    <t>ADT-C Rosilda Elena Prebianca</t>
  </si>
  <si>
    <t>ADT-C Rudi Hedio Begrow</t>
  </si>
  <si>
    <t>ADT-C Rudinei Lazarin</t>
  </si>
  <si>
    <t>ADT-C Sidnei Orlando</t>
  </si>
  <si>
    <t>ADT-C Valcir Zilli</t>
  </si>
  <si>
    <t>ADT-C Valdemar Della Vechia</t>
  </si>
  <si>
    <t>ADT-C Valfrido Marcondes Cordeiro</t>
  </si>
  <si>
    <t>ADT-C Valter Nereu Casanova</t>
  </si>
  <si>
    <t>ADT-C Vanessa Polo</t>
  </si>
  <si>
    <t>ADT-C Vicente Vitor Lazarin</t>
  </si>
  <si>
    <t>ADT-C Victor Hugo Begrow</t>
  </si>
  <si>
    <t>ADT-C Vilson Luiz Vigano</t>
  </si>
  <si>
    <t>ADT-C Volmir Roque Rufatto</t>
  </si>
  <si>
    <t>ADT-C Wanderlei Antonio Daneluz</t>
  </si>
  <si>
    <t>ADT-C Zilio e Tesser Ltda Me</t>
  </si>
  <si>
    <t>2.1.2.2.29</t>
  </si>
  <si>
    <t>Outras Previsoes de Saidas</t>
  </si>
  <si>
    <t>2.1.2.2.29.02</t>
  </si>
  <si>
    <t>Creditos Bancarios Nao-Identificados</t>
  </si>
  <si>
    <t>2.1.4</t>
  </si>
  <si>
    <t>Obrigacoes Fiscais</t>
  </si>
  <si>
    <t>2.1.4.1.02</t>
  </si>
  <si>
    <t>Cofins faturamento a Recolher</t>
  </si>
  <si>
    <t>2.1.4.1.03</t>
  </si>
  <si>
    <t>Pis Faturamento A Recolher</t>
  </si>
  <si>
    <t>2.1.4.1.05</t>
  </si>
  <si>
    <t>Irrf A Recolher</t>
  </si>
  <si>
    <t>2.1.4.1.08</t>
  </si>
  <si>
    <t>CSLL/PIS/ COFINS Retido a Recolher cfe 10.833</t>
  </si>
  <si>
    <t>2.1.4.2.01</t>
  </si>
  <si>
    <t>Icms A Recolher</t>
  </si>
  <si>
    <t>2.1.4.3.01</t>
  </si>
  <si>
    <t>Issqn A Recolher</t>
  </si>
  <si>
    <t>2.1.5</t>
  </si>
  <si>
    <t>Obrigacoes Sociais E Trabalhistas</t>
  </si>
  <si>
    <t>2.1.5.1.01</t>
  </si>
  <si>
    <t>Salarios E Ordenados A Pagar</t>
  </si>
  <si>
    <t>2.1.5.1.02</t>
  </si>
  <si>
    <t>Fgts A Recolher</t>
  </si>
  <si>
    <t>2.1.5.1.03</t>
  </si>
  <si>
    <t>Rescisoes A Pagar</t>
  </si>
  <si>
    <t>2.1.5.1.07</t>
  </si>
  <si>
    <t>Pensão Alimentícia a Pagar</t>
  </si>
  <si>
    <t>2.1.5.2.01</t>
  </si>
  <si>
    <t>Inss A Recolher</t>
  </si>
  <si>
    <t>2.1.5.2.02</t>
  </si>
  <si>
    <t>Funrural A Rec</t>
  </si>
  <si>
    <t>2.1.5.2.03</t>
  </si>
  <si>
    <t>Pis Folha de Pagamento A Recolher</t>
  </si>
  <si>
    <t>2.1.5.2.04</t>
  </si>
  <si>
    <t>Contribuicao Sindical A Recolher</t>
  </si>
  <si>
    <t>2.1.5.2.06</t>
  </si>
  <si>
    <t>Seguro A Recolher</t>
  </si>
  <si>
    <t>2.1.5.3.01</t>
  </si>
  <si>
    <t>Provisao de Ferias</t>
  </si>
  <si>
    <t>2.1.5.3.02</t>
  </si>
  <si>
    <t>Provisao 13 Salario</t>
  </si>
  <si>
    <t>2.1.8</t>
  </si>
  <si>
    <t>Outras Obrigacoes</t>
  </si>
  <si>
    <t>2.1.8.1.03</t>
  </si>
  <si>
    <t>Royalties</t>
  </si>
  <si>
    <t>2.1.8.1.04</t>
  </si>
  <si>
    <t>Produtos Em deposito</t>
  </si>
  <si>
    <t>2.1.8.1.10</t>
  </si>
  <si>
    <t>Provisao Para Reposicao de Estoques</t>
  </si>
  <si>
    <t>2.1.8.2.01</t>
  </si>
  <si>
    <t>Venda Com Entrega Futura</t>
  </si>
  <si>
    <t>2.1.9</t>
  </si>
  <si>
    <t>Conta Producao</t>
  </si>
  <si>
    <t>2.1.9.1.01</t>
  </si>
  <si>
    <t>2.1.9.1.01.01</t>
  </si>
  <si>
    <t>2.1.9.1.01.01.01</t>
  </si>
  <si>
    <t>2.1.9.1.01.01.01.01</t>
  </si>
  <si>
    <t>2.1.9.1.01.01.01.02</t>
  </si>
  <si>
    <t>Produtos A Fixar DPS</t>
  </si>
  <si>
    <t>2.1.9.1.01.01.02</t>
  </si>
  <si>
    <t>2.1.9.1.01.01.02.01</t>
  </si>
  <si>
    <t>2.1.9.1.01.01.03</t>
  </si>
  <si>
    <t>2.1.9.1.01.01.03.01</t>
  </si>
  <si>
    <t>2.1.9.1.01.01.03.02</t>
  </si>
  <si>
    <t>Produtos a Fixar DPS</t>
  </si>
  <si>
    <t>2.1.9.1.01.01.04</t>
  </si>
  <si>
    <t>2.1.9.1.01.01.04.01</t>
  </si>
  <si>
    <t>2.2</t>
  </si>
  <si>
    <t>Passivo Nao Circulante</t>
  </si>
  <si>
    <t>2.2.1</t>
  </si>
  <si>
    <t>2.2.1.1.26</t>
  </si>
  <si>
    <t>Financiamento</t>
  </si>
  <si>
    <t>2.2.1.1.26.01</t>
  </si>
  <si>
    <t>2.2.1.1.26.03</t>
  </si>
  <si>
    <t>2.4</t>
  </si>
  <si>
    <t>Patrimonio Liquido</t>
  </si>
  <si>
    <t>2.4.1</t>
  </si>
  <si>
    <t>2.4.1.1.01</t>
  </si>
  <si>
    <t>Capital Subscrito</t>
  </si>
  <si>
    <t>2.4.1.1.01.01</t>
  </si>
  <si>
    <t>CAP-S: ALTEMISTO GIOVANI VIDOR</t>
  </si>
  <si>
    <t>CAP-S: Adagir Acker</t>
  </si>
  <si>
    <t>CAP-S: Adair Borba Bonfim</t>
  </si>
  <si>
    <t>CAP-S: Adair Busanello</t>
  </si>
  <si>
    <t>CAP-S: Adair Pedro Regner</t>
  </si>
  <si>
    <t>CAP-S: Adair Saggin</t>
  </si>
  <si>
    <t>CAP-S: Adalberto Antonio Dalponte</t>
  </si>
  <si>
    <t>CAP-S: Adao Kanigoski</t>
  </si>
  <si>
    <t>CAP-S: Adao Machado da Silva</t>
  </si>
  <si>
    <t>CAP-S: Adao Ronsani</t>
  </si>
  <si>
    <t>CAP-S: Adegir Lefchak</t>
  </si>
  <si>
    <t>CAP-S: Adejir Guarez</t>
  </si>
  <si>
    <t>CAP-S: Adelar Antoninho Polita</t>
  </si>
  <si>
    <t>CAP-S: Adelar Luis Rigo</t>
  </si>
  <si>
    <t>CAP-S: Adelar Menegatti</t>
  </si>
  <si>
    <t>CAP-S: Adelar Miguel Regner</t>
  </si>
  <si>
    <t>CAP-S: Adelar Zatt</t>
  </si>
  <si>
    <t>CAP-S: Adelar Zocche</t>
  </si>
  <si>
    <t>CAP-S: Adelir Capoani</t>
  </si>
  <si>
    <t>CAP-S: Adelize Gambeta</t>
  </si>
  <si>
    <t>CAP-S: Ademar Fabiani Brugnera</t>
  </si>
  <si>
    <t>CAP-S: Ademar Pagnoncelli</t>
  </si>
  <si>
    <t>CAP-S: Ademar Pedro Polo</t>
  </si>
  <si>
    <t>CAP-S: Ademar de Campos</t>
  </si>
  <si>
    <t>CAP-S: Ademilson Arlindo Batistella</t>
  </si>
  <si>
    <t>CAP-S: Ademir Bedin</t>
  </si>
  <si>
    <t>CAP-S: Ademir Braz Debastiani</t>
  </si>
  <si>
    <t>CAP-S: Ademir Brugnera</t>
  </si>
  <si>
    <t>CAP-S: Ademir Carlos Capoani</t>
  </si>
  <si>
    <t>CAP-S: Ademir Deola</t>
  </si>
  <si>
    <t>CAP-S: Ademir Francisco Bosqueiro</t>
  </si>
  <si>
    <t>CAP-S: Ademir Godinho</t>
  </si>
  <si>
    <t>CAP-S: Ademir Zeni</t>
  </si>
  <si>
    <t>CAP-S: Adenir Carlos Panho</t>
  </si>
  <si>
    <t>CAP-S: Adilso Antonio Faccin</t>
  </si>
  <si>
    <t>CAP-S: Adilson Antônio Bordin</t>
  </si>
  <si>
    <t>CAP-S: Adilson Sbabo</t>
  </si>
  <si>
    <t>CAP-S: Adilton Antonio Badia</t>
  </si>
  <si>
    <t>CAP-S: Adir Carlos Pegoraro</t>
  </si>
  <si>
    <t>CAP-S: Adolfo Luiz Menegatti</t>
  </si>
  <si>
    <t>CAP-S: Adonir Forest</t>
  </si>
  <si>
    <t>CAP-S: Adoval Facin</t>
  </si>
  <si>
    <t>CAP-S: Adriana Antoniolli</t>
  </si>
  <si>
    <t>CAP-S: Adriana Salete Ziliotto</t>
  </si>
  <si>
    <t>CAP-S: Adriano Forest</t>
  </si>
  <si>
    <t>CAP-S: Adão de Almeida Machado</t>
  </si>
  <si>
    <t>CAP-S: Agricola Ghava Ltda EPP</t>
  </si>
  <si>
    <t>CAP-S: Agrisafra Comercio de Insumos Ltda</t>
  </si>
  <si>
    <t>CAP-S: Agropecuaria Matelandia Ltda</t>
  </si>
  <si>
    <t>CAP-S: Agropecuaria Santa Rita de Cassia Ltda</t>
  </si>
  <si>
    <t>CAP-S: Aires Candiotto</t>
  </si>
  <si>
    <t>CAP-S: Airton Amilcar Carneiro</t>
  </si>
  <si>
    <t>CAP-S: Alairto de Sordi</t>
  </si>
  <si>
    <t>CAP-S: Alaor Gumy Virmond</t>
  </si>
  <si>
    <t>CAP-S: Alberi Jose Barrozo</t>
  </si>
  <si>
    <t>CAP-S: Alberto Bruschi</t>
  </si>
  <si>
    <t>CAP-S: Alberto Busatto</t>
  </si>
  <si>
    <t>CAP-S: Alberto Santin</t>
  </si>
  <si>
    <t>CAP-S: Albino Bertoldo</t>
  </si>
  <si>
    <t>CAP-S: Albino Guarez</t>
  </si>
  <si>
    <t>CAP-S: Alcemar Boldori</t>
  </si>
  <si>
    <t>CAP-S: Alcemar Joao Cadorin</t>
  </si>
  <si>
    <t>CAP-S: Alcemir Candiotto</t>
  </si>
  <si>
    <t>CAP-S: Alceni Zanella</t>
  </si>
  <si>
    <t>CAP-S: Alcenir Pedro Tamagno</t>
  </si>
  <si>
    <t>CAP-S: Alcenir Rimoldi</t>
  </si>
  <si>
    <t>CAP-S: Alceu Pedro Ritter</t>
  </si>
  <si>
    <t>CAP-S: Alceu Viniarski</t>
  </si>
  <si>
    <t>CAP-S: Alcides Antonio Bresolin</t>
  </si>
  <si>
    <t>CAP-S: Alcides Brunetto</t>
  </si>
  <si>
    <t>CAP-S: Alcides De Franceschi Leonardi</t>
  </si>
  <si>
    <t>CAP-S: Alcini Ghisi</t>
  </si>
  <si>
    <t>CAP-S: Alcione Cossul</t>
  </si>
  <si>
    <t>CAP-S: Alcir Vanderlei Soares Borges</t>
  </si>
  <si>
    <t>CAP-S: Aldair de Oliveira</t>
  </si>
  <si>
    <t>CAP-S: Aldelir Deitos</t>
  </si>
  <si>
    <t>CAP-S: Aldemir Antonio Rigo</t>
  </si>
  <si>
    <t>CAP-S: Aldinei Luiz Candiotto</t>
  </si>
  <si>
    <t>CAP-S: Aldino Barbosa</t>
  </si>
  <si>
    <t>CAP-S: Aldo Bes</t>
  </si>
  <si>
    <t>CAP-S: Alecio Bernardi</t>
  </si>
  <si>
    <t>CAP-S: Aleones Marcos Vidor</t>
  </si>
  <si>
    <t>CAP-S: Aleones Marcos Vidor Junior</t>
  </si>
  <si>
    <t>CAP-S: Alex Sandro Zanella dos Santos</t>
  </si>
  <si>
    <t>CAP-S: Alexandre Pra</t>
  </si>
  <si>
    <t>CAP-S: Alfeu Araldi</t>
  </si>
  <si>
    <t>CAP-S: Alfredo Mumbelli</t>
  </si>
  <si>
    <t>CAP-S: Aline Pais Viganó Catusso</t>
  </si>
  <si>
    <t>CAP-S: Alini Juliana Lange Bernardi</t>
  </si>
  <si>
    <t>CAP-S: Alisson Andrei Deliberalli</t>
  </si>
  <si>
    <t>CAP-S: Almir Antonio Palaro</t>
  </si>
  <si>
    <t>CAP-S: Almir Fabris</t>
  </si>
  <si>
    <t>CAP-S: Almir Felippe</t>
  </si>
  <si>
    <t>CAP-S: Almir Primo Favero</t>
  </si>
  <si>
    <t>CAP-S: Almir Rodrigo Sauthier</t>
  </si>
  <si>
    <t>CAP-S: Almiro Schaeffer</t>
  </si>
  <si>
    <t>CAP-S: Altair Antonio Polo</t>
  </si>
  <si>
    <t>CAP-S: Altair Isaac Benso</t>
  </si>
  <si>
    <t>CAP-S: Altair Lamfredi</t>
  </si>
  <si>
    <t>CAP-S: Altair Marcos Deitos</t>
  </si>
  <si>
    <t>CAP-S: Altair Schaeffer</t>
  </si>
  <si>
    <t>CAP-S: Altair Zanella</t>
  </si>
  <si>
    <t>CAP-S: Altamiro Cardoso dos Passos</t>
  </si>
  <si>
    <t>CAP-S: Alvaro Oimar Merlo</t>
  </si>
  <si>
    <t>CAP-S: Amarildo Bolzan</t>
  </si>
  <si>
    <t>CAP-S: Amarildo Francisco Palaro</t>
  </si>
  <si>
    <t>CAP-S: Amarildo Jose Folle</t>
  </si>
  <si>
    <t>CAP-S: Amarildo Sartori Spagnoli</t>
  </si>
  <si>
    <t>CAP-S: Amarildo Smaniotto</t>
  </si>
  <si>
    <t>CAP-S: Amarílis Tais Sand</t>
  </si>
  <si>
    <t>CAP-S: Amauri Stival</t>
  </si>
  <si>
    <t>CAP-S: Amaury Dala Costa</t>
  </si>
  <si>
    <t>CAP-S: Amilto Mattei</t>
  </si>
  <si>
    <t>CAP-S: Amilton Barbosa de Linhares</t>
  </si>
  <si>
    <t>CAP-S: Amilton Fernandes Iopp</t>
  </si>
  <si>
    <t>CAP-S: Ana Paula Petrikoski</t>
  </si>
  <si>
    <t>CAP-S: Anderson Andre Carloh</t>
  </si>
  <si>
    <t>CAP-S: Andre Candiotto</t>
  </si>
  <si>
    <t>CAP-S: Andre Eneas Regoso</t>
  </si>
  <si>
    <t>CAP-S: Andre Luis Zanatta</t>
  </si>
  <si>
    <t>CAP-S: Andre Luiz Camilotti</t>
  </si>
  <si>
    <t>CAP-S: Andre Luiz Ceni</t>
  </si>
  <si>
    <t>CAP-S: Andre Parizotto Davoglio</t>
  </si>
  <si>
    <t>CAP-S: Andre Valdir Scramocin</t>
  </si>
  <si>
    <t>CAP-S: Andrea Faria Virmond Demario</t>
  </si>
  <si>
    <t>CAP-S: Andrei Gomes de Almeida</t>
  </si>
  <si>
    <t>CAP-S: Andreia Pamela Periolo</t>
  </si>
  <si>
    <t>CAP-S: Anelio da Coreggio</t>
  </si>
  <si>
    <t>CAP-S: Anezio Wojciechowski</t>
  </si>
  <si>
    <t>CAP-S: Angelo Mamoru Hasegawa</t>
  </si>
  <si>
    <t>CAP-S: Angelo Zilmar Mozer</t>
  </si>
  <si>
    <t>CAP-S: Anibal Virmond Neto</t>
  </si>
  <si>
    <t>CAP-S: Anilton Winiarski</t>
  </si>
  <si>
    <t>CAP-S: Anisio da Silva</t>
  </si>
  <si>
    <t>CAP-S: Anita Bosa Roncatti</t>
  </si>
  <si>
    <t>CAP-S: Anselmo Bugs Junior</t>
  </si>
  <si>
    <t>CAP-S: Antenor Tamagno</t>
  </si>
  <si>
    <t>CAP-S: Antoninho Luiz Ziliotto</t>
  </si>
  <si>
    <t>CAP-S: Antonio Alves Borges</t>
  </si>
  <si>
    <t>CAP-S: Antonio Alves De Moura</t>
  </si>
  <si>
    <t>CAP-S: Antonio Benoski</t>
  </si>
  <si>
    <t>CAP-S: Antonio Bisello</t>
  </si>
  <si>
    <t>CAP-S: Antonio Carlos Terres</t>
  </si>
  <si>
    <t>CAP-S: Antonio Cesario Libardi</t>
  </si>
  <si>
    <t>CAP-S: Antonio Fidelio Merlo</t>
  </si>
  <si>
    <t>CAP-S: Antonio Formentão</t>
  </si>
  <si>
    <t>CAP-S: Antonio Giacomim</t>
  </si>
  <si>
    <t>CAP-S: Antonio Hupalo</t>
  </si>
  <si>
    <t>CAP-S: Antonio Meneghetti</t>
  </si>
  <si>
    <t>CAP-S: Antonio Merlini Ciquelero</t>
  </si>
  <si>
    <t>CAP-S: Antonio Pesetti</t>
  </si>
  <si>
    <t>CAP-S: Antonio Picolo</t>
  </si>
  <si>
    <t>CAP-S: Antonio Pissaia</t>
  </si>
  <si>
    <t>CAP-S: Antonio Roque Dala Nora Facco</t>
  </si>
  <si>
    <t>CAP-S: Antonio Stamproski</t>
  </si>
  <si>
    <t>CAP-S: Antonio Tomassoni</t>
  </si>
  <si>
    <t>CAP-S: Antonio Valentim da Silva</t>
  </si>
  <si>
    <t>CAP-S: Antonio Vicente Sincovski</t>
  </si>
  <si>
    <t>CAP-S: Antonio de Lima Farias</t>
  </si>
  <si>
    <t>CAP-S: Arai Balena</t>
  </si>
  <si>
    <t>CAP-S: Arceli Jose Regner</t>
  </si>
  <si>
    <t>CAP-S: Arcelino Schmitt de Souza</t>
  </si>
  <si>
    <t>CAP-S: Arcelino de Jesus da Silva Pacheco</t>
  </si>
  <si>
    <t>CAP-S: Areuvaldir Candiotto</t>
  </si>
  <si>
    <t>CAP-S: Ari Antonio Lorenzatto</t>
  </si>
  <si>
    <t>CAP-S: Ari Antonio Reisdoerfer</t>
  </si>
  <si>
    <t>CAP-S: Arlindo Pedro Cadorin</t>
  </si>
  <si>
    <t>CAP-S: Armelindo Antonio Lanzarin</t>
  </si>
  <si>
    <t>CAP-S: Armerindo Miola</t>
  </si>
  <si>
    <t>CAP-S: Armindo Rosin</t>
  </si>
  <si>
    <t>CAP-S: Arno Pedro Steffen</t>
  </si>
  <si>
    <t>CAP-S: Ary Boldrini</t>
  </si>
  <si>
    <t>CAP-S: Ary Marchetto</t>
  </si>
  <si>
    <t>CAP-S: Ary Roque Schneider</t>
  </si>
  <si>
    <t>CAP-S: Ary Simionatto</t>
  </si>
  <si>
    <t>CAP-S: Augusto Facin</t>
  </si>
  <si>
    <t>CAP-S: Avelino Antonio Panhosatto</t>
  </si>
  <si>
    <t>CAP-S: Ayrton José Schneider</t>
  </si>
  <si>
    <t>CAP-S: Ayrton Sarda</t>
  </si>
  <si>
    <t>CAP-S: Balduino Angelo  Borsatti</t>
  </si>
  <si>
    <t>CAP-S: Barbara Rochelle Crestani</t>
  </si>
  <si>
    <t>CAP-S: Basilio Biesek</t>
  </si>
  <si>
    <t>CAP-S: Basilio Jose Holdefer</t>
  </si>
  <si>
    <t>CAP-S: Bastiao Souza Machado</t>
  </si>
  <si>
    <t>CAP-S: Basílio Biesek</t>
  </si>
  <si>
    <t>CAP-S: Belmir Natale Carniel</t>
  </si>
  <si>
    <t>CAP-S: Beloni Wilpert Correa</t>
  </si>
  <si>
    <t>CAP-S: Benhur Antonio Tonatto</t>
  </si>
  <si>
    <t>CAP-S: Braulio Portela Maciel</t>
  </si>
  <si>
    <t>CAP-S: CAPELEZZO &amp; CAPELEZZO LTDA</t>
  </si>
  <si>
    <t>CAP-S: CASEMIRO RIGON</t>
  </si>
  <si>
    <t>CAP-S: Camila Edianete Beutler</t>
  </si>
  <si>
    <t>CAP-S: Camilo Rissardi</t>
  </si>
  <si>
    <t>CAP-S: Carini Ritter</t>
  </si>
  <si>
    <t>CAP-S: Carla Maria Zilli</t>
  </si>
  <si>
    <t>CAP-S: Carlos Alberto Guollo</t>
  </si>
  <si>
    <t>CAP-S: Carlos Alberto Karkling</t>
  </si>
  <si>
    <t>CAP-S: Carlos Antonio Froner</t>
  </si>
  <si>
    <t>CAP-S: Carlos Antonio Valentini</t>
  </si>
  <si>
    <t>CAP-S: Carlos Dionei Giacomet</t>
  </si>
  <si>
    <t>CAP-S: Carlos Eduardo Guarez</t>
  </si>
  <si>
    <t>CAP-S: Carlos Iris Geremia</t>
  </si>
  <si>
    <t>CAP-S: Carlos Jose Brugnera</t>
  </si>
  <si>
    <t>CAP-S: Carlos Jose Deliberalli</t>
  </si>
  <si>
    <t>CAP-S: Carlos Jose Horst</t>
  </si>
  <si>
    <t>CAP-S: Carlos Leandro Sartori Spagnoli</t>
  </si>
  <si>
    <t>CAP-S: Carlos Luis Sufredini</t>
  </si>
  <si>
    <t>CAP-S: Carlos Nicaloski</t>
  </si>
  <si>
    <t>CAP-S: Carmo da Silva</t>
  </si>
  <si>
    <t>CAP-S: Caroline Aparecida Verginaci</t>
  </si>
  <si>
    <t>CAP-S: Cassiane Polo Vidor</t>
  </si>
  <si>
    <t>CAP-S: Catarina Veronica Huning</t>
  </si>
  <si>
    <t>CAP-S: Cecilia Maria Pastro</t>
  </si>
  <si>
    <t>CAP-S: Celda Chaves Soares</t>
  </si>
  <si>
    <t>CAP-S: Celestino De Bortoli</t>
  </si>
  <si>
    <t>CAP-S: Celestino Luiz Cocco Bisello</t>
  </si>
  <si>
    <t>CAP-S: Celestino Marcante Stanguerlin</t>
  </si>
  <si>
    <t>CAP-S: Celestino Reisdoerfer</t>
  </si>
  <si>
    <t>CAP-S: Celio Luiz Cotica</t>
  </si>
  <si>
    <t>CAP-S: Celio Luiz Mantelli</t>
  </si>
  <si>
    <t>CAP-S: Celita Streit</t>
  </si>
  <si>
    <t>CAP-S: Celso Antonio Pizato</t>
  </si>
  <si>
    <t>CAP-S: Celso Dissordi</t>
  </si>
  <si>
    <t>CAP-S: Celso Giacomini Fantin</t>
  </si>
  <si>
    <t>CAP-S: Celso Gobetti</t>
  </si>
  <si>
    <t>CAP-S: Celso Gregolin</t>
  </si>
  <si>
    <t>CAP-S: Celso Herminio Dessordi</t>
  </si>
  <si>
    <t>CAP-S: Celso Rufatto</t>
  </si>
  <si>
    <t>CAP-S: Celso Santo Marcante</t>
  </si>
  <si>
    <t>CAP-S: Celso de Miranda Barbosa</t>
  </si>
  <si>
    <t>CAP-S: Cerealista Faxinal Ltda</t>
  </si>
  <si>
    <t>CAP-S: Cesar Luiz Mantelli</t>
  </si>
  <si>
    <t>CAP-S: Cesar Malicheski</t>
  </si>
  <si>
    <t>CAP-S: Cezar Augusto Neuls</t>
  </si>
  <si>
    <t>CAP-S: Cezar Franki dos Santos Carneiro</t>
  </si>
  <si>
    <t>CAP-S: Cezar Pelentier</t>
  </si>
  <si>
    <t>CAP-S: Charly Rudilaine Beutler</t>
  </si>
  <si>
    <t>CAP-S: Cicero Barbieri</t>
  </si>
  <si>
    <t>CAP-S: Cidicley Caldatto</t>
  </si>
  <si>
    <t>CAP-S: Clair Domingos Monchak</t>
  </si>
  <si>
    <t>CAP-S: Clair Joao Poletto</t>
  </si>
  <si>
    <t>CAP-S: Clair Simionatto</t>
  </si>
  <si>
    <t>CAP-S: Clairton Ernesto De Sordi</t>
  </si>
  <si>
    <t>CAP-S: Clarindo José Storti</t>
  </si>
  <si>
    <t>CAP-S: Clarise Lima</t>
  </si>
  <si>
    <t>CAP-S: Claudeci da Silva Machado</t>
  </si>
  <si>
    <t>CAP-S: Claudecir Parmigani</t>
  </si>
  <si>
    <t>CAP-S: Claudemir Siqueira Carneiro</t>
  </si>
  <si>
    <t>CAP-S: Claudenei Tomazini</t>
  </si>
  <si>
    <t>CAP-S: Claudenir Galvan</t>
  </si>
  <si>
    <t>CAP-S: Claudia Crestani</t>
  </si>
  <si>
    <t>CAP-S: Claudia Mantelli</t>
  </si>
  <si>
    <t>CAP-S: Claudinei Marchioro</t>
  </si>
  <si>
    <t>CAP-S: Claudio Antonio Cassamareke</t>
  </si>
  <si>
    <t>CAP-S: Claudio Cezar Koslinski</t>
  </si>
  <si>
    <t>CAP-S: Claudio Comochena</t>
  </si>
  <si>
    <t>CAP-S: Claudio José  Bresolin</t>
  </si>
  <si>
    <t>CAP-S: Claudiomar Crestani</t>
  </si>
  <si>
    <t>CAP-S: Claudir Cleomar Didomenico</t>
  </si>
  <si>
    <t>CAP-S: Claudir Jose dos Santos</t>
  </si>
  <si>
    <t>CAP-S: Claudir Mantelli</t>
  </si>
  <si>
    <t>CAP-S: Claysson Giacobbo</t>
  </si>
  <si>
    <t>CAP-S: Cleber Ivan Grassi</t>
  </si>
  <si>
    <t>CAP-S: Cleber Roberto Caldato</t>
  </si>
  <si>
    <t>CAP-S: Cleci Grolli Denardin</t>
  </si>
  <si>
    <t>CAP-S: Clederson Dalmolin</t>
  </si>
  <si>
    <t>CAP-S: Cledimar Antonio Giacomini</t>
  </si>
  <si>
    <t>CAP-S: Cledimar Giacobbo</t>
  </si>
  <si>
    <t>CAP-S: Cleide Tomassoni Olivo</t>
  </si>
  <si>
    <t>CAP-S: Cleiton Renosto</t>
  </si>
  <si>
    <t>CAP-S: Cleiton de Ré</t>
  </si>
  <si>
    <t>CAP-S: Clemente Koprovski Neto</t>
  </si>
  <si>
    <t>CAP-S: Clenio Alberto Finco</t>
  </si>
  <si>
    <t>CAP-S: Clenio Luiz Romio</t>
  </si>
  <si>
    <t>CAP-S: Cleo Antonio Mantelli</t>
  </si>
  <si>
    <t>CAP-S: Cleomar Jose Mantelli</t>
  </si>
  <si>
    <t>CAP-S: Clessi Polazzo Borsatti</t>
  </si>
  <si>
    <t>CAP-S: Cleverson Mattei</t>
  </si>
  <si>
    <t>CAP-S: Clovis Varaschin</t>
  </si>
  <si>
    <t>CAP-S: Constante Ari Barbieri</t>
  </si>
  <si>
    <t>CAP-S: Coop. de Desenvolvimento e Prod. Agropecuá</t>
  </si>
  <si>
    <t>CAP-S: Cooperativa Agricola Mista São Cristovão</t>
  </si>
  <si>
    <t>CAP-S: Cooperativa Agricola Mista São Cristovão L</t>
  </si>
  <si>
    <t>CAP-S: Cooperativa Agroindustrial Aguas Frias</t>
  </si>
  <si>
    <t>CAP-S: Cooperativa Agroindustrial Forte</t>
  </si>
  <si>
    <t>CAP-S: Cooperativa Agropecuária Campoerense</t>
  </si>
  <si>
    <t>CAP-S: Cooperativa Agropecuária Capanema</t>
  </si>
  <si>
    <t>CAP-S: Cooperativa Agrária Agroindustrial</t>
  </si>
  <si>
    <t>CAP-S: Cooperativa Regional Agropecuária de Campo</t>
  </si>
  <si>
    <t>CAP-S: Cooperativa Regional Alva</t>
  </si>
  <si>
    <t>CAP-S: Cooperativa Rio do Peixe</t>
  </si>
  <si>
    <t>CAP-S: Cooperativa Triticola Sarandi Ltda</t>
  </si>
  <si>
    <t>CAP-S: Cooperativa de Agri  Familiares de Palma S</t>
  </si>
  <si>
    <t>CAP-S: Cooperativa de Alimentos e Agropecuaria Te</t>
  </si>
  <si>
    <t>CAP-S: Cooperdaluz Cooperativa Agropecuaria</t>
  </si>
  <si>
    <t>CAP-S: Copacol Cooperativa Agroindustrial Consola</t>
  </si>
  <si>
    <t>CAP-S: Cristhofer Pyerre Gobbi de Moura</t>
  </si>
  <si>
    <t>CAP-S: Cristian Andre Pissaia</t>
  </si>
  <si>
    <t>CAP-S: Cristiane Hupalo</t>
  </si>
  <si>
    <t>CAP-S: Cristiano Dubena</t>
  </si>
  <si>
    <t>CAP-S: Cristiano Santin</t>
  </si>
  <si>
    <t>CAP-S: Cristiano Tiago Dallanora</t>
  </si>
  <si>
    <t>CAP-S: DENILSO RUFATTO</t>
  </si>
  <si>
    <t>CAP-S: Dalberto Luiz Bernardi</t>
  </si>
  <si>
    <t>CAP-S: Dalci Leandro Sauthier</t>
  </si>
  <si>
    <t>CAP-S: Dalci Salvador Martarello</t>
  </si>
  <si>
    <t>CAP-S: Dalton Fernande Staejak</t>
  </si>
  <si>
    <t>CAP-S: Dalvino Chikoski Guarez</t>
  </si>
  <si>
    <t>CAP-S: Daniel Adão Camochena</t>
  </si>
  <si>
    <t>CAP-S: Daniel Bez</t>
  </si>
  <si>
    <t>CAP-S: Daniel Busanello</t>
  </si>
  <si>
    <t>CAP-S: Daniel Cesar Luvison</t>
  </si>
  <si>
    <t>CAP-S: Daniel Daneluz</t>
  </si>
  <si>
    <t>CAP-S: Daniel Deveras</t>
  </si>
  <si>
    <t>CAP-S: Daniel Ivo Marcante Stanguerlin</t>
  </si>
  <si>
    <t>CAP-S: Daniel Zolett</t>
  </si>
  <si>
    <t>CAP-S: Daniele Reisdoerfer</t>
  </si>
  <si>
    <t>CAP-S: Danilo Formentão</t>
  </si>
  <si>
    <t>CAP-S: Darci Antonio Tamagno</t>
  </si>
  <si>
    <t>CAP-S: Darci Avelino Nierotka</t>
  </si>
  <si>
    <t>CAP-S: Darci Dalla Costa</t>
  </si>
  <si>
    <t>CAP-S: Darci Gollmann</t>
  </si>
  <si>
    <t>CAP-S: Darci Miguel Vezaro</t>
  </si>
  <si>
    <t>CAP-S: Darci Simionatto</t>
  </si>
  <si>
    <t>CAP-S: Darci Valdomiro Antonietti</t>
  </si>
  <si>
    <t>CAP-S: Darcy Agustinho Berlatto</t>
  </si>
  <si>
    <t>CAP-S: Darcy Soranco</t>
  </si>
  <si>
    <t>CAP-S: Darcy da Cruz Oliveira</t>
  </si>
  <si>
    <t>CAP-S: Dario Kozievitch</t>
  </si>
  <si>
    <t>CAP-S: Dario Valdeni Griebeler</t>
  </si>
  <si>
    <t>CAP-S: Dauri da Silva</t>
  </si>
  <si>
    <t>CAP-S: David Zolet</t>
  </si>
  <si>
    <t>CAP-S: Decio Pancote</t>
  </si>
  <si>
    <t>CAP-S: Delbir Smanioto</t>
  </si>
  <si>
    <t>CAP-S: Deli Lurdes Spagnol Gobbi</t>
  </si>
  <si>
    <t>CAP-S: Delma Maria Tamagno Biff</t>
  </si>
  <si>
    <t>CAP-S: Delmar Zanuz</t>
  </si>
  <si>
    <t>CAP-S: Delmir Gustmann</t>
  </si>
  <si>
    <t>CAP-S: Delvino Longhi</t>
  </si>
  <si>
    <t>CAP-S: Delvino Pra</t>
  </si>
  <si>
    <t>CAP-S: Denilson Alfredo Grassi</t>
  </si>
  <si>
    <t>CAP-S: Denise Luisa Varaschin</t>
  </si>
  <si>
    <t>CAP-S: Deoclides Gheller</t>
  </si>
  <si>
    <t>CAP-S: Deomir Bonavigo</t>
  </si>
  <si>
    <t>CAP-S: Deoni Antonio Faccin</t>
  </si>
  <si>
    <t>CAP-S: Deonildo Salete Marin</t>
  </si>
  <si>
    <t>CAP-S: Deonir Spigosso</t>
  </si>
  <si>
    <t>CAP-S: Derly Dalmolin</t>
  </si>
  <si>
    <t>CAP-S: Devino Vidor</t>
  </si>
  <si>
    <t>CAP-S: Diamantino Marcante Stanguerlin</t>
  </si>
  <si>
    <t>CAP-S: Diana Tais Benso</t>
  </si>
  <si>
    <t>CAP-S: Diego Alexandre Pinto Dal Zotto</t>
  </si>
  <si>
    <t>CAP-S: Diego Balaban</t>
  </si>
  <si>
    <t>CAP-S: Diego Bordin</t>
  </si>
  <si>
    <t>CAP-S: Diego Elias Strapasson</t>
  </si>
  <si>
    <t>CAP-S: Diego Griebler</t>
  </si>
  <si>
    <t>CAP-S: Diego Joanan Benso</t>
  </si>
  <si>
    <t>CAP-S: Diego Rumaldo Philippsen</t>
  </si>
  <si>
    <t>CAP-S: Dieison Jose Link</t>
  </si>
  <si>
    <t>CAP-S: Dilmar Diovani Tortelli</t>
  </si>
  <si>
    <t>CAP-S: Dilmar Luiz Giacomini</t>
  </si>
  <si>
    <t>CAP-S: Dilso Bez</t>
  </si>
  <si>
    <t>CAP-S: Dilso Luiz Paglia</t>
  </si>
  <si>
    <t>CAP-S: Dilson Bianchin</t>
  </si>
  <si>
    <t>CAP-S: Dinarte Jose Spigosso</t>
  </si>
  <si>
    <t>CAP-S: Dinor Job Tortelli</t>
  </si>
  <si>
    <t>CAP-S: Diogenes Mattei</t>
  </si>
  <si>
    <t>CAP-S: Diogo Winiarski</t>
  </si>
  <si>
    <t>CAP-S: Dioncemar Deveras</t>
  </si>
  <si>
    <t>CAP-S: Diones Henrique Koch</t>
  </si>
  <si>
    <t>CAP-S: Dirceu Dalla Corte</t>
  </si>
  <si>
    <t>CAP-S: Dirceu Dalla Costa</t>
  </si>
  <si>
    <t>CAP-S: Disue Devino Vottri</t>
  </si>
  <si>
    <t>CAP-S: Divo Bez</t>
  </si>
  <si>
    <t>CAP-S: Djalmo Barros da Paz</t>
  </si>
  <si>
    <t>CAP-S: Doalcei Elcio Geremia</t>
  </si>
  <si>
    <t>CAP-S: Doilho Meneghetti</t>
  </si>
  <si>
    <t>CAP-S: Domingos Antonio Luvison</t>
  </si>
  <si>
    <t>CAP-S: Domingos Fogaça dos Santos</t>
  </si>
  <si>
    <t>CAP-S: Domingos Panhosatto</t>
  </si>
  <si>
    <t>CAP-S: Domingos Vivian</t>
  </si>
  <si>
    <t>CAP-S: Dorvalino Busato Neto</t>
  </si>
  <si>
    <t>CAP-S: Dorvalino Fiorentin</t>
  </si>
  <si>
    <t>CAP-S: Douglas Goergen</t>
  </si>
  <si>
    <t>CAP-S: Douglas Leonardo Luvison</t>
  </si>
  <si>
    <t>CAP-S: Douglas Piccinin</t>
  </si>
  <si>
    <t>CAP-S: Douglas Ricardo Philippsen</t>
  </si>
  <si>
    <t>CAP-S: Douglas Rigon</t>
  </si>
  <si>
    <t>CAP-S: Douglas Ritter</t>
  </si>
  <si>
    <t>CAP-S: Eberson Adolfo Gollmann</t>
  </si>
  <si>
    <t>CAP-S: Edasir Antonio Cosul</t>
  </si>
  <si>
    <t>CAP-S: Edegar Augustinho Arenza</t>
  </si>
  <si>
    <t>CAP-S: Edegar Bertoldo</t>
  </si>
  <si>
    <t>CAP-S: Eder Quinto Salvadori Desconsi</t>
  </si>
  <si>
    <t>CAP-S: Edevandro Corlasoli</t>
  </si>
  <si>
    <t>CAP-S: Edilson Jose Grassi</t>
  </si>
  <si>
    <t>CAP-S: Edineia Griz</t>
  </si>
  <si>
    <t>CAP-S: Edite Dagios</t>
  </si>
  <si>
    <t>CAP-S: Edivan Rost</t>
  </si>
  <si>
    <t>CAP-S: Edmundo Antonio Stefaniak</t>
  </si>
  <si>
    <t>CAP-S: Edson Adriano Berns</t>
  </si>
  <si>
    <t>CAP-S: Edson Bassoli Cora</t>
  </si>
  <si>
    <t>CAP-S: Edson Brocco</t>
  </si>
  <si>
    <t>CAP-S: Edson Domingos Ciliprandi</t>
  </si>
  <si>
    <t>CAP-S: Edson Frigo</t>
  </si>
  <si>
    <t>CAP-S: Edson Grassi</t>
  </si>
  <si>
    <t>CAP-S: Edson Martinelli</t>
  </si>
  <si>
    <t>CAP-S: Edson Martins de Moraes</t>
  </si>
  <si>
    <t>CAP-S: Edson Nei Salvadori Desconsi</t>
  </si>
  <si>
    <t>CAP-S: Edson Roberto Silveira</t>
  </si>
  <si>
    <t>CAP-S: Edson Stamproski</t>
  </si>
  <si>
    <t>CAP-S: Edson Tomassoni</t>
  </si>
  <si>
    <t>CAP-S: Edson Vanderlei Stasiack</t>
  </si>
  <si>
    <t>CAP-S: Eduardo Luiz Canton</t>
  </si>
  <si>
    <t>CAP-S: Eduardo Rafael Schneider</t>
  </si>
  <si>
    <t>CAP-S: Eduardo Romano Radaelli</t>
  </si>
  <si>
    <t>CAP-S: Eduardo Rost</t>
  </si>
  <si>
    <t>CAP-S: Edyson Boldrini</t>
  </si>
  <si>
    <t>CAP-S: Elcio Fabro</t>
  </si>
  <si>
    <t>CAP-S: Elcio Roque Zanella</t>
  </si>
  <si>
    <t>CAP-S: Elenita Fornari</t>
  </si>
  <si>
    <t>CAP-S: Eleomar Karloh</t>
  </si>
  <si>
    <t>CAP-S: Elia de Chaves Reck</t>
  </si>
  <si>
    <t>CAP-S: Eliandro Cutchma</t>
  </si>
  <si>
    <t>CAP-S: Elias Cutchma</t>
  </si>
  <si>
    <t>CAP-S: Elias Koslinski</t>
  </si>
  <si>
    <t>CAP-S: Elides Giordani</t>
  </si>
  <si>
    <t>CAP-S: Eliete Vignaga Tonus</t>
  </si>
  <si>
    <t>CAP-S: Elio Mantelli</t>
  </si>
  <si>
    <t>CAP-S: Elio Zilio</t>
  </si>
  <si>
    <t>CAP-S: Elivelton Orlando Geremia</t>
  </si>
  <si>
    <t>CAP-S: Elizeu Jose Navarini</t>
  </si>
  <si>
    <t>CAP-S: Elso Luiz Zandona</t>
  </si>
  <si>
    <t>CAP-S: Elton Heone Gheller</t>
  </si>
  <si>
    <t>CAP-S: Elvio Danieli</t>
  </si>
  <si>
    <t>CAP-S: Elvis Franklin Loureiro de Mello Filho</t>
  </si>
  <si>
    <t>CAP-S: Elza Ana Viola</t>
  </si>
  <si>
    <t>CAP-S: Elza Kazumi Nagao</t>
  </si>
  <si>
    <t>CAP-S: Emerson Candiotto</t>
  </si>
  <si>
    <t>CAP-S: Emerson Jose Gregolin</t>
  </si>
  <si>
    <t>CAP-S: Emerson Piloneto</t>
  </si>
  <si>
    <t>CAP-S: Eneias Antunes Duarte</t>
  </si>
  <si>
    <t>CAP-S: Eni Mantelli</t>
  </si>
  <si>
    <t>CAP-S: Enio Joao Tesser</t>
  </si>
  <si>
    <t>CAP-S: Erico Ribeiro Da Silva</t>
  </si>
  <si>
    <t>CAP-S: Erineu Rutkoski</t>
  </si>
  <si>
    <t>CAP-S: Ernesto Martinello</t>
  </si>
  <si>
    <t>CAP-S: Ertile Domingos Guero</t>
  </si>
  <si>
    <t>CAP-S: Ervin Marian</t>
  </si>
  <si>
    <t>CAP-S: Estela Mari Gregolin Berno</t>
  </si>
  <si>
    <t>CAP-S: Eucir Brocco</t>
  </si>
  <si>
    <t>CAP-S: Euclides Alberto Piana</t>
  </si>
  <si>
    <t>CAP-S: Euclides Brocco</t>
  </si>
  <si>
    <t>CAP-S: Eugenio Domingos Scalabrim</t>
  </si>
  <si>
    <t>CAP-S: Euli Copetti Zilio</t>
  </si>
  <si>
    <t>CAP-S: Euremia Kozelinski Hupalo</t>
  </si>
  <si>
    <t>CAP-S: Eurides Lotti</t>
  </si>
  <si>
    <t>CAP-S: Evair Bras Gomes Lopes</t>
  </si>
  <si>
    <t>CAP-S: Evandro Carlos Gottardi</t>
  </si>
  <si>
    <t>CAP-S: Evandro Cesar Chiochetta</t>
  </si>
  <si>
    <t>CAP-S: Evandro Gomes</t>
  </si>
  <si>
    <t>CAP-S: Evandro Luiz Morandi</t>
  </si>
  <si>
    <t>CAP-S: Everaldo Bocchi</t>
  </si>
  <si>
    <t>CAP-S: Everson Bisatto</t>
  </si>
  <si>
    <t>CAP-S: Everson Luis Rebonato</t>
  </si>
  <si>
    <t>CAP-S: Everton Antonio Grassi</t>
  </si>
  <si>
    <t>CAP-S: Everton Bisatto</t>
  </si>
  <si>
    <t>CAP-S: Everton Luiz Pagnoncelli</t>
  </si>
  <si>
    <t>CAP-S: Ezidio Tressi Biazus</t>
  </si>
  <si>
    <t>CAP-S: Fabiano Giacomin</t>
  </si>
  <si>
    <t>CAP-S: Fabiano Zilli</t>
  </si>
  <si>
    <t>CAP-S: Fabieli Simone Lange Grabin</t>
  </si>
  <si>
    <t>CAP-S: Fabio Gustavo Sand</t>
  </si>
  <si>
    <t>CAP-S: Fabio Jose Padovani</t>
  </si>
  <si>
    <t>CAP-S: Fabio Mattei</t>
  </si>
  <si>
    <t>CAP-S: Fani Sallete Daros Bisatto</t>
  </si>
  <si>
    <t>CAP-S: Faustino Bertoldo</t>
  </si>
  <si>
    <t>CAP-S: Felipe Addison Momesso</t>
  </si>
  <si>
    <t>CAP-S: Felipe Hupalo</t>
  </si>
  <si>
    <t>CAP-S: Felipe Patresi Cotica</t>
  </si>
  <si>
    <t>CAP-S: Fellipe Virmond Demario</t>
  </si>
  <si>
    <t>CAP-S: Fernanda Addison Momesso</t>
  </si>
  <si>
    <t>CAP-S: Fernanda Aparecida Mattei</t>
  </si>
  <si>
    <t>CAP-S: Fernando Alan Tonus</t>
  </si>
  <si>
    <t>CAP-S: Fernando Jose Badia</t>
  </si>
  <si>
    <t>CAP-S: Fernando Loregian</t>
  </si>
  <si>
    <t>CAP-S: Fernando Marsaro</t>
  </si>
  <si>
    <t>CAP-S: Fernando Noriyuki Abe</t>
  </si>
  <si>
    <t>CAP-S: Fernando Paglia</t>
  </si>
  <si>
    <t>CAP-S: Fernando Palaro</t>
  </si>
  <si>
    <t>CAP-S: Firmiano Avila da Rosa</t>
  </si>
  <si>
    <t>CAP-S: Flademir Echer</t>
  </si>
  <si>
    <t>CAP-S: Flavia Lurdes Antoniolli</t>
  </si>
  <si>
    <t>CAP-S: Flavio Adriano Arnoldo</t>
  </si>
  <si>
    <t>CAP-S: Flavio Cesar Ascari</t>
  </si>
  <si>
    <t>CAP-S: Flavio Pacheco</t>
  </si>
  <si>
    <t>CAP-S: Flavio Ritter</t>
  </si>
  <si>
    <t>CAP-S: Florentino Marcante</t>
  </si>
  <si>
    <t>CAP-S: Fraides Machado Weirich</t>
  </si>
  <si>
    <t>CAP-S: Francieli Furlani</t>
  </si>
  <si>
    <t>CAP-S: Francisco Adao Maroni</t>
  </si>
  <si>
    <t>CAP-S: Francisco Barilli</t>
  </si>
  <si>
    <t>CAP-S: Francisco Bisello</t>
  </si>
  <si>
    <t>CAP-S: Francisco Floriani</t>
  </si>
  <si>
    <t>CAP-S: Francisco Renosto</t>
  </si>
  <si>
    <t>CAP-S: Francisco Tombini Tomassoni</t>
  </si>
  <si>
    <t>CAP-S: Frederico Fabian</t>
  </si>
  <si>
    <t>CAP-S: GILMAR VICENTE FRIZON</t>
  </si>
  <si>
    <t>CAP-S: Gaspar Sganzerlla</t>
  </si>
  <si>
    <t>CAP-S: Geilto Gustmann</t>
  </si>
  <si>
    <t>CAP-S: Gelmir Cecchet</t>
  </si>
  <si>
    <t>CAP-S: Gelso Simioni</t>
  </si>
  <si>
    <t>CAP-S: Gelson Biazus</t>
  </si>
  <si>
    <t>CAP-S: Gelson Correa</t>
  </si>
  <si>
    <t>CAP-S: Gelssi Justina Bernardi</t>
  </si>
  <si>
    <t>CAP-S: Gentil Grando</t>
  </si>
  <si>
    <t>CAP-S: Geovana Neuls</t>
  </si>
  <si>
    <t>CAP-S: Geovane Polese Sznicer</t>
  </si>
  <si>
    <t>CAP-S: Geraldo Martiol de Souza</t>
  </si>
  <si>
    <t>CAP-S: Geraldo Rigon</t>
  </si>
  <si>
    <t>CAP-S: Geronilde Gustmann</t>
  </si>
  <si>
    <t>CAP-S: Gerson Joao Stasiak</t>
  </si>
  <si>
    <t>CAP-S: Gerson Luiz Giacobbo</t>
  </si>
  <si>
    <t>CAP-S: Getulio Luiz Guerro</t>
  </si>
  <si>
    <t>CAP-S: Gian Paulo Deitos</t>
  </si>
  <si>
    <t>CAP-S: Gideoni dos Santos Pereira</t>
  </si>
  <si>
    <t>CAP-S: Gilberto Antonio Pauletti</t>
  </si>
  <si>
    <t>CAP-S: Gilberto Fabricio</t>
  </si>
  <si>
    <t>CAP-S: Gilberto Mezzomo</t>
  </si>
  <si>
    <t>CAP-S: Gilberto Oldoni Theodoro</t>
  </si>
  <si>
    <t>CAP-S: Gilberto Rancatti</t>
  </si>
  <si>
    <t>CAP-S: Gilberto Tamagno</t>
  </si>
  <si>
    <t>CAP-S: Gilmar Bisatto</t>
  </si>
  <si>
    <t>CAP-S: Gilmar Foppa</t>
  </si>
  <si>
    <t>CAP-S: Gilmar de Ros</t>
  </si>
  <si>
    <t>CAP-S: Gilso Corazza</t>
  </si>
  <si>
    <t>CAP-S: Gilson Carneiro Gustmann</t>
  </si>
  <si>
    <t>CAP-S: Gionei Spautz Granemann</t>
  </si>
  <si>
    <t>CAP-S: Giovana Augusta Crestani</t>
  </si>
  <si>
    <t>CAP-S: Giseli Tesser</t>
  </si>
  <si>
    <t>CAP-S: Glaci Jacir Furlani</t>
  </si>
  <si>
    <t>CAP-S: Glauber Andre Guares</t>
  </si>
  <si>
    <t>CAP-S: Glauber Ferst Kleinibing</t>
  </si>
  <si>
    <t>CAP-S: Gledson Storti</t>
  </si>
  <si>
    <t>CAP-S: Gleyson Fernando Polo</t>
  </si>
  <si>
    <t>CAP-S: Graciano Favin</t>
  </si>
  <si>
    <t>CAP-S: Graciolino Brunetto</t>
  </si>
  <si>
    <t>CAP-S: Greguy Luis Tosatti</t>
  </si>
  <si>
    <t>CAP-S: Guilherme Bortoli Griss</t>
  </si>
  <si>
    <t>CAP-S: Gustavo Belmiro Caldato</t>
  </si>
  <si>
    <t>CAP-S: Gustavo Corazza</t>
  </si>
  <si>
    <t>CAP-S: HILDA KRAVEC WINIARSKI</t>
  </si>
  <si>
    <t>CAP-S: Haroldo Battisti Lorenzatto</t>
  </si>
  <si>
    <t>CAP-S: Haroldo Wilson Farinon</t>
  </si>
  <si>
    <t>CAP-S: Heber Eleandro Dubena</t>
  </si>
  <si>
    <t>CAP-S: Heimbert Sand</t>
  </si>
  <si>
    <t>CAP-S: Helena Piovesan Bertoldo</t>
  </si>
  <si>
    <t>CAP-S: Helio Capeletti</t>
  </si>
  <si>
    <t>CAP-S: Helio Gomes</t>
  </si>
  <si>
    <t>CAP-S: Helio Marcante</t>
  </si>
  <si>
    <t>CAP-S: Helio Rios</t>
  </si>
  <si>
    <t>CAP-S: Helmuth Fernando Neuls</t>
  </si>
  <si>
    <t>CAP-S: Henriquelmo Antonio Mozer</t>
  </si>
  <si>
    <t>CAP-S: Hermani Antonio Tamagno</t>
  </si>
  <si>
    <t>CAP-S: Hetyel Attan Dolci</t>
  </si>
  <si>
    <t>CAP-S: Hilario Alfonso Hoffmann</t>
  </si>
  <si>
    <t>CAP-S: Hildo Badia</t>
  </si>
  <si>
    <t>CAP-S: Honorino Jose Echer</t>
  </si>
  <si>
    <t>CAP-S: Hugo Tortelli</t>
  </si>
  <si>
    <t>CAP-S: Hugolino Trevisan</t>
  </si>
  <si>
    <t>CAP-S: Humberto Fernando Varaschin</t>
  </si>
  <si>
    <t>CAP-S: IVANIA BROCCO BOLDRINI</t>
  </si>
  <si>
    <t>CAP-S: Idacir Giacomin</t>
  </si>
  <si>
    <t>CAP-S: Idair Giacomin</t>
  </si>
  <si>
    <t>CAP-S: Idair Pedro Martarello</t>
  </si>
  <si>
    <t>CAP-S: Idemar Francisco Martarello</t>
  </si>
  <si>
    <t>CAP-S: Idezio Comunello</t>
  </si>
  <si>
    <t>CAP-S: Idiomar Zanella</t>
  </si>
  <si>
    <t>CAP-S: Idir Cecconi</t>
  </si>
  <si>
    <t>CAP-S: Idolino Luiz Sartor</t>
  </si>
  <si>
    <t>CAP-S: Idu Bonetti</t>
  </si>
  <si>
    <t>CAP-S: Ilka Albrecht Guerra</t>
  </si>
  <si>
    <t>CAP-S: Ilmar Baldissera</t>
  </si>
  <si>
    <t>CAP-S: Ilson Guerra</t>
  </si>
  <si>
    <t>CAP-S: Iluir Zago</t>
  </si>
  <si>
    <t>CAP-S: Inacio Catusso</t>
  </si>
  <si>
    <t>CAP-S: Inacio Pra</t>
  </si>
  <si>
    <t>CAP-S: Inelvi Ferreira Vermoehlen</t>
  </si>
  <si>
    <t>CAP-S: Inor Francisco Mantelli</t>
  </si>
  <si>
    <t>CAP-S: Insuagro Insumos Agricolas Ltda</t>
  </si>
  <si>
    <t>CAP-S: Iraci Dala Costa</t>
  </si>
  <si>
    <t>CAP-S: Iraci Zatti Merlo</t>
  </si>
  <si>
    <t>CAP-S: Irani Antonio Calgaro</t>
  </si>
  <si>
    <t>CAP-S: Irene Oldoni Theodoro Marini</t>
  </si>
  <si>
    <t>CAP-S: Ires Bassetto</t>
  </si>
  <si>
    <t>CAP-S: Irineu Biazolo</t>
  </si>
  <si>
    <t>CAP-S: Irineu Dubena</t>
  </si>
  <si>
    <t>CAP-S: Irineu Taparello</t>
  </si>
  <si>
    <t>CAP-S: Irineu Tesser</t>
  </si>
  <si>
    <t>CAP-S: Irma Vermohelen</t>
  </si>
  <si>
    <t>CAP-S: Isabela Margonar Gollman</t>
  </si>
  <si>
    <t>CAP-S: Isaias Bolzan</t>
  </si>
  <si>
    <t>CAP-S: Itacir Antonio Bugoni</t>
  </si>
  <si>
    <t>CAP-S: Itacir Cecconi</t>
  </si>
  <si>
    <t>CAP-S: Itacir Fabris</t>
  </si>
  <si>
    <t>CAP-S: Italino Rigo</t>
  </si>
  <si>
    <t>CAP-S: Itamar Antonio Marcante</t>
  </si>
  <si>
    <t>CAP-S: Itamar Bez</t>
  </si>
  <si>
    <t>CAP-S: Itamar Gregolin</t>
  </si>
  <si>
    <t>CAP-S: Itamar Jose Echer</t>
  </si>
  <si>
    <t>CAP-S: Itamar Rigo</t>
  </si>
  <si>
    <t>CAP-S: Ivair Brancher</t>
  </si>
  <si>
    <t>CAP-S: Ivaldino Carlos Rubertti</t>
  </si>
  <si>
    <t>CAP-S: Ivaldino Marin Guerini</t>
  </si>
  <si>
    <t>CAP-S: Ivalino Zago</t>
  </si>
  <si>
    <t>CAP-S: Ivanir Dionisio Bernardi</t>
  </si>
  <si>
    <t>CAP-S: Ivanir Giacomin</t>
  </si>
  <si>
    <t>CAP-S: Ivanor de Faveri</t>
  </si>
  <si>
    <t>CAP-S: Ivo Irineu Stadnik</t>
  </si>
  <si>
    <t>CAP-S: Ivo Joao Pastro</t>
  </si>
  <si>
    <t>CAP-S: Ivo Joao Tamagno</t>
  </si>
  <si>
    <t>CAP-S: Ivo Polo</t>
  </si>
  <si>
    <t>CAP-S: Ivo Rogerio Griebeler</t>
  </si>
  <si>
    <t>CAP-S: Ivone Schonhorst Grabin</t>
  </si>
  <si>
    <t>CAP-S: Ivone Tavares Marian</t>
  </si>
  <si>
    <t>CAP-S: Ivonete Iung</t>
  </si>
  <si>
    <t>CAP-S: JAIRTON LUIZ CONCI</t>
  </si>
  <si>
    <t>CAP-S: Jaci Giotti</t>
  </si>
  <si>
    <t>CAP-S: Jacir Clai Brustolin</t>
  </si>
  <si>
    <t>CAP-S: Jackes Wendel Festugatto</t>
  </si>
  <si>
    <t>CAP-S: Jadir Antonio Hermann</t>
  </si>
  <si>
    <t>CAP-S: Jaime Luiz Gabriel Junior</t>
  </si>
  <si>
    <t>CAP-S: Jaime Luiz Link</t>
  </si>
  <si>
    <t>CAP-S: Jaime Tumelero</t>
  </si>
  <si>
    <t>CAP-S: Jaimor Zilio</t>
  </si>
  <si>
    <t>CAP-S: Jair Alves Borges</t>
  </si>
  <si>
    <t>CAP-S: Jair Carlos Dalmolin</t>
  </si>
  <si>
    <t>CAP-S: Jair Gonçalves de Almeida</t>
  </si>
  <si>
    <t>CAP-S: Jair Irto Lora</t>
  </si>
  <si>
    <t>CAP-S: Jairi Pereira de Souza da Silva</t>
  </si>
  <si>
    <t>CAP-S: Jairo Tamagno</t>
  </si>
  <si>
    <t>CAP-S: Jalusa Cigolini</t>
  </si>
  <si>
    <t>CAP-S: Jancar Anghinoni</t>
  </si>
  <si>
    <t>CAP-S: Jandir Bevilacqua</t>
  </si>
  <si>
    <t>CAP-S: Janrye Kupicki</t>
  </si>
  <si>
    <t>CAP-S: Januaria Amelia Mezomo</t>
  </si>
  <si>
    <t>CAP-S: Januário Koslinski</t>
  </si>
  <si>
    <t>CAP-S: Jaquerson Cristiano Perondi</t>
  </si>
  <si>
    <t>CAP-S: Jauri Goncalves de Almeida</t>
  </si>
  <si>
    <t>CAP-S: Jean Carlos Bernardi</t>
  </si>
  <si>
    <t>CAP-S: Jean Paulo Mascarello</t>
  </si>
  <si>
    <t>CAP-S: Jedlison Reolon</t>
  </si>
  <si>
    <t>CAP-S: Jelson de Moraes</t>
  </si>
  <si>
    <t>CAP-S: Jeovani Felix Correa</t>
  </si>
  <si>
    <t>CAP-S: Joanico Guzzo</t>
  </si>
  <si>
    <t>CAP-S: Joao Batista Madruga</t>
  </si>
  <si>
    <t>CAP-S: Joao Batista Martiol de Souza</t>
  </si>
  <si>
    <t>CAP-S: Joao Cezar Peron</t>
  </si>
  <si>
    <t>CAP-S: Joao Franklin Ramos de Mello Filho</t>
  </si>
  <si>
    <t>CAP-S: Joao Iraci Merlo</t>
  </si>
  <si>
    <t>CAP-S: Joao Pedro Bonetti</t>
  </si>
  <si>
    <t>CAP-S: Joao Rizzardi</t>
  </si>
  <si>
    <t>CAP-S: Joao Rogerio Goffi</t>
  </si>
  <si>
    <t>CAP-S: Joao Roque Kessler</t>
  </si>
  <si>
    <t>CAP-S: Joao Rossanelli</t>
  </si>
  <si>
    <t>CAP-S: Joao Schiochet</t>
  </si>
  <si>
    <t>CAP-S: Joao Selvino Graff</t>
  </si>
  <si>
    <t>CAP-S: Joao Valderi Schmitt de Souza</t>
  </si>
  <si>
    <t>CAP-S: Joao Valdir Lasta</t>
  </si>
  <si>
    <t>CAP-S: Joao Zanuz</t>
  </si>
  <si>
    <t>CAP-S: Jocemar Corazza</t>
  </si>
  <si>
    <t>CAP-S: Jocemar Turra</t>
  </si>
  <si>
    <t>CAP-S: Jocimar Antonio Caldatto</t>
  </si>
  <si>
    <t>CAP-S: Jocimar Antonio dos Santos</t>
  </si>
  <si>
    <t>CAP-S: Jocimar Gnotti Biff</t>
  </si>
  <si>
    <t>CAP-S: Joel Faccin</t>
  </si>
  <si>
    <t>CAP-S: Joel Luiz Lora</t>
  </si>
  <si>
    <t>CAP-S: Joel Olivo</t>
  </si>
  <si>
    <t>CAP-S: Joelcio Frizon</t>
  </si>
  <si>
    <t>CAP-S: Jolvani Marcos Xavier</t>
  </si>
  <si>
    <t>CAP-S: Jonas Assumpcao</t>
  </si>
  <si>
    <t>CAP-S: Jonas Paschoali</t>
  </si>
  <si>
    <t>CAP-S: Jorge Francisco Albarello</t>
  </si>
  <si>
    <t>CAP-S: Jorge Grabin</t>
  </si>
  <si>
    <t>CAP-S: Jorge Luiz Camilotti</t>
  </si>
  <si>
    <t>CAP-S: Jorge Luiz Piccinin</t>
  </si>
  <si>
    <t>CAP-S: Jorge Luiz Rigon</t>
  </si>
  <si>
    <t>CAP-S: Jorge Merlo</t>
  </si>
  <si>
    <t>CAP-S: Jose Aldair Beck Carpes</t>
  </si>
  <si>
    <t>CAP-S: Jose Andrade</t>
  </si>
  <si>
    <t>CAP-S: Jose Balduino Soares</t>
  </si>
  <si>
    <t>CAP-S: Jose Benoski</t>
  </si>
  <si>
    <t>CAP-S: Jose Borelli Antunes Junior</t>
  </si>
  <si>
    <t>CAP-S: Jose Carlos Franchin</t>
  </si>
  <si>
    <t>CAP-S: Jose Carlos Rizzardi</t>
  </si>
  <si>
    <t>CAP-S: Jose De Negri</t>
  </si>
  <si>
    <t>CAP-S: Jose Lora</t>
  </si>
  <si>
    <t>CAP-S: Jose Odalsi Link</t>
  </si>
  <si>
    <t>CAP-S: Jose Osmar Parizotto</t>
  </si>
  <si>
    <t>CAP-S: Jose Rafael Barbosa</t>
  </si>
  <si>
    <t>CAP-S: Jose Roberto Caramori</t>
  </si>
  <si>
    <t>CAP-S: Jose Valdir Carneiro</t>
  </si>
  <si>
    <t>CAP-S: Jose Valdir Marko</t>
  </si>
  <si>
    <t>CAP-S: Jose Zatt</t>
  </si>
  <si>
    <t>CAP-S: Josemar Stefanello Rigon</t>
  </si>
  <si>
    <t>CAP-S: Joslei Martinello</t>
  </si>
  <si>
    <t>CAP-S: Josmar Giacobbo</t>
  </si>
  <si>
    <t>CAP-S: José Ademir Link</t>
  </si>
  <si>
    <t>CAP-S: José Antonio Luvison</t>
  </si>
  <si>
    <t>CAP-S: José Antonio Stefanello Rigon</t>
  </si>
  <si>
    <t>CAP-S: José Carlos Momesso</t>
  </si>
  <si>
    <t>CAP-S: José Hupalo</t>
  </si>
  <si>
    <t>CAP-S: José Juventino Hupalo</t>
  </si>
  <si>
    <t>CAP-S: José Koslinski</t>
  </si>
  <si>
    <t>CAP-S: José Mantelli</t>
  </si>
  <si>
    <t>CAP-S: José Pernlochner</t>
  </si>
  <si>
    <t>CAP-S: Jovani Dornelles</t>
  </si>
  <si>
    <t>CAP-S: Jovani Jose Basso</t>
  </si>
  <si>
    <t>CAP-S: Jovenil Achre Pertuzati</t>
  </si>
  <si>
    <t>CAP-S: Jozelene Ankoski Hermann</t>
  </si>
  <si>
    <t>CAP-S: João Armando Kerber</t>
  </si>
  <si>
    <t>CAP-S: João Batista Cigolini</t>
  </si>
  <si>
    <t>CAP-S: João Batista Pereira Bugno</t>
  </si>
  <si>
    <t>CAP-S: João Bruscato</t>
  </si>
  <si>
    <t>CAP-S: João De Almeida Machado</t>
  </si>
  <si>
    <t>CAP-S: João Luiz Giertyas</t>
  </si>
  <si>
    <t>CAP-S: João Sorgatto</t>
  </si>
  <si>
    <t>CAP-S: Juarez Costa</t>
  </si>
  <si>
    <t>CAP-S: Jucelito Bordin</t>
  </si>
  <si>
    <t>CAP-S: Juciano Bundchen</t>
  </si>
  <si>
    <t>CAP-S: Juliana Felippe</t>
  </si>
  <si>
    <t>CAP-S: Juliane Salete Lora</t>
  </si>
  <si>
    <t>CAP-S: Juliano Antonio de Faveri</t>
  </si>
  <si>
    <t>CAP-S: Juliano Bordin Merlo</t>
  </si>
  <si>
    <t>CAP-S: Juliano Bortolli Griss</t>
  </si>
  <si>
    <t>CAP-S: Juliano Simionatto</t>
  </si>
  <si>
    <t>CAP-S: Julinho Tonus</t>
  </si>
  <si>
    <t>CAP-S: Julio Adelmo Rodrigues da Fonseca</t>
  </si>
  <si>
    <t>CAP-S: Julio Kupicki</t>
  </si>
  <si>
    <t>CAP-S: Julio Merlo</t>
  </si>
  <si>
    <t>CAP-S: Julio Valdir Parizotto</t>
  </si>
  <si>
    <t>CAP-S: Junior A Gollmann</t>
  </si>
  <si>
    <t>CAP-S: Junior Luiz Buratto</t>
  </si>
  <si>
    <t>CAP-S: Junior Mendes Leal</t>
  </si>
  <si>
    <t>CAP-S: Juremir Elcio Behm</t>
  </si>
  <si>
    <t>CAP-S: Jusemar Biesek</t>
  </si>
  <si>
    <t>CAP-S: Jussemara Matiollo</t>
  </si>
  <si>
    <t>CAP-S: Karli Grabin</t>
  </si>
  <si>
    <t>CAP-S: Katia Regina Rychik Honaiser</t>
  </si>
  <si>
    <t>CAP-S: Kelly Gustmann</t>
  </si>
  <si>
    <t>CAP-S: LUIZ ROBERTO MASCARELO MASSAROTTO</t>
  </si>
  <si>
    <t>CAP-S: Lady Pelissa</t>
  </si>
  <si>
    <t>CAP-S: Laelco Ruaro</t>
  </si>
  <si>
    <t>CAP-S: Laercio Leonel Staejak</t>
  </si>
  <si>
    <t>CAP-S: Laercio Lucas Slomochenski</t>
  </si>
  <si>
    <t>CAP-S: Laires Bodanese</t>
  </si>
  <si>
    <t>CAP-S: Laires Bodanese Junior</t>
  </si>
  <si>
    <t>CAP-S: Laudecir Scalabrim</t>
  </si>
  <si>
    <t>CAP-S: Laura Zandona</t>
  </si>
  <si>
    <t>CAP-S: Laurindo Baldissera</t>
  </si>
  <si>
    <t>CAP-S: Laurindo Bonetti</t>
  </si>
  <si>
    <t>CAP-S: Lauro Tonon</t>
  </si>
  <si>
    <t>CAP-S: Laury Antonio Favin</t>
  </si>
  <si>
    <t>CAP-S: Leandro Damo</t>
  </si>
  <si>
    <t>CAP-S: Leandro Formentão</t>
  </si>
  <si>
    <t>CAP-S: Leandro Luiz Tomasi</t>
  </si>
  <si>
    <t>CAP-S: Leandro Pacheco</t>
  </si>
  <si>
    <t>CAP-S: Leila Marcia Tesser Augusto</t>
  </si>
  <si>
    <t>CAP-S: Leocelio Thives Pimentel</t>
  </si>
  <si>
    <t>CAP-S: Leoci Scalabrin</t>
  </si>
  <si>
    <t>CAP-S: Leocimar Bolzan</t>
  </si>
  <si>
    <t>CAP-S: Leocir Neri Favin</t>
  </si>
  <si>
    <t>CAP-S: Leocir Saggin</t>
  </si>
  <si>
    <t>CAP-S: Leomar Paulo Lazarin</t>
  </si>
  <si>
    <t>CAP-S: Leonardo Jose Link</t>
  </si>
  <si>
    <t>CAP-S: Leonardo Slomochenski</t>
  </si>
  <si>
    <t>CAP-S: Leones Damo</t>
  </si>
  <si>
    <t>CAP-S: Leonir Simionatto</t>
  </si>
  <si>
    <t>CAP-S: Leonorina Hoffmann Bochese</t>
  </si>
  <si>
    <t>CAP-S: Levino Gasparim</t>
  </si>
  <si>
    <t>CAP-S: Levino Schneider</t>
  </si>
  <si>
    <t>CAP-S: Liandro Hansel</t>
  </si>
  <si>
    <t>CAP-S: Liano Souza Melo</t>
  </si>
  <si>
    <t>CAP-S: Lindemar de Oliveira Vieira</t>
  </si>
  <si>
    <t>CAP-S: Lino Cesa</t>
  </si>
  <si>
    <t>CAP-S: Lino Zolett</t>
  </si>
  <si>
    <t>CAP-S: Lirio Armelindo Dalmolin Dalla Costa</t>
  </si>
  <si>
    <t>CAP-S: Lirio Calza</t>
  </si>
  <si>
    <t>CAP-S: Lirio Jordao Mascarello Massarotto</t>
  </si>
  <si>
    <t>CAP-S: Lisangela Maroni</t>
  </si>
  <si>
    <t>CAP-S: Loiri Vicente Regner</t>
  </si>
  <si>
    <t>CAP-S: Loisi Antonio Gabrielli</t>
  </si>
  <si>
    <t>CAP-S: Lucas Eduardo Behm</t>
  </si>
  <si>
    <t>CAP-S: Lucas Felipe Marafon</t>
  </si>
  <si>
    <t>CAP-S: Lucas Frison Grassi</t>
  </si>
  <si>
    <t>CAP-S: Luciana Vigano Ascari</t>
  </si>
  <si>
    <t>CAP-S: Luciane Tesser Michaliszyn</t>
  </si>
  <si>
    <t>CAP-S: Luciano Perin Ruaro</t>
  </si>
  <si>
    <t>CAP-S: Ludovino Fabian Simionato</t>
  </si>
  <si>
    <t>CAP-S: Luis Carlos Rosin</t>
  </si>
  <si>
    <t>CAP-S: Luiz Ambrosio Lunkes</t>
  </si>
  <si>
    <t>CAP-S: Luiz Antonio Ferreira Terres</t>
  </si>
  <si>
    <t>CAP-S: Luiz Carlos Cigolini</t>
  </si>
  <si>
    <t>CAP-S: Luiz Carlos Marin</t>
  </si>
  <si>
    <t>CAP-S: Luiz Carlos Zandoná</t>
  </si>
  <si>
    <t>CAP-S: Luiz Delazari</t>
  </si>
  <si>
    <t>CAP-S: Luiz Domingos Fornari</t>
  </si>
  <si>
    <t>CAP-S: Luiz Eduardo Ferrazza</t>
  </si>
  <si>
    <t>CAP-S: Luiz Fernando Bandeira</t>
  </si>
  <si>
    <t>CAP-S: Luiz Frizon</t>
  </si>
  <si>
    <t>CAP-S: Luiz Henrique Crestani</t>
  </si>
  <si>
    <t>CAP-S: Luiz Marini</t>
  </si>
  <si>
    <t>CAP-S: Luiz Nery Camilotti</t>
  </si>
  <si>
    <t>CAP-S: Luiz Simionatto</t>
  </si>
  <si>
    <t>CAP-S: Luiz de Lima Sobrinho</t>
  </si>
  <si>
    <t>CAP-S: Luiz de Moraes</t>
  </si>
  <si>
    <t>CAP-S: Lécio Luiz Babacovi</t>
  </si>
  <si>
    <t>CAP-S: Maicon Junior Souza de Mello</t>
  </si>
  <si>
    <t>CAP-S: Maicon Otavio Peter</t>
  </si>
  <si>
    <t>CAP-S: Maiki Vizzotto</t>
  </si>
  <si>
    <t>CAP-S: Maira Regina Brocco Ceni</t>
  </si>
  <si>
    <t>CAP-S: Marcelo Facini</t>
  </si>
  <si>
    <t>CAP-S: Marcelo Faria Virmond</t>
  </si>
  <si>
    <t>CAP-S: Marcelo Giacomin</t>
  </si>
  <si>
    <t>CAP-S: Marcelo Jose Binotto</t>
  </si>
  <si>
    <t>CAP-S: Marcelo Malicheski</t>
  </si>
  <si>
    <t>CAP-S: Marcelo Ortolan</t>
  </si>
  <si>
    <t>CAP-S: Marcelo Pernlochner</t>
  </si>
  <si>
    <t>CAP-S: Marcelo Polo</t>
  </si>
  <si>
    <t>CAP-S: Marcia Regina Bolzan</t>
  </si>
  <si>
    <t>CAP-S: Marciano Mantelli</t>
  </si>
  <si>
    <t>CAP-S: Marcio Andre Merlo</t>
  </si>
  <si>
    <t>CAP-S: Marcio Angelo Merlo</t>
  </si>
  <si>
    <t>CAP-S: Marcio Dahmer</t>
  </si>
  <si>
    <t>CAP-S: Marcio Guidini</t>
  </si>
  <si>
    <t>CAP-S: Marcio Luiz Bassetto</t>
  </si>
  <si>
    <t>CAP-S: Marcio Manteli</t>
  </si>
  <si>
    <t>CAP-S: Marcio Martinello</t>
  </si>
  <si>
    <t>CAP-S: Marcio Trevisan</t>
  </si>
  <si>
    <t>CAP-S: Marco Antonio Rother</t>
  </si>
  <si>
    <t>CAP-S: Marcos Alberto Vivian</t>
  </si>
  <si>
    <t>CAP-S: Marcos André de Conto Roldo</t>
  </si>
  <si>
    <t>CAP-S: Marcos Antonio Gritti</t>
  </si>
  <si>
    <t>CAP-S: Marcos Antonio Ottoni</t>
  </si>
  <si>
    <t>CAP-S: Marcos Antonio Rampanelli</t>
  </si>
  <si>
    <t>CAP-S: Marcos Antonio Viola</t>
  </si>
  <si>
    <t>CAP-S: Marcos Aurelio Casali</t>
  </si>
  <si>
    <t>CAP-S: Marcos Aurelio Franchin</t>
  </si>
  <si>
    <t>CAP-S: Marcos Giovani Celso</t>
  </si>
  <si>
    <t>CAP-S: Marcos Luiz Schwingel</t>
  </si>
  <si>
    <t>CAP-S: Marcos Luiz Venson</t>
  </si>
  <si>
    <t>CAP-S: Marcos Vinicius Link</t>
  </si>
  <si>
    <t>CAP-S: Margarete Terezinha Leorato Cicchelero</t>
  </si>
  <si>
    <t>CAP-S: Maria Manteli</t>
  </si>
  <si>
    <t>CAP-S: Mariana Aparecida Pereira Langaro</t>
  </si>
  <si>
    <t>CAP-S: Marilaine Giacomin</t>
  </si>
  <si>
    <t>CAP-S: Marilda de Fatima Vanin Renosto</t>
  </si>
  <si>
    <t>CAP-S: Marilde Maria Cristina Tatto</t>
  </si>
  <si>
    <t>CAP-S: Marilia Dangui Rocha Hasegawa</t>
  </si>
  <si>
    <t>CAP-S: Marines Garcia da Rosa</t>
  </si>
  <si>
    <t>CAP-S: Marinez Luiza Mior</t>
  </si>
  <si>
    <t>CAP-S: Mario Camochena</t>
  </si>
  <si>
    <t>CAP-S: Mario Demski</t>
  </si>
  <si>
    <t>CAP-S: Mario Lindenberg Junior</t>
  </si>
  <si>
    <t>CAP-S: Mario Sergio Schmitt de Souza</t>
  </si>
  <si>
    <t>CAP-S: Mario Stadnik</t>
  </si>
  <si>
    <t>CAP-S: Maris Adriana Covatti</t>
  </si>
  <si>
    <t>CAP-S: Maristela Werwon Tosatti</t>
  </si>
  <si>
    <t>CAP-S: Marlei Tres Manteli</t>
  </si>
  <si>
    <t>CAP-S: Marlene da Silva</t>
  </si>
  <si>
    <t>CAP-S: Marli Hupalo</t>
  </si>
  <si>
    <t>CAP-S: Marli Telo</t>
  </si>
  <si>
    <t>CAP-S: Marlinho Luiz Corazza</t>
  </si>
  <si>
    <t>CAP-S: Marlize Luvison Faccin</t>
  </si>
  <si>
    <t>CAP-S: Marta Maria Rech</t>
  </si>
  <si>
    <t>CAP-S: Mateus Pedro Schwingel</t>
  </si>
  <si>
    <t>CAP-S: Mateus da Silva de Andrade</t>
  </si>
  <si>
    <t>CAP-S: Matheus Henrique Barreta</t>
  </si>
  <si>
    <t>CAP-S: Mauri Pedro Luckmeier</t>
  </si>
  <si>
    <t>CAP-S: Mauri Roque Chiodelli</t>
  </si>
  <si>
    <t>CAP-S: Mauricio Guarez</t>
  </si>
  <si>
    <t>CAP-S: Mauricio Loregian</t>
  </si>
  <si>
    <t>CAP-S: Maurilhio Bertoldo</t>
  </si>
  <si>
    <t>CAP-S: Mauro Antonio Merlo</t>
  </si>
  <si>
    <t>CAP-S: Mauro Bordin</t>
  </si>
  <si>
    <t>CAP-S: Mauro Luiz Camilotti</t>
  </si>
  <si>
    <t>CAP-S: Mavaros Sufredini</t>
  </si>
  <si>
    <t>CAP-S: Maximino Jandir Strapasson</t>
  </si>
  <si>
    <t>CAP-S: Miguel Angelo  Rancatti</t>
  </si>
  <si>
    <t>CAP-S: Miguel Angelo Covatti</t>
  </si>
  <si>
    <t>CAP-S: Miguel Carvalho</t>
  </si>
  <si>
    <t>CAP-S: Miguel Loureiro de Brito</t>
  </si>
  <si>
    <t>CAP-S: Miguel Marcolina</t>
  </si>
  <si>
    <t>CAP-S: Milto José da Silva</t>
  </si>
  <si>
    <t>CAP-S: Milton Marcante</t>
  </si>
  <si>
    <t>CAP-S: Moacir Jose Borsoi</t>
  </si>
  <si>
    <t>CAP-S: Monica Cristina Dos Santos</t>
  </si>
  <si>
    <t>CAP-S: Nadir Bordin</t>
  </si>
  <si>
    <t>CAP-S: Nadir Caldato</t>
  </si>
  <si>
    <t>CAP-S: Nair Antonio de Faveri</t>
  </si>
  <si>
    <t>CAP-S: Natalino Tomalach Ferreira</t>
  </si>
  <si>
    <t>CAP-S: Nedio Luckemeier</t>
  </si>
  <si>
    <t>CAP-S: Nedio Tonus</t>
  </si>
  <si>
    <t>CAP-S: Neilo Luiz Cavalier</t>
  </si>
  <si>
    <t>CAP-S: Neilor Antonelli</t>
  </si>
  <si>
    <t>CAP-S: Neimar Alves Pereira</t>
  </si>
  <si>
    <t>CAP-S: Neiva Terezinha Rigo</t>
  </si>
  <si>
    <t>CAP-S: Neivo Roberto Cavallier</t>
  </si>
  <si>
    <t>CAP-S: Nelci Joao Furlani</t>
  </si>
  <si>
    <t>CAP-S: Neli Jaime Sganzerla</t>
  </si>
  <si>
    <t>CAP-S: Neli Terezinha Piovesan Piccin</t>
  </si>
  <si>
    <t>CAP-S: Nelso Antonio Ghizolfi</t>
  </si>
  <si>
    <t>CAP-S: Nelso Rodrigues de Campos</t>
  </si>
  <si>
    <t>CAP-S: Nelso Santa Catarina</t>
  </si>
  <si>
    <t>CAP-S: Nelson Alfredo Echer</t>
  </si>
  <si>
    <t>CAP-S: Nelson Antonio Ruaro</t>
  </si>
  <si>
    <t>CAP-S: Nelson Lange</t>
  </si>
  <si>
    <t>CAP-S: Nelson Luckmeier</t>
  </si>
  <si>
    <t>CAP-S: Nelson Luiz Gottardi</t>
  </si>
  <si>
    <t>CAP-S: Nelson Martarello</t>
  </si>
  <si>
    <t>CAP-S: Nelson Rogerio Pereira</t>
  </si>
  <si>
    <t>CAP-S: Nelson Rost</t>
  </si>
  <si>
    <t>CAP-S: Nelson dos Santos</t>
  </si>
  <si>
    <t>CAP-S: Nely Giordani</t>
  </si>
  <si>
    <t>CAP-S: Nely Groth Stasiak</t>
  </si>
  <si>
    <t>CAP-S: Neri Accorsi</t>
  </si>
  <si>
    <t>CAP-S: Neri Schmitt de Souza</t>
  </si>
  <si>
    <t>CAP-S: Nery Antonio Andriola</t>
  </si>
  <si>
    <t>CAP-S: Neusa Ines Smiderle Palaro</t>
  </si>
  <si>
    <t>CAP-S: Nicodemos Vitkowski</t>
  </si>
  <si>
    <t>CAP-S: Nicolau Prochera</t>
  </si>
  <si>
    <t>CAP-S: Nilseo Edson Bender</t>
  </si>
  <si>
    <t>CAP-S: Nilson Jose Crestani</t>
  </si>
  <si>
    <t>CAP-S: Nilson Pedro Schwingel</t>
  </si>
  <si>
    <t>CAP-S: Nilton Carneiro</t>
  </si>
  <si>
    <t>CAP-S: Nilvo Koch E Nilva Smaniotto E Outros</t>
  </si>
  <si>
    <t>CAP-S: Nilvo Luiz Regner</t>
  </si>
  <si>
    <t>CAP-S: Nilvo Ronsani</t>
  </si>
  <si>
    <t>CAP-S: Noacir Schmitt de Souza</t>
  </si>
  <si>
    <t>CAP-S: Noe de Souza Vieira Lopes</t>
  </si>
  <si>
    <t>CAP-S: Norihisa Abe</t>
  </si>
  <si>
    <t>CAP-S: Normando Antonio Fracaro</t>
  </si>
  <si>
    <t>CAP-S: Normelio Catusso</t>
  </si>
  <si>
    <t>CAP-S: Ocimar Pastorello</t>
  </si>
  <si>
    <t>CAP-S: Odair Sergio Didomenico</t>
  </si>
  <si>
    <t>CAP-S: Oderlei Cardoso dos Santos</t>
  </si>
  <si>
    <t>CAP-S: Odimar Baroni</t>
  </si>
  <si>
    <t>CAP-S: Odinei Barbacovi</t>
  </si>
  <si>
    <t>CAP-S: Oivanor Casemiro Peloso</t>
  </si>
  <si>
    <t>CAP-S: Oldair Luckmeier</t>
  </si>
  <si>
    <t>CAP-S: Olimpio Orelho Guarez</t>
  </si>
  <si>
    <t>CAP-S: Olir Bonetti</t>
  </si>
  <si>
    <t>CAP-S: Olir José Paludo</t>
  </si>
  <si>
    <t>CAP-S: Olivo Mezzomo</t>
  </si>
  <si>
    <t>CAP-S: Oneido Roque Barcella</t>
  </si>
  <si>
    <t>CAP-S: Onival Domingos Philippsen</t>
  </si>
  <si>
    <t>CAP-S: Onivaldo Kerber</t>
  </si>
  <si>
    <t>CAP-S: Oradi Francisco Caldatto</t>
  </si>
  <si>
    <t>CAP-S: Orelio Furlan</t>
  </si>
  <si>
    <t>CAP-S: Orildes Santolin</t>
  </si>
  <si>
    <t>CAP-S: Orlando Antonio Rother</t>
  </si>
  <si>
    <t>CAP-S: Orlando Damo</t>
  </si>
  <si>
    <t>CAP-S: Orlando Jose Padovani</t>
  </si>
  <si>
    <t>CAP-S: Osmilda Placida Desconsi</t>
  </si>
  <si>
    <t>CAP-S: Osvaldo Coronetti Fontana</t>
  </si>
  <si>
    <t>CAP-S: Osvaldo Moreira de Oliveira</t>
  </si>
  <si>
    <t>CAP-S: Otavio Zanella</t>
  </si>
  <si>
    <t>CAP-S: Oudivano Souza Melo</t>
  </si>
  <si>
    <t>CAP-S: Ourides Iung de Mello</t>
  </si>
  <si>
    <t>CAP-S: Paul Pernlochner</t>
  </si>
  <si>
    <t>CAP-S: Paulino Jabornik</t>
  </si>
  <si>
    <t>CAP-S: Paulo Albino Crestani</t>
  </si>
  <si>
    <t>CAP-S: Paulo Biondo</t>
  </si>
  <si>
    <t>CAP-S: Paulo Cavalli</t>
  </si>
  <si>
    <t>CAP-S: Paulo Kovali</t>
  </si>
  <si>
    <t>CAP-S: Paulo Luiz Mantelli</t>
  </si>
  <si>
    <t>CAP-S: Paulo Moras</t>
  </si>
  <si>
    <t>CAP-S: Paulo Rancatti</t>
  </si>
  <si>
    <t>CAP-S: Paulo Renato Santos e Silva</t>
  </si>
  <si>
    <t>CAP-S: Paulo Rudinei Barboza</t>
  </si>
  <si>
    <t>CAP-S: Paulo Vitor Lazarin</t>
  </si>
  <si>
    <t>CAP-S: Pedro Almeida Machado</t>
  </si>
  <si>
    <t>CAP-S: Pedro Anselmo Metze</t>
  </si>
  <si>
    <t>CAP-S: Pedro Celso de Ré</t>
  </si>
  <si>
    <t>CAP-S: Pedro Cordova</t>
  </si>
  <si>
    <t>CAP-S: Pedro Espedito Lorenzetti</t>
  </si>
  <si>
    <t>CAP-S: Pedro Espedito Lorenzetti Junior</t>
  </si>
  <si>
    <t>CAP-S: Pedro Flavio Reis Filho</t>
  </si>
  <si>
    <t>CAP-S: Pedro Luiz Dezengrini Fornari</t>
  </si>
  <si>
    <t>CAP-S: Pedro Luiz Panho</t>
  </si>
  <si>
    <t>CAP-S: Pedro Martinello</t>
  </si>
  <si>
    <t>CAP-S: Pedro Pagno</t>
  </si>
  <si>
    <t>CAP-S: Pedro Paulo Carneiro</t>
  </si>
  <si>
    <t>CAP-S: Pedro Perin</t>
  </si>
  <si>
    <t>CAP-S: Pedro Romeu Lange</t>
  </si>
  <si>
    <t>CAP-S: Pedro Soreval Bortot</t>
  </si>
  <si>
    <t>CAP-S: Pedro dos Santos Charao</t>
  </si>
  <si>
    <t>CAP-S: Percy Milton Groth</t>
  </si>
  <si>
    <t>CAP-S: Percy Zardo</t>
  </si>
  <si>
    <t>CAP-S: Plinio Defranceschi</t>
  </si>
  <si>
    <t>CAP-S: Pricila Reolon</t>
  </si>
  <si>
    <t>CAP-S: Querlinde Margarete Erpen</t>
  </si>
  <si>
    <t>CAP-S: Rafael Giacomin</t>
  </si>
  <si>
    <t>CAP-S: Rafael Paglia</t>
  </si>
  <si>
    <t>CAP-S: Rafael Reisdoerfer</t>
  </si>
  <si>
    <t>CAP-S: Rafael Rodrigo Oldoni</t>
  </si>
  <si>
    <t>CAP-S: Rafael Santolin</t>
  </si>
  <si>
    <t>CAP-S: Rafael Yuzo Hamada</t>
  </si>
  <si>
    <t>CAP-S: Rafael Zago</t>
  </si>
  <si>
    <t>CAP-S: Rafael de Freitas Renosto</t>
  </si>
  <si>
    <t>CAP-S: Ralf Murilo Bertol</t>
  </si>
  <si>
    <t>CAP-S: Regiane Rosa dos Santos Guidini</t>
  </si>
  <si>
    <t>CAP-S: Reginaldo Antonio Sorgatto</t>
  </si>
  <si>
    <t>CAP-S: Renan Fernando Vidor</t>
  </si>
  <si>
    <t>CAP-S: Renan Pezzi</t>
  </si>
  <si>
    <t>CAP-S: Renan Rossatto</t>
  </si>
  <si>
    <t>CAP-S: Renato Tscha</t>
  </si>
  <si>
    <t>CAP-S: Renato Valentini</t>
  </si>
  <si>
    <t>CAP-S: Reni Deliberalli</t>
  </si>
  <si>
    <t>CAP-S: Ricardo Dos Santos Ghidini</t>
  </si>
  <si>
    <t>CAP-S: Ricardo Evandro Catusso</t>
  </si>
  <si>
    <t>CAP-S: Roberto Carlos Frison</t>
  </si>
  <si>
    <t>CAP-S: Roberto Hasse</t>
  </si>
  <si>
    <t>CAP-S: Roberto Kazuto Hasegawa</t>
  </si>
  <si>
    <t>CAP-S: Roberto Luiz Tosatti</t>
  </si>
  <si>
    <t>CAP-S: Roberto Nicola</t>
  </si>
  <si>
    <t>CAP-S: Roberto Reisdoerfer</t>
  </si>
  <si>
    <t>CAP-S: Roberto Sartor</t>
  </si>
  <si>
    <t>CAP-S: Roberto Setti</t>
  </si>
  <si>
    <t>CAP-S: Rodrigo Ivaldino Spagnol Gobbi</t>
  </si>
  <si>
    <t>CAP-S: Rodrigo Tomasi Keppen</t>
  </si>
  <si>
    <t>CAP-S: Rodrigo de Lima Brochi</t>
  </si>
  <si>
    <t>CAP-S: Rogelio Carini</t>
  </si>
  <si>
    <t>CAP-S: Rogerio Raspolt</t>
  </si>
  <si>
    <t>CAP-S: Rogerio Romio</t>
  </si>
  <si>
    <t>CAP-S: Rogerio Volmir Calgaro Junior</t>
  </si>
  <si>
    <t>CAP-S: Rogerio da Coreggio</t>
  </si>
  <si>
    <t>CAP-S: Rogério Volmir Calgaro</t>
  </si>
  <si>
    <t>CAP-S: Ronaldo Tesser</t>
  </si>
  <si>
    <t>CAP-S: Ronaldo Winiarski</t>
  </si>
  <si>
    <t>CAP-S: Ronei Horst</t>
  </si>
  <si>
    <t>CAP-S: Roque Ferst</t>
  </si>
  <si>
    <t>CAP-S: Roque Lucio Klein</t>
  </si>
  <si>
    <t>CAP-S: Rosa Maria Pernlochner</t>
  </si>
  <si>
    <t>CAP-S: Rosalino Adelino Pertille</t>
  </si>
  <si>
    <t>CAP-S: Rosalino José Palaro</t>
  </si>
  <si>
    <t>CAP-S: Rosalvo Maximo Rech</t>
  </si>
  <si>
    <t>CAP-S: Roseli Franchin</t>
  </si>
  <si>
    <t>CAP-S: Rosmari Fatima Zanella Lago</t>
  </si>
  <si>
    <t>CAP-S: Rovildo Rufatto</t>
  </si>
  <si>
    <t>CAP-S: Rubens Jose Radaelli</t>
  </si>
  <si>
    <t>CAP-S: Rudi Golmann</t>
  </si>
  <si>
    <t>CAP-S: Rudimar Antonio Brandalize</t>
  </si>
  <si>
    <t>CAP-S: Rudimar Tonus</t>
  </si>
  <si>
    <t>CAP-S: Rui Coan</t>
  </si>
  <si>
    <t>CAP-S: Rui Mantelli</t>
  </si>
  <si>
    <t>CAP-S: SERGIO SCHABARUM</t>
  </si>
  <si>
    <t>CAP-S: Sadi Dos Santos</t>
  </si>
  <si>
    <t>CAP-S: Sadi Fidelis de Oliveira</t>
  </si>
  <si>
    <t>CAP-S: Sadi Marcolina</t>
  </si>
  <si>
    <t>CAP-S: Sadiomar da Silva</t>
  </si>
  <si>
    <t>CAP-S: Salete Catarina  Sartor Vigano</t>
  </si>
  <si>
    <t>CAP-S: Salete Gubert</t>
  </si>
  <si>
    <t>CAP-S: Salete de Almeida Ferrari</t>
  </si>
  <si>
    <t>CAP-S: Sandro Antonietti</t>
  </si>
  <si>
    <t>CAP-S: Sandro Luiz Marim</t>
  </si>
  <si>
    <t>CAP-S: Sandro Roberto Hasse</t>
  </si>
  <si>
    <t>CAP-S: Sandro Scalabrin</t>
  </si>
  <si>
    <t>CAP-S: Savio Adalberto Huffner</t>
  </si>
  <si>
    <t>CAP-S: Sebastiao Mascaranha de Oliveira</t>
  </si>
  <si>
    <t>CAP-S: Secondo Juvelino Felipe</t>
  </si>
  <si>
    <t>CAP-S: Sedenir Jose Mantelli</t>
  </si>
  <si>
    <t>CAP-S: Selio Haach</t>
  </si>
  <si>
    <t>CAP-S: Selson Caldato</t>
  </si>
  <si>
    <t>CAP-S: Selvino Borsoi</t>
  </si>
  <si>
    <t>CAP-S: Selvino Fontaniva</t>
  </si>
  <si>
    <t>CAP-S: Selvino Guarez</t>
  </si>
  <si>
    <t>CAP-S: Sergio Antonio Caramori</t>
  </si>
  <si>
    <t>CAP-S: Sergio Balaban</t>
  </si>
  <si>
    <t>CAP-S: Sergio Danielli</t>
  </si>
  <si>
    <t>CAP-S: Sergio Karpinski</t>
  </si>
  <si>
    <t>CAP-S: Sergio Luis Marchetto</t>
  </si>
  <si>
    <t>CAP-S: Sergio Mantelli</t>
  </si>
  <si>
    <t>CAP-S: Sergio Onesco</t>
  </si>
  <si>
    <t>CAP-S: Sergio Roque Fiori</t>
  </si>
  <si>
    <t>CAP-S: Sergio Sznycer</t>
  </si>
  <si>
    <t>CAP-S: Sergio Vitali</t>
  </si>
  <si>
    <t>CAP-S: Setembrino Antonietti</t>
  </si>
  <si>
    <t>CAP-S: Severino Tamagno</t>
  </si>
  <si>
    <t>CAP-S: Sidenei Angelo Zandoná</t>
  </si>
  <si>
    <t>CAP-S: Sidinei Carloh</t>
  </si>
  <si>
    <t>CAP-S: Sidnei Cora</t>
  </si>
  <si>
    <t>CAP-S: Sigmundo Pernlochner</t>
  </si>
  <si>
    <t>CAP-S: Silvano Cesar Facin</t>
  </si>
  <si>
    <t>CAP-S: Silvano Elso Guidini</t>
  </si>
  <si>
    <t>CAP-S: Silvano José Daneluz</t>
  </si>
  <si>
    <t>CAP-S: Silverio Mantelli</t>
  </si>
  <si>
    <t>CAP-S: Silverio Rufatto</t>
  </si>
  <si>
    <t>CAP-S: Silvestre Pagnoncelli</t>
  </si>
  <si>
    <t>CAP-S: Silvio Hasse</t>
  </si>
  <si>
    <t>CAP-S: Silvio Vitali</t>
  </si>
  <si>
    <t>CAP-S: Silvonei Cardoso dos Santos</t>
  </si>
  <si>
    <t>CAP-S: Sirlei De Matos Giacomin</t>
  </si>
  <si>
    <t>CAP-S: Solismar Marcante</t>
  </si>
  <si>
    <t>CAP-S: Tania Isotton Mior</t>
  </si>
  <si>
    <t>CAP-S: Tarline Francielly Winiarski</t>
  </si>
  <si>
    <t>CAP-S: Tatiana Vanessa dos Santos</t>
  </si>
  <si>
    <t>CAP-S: Tayrone Balancelli Bodanese</t>
  </si>
  <si>
    <t>CAP-S: Teodozio Stadnik</t>
  </si>
  <si>
    <t>CAP-S: Thiago Wilpert Correa</t>
  </si>
  <si>
    <t>CAP-S: Tiago Gilberto Winiarski</t>
  </si>
  <si>
    <t>CAP-S: Ulisse José Burille</t>
  </si>
  <si>
    <t>CAP-S: VALDIR ANTONIO DAVOGLIO</t>
  </si>
  <si>
    <t>CAP-S: VALDIR PESSETTI</t>
  </si>
  <si>
    <t>CAP-S: VALMOR TONDELLO</t>
  </si>
  <si>
    <t>CAP-S: Vagner Duda</t>
  </si>
  <si>
    <t>CAP-S: Vagner Kerber</t>
  </si>
  <si>
    <t>CAP-S: Valdair Rimoldi</t>
  </si>
  <si>
    <t>CAP-S: Valdecir Albani</t>
  </si>
  <si>
    <t>CAP-S: Valdecir Copatti</t>
  </si>
  <si>
    <t>CAP-S: Valdecir Donizeti Borsatti</t>
  </si>
  <si>
    <t>CAP-S: Valdecir Jose Lorenzi</t>
  </si>
  <si>
    <t>CAP-S: Valdecir Ludwig</t>
  </si>
  <si>
    <t>CAP-S: Valdecir Santolin</t>
  </si>
  <si>
    <t>CAP-S: Valdecir Tomassoni</t>
  </si>
  <si>
    <t>CAP-S: Valdemar Binoto</t>
  </si>
  <si>
    <t>CAP-S: Valdemar Deveras</t>
  </si>
  <si>
    <t>CAP-S: Valdemar Validio Reolon</t>
  </si>
  <si>
    <t>CAP-S: Valdemar Vitkoswski</t>
  </si>
  <si>
    <t>CAP-S: Valdemir Tomassoni</t>
  </si>
  <si>
    <t>CAP-S: Valdenir Lorenzi</t>
  </si>
  <si>
    <t>CAP-S: Valdevino Goncalves</t>
  </si>
  <si>
    <t>CAP-S: Valdinei Roberto Carloh</t>
  </si>
  <si>
    <t>CAP-S: Valdir Francisco Oldoni</t>
  </si>
  <si>
    <t>CAP-S: Valdir Grassi</t>
  </si>
  <si>
    <t>CAP-S: Valdir Jose João Bonetti</t>
  </si>
  <si>
    <t>CAP-S: Valdir Lasta</t>
  </si>
  <si>
    <t>CAP-S: Valdir Viola</t>
  </si>
  <si>
    <t>CAP-S: Valdirene Gomes de Souza</t>
  </si>
  <si>
    <t>CAP-S: Valdomiro Santo Dalpasquale</t>
  </si>
  <si>
    <t>CAP-S: Valdomiro Tumelero</t>
  </si>
  <si>
    <t>CAP-S: Valmir Bolssao</t>
  </si>
  <si>
    <t>CAP-S: Valmir Dalmora</t>
  </si>
  <si>
    <t>CAP-S: Valmir Francisco Furni Martins</t>
  </si>
  <si>
    <t>CAP-S: Valmir Goergen</t>
  </si>
  <si>
    <t>CAP-S: Valmir Jose Tomazini</t>
  </si>
  <si>
    <t>CAP-S: Valmir Mangoni</t>
  </si>
  <si>
    <t>CAP-S: Valmir Mariano Lopes</t>
  </si>
  <si>
    <t>CAP-S: Valmir Novadzki</t>
  </si>
  <si>
    <t>CAP-S: Valmir Rogerio Rauch</t>
  </si>
  <si>
    <t>CAP-S: Valmor Giacomin</t>
  </si>
  <si>
    <t>CAP-S: Valter Bedin</t>
  </si>
  <si>
    <t>CAP-S: Valter Carloh</t>
  </si>
  <si>
    <t>CAP-S: Valter José da Costa</t>
  </si>
  <si>
    <t>CAP-S: Vanderlei Cecconi</t>
  </si>
  <si>
    <t>CAP-S: Vanderlei Luiz Gaz</t>
  </si>
  <si>
    <t>CAP-S: Vanderlei Pavao Machado</t>
  </si>
  <si>
    <t>CAP-S: Vanderlei Ricardo Bender</t>
  </si>
  <si>
    <t>CAP-S: Vanderlei Tamagno</t>
  </si>
  <si>
    <t>CAP-S: Vania Simone Sfoggia</t>
  </si>
  <si>
    <t>CAP-S: Veridiane Zilli Peroni</t>
  </si>
  <si>
    <t>CAP-S: Veronico Koslinski</t>
  </si>
  <si>
    <t>CAP-S: Vicente Batista Pagno</t>
  </si>
  <si>
    <t>CAP-S: Vicente Celestino Stempkowiski</t>
  </si>
  <si>
    <t>CAP-S: Vicente Gilberto Ferraza</t>
  </si>
  <si>
    <t>CAP-S: Vicente Izair Dalcin Rigon</t>
  </si>
  <si>
    <t>CAP-S: Vicente Lucio Michaliszyn</t>
  </si>
  <si>
    <t>CAP-S: Vilceu Luiz Geremia</t>
  </si>
  <si>
    <t>CAP-S: Vilmar Antonio Venson</t>
  </si>
  <si>
    <t>CAP-S: Vilmar Garcia Rissardi</t>
  </si>
  <si>
    <t>CAP-S: Vilmar Schaeffer</t>
  </si>
  <si>
    <t>CAP-S: Vilmar Valentin Tonatto</t>
  </si>
  <si>
    <t>CAP-S: Vilmo Pedro Borsatti</t>
  </si>
  <si>
    <t>CAP-S: Vilso Luiz Pasini</t>
  </si>
  <si>
    <t>CAP-S: Vilso Stadenik</t>
  </si>
  <si>
    <t>CAP-S: Vilson Caldato</t>
  </si>
  <si>
    <t>CAP-S: Vilson Goffi</t>
  </si>
  <si>
    <t>CAP-S: Vilson Luiz Dall´Igna</t>
  </si>
  <si>
    <t>CAP-S: Vilson Monteiro</t>
  </si>
  <si>
    <t>CAP-S: Vilson Schaeffer</t>
  </si>
  <si>
    <t>CAP-S: Vilson Scopel</t>
  </si>
  <si>
    <t>CAP-S: Vinicius Benso</t>
  </si>
  <si>
    <t>CAP-S: Vinicius Dariel Bocchi</t>
  </si>
  <si>
    <t>CAP-S: Virginio Schmoller</t>
  </si>
  <si>
    <t>CAP-S: Vitor Julio Piccinin</t>
  </si>
  <si>
    <t>CAP-S: Vitor Luis Preis Varaschin</t>
  </si>
  <si>
    <t>CAP-S: Vitorio Mariano Petrykoski</t>
  </si>
  <si>
    <t>CAP-S: Viviane Viniarski</t>
  </si>
  <si>
    <t>CAP-S: Volmar Antonio Caramori</t>
  </si>
  <si>
    <t>CAP-S: Volmar Dalla Costa</t>
  </si>
  <si>
    <t>CAP-S: Volmir Lasta</t>
  </si>
  <si>
    <t>CAP-S: Volmir Luiz Pauletti</t>
  </si>
  <si>
    <t>CAP-S: Volnei Jaco Zandona</t>
  </si>
  <si>
    <t>CAP-S: Vornei Carlos Mattei</t>
  </si>
  <si>
    <t>CAP-S: Wagner Fernando Neuls</t>
  </si>
  <si>
    <t>CAP-S: Wagner Viniarski</t>
  </si>
  <si>
    <t>CAP-S: Wagner de Oliveira</t>
  </si>
  <si>
    <t>CAP-S: Waldemiro Koprovski</t>
  </si>
  <si>
    <t>CAP-S: Waldir Bessegatto</t>
  </si>
  <si>
    <t>CAP-S: Waldir Facini</t>
  </si>
  <si>
    <t>CAP-S: Walmor Antonio Fossa</t>
  </si>
  <si>
    <t>CAP-S: Walter Alceu Guzzo</t>
  </si>
  <si>
    <t>CAP-S: Walter Antonio Arnoldo</t>
  </si>
  <si>
    <t>CAP-S: Wanderlei Venturim</t>
  </si>
  <si>
    <t>CAP-S: Wanderleia Viniarski</t>
  </si>
  <si>
    <t>CAP-S: Willian Arthur Raspolt</t>
  </si>
  <si>
    <t>CAP-S: Wilson Almeida Olivo</t>
  </si>
  <si>
    <t>CAP-S: Wilson Cezar Lasta</t>
  </si>
  <si>
    <t>CAP-S: Wilson Daneluz</t>
  </si>
  <si>
    <t>CAP-S: Wilson de Borba</t>
  </si>
  <si>
    <t>CAP-S: Zamar Olivo</t>
  </si>
  <si>
    <t>CAP-S: Zenil Pedroso Xavier</t>
  </si>
  <si>
    <t>CAP-S: Zenilde Bessegatto Saugo</t>
  </si>
  <si>
    <t>CAP-S: Zeno Bosi</t>
  </si>
  <si>
    <t>CAP-S: Zereth Santos Junior</t>
  </si>
  <si>
    <t>CAP-S: Zidio Bertoldo</t>
  </si>
  <si>
    <t>CAP-S: Zilmar Luiz Borsatti</t>
  </si>
  <si>
    <t>CAP-S: Zito Fernando Lunardi</t>
  </si>
  <si>
    <t>2.4.1.2.01</t>
  </si>
  <si>
    <t>2.4.1.2.01.01</t>
  </si>
  <si>
    <t>2.4.3</t>
  </si>
  <si>
    <t>2.4.3.2.01</t>
  </si>
  <si>
    <t>Fundos</t>
  </si>
  <si>
    <t>2.4.3.2.01.02</t>
  </si>
  <si>
    <t>Rates-Reserva de Assistencia Tec. Educ. E Social</t>
  </si>
  <si>
    <t>2.4.3.2.01.03</t>
  </si>
  <si>
    <t>Fr - Fundo de Reserva</t>
  </si>
  <si>
    <t>2.4.3.2.01.04</t>
  </si>
  <si>
    <t>Fundo de Imobilizacoes</t>
  </si>
  <si>
    <t>2.4.4</t>
  </si>
  <si>
    <t>2.5</t>
  </si>
  <si>
    <t>Passivo Compensado</t>
  </si>
  <si>
    <t>2.5.1</t>
  </si>
  <si>
    <t>Compensacao Passiva</t>
  </si>
  <si>
    <t>2.5.1.1</t>
  </si>
  <si>
    <t>2.5.1.1.01</t>
  </si>
  <si>
    <t>2.5.1.1.01.01</t>
  </si>
  <si>
    <t>2.5.1.1.01.01.01</t>
  </si>
  <si>
    <t>Mercadorias Remetidas Para Emprestimo</t>
  </si>
  <si>
    <t>2.5.1.1.01.01.01.03</t>
  </si>
  <si>
    <t>Mercadoria Remetida Para deposito</t>
  </si>
  <si>
    <t>2.5.1.1.01.01.01.04</t>
  </si>
  <si>
    <t>Industrializacao por Encomenda</t>
  </si>
  <si>
    <t>2.5.1.1.02</t>
  </si>
  <si>
    <t>2.5.1.1.02.01</t>
  </si>
  <si>
    <t>2.5.1.1.02.01.03</t>
  </si>
  <si>
    <t>2.5.1.1.02.01.03.01</t>
  </si>
  <si>
    <t>Fertilizante Liquido</t>
  </si>
  <si>
    <t>2.5.1.3</t>
  </si>
  <si>
    <t>2.5.1.3.02</t>
  </si>
  <si>
    <t>3</t>
  </si>
  <si>
    <t>Resultado Geral</t>
  </si>
  <si>
    <t>3.1</t>
  </si>
  <si>
    <t>Sobras E Perdas Com Cooperados</t>
  </si>
  <si>
    <t>3.1.1</t>
  </si>
  <si>
    <t>Sobras E Perdas Operacionais Com Cooperados</t>
  </si>
  <si>
    <t>3.1.1.1</t>
  </si>
  <si>
    <t>Sobras E Perdas de Produtos</t>
  </si>
  <si>
    <t>3.1.1.1.01</t>
  </si>
  <si>
    <t>3.1.1.1.01.01</t>
  </si>
  <si>
    <t>Ingressos Com Cooperados</t>
  </si>
  <si>
    <t>Ingressos de Cooperados</t>
  </si>
  <si>
    <t>(-) Deducoes dos Ingressos</t>
  </si>
  <si>
    <t>(-) Devolucoes de Ingressos</t>
  </si>
  <si>
    <t>(-) Impostos Incidentes Sobre O Ato Cooperativo</t>
  </si>
  <si>
    <t>(-) Icms</t>
  </si>
  <si>
    <t>(-) Dispendios Operacionais Diretos</t>
  </si>
  <si>
    <t>(-) Custo das Mercadorias Vendidas</t>
  </si>
  <si>
    <t>3.1.1.1.01.01.02</t>
  </si>
  <si>
    <t>3.1.1.1.01.01.02.01</t>
  </si>
  <si>
    <t>3.1.1.1.01.01.02.01.01</t>
  </si>
  <si>
    <t>3.1.1.1.01.01.02.20</t>
  </si>
  <si>
    <t>3.1.1.1.01.01.02.20.01</t>
  </si>
  <si>
    <t>3.1.1.1.02</t>
  </si>
  <si>
    <t>3.1.1.1.02.01</t>
  </si>
  <si>
    <t>3.1.1.1.02.01.01</t>
  </si>
  <si>
    <t>3.1.1.1.02.01.01.01</t>
  </si>
  <si>
    <t>Ingressos de Vendas No Mercado Interno</t>
  </si>
  <si>
    <t>3.1.1.1.02.01.01.01.01</t>
  </si>
  <si>
    <t>3.1.1.1.02.01.01.15</t>
  </si>
  <si>
    <t>3.1.1.1.02.01.01.15.01</t>
  </si>
  <si>
    <t>3.1.1.1.02.01.01.17</t>
  </si>
  <si>
    <t>(-) Impostos Incientes Sobre O Ato Cooperativo</t>
  </si>
  <si>
    <t>3.1.1.1.02.01.01.17.01</t>
  </si>
  <si>
    <t>3.1.1.1.02.01.01.20</t>
  </si>
  <si>
    <t>3.1.1.1.02.01.01.20.01</t>
  </si>
  <si>
    <t>(-) Custos das Mercadorias Vendidas</t>
  </si>
  <si>
    <t>3.1.1.1.02.01.02</t>
  </si>
  <si>
    <t>3.1.1.1.02.01.02.01</t>
  </si>
  <si>
    <t>3.1.1.1.02.01.02.01.01</t>
  </si>
  <si>
    <t>Outros Ingressos Operacionais</t>
  </si>
  <si>
    <t>Bonificacoes Recebidas</t>
  </si>
  <si>
    <t>3.1.1.1.02.01.02.15</t>
  </si>
  <si>
    <t>3.1.1.1.02.01.02.15.01</t>
  </si>
  <si>
    <t>3.1.1.1.02.01.02.17</t>
  </si>
  <si>
    <t>3.1.1.1.02.01.02.17.01</t>
  </si>
  <si>
    <t>3.1.1.1.02.01.02.20</t>
  </si>
  <si>
    <t>3.1.1.1.02.01.02.20.01</t>
  </si>
  <si>
    <t>3.1.1.1.02.01.03</t>
  </si>
  <si>
    <t>3.1.1.1.02.01.03.01</t>
  </si>
  <si>
    <t>3.1.1.1.02.01.03.01.01</t>
  </si>
  <si>
    <t>3.1.1.1.02.01.03.15</t>
  </si>
  <si>
    <t>3.1.1.1.02.01.03.15.01</t>
  </si>
  <si>
    <t>3.1.1.1.02.01.03.17</t>
  </si>
  <si>
    <t>3.1.1.1.02.01.03.17.01</t>
  </si>
  <si>
    <t>3.1.1.1.02.01.03.20</t>
  </si>
  <si>
    <t>3.1.1.1.02.01.03.20.01</t>
  </si>
  <si>
    <t>3.1.1.1.02.01.04</t>
  </si>
  <si>
    <t>3.1.1.1.02.01.04.01</t>
  </si>
  <si>
    <t>3.1.1.1.02.01.04.01.01</t>
  </si>
  <si>
    <t>3.1.1.1.02.01.04.20</t>
  </si>
  <si>
    <t>3.1.1.1.02.01.04.20.01</t>
  </si>
  <si>
    <t>3.1.1.1.02.01.06</t>
  </si>
  <si>
    <t>3.1.1.1.02.01.06.01</t>
  </si>
  <si>
    <t>3.1.1.1.02.01.06.01.01</t>
  </si>
  <si>
    <t>3.1.1.1.02.01.06.17</t>
  </si>
  <si>
    <t>3.1.1.1.02.01.06.17.01</t>
  </si>
  <si>
    <t>3.1.1.1.02.01.06.20</t>
  </si>
  <si>
    <t>3.1.1.1.02.01.06.20.01</t>
  </si>
  <si>
    <t>3.1.1.1.02.02</t>
  </si>
  <si>
    <t>3.1.1.1.02.02.01</t>
  </si>
  <si>
    <t>3.1.1.1.02.02.01.01</t>
  </si>
  <si>
    <t>3.1.1.1.02.02.01.01.01</t>
  </si>
  <si>
    <t>3.1.1.1.02.02.01.15</t>
  </si>
  <si>
    <t>3.1.1.1.02.02.01.15.01</t>
  </si>
  <si>
    <t>3.1.1.1.02.02.01.20</t>
  </si>
  <si>
    <t>3.1.1.1.02.02.01.20.01</t>
  </si>
  <si>
    <t>3.1.1.1.02.02.02</t>
  </si>
  <si>
    <t>3.1.1.1.02.02.02.01</t>
  </si>
  <si>
    <t>Venda Cooperados</t>
  </si>
  <si>
    <t>3.1.1.1.02.02.02.01.01</t>
  </si>
  <si>
    <t>3.1.1.1.02.02.02.15</t>
  </si>
  <si>
    <t>3.1.1.1.02.02.02.15.01</t>
  </si>
  <si>
    <t>3.1.1.1.02.02.02.20</t>
  </si>
  <si>
    <t>3.1.1.1.02.02.02.20.01</t>
  </si>
  <si>
    <t>3.1.1.1.02.02.04</t>
  </si>
  <si>
    <t>3.1.1.1.02.02.04.01</t>
  </si>
  <si>
    <t>3.1.1.1.02.02.04.01.01</t>
  </si>
  <si>
    <t>3.1.1.1.02.02.06</t>
  </si>
  <si>
    <t>3.1.1.1.02.02.06.01</t>
  </si>
  <si>
    <t>3.1.1.1.02.02.06.01.01</t>
  </si>
  <si>
    <t>3.1.1.1.02.02.06.20</t>
  </si>
  <si>
    <t>3.1.1.1.02.02.06.20.01</t>
  </si>
  <si>
    <t>3.1.1.1.02.02.07</t>
  </si>
  <si>
    <t>3.1.1.1.02.02.07.01</t>
  </si>
  <si>
    <t>3.1.1.1.02.02.07.01.01</t>
  </si>
  <si>
    <t>3.1.1.1.02.02.07.20</t>
  </si>
  <si>
    <t>3.1.1.1.02.02.07.20.01</t>
  </si>
  <si>
    <t>3.1.1.1.02.02.10</t>
  </si>
  <si>
    <t>3.1.1.1.02.02.10.01</t>
  </si>
  <si>
    <t>3.1.1.1.02.02.10.01.01</t>
  </si>
  <si>
    <t>Ingresso Com Cooperados</t>
  </si>
  <si>
    <t>3.1.1.1.02.02.10.20</t>
  </si>
  <si>
    <t>3.1.1.1.02.02.10.20.01</t>
  </si>
  <si>
    <t>3.1.1.1.02.03</t>
  </si>
  <si>
    <t>Fertilizante</t>
  </si>
  <si>
    <t>3.1.1.1.02.03.01</t>
  </si>
  <si>
    <t>3.1.1.1.02.03.01.01</t>
  </si>
  <si>
    <t>3.1.1.1.02.03.01.01.01</t>
  </si>
  <si>
    <t>3.1.1.1.02.03.01.15</t>
  </si>
  <si>
    <t>3.1.1.1.02.03.01.15.01</t>
  </si>
  <si>
    <t>3.1.1.1.02.03.01.17</t>
  </si>
  <si>
    <t>3.1.1.1.02.03.01.17.01</t>
  </si>
  <si>
    <t>3.1.1.1.02.03.01.20</t>
  </si>
  <si>
    <t>3.1.1.1.02.03.01.20.01</t>
  </si>
  <si>
    <t>3.1.1.1.02.03.02</t>
  </si>
  <si>
    <t>3.1.1.1.02.03.02.01</t>
  </si>
  <si>
    <t>3.1.1.1.02.03.02.01.01</t>
  </si>
  <si>
    <t>3.1.1.1.02.03.02.20</t>
  </si>
  <si>
    <t>3.1.1.1.02.03.02.20.01</t>
  </si>
  <si>
    <t>3.1.1.1.02.03.04</t>
  </si>
  <si>
    <t>Cloreto de Potassio</t>
  </si>
  <si>
    <t>3.1.1.1.02.03.04.01</t>
  </si>
  <si>
    <t>3.1.1.1.02.03.04.01.01</t>
  </si>
  <si>
    <t>3.1.1.1.02.03.04.20</t>
  </si>
  <si>
    <t>3.1.1.1.02.03.04.20.01</t>
  </si>
  <si>
    <t>3.1.1.1.02.03.06</t>
  </si>
  <si>
    <t>3.1.1.1.02.03.06.01</t>
  </si>
  <si>
    <t>3.1.1.1.02.03.06.01.01</t>
  </si>
  <si>
    <t>3.1.1.1.02.03.06.20</t>
  </si>
  <si>
    <t>3.1.1.1.02.03.06.20.01</t>
  </si>
  <si>
    <t>3.1.1.1.02.03.09</t>
  </si>
  <si>
    <t>3.1.1.1.02.03.09.01</t>
  </si>
  <si>
    <t>3.1.1.1.02.03.09.01.01</t>
  </si>
  <si>
    <t>3.1.1.1.02.03.09.20</t>
  </si>
  <si>
    <t>3.1.1.1.02.03.09.20.01</t>
  </si>
  <si>
    <t>3.1.1.1.02.03.10</t>
  </si>
  <si>
    <t>3.1.1.1.02.03.10.01</t>
  </si>
  <si>
    <t>3.1.1.1.02.03.10.01.01</t>
  </si>
  <si>
    <t>3.1.1.1.02.03.10.15</t>
  </si>
  <si>
    <t>3.1.1.1.02.03.10.15.01</t>
  </si>
  <si>
    <t>3.1.1.1.02.03.10.17</t>
  </si>
  <si>
    <t>3.1.1.1.02.03.10.17.01</t>
  </si>
  <si>
    <t>3.1.1.1.02.03.10.20</t>
  </si>
  <si>
    <t>3.1.1.1.02.03.10.20.01</t>
  </si>
  <si>
    <t>3.1.1.1.03</t>
  </si>
  <si>
    <t>3.1.1.1.03.01</t>
  </si>
  <si>
    <t>3.1.1.1.03.01.03</t>
  </si>
  <si>
    <t>3.1.1.1.03.01.03.01</t>
  </si>
  <si>
    <t>3.1.1.1.03.01.03.01.01</t>
  </si>
  <si>
    <t>3.1.1.1.03.01.03.17</t>
  </si>
  <si>
    <t>3.1.1.1.03.01.03.17.01</t>
  </si>
  <si>
    <t>3.1.1.1.03.01.03.20</t>
  </si>
  <si>
    <t>3.1.1.1.03.01.03.20.01</t>
  </si>
  <si>
    <t>3.1.1.1.03.01.04</t>
  </si>
  <si>
    <t>3.1.1.1.03.01.06</t>
  </si>
  <si>
    <t>3.1.1.1.03.01.06.01</t>
  </si>
  <si>
    <t>3.1.1.1.03.01.06.01.01</t>
  </si>
  <si>
    <t>3.1.1.1.03.01.06.17</t>
  </si>
  <si>
    <t>(-) Impostos Incidentes sobre a Receita</t>
  </si>
  <si>
    <t>3.1.1.1.03.01.06.17.01</t>
  </si>
  <si>
    <t>3.1.1.1.03.01.06.20</t>
  </si>
  <si>
    <t>3.1.1.1.03.01.06.20.01</t>
  </si>
  <si>
    <t>3.1.1.1.03.01.14</t>
  </si>
  <si>
    <t>3.1.1.1.03.01.14.01</t>
  </si>
  <si>
    <t>Ingresso de Cooperados</t>
  </si>
  <si>
    <t>3.1.1.1.03.01.14.01.01</t>
  </si>
  <si>
    <t>3.1.1.1.03.01.14.17</t>
  </si>
  <si>
    <t>3.1.1.1.03.01.14.17.01</t>
  </si>
  <si>
    <t>3.1.1.1.50</t>
  </si>
  <si>
    <t>Sementes Producao</t>
  </si>
  <si>
    <t>3.1.1.1.50.01</t>
  </si>
  <si>
    <t>Sementes Produzidas NT</t>
  </si>
  <si>
    <t>3.1.1.1.50.01.01</t>
  </si>
  <si>
    <t>Semente de Soja NT</t>
  </si>
  <si>
    <t>3.1.1.1.50.01.01.01</t>
  </si>
  <si>
    <t>3.1.1.1.50.01.01.01.01</t>
  </si>
  <si>
    <t>3.1.1.1.50.01.01.15</t>
  </si>
  <si>
    <t>3.1.1.1.50.01.01.15.01</t>
  </si>
  <si>
    <t>3.1.1.1.50.01.01.20</t>
  </si>
  <si>
    <t>3.1.1.1.50.01.01.20.01</t>
  </si>
  <si>
    <t>3.1.1.1.50.01.04</t>
  </si>
  <si>
    <t>3.1.1.1.50.01.04.01</t>
  </si>
  <si>
    <t>3.1.1.1.50.01.04.01.01</t>
  </si>
  <si>
    <t>3.1.1.1.50.01.04.15</t>
  </si>
  <si>
    <t>3.1.1.1.50.01.04.15.01</t>
  </si>
  <si>
    <t>3.1.1.1.50.02</t>
  </si>
  <si>
    <t>Sementes Tratada</t>
  </si>
  <si>
    <t>3.1.1.1.50.02.01</t>
  </si>
  <si>
    <t>3.1.1.1.50.02.01.01</t>
  </si>
  <si>
    <t>3.1.1.1.50.02.01.01.01</t>
  </si>
  <si>
    <t>3.1.1.1.50.02.01.15</t>
  </si>
  <si>
    <t>Devolucao de Ingressos</t>
  </si>
  <si>
    <t>3.1.1.1.50.02.01.15.01</t>
  </si>
  <si>
    <t>3.1.1.1.50.02.01.20</t>
  </si>
  <si>
    <t>3.1.1.1.50.02.01.20.01</t>
  </si>
  <si>
    <t>3.1.1.1.50.02.04</t>
  </si>
  <si>
    <t>3.1.1.1.50.02.04.01</t>
  </si>
  <si>
    <t>3.1.1.1.50.02.04.01.01</t>
  </si>
  <si>
    <t>3.1.1.1.50.02.04.15</t>
  </si>
  <si>
    <t>3.1.1.1.50.02.04.15.01</t>
  </si>
  <si>
    <t>3.1.1.1.50.02.04.20</t>
  </si>
  <si>
    <t>3.1.1.1.50.02.04.20.01</t>
  </si>
  <si>
    <t>3.1.1.2</t>
  </si>
  <si>
    <t>Sobras E Perdas de Servicos de Cooperados</t>
  </si>
  <si>
    <t>3.1.1.2.01</t>
  </si>
  <si>
    <t>Servicos Prestados</t>
  </si>
  <si>
    <t>3.1.1.2.01.01</t>
  </si>
  <si>
    <t>Projetos Tecnicos</t>
  </si>
  <si>
    <t>Ingressos de Servicos</t>
  </si>
  <si>
    <t>3.1.1.2.01.01.03</t>
  </si>
  <si>
    <t>Fretes</t>
  </si>
  <si>
    <t>3.1.1.2.01.01.03.01</t>
  </si>
  <si>
    <t>3.1.1.2.01.01.03.01.01</t>
  </si>
  <si>
    <t>3.1.1.2.01.01.03.05</t>
  </si>
  <si>
    <t>3.1.1.2.01.01.03.05.04</t>
  </si>
  <si>
    <t>3.1.1.2.01.01.03.05.05</t>
  </si>
  <si>
    <t>(-) Pis sobre fretes cooperados</t>
  </si>
  <si>
    <t>3.1.1.2.01.01.03.05.06</t>
  </si>
  <si>
    <t>(-) Cofins sobre fretes cooperados</t>
  </si>
  <si>
    <t>Servicos Tecnicos</t>
  </si>
  <si>
    <t>(-) Issqn</t>
  </si>
  <si>
    <t>3.1.1.2.01.01.06</t>
  </si>
  <si>
    <t>Armazenagem/Recebimento/Secagem/Limpeza</t>
  </si>
  <si>
    <t>3.1.1.2.01.01.06.01</t>
  </si>
  <si>
    <t>3.1.1.2.01.01.06.01.01</t>
  </si>
  <si>
    <t>3.1.1.2.01.01.06.05</t>
  </si>
  <si>
    <t>3.1.1.2.01.01.06.05.03</t>
  </si>
  <si>
    <t>3.1.1.2.01.01.06.05.04</t>
  </si>
  <si>
    <t>(-) Pis</t>
  </si>
  <si>
    <t>3.1.1.2.01.01.06.05.05</t>
  </si>
  <si>
    <t>(-) Cofins</t>
  </si>
  <si>
    <t>3.1.1.2.01.01.07</t>
  </si>
  <si>
    <t>Serviço de Tratamento de Sementes</t>
  </si>
  <si>
    <t>3.1.1.2.01.01.07.01</t>
  </si>
  <si>
    <t>Ingressos de Serviços</t>
  </si>
  <si>
    <t>3.1.1.2.01.01.07.01.01</t>
  </si>
  <si>
    <t>Ingresso de Serviços de Tratamento de Sementes</t>
  </si>
  <si>
    <t>3.1.1.2.01.01.07.05</t>
  </si>
  <si>
    <t>3.1.1.2.01.01.07.05.03</t>
  </si>
  <si>
    <t>3.1.1.3</t>
  </si>
  <si>
    <t>(-) Despesas Operacionais</t>
  </si>
  <si>
    <t>3.1.1.3.01</t>
  </si>
  <si>
    <t>Administracao</t>
  </si>
  <si>
    <t>3.1.1.3.01.01</t>
  </si>
  <si>
    <t>Administracao Geral</t>
  </si>
  <si>
    <t>3.1.1.3.01.01.01</t>
  </si>
  <si>
    <t>Manutencao</t>
  </si>
  <si>
    <t>3.1.1.3.01.01.01.03</t>
  </si>
  <si>
    <t>Dispendios Com Pessoal</t>
  </si>
  <si>
    <t>3.1.1.3.01.01.01.03.01</t>
  </si>
  <si>
    <t>Ordenados E Salarios</t>
  </si>
  <si>
    <t>3.1.1.3.01.01.01.03.02</t>
  </si>
  <si>
    <t>Horas Extras</t>
  </si>
  <si>
    <t>3.1.1.3.01.01.01.03.04</t>
  </si>
  <si>
    <t>Gratificacoes</t>
  </si>
  <si>
    <t>3.1.1.3.01.01.01.03.05</t>
  </si>
  <si>
    <t>Aviso Previo Indenizado</t>
  </si>
  <si>
    <t>3.1.1.3.01.01.01.03.06</t>
  </si>
  <si>
    <t>Fgts</t>
  </si>
  <si>
    <t>3.1.1.3.01.01.01.03.07</t>
  </si>
  <si>
    <t>Inss</t>
  </si>
  <si>
    <t>3.1.1.3.01.01.01.03.08</t>
  </si>
  <si>
    <t>Pis Folha de Pagamento</t>
  </si>
  <si>
    <t>3.1.1.3.01.01.01.03.09</t>
  </si>
  <si>
    <t>Decimo Terceiro</t>
  </si>
  <si>
    <t>3.1.1.3.01.01.01.03.10</t>
  </si>
  <si>
    <t>Ferias</t>
  </si>
  <si>
    <t>3.1.1.3.01.01.01.03.14</t>
  </si>
  <si>
    <t>Pro Labore</t>
  </si>
  <si>
    <t>3.1.1.3.01.01.01.03.18</t>
  </si>
  <si>
    <t>Mao de Obra de Terceiros</t>
  </si>
  <si>
    <t>3.1.1.3.01.01.01.03.21</t>
  </si>
  <si>
    <t>Transporte de Funcionarios</t>
  </si>
  <si>
    <t>3.1.1.3.01.01.01.03.22</t>
  </si>
  <si>
    <t>Seguro de Vida</t>
  </si>
  <si>
    <t>3.1.1.3.01.01.01.03.24</t>
  </si>
  <si>
    <t>3.1.1.3.01.01.01.03.26</t>
  </si>
  <si>
    <t>Vestuario e Equipamento de Segurança Ind. - EPI</t>
  </si>
  <si>
    <t>3.1.1.3.01.01.01.03.27</t>
  </si>
  <si>
    <t>Uniformes</t>
  </si>
  <si>
    <t>3.1.1.3.01.01.01.04</t>
  </si>
  <si>
    <t>3.1.1.3.01.01.01.04.01</t>
  </si>
  <si>
    <t>Agua E Esgoto</t>
  </si>
  <si>
    <t>3.1.1.3.01.01.01.04.02</t>
  </si>
  <si>
    <t>Energia Eletrica</t>
  </si>
  <si>
    <t>3.1.1.3.01.01.01.04.03</t>
  </si>
  <si>
    <t>Telefone</t>
  </si>
  <si>
    <t>3.1.1.3.01.01.01.04.05</t>
  </si>
  <si>
    <t>Combustiveis e Lubrificantes</t>
  </si>
  <si>
    <t>3.1.1.3.01.01.01.04.06</t>
  </si>
  <si>
    <t>3.1.1.3.01.01.01.04.07</t>
  </si>
  <si>
    <t>Anuidades</t>
  </si>
  <si>
    <t>3.1.1.3.01.01.01.04.08</t>
  </si>
  <si>
    <t>3.1.1.3.01.01.01.04.09</t>
  </si>
  <si>
    <t>3.1.1.3.01.01.01.04.10</t>
  </si>
  <si>
    <t>Honorarios Profissionais</t>
  </si>
  <si>
    <t>3.1.1.3.01.01.01.04.11</t>
  </si>
  <si>
    <t>Despesas Com Informatica</t>
  </si>
  <si>
    <t>3.1.1.3.01.01.01.04.12</t>
  </si>
  <si>
    <t>Conservacao de Bens</t>
  </si>
  <si>
    <t>3.1.1.3.01.01.01.04.13</t>
  </si>
  <si>
    <t>Convenios</t>
  </si>
  <si>
    <t>3.1.1.3.01.01.01.04.14</t>
  </si>
  <si>
    <t>Material de Expediente</t>
  </si>
  <si>
    <t>3.1.1.3.01.01.01.04.15</t>
  </si>
  <si>
    <t>Material de Uso e  Consumo</t>
  </si>
  <si>
    <t>3.1.1.3.01.01.01.04.17</t>
  </si>
  <si>
    <t>Alugueis de Imoveis</t>
  </si>
  <si>
    <t>3.1.1.3.01.01.01.04.18</t>
  </si>
  <si>
    <t>Assessoria Administrativa</t>
  </si>
  <si>
    <t>3.1.1.3.01.01.01.04.20</t>
  </si>
  <si>
    <t>Cartorios</t>
  </si>
  <si>
    <t>3.1.1.3.01.01.01.04.21</t>
  </si>
  <si>
    <t>3.1.1.3.01.01.01.04.24</t>
  </si>
  <si>
    <t>Propaganda E Publicidade</t>
  </si>
  <si>
    <t>3.1.1.3.01.01.01.04.26</t>
  </si>
  <si>
    <t>Manutencao de Sofware</t>
  </si>
  <si>
    <t>3.1.1.3.01.01.01.04.27</t>
  </si>
  <si>
    <t>Depreciacoes</t>
  </si>
  <si>
    <t>3.1.1.3.01.01.01.04.28</t>
  </si>
  <si>
    <t>Celular</t>
  </si>
  <si>
    <t>3.1.1.3.01.01.01.04.30</t>
  </si>
  <si>
    <t>Correios</t>
  </si>
  <si>
    <t>3.1.1.3.01.01.01.04.33</t>
  </si>
  <si>
    <t>Ferramentas E Utensilios</t>
  </si>
  <si>
    <t>3.1.1.3.01.01.01.04.39</t>
  </si>
  <si>
    <t>Bens de Natureza Permanente</t>
  </si>
  <si>
    <t>3.1.1.3.01.01.01.04.50</t>
  </si>
  <si>
    <t>Confraternizacoes</t>
  </si>
  <si>
    <t>3.1.1.3.01.01.01.04.51</t>
  </si>
  <si>
    <t>3.1.1.3.01.01.01.04.52</t>
  </si>
  <si>
    <t>Jornais, Revistas , Informativos</t>
  </si>
  <si>
    <t>3.1.1.3.01.01.01.04.53</t>
  </si>
  <si>
    <t>Internet</t>
  </si>
  <si>
    <t>3.1.1.3.01.01.01.04.55</t>
  </si>
  <si>
    <t>Monitoramento E Alarme</t>
  </si>
  <si>
    <t>3.1.1.3.01.01.01.04.56</t>
  </si>
  <si>
    <t>Jardinagem</t>
  </si>
  <si>
    <t>3.1.1.3.01.01.01.04.57</t>
  </si>
  <si>
    <t>Copa E Cozinha</t>
  </si>
  <si>
    <t>3.1.1.3.01.01.01.04.59</t>
  </si>
  <si>
    <t>3.1.1.3.01.01.01.04.62</t>
  </si>
  <si>
    <t>Seguro de Estoque</t>
  </si>
  <si>
    <t>3.1.1.3.01.01.01.04.63</t>
  </si>
  <si>
    <t>Seguro de Imoveis</t>
  </si>
  <si>
    <t>3.1.1.3.01.01.01.04.64</t>
  </si>
  <si>
    <t>Seguro Veiculos</t>
  </si>
  <si>
    <t>3.1.1.3.01.01.01.04.67</t>
  </si>
  <si>
    <t>Ipva E Licenciamento C/Veiculos</t>
  </si>
  <si>
    <t>3.1.1.3.01.01.01.04.70</t>
  </si>
  <si>
    <t>Seguros S/Cargas</t>
  </si>
  <si>
    <t>3.1.1.3.01.01.01.06</t>
  </si>
  <si>
    <t>Dispendios Com Vendas</t>
  </si>
  <si>
    <t>3.1.1.3.01.01.01.06.01</t>
  </si>
  <si>
    <t>Comissoes Vendedores</t>
  </si>
  <si>
    <t>3.1.1.3.01.01.01.06.04</t>
  </si>
  <si>
    <t>Fretes Pessoa Juridica vendas</t>
  </si>
  <si>
    <t>3.1.1.3.01.01.01.06.10</t>
  </si>
  <si>
    <t>3.1.1.3.01.01.01.06.15</t>
  </si>
  <si>
    <t>3.1.1.3.01.01.01.06.16</t>
  </si>
  <si>
    <t>Comissoes Agenciadores</t>
  </si>
  <si>
    <t>3.1.1.3.01.01.01.06.21</t>
  </si>
  <si>
    <t>3.1.1.3.01.01.01.06.22</t>
  </si>
  <si>
    <t>Fretes e carretos transferências</t>
  </si>
  <si>
    <t>3.1.1.3.01.01.01.07</t>
  </si>
  <si>
    <t>Dispendios Tributarios</t>
  </si>
  <si>
    <t>3.1.1.3.01.01.01.07.03</t>
  </si>
  <si>
    <t>Impostos E Taxas</t>
  </si>
  <si>
    <t>3.1.1.3.01.01.01.07.09</t>
  </si>
  <si>
    <t>Alvaras E Licencas</t>
  </si>
  <si>
    <t>3.1.1.3.01.01.01.07.10</t>
  </si>
  <si>
    <t>ICMS incidente aquisicao de bens - DIFAL</t>
  </si>
  <si>
    <t>3.1.1.3.01.01.01.08</t>
  </si>
  <si>
    <t>Dispendios Tecnicos</t>
  </si>
  <si>
    <t>3.1.1.3.01.01.01.08.02</t>
  </si>
  <si>
    <t>3.1.1.3.01.01.01.09</t>
  </si>
  <si>
    <t>Dispendios Indedutiveis</t>
  </si>
  <si>
    <t>3.1.1.3.01.01.01.09.01</t>
  </si>
  <si>
    <t>Multas Indedutiveis</t>
  </si>
  <si>
    <t>3.1.1.3.01.01.01.09.03</t>
  </si>
  <si>
    <t>Doacoes</t>
  </si>
  <si>
    <t>3.1.1.3.01.01.01.11</t>
  </si>
  <si>
    <t>Dispendios Com Aplicacao do Rates</t>
  </si>
  <si>
    <t>3.1.1.3.01.01.01.11.02</t>
  </si>
  <si>
    <t>Assistencia Farmaceutica</t>
  </si>
  <si>
    <t>3.1.1.3.01.01.01.11.05</t>
  </si>
  <si>
    <t>Cursos E Treinamentos</t>
  </si>
  <si>
    <t>3.1.1.3.01.01.01.11.09</t>
  </si>
  <si>
    <t>3.1.1.5</t>
  </si>
  <si>
    <t>Resultado Liquido Financeiro</t>
  </si>
  <si>
    <t>3.1.1.5.01</t>
  </si>
  <si>
    <t>Despesas Financeiras</t>
  </si>
  <si>
    <t>3.1.1.5.01.01</t>
  </si>
  <si>
    <t>3.1.1.5.01.02</t>
  </si>
  <si>
    <t>Juros de Mora</t>
  </si>
  <si>
    <t>3.1.1.5.01.04</t>
  </si>
  <si>
    <t>Juros S/Financiamentos</t>
  </si>
  <si>
    <t>3.1.1.5.01.05</t>
  </si>
  <si>
    <t>Descontos Concedidos Antecipação</t>
  </si>
  <si>
    <t>3.1.1.5.01.06</t>
  </si>
  <si>
    <t>I.O.F</t>
  </si>
  <si>
    <t>3.1.1.5.01.10</t>
  </si>
  <si>
    <t>Flat</t>
  </si>
  <si>
    <t>3.1.1.5.01.12</t>
  </si>
  <si>
    <t>Descontos Concedidos Pontualidade</t>
  </si>
  <si>
    <t>3.1.1.5.02</t>
  </si>
  <si>
    <t>Receitas Financeiras</t>
  </si>
  <si>
    <t>3.1.1.5.02.01</t>
  </si>
  <si>
    <t>Juros Recebidos</t>
  </si>
  <si>
    <t>3.1.1.5.02.02</t>
  </si>
  <si>
    <t>Descontos Auferidos</t>
  </si>
  <si>
    <t>3.1.1.6</t>
  </si>
  <si>
    <t>3.1.1.6.10</t>
  </si>
  <si>
    <t>Recuperacao de Dispendios Operacionais</t>
  </si>
  <si>
    <t>3.1.1.6.10.04</t>
  </si>
  <si>
    <t>Ingressos de Bens do Imobilizado</t>
  </si>
  <si>
    <t>3.1.1.6.10.05</t>
  </si>
  <si>
    <t>Recuperação de Despesas</t>
  </si>
  <si>
    <t>3.1.1.6.10.06</t>
  </si>
  <si>
    <t>Outros Ingressos</t>
  </si>
  <si>
    <t>Taxa de Administracao</t>
  </si>
  <si>
    <t>3.1.1.6.11</t>
  </si>
  <si>
    <t>(-) Outros Dispendios Operacionais</t>
  </si>
  <si>
    <t>3.2</t>
  </si>
  <si>
    <t>Resultado Com Terceiros</t>
  </si>
  <si>
    <t>3.2.1</t>
  </si>
  <si>
    <t>Resultado Operacional Com Terceiros</t>
  </si>
  <si>
    <t>3.2.1.1</t>
  </si>
  <si>
    <t>Resultado de Produtos</t>
  </si>
  <si>
    <t>3.2.1.1.01</t>
  </si>
  <si>
    <t>3.2.1.1.01.01</t>
  </si>
  <si>
    <t>3.2.1.1.01.01.01</t>
  </si>
  <si>
    <t>3.2.1.1.01.01.01.01</t>
  </si>
  <si>
    <t>Vendas Nao Cooperados</t>
  </si>
  <si>
    <t>3.2.1.1.01.01.01.01.01</t>
  </si>
  <si>
    <t>Vendas de Mercadorias</t>
  </si>
  <si>
    <t>3.2.1.1.01.01.01.02</t>
  </si>
  <si>
    <t>Vendas No Mercado Externo</t>
  </si>
  <si>
    <t>3.2.1.1.01.01.01.02.01</t>
  </si>
  <si>
    <t>(-) Deducoes das Receitas</t>
  </si>
  <si>
    <t>(-) Devolucoes de Vendas</t>
  </si>
  <si>
    <t>(-) Impostos Incidentes Sobre A Receita</t>
  </si>
  <si>
    <t>3.2.1.1.01.01.01.20</t>
  </si>
  <si>
    <t>(-) Custos Diretos das Vendas</t>
  </si>
  <si>
    <t>3.2.1.1.01.01.01.20.01</t>
  </si>
  <si>
    <t>(-) Custos da Vendas</t>
  </si>
  <si>
    <t>3.2.1.1.01.01.02</t>
  </si>
  <si>
    <t>3.2.1.1.01.01.02.01</t>
  </si>
  <si>
    <t>3.2.1.1.01.01.02.01.01</t>
  </si>
  <si>
    <t>Venda de Mercadorias</t>
  </si>
  <si>
    <t>3.2.1.1.01.01.02.20</t>
  </si>
  <si>
    <t>3.2.1.1.01.01.02.20.01</t>
  </si>
  <si>
    <t>3.2.1.1.01.01.03</t>
  </si>
  <si>
    <t>3.2.1.1.01.01.03.01</t>
  </si>
  <si>
    <t>3.2.1.1.01.01.03.01.01</t>
  </si>
  <si>
    <t>3.2.1.1.01.01.03.17</t>
  </si>
  <si>
    <t>3.2.1.1.01.01.03.17.01</t>
  </si>
  <si>
    <t>3.2.1.1.01.01.03.20</t>
  </si>
  <si>
    <t>3.2.1.1.01.01.03.20.01</t>
  </si>
  <si>
    <t>3.2.1.1.01.01.04</t>
  </si>
  <si>
    <t>3.2.1.1.01.01.04.01</t>
  </si>
  <si>
    <t>3.2.1.1.01.01.04.01.01</t>
  </si>
  <si>
    <t>3.2.1.1.01.01.04.17</t>
  </si>
  <si>
    <t>3.2.1.1.01.01.04.17.01</t>
  </si>
  <si>
    <t>3.2.1.1.01.01.04.20</t>
  </si>
  <si>
    <t>3.2.1.1.01.01.04.20.01</t>
  </si>
  <si>
    <t>3.2.1.1.02</t>
  </si>
  <si>
    <t>3.2.1.1.02.01</t>
  </si>
  <si>
    <t>3.2.1.1.02.01.01</t>
  </si>
  <si>
    <t>3.2.1.1.02.01.01.01</t>
  </si>
  <si>
    <t>Vendas No Mercado Interno</t>
  </si>
  <si>
    <t>3.2.1.1.02.01.01.01.01</t>
  </si>
  <si>
    <t>3.2.1.1.02.01.01.15</t>
  </si>
  <si>
    <t>3.2.1.1.02.01.01.15.01</t>
  </si>
  <si>
    <t>3.2.1.1.02.01.01.20</t>
  </si>
  <si>
    <t>3.2.1.1.02.01.01.20.01</t>
  </si>
  <si>
    <t>3.2.1.1.02.01.02</t>
  </si>
  <si>
    <t>3.2.1.1.02.01.02.01</t>
  </si>
  <si>
    <t>3.2.1.1.02.01.02.01.01</t>
  </si>
  <si>
    <t>3.2.1.1.02.01.02.15</t>
  </si>
  <si>
    <t>3.2.1.1.02.01.02.15.01</t>
  </si>
  <si>
    <t>3.2.1.1.02.01.02.20</t>
  </si>
  <si>
    <t>3.2.1.1.02.01.02.20.01</t>
  </si>
  <si>
    <t>3.2.1.1.02.01.03</t>
  </si>
  <si>
    <t>3.2.1.1.02.01.03.01</t>
  </si>
  <si>
    <t>3.2.1.1.02.01.03.01.01</t>
  </si>
  <si>
    <t>3.2.1.1.02.01.03.20</t>
  </si>
  <si>
    <t>3.2.1.1.02.01.03.20.01</t>
  </si>
  <si>
    <t>3.2.1.1.02.01.06</t>
  </si>
  <si>
    <t>3.2.1.1.02.01.06.01</t>
  </si>
  <si>
    <t>3.2.1.1.02.01.06.01.01</t>
  </si>
  <si>
    <t>3.2.1.1.02.01.06.20</t>
  </si>
  <si>
    <t>3.2.1.1.02.01.06.20.01</t>
  </si>
  <si>
    <t>3.2.1.1.02.02</t>
  </si>
  <si>
    <t>3.2.1.1.02.02.01</t>
  </si>
  <si>
    <t>3.2.1.1.02.02.01.01</t>
  </si>
  <si>
    <t>3.2.1.1.02.02.01.01.01</t>
  </si>
  <si>
    <t>3.2.1.1.02.02.01.20</t>
  </si>
  <si>
    <t>3.2.1.1.02.02.01.20.01</t>
  </si>
  <si>
    <t>3.2.1.1.02.02.02</t>
  </si>
  <si>
    <t>3.2.1.1.02.02.02.01</t>
  </si>
  <si>
    <t>3.2.1.1.02.02.02.01.01</t>
  </si>
  <si>
    <t>3.2.1.1.02.02.02.20</t>
  </si>
  <si>
    <t>3.2.1.1.02.02.02.20.01</t>
  </si>
  <si>
    <t>3.2.1.1.02.02.10</t>
  </si>
  <si>
    <t>3.2.1.1.02.02.10.01</t>
  </si>
  <si>
    <t>3.2.1.1.02.02.10.01.01</t>
  </si>
  <si>
    <t>Venda Nao Cooperados</t>
  </si>
  <si>
    <t>3.2.1.1.02.02.10.20</t>
  </si>
  <si>
    <t>3.2.1.1.02.02.10.20.01</t>
  </si>
  <si>
    <t>3.2.1.1.02.03</t>
  </si>
  <si>
    <t>3.2.1.1.02.03.01</t>
  </si>
  <si>
    <t>3.2.1.1.02.03.01.01</t>
  </si>
  <si>
    <t>3.2.1.1.02.03.01.01.01</t>
  </si>
  <si>
    <t>3.2.1.1.02.03.01.20</t>
  </si>
  <si>
    <t>3.2.1.1.02.03.01.20.01</t>
  </si>
  <si>
    <t>3.2.1.1.02.03.02</t>
  </si>
  <si>
    <t>3.2.1.1.02.03.02.01</t>
  </si>
  <si>
    <t>3.2.1.1.02.03.02.01.01</t>
  </si>
  <si>
    <t>3.2.1.1.02.03.02.20</t>
  </si>
  <si>
    <t>3.2.1.1.02.03.02.20.01</t>
  </si>
  <si>
    <t>3.2.1.1.02.03.04</t>
  </si>
  <si>
    <t>3.2.1.1.02.03.04.01</t>
  </si>
  <si>
    <t>3.2.1.1.02.03.04.01.01</t>
  </si>
  <si>
    <t>3.2.1.1.02.03.04.20</t>
  </si>
  <si>
    <t>3.2.1.1.02.03.04.20.01</t>
  </si>
  <si>
    <t>3.2.1.1.02.03.10</t>
  </si>
  <si>
    <t>3.2.1.1.02.03.10.01</t>
  </si>
  <si>
    <t>3.2.1.1.02.03.10.01.01</t>
  </si>
  <si>
    <t>3.2.1.1.02.03.10.20</t>
  </si>
  <si>
    <t>3.2.1.1.02.03.10.20.01</t>
  </si>
  <si>
    <t>3.2.1.1.03</t>
  </si>
  <si>
    <t>3.2.1.1.03.01</t>
  </si>
  <si>
    <t>3.2.1.1.03.01.03</t>
  </si>
  <si>
    <t>3.2.1.1.03.01.03.17</t>
  </si>
  <si>
    <t>3.2.1.1.03.01.03.17.01</t>
  </si>
  <si>
    <t>3.2.1.1.03.01.05</t>
  </si>
  <si>
    <t>Produto Tratamento de Sementes</t>
  </si>
  <si>
    <t>3.2.1.1.03.01.05.20</t>
  </si>
  <si>
    <t>3.2.1.1.03.01.05.20.01</t>
  </si>
  <si>
    <t>3.2.1.1.50</t>
  </si>
  <si>
    <t>3.2.1.1.50.01</t>
  </si>
  <si>
    <t>3.2.1.1.50.01.01</t>
  </si>
  <si>
    <t>3.2.1.1.50.01.01.01</t>
  </si>
  <si>
    <t>Venda de Producao</t>
  </si>
  <si>
    <t>3.2.1.1.50.01.01.01.01</t>
  </si>
  <si>
    <t>3.2.1.1.50.01.01.09</t>
  </si>
  <si>
    <t>Devolucao de Vendas Producao</t>
  </si>
  <si>
    <t>3.2.1.1.50.01.01.09.01</t>
  </si>
  <si>
    <t>(-) Impostos Incidentes Sobre Ato Nao Cooperativo</t>
  </si>
  <si>
    <t>3.2.1.1.50.01.04</t>
  </si>
  <si>
    <t>3.2.1.1.50.01.04.01</t>
  </si>
  <si>
    <t>3.2.1.1.50.01.04.01.01</t>
  </si>
  <si>
    <t>3.2.1.1.50.01.04.17</t>
  </si>
  <si>
    <t>3.2.1.1.50.01.04.17.01</t>
  </si>
  <si>
    <t>3.2.1.1.50.02</t>
  </si>
  <si>
    <t>3.2.1.1.50.02.04</t>
  </si>
  <si>
    <t>3.2.1.1.50.02.04.01</t>
  </si>
  <si>
    <t>3.2.1.1.50.02.04.01.01</t>
  </si>
  <si>
    <t>Venda de Produto</t>
  </si>
  <si>
    <t>3.2.1.2</t>
  </si>
  <si>
    <t>Resultados de Servicos</t>
  </si>
  <si>
    <t>3.2.1.2.01</t>
  </si>
  <si>
    <t>3.2.1.2.01.01</t>
  </si>
  <si>
    <t>3.2.1.2.01.01.01</t>
  </si>
  <si>
    <t>3.2.1.2.01.01.01.01</t>
  </si>
  <si>
    <t>Receitas de Servicos</t>
  </si>
  <si>
    <t>3.2.1.2.01.01.01.01.01</t>
  </si>
  <si>
    <t>Receitas de Projetos Tecnicos Não Cooperados</t>
  </si>
  <si>
    <t>3.2.1.2.01.01.01.05</t>
  </si>
  <si>
    <t>3.2.1.2.01.01.01.05.03</t>
  </si>
  <si>
    <t>3.2.1.2.01.01.07</t>
  </si>
  <si>
    <t>3.2.1.2.01.01.07.01</t>
  </si>
  <si>
    <t>Receita de Serviços</t>
  </si>
  <si>
    <t>3.2.1.2.01.01.07.01.01</t>
  </si>
  <si>
    <t>Receita de Serviços Tratamento de Sementes</t>
  </si>
  <si>
    <t>3.2.1.2.01.01.07.05</t>
  </si>
  <si>
    <t>3.2.1.2.01.01.07.05.03</t>
  </si>
  <si>
    <t>3.2.1.5</t>
  </si>
  <si>
    <t>Sobras E Perdas Financeiras Liquidas</t>
  </si>
  <si>
    <t>3.2.1.5.01</t>
  </si>
  <si>
    <t>3.2.1.5.01.01</t>
  </si>
  <si>
    <t>3.2.1.5.02</t>
  </si>
  <si>
    <t>3.2.1.5.02.02</t>
  </si>
  <si>
    <t>Rendimento de Aplicacoes Financeiras</t>
  </si>
  <si>
    <t>3.2.1.6</t>
  </si>
  <si>
    <t>Resultado Outras Receitas Operacionais</t>
  </si>
  <si>
    <t>3.2.1.6.10</t>
  </si>
  <si>
    <t>3.2.1.6.10.06</t>
  </si>
  <si>
    <t>EMPRESA</t>
  </si>
  <si>
    <t>SEQUENCIA</t>
  </si>
  <si>
    <t>TIPO_LINHA</t>
  </si>
  <si>
    <t>ORDEM</t>
  </si>
  <si>
    <t>GRP_TOT</t>
  </si>
  <si>
    <t>DESCRICAO_LINHA</t>
  </si>
  <si>
    <t>=</t>
  </si>
  <si>
    <t>INGRESSOS E RECEITA BRUTA OPERACIONAL</t>
  </si>
  <si>
    <t>+</t>
  </si>
  <si>
    <t>INSUMOS AGROPECUARIOS</t>
  </si>
  <si>
    <t>BONIFICAÇÕES RECEBIDAS</t>
  </si>
  <si>
    <t>-</t>
  </si>
  <si>
    <t>IMPOSTOS SOBRE SERVIÇOS PRESTADOS</t>
  </si>
  <si>
    <t>RESULTADO BRUTO OPERACIONAL</t>
  </si>
  <si>
    <t>N</t>
  </si>
  <si>
    <t>DISPÊNDIOS E  DESPESAS C/ PESSOAL</t>
  </si>
  <si>
    <t>DISPÊNDIOS E  DESPESAS ADMINISTRATIVAS</t>
  </si>
  <si>
    <t>DISPÊNDIOS E  DESPESAS C/ VENDAS</t>
  </si>
  <si>
    <t>DISPÊNDIOS E  DESPESAS TRIBUTÁRIAS</t>
  </si>
  <si>
    <t>DISPÊNDIOS E  DESPESAS TECNICAS</t>
  </si>
  <si>
    <t>DISPÊNDIOS E  DESPESAS INDEDUTÍVEIS</t>
  </si>
  <si>
    <t>DISPÊNDIOS E  DESPESAS C/ RATES</t>
  </si>
  <si>
    <t>RESULTADO FINANCEIRO</t>
  </si>
  <si>
    <t>DISPÊNDIOS E  DESPESAS FINANCEIRAS</t>
  </si>
  <si>
    <t>INGRESSOS E RECEITAS FINANCEIRAS</t>
  </si>
  <si>
    <t>RESULTADO DE OUTRAS RECEITAS/DESPESAS OPERACIONAIS</t>
  </si>
  <si>
    <t>ICMS SOBRE INGRESSOS E RECEITAS</t>
  </si>
  <si>
    <t>OUTROS DISPÊNDIOS E  DESPESAS OPERACIONAIS</t>
  </si>
  <si>
    <t>DISPÊNDIOS E  DESPESAS OPERACIONAIS</t>
  </si>
  <si>
    <t>OUTROS INGRESSOS E  RECEITAS OPERACIONAIS</t>
  </si>
  <si>
    <t>IMPOSTO DE RENDA</t>
  </si>
  <si>
    <t>CONTRIBUIÇÃO SOCIAL</t>
  </si>
  <si>
    <t>SOBRA E LUCRO LIQUIDO DO EXERCICIO</t>
  </si>
  <si>
    <t>DEDUÇÕES DE INGRESSOS E RECEITAS</t>
  </si>
  <si>
    <t>DEVOLUÇÃO DE INSUMOS AGROPECUARIOS</t>
  </si>
  <si>
    <t>DISPÊNDIOS/CUSTOS DE INGRESSOS E RECEITAS</t>
  </si>
  <si>
    <t>DEVOLUÇÃO DE PRODUTOS AGRICOLAS</t>
  </si>
  <si>
    <t>PRODUTOS AGRICOLAS</t>
  </si>
  <si>
    <t>ANULACAO DE VALOR (SERVIÇO DE FRETE</t>
  </si>
  <si>
    <t>SEMENTES PRODUZIDAS</t>
  </si>
  <si>
    <t>DEVOLUÇÃO DE SEMENTE PRODUZIDA</t>
  </si>
  <si>
    <t>PRODUÇÃO DE SEMENTES</t>
  </si>
  <si>
    <t>IMPOSTOS SOBRE RECEITA</t>
  </si>
  <si>
    <t>1.1.1.2.01.29</t>
  </si>
  <si>
    <t>SICREDI - Coronel Vivida</t>
  </si>
  <si>
    <t>Almir Primo Favero</t>
  </si>
  <si>
    <t>Anselmo Adriano Muchalak</t>
  </si>
  <si>
    <t>Clenio Luiz Romio</t>
  </si>
  <si>
    <t>Geraldo Martiol de Souza</t>
  </si>
  <si>
    <t>Itamar Jose Echer</t>
  </si>
  <si>
    <t>Mario Stadnik</t>
  </si>
  <si>
    <t>Valdemar Deveras</t>
  </si>
  <si>
    <t>Clarindo Jose Storti e Outro</t>
  </si>
  <si>
    <t>Cooperativa Agrop E de Alimentos Boa Ven</t>
  </si>
  <si>
    <t>Terra Comercio e Exportacao de Cereais L</t>
  </si>
  <si>
    <t>V S Comercio de Produtos Alimenticios Ei</t>
  </si>
  <si>
    <t>ADT-F Timac Agro Ind e Com de Fertilizantes Lt</t>
  </si>
  <si>
    <t>1.2.4.2.03</t>
  </si>
  <si>
    <t>Imob.Em Andamento C/Entrega Futura</t>
  </si>
  <si>
    <t>Valdemar Binotto</t>
  </si>
  <si>
    <t>ADT-C Amarildo Sartori Spagnoli</t>
  </si>
  <si>
    <t>ADT-C Anilton Winiarski e Outros</t>
  </si>
  <si>
    <t>ADT-C Darcy da Cruz Oliveira</t>
  </si>
  <si>
    <t>ADT-C Ivonete Iung</t>
  </si>
  <si>
    <t>ADT-C Joao Armando Kerber</t>
  </si>
  <si>
    <t>ADT-C Mauro Luiz Camilotti</t>
  </si>
  <si>
    <t>Administradora de Bens Don Fernando Ltda</t>
  </si>
  <si>
    <t>CDL de Palmasola</t>
  </si>
  <si>
    <t>Departamento de Transito Detran</t>
  </si>
  <si>
    <t>Luciano Pysklevitz Me</t>
  </si>
  <si>
    <t>Parana Ambiental Gestao Global de Residu</t>
  </si>
  <si>
    <t>ADT-C San Rafael Sementes e Cereais Ltda</t>
  </si>
  <si>
    <t>ADT-C UTFPR  Campus Pato Branco</t>
  </si>
  <si>
    <t>CAP-S: Anselmo Adriano Muchalak</t>
  </si>
  <si>
    <t>CAP-S: Camila Pacheco Pazzini</t>
  </si>
  <si>
    <t>CAP-S: Ildo Luiz Hefler</t>
  </si>
  <si>
    <t>CAP-S: Jucemar Nichelle</t>
  </si>
  <si>
    <t>CAP-S: Leonardo Lorenzetti Stadnik</t>
  </si>
  <si>
    <t>CAP-S: Luiz Biazzolo</t>
  </si>
  <si>
    <t>CAP-S: Maria Mior Boggio</t>
  </si>
  <si>
    <t>CAP-S: Milton Edimar Zanatta</t>
  </si>
  <si>
    <t>CAP-S: Nilson Gugel</t>
  </si>
  <si>
    <t>CAP-S: Rogerio de Jesus Fistarol Almeida</t>
  </si>
  <si>
    <t>CAP-S: Valdecir Antonio Schiochet</t>
  </si>
  <si>
    <t>3.1.1.1.02.02.01.17</t>
  </si>
  <si>
    <t>3.1.1.1.02.02.01.17.01</t>
  </si>
  <si>
    <t>1.1.3.1.03.01.16.01</t>
  </si>
  <si>
    <t>1.1.3.1.03.01.16.01.01</t>
  </si>
  <si>
    <t>GRUPO_CLASS</t>
  </si>
  <si>
    <t>Destinações Estatutárias</t>
  </si>
  <si>
    <t>Sobras do Exercício - Associados</t>
  </si>
  <si>
    <t>Lucro com Terceiros - RATES</t>
  </si>
  <si>
    <t>Rates 5%</t>
  </si>
  <si>
    <t>Fundo de reserva - 10%</t>
  </si>
  <si>
    <t>Fundo de imobilizações - 70%</t>
  </si>
  <si>
    <t>Proposta Conselho de Administração</t>
  </si>
  <si>
    <t>1.1.1.2.01.28</t>
  </si>
  <si>
    <t>Banco do Brasil - Coronel Vivida</t>
  </si>
  <si>
    <t>1.1.1.2.02.18</t>
  </si>
  <si>
    <t>SICREDI - Coronel Vivida - CHEQUE</t>
  </si>
  <si>
    <t>Agropecuaria Campo Alegre Ltda EPP</t>
  </si>
  <si>
    <t>Joao Serednicki</t>
  </si>
  <si>
    <t>Jonas Assumpcao</t>
  </si>
  <si>
    <t>Leocir Saggin</t>
  </si>
  <si>
    <t>Valmir Mariano Lopes</t>
  </si>
  <si>
    <t>Altair Achre</t>
  </si>
  <si>
    <t>Auro Mitsuhiro Hasegawa</t>
  </si>
  <si>
    <t>Cezar Walmor Pacheco Daneluz</t>
  </si>
  <si>
    <t>Claudecir Dallarosa</t>
  </si>
  <si>
    <t>Emir Piva</t>
  </si>
  <si>
    <t>Giuvanni Malicheski</t>
  </si>
  <si>
    <t>Joao Holek Neto</t>
  </si>
  <si>
    <t>Joel Antonio Rodrigues Vargas</t>
  </si>
  <si>
    <t>Jusara Tumelero</t>
  </si>
  <si>
    <t>Leandro Roberti Altissimo</t>
  </si>
  <si>
    <t>Plantar Comercio e Planejamento Agropecu</t>
  </si>
  <si>
    <t>Rogerio de Mattos</t>
  </si>
  <si>
    <t>Valmir de Oliveira</t>
  </si>
  <si>
    <t>Vanderlei Ludwig</t>
  </si>
  <si>
    <t>Wilmar Fernandes Duglas</t>
  </si>
  <si>
    <t>1.1.3.1.03.01.15.08</t>
  </si>
  <si>
    <t>1.1.3.1.03.01.15.08.02</t>
  </si>
  <si>
    <t>1.1.3.1.03.01.15.56</t>
  </si>
  <si>
    <t>(-) Transferencia Expedida</t>
  </si>
  <si>
    <t>1.1.3.1.03.01.15.56.02</t>
  </si>
  <si>
    <t>(-) Transferencia Expedida - Nao Cooperado</t>
  </si>
  <si>
    <t>Amilton Barbosa de Linhares</t>
  </si>
  <si>
    <t>Angelo Miguel Paloschi</t>
  </si>
  <si>
    <t>Ezidio Tressi Biazus</t>
  </si>
  <si>
    <t>Francisco Floriani</t>
  </si>
  <si>
    <t>Graciano Favin</t>
  </si>
  <si>
    <t>Jusemar Biesek</t>
  </si>
  <si>
    <t>Marli Hupalo</t>
  </si>
  <si>
    <t>Selvino Borsoi</t>
  </si>
  <si>
    <t>Sergio Schabarum</t>
  </si>
  <si>
    <t>ADT-C Adriana Bau Celso</t>
  </si>
  <si>
    <t>ADT-C Airton Amilcar Carneiro</t>
  </si>
  <si>
    <t>ADT-C Aldelir Deitos</t>
  </si>
  <si>
    <t>ADT-C Celso Herminio Dessordi</t>
  </si>
  <si>
    <t>ADT-C Douglas Ricardo Philippsen</t>
  </si>
  <si>
    <t>ADT-C Irineu Taparello</t>
  </si>
  <si>
    <t>ADT-C Luiz Carlos Zandona</t>
  </si>
  <si>
    <t>ADT-C Marcos Antonio Rampanelli</t>
  </si>
  <si>
    <t>ADT-C Onival Domingos Philippsen</t>
  </si>
  <si>
    <t>ADT-C Paulo Vitor Lazarin</t>
  </si>
  <si>
    <t>ADT-C Rogelio Luiz Stefanello</t>
  </si>
  <si>
    <t>ADT-C Rogerio da Coreggio</t>
  </si>
  <si>
    <t>Agrichem do Brasil S A</t>
  </si>
  <si>
    <t>Anderson Facco</t>
  </si>
  <si>
    <t>Etelvino Jose Celso</t>
  </si>
  <si>
    <t xml:space="preserve">Freio e Ar Comercio de Pecas e Servicos </t>
  </si>
  <si>
    <t>Joao Angelo Vezzaro</t>
  </si>
  <si>
    <t>Luciano Fabio Vieira Me</t>
  </si>
  <si>
    <t>Mafer Comercio de Combustiveis Ltda Me</t>
  </si>
  <si>
    <t>Osmar do Amaral</t>
  </si>
  <si>
    <t>Perego &amp; Quadro LTDA - EPP</t>
  </si>
  <si>
    <t>Toni Elton Schinemann</t>
  </si>
  <si>
    <t>ADT-C Juventino Bocchi</t>
  </si>
  <si>
    <t>ADT-C Rudimar Lazarin</t>
  </si>
  <si>
    <t>CAP-S: Adair Jose Grassi</t>
  </si>
  <si>
    <t>CAP-S: Adriana Bau Celso</t>
  </si>
  <si>
    <t>CAP-S: Agropecuaria Campo Alegre Ltda EPP</t>
  </si>
  <si>
    <t>CAP-S: Antonio Mezzomo</t>
  </si>
  <si>
    <t>CAP-S: Claudio Luiz Celso</t>
  </si>
  <si>
    <t>CAP-S: Claudio Mezzomo</t>
  </si>
  <si>
    <t>CAP-S: Cleomar Ciquelero</t>
  </si>
  <si>
    <t>CAP-S: Cooperativa Agroindustrial Novicarnes</t>
  </si>
  <si>
    <t>CAP-S: Dorvalina Faccin Schiochet</t>
  </si>
  <si>
    <t>CAP-S: Egidio Munaretto</t>
  </si>
  <si>
    <t>CAP-S: Eloir Cesar Celso</t>
  </si>
  <si>
    <t>CAP-S: Eurides Mezzomo</t>
  </si>
  <si>
    <t>CAP-S: Genezio Boldori</t>
  </si>
  <si>
    <t>CAP-S: Hildo Francisco Cecconi</t>
  </si>
  <si>
    <t>CAP-S: Izabel Maria Mezzomo de Paula</t>
  </si>
  <si>
    <t>CAP-S: Joao Serednicki</t>
  </si>
  <si>
    <t>CAP-S: Luis Carlos Bessegatto</t>
  </si>
  <si>
    <t>CAP-S: Marcio Kerber</t>
  </si>
  <si>
    <t>CAP-S: Marcos Antonio Deveras</t>
  </si>
  <si>
    <t>CAP-S: Mariane Zilli</t>
  </si>
  <si>
    <t>CAP-S: Milton Tosatti</t>
  </si>
  <si>
    <t>CAP-S: Nelson Favretto</t>
  </si>
  <si>
    <t>CAP-S: Neri da Silva</t>
  </si>
  <si>
    <t>CAP-S: Odilmar de Oliveira Vieira</t>
  </si>
  <si>
    <t>CAP-S: Regina Maria Mezzomo</t>
  </si>
  <si>
    <t>CAP-S: Santo Molosse</t>
  </si>
  <si>
    <t>CAP-S: Sirney Ariberto Cardozo</t>
  </si>
  <si>
    <t>CAP-S: Terezinha Mezzomo</t>
  </si>
  <si>
    <t>Refeicoes de Funcionarios - PAT</t>
  </si>
  <si>
    <t>Dispendios Administrativos</t>
  </si>
  <si>
    <t>Despesas Veiculos Leves</t>
  </si>
  <si>
    <t>Contribuicoes Sindicais e Associacoes</t>
  </si>
  <si>
    <t>Auditoria e Consultoria</t>
  </si>
  <si>
    <t>Relatório Viagem Funcionarios</t>
  </si>
  <si>
    <t>Relatorio Viagem Gerencial</t>
  </si>
  <si>
    <t>Despesas Veiculos Pesados</t>
  </si>
  <si>
    <t>Pedagio vendas</t>
  </si>
  <si>
    <t>3.1.1.3.01.01.01.08.07</t>
  </si>
  <si>
    <t>3.1.1.3.01.01.01.04.76</t>
  </si>
  <si>
    <t>Aplicacoes Imediatas Sicoob</t>
  </si>
  <si>
    <t>Jorge Luiz Piccinin</t>
  </si>
  <si>
    <t>Luiz Delazari</t>
  </si>
  <si>
    <t>Daniel Perin Bandeira Eireli</t>
  </si>
  <si>
    <t>Lademir Herminio Copini</t>
  </si>
  <si>
    <t>Nidera Sementes Ltda</t>
  </si>
  <si>
    <t>Turim Insumos e Cereais  Ltda</t>
  </si>
  <si>
    <t>ADT-F Du Pont do Brasil S A</t>
  </si>
  <si>
    <t>1.1.2.5.01.11</t>
  </si>
  <si>
    <t>Icms A Recup.Outras Saidas</t>
  </si>
  <si>
    <t>1.1.3.1.02.01.01.70.02</t>
  </si>
  <si>
    <t>(-) Perda, Roubo, Deterioração</t>
  </si>
  <si>
    <t>1.1.3.1.02.01.03.70.02</t>
  </si>
  <si>
    <t>1.1.3.1.02.02.06.01</t>
  </si>
  <si>
    <t>1.1.3.1.02.02.06.01.01</t>
  </si>
  <si>
    <t>1.5.1.1.02.01.02</t>
  </si>
  <si>
    <t>1.5.1.1.02.01.02.04</t>
  </si>
  <si>
    <t>Remessa Para Troca</t>
  </si>
  <si>
    <t>1.5.1.1.02.01.03.04</t>
  </si>
  <si>
    <t>Adoval Facin</t>
  </si>
  <si>
    <t>ADT-C Amauri Stival</t>
  </si>
  <si>
    <t>ADT-C Carlos Dionei Giacomet</t>
  </si>
  <si>
    <t>ADT-C Coop de Desenvolvimento e Prod Agropecua</t>
  </si>
  <si>
    <t>ADT-C Diamantino Marcante Stanguerlin</t>
  </si>
  <si>
    <t>Bimaq Maquinas e Equipamentos Ltda</t>
  </si>
  <si>
    <t>Editora Juriti Ltda</t>
  </si>
  <si>
    <t>Genezio Echs de Oliveira</t>
  </si>
  <si>
    <t>Hermes Miguel Busatto</t>
  </si>
  <si>
    <t>WS Industria e Comercio de Papeis Ltda M</t>
  </si>
  <si>
    <t>ADT-C Kramer &amp; Cia Ltda EPP</t>
  </si>
  <si>
    <t>13o Salario</t>
  </si>
  <si>
    <t>2.1.5.3.01.01</t>
  </si>
  <si>
    <t>2.1.5.3.02.01</t>
  </si>
  <si>
    <t>CAP-S: Altir Francisco Calvi</t>
  </si>
  <si>
    <t>CAP-S: Celso Schmitz</t>
  </si>
  <si>
    <t>CAP-S: Dafini Samara Boldrini</t>
  </si>
  <si>
    <t>CAP-S: Edelvan Ary Polese</t>
  </si>
  <si>
    <t>CAP-S: Emir Piva</t>
  </si>
  <si>
    <t>CAP-S: Fabricio Luiz Stefani</t>
  </si>
  <si>
    <t>CAP-S: Moacir Corazza</t>
  </si>
  <si>
    <t>CAP-S: Sady Marcondes Loureiro Neto</t>
  </si>
  <si>
    <t>CAP-S: Terezinha Zanella Boff</t>
  </si>
  <si>
    <t>CAP-S: Valmir Vitali</t>
  </si>
  <si>
    <t>2.5.1.1.02.01.02</t>
  </si>
  <si>
    <t>2.5.1.1.02.01.02.04</t>
  </si>
  <si>
    <t>Mercadoria Remetida Para Troca</t>
  </si>
  <si>
    <t>2.5.1.1.02.01.03.04</t>
  </si>
  <si>
    <t>3.1.1.1.50.02.04.17</t>
  </si>
  <si>
    <t>(-) Impostos incidentes sobre o ato cooperativo</t>
  </si>
  <si>
    <t>3.1.1.1.50.02.04.17.01</t>
  </si>
  <si>
    <t>3.1.1.2.01.01.03.07</t>
  </si>
  <si>
    <t>(-) Custo  Incidentes Sobre O Ato Cooperativo</t>
  </si>
  <si>
    <t>3.1.1.2.01.01.03.07.02</t>
  </si>
  <si>
    <t>(-) Combustíveis e Lubrificantes - Custo</t>
  </si>
  <si>
    <t>3.1.1.3.01.01.01.04.77</t>
  </si>
  <si>
    <t>Despesas Veiculos Maquinas</t>
  </si>
  <si>
    <t>3.1.1.3.01.01.01.06.23</t>
  </si>
  <si>
    <t>3.1.1.3.01.01.01.11.10</t>
  </si>
  <si>
    <t>Convenio UNIMED</t>
  </si>
  <si>
    <t>3.1.1.6.11.04</t>
  </si>
  <si>
    <t>Perda, Roubo, Deterioração</t>
  </si>
  <si>
    <t>(-) Devolucao de Vendas Producao</t>
  </si>
  <si>
    <t>APURAÇÃO DO LUCRO REAL</t>
  </si>
  <si>
    <t>COOPERATIVA AGROPECUARIA TRADIÇÃO</t>
  </si>
  <si>
    <t>(=) Resultado do Período</t>
  </si>
  <si>
    <t>1.1.3.1.50.01.01.02</t>
  </si>
  <si>
    <t>Produção de Sementes</t>
  </si>
  <si>
    <t>1.1.3.1.50.01.01.02.01</t>
  </si>
  <si>
    <t>Semente Produzida</t>
  </si>
  <si>
    <t>1.1.3.1.50.01.04.02</t>
  </si>
  <si>
    <t>1.1.3.1.50.01.04.02.01</t>
  </si>
  <si>
    <t>1.1.3.1.50.02.04.02</t>
  </si>
  <si>
    <t>1.1.3.1.50.02.04.02.01</t>
  </si>
  <si>
    <t>1.1.3.1.70.10.01.99</t>
  </si>
  <si>
    <t>1.1.3.1.70.10.04.99</t>
  </si>
  <si>
    <t>3.1.1.1.50.01.04.20</t>
  </si>
  <si>
    <t>3.1.1.1.50.01.04.20.01</t>
  </si>
  <si>
    <t>3.2.1.1.50.01.01.20</t>
  </si>
  <si>
    <t>3.2.1.1.50.01.01.20.01</t>
  </si>
  <si>
    <t>3.2.1.1.50.01.04.20</t>
  </si>
  <si>
    <t>(-) Custo do Produto Vendido</t>
  </si>
  <si>
    <t>3.2.1.1.50.01.04.20.01</t>
  </si>
  <si>
    <t>APURAÇÃO DA CONTRIBUIÇÃO SOCIAL</t>
  </si>
  <si>
    <t>Alecio Bernardi</t>
  </si>
  <si>
    <t>Ires Bassetto</t>
  </si>
  <si>
    <t>Batistus e Pedroso Ltda Me</t>
  </si>
  <si>
    <t>Fernando Jose Madalozzo Neto</t>
  </si>
  <si>
    <t>Guzzo Insumos Agricolas Ltda</t>
  </si>
  <si>
    <t>1.1.2.2.14.06</t>
  </si>
  <si>
    <t>Outros Adiantamentos a Fornecedores</t>
  </si>
  <si>
    <t>1.1.3.1.02.01.04.50.02</t>
  </si>
  <si>
    <t>1.1.3.1.02.01.07.50</t>
  </si>
  <si>
    <t>1.1.3.1.02.03.09.02</t>
  </si>
  <si>
    <t>1.1.3.1.02.03.09.02.01</t>
  </si>
  <si>
    <t>1.1.3.1.02.03.09.02.02</t>
  </si>
  <si>
    <t>Maquinas Tratamento Semente</t>
  </si>
  <si>
    <t>1.1.3.1.03.01.05.02</t>
  </si>
  <si>
    <t>1.1.3.1.03.01.05.02.02</t>
  </si>
  <si>
    <t>1.1.3.1.03.01.05.08</t>
  </si>
  <si>
    <t>1.1.3.1.03.01.05.08.02</t>
  </si>
  <si>
    <t>1.1.3.1.03.01.05.56</t>
  </si>
  <si>
    <t>1.1.3.1.03.01.05.56.02</t>
  </si>
  <si>
    <t>Semente de Trigo NT</t>
  </si>
  <si>
    <t>1.5.1.1.03</t>
  </si>
  <si>
    <t>1.5.1.1.03.01</t>
  </si>
  <si>
    <t>1.5.1.1.03.01.12</t>
  </si>
  <si>
    <t>Pecas e Acessorios</t>
  </si>
  <si>
    <t>1.5.1.1.03.01.12.05</t>
  </si>
  <si>
    <t>Remessa em Garantia</t>
  </si>
  <si>
    <t>ADT-C Agro Gehlen Ltda</t>
  </si>
  <si>
    <t>ADT-C Carlos Luis Sufredini</t>
  </si>
  <si>
    <t>ADT-C Devino Vidor</t>
  </si>
  <si>
    <t>ADT-C Lademir Herminio Copini</t>
  </si>
  <si>
    <t>ADT-C Leonardo Jose Link</t>
  </si>
  <si>
    <t>ADT-C Lino Zolett</t>
  </si>
  <si>
    <t>ADT-C Lucas Eduardo Behm</t>
  </si>
  <si>
    <t>ADT-C Ludovino Fabian Simionato</t>
  </si>
  <si>
    <t>ADT-C Luiz Frizon</t>
  </si>
  <si>
    <t>ADT-C Renato Valentini</t>
  </si>
  <si>
    <t>ADT-C Ulisse Jose Burile</t>
  </si>
  <si>
    <t>Adama Brasil S A</t>
  </si>
  <si>
    <t>Cidnei Pedro Zanette 99761513904</t>
  </si>
  <si>
    <t>Itacir Alberton &amp; Cia Ltda</t>
  </si>
  <si>
    <t>Pato Branco 2 Tabelionato de Notas</t>
  </si>
  <si>
    <t>Sind Trab Ind Const Civil e Mob Pato Bra</t>
  </si>
  <si>
    <t>Votorantim Cimentos S A</t>
  </si>
  <si>
    <t>2.1.8.1.80</t>
  </si>
  <si>
    <t>Icms Consignacoes</t>
  </si>
  <si>
    <t>CAP-S: Agro Gehlen Ltda</t>
  </si>
  <si>
    <t xml:space="preserve">CAP-S: Ceneagro Centro de Negocios Agropecuarios </t>
  </si>
  <si>
    <t>CAP-S: Claudio Eduardo Zyger Sznycer</t>
  </si>
  <si>
    <t>CAP-S: Cleonice Perusso</t>
  </si>
  <si>
    <t>CAP-S: Denilson Moreski</t>
  </si>
  <si>
    <t>CAP-S: Euclides Brustolin</t>
  </si>
  <si>
    <t>CAP-S: Joao Geraldo Veronese</t>
  </si>
  <si>
    <t>CAP-S: Jose de Lima Rodolfo</t>
  </si>
  <si>
    <t>CAP-S: Lademir Herminio Copini</t>
  </si>
  <si>
    <t>CAP-S: Luiz Bachmann</t>
  </si>
  <si>
    <t>CAP-S: Miguel Vicente Weis Ferri</t>
  </si>
  <si>
    <t>CAP-S: Oscar Parcianello</t>
  </si>
  <si>
    <t>CAP-S: Pecuaria Gehlen Ltda</t>
  </si>
  <si>
    <t>CAP-S: Sergio Luiz Galvan</t>
  </si>
  <si>
    <t>CAP-S: Thiago Acorsi Zanella</t>
  </si>
  <si>
    <t>CAP-S: Valcir Zilli</t>
  </si>
  <si>
    <t>CAP-S: Valdir Sbabo</t>
  </si>
  <si>
    <t>2.5.1.1.03</t>
  </si>
  <si>
    <t>2.5.1.1.03.01</t>
  </si>
  <si>
    <t>2.5.1.1.03.01.12</t>
  </si>
  <si>
    <t>2.5.1.1.03.01.12.05</t>
  </si>
  <si>
    <t>3.1.1.1.02.01.06.15</t>
  </si>
  <si>
    <t>3.1.1.1.02.01.06.15.01</t>
  </si>
  <si>
    <t>3.1.1.1.02.03.02.17</t>
  </si>
  <si>
    <t>3.1.1.1.02.03.02.17.01</t>
  </si>
  <si>
    <t>3.1.1.2.01.01.05</t>
  </si>
  <si>
    <t>3.1.1.2.01.01.05.01</t>
  </si>
  <si>
    <t>3.1.1.2.01.01.05.01.01</t>
  </si>
  <si>
    <t>3.1.1.2.01.01.05.05</t>
  </si>
  <si>
    <t>3.1.1.2.01.01.05.05.03</t>
  </si>
  <si>
    <t>3.1.1.3.01.01.01.03.25</t>
  </si>
  <si>
    <t>Medicina do Trabalho</t>
  </si>
  <si>
    <t>3.1.1.3.01.01.01.04.25</t>
  </si>
  <si>
    <t>Impressos Graficos</t>
  </si>
  <si>
    <t>3.1.1.3.01.01.01.08.09</t>
  </si>
  <si>
    <t>Serviços Tecnicos profissionais</t>
  </si>
  <si>
    <t>3.1.1.6.10.08</t>
  </si>
  <si>
    <t>3.2.1.1.01.01.02.17</t>
  </si>
  <si>
    <t>3.2.1.1.01.01.02.17.01</t>
  </si>
  <si>
    <t>3.2.1.1.02.01.02.17</t>
  </si>
  <si>
    <t>3.2.1.1.02.01.02.17.01</t>
  </si>
  <si>
    <t>3.2.1.1.02.01.03.17</t>
  </si>
  <si>
    <t>3.2.1.1.02.01.03.17.01</t>
  </si>
  <si>
    <t>3.2.1.1.02.01.04</t>
  </si>
  <si>
    <t>3.2.1.1.02.01.04.01</t>
  </si>
  <si>
    <t>3.2.1.1.02.01.04.01.01</t>
  </si>
  <si>
    <t>3.2.1.1.02.01.04.20</t>
  </si>
  <si>
    <t>3.2.1.1.02.01.04.20.01</t>
  </si>
  <si>
    <t>3.2.1.1.02.03.10.17</t>
  </si>
  <si>
    <t>3.2.1.1.02.03.10.17.01</t>
  </si>
  <si>
    <t>3.2.1.1.50.02.01</t>
  </si>
  <si>
    <t>3.2.1.1.50.02.01.20</t>
  </si>
  <si>
    <t>3.2.1.1.50.02.01.20.01</t>
  </si>
  <si>
    <t>Semente de Trigo Tratada</t>
  </si>
  <si>
    <t>3.2.1.1.50.02.04.20</t>
  </si>
  <si>
    <t>(-) Custos Operacionais Diretos</t>
  </si>
  <si>
    <t>3.2.1.1.50.02.04.20.01</t>
  </si>
  <si>
    <t>(-) Custo dos Produtos Vendidos</t>
  </si>
  <si>
    <t>3.2.1.2.01.01.06</t>
  </si>
  <si>
    <t>3.2.1.2.01.01.06.01</t>
  </si>
  <si>
    <t>3.2.1.2.01.01.06.01.01</t>
  </si>
  <si>
    <t>Serviços de Armazenagem, Recebimento, Secagem, Lim</t>
  </si>
  <si>
    <t>3.2.1.2.01.01.06.05</t>
  </si>
  <si>
    <t>3.2.1.2.01.01.06.05.03</t>
  </si>
  <si>
    <t>Margem</t>
  </si>
  <si>
    <t>Cooperado</t>
  </si>
  <si>
    <t>Terceiros</t>
  </si>
  <si>
    <t>MENSAL</t>
  </si>
  <si>
    <t>1.1.3.1.02.01.02.70</t>
  </si>
  <si>
    <t>1.1.3.1.02.01.02.70.10</t>
  </si>
  <si>
    <t>1.1.3.1.02.03.10.70</t>
  </si>
  <si>
    <t>1.1.3.1.02.03.10.70.10</t>
  </si>
  <si>
    <t>1.1.3.1.03.01.05.70</t>
  </si>
  <si>
    <t>1.1.3.1.03.01.05.70.10</t>
  </si>
  <si>
    <t>(-) Custos da Producao</t>
  </si>
  <si>
    <t>1.1.3.1.70.10.01.02</t>
  </si>
  <si>
    <t>Insumos MP Soja</t>
  </si>
  <si>
    <t>1.1.3.1.70.10.01.03</t>
  </si>
  <si>
    <t>Material de Embalagem</t>
  </si>
  <si>
    <t>1.1.3.1.70.10.03.02</t>
  </si>
  <si>
    <t>Insumos MP Trigo</t>
  </si>
  <si>
    <t>1.1.3.1.70.10.03.03</t>
  </si>
  <si>
    <t>1.1.3.1.70.10.03.99</t>
  </si>
  <si>
    <t>1.1.3.1.70.10.04.02</t>
  </si>
  <si>
    <t>Insumos MP Feijao</t>
  </si>
  <si>
    <t>1.1.3.1.70.10.04.03</t>
  </si>
  <si>
    <t>1.1.9.1.01.07</t>
  </si>
  <si>
    <t>Outros valores antecipados</t>
  </si>
  <si>
    <t>Nordica Veiculos S A</t>
  </si>
  <si>
    <t>3.1.1.2.01.01.07.07</t>
  </si>
  <si>
    <t>Custo de Ingressos</t>
  </si>
  <si>
    <t>3.1.1.2.01.01.07.07.02</t>
  </si>
  <si>
    <t>Custo Ingressos tratamento de semente</t>
  </si>
  <si>
    <t>Resultado do mês</t>
  </si>
  <si>
    <t>Resultado Anual</t>
  </si>
  <si>
    <t>1.1.3.1.01.01.01.20</t>
  </si>
  <si>
    <t>1.1.3.1.01.01.01.20.10</t>
  </si>
  <si>
    <t>Descarte Producao</t>
  </si>
  <si>
    <t>1.1.3.1.01.01.03.20</t>
  </si>
  <si>
    <t>1.1.3.1.01.01.03.20.10</t>
  </si>
  <si>
    <t>Descarte de Producao</t>
  </si>
  <si>
    <t>1.1.3.1.01.01.04.20</t>
  </si>
  <si>
    <t>1.1.3.1.01.01.04.20.10</t>
  </si>
  <si>
    <t>Descartes Producao</t>
  </si>
  <si>
    <t>Estoque em Trânsito</t>
  </si>
  <si>
    <t>RESULTADO DO PERÍODO</t>
  </si>
  <si>
    <t>Compensado</t>
  </si>
  <si>
    <t>Altair Lamfredi</t>
  </si>
  <si>
    <t>Idiomar Zanella</t>
  </si>
  <si>
    <t>Oscar Parcianello</t>
  </si>
  <si>
    <t>ADT-F Neodi Lunardi</t>
  </si>
  <si>
    <t>Econet Editora Empresarial Ltda Me</t>
  </si>
  <si>
    <t>Fipal Distribuidora de Veiculos Ltda</t>
  </si>
  <si>
    <t>Industria Eletro Eletronico WDT Ltda</t>
  </si>
  <si>
    <t>Magnus Monitoramento Ltda Me</t>
  </si>
  <si>
    <t>Michel Endrigo Melotto</t>
  </si>
  <si>
    <t>1.1.3.1.02.01.01.54</t>
  </si>
  <si>
    <t>1.1.3.1.02.01.01.54.02</t>
  </si>
  <si>
    <t>1.1.3.1.02.01.02.54</t>
  </si>
  <si>
    <t>1.1.3.1.02.01.02.54.02</t>
  </si>
  <si>
    <t>1.1.3.1.02.03.06.02</t>
  </si>
  <si>
    <t>1.1.3.1.02.03.06.02.01</t>
  </si>
  <si>
    <t>1.1.3.1.02.03.06.02.02</t>
  </si>
  <si>
    <t>1.1.3.1.02.03.06.08</t>
  </si>
  <si>
    <t>1.1.3.1.02.03.06.08.02</t>
  </si>
  <si>
    <t>1.1.3.1.02.03.06.56</t>
  </si>
  <si>
    <t>1.1.3.1.02.03.06.56.02</t>
  </si>
  <si>
    <t>1.1.3.1.03.01.07.08</t>
  </si>
  <si>
    <t>1.1.3.1.03.01.07.08.02</t>
  </si>
  <si>
    <t>1.1.3.1.03.01.07.56</t>
  </si>
  <si>
    <t>1.1.3.1.03.01.07.56.02</t>
  </si>
  <si>
    <t>1.1.3.1.04.01.01.70</t>
  </si>
  <si>
    <t>1.1.3.1.04.01.01.70.01</t>
  </si>
  <si>
    <t>Rogerio da Coreggio</t>
  </si>
  <si>
    <t>ADT-C Ademir Zeni</t>
  </si>
  <si>
    <t>ADT-C Adenir Carlos Panho</t>
  </si>
  <si>
    <t>ADT-C Aldemar Bohn</t>
  </si>
  <si>
    <t>ADT-C Celestino Marcante Stanguerlin</t>
  </si>
  <si>
    <t>ADT-C Cristiano Tiago Dallanora</t>
  </si>
  <si>
    <t>ADT-C Gilmar Bisatto</t>
  </si>
  <si>
    <t>ADT-C Indiomar Noelir Folle</t>
  </si>
  <si>
    <t>ADT-C Percy Zardo</t>
  </si>
  <si>
    <t>ADT-C Renan Rossatto</t>
  </si>
  <si>
    <t>ADT-C Rudi Gollmann</t>
  </si>
  <si>
    <t>ADT-C Valdecir Ludwig</t>
  </si>
  <si>
    <t>ADT-C Valdir Viola</t>
  </si>
  <si>
    <t>Gerdau Acos Longos S A</t>
  </si>
  <si>
    <t>Inga Veiculos Ltda</t>
  </si>
  <si>
    <t>Ione Aparecida Lopes Ruzza 04671261944</t>
  </si>
  <si>
    <t>ADT-C Miguel Lopes Santana</t>
  </si>
  <si>
    <t>CAP-S: Alivair Valerio Jordani</t>
  </si>
  <si>
    <t>CAP-S: Alvides Augusto Hermann</t>
  </si>
  <si>
    <t>CAP-S: Andrea Faria Virmond Demario e Outros</t>
  </si>
  <si>
    <t>CAP-S: Cooperdaluz Cooperativa Agroindustrial</t>
  </si>
  <si>
    <t>CAP-S: Eberson Adolfo Gollmann e Outros</t>
  </si>
  <si>
    <t>CAP-S: Edinei Gregolon</t>
  </si>
  <si>
    <t>CAP-S: Gloria Panisson Olivo</t>
  </si>
  <si>
    <t>CAP-S: Humberto Segundo Cozer</t>
  </si>
  <si>
    <t>CAP-S: Ildo Pirola</t>
  </si>
  <si>
    <t>CAP-S: Indiomar Noelir Folle</t>
  </si>
  <si>
    <t>CAP-S: Leonardo Rancatti</t>
  </si>
  <si>
    <t>CAP-S: Maria Zardo Campestrini</t>
  </si>
  <si>
    <t>CAP-S: Pedro Grassi Gregolon</t>
  </si>
  <si>
    <t>CAP-S: Rogelio Luiz Stefanello</t>
  </si>
  <si>
    <t>CAP-S: Rudi Gollmann e Outro</t>
  </si>
  <si>
    <t>CAP-S: Silvino Fabian</t>
  </si>
  <si>
    <t>CAP-S: Teresinha Ines Scherer</t>
  </si>
  <si>
    <t>CAP-S: Vagner Topazio Oliveira</t>
  </si>
  <si>
    <t>Despesas com Analise e Preparo de Solo</t>
  </si>
  <si>
    <t>3.1.1.3.01.01.01.11.03</t>
  </si>
  <si>
    <t>Assistencia Medica E Odontologica</t>
  </si>
  <si>
    <t>3.2.1.1.02.03.10.15</t>
  </si>
  <si>
    <t>3.2.1.1.02.03.10.15.01</t>
  </si>
  <si>
    <t>OUTRAS RECEITAS</t>
  </si>
  <si>
    <t>Sergio Luiz Galvan</t>
  </si>
  <si>
    <t>Valter Bedin</t>
  </si>
  <si>
    <t>Antonio Libero Bergamaschi</t>
  </si>
  <si>
    <t>Cantu Agroindustrial Ltda</t>
  </si>
  <si>
    <t>Fabris e Frachini Ltda Me</t>
  </si>
  <si>
    <t>Leandro Antonio Machado</t>
  </si>
  <si>
    <t>Leonardo Antonio Machado</t>
  </si>
  <si>
    <t>Plantar Comercio de Insumos Ltda</t>
  </si>
  <si>
    <t>Residuo</t>
  </si>
  <si>
    <t>1.1.3.1.01.01.11.02</t>
  </si>
  <si>
    <t>1.1.3.1.01.01.11.02.01</t>
  </si>
  <si>
    <t>Compra de Mercadorias - Cooperado</t>
  </si>
  <si>
    <t>1.1.3.1.01.01.11.02.02</t>
  </si>
  <si>
    <t>Compra de Mercadorias - Não Cooperado</t>
  </si>
  <si>
    <t>1.1.3.1.02.01.01.70.01</t>
  </si>
  <si>
    <t>1.1.3.1.02.01.07.02</t>
  </si>
  <si>
    <t>1.1.3.1.02.01.07.02.02</t>
  </si>
  <si>
    <t>1.1.3.1.02.01.07.08</t>
  </si>
  <si>
    <t>1.1.3.1.02.01.07.08.02</t>
  </si>
  <si>
    <t>1.1.3.1.02.01.07.56</t>
  </si>
  <si>
    <t>1.1.3.1.02.01.07.56.02</t>
  </si>
  <si>
    <t>1.1.3.1.70.10.01.97</t>
  </si>
  <si>
    <t>(+) Transferências recebidas</t>
  </si>
  <si>
    <t>1.1.3.1.70.10.01.98</t>
  </si>
  <si>
    <t>(-) Transferências Expedidas</t>
  </si>
  <si>
    <t>1.5.1.3.06</t>
  </si>
  <si>
    <t>Remessa de Demosntracao</t>
  </si>
  <si>
    <t>Adair Busanello</t>
  </si>
  <si>
    <t>Fernando Alan Tonus</t>
  </si>
  <si>
    <t>Jose Roberto Caramori</t>
  </si>
  <si>
    <t>ADT-C Alceu Viniarski e Outros</t>
  </si>
  <si>
    <t>ADT-C Balduino Angelo  Borsatti</t>
  </si>
  <si>
    <t>ADT-C Celita Streit</t>
  </si>
  <si>
    <t>ADT-C Cidicley Caldatto</t>
  </si>
  <si>
    <t>ADT-C Everton Bisatto</t>
  </si>
  <si>
    <t>ADT-C Gelmir Cecchet</t>
  </si>
  <si>
    <t>ADT-C Hugo Tortelli</t>
  </si>
  <si>
    <t>ADT-C Ivanir Giacomin</t>
  </si>
  <si>
    <t>ADT-C Juliano Simionatto</t>
  </si>
  <si>
    <t>ADT-C Liano Souza Melo</t>
  </si>
  <si>
    <t>ADT-C Marcio Kerber</t>
  </si>
  <si>
    <t>ADT-C Mario Sergio Schmitt de Souza</t>
  </si>
  <si>
    <t>ADT-C Matheus Henrique Barreta</t>
  </si>
  <si>
    <t>ADT-C Oscar Parcianello</t>
  </si>
  <si>
    <t>ADT-C Sady Marcondes Loureiro Neto</t>
  </si>
  <si>
    <t>ADT-C Tania Isotton Mior</t>
  </si>
  <si>
    <t>ADT-C Vinicius Dariel Bocchi</t>
  </si>
  <si>
    <t>ADT-C Willian Arthur Raspolt</t>
  </si>
  <si>
    <t>Altevir Grezelle</t>
  </si>
  <si>
    <t>Cristiano Meireles da Silva</t>
  </si>
  <si>
    <t>Dorvalino Caprini</t>
  </si>
  <si>
    <t>Expresso Sao Miguel Ltda</t>
  </si>
  <si>
    <t>Farias e Colzani Com Mat Const e Acab Lt</t>
  </si>
  <si>
    <t>J F Teixeira Comercio de Moveis Ltda</t>
  </si>
  <si>
    <t>Marlene Babinski Ronsani</t>
  </si>
  <si>
    <t>S E Santin &amp; Cortese Ltda ME</t>
  </si>
  <si>
    <t>Sudoeste  Eletrica Industrial Ltda</t>
  </si>
  <si>
    <t>ADT-C Adilso Jose Badia</t>
  </si>
  <si>
    <t>ADT-C Geneze Sementes S A</t>
  </si>
  <si>
    <t>ADT-C Laudi Carlos Antoniolli</t>
  </si>
  <si>
    <t>CAP-S: Arnaldo Ortigara</t>
  </si>
  <si>
    <t>CAP-S: Fabiano Mezomo</t>
  </si>
  <si>
    <t>CAP-S: Genezio Echs de Oliveira</t>
  </si>
  <si>
    <t>CAP-S: Irany Carlos Cancian</t>
  </si>
  <si>
    <t>CAP-S: Luiz Antonio Link</t>
  </si>
  <si>
    <t>CAP-S: Vitalino Simionatto</t>
  </si>
  <si>
    <t>2.5.1.3.06</t>
  </si>
  <si>
    <t>Remessa de Demonstracao</t>
  </si>
  <si>
    <t>3.1.1.1.03.01.04.01</t>
  </si>
  <si>
    <t>3.1.1.1.03.01.04.01.01</t>
  </si>
  <si>
    <t>3.1.1.1.03.01.14.15</t>
  </si>
  <si>
    <t>3.1.1.1.03.01.14.15.01</t>
  </si>
  <si>
    <t>3.2.1.1.02.01.03.15</t>
  </si>
  <si>
    <t>3.2.1.1.02.01.03.15.01</t>
  </si>
  <si>
    <t>3.2.1.1.02.01.06.15</t>
  </si>
  <si>
    <t>3.2.1.1.02.01.06.15.01</t>
  </si>
  <si>
    <t>1.1.3.1.02.01.02.70.01</t>
  </si>
  <si>
    <t>1.1.3.1.02.01.06.70</t>
  </si>
  <si>
    <t>(-) Outras Saídas</t>
  </si>
  <si>
    <t>1.1.3.1.02.01.06.70.01</t>
  </si>
  <si>
    <t>1.1.3.1.03.01.06.70</t>
  </si>
  <si>
    <t>1.1.3.1.03.01.06.70.01</t>
  </si>
  <si>
    <t>1.1.3.1.03.01.15.70.01</t>
  </si>
  <si>
    <t>Eduardo Drancka</t>
  </si>
  <si>
    <t>Maurivan Luis Frizzo</t>
  </si>
  <si>
    <t>Rodrigo Fabris Marcon</t>
  </si>
  <si>
    <t>VMT Construtora e Terraplanagem Ltda</t>
  </si>
  <si>
    <t>Wagner Eduardo Drancka</t>
  </si>
  <si>
    <t>Waldecir Drancka</t>
  </si>
  <si>
    <t>Antonio Meneghetti</t>
  </si>
  <si>
    <t xml:space="preserve">Cooperativa de Alimentos e Agropecuaria </t>
  </si>
  <si>
    <t>Diones Henrique Koch</t>
  </si>
  <si>
    <t>Douglas Ricardo Philippsen</t>
  </si>
  <si>
    <t>Joao de Almeida Machado</t>
  </si>
  <si>
    <t>Luiz Antonio Link</t>
  </si>
  <si>
    <t>Modesto Favero</t>
  </si>
  <si>
    <t>Vilmar Valentin Tonatto</t>
  </si>
  <si>
    <t>Juliana Peter dos Santos</t>
  </si>
  <si>
    <t>ADT-F Patoeste Eletro Instaladora Ltda</t>
  </si>
  <si>
    <t>1.1.3.1.01.01.04.56</t>
  </si>
  <si>
    <t>1.1.3.1.01.01.04.56.02</t>
  </si>
  <si>
    <t>1.1.3.1.01.01.11.08</t>
  </si>
  <si>
    <t>1.1.3.1.01.01.11.08.01</t>
  </si>
  <si>
    <t>Transferencia recebida - Cooperado</t>
  </si>
  <si>
    <t>1.1.3.1.01.01.11.56</t>
  </si>
  <si>
    <t>1.1.3.1.01.01.11.56.01</t>
  </si>
  <si>
    <t>(-) Transferencias expedidas - Cooperados</t>
  </si>
  <si>
    <t>1.1.3.1.02.01.04.58</t>
  </si>
  <si>
    <t>1.1.3.1.02.01.04.58.01</t>
  </si>
  <si>
    <t>Semente de Cevada</t>
  </si>
  <si>
    <t>1.1.3.1.03.01.03.58</t>
  </si>
  <si>
    <t>Ludovino Fabian Simionato</t>
  </si>
  <si>
    <t>ADT-C Adair Jose Grassi</t>
  </si>
  <si>
    <t>ADT-C Alberto Bruschi</t>
  </si>
  <si>
    <t>ADT-C Alci Domingos Cozer</t>
  </si>
  <si>
    <t>ADT-C Amarilis Tais Sand</t>
  </si>
  <si>
    <t>ADT-C Antonio Fidelio Merlo</t>
  </si>
  <si>
    <t>ADT-C Cleiton Renosto</t>
  </si>
  <si>
    <t>ADT-C Fabio Gustavo Sand</t>
  </si>
  <si>
    <t>ADT-C Genezio Echs de Oliveira</t>
  </si>
  <si>
    <t>ADT-C Irany Carlos Cancian</t>
  </si>
  <si>
    <t>ADT-C Marinez Luiza Mior</t>
  </si>
  <si>
    <t>ADT-C Mauro Antonio Merlo</t>
  </si>
  <si>
    <t>ADT-C Monica de Ros Deitos</t>
  </si>
  <si>
    <t>ADT-C Paulo Kovali</t>
  </si>
  <si>
    <t>ADT-C Rudimar Tonus</t>
  </si>
  <si>
    <t>ADT-C Silvio Hasse</t>
  </si>
  <si>
    <t>ADT-C Sirney Ariberto Cardozo</t>
  </si>
  <si>
    <t>ADT-C Valmir Mangoni</t>
  </si>
  <si>
    <t>Carlos dos Santos Siqueira</t>
  </si>
  <si>
    <t>Claudino Luiz Bosa</t>
  </si>
  <si>
    <t>H.E Ind. e Com. de Laticinios Ltda</t>
  </si>
  <si>
    <t>Henrique Dalchiavon Junior</t>
  </si>
  <si>
    <t>Mateus Petry</t>
  </si>
  <si>
    <t>Sandrigo Antonio Dos Santos</t>
  </si>
  <si>
    <t>Vitorugo Rosin Me</t>
  </si>
  <si>
    <t>ADT-C Ines Polese Sznicer</t>
  </si>
  <si>
    <t>ADT-C Jose Nicolau Ludwig</t>
  </si>
  <si>
    <t>2.1.5.2.09</t>
  </si>
  <si>
    <t>INSS de terceiros a recolher</t>
  </si>
  <si>
    <t>2.2.1.1.22</t>
  </si>
  <si>
    <t>2.2.1.1.22.02</t>
  </si>
  <si>
    <t>CAP-S: Adelir Brustolin</t>
  </si>
  <si>
    <t>CAP-S: Agnes Settle Addison Momesso</t>
  </si>
  <si>
    <t>CAP-S: Alci Domingos Cozer</t>
  </si>
  <si>
    <t>CAP-S: Antonio Libero Bergamaschi</t>
  </si>
  <si>
    <t>CAP-S: Eduardo Addison Momesso</t>
  </si>
  <si>
    <t>CAP-S: Itacir Celeste Baroni</t>
  </si>
  <si>
    <t>CAP-S: Ivone Prechlak Felipe</t>
  </si>
  <si>
    <t>CAP-S: Jose Carlos Zanin</t>
  </si>
  <si>
    <t>CAP-S: Juventino Bocchi</t>
  </si>
  <si>
    <t>CAP-S: Maria Helena Ce Dall Acqua</t>
  </si>
  <si>
    <t>CAP-S: Mauricio Daniel Bocchi</t>
  </si>
  <si>
    <t>CAP-S: Modesto Favero</t>
  </si>
  <si>
    <t>CAP-S: Monica de Ros Deitos</t>
  </si>
  <si>
    <t>3.1.1.1.01.01.11</t>
  </si>
  <si>
    <t>3.1.1.1.01.01.11.01</t>
  </si>
  <si>
    <t>3.1.1.1.01.01.11.01.01</t>
  </si>
  <si>
    <t>3.1.1.2.01.01.07.05.04</t>
  </si>
  <si>
    <t>3.1.1.2.01.01.07.05.05</t>
  </si>
  <si>
    <t>1.1.3.1.02.01.07.70</t>
  </si>
  <si>
    <t>1.1.3.1.02.01.07.70.01</t>
  </si>
  <si>
    <t>1.1.3.1.02.03.01.70</t>
  </si>
  <si>
    <t>1.1.3.1.02.03.01.70.01</t>
  </si>
  <si>
    <t>ADT-F Cristiane Perego ME</t>
  </si>
  <si>
    <t>Crea/Art sobre outras atividades</t>
  </si>
  <si>
    <t>CREA / ART sobre Receituarios</t>
  </si>
  <si>
    <t>Despesas com Armazenagem e Classificação</t>
  </si>
  <si>
    <t>Palestras e Dias de Campo</t>
  </si>
  <si>
    <t>ADT-C Lady Pelizza</t>
  </si>
  <si>
    <t>Admir Jose Cancian</t>
  </si>
  <si>
    <t>Agnes Settle Addison Momesso</t>
  </si>
  <si>
    <t>Dilvania Tortelli Frizon</t>
  </si>
  <si>
    <t>Genezio Boldori e Outro</t>
  </si>
  <si>
    <t>Indiomar Noelir Folle</t>
  </si>
  <si>
    <t>Jocelito Mario Bresolin</t>
  </si>
  <si>
    <t>Jose Carlos Minosso</t>
  </si>
  <si>
    <t>Juarez de Oliveira da Luz</t>
  </si>
  <si>
    <t>Marcelo Jose Binotto</t>
  </si>
  <si>
    <t>Moacir Corazza</t>
  </si>
  <si>
    <t>Paulo Albino Crestani</t>
  </si>
  <si>
    <t>Romario Roberto Bertoglio</t>
  </si>
  <si>
    <t>Rudimar Antonio Brandalize</t>
  </si>
  <si>
    <t>Sadi De Oliveira Da Luz</t>
  </si>
  <si>
    <t>Sedenir Jose Mantelli</t>
  </si>
  <si>
    <t>Zeli Oliveira da Luz</t>
  </si>
  <si>
    <t>F Zancanaro Terraplenagem ME</t>
  </si>
  <si>
    <t>Fernando Bez</t>
  </si>
  <si>
    <t>Patoagro Produtos Agricolas Ltda</t>
  </si>
  <si>
    <t>Sonia Lopes Panozzo</t>
  </si>
  <si>
    <t>1.1.3.1.01.01.11.50</t>
  </si>
  <si>
    <t>1.1.3.1.01.01.11.50.01</t>
  </si>
  <si>
    <t>(-) Custo das Vendas e Ingressos - Cooperados</t>
  </si>
  <si>
    <t>1.1.3.1.02.02.06.58</t>
  </si>
  <si>
    <t>(-) Bonificacoes concedidas</t>
  </si>
  <si>
    <t>1.1.3.1.02.02.06.58.01</t>
  </si>
  <si>
    <t>(-) Bonificacoes concedidas - Cooperados</t>
  </si>
  <si>
    <t>DAP</t>
  </si>
  <si>
    <t>Semente de Milho NT</t>
  </si>
  <si>
    <t>1.1.3.1.70.01.15</t>
  </si>
  <si>
    <t>Transporte de Funcionarios - Producao</t>
  </si>
  <si>
    <t>1.2.4.1.01.11</t>
  </si>
  <si>
    <t>Aeronaves</t>
  </si>
  <si>
    <t>Ademar Debortoli</t>
  </si>
  <si>
    <t>Clederson Dalmolin</t>
  </si>
  <si>
    <t>Milto Jose da Silva</t>
  </si>
  <si>
    <t>Valdecir Donizeti Borsatti</t>
  </si>
  <si>
    <t>Wagner Viniarski</t>
  </si>
  <si>
    <t>ADT-C Antonio Roque Dala Nora Facco</t>
  </si>
  <si>
    <t>ADT-C Deoclides Gheller</t>
  </si>
  <si>
    <t>ADT-C Dilmar Diovani Tortelli</t>
  </si>
  <si>
    <t>ADT-C Jose Valdir Marko</t>
  </si>
  <si>
    <t>ADT-C Milton Tosatti</t>
  </si>
  <si>
    <t>ADT-C Rosa Maria Pernlochner</t>
  </si>
  <si>
    <t>Acessorios e Pecas Galeazzi Ltda</t>
  </si>
  <si>
    <t>Adams Josue Knapik</t>
  </si>
  <si>
    <t xml:space="preserve">Cartorio Generozo 2º Oficio de Registro </t>
  </si>
  <si>
    <t>Comercial de Ferragens Joavi Ltda EPP</t>
  </si>
  <si>
    <t>Comercial de Tintas Zolet Ltda EPP</t>
  </si>
  <si>
    <t xml:space="preserve">Conselho Regional de Eng Arq e Agro Sta </t>
  </si>
  <si>
    <t>Jonatan Marcos Andrade</t>
  </si>
  <si>
    <t>Juarez Luiz Larini</t>
  </si>
  <si>
    <t>Prefeitura Municipal de Palma Sola</t>
  </si>
  <si>
    <t>Tim Celulares S A</t>
  </si>
  <si>
    <t>VRC Engenharia de Projetos Agroindustria</t>
  </si>
  <si>
    <t>ADT-C Evair Capoani</t>
  </si>
  <si>
    <t>ADT-C Rodrigo Luiz Boza</t>
  </si>
  <si>
    <t>2.1.5.1.08</t>
  </si>
  <si>
    <t>FGTS de terceiros a recolher</t>
  </si>
  <si>
    <t>2.1.5.3.01.03</t>
  </si>
  <si>
    <t>FGTS</t>
  </si>
  <si>
    <t>2.1.5.3.01.04</t>
  </si>
  <si>
    <t>INSS</t>
  </si>
  <si>
    <t>2.1.5.3.01.05</t>
  </si>
  <si>
    <t>PIS</t>
  </si>
  <si>
    <t>2.1.5.3.02.03</t>
  </si>
  <si>
    <t>2.1.5.3.02.04</t>
  </si>
  <si>
    <t>2.1.5.3.02.05</t>
  </si>
  <si>
    <t>CAP-S: Ademar Debortoli</t>
  </si>
  <si>
    <t>CAP-S: Adenir Simplicio</t>
  </si>
  <si>
    <t>CAP-S: Admir Jose Cancian</t>
  </si>
  <si>
    <t>CAP-S: Altair Domingos Dal Pizzol</t>
  </si>
  <si>
    <t>CAP-S: Daniel Perin Bandeira</t>
  </si>
  <si>
    <t>CAP-S: Dilvania Tortelli Frizon</t>
  </si>
  <si>
    <t>CAP-S: Genezio Boldori e Outro</t>
  </si>
  <si>
    <t>CAP-S: Ilzo Dalla Costa</t>
  </si>
  <si>
    <t>CAP-S: Jocelito Mario Bresolin</t>
  </si>
  <si>
    <t>CAP-S: Jose Carlos Minosso</t>
  </si>
  <si>
    <t>CAP-S: Juarez de Oliveira da Luz</t>
  </si>
  <si>
    <t>CAP-S: Luciana Aparecida Tretto da Silva</t>
  </si>
  <si>
    <t>CAP-S: Romario Roberto Bertoglio</t>
  </si>
  <si>
    <t>CAP-S: Sadi De Oliveira Da Luz</t>
  </si>
  <si>
    <t>CAP-S: Zeli Oliveira da Luz</t>
  </si>
  <si>
    <t>3.2.1.1.01.01.11</t>
  </si>
  <si>
    <t>3.2.1.1.01.01.11.20</t>
  </si>
  <si>
    <t>3.2.1.1.03.01.07</t>
  </si>
  <si>
    <t>Espuma E Policlaro</t>
  </si>
  <si>
    <t>Semente de Milho Tratada</t>
  </si>
  <si>
    <t>3.2.1.2.01.01.06.05.04</t>
  </si>
  <si>
    <t>3.2.1.2.01.01.06.05.05</t>
  </si>
  <si>
    <t>Adilton Antonio Badia</t>
  </si>
  <si>
    <t>Antonio Fidelio Merlo</t>
  </si>
  <si>
    <t>Celita Streit</t>
  </si>
  <si>
    <t>Claudinei Marchioro</t>
  </si>
  <si>
    <t>Enio Joao Tesser</t>
  </si>
  <si>
    <t>Jorge Grabin</t>
  </si>
  <si>
    <t>Jose Carlos Zanin</t>
  </si>
  <si>
    <t>Junior Antonio Gollman e Outros</t>
  </si>
  <si>
    <t>Nelson Favretto</t>
  </si>
  <si>
    <t>Nilvo Ronsani</t>
  </si>
  <si>
    <t>Regina Maria Mezzomo</t>
  </si>
  <si>
    <t>Salete Gubert</t>
  </si>
  <si>
    <t>Sergio Antonio Batista Caramori</t>
  </si>
  <si>
    <t>Silvano Elso Guidini</t>
  </si>
  <si>
    <t>Silvino Fabian</t>
  </si>
  <si>
    <t>Sirney Ariberto Cardozo</t>
  </si>
  <si>
    <t>Valdir Pesseti</t>
  </si>
  <si>
    <t>Vitor Luis Preis Varaschin e Outro</t>
  </si>
  <si>
    <t>Cooperativa Agropecuaria Tradicao  Cleve</t>
  </si>
  <si>
    <t>Erides Maria Leonardi Motta</t>
  </si>
  <si>
    <t>Josmar da Silva de Andrade</t>
  </si>
  <si>
    <t>ADT-F Syngenta Protecao de Cultivos Ltda</t>
  </si>
  <si>
    <t>1.1.3.1.02.01.06.58.02</t>
  </si>
  <si>
    <t>1.1.3.1.02.04</t>
  </si>
  <si>
    <t>Inoculantes</t>
  </si>
  <si>
    <t>1.1.3.1.02.04.01</t>
  </si>
  <si>
    <t>Inoculante Soja</t>
  </si>
  <si>
    <t>1.2.3.1.02</t>
  </si>
  <si>
    <t>Participacoes Em Outras Empresas</t>
  </si>
  <si>
    <t>1.2.3.1.02.01</t>
  </si>
  <si>
    <t>INPAR Investimentos e Participações Ltda</t>
  </si>
  <si>
    <t>Antonio Giacomim</t>
  </si>
  <si>
    <t>Elvio Danieli</t>
  </si>
  <si>
    <t>Greguy Luis Tosatti</t>
  </si>
  <si>
    <t>Ilson Guerra</t>
  </si>
  <si>
    <t>Leonir Simionatto</t>
  </si>
  <si>
    <t>Marcio Kerber</t>
  </si>
  <si>
    <t>Marli Telo</t>
  </si>
  <si>
    <t>Valmir Bolssao</t>
  </si>
  <si>
    <t>Vitorio Mariano Petrikoski</t>
  </si>
  <si>
    <t>ADT-C Claudenir Galvan</t>
  </si>
  <si>
    <t>ADT-C Juarez de Oliveira da Luz</t>
  </si>
  <si>
    <t>ADT-C Junior Mendes Leal</t>
  </si>
  <si>
    <t>ADT-C Marcos Antonio Deveras</t>
  </si>
  <si>
    <t>ADT-C Noe de Souza Vieira Lopes</t>
  </si>
  <si>
    <t>ADT-C Pedro Paulo Carneiro</t>
  </si>
  <si>
    <t>ADT-C Romario Roberto Bertoglio</t>
  </si>
  <si>
    <t>ADT-C Sadi De Oliveira Da Luz</t>
  </si>
  <si>
    <t>ADT-C Valdir Pesseti</t>
  </si>
  <si>
    <t>ADT-C Zeli Oliveira da Luz</t>
  </si>
  <si>
    <t>Bimbo Funelaria e Pintura  Ltda Me</t>
  </si>
  <si>
    <t>Bransilos Industria e Comercio de Maquin</t>
  </si>
  <si>
    <t>Edmilson Luiz de Morais</t>
  </si>
  <si>
    <t>Galeazzi Auto Center Ltda</t>
  </si>
  <si>
    <t>Juliano Freider</t>
  </si>
  <si>
    <t>Lavarda &amp; Paris Ltda</t>
  </si>
  <si>
    <t>Livraria e Papelaria Matheval Ltda</t>
  </si>
  <si>
    <t>Maria de Col</t>
  </si>
  <si>
    <t>Municipio de Coronel Vivida</t>
  </si>
  <si>
    <t>Syngenta Protecao de Cultivos Ltda</t>
  </si>
  <si>
    <t>TMG Tropical Melhoramento e Genetica Ltd</t>
  </si>
  <si>
    <t>CAP-S: Adir Donatti</t>
  </si>
  <si>
    <t>CAP-S: Claudino Luiz Bosa</t>
  </si>
  <si>
    <t>CAP-S: Jaime Zago</t>
  </si>
  <si>
    <t>CAP-S: Laidir Brustolin</t>
  </si>
  <si>
    <t>CAP-S: Sandrigo Antonio Dos Santos</t>
  </si>
  <si>
    <t>3.1.1.3.01.01.01.04.79</t>
  </si>
  <si>
    <t>Despesas com Aeronautica</t>
  </si>
  <si>
    <t>3.2.1.1.01.01.11.17</t>
  </si>
  <si>
    <t>(-) Impostos incidentes sobre venda</t>
  </si>
  <si>
    <t>3.2.1.1.01.01.11.17.01</t>
  </si>
  <si>
    <t>1.1.3.1.70.01.98</t>
  </si>
  <si>
    <t>(-) Transferência Produção</t>
  </si>
  <si>
    <t>1.1.3.1.70.10.01.04</t>
  </si>
  <si>
    <t>Custo Fixo</t>
  </si>
  <si>
    <t>1.1.3.1.70.10.03.04</t>
  </si>
  <si>
    <t>1.1.3.1.70.10.04.04</t>
  </si>
  <si>
    <t>1.1.3.1.70.20.98</t>
  </si>
  <si>
    <t>1.1.1.2.02.05</t>
  </si>
  <si>
    <t>Banco do Brasil - Clevelândia Cascavel - CHEQUE</t>
  </si>
  <si>
    <t>Ademir Deola</t>
  </si>
  <si>
    <t>Ademir Zeni</t>
  </si>
  <si>
    <t>Agro Gehlen Ltda</t>
  </si>
  <si>
    <t>Aldino Barbosa</t>
  </si>
  <si>
    <t>Aline Pais Vigano Catusso</t>
  </si>
  <si>
    <t>Alini Juliana Lange Bernardi</t>
  </si>
  <si>
    <t>Altair Domingos Dal Pizzol</t>
  </si>
  <si>
    <t>Antonio Cesario Libardi</t>
  </si>
  <si>
    <t>Antonio Roque Dala Nora Facco</t>
  </si>
  <si>
    <t>Bruna Ellen Raspolt</t>
  </si>
  <si>
    <t>Carlos Luis Sufredini</t>
  </si>
  <si>
    <t>Cleomar Rodrigues da Silva</t>
  </si>
  <si>
    <t>Domingos Vivian</t>
  </si>
  <si>
    <t>Eduardo Rafael Schneider</t>
  </si>
  <si>
    <t>Elizabete Suzana Klaus Machado</t>
  </si>
  <si>
    <t>Everton Luiz Pagnoncelli</t>
  </si>
  <si>
    <t>Gilmar Foppa</t>
  </si>
  <si>
    <t>Helena Piovesan Bertoldo</t>
  </si>
  <si>
    <t>Helio Rios</t>
  </si>
  <si>
    <t>Ivair Brancher</t>
  </si>
  <si>
    <t>Juliano Roger Almeida</t>
  </si>
  <si>
    <t>Juliano Simionatto</t>
  </si>
  <si>
    <t>Julio Valdir Parizotto</t>
  </si>
  <si>
    <t>Lady Pelizza</t>
  </si>
  <si>
    <t>Laercio Lucas Slomochenski</t>
  </si>
  <si>
    <t>Leonardo Jose Link</t>
  </si>
  <si>
    <t>Luciano Demarco</t>
  </si>
  <si>
    <t>Luiz Simionatto</t>
  </si>
  <si>
    <t>Marcos Alberto Vivian</t>
  </si>
  <si>
    <t>Nelso Antonio Ghizolfi</t>
  </si>
  <si>
    <t>Nelson Antonio Ruaro</t>
  </si>
  <si>
    <t>Paulo Moras</t>
  </si>
  <si>
    <t>Pecuaria Gehlen Ltda</t>
  </si>
  <si>
    <t>Selio Haach</t>
  </si>
  <si>
    <t>Sergio Mantelli</t>
  </si>
  <si>
    <t>Valmir Goergen</t>
  </si>
  <si>
    <t>Vicente Celestino Stempkowski</t>
  </si>
  <si>
    <t>Zito Fernando Lunardi</t>
  </si>
  <si>
    <t>ADT-F Cooperativa Agricola Mista Sao Cristovao</t>
  </si>
  <si>
    <t>Bela Sementes Ind e Comercio de Sementes</t>
  </si>
  <si>
    <t>Cooperativa A1</t>
  </si>
  <si>
    <t>I Riedi e Cia Ltda</t>
  </si>
  <si>
    <t>Jangada Sementes e Fertilizantes Ltda</t>
  </si>
  <si>
    <t>Nilso Pedro Zenatti</t>
  </si>
  <si>
    <t>Plantimar Comercio e Representacoes Ltda</t>
  </si>
  <si>
    <t>1.1.2.5.01.25</t>
  </si>
  <si>
    <t>PIS não cumulativo a recuperar combustiveis</t>
  </si>
  <si>
    <t>1.1.2.5.01.27</t>
  </si>
  <si>
    <t>COFINS nao cumulativo a recuperar combustiveis</t>
  </si>
  <si>
    <t>1.1.3.1.01.01.11</t>
  </si>
  <si>
    <t>(-) Remessa para Analise</t>
  </si>
  <si>
    <t>(-) Transferencia de Producao</t>
  </si>
  <si>
    <t>1.1.3.1.02.02.02.20</t>
  </si>
  <si>
    <t>1.1.3.1.02.02.02.20.03</t>
  </si>
  <si>
    <t>1.1.3.1.02.02.04</t>
  </si>
  <si>
    <t>1.1.3.1.03.01.03.02</t>
  </si>
  <si>
    <t>Compra de Mercadorias -</t>
  </si>
  <si>
    <t>1.1.3.1.03.01.03.02.02</t>
  </si>
  <si>
    <t>(-) Transferencias Expedidas nao cooperados</t>
  </si>
  <si>
    <t>1.1.3.1.50.02.04</t>
  </si>
  <si>
    <t>1.1.4.1.03</t>
  </si>
  <si>
    <t>1.1.4.1.03.01</t>
  </si>
  <si>
    <t>1.1.4.1.03.01.15</t>
  </si>
  <si>
    <t>1.1.4.1.03.01.15.01</t>
  </si>
  <si>
    <t>Mercadoria Em Emprestimos</t>
  </si>
  <si>
    <t>(-) Edificacoes</t>
  </si>
  <si>
    <t>(-) Equipamentos de Informatica</t>
  </si>
  <si>
    <t>(-) Equipamentos de Escritorio</t>
  </si>
  <si>
    <t>(-) Moveis E Utensilios</t>
  </si>
  <si>
    <t>(-) Veiculos</t>
  </si>
  <si>
    <t>(-) Maquinas E Equip.Cta. Producao</t>
  </si>
  <si>
    <t>(-) Maquinas e Equip de Producao</t>
  </si>
  <si>
    <t>Camilo Rissardi</t>
  </si>
  <si>
    <t>Celso Schmitz</t>
  </si>
  <si>
    <t>Lirio Calza</t>
  </si>
  <si>
    <t>ADT-C Alcir Vanderlei Soares Borges</t>
  </si>
  <si>
    <t>ADT-C Antonio Cesario Libardi</t>
  </si>
  <si>
    <t>ADT-C Ceneagro Centro de Negocios Agropecuario</t>
  </si>
  <si>
    <t>ADT-C Cleomar Antonio Albara</t>
  </si>
  <si>
    <t>ADT-C Ivone Marx</t>
  </si>
  <si>
    <t>ADT-C Jose Carlos Minosso</t>
  </si>
  <si>
    <t>ADT-C Luiz Ruaro Neto</t>
  </si>
  <si>
    <t>ADT-C Renan Pezzi</t>
  </si>
  <si>
    <t>ADT-C Sergio Luiz Galvan</t>
  </si>
  <si>
    <t>ADT-C Sergio Roque Fiori</t>
  </si>
  <si>
    <t>ADT-C Valdir Lasta</t>
  </si>
  <si>
    <t>ADT-C Valmir Bolssao</t>
  </si>
  <si>
    <t>ADT-C Vilson Luiz Dall´Igna</t>
  </si>
  <si>
    <t>ADT-C Volmir Lasta</t>
  </si>
  <si>
    <t>ADT-C Waldir Facini</t>
  </si>
  <si>
    <t>Adir Frosi</t>
  </si>
  <si>
    <t>Ary Muller</t>
  </si>
  <si>
    <t>Borsoi Comercio e Transportes Ltda</t>
  </si>
  <si>
    <t>Cooperfertil Cooperativa Agricola</t>
  </si>
  <si>
    <t xml:space="preserve">Fcstone do Brasil Cons em Futuros e Com </t>
  </si>
  <si>
    <t>Fernando Balestrin Boni</t>
  </si>
  <si>
    <t>GMC Pecas e Acessorios para Veiculos Ltd</t>
  </si>
  <si>
    <t>Geneci de Abreu Simplicio</t>
  </si>
  <si>
    <t>Heraclito Petrycoski</t>
  </si>
  <si>
    <t>Limagrain Brasil S/A</t>
  </si>
  <si>
    <t>Luiz Carlos de Lima</t>
  </si>
  <si>
    <t>Murilo da Luz Dolato</t>
  </si>
  <si>
    <t>Neuza de Almeida Scariot</t>
  </si>
  <si>
    <t>Piva Distribuidora de Gas Ltda Me</t>
  </si>
  <si>
    <t>Roberto Carlos Rigon</t>
  </si>
  <si>
    <t>ADT-C Boligon &amp; Boligon Ltda</t>
  </si>
  <si>
    <t>ADT-C Claudimir Luiz Tretto</t>
  </si>
  <si>
    <t>ADT-C Eliane Fatima Antoniolli de Araujo</t>
  </si>
  <si>
    <t>CAP-S: Ademir Vitali</t>
  </si>
  <si>
    <t>CAP-S: Adilson Rissardi</t>
  </si>
  <si>
    <t>CAP-S: Bruna Ellen Raspolt</t>
  </si>
  <si>
    <t>CAP-S: Cleomar Antonio Albara</t>
  </si>
  <si>
    <t>CAP-S: Cleomar Rodrigues da Silva</t>
  </si>
  <si>
    <t>CAP-S: Elizabete Suzana Klaus Machado</t>
  </si>
  <si>
    <t>CAP-S: Elmir Bevilaqua</t>
  </si>
  <si>
    <t>CAP-S: Irineu Gustmann</t>
  </si>
  <si>
    <t>CAP-S: Ivone Marx</t>
  </si>
  <si>
    <t>CAP-S: Jean Felipe Deveras</t>
  </si>
  <si>
    <t>CAP-S: Jonatas Vieira Cardozo Froner</t>
  </si>
  <si>
    <t>CAP-S: Josmar da Silva de Andrade</t>
  </si>
  <si>
    <t>CAP-S: Juliana Peter dos Santos</t>
  </si>
  <si>
    <t>CAP-S: Juliano Roger Almeida</t>
  </si>
  <si>
    <t>CAP-S: Luciano Demarco</t>
  </si>
  <si>
    <t>CAP-S: Luiz Ruaro Neto</t>
  </si>
  <si>
    <t>CAP-S: Madalena Lazarin</t>
  </si>
  <si>
    <t>CAP-S: Mateus Petry</t>
  </si>
  <si>
    <t>CAP-S: Moacir Luis Rigo</t>
  </si>
  <si>
    <t>CAP-S: Neusa Britto</t>
  </si>
  <si>
    <t>CAP-S: Osvaldo Ampessan Rissardi</t>
  </si>
  <si>
    <t>CAP-S: Raul Jacob Carpenedo</t>
  </si>
  <si>
    <t>CAP-S: Sonia Lopes Panozzo</t>
  </si>
  <si>
    <t>CAP-S: Vicente Vitor Lazarin</t>
  </si>
  <si>
    <t>CAP-S: Vilma Granetto Dalmolin</t>
  </si>
  <si>
    <t>3.1.1.1.02.02.02.09</t>
  </si>
  <si>
    <t>3.1.1.1.02.02.02.09.01</t>
  </si>
  <si>
    <t>3.2.1.1.50.01.01.17</t>
  </si>
  <si>
    <t>(-) Impostos Incidentes Sobre venda</t>
  </si>
  <si>
    <t>3.2.1.1.50.01.01.17.01</t>
  </si>
  <si>
    <t>3.2.1.1.50.02.01.01</t>
  </si>
  <si>
    <t>3.2.1.1.50.02.01.01.01</t>
  </si>
  <si>
    <t>1.1.1.2.02.10</t>
  </si>
  <si>
    <t>Banco do Brasil - Vitorino - CHEQUE</t>
  </si>
  <si>
    <t>Adair Borba Bonfim</t>
  </si>
  <si>
    <t>Adao Kanigoski</t>
  </si>
  <si>
    <t>Adenir Simplicio</t>
  </si>
  <si>
    <t>Adilson Rissardi</t>
  </si>
  <si>
    <t>Alceu Pedro Ritter</t>
  </si>
  <si>
    <t>Alci Domingos Cozer</t>
  </si>
  <si>
    <t>Alivair Valerio Jordani</t>
  </si>
  <si>
    <t>Antonio Albertinho de Castro</t>
  </si>
  <si>
    <t>Antonio Stamproski</t>
  </si>
  <si>
    <t>Ary Simionato</t>
  </si>
  <si>
    <t>Carlos Antonio Valentini</t>
  </si>
  <si>
    <t>Carlos Jose Brugnera</t>
  </si>
  <si>
    <t>Carlos Jose Deliberalli</t>
  </si>
  <si>
    <t>Clessi Polazzo Borsatti</t>
  </si>
  <si>
    <t>Dalberto Luiz Bernardi</t>
  </si>
  <si>
    <t>Deonir Spigosso</t>
  </si>
  <si>
    <t>Edegar Bertoldo</t>
  </si>
  <si>
    <t>Eneias Antunes Duarte</t>
  </si>
  <si>
    <t>Gelmir Cecchet</t>
  </si>
  <si>
    <t>Geronilde Gustmann</t>
  </si>
  <si>
    <t>Gian Paulo Deitos</t>
  </si>
  <si>
    <t>Hetyel Attan Dolci</t>
  </si>
  <si>
    <t>Ivania Brocco Boldrini</t>
  </si>
  <si>
    <t>Jadir Antonio Hermann</t>
  </si>
  <si>
    <t>Jean Felipe Deveras</t>
  </si>
  <si>
    <t>Joao Rogelio Goffi</t>
  </si>
  <si>
    <t>Jocimar Antonio Caldatto</t>
  </si>
  <si>
    <t>Jose Balduino Soares</t>
  </si>
  <si>
    <t>Jose Borelli Antunes Junior</t>
  </si>
  <si>
    <t>Jose Rafael Barbosa</t>
  </si>
  <si>
    <t>Juliano Antonio de Faveri</t>
  </si>
  <si>
    <t>Laires Bodanese</t>
  </si>
  <si>
    <t>Leandro Damo</t>
  </si>
  <si>
    <t>Leonardo Lorenzetti Stadnik</t>
  </si>
  <si>
    <t>Luiz Ruaro Neto</t>
  </si>
  <si>
    <t>Mariane Zilli</t>
  </si>
  <si>
    <t>Natalino Tomalach Ferreira</t>
  </si>
  <si>
    <t>Nely Giordani</t>
  </si>
  <si>
    <t>Paulo Kovali</t>
  </si>
  <si>
    <t>Pedro Anselmo Metzen</t>
  </si>
  <si>
    <t>Percy Zardo</t>
  </si>
  <si>
    <t>Ricardo Nachi Pimentel</t>
  </si>
  <si>
    <t>Setembrino Antonietti</t>
  </si>
  <si>
    <t>Sidinei Carloh</t>
  </si>
  <si>
    <t>Terezinha Zanella Boff</t>
  </si>
  <si>
    <t>Valmir Francisco Furni Martins</t>
  </si>
  <si>
    <t>Vanderlei Luis Gaz</t>
  </si>
  <si>
    <t>Wilson de Borba</t>
  </si>
  <si>
    <t>Adriano Bosa</t>
  </si>
  <si>
    <t>Agrifil Agronegocios Ltda Me</t>
  </si>
  <si>
    <t>Agrojupi Comercio e Transportes Ltda</t>
  </si>
  <si>
    <t>Agromitos Agropecuaria Ltda</t>
  </si>
  <si>
    <t>Alivino Debortoli</t>
  </si>
  <si>
    <t>Allan Dyego Gobbi Moura</t>
  </si>
  <si>
    <t>Buffet Premier</t>
  </si>
  <si>
    <t>Claudimir Luiz Tretto</t>
  </si>
  <si>
    <t>Claudinei Colla</t>
  </si>
  <si>
    <t>Cleodovir Paulek dos Santos</t>
  </si>
  <si>
    <t>Daniel Carloh</t>
  </si>
  <si>
    <t>Hitacyr Ficanha</t>
  </si>
  <si>
    <t>Ilço Jose dos Santos</t>
  </si>
  <si>
    <t>Joao Carlos Zankoski</t>
  </si>
  <si>
    <t>Jorge Rosa</t>
  </si>
  <si>
    <t>Luiz Henrique de Lima</t>
  </si>
  <si>
    <t>Maria Seloir Souza Machado Da Rosa</t>
  </si>
  <si>
    <t>Neivo Francisco Caldatto</t>
  </si>
  <si>
    <t>Peron Ferrari S A</t>
  </si>
  <si>
    <t>Ponto Rural Com e Rep de Insumos Agricol</t>
  </si>
  <si>
    <t>Sebastião Ricardo Silvestre</t>
  </si>
  <si>
    <t>Sementes Sojamil Ltda</t>
  </si>
  <si>
    <t>Valcir Pedro Boelter</t>
  </si>
  <si>
    <t>Waldir Miglioranza</t>
  </si>
  <si>
    <t>1.1.2.5.01.26</t>
  </si>
  <si>
    <t>PIS nao cumulativo a recuperar manutenção</t>
  </si>
  <si>
    <t>1.1.2.5.01.28</t>
  </si>
  <si>
    <t>COFINS nao cumulativo a recuperar manutencao</t>
  </si>
  <si>
    <t>1.1.3.1.02.02.07.02</t>
  </si>
  <si>
    <t>1.1.3.1.02.02.07.02.02</t>
  </si>
  <si>
    <t>1.1.3.1.02.04.01.50</t>
  </si>
  <si>
    <t>1.1.3.1.02.04.01.50.01</t>
  </si>
  <si>
    <t>1.5.1.1.02.02</t>
  </si>
  <si>
    <t>1.5.1.1.02.02.01</t>
  </si>
  <si>
    <t>1.5.1.1.02.02.01.01</t>
  </si>
  <si>
    <t>Remessa para industrialização</t>
  </si>
  <si>
    <t>1.5.1.3.04</t>
  </si>
  <si>
    <t>Emp.Imobilizado - Maquinas</t>
  </si>
  <si>
    <t>Arceli Jose Regner</t>
  </si>
  <si>
    <t>Gideoni dos Santos Pereira</t>
  </si>
  <si>
    <t>Joao Schiochet</t>
  </si>
  <si>
    <t>Luiz Marini</t>
  </si>
  <si>
    <t>Marcos Giovani Celso</t>
  </si>
  <si>
    <t>ADT-C Aldemir Antonio Rigo</t>
  </si>
  <si>
    <t>ADT-C Clenio Alberto Finco</t>
  </si>
  <si>
    <t>ADT-C Everaldo Bocchi</t>
  </si>
  <si>
    <t>ADT-C Gideoni dos Santos Pereira</t>
  </si>
  <si>
    <t>ADT-C Gloria Panisson Olivo</t>
  </si>
  <si>
    <t>ADT-C Jair Irto Lora</t>
  </si>
  <si>
    <t>ADT-C Joao Batista Martiol de Souza</t>
  </si>
  <si>
    <t>ADT-C Mateus Pedro Schwingel</t>
  </si>
  <si>
    <t>ADT-C Neusa Britto</t>
  </si>
  <si>
    <t>ADT-C Nicolau Prochera</t>
  </si>
  <si>
    <t>ADT-C Nilson Pedro Schwingel</t>
  </si>
  <si>
    <t>ADT-C Pecuaria Gehlen Ltda</t>
  </si>
  <si>
    <t>ADT-C Roberto Luiz Tosatti</t>
  </si>
  <si>
    <t>ADT-C Vicente Batista Pagno</t>
  </si>
  <si>
    <t>Altevir Consorte Me</t>
  </si>
  <si>
    <t>Antonio Vilmar Boesing</t>
  </si>
  <si>
    <t>Casa dos Radiadores Sabbi Ltda Me</t>
  </si>
  <si>
    <t>Ccest Centro Cons  Eng Seg de Trabalho L</t>
  </si>
  <si>
    <t>Dulcemar Farias Me</t>
  </si>
  <si>
    <t>Joao Ernesto Hoppen</t>
  </si>
  <si>
    <t>M Guarez Equipamentos Telefonicos Ltda</t>
  </si>
  <si>
    <t>Prefeitura Municipal de Clevelandia</t>
  </si>
  <si>
    <t>Restaurante e Lanchonete Della Vida Ltda</t>
  </si>
  <si>
    <t>ADT-C Agricola M K Ltda</t>
  </si>
  <si>
    <t>ADT-C Turim Insumos e Cereais  Ltda</t>
  </si>
  <si>
    <t>ADT-C Valcir Malacarne</t>
  </si>
  <si>
    <t>CAP-S: Antonio Albertinho de Castro</t>
  </si>
  <si>
    <t>CAP-S: Benjamim Stasiak</t>
  </si>
  <si>
    <t>CAP-S: Nadia Hupalo</t>
  </si>
  <si>
    <t>CAP-S: Ricardo Nachi Pimentel</t>
  </si>
  <si>
    <t>CAP-S: Rodrigo Munaretto</t>
  </si>
  <si>
    <t>2.5.1.1.02.02</t>
  </si>
  <si>
    <t>2.5.1.1.02.02.01</t>
  </si>
  <si>
    <t>2.5.1.1.02.02.01.02</t>
  </si>
  <si>
    <t>2.5.1.3.04</t>
  </si>
  <si>
    <t>3.1.1.1.02.04</t>
  </si>
  <si>
    <t>3.1.1.1.02.04.01</t>
  </si>
  <si>
    <t>3.1.1.1.02.04.01.01</t>
  </si>
  <si>
    <t>3.1.1.1.02.04.01.01.01</t>
  </si>
  <si>
    <t>3.1.1.1.02.04.01.20</t>
  </si>
  <si>
    <t>3.1.1.1.02.04.01.20.01</t>
  </si>
  <si>
    <t>Participação no Resultado - 2%</t>
  </si>
  <si>
    <t>1.1.2.5.01.24</t>
  </si>
  <si>
    <t>FUNRURAL a restituir</t>
  </si>
  <si>
    <t>1.1.3.1.02.01.03.70.01</t>
  </si>
  <si>
    <t>1.1.1.2.01.30</t>
  </si>
  <si>
    <t>Banco ABC</t>
  </si>
  <si>
    <t>Adair Pedro Regner</t>
  </si>
  <si>
    <t>Alex Alves Fardo</t>
  </si>
  <si>
    <t>Ana Paula Petrikoski</t>
  </si>
  <si>
    <t>Antoninho Luiz Ziliotto</t>
  </si>
  <si>
    <t>Benjamim Stasiak</t>
  </si>
  <si>
    <t>Cleomar Antonio Albara</t>
  </si>
  <si>
    <t>Derly Dalmolin</t>
  </si>
  <si>
    <t>Edilson Jose Grassi</t>
  </si>
  <si>
    <t>Eliton Marques de Oliveira</t>
  </si>
  <si>
    <t>Elivelton Orlando Geremia</t>
  </si>
  <si>
    <t>Elmir Bevilaqua</t>
  </si>
  <si>
    <t>Ivone Prechlak Felipe</t>
  </si>
  <si>
    <t>Jair Gonçalves de Almeida</t>
  </si>
  <si>
    <t>Jocemar Turra</t>
  </si>
  <si>
    <t>Liano Souza Melo</t>
  </si>
  <si>
    <t>Luiz Fernando Gnoatto Cividini</t>
  </si>
  <si>
    <t>Maicon Junior Souza de Mello</t>
  </si>
  <si>
    <t>Maria Helena Ce Dall Acqua</t>
  </si>
  <si>
    <t>Marilia Dangui Rocha Hasegawa</t>
  </si>
  <si>
    <t>Maris Adriana Covatti</t>
  </si>
  <si>
    <t>Odair Sergio Didomenico</t>
  </si>
  <si>
    <t>Odilmar de Oliveira Vieira</t>
  </si>
  <si>
    <t>Orelio Furlan</t>
  </si>
  <si>
    <t>Raul Jacob Carpenedo</t>
  </si>
  <si>
    <t>Rodrigo de Lima Brochi</t>
  </si>
  <si>
    <t>Ronei Horst</t>
  </si>
  <si>
    <t>Sebastiao Mascaranha de Oliveira</t>
  </si>
  <si>
    <t>Sergio Vitali</t>
  </si>
  <si>
    <t>Valmir Mangoni</t>
  </si>
  <si>
    <t>Wilson Almeida Olivo</t>
  </si>
  <si>
    <t>Agropecuaria Semente Dourada Ltda</t>
  </si>
  <si>
    <t>Aldair Seibel</t>
  </si>
  <si>
    <t>Artemio Reginatto</t>
  </si>
  <si>
    <t>Cargill Agricola S A</t>
  </si>
  <si>
    <t>Everton Luiz de Oliveira</t>
  </si>
  <si>
    <t>Ivanio Colet</t>
  </si>
  <si>
    <t>Luiz Carlos Jaboinski</t>
  </si>
  <si>
    <t>Marciano Marin</t>
  </si>
  <si>
    <t>Marcos Clock</t>
  </si>
  <si>
    <t>Martinho Dal Ben</t>
  </si>
  <si>
    <t>Rosemblar Serafini</t>
  </si>
  <si>
    <t>1.1.3.1.01.02.03</t>
  </si>
  <si>
    <t>Trigo DPS</t>
  </si>
  <si>
    <t>1.1.3.1.01.02.03.56</t>
  </si>
  <si>
    <t>1.1.3.1.01.02.03.56.02</t>
  </si>
  <si>
    <t>1.1.3.1.02.04.01.08</t>
  </si>
  <si>
    <t>1.1.3.1.02.04.01.08.02</t>
  </si>
  <si>
    <t>1.1.3.1.02.04.01.56</t>
  </si>
  <si>
    <t>1.1.3.1.02.04.01.56.02</t>
  </si>
  <si>
    <t>Aveia</t>
  </si>
  <si>
    <t>1.5.1.1.02.03</t>
  </si>
  <si>
    <t>1.5.1.1.02.03.10</t>
  </si>
  <si>
    <t>1.5.1.1.02.03.10.03</t>
  </si>
  <si>
    <t>Remessa Para Deposito</t>
  </si>
  <si>
    <t>1.5.1.2</t>
  </si>
  <si>
    <t>Estoque de Terceiros</t>
  </si>
  <si>
    <t>1.5.1.2.03</t>
  </si>
  <si>
    <t>1.5.1.2.03.01</t>
  </si>
  <si>
    <t>1.5.1.2.03.01.11</t>
  </si>
  <si>
    <t>1.5.1.2.03.01.11.01</t>
  </si>
  <si>
    <t>Remessa Industrializacao por Encomenda</t>
  </si>
  <si>
    <t>Flavio Cesar Ascari</t>
  </si>
  <si>
    <t>ADT-C Aldino Barbosa</t>
  </si>
  <si>
    <t>ADT-C Alfredo Mumbelli</t>
  </si>
  <si>
    <t>ADT-C Celso Schmitz</t>
  </si>
  <si>
    <t>ADT-C Eni Jose Mantelli</t>
  </si>
  <si>
    <t>ADT-C Jean Felipe Deveras</t>
  </si>
  <si>
    <t>ADT-C Josmar da Silva de Andrade</t>
  </si>
  <si>
    <t>ADT-C Jussemara Matiollo</t>
  </si>
  <si>
    <t>ADT-C Leonir Simionatto</t>
  </si>
  <si>
    <t>ADT-C Marcos Luiz Schwingel</t>
  </si>
  <si>
    <t>ADT-C Mateus da Silva de Andrade</t>
  </si>
  <si>
    <t>ADT-C Zeno Bosi</t>
  </si>
  <si>
    <t>Apasem Assoc Paranaense dos Prod Sem e M</t>
  </si>
  <si>
    <t>E L Peron Restaurante ME</t>
  </si>
  <si>
    <t>Josue C Gonzaga &amp; Cia Ltda</t>
  </si>
  <si>
    <t>Lucas Augusto Biedacha Berdet</t>
  </si>
  <si>
    <t>Mim Macatuba Insumos Modernos Ltda</t>
  </si>
  <si>
    <t>Osvaldo Oliveira 33825270904</t>
  </si>
  <si>
    <t>Papelaria Baixada Ltda</t>
  </si>
  <si>
    <t>Prefeitura Municipal de Agua Doce</t>
  </si>
  <si>
    <t>Vieira &amp; Pedott Com de Ferragens Ltda Me</t>
  </si>
  <si>
    <t>ADT-C Rosemblar Serafini</t>
  </si>
  <si>
    <t>CAP-S: Abel Ficanha</t>
  </si>
  <si>
    <t>CAP-S: Adir Frosi</t>
  </si>
  <si>
    <t>CAP-S: Alex Alves Fardo</t>
  </si>
  <si>
    <t>CAP-S: Allan Dyego Gobbi Moura</t>
  </si>
  <si>
    <t>CAP-S: Carlos Alberto Galette</t>
  </si>
  <si>
    <t>CAP-S: Eliton Marques de Oliveira</t>
  </si>
  <si>
    <t>CAP-S: Gustavo Dalla Costa</t>
  </si>
  <si>
    <t>CAP-S: Jandir Deliberal</t>
  </si>
  <si>
    <t>CAP-S: Leomar Zanella Ferreira</t>
  </si>
  <si>
    <t>CAP-S: Luiz Carlos de Lima</t>
  </si>
  <si>
    <t>CAP-S: Luiz Fernando Gnoatto Cividini</t>
  </si>
  <si>
    <t>CAP-S: Luiz Henrique de Lima</t>
  </si>
  <si>
    <t>CAP-S: Sidney Zatera</t>
  </si>
  <si>
    <t>CAP-S: Terezinha da Silva</t>
  </si>
  <si>
    <t>CAP-S: Vanir Jose Sgarbossa</t>
  </si>
  <si>
    <t>CAP-S: Vilson Steffler</t>
  </si>
  <si>
    <t>2.5.1.1.02.03</t>
  </si>
  <si>
    <t>2.5.1.1.02.03.10</t>
  </si>
  <si>
    <t>2.5.1.1.02.03.10.03</t>
  </si>
  <si>
    <t>2.5.1.2</t>
  </si>
  <si>
    <t>2.5.1.2.03</t>
  </si>
  <si>
    <t>2.5.1.2.03.01</t>
  </si>
  <si>
    <t>2.5.1.2.03.01.11</t>
  </si>
  <si>
    <t>2.5.1.2.03.01.11.01</t>
  </si>
  <si>
    <t>Remessa Industrializacao Por Encomenda</t>
  </si>
  <si>
    <t>3.2.1.1.02.02.01.17</t>
  </si>
  <si>
    <t>3.2.1.1.02.02.01.17.01</t>
  </si>
  <si>
    <t>Ademar Pagnoncelli</t>
  </si>
  <si>
    <t>Alcenir Pedro Tamagno</t>
  </si>
  <si>
    <t>Alcides De Franceschi Leonardi</t>
  </si>
  <si>
    <t>Carlos Alberto Galette</t>
  </si>
  <si>
    <t>Celso Giacomini Fantin</t>
  </si>
  <si>
    <t>Cezar Pelentier</t>
  </si>
  <si>
    <t>Claudecir Parmigani</t>
  </si>
  <si>
    <t>Cledimar Antonio Giacomini</t>
  </si>
  <si>
    <t>Cleverson Mattei</t>
  </si>
  <si>
    <t>Companhia Nacional de Abastecimento CONA</t>
  </si>
  <si>
    <t>Cooperativa Agropecuaria Campoerense</t>
  </si>
  <si>
    <t>Daniel Zolett</t>
  </si>
  <si>
    <t>Dinarte Jose Spigosso</t>
  </si>
  <si>
    <t>Edelvan Ary Polese</t>
  </si>
  <si>
    <t>Fabiano Mezomo</t>
  </si>
  <si>
    <t>Fabio Mattei</t>
  </si>
  <si>
    <t>Giseli Tesser</t>
  </si>
  <si>
    <t>Guilherme Bortoli Griss</t>
  </si>
  <si>
    <t>Karli Grabin</t>
  </si>
  <si>
    <t>Marcos Aurelio Franchin</t>
  </si>
  <si>
    <t>Milton Edimar Zanatta</t>
  </si>
  <si>
    <t>Noe de Souza Vieira Lopes</t>
  </si>
  <si>
    <t>Olir Bonetti</t>
  </si>
  <si>
    <t>Pedro Almeida Machado</t>
  </si>
  <si>
    <t>Sidnei Cora</t>
  </si>
  <si>
    <t>Silvano Cesar Faccin</t>
  </si>
  <si>
    <t>Vilson Steffler</t>
  </si>
  <si>
    <t>Claudino Luiz Graff</t>
  </si>
  <si>
    <t>Eloana Carla Guzzo Andreis</t>
  </si>
  <si>
    <t>Emerson Antonio Caldato</t>
  </si>
  <si>
    <t>Jamil Mohamad Awada</t>
  </si>
  <si>
    <t>Valdemar Pedro Martarello</t>
  </si>
  <si>
    <t>Cevada</t>
  </si>
  <si>
    <t>1.1.3.1.02.01.07.50.01</t>
  </si>
  <si>
    <t>1.1.4.1.01.01.03.05</t>
  </si>
  <si>
    <t>Mercadoria em deposito DPS</t>
  </si>
  <si>
    <t>1.1.4.1.02.01</t>
  </si>
  <si>
    <t>1.1.4.1.02.01.01</t>
  </si>
  <si>
    <t>1.1.4.1.02.01.01.01</t>
  </si>
  <si>
    <t>Mercadorias Em Consignacao</t>
  </si>
  <si>
    <t>1.1.4.1.02.01.03</t>
  </si>
  <si>
    <t>1.1.4.1.02.01.03.01</t>
  </si>
  <si>
    <t>1.1.4.1.02.03</t>
  </si>
  <si>
    <t>1.1.4.1.02.03.10</t>
  </si>
  <si>
    <t>1.1.4.1.02.03.10.01</t>
  </si>
  <si>
    <t>1.5.1.1.02.01.01</t>
  </si>
  <si>
    <t>1.5.1.1.02.01.01.04</t>
  </si>
  <si>
    <t>Osvaldo Moreira de Oliveira</t>
  </si>
  <si>
    <t>ADT-C Alairto de Sordi e Outros</t>
  </si>
  <si>
    <t>ADT-C Clarindo Jose Storti e Outro</t>
  </si>
  <si>
    <t>ADT-C Cleomar Ciquelero</t>
  </si>
  <si>
    <t>ADT-C Genezio Boldori e Outro</t>
  </si>
  <si>
    <t>ADT-C Joao Luiz Giertyas</t>
  </si>
  <si>
    <t>ADT-C Jorge Luiz Piccinin</t>
  </si>
  <si>
    <t>ADT-C Leomar Paulo Lazarin</t>
  </si>
  <si>
    <t>ADT-C Marcio Andre Merlo</t>
  </si>
  <si>
    <t>ADT-C Miguel Angelo Rancatti</t>
  </si>
  <si>
    <t>ADT-C Regina Maria Mezzomo</t>
  </si>
  <si>
    <t>2.1.2.1.22</t>
  </si>
  <si>
    <t>2.1.2.1.22.20</t>
  </si>
  <si>
    <t>Adiantamentos Recebidos de Clientes</t>
  </si>
  <si>
    <t>Bianchi e Filhos Ltda</t>
  </si>
  <si>
    <t>Comercio de Combustiveis Pastorelo S A</t>
  </si>
  <si>
    <t>Comercio de Embalagens Rita Ltda</t>
  </si>
  <si>
    <t>Confianca Materiais de Construcao Ltda M</t>
  </si>
  <si>
    <t>Cooperativa Agropecuaria Tradicao  Matri</t>
  </si>
  <si>
    <t>Expresso Princesa dos Campos S A</t>
  </si>
  <si>
    <t>J Pedron - ME</t>
  </si>
  <si>
    <t xml:space="preserve">J Prolab Ind e Com de Produtos para Lab </t>
  </si>
  <si>
    <t>PST Eletronica Ltda</t>
  </si>
  <si>
    <t>Prefeitura Municipal de Renascenca</t>
  </si>
  <si>
    <t>Tiago Andre Sartor</t>
  </si>
  <si>
    <t>Wurth do Brasil Pecas de Fixacao Ltda</t>
  </si>
  <si>
    <t>ADT-C Artemio Reginatto</t>
  </si>
  <si>
    <t>ADT-C Dirso Antonio Veronese</t>
  </si>
  <si>
    <t>ADT-C Ernani Ruaro</t>
  </si>
  <si>
    <t>2.1.8.1.01</t>
  </si>
  <si>
    <t>Produtos Em Consignacao</t>
  </si>
  <si>
    <t>2.1.8.1.05</t>
  </si>
  <si>
    <t>Produtos em Deposito DPS</t>
  </si>
  <si>
    <t>CAP-S: Anisia Stadnik Zummach</t>
  </si>
  <si>
    <t>CAP-S: Cezamar Farina</t>
  </si>
  <si>
    <t>CAP-S: Douglas Zandona</t>
  </si>
  <si>
    <t>CAP-S: Everton Luiz de Oliveira</t>
  </si>
  <si>
    <t>CAP-S: Gilberto Durigon</t>
  </si>
  <si>
    <t>CAP-S: Nilso Pedro Zenatti</t>
  </si>
  <si>
    <t>CAP-S: Paulo Serpa</t>
  </si>
  <si>
    <t>CAP-S: Ronaldo Alberto Geremia</t>
  </si>
  <si>
    <t>CAP-S: Rosilda Elena Prebianca</t>
  </si>
  <si>
    <t>CAP-S: Vilso Bach</t>
  </si>
  <si>
    <t>2.5.1.1.02.01.01</t>
  </si>
  <si>
    <t>2.5.1.1.02.01.01.04</t>
  </si>
  <si>
    <t>3.1.1.1.02.01.07</t>
  </si>
  <si>
    <t>Uso Doméstico</t>
  </si>
  <si>
    <t>3.1.1.1.02.01.07.01</t>
  </si>
  <si>
    <t>3.1.1.1.02.01.07.01.01</t>
  </si>
  <si>
    <t>3.1.1.1.02.01.07.20</t>
  </si>
  <si>
    <t>3.1.1.1.02.01.07.20.01</t>
  </si>
  <si>
    <t>3.1.1.1.02.02.04.15</t>
  </si>
  <si>
    <t>3.1.1.1.02.02.04.15.01</t>
  </si>
  <si>
    <t>Relatorio Viagem Vendas</t>
  </si>
  <si>
    <t>Recolhimento Embalagens e Residuos</t>
  </si>
  <si>
    <t>3.2.1.1.01.01.11.01</t>
  </si>
  <si>
    <t>3.2.1.1.01.01.11.01.01</t>
  </si>
  <si>
    <t>ADT-C Du Pont do Brasil S A</t>
  </si>
  <si>
    <t>Adegir Lefchak</t>
  </si>
  <si>
    <t>Adenilson Sandro Battistella</t>
  </si>
  <si>
    <t>Alceno Schaeffer</t>
  </si>
  <si>
    <t>Clovis Varaschin</t>
  </si>
  <si>
    <t>Dirceu Jose Rufatto</t>
  </si>
  <si>
    <t>Evandro Gomes</t>
  </si>
  <si>
    <t>Ilzo Dalla Costa</t>
  </si>
  <si>
    <t>Jelson de Moraes</t>
  </si>
  <si>
    <t>Joel Olivo</t>
  </si>
  <si>
    <t>Luciana Aparecida Tretto da Silva</t>
  </si>
  <si>
    <t>Renan Rossatto</t>
  </si>
  <si>
    <t>Roberto Reisdoerfer</t>
  </si>
  <si>
    <t>Rogelio Luiz Stefanello</t>
  </si>
  <si>
    <t>Waldir Bessegatto</t>
  </si>
  <si>
    <t>Walter Alceu Guzzo</t>
  </si>
  <si>
    <t>Agropecuaria e Cerealista Martendal Ltda</t>
  </si>
  <si>
    <t>Alberto Vinicio Badia</t>
  </si>
  <si>
    <t>Andre Folador</t>
  </si>
  <si>
    <t>Edson Luiz Gregolin</t>
  </si>
  <si>
    <t>Fernando Renato Cella</t>
  </si>
  <si>
    <t>Leonir Rampanelli</t>
  </si>
  <si>
    <t>Liverpool Com e Repr de Ins Agricolas Lt</t>
  </si>
  <si>
    <t>Maico Saremba</t>
  </si>
  <si>
    <t>Seara Alimentos Ltda</t>
  </si>
  <si>
    <t>Soll  Servicos Obras e Logistica Ltda</t>
  </si>
  <si>
    <t>Valdecir Barbieri</t>
  </si>
  <si>
    <t>Valmir Bonavigo</t>
  </si>
  <si>
    <t>1.1.4.1.02.01.02</t>
  </si>
  <si>
    <t>1.1.4.1.02.01.02.01</t>
  </si>
  <si>
    <t>Alcemar Joao Cadorin</t>
  </si>
  <si>
    <t>Itacir Antonio Bugoni</t>
  </si>
  <si>
    <t>Liandro Hansel</t>
  </si>
  <si>
    <t>Marcos Luiz Venson</t>
  </si>
  <si>
    <t>Paulo Serpa</t>
  </si>
  <si>
    <t>Sergio Onesco</t>
  </si>
  <si>
    <t>Vitor Julio Piccinin e Outro</t>
  </si>
  <si>
    <t>Zilmar Luiz Borsatti</t>
  </si>
  <si>
    <t>ADT-C Adagir Acker</t>
  </si>
  <si>
    <t>ADT-C Ademir Bedin</t>
  </si>
  <si>
    <t>ADT-C Agricola Ghava Ltda EPP</t>
  </si>
  <si>
    <t>ADT-C Altair Lamfredi</t>
  </si>
  <si>
    <t>ADT-C Darci Dalla Costa</t>
  </si>
  <si>
    <t>ADT-C Dieison Jose Link</t>
  </si>
  <si>
    <t>ADT-C Gilberto Fabricio</t>
  </si>
  <si>
    <t>ADT-C Ivania Brocco Boldrini</t>
  </si>
  <si>
    <t>ADT-C Jocelito Mario Bresolin</t>
  </si>
  <si>
    <t>ADT-C Luiz Henrique Crestani</t>
  </si>
  <si>
    <t>ADT-C Valdecir Donizeti Borsatti</t>
  </si>
  <si>
    <t>Eurides Vendrusculo &amp; Cia Ltda</t>
  </si>
  <si>
    <t>Extincel Extintores e Equip de Seguranca</t>
  </si>
  <si>
    <t>F Zancanaro Terraplenagem Ltda</t>
  </si>
  <si>
    <t>Grafica e Editora Kaygangue Ltda</t>
  </si>
  <si>
    <t>Lavoura Industria Comercio Oeste S A</t>
  </si>
  <si>
    <t>Niedermaier e Dahmer Ltda</t>
  </si>
  <si>
    <t>Nilson Dums de Lima - Serviços - ME</t>
  </si>
  <si>
    <t>Rede Dom Pedro de Postos Ltda</t>
  </si>
  <si>
    <t>VVL Victory Veiculos Ltda</t>
  </si>
  <si>
    <t>Valdecir Moreira da Silva</t>
  </si>
  <si>
    <t>ADT-C Aurelio Setembrino Franchin</t>
  </si>
  <si>
    <t>CAP-S: Adenilson Sandro Battistella</t>
  </si>
  <si>
    <t>CAP-S: Aldair Seibel</t>
  </si>
  <si>
    <t>CAP-S: Artemio Reginatto</t>
  </si>
  <si>
    <t>CAP-S: Caluba Producao e Comercio de Sementes Ltd</t>
  </si>
  <si>
    <t>CAP-S: Dirceu Jose Rufatto</t>
  </si>
  <si>
    <t>CAP-S: Jose Ivo Muchalak Junior</t>
  </si>
  <si>
    <t>CAP-S: Maria Seloir Souza Machado Da Rosa</t>
  </si>
  <si>
    <t>CAP-S: Moacir Jose Brustolin</t>
  </si>
  <si>
    <t>CAP-S: Valcir Pedro Boelter</t>
  </si>
  <si>
    <t>Ativador de Plantas</t>
  </si>
  <si>
    <t>3.2.1.2.01.01.01.05.01</t>
  </si>
  <si>
    <t>3.2.1.2.01.01.01.05.02</t>
  </si>
  <si>
    <t>Comercio de Combustíveis Bom Retiro Ltda</t>
  </si>
  <si>
    <t>Inquima Ltda</t>
  </si>
  <si>
    <t>Luiz Carlos Pauletti</t>
  </si>
  <si>
    <t>Bunge Alimentos S A</t>
  </si>
  <si>
    <t>Vibra Agroindustrial S A</t>
  </si>
  <si>
    <t>(+) Reversão de reservas com RATES</t>
  </si>
  <si>
    <t>SEMENTE DE SORGO</t>
  </si>
  <si>
    <t>SEMENTE DE CEVADA</t>
  </si>
  <si>
    <t>INOCULANTES</t>
  </si>
  <si>
    <t>SEMENTE DE TRITICALE</t>
  </si>
  <si>
    <t>RESÍDUO</t>
  </si>
  <si>
    <t>USO DOMESTICO</t>
  </si>
  <si>
    <t>ATIVADOR DE PLANTAS</t>
  </si>
  <si>
    <t>Ato Cooperado/Terceiros</t>
  </si>
  <si>
    <t>DISCOS, ANEIS E ROSETAS</t>
  </si>
  <si>
    <t>PEÇAS E ACESSÓRIOS</t>
  </si>
  <si>
    <t>SERVIÇOS TÉCNICOS</t>
  </si>
  <si>
    <t>ARMAZENAGEM / RECEBIMENTO</t>
  </si>
  <si>
    <t>SERVIÇO DE TRATAMENTO DE SEMENTE</t>
  </si>
  <si>
    <t>Não houveram atos com terceiros</t>
  </si>
  <si>
    <t>Não houveram operações com terceiros</t>
  </si>
  <si>
    <t>MÁQUINAS TRATAMENTO SEMENTE</t>
  </si>
  <si>
    <t>PRODUTO TRATAMENTO DE SEMENTES</t>
  </si>
  <si>
    <t>EMBALAGENS</t>
  </si>
  <si>
    <t>PROJETOS TÉCNICOS</t>
  </si>
  <si>
    <t>TOTAL GERAL</t>
  </si>
  <si>
    <t>Ato Cooperado/NãoCooperado</t>
  </si>
  <si>
    <t>Receita Bruta</t>
  </si>
  <si>
    <t>Deduções</t>
  </si>
  <si>
    <t>Custo</t>
  </si>
  <si>
    <t>Relatório</t>
  </si>
  <si>
    <t>DRE</t>
  </si>
  <si>
    <t>Diferença</t>
  </si>
  <si>
    <t>Última data</t>
  </si>
  <si>
    <t>Mês</t>
  </si>
  <si>
    <t>Ano</t>
  </si>
  <si>
    <t>NOME_CONTA</t>
  </si>
  <si>
    <t>TOTAL_COOPERADO</t>
  </si>
  <si>
    <t>TOTAL_TERCEIRO</t>
  </si>
  <si>
    <t>TOTAL_GERAL</t>
  </si>
  <si>
    <t>Triticale</t>
  </si>
  <si>
    <t>Quirera</t>
  </si>
  <si>
    <t>Sulfato</t>
  </si>
  <si>
    <t>Mapinho</t>
  </si>
  <si>
    <t>Calcario</t>
  </si>
  <si>
    <t>Inoculante Feijao</t>
  </si>
  <si>
    <t>Inoculante Milho</t>
  </si>
  <si>
    <t>Comissoes S/Vendas</t>
  </si>
  <si>
    <t>Premiacoes</t>
  </si>
  <si>
    <t>Sorgo</t>
  </si>
  <si>
    <t>Semente de Triticale NT</t>
  </si>
  <si>
    <t>Semente de Aveia NT</t>
  </si>
  <si>
    <t>%_Cooperado</t>
  </si>
  <si>
    <t>%_Terceiros</t>
  </si>
  <si>
    <t>Terceiro</t>
  </si>
  <si>
    <t>Valor</t>
  </si>
  <si>
    <t>Soma de %_Cooperado</t>
  </si>
  <si>
    <t>Soma de %_Terceiros</t>
  </si>
  <si>
    <t>Rótulos de Linha</t>
  </si>
  <si>
    <t>Total geral</t>
  </si>
  <si>
    <t>Turim Sementes Ltda</t>
  </si>
  <si>
    <t>Soma de TOTAL_COOPERADO</t>
  </si>
  <si>
    <t>Soma de TOTAL_TERCEIRO</t>
  </si>
  <si>
    <t>Total do relatório</t>
  </si>
  <si>
    <t>Semente de Ervilhaca</t>
  </si>
  <si>
    <t>(Tudo)</t>
  </si>
  <si>
    <t>Semente de Feijao Tratada</t>
  </si>
  <si>
    <t>Semente de Triticale Tratada</t>
  </si>
  <si>
    <t>Semente Aveia Tratada</t>
  </si>
  <si>
    <t>Semente de Sorgo Tratada</t>
  </si>
  <si>
    <t>Receita - Ded</t>
  </si>
  <si>
    <t>3.2.1.1.01.01.11.20.01</t>
  </si>
  <si>
    <t>(-) Custo das Mercadorias Vendidas - Cooperado</t>
  </si>
  <si>
    <t>(=) Sobras ajustadas do exercício</t>
  </si>
  <si>
    <t>(-) Destinação das sobras</t>
  </si>
  <si>
    <t>(=) Sobras a disposição da A.G.O - 13%</t>
  </si>
  <si>
    <t>1.1.1.4.11</t>
  </si>
  <si>
    <t>Aplicações Imediatas Banco ABC</t>
  </si>
  <si>
    <t>1.1.1.4.12</t>
  </si>
  <si>
    <t>Aplicações Imediatas BANCOOB</t>
  </si>
  <si>
    <t>2.1.5.1.06</t>
  </si>
  <si>
    <t>Participacao No Resultado</t>
  </si>
  <si>
    <t>2.4.5</t>
  </si>
  <si>
    <t>Sobras ou Perdas Acumuladas</t>
  </si>
  <si>
    <t>2.4.5.2.01</t>
  </si>
  <si>
    <t>Sobras A Disposicao da Ago</t>
  </si>
  <si>
    <t>1.1.2.2.12.01.99</t>
  </si>
  <si>
    <t>(-) Provisao para Devedores Duvidosos</t>
  </si>
  <si>
    <t>Almir Felippe</t>
  </si>
  <si>
    <t>Cezamar Farina</t>
  </si>
  <si>
    <t>Estela Mari Gregolin Berno</t>
  </si>
  <si>
    <t>Gilmar Vicente Frizon</t>
  </si>
  <si>
    <t>Helio Gomes</t>
  </si>
  <si>
    <t>Joao Franklin Ramos de Mello Filho</t>
  </si>
  <si>
    <t>Laidir Brustolin</t>
  </si>
  <si>
    <t>Neusa Britto</t>
  </si>
  <si>
    <t>Renan Fernando Vidor</t>
  </si>
  <si>
    <t>Rodrigo Ivaldino Spagnol Gobbi</t>
  </si>
  <si>
    <t>A B Brandt Comercio de Sementes e Fertil</t>
  </si>
  <si>
    <t>Arbaza Alimentos Ltda</t>
  </si>
  <si>
    <t>Banco do Brasil S A</t>
  </si>
  <si>
    <t>Carlos Alexandre Fortuna da Silva</t>
  </si>
  <si>
    <t>Comercial Agropecuaria Sinuelo Ltda</t>
  </si>
  <si>
    <t>Conte Zanela e Cia Ltda</t>
  </si>
  <si>
    <t>Cooperativa Agropecuaria Sao Lourenco</t>
  </si>
  <si>
    <t>Cooperativa Agropecuaria Tradicao</t>
  </si>
  <si>
    <t>Cooperativa Agropecuaria Tradicao UNIDAD</t>
  </si>
  <si>
    <t>Dalecio Bolzan</t>
  </si>
  <si>
    <t>Jandir Antonio Bortolotto</t>
  </si>
  <si>
    <t>LHBS Cereais Ltda Me</t>
  </si>
  <si>
    <t>Leonir Fabro</t>
  </si>
  <si>
    <t>Liderança Inst e Manutenção Ind Ltda Eir</t>
  </si>
  <si>
    <t>Lucas Carminatti</t>
  </si>
  <si>
    <t>Luciano da Rosa Fiel</t>
  </si>
  <si>
    <t>Mauro Hahn</t>
  </si>
  <si>
    <t>Pampeana Insumos Agricolas Ltda</t>
  </si>
  <si>
    <t>Ricardo Mackievicz Lodi</t>
  </si>
  <si>
    <t>Roberto Carlos Guollo</t>
  </si>
  <si>
    <t>Rudimar Lazarin</t>
  </si>
  <si>
    <t>TK Comercio de Produtos Agropecuarios Lt</t>
  </si>
  <si>
    <t>Turim Fertilizantes Ltda</t>
  </si>
  <si>
    <t>UTFPR  Campus Pato Branco</t>
  </si>
  <si>
    <t>Vagner Vigano</t>
  </si>
  <si>
    <t>Valentin Marchioro</t>
  </si>
  <si>
    <t>1.1.2.2.14.03</t>
  </si>
  <si>
    <t>Adiantamento 13o. Salario</t>
  </si>
  <si>
    <t>ADT-F Inquima Ltda</t>
  </si>
  <si>
    <t>1.1.3.1.01.01.01.54</t>
  </si>
  <si>
    <t>1.1.3.1.01.01.01.54.02</t>
  </si>
  <si>
    <t>1.1.3.1.01.01.11.20</t>
  </si>
  <si>
    <t>1.1.3.1.01.01.11.20.01</t>
  </si>
  <si>
    <t>Descarte</t>
  </si>
  <si>
    <t>1.1.3.1.01.02.01.20</t>
  </si>
  <si>
    <t>1.1.3.1.01.02.01.20.01</t>
  </si>
  <si>
    <t>Provisão para aquisição de Estoque</t>
  </si>
  <si>
    <t>1.1.3.1.01.02.03.20</t>
  </si>
  <si>
    <t>1.1.3.1.01.02.03.20.01</t>
  </si>
  <si>
    <t>Provisão para aquisição de estoque</t>
  </si>
  <si>
    <t>1.1.3.1.01.02.04</t>
  </si>
  <si>
    <t>Feijao DPS</t>
  </si>
  <si>
    <t>1.1.3.1.01.02.04.20</t>
  </si>
  <si>
    <t>1.1.3.1.01.02.04.20.01</t>
  </si>
  <si>
    <t>1.1.3.1.02.01.02.70.02</t>
  </si>
  <si>
    <t>1.1.3.1.02.01.06.54</t>
  </si>
  <si>
    <t>1.1.3.1.02.01.06.54.01</t>
  </si>
  <si>
    <t>(-) Devolução de Compras - Cooperados</t>
  </si>
  <si>
    <t>1.1.3.1.02.01.06.70.02</t>
  </si>
  <si>
    <t>1.1.3.1.03.01.03.58.02</t>
  </si>
  <si>
    <t>1.1.3.1.03.01.07.50.02</t>
  </si>
  <si>
    <t>1.1.3.1.70.01.23</t>
  </si>
  <si>
    <t>Assistência Médica e Odontológica - Produção</t>
  </si>
  <si>
    <t>1.1.3.1.70.01.29</t>
  </si>
  <si>
    <t>Ordenados e Salarios DDO - Produção</t>
  </si>
  <si>
    <t>1.1.3.1.70.20.04</t>
  </si>
  <si>
    <t>Combustiveis e Lubrificantes - Producao</t>
  </si>
  <si>
    <t>1.1.3.1.70.20.11</t>
  </si>
  <si>
    <t>Vestuario e Equip de Segurança - EPI - Producao</t>
  </si>
  <si>
    <t>1.1.4.1.02.01.06</t>
  </si>
  <si>
    <t>1.1.4.1.02.01.06.01</t>
  </si>
  <si>
    <t>ADT-C Cleber Ivan Grassi</t>
  </si>
  <si>
    <t>ADT-C Edilson Jose Grassi</t>
  </si>
  <si>
    <t>ADT-C Eliandro Cutchma</t>
  </si>
  <si>
    <t>ADT-C Erico Ribeiro Da Silva</t>
  </si>
  <si>
    <t>ADT-C Heber Eleandro Dubena</t>
  </si>
  <si>
    <t>ADT-C Joao Zanuz</t>
  </si>
  <si>
    <t>ADT-C Joel Olivo</t>
  </si>
  <si>
    <t>ADT-C Selson Caldato</t>
  </si>
  <si>
    <t>ADT-C Terezinha Zanella Boff</t>
  </si>
  <si>
    <t>ADT-C Wilson Cezar Lasta</t>
  </si>
  <si>
    <t>Agostinho Vezoli</t>
  </si>
  <si>
    <t>Bag Fertil Industria e Comercio Ltda</t>
  </si>
  <si>
    <t>Coasul Cooperativa Agroindustrial</t>
  </si>
  <si>
    <t>Comercio de Estofados SSM Ltda ME</t>
  </si>
  <si>
    <t>Cooperativa de Produtores de Sementes Co</t>
  </si>
  <si>
    <t>Daniel Muller</t>
  </si>
  <si>
    <t>Hewisa Recursos Humanos Ltda Me</t>
  </si>
  <si>
    <t>Ivanir Halas Me</t>
  </si>
  <si>
    <t xml:space="preserve">Jose Eduardo Henning Antunes &amp; Cia Ltda </t>
  </si>
  <si>
    <t>Marciano Schirmann</t>
  </si>
  <si>
    <t>Nknet Telecomunicacoes Eireli Epp</t>
  </si>
  <si>
    <t>Reisdoerfer &amp; Reisdoerfer Ltda Me</t>
  </si>
  <si>
    <t>Roberto Pit &amp; Cia Ltda ME</t>
  </si>
  <si>
    <t>Romaco Comercial Importadora De Rolament</t>
  </si>
  <si>
    <t>Transportes Vila Romana Ltda</t>
  </si>
  <si>
    <t>Tupy Borrachas Ltda Me</t>
  </si>
  <si>
    <t>Xingu Grafica e Editora Ltda</t>
  </si>
  <si>
    <t>ADT-C Ivanir Francisco Sufredini</t>
  </si>
  <si>
    <t>ADT-C Sojapar Comercio de Cereais Ltda</t>
  </si>
  <si>
    <t>2.1.5.2.08</t>
  </si>
  <si>
    <t>IRRF sobre folha de pagamentos</t>
  </si>
  <si>
    <t>3.1.1.1.01.01.11.20</t>
  </si>
  <si>
    <t>3.1.1.1.01.01.11.20.01</t>
  </si>
  <si>
    <t>3.1.1.2.01.01.03.08</t>
  </si>
  <si>
    <t>(-) Custos com pessoal transporte</t>
  </si>
  <si>
    <t>3.1.1.2.01.01.03.08.01</t>
  </si>
  <si>
    <t>(-) Ordenados e Salarios</t>
  </si>
  <si>
    <t>3.1.1.2.01.01.03.08.02</t>
  </si>
  <si>
    <t>(-) Horas Extras</t>
  </si>
  <si>
    <t>3.1.1.2.01.01.03.08.05</t>
  </si>
  <si>
    <t>(-) Aviso Prévio Indenizado</t>
  </si>
  <si>
    <t>3.1.1.2.01.01.03.08.06</t>
  </si>
  <si>
    <t>(-) Fgts</t>
  </si>
  <si>
    <t>3.1.1.2.01.01.03.08.07</t>
  </si>
  <si>
    <t>(-) Inss</t>
  </si>
  <si>
    <t>3.1.1.2.01.01.03.08.08</t>
  </si>
  <si>
    <t>(-) Pis Folha de Pagamentos</t>
  </si>
  <si>
    <t>3.1.1.2.01.01.03.08.09</t>
  </si>
  <si>
    <t>(-) Décimo Terceiro</t>
  </si>
  <si>
    <t>3.1.1.2.01.01.03.08.10</t>
  </si>
  <si>
    <t>(-) Férias</t>
  </si>
  <si>
    <t>3.1.1.2.01.01.03.08.24</t>
  </si>
  <si>
    <t>(-) Refeições de Funcionários - PAT</t>
  </si>
  <si>
    <t>3.1.1.2.01.01.03.08.28</t>
  </si>
  <si>
    <t>(-) Fgts multa rescisória</t>
  </si>
  <si>
    <t>3.1.1.2.01.01.03.08.29</t>
  </si>
  <si>
    <t>(-) Ordenados e Salários DPO</t>
  </si>
  <si>
    <t>3.1.1.3.01.01.01.03.28</t>
  </si>
  <si>
    <t>Fgts multa rescisória</t>
  </si>
  <si>
    <t>3.1.1.3.01.01.01.03.29</t>
  </si>
  <si>
    <t>Ordenados e Salarios DPO</t>
  </si>
  <si>
    <t>3.1.1.3.01.01.01.09.04</t>
  </si>
  <si>
    <t>3.2.1.1.03.01.03.20</t>
  </si>
  <si>
    <t>3.2.1.1.03.01.03.20.01</t>
  </si>
  <si>
    <t>3.2.1.1.03.01.07.20</t>
  </si>
  <si>
    <t>3.2.1.1.03.01.07.20.01</t>
  </si>
  <si>
    <t>3.2.1.6.10.03</t>
  </si>
  <si>
    <t>Receita de Aluguel</t>
  </si>
  <si>
    <t>1.1.3.1.01.01.02.01</t>
  </si>
  <si>
    <t>1.1.3.1.01.01.02.01.01</t>
  </si>
  <si>
    <t>1.1.3.1.01.02.01.01</t>
  </si>
  <si>
    <t>1.1.3.1.01.02.01.01.01</t>
  </si>
  <si>
    <t>1.1.3.1.02.04.01.01</t>
  </si>
  <si>
    <t>1.1.3.1.02.04.01.01.01</t>
  </si>
  <si>
    <t>3.1.1.1.01.01.01</t>
  </si>
  <si>
    <t>3.1.1.1.01.01.01.01</t>
  </si>
  <si>
    <t>3.1.1.1.01.01.01.01.01</t>
  </si>
  <si>
    <t>3.1.1.1.01.01.01.02</t>
  </si>
  <si>
    <t>Ingressos de Vendas No Mercado Externo</t>
  </si>
  <si>
    <t>3.1.1.1.01.01.01.02.01</t>
  </si>
  <si>
    <t>3.1.1.1.01.01.01.20</t>
  </si>
  <si>
    <t>3.1.1.1.01.01.01.20.01</t>
  </si>
  <si>
    <t>3.1.1.1.01.01.02.17</t>
  </si>
  <si>
    <t>3.1.1.1.01.01.02.17.01</t>
  </si>
  <si>
    <t>3.1.1.1.01.01.03</t>
  </si>
  <si>
    <t>3.1.1.1.01.01.03.01</t>
  </si>
  <si>
    <t>3.1.1.1.01.01.03.01.01</t>
  </si>
  <si>
    <t>3.1.1.1.01.01.03.17</t>
  </si>
  <si>
    <t>3.1.1.1.01.01.03.17.01</t>
  </si>
  <si>
    <t>3.1.1.1.01.01.03.20</t>
  </si>
  <si>
    <t>3.1.1.1.01.01.03.20.01</t>
  </si>
  <si>
    <t>3.1.1.1.01.01.04</t>
  </si>
  <si>
    <t>3.1.1.1.01.01.04.01</t>
  </si>
  <si>
    <t>3.1.1.1.01.01.04.01.01</t>
  </si>
  <si>
    <t>Ingressos com cooperados</t>
  </si>
  <si>
    <t>3.1.1.1.01.01.04.17</t>
  </si>
  <si>
    <t>3.1.1.1.01.01.04.17.01</t>
  </si>
  <si>
    <t>3.1.1.1.01.01.04.20</t>
  </si>
  <si>
    <t>3.1.1.1.01.01.04.20.01</t>
  </si>
  <si>
    <t>3.1.1.1.50.01.01.17</t>
  </si>
  <si>
    <t>3.1.1.1.50.01.01.17.01</t>
  </si>
  <si>
    <t>3.1.1.1.50.01.04.17</t>
  </si>
  <si>
    <t>3.1.1.1.50.01.04.17.01</t>
  </si>
  <si>
    <t>3.1.1.3.01.01.01.03.99</t>
  </si>
  <si>
    <t>(-) Rateio Proporcional Operacoes Com Terceiros</t>
  </si>
  <si>
    <t>3.1.1.3.01.01.01.04.99</t>
  </si>
  <si>
    <t>(-) Rateio Proporcional A Operacoes Com Terceiros</t>
  </si>
  <si>
    <t>3.1.1.3.01.01.01.06.99</t>
  </si>
  <si>
    <t>3.1.1.3.01.01.01.07.99</t>
  </si>
  <si>
    <t>3.1.1.3.01.01.01.08.99</t>
  </si>
  <si>
    <t>3.1.1.3.01.01.01.09.99</t>
  </si>
  <si>
    <t>3.1.1.5.01.99</t>
  </si>
  <si>
    <t>3.1.1.5.02.99</t>
  </si>
  <si>
    <t>3.1.1.6.10.99</t>
  </si>
  <si>
    <t>3.1.1.6.11.99</t>
  </si>
  <si>
    <t>3.2.1.3</t>
  </si>
  <si>
    <t>(-) Despesas Operacionais Complementares</t>
  </si>
  <si>
    <t>3.2.1.3.01</t>
  </si>
  <si>
    <t>3.2.1.3.01.01</t>
  </si>
  <si>
    <t>3.2.1.3.01.01.01</t>
  </si>
  <si>
    <t>3.2.1.3.01.01.01.03</t>
  </si>
  <si>
    <t>Despesas Com Pessoal</t>
  </si>
  <si>
    <t>3.2.1.3.01.01.01.04</t>
  </si>
  <si>
    <t>3.2.1.3.01.01.01.06</t>
  </si>
  <si>
    <t>3.2.1.3.01.01.01.07</t>
  </si>
  <si>
    <t>Despesas Tributarias</t>
  </si>
  <si>
    <t>3.2.1.3.01.01.01.08</t>
  </si>
  <si>
    <t>Despesas Tecnicas</t>
  </si>
  <si>
    <t>3.2.1.3.01.01.01.09</t>
  </si>
  <si>
    <t>3.2.1.5.02.01</t>
  </si>
  <si>
    <t>3.2.1.6.10.01</t>
  </si>
  <si>
    <t>3.2.1.6.11</t>
  </si>
  <si>
    <t>(-) Outras despesas Operacionais</t>
  </si>
  <si>
    <t>3.2.1.6.11.02</t>
  </si>
  <si>
    <t>Outras despesas Operacionais</t>
  </si>
  <si>
    <t>2.1.4.1.04</t>
  </si>
  <si>
    <t>Contribuicao Social A Pagar</t>
  </si>
  <si>
    <t>3.2.4</t>
  </si>
  <si>
    <t>(-) Tributos Incidentes Sobre Sobras</t>
  </si>
  <si>
    <t>3.2.4.1</t>
  </si>
  <si>
    <t>Irpj</t>
  </si>
  <si>
    <t>3.2.4.2</t>
  </si>
  <si>
    <t>Csll</t>
  </si>
  <si>
    <t>Alcione Cossul</t>
  </si>
  <si>
    <t>Dirceu Dalla Corte</t>
  </si>
  <si>
    <t>Edinei Gregolon</t>
  </si>
  <si>
    <t>Erineu Rutkoski</t>
  </si>
  <si>
    <t>Itamar Antonio Marcante</t>
  </si>
  <si>
    <t>Neli Jaime Sganzerla</t>
  </si>
  <si>
    <t>Otavio Zanella</t>
  </si>
  <si>
    <t>Pedro Soveral Bortot</t>
  </si>
  <si>
    <t>Rui Coan</t>
  </si>
  <si>
    <t>Terezinha da Silva</t>
  </si>
  <si>
    <t>ADM do Brasil Ltda</t>
  </si>
  <si>
    <t>Amaggi Exportacao e Importacao Ltda</t>
  </si>
  <si>
    <t>Aparecida Dalila Pacianello</t>
  </si>
  <si>
    <t>B P Pre Moldados e Construtora Ltda</t>
  </si>
  <si>
    <t>Canzi e Marodin Ltda Epp</t>
  </si>
  <si>
    <t>Clodoaldo Selias Vaz</t>
  </si>
  <si>
    <t>Eliane Margaret Duarte Paim</t>
  </si>
  <si>
    <t>Gradiff Magdiel Comercio De Cereais Ltda</t>
  </si>
  <si>
    <t>Liberty Seguros  SA</t>
  </si>
  <si>
    <t>Louis Dreyfus Commodities Brasil S A</t>
  </si>
  <si>
    <t>Luiz Fernando Dill Barcellos  Me</t>
  </si>
  <si>
    <t>Maria Ines Baldissera Tres</t>
  </si>
  <si>
    <t>Moinho Xanxere Ind e Com Ltda</t>
  </si>
  <si>
    <t>Moinho do Nordeste SA</t>
  </si>
  <si>
    <t>Naturino Romano</t>
  </si>
  <si>
    <t>Paulo Vitor Bolzan</t>
  </si>
  <si>
    <t>Renata Cristina Follador Bandeira</t>
  </si>
  <si>
    <t>Renato Simon</t>
  </si>
  <si>
    <t>Rotesma Artefatos de Cimento Ltda</t>
  </si>
  <si>
    <t>Rudinei Lazarin</t>
  </si>
  <si>
    <t>Safra Vida e Previdencia S A</t>
  </si>
  <si>
    <t>Seara Ind e Com de Prod Agro Pecuarios L</t>
  </si>
  <si>
    <t>Seprotec Comercio Producao e Tec de Seme</t>
  </si>
  <si>
    <t>Turim Santa Isabel Ltda</t>
  </si>
  <si>
    <t>Valdinei Roberto Carloh</t>
  </si>
  <si>
    <t>ADT-F Bayer S A</t>
  </si>
  <si>
    <t>1.1.3.1.02.01.01.58.02</t>
  </si>
  <si>
    <t>1.1.3.1.02.01.03.20</t>
  </si>
  <si>
    <t>1.1.3.1.02.01.03.20.03</t>
  </si>
  <si>
    <t>1.1.3.1.02.01.03.70.10</t>
  </si>
  <si>
    <t>1.1.3.1.02.01.04.02</t>
  </si>
  <si>
    <t>1.1.3.1.02.01.04.02.02</t>
  </si>
  <si>
    <t>1.1.3.1.02.01.07.50.02</t>
  </si>
  <si>
    <t>1.1.3.1.02.02.01.02</t>
  </si>
  <si>
    <t>1.1.3.1.02.02.01.02.02</t>
  </si>
  <si>
    <t>1.1.3.1.02.02.04.02.01</t>
  </si>
  <si>
    <t>1.1.3.1.02.02.04.08</t>
  </si>
  <si>
    <t>1.1.3.1.02.02.04.08.02</t>
  </si>
  <si>
    <t>1.1.3.1.02.02.04.50</t>
  </si>
  <si>
    <t>1.1.3.1.02.02.04.50.01</t>
  </si>
  <si>
    <t>1.1.3.1.02.02.04.56</t>
  </si>
  <si>
    <t>1.1.3.1.02.02.04.56.02</t>
  </si>
  <si>
    <t>1.1.3.1.02.02.06.02</t>
  </si>
  <si>
    <t>1.1.3.1.02.02.06.02.01</t>
  </si>
  <si>
    <t>1.1.3.1.02.02.06.50</t>
  </si>
  <si>
    <t>1.1.3.1.02.02.06.50.01</t>
  </si>
  <si>
    <t>1.1.3.1.02.03.01.20</t>
  </si>
  <si>
    <t>1.1.3.1.02.03.01.20.03</t>
  </si>
  <si>
    <t>1.1.3.1.02.03.01.58.02</t>
  </si>
  <si>
    <t>1.1.3.1.02.03.02.58</t>
  </si>
  <si>
    <t>1.1.3.1.02.03.02.58.01</t>
  </si>
  <si>
    <t>1.1.3.1.02.03.04.58</t>
  </si>
  <si>
    <t>1.1.3.1.02.03.04.58.01</t>
  </si>
  <si>
    <t>1.1.3.1.03.01.02.08</t>
  </si>
  <si>
    <t>1.1.3.1.03.01.02.08.02</t>
  </si>
  <si>
    <t>1.1.3.1.03.01.02.50</t>
  </si>
  <si>
    <t>1.1.3.1.03.01.02.50.01</t>
  </si>
  <si>
    <t>1.1.3.1.03.01.02.56</t>
  </si>
  <si>
    <t>1.1.3.1.03.01.02.56.02</t>
  </si>
  <si>
    <t>1.1.3.1.03.01.03.50.02</t>
  </si>
  <si>
    <t>1.1.3.1.03.01.03.58.01</t>
  </si>
  <si>
    <t>1.1.3.1.03.01.04.02</t>
  </si>
  <si>
    <t>1.1.3.1.03.01.04.02.02</t>
  </si>
  <si>
    <t>1.1.3.1.03.01.05.50</t>
  </si>
  <si>
    <t>1.1.3.1.03.01.05.50.02</t>
  </si>
  <si>
    <t>1.1.3.1.03.01.06.02</t>
  </si>
  <si>
    <t>1.1.3.1.03.01.06.02.02</t>
  </si>
  <si>
    <t>1.1.3.1.03.01.07.58</t>
  </si>
  <si>
    <t>1.1.3.1.03.01.07.58.01</t>
  </si>
  <si>
    <t>1.1.3.1.03.01.14.01</t>
  </si>
  <si>
    <t>1.1.3.1.03.01.14.01.01</t>
  </si>
  <si>
    <t>1.1.3.1.03.01.15.01</t>
  </si>
  <si>
    <t>1.1.3.1.03.01.15.01.01</t>
  </si>
  <si>
    <t>1.1.3.1.04.02.05.01</t>
  </si>
  <si>
    <t>1.1.3.1.04.02.05.01.01</t>
  </si>
  <si>
    <t>1.1.3.1.70.01.05</t>
  </si>
  <si>
    <t>Aviso Previo Indenizado - Producao</t>
  </si>
  <si>
    <t>1.1.3.1.70.01.28</t>
  </si>
  <si>
    <t>Fgts multa rescisória - produção</t>
  </si>
  <si>
    <t>1.1.4.1.02.03.01</t>
  </si>
  <si>
    <t>1.1.4.1.02.03.01.01</t>
  </si>
  <si>
    <t>1.5.1.1.01.01.01.01</t>
  </si>
  <si>
    <t>Anderson Andre Carloh</t>
  </si>
  <si>
    <t>Doalcei Elcio Geremia</t>
  </si>
  <si>
    <t>Dorvalina Faccin Schiochet</t>
  </si>
  <si>
    <t>Eliete Vignaga Tonus</t>
  </si>
  <si>
    <t>Inelvi Ferreira Vermoehlen</t>
  </si>
  <si>
    <t>Irma Vermohelen</t>
  </si>
  <si>
    <t>Juliane Salete Lora</t>
  </si>
  <si>
    <t>Leandro Luiz Tomasi</t>
  </si>
  <si>
    <t>Vicente Gilberto Ferraza</t>
  </si>
  <si>
    <t>ADT-C Anelio da Coreggio</t>
  </si>
  <si>
    <t>ADT-C Cleber Roberto Caldato</t>
  </si>
  <si>
    <t>ADT-C Diego Elias Strapasson</t>
  </si>
  <si>
    <t>ADT-C Edemar Jose Marsaro</t>
  </si>
  <si>
    <t>ADT-C Fani Sallete Daros Bisatto</t>
  </si>
  <si>
    <t>ADT-C Gilso Coraza</t>
  </si>
  <si>
    <t>ADT-C Ilzo Dalla Costa</t>
  </si>
  <si>
    <t>ADT-C Inacio Catusso</t>
  </si>
  <si>
    <t>ADT-C Jelson de Moraes</t>
  </si>
  <si>
    <t>ADT-C Junior Luiz Buratto</t>
  </si>
  <si>
    <t>ADT-C Orlando Antonio Rother</t>
  </si>
  <si>
    <t>Alvaro Arcego e Cia Ltda Me</t>
  </si>
  <si>
    <t>Auto Center Cronel Ltda</t>
  </si>
  <si>
    <t>Bottuvera Brasil Confeccoes Eireli ME</t>
  </si>
  <si>
    <t>Cantina de Alimentacao Emb Ltda</t>
  </si>
  <si>
    <t>Churrascaria e Lanchonete Cambrussi Ltda</t>
  </si>
  <si>
    <t>Comercial C Borowski Ltda Me</t>
  </si>
  <si>
    <t>Comercio de Madeiras e Mat de Construcao</t>
  </si>
  <si>
    <t xml:space="preserve">Dalla Valle Real Comercio de Utensilios </t>
  </si>
  <si>
    <t>Farmacia Alternativa Ltda Me</t>
  </si>
  <si>
    <t>Funesp Fundo Rotativo 3 BPM</t>
  </si>
  <si>
    <t>GBA Pneus Ltda</t>
  </si>
  <si>
    <t>Gilberto Catusso e Cia Ltda</t>
  </si>
  <si>
    <t>Hotel e Restaurante Dona Ze Ltda</t>
  </si>
  <si>
    <t>Iharabras SA Industrias Quimicas</t>
  </si>
  <si>
    <t>Imprepel  Grafica &amp; Editora Ltda</t>
  </si>
  <si>
    <t>Instituto Sup de Adm e Economia do Merco</t>
  </si>
  <si>
    <t>Joao Arquimedes Damo</t>
  </si>
  <si>
    <t>Jose Eriso Abdala 48733466904</t>
  </si>
  <si>
    <t>Kamargo Ribeiro da Costa</t>
  </si>
  <si>
    <t>L C Berlatto &amp; Cia Ltda</t>
  </si>
  <si>
    <t>Levi Polese</t>
  </si>
  <si>
    <t>Lidio Spenazzatto E Cia Ltda</t>
  </si>
  <si>
    <t>Lucas Belle</t>
  </si>
  <si>
    <t>Lucas Gregorio Koslinski</t>
  </si>
  <si>
    <t>Luciano Andre Felipe Me</t>
  </si>
  <si>
    <t>Meditec Com De Equipamentos Agroindustri</t>
  </si>
  <si>
    <t>Mercado Pedrini Ltda</t>
  </si>
  <si>
    <t>Motta &amp; Filipini Ltda Me</t>
  </si>
  <si>
    <t>Noeli Fantinelli</t>
  </si>
  <si>
    <t>Nordica Veiculos SA</t>
  </si>
  <si>
    <t>Otomar Caleffi de Almeida</t>
  </si>
  <si>
    <t>Patodiesel Oficina Mecanica Ltda Me</t>
  </si>
  <si>
    <t>Picolo e De Faveri Locacoes Ltda  Me</t>
  </si>
  <si>
    <t>Postal Com de Peças e Serv de Mont de Im</t>
  </si>
  <si>
    <t xml:space="preserve">R Agilidade Locacao de Mao de Obra Temp </t>
  </si>
  <si>
    <t>R Librelato &amp; Cia Ltda Epp</t>
  </si>
  <si>
    <t>Radio Vicente Pallotti Me</t>
  </si>
  <si>
    <t>Restaurante e Lanchonete Carniel LTDA</t>
  </si>
  <si>
    <t>Rodonaves Transportes e Encomendas Ltda</t>
  </si>
  <si>
    <t>Sind dos Trab na Mov de Merc em Geral de</t>
  </si>
  <si>
    <t>Tevere SA</t>
  </si>
  <si>
    <t>Valmir Toneli  Me</t>
  </si>
  <si>
    <t>Vanessa Leticia Armani Bohn</t>
  </si>
  <si>
    <t>Vanzo Materiais de Construcao Ltda  Me</t>
  </si>
  <si>
    <t>Vidi Pneus Ltda</t>
  </si>
  <si>
    <t>Virgilio Chiosi Filho</t>
  </si>
  <si>
    <t>ADT-C ADM do Brasil Ltda</t>
  </si>
  <si>
    <t>2.1.8.2.02</t>
  </si>
  <si>
    <t>Venda A Ordem</t>
  </si>
  <si>
    <t>CAP-S: Edemar Jose Marsaro</t>
  </si>
  <si>
    <t>CAP-S: Luciano Wendramin</t>
  </si>
  <si>
    <t>CAP-S: Roselei Aparecida Zago</t>
  </si>
  <si>
    <t>CAP-S: Valdecir Barbieri</t>
  </si>
  <si>
    <t>2.5.1.1.01.01.01.01</t>
  </si>
  <si>
    <t>3.1.1.1.02.01.03.09</t>
  </si>
  <si>
    <t>3.1.1.1.02.01.03.09.01</t>
  </si>
  <si>
    <t>3.1.1.1.02.01.04.17</t>
  </si>
  <si>
    <t>3.1.1.1.02.01.04.17.01</t>
  </si>
  <si>
    <t>3.1.1.1.02.02.04.20</t>
  </si>
  <si>
    <t>3.1.1.1.02.02.04.20.01</t>
  </si>
  <si>
    <t>3.1.1.1.02.02.07.15</t>
  </si>
  <si>
    <t>3.1.1.1.02.02.07.15.01</t>
  </si>
  <si>
    <t>3.1.1.1.02.03.01.09</t>
  </si>
  <si>
    <t>3.1.1.1.02.03.01.09.01</t>
  </si>
  <si>
    <t>3.1.1.1.02.03.02.15</t>
  </si>
  <si>
    <t>3.1.1.1.02.03.02.15.01</t>
  </si>
  <si>
    <t>3.1.1.1.02.03.04.15</t>
  </si>
  <si>
    <t>3.1.1.1.02.03.04.15.01</t>
  </si>
  <si>
    <t>3.1.1.1.02.03.06.15</t>
  </si>
  <si>
    <t>3.1.1.1.02.03.06.15.01</t>
  </si>
  <si>
    <t>3.1.1.1.03.01.02</t>
  </si>
  <si>
    <t>3.1.1.1.03.01.02.01</t>
  </si>
  <si>
    <t>3.1.1.1.03.01.02.01.01</t>
  </si>
  <si>
    <t>3.1.1.1.03.01.02.17</t>
  </si>
  <si>
    <t>3.1.1.1.03.01.02.17.01</t>
  </si>
  <si>
    <t>3.1.1.1.03.01.02.20</t>
  </si>
  <si>
    <t>3.1.1.1.03.01.02.20.01</t>
  </si>
  <si>
    <t>3.1.1.1.03.01.07</t>
  </si>
  <si>
    <t>3.1.1.1.03.01.07.01</t>
  </si>
  <si>
    <t>3.1.1.1.03.01.07.01.01</t>
  </si>
  <si>
    <t>3.1.1.1.03.01.07.17</t>
  </si>
  <si>
    <t>3.1.1.1.03.01.07.17.01</t>
  </si>
  <si>
    <t>3.1.1.1.03.01.07.20</t>
  </si>
  <si>
    <t>3.1.1.1.03.01.07.20.01</t>
  </si>
  <si>
    <t>3.1.1.1.03.01.14.20</t>
  </si>
  <si>
    <t>3.1.1.1.03.01.14.20.01</t>
  </si>
  <si>
    <t>3.1.1.2.01.01.03.07.01</t>
  </si>
  <si>
    <t>3.1.1.3.01.01.01.04.36</t>
  </si>
  <si>
    <t>Processuais E Trabalhistas</t>
  </si>
  <si>
    <t>3.1.1.3.01.01.01.04.38</t>
  </si>
  <si>
    <t>Equipamento de Segurança Coletivo - EPC</t>
  </si>
  <si>
    <t>3.1.1.3.01.01.01.04.65</t>
  </si>
  <si>
    <t>Manutencao Infraestrutura TI</t>
  </si>
  <si>
    <t>3.1.1.3.01.01.01.04.80</t>
  </si>
  <si>
    <t>SESMT</t>
  </si>
  <si>
    <t>3.1.2</t>
  </si>
  <si>
    <t>3.1.2.1</t>
  </si>
  <si>
    <t>3.1.2.1.10</t>
  </si>
  <si>
    <t>3.1.2.1.10.01</t>
  </si>
  <si>
    <t>Resultado de Participacoes Societarias</t>
  </si>
  <si>
    <t>3.2.1.1.01.01.01.15</t>
  </si>
  <si>
    <t>3.2.1.1.01.01.01.15.01</t>
  </si>
  <si>
    <t>3.2.1.1.02.01.07</t>
  </si>
  <si>
    <t>Uso doméstico</t>
  </si>
  <si>
    <t>3.2.1.1.02.01.07.20</t>
  </si>
  <si>
    <t>3.2.1.1.02.01.07.20.01</t>
  </si>
  <si>
    <t>3.2.1.1.02.03.01.15</t>
  </si>
  <si>
    <t>3.2.1.1.02.03.01.15.01</t>
  </si>
  <si>
    <t>3.2.1.1.02.03.02.15</t>
  </si>
  <si>
    <t>3.2.1.1.02.03.02.15.01</t>
  </si>
  <si>
    <t>3.2.1.1.03.01.03.01</t>
  </si>
  <si>
    <t>3.2.1.1.03.01.03.01.01</t>
  </si>
  <si>
    <t>3.2.1.1.03.01.04</t>
  </si>
  <si>
    <t>3.2.1.1.03.01.04.20</t>
  </si>
  <si>
    <t>3.2.1.1.03.01.04.20.01</t>
  </si>
  <si>
    <t>3.2.1.1.50.02.04.15</t>
  </si>
  <si>
    <t>(-) Deducoes dos Vendas</t>
  </si>
  <si>
    <t>3.2.1.1.50.02.04.15.01</t>
  </si>
  <si>
    <t>3.2.1.2.01.01.03</t>
  </si>
  <si>
    <t>3.2.1.2.01.01.03.04</t>
  </si>
  <si>
    <t>(-) Deducao de Servicos</t>
  </si>
  <si>
    <t>3.2.1.2.01.01.03.04.01</t>
  </si>
  <si>
    <t>(-) Anulacao de Valor de Servico de Frete</t>
  </si>
  <si>
    <t>1.1.3.1.02.01.01.20</t>
  </si>
  <si>
    <t>1.1.3.1.02.01.01.20.03</t>
  </si>
  <si>
    <t>1.1.3.1.70.20.05</t>
  </si>
  <si>
    <t>Despesas Com Veiculos - Producao</t>
  </si>
  <si>
    <t>2.2.1.1.26.02</t>
  </si>
  <si>
    <t>Financiamentos para crédito rural</t>
  </si>
  <si>
    <t>3.1.1.1.01.01.01.15</t>
  </si>
  <si>
    <t>3.1.1.1.01.01.01.15.01</t>
  </si>
  <si>
    <t>3.1.1.1.03.01.01</t>
  </si>
  <si>
    <t>3.1.1.1.03.01.01.20</t>
  </si>
  <si>
    <t>3.1.1.1.03.01.01.20.01</t>
  </si>
  <si>
    <t>3.1.1.1.03.01.12</t>
  </si>
  <si>
    <t>3.1.1.1.03.01.12.20</t>
  </si>
  <si>
    <t>3.1.1.1.03.01.12.20.01</t>
  </si>
  <si>
    <t>3.1.1.1.50.01.03</t>
  </si>
  <si>
    <t>3.1.1.1.50.01.03.20</t>
  </si>
  <si>
    <t>3.1.1.1.50.01.03.20.01</t>
  </si>
  <si>
    <t>3.2.1.1.02.01.01.09</t>
  </si>
  <si>
    <t>3.2.1.1.02.01.01.09.01</t>
  </si>
  <si>
    <t>Sul Brasil Com De Cereais e Insumos Agri</t>
  </si>
  <si>
    <t>Sul Brasil Realeza Insumos Agricolas Ltd</t>
  </si>
  <si>
    <t>Assoc de Radiodifusao Comunitaria de Pal</t>
  </si>
  <si>
    <t>Mecanica Binho Ltda -ME</t>
  </si>
  <si>
    <t>PJ Valmorbida &amp; Cia Ltda Me</t>
  </si>
  <si>
    <t>Pst Eletronica Ltda</t>
  </si>
  <si>
    <t>Totvs S A</t>
  </si>
  <si>
    <t>3.1.1.3.01.01.01.06.26</t>
  </si>
  <si>
    <t>Adelar Miguel Regner</t>
  </si>
  <si>
    <t>Adenir Carlos Panho</t>
  </si>
  <si>
    <t>Altair Zanella</t>
  </si>
  <si>
    <t>Amarildo Jose Folle</t>
  </si>
  <si>
    <t>Anderson Fornari</t>
  </si>
  <si>
    <t>Andre Luiz Fabian</t>
  </si>
  <si>
    <t>Antonio Pesetti</t>
  </si>
  <si>
    <t>Cassiane Polo Vidor</t>
  </si>
  <si>
    <t>Celso de Miranda Barbosa</t>
  </si>
  <si>
    <t>Claudio Antonio Cassamareke</t>
  </si>
  <si>
    <t>Cleonice Perusso</t>
  </si>
  <si>
    <t>Copacol Cooperativa Agroindustrial Conso</t>
  </si>
  <si>
    <t>Domingos Panhosatto</t>
  </si>
  <si>
    <t>Edineia Griz</t>
  </si>
  <si>
    <t>Faustino Bertoldo</t>
  </si>
  <si>
    <t>Hermani Antonio Tamagno</t>
  </si>
  <si>
    <t>Jauri Goncalves de Almeida</t>
  </si>
  <si>
    <t>Joao Pedro Sincovski</t>
  </si>
  <si>
    <t>Jose Pernlochner</t>
  </si>
  <si>
    <t>Juventino Bocchi</t>
  </si>
  <si>
    <t>Mario Comochena</t>
  </si>
  <si>
    <t>Neilor Antonelli</t>
  </si>
  <si>
    <t>Neiva Terezinha Rigo</t>
  </si>
  <si>
    <t>Pedro Luiz Dezengrini Fornari</t>
  </si>
  <si>
    <t>Rosa Maria Pernlochner</t>
  </si>
  <si>
    <t>Silverio Mantelli</t>
  </si>
  <si>
    <t>Valdenir Lorenzi</t>
  </si>
  <si>
    <t>Valdomiro Tumelero</t>
  </si>
  <si>
    <t>Vanderlei Tamagno</t>
  </si>
  <si>
    <t>Victor Augusto Ponde Fonseca</t>
  </si>
  <si>
    <t>Vilceu Luiz Geremia</t>
  </si>
  <si>
    <t xml:space="preserve">Agro Hara Com e Represent Agropecuarios </t>
  </si>
  <si>
    <t>Agropecuaria Dois Vizinhos Ltda Me</t>
  </si>
  <si>
    <t>Agropecuaria Terra Alta S/S Ltda Me</t>
  </si>
  <si>
    <t>Alceu Ferreira</t>
  </si>
  <si>
    <t>Alcir Jose Comunello</t>
  </si>
  <si>
    <t>Almir Rigo e Outros</t>
  </si>
  <si>
    <t>BRF S A</t>
  </si>
  <si>
    <t>Bioagro Comercial Agropecuaria Ltda</t>
  </si>
  <si>
    <t>Bocchi  Agronegocios &amp; Cia Ltda</t>
  </si>
  <si>
    <t>Bussadori Garcia &amp; Cia Ltda</t>
  </si>
  <si>
    <t>Cafe Colonial Bela Vista Ltda Epp</t>
  </si>
  <si>
    <t>Camila Aline de Bortolli</t>
  </si>
  <si>
    <t>Canopi Cooperativa Agricola Mist Do Nort</t>
  </si>
  <si>
    <t>Capal Cooperativa Agroindustrial</t>
  </si>
  <si>
    <t>Casatur Agencia Agencia de Viagens e Tur</t>
  </si>
  <si>
    <t>Cimoagro Com e Representacao Agropecuari</t>
  </si>
  <si>
    <t>Cocamar Cooperativa Agroindustrial</t>
  </si>
  <si>
    <t>Coop Cred Livre Adm do Iguacu Int Sicoob</t>
  </si>
  <si>
    <t>Coopavel Cooperativa Agroindustrial</t>
  </si>
  <si>
    <t>Cooperativa Agro dos Prod de Hortifrutig</t>
  </si>
  <si>
    <t>Cooperativa Agroindustrial Nova Produtiv</t>
  </si>
  <si>
    <t>Cooperativa Agropecuaria Tradicao  Renas</t>
  </si>
  <si>
    <t>Cooperativa Agropecuaria Tradicao  Vitor</t>
  </si>
  <si>
    <t>Cooperativa Regional Auriverde</t>
  </si>
  <si>
    <t>Cooperativa Regional Itaipu</t>
  </si>
  <si>
    <t>Dione Griss</t>
  </si>
  <si>
    <t>Disam Distr De Insumos Agricolas Sul Ame</t>
  </si>
  <si>
    <t>Eduardo Tesseroli Iark junior</t>
  </si>
  <si>
    <t>Elizeu Pereira Rocha</t>
  </si>
  <si>
    <t>Fairfax Brasil Seguros Corporativos S/A</t>
  </si>
  <si>
    <t>Hotel Dall Onder Ltda</t>
  </si>
  <si>
    <t>Hotel Laghetto Centro Ltda</t>
  </si>
  <si>
    <t>Ignacio Carminatti</t>
  </si>
  <si>
    <t>Industria e Comercio de Cereais Baldisse</t>
  </si>
  <si>
    <t>Instituto Agronomico Do Parana Iapar</t>
  </si>
  <si>
    <t>JM Gurgel  Eireli</t>
  </si>
  <si>
    <t>Joelcy Marcos Lammel</t>
  </si>
  <si>
    <t>Joslei Pancera</t>
  </si>
  <si>
    <t>Juleimar Junior Martins</t>
  </si>
  <si>
    <t>Juliano Zandona</t>
  </si>
  <si>
    <t>La Famille de Gazon Restaurante Ltda Epp</t>
  </si>
  <si>
    <t>Leidi Carla Schneider</t>
  </si>
  <si>
    <t>Mapas e Milhas Assessoria em Viagens Tur</t>
  </si>
  <si>
    <t>Mapfre Seguros Gerais S A</t>
  </si>
  <si>
    <t>Marcos Dogenski</t>
  </si>
  <si>
    <t>Mario Berti</t>
  </si>
  <si>
    <t>Maury Antonio Ferri</t>
  </si>
  <si>
    <t>Moises Ferreira dos Santos</t>
  </si>
  <si>
    <t>Moresco E Gonçalves Consultoria Turistic</t>
  </si>
  <si>
    <t>Nativa Produtos Agricolas Ltda</t>
  </si>
  <si>
    <t>Ouro Safra Industria e Comercio Ltda</t>
  </si>
  <si>
    <t>Palmasola SA Madeiras e Agricultura</t>
  </si>
  <si>
    <t>Pamplona Alimentos S A</t>
  </si>
  <si>
    <t>Petrojet Combustiveis Eireli</t>
  </si>
  <si>
    <t>Registro de Imoveis Brandalise</t>
  </si>
  <si>
    <t>Renato Cortivo</t>
  </si>
  <si>
    <t>Renato Luiz Alves</t>
  </si>
  <si>
    <t>Restaurante Nonno Mio Ltda Epp</t>
  </si>
  <si>
    <t>Ricardo Vedelago Burile</t>
  </si>
  <si>
    <t>Sementes Condor Ltda</t>
  </si>
  <si>
    <t>Sementes Lazarotto Ltda</t>
  </si>
  <si>
    <t>Turim Fertilizantes Planalto Ltda</t>
  </si>
  <si>
    <t>Vanderlei Casagrande</t>
  </si>
  <si>
    <t xml:space="preserve">Venturatur Agencia de Viagens e Turismo </t>
  </si>
  <si>
    <t>Verona Hoteis e Turismo Ltda Me</t>
  </si>
  <si>
    <t>Vilmar Bersch</t>
  </si>
  <si>
    <t>Volmir Zanini</t>
  </si>
  <si>
    <t>Zatix Tecnologia S/A</t>
  </si>
  <si>
    <t>ADT-F Adama Brasil S A</t>
  </si>
  <si>
    <t>ADT-F Agrichem do Brasil S A</t>
  </si>
  <si>
    <t>ADT-F Limagrain Brasil S/A</t>
  </si>
  <si>
    <t>ADT-F Sematter Do Brasil Ltda Me</t>
  </si>
  <si>
    <t>ADT-F Setembrino Webber</t>
  </si>
  <si>
    <t>1.1.3.1.01.01.01.50.01</t>
  </si>
  <si>
    <t>1.1.3.1.01.01.11.50.02</t>
  </si>
  <si>
    <t>(-) Custo das Vendas e Ingressos - Nao Cooperados</t>
  </si>
  <si>
    <t>1.1.3.1.01.02.03.02</t>
  </si>
  <si>
    <t>1.1.3.1.01.02.03.02.01</t>
  </si>
  <si>
    <t>1.1.3.1.01.02.03.02.02</t>
  </si>
  <si>
    <t>Compra de Materia Prima DPS - Nao Cooperado</t>
  </si>
  <si>
    <t>1.1.3.1.02.01.01.02.01</t>
  </si>
  <si>
    <t>1.1.3.1.02.01.02.02.01</t>
  </si>
  <si>
    <t>1.1.3.1.02.01.02.20</t>
  </si>
  <si>
    <t>1.1.3.1.02.01.02.20.03</t>
  </si>
  <si>
    <t>1.1.3.1.02.01.02.58.02</t>
  </si>
  <si>
    <t>1.1.3.1.02.01.03.02.01</t>
  </si>
  <si>
    <t>1.1.3.1.02.01.03.54</t>
  </si>
  <si>
    <t>1.1.3.1.02.01.03.54.01</t>
  </si>
  <si>
    <t>(-) Devolucoes de Compras - Cooperados</t>
  </si>
  <si>
    <t>1.1.3.1.02.01.03.58.02</t>
  </si>
  <si>
    <t>1.1.3.1.02.01.04.14</t>
  </si>
  <si>
    <t>Entradas por Devolucao</t>
  </si>
  <si>
    <t>1.1.3.1.02.01.04.14.02</t>
  </si>
  <si>
    <t>Devolucoes de Vendas - Nao Cooperados</t>
  </si>
  <si>
    <t>1.1.3.1.02.01.05.08</t>
  </si>
  <si>
    <t>1.1.3.1.02.01.05.08.02</t>
  </si>
  <si>
    <t>1.1.3.1.02.01.05.56</t>
  </si>
  <si>
    <t>1.1.3.1.02.01.05.56.02</t>
  </si>
  <si>
    <t>1.1.3.1.02.01.06.20</t>
  </si>
  <si>
    <t>1.1.3.1.02.01.06.20.03</t>
  </si>
  <si>
    <t>1.1.3.1.02.02.01.02.01</t>
  </si>
  <si>
    <t>1.1.3.1.02.02.01.54</t>
  </si>
  <si>
    <t>1.1.3.1.02.02.01.54.02</t>
  </si>
  <si>
    <t>1.1.3.1.02.02.02.54</t>
  </si>
  <si>
    <t>1.1.3.1.02.02.02.54.02</t>
  </si>
  <si>
    <t>1.1.3.1.02.02.03</t>
  </si>
  <si>
    <t>1.1.3.1.02.02.03.02</t>
  </si>
  <si>
    <t>1.1.3.1.02.02.03.02.01</t>
  </si>
  <si>
    <t>1.1.3.1.02.02.03.02.02</t>
  </si>
  <si>
    <t>1.1.3.1.02.02.03.08</t>
  </si>
  <si>
    <t>1.1.3.1.02.02.03.08.02</t>
  </si>
  <si>
    <t>1.1.3.1.02.02.03.50</t>
  </si>
  <si>
    <t>1.1.3.1.02.02.03.50.01</t>
  </si>
  <si>
    <t>1.1.3.1.02.02.03.50.02</t>
  </si>
  <si>
    <t>1.1.3.1.02.02.03.56</t>
  </si>
  <si>
    <t>1.1.3.1.02.02.03.56.02</t>
  </si>
  <si>
    <t>1.1.3.1.02.02.04.50.02</t>
  </si>
  <si>
    <t>1.1.3.1.02.02.06.08</t>
  </si>
  <si>
    <t>1.1.3.1.02.02.06.08.02</t>
  </si>
  <si>
    <t>1.1.3.1.02.02.06.50.02</t>
  </si>
  <si>
    <t>1.1.3.1.02.02.06.56</t>
  </si>
  <si>
    <t>1.1.3.1.02.02.06.56.02</t>
  </si>
  <si>
    <t>1.1.3.1.02.02.07.50.02</t>
  </si>
  <si>
    <t>1.1.3.1.02.02.10.02</t>
  </si>
  <si>
    <t>1.1.3.1.02.02.10.02.01</t>
  </si>
  <si>
    <t>1.1.3.1.02.03.01.54</t>
  </si>
  <si>
    <t>1.1.3.1.02.03.01.54.02</t>
  </si>
  <si>
    <t>1.1.3.1.02.03.02.70</t>
  </si>
  <si>
    <t>1.1.3.1.02.03.02.70.02</t>
  </si>
  <si>
    <t>(-) Quebras Tecnicas</t>
  </si>
  <si>
    <t>1.1.3.1.02.03.09.50.02</t>
  </si>
  <si>
    <t>1.1.3.1.02.03.09.58</t>
  </si>
  <si>
    <t>1.1.3.1.02.03.09.58.02</t>
  </si>
  <si>
    <t>1.1.3.1.02.03.10.02.01</t>
  </si>
  <si>
    <t>1.1.3.1.02.03.10.20</t>
  </si>
  <si>
    <t>1.1.3.1.02.03.10.20.01</t>
  </si>
  <si>
    <t>Bonificações recebidas - não cooperado</t>
  </si>
  <si>
    <t>1.1.3.1.03.01.04.58</t>
  </si>
  <si>
    <t>(-) Bonificacao Concedida</t>
  </si>
  <si>
    <t>1.1.3.1.03.01.04.58.01</t>
  </si>
  <si>
    <t>(-) Bonificacao Concedida - Cooperado</t>
  </si>
  <si>
    <t>1.1.3.1.03.01.04.70</t>
  </si>
  <si>
    <t>Outras Saídas</t>
  </si>
  <si>
    <t>1.1.3.1.03.01.04.70.01</t>
  </si>
  <si>
    <t>(-) Consumo Próprio</t>
  </si>
  <si>
    <t>1.1.3.1.03.01.14.70</t>
  </si>
  <si>
    <t>(-) Outras saidas</t>
  </si>
  <si>
    <t>1.1.3.1.03.01.14.70.01</t>
  </si>
  <si>
    <t>1.1.3.1.04.02.03.56</t>
  </si>
  <si>
    <t>1.1.3.1.04.02.03.56.02</t>
  </si>
  <si>
    <t>1.1.3.1.50.01.03</t>
  </si>
  <si>
    <t>1.1.3.1.50.01.03.02</t>
  </si>
  <si>
    <t>1.1.3.1.50.01.03.02.01</t>
  </si>
  <si>
    <t>1.1.3.1.50.01.03.08</t>
  </si>
  <si>
    <t>1.1.3.1.50.01.03.08.01</t>
  </si>
  <si>
    <t>1.1.3.1.50.01.03.50</t>
  </si>
  <si>
    <t>1.1.3.1.50.01.03.50.01</t>
  </si>
  <si>
    <t>1.1.3.1.50.01.03.56</t>
  </si>
  <si>
    <t>1.1.3.1.50.01.03.56.01</t>
  </si>
  <si>
    <t>1.1.3.1.50.01.03.58</t>
  </si>
  <si>
    <t>1.1.3.1.50.01.03.58.02</t>
  </si>
  <si>
    <t>1.1.3.1.50.02.03</t>
  </si>
  <si>
    <t>1.1.3.1.50.02.03.02</t>
  </si>
  <si>
    <t>1.1.3.1.50.02.03.02.01</t>
  </si>
  <si>
    <t>1.1.3.1.50.02.03.08</t>
  </si>
  <si>
    <t>1.1.3.1.50.02.03.08.01</t>
  </si>
  <si>
    <t>1.1.3.1.50.02.03.50</t>
  </si>
  <si>
    <t>1.1.3.1.50.02.03.50.01</t>
  </si>
  <si>
    <t>1.1.3.1.50.02.03.56</t>
  </si>
  <si>
    <t>1.1.3.1.50.02.03.56.01</t>
  </si>
  <si>
    <t>1.1.3.1.70.10.03.97</t>
  </si>
  <si>
    <t>1.1.3.1.70.10.03.98</t>
  </si>
  <si>
    <t>1.1.3.1.70.10.04.97</t>
  </si>
  <si>
    <t>1.1.3.1.70.10.04.98</t>
  </si>
  <si>
    <t>1.1.3.1.70.20.27</t>
  </si>
  <si>
    <t>Locacao de Maquinas e Equipamentos - Producao</t>
  </si>
  <si>
    <t>1.1.3.1.70.20.29</t>
  </si>
  <si>
    <t>Cursos e treinamentos - Producao</t>
  </si>
  <si>
    <t>1.1.6.1.01</t>
  </si>
  <si>
    <t>1.1.6.1.01.01</t>
  </si>
  <si>
    <t>1.1.6.1.01.01.02</t>
  </si>
  <si>
    <t>1.1.6.1.01.01.02.01</t>
  </si>
  <si>
    <t>1.2.3.1.04</t>
  </si>
  <si>
    <t>Consórcios não contemplados</t>
  </si>
  <si>
    <t>1.2.3.1.04.01</t>
  </si>
  <si>
    <t>BB Administradora de Consórcios Ltda</t>
  </si>
  <si>
    <t>1.2.4.2.07</t>
  </si>
  <si>
    <t>Remessa para Industrialização</t>
  </si>
  <si>
    <t>1.5.1.1.02.03.10.04</t>
  </si>
  <si>
    <t>Remessa para Troca</t>
  </si>
  <si>
    <t>Ademar Pedro Polo</t>
  </si>
  <si>
    <t>Adilson Antonio Bordin</t>
  </si>
  <si>
    <t>Alfredo Mumbelli</t>
  </si>
  <si>
    <t>Amilto Mattei</t>
  </si>
  <si>
    <t>Antonio Vicente Sincovski</t>
  </si>
  <si>
    <t>Claudio Comochena</t>
  </si>
  <si>
    <t>Coop de Desenvolvimento e Prod Agropecua</t>
  </si>
  <si>
    <t>Douglas Zandona</t>
  </si>
  <si>
    <t>Francisco Adao Maroni</t>
  </si>
  <si>
    <t>Ilario Parcianello</t>
  </si>
  <si>
    <t>Lauri Antonio Gubert</t>
  </si>
  <si>
    <t>Luciano Wendramin</t>
  </si>
  <si>
    <t>Marcos Aurelio Casali</t>
  </si>
  <si>
    <t>Miguel Carvalho</t>
  </si>
  <si>
    <t>Miguel Loureiro de Brito</t>
  </si>
  <si>
    <t>Osvaldo Ampessan Rissardi</t>
  </si>
  <si>
    <t>Valmor Odecio Schmidt</t>
  </si>
  <si>
    <t>Vornei Carlos Mattei</t>
  </si>
  <si>
    <t>ADT-C Adelir Capoani</t>
  </si>
  <si>
    <t>ADT-C Ademir Brugnera</t>
  </si>
  <si>
    <t>ADT-C Ademir Francisco Bosqueiro</t>
  </si>
  <si>
    <t>ADT-C Alcemar Boldori</t>
  </si>
  <si>
    <t>ADT-C Alceu Pedro Ritter</t>
  </si>
  <si>
    <t>ADT-C Altair Domingos Dal Pizzol</t>
  </si>
  <si>
    <t>ADT-C Altair Zanella</t>
  </si>
  <si>
    <t>ADT-C Camilo Rissardi</t>
  </si>
  <si>
    <t>ADT-C Cezamar Farina</t>
  </si>
  <si>
    <t>ADT-C Cleomar Jose Mantelli</t>
  </si>
  <si>
    <t>ADT-C Daniel Deveras</t>
  </si>
  <si>
    <t>ADT-C Daniel Zolett</t>
  </si>
  <si>
    <t>ADT-C Dilson Bianchin</t>
  </si>
  <si>
    <t>ADT-C Dinor Job Tortelli</t>
  </si>
  <si>
    <t>ADT-C Elizeu Jose Navarini</t>
  </si>
  <si>
    <t>ADT-C Elvio Danieli</t>
  </si>
  <si>
    <t>ADT-C Euclides Alberto Piana</t>
  </si>
  <si>
    <t>ADT-C Everson Bisatto</t>
  </si>
  <si>
    <t>ADT-C Fernando Jose Badia</t>
  </si>
  <si>
    <t>ADT-C Gilberto Durigon</t>
  </si>
  <si>
    <t>ADT-C Gilberto Mezzomo</t>
  </si>
  <si>
    <t>ADT-C Gustavo Belmiro Caldato</t>
  </si>
  <si>
    <t>ADT-C Ilario Parcianello</t>
  </si>
  <si>
    <t>ADT-C Insuagro Insumos Agricolas Ltda</t>
  </si>
  <si>
    <t>ADT-C Irani Antonio Calgaro</t>
  </si>
  <si>
    <t>ADT-C Ires Bassetto</t>
  </si>
  <si>
    <t>ADT-C Ivalino Zago</t>
  </si>
  <si>
    <t>ADT-C Jaime Zago</t>
  </si>
  <si>
    <t>ADT-C Jair Carlos Dalmolin</t>
  </si>
  <si>
    <t>ADT-C Joanico Guzzo</t>
  </si>
  <si>
    <t>ADT-C Joao Iraci Merlo</t>
  </si>
  <si>
    <t>ADT-C Jocemar Turra</t>
  </si>
  <si>
    <t>ADT-C Jose Balduino Soares</t>
  </si>
  <si>
    <t>ADT-C Jucemar Nichelle</t>
  </si>
  <si>
    <t>ADT-C Julio Valdir Parizotto</t>
  </si>
  <si>
    <t>ADT-C Junior Antonio Gollman e Outros</t>
  </si>
  <si>
    <t>ADT-C Luiz Antonio Link</t>
  </si>
  <si>
    <t>ADT-C Luiz de Moraes</t>
  </si>
  <si>
    <t>ADT-C Marcio Manteli</t>
  </si>
  <si>
    <t>ADT-C Maria Manteli</t>
  </si>
  <si>
    <t>ADT-C Marlei Tres Manteli</t>
  </si>
  <si>
    <t>ADT-C Mauricio Daniel Bocchi</t>
  </si>
  <si>
    <t>ADT-C Neilor Antonelli</t>
  </si>
  <si>
    <t>ADT-C Nelso Antonio Ghizolfi</t>
  </si>
  <si>
    <t>ADT-C Normelio Catusso</t>
  </si>
  <si>
    <t>ADT-C Odair Sergio Didomenico</t>
  </si>
  <si>
    <t>ADT-C Oreste Baldissera</t>
  </si>
  <si>
    <t>ADT-C Paulo Albino Crestani</t>
  </si>
  <si>
    <t>ADT-C Roberto Nicola</t>
  </si>
  <si>
    <t>ADT-C Rogerio Volmir Calgaro</t>
  </si>
  <si>
    <t>ADT-C Rogerio Volmir Calgaro Junior</t>
  </si>
  <si>
    <t>ADT-C Ronaldo Tesser</t>
  </si>
  <si>
    <t>ADT-C Roseli Franchin</t>
  </si>
  <si>
    <t>ADT-C Selio Haach</t>
  </si>
  <si>
    <t>ADT-C Valdemar Deveras</t>
  </si>
  <si>
    <t>ADT-C Valdicir Zamin</t>
  </si>
  <si>
    <t>ADT-C Valdirene Gomes de Souza</t>
  </si>
  <si>
    <t>ADT-C Valter Jose de Costa</t>
  </si>
  <si>
    <t>ADT-C Victor Augusto Ponde Fonseca</t>
  </si>
  <si>
    <t>ADT-C Vilson Steffler</t>
  </si>
  <si>
    <t>ADT-C Vitor Luis Preis Varaschin e Outro</t>
  </si>
  <si>
    <t>ADT-C Walter Alceu Guzzo</t>
  </si>
  <si>
    <t>A Tortelli &amp; Cia Ltda</t>
  </si>
  <si>
    <t>ABBS Curitiba Corretora Ltda</t>
  </si>
  <si>
    <t>AX Comercio e Representacoes Ltda</t>
  </si>
  <si>
    <t>Adelar Rosa</t>
  </si>
  <si>
    <t>Adilson Carnieletto</t>
  </si>
  <si>
    <t>Adolfo Schultz</t>
  </si>
  <si>
    <t>Agro Corretora Magero Gricol Ltda Me</t>
  </si>
  <si>
    <t>Agroflorestal AC &amp; AC Ltda</t>
  </si>
  <si>
    <t>Alcides Silva Carneiro</t>
  </si>
  <si>
    <t>Alexon De Oliveira 04067017928</t>
  </si>
  <si>
    <t>Alfredo Jose Schneider</t>
  </si>
  <si>
    <t>Alipio Magalhaes Maciel</t>
  </si>
  <si>
    <t>Arcelormittal Brasil S A</t>
  </si>
  <si>
    <t>Associacao Comercial e Empresarial de Cl</t>
  </si>
  <si>
    <t>Aurio De Lima</t>
  </si>
  <si>
    <t>Auto Posto Modelo Ltda</t>
  </si>
  <si>
    <t>B Transportes Ltda</t>
  </si>
  <si>
    <t>Balena &amp; Cia Ltda Epp</t>
  </si>
  <si>
    <t>Biogrow Brasil Ltda</t>
  </si>
  <si>
    <t>Brasilquimica Industria e Comercio Ltda</t>
  </si>
  <si>
    <t>Bruno Carlos De Aguiar</t>
  </si>
  <si>
    <t>C Marinho e Marinho Ltda</t>
  </si>
  <si>
    <t>Calcipabra Cal Cimento Pato Branco Ltda</t>
  </si>
  <si>
    <t>Camila Mariano Kohler</t>
  </si>
  <si>
    <t>Cattani Sul Transportes e Turismo Ltda</t>
  </si>
  <si>
    <t>Centro Integrado Para o Desenv do Esport</t>
  </si>
  <si>
    <t>Churrascaria Marvan Ltda  - ME</t>
  </si>
  <si>
    <t>Churrascaria Moretti Ltda</t>
  </si>
  <si>
    <t>Claudecir De Rossi</t>
  </si>
  <si>
    <t>Claudimar Ferron Metalurgica Me</t>
  </si>
  <si>
    <t>Claudir De Almeida Alves Bopp</t>
  </si>
  <si>
    <t>Clodomir Luiz Ascari</t>
  </si>
  <si>
    <t>Comercial Agropecuaria Tijuco Preto Ltda</t>
  </si>
  <si>
    <t>Comercio de Acessorios para Veiculos Pat</t>
  </si>
  <si>
    <t>Comercio de Combustiveis Landin Ltda EPP</t>
  </si>
  <si>
    <t>Comercio de Combustiveis Ruffato Marmele</t>
  </si>
  <si>
    <t>Comercio de Ferragens Palmafer Ltda  EPP</t>
  </si>
  <si>
    <t>Compacta Pavimentos e Artefatos Ltda Me</t>
  </si>
  <si>
    <t>Coronel Retifica de Motores Ltda Me</t>
  </si>
  <si>
    <t>Cotrasa Veiculos e Servicos Ltda</t>
  </si>
  <si>
    <t>Dep de Imprensa Oficial do Estado do Par</t>
  </si>
  <si>
    <t>Derio Rost &amp; Cia Ltda</t>
  </si>
  <si>
    <t>Du Pont do Brasil S A</t>
  </si>
  <si>
    <t>Ecocicle Industria De Reciclados Ltda</t>
  </si>
  <si>
    <t>Eletronica Audio K Claudio Komonski</t>
  </si>
  <si>
    <t>Eloi Machado  ME</t>
  </si>
  <si>
    <t>Empresa Brasileira de Correios e Telegrá</t>
  </si>
  <si>
    <t>Empresa Brasileira de Infra Estrutura Ae</t>
  </si>
  <si>
    <t>Erlon Karlo Lodi Bertochi</t>
  </si>
  <si>
    <t>Everton Luan Schneider</t>
  </si>
  <si>
    <t>Fernando Luiz Klein</t>
  </si>
  <si>
    <t>Flavio Alberto Hoffmann Me</t>
  </si>
  <si>
    <t>Floresvaldo Defranchesqui</t>
  </si>
  <si>
    <t xml:space="preserve">Fort Industria e Comercio De Embalagens </t>
  </si>
  <si>
    <t>G Mezzomo &amp; Mezzomo Ltda</t>
  </si>
  <si>
    <t>Geferson Arcego Me</t>
  </si>
  <si>
    <t>Gilberto T D Passos Guimaraes</t>
  </si>
  <si>
    <t>Gran Real Alimentos Ltda</t>
  </si>
  <si>
    <t>Gustavo de Carvalho Pinto</t>
  </si>
  <si>
    <t>Havan Loja de Departamentos Ltda</t>
  </si>
  <si>
    <t>Henrique Antonio Cazella Maciel</t>
  </si>
  <si>
    <t>Ibelmar Seleme</t>
  </si>
  <si>
    <t>Ilce Cecconi</t>
  </si>
  <si>
    <t>Instrufarma Instrumentos para Laboratori</t>
  </si>
  <si>
    <t>Itacir De Fragas Junior 07029168976</t>
  </si>
  <si>
    <t>Iury Henrique Pedrollo Sarda</t>
  </si>
  <si>
    <t>Ivete Terezinha Bellan</t>
  </si>
  <si>
    <t>Ivo Jose Momolli</t>
  </si>
  <si>
    <t>Ivo Jose Schirrmann</t>
  </si>
  <si>
    <t>J A Maraschim &amp; Cia. Ltda.</t>
  </si>
  <si>
    <t>JGS Ferramentas e Equipamentos Ltda</t>
  </si>
  <si>
    <t>Jadimir Luiz Cora</t>
  </si>
  <si>
    <t>Jair de Costa</t>
  </si>
  <si>
    <t>Jander Luiz Loss Me</t>
  </si>
  <si>
    <t>Jeferson Luiz Jacobsen Me</t>
  </si>
  <si>
    <t>Joao Rosa Dos Santos</t>
  </si>
  <si>
    <t>Jonas Fernando Merlo 06328116926</t>
  </si>
  <si>
    <t>Juliano Ilkiu</t>
  </si>
  <si>
    <t>Kaplan &amp; Piazza Ltda Me</t>
  </si>
  <si>
    <t>Laboratorio de Anali Agronomicas Maravil</t>
  </si>
  <si>
    <t xml:space="preserve">Letra Distribuidora de Publicacoes Ltda </t>
  </si>
  <si>
    <t>Librelato S/A Implementos Rodoviarios</t>
  </si>
  <si>
    <t>Luiz Fernando Veigas</t>
  </si>
  <si>
    <t>Marcelo Andrei Antoniolli</t>
  </si>
  <si>
    <t>Marco Antonio Mendes Loureiro</t>
  </si>
  <si>
    <t>Maria Ines Kozak Romano</t>
  </si>
  <si>
    <t>Molas Parana BR Ltda</t>
  </si>
  <si>
    <t>Nestor Sebben e Cia Ltda</t>
  </si>
  <si>
    <t>Noeli Salete Dal Bosco</t>
  </si>
  <si>
    <t>Ondina Trindade Karloh</t>
  </si>
  <si>
    <t>Palmavel Comercio De Peças P Veiculos Lt</t>
  </si>
  <si>
    <t>Pato Lanches Ltda Me</t>
  </si>
  <si>
    <t>Patoar Comercio de Peças e Acessorios Lt</t>
  </si>
  <si>
    <t>Patricia Froner</t>
  </si>
  <si>
    <t>Patromaq Industria e Recuperadora de Maq</t>
  </si>
  <si>
    <t>Pe de Cedro Industria e Comercio de Made</t>
  </si>
  <si>
    <t>Pedro de Avila</t>
  </si>
  <si>
    <t>Petryaco Industria e Comercio de Aco Ltd</t>
  </si>
  <si>
    <t>Pit Radiadores Ltda Me</t>
  </si>
  <si>
    <t>Procopio Industria e Comercio Ltda</t>
  </si>
  <si>
    <t>Projeta Metal Industria Metalurgica Ltda</t>
  </si>
  <si>
    <t>Rafael Antonio Pazini</t>
  </si>
  <si>
    <t>Raster Rastreamento Ltda</t>
  </si>
  <si>
    <t>Rede Dom Pedro De Postos Ltda</t>
  </si>
  <si>
    <t>Resultar Servicos e Solucoes Ltda</t>
  </si>
  <si>
    <t>Rigrantec Tecnologias para sementes e Pl</t>
  </si>
  <si>
    <t>Rivair Ferreira Andrade</t>
  </si>
  <si>
    <t>Roger Eder Poleto Me</t>
  </si>
  <si>
    <t>Salet Moreira Garcia</t>
  </si>
  <si>
    <t>Sandra Bett Carneiro  ME</t>
  </si>
  <si>
    <t>Sergio Luiz Boesing ME</t>
  </si>
  <si>
    <t>Serralgodao Comercio e Industria Ltda</t>
  </si>
  <si>
    <t>Serraria Koslinski eireli Me</t>
  </si>
  <si>
    <t>Sidarta Covolo Palma</t>
  </si>
  <si>
    <t>Silvana Tonelli &amp; Cia Ltda Me</t>
  </si>
  <si>
    <t>Simone Cristina Tedesco</t>
  </si>
  <si>
    <t>Sirlei Angela Ludwig Hentz  ME</t>
  </si>
  <si>
    <t>Sky Serviços de Banda Larga Ltda</t>
  </si>
  <si>
    <t>Sulreal Comercio de Pneus Ltda</t>
  </si>
  <si>
    <t>Supertools Locacoes e Manutencao Industr</t>
  </si>
  <si>
    <t>Supricom Comunicacao Visual Eireli Me</t>
  </si>
  <si>
    <t>Susana Francieli Trindade 02891785924</t>
  </si>
  <si>
    <t>Terezinha E Quadros Ruaro</t>
  </si>
  <si>
    <t>Tiago Ferreira Dos Santos</t>
  </si>
  <si>
    <t>Tokio Marine Seguradora S A</t>
  </si>
  <si>
    <t>Transangelo Transportes Coletivos Ltda E</t>
  </si>
  <si>
    <t>Trator Pecas Tupy Ltda</t>
  </si>
  <si>
    <t>V E Testolin &amp; Cia Ltda Me</t>
  </si>
  <si>
    <t>Vanderlei Tente ME</t>
  </si>
  <si>
    <t>Vrs Agronegocios Ltda Me</t>
  </si>
  <si>
    <t>Zanin Materiais de Construcao Ltda</t>
  </si>
  <si>
    <t>ADT-C Agro Mundial Comercio De Insumos Agricol</t>
  </si>
  <si>
    <t>ADT-C Bioagro Comercial Agropecuaria Ltda</t>
  </si>
  <si>
    <t>ADT-C Cooperativa Regional Auriverde</t>
  </si>
  <si>
    <t>ADT-C Cooperativa de Transportes Bom Retiro</t>
  </si>
  <si>
    <t>ADT-C Elieser Araldi</t>
  </si>
  <si>
    <t>ADT-C Marcos Clock</t>
  </si>
  <si>
    <t>ADT-C Mariana Copini</t>
  </si>
  <si>
    <t>ADT-C Mario Berti</t>
  </si>
  <si>
    <t>ADT-C Mauro Hahn</t>
  </si>
  <si>
    <t>ADT-C Ouro Safra Industria e Comercio Ltda</t>
  </si>
  <si>
    <t>ADT-C Pamplona Alimentos S A</t>
  </si>
  <si>
    <t>ADT-C Schwab &amp; Lacerda Ltda Me</t>
  </si>
  <si>
    <t>ADT-C Seara Alimentos Ltda</t>
  </si>
  <si>
    <t>ADT-C Sollo Sul Insumos Agricolas Ltda</t>
  </si>
  <si>
    <t>ADT-C Terra Comercio e Exportacao de Cereais L</t>
  </si>
  <si>
    <t>ADT-C Valdecir Loss</t>
  </si>
  <si>
    <t>ADT-C Valentin Marchioro</t>
  </si>
  <si>
    <t>CAP-S: Adelar Loregian</t>
  </si>
  <si>
    <t>CAP-S: Anderson Fornari</t>
  </si>
  <si>
    <t>CAP-S: Andre Luiz Fabian</t>
  </si>
  <si>
    <t>CAP-S: Claudimir Luiz Tretto</t>
  </si>
  <si>
    <t>CAP-S: Edson Luiz Gregolin</t>
  </si>
  <si>
    <t>CAP-S: Ilario Parcianello</t>
  </si>
  <si>
    <t>CAP-S: Joao Pedro Sincovski</t>
  </si>
  <si>
    <t>CAP-S: Jocemara Ghizolfi Fornari</t>
  </si>
  <si>
    <t>CAP-S: Jorge Rosa</t>
  </si>
  <si>
    <t>CAP-S: Lauri Antonio Gubert</t>
  </si>
  <si>
    <t>CAP-S: Leonel Borges</t>
  </si>
  <si>
    <t>CAP-S: Luiz Kukul</t>
  </si>
  <si>
    <t>CAP-S: Maria Ines Baldissera Tres</t>
  </si>
  <si>
    <t>CAP-S: Oreste Baldissera</t>
  </si>
  <si>
    <t>CAP-S: Roney Jose da Veiga</t>
  </si>
  <si>
    <t>CAP-S: Valdicir Zamin</t>
  </si>
  <si>
    <t>CAP-S: Valmor Odecio Schmidt</t>
  </si>
  <si>
    <t>CAP-S: Vitor Rodolfo Tomazetto</t>
  </si>
  <si>
    <t>2.5.1.1.02.03.10.04</t>
  </si>
  <si>
    <t>Mercadoria Remetida para Troca</t>
  </si>
  <si>
    <t>3.1.1.1.01.01.02.15</t>
  </si>
  <si>
    <t>3.1.1.1.01.01.02.15.01</t>
  </si>
  <si>
    <t>3.1.1.1.01.01.03.15</t>
  </si>
  <si>
    <t>3.1.1.1.01.01.03.15.01</t>
  </si>
  <si>
    <t>3.1.1.1.02.01.02.09</t>
  </si>
  <si>
    <t>3.1.1.1.02.01.02.09.01</t>
  </si>
  <si>
    <t>3.1.1.1.02.01.04.15</t>
  </si>
  <si>
    <t>3.1.1.1.02.01.04.15.01</t>
  </si>
  <si>
    <t>3.1.1.1.02.01.06.09</t>
  </si>
  <si>
    <t>3.1.1.1.02.01.06.09.01</t>
  </si>
  <si>
    <t>3.1.1.1.02.02.03</t>
  </si>
  <si>
    <t>3.1.1.1.02.02.03.01</t>
  </si>
  <si>
    <t>3.1.1.1.02.02.03.01.01</t>
  </si>
  <si>
    <t>3.1.1.1.02.02.03.20</t>
  </si>
  <si>
    <t>3.1.1.1.02.02.03.20.01</t>
  </si>
  <si>
    <t>3.1.1.1.02.02.10.15</t>
  </si>
  <si>
    <t>(-) Deduções dos Ingressos</t>
  </si>
  <si>
    <t>3.1.1.1.02.02.10.15.01</t>
  </si>
  <si>
    <t>(-) Devoluções dos Ingressos</t>
  </si>
  <si>
    <t>3.1.1.1.02.03.09.15</t>
  </si>
  <si>
    <t>3.1.1.1.02.03.09.15.01</t>
  </si>
  <si>
    <t>3.1.1.1.02.03.09.17</t>
  </si>
  <si>
    <t>3.1.1.1.02.03.09.17.01</t>
  </si>
  <si>
    <t>3.1.1.1.03.01.04.20</t>
  </si>
  <si>
    <t>3.1.1.1.03.01.04.20.01</t>
  </si>
  <si>
    <t>3.1.1.1.50.01.03.01</t>
  </si>
  <si>
    <t>3.1.1.1.50.01.03.01.01</t>
  </si>
  <si>
    <t>3.1.1.1.50.01.03.15</t>
  </si>
  <si>
    <t>3.1.1.1.50.01.03.15.01</t>
  </si>
  <si>
    <t>3.1.1.1.50.01.03.17</t>
  </si>
  <si>
    <t>3.1.1.1.50.01.03.17.01</t>
  </si>
  <si>
    <t>3.1.1.1.50.02.03</t>
  </si>
  <si>
    <t>3.1.1.1.50.02.03.01</t>
  </si>
  <si>
    <t>3.1.1.1.50.02.03.01.01</t>
  </si>
  <si>
    <t>3.1.1.1.50.02.03.15</t>
  </si>
  <si>
    <t>3.1.1.1.50.02.03.15.01</t>
  </si>
  <si>
    <t>3.1.1.1.50.02.03.17</t>
  </si>
  <si>
    <t>3.1.1.1.50.02.03.17.01</t>
  </si>
  <si>
    <t>3.1.1.1.50.02.03.20</t>
  </si>
  <si>
    <t>3.1.1.1.50.02.03.20.01</t>
  </si>
  <si>
    <t>3.1.1.2.01.01.03.04</t>
  </si>
  <si>
    <t>(-) Deducao de Ingressos Servicos</t>
  </si>
  <si>
    <t>3.1.1.2.01.01.03.04.01</t>
  </si>
  <si>
    <t>3.1.1.3.01.01.01.04.61</t>
  </si>
  <si>
    <t>Refeicoes Gerenciais</t>
  </si>
  <si>
    <t>3.1.1.3.01.01.01.07.01</t>
  </si>
  <si>
    <t>3.1.1.3.01.01.01.07.02</t>
  </si>
  <si>
    <t>Imposto Predial E Territorial</t>
  </si>
  <si>
    <t>3.1.1.3.01.01.01.11.07</t>
  </si>
  <si>
    <t>Promoção Social (Rates)</t>
  </si>
  <si>
    <t>3.1.1.5.01.13</t>
  </si>
  <si>
    <t>Outros descontos concedidos</t>
  </si>
  <si>
    <t>3.1.1.6.10.02</t>
  </si>
  <si>
    <t>Recuperacao de Creditos Fiscais</t>
  </si>
  <si>
    <t>3.2.1.1.01.01.02.15</t>
  </si>
  <si>
    <t>3.2.1.1.01.01.02.15.01</t>
  </si>
  <si>
    <t>3.2.1.1.01.01.03.15</t>
  </si>
  <si>
    <t>3.2.1.1.01.01.03.15.01</t>
  </si>
  <si>
    <t>3.2.1.1.02.02.01.15</t>
  </si>
  <si>
    <t>3.2.1.1.02.02.01.15.01</t>
  </si>
  <si>
    <t>3.2.1.1.02.02.03</t>
  </si>
  <si>
    <t>3.2.1.1.02.02.03.01</t>
  </si>
  <si>
    <t>3.2.1.1.02.02.03.01.01</t>
  </si>
  <si>
    <t>3.2.1.1.02.02.03.17</t>
  </si>
  <si>
    <t>3.2.1.1.02.02.03.17.01</t>
  </si>
  <si>
    <t>3.2.1.1.02.02.03.20</t>
  </si>
  <si>
    <t>3.2.1.1.02.02.03.20.01</t>
  </si>
  <si>
    <t>3.2.1.1.02.02.04</t>
  </si>
  <si>
    <t>3.2.1.1.02.02.04.20</t>
  </si>
  <si>
    <t>3.2.1.1.02.02.04.20.01</t>
  </si>
  <si>
    <t>3.2.1.1.02.02.06</t>
  </si>
  <si>
    <t>3.2.1.1.02.02.06.01</t>
  </si>
  <si>
    <t>3.2.1.1.02.02.06.01.01</t>
  </si>
  <si>
    <t>3.2.1.1.02.02.06.15</t>
  </si>
  <si>
    <t>3.2.1.1.02.02.06.15.01</t>
  </si>
  <si>
    <t>3.2.1.1.02.02.06.20</t>
  </si>
  <si>
    <t>3.2.1.1.02.02.06.20.01</t>
  </si>
  <si>
    <t>3.2.1.1.02.02.07</t>
  </si>
  <si>
    <t>3.2.1.1.02.02.07.20</t>
  </si>
  <si>
    <t>3.2.1.1.02.02.07.20.01</t>
  </si>
  <si>
    <t>3.2.1.1.02.03.09</t>
  </si>
  <si>
    <t>3.2.1.1.02.03.09.01</t>
  </si>
  <si>
    <t>3.2.1.1.02.03.09.01.01</t>
  </si>
  <si>
    <t>3.2.1.1.02.03.09.20</t>
  </si>
  <si>
    <t>3.2.1.1.02.03.09.20.01</t>
  </si>
  <si>
    <t>3.2.1.1.02.03.10.09</t>
  </si>
  <si>
    <t>3.2.1.1.02.03.10.09.01</t>
  </si>
  <si>
    <t>Bonificações Recebidas</t>
  </si>
  <si>
    <t>3.2.1.1.50.01.03</t>
  </si>
  <si>
    <t>3.2.1.1.50.01.03.01</t>
  </si>
  <si>
    <t>3.2.1.1.50.01.03.01.01</t>
  </si>
  <si>
    <t>3.2.1.1.50.01.03.15</t>
  </si>
  <si>
    <t>(-) Deducoes de Vendas</t>
  </si>
  <si>
    <t>3.2.1.1.50.01.03.15.01</t>
  </si>
  <si>
    <t>3.2.1.1.50.01.03.17</t>
  </si>
  <si>
    <t>3.2.1.1.50.01.03.17.01</t>
  </si>
  <si>
    <t>3.2.1.1.50.01.03.20</t>
  </si>
  <si>
    <t>3.2.1.1.50.01.03.20.01</t>
  </si>
  <si>
    <t>3.2.1.1.50.02.03</t>
  </si>
  <si>
    <t>3.2.1.1.50.02.03.01</t>
  </si>
  <si>
    <t>3.2.1.1.50.02.03.01.01</t>
  </si>
  <si>
    <t>3.2.1.1.50.02.03.15</t>
  </si>
  <si>
    <t>3.2.1.1.50.02.03.15.01</t>
  </si>
  <si>
    <t>3.2.1.1.50.02.03.17</t>
  </si>
  <si>
    <t>(-) Impostos Incidentes Sobre o ato nao cooperativ</t>
  </si>
  <si>
    <t>3.2.1.1.50.02.03.17.01</t>
  </si>
  <si>
    <t>3.2.1.1.50.02.03.20</t>
  </si>
  <si>
    <t>3.2.1.1.50.02.03.20.01</t>
  </si>
  <si>
    <t>3.2.1.5.01.05</t>
  </si>
  <si>
    <t>3.2.1.5.01.12</t>
  </si>
  <si>
    <t>Descontos concedidos pontualidade</t>
  </si>
  <si>
    <t>3.2.1.5.01.13</t>
  </si>
  <si>
    <t>3.2.1.5.02.05</t>
  </si>
  <si>
    <t>3.2.1.6.10.04</t>
  </si>
  <si>
    <t>3.2.1.5.02.03</t>
  </si>
  <si>
    <t>(-) Pis sobre receitas financeiras</t>
  </si>
  <si>
    <t>3.2.1.5.02.04</t>
  </si>
  <si>
    <t>(-) Cofins sobre receitas financeiras</t>
  </si>
  <si>
    <t>( - ) IMPOSTOS SOBRE RECEITA</t>
  </si>
  <si>
    <t>Alberto Santin</t>
  </si>
  <si>
    <t>Alfeu Araldi</t>
  </si>
  <si>
    <t>Andre Eneas Regoso</t>
  </si>
  <si>
    <t>Arcelino Schmitt de Souza</t>
  </si>
  <si>
    <t>Carmo da Silva</t>
  </si>
  <si>
    <t>Cleiton de Re</t>
  </si>
  <si>
    <t>Daniel Bez</t>
  </si>
  <si>
    <t>Daniel Busanello</t>
  </si>
  <si>
    <t>Delma Maria Tamagno Biff</t>
  </si>
  <si>
    <t>Deomir Bonavigo</t>
  </si>
  <si>
    <t>Diego Elias Strapasson</t>
  </si>
  <si>
    <t>Domingos Antonio Luvison</t>
  </si>
  <si>
    <t>Dorvalino Fiorentin</t>
  </si>
  <si>
    <t>Fernando Palaro</t>
  </si>
  <si>
    <t>Francieli Seganfredo Furlani</t>
  </si>
  <si>
    <t>Glaci Jacir Furlani</t>
  </si>
  <si>
    <t>Jandir Deliberal</t>
  </si>
  <si>
    <t>Jean Carlos Bernardi</t>
  </si>
  <si>
    <t>Joao Batista Madruga</t>
  </si>
  <si>
    <t>Joao Rizzardi</t>
  </si>
  <si>
    <t>Josemar Stefanello Rigon</t>
  </si>
  <si>
    <t>Lirio Armelindo Dalmolin Dalla Costa</t>
  </si>
  <si>
    <t>Lisangela Maroni</t>
  </si>
  <si>
    <t>Luiz Kukul</t>
  </si>
  <si>
    <t>Mauricio Daniel Bocchi</t>
  </si>
  <si>
    <t>Monica de Ros Deitos</t>
  </si>
  <si>
    <t>Neri da Silva</t>
  </si>
  <si>
    <t>Nilseo Edson Bender</t>
  </si>
  <si>
    <t>Pedro Flavio Reis Filho</t>
  </si>
  <si>
    <t>Roberto Carlos Frizon</t>
  </si>
  <si>
    <t>Rubens Jose Radaelli</t>
  </si>
  <si>
    <t>Sadi Dos Santos</t>
  </si>
  <si>
    <t>Sadi Marcolina</t>
  </si>
  <si>
    <t>Sergio Danielli</t>
  </si>
  <si>
    <t>Sidney Zatera</t>
  </si>
  <si>
    <t>Solismar Marcante</t>
  </si>
  <si>
    <t>Vanderlei Pavao Machado</t>
  </si>
  <si>
    <t>Vanderlei Ricardo Bender</t>
  </si>
  <si>
    <t>ADT-F Ceneagro Centro de Negocios Agropecuario</t>
  </si>
  <si>
    <t>Acir Bresciani</t>
  </si>
  <si>
    <t>Ademir Bortolini</t>
  </si>
  <si>
    <t>Agricola Ghava Ltda</t>
  </si>
  <si>
    <t>Agromaj Insumos Agricolas Ltda</t>
  </si>
  <si>
    <t>Alimentos Dona Eulalia ME</t>
  </si>
  <si>
    <t>Allpago Servicos De Pagamento e Cobranca</t>
  </si>
  <si>
    <t>Antonio Telmo Magnabosco</t>
  </si>
  <si>
    <t>Apple Computador Brasil Ltda</t>
  </si>
  <si>
    <t>Arno Dalla Costa</t>
  </si>
  <si>
    <t>Banco Safra SA</t>
  </si>
  <si>
    <t>Bcash Intermediacao de Negocios Ltda</t>
  </si>
  <si>
    <t>CGM Representacao Comercial Ltda</t>
  </si>
  <si>
    <t>Carla Todescatto</t>
  </si>
  <si>
    <t>Cerealista Feijao De Ouro Ltda</t>
  </si>
  <si>
    <t>Cia de Desenvolvimento Agrop do Parana C</t>
  </si>
  <si>
    <t>Clecio Loss Me</t>
  </si>
  <si>
    <t>Cleusa Pegoraro Soares</t>
  </si>
  <si>
    <t>Cooperativa Central Aurora Alimentos</t>
  </si>
  <si>
    <t>Dalfa Comercial E Eletronica Eireli</t>
  </si>
  <si>
    <t>Dell Computadores do Brasil Ltda</t>
  </si>
  <si>
    <t>Dilso Miotto</t>
  </si>
  <si>
    <t>Douglas Zilli</t>
  </si>
  <si>
    <t>Elieser Araldi</t>
  </si>
  <si>
    <t>Empresa Brasileira de Pesquisa Agropecua</t>
  </si>
  <si>
    <t>Empresa Hotelaria Rafagnin Andreola Ltda</t>
  </si>
  <si>
    <t xml:space="preserve">Formac Com Ind e Represent de Alimentos </t>
  </si>
  <si>
    <t>Futuragro Distribuidora de Insumos Agric</t>
  </si>
  <si>
    <t>Gelson Antonio Meoti - EPP</t>
  </si>
  <si>
    <t>Gilmar Antonio Lopes Santana</t>
  </si>
  <si>
    <t>Glencore Importadora e Exportadora S/A</t>
  </si>
  <si>
    <t>Gotardo Pagnoncelli</t>
  </si>
  <si>
    <t>Ivan Luiz Vanz</t>
  </si>
  <si>
    <t>Ivonei Marcolina</t>
  </si>
  <si>
    <t>Jose Fabriciano Laudelino</t>
  </si>
  <si>
    <t>Juventino Trindade Sobrinho</t>
  </si>
  <si>
    <t>Kaizer Corretora de Cereais Ltda</t>
  </si>
  <si>
    <t>Luciano Caprini</t>
  </si>
  <si>
    <t>Marcelo Nicolao</t>
  </si>
  <si>
    <t>Maria Rotilli Cola</t>
  </si>
  <si>
    <t>Maria de Lurdes C. Da Silva</t>
  </si>
  <si>
    <t>Microsafe Informatica Comercio Exportaca</t>
  </si>
  <si>
    <t>NJF Industria e Comercio Ltda</t>
  </si>
  <si>
    <t>Neuro Raimundo Monteiro</t>
  </si>
  <si>
    <t>Pack Banners Industria de Embalagens Ltd</t>
  </si>
  <si>
    <t xml:space="preserve">Precisao Rural Com De Prod Agropecuaria </t>
  </si>
  <si>
    <t>Pressotto e Cia Ltda Me</t>
  </si>
  <si>
    <t>Selesio Bedin</t>
  </si>
  <si>
    <t>Setembrino Webber</t>
  </si>
  <si>
    <t>Thor do Brasil Agronegocios</t>
  </si>
  <si>
    <t>Turim Fertilizantes Beltrao Ltda</t>
  </si>
  <si>
    <t>V W Comercial De Cereais Ltda Epp</t>
  </si>
  <si>
    <t>Vilson Sambugaro</t>
  </si>
  <si>
    <t>Visoja Comercio de Insumos Agricolas Ltd</t>
  </si>
  <si>
    <t>Zeagro Comercial Agricola Ltda</t>
  </si>
  <si>
    <t>1.1.2.2.13.10</t>
  </si>
  <si>
    <t>Cheques A Receber de Não Cooperados</t>
  </si>
  <si>
    <t>ADT-F Cooperfertil Cooperativa Agricola</t>
  </si>
  <si>
    <t>ADT-F Jose Carlos Momesso</t>
  </si>
  <si>
    <t>1.1.3.1.01.02.01.02.02</t>
  </si>
  <si>
    <t>1.1.3.1.02.01.03.54.02</t>
  </si>
  <si>
    <t>1.1.3.1.02.02.03.20</t>
  </si>
  <si>
    <t>1.1.3.1.02.02.03.20.02</t>
  </si>
  <si>
    <t>Bonificação Recebida de Não Cooperado</t>
  </si>
  <si>
    <t>1.1.3.1.02.02.09</t>
  </si>
  <si>
    <t>1.1.3.1.02.02.09.02</t>
  </si>
  <si>
    <t>1.1.3.1.02.02.09.02.01</t>
  </si>
  <si>
    <t>1.1.3.1.02.02.10.02.02</t>
  </si>
  <si>
    <t>Compra de Mercadorias - Nao Cooperados</t>
  </si>
  <si>
    <t>1.1.3.1.02.02.10.54</t>
  </si>
  <si>
    <t>1.1.3.1.02.02.10.54.01</t>
  </si>
  <si>
    <t>1.1.3.1.02.03.08</t>
  </si>
  <si>
    <t>1.1.3.1.02.03.08.02</t>
  </si>
  <si>
    <t>1.1.3.1.02.03.08.02.01</t>
  </si>
  <si>
    <t>1.1.3.1.02.03.08.02.02</t>
  </si>
  <si>
    <t>1.1.3.1.02.03.10.54</t>
  </si>
  <si>
    <t>(-) Saidas por Devolucao</t>
  </si>
  <si>
    <t>1.1.3.1.02.03.10.54.01</t>
  </si>
  <si>
    <t>(-) Devolucao de Compras</t>
  </si>
  <si>
    <t>1.1.3.1.02.03.10.70.01</t>
  </si>
  <si>
    <t>1.1.3.1.03.01.03.70</t>
  </si>
  <si>
    <t>1.1.3.1.03.01.03.70.01</t>
  </si>
  <si>
    <t>1.1.3.1.03.01.06.50.02</t>
  </si>
  <si>
    <t>(-) Custo das Vendas - Não Cooperados</t>
  </si>
  <si>
    <t>1.1.3.1.04.01.01.08</t>
  </si>
  <si>
    <t>1.1.3.1.04.01.01.08.02</t>
  </si>
  <si>
    <t>1.1.3.1.04.01.01.56</t>
  </si>
  <si>
    <t>1.1.3.1.04.01.01.56.02</t>
  </si>
  <si>
    <t>1.1.4.1.01.01.04.04</t>
  </si>
  <si>
    <t>1.1.4.1.01.01.11</t>
  </si>
  <si>
    <t>Resíduo</t>
  </si>
  <si>
    <t>1.1.4.1.01.01.11.01</t>
  </si>
  <si>
    <t>Mercadorias em depósito a fixar</t>
  </si>
  <si>
    <t>1.1.6.1.02.02.03.02</t>
  </si>
  <si>
    <t>1.1.6.1.02.02.07</t>
  </si>
  <si>
    <t>1.1.6.1.02.02.07.02</t>
  </si>
  <si>
    <t>Compra para entrega futura</t>
  </si>
  <si>
    <t>Aleones Marcos Vidor Junior</t>
  </si>
  <si>
    <t>Alvides Augusto Hermann</t>
  </si>
  <si>
    <t>Anisia Stadnik Zummach</t>
  </si>
  <si>
    <t>Antonio Bisello</t>
  </si>
  <si>
    <t>Antonio Formentao</t>
  </si>
  <si>
    <t>Bastiao Souza Machado</t>
  </si>
  <si>
    <t>Carlos Iris Geremia</t>
  </si>
  <si>
    <t>Celda Chaves Soares</t>
  </si>
  <si>
    <t>Cezar Franki dos Santos Carneiro</t>
  </si>
  <si>
    <t>Clovis Antonio Rufatto</t>
  </si>
  <si>
    <t>Cooperativa Agraria Agroindustrial</t>
  </si>
  <si>
    <t>Dalton Fernande Staejak</t>
  </si>
  <si>
    <t>Edite Dagios</t>
  </si>
  <si>
    <t>Euremia Kozelinski Hupalo</t>
  </si>
  <si>
    <t>Gilberto Fabricio</t>
  </si>
  <si>
    <t>Ivaldino Marin Guerini</t>
  </si>
  <si>
    <t>Jairi Pereira de Souza da Silva</t>
  </si>
  <si>
    <t>Jocemara Ghizolfi Fornari</t>
  </si>
  <si>
    <t>Joelcio Frizon</t>
  </si>
  <si>
    <t>Jose Aldair Beck Carpes</t>
  </si>
  <si>
    <t>Luiz Biazzolo</t>
  </si>
  <si>
    <t>Mauro Bordin</t>
  </si>
  <si>
    <t>Noacir Schmitt de Souza</t>
  </si>
  <si>
    <t>Sadi Fidelis de Oliveira</t>
  </si>
  <si>
    <t>Valdecir Antonio Schiochet</t>
  </si>
  <si>
    <t>Vanir Jose Sgarbossa</t>
  </si>
  <si>
    <t>Walmor Antonio Fossa</t>
  </si>
  <si>
    <t>ADT-C Adilson Rissardi</t>
  </si>
  <si>
    <t>ADT-C Alcides De Franceschi Leonardi</t>
  </si>
  <si>
    <t>ADT-C Alex Alves Fardo</t>
  </si>
  <si>
    <t>ADT-C Andre Luiz Fabian</t>
  </si>
  <si>
    <t>ADT-C Avelino Antonio Panhosatto</t>
  </si>
  <si>
    <t>ADT-C Cleonice Perusso</t>
  </si>
  <si>
    <t>ADT-C Cooperdaluz Cooperativa Agroindustrial</t>
  </si>
  <si>
    <t>ADT-C Dilso Luiz Paglia</t>
  </si>
  <si>
    <t>ADT-C Dirceu Jose Rufatto</t>
  </si>
  <si>
    <t>ADT-C Eder Quinto Salvadori Desconsi</t>
  </si>
  <si>
    <t>ADT-C Edson Nei Salvadori Desconsi</t>
  </si>
  <si>
    <t>ADT-C Flavio Cesar Ascari</t>
  </si>
  <si>
    <t>ADT-C Francieli Seganfredo Furlani</t>
  </si>
  <si>
    <t>ADT-C Francisco Tombini Tomassoni</t>
  </si>
  <si>
    <t>ADT-C Glaci Jacir Furlani</t>
  </si>
  <si>
    <t>ADT-C Heinbert Sand</t>
  </si>
  <si>
    <t>ADT-C Helio Capeletti</t>
  </si>
  <si>
    <t>ADT-C Idemar Francisco Martarello</t>
  </si>
  <si>
    <t>ADT-C Ilson Guerra</t>
  </si>
  <si>
    <t>ADT-C Jacir Clai Brustolin</t>
  </si>
  <si>
    <t>ADT-C Jair Gonçalves de Almeida</t>
  </si>
  <si>
    <t>ADT-C Jean Carlos Bernardi</t>
  </si>
  <si>
    <t>ADT-C Jocimar Antonio Caldatto</t>
  </si>
  <si>
    <t>ADT-C Jose Antonio Stefanello Rigon</t>
  </si>
  <si>
    <t>ADT-C Juliano Roger Almeida</t>
  </si>
  <si>
    <t>ADT-C Lindemar de Oliveira Vieira</t>
  </si>
  <si>
    <t>ADT-C Marcelo Jose Binotto</t>
  </si>
  <si>
    <t>ADT-C Maris Adriana Covatti</t>
  </si>
  <si>
    <t>ADT-C Modesto Favero</t>
  </si>
  <si>
    <t>ADT-C Norihisa Abe</t>
  </si>
  <si>
    <t>ADT-C Olir Jose Paludo</t>
  </si>
  <si>
    <t>ADT-C Orlando Damo</t>
  </si>
  <si>
    <t>ADT-C Renan Fernando Vidor</t>
  </si>
  <si>
    <t>ADT-C Roberto Carlos Frizon</t>
  </si>
  <si>
    <t>ADT-C Valdemar Binotto</t>
  </si>
  <si>
    <t>ADT-C Vania Simone Sfoggia</t>
  </si>
  <si>
    <t>ADT-C Wilson Almeida Olivo</t>
  </si>
  <si>
    <t>Abclog Brasil Ltda Epp</t>
  </si>
  <si>
    <t>Acipar Lubrificantes Ltda</t>
  </si>
  <si>
    <t>Adacir Joao Maia</t>
  </si>
  <si>
    <t>Adair Jose Nunes da Silva</t>
  </si>
  <si>
    <t>Adelio Luiz Remussi  Me</t>
  </si>
  <si>
    <t>Ademir Roberto Pelizzari</t>
  </si>
  <si>
    <t>Adicar Comercio de Pecas e Acessorios Lt</t>
  </si>
  <si>
    <t>Adriano B Machado ME</t>
  </si>
  <si>
    <t>Agro Mundo Negocios e Transportes Ltda M</t>
  </si>
  <si>
    <t>Agrokac Comercio e Representcoes Agrp Lt</t>
  </si>
  <si>
    <t>Agronegocios Com e Servicos Schevinsky L</t>
  </si>
  <si>
    <t>Agustinho Holek</t>
  </si>
  <si>
    <t>Alairton Seleri</t>
  </si>
  <si>
    <t>Alcemar Mascaranha de Oliveira</t>
  </si>
  <si>
    <t>Ald Agronegocios Ltda ME</t>
  </si>
  <si>
    <t>Altair Antonio Tomassoni</t>
  </si>
  <si>
    <t>Amanda Muchalak</t>
  </si>
  <si>
    <t>America do Sul Servicos Aeronauticos Ltd</t>
  </si>
  <si>
    <t>Anderson Brondani</t>
  </si>
  <si>
    <t>Andre Luiz Ramos Fernandes</t>
  </si>
  <si>
    <t>Andresa Simoes e Cia Ltda</t>
  </si>
  <si>
    <t>Anirio Santos da Silva</t>
  </si>
  <si>
    <t>Antenor Inacio Marczinski</t>
  </si>
  <si>
    <t>Antonio Chagas da Rosa</t>
  </si>
  <si>
    <t>Antonio Craodenor Brito</t>
  </si>
  <si>
    <t>Antonio De Oliveira Kohler</t>
  </si>
  <si>
    <t>Antonio de Souza Machado</t>
  </si>
  <si>
    <t>App Escola De Educacao Basica Claudino C</t>
  </si>
  <si>
    <t>Arcebiades Fabricio</t>
  </si>
  <si>
    <t>Arno Joao Casagrande</t>
  </si>
  <si>
    <t>Associacao Cultural Esportiva Nipo Brasi</t>
  </si>
  <si>
    <t>Atami Forros e Divisorias Ltda</t>
  </si>
  <si>
    <t>Atelnex Telecomunicacoes Ltda EPP</t>
  </si>
  <si>
    <t>Atriunfo Compensados</t>
  </si>
  <si>
    <t>Auto Mecanica R.L.P Ltda</t>
  </si>
  <si>
    <t>Auto Posto Do Trevo Da Boa Vista Ltda Ep</t>
  </si>
  <si>
    <t>Avant Industria e Com de Prod Sinteticos</t>
  </si>
  <si>
    <t>Battistin &amp; Pagnocelli Ltda ME</t>
  </si>
  <si>
    <t>Bennesh Artefatos De Couro Ltda</t>
  </si>
  <si>
    <t>Carlos Becker Metalurgica Industrial Ltd</t>
  </si>
  <si>
    <t>Carlos Eduardo Sartor</t>
  </si>
  <si>
    <t>Carlos Jose Barancelli</t>
  </si>
  <si>
    <t>Carlos Lohn</t>
  </si>
  <si>
    <t>Carlos Volpato</t>
  </si>
  <si>
    <t>Celso Feldkircher</t>
  </si>
  <si>
    <t>Celso Mariani</t>
  </si>
  <si>
    <t>Central Eletrica e Materiais de Construc</t>
  </si>
  <si>
    <t>Cerealista Link Ltda</t>
  </si>
  <si>
    <t>Cesar Augusto Lefechak</t>
  </si>
  <si>
    <t>Cintia Mara Joner ME</t>
  </si>
  <si>
    <t>Clair Moraes e Sonia Mara S C Moraes</t>
  </si>
  <si>
    <t>Claudiomiro Melo</t>
  </si>
  <si>
    <t>Cleuza Spier</t>
  </si>
  <si>
    <t>Clevepar Com de Ferragens Ltda Me</t>
  </si>
  <si>
    <t>Clinica Radiologica Sudoeste Ltda</t>
  </si>
  <si>
    <t>Coingra Comercio de Insumos Agricolas Lt</t>
  </si>
  <si>
    <t>Colegio Registral Imobiliario De Santa C</t>
  </si>
  <si>
    <t>Comando Da Aeronautica</t>
  </si>
  <si>
    <t>Comercio De Combustiveis Landin Ltda</t>
  </si>
  <si>
    <t>Comercio de Combustiveis Rufatto Ltda</t>
  </si>
  <si>
    <t>Cooperativa Agroindustrial Alfa</t>
  </si>
  <si>
    <t>Crisag Industria e Comercio De Brindes L</t>
  </si>
  <si>
    <t>D &amp; L Ltda ME</t>
  </si>
  <si>
    <t>Dalvan Rai Gepfrie</t>
  </si>
  <si>
    <t>Darci Luis Negri</t>
  </si>
  <si>
    <t>Delmir Valandro</t>
  </si>
  <si>
    <t>Derivados de Cimento Pato Branco Ltda</t>
  </si>
  <si>
    <t>Diana Donde</t>
  </si>
  <si>
    <t>ET do Brasil Ltda</t>
  </si>
  <si>
    <t>Edgard De Almeida Bello</t>
  </si>
  <si>
    <t>Eduarda Boldori</t>
  </si>
  <si>
    <t>Elenir Maffissoni &amp; Cia Ltda ME</t>
  </si>
  <si>
    <t>Elizangela Ersego</t>
  </si>
  <si>
    <t>Elso Pacheco</t>
  </si>
  <si>
    <t>Empresa Brasileira De Pesquisa Agropecua</t>
  </si>
  <si>
    <t>Ermelinda Vendrame</t>
  </si>
  <si>
    <t>Ernesto Elias Piassa</t>
  </si>
  <si>
    <t>Escola Especial Pequeno Guinther -  APAE</t>
  </si>
  <si>
    <t>Estancia Hidrotermal Vere Ltda</t>
  </si>
  <si>
    <t>Eugenio Francisco Pasquetti</t>
  </si>
  <si>
    <t>Evair Capoani</t>
  </si>
  <si>
    <t>Ewerton Dal Olmo 049554089999</t>
  </si>
  <si>
    <t>Ezaul Zillmer</t>
  </si>
  <si>
    <t>Fabio Alves Senchechen Me</t>
  </si>
  <si>
    <t>Farmacia e Drogaria Nissei S/A</t>
  </si>
  <si>
    <t>Fca Fiat Chrysler Automoveis Brasil Ltda</t>
  </si>
  <si>
    <t>Ferazzo Comercio de Materiais de Constru</t>
  </si>
  <si>
    <t>Fernandes &amp; Fernandes Com Combustiveis e</t>
  </si>
  <si>
    <t>Fernando Brusamarello Spader</t>
  </si>
  <si>
    <t>Fiorelo Cassol</t>
  </si>
  <si>
    <t>Friotech Tecn Avanc Em Sist De Refrig In</t>
  </si>
  <si>
    <t>Fumigrao Comercio Produtos Expurgo de Gr</t>
  </si>
  <si>
    <t>Fundacao Pro Sementes de Apoio A Pesquis</t>
  </si>
  <si>
    <t>Fundo de Reequ Poder Judiciariario  Funr</t>
  </si>
  <si>
    <t>Furgoes Parana Ltda</t>
  </si>
  <si>
    <t>G M Amadori Pereira Vidros</t>
  </si>
  <si>
    <t>Gelson Schuch ME</t>
  </si>
  <si>
    <t>Geni Bernadete Lagemann</t>
  </si>
  <si>
    <t>Geovani De Col Teixeira e Outro</t>
  </si>
  <si>
    <t>Geremia Redutores Ltda</t>
  </si>
  <si>
    <t>Giani Soletti Monteiro</t>
  </si>
  <si>
    <t>Gilberto Tafarel</t>
  </si>
  <si>
    <t>Gilmar Schreiner Pereira</t>
  </si>
  <si>
    <t>Gilvane Rodrigues Dias Hartmann</t>
  </si>
  <si>
    <t>Gisele Pagno</t>
  </si>
  <si>
    <t>Gracieli Piana</t>
  </si>
  <si>
    <t>Guimaraes Antunes</t>
  </si>
  <si>
    <t>Helton Bosa</t>
  </si>
  <si>
    <t>Hermes Bernardi</t>
  </si>
  <si>
    <t>Hotel Bedin Ltda Me</t>
  </si>
  <si>
    <t>I Riedi &amp; Cia Ltda</t>
  </si>
  <si>
    <t>Ideiativa Propriedade Intelectual Ltda</t>
  </si>
  <si>
    <t>Ieda Vicencia G Santos De Oliveira 04548</t>
  </si>
  <si>
    <t>Industria e Com de Imp Agricolas Turim L</t>
  </si>
  <si>
    <t>Ingram Micro Brasil Ltda</t>
  </si>
  <si>
    <t>Instituto Brasileiro De Cursos Empresari</t>
  </si>
  <si>
    <t>Intracargo  Transportes Ltda</t>
  </si>
  <si>
    <t>Inésio Pereira</t>
  </si>
  <si>
    <t>Iracema Acre Martinello</t>
  </si>
  <si>
    <t>Iracema Cardoso Fransozi</t>
  </si>
  <si>
    <t>Isabela Canteri Do Amaral</t>
  </si>
  <si>
    <t>Isolde Gris Costa</t>
  </si>
  <si>
    <t>Italo Supermercados Ltda</t>
  </si>
  <si>
    <t>Itamar Carlos Pietta</t>
  </si>
  <si>
    <t>Itamir Luiz Pizato</t>
  </si>
  <si>
    <t>Ivanete Miotto Deitos</t>
  </si>
  <si>
    <t>Ivo Raul de Bairos</t>
  </si>
  <si>
    <t>Ivone Angela Sausen</t>
  </si>
  <si>
    <t>Ivone Aparecida da Silva</t>
  </si>
  <si>
    <t>J G J Com De Pecas E Acessorios Para Vei</t>
  </si>
  <si>
    <t>JCM Comercio Agricola Ltda</t>
  </si>
  <si>
    <t>Jacinta Cesa</t>
  </si>
  <si>
    <t>Jacir Antonio Guarneri - Auto Eletrica -</t>
  </si>
  <si>
    <t>Jacir Cestonaro Junior</t>
  </si>
  <si>
    <t>Jair Ruaro</t>
  </si>
  <si>
    <t>Jaqueline Antonelli Baptista Dornelles</t>
  </si>
  <si>
    <t>Jean Carlos Colussi</t>
  </si>
  <si>
    <t>Jeferson dos Santos</t>
  </si>
  <si>
    <t>Jeneroso da Silva</t>
  </si>
  <si>
    <t>Jhonatas Festinalli 08592623910</t>
  </si>
  <si>
    <t>Joao A M Fabricio de Mello</t>
  </si>
  <si>
    <t>Joao Antonio Moravski</t>
  </si>
  <si>
    <t>Joao Carlos Camargo 76075508953</t>
  </si>
  <si>
    <t>Joao Carlos Reichemback</t>
  </si>
  <si>
    <t>Joao Carlos Zankoski Junior</t>
  </si>
  <si>
    <t>Joao Maria Roza da Silva</t>
  </si>
  <si>
    <t>Joao Paulo Tonus</t>
  </si>
  <si>
    <t>Joemir Fabio Brasil</t>
  </si>
  <si>
    <t>Johnathas Ruy Scherer</t>
  </si>
  <si>
    <t>Jonas Volnei Weiss</t>
  </si>
  <si>
    <t>Jose Carlos Ferreira</t>
  </si>
  <si>
    <t>Jose Pinto Carneiro</t>
  </si>
  <si>
    <t>Jucilda de Fatima Meira</t>
  </si>
  <si>
    <t>Juliana Gris Costa</t>
  </si>
  <si>
    <t>Juliane Tonus Chiochetta</t>
  </si>
  <si>
    <t>Juliano Bolson</t>
  </si>
  <si>
    <t>Junta Comercial do Parana</t>
  </si>
  <si>
    <t>Karyn Cristine Acker Gralha</t>
  </si>
  <si>
    <t>Laborsolo do Brasil S/S Ltda Epp</t>
  </si>
  <si>
    <t>Leandro Cezar Pauletti</t>
  </si>
  <si>
    <t>Leonir Moraes</t>
  </si>
  <si>
    <t>Liria de Fatima Morais Lorenzi</t>
  </si>
  <si>
    <t>Londrina Comercio De Petroleo e Derivado</t>
  </si>
  <si>
    <t>Lontano Transportes Ltda</t>
  </si>
  <si>
    <t>Lorizete Fatima Savio</t>
  </si>
  <si>
    <t>Lory Mehl Junior</t>
  </si>
  <si>
    <t>Luana Gris Costa</t>
  </si>
  <si>
    <t>Lucas Baldi Me</t>
  </si>
  <si>
    <t>Lugomaq Comercio de Maquinas Agricolas L</t>
  </si>
  <si>
    <t>Luiz Carlos Barcelos</t>
  </si>
  <si>
    <t>Magno Pedro Tesser Neuls</t>
  </si>
  <si>
    <t>Maico Roberto Martins</t>
  </si>
  <si>
    <t>Mairon Dangui Pinto</t>
  </si>
  <si>
    <t>Manoel dos Santos</t>
  </si>
  <si>
    <t>Marceli Bonetti Zanelatto</t>
  </si>
  <si>
    <t>Marcelo Paracatu</t>
  </si>
  <si>
    <t>Marcieli de Souza Alvez</t>
  </si>
  <si>
    <t>Marcio Andre Da Silva Vilanova ME</t>
  </si>
  <si>
    <t>Marcos Antonio Piccini</t>
  </si>
  <si>
    <t>Marcos Nunes Camargo</t>
  </si>
  <si>
    <t>Mareli Linck Neitzke</t>
  </si>
  <si>
    <t>Maria Conceição Bello Seco</t>
  </si>
  <si>
    <t>Mariana Copini</t>
  </si>
  <si>
    <t>Mariana Taparello</t>
  </si>
  <si>
    <t>Marina Bittencourt Cardoso</t>
  </si>
  <si>
    <t>Mcdonald Pelz Level Brasil Consultoria L</t>
  </si>
  <si>
    <t>Milton Berlesi da Silva</t>
  </si>
  <si>
    <t>Milton Francisco Finco</t>
  </si>
  <si>
    <t>Milton Zeferino Bim</t>
  </si>
  <si>
    <t>Molas Cidade Nova Ltda ME</t>
  </si>
  <si>
    <t>Momesso Industria de Maquinas Ltda</t>
  </si>
  <si>
    <t>Morgana Bernardi Bordin</t>
  </si>
  <si>
    <t>Nevio Paglia Comercio de Marmores e Gran</t>
  </si>
  <si>
    <t>Nortox SA</t>
  </si>
  <si>
    <t>Nova Ita Industria e Com de Minerios Eir</t>
  </si>
  <si>
    <t>Odair Da Silva Kanova</t>
  </si>
  <si>
    <t>Oficina Mecanica Irmaos Gaviao Ltda</t>
  </si>
  <si>
    <t>Olindo Slonski &amp; Cia Ltda</t>
  </si>
  <si>
    <t>Oriagro Comercio de Insumos Agricolas Lt</t>
  </si>
  <si>
    <t>Osvaldo Lima</t>
  </si>
  <si>
    <t>Palma e Maccari Ltda</t>
  </si>
  <si>
    <t>Palmas Cartorio Registro Geral de I e Hi</t>
  </si>
  <si>
    <t>Panificadora Guardini Ltda</t>
  </si>
  <si>
    <t>Parecy Embalagens Ltda ME</t>
  </si>
  <si>
    <t>Pedro Alberto Ribeiro</t>
  </si>
  <si>
    <t>Pedro Ernesto Piassa</t>
  </si>
  <si>
    <t>Pedro Minozzi</t>
  </si>
  <si>
    <t>Pedro Roberto Cassol</t>
  </si>
  <si>
    <t>Pegoraro Transportes Ltda Epp</t>
  </si>
  <si>
    <t>Pellizzaro Auto Peças Ltda</t>
  </si>
  <si>
    <t>Perusso &amp; Pasini Comercio De Medicamento</t>
  </si>
  <si>
    <t>Peterson Gris Costa</t>
  </si>
  <si>
    <t>Piccini Rebobinadora de Motores Eletrico</t>
  </si>
  <si>
    <t>Pio Pastore</t>
  </si>
  <si>
    <t>Piramide Veiculos Ltda</t>
  </si>
  <si>
    <t>Polo Equipamentos Industriais Ltda ME</t>
  </si>
  <si>
    <t>Posto Novo Rio Ltda</t>
  </si>
  <si>
    <t>Posto Teixeirinha Ltda</t>
  </si>
  <si>
    <t>Prioriza Aberturas em Aluminio Ltda Me</t>
  </si>
  <si>
    <t>Prismatec Equipamentos e Sistemas Ltda</t>
  </si>
  <si>
    <t>Produza Mayz Comercio e Representacoes L</t>
  </si>
  <si>
    <t>R C Rosenberger Eireli</t>
  </si>
  <si>
    <t>Rafael Henrique Baldissera Strapasson</t>
  </si>
  <si>
    <t>Rafael Rufato</t>
  </si>
  <si>
    <t>Rede FK II Comercio De Combustiveis Ltda</t>
  </si>
  <si>
    <t>Renata Da Costa Luz Pacheco Moutinho</t>
  </si>
  <si>
    <t>Restaurante Estacao Gourmet Ltda ME</t>
  </si>
  <si>
    <t>Restaurante Saborear Ltda</t>
  </si>
  <si>
    <t>Restaurante Todescatto Ltda</t>
  </si>
  <si>
    <t>Retibra Renovadora de Motores Ltda EPP</t>
  </si>
  <si>
    <t>Revelino Luiz de Almeida</t>
  </si>
  <si>
    <t>Roberto Espedito Copachinski</t>
  </si>
  <si>
    <t>Rogenski e Ruaro Advogados Associados</t>
  </si>
  <si>
    <t>Rudinei G Branco &amp; Cia Ltda</t>
  </si>
  <si>
    <t>S A Estene</t>
  </si>
  <si>
    <t>Salete de Fatima Cauvila Klima</t>
  </si>
  <si>
    <t>Sandra Carmen Chitolina Tzanis Eireli ME</t>
  </si>
  <si>
    <t>Santos e Langue Ltda Me</t>
  </si>
  <si>
    <t>Saulo Ferreira Costa</t>
  </si>
  <si>
    <t>Scariot Scariot &amp; Cia Ltda</t>
  </si>
  <si>
    <t>Sematter Do Brasil Ltda Me</t>
  </si>
  <si>
    <t>Sergio Henrique Dezordi de Mello</t>
  </si>
  <si>
    <t xml:space="preserve">Sganzerla e Rogenski Contabilidade Ltda </t>
  </si>
  <si>
    <t>Silvana Gris Costa</t>
  </si>
  <si>
    <t>Solimar Edson Demazio Silveira</t>
  </si>
  <si>
    <t>Superior Tribunal De Justica</t>
  </si>
  <si>
    <t>Tabelionato de Notas e Registro Civil</t>
  </si>
  <si>
    <t>Terezinha Fatima Luza Dal Pai</t>
  </si>
  <si>
    <t>Torre Alta Com de Comb Ltda</t>
  </si>
  <si>
    <t>Treviso Equipamentos de Seguranca Ltda</t>
  </si>
  <si>
    <t>Unimed Pato Branco Cooperativa De Trabal</t>
  </si>
  <si>
    <t xml:space="preserve">Vaccao Carvalho Sociedade Individual De </t>
  </si>
  <si>
    <t>Valdecir de Andrade</t>
  </si>
  <si>
    <t>Valdevino Rodrigues de Lara</t>
  </si>
  <si>
    <t>Valdir Antonio Natus e Simone Juliane Ro</t>
  </si>
  <si>
    <t>Valdir Perusso e Cia Ltda</t>
  </si>
  <si>
    <t>Vanessa Polo</t>
  </si>
  <si>
    <t>Ventana Esquadrias Metalicas Ltda ME</t>
  </si>
  <si>
    <t>Visa Pizzaria Ltda Me</t>
  </si>
  <si>
    <t>Vitoria Trindade Parizotto</t>
  </si>
  <si>
    <t>Vitorinense Industria Metalurgica Ltda M</t>
  </si>
  <si>
    <t>Vitorio Guimaraes Boz</t>
  </si>
  <si>
    <t>WG Eletrica e Refrigeracao</t>
  </si>
  <si>
    <t>Wilson R Bleich</t>
  </si>
  <si>
    <t xml:space="preserve">Zanin Industria de Artefatos de Cimento </t>
  </si>
  <si>
    <t>Zanini e Possamai Ltda Me</t>
  </si>
  <si>
    <t>Zelinda Perin Schaeffer</t>
  </si>
  <si>
    <t>ADT-C A B Brandt Comercio de Sementes e Fertil</t>
  </si>
  <si>
    <t>ADT-C Agromaj Insumos Agricolas Ltda</t>
  </si>
  <si>
    <t>ADT-C Alceu Ferreira</t>
  </si>
  <si>
    <t>ADT-C Alimentos Dona Eulalia ME</t>
  </si>
  <si>
    <t>ADT-C Angela Crestina Merlo</t>
  </si>
  <si>
    <t>ADT-C Cooperativa A1</t>
  </si>
  <si>
    <t>ADT-C Geneci de Abreu Simplicio</t>
  </si>
  <si>
    <t>ADT-C Jair Ruaro</t>
  </si>
  <si>
    <t>ADT-C Lucas Zampiva</t>
  </si>
  <si>
    <t xml:space="preserve">ADT-C Precisao Rural Com De Prod Agropecuaria </t>
  </si>
  <si>
    <t>ADT-C Seprotec Comercio Producao e Tec de Seme</t>
  </si>
  <si>
    <t>ADT-C Zeagro Comercial Agricola Ltda</t>
  </si>
  <si>
    <t>2.1.9.1.01.01.11</t>
  </si>
  <si>
    <t>2.1.9.1.01.01.11.01</t>
  </si>
  <si>
    <t>Produtos a fixar</t>
  </si>
  <si>
    <t>CAP-S: Camila Camilotti Silveira</t>
  </si>
  <si>
    <t>CAP-S: Clovis Antonio Rufatto</t>
  </si>
  <si>
    <t>CAP-S: Elieser Araldi</t>
  </si>
  <si>
    <t>CAP-S: Francisco Ferreira Paz</t>
  </si>
  <si>
    <t>CAP-S: Gelsir Selar Mariani</t>
  </si>
  <si>
    <t>CAP-S: Ivo Jose Momolli</t>
  </si>
  <si>
    <t>CAP-S: Nergio Garghetti</t>
  </si>
  <si>
    <t>CAP-S: Paulo Vitor Bolzan</t>
  </si>
  <si>
    <t>CAP-S: Vilmar Bersch</t>
  </si>
  <si>
    <t>3.1.1.1.02.02.03.15</t>
  </si>
  <si>
    <t>3.1.1.1.02.02.03.15.01</t>
  </si>
  <si>
    <t>3.1.1.2.01.01.05.05.04</t>
  </si>
  <si>
    <t>3.1.1.2.01.01.05.05.05</t>
  </si>
  <si>
    <t>3.1.1.3.01.01.01.04.22</t>
  </si>
  <si>
    <t>Assessoria Juridica</t>
  </si>
  <si>
    <t>3.1.1.3.01.01.01.06.28</t>
  </si>
  <si>
    <t>Bonificações de Insumos</t>
  </si>
  <si>
    <t>Brindes</t>
  </si>
  <si>
    <t>3.2.1.1.02.01.02.02</t>
  </si>
  <si>
    <t>3.2.1.1.02.01.02.02.01</t>
  </si>
  <si>
    <t>3.2.1.1.02.02.03.09</t>
  </si>
  <si>
    <t>3.2.1.1.02.02.03.09.02</t>
  </si>
  <si>
    <t>3.2.1.1.02.02.03.15</t>
  </si>
  <si>
    <t>3.2.1.1.02.02.03.15.01</t>
  </si>
  <si>
    <t>3.2.1.1.03.01.06</t>
  </si>
  <si>
    <t>3.2.1.1.03.01.06.01</t>
  </si>
  <si>
    <t>3.2.1.1.03.01.06.01.01</t>
  </si>
  <si>
    <t>3.2.1.1.03.01.06.20</t>
  </si>
  <si>
    <t>3.2.1.1.03.01.06.20.01</t>
  </si>
  <si>
    <t>3.2.1.1.03.01.07.17</t>
  </si>
  <si>
    <t>3.2.1.1.03.01.07.17.01</t>
  </si>
  <si>
    <t>3.2.1.1.03.01.14</t>
  </si>
  <si>
    <t>3.2.1.1.03.01.14.01</t>
  </si>
  <si>
    <t>3.2.1.1.03.01.14.01.01</t>
  </si>
  <si>
    <t>3.2.1.1.03.01.14.17</t>
  </si>
  <si>
    <t>3.2.1.1.03.01.14.17.01</t>
  </si>
  <si>
    <t>3.2.1.1.03.01.14.20</t>
  </si>
  <si>
    <t>3.2.1.1.03.01.14.20.01</t>
  </si>
  <si>
    <t>3.2.1.1.50.01.04.15</t>
  </si>
  <si>
    <t>3.2.1.1.50.01.04.15.01</t>
  </si>
  <si>
    <t>3.2.1.2.01.01.05</t>
  </si>
  <si>
    <t>3.2.1.2.01.01.05.01</t>
  </si>
  <si>
    <t>3.2.1.2.01.01.05.01.01</t>
  </si>
  <si>
    <t>3.2.1.2.01.01.05.05</t>
  </si>
  <si>
    <t>3.2.1.2.01.01.05.05.03</t>
  </si>
  <si>
    <t>3.2.1.2.01.01.05.05.04</t>
  </si>
  <si>
    <t>3.2.1.2.01.01.05.05.05</t>
  </si>
  <si>
    <t>3.2.1.6.10.07</t>
  </si>
  <si>
    <t>(-) Pis sobre receitas operacionais</t>
  </si>
  <si>
    <t>3.2.1.6.10.08</t>
  </si>
  <si>
    <t>(-) Cofins sobre receitas operacionais</t>
  </si>
  <si>
    <t>2.1.4.1.01</t>
  </si>
  <si>
    <t>Irpj A Pagar</t>
  </si>
</sst>
</file>

<file path=xl/styles.xml><?xml version="1.0" encoding="utf-8"?>
<styleSheet xmlns="http://schemas.openxmlformats.org/spreadsheetml/2006/main">
  <numFmts count="5">
    <numFmt numFmtId="43" formatCode="_-* #,##0.00_-;\-* #,##0.00_-;_-* &quot;-&quot;??_-;_-@_-"/>
    <numFmt numFmtId="164" formatCode="&quot;Emissão:&quot;\ \ dd/mm/yyyy\ \ \|\ \ hh:mm"/>
    <numFmt numFmtId="165" formatCode="_(* #,##0.00_);_(* \(#,##0.00\);_(* &quot;-&quot;??_);_(@_)"/>
    <numFmt numFmtId="166" formatCode="#\ ?/12"/>
    <numFmt numFmtId="167" formatCode="&quot;R$ &quot;#,##0_);\(&quot;R$ &quot;#,##0\)"/>
  </numFmts>
  <fonts count="2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mbria"/>
      <family val="1"/>
    </font>
    <font>
      <b/>
      <sz val="16"/>
      <color theme="1"/>
      <name val="Corbel"/>
      <family val="2"/>
    </font>
    <font>
      <b/>
      <sz val="10"/>
      <color theme="1"/>
      <name val="Corbel"/>
      <family val="2"/>
    </font>
    <font>
      <sz val="10"/>
      <color theme="1"/>
      <name val="Cambria"/>
      <family val="1"/>
    </font>
    <font>
      <b/>
      <sz val="11"/>
      <color theme="1"/>
      <name val="Cambria"/>
      <family val="1"/>
    </font>
    <font>
      <b/>
      <u val="double"/>
      <sz val="16"/>
      <color theme="1"/>
      <name val="Corbel"/>
      <family val="2"/>
    </font>
    <font>
      <b/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indexed="9"/>
      <name val="Arial"/>
      <family val="2"/>
    </font>
    <font>
      <b/>
      <i/>
      <sz val="11"/>
      <name val="Arial"/>
      <family val="2"/>
    </font>
    <font>
      <sz val="11"/>
      <color theme="1"/>
      <name val="Arial"/>
      <family val="2"/>
    </font>
    <font>
      <i/>
      <sz val="11"/>
      <name val="Arial"/>
      <family val="2"/>
    </font>
    <font>
      <b/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6"/>
      <name val="Corbel"/>
      <family val="2"/>
    </font>
    <font>
      <b/>
      <sz val="10"/>
      <name val="Corbe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20"/>
      <color rgb="FF800000"/>
      <name val="Wingdings 3"/>
      <family val="1"/>
      <charset val="2"/>
    </font>
  </fonts>
  <fills count="10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medium">
        <color theme="0" tint="-0.24994659260841701"/>
      </bottom>
      <diagonal/>
    </border>
    <border>
      <left style="medium">
        <color theme="0" tint="-0.24994659260841701"/>
      </left>
      <right style="medium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10" fillId="0" borderId="0"/>
    <xf numFmtId="9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380">
    <xf numFmtId="0" fontId="0" fillId="0" borderId="0" xfId="0"/>
    <xf numFmtId="14" fontId="0" fillId="0" borderId="0" xfId="0" applyNumberFormat="1"/>
    <xf numFmtId="0" fontId="0" fillId="0" borderId="0" xfId="0" applyBorder="1"/>
    <xf numFmtId="0" fontId="0" fillId="0" borderId="0" xfId="0" applyNumberFormat="1"/>
    <xf numFmtId="0" fontId="0" fillId="0" borderId="0" xfId="0" applyNumberFormat="1" applyBorder="1"/>
    <xf numFmtId="0" fontId="1" fillId="2" borderId="0" xfId="0" applyFont="1" applyFill="1" applyBorder="1"/>
    <xf numFmtId="0" fontId="2" fillId="0" borderId="0" xfId="0" applyFont="1" applyFill="1"/>
    <xf numFmtId="0" fontId="2" fillId="0" borderId="0" xfId="0" applyFont="1"/>
    <xf numFmtId="0" fontId="3" fillId="0" borderId="0" xfId="0" applyFont="1" applyAlignment="1">
      <alignment vertical="center"/>
    </xf>
    <xf numFmtId="0" fontId="2" fillId="0" borderId="0" xfId="0" applyFont="1" applyFill="1" applyBorder="1"/>
    <xf numFmtId="0" fontId="4" fillId="0" borderId="0" xfId="0" applyFont="1" applyAlignment="1">
      <alignment vertical="center"/>
    </xf>
    <xf numFmtId="164" fontId="5" fillId="0" borderId="0" xfId="0" applyNumberFormat="1" applyFont="1" applyBorder="1" applyAlignment="1">
      <alignment vertical="center"/>
    </xf>
    <xf numFmtId="0" fontId="2" fillId="0" borderId="0" xfId="0" applyFont="1" applyBorder="1"/>
    <xf numFmtId="0" fontId="2" fillId="0" borderId="1" xfId="0" applyFont="1" applyFill="1" applyBorder="1"/>
    <xf numFmtId="0" fontId="6" fillId="0" borderId="1" xfId="0" applyFont="1" applyBorder="1" applyAlignment="1">
      <alignment horizontal="right" indent="1"/>
    </xf>
    <xf numFmtId="0" fontId="2" fillId="0" borderId="1" xfId="0" applyFont="1" applyBorder="1" applyAlignment="1">
      <alignment horizontal="left" indent="1"/>
    </xf>
    <xf numFmtId="0" fontId="2" fillId="0" borderId="1" xfId="0" applyFont="1" applyBorder="1"/>
    <xf numFmtId="0" fontId="6" fillId="0" borderId="0" xfId="0" applyFont="1" applyBorder="1" applyAlignment="1">
      <alignment horizontal="right" indent="1"/>
    </xf>
    <xf numFmtId="0" fontId="2" fillId="0" borderId="0" xfId="0" applyFont="1" applyBorder="1" applyAlignment="1">
      <alignment horizontal="left" indent="1"/>
    </xf>
    <xf numFmtId="0" fontId="7" fillId="0" borderId="0" xfId="0" applyFont="1" applyBorder="1" applyAlignment="1">
      <alignment horizontal="left" vertical="center" indent="3"/>
    </xf>
    <xf numFmtId="0" fontId="2" fillId="0" borderId="0" xfId="0" applyFont="1" applyAlignment="1">
      <alignment horizontal="left" indent="3"/>
    </xf>
    <xf numFmtId="14" fontId="6" fillId="3" borderId="2" xfId="0" applyNumberFormat="1" applyFont="1" applyFill="1" applyBorder="1" applyAlignment="1">
      <alignment horizontal="left" indent="1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 indent="5"/>
    </xf>
    <xf numFmtId="0" fontId="8" fillId="2" borderId="0" xfId="0" applyFont="1" applyFill="1" applyBorder="1"/>
    <xf numFmtId="0" fontId="2" fillId="0" borderId="0" xfId="0" applyFont="1" applyBorder="1" applyAlignment="1">
      <alignment horizontal="left" indent="3"/>
    </xf>
    <xf numFmtId="14" fontId="6" fillId="0" borderId="0" xfId="0" applyNumberFormat="1" applyFont="1" applyFill="1" applyBorder="1" applyAlignment="1">
      <alignment horizontal="left" indent="1"/>
    </xf>
    <xf numFmtId="0" fontId="2" fillId="0" borderId="0" xfId="0" applyFont="1" applyFill="1" applyBorder="1" applyAlignment="1">
      <alignment horizontal="center" vertical="center"/>
    </xf>
    <xf numFmtId="0" fontId="12" fillId="4" borderId="0" xfId="1" applyFont="1" applyFill="1" applyBorder="1"/>
    <xf numFmtId="0" fontId="11" fillId="4" borderId="0" xfId="1" applyFont="1" applyFill="1" applyBorder="1" applyAlignment="1">
      <alignment horizontal="center"/>
    </xf>
    <xf numFmtId="0" fontId="11" fillId="4" borderId="0" xfId="1" applyFont="1" applyFill="1" applyBorder="1" applyAlignment="1">
      <alignment wrapText="1"/>
    </xf>
    <xf numFmtId="0" fontId="12" fillId="4" borderId="0" xfId="1" applyFont="1" applyFill="1" applyBorder="1" applyAlignment="1">
      <alignment wrapText="1"/>
    </xf>
    <xf numFmtId="10" fontId="11" fillId="4" borderId="0" xfId="2" applyNumberFormat="1" applyFont="1" applyFill="1" applyBorder="1" applyAlignment="1">
      <alignment horizontal="center"/>
    </xf>
    <xf numFmtId="0" fontId="12" fillId="4" borderId="0" xfId="1" applyFont="1" applyFill="1" applyBorder="1" applyAlignment="1"/>
    <xf numFmtId="0" fontId="11" fillId="4" borderId="0" xfId="1" applyFont="1" applyFill="1" applyBorder="1" applyAlignment="1">
      <alignment horizontal="left" vertical="center"/>
    </xf>
    <xf numFmtId="0" fontId="11" fillId="4" borderId="0" xfId="1" applyFont="1" applyFill="1" applyBorder="1" applyAlignment="1">
      <alignment horizontal="center" vertical="center"/>
    </xf>
    <xf numFmtId="14" fontId="11" fillId="4" borderId="0" xfId="1" applyNumberFormat="1" applyFont="1" applyFill="1" applyBorder="1" applyAlignment="1">
      <alignment horizontal="center" vertical="center"/>
    </xf>
    <xf numFmtId="165" fontId="11" fillId="4" borderId="0" xfId="3" applyFont="1" applyFill="1" applyBorder="1" applyAlignment="1">
      <alignment horizontal="center" vertical="center"/>
    </xf>
    <xf numFmtId="0" fontId="11" fillId="4" borderId="0" xfId="1" applyFont="1" applyFill="1" applyBorder="1"/>
    <xf numFmtId="14" fontId="11" fillId="4" borderId="0" xfId="1" applyNumberFormat="1" applyFont="1" applyFill="1" applyBorder="1"/>
    <xf numFmtId="165" fontId="11" fillId="4" borderId="0" xfId="3" applyFont="1" applyFill="1" applyBorder="1"/>
    <xf numFmtId="165" fontId="11" fillId="4" borderId="0" xfId="3" applyFont="1" applyFill="1" applyBorder="1" applyAlignment="1">
      <alignment horizontal="right"/>
    </xf>
    <xf numFmtId="10" fontId="11" fillId="4" borderId="0" xfId="2" applyNumberFormat="1" applyFont="1" applyFill="1" applyBorder="1" applyAlignment="1">
      <alignment horizontal="right"/>
    </xf>
    <xf numFmtId="165" fontId="12" fillId="4" borderId="0" xfId="1" applyNumberFormat="1" applyFont="1" applyFill="1" applyBorder="1"/>
    <xf numFmtId="14" fontId="12" fillId="4" borderId="0" xfId="1" applyNumberFormat="1" applyFont="1" applyFill="1" applyBorder="1"/>
    <xf numFmtId="165" fontId="12" fillId="4" borderId="0" xfId="3" applyFont="1" applyFill="1" applyBorder="1"/>
    <xf numFmtId="10" fontId="12" fillId="4" borderId="0" xfId="2" applyNumberFormat="1" applyFont="1" applyFill="1" applyBorder="1" applyAlignment="1">
      <alignment horizontal="center"/>
    </xf>
    <xf numFmtId="165" fontId="12" fillId="4" borderId="0" xfId="3" applyFont="1" applyFill="1" applyBorder="1" applyAlignment="1">
      <alignment horizontal="right"/>
    </xf>
    <xf numFmtId="10" fontId="12" fillId="4" borderId="0" xfId="2" applyNumberFormat="1" applyFont="1" applyFill="1" applyBorder="1" applyAlignment="1">
      <alignment horizontal="right"/>
    </xf>
    <xf numFmtId="165" fontId="11" fillId="4" borderId="0" xfId="1" applyNumberFormat="1" applyFont="1" applyFill="1" applyBorder="1"/>
    <xf numFmtId="165" fontId="11" fillId="0" borderId="0" xfId="3" applyFont="1" applyFill="1" applyBorder="1" applyAlignment="1">
      <alignment horizontal="right"/>
    </xf>
    <xf numFmtId="0" fontId="12" fillId="4" borderId="0" xfId="1" applyFont="1" applyFill="1" applyBorder="1" applyAlignment="1">
      <alignment horizontal="center"/>
    </xf>
    <xf numFmtId="0" fontId="12" fillId="4" borderId="0" xfId="1" applyFont="1" applyFill="1" applyBorder="1" applyAlignment="1">
      <alignment horizontal="left"/>
    </xf>
    <xf numFmtId="0" fontId="12" fillId="4" borderId="0" xfId="1" applyFont="1" applyFill="1" applyAlignment="1">
      <alignment horizontal="left"/>
    </xf>
    <xf numFmtId="0" fontId="12" fillId="4" borderId="3" xfId="1" applyFont="1" applyFill="1" applyBorder="1"/>
    <xf numFmtId="10" fontId="11" fillId="4" borderId="0" xfId="2" applyNumberFormat="1" applyFont="1" applyFill="1" applyBorder="1"/>
    <xf numFmtId="10" fontId="12" fillId="4" borderId="0" xfId="2" applyNumberFormat="1" applyFont="1" applyFill="1" applyBorder="1"/>
    <xf numFmtId="166" fontId="12" fillId="4" borderId="0" xfId="3" applyNumberFormat="1" applyFont="1" applyFill="1" applyBorder="1" applyAlignment="1">
      <alignment horizontal="center"/>
    </xf>
    <xf numFmtId="166" fontId="11" fillId="4" borderId="0" xfId="3" applyNumberFormat="1" applyFont="1" applyFill="1" applyBorder="1" applyAlignment="1">
      <alignment horizontal="center"/>
    </xf>
    <xf numFmtId="0" fontId="12" fillId="0" borderId="0" xfId="1" applyFont="1" applyBorder="1"/>
    <xf numFmtId="0" fontId="11" fillId="0" borderId="0" xfId="1" applyFont="1" applyBorder="1" applyAlignment="1">
      <alignment horizontal="center" wrapText="1"/>
    </xf>
    <xf numFmtId="0" fontId="12" fillId="0" borderId="0" xfId="1" applyFont="1" applyBorder="1" applyAlignment="1">
      <alignment wrapText="1"/>
    </xf>
    <xf numFmtId="0" fontId="12" fillId="0" borderId="0" xfId="1" applyFont="1" applyBorder="1" applyAlignment="1"/>
    <xf numFmtId="0" fontId="11" fillId="0" borderId="0" xfId="1" applyFont="1" applyBorder="1" applyAlignment="1">
      <alignment horizontal="center"/>
    </xf>
    <xf numFmtId="0" fontId="11" fillId="5" borderId="0" xfId="1" applyFont="1" applyFill="1" applyBorder="1" applyAlignment="1">
      <alignment horizontal="left" vertical="center"/>
    </xf>
    <xf numFmtId="0" fontId="11" fillId="5" borderId="0" xfId="1" applyFont="1" applyFill="1" applyBorder="1" applyAlignment="1">
      <alignment horizontal="center" vertical="center"/>
    </xf>
    <xf numFmtId="14" fontId="11" fillId="5" borderId="0" xfId="1" quotePrefix="1" applyNumberFormat="1" applyFont="1" applyFill="1" applyBorder="1" applyAlignment="1">
      <alignment horizontal="center" vertical="center"/>
    </xf>
    <xf numFmtId="14" fontId="11" fillId="5" borderId="0" xfId="1" applyNumberFormat="1" applyFont="1" applyFill="1" applyBorder="1" applyAlignment="1">
      <alignment horizontal="center" vertical="center"/>
    </xf>
    <xf numFmtId="165" fontId="11" fillId="5" borderId="0" xfId="3" applyFont="1" applyFill="1" applyBorder="1" applyAlignment="1">
      <alignment horizontal="left"/>
    </xf>
    <xf numFmtId="10" fontId="11" fillId="5" borderId="0" xfId="2" applyNumberFormat="1" applyFont="1" applyFill="1" applyBorder="1"/>
    <xf numFmtId="0" fontId="12" fillId="5" borderId="0" xfId="1" applyFont="1" applyFill="1" applyBorder="1"/>
    <xf numFmtId="165" fontId="12" fillId="5" borderId="0" xfId="3" applyFont="1" applyFill="1" applyBorder="1"/>
    <xf numFmtId="10" fontId="12" fillId="5" borderId="0" xfId="2" applyNumberFormat="1" applyFont="1" applyFill="1" applyBorder="1"/>
    <xf numFmtId="14" fontId="12" fillId="5" borderId="0" xfId="1" applyNumberFormat="1" applyFont="1" applyFill="1" applyBorder="1"/>
    <xf numFmtId="0" fontId="11" fillId="5" borderId="0" xfId="1" applyFont="1" applyFill="1" applyBorder="1"/>
    <xf numFmtId="14" fontId="11" fillId="5" borderId="0" xfId="1" applyNumberFormat="1" applyFont="1" applyFill="1" applyBorder="1"/>
    <xf numFmtId="165" fontId="11" fillId="5" borderId="0" xfId="3" applyFont="1" applyFill="1" applyBorder="1"/>
    <xf numFmtId="43" fontId="12" fillId="0" borderId="0" xfId="1" applyNumberFormat="1" applyFont="1" applyBorder="1"/>
    <xf numFmtId="165" fontId="11" fillId="5" borderId="0" xfId="3" applyFont="1" applyFill="1" applyBorder="1" applyAlignment="1">
      <alignment horizontal="right"/>
    </xf>
    <xf numFmtId="0" fontId="12" fillId="5" borderId="0" xfId="1" applyFont="1" applyFill="1" applyBorder="1" applyAlignment="1">
      <alignment shrinkToFit="1"/>
    </xf>
    <xf numFmtId="0" fontId="12" fillId="0" borderId="0" xfId="1" applyFont="1" applyBorder="1" applyAlignment="1">
      <alignment shrinkToFit="1"/>
    </xf>
    <xf numFmtId="0" fontId="11" fillId="4" borderId="0" xfId="1" applyFont="1" applyFill="1" applyBorder="1" applyAlignment="1"/>
    <xf numFmtId="14" fontId="13" fillId="4" borderId="0" xfId="1" applyNumberFormat="1" applyFont="1" applyFill="1" applyBorder="1" applyAlignment="1"/>
    <xf numFmtId="0" fontId="11" fillId="4" borderId="4" xfId="1" applyFont="1" applyFill="1" applyBorder="1" applyAlignment="1">
      <alignment horizontal="center" vertical="center" wrapText="1"/>
    </xf>
    <xf numFmtId="0" fontId="11" fillId="4" borderId="4" xfId="1" applyFont="1" applyFill="1" applyBorder="1" applyAlignment="1">
      <alignment horizontal="center" vertical="center"/>
    </xf>
    <xf numFmtId="165" fontId="11" fillId="4" borderId="4" xfId="3" applyFont="1" applyFill="1" applyBorder="1" applyAlignment="1">
      <alignment horizontal="center" vertical="center" wrapText="1"/>
    </xf>
    <xf numFmtId="0" fontId="11" fillId="4" borderId="4" xfId="1" applyFont="1" applyFill="1" applyBorder="1"/>
    <xf numFmtId="14" fontId="12" fillId="4" borderId="6" xfId="1" applyNumberFormat="1" applyFont="1" applyFill="1" applyBorder="1"/>
    <xf numFmtId="165" fontId="11" fillId="4" borderId="4" xfId="3" applyFont="1" applyFill="1" applyBorder="1"/>
    <xf numFmtId="165" fontId="11" fillId="4" borderId="7" xfId="3" applyFont="1" applyFill="1" applyBorder="1"/>
    <xf numFmtId="165" fontId="14" fillId="4" borderId="4" xfId="3" applyFont="1" applyFill="1" applyBorder="1"/>
    <xf numFmtId="0" fontId="12" fillId="4" borderId="5" xfId="1" applyFont="1" applyFill="1" applyBorder="1"/>
    <xf numFmtId="165" fontId="12" fillId="4" borderId="4" xfId="3" applyFont="1" applyFill="1" applyBorder="1"/>
    <xf numFmtId="165" fontId="12" fillId="4" borderId="7" xfId="3" applyFont="1" applyFill="1" applyBorder="1"/>
    <xf numFmtId="165" fontId="12" fillId="0" borderId="7" xfId="3" applyFont="1" applyFill="1" applyBorder="1"/>
    <xf numFmtId="165" fontId="12" fillId="4" borderId="4" xfId="3" applyFont="1" applyFill="1" applyBorder="1" applyAlignment="1">
      <alignment horizontal="center"/>
    </xf>
    <xf numFmtId="14" fontId="12" fillId="4" borderId="5" xfId="1" applyNumberFormat="1" applyFont="1" applyFill="1" applyBorder="1"/>
    <xf numFmtId="14" fontId="11" fillId="4" borderId="5" xfId="1" applyNumberFormat="1" applyFont="1" applyFill="1" applyBorder="1"/>
    <xf numFmtId="165" fontId="11" fillId="0" borderId="7" xfId="3" applyFont="1" applyFill="1" applyBorder="1"/>
    <xf numFmtId="4" fontId="15" fillId="4" borderId="4" xfId="4" applyNumberFormat="1" applyFont="1" applyFill="1" applyBorder="1"/>
    <xf numFmtId="4" fontId="15" fillId="4" borderId="4" xfId="5" applyNumberFormat="1" applyFont="1" applyFill="1" applyBorder="1"/>
    <xf numFmtId="165" fontId="12" fillId="0" borderId="4" xfId="3" applyFont="1" applyFill="1" applyBorder="1"/>
    <xf numFmtId="0" fontId="12" fillId="4" borderId="8" xfId="1" applyFont="1" applyFill="1" applyBorder="1"/>
    <xf numFmtId="14" fontId="12" fillId="4" borderId="3" xfId="1" applyNumberFormat="1" applyFont="1" applyFill="1" applyBorder="1"/>
    <xf numFmtId="0" fontId="11" fillId="4" borderId="9" xfId="1" applyFont="1" applyFill="1" applyBorder="1"/>
    <xf numFmtId="14" fontId="11" fillId="4" borderId="8" xfId="1" applyNumberFormat="1" applyFont="1" applyFill="1" applyBorder="1"/>
    <xf numFmtId="0" fontId="11" fillId="4" borderId="5" xfId="1" applyFont="1" applyFill="1" applyBorder="1"/>
    <xf numFmtId="4" fontId="15" fillId="4" borderId="4" xfId="6" applyNumberFormat="1" applyFont="1" applyFill="1" applyBorder="1"/>
    <xf numFmtId="4" fontId="15" fillId="4" borderId="4" xfId="7" applyNumberFormat="1" applyFont="1" applyFill="1" applyBorder="1"/>
    <xf numFmtId="0" fontId="11" fillId="4" borderId="10" xfId="1" applyFont="1" applyFill="1" applyBorder="1"/>
    <xf numFmtId="14" fontId="11" fillId="4" borderId="11" xfId="1" applyNumberFormat="1" applyFont="1" applyFill="1" applyBorder="1"/>
    <xf numFmtId="10" fontId="11" fillId="4" borderId="4" xfId="2" applyNumberFormat="1" applyFont="1" applyFill="1" applyBorder="1" applyAlignment="1">
      <alignment horizontal="center"/>
    </xf>
    <xf numFmtId="9" fontId="11" fillId="4" borderId="4" xfId="2" applyFont="1" applyFill="1" applyBorder="1" applyAlignment="1">
      <alignment horizontal="center"/>
    </xf>
    <xf numFmtId="10" fontId="11" fillId="4" borderId="7" xfId="2" applyNumberFormat="1" applyFont="1" applyFill="1" applyBorder="1" applyAlignment="1">
      <alignment horizontal="center"/>
    </xf>
    <xf numFmtId="10" fontId="14" fillId="4" borderId="4" xfId="2" applyNumberFormat="1" applyFont="1" applyFill="1" applyBorder="1" applyAlignment="1">
      <alignment horizontal="center"/>
    </xf>
    <xf numFmtId="4" fontId="15" fillId="4" borderId="4" xfId="8" applyNumberFormat="1" applyFont="1" applyFill="1" applyBorder="1"/>
    <xf numFmtId="4" fontId="15" fillId="4" borderId="4" xfId="9" applyNumberFormat="1" applyFont="1" applyFill="1" applyBorder="1"/>
    <xf numFmtId="165" fontId="16" fillId="4" borderId="4" xfId="3" applyFont="1" applyFill="1" applyBorder="1"/>
    <xf numFmtId="4" fontId="15" fillId="4" borderId="4" xfId="10" applyNumberFormat="1" applyFont="1" applyFill="1" applyBorder="1"/>
    <xf numFmtId="14" fontId="12" fillId="4" borderId="6" xfId="1" applyNumberFormat="1" applyFont="1" applyFill="1" applyBorder="1" applyAlignment="1">
      <alignment horizontal="left"/>
    </xf>
    <xf numFmtId="165" fontId="11" fillId="4" borderId="4" xfId="3" applyFont="1" applyFill="1" applyBorder="1" applyAlignment="1">
      <alignment horizontal="left"/>
    </xf>
    <xf numFmtId="165" fontId="11" fillId="4" borderId="7" xfId="3" applyFont="1" applyFill="1" applyBorder="1" applyAlignment="1">
      <alignment horizontal="left"/>
    </xf>
    <xf numFmtId="4" fontId="15" fillId="4" borderId="4" xfId="11" applyNumberFormat="1" applyFont="1" applyFill="1" applyBorder="1"/>
    <xf numFmtId="4" fontId="15" fillId="4" borderId="4" xfId="12" applyNumberFormat="1" applyFont="1" applyFill="1" applyBorder="1"/>
    <xf numFmtId="10" fontId="12" fillId="0" borderId="0" xfId="2" applyNumberFormat="1" applyFont="1" applyBorder="1"/>
    <xf numFmtId="165" fontId="12" fillId="0" borderId="0" xfId="3" applyFont="1" applyBorder="1"/>
    <xf numFmtId="4" fontId="15" fillId="4" borderId="4" xfId="13" applyNumberFormat="1" applyFont="1" applyFill="1" applyBorder="1"/>
    <xf numFmtId="4" fontId="15" fillId="4" borderId="4" xfId="14" applyNumberFormat="1" applyFont="1" applyFill="1" applyBorder="1"/>
    <xf numFmtId="4" fontId="15" fillId="4" borderId="4" xfId="15" applyNumberFormat="1" applyFont="1" applyFill="1" applyBorder="1"/>
    <xf numFmtId="4" fontId="15" fillId="4" borderId="4" xfId="16" applyNumberFormat="1" applyFont="1" applyFill="1" applyBorder="1"/>
    <xf numFmtId="4" fontId="15" fillId="4" borderId="7" xfId="16" applyNumberFormat="1" applyFont="1" applyFill="1" applyBorder="1"/>
    <xf numFmtId="4" fontId="15" fillId="4" borderId="7" xfId="15" applyNumberFormat="1" applyFont="1" applyFill="1" applyBorder="1"/>
    <xf numFmtId="165" fontId="11" fillId="0" borderId="4" xfId="3" applyFont="1" applyFill="1" applyBorder="1"/>
    <xf numFmtId="165" fontId="11" fillId="4" borderId="4" xfId="3" applyFont="1" applyFill="1" applyBorder="1" applyAlignment="1">
      <alignment horizontal="center"/>
    </xf>
    <xf numFmtId="0" fontId="11" fillId="4" borderId="8" xfId="1" applyFont="1" applyFill="1" applyBorder="1"/>
    <xf numFmtId="165" fontId="11" fillId="4" borderId="9" xfId="3" applyFont="1" applyFill="1" applyBorder="1"/>
    <xf numFmtId="165" fontId="11" fillId="0" borderId="9" xfId="3" applyFont="1" applyFill="1" applyBorder="1"/>
    <xf numFmtId="165" fontId="12" fillId="4" borderId="12" xfId="3" applyFont="1" applyFill="1" applyBorder="1"/>
    <xf numFmtId="14" fontId="11" fillId="4" borderId="4" xfId="1" applyNumberFormat="1" applyFont="1" applyFill="1" applyBorder="1"/>
    <xf numFmtId="14" fontId="11" fillId="4" borderId="13" xfId="1" applyNumberFormat="1" applyFont="1" applyFill="1" applyBorder="1"/>
    <xf numFmtId="165" fontId="11" fillId="4" borderId="14" xfId="3" applyFont="1" applyFill="1" applyBorder="1"/>
    <xf numFmtId="165" fontId="11" fillId="0" borderId="14" xfId="3" applyFont="1" applyFill="1" applyBorder="1"/>
    <xf numFmtId="0" fontId="11" fillId="4" borderId="11" xfId="1" applyFont="1" applyFill="1" applyBorder="1"/>
    <xf numFmtId="0" fontId="12" fillId="4" borderId="11" xfId="1" applyFont="1" applyFill="1" applyBorder="1"/>
    <xf numFmtId="165" fontId="11" fillId="4" borderId="10" xfId="3" applyFont="1" applyFill="1" applyBorder="1"/>
    <xf numFmtId="4" fontId="12" fillId="4" borderId="4" xfId="1" applyNumberFormat="1" applyFont="1" applyFill="1" applyBorder="1"/>
    <xf numFmtId="4" fontId="12" fillId="4" borderId="4" xfId="3" applyNumberFormat="1" applyFont="1" applyFill="1" applyBorder="1" applyAlignment="1">
      <alignment horizontal="center"/>
    </xf>
    <xf numFmtId="0" fontId="12" fillId="4" borderId="6" xfId="1" applyFont="1" applyFill="1" applyBorder="1"/>
    <xf numFmtId="0" fontId="11" fillId="4" borderId="6" xfId="1" applyFont="1" applyFill="1" applyBorder="1"/>
    <xf numFmtId="4" fontId="11" fillId="4" borderId="4" xfId="1" applyNumberFormat="1" applyFont="1" applyFill="1" applyBorder="1"/>
    <xf numFmtId="166" fontId="11" fillId="4" borderId="4" xfId="3" applyNumberFormat="1" applyFont="1" applyFill="1" applyBorder="1" applyAlignment="1">
      <alignment horizontal="center"/>
    </xf>
    <xf numFmtId="4" fontId="11" fillId="4" borderId="0" xfId="1" applyNumberFormat="1" applyFont="1" applyFill="1" applyBorder="1"/>
    <xf numFmtId="0" fontId="12" fillId="0" borderId="0" xfId="1" applyFont="1"/>
    <xf numFmtId="0" fontId="11" fillId="0" borderId="0" xfId="1" applyFont="1" applyFill="1" applyAlignment="1">
      <alignment horizontal="center"/>
    </xf>
    <xf numFmtId="165" fontId="11" fillId="0" borderId="0" xfId="3" applyFont="1" applyBorder="1" applyAlignment="1">
      <alignment horizontal="center"/>
    </xf>
    <xf numFmtId="165" fontId="11" fillId="0" borderId="0" xfId="3" applyFont="1" applyFill="1" applyBorder="1" applyAlignment="1">
      <alignment horizontal="left" indent="1"/>
    </xf>
    <xf numFmtId="165" fontId="11" fillId="0" borderId="0" xfId="3" applyFont="1" applyBorder="1" applyAlignment="1">
      <alignment horizontal="left" indent="1"/>
    </xf>
    <xf numFmtId="43" fontId="12" fillId="0" borderId="0" xfId="1" applyNumberFormat="1" applyFont="1"/>
    <xf numFmtId="165" fontId="11" fillId="0" borderId="0" xfId="3" applyFont="1" applyBorder="1" applyAlignment="1">
      <alignment horizontal="right"/>
    </xf>
    <xf numFmtId="0" fontId="11" fillId="0" borderId="0" xfId="1" applyFont="1"/>
    <xf numFmtId="165" fontId="11" fillId="0" borderId="0" xfId="3" applyFont="1" applyFill="1" applyBorder="1"/>
    <xf numFmtId="165" fontId="11" fillId="0" borderId="0" xfId="3" applyFont="1" applyBorder="1"/>
    <xf numFmtId="165" fontId="12" fillId="0" borderId="0" xfId="3" applyFont="1" applyFill="1" applyBorder="1"/>
    <xf numFmtId="165" fontId="12" fillId="0" borderId="0" xfId="1" applyNumberFormat="1" applyFont="1"/>
    <xf numFmtId="0" fontId="11" fillId="0" borderId="0" xfId="1" applyFont="1" applyBorder="1" applyAlignment="1">
      <alignment horizontal="left"/>
    </xf>
    <xf numFmtId="0" fontId="11" fillId="0" borderId="0" xfId="1" applyFont="1" applyBorder="1"/>
    <xf numFmtId="14" fontId="12" fillId="0" borderId="0" xfId="1" applyNumberFormat="1" applyFont="1" applyBorder="1"/>
    <xf numFmtId="0" fontId="11" fillId="0" borderId="0" xfId="1" applyFont="1" applyFill="1" applyBorder="1" applyAlignment="1">
      <alignment horizontal="left"/>
    </xf>
    <xf numFmtId="0" fontId="12" fillId="0" borderId="0" xfId="1" applyFont="1" applyBorder="1" applyAlignment="1">
      <alignment horizontal="left"/>
    </xf>
    <xf numFmtId="165" fontId="12" fillId="0" borderId="0" xfId="3" applyFont="1" applyFill="1"/>
    <xf numFmtId="0" fontId="11" fillId="0" borderId="0" xfId="1" applyFont="1" applyFill="1" applyBorder="1" applyAlignment="1">
      <alignment horizontal="center"/>
    </xf>
    <xf numFmtId="165" fontId="11" fillId="0" borderId="0" xfId="1" applyNumberFormat="1" applyFont="1" applyBorder="1"/>
    <xf numFmtId="165" fontId="12" fillId="0" borderId="0" xfId="1" applyNumberFormat="1" applyFont="1" applyBorder="1"/>
    <xf numFmtId="10" fontId="11" fillId="0" borderId="4" xfId="2" applyNumberFormat="1" applyFont="1" applyBorder="1" applyAlignment="1">
      <alignment horizontal="center"/>
    </xf>
    <xf numFmtId="0" fontId="12" fillId="0" borderId="8" xfId="1" applyFont="1" applyBorder="1"/>
    <xf numFmtId="0" fontId="12" fillId="0" borderId="12" xfId="1" applyFont="1" applyBorder="1"/>
    <xf numFmtId="0" fontId="12" fillId="0" borderId="9" xfId="1" applyFont="1" applyBorder="1"/>
    <xf numFmtId="0" fontId="12" fillId="0" borderId="15" xfId="1" applyFont="1" applyBorder="1"/>
    <xf numFmtId="0" fontId="12" fillId="0" borderId="16" xfId="1" applyFont="1" applyBorder="1"/>
    <xf numFmtId="0" fontId="12" fillId="0" borderId="17" xfId="1" applyFont="1" applyBorder="1"/>
    <xf numFmtId="165" fontId="12" fillId="0" borderId="15" xfId="17" applyNumberFormat="1" applyFont="1" applyBorder="1"/>
    <xf numFmtId="165" fontId="12" fillId="0" borderId="0" xfId="17" applyNumberFormat="1" applyFont="1" applyBorder="1"/>
    <xf numFmtId="165" fontId="12" fillId="0" borderId="17" xfId="17" applyNumberFormat="1" applyFont="1" applyBorder="1"/>
    <xf numFmtId="4" fontId="12" fillId="0" borderId="0" xfId="1" applyNumberFormat="1" applyFont="1" applyBorder="1"/>
    <xf numFmtId="165" fontId="12" fillId="0" borderId="15" xfId="3" applyFont="1" applyBorder="1"/>
    <xf numFmtId="0" fontId="12" fillId="0" borderId="13" xfId="1" applyFont="1" applyBorder="1"/>
    <xf numFmtId="0" fontId="12" fillId="0" borderId="10" xfId="1" applyFont="1" applyBorder="1"/>
    <xf numFmtId="165" fontId="12" fillId="0" borderId="14" xfId="1" applyNumberFormat="1" applyFont="1" applyBorder="1"/>
    <xf numFmtId="0" fontId="11" fillId="0" borderId="0" xfId="1" applyFont="1" applyBorder="1" applyAlignment="1"/>
    <xf numFmtId="0" fontId="11" fillId="0" borderId="0" xfId="1" applyNumberFormat="1" applyFont="1" applyBorder="1" applyAlignment="1"/>
    <xf numFmtId="0" fontId="12" fillId="0" borderId="0" xfId="1" applyFont="1" applyAlignment="1"/>
    <xf numFmtId="0" fontId="12" fillId="0" borderId="0" xfId="1" applyFont="1" applyAlignment="1">
      <alignment horizontal="left"/>
    </xf>
    <xf numFmtId="0" fontId="12" fillId="0" borderId="0" xfId="1" applyFont="1" applyAlignment="1">
      <alignment horizontal="center"/>
    </xf>
    <xf numFmtId="165" fontId="12" fillId="0" borderId="0" xfId="18" applyNumberFormat="1" applyFont="1" applyAlignment="1">
      <alignment horizontal="center"/>
    </xf>
    <xf numFmtId="0" fontId="11" fillId="0" borderId="9" xfId="1" applyFont="1" applyBorder="1" applyAlignment="1">
      <alignment horizontal="center"/>
    </xf>
    <xf numFmtId="0" fontId="11" fillId="0" borderId="8" xfId="1" applyFont="1" applyBorder="1" applyAlignment="1">
      <alignment horizontal="center"/>
    </xf>
    <xf numFmtId="165" fontId="11" fillId="0" borderId="5" xfId="18" applyNumberFormat="1" applyFont="1" applyBorder="1" applyAlignment="1">
      <alignment horizontal="center"/>
    </xf>
    <xf numFmtId="165" fontId="11" fillId="0" borderId="4" xfId="18" applyNumberFormat="1" applyFont="1" applyBorder="1" applyAlignment="1">
      <alignment horizontal="center"/>
    </xf>
    <xf numFmtId="165" fontId="11" fillId="0" borderId="15" xfId="18" applyNumberFormat="1" applyFont="1" applyBorder="1" applyAlignment="1">
      <alignment horizontal="center"/>
    </xf>
    <xf numFmtId="165" fontId="11" fillId="0" borderId="9" xfId="18" applyNumberFormat="1" applyFont="1" applyBorder="1" applyAlignment="1">
      <alignment horizontal="center"/>
    </xf>
    <xf numFmtId="0" fontId="11" fillId="0" borderId="17" xfId="1" applyFont="1" applyBorder="1" applyAlignment="1">
      <alignment horizontal="center"/>
    </xf>
    <xf numFmtId="9" fontId="11" fillId="0" borderId="17" xfId="2" applyFont="1" applyBorder="1" applyAlignment="1">
      <alignment horizontal="center"/>
    </xf>
    <xf numFmtId="165" fontId="11" fillId="0" borderId="17" xfId="18" applyNumberFormat="1" applyFont="1" applyBorder="1" applyAlignment="1">
      <alignment horizontal="center"/>
    </xf>
    <xf numFmtId="0" fontId="12" fillId="0" borderId="0" xfId="1" applyFont="1" applyBorder="1" applyAlignment="1">
      <alignment horizontal="center"/>
    </xf>
    <xf numFmtId="165" fontId="12" fillId="0" borderId="15" xfId="18" applyNumberFormat="1" applyFont="1" applyBorder="1" applyAlignment="1">
      <alignment horizontal="center"/>
    </xf>
    <xf numFmtId="10" fontId="12" fillId="0" borderId="17" xfId="2" applyNumberFormat="1" applyFont="1" applyBorder="1" applyAlignment="1">
      <alignment horizontal="center"/>
    </xf>
    <xf numFmtId="0" fontId="12" fillId="0" borderId="17" xfId="1" applyFont="1" applyBorder="1" applyAlignment="1">
      <alignment horizontal="center"/>
    </xf>
    <xf numFmtId="0" fontId="11" fillId="0" borderId="17" xfId="1" applyFont="1" applyBorder="1"/>
    <xf numFmtId="165" fontId="11" fillId="0" borderId="15" xfId="18" applyNumberFormat="1" applyFont="1" applyBorder="1"/>
    <xf numFmtId="165" fontId="11" fillId="0" borderId="17" xfId="18" applyNumberFormat="1" applyFont="1" applyBorder="1"/>
    <xf numFmtId="165" fontId="12" fillId="0" borderId="15" xfId="18" applyNumberFormat="1" applyFont="1" applyBorder="1"/>
    <xf numFmtId="165" fontId="12" fillId="0" borderId="17" xfId="18" applyNumberFormat="1" applyFont="1" applyBorder="1"/>
    <xf numFmtId="14" fontId="12" fillId="0" borderId="17" xfId="1" applyNumberFormat="1" applyFont="1" applyBorder="1"/>
    <xf numFmtId="165" fontId="12" fillId="0" borderId="10" xfId="18" applyNumberFormat="1" applyFont="1" applyBorder="1"/>
    <xf numFmtId="165" fontId="12" fillId="0" borderId="14" xfId="18" applyNumberFormat="1" applyFont="1" applyBorder="1"/>
    <xf numFmtId="0" fontId="11" fillId="0" borderId="16" xfId="1" applyFont="1" applyBorder="1"/>
    <xf numFmtId="165" fontId="11" fillId="0" borderId="9" xfId="18" applyNumberFormat="1" applyFont="1" applyBorder="1"/>
    <xf numFmtId="0" fontId="12" fillId="0" borderId="14" xfId="1" applyFont="1" applyBorder="1"/>
    <xf numFmtId="0" fontId="12" fillId="0" borderId="4" xfId="1" applyFont="1" applyBorder="1"/>
    <xf numFmtId="165" fontId="12" fillId="0" borderId="4" xfId="18" applyNumberFormat="1" applyFont="1" applyBorder="1"/>
    <xf numFmtId="165" fontId="12" fillId="0" borderId="0" xfId="18" applyNumberFormat="1" applyFont="1" applyBorder="1"/>
    <xf numFmtId="165" fontId="12" fillId="0" borderId="13" xfId="18" applyNumberFormat="1" applyFont="1" applyBorder="1"/>
    <xf numFmtId="14" fontId="12" fillId="0" borderId="0" xfId="1" applyNumberFormat="1" applyFont="1"/>
    <xf numFmtId="165" fontId="12" fillId="0" borderId="0" xfId="18" applyNumberFormat="1" applyFont="1"/>
    <xf numFmtId="43" fontId="1" fillId="2" borderId="0" xfId="40" applyFont="1" applyFill="1" applyBorder="1"/>
    <xf numFmtId="43" fontId="0" fillId="0" borderId="0" xfId="40" applyFont="1"/>
    <xf numFmtId="0" fontId="11" fillId="0" borderId="7" xfId="1" applyFont="1" applyBorder="1" applyAlignment="1">
      <alignment horizontal="center"/>
    </xf>
    <xf numFmtId="0" fontId="11" fillId="0" borderId="4" xfId="1" applyFont="1" applyBorder="1" applyAlignment="1">
      <alignment horizontal="center"/>
    </xf>
    <xf numFmtId="43" fontId="12" fillId="0" borderId="0" xfId="40" applyFont="1" applyBorder="1"/>
    <xf numFmtId="14" fontId="2" fillId="0" borderId="0" xfId="0" applyNumberFormat="1" applyFont="1"/>
    <xf numFmtId="14" fontId="11" fillId="0" borderId="4" xfId="1" applyNumberFormat="1" applyFont="1" applyBorder="1" applyAlignment="1">
      <alignment horizontal="center"/>
    </xf>
    <xf numFmtId="0" fontId="11" fillId="4" borderId="0" xfId="1" applyFont="1" applyFill="1" applyBorder="1" applyAlignment="1">
      <alignment horizontal="center"/>
    </xf>
    <xf numFmtId="0" fontId="12" fillId="4" borderId="0" xfId="1" applyFont="1" applyFill="1" applyBorder="1" applyAlignment="1">
      <alignment horizontal="center"/>
    </xf>
    <xf numFmtId="0" fontId="12" fillId="4" borderId="0" xfId="1" applyFont="1" applyFill="1" applyBorder="1" applyAlignment="1">
      <alignment horizontal="left"/>
    </xf>
    <xf numFmtId="0" fontId="12" fillId="4" borderId="0" xfId="1" applyFont="1" applyFill="1" applyAlignment="1">
      <alignment horizontal="left"/>
    </xf>
    <xf numFmtId="0" fontId="18" fillId="0" borderId="0" xfId="0" applyFont="1"/>
    <xf numFmtId="0" fontId="18" fillId="0" borderId="18" xfId="0" applyFont="1" applyBorder="1"/>
    <xf numFmtId="43" fontId="18" fillId="0" borderId="19" xfId="40" applyFont="1" applyBorder="1"/>
    <xf numFmtId="43" fontId="18" fillId="0" borderId="21" xfId="40" applyFont="1" applyBorder="1"/>
    <xf numFmtId="0" fontId="18" fillId="0" borderId="22" xfId="0" applyFont="1" applyBorder="1"/>
    <xf numFmtId="43" fontId="18" fillId="0" borderId="23" xfId="40" applyFont="1" applyBorder="1"/>
    <xf numFmtId="0" fontId="18" fillId="7" borderId="0" xfId="0" applyFont="1" applyFill="1"/>
    <xf numFmtId="0" fontId="0" fillId="7" borderId="0" xfId="0" applyFill="1"/>
    <xf numFmtId="43" fontId="18" fillId="7" borderId="0" xfId="0" applyNumberFormat="1" applyFont="1" applyFill="1"/>
    <xf numFmtId="0" fontId="11" fillId="4" borderId="4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/>
    </xf>
    <xf numFmtId="10" fontId="11" fillId="4" borderId="4" xfId="2" applyNumberFormat="1" applyFont="1" applyFill="1" applyBorder="1"/>
    <xf numFmtId="9" fontId="11" fillId="4" borderId="4" xfId="2" applyFont="1" applyFill="1" applyBorder="1"/>
    <xf numFmtId="43" fontId="11" fillId="4" borderId="0" xfId="40" applyFont="1" applyFill="1" applyBorder="1" applyAlignment="1">
      <alignment horizontal="center"/>
    </xf>
    <xf numFmtId="43" fontId="12" fillId="4" borderId="0" xfId="40" applyFont="1" applyFill="1" applyBorder="1" applyAlignment="1">
      <alignment horizontal="center"/>
    </xf>
    <xf numFmtId="43" fontId="12" fillId="4" borderId="0" xfId="40" applyFont="1" applyFill="1" applyBorder="1" applyAlignment="1">
      <alignment horizontal="right"/>
    </xf>
    <xf numFmtId="43" fontId="11" fillId="4" borderId="0" xfId="40" applyFont="1" applyFill="1" applyBorder="1" applyAlignment="1">
      <alignment horizontal="right"/>
    </xf>
    <xf numFmtId="43" fontId="12" fillId="0" borderId="0" xfId="40" applyFont="1" applyFill="1" applyBorder="1" applyAlignment="1">
      <alignment horizontal="right"/>
    </xf>
    <xf numFmtId="43" fontId="11" fillId="0" borderId="0" xfId="40" applyFont="1" applyFill="1" applyBorder="1" applyAlignment="1">
      <alignment horizontal="right"/>
    </xf>
    <xf numFmtId="43" fontId="11" fillId="4" borderId="0" xfId="40" applyFont="1" applyFill="1" applyBorder="1"/>
    <xf numFmtId="43" fontId="12" fillId="4" borderId="0" xfId="40" applyFont="1" applyFill="1" applyBorder="1"/>
    <xf numFmtId="43" fontId="11" fillId="5" borderId="0" xfId="40" applyFont="1" applyFill="1" applyBorder="1"/>
    <xf numFmtId="43" fontId="12" fillId="5" borderId="0" xfId="40" applyFont="1" applyFill="1" applyBorder="1"/>
    <xf numFmtId="43" fontId="11" fillId="0" borderId="0" xfId="1" applyNumberFormat="1" applyFont="1" applyBorder="1"/>
    <xf numFmtId="0" fontId="11" fillId="0" borderId="0" xfId="1" applyFont="1" applyBorder="1" applyAlignment="1">
      <alignment horizontal="center"/>
    </xf>
    <xf numFmtId="0" fontId="11" fillId="4" borderId="4" xfId="1" applyFont="1" applyFill="1" applyBorder="1" applyAlignment="1">
      <alignment horizontal="center" vertical="center"/>
    </xf>
    <xf numFmtId="43" fontId="12" fillId="4" borderId="0" xfId="2" applyNumberFormat="1" applyFont="1" applyFill="1" applyBorder="1" applyAlignment="1">
      <alignment horizontal="center"/>
    </xf>
    <xf numFmtId="0" fontId="12" fillId="4" borderId="0" xfId="1" applyFont="1" applyFill="1" applyBorder="1" applyAlignment="1">
      <alignment horizontal="center"/>
    </xf>
    <xf numFmtId="0" fontId="21" fillId="4" borderId="0" xfId="1" applyFont="1" applyFill="1" applyBorder="1" applyAlignment="1">
      <alignment horizontal="left" indent="27"/>
    </xf>
    <xf numFmtId="0" fontId="21" fillId="0" borderId="0" xfId="1" applyFont="1" applyBorder="1" applyAlignment="1"/>
    <xf numFmtId="0" fontId="22" fillId="0" borderId="0" xfId="1" applyFont="1" applyBorder="1" applyAlignment="1">
      <alignment horizontal="left"/>
    </xf>
    <xf numFmtId="43" fontId="18" fillId="0" borderId="25" xfId="40" applyFont="1" applyBorder="1"/>
    <xf numFmtId="0" fontId="18" fillId="0" borderId="26" xfId="0" applyFont="1" applyBorder="1"/>
    <xf numFmtId="43" fontId="18" fillId="0" borderId="27" xfId="40" applyFont="1" applyBorder="1"/>
    <xf numFmtId="0" fontId="18" fillId="0" borderId="0" xfId="0" applyFont="1" applyBorder="1"/>
    <xf numFmtId="43" fontId="18" fillId="0" borderId="0" xfId="40" applyFont="1" applyBorder="1"/>
    <xf numFmtId="0" fontId="21" fillId="4" borderId="0" xfId="1" applyFont="1" applyFill="1" applyBorder="1" applyAlignment="1">
      <alignment horizontal="left" indent="27"/>
    </xf>
    <xf numFmtId="0" fontId="11" fillId="0" borderId="0" xfId="1" applyFont="1" applyBorder="1" applyAlignment="1">
      <alignment horizontal="center"/>
    </xf>
    <xf numFmtId="10" fontId="11" fillId="0" borderId="0" xfId="41" applyNumberFormat="1" applyFont="1" applyFill="1" applyBorder="1"/>
    <xf numFmtId="0" fontId="12" fillId="8" borderId="0" xfId="1" applyFont="1" applyFill="1"/>
    <xf numFmtId="43" fontId="11" fillId="4" borderId="0" xfId="1" applyNumberFormat="1" applyFont="1" applyFill="1" applyBorder="1"/>
    <xf numFmtId="43" fontId="12" fillId="4" borderId="0" xfId="1" applyNumberFormat="1" applyFont="1" applyFill="1" applyBorder="1"/>
    <xf numFmtId="165" fontId="12" fillId="0" borderId="7" xfId="18" applyNumberFormat="1" applyFont="1" applyBorder="1"/>
    <xf numFmtId="0" fontId="12" fillId="0" borderId="11" xfId="1" applyFont="1" applyBorder="1"/>
    <xf numFmtId="0" fontId="12" fillId="0" borderId="5" xfId="1" applyFont="1" applyBorder="1"/>
    <xf numFmtId="43" fontId="12" fillId="0" borderId="0" xfId="40" applyFont="1"/>
    <xf numFmtId="43" fontId="23" fillId="0" borderId="0" xfId="40" applyFont="1"/>
    <xf numFmtId="43" fontId="0" fillId="0" borderId="0" xfId="40" applyNumberFormat="1" applyFont="1"/>
    <xf numFmtId="43" fontId="18" fillId="0" borderId="29" xfId="40" applyFont="1" applyBorder="1"/>
    <xf numFmtId="0" fontId="11" fillId="0" borderId="0" xfId="1" applyFont="1" applyBorder="1" applyAlignment="1">
      <alignment horizontal="left"/>
    </xf>
    <xf numFmtId="43" fontId="0" fillId="0" borderId="0" xfId="0" applyNumberFormat="1"/>
    <xf numFmtId="0" fontId="24" fillId="0" borderId="24" xfId="0" applyFont="1" applyBorder="1"/>
    <xf numFmtId="43" fontId="24" fillId="0" borderId="25" xfId="40" applyFont="1" applyBorder="1"/>
    <xf numFmtId="10" fontId="12" fillId="0" borderId="0" xfId="41" applyNumberFormat="1" applyFont="1" applyBorder="1"/>
    <xf numFmtId="0" fontId="11" fillId="0" borderId="0" xfId="1" applyFont="1" applyBorder="1" applyAlignment="1">
      <alignment horizontal="left"/>
    </xf>
    <xf numFmtId="165" fontId="12" fillId="0" borderId="0" xfId="3" applyFont="1" applyFill="1" applyBorder="1" applyAlignment="1">
      <alignment horizontal="right"/>
    </xf>
    <xf numFmtId="10" fontId="12" fillId="4" borderId="0" xfId="41" applyNumberFormat="1" applyFont="1" applyFill="1" applyBorder="1" applyAlignment="1">
      <alignment horizontal="center"/>
    </xf>
    <xf numFmtId="0" fontId="12" fillId="0" borderId="0" xfId="1" applyFont="1" applyBorder="1" applyAlignment="1">
      <alignment horizontal="center"/>
    </xf>
    <xf numFmtId="0" fontId="11" fillId="0" borderId="0" xfId="1" applyFont="1" applyBorder="1" applyAlignment="1">
      <alignment horizontal="left"/>
    </xf>
    <xf numFmtId="165" fontId="11" fillId="0" borderId="0" xfId="3" applyFont="1" applyFill="1" applyBorder="1" applyAlignment="1">
      <alignment horizontal="center"/>
    </xf>
    <xf numFmtId="0" fontId="11" fillId="0" borderId="0" xfId="1" applyFont="1" applyBorder="1" applyAlignment="1">
      <alignment horizontal="center"/>
    </xf>
    <xf numFmtId="165" fontId="11" fillId="0" borderId="0" xfId="3" applyFont="1" applyFill="1" applyBorder="1" applyAlignment="1">
      <alignment horizontal="center"/>
    </xf>
    <xf numFmtId="165" fontId="12" fillId="0" borderId="0" xfId="3" applyFont="1" applyFill="1" applyBorder="1" applyAlignment="1">
      <alignment horizontal="left"/>
    </xf>
    <xf numFmtId="165" fontId="12" fillId="0" borderId="0" xfId="3" applyFont="1" applyFill="1" applyBorder="1" applyAlignment="1">
      <alignment horizontal="left" indent="1"/>
    </xf>
    <xf numFmtId="165" fontId="12" fillId="0" borderId="0" xfId="3" applyFont="1" applyBorder="1" applyAlignment="1">
      <alignment horizontal="left" indent="1"/>
    </xf>
    <xf numFmtId="10" fontId="11" fillId="0" borderId="0" xfId="41" applyNumberFormat="1" applyFont="1" applyFill="1" applyBorder="1" applyAlignment="1">
      <alignment horizontal="right" indent="1"/>
    </xf>
    <xf numFmtId="0" fontId="12" fillId="0" borderId="0" xfId="1" applyFont="1" applyFill="1"/>
    <xf numFmtId="0" fontId="11" fillId="0" borderId="0" xfId="1" applyFont="1" applyFill="1" applyAlignment="1">
      <alignment horizontal="center"/>
    </xf>
    <xf numFmtId="0" fontId="11" fillId="0" borderId="0" xfId="1" applyFont="1" applyFill="1" applyBorder="1" applyAlignment="1">
      <alignment horizontal="center"/>
    </xf>
    <xf numFmtId="43" fontId="12" fillId="0" borderId="0" xfId="40" applyFont="1" applyFill="1" applyBorder="1" applyAlignment="1">
      <alignment horizontal="left" indent="1"/>
    </xf>
    <xf numFmtId="43" fontId="11" fillId="0" borderId="0" xfId="40" applyFont="1" applyFill="1" applyBorder="1" applyAlignment="1">
      <alignment horizontal="left" indent="1"/>
    </xf>
    <xf numFmtId="0" fontId="12" fillId="0" borderId="0" xfId="0" applyNumberFormat="1" applyFont="1" applyFill="1" applyBorder="1" applyAlignment="1" applyProtection="1"/>
    <xf numFmtId="43" fontId="12" fillId="0" borderId="0" xfId="0" applyNumberFormat="1" applyFont="1"/>
    <xf numFmtId="10" fontId="0" fillId="0" borderId="0" xfId="41" applyNumberFormat="1" applyFont="1"/>
    <xf numFmtId="10" fontId="12" fillId="0" borderId="0" xfId="41" applyNumberFormat="1" applyFont="1" applyFill="1" applyBorder="1"/>
    <xf numFmtId="165" fontId="11" fillId="0" borderId="0" xfId="3" applyFont="1" applyFill="1" applyBorder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4" fontId="0" fillId="0" borderId="0" xfId="0" applyNumberFormat="1"/>
    <xf numFmtId="43" fontId="11" fillId="0" borderId="0" xfId="1" applyNumberFormat="1" applyFont="1"/>
    <xf numFmtId="0" fontId="25" fillId="0" borderId="0" xfId="0" applyFont="1" applyAlignment="1">
      <alignment horizontal="right"/>
    </xf>
    <xf numFmtId="165" fontId="12" fillId="0" borderId="0" xfId="2" applyNumberFormat="1" applyFont="1" applyBorder="1"/>
    <xf numFmtId="0" fontId="26" fillId="0" borderId="30" xfId="0" applyFont="1" applyBorder="1"/>
    <xf numFmtId="0" fontId="24" fillId="0" borderId="22" xfId="0" applyFont="1" applyBorder="1"/>
    <xf numFmtId="43" fontId="24" fillId="0" borderId="23" xfId="40" applyFont="1" applyBorder="1"/>
    <xf numFmtId="43" fontId="26" fillId="0" borderId="31" xfId="40" applyFont="1" applyBorder="1"/>
    <xf numFmtId="0" fontId="18" fillId="0" borderId="18" xfId="0" applyFont="1" applyBorder="1" applyAlignment="1">
      <alignment horizontal="left" indent="2"/>
    </xf>
    <xf numFmtId="0" fontId="18" fillId="0" borderId="20" xfId="0" applyFont="1" applyBorder="1" applyAlignment="1">
      <alignment horizontal="left" indent="2"/>
    </xf>
    <xf numFmtId="0" fontId="18" fillId="0" borderId="28" xfId="0" applyFont="1" applyBorder="1" applyAlignment="1">
      <alignment horizontal="left" indent="2"/>
    </xf>
    <xf numFmtId="0" fontId="26" fillId="0" borderId="24" xfId="0" applyFont="1" applyBorder="1"/>
    <xf numFmtId="43" fontId="26" fillId="0" borderId="25" xfId="40" applyFont="1" applyBorder="1"/>
    <xf numFmtId="10" fontId="12" fillId="4" borderId="0" xfId="41" applyNumberFormat="1" applyFont="1" applyFill="1" applyBorder="1"/>
    <xf numFmtId="43" fontId="0" fillId="0" borderId="0" xfId="0" applyNumberFormat="1" applyFont="1"/>
    <xf numFmtId="0" fontId="3" fillId="0" borderId="0" xfId="0" applyFont="1" applyAlignment="1">
      <alignment horizontal="left" vertical="center" wrapText="1" indent="5"/>
    </xf>
    <xf numFmtId="0" fontId="3" fillId="0" borderId="0" xfId="0" applyFont="1" applyAlignment="1">
      <alignment horizontal="left" vertical="center" indent="5"/>
    </xf>
    <xf numFmtId="0" fontId="12" fillId="4" borderId="0" xfId="1" applyFont="1" applyFill="1" applyBorder="1" applyAlignment="1">
      <alignment horizontal="center"/>
    </xf>
    <xf numFmtId="0" fontId="11" fillId="4" borderId="0" xfId="1" applyFont="1" applyFill="1" applyBorder="1" applyAlignment="1">
      <alignment horizontal="left"/>
    </xf>
    <xf numFmtId="0" fontId="11" fillId="4" borderId="0" xfId="1" applyFont="1" applyFill="1" applyBorder="1" applyAlignment="1">
      <alignment horizontal="center"/>
    </xf>
    <xf numFmtId="0" fontId="12" fillId="4" borderId="0" xfId="1" applyFont="1" applyFill="1" applyBorder="1" applyAlignment="1">
      <alignment horizontal="left"/>
    </xf>
    <xf numFmtId="0" fontId="12" fillId="4" borderId="0" xfId="1" applyFont="1" applyFill="1" applyAlignment="1">
      <alignment horizontal="left"/>
    </xf>
    <xf numFmtId="0" fontId="21" fillId="4" borderId="0" xfId="1" applyFont="1" applyFill="1" applyBorder="1" applyAlignment="1">
      <alignment horizontal="left" indent="27"/>
    </xf>
    <xf numFmtId="0" fontId="22" fillId="4" borderId="0" xfId="1" applyFont="1" applyFill="1" applyBorder="1" applyAlignment="1">
      <alignment horizontal="left" indent="27"/>
    </xf>
    <xf numFmtId="0" fontId="11" fillId="4" borderId="0" xfId="1" applyFont="1" applyFill="1" applyBorder="1" applyAlignment="1">
      <alignment horizontal="center" wrapText="1"/>
    </xf>
    <xf numFmtId="0" fontId="11" fillId="0" borderId="0" xfId="1" applyFont="1" applyBorder="1" applyAlignment="1">
      <alignment horizontal="center"/>
    </xf>
    <xf numFmtId="0" fontId="11" fillId="0" borderId="0" xfId="1" applyFont="1" applyBorder="1" applyAlignment="1">
      <alignment horizontal="right"/>
    </xf>
    <xf numFmtId="0" fontId="11" fillId="9" borderId="0" xfId="1" applyFont="1" applyFill="1" applyBorder="1" applyAlignment="1">
      <alignment horizontal="center"/>
    </xf>
    <xf numFmtId="14" fontId="11" fillId="4" borderId="4" xfId="1" applyNumberFormat="1" applyFont="1" applyFill="1" applyBorder="1" applyAlignment="1">
      <alignment horizontal="center" vertical="center"/>
    </xf>
    <xf numFmtId="14" fontId="11" fillId="4" borderId="5" xfId="1" applyNumberFormat="1" applyFont="1" applyFill="1" applyBorder="1" applyAlignment="1">
      <alignment horizontal="center" vertical="center"/>
    </xf>
    <xf numFmtId="0" fontId="11" fillId="4" borderId="6" xfId="1" applyFont="1" applyFill="1" applyBorder="1" applyAlignment="1">
      <alignment horizontal="center" vertical="center"/>
    </xf>
    <xf numFmtId="0" fontId="11" fillId="4" borderId="7" xfId="1" applyFont="1" applyFill="1" applyBorder="1" applyAlignment="1">
      <alignment horizontal="center" vertical="center"/>
    </xf>
    <xf numFmtId="0" fontId="11" fillId="4" borderId="5" xfId="1" applyFont="1" applyFill="1" applyBorder="1" applyAlignment="1">
      <alignment horizontal="center"/>
    </xf>
    <xf numFmtId="0" fontId="11" fillId="4" borderId="7" xfId="1" applyFont="1" applyFill="1" applyBorder="1" applyAlignment="1">
      <alignment horizontal="center"/>
    </xf>
    <xf numFmtId="0" fontId="11" fillId="4" borderId="4" xfId="1" applyFont="1" applyFill="1" applyBorder="1" applyAlignment="1">
      <alignment horizontal="center" vertical="center"/>
    </xf>
    <xf numFmtId="0" fontId="11" fillId="0" borderId="4" xfId="1" applyFont="1" applyBorder="1" applyAlignment="1">
      <alignment horizontal="center"/>
    </xf>
    <xf numFmtId="0" fontId="11" fillId="0" borderId="5" xfId="1" applyFont="1" applyBorder="1" applyAlignment="1">
      <alignment horizontal="center"/>
    </xf>
    <xf numFmtId="0" fontId="11" fillId="0" borderId="7" xfId="1" applyFont="1" applyBorder="1" applyAlignment="1">
      <alignment horizontal="center"/>
    </xf>
    <xf numFmtId="0" fontId="12" fillId="0" borderId="0" xfId="1" applyFont="1" applyBorder="1" applyAlignment="1">
      <alignment horizontal="center"/>
    </xf>
    <xf numFmtId="0" fontId="11" fillId="0" borderId="0" xfId="1" applyFont="1" applyBorder="1" applyAlignment="1">
      <alignment horizontal="left"/>
    </xf>
    <xf numFmtId="0" fontId="11" fillId="0" borderId="0" xfId="1" applyNumberFormat="1" applyFont="1" applyBorder="1" applyAlignment="1">
      <alignment horizontal="center"/>
    </xf>
    <xf numFmtId="0" fontId="12" fillId="0" borderId="16" xfId="1" applyFont="1" applyBorder="1" applyAlignment="1">
      <alignment horizontal="left"/>
    </xf>
    <xf numFmtId="0" fontId="12" fillId="0" borderId="15" xfId="1" applyFont="1" applyBorder="1" applyAlignment="1">
      <alignment horizontal="left"/>
    </xf>
    <xf numFmtId="0" fontId="12" fillId="0" borderId="11" xfId="1" applyFont="1" applyBorder="1" applyAlignment="1">
      <alignment horizontal="left"/>
    </xf>
    <xf numFmtId="0" fontId="12" fillId="0" borderId="14" xfId="1" applyFont="1" applyBorder="1" applyAlignment="1">
      <alignment horizontal="left"/>
    </xf>
    <xf numFmtId="0" fontId="11" fillId="0" borderId="6" xfId="1" applyFont="1" applyBorder="1" applyAlignment="1">
      <alignment horizontal="center"/>
    </xf>
    <xf numFmtId="0" fontId="11" fillId="0" borderId="5" xfId="1" applyFont="1" applyBorder="1" applyAlignment="1">
      <alignment horizontal="left"/>
    </xf>
    <xf numFmtId="0" fontId="11" fillId="0" borderId="6" xfId="1" applyFont="1" applyBorder="1" applyAlignment="1">
      <alignment horizontal="left"/>
    </xf>
    <xf numFmtId="0" fontId="19" fillId="6" borderId="0" xfId="0" applyFont="1" applyFill="1" applyAlignment="1">
      <alignment horizontal="center" vertical="center"/>
    </xf>
    <xf numFmtId="0" fontId="17" fillId="0" borderId="0" xfId="0" applyFont="1" applyAlignment="1">
      <alignment horizontal="center"/>
    </xf>
    <xf numFmtId="0" fontId="20" fillId="7" borderId="0" xfId="0" applyFont="1" applyFill="1" applyAlignment="1">
      <alignment horizontal="center"/>
    </xf>
    <xf numFmtId="0" fontId="11" fillId="0" borderId="0" xfId="40" applyNumberFormat="1" applyFont="1" applyFill="1" applyBorder="1" applyAlignment="1">
      <alignment horizontal="left"/>
    </xf>
    <xf numFmtId="0" fontId="12" fillId="0" borderId="0" xfId="1" applyFont="1" applyFill="1" applyBorder="1" applyAlignment="1">
      <alignment horizontal="left"/>
    </xf>
    <xf numFmtId="0" fontId="11" fillId="0" borderId="0" xfId="1" applyFont="1" applyFill="1" applyBorder="1" applyAlignment="1">
      <alignment horizontal="left"/>
    </xf>
    <xf numFmtId="0" fontId="12" fillId="0" borderId="0" xfId="1" applyFont="1" applyFill="1" applyAlignment="1">
      <alignment horizontal="center"/>
    </xf>
    <xf numFmtId="0" fontId="11" fillId="0" borderId="0" xfId="1" applyFont="1" applyFill="1" applyBorder="1" applyAlignment="1">
      <alignment horizontal="center"/>
    </xf>
    <xf numFmtId="0" fontId="12" fillId="0" borderId="0" xfId="1" applyFont="1" applyFill="1" applyBorder="1" applyAlignment="1">
      <alignment horizontal="center"/>
    </xf>
    <xf numFmtId="165" fontId="12" fillId="0" borderId="0" xfId="3" applyFont="1" applyFill="1" applyBorder="1" applyAlignment="1">
      <alignment horizontal="center"/>
    </xf>
    <xf numFmtId="0" fontId="11" fillId="0" borderId="0" xfId="1" applyFont="1" applyFill="1" applyAlignment="1">
      <alignment horizontal="center"/>
    </xf>
    <xf numFmtId="165" fontId="11" fillId="0" borderId="0" xfId="3" applyFont="1" applyFill="1" applyBorder="1" applyAlignment="1">
      <alignment horizontal="center"/>
    </xf>
    <xf numFmtId="0" fontId="11" fillId="0" borderId="0" xfId="1" applyFont="1" applyFill="1" applyBorder="1" applyAlignment="1">
      <alignment horizontal="right"/>
    </xf>
    <xf numFmtId="0" fontId="11" fillId="0" borderId="0" xfId="1" applyFont="1" applyFill="1" applyAlignment="1">
      <alignment horizontal="center" wrapText="1"/>
    </xf>
    <xf numFmtId="0" fontId="12" fillId="0" borderId="0" xfId="1" applyFont="1" applyBorder="1" applyAlignment="1">
      <alignment horizontal="left"/>
    </xf>
    <xf numFmtId="165" fontId="12" fillId="0" borderId="0" xfId="3" applyFont="1" applyBorder="1" applyAlignment="1">
      <alignment horizontal="center"/>
    </xf>
    <xf numFmtId="0" fontId="11" fillId="4" borderId="0" xfId="1" applyFont="1" applyFill="1" applyBorder="1" applyAlignment="1">
      <alignment horizontal="right"/>
    </xf>
    <xf numFmtId="165" fontId="11" fillId="0" borderId="0" xfId="3" applyFont="1" applyFill="1" applyBorder="1" applyAlignment="1">
      <alignment horizontal="center" vertical="center"/>
    </xf>
  </cellXfs>
  <cellStyles count="42">
    <cellStyle name="Normal" xfId="0" builtinId="0"/>
    <cellStyle name="Normal 10" xfId="13"/>
    <cellStyle name="Normal 11" xfId="14"/>
    <cellStyle name="Normal 12" xfId="15"/>
    <cellStyle name="Normal 13" xfId="16"/>
    <cellStyle name="Normal 14" xfId="11"/>
    <cellStyle name="Normal 15" xfId="12"/>
    <cellStyle name="Normal 16" xfId="19"/>
    <cellStyle name="Normal 17" xfId="20"/>
    <cellStyle name="Normal 18" xfId="21"/>
    <cellStyle name="Normal 19" xfId="22"/>
    <cellStyle name="Normal 2" xfId="1"/>
    <cellStyle name="Normal 2 2" xfId="4"/>
    <cellStyle name="Normal 20" xfId="23"/>
    <cellStyle name="Normal 21" xfId="24"/>
    <cellStyle name="Normal 22" xfId="25"/>
    <cellStyle name="Normal 23" xfId="26"/>
    <cellStyle name="Normal 24" xfId="27"/>
    <cellStyle name="Normal 25" xfId="28"/>
    <cellStyle name="Normal 26" xfId="29"/>
    <cellStyle name="Normal 27" xfId="30"/>
    <cellStyle name="Normal 28" xfId="31"/>
    <cellStyle name="Normal 29" xfId="32"/>
    <cellStyle name="Normal 3" xfId="5"/>
    <cellStyle name="Normal 30" xfId="33"/>
    <cellStyle name="Normal 31" xfId="34"/>
    <cellStyle name="Normal 32" xfId="35"/>
    <cellStyle name="Normal 33" xfId="36"/>
    <cellStyle name="Normal 37" xfId="37"/>
    <cellStyle name="Normal 39" xfId="38"/>
    <cellStyle name="Normal 4" xfId="6"/>
    <cellStyle name="Normal 5" xfId="7"/>
    <cellStyle name="Normal 6" xfId="8"/>
    <cellStyle name="Normal 7" xfId="9"/>
    <cellStyle name="Normal 8" xfId="10"/>
    <cellStyle name="Normal 9" xfId="39"/>
    <cellStyle name="Porcentagem" xfId="41" builtinId="5"/>
    <cellStyle name="Porcentagem 2" xfId="2"/>
    <cellStyle name="Separador de milhares" xfId="40" builtinId="3"/>
    <cellStyle name="Separador de milhares 2" xfId="3"/>
    <cellStyle name="Separador de milhares 2 2" xfId="17"/>
    <cellStyle name="Separador de milhares 3" xfId="18"/>
  </cellStyles>
  <dxfs count="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-* #,##0.00_-;\-* #,##0.00_-;_-* &quot;-&quot;??_-;_-@_-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relativeIndent="255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relativeIndent="255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relativeIndent="255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relativeIndent="255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relativeIndent="255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48"/>
      <tableStyleElement type="headerRow" dxfId="47"/>
    </tableStyle>
  </tableStyles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1</xdr:col>
      <xdr:colOff>819150</xdr:colOff>
      <xdr:row>19</xdr:row>
      <xdr:rowOff>180975</xdr:rowOff>
    </xdr:to>
    <xdr:sp macro="" textlink="">
      <xdr:nvSpPr>
        <xdr:cNvPr id="7" name="Retângulo 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2895600"/>
          <a:ext cx="2686050" cy="752475"/>
        </a:xfrm>
        <a:prstGeom prst="rect">
          <a:avLst/>
        </a:prstGeom>
        <a:effectLst>
          <a:innerShdw blurRad="63500" dist="50800" dir="54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144000" rtlCol="0" anchor="ctr"/>
        <a:lstStyle/>
        <a:p>
          <a:pPr algn="r"/>
          <a:r>
            <a:rPr lang="pt-BR" sz="1600" b="0" i="0">
              <a:latin typeface="+mn-lt"/>
              <a:ea typeface="Tahoma" panose="020B0604030504040204" pitchFamily="34" charset="0"/>
              <a:cs typeface="Courier New" panose="02070309020205020404" pitchFamily="49" charset="0"/>
            </a:rPr>
            <a:t>ATUALIZAR</a:t>
          </a:r>
          <a:r>
            <a:rPr lang="pt-BR" sz="1600" b="0" i="0" baseline="0">
              <a:latin typeface="Rockwell" panose="02060603020205020403" pitchFamily="18" charset="0"/>
              <a:ea typeface="Tahoma" panose="020B0604030504040204" pitchFamily="34" charset="0"/>
              <a:cs typeface="Courier New" panose="02070309020205020404" pitchFamily="49" charset="0"/>
            </a:rPr>
            <a:t>  </a:t>
          </a:r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0</xdr:col>
      <xdr:colOff>142875</xdr:colOff>
      <xdr:row>13</xdr:row>
      <xdr:rowOff>0</xdr:rowOff>
    </xdr:to>
    <xdr:sp macro="" textlink="">
      <xdr:nvSpPr>
        <xdr:cNvPr id="8" name="Retângulo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1038225"/>
          <a:ext cx="142875" cy="1285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142875</xdr:colOff>
      <xdr:row>3</xdr:row>
      <xdr:rowOff>0</xdr:rowOff>
    </xdr:to>
    <xdr:sp macro="" textlink="">
      <xdr:nvSpPr>
        <xdr:cNvPr id="9" name="Retângulo 8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SpPr/>
      </xdr:nvSpPr>
      <xdr:spPr>
        <a:xfrm>
          <a:off x="0" y="0"/>
          <a:ext cx="142875" cy="75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76200</xdr:colOff>
      <xdr:row>16</xdr:row>
      <xdr:rowOff>66675</xdr:rowOff>
    </xdr:from>
    <xdr:to>
      <xdr:col>1</xdr:col>
      <xdr:colOff>771525</xdr:colOff>
      <xdr:row>19</xdr:row>
      <xdr:rowOff>114300</xdr:rowOff>
    </xdr:to>
    <xdr:sp macro="" textlink="">
      <xdr:nvSpPr>
        <xdr:cNvPr id="11" name="Retângulo 10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SpPr/>
      </xdr:nvSpPr>
      <xdr:spPr>
        <a:xfrm>
          <a:off x="76200" y="3286125"/>
          <a:ext cx="2419350" cy="619125"/>
        </a:xfrm>
        <a:prstGeom prst="rect">
          <a:avLst/>
        </a:prstGeom>
        <a:noFill/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108000" rtlCol="0" anchor="ctr"/>
        <a:lstStyle/>
        <a:p>
          <a:pPr algn="r"/>
          <a:endParaRPr lang="pt-BR" sz="1600" b="0" i="0" baseline="0">
            <a:latin typeface="Rockwell" panose="02060603020205020403" pitchFamily="18" charset="0"/>
            <a:ea typeface="Tahoma" panose="020B0604030504040204" pitchFamily="34" charset="0"/>
            <a:cs typeface="Courier New" panose="02070309020205020404" pitchFamily="49" charset="0"/>
          </a:endParaRPr>
        </a:p>
      </xdr:txBody>
    </xdr:sp>
    <xdr:clientData/>
  </xdr:twoCellAnchor>
  <xdr:twoCellAnchor editAs="oneCell">
    <xdr:from>
      <xdr:col>0</xdr:col>
      <xdr:colOff>238125</xdr:colOff>
      <xdr:row>0</xdr:row>
      <xdr:rowOff>190500</xdr:rowOff>
    </xdr:from>
    <xdr:to>
      <xdr:col>1</xdr:col>
      <xdr:colOff>38099</xdr:colOff>
      <xdr:row>3</xdr:row>
      <xdr:rowOff>61725</xdr:rowOff>
    </xdr:to>
    <xdr:pic>
      <xdr:nvPicPr>
        <xdr:cNvPr id="12" name="Imagem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190500"/>
          <a:ext cx="1523999" cy="595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50</xdr:row>
      <xdr:rowOff>161925</xdr:rowOff>
    </xdr:from>
    <xdr:to>
      <xdr:col>2</xdr:col>
      <xdr:colOff>2486025</xdr:colOff>
      <xdr:row>56</xdr:row>
      <xdr:rowOff>0</xdr:rowOff>
    </xdr:to>
    <xdr:sp macro="" textlink="">
      <xdr:nvSpPr>
        <xdr:cNvPr id="2" name="Text Box 5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80975" y="9829800"/>
          <a:ext cx="2981325" cy="923925"/>
        </a:xfrm>
        <a:prstGeom prst="rect">
          <a:avLst/>
        </a:prstGeom>
        <a:solidFill>
          <a:srgbClr val="FFFFFF">
            <a:alpha val="50000"/>
          </a:srgbClr>
        </a:solidFill>
        <a:ln w="9525">
          <a:noFill/>
          <a:miter lim="800000"/>
          <a:headEnd/>
          <a:tailEnd/>
        </a:ln>
      </xdr:spPr>
      <xdr:txBody>
        <a:bodyPr vertOverflow="clip" wrap="square" lIns="90000" tIns="46800" rIns="90000" bIns="46800" anchor="t" upright="1"/>
        <a:lstStyle/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_______________________</a:t>
          </a:r>
          <a:endParaRPr lang="pt-BR" sz="1050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Julinho Tonus</a:t>
          </a:r>
          <a:endParaRPr lang="pt-BR" sz="1050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Diretor Presidente</a:t>
          </a:r>
          <a:endParaRPr lang="pt-BR" sz="1050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CPF: 285.487.019-00</a:t>
          </a:r>
        </a:p>
      </xdr:txBody>
    </xdr:sp>
    <xdr:clientData/>
  </xdr:twoCellAnchor>
  <xdr:twoCellAnchor>
    <xdr:from>
      <xdr:col>2</xdr:col>
      <xdr:colOff>2781301</xdr:colOff>
      <xdr:row>51</xdr:row>
      <xdr:rowOff>28575</xdr:rowOff>
    </xdr:from>
    <xdr:to>
      <xdr:col>4</xdr:col>
      <xdr:colOff>609599</xdr:colOff>
      <xdr:row>57</xdr:row>
      <xdr:rowOff>57150</xdr:rowOff>
    </xdr:to>
    <xdr:sp macro="" textlink="">
      <xdr:nvSpPr>
        <xdr:cNvPr id="4" name="Text Box 54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3457576" y="9963150"/>
          <a:ext cx="3162298" cy="111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__________________________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Luiz Fernando Dill</a:t>
          </a:r>
          <a:r>
            <a:rPr lang="pt-BR" sz="1100" b="0" i="0" baseline="0">
              <a:latin typeface="Arial" pitchFamily="34" charset="0"/>
              <a:ea typeface="+mn-ea"/>
              <a:cs typeface="Arial" pitchFamily="34" charset="0"/>
            </a:rPr>
            <a:t> Barcellos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Contador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CPF: 015.109.330-00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CRC/RS 082.618/O-5</a:t>
          </a:r>
          <a:r>
            <a:rPr lang="pt-BR" sz="1100" b="0" i="0" baseline="0">
              <a:latin typeface="Arial" pitchFamily="34" charset="0"/>
              <a:ea typeface="+mn-ea"/>
              <a:cs typeface="Arial" pitchFamily="34" charset="0"/>
            </a:rPr>
            <a:t> T/PR</a:t>
          </a:r>
          <a:endParaRPr lang="pt-BR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7</xdr:col>
      <xdr:colOff>0</xdr:colOff>
      <xdr:row>51</xdr:row>
      <xdr:rowOff>28575</xdr:rowOff>
    </xdr:from>
    <xdr:to>
      <xdr:col>10</xdr:col>
      <xdr:colOff>209550</xdr:colOff>
      <xdr:row>56</xdr:row>
      <xdr:rowOff>28575</xdr:rowOff>
    </xdr:to>
    <xdr:sp macro="" textlink="">
      <xdr:nvSpPr>
        <xdr:cNvPr id="5" name="Text Box 55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5581650" y="10267950"/>
          <a:ext cx="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______________________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EVANDRO BALBINOTTI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Contador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CPF: 004.472.059-94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CRC/PR 053.245/O-0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6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142875</xdr:colOff>
      <xdr:row>3</xdr:row>
      <xdr:rowOff>161925</xdr:rowOff>
    </xdr:to>
    <xdr:sp macro="" textlink="">
      <xdr:nvSpPr>
        <xdr:cNvPr id="7" name="Retângulo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SpPr/>
      </xdr:nvSpPr>
      <xdr:spPr>
        <a:xfrm>
          <a:off x="0" y="0"/>
          <a:ext cx="14287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238125</xdr:colOff>
      <xdr:row>0</xdr:row>
      <xdr:rowOff>142875</xdr:rowOff>
    </xdr:from>
    <xdr:to>
      <xdr:col>2</xdr:col>
      <xdr:colOff>1085849</xdr:colOff>
      <xdr:row>3</xdr:row>
      <xdr:rowOff>118875</xdr:rowOff>
    </xdr:to>
    <xdr:pic>
      <xdr:nvPicPr>
        <xdr:cNvPr id="8" name="Imagem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142875"/>
          <a:ext cx="1523999" cy="595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2562226</xdr:colOff>
      <xdr:row>43</xdr:row>
      <xdr:rowOff>85725</xdr:rowOff>
    </xdr:from>
    <xdr:to>
      <xdr:col>4</xdr:col>
      <xdr:colOff>161926</xdr:colOff>
      <xdr:row>49</xdr:row>
      <xdr:rowOff>9525</xdr:rowOff>
    </xdr:to>
    <xdr:sp macro="" textlink="">
      <xdr:nvSpPr>
        <xdr:cNvPr id="4" name="Text Box 49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3257551" y="8839200"/>
          <a:ext cx="2933700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_________________________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Luiz Fernando Dill</a:t>
          </a:r>
          <a:r>
            <a:rPr lang="pt-BR" sz="1100" b="0" i="0" baseline="0">
              <a:latin typeface="Arial" pitchFamily="34" charset="0"/>
              <a:ea typeface="+mn-ea"/>
              <a:cs typeface="Arial" pitchFamily="34" charset="0"/>
            </a:rPr>
            <a:t> Barcellos</a:t>
          </a:r>
          <a:endParaRPr lang="pt-BR" sz="1100" b="0" i="0">
            <a:latin typeface="Arial" pitchFamily="34" charset="0"/>
            <a:ea typeface="+mn-ea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Contador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CPF: 015.109.330-00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CRC/RS 082.618/O-5</a:t>
          </a:r>
          <a:r>
            <a:rPr lang="pt-BR" sz="1100" b="0" i="0" baseline="0">
              <a:latin typeface="Arial" pitchFamily="34" charset="0"/>
              <a:ea typeface="+mn-ea"/>
              <a:cs typeface="Arial" pitchFamily="34" charset="0"/>
            </a:rPr>
            <a:t> T/PR</a:t>
          </a:r>
          <a:endParaRPr lang="pt-BR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142875</xdr:colOff>
      <xdr:row>3</xdr:row>
      <xdr:rowOff>161925</xdr:rowOff>
    </xdr:to>
    <xdr:sp macro="" textlink="">
      <xdr:nvSpPr>
        <xdr:cNvPr id="7" name="Retângulo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SpPr/>
      </xdr:nvSpPr>
      <xdr:spPr>
        <a:xfrm>
          <a:off x="0" y="0"/>
          <a:ext cx="142875" cy="790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266700</xdr:colOff>
      <xdr:row>0</xdr:row>
      <xdr:rowOff>142875</xdr:rowOff>
    </xdr:from>
    <xdr:to>
      <xdr:col>2</xdr:col>
      <xdr:colOff>1095374</xdr:colOff>
      <xdr:row>3</xdr:row>
      <xdr:rowOff>109350</xdr:rowOff>
    </xdr:to>
    <xdr:pic>
      <xdr:nvPicPr>
        <xdr:cNvPr id="8" name="Imagem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42875"/>
          <a:ext cx="1523999" cy="595125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43</xdr:row>
      <xdr:rowOff>66675</xdr:rowOff>
    </xdr:from>
    <xdr:to>
      <xdr:col>2</xdr:col>
      <xdr:colOff>2571750</xdr:colOff>
      <xdr:row>48</xdr:row>
      <xdr:rowOff>85725</xdr:rowOff>
    </xdr:to>
    <xdr:sp macro="" textlink="">
      <xdr:nvSpPr>
        <xdr:cNvPr id="6" name="Text Box 51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285750" y="8820150"/>
          <a:ext cx="2981325" cy="923925"/>
        </a:xfrm>
        <a:prstGeom prst="rect">
          <a:avLst/>
        </a:prstGeom>
        <a:solidFill>
          <a:srgbClr val="FFFFFF">
            <a:alpha val="50000"/>
          </a:srgbClr>
        </a:solidFill>
        <a:ln w="9525">
          <a:noFill/>
          <a:miter lim="800000"/>
          <a:headEnd/>
          <a:tailEnd/>
        </a:ln>
      </xdr:spPr>
      <xdr:txBody>
        <a:bodyPr vertOverflow="clip" wrap="square" lIns="90000" tIns="46800" rIns="90000" bIns="46800" anchor="t" upright="1"/>
        <a:lstStyle/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_______________________</a:t>
          </a:r>
          <a:endParaRPr lang="pt-BR" sz="1100">
            <a:latin typeface="Arial" pitchFamily="34" charset="0"/>
            <a:ea typeface="+mn-ea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Julinho Tonus</a:t>
          </a:r>
          <a:endParaRPr lang="pt-BR" sz="1100">
            <a:latin typeface="Arial" pitchFamily="34" charset="0"/>
            <a:ea typeface="+mn-ea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Diretor Presidente</a:t>
          </a:r>
          <a:endParaRPr lang="pt-BR" sz="1100">
            <a:latin typeface="Arial" pitchFamily="34" charset="0"/>
            <a:ea typeface="+mn-ea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CPF: 285.487.019-00</a:t>
          </a:r>
          <a:endParaRPr lang="pt-BR" sz="1100"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19050</xdr:rowOff>
    </xdr:from>
    <xdr:to>
      <xdr:col>1</xdr:col>
      <xdr:colOff>28575</xdr:colOff>
      <xdr:row>4</xdr:row>
      <xdr:rowOff>0</xdr:rowOff>
    </xdr:to>
    <xdr:sp macro="" textlink="">
      <xdr:nvSpPr>
        <xdr:cNvPr id="2" name="Retângulo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SpPr/>
      </xdr:nvSpPr>
      <xdr:spPr>
        <a:xfrm>
          <a:off x="9525" y="19050"/>
          <a:ext cx="14287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123825</xdr:colOff>
      <xdr:row>0</xdr:row>
      <xdr:rowOff>161925</xdr:rowOff>
    </xdr:from>
    <xdr:to>
      <xdr:col>1</xdr:col>
      <xdr:colOff>1647824</xdr:colOff>
      <xdr:row>3</xdr:row>
      <xdr:rowOff>118875</xdr:rowOff>
    </xdr:to>
    <xdr:pic>
      <xdr:nvPicPr>
        <xdr:cNvPr id="3" name="Imagem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61925"/>
          <a:ext cx="1523999" cy="595125"/>
        </a:xfrm>
        <a:prstGeom prst="rect">
          <a:avLst/>
        </a:prstGeom>
      </xdr:spPr>
    </xdr:pic>
    <xdr:clientData/>
  </xdr:twoCellAnchor>
  <xdr:twoCellAnchor>
    <xdr:from>
      <xdr:col>1</xdr:col>
      <xdr:colOff>3419476</xdr:colOff>
      <xdr:row>60</xdr:row>
      <xdr:rowOff>47625</xdr:rowOff>
    </xdr:from>
    <xdr:to>
      <xdr:col>2</xdr:col>
      <xdr:colOff>981076</xdr:colOff>
      <xdr:row>66</xdr:row>
      <xdr:rowOff>104775</xdr:rowOff>
    </xdr:to>
    <xdr:sp macro="" textlink="">
      <xdr:nvSpPr>
        <xdr:cNvPr id="5" name="Text Box 49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3543301" y="9553575"/>
          <a:ext cx="205740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_________________________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Luiz Fernando Dill</a:t>
          </a:r>
          <a:r>
            <a:rPr lang="pt-BR" sz="1100" b="0" i="0" baseline="0">
              <a:latin typeface="Arial" pitchFamily="34" charset="0"/>
              <a:ea typeface="+mn-ea"/>
              <a:cs typeface="Arial" pitchFamily="34" charset="0"/>
            </a:rPr>
            <a:t> Barcellos</a:t>
          </a:r>
          <a:endParaRPr lang="pt-BR" sz="1100" b="0" i="0">
            <a:latin typeface="Arial" pitchFamily="34" charset="0"/>
            <a:ea typeface="+mn-ea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Contador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CPF: 015.109.330-00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CRC/RS 082.618/O-5</a:t>
          </a:r>
          <a:r>
            <a:rPr lang="pt-BR" sz="1100" b="0" i="0" baseline="0">
              <a:latin typeface="Arial" pitchFamily="34" charset="0"/>
              <a:ea typeface="+mn-ea"/>
              <a:cs typeface="Arial" pitchFamily="34" charset="0"/>
            </a:rPr>
            <a:t> T/PR</a:t>
          </a:r>
          <a:endParaRPr lang="pt-BR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</xdr:col>
      <xdr:colOff>219075</xdr:colOff>
      <xdr:row>60</xdr:row>
      <xdr:rowOff>19050</xdr:rowOff>
    </xdr:from>
    <xdr:to>
      <xdr:col>1</xdr:col>
      <xdr:colOff>3200400</xdr:colOff>
      <xdr:row>65</xdr:row>
      <xdr:rowOff>38100</xdr:rowOff>
    </xdr:to>
    <xdr:sp macro="" textlink="">
      <xdr:nvSpPr>
        <xdr:cNvPr id="6" name="Text Box 51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342900" y="9525000"/>
          <a:ext cx="2981325" cy="923925"/>
        </a:xfrm>
        <a:prstGeom prst="rect">
          <a:avLst/>
        </a:prstGeom>
        <a:solidFill>
          <a:srgbClr val="FFFFFF">
            <a:alpha val="50000"/>
          </a:srgbClr>
        </a:solidFill>
        <a:ln w="9525">
          <a:noFill/>
          <a:miter lim="800000"/>
          <a:headEnd/>
          <a:tailEnd/>
        </a:ln>
      </xdr:spPr>
      <xdr:txBody>
        <a:bodyPr vertOverflow="clip" wrap="square" lIns="90000" tIns="46800" rIns="90000" bIns="46800" anchor="t" upright="1"/>
        <a:lstStyle/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_______________________</a:t>
          </a:r>
          <a:endParaRPr lang="pt-BR" sz="1100">
            <a:latin typeface="Arial" pitchFamily="34" charset="0"/>
            <a:ea typeface="+mn-ea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Julinho Tonus</a:t>
          </a:r>
          <a:endParaRPr lang="pt-BR" sz="1100">
            <a:latin typeface="Arial" pitchFamily="34" charset="0"/>
            <a:ea typeface="+mn-ea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Diretor Presidente</a:t>
          </a:r>
          <a:endParaRPr lang="pt-BR" sz="1100">
            <a:latin typeface="Arial" pitchFamily="34" charset="0"/>
            <a:ea typeface="+mn-ea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CPF: 285.487.019-00</a:t>
          </a:r>
          <a:endParaRPr lang="pt-BR" sz="1100"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19050</xdr:rowOff>
    </xdr:from>
    <xdr:to>
      <xdr:col>1</xdr:col>
      <xdr:colOff>28575</xdr:colOff>
      <xdr:row>4</xdr:row>
      <xdr:rowOff>0</xdr:rowOff>
    </xdr:to>
    <xdr:sp macro="" textlink="">
      <xdr:nvSpPr>
        <xdr:cNvPr id="2" name="Retângulo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SpPr/>
      </xdr:nvSpPr>
      <xdr:spPr>
        <a:xfrm>
          <a:off x="9525" y="19050"/>
          <a:ext cx="142875" cy="809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123825</xdr:colOff>
      <xdr:row>0</xdr:row>
      <xdr:rowOff>161925</xdr:rowOff>
    </xdr:from>
    <xdr:to>
      <xdr:col>1</xdr:col>
      <xdr:colOff>1647824</xdr:colOff>
      <xdr:row>3</xdr:row>
      <xdr:rowOff>118875</xdr:rowOff>
    </xdr:to>
    <xdr:pic>
      <xdr:nvPicPr>
        <xdr:cNvPr id="3" name="Imagem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61925"/>
          <a:ext cx="1523999" cy="595125"/>
        </a:xfrm>
        <a:prstGeom prst="rect">
          <a:avLst/>
        </a:prstGeom>
      </xdr:spPr>
    </xdr:pic>
    <xdr:clientData/>
  </xdr:twoCellAnchor>
  <xdr:twoCellAnchor>
    <xdr:from>
      <xdr:col>1</xdr:col>
      <xdr:colOff>942975</xdr:colOff>
      <xdr:row>61</xdr:row>
      <xdr:rowOff>57150</xdr:rowOff>
    </xdr:from>
    <xdr:to>
      <xdr:col>1</xdr:col>
      <xdr:colOff>3200400</xdr:colOff>
      <xdr:row>66</xdr:row>
      <xdr:rowOff>114300</xdr:rowOff>
    </xdr:to>
    <xdr:sp macro="" textlink="">
      <xdr:nvSpPr>
        <xdr:cNvPr id="4" name="Text Box 45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066800" y="9744075"/>
          <a:ext cx="2257425" cy="962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0000" tIns="46800" rIns="90000" bIns="46800" anchor="t" upright="1"/>
        <a:lstStyle/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_______________________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Julinho Tonus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Diretor Presidente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CPF: 285.487.019-00</a:t>
          </a:r>
        </a:p>
        <a:p>
          <a:pPr algn="ctr" rtl="0">
            <a:defRPr sz="1000"/>
          </a:pPr>
          <a:endParaRPr lang="pt-BR" sz="11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</xdr:col>
      <xdr:colOff>3419476</xdr:colOff>
      <xdr:row>61</xdr:row>
      <xdr:rowOff>76200</xdr:rowOff>
    </xdr:from>
    <xdr:to>
      <xdr:col>2</xdr:col>
      <xdr:colOff>981076</xdr:colOff>
      <xdr:row>67</xdr:row>
      <xdr:rowOff>142875</xdr:rowOff>
    </xdr:to>
    <xdr:sp macro="" textlink="">
      <xdr:nvSpPr>
        <xdr:cNvPr id="5" name="Text Box 49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3543301" y="9763125"/>
          <a:ext cx="2057400" cy="1152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_________________________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Luiz Fernando Dill</a:t>
          </a:r>
          <a:r>
            <a:rPr lang="pt-BR" sz="1100" b="0" i="0" baseline="0">
              <a:latin typeface="Arial" pitchFamily="34" charset="0"/>
              <a:ea typeface="+mn-ea"/>
              <a:cs typeface="Arial" pitchFamily="34" charset="0"/>
            </a:rPr>
            <a:t> Barcellos</a:t>
          </a:r>
          <a:endParaRPr lang="pt-BR" sz="1100" b="0" i="0">
            <a:latin typeface="Arial" pitchFamily="34" charset="0"/>
            <a:ea typeface="+mn-ea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Contador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CPF: 015.109.330-00</a:t>
          </a:r>
          <a:endParaRPr lang="pt-BR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CRC/RS 082.618/O-5</a:t>
          </a:r>
          <a:r>
            <a:rPr lang="pt-BR" sz="1100" b="0" i="0" baseline="0">
              <a:latin typeface="Arial" pitchFamily="34" charset="0"/>
              <a:ea typeface="+mn-ea"/>
              <a:cs typeface="Arial" pitchFamily="34" charset="0"/>
            </a:rPr>
            <a:t> T/PR</a:t>
          </a:r>
          <a:endParaRPr lang="pt-BR"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285751</xdr:colOff>
      <xdr:row>56</xdr:row>
      <xdr:rowOff>171450</xdr:rowOff>
    </xdr:from>
    <xdr:to>
      <xdr:col>1</xdr:col>
      <xdr:colOff>2466976</xdr:colOff>
      <xdr:row>62</xdr:row>
      <xdr:rowOff>76199</xdr:rowOff>
    </xdr:to>
    <xdr:sp macro="" textlink="">
      <xdr:nvSpPr>
        <xdr:cNvPr id="3" name="Text Box 45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SpPr txBox="1">
          <a:spLocks noChangeArrowheads="1"/>
        </xdr:cNvSpPr>
      </xdr:nvSpPr>
      <xdr:spPr bwMode="auto">
        <a:xfrm>
          <a:off x="285751" y="9610725"/>
          <a:ext cx="2476500" cy="990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0000" tIns="46800" rIns="90000" bIns="46800" anchor="t" upright="1"/>
        <a:lstStyle/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_______________________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Julinho Tonus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Diretor Presidente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CPF: 285.487.019-00</a:t>
          </a:r>
        </a:p>
        <a:p>
          <a:pPr algn="ctr" rtl="0">
            <a:defRPr sz="1000"/>
          </a:pPr>
          <a:endParaRPr lang="pt-BR" sz="11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0</xdr:colOff>
      <xdr:row>60</xdr:row>
      <xdr:rowOff>38100</xdr:rowOff>
    </xdr:from>
    <xdr:to>
      <xdr:col>9</xdr:col>
      <xdr:colOff>723900</xdr:colOff>
      <xdr:row>65</xdr:row>
      <xdr:rowOff>76200</xdr:rowOff>
    </xdr:to>
    <xdr:sp macro="" textlink="">
      <xdr:nvSpPr>
        <xdr:cNvPr id="4" name="Text Box 48">
          <a:extLst>
            <a:ext uri="{FF2B5EF4-FFF2-40B4-BE49-F238E27FC236}">
              <a16:creationId xmlns="" xmlns:a16="http://schemas.microsoft.com/office/drawing/2014/main" id="{00000000-0008-0000-0600-000004000000}"/>
            </a:ext>
          </a:extLst>
        </xdr:cNvPr>
        <xdr:cNvSpPr txBox="1">
          <a:spLocks noChangeArrowheads="1"/>
        </xdr:cNvSpPr>
      </xdr:nvSpPr>
      <xdr:spPr bwMode="auto">
        <a:xfrm>
          <a:off x="6429375" y="10201275"/>
          <a:ext cx="11811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endParaRPr lang="pt-BR" sz="10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</xdr:col>
      <xdr:colOff>2495550</xdr:colOff>
      <xdr:row>57</xdr:row>
      <xdr:rowOff>9525</xdr:rowOff>
    </xdr:from>
    <xdr:to>
      <xdr:col>2</xdr:col>
      <xdr:colOff>1123950</xdr:colOff>
      <xdr:row>61</xdr:row>
      <xdr:rowOff>28576</xdr:rowOff>
    </xdr:to>
    <xdr:sp macro="" textlink="">
      <xdr:nvSpPr>
        <xdr:cNvPr id="5" name="Text Box 49">
          <a:extLst>
            <a:ext uri="{FF2B5EF4-FFF2-40B4-BE49-F238E27FC236}">
              <a16:creationId xmlns="" xmlns:a16="http://schemas.microsoft.com/office/drawing/2014/main" id="{00000000-0008-0000-0600-000005000000}"/>
            </a:ext>
          </a:extLst>
        </xdr:cNvPr>
        <xdr:cNvSpPr txBox="1">
          <a:spLocks noChangeArrowheads="1"/>
        </xdr:cNvSpPr>
      </xdr:nvSpPr>
      <xdr:spPr bwMode="auto">
        <a:xfrm>
          <a:off x="2790825" y="9696450"/>
          <a:ext cx="2352675" cy="7429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100" b="0" i="0" strike="noStrike">
              <a:solidFill>
                <a:schemeClr val="bg1"/>
              </a:solidFill>
              <a:latin typeface="Arial"/>
              <a:cs typeface="Arial"/>
            </a:rPr>
            <a:t>__________________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chemeClr val="bg1"/>
              </a:solidFill>
              <a:latin typeface="Arial"/>
              <a:cs typeface="Arial"/>
            </a:rPr>
            <a:t>Gelson Correa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chemeClr val="bg1"/>
              </a:solidFill>
              <a:latin typeface="Arial"/>
              <a:cs typeface="Arial"/>
            </a:rPr>
            <a:t>Diretor Vice-Presidente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chemeClr val="bg1"/>
              </a:solidFill>
              <a:latin typeface="Arial"/>
              <a:cs typeface="Arial"/>
            </a:rPr>
            <a:t>CPF:  569.083.699-00</a:t>
          </a:r>
        </a:p>
      </xdr:txBody>
    </xdr:sp>
    <xdr:clientData/>
  </xdr:twoCellAnchor>
  <xdr:twoCellAnchor>
    <xdr:from>
      <xdr:col>3</xdr:col>
      <xdr:colOff>161926</xdr:colOff>
      <xdr:row>57</xdr:row>
      <xdr:rowOff>9525</xdr:rowOff>
    </xdr:from>
    <xdr:to>
      <xdr:col>9</xdr:col>
      <xdr:colOff>1</xdr:colOff>
      <xdr:row>64</xdr:row>
      <xdr:rowOff>66675</xdr:rowOff>
    </xdr:to>
    <xdr:sp macro="" textlink="">
      <xdr:nvSpPr>
        <xdr:cNvPr id="6" name="Text Box 50">
          <a:extLst>
            <a:ext uri="{FF2B5EF4-FFF2-40B4-BE49-F238E27FC236}">
              <a16:creationId xmlns="" xmlns:a16="http://schemas.microsoft.com/office/drawing/2014/main" id="{00000000-0008-0000-0600-000006000000}"/>
            </a:ext>
          </a:extLst>
        </xdr:cNvPr>
        <xdr:cNvSpPr txBox="1">
          <a:spLocks noChangeArrowheads="1"/>
        </xdr:cNvSpPr>
      </xdr:nvSpPr>
      <xdr:spPr bwMode="auto">
        <a:xfrm>
          <a:off x="5362576" y="9629775"/>
          <a:ext cx="2247899" cy="1323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__________________________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Luiz Fernando Dill</a:t>
          </a:r>
          <a:r>
            <a:rPr lang="pt-BR" sz="1100" b="0" i="0" strike="noStrike" baseline="0">
              <a:solidFill>
                <a:srgbClr val="000000"/>
              </a:solidFill>
              <a:latin typeface="Arial"/>
              <a:cs typeface="Arial"/>
            </a:rPr>
            <a:t> Barcellos</a:t>
          </a:r>
          <a:endParaRPr lang="pt-BR" sz="1100" b="0" i="0" strike="noStrike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Contador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CPF: 015.109.330-00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CRC/RS 082.618/O-5 T/PR</a:t>
          </a:r>
        </a:p>
      </xdr:txBody>
    </xdr:sp>
    <xdr:clientData/>
  </xdr:twoCellAnchor>
  <xdr:twoCellAnchor>
    <xdr:from>
      <xdr:col>0</xdr:col>
      <xdr:colOff>0</xdr:colOff>
      <xdr:row>0</xdr:row>
      <xdr:rowOff>19050</xdr:rowOff>
    </xdr:from>
    <xdr:to>
      <xdr:col>0</xdr:col>
      <xdr:colOff>142875</xdr:colOff>
      <xdr:row>4</xdr:row>
      <xdr:rowOff>0</xdr:rowOff>
    </xdr:to>
    <xdr:sp macro="" textlink="">
      <xdr:nvSpPr>
        <xdr:cNvPr id="7" name="Retângulo 6">
          <a:extLst>
            <a:ext uri="{FF2B5EF4-FFF2-40B4-BE49-F238E27FC236}">
              <a16:creationId xmlns="" xmlns:a16="http://schemas.microsoft.com/office/drawing/2014/main" id="{00000000-0008-0000-0600-000007000000}"/>
            </a:ext>
          </a:extLst>
        </xdr:cNvPr>
        <xdr:cNvSpPr/>
      </xdr:nvSpPr>
      <xdr:spPr>
        <a:xfrm>
          <a:off x="0" y="19050"/>
          <a:ext cx="14287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238125</xdr:colOff>
      <xdr:row>0</xdr:row>
      <xdr:rowOff>161925</xdr:rowOff>
    </xdr:from>
    <xdr:to>
      <xdr:col>1</xdr:col>
      <xdr:colOff>1466849</xdr:colOff>
      <xdr:row>3</xdr:row>
      <xdr:rowOff>118875</xdr:rowOff>
    </xdr:to>
    <xdr:pic>
      <xdr:nvPicPr>
        <xdr:cNvPr id="8" name="Imagem 7">
          <a:extLst>
            <a:ext uri="{FF2B5EF4-FFF2-40B4-BE49-F238E27FC236}">
              <a16:creationId xmlns=""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161925"/>
          <a:ext cx="1523999" cy="5951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2543175</xdr:colOff>
      <xdr:row>12</xdr:row>
      <xdr:rowOff>0</xdr:rowOff>
    </xdr:from>
    <xdr:to>
      <xdr:col>6</xdr:col>
      <xdr:colOff>0</xdr:colOff>
      <xdr:row>12</xdr:row>
      <xdr:rowOff>0</xdr:rowOff>
    </xdr:to>
    <xdr:grpSp>
      <xdr:nvGrpSpPr>
        <xdr:cNvPr id="2" name="Group 2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GrpSpPr>
          <a:grpSpLocks/>
        </xdr:cNvGrpSpPr>
      </xdr:nvGrpSpPr>
      <xdr:grpSpPr bwMode="auto">
        <a:xfrm>
          <a:off x="3629025" y="2371725"/>
          <a:ext cx="2533650" cy="0"/>
          <a:chOff x="485" y="927"/>
          <a:chExt cx="153" cy="76"/>
        </a:xfrm>
      </xdr:grpSpPr>
      <xdr:sp macro="" textlink="">
        <xdr:nvSpPr>
          <xdr:cNvPr id="3" name="Text Box 3">
            <a:extLst>
              <a:ext uri="{FF2B5EF4-FFF2-40B4-BE49-F238E27FC236}">
                <a16:creationId xmlns="" xmlns:a16="http://schemas.microsoft.com/office/drawing/2014/main" id="{00000000-0008-0000-0700-00000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619500" y="2105025"/>
            <a:ext cx="0" cy="0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800" b="0" i="0" strike="noStrike">
                <a:solidFill>
                  <a:srgbClr val="000000"/>
                </a:solidFill>
                <a:latin typeface="Arial"/>
                <a:cs typeface="Arial"/>
              </a:rPr>
              <a:t>MAURO HOPPEN</a:t>
            </a:r>
          </a:p>
          <a:p>
            <a:pPr algn="l" rtl="0">
              <a:defRPr sz="1000"/>
            </a:pPr>
            <a:r>
              <a:rPr lang="pt-BR" sz="800" b="0" i="0" strike="noStrike">
                <a:solidFill>
                  <a:srgbClr val="000000"/>
                </a:solidFill>
                <a:latin typeface="Arial"/>
                <a:cs typeface="Arial"/>
              </a:rPr>
              <a:t>CONTADOR</a:t>
            </a:r>
          </a:p>
          <a:p>
            <a:pPr algn="l" rtl="0">
              <a:defRPr sz="1000"/>
            </a:pPr>
            <a:r>
              <a:rPr lang="pt-BR" sz="800" b="0" i="0" strike="noStrike">
                <a:solidFill>
                  <a:srgbClr val="000000"/>
                </a:solidFill>
                <a:latin typeface="Arial"/>
                <a:cs typeface="Arial"/>
              </a:rPr>
              <a:t>CPF: 004.335.279-00</a:t>
            </a:r>
          </a:p>
          <a:p>
            <a:pPr algn="l" rtl="0">
              <a:defRPr sz="1000"/>
            </a:pPr>
            <a:r>
              <a:rPr lang="pt-BR" sz="800" b="0" i="0" strike="noStrike">
                <a:solidFill>
                  <a:srgbClr val="000000"/>
                </a:solidFill>
                <a:latin typeface="Arial"/>
                <a:cs typeface="Arial"/>
              </a:rPr>
              <a:t>CRC:PR 008251/O-2</a:t>
            </a:r>
          </a:p>
        </xdr:txBody>
      </xdr:sp>
      <xdr:sp macro="" textlink="">
        <xdr:nvSpPr>
          <xdr:cNvPr id="4" name="Line 4">
            <a:extLst>
              <a:ext uri="{FF2B5EF4-FFF2-40B4-BE49-F238E27FC236}">
                <a16:creationId xmlns="" xmlns:a16="http://schemas.microsoft.com/office/drawing/2014/main" id="{00000000-0008-0000-0700-000004000000}"/>
              </a:ext>
            </a:extLst>
          </xdr:cNvPr>
          <xdr:cNvSpPr>
            <a:spLocks noChangeShapeType="1"/>
          </xdr:cNvSpPr>
        </xdr:nvSpPr>
        <xdr:spPr bwMode="auto">
          <a:xfrm>
            <a:off x="485" y="927"/>
            <a:ext cx="108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3</xdr:col>
      <xdr:colOff>352425</xdr:colOff>
      <xdr:row>12</xdr:row>
      <xdr:rowOff>0</xdr:rowOff>
    </xdr:from>
    <xdr:to>
      <xdr:col>3</xdr:col>
      <xdr:colOff>1647825</xdr:colOff>
      <xdr:row>12</xdr:row>
      <xdr:rowOff>0</xdr:rowOff>
    </xdr:to>
    <xdr:grpSp>
      <xdr:nvGrpSpPr>
        <xdr:cNvPr id="5" name="Group 5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GrpSpPr>
          <a:grpSpLocks/>
        </xdr:cNvGrpSpPr>
      </xdr:nvGrpSpPr>
      <xdr:grpSpPr bwMode="auto">
        <a:xfrm>
          <a:off x="1438275" y="2371725"/>
          <a:ext cx="1295400" cy="0"/>
          <a:chOff x="14" y="941"/>
          <a:chExt cx="154" cy="52"/>
        </a:xfrm>
      </xdr:grpSpPr>
      <xdr:sp macro="" textlink="">
        <xdr:nvSpPr>
          <xdr:cNvPr id="6" name="Text Box 6">
            <a:extLst>
              <a:ext uri="{FF2B5EF4-FFF2-40B4-BE49-F238E27FC236}">
                <a16:creationId xmlns="" xmlns:a16="http://schemas.microsoft.com/office/drawing/2014/main" id="{00000000-0008-0000-0700-00000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4835059036248" y="2105025"/>
            <a:ext cx="154" cy="0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800" b="0" i="0" strike="noStrike">
                <a:solidFill>
                  <a:srgbClr val="000000"/>
                </a:solidFill>
                <a:latin typeface="Arial"/>
                <a:cs typeface="Arial"/>
              </a:rPr>
              <a:t>JULINHO TONUS</a:t>
            </a:r>
          </a:p>
          <a:p>
            <a:pPr algn="l" rtl="0">
              <a:defRPr sz="1000"/>
            </a:pPr>
            <a:r>
              <a:rPr lang="pt-BR" sz="800" b="0" i="0" strike="noStrike">
                <a:solidFill>
                  <a:srgbClr val="000000"/>
                </a:solidFill>
                <a:latin typeface="Arial"/>
                <a:cs typeface="Arial"/>
              </a:rPr>
              <a:t>DIR. PRESIDENTE</a:t>
            </a:r>
          </a:p>
          <a:p>
            <a:pPr algn="l" rtl="0">
              <a:defRPr sz="1000"/>
            </a:pPr>
            <a:r>
              <a:rPr lang="pt-BR" sz="800" b="0" i="0" strike="noStrike">
                <a:solidFill>
                  <a:srgbClr val="000000"/>
                </a:solidFill>
                <a:latin typeface="Arial"/>
                <a:cs typeface="Arial"/>
              </a:rPr>
              <a:t>CPF: 285.487.019-00</a:t>
            </a:r>
          </a:p>
        </xdr:txBody>
      </xdr:sp>
      <xdr:sp macro="" textlink="">
        <xdr:nvSpPr>
          <xdr:cNvPr id="7" name="Line 7">
            <a:extLst>
              <a:ext uri="{FF2B5EF4-FFF2-40B4-BE49-F238E27FC236}">
                <a16:creationId xmlns="" xmlns:a16="http://schemas.microsoft.com/office/drawing/2014/main" id="{00000000-0008-0000-0700-000007000000}"/>
              </a:ext>
            </a:extLst>
          </xdr:cNvPr>
          <xdr:cNvSpPr>
            <a:spLocks noChangeShapeType="1"/>
          </xdr:cNvSpPr>
        </xdr:nvSpPr>
        <xdr:spPr bwMode="auto">
          <a:xfrm>
            <a:off x="19" y="941"/>
            <a:ext cx="108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</xdr:col>
      <xdr:colOff>0</xdr:colOff>
      <xdr:row>45</xdr:row>
      <xdr:rowOff>142875</xdr:rowOff>
    </xdr:from>
    <xdr:to>
      <xdr:col>3</xdr:col>
      <xdr:colOff>1409700</xdr:colOff>
      <xdr:row>51</xdr:row>
      <xdr:rowOff>19050</xdr:rowOff>
    </xdr:to>
    <xdr:sp macro="" textlink="">
      <xdr:nvSpPr>
        <xdr:cNvPr id="8" name="Text Box 8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SpPr txBox="1">
          <a:spLocks noChangeArrowheads="1"/>
        </xdr:cNvSpPr>
      </xdr:nvSpPr>
      <xdr:spPr bwMode="auto">
        <a:xfrm>
          <a:off x="171450" y="9210675"/>
          <a:ext cx="2324100" cy="962025"/>
        </a:xfrm>
        <a:prstGeom prst="rect">
          <a:avLst/>
        </a:prstGeom>
        <a:solidFill>
          <a:srgbClr val="FFFFFF">
            <a:alpha val="50000"/>
          </a:srgbClr>
        </a:solidFill>
        <a:ln w="9525">
          <a:noFill/>
          <a:miter lim="800000"/>
          <a:headEnd/>
          <a:tailEnd/>
        </a:ln>
      </xdr:spPr>
      <xdr:txBody>
        <a:bodyPr vertOverflow="clip" wrap="square" lIns="90000" tIns="46800" rIns="90000" bIns="46800" anchor="t" upright="1"/>
        <a:lstStyle/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_______________________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Julinho Tonus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Diretor Presidente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CPF: 285.487.019-00</a:t>
          </a:r>
        </a:p>
        <a:p>
          <a:pPr algn="ctr" rtl="0">
            <a:defRPr sz="1000"/>
          </a:pPr>
          <a:endParaRPr lang="pt-BR" sz="11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762000</xdr:colOff>
      <xdr:row>46</xdr:row>
      <xdr:rowOff>0</xdr:rowOff>
    </xdr:from>
    <xdr:to>
      <xdr:col>6</xdr:col>
      <xdr:colOff>1076325</xdr:colOff>
      <xdr:row>52</xdr:row>
      <xdr:rowOff>0</xdr:rowOff>
    </xdr:to>
    <xdr:sp macro="" textlink="">
      <xdr:nvSpPr>
        <xdr:cNvPr id="9" name="Text Box 9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SpPr txBox="1">
          <a:spLocks noChangeArrowheads="1"/>
        </xdr:cNvSpPr>
      </xdr:nvSpPr>
      <xdr:spPr bwMode="auto">
        <a:xfrm>
          <a:off x="4762500" y="9248775"/>
          <a:ext cx="247650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____________________________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Luiz Fernando Dill Barcellos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Contador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CPF: 015.109.330-00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CRC/RS 082.618/O-5</a:t>
          </a:r>
          <a:r>
            <a:rPr lang="pt-BR" sz="1100" b="0" i="0" strike="noStrike" baseline="0">
              <a:solidFill>
                <a:srgbClr val="000000"/>
              </a:solidFill>
              <a:latin typeface="Arial"/>
              <a:cs typeface="Arial"/>
            </a:rPr>
            <a:t> T PR</a:t>
          </a:r>
          <a:endParaRPr lang="pt-BR" sz="11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1285875</xdr:colOff>
      <xdr:row>46</xdr:row>
      <xdr:rowOff>0</xdr:rowOff>
    </xdr:from>
    <xdr:to>
      <xdr:col>5</xdr:col>
      <xdr:colOff>57150</xdr:colOff>
      <xdr:row>51</xdr:row>
      <xdr:rowOff>38100</xdr:rowOff>
    </xdr:to>
    <xdr:sp macro="" textlink="">
      <xdr:nvSpPr>
        <xdr:cNvPr id="10" name="Text Box 11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SpPr txBox="1">
          <a:spLocks noChangeArrowheads="1"/>
        </xdr:cNvSpPr>
      </xdr:nvSpPr>
      <xdr:spPr bwMode="auto">
        <a:xfrm>
          <a:off x="2371725" y="9248775"/>
          <a:ext cx="24765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_______________________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Gelson Correa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Diretor Vice Presidente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CPF:  569.083.699-00</a:t>
          </a:r>
        </a:p>
      </xdr:txBody>
    </xdr:sp>
    <xdr:clientData/>
  </xdr:twoCellAnchor>
  <xdr:twoCellAnchor>
    <xdr:from>
      <xdr:col>0</xdr:col>
      <xdr:colOff>28575</xdr:colOff>
      <xdr:row>0</xdr:row>
      <xdr:rowOff>28575</xdr:rowOff>
    </xdr:from>
    <xdr:to>
      <xdr:col>1</xdr:col>
      <xdr:colOff>0</xdr:colOff>
      <xdr:row>3</xdr:row>
      <xdr:rowOff>180975</xdr:rowOff>
    </xdr:to>
    <xdr:sp macro="" textlink="">
      <xdr:nvSpPr>
        <xdr:cNvPr id="14" name="Retângulo 13">
          <a:extLst>
            <a:ext uri="{FF2B5EF4-FFF2-40B4-BE49-F238E27FC236}">
              <a16:creationId xmlns="" xmlns:a16="http://schemas.microsoft.com/office/drawing/2014/main" id="{00000000-0008-0000-0700-00000E000000}"/>
            </a:ext>
          </a:extLst>
        </xdr:cNvPr>
        <xdr:cNvSpPr/>
      </xdr:nvSpPr>
      <xdr:spPr>
        <a:xfrm>
          <a:off x="28575" y="28575"/>
          <a:ext cx="14287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95250</xdr:colOff>
      <xdr:row>0</xdr:row>
      <xdr:rowOff>171450</xdr:rowOff>
    </xdr:from>
    <xdr:to>
      <xdr:col>3</xdr:col>
      <xdr:colOff>704849</xdr:colOff>
      <xdr:row>3</xdr:row>
      <xdr:rowOff>118875</xdr:rowOff>
    </xdr:to>
    <xdr:pic>
      <xdr:nvPicPr>
        <xdr:cNvPr id="15" name="Imagem 14">
          <a:extLst>
            <a:ext uri="{FF2B5EF4-FFF2-40B4-BE49-F238E27FC236}">
              <a16:creationId xmlns=""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71450"/>
          <a:ext cx="1523999" cy="5951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981075</xdr:colOff>
      <xdr:row>39</xdr:row>
      <xdr:rowOff>171450</xdr:rowOff>
    </xdr:from>
    <xdr:to>
      <xdr:col>4</xdr:col>
      <xdr:colOff>1104900</xdr:colOff>
      <xdr:row>45</xdr:row>
      <xdr:rowOff>171450</xdr:rowOff>
    </xdr:to>
    <xdr:sp macro="" textlink="">
      <xdr:nvSpPr>
        <xdr:cNvPr id="2" name="Text Box 2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SpPr txBox="1">
          <a:spLocks noChangeArrowheads="1"/>
        </xdr:cNvSpPr>
      </xdr:nvSpPr>
      <xdr:spPr bwMode="auto">
        <a:xfrm>
          <a:off x="4610100" y="7143750"/>
          <a:ext cx="247650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____________________________</a:t>
          </a:r>
          <a:endParaRPr lang="pt-BR" sz="1100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Luiz Fernando Dill Barcellos</a:t>
          </a:r>
          <a:endParaRPr lang="pt-BR" sz="1100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Contador</a:t>
          </a:r>
          <a:endParaRPr lang="pt-BR" sz="1100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CPF: 015.109.330-00</a:t>
          </a:r>
          <a:endParaRPr lang="pt-BR" sz="1100">
            <a:latin typeface="Arial" pitchFamily="34" charset="0"/>
            <a:cs typeface="Arial" pitchFamily="34" charset="0"/>
          </a:endParaRPr>
        </a:p>
        <a:p>
          <a:pPr algn="ctr" rtl="0"/>
          <a:r>
            <a:rPr lang="pt-BR" sz="1100" b="0" i="0">
              <a:latin typeface="Arial" pitchFamily="34" charset="0"/>
              <a:ea typeface="+mn-ea"/>
              <a:cs typeface="Arial" pitchFamily="34" charset="0"/>
            </a:rPr>
            <a:t>CRC/RS 082.618/O-5</a:t>
          </a:r>
          <a:r>
            <a:rPr lang="pt-BR" sz="1100" b="0" i="0" baseline="0">
              <a:latin typeface="Arial" pitchFamily="34" charset="0"/>
              <a:ea typeface="+mn-ea"/>
              <a:cs typeface="Arial" pitchFamily="34" charset="0"/>
            </a:rPr>
            <a:t> T PR</a:t>
          </a:r>
          <a:endParaRPr lang="pt-BR" sz="1100" b="0" i="0"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1</xdr:col>
      <xdr:colOff>47625</xdr:colOff>
      <xdr:row>39</xdr:row>
      <xdr:rowOff>123825</xdr:rowOff>
    </xdr:from>
    <xdr:to>
      <xdr:col>1</xdr:col>
      <xdr:colOff>2305050</xdr:colOff>
      <xdr:row>45</xdr:row>
      <xdr:rowOff>0</xdr:rowOff>
    </xdr:to>
    <xdr:sp macro="" textlink="">
      <xdr:nvSpPr>
        <xdr:cNvPr id="3" name="Text Box 3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SpPr txBox="1">
          <a:spLocks noChangeArrowheads="1"/>
        </xdr:cNvSpPr>
      </xdr:nvSpPr>
      <xdr:spPr bwMode="auto">
        <a:xfrm>
          <a:off x="161925" y="7096125"/>
          <a:ext cx="2257425" cy="962025"/>
        </a:xfrm>
        <a:prstGeom prst="rect">
          <a:avLst/>
        </a:prstGeom>
        <a:solidFill>
          <a:srgbClr val="FFFFFF">
            <a:alpha val="50000"/>
          </a:srgbClr>
        </a:solidFill>
        <a:ln w="9525">
          <a:noFill/>
          <a:miter lim="800000"/>
          <a:headEnd/>
          <a:tailEnd/>
        </a:ln>
      </xdr:spPr>
      <xdr:txBody>
        <a:bodyPr vertOverflow="clip" wrap="square" lIns="90000" tIns="46800" rIns="90000" bIns="46800" anchor="t" upright="1"/>
        <a:lstStyle/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_______________________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Julinho Tonus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Diretor Presidente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CPF: 285.487.019-00</a:t>
          </a:r>
        </a:p>
        <a:p>
          <a:pPr algn="ctr" rtl="0">
            <a:defRPr sz="1000"/>
          </a:pPr>
          <a:endParaRPr lang="pt-BR" sz="11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</xdr:col>
      <xdr:colOff>2105025</xdr:colOff>
      <xdr:row>39</xdr:row>
      <xdr:rowOff>171450</xdr:rowOff>
    </xdr:from>
    <xdr:to>
      <xdr:col>3</xdr:col>
      <xdr:colOff>28575</xdr:colOff>
      <xdr:row>45</xdr:row>
      <xdr:rowOff>28575</xdr:rowOff>
    </xdr:to>
    <xdr:sp macro="" textlink="">
      <xdr:nvSpPr>
        <xdr:cNvPr id="4" name="Text Box 5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SpPr txBox="1">
          <a:spLocks noChangeArrowheads="1"/>
        </xdr:cNvSpPr>
      </xdr:nvSpPr>
      <xdr:spPr bwMode="auto">
        <a:xfrm>
          <a:off x="2219325" y="7143750"/>
          <a:ext cx="24765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_______________________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Gelson Correa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Diretor</a:t>
          </a:r>
          <a:r>
            <a:rPr lang="pt-BR" sz="1100" b="0" i="0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Vice-Presidente</a:t>
          </a:r>
        </a:p>
        <a:p>
          <a:pPr algn="ctr" rtl="0">
            <a:defRPr sz="1000"/>
          </a:pPr>
          <a:r>
            <a:rPr lang="pt-BR" sz="1100" b="0" i="0" strike="noStrike">
              <a:solidFill>
                <a:srgbClr val="000000"/>
              </a:solidFill>
              <a:latin typeface="Arial"/>
              <a:cs typeface="Arial"/>
            </a:rPr>
            <a:t>CPF:  569.083.699-00</a:t>
          </a:r>
        </a:p>
      </xdr:txBody>
    </xdr:sp>
    <xdr:clientData/>
  </xdr:twoCellAnchor>
  <xdr:twoCellAnchor>
    <xdr:from>
      <xdr:col>0</xdr:col>
      <xdr:colOff>28575</xdr:colOff>
      <xdr:row>0</xdr:row>
      <xdr:rowOff>28575</xdr:rowOff>
    </xdr:from>
    <xdr:to>
      <xdr:col>1</xdr:col>
      <xdr:colOff>57150</xdr:colOff>
      <xdr:row>3</xdr:row>
      <xdr:rowOff>180975</xdr:rowOff>
    </xdr:to>
    <xdr:sp macro="" textlink="">
      <xdr:nvSpPr>
        <xdr:cNvPr id="6" name="Retângulo 5">
          <a:extLst>
            <a:ext uri="{FF2B5EF4-FFF2-40B4-BE49-F238E27FC236}">
              <a16:creationId xmlns="" xmlns:a16="http://schemas.microsoft.com/office/drawing/2014/main" id="{00000000-0008-0000-0800-000006000000}"/>
            </a:ext>
          </a:extLst>
        </xdr:cNvPr>
        <xdr:cNvSpPr/>
      </xdr:nvSpPr>
      <xdr:spPr>
        <a:xfrm>
          <a:off x="28575" y="28575"/>
          <a:ext cx="14287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152400</xdr:colOff>
      <xdr:row>0</xdr:row>
      <xdr:rowOff>171450</xdr:rowOff>
    </xdr:from>
    <xdr:to>
      <xdr:col>1</xdr:col>
      <xdr:colOff>1676399</xdr:colOff>
      <xdr:row>3</xdr:row>
      <xdr:rowOff>118875</xdr:rowOff>
    </xdr:to>
    <xdr:pic>
      <xdr:nvPicPr>
        <xdr:cNvPr id="7" name="Imagem 6">
          <a:extLst>
            <a:ext uri="{FF2B5EF4-FFF2-40B4-BE49-F238E27FC236}">
              <a16:creationId xmlns=""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71450"/>
          <a:ext cx="1523999" cy="595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38100</xdr:rowOff>
    </xdr:from>
    <xdr:to>
      <xdr:col>3</xdr:col>
      <xdr:colOff>371475</xdr:colOff>
      <xdr:row>5</xdr:row>
      <xdr:rowOff>38100</xdr:rowOff>
    </xdr:to>
    <xdr:pic>
      <xdr:nvPicPr>
        <xdr:cNvPr id="2" name="Imagem 2" descr="LOGO SERIGRAFIA 3 CORES - Coopertradição_x4.jpg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2133600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38100</xdr:rowOff>
    </xdr:from>
    <xdr:to>
      <xdr:col>3</xdr:col>
      <xdr:colOff>47625</xdr:colOff>
      <xdr:row>5</xdr:row>
      <xdr:rowOff>38100</xdr:rowOff>
    </xdr:to>
    <xdr:pic>
      <xdr:nvPicPr>
        <xdr:cNvPr id="2" name="Imagem 2" descr="LOGO SERIGRAFIA 3 CORES - Coopertradição_x4.jpg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2133600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ALAN&#199;O%202014/Dezembro%202014/Balanco%20Patrimonial%2012%202014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tivo"/>
      <sheetName val="Passivo"/>
      <sheetName val="Sobras-Perdas"/>
      <sheetName val="Sobras Terceiros (2)"/>
      <sheetName val="Dem. Por Produto"/>
      <sheetName val="Rateio lenha"/>
      <sheetName val="Mutação PL"/>
      <sheetName val="Mutação Permanente"/>
      <sheetName val="CSOCIAL (3)"/>
      <sheetName val="LUCRO REAL (3)"/>
      <sheetName val="Pla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iz.fernando" refreshedDate="42894.707593287036" createdVersion="3" refreshedVersion="3" minRefreshableVersion="3" recordCount="75">
  <cacheSource type="worksheet">
    <worksheetSource name="rateio"/>
  </cacheSource>
  <cacheFields count="7">
    <cacheField name="CONTA" numFmtId="0">
      <sharedItems containsSemiMixedTypes="0" containsString="0" containsNumber="1" containsInteger="1" minValue="1759" maxValue="56295"/>
    </cacheField>
    <cacheField name="NOME_CONTA" numFmtId="0">
      <sharedItems count="75">
        <s v="Soja"/>
        <s v="Milho"/>
        <s v="Trigo"/>
        <s v="Cevada"/>
        <s v="Triticale"/>
        <s v="Quirera"/>
        <s v="Feijão"/>
        <s v="Herbicidas"/>
        <s v="Inseticidas"/>
        <s v="Fungicidas"/>
        <s v="Espalhantes"/>
        <s v="Regulador de Crescimento"/>
        <s v="Adjuvante"/>
        <s v="Uso Doméstico"/>
        <s v="Semente de Soja"/>
        <s v="Semente de Milho"/>
        <s v="Semente de Trigo"/>
        <s v="Semente de Feijao"/>
        <s v="Semente de Triticale"/>
        <s v="Semente Aveia"/>
        <s v="Semente de Sorgo"/>
        <s v="Semente de Ervilhaca"/>
        <s v="Semente de Cevada"/>
        <s v="Semente de Milheto"/>
        <s v="Fertilizante Formulado"/>
        <s v="Uréia"/>
        <s v="Nitrato"/>
        <s v="Cloreto de Potassio"/>
        <s v="Sulfato"/>
        <s v="MAP"/>
        <s v="DAP"/>
        <s v="Mapinho"/>
        <s v="Fertilizante Corretivo"/>
        <s v="Fertilizante Liquido"/>
        <s v="Calcario"/>
        <s v="Ativador de Plantas"/>
        <s v="Inoculante Soja"/>
        <s v="Inoculante Feijao"/>
        <s v="Inoculante Milho"/>
        <s v="Maquinas Tratamento Semente"/>
        <s v="Discos, Aneis e Rosetas"/>
        <s v="Pó de Grafite"/>
        <s v="Conjunto de EPI"/>
        <s v="Produto Tratamento de Sementes"/>
        <s v="Oleo Lubrificante"/>
        <s v="Espuma e Policlaro"/>
        <s v="Lenha"/>
        <s v="Projetos Tecnicos"/>
        <s v="Comissoes S/Vendas"/>
        <s v="Fretes"/>
        <s v="Premiacoes"/>
        <s v="Servicos Tecnicos"/>
        <s v="Armazenagem/Recebimento/Secagem/Limpeza"/>
        <s v="Peças e Acessorios"/>
        <s v="Sorgo"/>
        <s v="Semente de Soja NT"/>
        <s v="Semente de Milho NT"/>
        <s v="Semente de Trigo NT"/>
        <s v="Semente de Feijao NT"/>
        <s v="Semente de Triticale NT"/>
        <s v="Semente de Aveia NT"/>
        <s v="Semente de Soja Tratada"/>
        <s v="Semente de Milho Tratada"/>
        <s v="Semente de Trigo Tratada"/>
        <s v="Semente de Feijao Tratada"/>
        <s v="Semente de Triticale Tratada"/>
        <s v="Semente Aveia Tratada"/>
        <s v="Semente de Sorgo Tratada"/>
        <s v="Serviço de Tratamento de Sementes"/>
        <s v="Talco Mineral"/>
        <s v="Aveia"/>
        <s v="Soja DPS"/>
        <s v="Embalagens"/>
        <s v="Residuo"/>
        <s v="(-) Icms" u="1"/>
      </sharedItems>
    </cacheField>
    <cacheField name="TOTAL_COOPERADO" numFmtId="0">
      <sharedItems containsSemiMixedTypes="0" containsString="0" containsNumber="1" minValue="-3.0559021979570389E-10" maxValue="90676314.31999968"/>
    </cacheField>
    <cacheField name="TOTAL_TERCEIRO" numFmtId="0">
      <sharedItems containsSemiMixedTypes="0" containsString="0" containsNumber="1" minValue="-7057.7400000000007" maxValue="11283458.750004053"/>
    </cacheField>
    <cacheField name="TOTAL_GERAL" numFmtId="0">
      <sharedItems containsSemiMixedTypes="0" containsString="0" containsNumber="1" minValue="-3325.7400000000453" maxValue="101959773.07000373"/>
    </cacheField>
    <cacheField name="%_Cooperado" numFmtId="10">
      <sharedItems containsMixedTypes="1" containsNumber="1" minValue="-1.1221562719875591" maxValue="1.2408891577196439"/>
    </cacheField>
    <cacheField name="%_Terceiros" numFmtId="10">
      <sharedItems containsMixedTypes="1" containsNumber="1" minValue="-0.24088915771964384" maxValue="2.12215627198755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">
  <r>
    <n v="1759"/>
    <x v="0"/>
    <n v="90676314.31999968"/>
    <n v="11283458.750004053"/>
    <n v="101959773.07000373"/>
    <n v="0.88933421083374675"/>
    <n v="0.11066578916625319"/>
  </r>
  <r>
    <n v="1772"/>
    <x v="1"/>
    <n v="43334813.460001163"/>
    <n v="4069175.5399971614"/>
    <n v="47403988.999998324"/>
    <n v="0.9141596387595714"/>
    <n v="8.5840361240428639E-2"/>
  </r>
  <r>
    <n v="1782"/>
    <x v="2"/>
    <n v="17088614.160000227"/>
    <n v="2798433.3300005947"/>
    <n v="19887047.490000822"/>
    <n v="0.85928362008449755"/>
    <n v="0.14071637991550243"/>
  </r>
  <r>
    <n v="1793"/>
    <x v="3"/>
    <n v="1.7462298274040222E-9"/>
    <n v="8.7311491370201111E-11"/>
    <n v="1.8335413187742233E-9"/>
    <n v="0.95238095238095233"/>
    <n v="4.7619047619047616E-2"/>
  </r>
  <r>
    <n v="1800"/>
    <x v="4"/>
    <n v="-2.3283064365386963E-10"/>
    <n v="-3.0267983675003052E-9"/>
    <n v="-3.2596290111541748E-9"/>
    <n v="7.1428571428571425E-2"/>
    <n v="0.9285714285714286"/>
  </r>
  <r>
    <n v="1805"/>
    <x v="5"/>
    <n v="0"/>
    <n v="0"/>
    <n v="0"/>
    <e v="#DIV/0!"/>
    <e v="#DIV/0!"/>
  </r>
  <r>
    <n v="1812"/>
    <x v="6"/>
    <n v="10686286.779999865"/>
    <n v="684216.89999827091"/>
    <n v="11370503.679998137"/>
    <n v="0.93982527781932135"/>
    <n v="6.0174722180678542E-2"/>
  </r>
  <r>
    <n v="1844"/>
    <x v="7"/>
    <n v="3869139.7700000051"/>
    <n v="481124.50000001339"/>
    <n v="4350264.2700000182"/>
    <n v="0.88940338560167265"/>
    <n v="0.11059661439832744"/>
  </r>
  <r>
    <n v="1856"/>
    <x v="8"/>
    <n v="6042927.900000168"/>
    <n v="230864.95000000249"/>
    <n v="6273792.8500001701"/>
    <n v="0.96320169385254795"/>
    <n v="3.679830614745213E-2"/>
  </r>
  <r>
    <n v="1867"/>
    <x v="9"/>
    <n v="13163656.330000097"/>
    <n v="924192.93000000413"/>
    <n v="14087849.2600001"/>
    <n v="0.93439786918901224"/>
    <n v="6.5602130810987785E-2"/>
  </r>
  <r>
    <n v="1878"/>
    <x v="10"/>
    <n v="59705.649999999565"/>
    <n v="4006.9500000000044"/>
    <n v="63712.599999999569"/>
    <n v="0.93710898629156503"/>
    <n v="6.2891013708434931E-2"/>
  </r>
  <r>
    <n v="1889"/>
    <x v="11"/>
    <n v="3.092281986027956E-11"/>
    <n v="0"/>
    <n v="3.092281986027956E-11"/>
    <n v="1"/>
    <n v="0"/>
  </r>
  <r>
    <n v="1898"/>
    <x v="12"/>
    <n v="649019.02999999351"/>
    <n v="21250.540000000241"/>
    <n v="670269.56999999378"/>
    <n v="0.96829553219908149"/>
    <n v="3.1704467800918422E-2"/>
  </r>
  <r>
    <n v="1909"/>
    <x v="13"/>
    <n v="49.999999999999901"/>
    <n v="9.0949470177292824E-13"/>
    <n v="50.00000000000081"/>
    <n v="0.99999999999998179"/>
    <n v="1.8189894035458269E-14"/>
  </r>
  <r>
    <n v="1915"/>
    <x v="14"/>
    <n v="92558.699999999983"/>
    <n v="58328.339999999138"/>
    <n v="150887.03999999911"/>
    <n v="0.61343041788082353"/>
    <n v="0.38656958211917658"/>
  </r>
  <r>
    <n v="1926"/>
    <x v="15"/>
    <n v="2025582.9100000244"/>
    <n v="209443.14999999886"/>
    <n v="2235026.0600000233"/>
    <n v="0.90629051099296942"/>
    <n v="9.3709489007030494E-2"/>
  </r>
  <r>
    <n v="1937"/>
    <x v="16"/>
    <n v="238930.27000000127"/>
    <n v="326685.95000000135"/>
    <n v="565616.22000000265"/>
    <n v="0.42242471405788212"/>
    <n v="0.57757528594211782"/>
  </r>
  <r>
    <n v="1946"/>
    <x v="17"/>
    <n v="45425.76000000014"/>
    <n v="1.1823431123048067E-11"/>
    <n v="45425.760000000155"/>
    <n v="0.99999999999999967"/>
    <n v="2.6028031502495557E-16"/>
  </r>
  <r>
    <n v="1953"/>
    <x v="18"/>
    <n v="9.0949470177292824E-12"/>
    <n v="0"/>
    <n v="9.0949470177292824E-12"/>
    <n v="1"/>
    <n v="0"/>
  </r>
  <r>
    <n v="1960"/>
    <x v="19"/>
    <n v="3731.9999999999554"/>
    <n v="-7057.7400000000007"/>
    <n v="-3325.7400000000453"/>
    <n v="-1.1221562719875591"/>
    <n v="2.1221562719875591"/>
  </r>
  <r>
    <n v="1967"/>
    <x v="20"/>
    <n v="14375.999999999993"/>
    <n v="1.3642420526593924E-12"/>
    <n v="14375.999999999995"/>
    <n v="0.99999999999999989"/>
    <n v="9.4897193423719597E-17"/>
  </r>
  <r>
    <n v="1976"/>
    <x v="21"/>
    <n v="0"/>
    <n v="0"/>
    <n v="0"/>
    <e v="#DIV/0!"/>
    <e v="#DIV/0!"/>
  </r>
  <r>
    <n v="1980"/>
    <x v="22"/>
    <n v="-9.0949470177292824E-13"/>
    <n v="0"/>
    <n v="-9.0949470177292824E-13"/>
    <n v="1"/>
    <n v="0"/>
  </r>
  <r>
    <n v="1987"/>
    <x v="23"/>
    <n v="66368.62"/>
    <n v="7660"/>
    <n v="74028.62"/>
    <n v="0.89652650555960656"/>
    <n v="0.10347349444039347"/>
  </r>
  <r>
    <n v="1992"/>
    <x v="24"/>
    <n v="8097792.2299999194"/>
    <n v="640918.63000002783"/>
    <n v="8738710.8599999472"/>
    <n v="0.92665753103999238"/>
    <n v="7.3342468960007637E-2"/>
  </r>
  <r>
    <n v="2003"/>
    <x v="25"/>
    <n v="3308636.8300000182"/>
    <n v="107758.36000000266"/>
    <n v="3416395.1900000209"/>
    <n v="0.96845846162194071"/>
    <n v="3.1541538378059245E-2"/>
  </r>
  <r>
    <n v="2015"/>
    <x v="26"/>
    <n v="4.0611212170915678E-9"/>
    <n v="1.222815626533702E-9"/>
    <n v="5.2839368436252698E-9"/>
    <n v="0.76857868238736604"/>
    <n v="0.23142131761263393"/>
  </r>
  <r>
    <n v="2028"/>
    <x v="27"/>
    <n v="426921.14999998239"/>
    <n v="164267.86999999834"/>
    <n v="591189.01999998069"/>
    <n v="0.72213984962034028"/>
    <n v="0.27786015037965978"/>
  </r>
  <r>
    <n v="2037"/>
    <x v="28"/>
    <n v="-3.637978807091713E-12"/>
    <n v="0"/>
    <n v="-3.637978807091713E-12"/>
    <n v="1"/>
    <n v="0"/>
  </r>
  <r>
    <n v="2046"/>
    <x v="29"/>
    <n v="565197.17000000225"/>
    <n v="-4.4565240386873484E-11"/>
    <n v="565197.17000000225"/>
    <n v="1"/>
    <n v="-7.8849015445129181E-17"/>
  </r>
  <r>
    <n v="2055"/>
    <x v="30"/>
    <n v="1.0368239600211382E-9"/>
    <n v="0"/>
    <n v="1.0368239600211382E-9"/>
    <n v="1"/>
    <n v="0"/>
  </r>
  <r>
    <n v="2066"/>
    <x v="31"/>
    <n v="2.3283064365386963E-10"/>
    <n v="2.6830093702301383E-11"/>
    <n v="2.5966073735617101E-10"/>
    <n v="0.89667250437828372"/>
    <n v="0.10332749562171628"/>
  </r>
  <r>
    <n v="2073"/>
    <x v="32"/>
    <n v="908909.07999999914"/>
    <n v="1253.2000000001219"/>
    <n v="910162.27999999921"/>
    <n v="0.99862310268450138"/>
    <n v="1.3768973154986417E-3"/>
  </r>
  <r>
    <n v="2082"/>
    <x v="33"/>
    <n v="2812473.5000001336"/>
    <n v="346307.95999999787"/>
    <n v="3158781.4600001313"/>
    <n v="0.8903665972510858"/>
    <n v="0.10963340274891428"/>
  </r>
  <r>
    <n v="2091"/>
    <x v="34"/>
    <n v="0"/>
    <n v="0"/>
    <n v="0"/>
    <e v="#DIV/0!"/>
    <e v="#DIV/0!"/>
  </r>
  <r>
    <n v="2100"/>
    <x v="35"/>
    <n v="0"/>
    <n v="0"/>
    <n v="0"/>
    <e v="#DIV/0!"/>
    <e v="#DIV/0!"/>
  </r>
  <r>
    <n v="2110"/>
    <x v="36"/>
    <n v="4469.3999999999978"/>
    <n v="0"/>
    <n v="4469.3999999999978"/>
    <n v="1"/>
    <n v="0"/>
  </r>
  <r>
    <n v="2121"/>
    <x v="37"/>
    <n v="0"/>
    <n v="0"/>
    <n v="0"/>
    <e v="#DIV/0!"/>
    <e v="#DIV/0!"/>
  </r>
  <r>
    <n v="2129"/>
    <x v="38"/>
    <n v="0"/>
    <n v="0"/>
    <n v="0"/>
    <e v="#DIV/0!"/>
    <e v="#DIV/0!"/>
  </r>
  <r>
    <n v="2136"/>
    <x v="39"/>
    <n v="2.616928895804449E-11"/>
    <n v="2.8990143619012088E-12"/>
    <n v="2.9068303319945699E-11"/>
    <n v="0.90026888291371299"/>
    <n v="9.9731117086286972E-2"/>
  </r>
  <r>
    <n v="2143"/>
    <x v="40"/>
    <n v="278.58999999999907"/>
    <n v="-3.3750779948604759E-13"/>
    <n v="278.58999999999872"/>
    <n v="1.0000000000000013"/>
    <n v="-1.2114856939805776E-15"/>
  </r>
  <r>
    <n v="6008"/>
    <x v="41"/>
    <n v="4502.7600000000566"/>
    <n v="43.84000000000124"/>
    <n v="4546.6000000000577"/>
    <n v="0.99035762987727083"/>
    <n v="9.6423701227292234E-3"/>
  </r>
  <r>
    <n v="6017"/>
    <x v="42"/>
    <n v="273.80000000000172"/>
    <n v="1.3100631690576847E-12"/>
    <n v="273.80000000000302"/>
    <n v="0.99999999999999523"/>
    <n v="4.7847449563830179E-15"/>
  </r>
  <r>
    <n v="6023"/>
    <x v="43"/>
    <n v="0"/>
    <n v="-2.7178259642823832E-13"/>
    <n v="-2.7178259642823832E-13"/>
    <n v="0"/>
    <n v="1"/>
  </r>
  <r>
    <n v="6032"/>
    <x v="44"/>
    <n v="4621.0099999999811"/>
    <n v="354.00000000000011"/>
    <n v="4975.0099999999811"/>
    <n v="0.92884436413193117"/>
    <n v="7.1155635868068903E-2"/>
  </r>
  <r>
    <n v="6037"/>
    <x v="45"/>
    <n v="328.23999999999967"/>
    <n v="-63.720000000000084"/>
    <n v="264.51999999999958"/>
    <n v="1.2408891577196439"/>
    <n v="-0.24088915771964384"/>
  </r>
  <r>
    <n v="6093"/>
    <x v="46"/>
    <n v="0"/>
    <n v="-1.0913936421275139E-10"/>
    <n v="-1.0913936421275139E-10"/>
    <n v="0"/>
    <n v="1"/>
  </r>
  <r>
    <n v="6099"/>
    <x v="47"/>
    <n v="4.1893599700415507E-11"/>
    <n v="132074.88"/>
    <n v="132074.88000000003"/>
    <n v="3.1719581876898544E-16"/>
    <n v="0.99999999999999978"/>
  </r>
  <r>
    <n v="6102"/>
    <x v="48"/>
    <n v="0"/>
    <n v="-2.4911628315749113E-11"/>
    <n v="-2.4911628315749113E-11"/>
    <n v="0"/>
    <n v="1"/>
  </r>
  <r>
    <n v="6107"/>
    <x v="49"/>
    <n v="1762615.8899999654"/>
    <n v="-3888.6300000003089"/>
    <n v="1758727.2599999651"/>
    <n v="1.0022110477778121"/>
    <n v="-2.2110477778119991E-3"/>
  </r>
  <r>
    <n v="6112"/>
    <x v="50"/>
    <n v="0"/>
    <n v="0"/>
    <n v="0"/>
    <e v="#DIV/0!"/>
    <e v="#DIV/0!"/>
  </r>
  <r>
    <n v="6117"/>
    <x v="51"/>
    <n v="193738.37999999529"/>
    <n v="115.37999999999568"/>
    <n v="193853.75999999529"/>
    <n v="0.99940480906844409"/>
    <n v="5.9519093155582065E-4"/>
  </r>
  <r>
    <n v="6122"/>
    <x v="52"/>
    <n v="416762.34000000177"/>
    <n v="669315.99999999313"/>
    <n v="1086078.339999995"/>
    <n v="0.38373137981925293"/>
    <n v="0.61626862018074702"/>
  </r>
  <r>
    <n v="29641"/>
    <x v="53"/>
    <n v="-2.2737367544323206E-13"/>
    <n v="0"/>
    <n v="-2.2737367544323206E-13"/>
    <n v="1"/>
    <n v="0"/>
  </r>
  <r>
    <n v="23746"/>
    <x v="54"/>
    <n v="0"/>
    <n v="0"/>
    <n v="0"/>
    <e v="#DIV/0!"/>
    <e v="#DIV/0!"/>
  </r>
  <r>
    <n v="31443"/>
    <x v="55"/>
    <n v="1038622.1899998833"/>
    <n v="5398.230000194123"/>
    <n v="1044020.4200000775"/>
    <n v="0.99482938274311361"/>
    <n v="5.1706172568863383E-3"/>
  </r>
  <r>
    <n v="31454"/>
    <x v="56"/>
    <n v="0"/>
    <n v="0"/>
    <n v="0"/>
    <e v="#DIV/0!"/>
    <e v="#DIV/0!"/>
  </r>
  <r>
    <n v="31465"/>
    <x v="57"/>
    <n v="4258210.7699999334"/>
    <n v="114337.20000007018"/>
    <n v="4372547.9700000035"/>
    <n v="0.97385112735536894"/>
    <n v="2.6148872644631064E-2"/>
  </r>
  <r>
    <n v="31474"/>
    <x v="58"/>
    <n v="1828434.3199999966"/>
    <n v="9.6988514997065067E-9"/>
    <n v="1828434.3200000064"/>
    <n v="0.99999999999999467"/>
    <n v="5.3044571487295607E-15"/>
  </r>
  <r>
    <n v="31481"/>
    <x v="59"/>
    <n v="0"/>
    <n v="0"/>
    <n v="0"/>
    <e v="#DIV/0!"/>
    <e v="#DIV/0!"/>
  </r>
  <r>
    <n v="31484"/>
    <x v="60"/>
    <n v="-1.4551915228366852E-11"/>
    <n v="0"/>
    <n v="-1.4551915228366852E-11"/>
    <n v="1"/>
    <n v="0"/>
  </r>
  <r>
    <n v="31490"/>
    <x v="61"/>
    <n v="66684.680000033783"/>
    <n v="189.89999995564267"/>
    <n v="66874.579999989423"/>
    <n v="0.99716035599841268"/>
    <n v="2.8396440015873402E-3"/>
  </r>
  <r>
    <n v="31501"/>
    <x v="62"/>
    <n v="0"/>
    <n v="0"/>
    <n v="0"/>
    <e v="#DIV/0!"/>
    <e v="#DIV/0!"/>
  </r>
  <r>
    <n v="31512"/>
    <x v="63"/>
    <n v="1578991.939999959"/>
    <n v="38520.999999970583"/>
    <n v="1617512.9399999296"/>
    <n v="0.97618504368813741"/>
    <n v="2.3814956311862492E-2"/>
  </r>
  <r>
    <n v="31521"/>
    <x v="64"/>
    <n v="1138733.2800000005"/>
    <n v="0"/>
    <n v="1138733.2800000005"/>
    <n v="1"/>
    <n v="0"/>
  </r>
  <r>
    <n v="31528"/>
    <x v="65"/>
    <n v="0"/>
    <n v="0"/>
    <n v="0"/>
    <e v="#DIV/0!"/>
    <e v="#DIV/0!"/>
  </r>
  <r>
    <n v="31531"/>
    <x v="66"/>
    <n v="0"/>
    <n v="0"/>
    <n v="0"/>
    <e v="#DIV/0!"/>
    <e v="#DIV/0!"/>
  </r>
  <r>
    <n v="31536"/>
    <x v="67"/>
    <n v="0"/>
    <n v="0"/>
    <n v="0"/>
    <e v="#DIV/0!"/>
    <e v="#DIV/0!"/>
  </r>
  <r>
    <n v="32047"/>
    <x v="68"/>
    <n v="42570.459999999526"/>
    <n v="3092.8400000002025"/>
    <n v="45663.299999999726"/>
    <n v="0.93226858330431184"/>
    <n v="6.7731416695688246E-2"/>
  </r>
  <r>
    <n v="33604"/>
    <x v="69"/>
    <n v="40077.5"/>
    <n v="4108.2"/>
    <n v="44185.7"/>
    <n v="0.90702421824255364"/>
    <n v="9.2975781757446418E-2"/>
  </r>
  <r>
    <n v="34133"/>
    <x v="70"/>
    <n v="0"/>
    <n v="0"/>
    <n v="0"/>
    <e v="#DIV/0!"/>
    <e v="#DIV/0!"/>
  </r>
  <r>
    <n v="40813"/>
    <x v="71"/>
    <n v="1.3824319466948509E-10"/>
    <n v="0"/>
    <n v="1.3824319466948509E-10"/>
    <n v="1"/>
    <n v="0"/>
  </r>
  <r>
    <n v="56295"/>
    <x v="72"/>
    <n v="0"/>
    <n v="1.4566126083082054E-13"/>
    <n v="1.4566126083082054E-13"/>
    <n v="0"/>
    <n v="1"/>
  </r>
  <r>
    <n v="48483"/>
    <x v="64"/>
    <n v="-3.0559021979570389E-10"/>
    <n v="0"/>
    <n v="-3.0559021979570389E-10"/>
    <n v="1"/>
    <n v="0"/>
  </r>
  <r>
    <n v="52646"/>
    <x v="73"/>
    <n v="257442.45999999993"/>
    <n v="155439.64999999994"/>
    <n v="412882.10999999987"/>
    <n v="0.62352534480120736"/>
    <n v="0.376474655198792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M9:Q19" firstHeaderRow="1" firstDataRow="2" firstDataCol="1"/>
  <pivotFields count="7">
    <pivotField showAll="0"/>
    <pivotField axis="axisRow" showAll="0" sortType="ascending">
      <items count="76">
        <item h="1" m="1" x="74"/>
        <item h="1" x="12"/>
        <item h="1" x="52"/>
        <item h="1" x="35"/>
        <item h="1" x="70"/>
        <item h="1" x="34"/>
        <item x="3"/>
        <item h="1" x="27"/>
        <item h="1" x="48"/>
        <item h="1" x="42"/>
        <item h="1" x="30"/>
        <item h="1" x="40"/>
        <item h="1" x="72"/>
        <item h="1" x="10"/>
        <item h="1" x="45"/>
        <item x="6"/>
        <item h="1" x="32"/>
        <item h="1" x="24"/>
        <item h="1" x="33"/>
        <item h="1" x="49"/>
        <item h="1" x="9"/>
        <item h="1" x="7"/>
        <item h="1" x="37"/>
        <item h="1" x="38"/>
        <item h="1" x="36"/>
        <item h="1" x="8"/>
        <item h="1" x="46"/>
        <item h="1" x="29"/>
        <item h="1" x="31"/>
        <item h="1" x="39"/>
        <item x="1"/>
        <item h="1" x="26"/>
        <item h="1" x="44"/>
        <item h="1" x="53"/>
        <item h="1" x="41"/>
        <item h="1" x="50"/>
        <item h="1" x="43"/>
        <item h="1" x="47"/>
        <item x="5"/>
        <item h="1" x="11"/>
        <item x="73"/>
        <item h="1" x="19"/>
        <item h="1" x="66"/>
        <item h="1" x="60"/>
        <item h="1" x="22"/>
        <item h="1" x="21"/>
        <item h="1" x="17"/>
        <item h="1" x="58"/>
        <item h="1" x="64"/>
        <item h="1" x="23"/>
        <item h="1" x="15"/>
        <item h="1" x="56"/>
        <item h="1" x="62"/>
        <item h="1" x="14"/>
        <item h="1" x="55"/>
        <item h="1" x="61"/>
        <item h="1" x="20"/>
        <item h="1" x="67"/>
        <item h="1" x="16"/>
        <item h="1" x="57"/>
        <item h="1" x="63"/>
        <item h="1" x="18"/>
        <item h="1" x="59"/>
        <item h="1" x="65"/>
        <item h="1" x="68"/>
        <item h="1" x="51"/>
        <item x="0"/>
        <item h="1" x="71"/>
        <item x="54"/>
        <item h="1" x="28"/>
        <item h="1" x="69"/>
        <item x="2"/>
        <item h="1" x="4"/>
        <item h="1" x="25"/>
        <item h="1" x="13"/>
        <item t="default"/>
      </items>
    </pivotField>
    <pivotField dataField="1" showAll="0"/>
    <pivotField dataField="1" showAll="0"/>
    <pivotField showAll="0"/>
    <pivotField dataField="1" showAll="0"/>
    <pivotField dataField="1" showAll="0"/>
  </pivotFields>
  <rowFields count="1">
    <field x="1"/>
  </rowFields>
  <rowItems count="9">
    <i>
      <x v="6"/>
    </i>
    <i>
      <x v="15"/>
    </i>
    <i>
      <x v="30"/>
    </i>
    <i>
      <x v="38"/>
    </i>
    <i>
      <x v="40"/>
    </i>
    <i>
      <x v="66"/>
    </i>
    <i>
      <x v="68"/>
    </i>
    <i>
      <x v="7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 de TOTAL_COOPERADO" fld="2" baseField="0" baseItem="0" numFmtId="4"/>
    <dataField name="Soma de %_Cooperado" fld="5" baseField="0" baseItem="0" numFmtId="10"/>
    <dataField name="Soma de TOTAL_TERCEIRO" fld="3" baseField="0" baseItem="0" numFmtId="4"/>
    <dataField name="Soma de %_Terceiros" fld="6" baseField="0" baseItem="0" numFmtId="1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L38:M40" firstHeaderRow="1" firstDataRow="2" firstDataCol="0" rowPageCount="1" colPageCount="1"/>
  <pivotFields count="7">
    <pivotField showAll="0"/>
    <pivotField axis="axisPage" multipleItemSelectionAllowed="1" showAll="0" sortType="ascending">
      <items count="76">
        <item m="1" x="74"/>
        <item x="12"/>
        <item x="52"/>
        <item x="35"/>
        <item x="70"/>
        <item x="34"/>
        <item x="3"/>
        <item x="27"/>
        <item x="48"/>
        <item x="42"/>
        <item x="30"/>
        <item x="40"/>
        <item x="72"/>
        <item x="10"/>
        <item x="45"/>
        <item x="6"/>
        <item x="32"/>
        <item x="24"/>
        <item x="33"/>
        <item x="49"/>
        <item x="9"/>
        <item x="7"/>
        <item x="37"/>
        <item x="38"/>
        <item x="36"/>
        <item x="8"/>
        <item x="46"/>
        <item x="29"/>
        <item x="31"/>
        <item x="39"/>
        <item x="1"/>
        <item x="26"/>
        <item x="44"/>
        <item x="53"/>
        <item x="41"/>
        <item x="50"/>
        <item x="43"/>
        <item x="47"/>
        <item x="5"/>
        <item x="11"/>
        <item x="73"/>
        <item x="19"/>
        <item x="66"/>
        <item x="60"/>
        <item x="22"/>
        <item x="21"/>
        <item x="17"/>
        <item x="58"/>
        <item x="64"/>
        <item x="23"/>
        <item x="15"/>
        <item x="56"/>
        <item x="62"/>
        <item x="14"/>
        <item x="55"/>
        <item x="61"/>
        <item x="20"/>
        <item x="67"/>
        <item x="16"/>
        <item x="57"/>
        <item x="63"/>
        <item x="18"/>
        <item x="59"/>
        <item x="65"/>
        <item x="68"/>
        <item x="51"/>
        <item x="0"/>
        <item x="71"/>
        <item x="54"/>
        <item x="28"/>
        <item x="69"/>
        <item x="2"/>
        <item x="4"/>
        <item x="25"/>
        <item x="13"/>
        <item t="default"/>
      </items>
    </pivotField>
    <pivotField dataField="1" showAll="0"/>
    <pivotField dataField="1"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oma de TOTAL_COOPERADO" fld="2" baseField="0" baseItem="0" numFmtId="4"/>
    <dataField name="Soma de TOTAL_TERCEIRO" fld="3" baseField="0" baseItem="0" numFmtId="4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DadosExternos_1" backgroundRefresh="0" connectionId="1" autoFormatId="16" applyNumberFormats="0" applyBorderFormats="0" applyFontFormats="0" applyPatternFormats="0" applyAlignmentFormats="0" applyWidthHeightFormats="0">
  <queryTableRefresh nextId="34" unboundColumnsLeft="1" unboundColumnsRight="6">
    <queryTableFields count="23">
      <queryTableField id="25" dataBound="0" tableColumnId="25"/>
      <queryTableField id="1" name="CONTA" tableColumnId="1"/>
      <queryTableField id="2" name="CLASS" tableColumnId="2"/>
      <queryTableField id="3" name="NOMECONTA" tableColumnId="3"/>
      <queryTableField id="20" dataBound="0" tableColumnId="20"/>
      <queryTableField id="19" dataBound="0" tableColumnId="19"/>
      <queryTableField id="4" name="DATA_ULT_MOV" tableColumnId="4"/>
      <queryTableField id="5" name="SALDO_ANT" tableColumnId="5"/>
      <queryTableField id="6" name="DEBITOS" tableColumnId="6"/>
      <queryTableField id="7" name="CREDITOS" tableColumnId="7"/>
      <queryTableField id="8" name="SALDO_ATUAL" tableColumnId="8"/>
      <queryTableField id="21" dataBound="0" tableColumnId="21"/>
      <queryTableField id="16" dataBound="0" tableColumnId="16"/>
      <queryTableField id="9" name="TIPO" tableColumnId="9"/>
      <queryTableField id="10" name="TIPOSALDOANT" tableColumnId="10"/>
      <queryTableField id="11" name="TIPOSALDO" tableColumnId="11"/>
      <queryTableField id="12" name="NUM_NIVEIS" tableColumnId="12"/>
      <queryTableField id="33" dataBound="0" tableColumnId="22"/>
      <queryTableField id="13" dataBound="0" tableColumnId="13"/>
      <queryTableField id="14" dataBound="0" tableColumnId="14"/>
      <queryTableField id="15" dataBound="0" tableColumnId="15"/>
      <queryTableField id="17" dataBound="0" tableColumnId="17"/>
      <queryTableField id="32" dataBound="0" tableColumnId="18"/>
    </queryTableFields>
  </queryTableRefresh>
</queryTable>
</file>

<file path=xl/queryTables/queryTable2.xml><?xml version="1.0" encoding="utf-8"?>
<queryTable xmlns="http://schemas.openxmlformats.org/spreadsheetml/2006/main" name="DadosExternos_1" backgroundRefresh="0" connectionId="2" autoFormatId="16" applyNumberFormats="0" applyBorderFormats="0" applyFontFormats="0" applyPatternFormats="0" applyAlignmentFormats="0" applyWidthHeightFormats="0">
  <queryTableRefresh nextId="9">
    <queryTableFields count="7">
      <queryTableField id="7" name="CONTA" tableColumnId="7"/>
      <queryTableField id="1" name="EMPRESA" tableColumnId="1"/>
      <queryTableField id="2" name="SEQUENCIA" tableColumnId="2"/>
      <queryTableField id="3" name="TIPO_LINHA" tableColumnId="3"/>
      <queryTableField id="4" name="ORDEM" tableColumnId="4"/>
      <queryTableField id="5" name="GRP_TOT" tableColumnId="5"/>
      <queryTableField id="6" name="DESCRICAO_LINHA" tableColumnId="6"/>
    </queryTableFields>
  </queryTableRefresh>
</queryTable>
</file>

<file path=xl/queryTables/queryTable3.xml><?xml version="1.0" encoding="utf-8"?>
<queryTable xmlns="http://schemas.openxmlformats.org/spreadsheetml/2006/main" name="Consulta de PRODUCAO" backgroundRefresh="0" connectionId="3" autoFormatId="16" applyNumberFormats="0" applyBorderFormats="0" applyFontFormats="0" applyPatternFormats="0" applyAlignmentFormats="0" applyWidthHeightFormats="0">
  <queryTableRefresh nextId="12" unboundColumnsRight="2">
    <queryTableFields count="7">
      <queryTableField id="5" name="CONTA" tableColumnId="5"/>
      <queryTableField id="6" name="NOME_CONTA" tableColumnId="6"/>
      <queryTableField id="7" name="TOTAL_COOPERADO" tableColumnId="7"/>
      <queryTableField id="8" name="TOTAL_TERCEIRO" tableColumnId="8"/>
      <queryTableField id="9" name="TOTAL_GERAL" tableColumnId="9"/>
      <queryTableField id="10" dataBound="0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5" name="Base_Periodo1" displayName="Base_Periodo1" ref="A5:W6626" tableType="queryTable" totalsRowShown="0">
  <autoFilter ref="A5:W6626">
    <filterColumn colId="21">
      <filters>
        <filter val="( - ) IMPOSTOS SOBRE RECEITA"/>
      </filters>
    </filterColumn>
  </autoFilter>
  <tableColumns count="23">
    <tableColumn id="25" uniqueName="25" name="Periodo" queryTableFieldId="25" dataDxfId="17">
      <calculatedColumnFormula>"Período 1"</calculatedColumnFormula>
    </tableColumn>
    <tableColumn id="1" uniqueName="1" name="CONTA" queryTableFieldId="1"/>
    <tableColumn id="2" uniqueName="2" name="CLASS" queryTableFieldId="2"/>
    <tableColumn id="3" uniqueName="3" name="NOMECONTA" queryTableFieldId="3"/>
    <tableColumn id="20" uniqueName="20" name="Aux" queryTableFieldId="20" dataDxfId="16">
      <calculatedColumnFormula>IF(LEN(Base_Periodo1[[#This Row],[CLASS]])&gt;=7,LEFT(Base_Periodo1[[#This Row],[CLASS]],7),"")</calculatedColumnFormula>
    </tableColumn>
    <tableColumn id="19" uniqueName="19" name="Conta Balanço" queryTableFieldId="19" dataDxfId="15">
      <calculatedColumnFormula>VLOOKUP(Base_Periodo1[[#This Row],[Aux]],Base_Contas_Balanco[#All],2,FALSE)</calculatedColumnFormula>
    </tableColumn>
    <tableColumn id="4" uniqueName="4" name="DATA_ULT_MOV" queryTableFieldId="4" dataDxfId="14"/>
    <tableColumn id="5" uniqueName="5" name="SALDO_ANT" queryTableFieldId="5" dataDxfId="13"/>
    <tableColumn id="6" uniqueName="6" name="DEBITOS" queryTableFieldId="6" dataDxfId="12"/>
    <tableColumn id="7" uniqueName="7" name="CREDITOS" queryTableFieldId="7" dataDxfId="11"/>
    <tableColumn id="8" uniqueName="8" name="SALDO_ATUAL" queryTableFieldId="8" dataDxfId="10"/>
    <tableColumn id="21" uniqueName="21" name="VALOR BALANÇO" queryTableFieldId="21" dataDxfId="9">
      <calculatedColumnFormula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calculatedColumnFormula>
    </tableColumn>
    <tableColumn id="16" uniqueName="16" name="VALOR DRE" queryTableFieldId="16" dataDxfId="8">
      <calculatedColumnFormula>ROUND(IF(AND(Base_Periodo1[[#This Row],[Tipo_Linha]]="-",Base_Periodo1[[#This Row],[TIPOSALDO]]="D"),Base_Periodo1[[#This Row],[SALDO_ATUAL]]*-1,Base_Periodo1[[#This Row],[SALDO_ATUAL]]),4)</calculatedColumnFormula>
    </tableColumn>
    <tableColumn id="9" uniqueName="9" name="TIPO" queryTableFieldId="9"/>
    <tableColumn id="10" uniqueName="10" name="TIPOSALDOANT" queryTableFieldId="10"/>
    <tableColumn id="11" uniqueName="11" name="TIPOSALDO" queryTableFieldId="11"/>
    <tableColumn id="12" uniqueName="12" name="NUM_NIVEIS" queryTableFieldId="12"/>
    <tableColumn id="22" uniqueName="22" name="MENSAL" queryTableFieldId="33" dataDxfId="7">
      <calculatedColumnFormula>Base_Periodo1[[#This Row],[CREDITOS]]-Base_Periodo1[[#This Row],[DEBITOS]]</calculatedColumnFormula>
    </tableColumn>
    <tableColumn id="13" uniqueName="13" name="Tipo_Linha" queryTableFieldId="13" dataDxfId="6">
      <calculatedColumnFormula>IF(ISERROR(VLOOKUP(Base_Periodo1[[#This Row],[CONTA]],BaseContasDRE[#All],4,FALSE)),"Fora do DRE",VLOOKUP(Base_Periodo1[[#This Row],[CONTA]],BaseContasDRE[#All],4,FALSE))</calculatedColumnFormula>
    </tableColumn>
    <tableColumn id="14" uniqueName="14" name="Grupo" queryTableFieldId="14" dataDxfId="5">
      <calculatedColumnFormula>IF(ISERROR(VLOOKUP(Base_Periodo1[[#This Row],[CONTA]],BaseContasDRE[#All],5,FALSE)),"Fora do DRE",VLOOKUP(Base_Periodo1[[#This Row],[CONTA]],BaseContasDRE[#All],6,FALSE))</calculatedColumnFormula>
    </tableColumn>
    <tableColumn id="15" uniqueName="15" name="Filtro" queryTableFieldId="15" dataDxfId="4">
      <calculatedColumnFormula>IF(ISERROR(VLOOKUP(Base_Periodo1[[#This Row],[CONTA]],BaseContasDRE[#All],7,FALSE)),"Fora do DRE",VLOOKUP(Base_Periodo1[[#This Row],[CONTA]],BaseContasDRE[#All],7,FALSE))</calculatedColumnFormula>
    </tableColumn>
    <tableColumn id="17" uniqueName="17" name="Descrição" queryTableFieldId="17" dataDxfId="3">
      <calculatedColumnFormula>IF(Base_Periodo1[[#This Row],[Tipo_Linha]]="Fora do DRE","Fora do DRE","( "&amp;Base_Periodo1[[#This Row],[Tipo_Linha]]&amp;" ) "&amp;Base_Periodo1[[#This Row],[Filtro]])</calculatedColumnFormula>
    </tableColumn>
    <tableColumn id="18" uniqueName="18" name="GRUPO_CLASS" queryTableFieldId="32" dataDxfId="2">
      <calculatedColumnFormula>LEFT(Base_Periodo1[[#This Row],[CLASS]],3)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" name="Tabela1" displayName="Tabela1" ref="K12:N16" totalsRowCount="1" headerRowDxfId="46" dataDxfId="45" headerRowCellStyle="Normal 2">
  <autoFilter ref="K12:N15"/>
  <tableColumns count="4">
    <tableColumn id="1" name="Descrição" totalsRowLabel="Total" dataDxfId="44" totalsRowDxfId="43" dataCellStyle="Normal 2"/>
    <tableColumn id="2" name="Relatório" totalsRowFunction="sum" dataDxfId="42" totalsRowDxfId="41"/>
    <tableColumn id="3" name="DRE" totalsRowFunction="sum" dataDxfId="40" totalsRowDxfId="39"/>
    <tableColumn id="4" name="Diferença" totalsRowFunction="sum" dataDxfId="38" totalsRowDxfId="3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2" name="Tabela13" displayName="Tabela13" ref="K18:N22" totalsRowCount="1" headerRowDxfId="36" dataDxfId="35" headerRowCellStyle="Normal 2">
  <autoFilter ref="K18:N21"/>
  <tableColumns count="4">
    <tableColumn id="1" name="Descrição" totalsRowLabel="Total" dataDxfId="34" totalsRowDxfId="33" dataCellStyle="Normal 2"/>
    <tableColumn id="2" name="Cooperado" totalsRowFunction="sum" dataDxfId="32" totalsRowDxfId="31"/>
    <tableColumn id="3" name="Terceiros" totalsRowFunction="sum" dataDxfId="30" totalsRowDxfId="29"/>
    <tableColumn id="4" name="Total" totalsRowFunction="sum" dataDxfId="28" totalsRowDxfId="27">
      <calculatedColumnFormula>M19+L19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ela135" displayName="Tabela135" ref="P12:R15" headerRowDxfId="26" dataDxfId="25" headerRowCellStyle="Normal 2">
  <autoFilter ref="P12:R15"/>
  <tableColumns count="3">
    <tableColumn id="1" name="Descrição" totalsRowLabel="Total" dataDxfId="24" totalsRowDxfId="23" dataCellStyle="Normal 2"/>
    <tableColumn id="2" name="Cooperado" totalsRowFunction="sum" dataDxfId="22" totalsRowDxfId="21" dataCellStyle="Porcentagem">
      <calculatedColumnFormula>L19/$N19</calculatedColumnFormula>
    </tableColumn>
    <tableColumn id="3" name="Terceiros" totalsRowFunction="sum" dataDxfId="20" totalsRowDxfId="19" dataCellStyle="Porcentagem">
      <calculatedColumnFormula>M19/$N19</calculatedColumnFormula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7" name="BaseContasDRE" displayName="BaseContasDRE" ref="A5:G775" tableType="queryTable" totalsRowShown="0">
  <autoFilter ref="A5:G775"/>
  <tableColumns count="7">
    <tableColumn id="7" uniqueName="7" name="CONTA" queryTableFieldId="7"/>
    <tableColumn id="1" uniqueName="1" name="EMPRESA" queryTableFieldId="1"/>
    <tableColumn id="2" uniqueName="2" name="SEQUENCIA" queryTableFieldId="2"/>
    <tableColumn id="3" uniqueName="3" name="TIPO_LINHA" queryTableFieldId="3"/>
    <tableColumn id="4" uniqueName="4" name="ORDEM" queryTableFieldId="4"/>
    <tableColumn id="5" uniqueName="5" name="GRP_TOT" queryTableFieldId="5"/>
    <tableColumn id="6" uniqueName="6" name="DESCRICAO_LINHA" queryTableFieldId="6"/>
  </tableColumns>
  <tableStyleInfo name="TableStyleMedium10" showFirstColumn="0" showLastColumn="0" showRowStripes="1" showColumnStripes="0"/>
</table>
</file>

<file path=xl/tables/table6.xml><?xml version="1.0" encoding="utf-8"?>
<table xmlns="http://schemas.openxmlformats.org/spreadsheetml/2006/main" id="21" name="BaseGruposDRE" displayName="BaseGruposDRE" ref="J5:N12" totalsRowShown="0">
  <autoFilter ref="J5:N12"/>
  <tableColumns count="5">
    <tableColumn id="1" name="Codigo"/>
    <tableColumn id="2" name="Grupo3"/>
    <tableColumn id="3" name="Grupo2"/>
    <tableColumn id="4" name="Grupo1"/>
    <tableColumn id="5" name="Grupo4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3" name="Base_Contas_Balanco" displayName="Base_Contas_Balanco" ref="A5:E43" totalsRowShown="0">
  <autoFilter ref="A5:E43"/>
  <tableColumns count="5">
    <tableColumn id="1" name="CLASSIFICACAO"/>
    <tableColumn id="5" name="Conta" dataDxfId="18"/>
    <tableColumn id="2" name="Titulo"/>
    <tableColumn id="3" name="Sub-Titulo"/>
    <tableColumn id="4" name="Pre-Conta"/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id="6" name="Rateio" displayName="Rateio" ref="A5:G80" tableType="queryTable" totalsRowShown="0">
  <autoFilter ref="A5:G80"/>
  <tableColumns count="7">
    <tableColumn id="5" uniqueName="5" name="CONTA" queryTableFieldId="5"/>
    <tableColumn id="6" uniqueName="6" name="NOME_CONTA" queryTableFieldId="6"/>
    <tableColumn id="7" uniqueName="7" name="TOTAL_COOPERADO" queryTableFieldId="7"/>
    <tableColumn id="8" uniqueName="8" name="TOTAL_TERCEIRO" queryTableFieldId="8"/>
    <tableColumn id="9" uniqueName="9" name="TOTAL_GERAL" queryTableFieldId="9"/>
    <tableColumn id="10" uniqueName="10" name="%_Cooperado" queryTableFieldId="10" dataDxfId="1" dataCellStyle="Porcentagem">
      <calculatedColumnFormula>C6/$E6</calculatedColumnFormula>
    </tableColumn>
    <tableColumn id="11" uniqueName="11" name="%_Terceiros" queryTableFieldId="11" dataDxfId="0" dataCellStyle="Porcentagem">
      <calculatedColumnFormula>D6/$E6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Solstício">
      <a:dk1>
        <a:sysClr val="windowText" lastClr="000000"/>
      </a:dk1>
      <a:lt1>
        <a:sysClr val="window" lastClr="FFFFFF"/>
      </a:lt1>
      <a:dk2>
        <a:srgbClr val="4F271C"/>
      </a:dk2>
      <a:lt2>
        <a:srgbClr val="E7DEC9"/>
      </a:lt2>
      <a:accent1>
        <a:srgbClr val="3891A7"/>
      </a:accent1>
      <a:accent2>
        <a:srgbClr val="FEB80A"/>
      </a:accent2>
      <a:accent3>
        <a:srgbClr val="C32D2E"/>
      </a:accent3>
      <a:accent4>
        <a:srgbClr val="84AA33"/>
      </a:accent4>
      <a:accent5>
        <a:srgbClr val="964305"/>
      </a:accent5>
      <a:accent6>
        <a:srgbClr val="475A8D"/>
      </a:accent6>
      <a:hlink>
        <a:srgbClr val="8DC765"/>
      </a:hlink>
      <a:folHlink>
        <a:srgbClr val="AA8A14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.xml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Plan1"/>
  <dimension ref="A1:J32"/>
  <sheetViews>
    <sheetView showGridLines="0" workbookViewId="0">
      <selection activeCell="D12" sqref="D12"/>
    </sheetView>
  </sheetViews>
  <sheetFormatPr defaultRowHeight="15"/>
  <cols>
    <col min="1" max="1" width="25.85546875" customWidth="1"/>
    <col min="2" max="2" width="15.7109375" customWidth="1"/>
    <col min="3" max="3" width="4.140625" customWidth="1"/>
    <col min="4" max="4" width="15.7109375" customWidth="1"/>
    <col min="5" max="5" width="10.7109375" bestFit="1" customWidth="1"/>
    <col min="6" max="6" width="12.140625" bestFit="1" customWidth="1"/>
  </cols>
  <sheetData>
    <row r="1" spans="1:10" ht="21">
      <c r="A1" s="6"/>
      <c r="B1" s="7"/>
      <c r="C1" s="8"/>
      <c r="D1" s="7"/>
      <c r="E1" s="7"/>
      <c r="F1" s="7"/>
    </row>
    <row r="2" spans="1:10" ht="21">
      <c r="A2" s="6"/>
      <c r="B2" s="329" t="s">
        <v>143</v>
      </c>
      <c r="C2" s="330"/>
      <c r="D2" s="330"/>
      <c r="E2" s="330"/>
      <c r="F2" s="330"/>
      <c r="G2" s="330"/>
      <c r="H2" s="330"/>
      <c r="I2" s="330"/>
    </row>
    <row r="3" spans="1:10">
      <c r="A3" s="9"/>
      <c r="B3" s="23" t="s">
        <v>141</v>
      </c>
      <c r="C3" s="10"/>
      <c r="D3" s="11"/>
      <c r="E3" s="12"/>
      <c r="F3" s="7"/>
    </row>
    <row r="4" spans="1:10" ht="13.5" customHeight="1" thickBot="1">
      <c r="A4" s="13"/>
      <c r="B4" s="14"/>
      <c r="C4" s="15"/>
      <c r="D4" s="15"/>
      <c r="E4" s="16"/>
      <c r="F4" s="16"/>
      <c r="G4" s="16"/>
    </row>
    <row r="5" spans="1:10">
      <c r="A5" s="9"/>
      <c r="B5" s="17"/>
      <c r="C5" s="18"/>
      <c r="D5" s="18"/>
      <c r="E5" s="7"/>
      <c r="F5" s="7"/>
      <c r="G5" s="7"/>
      <c r="H5" s="7"/>
      <c r="I5" s="7"/>
    </row>
    <row r="6" spans="1:10">
      <c r="B6" s="7"/>
      <c r="C6" s="7"/>
      <c r="D6" s="7"/>
      <c r="E6" s="7"/>
      <c r="F6" s="7"/>
      <c r="G6" s="7"/>
      <c r="H6" s="7"/>
      <c r="I6" s="7"/>
    </row>
    <row r="7" spans="1:10" ht="21">
      <c r="A7" s="19" t="s">
        <v>142</v>
      </c>
      <c r="B7" s="7"/>
      <c r="C7" s="7"/>
      <c r="D7" s="7"/>
      <c r="E7" s="7"/>
      <c r="F7" s="7"/>
      <c r="G7" s="7"/>
      <c r="H7" s="7"/>
      <c r="I7" s="7"/>
    </row>
    <row r="8" spans="1:10">
      <c r="B8" s="7"/>
      <c r="C8" s="7"/>
      <c r="D8" s="7"/>
      <c r="E8" s="7"/>
      <c r="F8" s="7"/>
      <c r="G8" s="7"/>
      <c r="H8" s="7"/>
      <c r="I8" s="7"/>
    </row>
    <row r="9" spans="1:10">
      <c r="B9" s="7"/>
      <c r="C9" s="7"/>
      <c r="D9" s="7"/>
      <c r="E9" s="7"/>
      <c r="F9" s="7"/>
      <c r="G9" s="7"/>
      <c r="H9" s="7"/>
      <c r="I9" s="7"/>
    </row>
    <row r="10" spans="1:10">
      <c r="B10" s="7"/>
      <c r="C10" s="7"/>
      <c r="D10" s="7"/>
      <c r="E10" s="7"/>
      <c r="F10" s="7"/>
      <c r="G10" s="7"/>
      <c r="H10" s="7"/>
      <c r="I10" s="7"/>
    </row>
    <row r="11" spans="1:10">
      <c r="A11" s="20" t="s">
        <v>148</v>
      </c>
      <c r="B11" s="21">
        <v>42856</v>
      </c>
      <c r="C11" s="22" t="s">
        <v>116</v>
      </c>
      <c r="D11" s="21">
        <v>42886</v>
      </c>
      <c r="E11" s="7"/>
      <c r="F11" s="229"/>
      <c r="G11" s="7"/>
      <c r="H11" s="7"/>
      <c r="I11" s="7"/>
    </row>
    <row r="12" spans="1:10" ht="7.5" customHeight="1">
      <c r="A12" s="20"/>
      <c r="B12" s="6"/>
      <c r="C12" s="6"/>
      <c r="D12" s="6"/>
      <c r="E12" s="7"/>
      <c r="F12" s="7"/>
      <c r="G12" s="7"/>
      <c r="H12" s="7"/>
      <c r="I12" s="7"/>
    </row>
    <row r="13" spans="1:10">
      <c r="A13" s="25"/>
      <c r="B13" s="26"/>
      <c r="C13" s="27"/>
      <c r="D13" s="26"/>
      <c r="E13" s="7"/>
      <c r="F13" s="7"/>
      <c r="G13" s="7"/>
      <c r="H13" s="7"/>
      <c r="I13" s="7"/>
    </row>
    <row r="14" spans="1:10">
      <c r="B14" s="7"/>
      <c r="C14" s="7"/>
      <c r="D14" s="7"/>
      <c r="E14" s="7"/>
      <c r="F14" s="7"/>
      <c r="G14" s="7"/>
      <c r="H14" s="7"/>
      <c r="I14" s="7"/>
    </row>
    <row r="15" spans="1:10">
      <c r="B15" s="7"/>
      <c r="C15" s="7"/>
      <c r="D15" s="7"/>
      <c r="E15" s="7"/>
      <c r="F15" s="7"/>
      <c r="G15" s="7"/>
      <c r="H15" s="7"/>
      <c r="I15" s="7"/>
    </row>
    <row r="16" spans="1:10">
      <c r="B16" s="7"/>
      <c r="C16" s="7"/>
      <c r="D16" s="12"/>
      <c r="E16" s="7"/>
      <c r="F16" s="7"/>
      <c r="G16" s="7"/>
      <c r="H16" s="7"/>
      <c r="I16" s="7"/>
      <c r="J16" s="7"/>
    </row>
    <row r="17" spans="2:10">
      <c r="B17" s="7"/>
      <c r="C17" s="7"/>
      <c r="D17" s="7"/>
      <c r="E17" s="7"/>
      <c r="F17" s="7"/>
      <c r="G17" s="7"/>
      <c r="H17" s="7"/>
      <c r="I17" s="7"/>
      <c r="J17" s="7"/>
    </row>
    <row r="18" spans="2:10">
      <c r="B18" s="7"/>
      <c r="C18" s="7"/>
      <c r="D18" s="7"/>
      <c r="E18" s="7"/>
      <c r="F18" s="7"/>
      <c r="G18" s="7"/>
      <c r="H18" s="7"/>
      <c r="I18" s="7"/>
      <c r="J18" s="7"/>
    </row>
    <row r="19" spans="2:10">
      <c r="B19" s="7"/>
      <c r="C19" s="7"/>
      <c r="D19" s="7"/>
      <c r="E19" s="7"/>
      <c r="F19" s="7"/>
      <c r="G19" s="7"/>
      <c r="H19" s="7"/>
      <c r="I19" s="7"/>
      <c r="J19" s="7"/>
    </row>
    <row r="20" spans="2:10">
      <c r="B20" s="7"/>
      <c r="C20" s="7"/>
      <c r="D20" s="7"/>
      <c r="E20" s="7"/>
      <c r="F20" s="7"/>
      <c r="G20" s="7"/>
      <c r="H20" s="7"/>
      <c r="I20" s="7"/>
      <c r="J20" s="7"/>
    </row>
    <row r="21" spans="2:10">
      <c r="B21" s="7"/>
      <c r="C21" s="7"/>
      <c r="D21" s="7"/>
      <c r="E21" s="7"/>
      <c r="F21" s="7"/>
      <c r="G21" s="7"/>
      <c r="H21" s="7"/>
      <c r="I21" s="7"/>
      <c r="J21" s="7"/>
    </row>
    <row r="22" spans="2:10">
      <c r="B22" s="7"/>
      <c r="C22" s="7"/>
      <c r="D22" s="7"/>
      <c r="E22" s="7"/>
      <c r="F22" s="7"/>
      <c r="G22" s="7"/>
      <c r="H22" s="7"/>
      <c r="I22" s="7"/>
      <c r="J22" s="7"/>
    </row>
    <row r="23" spans="2:10">
      <c r="B23" s="7"/>
      <c r="C23" s="7"/>
      <c r="D23" s="7"/>
      <c r="E23" s="7"/>
      <c r="F23" s="7"/>
      <c r="G23" s="7"/>
      <c r="H23" s="7"/>
      <c r="I23" s="7"/>
      <c r="J23" s="7"/>
    </row>
    <row r="24" spans="2:10">
      <c r="B24" s="7"/>
      <c r="C24" s="7"/>
      <c r="D24" s="7"/>
      <c r="E24" s="7"/>
      <c r="F24" s="7"/>
      <c r="G24" s="7"/>
      <c r="H24" s="7"/>
      <c r="I24" s="7"/>
      <c r="J24" s="7"/>
    </row>
    <row r="25" spans="2:10">
      <c r="B25" s="7"/>
      <c r="C25" s="7"/>
      <c r="D25" s="7"/>
      <c r="E25" s="7"/>
      <c r="F25" s="7"/>
      <c r="G25" s="7"/>
      <c r="H25" s="7"/>
      <c r="I25" s="7"/>
      <c r="J25" s="7"/>
    </row>
    <row r="26" spans="2:10">
      <c r="B26" s="7"/>
      <c r="C26" s="7"/>
      <c r="D26" s="7"/>
      <c r="E26" s="7"/>
      <c r="F26" s="7"/>
      <c r="G26" s="7"/>
      <c r="H26" s="7"/>
      <c r="I26" s="7"/>
      <c r="J26" s="7"/>
    </row>
    <row r="27" spans="2:10">
      <c r="B27" s="7"/>
      <c r="C27" s="7"/>
      <c r="D27" s="7"/>
      <c r="E27" s="7"/>
      <c r="F27" s="7"/>
      <c r="G27" s="7"/>
      <c r="H27" s="7"/>
      <c r="I27" s="7"/>
      <c r="J27" s="7"/>
    </row>
    <row r="28" spans="2:10">
      <c r="B28" s="7"/>
      <c r="C28" s="7"/>
      <c r="D28" s="7"/>
      <c r="E28" s="7"/>
      <c r="F28" s="7"/>
      <c r="G28" s="7"/>
      <c r="H28" s="7"/>
      <c r="I28" s="7"/>
      <c r="J28" s="7"/>
    </row>
    <row r="29" spans="2:10">
      <c r="B29" s="7"/>
      <c r="C29" s="7"/>
      <c r="D29" s="7"/>
      <c r="E29" s="7"/>
      <c r="F29" s="7"/>
      <c r="G29" s="7"/>
      <c r="H29" s="7"/>
      <c r="I29" s="7"/>
      <c r="J29" s="7"/>
    </row>
    <row r="30" spans="2:10">
      <c r="B30" s="7"/>
      <c r="C30" s="7"/>
      <c r="D30" s="7"/>
      <c r="E30" s="7"/>
      <c r="F30" s="7"/>
      <c r="G30" s="7"/>
      <c r="H30" s="7"/>
      <c r="I30" s="7"/>
      <c r="J30" s="7"/>
    </row>
    <row r="31" spans="2:10">
      <c r="B31" s="7"/>
      <c r="C31" s="7"/>
      <c r="D31" s="7"/>
      <c r="E31" s="7"/>
      <c r="F31" s="7"/>
      <c r="G31" s="7"/>
      <c r="H31" s="7"/>
      <c r="I31" s="7"/>
      <c r="J31" s="7"/>
    </row>
    <row r="32" spans="2:10">
      <c r="B32" s="7"/>
      <c r="C32" s="7"/>
      <c r="D32" s="7"/>
      <c r="E32" s="7"/>
      <c r="F32" s="7"/>
      <c r="G32" s="7"/>
      <c r="H32" s="7"/>
      <c r="I32" s="7"/>
      <c r="J32" s="7"/>
    </row>
  </sheetData>
  <mergeCells count="1">
    <mergeCell ref="B2:I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Plan2">
    <pageSetUpPr fitToPage="1"/>
  </sheetPr>
  <dimension ref="A2:S57"/>
  <sheetViews>
    <sheetView showGridLines="0" view="pageBreakPreview" zoomScaleSheetLayoutView="100" workbookViewId="0">
      <selection activeCell="S22" sqref="S22"/>
    </sheetView>
  </sheetViews>
  <sheetFormatPr defaultRowHeight="14.25"/>
  <cols>
    <col min="1" max="1" width="8.140625" style="28" customWidth="1"/>
    <col min="2" max="2" width="2" style="28" customWidth="1"/>
    <col min="3" max="3" width="63.140625" style="28" customWidth="1"/>
    <col min="4" max="4" width="16.85546875" style="46" customWidth="1"/>
    <col min="5" max="5" width="9.140625" style="46" customWidth="1"/>
    <col min="6" max="6" width="16.85546875" style="46" hidden="1" customWidth="1"/>
    <col min="7" max="7" width="9.140625" style="46" hidden="1" customWidth="1"/>
    <col min="8" max="8" width="20.7109375" style="28" hidden="1" customWidth="1"/>
    <col min="9" max="9" width="9.140625" style="28" hidden="1" customWidth="1"/>
    <col min="10" max="10" width="16.85546875" style="28" hidden="1" customWidth="1"/>
    <col min="11" max="11" width="9.140625" style="28" hidden="1" customWidth="1"/>
    <col min="12" max="12" width="16.85546875" style="28" hidden="1" customWidth="1"/>
    <col min="13" max="13" width="9.140625" style="28" hidden="1" customWidth="1"/>
    <col min="14" max="14" width="16.85546875" style="28" hidden="1" customWidth="1"/>
    <col min="15" max="15" width="9.140625" style="28" hidden="1" customWidth="1"/>
    <col min="16" max="16" width="15.7109375" style="28" hidden="1" customWidth="1"/>
    <col min="17" max="17" width="9.140625" style="28" customWidth="1"/>
    <col min="18" max="18" width="16.85546875" style="28" bestFit="1" customWidth="1"/>
    <col min="19" max="19" width="14.5703125" style="28" bestFit="1" customWidth="1"/>
    <col min="20" max="16384" width="9.140625" style="28"/>
  </cols>
  <sheetData>
    <row r="2" spans="1:16" ht="19.5" customHeight="1">
      <c r="A2" s="336" t="s">
        <v>150</v>
      </c>
      <c r="B2" s="336"/>
      <c r="C2" s="336"/>
      <c r="D2" s="336"/>
      <c r="E2" s="336"/>
      <c r="F2" s="336"/>
      <c r="G2" s="336"/>
      <c r="H2" s="336"/>
      <c r="I2" s="336"/>
      <c r="J2" s="336"/>
      <c r="K2" s="336"/>
    </row>
    <row r="3" spans="1:16" ht="15" customHeight="1">
      <c r="A3" s="337" t="s">
        <v>141</v>
      </c>
      <c r="B3" s="337"/>
      <c r="C3" s="337"/>
      <c r="D3" s="337"/>
      <c r="E3" s="337"/>
      <c r="F3" s="337"/>
      <c r="G3" s="337"/>
      <c r="H3" s="337"/>
      <c r="I3" s="337"/>
      <c r="J3" s="337"/>
      <c r="K3" s="337"/>
    </row>
    <row r="4" spans="1:16" ht="15" customHeight="1">
      <c r="A4" s="29"/>
      <c r="B4" s="29"/>
      <c r="C4" s="29"/>
      <c r="D4" s="29"/>
      <c r="E4" s="29"/>
      <c r="F4" s="231"/>
      <c r="G4" s="231"/>
      <c r="H4" s="29"/>
      <c r="I4" s="29"/>
      <c r="J4" s="29"/>
      <c r="K4" s="29"/>
    </row>
    <row r="5" spans="1:16" ht="15">
      <c r="A5" s="30"/>
      <c r="B5" s="30"/>
      <c r="C5" s="338"/>
      <c r="D5" s="338"/>
      <c r="E5" s="338"/>
      <c r="F5" s="338"/>
      <c r="G5" s="338"/>
      <c r="H5" s="338"/>
      <c r="I5" s="338"/>
      <c r="J5" s="338"/>
      <c r="K5" s="338"/>
    </row>
    <row r="6" spans="1:16" ht="15">
      <c r="A6" s="333" t="str">
        <f>"DEMONSTRAÇÕES CONTÁBEIS LEVANTADAS EM "&amp;TEXT(D9,"dd/mm/aaaa")</f>
        <v>DEMONSTRAÇÕES CONTÁBEIS LEVANTADAS EM 31/05/2017</v>
      </c>
      <c r="B6" s="333"/>
      <c r="C6" s="333"/>
      <c r="D6" s="333"/>
      <c r="E6" s="333"/>
      <c r="F6" s="333"/>
      <c r="G6" s="333"/>
      <c r="H6" s="333"/>
      <c r="I6" s="333"/>
      <c r="J6" s="333"/>
      <c r="K6" s="333"/>
    </row>
    <row r="7" spans="1:16" ht="15">
      <c r="A7" s="333" t="s">
        <v>151</v>
      </c>
      <c r="B7" s="333"/>
      <c r="C7" s="333"/>
      <c r="D7" s="333"/>
      <c r="E7" s="333"/>
      <c r="F7" s="333"/>
      <c r="G7" s="333"/>
      <c r="H7" s="333"/>
      <c r="I7" s="333"/>
      <c r="J7" s="333"/>
      <c r="K7" s="333"/>
      <c r="L7" s="31"/>
    </row>
    <row r="8" spans="1:16" ht="15">
      <c r="C8" s="29"/>
      <c r="D8" s="32"/>
      <c r="E8" s="32"/>
      <c r="F8" s="32"/>
      <c r="G8" s="32"/>
    </row>
    <row r="9" spans="1:16" s="33" customFormat="1" ht="16.5" customHeight="1">
      <c r="B9" s="34" t="s">
        <v>152</v>
      </c>
      <c r="C9" s="35"/>
      <c r="D9" s="36">
        <f>Parâmetros!D11</f>
        <v>42886</v>
      </c>
      <c r="E9" s="36" t="s">
        <v>153</v>
      </c>
      <c r="F9" s="36">
        <v>42004</v>
      </c>
      <c r="G9" s="36" t="s">
        <v>153</v>
      </c>
      <c r="H9" s="36">
        <v>41639</v>
      </c>
      <c r="I9" s="36" t="s">
        <v>153</v>
      </c>
      <c r="J9" s="36">
        <v>41274</v>
      </c>
      <c r="K9" s="36" t="s">
        <v>153</v>
      </c>
      <c r="L9" s="36">
        <v>40908</v>
      </c>
      <c r="M9" s="36" t="s">
        <v>153</v>
      </c>
      <c r="N9" s="36">
        <v>40543</v>
      </c>
      <c r="O9" s="36" t="s">
        <v>153</v>
      </c>
    </row>
    <row r="10" spans="1:16" s="33" customFormat="1" ht="16.5" customHeight="1">
      <c r="B10" s="34"/>
      <c r="C10" s="35"/>
      <c r="D10" s="35"/>
      <c r="E10" s="35"/>
      <c r="F10" s="35"/>
      <c r="G10" s="35"/>
      <c r="H10" s="35"/>
      <c r="I10" s="35"/>
      <c r="J10" s="37"/>
      <c r="K10" s="35"/>
      <c r="L10" s="37"/>
      <c r="M10" s="35"/>
      <c r="N10" s="37"/>
      <c r="O10" s="35"/>
    </row>
    <row r="11" spans="1:16" ht="16.5" customHeight="1">
      <c r="B11" s="38" t="s">
        <v>154</v>
      </c>
      <c r="C11" s="39"/>
      <c r="D11" s="251">
        <f>D13+D17+D23+D28</f>
        <v>398340615.59012997</v>
      </c>
      <c r="E11" s="32">
        <f>D11/$D$44</f>
        <v>0.78235916556043206</v>
      </c>
      <c r="F11" s="248">
        <v>184852588.19000003</v>
      </c>
      <c r="G11" s="32">
        <v>0.64292770332996108</v>
      </c>
      <c r="H11" s="41">
        <f>H13+H17+H23+H28</f>
        <v>163072168.46000001</v>
      </c>
      <c r="I11" s="32">
        <f>H11/$H$44</f>
        <v>0.61760198282705425</v>
      </c>
      <c r="J11" s="41">
        <f>J13+J17+J23+J28</f>
        <v>123935862.75</v>
      </c>
      <c r="K11" s="42">
        <f>J11/$L$44</f>
        <v>0.76010530193656711</v>
      </c>
      <c r="L11" s="41">
        <f>L13+L17+L23+L28</f>
        <v>128311885.63</v>
      </c>
      <c r="M11" s="42">
        <f>L11/$L$44</f>
        <v>0.78694368526386371</v>
      </c>
      <c r="N11" s="41">
        <f>N13+N17+N23+N28</f>
        <v>92474054.72299999</v>
      </c>
      <c r="O11" s="42">
        <v>0.79916254714927049</v>
      </c>
      <c r="P11" s="43">
        <f>L11-N11</f>
        <v>35837830.907000005</v>
      </c>
    </row>
    <row r="12" spans="1:16" ht="16.5" customHeight="1">
      <c r="B12" s="38"/>
      <c r="C12" s="39"/>
      <c r="D12" s="251"/>
      <c r="E12" s="32"/>
      <c r="F12" s="248"/>
      <c r="G12" s="32"/>
      <c r="H12" s="41"/>
      <c r="I12" s="32"/>
      <c r="J12" s="41"/>
      <c r="K12" s="42"/>
      <c r="L12" s="41"/>
      <c r="M12" s="42"/>
      <c r="N12" s="41"/>
      <c r="O12" s="42"/>
      <c r="P12" s="43">
        <f t="shared" ref="P12:P44" si="0">L12-N12</f>
        <v>0</v>
      </c>
    </row>
    <row r="13" spans="1:16" ht="16.5" customHeight="1">
      <c r="B13" s="38" t="s">
        <v>155</v>
      </c>
      <c r="C13" s="38"/>
      <c r="D13" s="251">
        <f>SUM(D14:D16)</f>
        <v>41013115.560153663</v>
      </c>
      <c r="E13" s="32">
        <f t="shared" ref="E13:E28" si="1">D13/$D$44</f>
        <v>8.0551632474482826E-2</v>
      </c>
      <c r="F13" s="248">
        <v>26618497.09</v>
      </c>
      <c r="G13" s="32">
        <v>9.2580630694651833E-2</v>
      </c>
      <c r="H13" s="41">
        <f>SUM(H14:H16)</f>
        <v>23559078.690000001</v>
      </c>
      <c r="I13" s="32">
        <f t="shared" ref="I13:I26" si="2">H13/$H$44</f>
        <v>8.9225119466609687E-2</v>
      </c>
      <c r="J13" s="41">
        <f>SUM(J14:J16)</f>
        <v>21984033.530000001</v>
      </c>
      <c r="K13" s="42">
        <f t="shared" ref="K13:K26" si="3">J13/$L$44</f>
        <v>0.13482925824151143</v>
      </c>
      <c r="L13" s="41">
        <f>SUM(L14:L16)</f>
        <v>29656393.300000001</v>
      </c>
      <c r="M13" s="42">
        <f t="shared" ref="M13:M26" si="4">L13/$L$44</f>
        <v>0.18188425273737877</v>
      </c>
      <c r="N13" s="41">
        <f>SUM(N14:N16)</f>
        <v>6762155.5300000003</v>
      </c>
      <c r="O13" s="42">
        <v>5.8438677245870096E-2</v>
      </c>
      <c r="P13" s="43">
        <f t="shared" si="0"/>
        <v>22894237.77</v>
      </c>
    </row>
    <row r="14" spans="1:16">
      <c r="C14" s="44" t="s">
        <v>5</v>
      </c>
      <c r="D14" s="250">
        <f>VLOOKUP(4,Base_Periodo1[[#All],[CONTA]:[VALOR BALANÇO]],10,FALSE)</f>
        <v>101225.53001564741</v>
      </c>
      <c r="E14" s="46">
        <f t="shared" si="1"/>
        <v>1.9881156501987555E-4</v>
      </c>
      <c r="F14" s="249">
        <v>47982.83</v>
      </c>
      <c r="G14" s="46">
        <v>1.6688698272086634E-4</v>
      </c>
      <c r="H14" s="47">
        <v>47868.92</v>
      </c>
      <c r="I14" s="46">
        <f t="shared" si="2"/>
        <v>1.8129359649155199E-4</v>
      </c>
      <c r="J14" s="47">
        <v>156940.64000000001</v>
      </c>
      <c r="K14" s="48">
        <f t="shared" si="3"/>
        <v>9.6252537325656443E-4</v>
      </c>
      <c r="L14" s="47">
        <v>57396.73</v>
      </c>
      <c r="M14" s="48">
        <f t="shared" si="4"/>
        <v>3.5201722744953917E-4</v>
      </c>
      <c r="N14" s="47">
        <v>168598.11</v>
      </c>
      <c r="O14" s="48">
        <v>1.4570280868049929E-3</v>
      </c>
      <c r="P14" s="43">
        <f t="shared" si="0"/>
        <v>-111201.37999999998</v>
      </c>
    </row>
    <row r="15" spans="1:16">
      <c r="C15" s="44" t="s">
        <v>156</v>
      </c>
      <c r="D15" s="250">
        <f>VLOOKUP(6,Base_Periodo1[[#All],[CONTA]:[VALOR BALANÇO]],10,FALSE)</f>
        <v>5870522.3901380897</v>
      </c>
      <c r="E15" s="46">
        <f t="shared" si="1"/>
        <v>1.1529974144735619E-2</v>
      </c>
      <c r="F15" s="249">
        <v>3436072.42</v>
      </c>
      <c r="G15" s="46">
        <v>1.195085322362573E-2</v>
      </c>
      <c r="H15" s="47">
        <v>411686.81</v>
      </c>
      <c r="I15" s="46">
        <f t="shared" si="2"/>
        <v>1.5591783230754785E-3</v>
      </c>
      <c r="J15" s="47">
        <v>2711051.35</v>
      </c>
      <c r="K15" s="48">
        <f t="shared" si="3"/>
        <v>1.6627023520335224E-2</v>
      </c>
      <c r="L15" s="47">
        <v>16867.939999999999</v>
      </c>
      <c r="M15" s="48">
        <f t="shared" si="4"/>
        <v>1.0345198187397051E-4</v>
      </c>
      <c r="N15" s="47">
        <v>547347.13</v>
      </c>
      <c r="O15" s="48">
        <v>4.7301843516638692E-3</v>
      </c>
      <c r="P15" s="43">
        <f t="shared" si="0"/>
        <v>-530479.19000000006</v>
      </c>
    </row>
    <row r="16" spans="1:16">
      <c r="C16" s="44" t="s">
        <v>157</v>
      </c>
      <c r="D16" s="250">
        <f>VLOOKUP(11,Base_Periodo1[[#All],[CONTA]:[VALOR BALANÇO]],10,FALSE)</f>
        <v>35041367.639999926</v>
      </c>
      <c r="E16" s="46">
        <f t="shared" si="1"/>
        <v>6.882284676472733E-2</v>
      </c>
      <c r="F16" s="249">
        <v>23134441.84</v>
      </c>
      <c r="G16" s="46">
        <v>8.0462890488305239E-2</v>
      </c>
      <c r="H16" s="47">
        <v>23099522.960000001</v>
      </c>
      <c r="I16" s="46">
        <f t="shared" si="2"/>
        <v>8.7484647547042646E-2</v>
      </c>
      <c r="J16" s="47">
        <v>19116041.539999999</v>
      </c>
      <c r="K16" s="48">
        <f t="shared" si="3"/>
        <v>0.11723970934791962</v>
      </c>
      <c r="L16" s="47">
        <v>29582128.629999999</v>
      </c>
      <c r="M16" s="48">
        <f t="shared" si="4"/>
        <v>0.18142878352805525</v>
      </c>
      <c r="N16" s="47">
        <v>6046210.29</v>
      </c>
      <c r="O16" s="48">
        <v>5.2251464807401227E-2</v>
      </c>
      <c r="P16" s="43">
        <f t="shared" si="0"/>
        <v>23535918.34</v>
      </c>
    </row>
    <row r="17" spans="2:16" ht="16.5" customHeight="1">
      <c r="B17" s="38" t="s">
        <v>158</v>
      </c>
      <c r="C17" s="39"/>
      <c r="D17" s="251">
        <f>SUM(D18:D22)</f>
        <v>154407098.38000146</v>
      </c>
      <c r="E17" s="32">
        <f t="shared" si="1"/>
        <v>0.30326259466718231</v>
      </c>
      <c r="F17" s="248">
        <v>69158842.290000007</v>
      </c>
      <c r="G17" s="32">
        <v>0.24053834503397054</v>
      </c>
      <c r="H17" s="41">
        <f>SUM(H18:H22)</f>
        <v>82158242.63000001</v>
      </c>
      <c r="I17" s="32">
        <f t="shared" si="2"/>
        <v>0.31115728718797597</v>
      </c>
      <c r="J17" s="41">
        <f>SUM(J18:J22)</f>
        <v>66134153.429999992</v>
      </c>
      <c r="K17" s="42">
        <f t="shared" si="3"/>
        <v>0.40560431456898377</v>
      </c>
      <c r="L17" s="41">
        <f>SUM(L18:L22)</f>
        <v>56285771.950000003</v>
      </c>
      <c r="M17" s="42">
        <f t="shared" si="4"/>
        <v>0.34520366206743908</v>
      </c>
      <c r="N17" s="41">
        <f>SUM(N18:N22)</f>
        <v>56034818.303000003</v>
      </c>
      <c r="O17" s="42">
        <v>0.48425397002662424</v>
      </c>
      <c r="P17" s="43">
        <f t="shared" si="0"/>
        <v>250953.64699999988</v>
      </c>
    </row>
    <row r="18" spans="2:16">
      <c r="C18" s="44" t="s">
        <v>159</v>
      </c>
      <c r="D18" s="250">
        <f>VLOOKUP(17,Base_Periodo1[[#All],[CONTA]:[VALOR BALANÇO]],10,FALSE)</f>
        <v>57850164.399999999</v>
      </c>
      <c r="E18" s="46">
        <f t="shared" si="1"/>
        <v>0.11362036552679176</v>
      </c>
      <c r="F18" s="249">
        <v>52633139.18</v>
      </c>
      <c r="G18" s="46">
        <v>0.18306101972054614</v>
      </c>
      <c r="H18" s="47">
        <v>45070516.450000003</v>
      </c>
      <c r="I18" s="46">
        <f t="shared" si="2"/>
        <v>0.17069522401909543</v>
      </c>
      <c r="J18" s="47">
        <v>48873523.799999997</v>
      </c>
      <c r="K18" s="48">
        <f t="shared" si="3"/>
        <v>0.29974394610572874</v>
      </c>
      <c r="L18" s="47">
        <v>35463353.200000003</v>
      </c>
      <c r="M18" s="48">
        <f t="shared" si="4"/>
        <v>0.21749864965352109</v>
      </c>
      <c r="N18" s="47">
        <v>29525654.283</v>
      </c>
      <c r="O18" s="48">
        <v>0.25516126824686902</v>
      </c>
      <c r="P18" s="43">
        <f t="shared" si="0"/>
        <v>5937698.9170000032</v>
      </c>
    </row>
    <row r="19" spans="2:16">
      <c r="C19" s="44" t="s">
        <v>160</v>
      </c>
      <c r="D19" s="250">
        <f>VLOOKUP(44,Base_Periodo1[[#All],[CONTA]:[VALOR BALANÇO]],10,FALSE)</f>
        <v>80812576.200000465</v>
      </c>
      <c r="E19" s="46">
        <f t="shared" si="1"/>
        <v>0.15871959124468391</v>
      </c>
      <c r="F19" s="249">
        <v>10800234.529999999</v>
      </c>
      <c r="G19" s="46">
        <v>3.7563823421615898E-2</v>
      </c>
      <c r="H19" s="47">
        <v>34090477.630000003</v>
      </c>
      <c r="I19" s="46">
        <f t="shared" si="2"/>
        <v>0.12911060654089335</v>
      </c>
      <c r="J19" s="47">
        <v>13251358.689999999</v>
      </c>
      <c r="K19" s="48">
        <f t="shared" si="3"/>
        <v>8.1271294479548881E-2</v>
      </c>
      <c r="L19" s="47">
        <v>19239721.100000001</v>
      </c>
      <c r="M19" s="48">
        <f t="shared" si="4"/>
        <v>0.11799824273132631</v>
      </c>
      <c r="N19" s="47">
        <v>23950502.300000001</v>
      </c>
      <c r="O19" s="48">
        <v>0.20698069832566676</v>
      </c>
      <c r="P19" s="43">
        <f t="shared" si="0"/>
        <v>-4710781.1999999993</v>
      </c>
    </row>
    <row r="20" spans="2:16">
      <c r="C20" s="44" t="s">
        <v>161</v>
      </c>
      <c r="D20" s="250">
        <f>VLOOKUP(72,Base_Periodo1[[#All],[CONTA]:[VALOR BALANÇO]],10,FALSE)</f>
        <v>10437162.960000958</v>
      </c>
      <c r="E20" s="46">
        <f t="shared" si="1"/>
        <v>2.0499064832009375E-2</v>
      </c>
      <c r="F20" s="249">
        <v>4692792.46</v>
      </c>
      <c r="G20" s="46">
        <v>1.6321796238042481E-2</v>
      </c>
      <c r="H20" s="47">
        <v>2050227.45</v>
      </c>
      <c r="I20" s="46">
        <f t="shared" si="2"/>
        <v>7.7648108216396691E-3</v>
      </c>
      <c r="J20" s="47">
        <v>1453268.47</v>
      </c>
      <c r="K20" s="48">
        <f t="shared" si="3"/>
        <v>8.9129735709548921E-3</v>
      </c>
      <c r="L20" s="47">
        <v>1123744.6499999999</v>
      </c>
      <c r="M20" s="48">
        <f t="shared" si="4"/>
        <v>6.891986286575085E-3</v>
      </c>
      <c r="N20" s="47">
        <v>618912.92000000004</v>
      </c>
      <c r="O20" s="48">
        <v>5.3486572757339432E-3</v>
      </c>
      <c r="P20" s="43">
        <f t="shared" si="0"/>
        <v>504831.72999999986</v>
      </c>
    </row>
    <row r="21" spans="2:16">
      <c r="C21" s="44" t="s">
        <v>162</v>
      </c>
      <c r="D21" s="250">
        <f>VLOOKUP(85,Base_Periodo1[[#All],[CONTA]:[VALOR BALANÇO]],10,FALSE)</f>
        <v>5161194.8200000115</v>
      </c>
      <c r="E21" s="46">
        <f t="shared" si="1"/>
        <v>1.0136822394291856E-2</v>
      </c>
      <c r="F21" s="249">
        <v>886676.12</v>
      </c>
      <c r="G21" s="46">
        <v>3.0839094383854561E-3</v>
      </c>
      <c r="H21" s="47">
        <v>801021.1</v>
      </c>
      <c r="I21" s="46">
        <f t="shared" si="2"/>
        <v>3.0337011172305354E-3</v>
      </c>
      <c r="J21" s="47">
        <v>2000002.47</v>
      </c>
      <c r="K21" s="48">
        <f t="shared" si="3"/>
        <v>1.2266122554048464E-2</v>
      </c>
      <c r="L21" s="47">
        <v>41000</v>
      </c>
      <c r="M21" s="48">
        <f t="shared" si="4"/>
        <v>2.5145520181081929E-4</v>
      </c>
      <c r="N21" s="47">
        <v>1451795.8</v>
      </c>
      <c r="O21" s="48">
        <v>1.2546447032564743E-2</v>
      </c>
      <c r="P21" s="43">
        <f t="shared" si="0"/>
        <v>-1410795.8</v>
      </c>
    </row>
    <row r="22" spans="2:16" ht="16.5" customHeight="1">
      <c r="C22" s="44" t="s">
        <v>163</v>
      </c>
      <c r="D22" s="252">
        <f>VLOOKUP(88,Base_Periodo1[[#All],[CONTA]:[VALOR BALANÇO]],10,FALSE)</f>
        <v>146000</v>
      </c>
      <c r="E22" s="46">
        <f t="shared" si="1"/>
        <v>2.867506694053854E-4</v>
      </c>
      <c r="F22" s="249">
        <v>146000</v>
      </c>
      <c r="G22" s="46">
        <v>5.0779621538051185E-4</v>
      </c>
      <c r="H22" s="47">
        <v>146000</v>
      </c>
      <c r="I22" s="46">
        <f t="shared" si="2"/>
        <v>5.5294468911700097E-4</v>
      </c>
      <c r="J22" s="47">
        <v>556000</v>
      </c>
      <c r="K22" s="48">
        <f t="shared" si="3"/>
        <v>3.4099778587028179E-3</v>
      </c>
      <c r="L22" s="47">
        <v>417953</v>
      </c>
      <c r="M22" s="48">
        <f t="shared" si="4"/>
        <v>2.5633281942057892E-3</v>
      </c>
      <c r="N22" s="47">
        <v>487953</v>
      </c>
      <c r="O22" s="48">
        <v>4.2168991457896933E-3</v>
      </c>
      <c r="P22" s="43">
        <f t="shared" si="0"/>
        <v>-70000</v>
      </c>
    </row>
    <row r="23" spans="2:16" ht="16.5" customHeight="1">
      <c r="B23" s="38" t="s">
        <v>164</v>
      </c>
      <c r="C23" s="39"/>
      <c r="D23" s="251">
        <f>D24+D25+D26+D27</f>
        <v>200245492.38997489</v>
      </c>
      <c r="E23" s="32">
        <f t="shared" si="1"/>
        <v>0.39329129443997474</v>
      </c>
      <c r="F23" s="248">
        <v>87028684.940000013</v>
      </c>
      <c r="G23" s="32">
        <v>0.30269066330188327</v>
      </c>
      <c r="H23" s="41">
        <f>H24+H25+H26</f>
        <v>56403407.979999997</v>
      </c>
      <c r="I23" s="32">
        <f t="shared" si="2"/>
        <v>0.21361619788109912</v>
      </c>
      <c r="J23" s="41">
        <f>J24+J25+J26</f>
        <v>35701209.57</v>
      </c>
      <c r="K23" s="42">
        <f t="shared" si="3"/>
        <v>0.21895743554426106</v>
      </c>
      <c r="L23" s="41">
        <f>L24+L25+L26</f>
        <v>42233940.509999998</v>
      </c>
      <c r="M23" s="42">
        <f t="shared" si="4"/>
        <v>0.25902302522458992</v>
      </c>
      <c r="N23" s="41">
        <f>N24+N25+N26</f>
        <v>29609377.82</v>
      </c>
      <c r="O23" s="42">
        <v>0.25588480865272328</v>
      </c>
      <c r="P23" s="43">
        <f t="shared" si="0"/>
        <v>12624562.689999998</v>
      </c>
    </row>
    <row r="24" spans="2:16">
      <c r="C24" s="44" t="s">
        <v>165</v>
      </c>
      <c r="D24" s="250">
        <f>VLOOKUP(90,Base_Periodo1[[#All],[CONTA]:[VALOR BALANÇO]],10,FALSE)</f>
        <v>94053200.919996366</v>
      </c>
      <c r="E24" s="46">
        <f t="shared" si="1"/>
        <v>0.18472478303786419</v>
      </c>
      <c r="F24" s="249">
        <v>42793407.090000004</v>
      </c>
      <c r="G24" s="46">
        <v>0.14883787783246277</v>
      </c>
      <c r="H24" s="47">
        <v>36751312.240000002</v>
      </c>
      <c r="I24" s="46">
        <f t="shared" si="2"/>
        <v>0.13918796521362078</v>
      </c>
      <c r="J24" s="47">
        <v>20956070.210000001</v>
      </c>
      <c r="K24" s="48">
        <f t="shared" si="3"/>
        <v>0.12852470399554264</v>
      </c>
      <c r="L24" s="47">
        <v>16434058.4</v>
      </c>
      <c r="M24" s="48">
        <f t="shared" si="4"/>
        <v>0.10079096272055586</v>
      </c>
      <c r="N24" s="47">
        <v>19476211.379999999</v>
      </c>
      <c r="O24" s="48">
        <v>0.16831379073710273</v>
      </c>
      <c r="P24" s="43">
        <f t="shared" si="0"/>
        <v>-3042152.9799999986</v>
      </c>
    </row>
    <row r="25" spans="2:16" ht="15.75" customHeight="1">
      <c r="C25" s="44" t="s">
        <v>23</v>
      </c>
      <c r="D25" s="250">
        <f>VLOOKUP(1210,Base_Periodo1[[#All],[CONTA]:[VALOR BALANÇO]],10,FALSE)</f>
        <v>103765646.36000006</v>
      </c>
      <c r="E25" s="46">
        <f t="shared" si="1"/>
        <v>0.20380046955488021</v>
      </c>
      <c r="F25" s="249">
        <v>43478264.619999997</v>
      </c>
      <c r="G25" s="46">
        <v>0.15121985085855075</v>
      </c>
      <c r="H25" s="47">
        <v>19065511.84</v>
      </c>
      <c r="I25" s="46">
        <f t="shared" si="2"/>
        <v>7.2206667926200688E-2</v>
      </c>
      <c r="J25" s="47">
        <v>13586452.529999999</v>
      </c>
      <c r="K25" s="48">
        <f t="shared" si="3"/>
        <v>8.3326442995713818E-2</v>
      </c>
      <c r="L25" s="47">
        <v>25762625.600000001</v>
      </c>
      <c r="M25" s="48">
        <f t="shared" si="4"/>
        <v>0.15800356632742879</v>
      </c>
      <c r="N25" s="47">
        <v>9964827.4100000001</v>
      </c>
      <c r="O25" s="48">
        <v>8.6116228803123904E-2</v>
      </c>
      <c r="P25" s="43">
        <f t="shared" si="0"/>
        <v>15797798.190000001</v>
      </c>
    </row>
    <row r="26" spans="2:16" ht="16.5" customHeight="1">
      <c r="C26" s="44" t="s">
        <v>166</v>
      </c>
      <c r="D26" s="250">
        <f>VLOOKUP(1300,Base_Periodo1[[#All],[CONTA]:[VALOR BALANÇO]],10,FALSE)</f>
        <v>504305.16999996518</v>
      </c>
      <c r="E26" s="46">
        <f t="shared" si="1"/>
        <v>9.9047839097319667E-4</v>
      </c>
      <c r="F26" s="249">
        <v>757013.23</v>
      </c>
      <c r="G26" s="46">
        <v>2.632934610869705E-3</v>
      </c>
      <c r="H26" s="47">
        <v>586583.9</v>
      </c>
      <c r="I26" s="46">
        <f t="shared" si="2"/>
        <v>2.2215647412776574E-3</v>
      </c>
      <c r="J26" s="47">
        <v>1158686.83</v>
      </c>
      <c r="K26" s="48">
        <f t="shared" si="3"/>
        <v>7.1062885530045975E-3</v>
      </c>
      <c r="L26" s="47">
        <v>37256.51</v>
      </c>
      <c r="M26" s="48">
        <f t="shared" si="4"/>
        <v>2.28496176605288E-4</v>
      </c>
      <c r="N26" s="47">
        <v>168339.03</v>
      </c>
      <c r="O26" s="48">
        <v>1.4547891124966246E-3</v>
      </c>
      <c r="P26" s="43">
        <f t="shared" si="0"/>
        <v>-131082.51999999999</v>
      </c>
    </row>
    <row r="27" spans="2:16" ht="16.5" customHeight="1">
      <c r="C27" s="44" t="s">
        <v>4571</v>
      </c>
      <c r="D27" s="250">
        <f>VLOOKUP(1299,Base_Periodo1[[#All],[CONTA]:[VALOR BALANÇO]],10,FALSE)</f>
        <v>1922339.9399785176</v>
      </c>
      <c r="E27" s="46">
        <f t="shared" si="1"/>
        <v>3.7755634562571805E-3</v>
      </c>
      <c r="F27" s="249"/>
      <c r="H27" s="47"/>
      <c r="I27" s="46"/>
      <c r="J27" s="47"/>
      <c r="K27" s="48"/>
      <c r="L27" s="47"/>
      <c r="M27" s="48"/>
      <c r="N27" s="47"/>
      <c r="O27" s="48"/>
      <c r="P27" s="43"/>
    </row>
    <row r="28" spans="2:16" ht="16.5" customHeight="1">
      <c r="B28" s="38" t="s">
        <v>167</v>
      </c>
      <c r="C28" s="39"/>
      <c r="D28" s="251">
        <f>VLOOKUP(1356,Base_Periodo1[[#All],[CONTA]:[VALOR BALANÇO]],10,FALSE)</f>
        <v>2674909.2600000128</v>
      </c>
      <c r="E28" s="32">
        <f t="shared" si="1"/>
        <v>5.2536439787922457E-3</v>
      </c>
      <c r="F28" s="248">
        <v>2046563.87</v>
      </c>
      <c r="G28" s="32">
        <v>7.1180642994554382E-3</v>
      </c>
      <c r="H28" s="41">
        <v>951439.16</v>
      </c>
      <c r="I28" s="32">
        <f>H28/$H$44</f>
        <v>3.6033782913694559E-3</v>
      </c>
      <c r="J28" s="41">
        <v>116466.22</v>
      </c>
      <c r="K28" s="42">
        <f>J28/$L$44</f>
        <v>7.1429358181081173E-4</v>
      </c>
      <c r="L28" s="41">
        <v>135779.87</v>
      </c>
      <c r="M28" s="42">
        <f>L28/$L$44</f>
        <v>8.3274523445601967E-4</v>
      </c>
      <c r="N28" s="41">
        <v>67703.070000000007</v>
      </c>
      <c r="O28" s="42">
        <v>5.8509122405301294E-4</v>
      </c>
      <c r="P28" s="49">
        <f t="shared" si="0"/>
        <v>68076.799999999988</v>
      </c>
    </row>
    <row r="29" spans="2:16" ht="16.5" customHeight="1">
      <c r="B29" s="38"/>
      <c r="C29" s="39"/>
      <c r="D29" s="251"/>
      <c r="F29" s="249"/>
      <c r="H29" s="41"/>
      <c r="I29" s="46"/>
      <c r="J29" s="41"/>
      <c r="K29" s="42"/>
      <c r="L29" s="41"/>
      <c r="M29" s="42"/>
      <c r="N29" s="41"/>
      <c r="O29" s="42"/>
      <c r="P29" s="43">
        <f t="shared" si="0"/>
        <v>0</v>
      </c>
    </row>
    <row r="30" spans="2:16" ht="16.5" customHeight="1">
      <c r="B30" s="332" t="s">
        <v>168</v>
      </c>
      <c r="C30" s="332"/>
      <c r="D30" s="253">
        <f>D31+D32+D34+D35+D37+D41+D33+D36+D40+D38+D39</f>
        <v>110812511.42</v>
      </c>
      <c r="E30" s="32">
        <f t="shared" ref="E30:E35" si="5">D30/$D$44</f>
        <v>0.21764083443956792</v>
      </c>
      <c r="F30" s="248">
        <v>102664324.26000001</v>
      </c>
      <c r="G30" s="32">
        <v>0.35707229667003887</v>
      </c>
      <c r="H30" s="41">
        <f>H31+H32+H34+H35+H37+H41+H33+H36+H40+H38+H39</f>
        <v>100968707.36999999</v>
      </c>
      <c r="I30" s="32">
        <f t="shared" ref="I30:I41" si="6">H30/$H$44</f>
        <v>0.3823980171729458</v>
      </c>
      <c r="J30" s="41">
        <f>J31+J32+J34+J35+J37+J41+J33+J36+J40</f>
        <v>44393183.229999997</v>
      </c>
      <c r="K30" s="42">
        <f t="shared" ref="K30:K37" si="7">J30/$L$44</f>
        <v>0.27226577678352021</v>
      </c>
      <c r="L30" s="41">
        <f>L31+L32+L34+L35+L37+L41+L33+L36+L40</f>
        <v>34739026.439999998</v>
      </c>
      <c r="M30" s="42">
        <f t="shared" ref="M30:M37" si="8">L30/$L$44</f>
        <v>0.21305631473613626</v>
      </c>
      <c r="N30" s="41">
        <f>N31+N32+N34+N35+N37+N41+N33+N36+N40</f>
        <v>23239644.640000001</v>
      </c>
      <c r="O30" s="42">
        <v>0.20083745285072951</v>
      </c>
      <c r="P30" s="43">
        <f t="shared" si="0"/>
        <v>11499381.799999997</v>
      </c>
    </row>
    <row r="31" spans="2:16" ht="15">
      <c r="B31" s="38"/>
      <c r="C31" s="44" t="s">
        <v>169</v>
      </c>
      <c r="D31" s="250">
        <f>VLOOKUP(1371,Base_Periodo1[[#All],[CONTA]:[VALOR BALANÇO]],10,FALSE)</f>
        <v>3457345.9400000088</v>
      </c>
      <c r="E31" s="46">
        <f t="shared" si="5"/>
        <v>6.7903853606917398E-3</v>
      </c>
      <c r="F31" s="249">
        <v>11235531.890000001</v>
      </c>
      <c r="G31" s="46">
        <v>3.9077812133760617E-2</v>
      </c>
      <c r="H31" s="47">
        <v>15630618.23</v>
      </c>
      <c r="I31" s="46">
        <f t="shared" si="6"/>
        <v>5.9197721492423826E-2</v>
      </c>
      <c r="J31" s="47">
        <v>6998782</v>
      </c>
      <c r="K31" s="48">
        <f t="shared" si="7"/>
        <v>4.2923905859510475E-2</v>
      </c>
      <c r="L31" s="47">
        <v>6998782</v>
      </c>
      <c r="M31" s="48">
        <f t="shared" si="8"/>
        <v>4.2923905859510475E-2</v>
      </c>
      <c r="N31" s="47"/>
      <c r="O31" s="48"/>
      <c r="P31" s="43">
        <f t="shared" si="0"/>
        <v>6998782</v>
      </c>
    </row>
    <row r="32" spans="2:16" ht="15">
      <c r="B32" s="38"/>
      <c r="C32" s="44" t="s">
        <v>170</v>
      </c>
      <c r="D32" s="250">
        <f>VLOOKUP(1373,Base_Periodo1[[#All],[CONTA]:[VALOR BALANÇO]],10,FALSE)</f>
        <v>88506.120000000112</v>
      </c>
      <c r="E32" s="46">
        <f t="shared" si="5"/>
        <v>1.7383006271557124E-4</v>
      </c>
      <c r="F32" s="249">
        <v>199000</v>
      </c>
      <c r="G32" s="46">
        <v>6.9213319767617713E-4</v>
      </c>
      <c r="H32" s="47">
        <v>218000</v>
      </c>
      <c r="I32" s="46">
        <f t="shared" si="6"/>
        <v>8.2562974128428919E-4</v>
      </c>
      <c r="J32" s="47">
        <v>122880</v>
      </c>
      <c r="K32" s="48">
        <f t="shared" si="7"/>
        <v>7.5362963898813358E-4</v>
      </c>
      <c r="L32" s="47">
        <v>484880</v>
      </c>
      <c r="M32" s="48">
        <f t="shared" si="8"/>
        <v>2.9737950793665867E-3</v>
      </c>
      <c r="N32" s="47"/>
      <c r="O32" s="48"/>
      <c r="P32" s="43">
        <f t="shared" si="0"/>
        <v>484880</v>
      </c>
    </row>
    <row r="33" spans="1:19" ht="15">
      <c r="B33" s="38"/>
      <c r="C33" s="44" t="s">
        <v>171</v>
      </c>
      <c r="D33" s="250">
        <v>0</v>
      </c>
      <c r="E33" s="46">
        <f t="shared" si="5"/>
        <v>0</v>
      </c>
      <c r="F33" s="249">
        <v>-3028000</v>
      </c>
      <c r="G33" s="46">
        <v>-1.0531554384741027E-2</v>
      </c>
      <c r="H33" s="47">
        <v>-3028000</v>
      </c>
      <c r="I33" s="46">
        <f t="shared" si="6"/>
        <v>-1.1467921360590952E-2</v>
      </c>
      <c r="J33" s="47">
        <v>-3028000</v>
      </c>
      <c r="K33" s="48">
        <f t="shared" si="7"/>
        <v>-1.857088661178441E-2</v>
      </c>
      <c r="L33" s="47">
        <v>-3028000</v>
      </c>
      <c r="M33" s="48">
        <f t="shared" si="8"/>
        <v>-1.857088661178441E-2</v>
      </c>
      <c r="N33" s="47"/>
      <c r="O33" s="48"/>
      <c r="P33" s="43">
        <f t="shared" si="0"/>
        <v>-3028000</v>
      </c>
    </row>
    <row r="34" spans="1:19">
      <c r="C34" s="44" t="s">
        <v>31</v>
      </c>
      <c r="D34" s="250">
        <f>VLOOKUP(23745,Base_Periodo1[[#All],[CONTA]:[VALOR BALANÇO]],10,FALSE)</f>
        <v>1426248.58</v>
      </c>
      <c r="E34" s="46">
        <f t="shared" si="5"/>
        <v>2.8012173633800031E-3</v>
      </c>
      <c r="F34" s="249">
        <v>593453.18000000005</v>
      </c>
      <c r="G34" s="46">
        <v>2.0640635534899293E-3</v>
      </c>
      <c r="H34" s="47">
        <v>656425.56000000006</v>
      </c>
      <c r="I34" s="46">
        <f t="shared" si="6"/>
        <v>2.4860755287852967E-3</v>
      </c>
      <c r="J34" s="47">
        <v>443202.76</v>
      </c>
      <c r="K34" s="48">
        <f t="shared" si="7"/>
        <v>2.7181863282661491E-3</v>
      </c>
      <c r="L34" s="47">
        <v>26356.14</v>
      </c>
      <c r="M34" s="48">
        <f t="shared" si="8"/>
        <v>1.6164362201595626E-4</v>
      </c>
      <c r="N34" s="47">
        <v>26156.14</v>
      </c>
      <c r="O34" s="48">
        <v>2.2604186145623782E-4</v>
      </c>
      <c r="P34" s="43">
        <f t="shared" si="0"/>
        <v>200</v>
      </c>
    </row>
    <row r="35" spans="1:19">
      <c r="C35" s="44" t="s">
        <v>88</v>
      </c>
      <c r="D35" s="250">
        <f>VLOOKUP(1396,Base_Periodo1[[#All],[CONTA]:[VALOR BALANÇO]],10,FALSE)</f>
        <v>117288877.19999999</v>
      </c>
      <c r="E35" s="46">
        <f t="shared" si="5"/>
        <v>0.23036071267743866</v>
      </c>
      <c r="F35" s="249">
        <v>91489998.959999993</v>
      </c>
      <c r="G35" s="46">
        <v>0.31820736450037646</v>
      </c>
      <c r="H35" s="47">
        <v>64419210.850000001</v>
      </c>
      <c r="I35" s="46">
        <f t="shared" si="6"/>
        <v>0.24397438710010813</v>
      </c>
      <c r="J35" s="47">
        <v>41536770.549999997</v>
      </c>
      <c r="K35" s="48">
        <f t="shared" si="7"/>
        <v>0.25474724441999863</v>
      </c>
      <c r="L35" s="47">
        <v>33502244.010000002</v>
      </c>
      <c r="M35" s="48">
        <f t="shared" si="8"/>
        <v>0.20547106167438689</v>
      </c>
      <c r="N35" s="47">
        <v>24275460.149999999</v>
      </c>
      <c r="O35" s="48">
        <v>0.16133023127570337</v>
      </c>
      <c r="P35" s="43">
        <f t="shared" si="0"/>
        <v>9226783.8600000031</v>
      </c>
    </row>
    <row r="36" spans="1:19">
      <c r="C36" s="44" t="s">
        <v>172</v>
      </c>
      <c r="D36" s="252">
        <f>-VLOOKUP(1408,Base_Periodo1[[#All],[CONTA]:[VALOR BALANÇO]],10,FALSE)</f>
        <v>-36316915.489999942</v>
      </c>
      <c r="E36" s="46">
        <f>D36/$D$44</f>
        <v>-7.1328081010248595E-2</v>
      </c>
      <c r="F36" s="249">
        <v>-22600218.059999999</v>
      </c>
      <c r="G36" s="46">
        <v>-7.8604830120837632E-2</v>
      </c>
      <c r="H36" s="47">
        <v>-16753334.93</v>
      </c>
      <c r="I36" s="46">
        <f t="shared" si="6"/>
        <v>-6.3449777907820845E-2</v>
      </c>
      <c r="J36" s="47">
        <v>-10313488.220000001</v>
      </c>
      <c r="K36" s="48">
        <f t="shared" si="7"/>
        <v>-6.3253177115453849E-2</v>
      </c>
      <c r="L36" s="47">
        <v>-7800870.2599999998</v>
      </c>
      <c r="M36" s="48">
        <f t="shared" si="8"/>
        <v>-4.7843156232398008E-2</v>
      </c>
      <c r="N36" s="47">
        <v>-5650233.5700000003</v>
      </c>
      <c r="O36" s="48">
        <f>N36/$L$44</f>
        <v>-3.4653185917624785E-2</v>
      </c>
      <c r="P36" s="43">
        <f t="shared" si="0"/>
        <v>-2150636.6899999995</v>
      </c>
    </row>
    <row r="37" spans="1:19">
      <c r="C37" s="44" t="s">
        <v>173</v>
      </c>
      <c r="D37" s="250">
        <f>VLOOKUP(19998,Base_Periodo1[[#All],[CONTA]:[VALOR BALANÇO]],10,FALSE)</f>
        <v>7325139.0999999493</v>
      </c>
      <c r="E37" s="46">
        <f>D37/$D$44</f>
        <v>1.4386907811044848E-2</v>
      </c>
      <c r="F37" s="249">
        <v>4660567.1500000004</v>
      </c>
      <c r="G37" s="46">
        <v>1.6209714796553004E-2</v>
      </c>
      <c r="H37" s="47">
        <v>18644107.100000001</v>
      </c>
      <c r="I37" s="46">
        <f t="shared" si="6"/>
        <v>7.0610684960777881E-2</v>
      </c>
      <c r="J37" s="47">
        <v>8538517.5700000003</v>
      </c>
      <c r="K37" s="48">
        <f t="shared" si="7"/>
        <v>5.2367186798282353E-2</v>
      </c>
      <c r="L37" s="47">
        <v>4445718.78</v>
      </c>
      <c r="M37" s="48">
        <f t="shared" si="8"/>
        <v>2.7265832024854865E-2</v>
      </c>
      <c r="N37" s="47">
        <v>4467347.55</v>
      </c>
      <c r="O37" s="48">
        <v>3.8606902852407254E-2</v>
      </c>
      <c r="P37" s="43">
        <f t="shared" si="0"/>
        <v>-21628.769999999553</v>
      </c>
    </row>
    <row r="38" spans="1:19">
      <c r="C38" s="44" t="s">
        <v>77</v>
      </c>
      <c r="D38" s="250">
        <f>VLOOKUP(31850,Base_Periodo1[[#All],[CONTA]:[VALOR BALANÇO]],10,FALSE)</f>
        <v>20057792.82</v>
      </c>
      <c r="E38" s="46">
        <f t="shared" ref="E38:E41" si="9">D38/$D$44</f>
        <v>3.9394421355681733E-2</v>
      </c>
      <c r="F38" s="249">
        <v>21240735.739999998</v>
      </c>
      <c r="G38" s="46">
        <v>7.3876474114175181E-2</v>
      </c>
      <c r="H38" s="47">
        <v>21390735.739999998</v>
      </c>
      <c r="I38" s="46">
        <f t="shared" si="6"/>
        <v>8.1012970710535759E-2</v>
      </c>
      <c r="J38" s="47"/>
      <c r="K38" s="48"/>
      <c r="L38" s="47"/>
      <c r="M38" s="48"/>
      <c r="N38" s="47"/>
      <c r="O38" s="48"/>
      <c r="P38" s="43"/>
    </row>
    <row r="39" spans="1:19">
      <c r="C39" s="44" t="s">
        <v>174</v>
      </c>
      <c r="D39" s="250">
        <f>-VLOOKUP(31851,Base_Periodo1[[#All],[CONTA]:[VALOR BALANÇO]],10,FALSE)</f>
        <v>-2599257.7500000112</v>
      </c>
      <c r="E39" s="46">
        <f t="shared" si="9"/>
        <v>-5.1050609573262953E-3</v>
      </c>
      <c r="F39" s="249">
        <v>-1196716.67</v>
      </c>
      <c r="G39" s="46">
        <v>-4.1622479171833484E-3</v>
      </c>
      <c r="H39" s="47">
        <v>-294425.65000000002</v>
      </c>
      <c r="I39" s="46">
        <f t="shared" si="6"/>
        <v>-1.1150760240227463E-3</v>
      </c>
      <c r="J39" s="47"/>
      <c r="K39" s="48"/>
      <c r="L39" s="47"/>
      <c r="M39" s="48"/>
      <c r="N39" s="47"/>
      <c r="O39" s="48"/>
      <c r="P39" s="43"/>
    </row>
    <row r="40" spans="1:19">
      <c r="C40" s="44" t="s">
        <v>175</v>
      </c>
      <c r="D40" s="250">
        <f>VLOOKUP(1416,Base_Periodo1[[#All],[CONTA]:[VALOR BALANÇO]],10,FALSE)</f>
        <v>84774.9</v>
      </c>
      <c r="E40" s="46">
        <f t="shared" si="9"/>
        <v>1.6650177619023703E-4</v>
      </c>
      <c r="F40" s="249">
        <v>53539.9</v>
      </c>
      <c r="G40" s="46">
        <v>1.8621478487569225E-4</v>
      </c>
      <c r="H40" s="47">
        <v>53539.9</v>
      </c>
      <c r="I40" s="46">
        <f t="shared" si="6"/>
        <v>2.0277125589626932E-4</v>
      </c>
      <c r="J40" s="47">
        <v>47289.9</v>
      </c>
      <c r="K40" s="48">
        <f>J40/$L$44</f>
        <v>2.9003149629545032E-4</v>
      </c>
      <c r="L40" s="47">
        <v>47289.9</v>
      </c>
      <c r="M40" s="48">
        <f>L40/$L$44</f>
        <v>2.9003149629545032E-4</v>
      </c>
      <c r="N40" s="47">
        <v>42891.3</v>
      </c>
      <c r="O40" s="48">
        <f>N40/$L$44</f>
        <v>2.6305464627874133E-4</v>
      </c>
      <c r="P40" s="43">
        <f t="shared" si="0"/>
        <v>4398.5999999999985</v>
      </c>
    </row>
    <row r="41" spans="1:19" ht="16.5" customHeight="1">
      <c r="B41" s="38"/>
      <c r="C41" s="44" t="s">
        <v>89</v>
      </c>
      <c r="D41" s="250">
        <f>IF(ISERR(VLOOKUP(20000,Base_Periodo1[[#All],[CONTA]:[VALOR BALANÇO]],10,FALSE)),VLOOKUP(20000,Base_Periodo1[[#All],[CONTA]:[VALOR BALANÇO]],10,FALSE),0)</f>
        <v>0</v>
      </c>
      <c r="E41" s="46">
        <f t="shared" si="9"/>
        <v>0</v>
      </c>
      <c r="F41" s="249">
        <v>16432.169999999998</v>
      </c>
      <c r="G41" s="46">
        <v>5.715201189376154E-5</v>
      </c>
      <c r="H41" s="47">
        <v>31830.57</v>
      </c>
      <c r="I41" s="46">
        <f t="shared" si="6"/>
        <v>1.2055167556895163E-4</v>
      </c>
      <c r="J41" s="47">
        <v>47228.67</v>
      </c>
      <c r="K41" s="48">
        <f>J41/$L$44</f>
        <v>2.8965596941723381E-4</v>
      </c>
      <c r="L41" s="47">
        <v>62625.87</v>
      </c>
      <c r="M41" s="48">
        <f>L41/$L$44</f>
        <v>3.8408782388849109E-4</v>
      </c>
      <c r="N41" s="47">
        <v>78023.070000000007</v>
      </c>
      <c r="O41" s="48">
        <v>6.7427686116263135E-4</v>
      </c>
      <c r="P41" s="43">
        <f t="shared" si="0"/>
        <v>-15397.200000000004</v>
      </c>
    </row>
    <row r="42" spans="1:19" ht="16.5" customHeight="1">
      <c r="C42" s="39"/>
      <c r="D42" s="41"/>
      <c r="F42" s="249"/>
      <c r="H42" s="41"/>
      <c r="I42" s="46"/>
      <c r="J42" s="41"/>
      <c r="K42" s="42"/>
      <c r="L42" s="41"/>
      <c r="M42" s="42"/>
      <c r="N42" s="41"/>
      <c r="O42" s="42"/>
      <c r="P42" s="43">
        <f t="shared" si="0"/>
        <v>0</v>
      </c>
    </row>
    <row r="43" spans="1:19" ht="16.5" customHeight="1">
      <c r="C43" s="44"/>
      <c r="D43" s="47"/>
      <c r="F43" s="249"/>
      <c r="H43" s="47"/>
      <c r="I43" s="46"/>
      <c r="J43" s="47"/>
      <c r="K43" s="42"/>
      <c r="L43" s="47"/>
      <c r="M43" s="42"/>
      <c r="N43" s="47"/>
      <c r="O43" s="42"/>
      <c r="P43" s="43">
        <f t="shared" si="0"/>
        <v>0</v>
      </c>
    </row>
    <row r="44" spans="1:19" s="38" customFormat="1" ht="16.5" customHeight="1">
      <c r="B44" s="38" t="s">
        <v>176</v>
      </c>
      <c r="C44" s="39"/>
      <c r="D44" s="41">
        <f>SUM(D11,D30)</f>
        <v>509153127.01012999</v>
      </c>
      <c r="E44" s="32">
        <f>E11+E30</f>
        <v>1</v>
      </c>
      <c r="F44" s="248">
        <v>287516912.45000005</v>
      </c>
      <c r="G44" s="32">
        <v>1</v>
      </c>
      <c r="H44" s="41">
        <f>SUM(H11,H30)</f>
        <v>264040875.82999998</v>
      </c>
      <c r="I44" s="32">
        <v>1</v>
      </c>
      <c r="J44" s="41">
        <f>SUM(J11,J30)</f>
        <v>168329045.97999999</v>
      </c>
      <c r="K44" s="42">
        <v>1</v>
      </c>
      <c r="L44" s="41">
        <f>SUM(L11,L30)</f>
        <v>163050912.06999999</v>
      </c>
      <c r="M44" s="42">
        <v>1</v>
      </c>
      <c r="N44" s="41">
        <f>SUM(N11,N30)</f>
        <v>115713699.36299999</v>
      </c>
      <c r="O44" s="42">
        <v>1</v>
      </c>
      <c r="P44" s="43">
        <f t="shared" si="0"/>
        <v>47337212.707000002</v>
      </c>
      <c r="R44" s="254">
        <f>VLOOKUP(1,Base_Periodo1[[#All],[CONTA]:[VALOR BALANÇO]],10,FALSE)-VLOOKUP(1430,Base_Periodo1[[#All],[CONTA]:[VALOR BALANÇO]],10,FALSE)</f>
        <v>509153127.01012868</v>
      </c>
      <c r="S44" s="275">
        <f>D44-R44</f>
        <v>1.3113021850585938E-6</v>
      </c>
    </row>
    <row r="45" spans="1:19" s="38" customFormat="1" ht="16.5" customHeight="1">
      <c r="C45" s="39"/>
      <c r="D45" s="248"/>
      <c r="E45" s="32"/>
      <c r="F45" s="32"/>
      <c r="G45" s="32"/>
    </row>
    <row r="46" spans="1:19" ht="15">
      <c r="A46" s="333" t="s">
        <v>177</v>
      </c>
      <c r="B46" s="333"/>
      <c r="C46" s="333"/>
      <c r="D46" s="333"/>
      <c r="E46" s="333"/>
      <c r="F46" s="333"/>
      <c r="G46" s="333"/>
      <c r="H46" s="333"/>
      <c r="I46" s="333"/>
      <c r="J46" s="333"/>
      <c r="K46" s="333"/>
    </row>
    <row r="47" spans="1:19" ht="15">
      <c r="C47" s="38"/>
      <c r="D47" s="32"/>
      <c r="E47" s="32"/>
      <c r="F47" s="32"/>
      <c r="G47" s="32"/>
    </row>
    <row r="48" spans="1:19">
      <c r="D48" s="261"/>
    </row>
    <row r="49" spans="1:7">
      <c r="A49" s="331"/>
      <c r="B49" s="331"/>
      <c r="C49" s="331"/>
      <c r="D49" s="51"/>
      <c r="E49" s="51"/>
      <c r="F49" s="232"/>
      <c r="G49" s="232"/>
    </row>
    <row r="50" spans="1:7">
      <c r="A50" s="331"/>
      <c r="B50" s="331"/>
      <c r="C50" s="331"/>
      <c r="D50" s="51"/>
      <c r="E50" s="51"/>
      <c r="F50" s="232"/>
      <c r="G50" s="232"/>
    </row>
    <row r="51" spans="1:7">
      <c r="A51" s="331"/>
      <c r="B51" s="331"/>
      <c r="C51" s="331"/>
      <c r="D51" s="51"/>
      <c r="E51" s="51"/>
      <c r="F51" s="232"/>
      <c r="G51" s="232"/>
    </row>
    <row r="52" spans="1:7">
      <c r="A52" s="334"/>
      <c r="B52" s="334"/>
      <c r="C52" s="334"/>
      <c r="D52" s="52"/>
      <c r="E52" s="52"/>
      <c r="F52" s="233"/>
      <c r="G52" s="233"/>
    </row>
    <row r="53" spans="1:7">
      <c r="A53" s="334"/>
      <c r="B53" s="334"/>
      <c r="C53" s="334"/>
      <c r="D53" s="52"/>
      <c r="E53" s="52"/>
      <c r="F53" s="233"/>
      <c r="G53" s="233"/>
    </row>
    <row r="54" spans="1:7">
      <c r="A54" s="334"/>
      <c r="B54" s="334"/>
      <c r="C54" s="334"/>
      <c r="D54" s="52"/>
      <c r="E54" s="52"/>
      <c r="F54" s="233"/>
      <c r="G54" s="233"/>
    </row>
    <row r="55" spans="1:7">
      <c r="A55" s="335"/>
      <c r="B55" s="335"/>
      <c r="C55" s="335"/>
      <c r="D55" s="53"/>
      <c r="E55" s="53"/>
      <c r="F55" s="234"/>
      <c r="G55" s="234"/>
    </row>
    <row r="56" spans="1:7">
      <c r="A56" s="331"/>
      <c r="B56" s="331"/>
      <c r="C56" s="331"/>
      <c r="D56" s="51"/>
      <c r="E56" s="51"/>
      <c r="F56" s="232"/>
      <c r="G56" s="232"/>
    </row>
    <row r="57" spans="1:7">
      <c r="A57" s="331"/>
      <c r="B57" s="331"/>
      <c r="C57" s="331"/>
      <c r="D57" s="51"/>
      <c r="E57" s="51"/>
      <c r="F57" s="232"/>
      <c r="G57" s="232"/>
    </row>
  </sheetData>
  <mergeCells count="16">
    <mergeCell ref="A7:K7"/>
    <mergeCell ref="A2:K2"/>
    <mergeCell ref="A3:K3"/>
    <mergeCell ref="C5:K5"/>
    <mergeCell ref="A6:K6"/>
    <mergeCell ref="A57:C57"/>
    <mergeCell ref="B30:C30"/>
    <mergeCell ref="A46:K46"/>
    <mergeCell ref="A49:C49"/>
    <mergeCell ref="A50:C50"/>
    <mergeCell ref="A51:C51"/>
    <mergeCell ref="A52:C52"/>
    <mergeCell ref="A53:C53"/>
    <mergeCell ref="A54:C54"/>
    <mergeCell ref="A55:C55"/>
    <mergeCell ref="A56:C56"/>
  </mergeCells>
  <printOptions horizontalCentered="1"/>
  <pageMargins left="0.31496062992125984" right="0.15748031496062992" top="0.62992125984251968" bottom="0.59055118110236227" header="0.19685039370078741" footer="0.31496062992125984"/>
  <pageSetup paperSize="9" scale="84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Plan3"/>
  <dimension ref="A1:L43"/>
  <sheetViews>
    <sheetView showGridLines="0" showWhiteSpace="0" view="pageBreakPreview" zoomScaleSheetLayoutView="100" workbookViewId="0">
      <selection activeCell="D9" sqref="D9"/>
    </sheetView>
  </sheetViews>
  <sheetFormatPr defaultRowHeight="14.25"/>
  <cols>
    <col min="1" max="1" width="8.140625" style="28" customWidth="1"/>
    <col min="2" max="2" width="2.28515625" style="28" customWidth="1"/>
    <col min="3" max="3" width="63.140625" style="28" customWidth="1"/>
    <col min="4" max="4" width="16.85546875" style="51" customWidth="1"/>
    <col min="5" max="5" width="9.140625" style="51" customWidth="1"/>
    <col min="6" max="7" width="9.140625" style="28" customWidth="1"/>
    <col min="8" max="8" width="16.85546875" style="28" bestFit="1" customWidth="1"/>
    <col min="9" max="9" width="15.7109375" style="28" bestFit="1" customWidth="1"/>
    <col min="10" max="10" width="14.5703125" style="28" bestFit="1" customWidth="1"/>
    <col min="11" max="11" width="16.42578125" style="28" bestFit="1" customWidth="1"/>
    <col min="12" max="12" width="10.42578125" style="28" bestFit="1" customWidth="1"/>
    <col min="13" max="16384" width="9.140625" style="28"/>
  </cols>
  <sheetData>
    <row r="1" spans="1:12" s="54" customFormat="1">
      <c r="A1" s="28"/>
      <c r="B1" s="28"/>
      <c r="C1" s="28"/>
      <c r="D1" s="46"/>
      <c r="E1" s="46"/>
    </row>
    <row r="2" spans="1:12" ht="21">
      <c r="A2" s="336" t="s">
        <v>150</v>
      </c>
      <c r="B2" s="336"/>
      <c r="C2" s="336"/>
      <c r="D2" s="336"/>
      <c r="E2" s="336"/>
    </row>
    <row r="3" spans="1:12">
      <c r="A3" s="337" t="s">
        <v>141</v>
      </c>
      <c r="B3" s="337"/>
      <c r="C3" s="337"/>
      <c r="D3" s="337"/>
      <c r="E3" s="337"/>
    </row>
    <row r="4" spans="1:12" ht="15">
      <c r="A4" s="29"/>
      <c r="B4" s="29"/>
      <c r="C4" s="29"/>
      <c r="D4" s="29"/>
      <c r="E4" s="29"/>
    </row>
    <row r="5" spans="1:12" ht="15">
      <c r="A5" s="30"/>
      <c r="B5" s="30"/>
      <c r="C5" s="338"/>
      <c r="D5" s="338"/>
      <c r="E5" s="338"/>
    </row>
    <row r="6" spans="1:12" ht="15" customHeight="1">
      <c r="A6" s="333" t="str">
        <f>Ativo!A6</f>
        <v>DEMONSTRAÇÕES CONTÁBEIS LEVANTADAS EM 31/05/2017</v>
      </c>
      <c r="B6" s="333"/>
      <c r="C6" s="333"/>
      <c r="D6" s="333"/>
      <c r="E6" s="333"/>
    </row>
    <row r="7" spans="1:12" ht="15" customHeight="1">
      <c r="A7" s="333" t="s">
        <v>151</v>
      </c>
      <c r="B7" s="333"/>
      <c r="C7" s="333"/>
      <c r="D7" s="333"/>
      <c r="E7" s="333"/>
    </row>
    <row r="8" spans="1:12" ht="15">
      <c r="B8" s="333"/>
      <c r="C8" s="333"/>
      <c r="D8" s="29"/>
      <c r="E8" s="29"/>
    </row>
    <row r="9" spans="1:12" s="33" customFormat="1" ht="16.5" customHeight="1">
      <c r="B9" s="34" t="s">
        <v>178</v>
      </c>
      <c r="C9" s="35"/>
      <c r="D9" s="36">
        <f>Ativo!D9</f>
        <v>42886</v>
      </c>
      <c r="E9" s="35" t="s">
        <v>153</v>
      </c>
    </row>
    <row r="10" spans="1:12" s="33" customFormat="1" ht="16.5" customHeight="1">
      <c r="B10" s="34"/>
      <c r="C10" s="35"/>
      <c r="D10" s="37"/>
      <c r="E10" s="35"/>
    </row>
    <row r="11" spans="1:12" ht="16.5" customHeight="1">
      <c r="B11" s="38" t="s">
        <v>154</v>
      </c>
      <c r="C11" s="39"/>
      <c r="D11" s="40">
        <f>SUM(D12:D18)</f>
        <v>366598203.76009834</v>
      </c>
      <c r="E11" s="55">
        <f t="shared" ref="E11:E18" si="0">D11/$D$40</f>
        <v>0.720015618705662</v>
      </c>
    </row>
    <row r="12" spans="1:12" ht="16.5" customHeight="1">
      <c r="C12" s="28" t="s">
        <v>179</v>
      </c>
      <c r="D12" s="47">
        <f>VLOOKUP(1511,Base_Periodo1[[#All],[CONTA]:[VALOR BALANÇO]],10,FALSE)</f>
        <v>159000949.15000132</v>
      </c>
      <c r="E12" s="56">
        <f t="shared" si="0"/>
        <v>0.31228512743053</v>
      </c>
    </row>
    <row r="13" spans="1:12" ht="16.5" customHeight="1">
      <c r="C13" s="28" t="s">
        <v>180</v>
      </c>
      <c r="D13" s="47">
        <f>VLOOKUP(1521,Base_Periodo1[[#All],[CONTA]:[VALOR BALANÇO]],10,FALSE)</f>
        <v>48976770.550100334</v>
      </c>
      <c r="E13" s="56">
        <f t="shared" si="0"/>
        <v>9.6192614661343254E-2</v>
      </c>
    </row>
    <row r="14" spans="1:12" ht="16.5" customHeight="1">
      <c r="C14" s="44" t="s">
        <v>96</v>
      </c>
      <c r="D14" s="47">
        <f>VLOOKUP(1557,Base_Periodo1[[#All],[CONTA]:[VALOR BALANÇO]],10,FALSE)</f>
        <v>259830.60999955796</v>
      </c>
      <c r="E14" s="56">
        <f t="shared" si="0"/>
        <v>5.1031918732457216E-4</v>
      </c>
      <c r="J14" s="28" t="s">
        <v>4573</v>
      </c>
    </row>
    <row r="15" spans="1:12" ht="16.5" customHeight="1">
      <c r="C15" s="44" t="s">
        <v>97</v>
      </c>
      <c r="D15" s="47">
        <f>VLOOKUP(1571,Base_Periodo1[[#All],[CONTA]:[VALOR BALANÇO]],10,FALSE)</f>
        <v>1183748.0300002696</v>
      </c>
      <c r="E15" s="56">
        <f t="shared" si="0"/>
        <v>2.3249352055472934E-3</v>
      </c>
      <c r="J15" s="255">
        <f>VLOOKUP(1674,Base_Periodo1[[#All],[CONTA]:[VALOR BALANÇO]],10,FALSE)</f>
        <v>1423353.0300001036</v>
      </c>
      <c r="K15" s="255">
        <f>VLOOKUP(1430,Base_Periodo1[[#All],[CONTA]:[VALOR BALANÇO]],10,FALSE)</f>
        <v>1423353.0299999695</v>
      </c>
      <c r="L15" s="276">
        <f>K15-J15</f>
        <v>-1.3411045074462891E-7</v>
      </c>
    </row>
    <row r="16" spans="1:12" ht="16.5" customHeight="1">
      <c r="C16" s="44" t="s">
        <v>181</v>
      </c>
      <c r="D16" s="47">
        <f>VLOOKUP(1578,Base_Periodo1[[#All],[CONTA]:[VALOR BALANÇO]],10,FALSE)+VLOOKUP(1586,Base_Periodo1[[#All],[CONTA]:[VALOR BALANÇO]],10,FALSE)</f>
        <v>2797623.2400000719</v>
      </c>
      <c r="E16" s="56">
        <f t="shared" si="0"/>
        <v>5.4946598411926987E-3</v>
      </c>
      <c r="J16" s="255">
        <f>VLOOKUP(1674,Base_Periodo1[[#All],[CONTA]:[VALOR BALANÇO]],7,FALSE)</f>
        <v>2160829.240000105</v>
      </c>
      <c r="K16" s="255">
        <f>VLOOKUP(1430,Base_Periodo1[[#All],[CONTA]:[VALOR BALANÇO]],7,FALSE)</f>
        <v>2160829.23999997</v>
      </c>
      <c r="L16" s="276">
        <f>K16-J16</f>
        <v>-1.3504177331924438E-7</v>
      </c>
    </row>
    <row r="17" spans="2:8" ht="16.5" customHeight="1">
      <c r="C17" s="44" t="s">
        <v>98</v>
      </c>
      <c r="D17" s="47">
        <f>VLOOKUP(1593,Base_Periodo1[[#All],[CONTA]:[VALOR BALANÇO]],10,FALSE)</f>
        <v>70306111.559998065</v>
      </c>
      <c r="E17" s="56">
        <f t="shared" si="0"/>
        <v>0.13808441474740007</v>
      </c>
    </row>
    <row r="18" spans="2:8" ht="16.5" customHeight="1">
      <c r="C18" s="44" t="s">
        <v>182</v>
      </c>
      <c r="D18" s="47">
        <f>VLOOKUP(1606,Base_Periodo1[[#All],[CONTA]:[VALOR BALANÇO]],10,FALSE)</f>
        <v>84073170.619998723</v>
      </c>
      <c r="E18" s="56">
        <f t="shared" si="0"/>
        <v>0.16512354763232415</v>
      </c>
    </row>
    <row r="19" spans="2:8" ht="13.5" customHeight="1">
      <c r="C19" s="44"/>
      <c r="D19" s="45"/>
      <c r="E19" s="56"/>
    </row>
    <row r="20" spans="2:8" ht="16.5" customHeight="1">
      <c r="B20" s="38" t="s">
        <v>183</v>
      </c>
      <c r="C20" s="39"/>
      <c r="D20" s="40">
        <f>D21</f>
        <v>50306515.259999856</v>
      </c>
      <c r="E20" s="55">
        <f>D20/$D$40</f>
        <v>9.8804294015466421E-2</v>
      </c>
    </row>
    <row r="21" spans="2:8" ht="16.5" customHeight="1">
      <c r="C21" s="44" t="s">
        <v>179</v>
      </c>
      <c r="D21" s="47">
        <f>VLOOKUP(1628,Base_Periodo1[[#All],[CONTA]:[VALOR BALANÇO]],10,FALSE)</f>
        <v>50306515.259999856</v>
      </c>
      <c r="E21" s="56">
        <f>D21/$D$40</f>
        <v>9.8804294015466421E-2</v>
      </c>
    </row>
    <row r="22" spans="2:8" ht="16.5" customHeight="1">
      <c r="C22" s="44"/>
      <c r="D22" s="45"/>
      <c r="E22" s="55"/>
    </row>
    <row r="23" spans="2:8" ht="16.5" customHeight="1">
      <c r="B23" s="38" t="s">
        <v>184</v>
      </c>
      <c r="C23" s="39"/>
      <c r="D23" s="40">
        <f>D25+D29+D37+D34+D38</f>
        <v>92248407.98999995</v>
      </c>
      <c r="E23" s="55">
        <f>D23/$D$40</f>
        <v>0.18118008727887153</v>
      </c>
    </row>
    <row r="24" spans="2:8" ht="16.5" customHeight="1">
      <c r="B24" s="38"/>
      <c r="C24" s="39"/>
      <c r="D24" s="40"/>
      <c r="E24" s="55"/>
      <c r="H24" s="56"/>
    </row>
    <row r="25" spans="2:8" ht="16.5" customHeight="1">
      <c r="B25" s="38" t="s">
        <v>185</v>
      </c>
      <c r="C25" s="39"/>
      <c r="D25" s="40">
        <f>D26+D27</f>
        <v>3233885.0699999933</v>
      </c>
      <c r="E25" s="55">
        <f>D25/$D$40</f>
        <v>6.3514980041276562E-3</v>
      </c>
    </row>
    <row r="26" spans="2:8" ht="16.5" customHeight="1">
      <c r="B26" s="38"/>
      <c r="C26" s="44" t="s">
        <v>186</v>
      </c>
      <c r="D26" s="47">
        <f>VLOOKUP(1649,Base_Periodo1[[#All],[CONTA]:[VALOR BALANÇO]],10,FALSE)</f>
        <v>3238365.0699999933</v>
      </c>
      <c r="E26" s="56">
        <f>D26/$D$40</f>
        <v>6.3602969287779041E-3</v>
      </c>
    </row>
    <row r="27" spans="2:8" ht="16.5" customHeight="1">
      <c r="C27" s="44" t="s">
        <v>187</v>
      </c>
      <c r="D27" s="47">
        <f>-VLOOKUP(1652,Base_Periodo1[[#All],[CONTA]:[VALOR BALANÇO]],10,FALSE)</f>
        <v>-4480.0000000000291</v>
      </c>
      <c r="E27" s="56">
        <f>D27/$D$40</f>
        <v>-8.7989246502480511E-6</v>
      </c>
    </row>
    <row r="28" spans="2:8" ht="16.5" customHeight="1">
      <c r="C28" s="44"/>
      <c r="D28" s="45"/>
      <c r="E28" s="55"/>
    </row>
    <row r="29" spans="2:8" ht="16.5" customHeight="1">
      <c r="B29" s="38" t="s">
        <v>188</v>
      </c>
      <c r="C29" s="39"/>
      <c r="D29" s="40">
        <f>D30+D31+D32</f>
        <v>71560144.019999996</v>
      </c>
      <c r="E29" s="55">
        <f>D29/$D$40</f>
        <v>0.14054739178412376</v>
      </c>
    </row>
    <row r="30" spans="2:8" ht="16.5" customHeight="1">
      <c r="C30" s="44" t="s">
        <v>189</v>
      </c>
      <c r="D30" s="47">
        <f>VLOOKUP(1663,Base_Periodo1[[#All],[CONTA]:[VALOR BALANÇO]],10,FALSE)</f>
        <v>6867879.0399999991</v>
      </c>
      <c r="E30" s="56">
        <f>D30/$D$40</f>
        <v>1.3488828165173553E-2</v>
      </c>
    </row>
    <row r="31" spans="2:8" ht="16.5" customHeight="1">
      <c r="C31" s="44" t="s">
        <v>190</v>
      </c>
      <c r="D31" s="47">
        <f>VLOOKUP(1664,Base_Periodo1[[#All],[CONTA]:[VALOR BALANÇO]],10,FALSE)</f>
        <v>12604112.789999999</v>
      </c>
      <c r="E31" s="56">
        <f>D31/$D$40</f>
        <v>2.4755053286258259E-2</v>
      </c>
    </row>
    <row r="32" spans="2:8" ht="16.5" customHeight="1">
      <c r="C32" s="44" t="s">
        <v>191</v>
      </c>
      <c r="D32" s="47">
        <f>VLOOKUP(1665,Base_Periodo1[[#All],[CONTA]:[VALOR BALANÇO]],10,FALSE)</f>
        <v>52088152.189999998</v>
      </c>
      <c r="E32" s="56">
        <f>D32/$D$40</f>
        <v>0.10230351033269196</v>
      </c>
    </row>
    <row r="33" spans="2:11" ht="16.5" customHeight="1">
      <c r="C33" s="44"/>
      <c r="D33" s="45"/>
      <c r="E33" s="56"/>
    </row>
    <row r="34" spans="2:11" ht="16.5" customHeight="1">
      <c r="B34" s="38" t="s">
        <v>192</v>
      </c>
      <c r="C34" s="44"/>
      <c r="D34" s="40">
        <f>SUM(D35)</f>
        <v>17455514.470000003</v>
      </c>
      <c r="E34" s="55">
        <f>D34/$D$40</f>
        <v>3.4283427801974006E-2</v>
      </c>
    </row>
    <row r="35" spans="2:11" ht="16.5" customHeight="1">
      <c r="C35" s="44" t="s">
        <v>105</v>
      </c>
      <c r="D35" s="47">
        <f>VLOOKUP(31824,Base_Periodo1[[#All],[CONTA]:[VALOR BALANÇO]],10,FALSE)</f>
        <v>17455514.470000003</v>
      </c>
      <c r="E35" s="56">
        <f>D35/$D$40</f>
        <v>3.4283427801974006E-2</v>
      </c>
    </row>
    <row r="36" spans="2:11" ht="15" customHeight="1">
      <c r="B36" s="38"/>
      <c r="C36" s="44"/>
      <c r="D36" s="45"/>
      <c r="E36" s="56"/>
    </row>
    <row r="37" spans="2:11" s="38" customFormat="1" ht="15" customHeight="1">
      <c r="B37" s="38" t="s">
        <v>193</v>
      </c>
      <c r="C37" s="39"/>
      <c r="D37" s="40">
        <f>IF(ISERR(VLOOKUP(1668,Base_Periodo1[[#All],[CONTA]:[VALOR BALANÇO]],10,FALSE)),0,VLOOKUP(1668,Base_Periodo1[[#All],[CONTA]:[VALOR BALANÇO]],10,FALSE))</f>
        <v>2523491.1799999662</v>
      </c>
      <c r="E37" s="55">
        <f>D37/$D$40</f>
        <v>4.9562519527645305E-3</v>
      </c>
    </row>
    <row r="38" spans="2:11" s="38" customFormat="1" ht="15" customHeight="1">
      <c r="B38" s="38" t="s">
        <v>4572</v>
      </c>
      <c r="C38" s="39"/>
      <c r="D38" s="40">
        <f>IF(ISERR(VLOOKUP(1753,Base_Periodo1[[#All],[CONTA]:[VALOR BALANÇO]],11,FALSE)),0,VLOOKUP(1753,Base_Periodo1[[#All],[CONTA]:[VALOR BALANÇO]],11,FALSE))</f>
        <v>-2524626.75</v>
      </c>
      <c r="E38" s="55">
        <f>D38/$D$40</f>
        <v>-4.9584822641184105E-3</v>
      </c>
    </row>
    <row r="39" spans="2:11" ht="16.5" customHeight="1">
      <c r="C39" s="44"/>
      <c r="D39" s="45"/>
      <c r="E39" s="56"/>
    </row>
    <row r="40" spans="2:11" s="38" customFormat="1" ht="16.5" customHeight="1">
      <c r="B40" s="38" t="s">
        <v>194</v>
      </c>
      <c r="C40" s="39"/>
      <c r="D40" s="40">
        <f>SUM(D29,D25,D20,D11+D37+D35+D38)</f>
        <v>509153127.01009816</v>
      </c>
      <c r="E40" s="55">
        <f>+E20+E11+E23</f>
        <v>1</v>
      </c>
      <c r="H40" s="49">
        <f>VLOOKUP(1508,Base_Periodo1[[#All],[CONTA]:[VALOR BALANÇO]],10,FALSE)-VLOOKUP(1674,Base_Periodo1[[#All],[CONTA]:[VALOR BALANÇO]],10,FALSE)+VLOOKUP(1753,Base_Periodo1[[#All],[CONTA]:[VALOR BALANÇO]],10,FALSE)</f>
        <v>514202380.51009572</v>
      </c>
      <c r="I40" s="275">
        <f>D40-H40</f>
        <v>-5049253.4999975562</v>
      </c>
      <c r="K40" s="49">
        <f>Ativo!D44-Passivo!D40</f>
        <v>3.1828880310058594E-5</v>
      </c>
    </row>
    <row r="41" spans="2:11">
      <c r="C41" s="44"/>
      <c r="D41" s="57"/>
      <c r="E41" s="57"/>
    </row>
    <row r="42" spans="2:11" ht="15">
      <c r="B42" s="39" t="s">
        <v>177</v>
      </c>
      <c r="D42" s="58"/>
      <c r="E42" s="58"/>
    </row>
    <row r="43" spans="2:11" ht="15">
      <c r="C43" s="38"/>
      <c r="D43" s="58"/>
      <c r="E43" s="58"/>
    </row>
  </sheetData>
  <mergeCells count="6">
    <mergeCell ref="B8:C8"/>
    <mergeCell ref="A2:E2"/>
    <mergeCell ref="A3:E3"/>
    <mergeCell ref="C5:E5"/>
    <mergeCell ref="A6:E6"/>
    <mergeCell ref="A7:E7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92" pageOrder="overThenDown" orientation="portrait" r:id="rId1"/>
  <headerFooter alignWithMargins="0">
    <oddHeader xml:space="preserve">&amp;C
</oddHeader>
  </headerFooter>
  <colBreaks count="1" manualBreakCount="1">
    <brk id="5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Plan7">
    <pageSetUpPr fitToPage="1"/>
  </sheetPr>
  <dimension ref="A1:AA68"/>
  <sheetViews>
    <sheetView showGridLines="0" view="pageBreakPreview" topLeftCell="A4" zoomScaleSheetLayoutView="100" workbookViewId="0">
      <selection activeCell="C11" sqref="C11"/>
    </sheetView>
  </sheetViews>
  <sheetFormatPr defaultRowHeight="14.25"/>
  <cols>
    <col min="1" max="1" width="1.85546875" style="59" customWidth="1"/>
    <col min="2" max="2" width="67.42578125" style="59" customWidth="1"/>
    <col min="3" max="3" width="28.140625" style="59" customWidth="1"/>
    <col min="4" max="4" width="11.7109375" style="59" customWidth="1"/>
    <col min="5" max="8" width="18.5703125" style="59" hidden="1" customWidth="1"/>
    <col min="9" max="9" width="9.140625" style="59" hidden="1" customWidth="1"/>
    <col min="10" max="10" width="16.85546875" style="59" hidden="1" customWidth="1"/>
    <col min="11" max="11" width="9.140625" style="59" hidden="1" customWidth="1"/>
    <col min="12" max="12" width="16.85546875" style="59" hidden="1" customWidth="1"/>
    <col min="13" max="13" width="9.140625" style="59" hidden="1" customWidth="1"/>
    <col min="14" max="15" width="16.85546875" style="59" hidden="1" customWidth="1"/>
    <col min="16" max="21" width="9.140625" style="59" hidden="1" customWidth="1"/>
    <col min="22" max="22" width="0" style="59" hidden="1" customWidth="1"/>
    <col min="23" max="23" width="13.7109375" style="59" bestFit="1" customWidth="1"/>
    <col min="24" max="25" width="16.85546875" style="59" bestFit="1" customWidth="1"/>
    <col min="26" max="26" width="9.140625" style="59"/>
    <col min="27" max="27" width="15.7109375" style="59" bestFit="1" customWidth="1"/>
    <col min="28" max="16384" width="9.140625" style="59"/>
  </cols>
  <sheetData>
    <row r="1" spans="1:25"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</row>
    <row r="2" spans="1:25" ht="21">
      <c r="B2" s="263" t="s">
        <v>195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</row>
    <row r="3" spans="1:25" ht="15">
      <c r="A3" s="188"/>
      <c r="B3" s="337" t="s">
        <v>141</v>
      </c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28"/>
      <c r="N3" s="28"/>
      <c r="O3" s="28"/>
    </row>
    <row r="4" spans="1:25" ht="15">
      <c r="A4" s="339"/>
      <c r="B4" s="339"/>
      <c r="C4" s="339"/>
      <c r="D4" s="339"/>
      <c r="E4" s="339"/>
      <c r="F4" s="339"/>
      <c r="G4" s="339"/>
      <c r="H4" s="339"/>
      <c r="I4" s="339"/>
      <c r="J4" s="339"/>
      <c r="K4" s="339"/>
      <c r="L4" s="28"/>
      <c r="M4" s="28"/>
      <c r="N4" s="28"/>
      <c r="O4" s="28"/>
    </row>
    <row r="5" spans="1:25" ht="15">
      <c r="A5" s="60"/>
      <c r="B5" s="60"/>
      <c r="C5" s="60"/>
      <c r="D5" s="60"/>
      <c r="E5" s="60"/>
      <c r="F5" s="60"/>
      <c r="G5" s="60"/>
      <c r="H5" s="60"/>
      <c r="I5" s="60"/>
      <c r="J5" s="61"/>
      <c r="K5" s="61"/>
      <c r="L5" s="61"/>
      <c r="M5" s="61"/>
    </row>
    <row r="6" spans="1:25" s="62" customFormat="1" ht="15" customHeight="1">
      <c r="A6" s="340"/>
      <c r="B6" s="340"/>
      <c r="C6" s="340"/>
      <c r="D6" s="340"/>
      <c r="E6" s="340"/>
      <c r="F6" s="340"/>
      <c r="G6" s="340"/>
      <c r="H6" s="340"/>
      <c r="I6" s="340"/>
      <c r="J6" s="340"/>
      <c r="K6" s="340"/>
    </row>
    <row r="7" spans="1:25" s="62" customFormat="1" ht="15">
      <c r="A7" s="339" t="str">
        <f>Passivo!A6</f>
        <v>DEMONSTRAÇÕES CONTÁBEIS LEVANTADAS EM 31/05/2017</v>
      </c>
      <c r="B7" s="339"/>
      <c r="C7" s="339"/>
      <c r="D7" s="339"/>
      <c r="E7" s="339"/>
      <c r="F7" s="339"/>
      <c r="G7" s="339"/>
      <c r="H7" s="339"/>
      <c r="I7" s="339"/>
      <c r="J7" s="339"/>
      <c r="K7" s="339"/>
    </row>
    <row r="8" spans="1:25" s="62" customFormat="1" ht="15">
      <c r="A8" s="341" t="s">
        <v>4561</v>
      </c>
      <c r="B8" s="341"/>
      <c r="C8" s="341"/>
      <c r="D8" s="341"/>
      <c r="E8" s="341"/>
      <c r="F8" s="341"/>
      <c r="G8" s="341"/>
      <c r="H8" s="341"/>
      <c r="I8" s="341"/>
      <c r="J8" s="341"/>
      <c r="K8" s="341"/>
      <c r="L8" s="61"/>
      <c r="M8" s="61"/>
      <c r="N8" s="61"/>
      <c r="O8" s="61"/>
    </row>
    <row r="9" spans="1:25" s="62" customFormat="1" ht="15">
      <c r="A9" s="339" t="s">
        <v>151</v>
      </c>
      <c r="B9" s="339"/>
      <c r="C9" s="339"/>
      <c r="D9" s="339"/>
      <c r="E9" s="339"/>
      <c r="F9" s="259"/>
      <c r="G9" s="259"/>
      <c r="H9" s="259"/>
      <c r="I9" s="63"/>
      <c r="J9" s="63"/>
      <c r="K9" s="63"/>
    </row>
    <row r="10" spans="1:25" s="62" customFormat="1" ht="15">
      <c r="A10" s="63"/>
      <c r="B10" s="63"/>
      <c r="C10" s="63"/>
      <c r="D10" s="63"/>
      <c r="E10" s="63"/>
      <c r="F10" s="259"/>
      <c r="G10" s="259"/>
      <c r="H10" s="259"/>
      <c r="I10" s="63"/>
      <c r="J10" s="63"/>
      <c r="K10" s="63"/>
    </row>
    <row r="11" spans="1:25" s="62" customFormat="1" ht="16.5" customHeight="1">
      <c r="A11" s="64"/>
      <c r="B11" s="65"/>
      <c r="C11" s="66">
        <f>Passivo!D9</f>
        <v>42886</v>
      </c>
      <c r="D11" s="67" t="s">
        <v>196</v>
      </c>
      <c r="E11" s="67">
        <v>42004</v>
      </c>
      <c r="F11" s="66">
        <v>42369</v>
      </c>
      <c r="G11" s="67" t="s">
        <v>196</v>
      </c>
      <c r="H11" s="67">
        <v>42004</v>
      </c>
      <c r="I11" s="67" t="s">
        <v>196</v>
      </c>
      <c r="J11" s="66">
        <v>40908</v>
      </c>
      <c r="K11" s="67" t="s">
        <v>196</v>
      </c>
      <c r="L11" s="66">
        <v>40543</v>
      </c>
      <c r="M11" s="67" t="s">
        <v>196</v>
      </c>
    </row>
    <row r="12" spans="1:25" ht="19.5" customHeight="1">
      <c r="A12" s="332" t="s">
        <v>197</v>
      </c>
      <c r="B12" s="332"/>
      <c r="C12" s="68">
        <f>SUMIF(Base_Periodo1[Descrição],"( + ) PRODUTOS AGRICOLAS",Base_Periodo1[VALOR BALANÇO])+SUMIF(Base_Periodo1[Descrição],"( + ) INSUMOS AGROPECUARIOS",Base_Periodo1[VALOR BALANÇO])+SUMIF(Base_Periodo1[Descrição],"( + ) BONIFICAÇÕES RECEBIDAS",Base_Periodo1[VALOR BALANÇO])+SUMIF(Base_Periodo1[Descrição],"( + ) SEMENTES PRODUZIDAS",Base_Periodo1[VALOR BALANÇO])</f>
        <v>241061623.45999995</v>
      </c>
      <c r="D12" s="69">
        <f>C12/(C$12+$C$17-$C$13-$C$18-$C$14-$C$19)</f>
        <v>0.96818328768999129</v>
      </c>
      <c r="E12" s="256">
        <v>297771922.54000002</v>
      </c>
      <c r="F12" s="68">
        <v>361077556.01999998</v>
      </c>
      <c r="G12" s="69">
        <v>1</v>
      </c>
      <c r="H12" s="256">
        <v>297771922.54000002</v>
      </c>
      <c r="I12" s="69">
        <v>1</v>
      </c>
      <c r="J12" s="68">
        <v>210767980.84</v>
      </c>
      <c r="K12" s="69">
        <v>1</v>
      </c>
      <c r="L12" s="68">
        <v>138464649.69</v>
      </c>
      <c r="M12" s="69">
        <v>1</v>
      </c>
      <c r="N12" s="228"/>
      <c r="O12" s="77"/>
      <c r="X12" s="172">
        <f>C12+C17</f>
        <v>244712521.07999995</v>
      </c>
    </row>
    <row r="13" spans="1:25" ht="17.100000000000001" customHeight="1">
      <c r="A13" s="70"/>
      <c r="B13" s="70" t="s">
        <v>198</v>
      </c>
      <c r="C13" s="71">
        <f>SUMIF(Base_Periodo1[Descrição],"( - ) DEVOLUÇÃO DE INSUMOS AGROPECUARIOS",Base_Periodo1[VALOR BALANÇO])+SUMIF(Base_Periodo1[Descrição],"( - ) DEVOLUÇÃO DE PRODUTOS AGRICOLAS",Base_Periodo1[VALOR BALANÇO])+SUMIF(Base_Periodo1[Descrição],"( - ) DEVOLUÇÃO DE SEMENTE PRODUZIDA",Base_Periodo1[VALOR BALANÇO])</f>
        <v>-1769295.92</v>
      </c>
      <c r="D13" s="72">
        <f>C13/(C$12+$C$17-$C$13-$C$18-$C$14-$C$19)</f>
        <v>-7.1060781726060649E-3</v>
      </c>
      <c r="E13" s="257">
        <v>6067516.21</v>
      </c>
      <c r="F13" s="71">
        <v>-5264938.5</v>
      </c>
      <c r="G13" s="72">
        <v>-1.4581184602092456E-2</v>
      </c>
      <c r="H13" s="257">
        <v>6067516.21</v>
      </c>
      <c r="I13" s="72">
        <v>2.0376387935584973E-2</v>
      </c>
      <c r="J13" s="71">
        <v>1207781.32</v>
      </c>
      <c r="K13" s="72">
        <f t="shared" ref="K13:K57" si="0">J13/J$12</f>
        <v>5.7303833114806055E-3</v>
      </c>
      <c r="L13" s="71">
        <v>1901723.22</v>
      </c>
      <c r="M13" s="72">
        <v>1.3734359089180172E-2</v>
      </c>
      <c r="X13" s="183">
        <v>38745894.539999999</v>
      </c>
      <c r="Y13" s="183">
        <f>X12-X13</f>
        <v>205966626.53999996</v>
      </c>
    </row>
    <row r="14" spans="1:25" ht="17.100000000000001" customHeight="1">
      <c r="A14" s="70"/>
      <c r="B14" s="73" t="s">
        <v>199</v>
      </c>
      <c r="C14" s="71">
        <f>SUMIF(Base_Periodo1[Descrição],"( - ) ICMS SOBRE INGRESSOS E RECEITAS",Base_Periodo1[VALOR BALANÇO])+SUMIF(Base_Periodo1[Descrição],"( - ) IMPOSTOS SOBRE RECEITA",Base_Periodo1[VALOR BALANÇO])</f>
        <v>-2463039.8900000006</v>
      </c>
      <c r="D14" s="72">
        <f t="shared" ref="D14:D15" si="1">C14/(C$12+$C$17-$C$13-$C$18-$C$14-$C$19)</f>
        <v>-9.8923836327995639E-3</v>
      </c>
      <c r="E14" s="257">
        <v>2148676.2400000002</v>
      </c>
      <c r="F14" s="71">
        <v>-3818929.4100000006</v>
      </c>
      <c r="G14" s="72">
        <v>-1.0576479613117995E-2</v>
      </c>
      <c r="H14" s="257">
        <v>2148676.2400000002</v>
      </c>
      <c r="I14" s="72">
        <v>7.2158456770260674E-3</v>
      </c>
      <c r="J14" s="71">
        <v>1522846.85</v>
      </c>
      <c r="K14" s="72">
        <f t="shared" si="0"/>
        <v>7.2252286325978354E-3</v>
      </c>
      <c r="L14" s="71">
        <v>1354716.72</v>
      </c>
      <c r="M14" s="72">
        <v>9.7838453571578894E-3</v>
      </c>
    </row>
    <row r="15" spans="1:25" ht="17.100000000000001" customHeight="1">
      <c r="A15" s="73"/>
      <c r="B15" s="73" t="s">
        <v>200</v>
      </c>
      <c r="C15" s="71">
        <f>SUMIF(Base_Periodo1[Descrição],"( - ) INSUMOS AGROPECUARIOS",Base_Periodo1[VALOR BALANÇO])+SUMIF(Base_Periodo1[Descrição],"( - ) PRODUÇÃO DE SEMENTES",Base_Periodo1[VALOR BALANÇO])+SUMIF(Base_Periodo1[Descrição],"( - ) PRODUTOS AGRICOLAS",Base_Periodo1[VALOR BALANÇO])</f>
        <v>-208792370.24000001</v>
      </c>
      <c r="D15" s="72">
        <f t="shared" si="1"/>
        <v>-0.83857928342995802</v>
      </c>
      <c r="E15" s="257">
        <v>249254015.55000001</v>
      </c>
      <c r="F15" s="71">
        <v>-294894279.52999997</v>
      </c>
      <c r="G15" s="72">
        <v>-0.81670620234746982</v>
      </c>
      <c r="H15" s="257">
        <v>249254015.55000001</v>
      </c>
      <c r="I15" s="72">
        <v>0.83706352641934345</v>
      </c>
      <c r="J15" s="71">
        <v>171724925.71000001</v>
      </c>
      <c r="K15" s="72">
        <f t="shared" si="0"/>
        <v>0.81475812894161237</v>
      </c>
      <c r="L15" s="71">
        <v>117830491.56</v>
      </c>
      <c r="M15" s="72">
        <v>0.85097887311890408</v>
      </c>
      <c r="X15" s="77">
        <f>C15+C20</f>
        <v>-210796031.63</v>
      </c>
    </row>
    <row r="16" spans="1:25" ht="19.5" customHeight="1">
      <c r="A16" s="74" t="s">
        <v>201</v>
      </c>
      <c r="B16" s="75"/>
      <c r="C16" s="76">
        <f>C12+C13+C14+C15</f>
        <v>28036917.409999967</v>
      </c>
      <c r="D16" s="69">
        <f>C16/(C$12+$C$17-$C$13-$C$18-$C$14-$C$19)</f>
        <v>0.1126055424546278</v>
      </c>
      <c r="E16" s="256">
        <v>40301714.540000021</v>
      </c>
      <c r="F16" s="76">
        <v>57099408.579999983</v>
      </c>
      <c r="G16" s="69">
        <v>0.15813613343731966</v>
      </c>
      <c r="H16" s="256">
        <v>40301714.540000021</v>
      </c>
      <c r="I16" s="69">
        <v>0.13534423996804551</v>
      </c>
      <c r="J16" s="76">
        <f>J12-J13-J14-J15</f>
        <v>36312426.960000008</v>
      </c>
      <c r="K16" s="69">
        <f t="shared" si="0"/>
        <v>0.17228625911430925</v>
      </c>
      <c r="L16" s="76">
        <f>L12-L13-L14-L15</f>
        <v>17377718.189999998</v>
      </c>
      <c r="M16" s="69">
        <v>0.12550292243475791</v>
      </c>
      <c r="X16" s="183">
        <v>32721694.969999999</v>
      </c>
      <c r="Y16" s="77">
        <f>X16+X15</f>
        <v>-178074336.66</v>
      </c>
    </row>
    <row r="17" spans="1:25" ht="19.5" customHeight="1">
      <c r="A17" s="74" t="s">
        <v>202</v>
      </c>
      <c r="B17" s="75"/>
      <c r="C17" s="76">
        <f>SUMIF(Base_Periodo1[Descrição],"( + ) SERVIÇOS PRESTADOS",Base_Periodo1[VALOR BALANÇO])</f>
        <v>3650897.62</v>
      </c>
      <c r="D17" s="69">
        <f>C17/(C$12+$C$17-$C$13-$C$18-$C$14-$C$19)</f>
        <v>1.466321353858174E-2</v>
      </c>
      <c r="E17" s="256">
        <v>6200555.6799999997</v>
      </c>
      <c r="F17" s="76">
        <v>8459378.3400000017</v>
      </c>
      <c r="G17" s="69">
        <v>2.34281477731378E-2</v>
      </c>
      <c r="H17" s="256">
        <v>6200555.6799999997</v>
      </c>
      <c r="I17" s="69">
        <v>2.0823171060283807E-2</v>
      </c>
      <c r="J17" s="76">
        <v>3633607.53</v>
      </c>
      <c r="K17" s="69">
        <f t="shared" si="0"/>
        <v>1.7239845993298076E-2</v>
      </c>
      <c r="L17" s="76">
        <v>3105730.58</v>
      </c>
      <c r="M17" s="69">
        <v>2.2429772414498787E-2</v>
      </c>
      <c r="O17" s="77"/>
    </row>
    <row r="18" spans="1:25" ht="19.5" customHeight="1">
      <c r="A18" s="74"/>
      <c r="B18" s="70" t="s">
        <v>203</v>
      </c>
      <c r="C18" s="71">
        <f>SUMIF(Base_Periodo1[Descrição],"( - ) ANULACAO DE VALOR (SERVIÇO DE FRETE",Base_Periodo1[VALOR BALANÇO])</f>
        <v>-4986.17</v>
      </c>
      <c r="D18" s="72">
        <f t="shared" ref="D18:D20" si="2">C18/(C$12+$C$17-$C$13-$C$18-$C$14-$C$19)</f>
        <v>-2.0026109483089286E-5</v>
      </c>
      <c r="E18" s="228">
        <v>0</v>
      </c>
      <c r="F18" s="71">
        <v>-1416.72</v>
      </c>
      <c r="G18" s="72">
        <v>-3.9235892023195377E-6</v>
      </c>
      <c r="H18" s="228">
        <v>0</v>
      </c>
      <c r="I18" s="69">
        <v>2.8448548566099467E-4</v>
      </c>
      <c r="J18" s="76"/>
      <c r="K18" s="69"/>
      <c r="L18" s="76"/>
      <c r="M18" s="69"/>
      <c r="O18" s="77"/>
    </row>
    <row r="19" spans="1:25" ht="17.100000000000001" customHeight="1">
      <c r="A19" s="74"/>
      <c r="B19" s="73" t="s">
        <v>199</v>
      </c>
      <c r="C19" s="71">
        <f>SUMIF(Base_Periodo1[Descrição],"( - ) IMPOSTOS SOBRE SERVIÇOS PRESTADOS",Base_Periodo1[VALOR BALANÇO])</f>
        <v>-33615.469999999994</v>
      </c>
      <c r="D19" s="72">
        <f t="shared" si="2"/>
        <v>-1.3501085653828555E-4</v>
      </c>
      <c r="E19" s="257">
        <v>84711.79</v>
      </c>
      <c r="F19" s="71">
        <v>-98375.4</v>
      </c>
      <c r="G19" s="72">
        <v>-2.7244950111092204E-4</v>
      </c>
      <c r="H19" s="257">
        <v>84711.79</v>
      </c>
      <c r="I19" s="72">
        <v>2.9286571835289597E-3</v>
      </c>
      <c r="J19" s="71">
        <v>47066.63</v>
      </c>
      <c r="K19" s="72">
        <f t="shared" si="0"/>
        <v>2.2331015276807922E-4</v>
      </c>
      <c r="L19" s="71">
        <v>52851.12</v>
      </c>
      <c r="M19" s="72">
        <v>3.8169395667648841E-4</v>
      </c>
      <c r="Y19" s="59" t="s">
        <v>6698</v>
      </c>
    </row>
    <row r="20" spans="1:25" ht="17.100000000000001" customHeight="1">
      <c r="A20" s="70"/>
      <c r="B20" s="73" t="s">
        <v>200</v>
      </c>
      <c r="C20" s="71">
        <f>SUMIF(Base_Periodo1[Descrição],"( - ) SERVIÇOS PRESTADOS",Base_Periodo1[VALOR BALANÇO])</f>
        <v>-2003661.3900000001</v>
      </c>
      <c r="D20" s="72">
        <f t="shared" si="2"/>
        <v>-8.0473674911161995E-3</v>
      </c>
      <c r="E20" s="257">
        <v>872071.88</v>
      </c>
      <c r="F20" s="71">
        <v>-263127.61</v>
      </c>
      <c r="G20" s="72">
        <v>-7.2872878863017841E-4</v>
      </c>
      <c r="H20" s="257">
        <v>872071.88</v>
      </c>
      <c r="I20" s="72">
        <v>1.7610028391093852E-2</v>
      </c>
      <c r="J20" s="71">
        <v>944685.79</v>
      </c>
      <c r="K20" s="72">
        <f t="shared" si="0"/>
        <v>4.4821124453298155E-3</v>
      </c>
      <c r="L20" s="71">
        <v>655053.02</v>
      </c>
      <c r="M20" s="72">
        <v>4.7308321760576293E-3</v>
      </c>
    </row>
    <row r="21" spans="1:25" ht="15">
      <c r="A21" s="74" t="s">
        <v>204</v>
      </c>
      <c r="B21" s="75"/>
      <c r="C21" s="76">
        <f>C17+C18+C19+C20</f>
        <v>1608634.5899999999</v>
      </c>
      <c r="D21" s="69">
        <f>C21/(C$12+$C$17-$C$13-$C$18-$C$14-$C$19)</f>
        <v>6.4608090814441636E-3</v>
      </c>
      <c r="E21" s="257">
        <v>5243772.01</v>
      </c>
      <c r="F21" s="76">
        <v>8096458.6100000003</v>
      </c>
      <c r="G21" s="69">
        <v>2.2423045894194377E-2</v>
      </c>
      <c r="H21" s="257">
        <v>5243772.01</v>
      </c>
      <c r="I21" s="69">
        <v>0.15295426835913936</v>
      </c>
      <c r="J21" s="76">
        <f>J17-J19-J20</f>
        <v>2641855.11</v>
      </c>
      <c r="K21" s="69">
        <f t="shared" si="0"/>
        <v>1.2534423395200183E-2</v>
      </c>
      <c r="L21" s="76">
        <f>L17-L19-L20</f>
        <v>2397826.44</v>
      </c>
      <c r="M21" s="69">
        <v>1.7317246281764669E-2</v>
      </c>
    </row>
    <row r="22" spans="1:25" ht="15">
      <c r="A22" s="74" t="s">
        <v>205</v>
      </c>
      <c r="B22" s="75"/>
      <c r="C22" s="76">
        <f>C16+C21</f>
        <v>29645551.999999966</v>
      </c>
      <c r="D22" s="69">
        <f>C22/(C$12+$C$17-$C$13-$C$18-$C$14-$C$19)</f>
        <v>0.11906635153607195</v>
      </c>
      <c r="E22" s="256">
        <v>45545486.550000019</v>
      </c>
      <c r="F22" s="76">
        <v>65195867.189999983</v>
      </c>
      <c r="G22" s="69">
        <v>0.18055917933151402</v>
      </c>
      <c r="H22" s="256">
        <v>45545486.550000019</v>
      </c>
      <c r="I22" s="69">
        <v>0.12714499025647455</v>
      </c>
      <c r="J22" s="76">
        <f>J16+J21</f>
        <v>38954282.070000008</v>
      </c>
      <c r="K22" s="69">
        <f t="shared" si="0"/>
        <v>0.18482068250950942</v>
      </c>
      <c r="L22" s="76">
        <f>L16+L21</f>
        <v>19775544.629999999</v>
      </c>
      <c r="M22" s="69">
        <v>0.14282016871652262</v>
      </c>
      <c r="N22" s="228"/>
      <c r="O22" s="77"/>
    </row>
    <row r="23" spans="1:25" ht="19.5" customHeight="1">
      <c r="A23" s="74" t="s">
        <v>206</v>
      </c>
      <c r="B23" s="75"/>
      <c r="C23" s="76">
        <f>SUM(C24:C30)</f>
        <v>-28901834.870000008</v>
      </c>
      <c r="D23" s="69">
        <f>C23/(C$12+$C$17-$C$13-$C$18-$C$14-$C$19)</f>
        <v>-0.11607933732078686</v>
      </c>
      <c r="E23" s="256">
        <v>37860208.189999998</v>
      </c>
      <c r="F23" s="76">
        <v>-49840996.290000007</v>
      </c>
      <c r="G23" s="69">
        <v>-0.13803404686620657</v>
      </c>
      <c r="H23" s="256">
        <v>37860208.189999998</v>
      </c>
      <c r="I23" s="69">
        <v>3.6648100455253886E-2</v>
      </c>
      <c r="J23" s="76">
        <f>SUM(J24:J29)</f>
        <v>26778909.309999999</v>
      </c>
      <c r="K23" s="69">
        <f t="shared" si="0"/>
        <v>0.1270539728248791</v>
      </c>
      <c r="L23" s="76">
        <f>SUM(L24:L29)</f>
        <v>18764516.239999995</v>
      </c>
      <c r="M23" s="69">
        <v>0.1355184610802159</v>
      </c>
    </row>
    <row r="24" spans="1:25" ht="17.100000000000001" customHeight="1">
      <c r="A24" s="70"/>
      <c r="B24" s="73" t="s">
        <v>207</v>
      </c>
      <c r="C24" s="71">
        <f>SUMIF(Base_Periodo1[Descrição],"( - ) DISPÊNDIOS E  DESPESAS C/ PESSOAL",Base_Periodo1[VALOR BALANÇO])</f>
        <v>-7197380.1100000013</v>
      </c>
      <c r="D24" s="72">
        <f t="shared" ref="D24:D36" si="3">C24/(C$12+$C$17-$C$13-$C$18-$C$14-$C$19)</f>
        <v>-2.8907061346538372E-2</v>
      </c>
      <c r="E24" s="257">
        <v>10912775.33</v>
      </c>
      <c r="F24" s="71">
        <v>-12862264.15</v>
      </c>
      <c r="G24" s="72">
        <v>-3.5621887695749116E-2</v>
      </c>
      <c r="H24" s="257">
        <v>10912775.33</v>
      </c>
      <c r="I24" s="72">
        <v>6.1213956690464796E-2</v>
      </c>
      <c r="J24" s="71">
        <v>5115242.96</v>
      </c>
      <c r="K24" s="72">
        <f t="shared" si="0"/>
        <v>2.4269544831304935E-2</v>
      </c>
      <c r="L24" s="71">
        <v>3761012.56</v>
      </c>
      <c r="M24" s="72">
        <v>2.7162258153400887E-2</v>
      </c>
    </row>
    <row r="25" spans="1:25" ht="17.100000000000001" customHeight="1">
      <c r="A25" s="70"/>
      <c r="B25" s="73" t="s">
        <v>208</v>
      </c>
      <c r="C25" s="71">
        <f>SUMIF(Base_Periodo1[Descrição],"( - ) DISPÊNDIOS E  DESPESAS ADMINISTRATIVAS",Base_Periodo1[VALOR BALANÇO])</f>
        <v>-9727529.5800000038</v>
      </c>
      <c r="D25" s="72">
        <f t="shared" si="3"/>
        <v>-3.9068979270476062E-2</v>
      </c>
      <c r="E25" s="257">
        <v>18227797.57</v>
      </c>
      <c r="F25" s="71">
        <v>-21982113.399999999</v>
      </c>
      <c r="G25" s="72">
        <v>-6.087920180445227E-2</v>
      </c>
      <c r="H25" s="257">
        <v>18227797.57</v>
      </c>
      <c r="I25" s="72">
        <v>2.7745366619951164E-2</v>
      </c>
      <c r="J25" s="71">
        <v>8813027.9000000004</v>
      </c>
      <c r="K25" s="72">
        <f t="shared" si="0"/>
        <v>4.1813883991659161E-2</v>
      </c>
      <c r="L25" s="71">
        <v>5062432.2</v>
      </c>
      <c r="M25" s="72">
        <v>3.656118880403026E-2</v>
      </c>
    </row>
    <row r="26" spans="1:25" ht="17.100000000000001" customHeight="1">
      <c r="A26" s="70"/>
      <c r="B26" s="73" t="s">
        <v>209</v>
      </c>
      <c r="C26" s="71">
        <f>SUMIF(Base_Periodo1[Descrição],"( - ) DISPÊNDIOS E  DESPESAS C/ VENDAS",Base_Periodo1[VALOR BALANÇO])</f>
        <v>-11066295.860000003</v>
      </c>
      <c r="D26" s="72">
        <f t="shared" si="3"/>
        <v>-4.4445907874103324E-2</v>
      </c>
      <c r="E26" s="257">
        <v>8261791.1600000001</v>
      </c>
      <c r="F26" s="71">
        <v>-13099095.199999999</v>
      </c>
      <c r="G26" s="72">
        <v>-3.6277788473993225E-2</v>
      </c>
      <c r="H26" s="257">
        <v>8261791.1600000001</v>
      </c>
      <c r="I26" s="72">
        <v>1.0202296690991434E-3</v>
      </c>
      <c r="J26" s="71">
        <v>12666756.609999999</v>
      </c>
      <c r="K26" s="72">
        <f t="shared" si="0"/>
        <v>6.0098106740490605E-2</v>
      </c>
      <c r="L26" s="71">
        <f>9649995.61</f>
        <v>9649995.6099999994</v>
      </c>
      <c r="M26" s="72">
        <v>6.9692846741784151E-2</v>
      </c>
    </row>
    <row r="27" spans="1:25" ht="17.100000000000001" customHeight="1">
      <c r="A27" s="70"/>
      <c r="B27" s="73" t="s">
        <v>210</v>
      </c>
      <c r="C27" s="71">
        <f>SUMIF(Base_Periodo1[Descrição],"( - ) DISPÊNDIOS E  DESPESAS TRIBUTÁRIAS",Base_Periodo1[VALOR BALANÇO])</f>
        <v>-200940.5</v>
      </c>
      <c r="D27" s="72">
        <f t="shared" si="3"/>
        <v>-8.0704357304037027E-4</v>
      </c>
      <c r="E27" s="257">
        <v>303795.75</v>
      </c>
      <c r="F27" s="71">
        <v>-750905.45</v>
      </c>
      <c r="G27" s="72">
        <v>-2.079623719283199E-3</v>
      </c>
      <c r="H27" s="257">
        <v>303795.75</v>
      </c>
      <c r="I27" s="72">
        <v>3.0189145851360224E-4</v>
      </c>
      <c r="J27" s="71">
        <v>57351.72</v>
      </c>
      <c r="K27" s="72">
        <f t="shared" si="0"/>
        <v>2.7210831441962398E-4</v>
      </c>
      <c r="L27" s="71">
        <v>158224.15</v>
      </c>
      <c r="M27" s="72">
        <v>1.1427042956757435E-3</v>
      </c>
    </row>
    <row r="28" spans="1:25" ht="17.100000000000001" customHeight="1">
      <c r="A28" s="70"/>
      <c r="B28" s="73" t="s">
        <v>211</v>
      </c>
      <c r="C28" s="71">
        <f>SUMIF(Base_Periodo1[Descrição],"( - ) DISPÊNDIOS E  DESPESAS TECNICAS",Base_Periodo1[VALOR BALANÇO])</f>
        <v>-53124.330000000016</v>
      </c>
      <c r="D28" s="72">
        <f t="shared" si="3"/>
        <v>-2.1336489706443322E-4</v>
      </c>
      <c r="E28" s="257">
        <v>89894.8</v>
      </c>
      <c r="F28" s="71">
        <v>-1064842.6000000001</v>
      </c>
      <c r="G28" s="72">
        <v>-2.9490689250733122E-3</v>
      </c>
      <c r="H28" s="257">
        <v>89894.8</v>
      </c>
      <c r="I28" s="72">
        <v>2.1544536319196509E-4</v>
      </c>
      <c r="J28" s="71">
        <v>25397.23</v>
      </c>
      <c r="K28" s="72">
        <f t="shared" si="0"/>
        <v>1.2049852116427382E-4</v>
      </c>
      <c r="L28" s="71">
        <v>44258.239999999998</v>
      </c>
      <c r="M28" s="72">
        <v>3.1963566223644122E-4</v>
      </c>
    </row>
    <row r="29" spans="1:25" ht="17.100000000000001" customHeight="1">
      <c r="A29" s="70"/>
      <c r="B29" s="73" t="s">
        <v>212</v>
      </c>
      <c r="C29" s="71">
        <f>SUMIF(Base_Periodo1[Descrição],"( - ) DISPÊNDIOS E  DESPESAS INDEDUTÍVEIS",Base_Periodo1[VALOR BALANÇO])</f>
        <v>-179976.26</v>
      </c>
      <c r="D29" s="72">
        <f t="shared" si="3"/>
        <v>-7.2284424460396322E-4</v>
      </c>
      <c r="E29" s="257">
        <v>64153.58</v>
      </c>
      <c r="F29" s="71">
        <v>-81775.490000000005</v>
      </c>
      <c r="G29" s="72">
        <v>-2.2647624765542195E-4</v>
      </c>
      <c r="H29" s="257">
        <v>64153.58</v>
      </c>
      <c r="I29" s="72">
        <v>0</v>
      </c>
      <c r="J29" s="71">
        <v>101132.89</v>
      </c>
      <c r="K29" s="72">
        <f t="shared" si="0"/>
        <v>4.7983042584050218E-4</v>
      </c>
      <c r="L29" s="71">
        <v>88593.48</v>
      </c>
      <c r="M29" s="72">
        <v>6.3982742308846697E-4</v>
      </c>
    </row>
    <row r="30" spans="1:25" ht="15">
      <c r="A30" s="70"/>
      <c r="B30" s="73" t="s">
        <v>213</v>
      </c>
      <c r="C30" s="71">
        <f>SUMIF(Base_Periodo1[Descrição],"( - ) DISPÊNDIOS E  DESPESAS C/ RATES",Base_Periodo1[VALOR BALANÇO])</f>
        <v>-476588.23</v>
      </c>
      <c r="D30" s="72">
        <f t="shared" si="3"/>
        <v>-1.9141361149603278E-3</v>
      </c>
      <c r="E30" s="257">
        <v>0</v>
      </c>
      <c r="F30" s="71">
        <v>0</v>
      </c>
      <c r="G30" s="72">
        <v>0</v>
      </c>
      <c r="H30" s="257">
        <v>0</v>
      </c>
      <c r="J30" s="71"/>
      <c r="K30" s="69">
        <f t="shared" si="0"/>
        <v>0</v>
      </c>
      <c r="L30" s="71"/>
      <c r="M30" s="69">
        <v>0</v>
      </c>
    </row>
    <row r="31" spans="1:25" ht="15">
      <c r="A31" s="74" t="s">
        <v>214</v>
      </c>
      <c r="B31" s="75"/>
      <c r="C31" s="76">
        <f>C33+C32</f>
        <v>-6352357.0099999988</v>
      </c>
      <c r="D31" s="69">
        <f>C31/(C$12+$C$17-$C$13-$C$18-$C$14-$C$19)</f>
        <v>-2.5513168816532466E-2</v>
      </c>
      <c r="E31" s="256">
        <v>1899688.4400000002</v>
      </c>
      <c r="F31" s="76">
        <v>-4386776.379999999</v>
      </c>
      <c r="G31" s="69">
        <v>-1.2149125047686476E-2</v>
      </c>
      <c r="H31" s="256">
        <v>1899688.4400000002</v>
      </c>
      <c r="I31" s="69">
        <v>6.3796761756300677E-3</v>
      </c>
      <c r="J31" s="76">
        <f>J33-J32</f>
        <v>-2474534.5300000003</v>
      </c>
      <c r="K31" s="69">
        <f t="shared" si="0"/>
        <v>-1.1740561920923322E-2</v>
      </c>
      <c r="L31" s="76">
        <f>L33-L32</f>
        <v>1891761.4300000002</v>
      </c>
      <c r="M31" s="69">
        <v>1.3662414444664026E-2</v>
      </c>
    </row>
    <row r="32" spans="1:25" ht="15">
      <c r="A32" s="70"/>
      <c r="B32" s="73" t="s">
        <v>215</v>
      </c>
      <c r="C32" s="71">
        <f>SUMIF(Base_Periodo1[Descrição],"( - ) DISPÊNDIOS E  DESPESAS FINANCEIRAS",Base_Periodo1[VALOR BALANÇO])</f>
        <v>-10291651.479999999</v>
      </c>
      <c r="D32" s="72">
        <f t="shared" si="3"/>
        <v>-4.1334679583784319E-2</v>
      </c>
      <c r="E32" s="257">
        <v>1199068.45</v>
      </c>
      <c r="F32" s="71">
        <v>-12703837.399999999</v>
      </c>
      <c r="G32" s="72">
        <v>-3.5183126694521928E-2</v>
      </c>
      <c r="H32" s="257">
        <v>1199068.45</v>
      </c>
      <c r="I32" s="72">
        <v>4.0268015861667679E-3</v>
      </c>
      <c r="J32" s="71">
        <v>3128949.27</v>
      </c>
      <c r="K32" s="69">
        <f t="shared" si="0"/>
        <v>1.4845467786567043E-2</v>
      </c>
      <c r="L32" s="71">
        <v>3668983.65</v>
      </c>
      <c r="M32" s="69">
        <v>2.6497619848923622E-2</v>
      </c>
    </row>
    <row r="33" spans="1:23" ht="17.100000000000001" customHeight="1">
      <c r="A33" s="70"/>
      <c r="B33" s="73" t="s">
        <v>216</v>
      </c>
      <c r="C33" s="71">
        <f>SUMIF(Base_Periodo1[Descrição],"( + ) INGRESSOS E RECEITAS FINANCEIRAS",Base_Periodo1[VALOR BALANÇO])</f>
        <v>3939294.4699999997</v>
      </c>
      <c r="D33" s="72">
        <f t="shared" si="3"/>
        <v>1.5821510767251856E-2</v>
      </c>
      <c r="E33" s="257">
        <v>3098756.89</v>
      </c>
      <c r="F33" s="71">
        <v>8317061.0199999996</v>
      </c>
      <c r="G33" s="72">
        <v>2.3034001646835452E-2</v>
      </c>
      <c r="H33" s="257">
        <v>3098756.89</v>
      </c>
      <c r="I33" s="72">
        <v>1.0406477761796836E-2</v>
      </c>
      <c r="J33" s="71">
        <v>654414.74</v>
      </c>
      <c r="K33" s="69">
        <f t="shared" si="0"/>
        <v>3.1049058656437236E-3</v>
      </c>
      <c r="L33" s="71">
        <f>1308028.91+4252716.17</f>
        <v>5560745.0800000001</v>
      </c>
      <c r="M33" s="69">
        <v>4.0160034293587644E-2</v>
      </c>
    </row>
    <row r="34" spans="1:23" ht="19.5" customHeight="1">
      <c r="A34" s="74" t="s">
        <v>217</v>
      </c>
      <c r="B34" s="73"/>
      <c r="C34" s="76">
        <f>C36+C35</f>
        <v>3589143.45</v>
      </c>
      <c r="D34" s="69">
        <f>C34/(C$12+$C$17-$C$13-$C$18-$C$14-$C$19)</f>
        <v>1.4415188347010392E-2</v>
      </c>
      <c r="E34" s="256">
        <v>-2340002.4400000004</v>
      </c>
      <c r="F34" s="76">
        <v>1453790.87</v>
      </c>
      <c r="G34" s="69">
        <v>4.0262565361982097E-3</v>
      </c>
      <c r="H34" s="256">
        <v>-2340002.4400000004</v>
      </c>
      <c r="I34" s="69">
        <v>-7.8583716692955333E-3</v>
      </c>
      <c r="J34" s="76">
        <f>J36-J35</f>
        <v>-1519424.1700000004</v>
      </c>
      <c r="K34" s="69">
        <f t="shared" si="0"/>
        <v>-7.2089895435940941E-3</v>
      </c>
      <c r="L34" s="76">
        <f>L36-L35</f>
        <v>-1166493.5900000003</v>
      </c>
      <c r="M34" s="69">
        <v>-8.4244866297036192E-3</v>
      </c>
    </row>
    <row r="35" spans="1:23" ht="17.100000000000001" customHeight="1">
      <c r="A35" s="74"/>
      <c r="B35" s="73" t="s">
        <v>218</v>
      </c>
      <c r="C35" s="71">
        <f>SUMIF(Base_Periodo1[Descrição],"( - ) OUTROS DISPÊNDIOS E  DESPESAS OPERACIONAIS",Base_Periodo1[VALOR BALANÇO])</f>
        <v>-37410.11</v>
      </c>
      <c r="D35" s="72">
        <f t="shared" si="3"/>
        <v>-1.5025138706350032E-4</v>
      </c>
      <c r="E35" s="257">
        <v>9371906.6600000001</v>
      </c>
      <c r="F35" s="71">
        <v>-913071.09</v>
      </c>
      <c r="G35" s="72">
        <v>-2.5287395319287726E-3</v>
      </c>
      <c r="H35" s="257">
        <v>9371906.6600000001</v>
      </c>
      <c r="I35" s="72">
        <v>3.1473439738903056E-2</v>
      </c>
      <c r="J35" s="71">
        <v>5223535.1900000004</v>
      </c>
      <c r="K35" s="72">
        <f t="shared" si="0"/>
        <v>2.4783343130118683E-2</v>
      </c>
      <c r="L35" s="71">
        <v>4477586.57</v>
      </c>
      <c r="M35" s="72">
        <v>3.233739860697004E-2</v>
      </c>
      <c r="O35" s="71"/>
    </row>
    <row r="36" spans="1:23" ht="17.100000000000001" customHeight="1">
      <c r="A36" s="70"/>
      <c r="B36" s="73" t="s">
        <v>219</v>
      </c>
      <c r="C36" s="71">
        <f>SUMIF(Base_Periodo1[Descrição],"( + ) OUTROS INGRESSOS E  RECEITAS OPERACIONAIS",Base_Periodo1[VALOR BALANÇO])</f>
        <v>3626553.56</v>
      </c>
      <c r="D36" s="72">
        <f t="shared" si="3"/>
        <v>1.4565439734073891E-2</v>
      </c>
      <c r="E36" s="257">
        <v>7031904.2199999997</v>
      </c>
      <c r="F36" s="71">
        <v>2366861.96</v>
      </c>
      <c r="G36" s="72">
        <v>6.5549960681269819E-3</v>
      </c>
      <c r="H36" s="257">
        <v>7031904.2199999997</v>
      </c>
      <c r="I36" s="72">
        <v>2.3615068069607524E-2</v>
      </c>
      <c r="J36" s="71">
        <v>3704111.02</v>
      </c>
      <c r="K36" s="72">
        <f t="shared" si="0"/>
        <v>1.757435358652459E-2</v>
      </c>
      <c r="L36" s="71">
        <v>3311092.98</v>
      </c>
      <c r="M36" s="72">
        <v>2.3912911977266419E-2</v>
      </c>
      <c r="O36" s="71"/>
      <c r="W36" s="183"/>
    </row>
    <row r="37" spans="1:23" ht="19.5" customHeight="1">
      <c r="A37" s="74" t="s">
        <v>220</v>
      </c>
      <c r="B37" s="75"/>
      <c r="C37" s="78">
        <f>(C22+C23+C34+C31)</f>
        <v>-2019496.4300000407</v>
      </c>
      <c r="D37" s="69">
        <f>C37/(C$12+$C$17-$C$13-$C$18-$C$14-$C$19)</f>
        <v>-8.1109662542369742E-3</v>
      </c>
      <c r="E37" s="256">
        <v>7244964.3600000218</v>
      </c>
      <c r="F37" s="78">
        <v>12421885.389999978</v>
      </c>
      <c r="G37" s="69">
        <v>3.44022639538192E-2</v>
      </c>
      <c r="H37" s="256">
        <v>7244964.3600000218</v>
      </c>
      <c r="I37" s="72">
        <v>2.4330582608999337E-2</v>
      </c>
      <c r="J37" s="78">
        <f>(J22-J23+J30+J34+J31)</f>
        <v>8181414.0600000089</v>
      </c>
      <c r="K37" s="69">
        <f t="shared" si="0"/>
        <v>3.8817158220112918E-2</v>
      </c>
      <c r="L37" s="78">
        <f>(L22-L23+L30+L34+L31)</f>
        <v>1736296.2300000042</v>
      </c>
      <c r="M37" s="69">
        <v>1.25396354512671E-2</v>
      </c>
    </row>
    <row r="38" spans="1:23" ht="19.5" hidden="1" customHeight="1">
      <c r="A38" s="74" t="s">
        <v>221</v>
      </c>
      <c r="B38" s="75"/>
      <c r="C38" s="76">
        <f>C39+C40</f>
        <v>0</v>
      </c>
      <c r="D38" s="69">
        <f t="shared" ref="D38:D57" si="4">C38/C$12</f>
        <v>0</v>
      </c>
      <c r="E38" s="256">
        <v>0</v>
      </c>
      <c r="F38" s="76">
        <v>0</v>
      </c>
      <c r="G38" s="69">
        <v>0</v>
      </c>
      <c r="H38" s="256">
        <v>0</v>
      </c>
      <c r="I38" s="69">
        <v>0</v>
      </c>
      <c r="J38" s="76">
        <f>J39-J40</f>
        <v>0</v>
      </c>
      <c r="K38" s="69">
        <f t="shared" si="0"/>
        <v>0</v>
      </c>
      <c r="L38" s="76">
        <f>L39-L40</f>
        <v>0</v>
      </c>
      <c r="M38" s="69">
        <v>0</v>
      </c>
    </row>
    <row r="39" spans="1:23" ht="17.100000000000001" hidden="1" customHeight="1">
      <c r="A39" s="70"/>
      <c r="B39" s="70" t="s">
        <v>222</v>
      </c>
      <c r="C39" s="71">
        <v>0</v>
      </c>
      <c r="D39" s="72">
        <f t="shared" si="4"/>
        <v>0</v>
      </c>
      <c r="E39" s="256">
        <v>0</v>
      </c>
      <c r="F39" s="71">
        <v>0</v>
      </c>
      <c r="G39" s="72">
        <v>0</v>
      </c>
      <c r="H39" s="256">
        <v>0</v>
      </c>
      <c r="I39" s="69">
        <v>0</v>
      </c>
      <c r="J39" s="71">
        <v>0</v>
      </c>
      <c r="K39" s="72">
        <f t="shared" si="0"/>
        <v>0</v>
      </c>
      <c r="L39" s="71">
        <v>0</v>
      </c>
      <c r="M39" s="72">
        <v>0</v>
      </c>
    </row>
    <row r="40" spans="1:23" ht="17.100000000000001" hidden="1" customHeight="1">
      <c r="A40" s="70"/>
      <c r="B40" s="70" t="s">
        <v>223</v>
      </c>
      <c r="C40" s="71">
        <v>0</v>
      </c>
      <c r="D40" s="72">
        <f t="shared" si="4"/>
        <v>0</v>
      </c>
      <c r="E40" s="257">
        <v>0</v>
      </c>
      <c r="F40" s="71">
        <v>0</v>
      </c>
      <c r="G40" s="72">
        <v>0</v>
      </c>
      <c r="H40" s="257">
        <v>0</v>
      </c>
      <c r="I40" s="72">
        <v>0</v>
      </c>
      <c r="J40" s="71">
        <v>0</v>
      </c>
      <c r="K40" s="72">
        <f t="shared" si="0"/>
        <v>0</v>
      </c>
      <c r="L40" s="71">
        <v>0</v>
      </c>
      <c r="M40" s="72">
        <v>0</v>
      </c>
    </row>
    <row r="41" spans="1:23" ht="19.5" hidden="1" customHeight="1">
      <c r="A41" s="74" t="s">
        <v>224</v>
      </c>
      <c r="B41" s="74"/>
      <c r="C41" s="76">
        <f>C37+C38</f>
        <v>-2019496.4300000407</v>
      </c>
      <c r="D41" s="69">
        <f t="shared" si="4"/>
        <v>-8.3775111152652702E-3</v>
      </c>
      <c r="E41" s="257">
        <v>7244964.3600000218</v>
      </c>
      <c r="F41" s="76">
        <v>12421885.389999978</v>
      </c>
      <c r="G41" s="69">
        <v>3.44022639538192E-2</v>
      </c>
      <c r="H41" s="257">
        <v>7244964.3600000218</v>
      </c>
      <c r="I41" s="72">
        <v>2.4330582608999337E-2</v>
      </c>
      <c r="J41" s="76">
        <f>J37+J38</f>
        <v>8181414.0600000089</v>
      </c>
      <c r="K41" s="69">
        <f t="shared" si="0"/>
        <v>3.8817158220112918E-2</v>
      </c>
      <c r="L41" s="76">
        <f>L37+L38</f>
        <v>1736296.2300000042</v>
      </c>
      <c r="M41" s="69">
        <v>1.25396354512671E-2</v>
      </c>
    </row>
    <row r="42" spans="1:23" ht="19.5" hidden="1" customHeight="1">
      <c r="A42" s="74"/>
      <c r="B42" s="70" t="s">
        <v>225</v>
      </c>
      <c r="C42" s="71"/>
      <c r="D42" s="69">
        <f t="shared" si="4"/>
        <v>0</v>
      </c>
      <c r="E42" s="256"/>
      <c r="F42" s="71"/>
      <c r="G42" s="69">
        <v>0</v>
      </c>
      <c r="H42" s="256"/>
      <c r="I42" s="69">
        <v>0</v>
      </c>
      <c r="J42" s="71"/>
      <c r="K42" s="69">
        <f t="shared" si="0"/>
        <v>0</v>
      </c>
      <c r="L42" s="71"/>
      <c r="M42" s="69">
        <v>0</v>
      </c>
    </row>
    <row r="43" spans="1:23" ht="19.5" hidden="1" customHeight="1">
      <c r="A43" s="74"/>
      <c r="B43" s="70" t="s">
        <v>226</v>
      </c>
      <c r="C43" s="71"/>
      <c r="D43" s="69">
        <f t="shared" si="4"/>
        <v>0</v>
      </c>
      <c r="E43" s="256"/>
      <c r="F43" s="71"/>
      <c r="G43" s="69">
        <v>0</v>
      </c>
      <c r="H43" s="256"/>
      <c r="I43" s="69">
        <v>0</v>
      </c>
      <c r="J43" s="71"/>
      <c r="K43" s="69">
        <f t="shared" si="0"/>
        <v>0</v>
      </c>
      <c r="L43" s="71"/>
      <c r="M43" s="69">
        <v>0</v>
      </c>
    </row>
    <row r="44" spans="1:23" ht="19.5" hidden="1" customHeight="1">
      <c r="A44" s="74" t="s">
        <v>227</v>
      </c>
      <c r="B44" s="70"/>
      <c r="C44" s="76">
        <f>C41+C42+C43</f>
        <v>-2019496.4300000407</v>
      </c>
      <c r="D44" s="69">
        <f t="shared" si="4"/>
        <v>-8.3775111152652702E-3</v>
      </c>
      <c r="E44" s="256">
        <v>7244964.3600000218</v>
      </c>
      <c r="F44" s="76">
        <v>12421885.389999978</v>
      </c>
      <c r="G44" s="69">
        <v>3.44022639538192E-2</v>
      </c>
      <c r="H44" s="256">
        <v>7244964.3600000218</v>
      </c>
      <c r="I44" s="69">
        <v>2.4330582608999337E-2</v>
      </c>
      <c r="J44" s="76">
        <f>J41-J42-J43</f>
        <v>8181414.0600000089</v>
      </c>
      <c r="K44" s="69">
        <f t="shared" si="0"/>
        <v>3.8817158220112918E-2</v>
      </c>
      <c r="L44" s="76">
        <f>L41-L42-L43</f>
        <v>1736296.2300000042</v>
      </c>
      <c r="M44" s="69">
        <v>1.25396354512671E-2</v>
      </c>
    </row>
    <row r="45" spans="1:23" ht="19.5" hidden="1" customHeight="1">
      <c r="A45" s="74"/>
      <c r="B45" s="70" t="s">
        <v>228</v>
      </c>
      <c r="C45" s="71"/>
      <c r="D45" s="69">
        <f t="shared" si="4"/>
        <v>0</v>
      </c>
      <c r="E45" s="256"/>
      <c r="F45" s="71"/>
      <c r="G45" s="69">
        <v>0</v>
      </c>
      <c r="H45" s="256"/>
      <c r="I45" s="69">
        <v>0</v>
      </c>
      <c r="J45" s="71"/>
      <c r="K45" s="69">
        <f t="shared" si="0"/>
        <v>0</v>
      </c>
      <c r="L45" s="71"/>
      <c r="M45" s="69">
        <v>0</v>
      </c>
    </row>
    <row r="46" spans="1:23" ht="19.5" customHeight="1">
      <c r="A46" s="75" t="s">
        <v>229</v>
      </c>
      <c r="B46" s="70"/>
      <c r="C46" s="76">
        <f>C44+C45</f>
        <v>-2019496.4300000407</v>
      </c>
      <c r="D46" s="69">
        <f>C46/(C$12+$C$17-$C$13-$C$18-$C$14-$C$19)</f>
        <v>-8.1109662542369742E-3</v>
      </c>
      <c r="E46" s="256">
        <v>7244964.3600000218</v>
      </c>
      <c r="F46" s="76">
        <v>12421885.389999978</v>
      </c>
      <c r="G46" s="69">
        <v>3.44022639538192E-2</v>
      </c>
      <c r="H46" s="256">
        <v>7244964.3600000218</v>
      </c>
      <c r="I46" s="69">
        <v>2.4330582608999337E-2</v>
      </c>
      <c r="J46" s="76">
        <f>J44-J45</f>
        <v>8181414.0600000089</v>
      </c>
      <c r="K46" s="69">
        <f t="shared" si="0"/>
        <v>3.8817158220112918E-2</v>
      </c>
      <c r="L46" s="76">
        <f>L44-L45</f>
        <v>1736296.2300000042</v>
      </c>
      <c r="M46" s="69">
        <v>1.25396354512671E-2</v>
      </c>
    </row>
    <row r="47" spans="1:23" ht="19.5" customHeight="1">
      <c r="A47" s="74" t="s">
        <v>230</v>
      </c>
      <c r="B47" s="70"/>
      <c r="C47" s="76">
        <f>C48+C49</f>
        <v>-505130.31999999995</v>
      </c>
      <c r="D47" s="69">
        <f>C47/(C$12+$C$17-$C$13-$C$18-$C$14-$C$19)</f>
        <v>-2.0287705977830527E-3</v>
      </c>
      <c r="E47" s="256">
        <v>409111.38</v>
      </c>
      <c r="F47" s="76">
        <v>-1179935.52</v>
      </c>
      <c r="G47" s="69">
        <v>-3.2678173991369424E-3</v>
      </c>
      <c r="H47" s="256">
        <v>409111.38</v>
      </c>
      <c r="I47" s="69">
        <v>1.3739085153169324E-3</v>
      </c>
      <c r="J47" s="76">
        <f>J48+J49</f>
        <v>180067.55</v>
      </c>
      <c r="K47" s="69">
        <f t="shared" si="0"/>
        <v>8.5434015775239793E-4</v>
      </c>
      <c r="L47" s="76">
        <f>L48+L49</f>
        <v>99733.45</v>
      </c>
      <c r="M47" s="69">
        <v>7.2028095418785298E-4</v>
      </c>
    </row>
    <row r="48" spans="1:23" ht="17.100000000000001" customHeight="1">
      <c r="A48" s="74"/>
      <c r="B48" s="70" t="s">
        <v>231</v>
      </c>
      <c r="C48" s="71">
        <f>SUMIF(Base_Periodo1[Descrição],"( - ) IMPOSTO DE RENDA",Base_Periodo1[VALOR BALANÇO])</f>
        <v>-368772.29</v>
      </c>
      <c r="D48" s="72">
        <f t="shared" ref="D48:D49" si="5">C48/(C$12+$C$17-$C$13-$C$18-$C$14-$C$19)</f>
        <v>-1.4811116054746533E-3</v>
      </c>
      <c r="E48" s="257">
        <v>294464.25</v>
      </c>
      <c r="F48" s="71">
        <v>-861776.12</v>
      </c>
      <c r="G48" s="72">
        <v>-2.3866787221531612E-3</v>
      </c>
      <c r="H48" s="257">
        <v>294464.25</v>
      </c>
      <c r="I48" s="72">
        <v>9.8889192603592198E-4</v>
      </c>
      <c r="J48" s="71">
        <v>126049.67</v>
      </c>
      <c r="K48" s="69">
        <f t="shared" si="0"/>
        <v>5.9804942618721531E-4</v>
      </c>
      <c r="L48" s="71">
        <v>66980.479999999996</v>
      </c>
      <c r="M48" s="69">
        <v>4.8373704154784978E-4</v>
      </c>
    </row>
    <row r="49" spans="1:27" ht="17.100000000000001" customHeight="1">
      <c r="A49" s="74"/>
      <c r="B49" s="70" t="s">
        <v>232</v>
      </c>
      <c r="C49" s="71">
        <f>SUMIF(Base_Periodo1[Descrição],"( - ) CONTRIBUIÇÃO SOCIAL",Base_Periodo1[VALOR BALANÇO])</f>
        <v>-136358.03</v>
      </c>
      <c r="D49" s="72">
        <f t="shared" si="5"/>
        <v>-5.4765899230839975E-4</v>
      </c>
      <c r="E49" s="257">
        <v>114647.13</v>
      </c>
      <c r="F49" s="71">
        <v>-318159.40000000002</v>
      </c>
      <c r="G49" s="72">
        <v>-8.8113867698378149E-4</v>
      </c>
      <c r="H49" s="257">
        <v>114647.13</v>
      </c>
      <c r="I49" s="72">
        <v>3.8501658928101029E-4</v>
      </c>
      <c r="J49" s="71">
        <v>54017.88</v>
      </c>
      <c r="K49" s="69">
        <f t="shared" si="0"/>
        <v>2.5629073156518262E-4</v>
      </c>
      <c r="L49" s="71">
        <v>32752.97</v>
      </c>
      <c r="M49" s="69">
        <v>2.3654391264000318E-4</v>
      </c>
    </row>
    <row r="50" spans="1:27" ht="19.5" customHeight="1">
      <c r="A50" s="75" t="s">
        <v>233</v>
      </c>
      <c r="B50" s="70"/>
      <c r="C50" s="76">
        <f>C46+C47</f>
        <v>-2524626.7500000405</v>
      </c>
      <c r="D50" s="69">
        <f>C50/(C$12+$C$17-$C$13-$C$18-$C$14-$C$19)</f>
        <v>-1.0139736852020027E-2</v>
      </c>
      <c r="E50" s="256">
        <v>6835852.9800000219</v>
      </c>
      <c r="F50" s="76">
        <v>11241949.869999979</v>
      </c>
      <c r="G50" s="69">
        <v>3.1134446554682258E-2</v>
      </c>
      <c r="H50" s="256">
        <v>6835852.9800000219</v>
      </c>
      <c r="I50" s="69">
        <v>2.2956674093682402E-2</v>
      </c>
      <c r="J50" s="76">
        <f>J46-J47</f>
        <v>8001346.5100000091</v>
      </c>
      <c r="K50" s="69">
        <f t="shared" si="0"/>
        <v>3.7962818062360522E-2</v>
      </c>
      <c r="L50" s="76">
        <f>L46-L47</f>
        <v>1636562.7800000042</v>
      </c>
      <c r="M50" s="69">
        <v>1.1819354497079248E-2</v>
      </c>
      <c r="X50" s="228">
        <f>SUMIF(Base_Periodo1[CONTA],1753,Base_Periodo1[VALOR BALANÇO])</f>
        <v>-2524626.75</v>
      </c>
      <c r="Y50" s="77">
        <f>C50-X50</f>
        <v>-4.0512531995773315E-8</v>
      </c>
      <c r="AA50" s="228"/>
    </row>
    <row r="51" spans="1:27" ht="17.100000000000001" hidden="1" customHeight="1">
      <c r="A51" s="75"/>
      <c r="B51" s="70" t="s">
        <v>234</v>
      </c>
      <c r="C51" s="76">
        <f>'Sobras Terceiros (2)'!C48</f>
        <v>992382.71000000322</v>
      </c>
      <c r="D51" s="69">
        <f t="shared" si="4"/>
        <v>4.116717940235195E-3</v>
      </c>
      <c r="E51" s="256">
        <v>1055498.860000002</v>
      </c>
      <c r="F51" s="76">
        <v>1648729.5499999826</v>
      </c>
      <c r="G51" s="69">
        <v>4.5661368936170043E-3</v>
      </c>
      <c r="H51" s="256">
        <v>1055498.860000002</v>
      </c>
      <c r="I51" s="69">
        <v>3.5446554228369723E-3</v>
      </c>
      <c r="J51" s="76">
        <v>670428.04</v>
      </c>
      <c r="K51" s="69">
        <f t="shared" si="0"/>
        <v>3.180881827154482E-3</v>
      </c>
      <c r="L51" s="76">
        <v>375896.74</v>
      </c>
      <c r="M51" s="69">
        <v>2.7147487885288563E-3</v>
      </c>
    </row>
    <row r="52" spans="1:27" ht="17.100000000000001" hidden="1" customHeight="1">
      <c r="A52" s="75" t="s">
        <v>235</v>
      </c>
      <c r="B52" s="70"/>
      <c r="C52" s="76">
        <f>C50-C51</f>
        <v>-3517009.4600000437</v>
      </c>
      <c r="D52" s="69">
        <f t="shared" si="4"/>
        <v>-1.4589669684953529E-2</v>
      </c>
      <c r="E52" s="258">
        <f>E50-E51</f>
        <v>5780354.1200000197</v>
      </c>
      <c r="F52" s="76">
        <v>9593220.3199999966</v>
      </c>
      <c r="G52" s="69">
        <v>2.6568309661065256E-2</v>
      </c>
      <c r="H52" s="258">
        <v>5780354.1200000197</v>
      </c>
      <c r="I52" s="69">
        <v>1.9412018670845431E-2</v>
      </c>
      <c r="J52" s="76">
        <f>J50-J51</f>
        <v>7330918.4700000091</v>
      </c>
      <c r="K52" s="69">
        <f t="shared" si="0"/>
        <v>3.4781936235206042E-2</v>
      </c>
      <c r="L52" s="76">
        <f>L53+L57</f>
        <v>1260666.0400000042</v>
      </c>
      <c r="M52" s="69">
        <v>9.104605708550392E-3</v>
      </c>
    </row>
    <row r="53" spans="1:27" ht="19.5" hidden="1" customHeight="1">
      <c r="A53" s="74" t="s">
        <v>236</v>
      </c>
      <c r="B53" s="74"/>
      <c r="C53" s="76">
        <f>SUM(C54:C56)</f>
        <v>-2989458.0410000137</v>
      </c>
      <c r="D53" s="69">
        <f t="shared" si="4"/>
        <v>-1.2401219232210402E-2</v>
      </c>
      <c r="E53" s="256">
        <v>4913301.0019999864</v>
      </c>
      <c r="F53" s="76">
        <v>8154237.2720000688</v>
      </c>
      <c r="G53" s="69">
        <v>2.2583063211905667E-2</v>
      </c>
      <c r="H53" s="256">
        <v>4913301.0019999864</v>
      </c>
      <c r="I53" s="69">
        <v>1.6500215870218514E-2</v>
      </c>
      <c r="J53" s="76">
        <f>SUM(J54:J56)</f>
        <v>6231280.6995000076</v>
      </c>
      <c r="K53" s="69">
        <f t="shared" si="0"/>
        <v>2.9564645799925137E-2</v>
      </c>
      <c r="L53" s="76">
        <f>SUM(L54:L56)</f>
        <v>1071566.1299999999</v>
      </c>
      <c r="M53" s="69">
        <v>7.7389148233795663E-3</v>
      </c>
    </row>
    <row r="54" spans="1:27" ht="17.100000000000001" hidden="1" customHeight="1">
      <c r="A54" s="70"/>
      <c r="B54" s="70" t="s">
        <v>237</v>
      </c>
      <c r="C54" s="71">
        <f>'Sobras Terceiros (2)'!C51</f>
        <v>-175850.47300000081</v>
      </c>
      <c r="D54" s="72">
        <f t="shared" si="4"/>
        <v>-7.2948348424767078E-4</v>
      </c>
      <c r="E54" s="257">
        <v>289017.70599999925</v>
      </c>
      <c r="F54" s="71">
        <v>479661.01600000402</v>
      </c>
      <c r="G54" s="72">
        <v>1.3284154830532744E-3</v>
      </c>
      <c r="H54" s="257">
        <v>289017.70599999925</v>
      </c>
      <c r="I54" s="72">
        <v>9.7060093354226569E-4</v>
      </c>
      <c r="J54" s="71">
        <f>J52*0.05</f>
        <v>366545.9235000005</v>
      </c>
      <c r="K54" s="72">
        <f t="shared" si="0"/>
        <v>1.7390968117603023E-3</v>
      </c>
      <c r="L54" s="71">
        <v>63033.3</v>
      </c>
      <c r="M54" s="72">
        <v>4.552302709833982E-4</v>
      </c>
    </row>
    <row r="55" spans="1:27" ht="17.100000000000001" hidden="1" customHeight="1">
      <c r="A55" s="70"/>
      <c r="B55" s="70" t="s">
        <v>238</v>
      </c>
      <c r="C55" s="71">
        <f>'Sobras Terceiros (2)'!C52</f>
        <v>-351700.94600000163</v>
      </c>
      <c r="D55" s="72">
        <f t="shared" si="4"/>
        <v>-1.4589669684953416E-3</v>
      </c>
      <c r="E55" s="257">
        <v>578035.4119999985</v>
      </c>
      <c r="F55" s="257"/>
      <c r="G55" s="257"/>
      <c r="H55" s="257"/>
      <c r="I55" s="72">
        <v>1.9412018670845314E-3</v>
      </c>
      <c r="J55" s="71">
        <f>J52*0.1</f>
        <v>733091.847000001</v>
      </c>
      <c r="K55" s="72">
        <f t="shared" si="0"/>
        <v>3.4781936235206046E-3</v>
      </c>
      <c r="L55" s="71">
        <v>378199.81</v>
      </c>
      <c r="M55" s="72">
        <v>2.7313816981209887E-3</v>
      </c>
    </row>
    <row r="56" spans="1:27" ht="17.100000000000001" hidden="1" customHeight="1">
      <c r="A56" s="70"/>
      <c r="B56" s="70" t="s">
        <v>239</v>
      </c>
      <c r="C56" s="71">
        <f>'Sobras Terceiros (2)'!C53</f>
        <v>-2461906.6220000111</v>
      </c>
      <c r="D56" s="72">
        <f t="shared" si="4"/>
        <v>-1.021276877946739E-2</v>
      </c>
      <c r="E56" s="257">
        <v>4046247.8839999889</v>
      </c>
      <c r="F56" s="257"/>
      <c r="G56" s="257"/>
      <c r="H56" s="257"/>
      <c r="I56" s="72">
        <v>1.3588413069591718E-2</v>
      </c>
      <c r="J56" s="71">
        <f>J52*0.7</f>
        <v>5131642.9290000061</v>
      </c>
      <c r="K56" s="72">
        <f t="shared" si="0"/>
        <v>2.4347355364644229E-2</v>
      </c>
      <c r="L56" s="71">
        <v>630333.02</v>
      </c>
      <c r="M56" s="72">
        <v>4.5523028542751812E-3</v>
      </c>
    </row>
    <row r="57" spans="1:27" ht="19.5" hidden="1" customHeight="1">
      <c r="A57" s="74" t="s">
        <v>240</v>
      </c>
      <c r="B57" s="74"/>
      <c r="C57" s="76">
        <f>C50-C53-C51</f>
        <v>-527551.41900003003</v>
      </c>
      <c r="D57" s="69">
        <f t="shared" si="4"/>
        <v>-2.1884504527431266E-3</v>
      </c>
      <c r="E57" s="256">
        <v>867053.11800003354</v>
      </c>
      <c r="F57" s="256"/>
      <c r="G57" s="256"/>
      <c r="H57" s="256"/>
      <c r="I57" s="69">
        <v>2.9118028006269174E-3</v>
      </c>
      <c r="J57" s="76">
        <f>J50-J53-J51</f>
        <v>1099637.7705000015</v>
      </c>
      <c r="K57" s="69">
        <f t="shared" si="0"/>
        <v>5.2172904352809071E-3</v>
      </c>
      <c r="L57" s="76">
        <f>L50-L53-L51</f>
        <v>189099.91000000434</v>
      </c>
      <c r="M57" s="69">
        <v>1.3656908851708252E-3</v>
      </c>
    </row>
    <row r="58" spans="1:27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Y58" s="77">
        <f>Y50/2</f>
        <v>-2.0256265997886658E-8</v>
      </c>
    </row>
    <row r="59" spans="1:27" s="80" customFormat="1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</row>
    <row r="60" spans="1:27" s="80" customFormat="1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</row>
    <row r="61" spans="1:27" s="80" customFormat="1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</row>
    <row r="62" spans="1:27" s="80" customFormat="1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</row>
    <row r="63" spans="1:27" s="80" customFormat="1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</row>
    <row r="64" spans="1:27" s="80" customFormat="1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</row>
    <row r="65" spans="1:11" s="80" customFormat="1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</row>
    <row r="66" spans="1:11" s="80" customFormat="1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</row>
    <row r="67" spans="1:11" s="80" customFormat="1"/>
    <row r="68" spans="1:11" s="80" customFormat="1"/>
  </sheetData>
  <mergeCells count="7">
    <mergeCell ref="B3:L3"/>
    <mergeCell ref="A12:B12"/>
    <mergeCell ref="A4:K4"/>
    <mergeCell ref="A6:K6"/>
    <mergeCell ref="A7:K7"/>
    <mergeCell ref="A8:K8"/>
    <mergeCell ref="A9:E9"/>
  </mergeCells>
  <pageMargins left="0.39370078740157483" right="0.15748031496062992" top="0.23622047244094491" bottom="0.19685039370078741" header="0.19685039370078741" footer="0.15748031496062992"/>
  <pageSetup paperSize="9" scale="8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Plan4"/>
  <dimension ref="A1:W6629"/>
  <sheetViews>
    <sheetView showGridLines="0" topLeftCell="N5" zoomScaleNormal="100" workbookViewId="0">
      <selection activeCell="V6148" sqref="V6148"/>
    </sheetView>
  </sheetViews>
  <sheetFormatPr defaultRowHeight="15"/>
  <cols>
    <col min="1" max="1" width="10.140625" customWidth="1"/>
    <col min="2" max="2" width="9.42578125" customWidth="1"/>
    <col min="3" max="3" width="19.85546875" customWidth="1"/>
    <col min="4" max="4" width="51.42578125" customWidth="1"/>
    <col min="5" max="5" width="6.7109375" customWidth="1"/>
    <col min="6" max="6" width="40" customWidth="1"/>
    <col min="7" max="7" width="18" customWidth="1"/>
    <col min="8" max="10" width="15.28515625" style="225" customWidth="1"/>
    <col min="11" max="11" width="17.42578125" style="225" customWidth="1"/>
    <col min="12" max="12" width="19.85546875" style="225" customWidth="1"/>
    <col min="13" max="13" width="15.28515625" style="225" customWidth="1"/>
    <col min="14" max="14" width="7.28515625" customWidth="1"/>
    <col min="15" max="15" width="17" customWidth="1"/>
    <col min="16" max="16" width="13.140625" customWidth="1"/>
    <col min="17" max="17" width="14.7109375" customWidth="1"/>
    <col min="18" max="18" width="14.28515625" style="225" customWidth="1"/>
    <col min="19" max="19" width="12.7109375" customWidth="1"/>
    <col min="20" max="20" width="11.42578125" customWidth="1"/>
    <col min="21" max="21" width="45.42578125" customWidth="1"/>
    <col min="22" max="22" width="49" customWidth="1"/>
    <col min="23" max="23" width="16.140625" customWidth="1"/>
    <col min="24" max="24" width="55.7109375" customWidth="1"/>
    <col min="25" max="25" width="59.5703125" customWidth="1"/>
    <col min="26" max="26" width="72.140625" customWidth="1"/>
    <col min="27" max="27" width="43.5703125" customWidth="1"/>
    <col min="28" max="28" width="76.7109375" customWidth="1"/>
    <col min="29" max="29" width="42.42578125" customWidth="1"/>
    <col min="30" max="30" width="14.42578125" bestFit="1" customWidth="1"/>
    <col min="34" max="34" width="15" customWidth="1"/>
    <col min="35" max="35" width="40" bestFit="1" customWidth="1"/>
    <col min="36" max="36" width="18" bestFit="1" customWidth="1"/>
    <col min="37" max="37" width="21.42578125" bestFit="1" customWidth="1"/>
    <col min="38" max="38" width="35.140625" bestFit="1" customWidth="1"/>
  </cols>
  <sheetData>
    <row r="1" spans="1:23" ht="21">
      <c r="A1" s="24" t="s">
        <v>146</v>
      </c>
      <c r="B1" s="5"/>
      <c r="C1" s="5"/>
      <c r="D1" s="5"/>
      <c r="E1" s="5"/>
      <c r="F1" s="5"/>
      <c r="G1" s="5"/>
      <c r="H1" s="224"/>
      <c r="I1" s="224"/>
      <c r="J1" s="224"/>
      <c r="K1" s="224"/>
      <c r="L1" s="224"/>
      <c r="M1" s="224"/>
      <c r="N1" s="5"/>
      <c r="O1" s="5"/>
      <c r="P1" s="5"/>
      <c r="Q1" s="5"/>
      <c r="R1" s="224"/>
      <c r="S1" s="5"/>
      <c r="T1" s="5"/>
      <c r="U1" s="5"/>
      <c r="V1" s="5"/>
      <c r="W1" s="5"/>
    </row>
    <row r="2" spans="1:23">
      <c r="A2" s="5" t="s">
        <v>147</v>
      </c>
      <c r="B2" s="5"/>
      <c r="C2" s="5"/>
      <c r="D2" s="5"/>
      <c r="E2" s="5"/>
      <c r="F2" s="5"/>
      <c r="G2" s="5"/>
      <c r="H2" s="224"/>
      <c r="I2" s="224"/>
      <c r="J2" s="224"/>
      <c r="K2" s="224"/>
      <c r="L2" s="224"/>
      <c r="M2" s="224"/>
      <c r="N2" s="5"/>
      <c r="O2" s="5"/>
      <c r="P2" s="5"/>
      <c r="Q2" s="5"/>
      <c r="R2" s="224"/>
      <c r="S2" s="5"/>
      <c r="T2" s="5"/>
      <c r="U2" s="5"/>
      <c r="V2" s="5"/>
      <c r="W2" s="5"/>
    </row>
    <row r="3" spans="1:23">
      <c r="A3" s="5"/>
      <c r="B3" s="5"/>
      <c r="C3" s="5"/>
      <c r="D3" s="5"/>
      <c r="E3" s="5"/>
      <c r="F3" s="5"/>
      <c r="G3" s="5"/>
      <c r="H3" s="224"/>
      <c r="I3" s="224"/>
      <c r="J3" s="224"/>
      <c r="K3" s="224"/>
      <c r="L3" s="224"/>
      <c r="M3" s="224"/>
      <c r="N3" s="5"/>
      <c r="O3" s="5"/>
      <c r="P3" s="5"/>
      <c r="Q3" s="5"/>
      <c r="R3" s="224"/>
      <c r="S3" s="5"/>
      <c r="T3" s="5"/>
      <c r="U3" s="5"/>
      <c r="V3" s="5"/>
      <c r="W3" s="5"/>
    </row>
    <row r="5" spans="1:23">
      <c r="A5" t="s">
        <v>125</v>
      </c>
      <c r="B5" t="s">
        <v>0</v>
      </c>
      <c r="C5" t="s">
        <v>107</v>
      </c>
      <c r="D5" t="s">
        <v>108</v>
      </c>
      <c r="E5" t="s">
        <v>121</v>
      </c>
      <c r="F5" t="s">
        <v>122</v>
      </c>
      <c r="G5" t="s">
        <v>109</v>
      </c>
      <c r="H5" s="225" t="s">
        <v>91</v>
      </c>
      <c r="I5" s="225" t="s">
        <v>110</v>
      </c>
      <c r="J5" s="225" t="s">
        <v>111</v>
      </c>
      <c r="K5" s="225" t="s">
        <v>112</v>
      </c>
      <c r="L5" s="225" t="s">
        <v>124</v>
      </c>
      <c r="M5" s="225" t="s">
        <v>123</v>
      </c>
      <c r="N5" t="s">
        <v>2</v>
      </c>
      <c r="O5" t="s">
        <v>113</v>
      </c>
      <c r="P5" t="s">
        <v>114</v>
      </c>
      <c r="Q5" t="s">
        <v>115</v>
      </c>
      <c r="R5" s="225" t="s">
        <v>4534</v>
      </c>
      <c r="S5" t="s">
        <v>118</v>
      </c>
      <c r="T5" t="s">
        <v>119</v>
      </c>
      <c r="U5" t="s">
        <v>139</v>
      </c>
      <c r="V5" t="s">
        <v>120</v>
      </c>
      <c r="W5" t="s">
        <v>4229</v>
      </c>
    </row>
    <row r="6" spans="1:23" hidden="1">
      <c r="A6" s="3" t="str">
        <f t="shared" ref="A6:A69" si="0">"Período 1"</f>
        <v>Período 1</v>
      </c>
      <c r="B6">
        <v>1</v>
      </c>
      <c r="C6" t="s">
        <v>395</v>
      </c>
      <c r="D6" t="s">
        <v>80</v>
      </c>
      <c r="E6" s="3" t="str">
        <f>IF(LEN(Base_Periodo1[[#This Row],[CLASS]])&gt;=7,LEFT(Base_Periodo1[[#This Row],[CLASS]],7),"")</f>
        <v/>
      </c>
      <c r="F6" s="3" t="e">
        <f>VLOOKUP(Base_Periodo1[[#This Row],[Aux]],Base_Contas_Balanco[#All],2,FALSE)</f>
        <v>#N/A</v>
      </c>
      <c r="G6" s="1"/>
      <c r="H6" s="225">
        <v>545784210.31012869</v>
      </c>
      <c r="I6" s="225">
        <v>425092213.88000005</v>
      </c>
      <c r="J6" s="225">
        <v>460299944.15000015</v>
      </c>
      <c r="K6" s="225">
        <v>510576480.04012865</v>
      </c>
      <c r="L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510576480.04009998</v>
      </c>
      <c r="M6" s="225">
        <f>ROUND(IF(AND(Base_Periodo1[[#This Row],[Tipo_Linha]]="-",Base_Periodo1[[#This Row],[TIPOSALDO]]="D"),Base_Periodo1[[#This Row],[SALDO_ATUAL]]*-1,Base_Periodo1[[#This Row],[SALDO_ATUAL]]),4)</f>
        <v>510576480.04009998</v>
      </c>
      <c r="N6" t="s">
        <v>396</v>
      </c>
      <c r="O6" t="s">
        <v>397</v>
      </c>
      <c r="P6" t="s">
        <v>397</v>
      </c>
      <c r="Q6">
        <v>1</v>
      </c>
      <c r="R6" s="225">
        <f>Base_Periodo1[[#This Row],[CREDITOS]]-Base_Periodo1[[#This Row],[DEBITOS]]</f>
        <v>35207730.2700001</v>
      </c>
      <c r="S6" s="3" t="str">
        <f>IF(ISERROR(VLOOKUP(Base_Periodo1[[#This Row],[CONTA]],BaseContasDRE[#All],4,FALSE)),"Fora do DRE",VLOOKUP(Base_Periodo1[[#This Row],[CONTA]],BaseContasDRE[#All],4,FALSE))</f>
        <v>Fora do DRE</v>
      </c>
      <c r="T6" s="3" t="str">
        <f>IF(ISERROR(VLOOKUP(Base_Periodo1[[#This Row],[CONTA]],BaseContasDRE[#All],5,FALSE)),"Fora do DRE",VLOOKUP(Base_Periodo1[[#This Row],[CONTA]],BaseContasDRE[#All],6,FALSE))</f>
        <v>Fora do DRE</v>
      </c>
      <c r="U6" s="3" t="str">
        <f>IF(ISERROR(VLOOKUP(Base_Periodo1[[#This Row],[CONTA]],BaseContasDRE[#All],7,FALSE)),"Fora do DRE",VLOOKUP(Base_Periodo1[[#This Row],[CONTA]],BaseContasDRE[#All],7,FALSE))</f>
        <v>Fora do DRE</v>
      </c>
      <c r="V6" s="3" t="str">
        <f>IF(Base_Periodo1[[#This Row],[Tipo_Linha]]="Fora do DRE","Fora do DRE","( "&amp;Base_Periodo1[[#This Row],[Tipo_Linha]]&amp;" ) "&amp;Base_Periodo1[[#This Row],[Filtro]])</f>
        <v>Fora do DRE</v>
      </c>
      <c r="W6" s="3" t="str">
        <f>LEFT(Base_Periodo1[[#This Row],[CLASS]],3)</f>
        <v>1</v>
      </c>
    </row>
    <row r="7" spans="1:23" hidden="1">
      <c r="A7" s="3" t="str">
        <f t="shared" si="0"/>
        <v>Período 1</v>
      </c>
      <c r="B7">
        <v>2</v>
      </c>
      <c r="C7" t="s">
        <v>398</v>
      </c>
      <c r="D7" t="s">
        <v>85</v>
      </c>
      <c r="E7" s="3" t="str">
        <f>IF(LEN(Base_Periodo1[[#This Row],[CLASS]])&gt;=7,LEFT(Base_Periodo1[[#This Row],[CLASS]],7),"")</f>
        <v/>
      </c>
      <c r="F7" s="3" t="e">
        <f>VLOOKUP(Base_Periodo1[[#This Row],[Aux]],Base_Contas_Balanco[#All],2,FALSE)</f>
        <v>#N/A</v>
      </c>
      <c r="G7" s="1"/>
      <c r="H7" s="225">
        <v>433782618.81012875</v>
      </c>
      <c r="I7" s="225">
        <v>414945636.87</v>
      </c>
      <c r="J7" s="225">
        <v>450387640.09000009</v>
      </c>
      <c r="K7" s="225">
        <v>398340615.59012872</v>
      </c>
      <c r="L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398340615.59009999</v>
      </c>
      <c r="M7" s="225">
        <f>ROUND(IF(AND(Base_Periodo1[[#This Row],[Tipo_Linha]]="-",Base_Periodo1[[#This Row],[TIPOSALDO]]="D"),Base_Periodo1[[#This Row],[SALDO_ATUAL]]*-1,Base_Periodo1[[#This Row],[SALDO_ATUAL]]),4)</f>
        <v>398340615.59009999</v>
      </c>
      <c r="N7" t="s">
        <v>396</v>
      </c>
      <c r="O7" t="s">
        <v>397</v>
      </c>
      <c r="P7" t="s">
        <v>397</v>
      </c>
      <c r="Q7">
        <v>2</v>
      </c>
      <c r="R7" s="225">
        <f>Base_Periodo1[[#This Row],[CREDITOS]]-Base_Periodo1[[#This Row],[DEBITOS]]</f>
        <v>35442003.220000088</v>
      </c>
      <c r="S7" s="3" t="str">
        <f>IF(ISERROR(VLOOKUP(Base_Periodo1[[#This Row],[CONTA]],BaseContasDRE[#All],4,FALSE)),"Fora do DRE",VLOOKUP(Base_Periodo1[[#This Row],[CONTA]],BaseContasDRE[#All],4,FALSE))</f>
        <v>Fora do DRE</v>
      </c>
      <c r="T7" s="3" t="str">
        <f>IF(ISERROR(VLOOKUP(Base_Periodo1[[#This Row],[CONTA]],BaseContasDRE[#All],5,FALSE)),"Fora do DRE",VLOOKUP(Base_Periodo1[[#This Row],[CONTA]],BaseContasDRE[#All],6,FALSE))</f>
        <v>Fora do DRE</v>
      </c>
      <c r="U7" s="3" t="str">
        <f>IF(ISERROR(VLOOKUP(Base_Periodo1[[#This Row],[CONTA]],BaseContasDRE[#All],7,FALSE)),"Fora do DRE",VLOOKUP(Base_Periodo1[[#This Row],[CONTA]],BaseContasDRE[#All],7,FALSE))</f>
        <v>Fora do DRE</v>
      </c>
      <c r="V7" s="3" t="str">
        <f>IF(Base_Periodo1[[#This Row],[Tipo_Linha]]="Fora do DRE","Fora do DRE","( "&amp;Base_Periodo1[[#This Row],[Tipo_Linha]]&amp;" ) "&amp;Base_Periodo1[[#This Row],[Filtro]])</f>
        <v>Fora do DRE</v>
      </c>
      <c r="W7" s="3" t="str">
        <f>LEFT(Base_Periodo1[[#This Row],[CLASS]],3)</f>
        <v>1.1</v>
      </c>
    </row>
    <row r="8" spans="1:23" hidden="1">
      <c r="A8" s="3" t="str">
        <f t="shared" si="0"/>
        <v>Período 1</v>
      </c>
      <c r="B8">
        <v>3</v>
      </c>
      <c r="C8" t="s">
        <v>399</v>
      </c>
      <c r="D8" t="s">
        <v>81</v>
      </c>
      <c r="E8" s="3" t="str">
        <f>IF(LEN(Base_Periodo1[[#This Row],[CLASS]])&gt;=7,LEFT(Base_Periodo1[[#This Row],[CLASS]],7),"")</f>
        <v/>
      </c>
      <c r="F8" s="3" t="e">
        <f>VLOOKUP(Base_Periodo1[[#This Row],[Aux]],Base_Contas_Balanco[#All],2,FALSE)</f>
        <v>#N/A</v>
      </c>
      <c r="G8" s="1"/>
      <c r="H8" s="225">
        <v>54154071.950151995</v>
      </c>
      <c r="I8" s="225">
        <v>195121445.5</v>
      </c>
      <c r="J8" s="225">
        <v>208262401.88999993</v>
      </c>
      <c r="K8" s="225">
        <v>41013115.560152054</v>
      </c>
      <c r="L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41013115.560199998</v>
      </c>
      <c r="M8" s="225">
        <f>ROUND(IF(AND(Base_Periodo1[[#This Row],[Tipo_Linha]]="-",Base_Periodo1[[#This Row],[TIPOSALDO]]="D"),Base_Periodo1[[#This Row],[SALDO_ATUAL]]*-1,Base_Periodo1[[#This Row],[SALDO_ATUAL]]),4)</f>
        <v>41013115.560199998</v>
      </c>
      <c r="N8" t="s">
        <v>396</v>
      </c>
      <c r="O8" t="s">
        <v>397</v>
      </c>
      <c r="P8" t="s">
        <v>397</v>
      </c>
      <c r="Q8">
        <v>3</v>
      </c>
      <c r="R8" s="225">
        <f>Base_Periodo1[[#This Row],[CREDITOS]]-Base_Periodo1[[#This Row],[DEBITOS]]</f>
        <v>13140956.389999926</v>
      </c>
      <c r="S8" s="3" t="str">
        <f>IF(ISERROR(VLOOKUP(Base_Periodo1[[#This Row],[CONTA]],BaseContasDRE[#All],4,FALSE)),"Fora do DRE",VLOOKUP(Base_Periodo1[[#This Row],[CONTA]],BaseContasDRE[#All],4,FALSE))</f>
        <v>Fora do DRE</v>
      </c>
      <c r="T8" s="3" t="str">
        <f>IF(ISERROR(VLOOKUP(Base_Periodo1[[#This Row],[CONTA]],BaseContasDRE[#All],5,FALSE)),"Fora do DRE",VLOOKUP(Base_Periodo1[[#This Row],[CONTA]],BaseContasDRE[#All],6,FALSE))</f>
        <v>Fora do DRE</v>
      </c>
      <c r="U8" s="3" t="str">
        <f>IF(ISERROR(VLOOKUP(Base_Periodo1[[#This Row],[CONTA]],BaseContasDRE[#All],7,FALSE)),"Fora do DRE",VLOOKUP(Base_Periodo1[[#This Row],[CONTA]],BaseContasDRE[#All],7,FALSE))</f>
        <v>Fora do DRE</v>
      </c>
      <c r="V8" s="3" t="str">
        <f>IF(Base_Periodo1[[#This Row],[Tipo_Linha]]="Fora do DRE","Fora do DRE","( "&amp;Base_Periodo1[[#This Row],[Tipo_Linha]]&amp;" ) "&amp;Base_Periodo1[[#This Row],[Filtro]])</f>
        <v>Fora do DRE</v>
      </c>
      <c r="W8" s="3" t="str">
        <f>LEFT(Base_Periodo1[[#This Row],[CLASS]],3)</f>
        <v>1.1</v>
      </c>
    </row>
    <row r="9" spans="1:23" hidden="1">
      <c r="A9" s="3" t="str">
        <f t="shared" si="0"/>
        <v>Período 1</v>
      </c>
      <c r="B9">
        <v>4</v>
      </c>
      <c r="C9" t="s">
        <v>4</v>
      </c>
      <c r="D9" t="s">
        <v>5</v>
      </c>
      <c r="E9" s="3" t="str">
        <f>IF(LEN(Base_Periodo1[[#This Row],[CLASS]])&gt;=7,LEFT(Base_Periodo1[[#This Row],[CLASS]],7),"")</f>
        <v>1.1.1.1</v>
      </c>
      <c r="F9" s="3" t="str">
        <f>VLOOKUP(Base_Periodo1[[#This Row],[Aux]],Base_Contas_Balanco[#All],2,FALSE)</f>
        <v>Caixa</v>
      </c>
      <c r="G9" s="1"/>
      <c r="H9" s="225">
        <v>1639118.5100156106</v>
      </c>
      <c r="I9" s="225">
        <v>45776981.530000031</v>
      </c>
      <c r="J9" s="225">
        <v>47314874.50999999</v>
      </c>
      <c r="K9" s="225">
        <v>101225.53001564741</v>
      </c>
      <c r="L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101225.53</v>
      </c>
      <c r="M9" s="225">
        <f>ROUND(IF(AND(Base_Periodo1[[#This Row],[Tipo_Linha]]="-",Base_Periodo1[[#This Row],[TIPOSALDO]]="D"),Base_Periodo1[[#This Row],[SALDO_ATUAL]]*-1,Base_Periodo1[[#This Row],[SALDO_ATUAL]]),4)</f>
        <v>101225.53</v>
      </c>
      <c r="N9" t="s">
        <v>396</v>
      </c>
      <c r="O9" t="s">
        <v>397</v>
      </c>
      <c r="P9" t="s">
        <v>397</v>
      </c>
      <c r="Q9">
        <v>4</v>
      </c>
      <c r="R9" s="225">
        <f>Base_Periodo1[[#This Row],[CREDITOS]]-Base_Periodo1[[#This Row],[DEBITOS]]</f>
        <v>1537892.9799999595</v>
      </c>
      <c r="S9" s="3" t="str">
        <f>IF(ISERROR(VLOOKUP(Base_Periodo1[[#This Row],[CONTA]],BaseContasDRE[#All],4,FALSE)),"Fora do DRE",VLOOKUP(Base_Periodo1[[#This Row],[CONTA]],BaseContasDRE[#All],4,FALSE))</f>
        <v>Fora do DRE</v>
      </c>
      <c r="T9" s="3" t="str">
        <f>IF(ISERROR(VLOOKUP(Base_Periodo1[[#This Row],[CONTA]],BaseContasDRE[#All],5,FALSE)),"Fora do DRE",VLOOKUP(Base_Periodo1[[#This Row],[CONTA]],BaseContasDRE[#All],6,FALSE))</f>
        <v>Fora do DRE</v>
      </c>
      <c r="U9" s="3" t="str">
        <f>IF(ISERROR(VLOOKUP(Base_Periodo1[[#This Row],[CONTA]],BaseContasDRE[#All],7,FALSE)),"Fora do DRE",VLOOKUP(Base_Periodo1[[#This Row],[CONTA]],BaseContasDRE[#All],7,FALSE))</f>
        <v>Fora do DRE</v>
      </c>
      <c r="V9" s="3" t="str">
        <f>IF(Base_Periodo1[[#This Row],[Tipo_Linha]]="Fora do DRE","Fora do DRE","( "&amp;Base_Periodo1[[#This Row],[Tipo_Linha]]&amp;" ) "&amp;Base_Periodo1[[#This Row],[Filtro]])</f>
        <v>Fora do DRE</v>
      </c>
      <c r="W9" s="3" t="str">
        <f>LEFT(Base_Periodo1[[#This Row],[CLASS]],3)</f>
        <v>1.1</v>
      </c>
    </row>
    <row r="10" spans="1:23" hidden="1">
      <c r="A10" s="3" t="str">
        <f t="shared" si="0"/>
        <v>Período 1</v>
      </c>
      <c r="B10">
        <v>5</v>
      </c>
      <c r="C10" t="s">
        <v>400</v>
      </c>
      <c r="D10" t="s">
        <v>401</v>
      </c>
      <c r="E10" s="3" t="str">
        <f>IF(LEN(Base_Periodo1[[#This Row],[CLASS]])&gt;=7,LEFT(Base_Periodo1[[#This Row],[CLASS]],7),"")</f>
        <v>1.1.1.1</v>
      </c>
      <c r="F10" s="3" t="str">
        <f>VLOOKUP(Base_Periodo1[[#This Row],[Aux]],Base_Contas_Balanco[#All],2,FALSE)</f>
        <v>Caixa</v>
      </c>
      <c r="G10" s="1">
        <v>42886</v>
      </c>
      <c r="H10" s="225">
        <v>1186909.1200156212</v>
      </c>
      <c r="I10" s="225">
        <v>31374921.380000021</v>
      </c>
      <c r="J10" s="225">
        <v>32512937.889999989</v>
      </c>
      <c r="K10" s="225">
        <v>48892.610015653074</v>
      </c>
      <c r="L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48892.61</v>
      </c>
      <c r="M10" s="225">
        <f>ROUND(IF(AND(Base_Periodo1[[#This Row],[Tipo_Linha]]="-",Base_Periodo1[[#This Row],[TIPOSALDO]]="D"),Base_Periodo1[[#This Row],[SALDO_ATUAL]]*-1,Base_Periodo1[[#This Row],[SALDO_ATUAL]]),4)</f>
        <v>48892.61</v>
      </c>
      <c r="N10" t="s">
        <v>116</v>
      </c>
      <c r="O10" t="s">
        <v>397</v>
      </c>
      <c r="P10" t="s">
        <v>397</v>
      </c>
      <c r="Q10">
        <v>5</v>
      </c>
      <c r="R10" s="225">
        <f>Base_Periodo1[[#This Row],[CREDITOS]]-Base_Periodo1[[#This Row],[DEBITOS]]</f>
        <v>1138016.5099999681</v>
      </c>
      <c r="S10" s="3" t="str">
        <f>IF(ISERROR(VLOOKUP(Base_Periodo1[[#This Row],[CONTA]],BaseContasDRE[#All],4,FALSE)),"Fora do DRE",VLOOKUP(Base_Periodo1[[#This Row],[CONTA]],BaseContasDRE[#All],4,FALSE))</f>
        <v>Fora do DRE</v>
      </c>
      <c r="T10" s="3" t="str">
        <f>IF(ISERROR(VLOOKUP(Base_Periodo1[[#This Row],[CONTA]],BaseContasDRE[#All],5,FALSE)),"Fora do DRE",VLOOKUP(Base_Periodo1[[#This Row],[CONTA]],BaseContasDRE[#All],6,FALSE))</f>
        <v>Fora do DRE</v>
      </c>
      <c r="U10" s="3" t="str">
        <f>IF(ISERROR(VLOOKUP(Base_Periodo1[[#This Row],[CONTA]],BaseContasDRE[#All],7,FALSE)),"Fora do DRE",VLOOKUP(Base_Periodo1[[#This Row],[CONTA]],BaseContasDRE[#All],7,FALSE))</f>
        <v>Fora do DRE</v>
      </c>
      <c r="V10" s="3" t="str">
        <f>IF(Base_Periodo1[[#This Row],[Tipo_Linha]]="Fora do DRE","Fora do DRE","( "&amp;Base_Periodo1[[#This Row],[Tipo_Linha]]&amp;" ) "&amp;Base_Periodo1[[#This Row],[Filtro]])</f>
        <v>Fora do DRE</v>
      </c>
      <c r="W10" s="3" t="str">
        <f>LEFT(Base_Periodo1[[#This Row],[CLASS]],3)</f>
        <v>1.1</v>
      </c>
    </row>
    <row r="11" spans="1:23" hidden="1">
      <c r="A11" s="3" t="str">
        <f t="shared" si="0"/>
        <v>Período 1</v>
      </c>
      <c r="B11">
        <v>46794</v>
      </c>
      <c r="C11" t="s">
        <v>402</v>
      </c>
      <c r="D11" t="s">
        <v>403</v>
      </c>
      <c r="E11" s="3" t="str">
        <f>IF(LEN(Base_Periodo1[[#This Row],[CLASS]])&gt;=7,LEFT(Base_Periodo1[[#This Row],[CLASS]],7),"")</f>
        <v>1.1.1.1</v>
      </c>
      <c r="F11" s="3" t="str">
        <f>VLOOKUP(Base_Periodo1[[#This Row],[Aux]],Base_Contas_Balanco[#All],2,FALSE)</f>
        <v>Caixa</v>
      </c>
      <c r="G11" s="1">
        <v>42886</v>
      </c>
      <c r="H11" s="225">
        <v>11160.270000018179</v>
      </c>
      <c r="I11" s="225">
        <v>1700478.6100000006</v>
      </c>
      <c r="J11" s="225">
        <v>1702964.0100000002</v>
      </c>
      <c r="K11" s="225">
        <v>8674.8700000185054</v>
      </c>
      <c r="L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8674.8700000000008</v>
      </c>
      <c r="M11" s="225">
        <f>ROUND(IF(AND(Base_Periodo1[[#This Row],[Tipo_Linha]]="-",Base_Periodo1[[#This Row],[TIPOSALDO]]="D"),Base_Periodo1[[#This Row],[SALDO_ATUAL]]*-1,Base_Periodo1[[#This Row],[SALDO_ATUAL]]),4)</f>
        <v>8674.8700000000008</v>
      </c>
      <c r="N11" t="s">
        <v>116</v>
      </c>
      <c r="O11" t="s">
        <v>397</v>
      </c>
      <c r="P11" t="s">
        <v>397</v>
      </c>
      <c r="Q11">
        <v>5</v>
      </c>
      <c r="R11" s="225">
        <f>Base_Periodo1[[#This Row],[CREDITOS]]-Base_Periodo1[[#This Row],[DEBITOS]]</f>
        <v>2485.399999999674</v>
      </c>
      <c r="S11" s="3" t="str">
        <f>IF(ISERROR(VLOOKUP(Base_Periodo1[[#This Row],[CONTA]],BaseContasDRE[#All],4,FALSE)),"Fora do DRE",VLOOKUP(Base_Periodo1[[#This Row],[CONTA]],BaseContasDRE[#All],4,FALSE))</f>
        <v>Fora do DRE</v>
      </c>
      <c r="T11" s="3" t="str">
        <f>IF(ISERROR(VLOOKUP(Base_Periodo1[[#This Row],[CONTA]],BaseContasDRE[#All],5,FALSE)),"Fora do DRE",VLOOKUP(Base_Periodo1[[#This Row],[CONTA]],BaseContasDRE[#All],6,FALSE))</f>
        <v>Fora do DRE</v>
      </c>
      <c r="U11" s="3" t="str">
        <f>IF(ISERROR(VLOOKUP(Base_Periodo1[[#This Row],[CONTA]],BaseContasDRE[#All],7,FALSE)),"Fora do DRE",VLOOKUP(Base_Periodo1[[#This Row],[CONTA]],BaseContasDRE[#All],7,FALSE))</f>
        <v>Fora do DRE</v>
      </c>
      <c r="V11" s="3" t="str">
        <f>IF(Base_Periodo1[[#This Row],[Tipo_Linha]]="Fora do DRE","Fora do DRE","( "&amp;Base_Periodo1[[#This Row],[Tipo_Linha]]&amp;" ) "&amp;Base_Periodo1[[#This Row],[Filtro]])</f>
        <v>Fora do DRE</v>
      </c>
      <c r="W11" s="3" t="str">
        <f>LEFT(Base_Periodo1[[#This Row],[CLASS]],3)</f>
        <v>1.1</v>
      </c>
    </row>
    <row r="12" spans="1:23" hidden="1">
      <c r="A12" s="3" t="str">
        <f t="shared" si="0"/>
        <v>Período 1</v>
      </c>
      <c r="B12">
        <v>46795</v>
      </c>
      <c r="C12" t="s">
        <v>404</v>
      </c>
      <c r="D12" t="s">
        <v>405</v>
      </c>
      <c r="E12" s="3" t="str">
        <f>IF(LEN(Base_Periodo1[[#This Row],[CLASS]])&gt;=7,LEFT(Base_Periodo1[[#This Row],[CLASS]],7),"")</f>
        <v>1.1.1.1</v>
      </c>
      <c r="F12" s="3" t="str">
        <f>VLOOKUP(Base_Periodo1[[#This Row],[Aux]],Base_Contas_Balanco[#All],2,FALSE)</f>
        <v>Caixa</v>
      </c>
      <c r="G12" s="1">
        <v>42886</v>
      </c>
      <c r="H12" s="225">
        <v>65490.669999957085</v>
      </c>
      <c r="I12" s="225">
        <v>1924601.3900000006</v>
      </c>
      <c r="J12" s="225">
        <v>1977769.53</v>
      </c>
      <c r="K12" s="225">
        <v>12322.529999957653</v>
      </c>
      <c r="L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12322.53</v>
      </c>
      <c r="M12" s="225">
        <f>ROUND(IF(AND(Base_Periodo1[[#This Row],[Tipo_Linha]]="-",Base_Periodo1[[#This Row],[TIPOSALDO]]="D"),Base_Periodo1[[#This Row],[SALDO_ATUAL]]*-1,Base_Periodo1[[#This Row],[SALDO_ATUAL]]),4)</f>
        <v>12322.53</v>
      </c>
      <c r="N12" t="s">
        <v>116</v>
      </c>
      <c r="O12" t="s">
        <v>397</v>
      </c>
      <c r="P12" t="s">
        <v>397</v>
      </c>
      <c r="Q12">
        <v>5</v>
      </c>
      <c r="R12" s="225">
        <f>Base_Periodo1[[#This Row],[CREDITOS]]-Base_Periodo1[[#This Row],[DEBITOS]]</f>
        <v>53168.139999999432</v>
      </c>
      <c r="S12" s="3" t="str">
        <f>IF(ISERROR(VLOOKUP(Base_Periodo1[[#This Row],[CONTA]],BaseContasDRE[#All],4,FALSE)),"Fora do DRE",VLOOKUP(Base_Periodo1[[#This Row],[CONTA]],BaseContasDRE[#All],4,FALSE))</f>
        <v>Fora do DRE</v>
      </c>
      <c r="T12" s="3" t="str">
        <f>IF(ISERROR(VLOOKUP(Base_Periodo1[[#This Row],[CONTA]],BaseContasDRE[#All],5,FALSE)),"Fora do DRE",VLOOKUP(Base_Periodo1[[#This Row],[CONTA]],BaseContasDRE[#All],6,FALSE))</f>
        <v>Fora do DRE</v>
      </c>
      <c r="U12" s="3" t="str">
        <f>IF(ISERROR(VLOOKUP(Base_Periodo1[[#This Row],[CONTA]],BaseContasDRE[#All],7,FALSE)),"Fora do DRE",VLOOKUP(Base_Periodo1[[#This Row],[CONTA]],BaseContasDRE[#All],7,FALSE))</f>
        <v>Fora do DRE</v>
      </c>
      <c r="V12" s="3" t="str">
        <f>IF(Base_Periodo1[[#This Row],[Tipo_Linha]]="Fora do DRE","Fora do DRE","( "&amp;Base_Periodo1[[#This Row],[Tipo_Linha]]&amp;" ) "&amp;Base_Periodo1[[#This Row],[Filtro]])</f>
        <v>Fora do DRE</v>
      </c>
      <c r="W12" s="3" t="str">
        <f>LEFT(Base_Periodo1[[#This Row],[CLASS]],3)</f>
        <v>1.1</v>
      </c>
    </row>
    <row r="13" spans="1:23" hidden="1">
      <c r="A13" s="3" t="str">
        <f t="shared" si="0"/>
        <v>Período 1</v>
      </c>
      <c r="B13">
        <v>46796</v>
      </c>
      <c r="C13" t="s">
        <v>406</v>
      </c>
      <c r="D13" t="s">
        <v>407</v>
      </c>
      <c r="E13" s="3" t="str">
        <f>IF(LEN(Base_Periodo1[[#This Row],[CLASS]])&gt;=7,LEFT(Base_Periodo1[[#This Row],[CLASS]],7),"")</f>
        <v>1.1.1.1</v>
      </c>
      <c r="F13" s="3" t="str">
        <f>VLOOKUP(Base_Periodo1[[#This Row],[Aux]],Base_Contas_Balanco[#All],2,FALSE)</f>
        <v>Caixa</v>
      </c>
      <c r="G13" s="1">
        <v>42886</v>
      </c>
      <c r="H13" s="225">
        <v>133305.70000003278</v>
      </c>
      <c r="I13" s="225">
        <v>1946575.7500000009</v>
      </c>
      <c r="J13" s="225">
        <v>2075594.600000001</v>
      </c>
      <c r="K13" s="225">
        <v>4286.8500000326894</v>
      </c>
      <c r="L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4286.8500000000004</v>
      </c>
      <c r="M13" s="225">
        <f>ROUND(IF(AND(Base_Periodo1[[#This Row],[Tipo_Linha]]="-",Base_Periodo1[[#This Row],[TIPOSALDO]]="D"),Base_Periodo1[[#This Row],[SALDO_ATUAL]]*-1,Base_Periodo1[[#This Row],[SALDO_ATUAL]]),4)</f>
        <v>4286.8500000000004</v>
      </c>
      <c r="N13" t="s">
        <v>116</v>
      </c>
      <c r="O13" t="s">
        <v>397</v>
      </c>
      <c r="P13" t="s">
        <v>397</v>
      </c>
      <c r="Q13">
        <v>5</v>
      </c>
      <c r="R13" s="225">
        <f>Base_Periodo1[[#This Row],[CREDITOS]]-Base_Periodo1[[#This Row],[DEBITOS]]</f>
        <v>129018.85000000009</v>
      </c>
      <c r="S13" s="3" t="str">
        <f>IF(ISERROR(VLOOKUP(Base_Periodo1[[#This Row],[CONTA]],BaseContasDRE[#All],4,FALSE)),"Fora do DRE",VLOOKUP(Base_Periodo1[[#This Row],[CONTA]],BaseContasDRE[#All],4,FALSE))</f>
        <v>Fora do DRE</v>
      </c>
      <c r="T13" s="3" t="str">
        <f>IF(ISERROR(VLOOKUP(Base_Periodo1[[#This Row],[CONTA]],BaseContasDRE[#All],5,FALSE)),"Fora do DRE",VLOOKUP(Base_Periodo1[[#This Row],[CONTA]],BaseContasDRE[#All],6,FALSE))</f>
        <v>Fora do DRE</v>
      </c>
      <c r="U13" s="3" t="str">
        <f>IF(ISERROR(VLOOKUP(Base_Periodo1[[#This Row],[CONTA]],BaseContasDRE[#All],7,FALSE)),"Fora do DRE",VLOOKUP(Base_Periodo1[[#This Row],[CONTA]],BaseContasDRE[#All],7,FALSE))</f>
        <v>Fora do DRE</v>
      </c>
      <c r="V13" s="3" t="str">
        <f>IF(Base_Periodo1[[#This Row],[Tipo_Linha]]="Fora do DRE","Fora do DRE","( "&amp;Base_Periodo1[[#This Row],[Tipo_Linha]]&amp;" ) "&amp;Base_Periodo1[[#This Row],[Filtro]])</f>
        <v>Fora do DRE</v>
      </c>
      <c r="W13" s="3" t="str">
        <f>LEFT(Base_Periodo1[[#This Row],[CLASS]],3)</f>
        <v>1.1</v>
      </c>
    </row>
    <row r="14" spans="1:23" hidden="1">
      <c r="A14" s="3" t="str">
        <f t="shared" si="0"/>
        <v>Período 1</v>
      </c>
      <c r="B14">
        <v>46798</v>
      </c>
      <c r="C14" t="s">
        <v>408</v>
      </c>
      <c r="D14" t="s">
        <v>409</v>
      </c>
      <c r="E14" s="3" t="str">
        <f>IF(LEN(Base_Periodo1[[#This Row],[CLASS]])&gt;=7,LEFT(Base_Periodo1[[#This Row],[CLASS]],7),"")</f>
        <v>1.1.1.1</v>
      </c>
      <c r="F14" s="3" t="str">
        <f>VLOOKUP(Base_Periodo1[[#This Row],[Aux]],Base_Contas_Balanco[#All],2,FALSE)</f>
        <v>Caixa</v>
      </c>
      <c r="G14" s="1">
        <v>42886</v>
      </c>
      <c r="H14" s="225">
        <v>8101.8199999891222</v>
      </c>
      <c r="I14" s="225">
        <v>1341485.9200000002</v>
      </c>
      <c r="J14" s="225">
        <v>1339133.4799999997</v>
      </c>
      <c r="K14" s="225">
        <v>10454.259999989532</v>
      </c>
      <c r="L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10454.26</v>
      </c>
      <c r="M14" s="225">
        <f>ROUND(IF(AND(Base_Periodo1[[#This Row],[Tipo_Linha]]="-",Base_Periodo1[[#This Row],[TIPOSALDO]]="D"),Base_Periodo1[[#This Row],[SALDO_ATUAL]]*-1,Base_Periodo1[[#This Row],[SALDO_ATUAL]]),4)</f>
        <v>10454.26</v>
      </c>
      <c r="N14" t="s">
        <v>116</v>
      </c>
      <c r="O14" t="s">
        <v>397</v>
      </c>
      <c r="P14" t="s">
        <v>397</v>
      </c>
      <c r="Q14">
        <v>5</v>
      </c>
      <c r="R14" s="225">
        <f>Base_Periodo1[[#This Row],[CREDITOS]]-Base_Periodo1[[#This Row],[DEBITOS]]</f>
        <v>-2352.4400000004098</v>
      </c>
      <c r="S14" s="3" t="str">
        <f>IF(ISERROR(VLOOKUP(Base_Periodo1[[#This Row],[CONTA]],BaseContasDRE[#All],4,FALSE)),"Fora do DRE",VLOOKUP(Base_Periodo1[[#This Row],[CONTA]],BaseContasDRE[#All],4,FALSE))</f>
        <v>Fora do DRE</v>
      </c>
      <c r="T14" s="3" t="str">
        <f>IF(ISERROR(VLOOKUP(Base_Periodo1[[#This Row],[CONTA]],BaseContasDRE[#All],5,FALSE)),"Fora do DRE",VLOOKUP(Base_Periodo1[[#This Row],[CONTA]],BaseContasDRE[#All],6,FALSE))</f>
        <v>Fora do DRE</v>
      </c>
      <c r="U14" s="3" t="str">
        <f>IF(ISERROR(VLOOKUP(Base_Periodo1[[#This Row],[CONTA]],BaseContasDRE[#All],7,FALSE)),"Fora do DRE",VLOOKUP(Base_Periodo1[[#This Row],[CONTA]],BaseContasDRE[#All],7,FALSE))</f>
        <v>Fora do DRE</v>
      </c>
      <c r="V14" s="3" t="str">
        <f>IF(Base_Periodo1[[#This Row],[Tipo_Linha]]="Fora do DRE","Fora do DRE","( "&amp;Base_Periodo1[[#This Row],[Tipo_Linha]]&amp;" ) "&amp;Base_Periodo1[[#This Row],[Filtro]])</f>
        <v>Fora do DRE</v>
      </c>
      <c r="W14" s="3" t="str">
        <f>LEFT(Base_Periodo1[[#This Row],[CLASS]],3)</f>
        <v>1.1</v>
      </c>
    </row>
    <row r="15" spans="1:23" hidden="1">
      <c r="A15" s="3" t="str">
        <f t="shared" si="0"/>
        <v>Período 1</v>
      </c>
      <c r="B15">
        <v>46800</v>
      </c>
      <c r="C15" t="s">
        <v>410</v>
      </c>
      <c r="D15" t="s">
        <v>411</v>
      </c>
      <c r="E15" s="3" t="str">
        <f>IF(LEN(Base_Periodo1[[#This Row],[CLASS]])&gt;=7,LEFT(Base_Periodo1[[#This Row],[CLASS]],7),"")</f>
        <v>1.1.1.1</v>
      </c>
      <c r="F15" s="3" t="str">
        <f>VLOOKUP(Base_Periodo1[[#This Row],[Aux]],Base_Contas_Balanco[#All],2,FALSE)</f>
        <v>Caixa</v>
      </c>
      <c r="G15" s="1">
        <v>42886</v>
      </c>
      <c r="H15" s="225">
        <v>223301.13000001013</v>
      </c>
      <c r="I15" s="225">
        <v>5457733.6699999999</v>
      </c>
      <c r="J15" s="225">
        <v>5677456.3300000001</v>
      </c>
      <c r="K15" s="225">
        <v>3578.4700000099838</v>
      </c>
      <c r="L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3578.47</v>
      </c>
      <c r="M15" s="225">
        <f>ROUND(IF(AND(Base_Periodo1[[#This Row],[Tipo_Linha]]="-",Base_Periodo1[[#This Row],[TIPOSALDO]]="D"),Base_Periodo1[[#This Row],[SALDO_ATUAL]]*-1,Base_Periodo1[[#This Row],[SALDO_ATUAL]]),4)</f>
        <v>3578.47</v>
      </c>
      <c r="N15" t="s">
        <v>116</v>
      </c>
      <c r="O15" t="s">
        <v>397</v>
      </c>
      <c r="P15" t="s">
        <v>397</v>
      </c>
      <c r="Q15">
        <v>5</v>
      </c>
      <c r="R15" s="225">
        <f>Base_Periodo1[[#This Row],[CREDITOS]]-Base_Periodo1[[#This Row],[DEBITOS]]</f>
        <v>219722.66000000015</v>
      </c>
      <c r="S15" s="3" t="str">
        <f>IF(ISERROR(VLOOKUP(Base_Periodo1[[#This Row],[CONTA]],BaseContasDRE[#All],4,FALSE)),"Fora do DRE",VLOOKUP(Base_Periodo1[[#This Row],[CONTA]],BaseContasDRE[#All],4,FALSE))</f>
        <v>Fora do DRE</v>
      </c>
      <c r="T15" s="3" t="str">
        <f>IF(ISERROR(VLOOKUP(Base_Periodo1[[#This Row],[CONTA]],BaseContasDRE[#All],5,FALSE)),"Fora do DRE",VLOOKUP(Base_Periodo1[[#This Row],[CONTA]],BaseContasDRE[#All],6,FALSE))</f>
        <v>Fora do DRE</v>
      </c>
      <c r="U15" s="3" t="str">
        <f>IF(ISERROR(VLOOKUP(Base_Periodo1[[#This Row],[CONTA]],BaseContasDRE[#All],7,FALSE)),"Fora do DRE",VLOOKUP(Base_Periodo1[[#This Row],[CONTA]],BaseContasDRE[#All],7,FALSE))</f>
        <v>Fora do DRE</v>
      </c>
      <c r="V15" s="3" t="str">
        <f>IF(Base_Periodo1[[#This Row],[Tipo_Linha]]="Fora do DRE","Fora do DRE","( "&amp;Base_Periodo1[[#This Row],[Tipo_Linha]]&amp;" ) "&amp;Base_Periodo1[[#This Row],[Filtro]])</f>
        <v>Fora do DRE</v>
      </c>
      <c r="W15" s="3" t="str">
        <f>LEFT(Base_Periodo1[[#This Row],[CLASS]],3)</f>
        <v>1.1</v>
      </c>
    </row>
    <row r="16" spans="1:23" hidden="1">
      <c r="A16" s="3" t="str">
        <f t="shared" si="0"/>
        <v>Período 1</v>
      </c>
      <c r="B16">
        <v>46802</v>
      </c>
      <c r="C16" t="s">
        <v>412</v>
      </c>
      <c r="D16" t="s">
        <v>413</v>
      </c>
      <c r="E16" s="3" t="str">
        <f>IF(LEN(Base_Periodo1[[#This Row],[CLASS]])&gt;=7,LEFT(Base_Periodo1[[#This Row],[CLASS]],7),"")</f>
        <v>1.1.1.1</v>
      </c>
      <c r="F16" s="3" t="str">
        <f>VLOOKUP(Base_Periodo1[[#This Row],[Aux]],Base_Contas_Balanco[#All],2,FALSE)</f>
        <v>Caixa</v>
      </c>
      <c r="G16" s="1">
        <v>42886</v>
      </c>
      <c r="H16" s="225">
        <v>10849.799999982119</v>
      </c>
      <c r="I16" s="225">
        <v>2031184.8099999996</v>
      </c>
      <c r="J16" s="225">
        <v>2029018.6700000002</v>
      </c>
      <c r="K16" s="225">
        <v>13015.93999998155</v>
      </c>
      <c r="L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13015.94</v>
      </c>
      <c r="M16" s="225">
        <f>ROUND(IF(AND(Base_Periodo1[[#This Row],[Tipo_Linha]]="-",Base_Periodo1[[#This Row],[TIPOSALDO]]="D"),Base_Periodo1[[#This Row],[SALDO_ATUAL]]*-1,Base_Periodo1[[#This Row],[SALDO_ATUAL]]),4)</f>
        <v>13015.94</v>
      </c>
      <c r="N16" t="s">
        <v>116</v>
      </c>
      <c r="O16" t="s">
        <v>397</v>
      </c>
      <c r="P16" t="s">
        <v>397</v>
      </c>
      <c r="Q16">
        <v>5</v>
      </c>
      <c r="R16" s="225">
        <f>Base_Periodo1[[#This Row],[CREDITOS]]-Base_Periodo1[[#This Row],[DEBITOS]]</f>
        <v>-2166.1399999994319</v>
      </c>
      <c r="S16" s="3" t="str">
        <f>IF(ISERROR(VLOOKUP(Base_Periodo1[[#This Row],[CONTA]],BaseContasDRE[#All],4,FALSE)),"Fora do DRE",VLOOKUP(Base_Periodo1[[#This Row],[CONTA]],BaseContasDRE[#All],4,FALSE))</f>
        <v>Fora do DRE</v>
      </c>
      <c r="T16" s="3" t="str">
        <f>IF(ISERROR(VLOOKUP(Base_Periodo1[[#This Row],[CONTA]],BaseContasDRE[#All],5,FALSE)),"Fora do DRE",VLOOKUP(Base_Periodo1[[#This Row],[CONTA]],BaseContasDRE[#All],6,FALSE))</f>
        <v>Fora do DRE</v>
      </c>
      <c r="U16" s="3" t="str">
        <f>IF(ISERROR(VLOOKUP(Base_Periodo1[[#This Row],[CONTA]],BaseContasDRE[#All],7,FALSE)),"Fora do DRE",VLOOKUP(Base_Periodo1[[#This Row],[CONTA]],BaseContasDRE[#All],7,FALSE))</f>
        <v>Fora do DRE</v>
      </c>
      <c r="V16" s="3" t="str">
        <f>IF(Base_Periodo1[[#This Row],[Tipo_Linha]]="Fora do DRE","Fora do DRE","( "&amp;Base_Periodo1[[#This Row],[Tipo_Linha]]&amp;" ) "&amp;Base_Periodo1[[#This Row],[Filtro]])</f>
        <v>Fora do DRE</v>
      </c>
      <c r="W16" s="3" t="str">
        <f>LEFT(Base_Periodo1[[#This Row],[CLASS]],3)</f>
        <v>1.1</v>
      </c>
    </row>
    <row r="17" spans="1:23" hidden="1">
      <c r="A17" s="3" t="str">
        <f t="shared" si="0"/>
        <v>Período 1</v>
      </c>
      <c r="B17">
        <v>6</v>
      </c>
      <c r="C17" t="s">
        <v>6</v>
      </c>
      <c r="D17" t="s">
        <v>7</v>
      </c>
      <c r="E17" s="3" t="str">
        <f>IF(LEN(Base_Periodo1[[#This Row],[CLASS]])&gt;=7,LEFT(Base_Periodo1[[#This Row],[CLASS]],7),"")</f>
        <v>1.1.1.2</v>
      </c>
      <c r="F17" s="3" t="str">
        <f>VLOOKUP(Base_Periodo1[[#This Row],[Aux]],Base_Contas_Balanco[#All],2,FALSE)</f>
        <v>Banco C/Movimento</v>
      </c>
      <c r="G17" s="1"/>
      <c r="H17" s="225">
        <v>5095887.6401380142</v>
      </c>
      <c r="I17" s="225">
        <v>104326961.89</v>
      </c>
      <c r="J17" s="225">
        <v>103552327.13999993</v>
      </c>
      <c r="K17" s="225">
        <v>5870522.3901380897</v>
      </c>
      <c r="L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5870522.3901000004</v>
      </c>
      <c r="M17" s="225">
        <f>ROUND(IF(AND(Base_Periodo1[[#This Row],[Tipo_Linha]]="-",Base_Periodo1[[#This Row],[TIPOSALDO]]="D"),Base_Periodo1[[#This Row],[SALDO_ATUAL]]*-1,Base_Periodo1[[#This Row],[SALDO_ATUAL]]),4)</f>
        <v>5870522.3901000004</v>
      </c>
      <c r="N17" t="s">
        <v>396</v>
      </c>
      <c r="O17" t="s">
        <v>397</v>
      </c>
      <c r="P17" t="s">
        <v>397</v>
      </c>
      <c r="Q17">
        <v>4</v>
      </c>
      <c r="R17" s="225">
        <f>Base_Periodo1[[#This Row],[CREDITOS]]-Base_Periodo1[[#This Row],[DEBITOS]]</f>
        <v>-774634.75000007451</v>
      </c>
      <c r="S17" s="3" t="str">
        <f>IF(ISERROR(VLOOKUP(Base_Periodo1[[#This Row],[CONTA]],BaseContasDRE[#All],4,FALSE)),"Fora do DRE",VLOOKUP(Base_Periodo1[[#This Row],[CONTA]],BaseContasDRE[#All],4,FALSE))</f>
        <v>Fora do DRE</v>
      </c>
      <c r="T17" s="3" t="str">
        <f>IF(ISERROR(VLOOKUP(Base_Periodo1[[#This Row],[CONTA]],BaseContasDRE[#All],5,FALSE)),"Fora do DRE",VLOOKUP(Base_Periodo1[[#This Row],[CONTA]],BaseContasDRE[#All],6,FALSE))</f>
        <v>Fora do DRE</v>
      </c>
      <c r="U17" s="3" t="str">
        <f>IF(ISERROR(VLOOKUP(Base_Periodo1[[#This Row],[CONTA]],BaseContasDRE[#All],7,FALSE)),"Fora do DRE",VLOOKUP(Base_Periodo1[[#This Row],[CONTA]],BaseContasDRE[#All],7,FALSE))</f>
        <v>Fora do DRE</v>
      </c>
      <c r="V17" s="3" t="str">
        <f>IF(Base_Periodo1[[#This Row],[Tipo_Linha]]="Fora do DRE","Fora do DRE","( "&amp;Base_Periodo1[[#This Row],[Tipo_Linha]]&amp;" ) "&amp;Base_Periodo1[[#This Row],[Filtro]])</f>
        <v>Fora do DRE</v>
      </c>
      <c r="W17" s="3" t="str">
        <f>LEFT(Base_Periodo1[[#This Row],[CLASS]],3)</f>
        <v>1.1</v>
      </c>
    </row>
    <row r="18" spans="1:23" hidden="1">
      <c r="A18" s="3" t="str">
        <f t="shared" si="0"/>
        <v>Período 1</v>
      </c>
      <c r="B18">
        <v>7</v>
      </c>
      <c r="C18" t="s">
        <v>414</v>
      </c>
      <c r="D18" t="s">
        <v>415</v>
      </c>
      <c r="E18" s="3" t="str">
        <f>IF(LEN(Base_Periodo1[[#This Row],[CLASS]])&gt;=7,LEFT(Base_Periodo1[[#This Row],[CLASS]],7),"")</f>
        <v>1.1.1.2</v>
      </c>
      <c r="F18" s="3" t="str">
        <f>VLOOKUP(Base_Periodo1[[#This Row],[Aux]],Base_Contas_Balanco[#All],2,FALSE)</f>
        <v>Banco C/Movimento</v>
      </c>
      <c r="G18" s="1"/>
      <c r="H18" s="225">
        <v>6794051.9001379283</v>
      </c>
      <c r="I18" s="225">
        <v>91085481.320000008</v>
      </c>
      <c r="J18" s="225">
        <v>91016862.869999945</v>
      </c>
      <c r="K18" s="225">
        <v>6862670.3501379937</v>
      </c>
      <c r="L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6862670.3501000004</v>
      </c>
      <c r="M18" s="225">
        <f>ROUND(IF(AND(Base_Periodo1[[#This Row],[Tipo_Linha]]="-",Base_Periodo1[[#This Row],[TIPOSALDO]]="D"),Base_Periodo1[[#This Row],[SALDO_ATUAL]]*-1,Base_Periodo1[[#This Row],[SALDO_ATUAL]]),4)</f>
        <v>6862670.3501000004</v>
      </c>
      <c r="N18" t="s">
        <v>396</v>
      </c>
      <c r="O18" t="s">
        <v>397</v>
      </c>
      <c r="P18" t="s">
        <v>397</v>
      </c>
      <c r="Q18">
        <v>5</v>
      </c>
      <c r="R18" s="225">
        <f>Base_Periodo1[[#This Row],[CREDITOS]]-Base_Periodo1[[#This Row],[DEBITOS]]</f>
        <v>-68618.450000062585</v>
      </c>
      <c r="S18" s="3" t="str">
        <f>IF(ISERROR(VLOOKUP(Base_Periodo1[[#This Row],[CONTA]],BaseContasDRE[#All],4,FALSE)),"Fora do DRE",VLOOKUP(Base_Periodo1[[#This Row],[CONTA]],BaseContasDRE[#All],4,FALSE))</f>
        <v>Fora do DRE</v>
      </c>
      <c r="T18" s="3" t="str">
        <f>IF(ISERROR(VLOOKUP(Base_Periodo1[[#This Row],[CONTA]],BaseContasDRE[#All],5,FALSE)),"Fora do DRE",VLOOKUP(Base_Periodo1[[#This Row],[CONTA]],BaseContasDRE[#All],6,FALSE))</f>
        <v>Fora do DRE</v>
      </c>
      <c r="U18" s="3" t="str">
        <f>IF(ISERROR(VLOOKUP(Base_Periodo1[[#This Row],[CONTA]],BaseContasDRE[#All],7,FALSE)),"Fora do DRE",VLOOKUP(Base_Periodo1[[#This Row],[CONTA]],BaseContasDRE[#All],7,FALSE))</f>
        <v>Fora do DRE</v>
      </c>
      <c r="V18" s="3" t="str">
        <f>IF(Base_Periodo1[[#This Row],[Tipo_Linha]]="Fora do DRE","Fora do DRE","( "&amp;Base_Periodo1[[#This Row],[Tipo_Linha]]&amp;" ) "&amp;Base_Periodo1[[#This Row],[Filtro]])</f>
        <v>Fora do DRE</v>
      </c>
      <c r="W18" s="3" t="str">
        <f>LEFT(Base_Periodo1[[#This Row],[CLASS]],3)</f>
        <v>1.1</v>
      </c>
    </row>
    <row r="19" spans="1:23" hidden="1">
      <c r="A19" s="3" t="str">
        <f t="shared" si="0"/>
        <v>Período 1</v>
      </c>
      <c r="B19">
        <v>8</v>
      </c>
      <c r="C19" t="s">
        <v>416</v>
      </c>
      <c r="D19" t="s">
        <v>417</v>
      </c>
      <c r="E19" s="3" t="str">
        <f>IF(LEN(Base_Periodo1[[#This Row],[CLASS]])&gt;=7,LEFT(Base_Periodo1[[#This Row],[CLASS]],7),"")</f>
        <v>1.1.1.2</v>
      </c>
      <c r="F19" s="3" t="str">
        <f>VLOOKUP(Base_Periodo1[[#This Row],[Aux]],Base_Contas_Balanco[#All],2,FALSE)</f>
        <v>Banco C/Movimento</v>
      </c>
      <c r="G19" s="1">
        <v>42886</v>
      </c>
      <c r="H19" s="225">
        <v>3298276.3800373077</v>
      </c>
      <c r="I19" s="225">
        <v>35325130.280000001</v>
      </c>
      <c r="J19" s="225">
        <v>36769941.459999934</v>
      </c>
      <c r="K19" s="225">
        <v>1853465.2000373751</v>
      </c>
      <c r="L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1853465.2</v>
      </c>
      <c r="M19" s="225">
        <f>ROUND(IF(AND(Base_Periodo1[[#This Row],[Tipo_Linha]]="-",Base_Periodo1[[#This Row],[TIPOSALDO]]="D"),Base_Periodo1[[#This Row],[SALDO_ATUAL]]*-1,Base_Periodo1[[#This Row],[SALDO_ATUAL]]),4)</f>
        <v>1853465.2</v>
      </c>
      <c r="N19" t="s">
        <v>116</v>
      </c>
      <c r="O19" t="s">
        <v>397</v>
      </c>
      <c r="P19" t="s">
        <v>397</v>
      </c>
      <c r="Q19">
        <v>6</v>
      </c>
      <c r="R19" s="225">
        <f>Base_Periodo1[[#This Row],[CREDITOS]]-Base_Periodo1[[#This Row],[DEBITOS]]</f>
        <v>1444811.1799999326</v>
      </c>
      <c r="S19" s="3" t="str">
        <f>IF(ISERROR(VLOOKUP(Base_Periodo1[[#This Row],[CONTA]],BaseContasDRE[#All],4,FALSE)),"Fora do DRE",VLOOKUP(Base_Periodo1[[#This Row],[CONTA]],BaseContasDRE[#All],4,FALSE))</f>
        <v>Fora do DRE</v>
      </c>
      <c r="T19" s="3" t="str">
        <f>IF(ISERROR(VLOOKUP(Base_Periodo1[[#This Row],[CONTA]],BaseContasDRE[#All],5,FALSE)),"Fora do DRE",VLOOKUP(Base_Periodo1[[#This Row],[CONTA]],BaseContasDRE[#All],6,FALSE))</f>
        <v>Fora do DRE</v>
      </c>
      <c r="U19" s="3" t="str">
        <f>IF(ISERROR(VLOOKUP(Base_Periodo1[[#This Row],[CONTA]],BaseContasDRE[#All],7,FALSE)),"Fora do DRE",VLOOKUP(Base_Periodo1[[#This Row],[CONTA]],BaseContasDRE[#All],7,FALSE))</f>
        <v>Fora do DRE</v>
      </c>
      <c r="V19" s="3" t="str">
        <f>IF(Base_Periodo1[[#This Row],[Tipo_Linha]]="Fora do DRE","Fora do DRE","( "&amp;Base_Periodo1[[#This Row],[Tipo_Linha]]&amp;" ) "&amp;Base_Periodo1[[#This Row],[Filtro]])</f>
        <v>Fora do DRE</v>
      </c>
      <c r="W19" s="3" t="str">
        <f>LEFT(Base_Periodo1[[#This Row],[CLASS]],3)</f>
        <v>1.1</v>
      </c>
    </row>
    <row r="20" spans="1:23" hidden="1">
      <c r="A20" s="3" t="str">
        <f t="shared" si="0"/>
        <v>Período 1</v>
      </c>
      <c r="B20">
        <v>7652</v>
      </c>
      <c r="C20" t="s">
        <v>418</v>
      </c>
      <c r="D20" t="s">
        <v>419</v>
      </c>
      <c r="E20" s="3" t="str">
        <f>IF(LEN(Base_Periodo1[[#This Row],[CLASS]])&gt;=7,LEFT(Base_Periodo1[[#This Row],[CLASS]],7),"")</f>
        <v>1.1.1.2</v>
      </c>
      <c r="F20" s="3" t="str">
        <f>VLOOKUP(Base_Periodo1[[#This Row],[Aux]],Base_Contas_Balanco[#All],2,FALSE)</f>
        <v>Banco C/Movimento</v>
      </c>
      <c r="G20" s="1">
        <v>42886</v>
      </c>
      <c r="H20" s="225">
        <v>6868.8400000073016</v>
      </c>
      <c r="I20" s="225">
        <v>1925000</v>
      </c>
      <c r="J20" s="225">
        <v>1915949.3900000004</v>
      </c>
      <c r="K20" s="225">
        <v>15919.450000006938</v>
      </c>
      <c r="L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15919.45</v>
      </c>
      <c r="M20" s="225">
        <f>ROUND(IF(AND(Base_Periodo1[[#This Row],[Tipo_Linha]]="-",Base_Periodo1[[#This Row],[TIPOSALDO]]="D"),Base_Periodo1[[#This Row],[SALDO_ATUAL]]*-1,Base_Periodo1[[#This Row],[SALDO_ATUAL]]),4)</f>
        <v>15919.45</v>
      </c>
      <c r="N20" t="s">
        <v>116</v>
      </c>
      <c r="O20" t="s">
        <v>397</v>
      </c>
      <c r="P20" t="s">
        <v>397</v>
      </c>
      <c r="Q20">
        <v>6</v>
      </c>
      <c r="R20" s="225">
        <f>Base_Periodo1[[#This Row],[CREDITOS]]-Base_Periodo1[[#This Row],[DEBITOS]]</f>
        <v>-9050.6099999996368</v>
      </c>
      <c r="S20" s="3" t="str">
        <f>IF(ISERROR(VLOOKUP(Base_Periodo1[[#This Row],[CONTA]],BaseContasDRE[#All],4,FALSE)),"Fora do DRE",VLOOKUP(Base_Periodo1[[#This Row],[CONTA]],BaseContasDRE[#All],4,FALSE))</f>
        <v>Fora do DRE</v>
      </c>
      <c r="T20" s="3" t="str">
        <f>IF(ISERROR(VLOOKUP(Base_Periodo1[[#This Row],[CONTA]],BaseContasDRE[#All],5,FALSE)),"Fora do DRE",VLOOKUP(Base_Periodo1[[#This Row],[CONTA]],BaseContasDRE[#All],6,FALSE))</f>
        <v>Fora do DRE</v>
      </c>
      <c r="U20" s="3" t="str">
        <f>IF(ISERROR(VLOOKUP(Base_Periodo1[[#This Row],[CONTA]],BaseContasDRE[#All],7,FALSE)),"Fora do DRE",VLOOKUP(Base_Periodo1[[#This Row],[CONTA]],BaseContasDRE[#All],7,FALSE))</f>
        <v>Fora do DRE</v>
      </c>
      <c r="V20" s="3" t="str">
        <f>IF(Base_Periodo1[[#This Row],[Tipo_Linha]]="Fora do DRE","Fora do DRE","( "&amp;Base_Periodo1[[#This Row],[Tipo_Linha]]&amp;" ) "&amp;Base_Periodo1[[#This Row],[Filtro]])</f>
        <v>Fora do DRE</v>
      </c>
      <c r="W20" s="3" t="str">
        <f>LEFT(Base_Periodo1[[#This Row],[CLASS]],3)</f>
        <v>1.1</v>
      </c>
    </row>
    <row r="21" spans="1:23" hidden="1">
      <c r="A21" s="3" t="str">
        <f t="shared" si="0"/>
        <v>Período 1</v>
      </c>
      <c r="B21">
        <v>7654</v>
      </c>
      <c r="C21" t="s">
        <v>420</v>
      </c>
      <c r="D21" t="s">
        <v>421</v>
      </c>
      <c r="E21" s="3" t="str">
        <f>IF(LEN(Base_Periodo1[[#This Row],[CLASS]])&gt;=7,LEFT(Base_Periodo1[[#This Row],[CLASS]],7),"")</f>
        <v>1.1.1.2</v>
      </c>
      <c r="F21" s="3" t="str">
        <f>VLOOKUP(Base_Periodo1[[#This Row],[Aux]],Base_Contas_Balanco[#All],2,FALSE)</f>
        <v>Banco C/Movimento</v>
      </c>
      <c r="G21" s="1">
        <v>42886</v>
      </c>
      <c r="H21" s="225">
        <v>268842.42010092735</v>
      </c>
      <c r="I21" s="225">
        <v>5375323.2900000028</v>
      </c>
      <c r="J21" s="225">
        <v>3306164.0699999994</v>
      </c>
      <c r="K21" s="225">
        <v>2338001.6401009308</v>
      </c>
      <c r="L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2338001.6401</v>
      </c>
      <c r="M21" s="225">
        <f>ROUND(IF(AND(Base_Periodo1[[#This Row],[Tipo_Linha]]="-",Base_Periodo1[[#This Row],[TIPOSALDO]]="D"),Base_Periodo1[[#This Row],[SALDO_ATUAL]]*-1,Base_Periodo1[[#This Row],[SALDO_ATUAL]]),4)</f>
        <v>2338001.6401</v>
      </c>
      <c r="N21" t="s">
        <v>116</v>
      </c>
      <c r="O21" t="s">
        <v>397</v>
      </c>
      <c r="P21" t="s">
        <v>397</v>
      </c>
      <c r="Q21">
        <v>6</v>
      </c>
      <c r="R21" s="225">
        <f>Base_Periodo1[[#This Row],[CREDITOS]]-Base_Periodo1[[#This Row],[DEBITOS]]</f>
        <v>-2069159.2200000035</v>
      </c>
      <c r="S21" s="3" t="str">
        <f>IF(ISERROR(VLOOKUP(Base_Periodo1[[#This Row],[CONTA]],BaseContasDRE[#All],4,FALSE)),"Fora do DRE",VLOOKUP(Base_Periodo1[[#This Row],[CONTA]],BaseContasDRE[#All],4,FALSE))</f>
        <v>Fora do DRE</v>
      </c>
      <c r="T21" s="3" t="str">
        <f>IF(ISERROR(VLOOKUP(Base_Periodo1[[#This Row],[CONTA]],BaseContasDRE[#All],5,FALSE)),"Fora do DRE",VLOOKUP(Base_Periodo1[[#This Row],[CONTA]],BaseContasDRE[#All],6,FALSE))</f>
        <v>Fora do DRE</v>
      </c>
      <c r="U21" s="3" t="str">
        <f>IF(ISERROR(VLOOKUP(Base_Periodo1[[#This Row],[CONTA]],BaseContasDRE[#All],7,FALSE)),"Fora do DRE",VLOOKUP(Base_Periodo1[[#This Row],[CONTA]],BaseContasDRE[#All],7,FALSE))</f>
        <v>Fora do DRE</v>
      </c>
      <c r="V21" s="3" t="str">
        <f>IF(Base_Periodo1[[#This Row],[Tipo_Linha]]="Fora do DRE","Fora do DRE","( "&amp;Base_Periodo1[[#This Row],[Tipo_Linha]]&amp;" ) "&amp;Base_Periodo1[[#This Row],[Filtro]])</f>
        <v>Fora do DRE</v>
      </c>
      <c r="W21" s="3" t="str">
        <f>LEFT(Base_Periodo1[[#This Row],[CLASS]],3)</f>
        <v>1.1</v>
      </c>
    </row>
    <row r="22" spans="1:23" hidden="1">
      <c r="A22" s="3" t="str">
        <f t="shared" si="0"/>
        <v>Período 1</v>
      </c>
      <c r="B22">
        <v>7655</v>
      </c>
      <c r="C22" t="s">
        <v>422</v>
      </c>
      <c r="D22" t="s">
        <v>423</v>
      </c>
      <c r="E22" s="3" t="str">
        <f>IF(LEN(Base_Periodo1[[#This Row],[CLASS]])&gt;=7,LEFT(Base_Periodo1[[#This Row],[CLASS]],7),"")</f>
        <v>1.1.1.2</v>
      </c>
      <c r="F22" s="3" t="str">
        <f>VLOOKUP(Base_Periodo1[[#This Row],[Aux]],Base_Contas_Balanco[#All],2,FALSE)</f>
        <v>Banco C/Movimento</v>
      </c>
      <c r="G22" s="1">
        <v>42886</v>
      </c>
      <c r="H22" s="225">
        <v>1025104.5199998021</v>
      </c>
      <c r="I22" s="225">
        <v>2041420.86</v>
      </c>
      <c r="J22" s="225">
        <v>2727960.8900000006</v>
      </c>
      <c r="K22" s="225">
        <v>338564.48999980185</v>
      </c>
      <c r="L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338564.49</v>
      </c>
      <c r="M22" s="225">
        <f>ROUND(IF(AND(Base_Periodo1[[#This Row],[Tipo_Linha]]="-",Base_Periodo1[[#This Row],[TIPOSALDO]]="D"),Base_Periodo1[[#This Row],[SALDO_ATUAL]]*-1,Base_Periodo1[[#This Row],[SALDO_ATUAL]]),4)</f>
        <v>338564.49</v>
      </c>
      <c r="N22" t="s">
        <v>116</v>
      </c>
      <c r="O22" t="s">
        <v>397</v>
      </c>
      <c r="P22" t="s">
        <v>397</v>
      </c>
      <c r="Q22">
        <v>6</v>
      </c>
      <c r="R22" s="225">
        <f>Base_Periodo1[[#This Row],[CREDITOS]]-Base_Periodo1[[#This Row],[DEBITOS]]</f>
        <v>686540.03000000049</v>
      </c>
      <c r="S22" s="3" t="str">
        <f>IF(ISERROR(VLOOKUP(Base_Periodo1[[#This Row],[CONTA]],BaseContasDRE[#All],4,FALSE)),"Fora do DRE",VLOOKUP(Base_Periodo1[[#This Row],[CONTA]],BaseContasDRE[#All],4,FALSE))</f>
        <v>Fora do DRE</v>
      </c>
      <c r="T22" s="3" t="str">
        <f>IF(ISERROR(VLOOKUP(Base_Periodo1[[#This Row],[CONTA]],BaseContasDRE[#All],5,FALSE)),"Fora do DRE",VLOOKUP(Base_Periodo1[[#This Row],[CONTA]],BaseContasDRE[#All],6,FALSE))</f>
        <v>Fora do DRE</v>
      </c>
      <c r="U22" s="3" t="str">
        <f>IF(ISERROR(VLOOKUP(Base_Periodo1[[#This Row],[CONTA]],BaseContasDRE[#All],7,FALSE)),"Fora do DRE",VLOOKUP(Base_Periodo1[[#This Row],[CONTA]],BaseContasDRE[#All],7,FALSE))</f>
        <v>Fora do DRE</v>
      </c>
      <c r="V22" s="3" t="str">
        <f>IF(Base_Periodo1[[#This Row],[Tipo_Linha]]="Fora do DRE","Fora do DRE","( "&amp;Base_Periodo1[[#This Row],[Tipo_Linha]]&amp;" ) "&amp;Base_Periodo1[[#This Row],[Filtro]])</f>
        <v>Fora do DRE</v>
      </c>
      <c r="W22" s="3" t="str">
        <f>LEFT(Base_Periodo1[[#This Row],[CLASS]],3)</f>
        <v>1.1</v>
      </c>
    </row>
    <row r="23" spans="1:23" hidden="1">
      <c r="A23" s="3" t="str">
        <f t="shared" si="0"/>
        <v>Período 1</v>
      </c>
      <c r="B23">
        <v>7656</v>
      </c>
      <c r="C23" t="s">
        <v>424</v>
      </c>
      <c r="D23" t="s">
        <v>425</v>
      </c>
      <c r="E23" s="3" t="str">
        <f>IF(LEN(Base_Periodo1[[#This Row],[CLASS]])&gt;=7,LEFT(Base_Periodo1[[#This Row],[CLASS]],7),"")</f>
        <v>1.1.1.2</v>
      </c>
      <c r="F23" s="3" t="str">
        <f>VLOOKUP(Base_Periodo1[[#This Row],[Aux]],Base_Contas_Balanco[#All],2,FALSE)</f>
        <v>Banco C/Movimento</v>
      </c>
      <c r="G23" s="1">
        <v>42886</v>
      </c>
      <c r="H23" s="225">
        <v>475248.15000009537</v>
      </c>
      <c r="I23" s="225">
        <v>11974116.559999999</v>
      </c>
      <c r="J23" s="225">
        <v>11338493.920000007</v>
      </c>
      <c r="K23" s="225">
        <v>1110870.7900000867</v>
      </c>
      <c r="L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1110870.79</v>
      </c>
      <c r="M23" s="225">
        <f>ROUND(IF(AND(Base_Periodo1[[#This Row],[Tipo_Linha]]="-",Base_Periodo1[[#This Row],[TIPOSALDO]]="D"),Base_Periodo1[[#This Row],[SALDO_ATUAL]]*-1,Base_Periodo1[[#This Row],[SALDO_ATUAL]]),4)</f>
        <v>1110870.79</v>
      </c>
      <c r="N23" t="s">
        <v>116</v>
      </c>
      <c r="O23" t="s">
        <v>397</v>
      </c>
      <c r="P23" t="s">
        <v>397</v>
      </c>
      <c r="Q23">
        <v>6</v>
      </c>
      <c r="R23" s="225">
        <f>Base_Periodo1[[#This Row],[CREDITOS]]-Base_Periodo1[[#This Row],[DEBITOS]]</f>
        <v>-635622.63999999128</v>
      </c>
      <c r="S23" s="3" t="str">
        <f>IF(ISERROR(VLOOKUP(Base_Periodo1[[#This Row],[CONTA]],BaseContasDRE[#All],4,FALSE)),"Fora do DRE",VLOOKUP(Base_Periodo1[[#This Row],[CONTA]],BaseContasDRE[#All],4,FALSE))</f>
        <v>Fora do DRE</v>
      </c>
      <c r="T23" s="3" t="str">
        <f>IF(ISERROR(VLOOKUP(Base_Periodo1[[#This Row],[CONTA]],BaseContasDRE[#All],5,FALSE)),"Fora do DRE",VLOOKUP(Base_Periodo1[[#This Row],[CONTA]],BaseContasDRE[#All],6,FALSE))</f>
        <v>Fora do DRE</v>
      </c>
      <c r="U23" s="3" t="str">
        <f>IF(ISERROR(VLOOKUP(Base_Periodo1[[#This Row],[CONTA]],BaseContasDRE[#All],7,FALSE)),"Fora do DRE",VLOOKUP(Base_Periodo1[[#This Row],[CONTA]],BaseContasDRE[#All],7,FALSE))</f>
        <v>Fora do DRE</v>
      </c>
      <c r="V23" s="3" t="str">
        <f>IF(Base_Periodo1[[#This Row],[Tipo_Linha]]="Fora do DRE","Fora do DRE","( "&amp;Base_Periodo1[[#This Row],[Tipo_Linha]]&amp;" ) "&amp;Base_Periodo1[[#This Row],[Filtro]])</f>
        <v>Fora do DRE</v>
      </c>
      <c r="W23" s="3" t="str">
        <f>LEFT(Base_Periodo1[[#This Row],[CLASS]],3)</f>
        <v>1.1</v>
      </c>
    </row>
    <row r="24" spans="1:23" hidden="1">
      <c r="A24" s="3" t="str">
        <f t="shared" si="0"/>
        <v>Período 1</v>
      </c>
      <c r="B24">
        <v>7657</v>
      </c>
      <c r="C24" t="s">
        <v>426</v>
      </c>
      <c r="D24" t="s">
        <v>427</v>
      </c>
      <c r="E24" s="3" t="str">
        <f>IF(LEN(Base_Periodo1[[#This Row],[CLASS]])&gt;=7,LEFT(Base_Periodo1[[#This Row],[CLASS]],7),"")</f>
        <v>1.1.1.2</v>
      </c>
      <c r="F24" s="3" t="str">
        <f>VLOOKUP(Base_Periodo1[[#This Row],[Aux]],Base_Contas_Balanco[#All],2,FALSE)</f>
        <v>Banco C/Movimento</v>
      </c>
      <c r="G24" s="1">
        <v>42788</v>
      </c>
      <c r="H24" s="225">
        <v>1335.63</v>
      </c>
      <c r="I24" s="225">
        <v>0</v>
      </c>
      <c r="J24" s="225">
        <v>0</v>
      </c>
      <c r="K24" s="225">
        <v>1335.63</v>
      </c>
      <c r="L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1335.63</v>
      </c>
      <c r="M24" s="225">
        <f>ROUND(IF(AND(Base_Periodo1[[#This Row],[Tipo_Linha]]="-",Base_Periodo1[[#This Row],[TIPOSALDO]]="D"),Base_Periodo1[[#This Row],[SALDO_ATUAL]]*-1,Base_Periodo1[[#This Row],[SALDO_ATUAL]]),4)</f>
        <v>1335.63</v>
      </c>
      <c r="N24" t="s">
        <v>116</v>
      </c>
      <c r="O24" t="s">
        <v>397</v>
      </c>
      <c r="P24" t="s">
        <v>397</v>
      </c>
      <c r="Q24">
        <v>6</v>
      </c>
      <c r="R24" s="225">
        <f>Base_Periodo1[[#This Row],[CREDITOS]]-Base_Periodo1[[#This Row],[DEBITOS]]</f>
        <v>0</v>
      </c>
      <c r="S24" s="3" t="str">
        <f>IF(ISERROR(VLOOKUP(Base_Periodo1[[#This Row],[CONTA]],BaseContasDRE[#All],4,FALSE)),"Fora do DRE",VLOOKUP(Base_Periodo1[[#This Row],[CONTA]],BaseContasDRE[#All],4,FALSE))</f>
        <v>Fora do DRE</v>
      </c>
      <c r="T24" s="3" t="str">
        <f>IF(ISERROR(VLOOKUP(Base_Periodo1[[#This Row],[CONTA]],BaseContasDRE[#All],5,FALSE)),"Fora do DRE",VLOOKUP(Base_Periodo1[[#This Row],[CONTA]],BaseContasDRE[#All],6,FALSE))</f>
        <v>Fora do DRE</v>
      </c>
      <c r="U24" s="3" t="str">
        <f>IF(ISERROR(VLOOKUP(Base_Periodo1[[#This Row],[CONTA]],BaseContasDRE[#All],7,FALSE)),"Fora do DRE",VLOOKUP(Base_Periodo1[[#This Row],[CONTA]],BaseContasDRE[#All],7,FALSE))</f>
        <v>Fora do DRE</v>
      </c>
      <c r="V24" s="3" t="str">
        <f>IF(Base_Periodo1[[#This Row],[Tipo_Linha]]="Fora do DRE","Fora do DRE","( "&amp;Base_Periodo1[[#This Row],[Tipo_Linha]]&amp;" ) "&amp;Base_Periodo1[[#This Row],[Filtro]])</f>
        <v>Fora do DRE</v>
      </c>
      <c r="W24" s="3" t="str">
        <f>LEFT(Base_Periodo1[[#This Row],[CLASS]],3)</f>
        <v>1.1</v>
      </c>
    </row>
    <row r="25" spans="1:23" hidden="1">
      <c r="A25" s="3" t="str">
        <f t="shared" si="0"/>
        <v>Período 1</v>
      </c>
      <c r="B25">
        <v>7658</v>
      </c>
      <c r="C25" t="s">
        <v>428</v>
      </c>
      <c r="D25" t="s">
        <v>429</v>
      </c>
      <c r="E25" s="3" t="str">
        <f>IF(LEN(Base_Periodo1[[#This Row],[CLASS]])&gt;=7,LEFT(Base_Periodo1[[#This Row],[CLASS]],7),"")</f>
        <v>1.1.1.2</v>
      </c>
      <c r="F25" s="3" t="str">
        <f>VLOOKUP(Base_Periodo1[[#This Row],[Aux]],Base_Contas_Balanco[#All],2,FALSE)</f>
        <v>Banco C/Movimento</v>
      </c>
      <c r="G25" s="1">
        <v>42886</v>
      </c>
      <c r="H25" s="225">
        <v>599322.46999999881</v>
      </c>
      <c r="I25" s="225">
        <v>3143547.100000001</v>
      </c>
      <c r="J25" s="225">
        <v>3536757.9300000006</v>
      </c>
      <c r="K25" s="225">
        <v>206111.6399999992</v>
      </c>
      <c r="L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206111.64</v>
      </c>
      <c r="M25" s="225">
        <f>ROUND(IF(AND(Base_Periodo1[[#This Row],[Tipo_Linha]]="-",Base_Periodo1[[#This Row],[TIPOSALDO]]="D"),Base_Periodo1[[#This Row],[SALDO_ATUAL]]*-1,Base_Periodo1[[#This Row],[SALDO_ATUAL]]),4)</f>
        <v>206111.64</v>
      </c>
      <c r="N25" t="s">
        <v>116</v>
      </c>
      <c r="O25" t="s">
        <v>397</v>
      </c>
      <c r="P25" t="s">
        <v>397</v>
      </c>
      <c r="Q25">
        <v>6</v>
      </c>
      <c r="R25" s="225">
        <f>Base_Periodo1[[#This Row],[CREDITOS]]-Base_Periodo1[[#This Row],[DEBITOS]]</f>
        <v>393210.82999999961</v>
      </c>
      <c r="S25" s="3" t="str">
        <f>IF(ISERROR(VLOOKUP(Base_Periodo1[[#This Row],[CONTA]],BaseContasDRE[#All],4,FALSE)),"Fora do DRE",VLOOKUP(Base_Periodo1[[#This Row],[CONTA]],BaseContasDRE[#All],4,FALSE))</f>
        <v>Fora do DRE</v>
      </c>
      <c r="T25" s="3" t="str">
        <f>IF(ISERROR(VLOOKUP(Base_Periodo1[[#This Row],[CONTA]],BaseContasDRE[#All],5,FALSE)),"Fora do DRE",VLOOKUP(Base_Periodo1[[#This Row],[CONTA]],BaseContasDRE[#All],6,FALSE))</f>
        <v>Fora do DRE</v>
      </c>
      <c r="U25" s="3" t="str">
        <f>IF(ISERROR(VLOOKUP(Base_Periodo1[[#This Row],[CONTA]],BaseContasDRE[#All],7,FALSE)),"Fora do DRE",VLOOKUP(Base_Periodo1[[#This Row],[CONTA]],BaseContasDRE[#All],7,FALSE))</f>
        <v>Fora do DRE</v>
      </c>
      <c r="V25" s="3" t="str">
        <f>IF(Base_Periodo1[[#This Row],[Tipo_Linha]]="Fora do DRE","Fora do DRE","( "&amp;Base_Periodo1[[#This Row],[Tipo_Linha]]&amp;" ) "&amp;Base_Periodo1[[#This Row],[Filtro]])</f>
        <v>Fora do DRE</v>
      </c>
      <c r="W25" s="3" t="str">
        <f>LEFT(Base_Periodo1[[#This Row],[CLASS]],3)</f>
        <v>1.1</v>
      </c>
    </row>
    <row r="26" spans="1:23" hidden="1">
      <c r="A26" s="3" t="str">
        <f t="shared" si="0"/>
        <v>Período 1</v>
      </c>
      <c r="B26">
        <v>7659</v>
      </c>
      <c r="C26" t="s">
        <v>430</v>
      </c>
      <c r="D26" t="s">
        <v>431</v>
      </c>
      <c r="E26" s="3" t="str">
        <f>IF(LEN(Base_Periodo1[[#This Row],[CLASS]])&gt;=7,LEFT(Base_Periodo1[[#This Row],[CLASS]],7),"")</f>
        <v>1.1.1.2</v>
      </c>
      <c r="F26" s="3" t="str">
        <f>VLOOKUP(Base_Periodo1[[#This Row],[Aux]],Base_Contas_Balanco[#All],2,FALSE)</f>
        <v>Banco C/Movimento</v>
      </c>
      <c r="G26" s="1">
        <v>42886</v>
      </c>
      <c r="H26" s="225">
        <v>50636.920000005513</v>
      </c>
      <c r="I26" s="225">
        <v>391030</v>
      </c>
      <c r="J26" s="225">
        <v>430983.53000000009</v>
      </c>
      <c r="K26" s="225">
        <v>10683.390000005427</v>
      </c>
      <c r="L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10683.39</v>
      </c>
      <c r="M26" s="225">
        <f>ROUND(IF(AND(Base_Periodo1[[#This Row],[Tipo_Linha]]="-",Base_Periodo1[[#This Row],[TIPOSALDO]]="D"),Base_Periodo1[[#This Row],[SALDO_ATUAL]]*-1,Base_Periodo1[[#This Row],[SALDO_ATUAL]]),4)</f>
        <v>10683.39</v>
      </c>
      <c r="N26" t="s">
        <v>116</v>
      </c>
      <c r="O26" t="s">
        <v>397</v>
      </c>
      <c r="P26" t="s">
        <v>397</v>
      </c>
      <c r="Q26">
        <v>6</v>
      </c>
      <c r="R26" s="225">
        <f>Base_Periodo1[[#This Row],[CREDITOS]]-Base_Periodo1[[#This Row],[DEBITOS]]</f>
        <v>39953.530000000086</v>
      </c>
      <c r="S26" s="3" t="str">
        <f>IF(ISERROR(VLOOKUP(Base_Periodo1[[#This Row],[CONTA]],BaseContasDRE[#All],4,FALSE)),"Fora do DRE",VLOOKUP(Base_Periodo1[[#This Row],[CONTA]],BaseContasDRE[#All],4,FALSE))</f>
        <v>Fora do DRE</v>
      </c>
      <c r="T26" s="3" t="str">
        <f>IF(ISERROR(VLOOKUP(Base_Periodo1[[#This Row],[CONTA]],BaseContasDRE[#All],5,FALSE)),"Fora do DRE",VLOOKUP(Base_Periodo1[[#This Row],[CONTA]],BaseContasDRE[#All],6,FALSE))</f>
        <v>Fora do DRE</v>
      </c>
      <c r="U26" s="3" t="str">
        <f>IF(ISERROR(VLOOKUP(Base_Periodo1[[#This Row],[CONTA]],BaseContasDRE[#All],7,FALSE)),"Fora do DRE",VLOOKUP(Base_Periodo1[[#This Row],[CONTA]],BaseContasDRE[#All],7,FALSE))</f>
        <v>Fora do DRE</v>
      </c>
      <c r="V26" s="3" t="str">
        <f>IF(Base_Periodo1[[#This Row],[Tipo_Linha]]="Fora do DRE","Fora do DRE","( "&amp;Base_Periodo1[[#This Row],[Tipo_Linha]]&amp;" ) "&amp;Base_Periodo1[[#This Row],[Filtro]])</f>
        <v>Fora do DRE</v>
      </c>
      <c r="W26" s="3" t="str">
        <f>LEFT(Base_Periodo1[[#This Row],[CLASS]],3)</f>
        <v>1.1</v>
      </c>
    </row>
    <row r="27" spans="1:23" hidden="1">
      <c r="A27" s="3" t="str">
        <f t="shared" si="0"/>
        <v>Período 1</v>
      </c>
      <c r="B27">
        <v>7660</v>
      </c>
      <c r="C27" t="s">
        <v>432</v>
      </c>
      <c r="D27" t="s">
        <v>433</v>
      </c>
      <c r="E27" s="3" t="str">
        <f>IF(LEN(Base_Periodo1[[#This Row],[CLASS]])&gt;=7,LEFT(Base_Periodo1[[#This Row],[CLASS]],7),"")</f>
        <v>1.1.1.2</v>
      </c>
      <c r="F27" s="3" t="str">
        <f>VLOOKUP(Base_Periodo1[[#This Row],[Aux]],Base_Contas_Balanco[#All],2,FALSE)</f>
        <v>Banco C/Movimento</v>
      </c>
      <c r="G27" s="1">
        <v>42886</v>
      </c>
      <c r="H27" s="225">
        <v>172514.06000003219</v>
      </c>
      <c r="I27" s="225">
        <v>113.84</v>
      </c>
      <c r="J27" s="225">
        <v>161120.18000000002</v>
      </c>
      <c r="K27" s="225">
        <v>11507.720000032161</v>
      </c>
      <c r="L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11507.72</v>
      </c>
      <c r="M27" s="225">
        <f>ROUND(IF(AND(Base_Periodo1[[#This Row],[Tipo_Linha]]="-",Base_Periodo1[[#This Row],[TIPOSALDO]]="D"),Base_Periodo1[[#This Row],[SALDO_ATUAL]]*-1,Base_Periodo1[[#This Row],[SALDO_ATUAL]]),4)</f>
        <v>11507.72</v>
      </c>
      <c r="N27" t="s">
        <v>116</v>
      </c>
      <c r="O27" t="s">
        <v>397</v>
      </c>
      <c r="P27" t="s">
        <v>397</v>
      </c>
      <c r="Q27">
        <v>6</v>
      </c>
      <c r="R27" s="225">
        <f>Base_Periodo1[[#This Row],[CREDITOS]]-Base_Periodo1[[#This Row],[DEBITOS]]</f>
        <v>161006.34000000003</v>
      </c>
      <c r="S27" s="3" t="str">
        <f>IF(ISERROR(VLOOKUP(Base_Periodo1[[#This Row],[CONTA]],BaseContasDRE[#All],4,FALSE)),"Fora do DRE",VLOOKUP(Base_Periodo1[[#This Row],[CONTA]],BaseContasDRE[#All],4,FALSE))</f>
        <v>Fora do DRE</v>
      </c>
      <c r="T27" s="3" t="str">
        <f>IF(ISERROR(VLOOKUP(Base_Periodo1[[#This Row],[CONTA]],BaseContasDRE[#All],5,FALSE)),"Fora do DRE",VLOOKUP(Base_Periodo1[[#This Row],[CONTA]],BaseContasDRE[#All],6,FALSE))</f>
        <v>Fora do DRE</v>
      </c>
      <c r="U27" s="3" t="str">
        <f>IF(ISERROR(VLOOKUP(Base_Periodo1[[#This Row],[CONTA]],BaseContasDRE[#All],7,FALSE)),"Fora do DRE",VLOOKUP(Base_Periodo1[[#This Row],[CONTA]],BaseContasDRE[#All],7,FALSE))</f>
        <v>Fora do DRE</v>
      </c>
      <c r="V27" s="3" t="str">
        <f>IF(Base_Periodo1[[#This Row],[Tipo_Linha]]="Fora do DRE","Fora do DRE","( "&amp;Base_Periodo1[[#This Row],[Tipo_Linha]]&amp;" ) "&amp;Base_Periodo1[[#This Row],[Filtro]])</f>
        <v>Fora do DRE</v>
      </c>
      <c r="W27" s="3" t="str">
        <f>LEFT(Base_Periodo1[[#This Row],[CLASS]],3)</f>
        <v>1.1</v>
      </c>
    </row>
    <row r="28" spans="1:23" hidden="1">
      <c r="A28" s="3" t="str">
        <f t="shared" si="0"/>
        <v>Período 1</v>
      </c>
      <c r="B28">
        <v>7662</v>
      </c>
      <c r="C28" t="s">
        <v>434</v>
      </c>
      <c r="D28" t="s">
        <v>435</v>
      </c>
      <c r="E28" s="3" t="str">
        <f>IF(LEN(Base_Periodo1[[#This Row],[CLASS]])&gt;=7,LEFT(Base_Periodo1[[#This Row],[CLASS]],7),"")</f>
        <v>1.1.1.2</v>
      </c>
      <c r="F28" s="3" t="str">
        <f>VLOOKUP(Base_Periodo1[[#This Row],[Aux]],Base_Contas_Balanco[#All],2,FALSE)</f>
        <v>Banco C/Movimento</v>
      </c>
      <c r="G28" s="1">
        <v>42880</v>
      </c>
      <c r="I28" s="225">
        <v>707848.04999999993</v>
      </c>
      <c r="J28" s="225">
        <v>707848.04999999993</v>
      </c>
      <c r="K28" s="225">
        <v>-2.0861625671386719E-7</v>
      </c>
      <c r="L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8" s="225">
        <f>ROUND(IF(AND(Base_Periodo1[[#This Row],[Tipo_Linha]]="-",Base_Periodo1[[#This Row],[TIPOSALDO]]="D"),Base_Periodo1[[#This Row],[SALDO_ATUAL]]*-1,Base_Periodo1[[#This Row],[SALDO_ATUAL]]),4)</f>
        <v>0</v>
      </c>
      <c r="N28" t="s">
        <v>116</v>
      </c>
      <c r="O28" t="s">
        <v>436</v>
      </c>
      <c r="P28" t="s">
        <v>436</v>
      </c>
      <c r="Q28">
        <v>6</v>
      </c>
      <c r="R28" s="225">
        <f>Base_Periodo1[[#This Row],[CREDITOS]]-Base_Periodo1[[#This Row],[DEBITOS]]</f>
        <v>0</v>
      </c>
      <c r="S28" s="3" t="str">
        <f>IF(ISERROR(VLOOKUP(Base_Periodo1[[#This Row],[CONTA]],BaseContasDRE[#All],4,FALSE)),"Fora do DRE",VLOOKUP(Base_Periodo1[[#This Row],[CONTA]],BaseContasDRE[#All],4,FALSE))</f>
        <v>Fora do DRE</v>
      </c>
      <c r="T28" s="3" t="str">
        <f>IF(ISERROR(VLOOKUP(Base_Periodo1[[#This Row],[CONTA]],BaseContasDRE[#All],5,FALSE)),"Fora do DRE",VLOOKUP(Base_Periodo1[[#This Row],[CONTA]],BaseContasDRE[#All],6,FALSE))</f>
        <v>Fora do DRE</v>
      </c>
      <c r="U28" s="3" t="str">
        <f>IF(ISERROR(VLOOKUP(Base_Periodo1[[#This Row],[CONTA]],BaseContasDRE[#All],7,FALSE)),"Fora do DRE",VLOOKUP(Base_Periodo1[[#This Row],[CONTA]],BaseContasDRE[#All],7,FALSE))</f>
        <v>Fora do DRE</v>
      </c>
      <c r="V28" s="3" t="str">
        <f>IF(Base_Periodo1[[#This Row],[Tipo_Linha]]="Fora do DRE","Fora do DRE","( "&amp;Base_Periodo1[[#This Row],[Tipo_Linha]]&amp;" ) "&amp;Base_Periodo1[[#This Row],[Filtro]])</f>
        <v>Fora do DRE</v>
      </c>
      <c r="W28" s="3" t="str">
        <f>LEFT(Base_Periodo1[[#This Row],[CLASS]],3)</f>
        <v>1.1</v>
      </c>
    </row>
    <row r="29" spans="1:23" hidden="1">
      <c r="A29" s="3" t="str">
        <f t="shared" si="0"/>
        <v>Período 1</v>
      </c>
      <c r="B29">
        <v>17891</v>
      </c>
      <c r="C29" t="s">
        <v>437</v>
      </c>
      <c r="D29" t="s">
        <v>438</v>
      </c>
      <c r="E29" s="3" t="str">
        <f>IF(LEN(Base_Periodo1[[#This Row],[CLASS]])&gt;=7,LEFT(Base_Periodo1[[#This Row],[CLASS]],7),"")</f>
        <v>1.1.1.2</v>
      </c>
      <c r="F29" s="3" t="str">
        <f>VLOOKUP(Base_Periodo1[[#This Row],[Aux]],Base_Contas_Balanco[#All],2,FALSE)</f>
        <v>Banco C/Movimento</v>
      </c>
      <c r="G29" s="1">
        <v>42886</v>
      </c>
      <c r="H29" s="225">
        <v>23521.969999954104</v>
      </c>
      <c r="I29" s="225">
        <v>1963000</v>
      </c>
      <c r="J29" s="225">
        <v>1980848.53</v>
      </c>
      <c r="K29" s="225">
        <v>5673.4399999540765</v>
      </c>
      <c r="L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5673.44</v>
      </c>
      <c r="M29" s="225">
        <f>ROUND(IF(AND(Base_Periodo1[[#This Row],[Tipo_Linha]]="-",Base_Periodo1[[#This Row],[TIPOSALDO]]="D"),Base_Periodo1[[#This Row],[SALDO_ATUAL]]*-1,Base_Periodo1[[#This Row],[SALDO_ATUAL]]),4)</f>
        <v>5673.44</v>
      </c>
      <c r="N29" t="s">
        <v>116</v>
      </c>
      <c r="O29" t="s">
        <v>397</v>
      </c>
      <c r="P29" t="s">
        <v>397</v>
      </c>
      <c r="Q29">
        <v>6</v>
      </c>
      <c r="R29" s="225">
        <f>Base_Periodo1[[#This Row],[CREDITOS]]-Base_Periodo1[[#This Row],[DEBITOS]]</f>
        <v>17848.530000000028</v>
      </c>
      <c r="S29" s="3" t="str">
        <f>IF(ISERROR(VLOOKUP(Base_Periodo1[[#This Row],[CONTA]],BaseContasDRE[#All],4,FALSE)),"Fora do DRE",VLOOKUP(Base_Periodo1[[#This Row],[CONTA]],BaseContasDRE[#All],4,FALSE))</f>
        <v>Fora do DRE</v>
      </c>
      <c r="T29" s="3" t="str">
        <f>IF(ISERROR(VLOOKUP(Base_Periodo1[[#This Row],[CONTA]],BaseContasDRE[#All],5,FALSE)),"Fora do DRE",VLOOKUP(Base_Periodo1[[#This Row],[CONTA]],BaseContasDRE[#All],6,FALSE))</f>
        <v>Fora do DRE</v>
      </c>
      <c r="U29" s="3" t="str">
        <f>IF(ISERROR(VLOOKUP(Base_Periodo1[[#This Row],[CONTA]],BaseContasDRE[#All],7,FALSE)),"Fora do DRE",VLOOKUP(Base_Periodo1[[#This Row],[CONTA]],BaseContasDRE[#All],7,FALSE))</f>
        <v>Fora do DRE</v>
      </c>
      <c r="V29" s="3" t="str">
        <f>IF(Base_Periodo1[[#This Row],[Tipo_Linha]]="Fora do DRE","Fora do DRE","( "&amp;Base_Periodo1[[#This Row],[Tipo_Linha]]&amp;" ) "&amp;Base_Periodo1[[#This Row],[Filtro]])</f>
        <v>Fora do DRE</v>
      </c>
      <c r="W29" s="3" t="str">
        <f>LEFT(Base_Periodo1[[#This Row],[CLASS]],3)</f>
        <v>1.1</v>
      </c>
    </row>
    <row r="30" spans="1:23" hidden="1">
      <c r="A30" s="3" t="str">
        <f t="shared" si="0"/>
        <v>Período 1</v>
      </c>
      <c r="B30">
        <v>18580</v>
      </c>
      <c r="C30" t="s">
        <v>439</v>
      </c>
      <c r="D30" t="s">
        <v>440</v>
      </c>
      <c r="E30" s="3" t="str">
        <f>IF(LEN(Base_Periodo1[[#This Row],[CLASS]])&gt;=7,LEFT(Base_Periodo1[[#This Row],[CLASS]],7),"")</f>
        <v>1.1.1.2</v>
      </c>
      <c r="F30" s="3" t="str">
        <f>VLOOKUP(Base_Periodo1[[#This Row],[Aux]],Base_Contas_Balanco[#All],2,FALSE)</f>
        <v>Banco C/Movimento</v>
      </c>
      <c r="G30" s="1">
        <v>42885</v>
      </c>
      <c r="H30" s="225">
        <v>28688.950000010431</v>
      </c>
      <c r="I30" s="225">
        <v>576000</v>
      </c>
      <c r="J30" s="225">
        <v>593964.16000000015</v>
      </c>
      <c r="K30" s="225">
        <v>10724.790000010282</v>
      </c>
      <c r="L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10724.79</v>
      </c>
      <c r="M30" s="225">
        <f>ROUND(IF(AND(Base_Periodo1[[#This Row],[Tipo_Linha]]="-",Base_Periodo1[[#This Row],[TIPOSALDO]]="D"),Base_Periodo1[[#This Row],[SALDO_ATUAL]]*-1,Base_Periodo1[[#This Row],[SALDO_ATUAL]]),4)</f>
        <v>10724.79</v>
      </c>
      <c r="N30" t="s">
        <v>116</v>
      </c>
      <c r="O30" t="s">
        <v>397</v>
      </c>
      <c r="P30" t="s">
        <v>397</v>
      </c>
      <c r="Q30">
        <v>6</v>
      </c>
      <c r="R30" s="225">
        <f>Base_Periodo1[[#This Row],[CREDITOS]]-Base_Periodo1[[#This Row],[DEBITOS]]</f>
        <v>17964.160000000149</v>
      </c>
      <c r="S30" s="3" t="str">
        <f>IF(ISERROR(VLOOKUP(Base_Periodo1[[#This Row],[CONTA]],BaseContasDRE[#All],4,FALSE)),"Fora do DRE",VLOOKUP(Base_Periodo1[[#This Row],[CONTA]],BaseContasDRE[#All],4,FALSE))</f>
        <v>Fora do DRE</v>
      </c>
      <c r="T30" s="3" t="str">
        <f>IF(ISERROR(VLOOKUP(Base_Periodo1[[#This Row],[CONTA]],BaseContasDRE[#All],5,FALSE)),"Fora do DRE",VLOOKUP(Base_Periodo1[[#This Row],[CONTA]],BaseContasDRE[#All],6,FALSE))</f>
        <v>Fora do DRE</v>
      </c>
      <c r="U30" s="3" t="str">
        <f>IF(ISERROR(VLOOKUP(Base_Periodo1[[#This Row],[CONTA]],BaseContasDRE[#All],7,FALSE)),"Fora do DRE",VLOOKUP(Base_Periodo1[[#This Row],[CONTA]],BaseContasDRE[#All],7,FALSE))</f>
        <v>Fora do DRE</v>
      </c>
      <c r="V30" s="3" t="str">
        <f>IF(Base_Periodo1[[#This Row],[Tipo_Linha]]="Fora do DRE","Fora do DRE","( "&amp;Base_Periodo1[[#This Row],[Tipo_Linha]]&amp;" ) "&amp;Base_Periodo1[[#This Row],[Filtro]])</f>
        <v>Fora do DRE</v>
      </c>
      <c r="W30" s="3" t="str">
        <f>LEFT(Base_Periodo1[[#This Row],[CLASS]],3)</f>
        <v>1.1</v>
      </c>
    </row>
    <row r="31" spans="1:23" hidden="1">
      <c r="A31" s="3" t="str">
        <f t="shared" si="0"/>
        <v>Período 1</v>
      </c>
      <c r="B31">
        <v>19247</v>
      </c>
      <c r="C31" t="s">
        <v>441</v>
      </c>
      <c r="D31" t="s">
        <v>442</v>
      </c>
      <c r="E31" s="3" t="str">
        <f>IF(LEN(Base_Periodo1[[#This Row],[CLASS]])&gt;=7,LEFT(Base_Periodo1[[#This Row],[CLASS]],7),"")</f>
        <v>1.1.1.2</v>
      </c>
      <c r="F31" s="3" t="str">
        <f>VLOOKUP(Base_Periodo1[[#This Row],[Aux]],Base_Contas_Balanco[#All],2,FALSE)</f>
        <v>Banco C/Movimento</v>
      </c>
      <c r="G31" s="1">
        <v>42886</v>
      </c>
      <c r="H31" s="225">
        <v>43383.05999982357</v>
      </c>
      <c r="I31" s="225">
        <v>380000</v>
      </c>
      <c r="J31" s="225">
        <v>404839.71999999991</v>
      </c>
      <c r="K31" s="225">
        <v>18543.339999823656</v>
      </c>
      <c r="L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18543.34</v>
      </c>
      <c r="M31" s="225">
        <f>ROUND(IF(AND(Base_Periodo1[[#This Row],[Tipo_Linha]]="-",Base_Periodo1[[#This Row],[TIPOSALDO]]="D"),Base_Periodo1[[#This Row],[SALDO_ATUAL]]*-1,Base_Periodo1[[#This Row],[SALDO_ATUAL]]),4)</f>
        <v>18543.34</v>
      </c>
      <c r="N31" t="s">
        <v>116</v>
      </c>
      <c r="O31" t="s">
        <v>397</v>
      </c>
      <c r="P31" t="s">
        <v>397</v>
      </c>
      <c r="Q31">
        <v>6</v>
      </c>
      <c r="R31" s="225">
        <f>Base_Periodo1[[#This Row],[CREDITOS]]-Base_Periodo1[[#This Row],[DEBITOS]]</f>
        <v>24839.719999999914</v>
      </c>
      <c r="S31" s="3" t="str">
        <f>IF(ISERROR(VLOOKUP(Base_Periodo1[[#This Row],[CONTA]],BaseContasDRE[#All],4,FALSE)),"Fora do DRE",VLOOKUP(Base_Periodo1[[#This Row],[CONTA]],BaseContasDRE[#All],4,FALSE))</f>
        <v>Fora do DRE</v>
      </c>
      <c r="T31" s="3" t="str">
        <f>IF(ISERROR(VLOOKUP(Base_Periodo1[[#This Row],[CONTA]],BaseContasDRE[#All],5,FALSE)),"Fora do DRE",VLOOKUP(Base_Periodo1[[#This Row],[CONTA]],BaseContasDRE[#All],6,FALSE))</f>
        <v>Fora do DRE</v>
      </c>
      <c r="U31" s="3" t="str">
        <f>IF(ISERROR(VLOOKUP(Base_Periodo1[[#This Row],[CONTA]],BaseContasDRE[#All],7,FALSE)),"Fora do DRE",VLOOKUP(Base_Periodo1[[#This Row],[CONTA]],BaseContasDRE[#All],7,FALSE))</f>
        <v>Fora do DRE</v>
      </c>
      <c r="V31" s="3" t="str">
        <f>IF(Base_Periodo1[[#This Row],[Tipo_Linha]]="Fora do DRE","Fora do DRE","( "&amp;Base_Periodo1[[#This Row],[Tipo_Linha]]&amp;" ) "&amp;Base_Periodo1[[#This Row],[Filtro]])</f>
        <v>Fora do DRE</v>
      </c>
      <c r="W31" s="3" t="str">
        <f>LEFT(Base_Periodo1[[#This Row],[CLASS]],3)</f>
        <v>1.1</v>
      </c>
    </row>
    <row r="32" spans="1:23" hidden="1">
      <c r="A32" s="3" t="str">
        <f t="shared" si="0"/>
        <v>Período 1</v>
      </c>
      <c r="B32">
        <v>23989</v>
      </c>
      <c r="C32" t="s">
        <v>443</v>
      </c>
      <c r="D32" t="s">
        <v>444</v>
      </c>
      <c r="E32" s="3" t="str">
        <f>IF(LEN(Base_Periodo1[[#This Row],[CLASS]])&gt;=7,LEFT(Base_Periodo1[[#This Row],[CLASS]],7),"")</f>
        <v>1.1.1.2</v>
      </c>
      <c r="F32" s="3" t="str">
        <f>VLOOKUP(Base_Periodo1[[#This Row],[Aux]],Base_Contas_Balanco[#All],2,FALSE)</f>
        <v>Banco C/Movimento</v>
      </c>
      <c r="G32" s="1">
        <v>42886</v>
      </c>
      <c r="H32" s="225">
        <v>133719.17999994755</v>
      </c>
      <c r="I32" s="225">
        <v>1463500</v>
      </c>
      <c r="J32" s="225">
        <v>1484628.1399999997</v>
      </c>
      <c r="K32" s="225">
        <v>112591.03999994788</v>
      </c>
      <c r="L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112591.03999999999</v>
      </c>
      <c r="M32" s="225">
        <f>ROUND(IF(AND(Base_Periodo1[[#This Row],[Tipo_Linha]]="-",Base_Periodo1[[#This Row],[TIPOSALDO]]="D"),Base_Periodo1[[#This Row],[SALDO_ATUAL]]*-1,Base_Periodo1[[#This Row],[SALDO_ATUAL]]),4)</f>
        <v>112591.03999999999</v>
      </c>
      <c r="N32" t="s">
        <v>116</v>
      </c>
      <c r="O32" t="s">
        <v>397</v>
      </c>
      <c r="P32" t="s">
        <v>397</v>
      </c>
      <c r="Q32">
        <v>6</v>
      </c>
      <c r="R32" s="225">
        <f>Base_Periodo1[[#This Row],[CREDITOS]]-Base_Periodo1[[#This Row],[DEBITOS]]</f>
        <v>21128.139999999665</v>
      </c>
      <c r="S32" s="3" t="str">
        <f>IF(ISERROR(VLOOKUP(Base_Periodo1[[#This Row],[CONTA]],BaseContasDRE[#All],4,FALSE)),"Fora do DRE",VLOOKUP(Base_Periodo1[[#This Row],[CONTA]],BaseContasDRE[#All],4,FALSE))</f>
        <v>Fora do DRE</v>
      </c>
      <c r="T32" s="3" t="str">
        <f>IF(ISERROR(VLOOKUP(Base_Periodo1[[#This Row],[CONTA]],BaseContasDRE[#All],5,FALSE)),"Fora do DRE",VLOOKUP(Base_Periodo1[[#This Row],[CONTA]],BaseContasDRE[#All],6,FALSE))</f>
        <v>Fora do DRE</v>
      </c>
      <c r="U32" s="3" t="str">
        <f>IF(ISERROR(VLOOKUP(Base_Periodo1[[#This Row],[CONTA]],BaseContasDRE[#All],7,FALSE)),"Fora do DRE",VLOOKUP(Base_Periodo1[[#This Row],[CONTA]],BaseContasDRE[#All],7,FALSE))</f>
        <v>Fora do DRE</v>
      </c>
      <c r="V32" s="3" t="str">
        <f>IF(Base_Periodo1[[#This Row],[Tipo_Linha]]="Fora do DRE","Fora do DRE","( "&amp;Base_Periodo1[[#This Row],[Tipo_Linha]]&amp;" ) "&amp;Base_Periodo1[[#This Row],[Filtro]])</f>
        <v>Fora do DRE</v>
      </c>
      <c r="W32" s="3" t="str">
        <f>LEFT(Base_Periodo1[[#This Row],[CLASS]],3)</f>
        <v>1.1</v>
      </c>
    </row>
    <row r="33" spans="1:23" hidden="1">
      <c r="A33" s="3" t="str">
        <f t="shared" si="0"/>
        <v>Período 1</v>
      </c>
      <c r="B33">
        <v>24201</v>
      </c>
      <c r="C33" t="s">
        <v>445</v>
      </c>
      <c r="D33" t="s">
        <v>446</v>
      </c>
      <c r="E33" s="3" t="str">
        <f>IF(LEN(Base_Periodo1[[#This Row],[CLASS]])&gt;=7,LEFT(Base_Periodo1[[#This Row],[CLASS]],7),"")</f>
        <v>1.1.1.2</v>
      </c>
      <c r="F33" s="3" t="str">
        <f>VLOOKUP(Base_Periodo1[[#This Row],[Aux]],Base_Contas_Balanco[#All],2,FALSE)</f>
        <v>Banco C/Movimento</v>
      </c>
      <c r="G33" s="1">
        <v>42886</v>
      </c>
      <c r="H33" s="225">
        <v>51500.590000033379</v>
      </c>
      <c r="I33" s="225">
        <v>2027283.2799999998</v>
      </c>
      <c r="J33" s="225">
        <v>1767595.7299999997</v>
      </c>
      <c r="K33" s="225">
        <v>311188.14000003343</v>
      </c>
      <c r="L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311188.14</v>
      </c>
      <c r="M33" s="225">
        <f>ROUND(IF(AND(Base_Periodo1[[#This Row],[Tipo_Linha]]="-",Base_Periodo1[[#This Row],[TIPOSALDO]]="D"),Base_Periodo1[[#This Row],[SALDO_ATUAL]]*-1,Base_Periodo1[[#This Row],[SALDO_ATUAL]]),4)</f>
        <v>311188.14</v>
      </c>
      <c r="N33" t="s">
        <v>116</v>
      </c>
      <c r="O33" t="s">
        <v>397</v>
      </c>
      <c r="P33" t="s">
        <v>397</v>
      </c>
      <c r="Q33">
        <v>6</v>
      </c>
      <c r="R33" s="225">
        <f>Base_Periodo1[[#This Row],[CREDITOS]]-Base_Periodo1[[#This Row],[DEBITOS]]</f>
        <v>-259687.55000000005</v>
      </c>
      <c r="S33" s="3" t="str">
        <f>IF(ISERROR(VLOOKUP(Base_Periodo1[[#This Row],[CONTA]],BaseContasDRE[#All],4,FALSE)),"Fora do DRE",VLOOKUP(Base_Periodo1[[#This Row],[CONTA]],BaseContasDRE[#All],4,FALSE))</f>
        <v>Fora do DRE</v>
      </c>
      <c r="T33" s="3" t="str">
        <f>IF(ISERROR(VLOOKUP(Base_Periodo1[[#This Row],[CONTA]],BaseContasDRE[#All],5,FALSE)),"Fora do DRE",VLOOKUP(Base_Periodo1[[#This Row],[CONTA]],BaseContasDRE[#All],6,FALSE))</f>
        <v>Fora do DRE</v>
      </c>
      <c r="U33" s="3" t="str">
        <f>IF(ISERROR(VLOOKUP(Base_Periodo1[[#This Row],[CONTA]],BaseContasDRE[#All],7,FALSE)),"Fora do DRE",VLOOKUP(Base_Periodo1[[#This Row],[CONTA]],BaseContasDRE[#All],7,FALSE))</f>
        <v>Fora do DRE</v>
      </c>
      <c r="V33" s="3" t="str">
        <f>IF(Base_Periodo1[[#This Row],[Tipo_Linha]]="Fora do DRE","Fora do DRE","( "&amp;Base_Periodo1[[#This Row],[Tipo_Linha]]&amp;" ) "&amp;Base_Periodo1[[#This Row],[Filtro]])</f>
        <v>Fora do DRE</v>
      </c>
      <c r="W33" s="3" t="str">
        <f>LEFT(Base_Periodo1[[#This Row],[CLASS]],3)</f>
        <v>1.1</v>
      </c>
    </row>
    <row r="34" spans="1:23" hidden="1">
      <c r="A34" s="3" t="str">
        <f t="shared" si="0"/>
        <v>Período 1</v>
      </c>
      <c r="B34">
        <v>26907</v>
      </c>
      <c r="C34" t="s">
        <v>447</v>
      </c>
      <c r="D34" t="s">
        <v>448</v>
      </c>
      <c r="E34" s="3" t="str">
        <f>IF(LEN(Base_Periodo1[[#This Row],[CLASS]])&gt;=7,LEFT(Base_Periodo1[[#This Row],[CLASS]],7),"")</f>
        <v>1.1.1.2</v>
      </c>
      <c r="F34" s="3" t="str">
        <f>VLOOKUP(Base_Periodo1[[#This Row],[Aux]],Base_Contas_Balanco[#All],2,FALSE)</f>
        <v>Banco C/Movimento</v>
      </c>
      <c r="G34" s="1">
        <v>42886</v>
      </c>
      <c r="H34" s="225">
        <v>23257.870000008494</v>
      </c>
      <c r="I34" s="225">
        <v>242000</v>
      </c>
      <c r="J34" s="225">
        <v>231773.63</v>
      </c>
      <c r="K34" s="225">
        <v>33484.240000008489</v>
      </c>
      <c r="L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33484.239999999998</v>
      </c>
      <c r="M34" s="225">
        <f>ROUND(IF(AND(Base_Periodo1[[#This Row],[Tipo_Linha]]="-",Base_Periodo1[[#This Row],[TIPOSALDO]]="D"),Base_Periodo1[[#This Row],[SALDO_ATUAL]]*-1,Base_Periodo1[[#This Row],[SALDO_ATUAL]]),4)</f>
        <v>33484.239999999998</v>
      </c>
      <c r="N34" t="s">
        <v>116</v>
      </c>
      <c r="O34" t="s">
        <v>397</v>
      </c>
      <c r="P34" t="s">
        <v>397</v>
      </c>
      <c r="Q34">
        <v>6</v>
      </c>
      <c r="R34" s="225">
        <f>Base_Periodo1[[#This Row],[CREDITOS]]-Base_Periodo1[[#This Row],[DEBITOS]]</f>
        <v>-10226.369999999995</v>
      </c>
      <c r="S34" s="3" t="str">
        <f>IF(ISERROR(VLOOKUP(Base_Periodo1[[#This Row],[CONTA]],BaseContasDRE[#All],4,FALSE)),"Fora do DRE",VLOOKUP(Base_Periodo1[[#This Row],[CONTA]],BaseContasDRE[#All],4,FALSE))</f>
        <v>Fora do DRE</v>
      </c>
      <c r="T34" s="3" t="str">
        <f>IF(ISERROR(VLOOKUP(Base_Periodo1[[#This Row],[CONTA]],BaseContasDRE[#All],5,FALSE)),"Fora do DRE",VLOOKUP(Base_Periodo1[[#This Row],[CONTA]],BaseContasDRE[#All],6,FALSE))</f>
        <v>Fora do DRE</v>
      </c>
      <c r="U34" s="3" t="str">
        <f>IF(ISERROR(VLOOKUP(Base_Periodo1[[#This Row],[CONTA]],BaseContasDRE[#All],7,FALSE)),"Fora do DRE",VLOOKUP(Base_Periodo1[[#This Row],[CONTA]],BaseContasDRE[#All],7,FALSE))</f>
        <v>Fora do DRE</v>
      </c>
      <c r="V34" s="3" t="str">
        <f>IF(Base_Periodo1[[#This Row],[Tipo_Linha]]="Fora do DRE","Fora do DRE","( "&amp;Base_Periodo1[[#This Row],[Tipo_Linha]]&amp;" ) "&amp;Base_Periodo1[[#This Row],[Filtro]])</f>
        <v>Fora do DRE</v>
      </c>
      <c r="W34" s="3" t="str">
        <f>LEFT(Base_Periodo1[[#This Row],[CLASS]],3)</f>
        <v>1.1</v>
      </c>
    </row>
    <row r="35" spans="1:23" hidden="1">
      <c r="A35" s="3" t="str">
        <f t="shared" si="0"/>
        <v>Período 1</v>
      </c>
      <c r="B35">
        <v>26908</v>
      </c>
      <c r="C35" t="s">
        <v>449</v>
      </c>
      <c r="D35" t="s">
        <v>450</v>
      </c>
      <c r="E35" s="3" t="str">
        <f>IF(LEN(Base_Periodo1[[#This Row],[CLASS]])&gt;=7,LEFT(Base_Periodo1[[#This Row],[CLASS]],7),"")</f>
        <v>1.1.1.2</v>
      </c>
      <c r="F35" s="3" t="str">
        <f>VLOOKUP(Base_Periodo1[[#This Row],[Aux]],Base_Contas_Balanco[#All],2,FALSE)</f>
        <v>Banco C/Movimento</v>
      </c>
      <c r="G35" s="1">
        <v>42884</v>
      </c>
      <c r="H35" s="225">
        <v>6558.8900000303984</v>
      </c>
      <c r="I35" s="225">
        <v>78000</v>
      </c>
      <c r="J35" s="225">
        <v>79090.180000000008</v>
      </c>
      <c r="K35" s="225">
        <v>5468.7100000303908</v>
      </c>
      <c r="L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5468.71</v>
      </c>
      <c r="M35" s="225">
        <f>ROUND(IF(AND(Base_Periodo1[[#This Row],[Tipo_Linha]]="-",Base_Periodo1[[#This Row],[TIPOSALDO]]="D"),Base_Periodo1[[#This Row],[SALDO_ATUAL]]*-1,Base_Periodo1[[#This Row],[SALDO_ATUAL]]),4)</f>
        <v>5468.71</v>
      </c>
      <c r="N35" t="s">
        <v>116</v>
      </c>
      <c r="O35" t="s">
        <v>397</v>
      </c>
      <c r="P35" t="s">
        <v>397</v>
      </c>
      <c r="Q35">
        <v>6</v>
      </c>
      <c r="R35" s="225">
        <f>Base_Periodo1[[#This Row],[CREDITOS]]-Base_Periodo1[[#This Row],[DEBITOS]]</f>
        <v>1090.1800000000076</v>
      </c>
      <c r="S35" s="3" t="str">
        <f>IF(ISERROR(VLOOKUP(Base_Periodo1[[#This Row],[CONTA]],BaseContasDRE[#All],4,FALSE)),"Fora do DRE",VLOOKUP(Base_Periodo1[[#This Row],[CONTA]],BaseContasDRE[#All],4,FALSE))</f>
        <v>Fora do DRE</v>
      </c>
      <c r="T35" s="3" t="str">
        <f>IF(ISERROR(VLOOKUP(Base_Periodo1[[#This Row],[CONTA]],BaseContasDRE[#All],5,FALSE)),"Fora do DRE",VLOOKUP(Base_Periodo1[[#This Row],[CONTA]],BaseContasDRE[#All],6,FALSE))</f>
        <v>Fora do DRE</v>
      </c>
      <c r="U35" s="3" t="str">
        <f>IF(ISERROR(VLOOKUP(Base_Periodo1[[#This Row],[CONTA]],BaseContasDRE[#All],7,FALSE)),"Fora do DRE",VLOOKUP(Base_Periodo1[[#This Row],[CONTA]],BaseContasDRE[#All],7,FALSE))</f>
        <v>Fora do DRE</v>
      </c>
      <c r="V35" s="3" t="str">
        <f>IF(Base_Periodo1[[#This Row],[Tipo_Linha]]="Fora do DRE","Fora do DRE","( "&amp;Base_Periodo1[[#This Row],[Tipo_Linha]]&amp;" ) "&amp;Base_Periodo1[[#This Row],[Filtro]])</f>
        <v>Fora do DRE</v>
      </c>
      <c r="W35" s="3" t="str">
        <f>LEFT(Base_Periodo1[[#This Row],[CLASS]],3)</f>
        <v>1.1</v>
      </c>
    </row>
    <row r="36" spans="1:23" hidden="1">
      <c r="A36" s="3" t="str">
        <f t="shared" si="0"/>
        <v>Período 1</v>
      </c>
      <c r="B36">
        <v>30924</v>
      </c>
      <c r="C36" t="s">
        <v>451</v>
      </c>
      <c r="D36" t="s">
        <v>452</v>
      </c>
      <c r="E36" s="3" t="str">
        <f>IF(LEN(Base_Periodo1[[#This Row],[CLASS]])&gt;=7,LEFT(Base_Periodo1[[#This Row],[CLASS]],7),"")</f>
        <v>1.1.1.2</v>
      </c>
      <c r="F36" s="3" t="str">
        <f>VLOOKUP(Base_Periodo1[[#This Row],[Aux]],Base_Contas_Balanco[#All],2,FALSE)</f>
        <v>Banco C/Movimento</v>
      </c>
      <c r="G36" s="1">
        <v>42886</v>
      </c>
      <c r="H36" s="225">
        <v>176912.66000019014</v>
      </c>
      <c r="I36" s="225">
        <v>12359168.060000002</v>
      </c>
      <c r="J36" s="225">
        <v>12379896.360000001</v>
      </c>
      <c r="K36" s="225">
        <v>156184.36000019126</v>
      </c>
      <c r="L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156184.35999999999</v>
      </c>
      <c r="M36" s="225">
        <f>ROUND(IF(AND(Base_Periodo1[[#This Row],[Tipo_Linha]]="-",Base_Periodo1[[#This Row],[TIPOSALDO]]="D"),Base_Periodo1[[#This Row],[SALDO_ATUAL]]*-1,Base_Periodo1[[#This Row],[SALDO_ATUAL]]),4)</f>
        <v>156184.35999999999</v>
      </c>
      <c r="N36" t="s">
        <v>116</v>
      </c>
      <c r="O36" t="s">
        <v>397</v>
      </c>
      <c r="P36" t="s">
        <v>397</v>
      </c>
      <c r="Q36">
        <v>6</v>
      </c>
      <c r="R36" s="225">
        <f>Base_Periodo1[[#This Row],[CREDITOS]]-Base_Periodo1[[#This Row],[DEBITOS]]</f>
        <v>20728.299999998882</v>
      </c>
      <c r="S36" s="3" t="str">
        <f>IF(ISERROR(VLOOKUP(Base_Periodo1[[#This Row],[CONTA]],BaseContasDRE[#All],4,FALSE)),"Fora do DRE",VLOOKUP(Base_Periodo1[[#This Row],[CONTA]],BaseContasDRE[#All],4,FALSE))</f>
        <v>Fora do DRE</v>
      </c>
      <c r="T36" s="3" t="str">
        <f>IF(ISERROR(VLOOKUP(Base_Periodo1[[#This Row],[CONTA]],BaseContasDRE[#All],5,FALSE)),"Fora do DRE",VLOOKUP(Base_Periodo1[[#This Row],[CONTA]],BaseContasDRE[#All],6,FALSE))</f>
        <v>Fora do DRE</v>
      </c>
      <c r="U36" s="3" t="str">
        <f>IF(ISERROR(VLOOKUP(Base_Periodo1[[#This Row],[CONTA]],BaseContasDRE[#All],7,FALSE)),"Fora do DRE",VLOOKUP(Base_Periodo1[[#This Row],[CONTA]],BaseContasDRE[#All],7,FALSE))</f>
        <v>Fora do DRE</v>
      </c>
      <c r="V36" s="3" t="str">
        <f>IF(Base_Periodo1[[#This Row],[Tipo_Linha]]="Fora do DRE","Fora do DRE","( "&amp;Base_Periodo1[[#This Row],[Tipo_Linha]]&amp;" ) "&amp;Base_Periodo1[[#This Row],[Filtro]])</f>
        <v>Fora do DRE</v>
      </c>
      <c r="W36" s="3" t="str">
        <f>LEFT(Base_Periodo1[[#This Row],[CLASS]],3)</f>
        <v>1.1</v>
      </c>
    </row>
    <row r="37" spans="1:23" hidden="1">
      <c r="A37" s="3" t="str">
        <f t="shared" si="0"/>
        <v>Período 1</v>
      </c>
      <c r="B37">
        <v>35488</v>
      </c>
      <c r="C37" t="s">
        <v>453</v>
      </c>
      <c r="D37" t="s">
        <v>454</v>
      </c>
      <c r="E37" s="3" t="str">
        <f>IF(LEN(Base_Periodo1[[#This Row],[CLASS]])&gt;=7,LEFT(Base_Periodo1[[#This Row],[CLASS]],7),"")</f>
        <v>1.1.1.2</v>
      </c>
      <c r="F37" s="3" t="str">
        <f>VLOOKUP(Base_Periodo1[[#This Row],[Aux]],Base_Contas_Balanco[#All],2,FALSE)</f>
        <v>Banco C/Movimento</v>
      </c>
      <c r="G37" s="1">
        <v>42886</v>
      </c>
      <c r="H37" s="225">
        <v>160772.68999997526</v>
      </c>
      <c r="I37" s="225">
        <v>4837000</v>
      </c>
      <c r="J37" s="225">
        <v>4922169.7499999953</v>
      </c>
      <c r="K37" s="225">
        <v>75602.939999979921</v>
      </c>
      <c r="L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75602.94</v>
      </c>
      <c r="M37" s="225">
        <f>ROUND(IF(AND(Base_Periodo1[[#This Row],[Tipo_Linha]]="-",Base_Periodo1[[#This Row],[TIPOSALDO]]="D"),Base_Periodo1[[#This Row],[SALDO_ATUAL]]*-1,Base_Periodo1[[#This Row],[SALDO_ATUAL]]),4)</f>
        <v>75602.94</v>
      </c>
      <c r="N37" t="s">
        <v>116</v>
      </c>
      <c r="O37" t="s">
        <v>397</v>
      </c>
      <c r="P37" t="s">
        <v>397</v>
      </c>
      <c r="Q37">
        <v>6</v>
      </c>
      <c r="R37" s="225">
        <f>Base_Periodo1[[#This Row],[CREDITOS]]-Base_Periodo1[[#This Row],[DEBITOS]]</f>
        <v>85169.749999995343</v>
      </c>
      <c r="S37" s="3" t="str">
        <f>IF(ISERROR(VLOOKUP(Base_Periodo1[[#This Row],[CONTA]],BaseContasDRE[#All],4,FALSE)),"Fora do DRE",VLOOKUP(Base_Periodo1[[#This Row],[CONTA]],BaseContasDRE[#All],4,FALSE))</f>
        <v>Fora do DRE</v>
      </c>
      <c r="T37" s="3" t="str">
        <f>IF(ISERROR(VLOOKUP(Base_Periodo1[[#This Row],[CONTA]],BaseContasDRE[#All],5,FALSE)),"Fora do DRE",VLOOKUP(Base_Periodo1[[#This Row],[CONTA]],BaseContasDRE[#All],6,FALSE))</f>
        <v>Fora do DRE</v>
      </c>
      <c r="U37" s="3" t="str">
        <f>IF(ISERROR(VLOOKUP(Base_Periodo1[[#This Row],[CONTA]],BaseContasDRE[#All],7,FALSE)),"Fora do DRE",VLOOKUP(Base_Periodo1[[#This Row],[CONTA]],BaseContasDRE[#All],7,FALSE))</f>
        <v>Fora do DRE</v>
      </c>
      <c r="V37" s="3" t="str">
        <f>IF(Base_Periodo1[[#This Row],[Tipo_Linha]]="Fora do DRE","Fora do DRE","( "&amp;Base_Periodo1[[#This Row],[Tipo_Linha]]&amp;" ) "&amp;Base_Periodo1[[#This Row],[Filtro]])</f>
        <v>Fora do DRE</v>
      </c>
      <c r="W37" s="3" t="str">
        <f>LEFT(Base_Periodo1[[#This Row],[CLASS]],3)</f>
        <v>1.1</v>
      </c>
    </row>
    <row r="38" spans="1:23" hidden="1">
      <c r="A38" s="3" t="str">
        <f t="shared" si="0"/>
        <v>Período 1</v>
      </c>
      <c r="B38">
        <v>35490</v>
      </c>
      <c r="C38" t="s">
        <v>455</v>
      </c>
      <c r="D38" t="s">
        <v>456</v>
      </c>
      <c r="E38" s="3" t="str">
        <f>IF(LEN(Base_Periodo1[[#This Row],[CLASS]])&gt;=7,LEFT(Base_Periodo1[[#This Row],[CLASS]],7),"")</f>
        <v>1.1.1.2</v>
      </c>
      <c r="F38" s="3" t="str">
        <f>VLOOKUP(Base_Periodo1[[#This Row],[Aux]],Base_Contas_Balanco[#All],2,FALSE)</f>
        <v>Banco C/Movimento</v>
      </c>
      <c r="G38" s="1">
        <v>42886</v>
      </c>
      <c r="H38" s="225">
        <v>210541.73999999091</v>
      </c>
      <c r="I38" s="225">
        <v>2502000</v>
      </c>
      <c r="J38" s="225">
        <v>2582271.6900000009</v>
      </c>
      <c r="K38" s="225">
        <v>130270.04999999003</v>
      </c>
      <c r="L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130270.05</v>
      </c>
      <c r="M38" s="225">
        <f>ROUND(IF(AND(Base_Periodo1[[#This Row],[Tipo_Linha]]="-",Base_Periodo1[[#This Row],[TIPOSALDO]]="D"),Base_Periodo1[[#This Row],[SALDO_ATUAL]]*-1,Base_Periodo1[[#This Row],[SALDO_ATUAL]]),4)</f>
        <v>130270.05</v>
      </c>
      <c r="N38" t="s">
        <v>116</v>
      </c>
      <c r="O38" t="s">
        <v>397</v>
      </c>
      <c r="P38" t="s">
        <v>397</v>
      </c>
      <c r="Q38">
        <v>6</v>
      </c>
      <c r="R38" s="225">
        <f>Base_Periodo1[[#This Row],[CREDITOS]]-Base_Periodo1[[#This Row],[DEBITOS]]</f>
        <v>80271.690000000875</v>
      </c>
      <c r="S38" s="3" t="str">
        <f>IF(ISERROR(VLOOKUP(Base_Periodo1[[#This Row],[CONTA]],BaseContasDRE[#All],4,FALSE)),"Fora do DRE",VLOOKUP(Base_Periodo1[[#This Row],[CONTA]],BaseContasDRE[#All],4,FALSE))</f>
        <v>Fora do DRE</v>
      </c>
      <c r="T38" s="3" t="str">
        <f>IF(ISERROR(VLOOKUP(Base_Periodo1[[#This Row],[CONTA]],BaseContasDRE[#All],5,FALSE)),"Fora do DRE",VLOOKUP(Base_Periodo1[[#This Row],[CONTA]],BaseContasDRE[#All],6,FALSE))</f>
        <v>Fora do DRE</v>
      </c>
      <c r="U38" s="3" t="str">
        <f>IF(ISERROR(VLOOKUP(Base_Periodo1[[#This Row],[CONTA]],BaseContasDRE[#All],7,FALSE)),"Fora do DRE",VLOOKUP(Base_Periodo1[[#This Row],[CONTA]],BaseContasDRE[#All],7,FALSE))</f>
        <v>Fora do DRE</v>
      </c>
      <c r="V38" s="3" t="str">
        <f>IF(Base_Periodo1[[#This Row],[Tipo_Linha]]="Fora do DRE","Fora do DRE","( "&amp;Base_Periodo1[[#This Row],[Tipo_Linha]]&amp;" ) "&amp;Base_Periodo1[[#This Row],[Filtro]])</f>
        <v>Fora do DRE</v>
      </c>
      <c r="W38" s="3" t="str">
        <f>LEFT(Base_Periodo1[[#This Row],[CLASS]],3)</f>
        <v>1.1</v>
      </c>
    </row>
    <row r="39" spans="1:23" hidden="1">
      <c r="A39" s="3" t="str">
        <f t="shared" si="0"/>
        <v>Período 1</v>
      </c>
      <c r="B39">
        <v>48532</v>
      </c>
      <c r="C39" t="s">
        <v>4237</v>
      </c>
      <c r="D39" t="s">
        <v>4238</v>
      </c>
      <c r="E39" s="3" t="str">
        <f>IF(LEN(Base_Periodo1[[#This Row],[CLASS]])&gt;=7,LEFT(Base_Periodo1[[#This Row],[CLASS]],7),"")</f>
        <v>1.1.1.2</v>
      </c>
      <c r="F39" s="3" t="str">
        <f>VLOOKUP(Base_Periodo1[[#This Row],[Aux]],Base_Contas_Balanco[#All],2,FALSE)</f>
        <v>Banco C/Movimento</v>
      </c>
      <c r="G39" s="1">
        <v>42886</v>
      </c>
      <c r="H39" s="225">
        <v>11155.550000008196</v>
      </c>
      <c r="I39" s="225">
        <v>1511000</v>
      </c>
      <c r="J39" s="225">
        <v>1512291.0799999996</v>
      </c>
      <c r="K39" s="225">
        <v>9864.4700000085868</v>
      </c>
      <c r="L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9864.4699999999993</v>
      </c>
      <c r="M39" s="225">
        <f>ROUND(IF(AND(Base_Periodo1[[#This Row],[Tipo_Linha]]="-",Base_Periodo1[[#This Row],[TIPOSALDO]]="D"),Base_Periodo1[[#This Row],[SALDO_ATUAL]]*-1,Base_Periodo1[[#This Row],[SALDO_ATUAL]]),4)</f>
        <v>9864.4699999999993</v>
      </c>
      <c r="N39" t="s">
        <v>116</v>
      </c>
      <c r="O39" t="s">
        <v>397</v>
      </c>
      <c r="P39" t="s">
        <v>397</v>
      </c>
      <c r="Q39">
        <v>6</v>
      </c>
      <c r="R39" s="225">
        <f>Base_Periodo1[[#This Row],[CREDITOS]]-Base_Periodo1[[#This Row],[DEBITOS]]</f>
        <v>1291.0799999996088</v>
      </c>
      <c r="S39" s="3" t="str">
        <f>IF(ISERROR(VLOOKUP(Base_Periodo1[[#This Row],[CONTA]],BaseContasDRE[#All],4,FALSE)),"Fora do DRE",VLOOKUP(Base_Periodo1[[#This Row],[CONTA]],BaseContasDRE[#All],4,FALSE))</f>
        <v>Fora do DRE</v>
      </c>
      <c r="T39" s="3" t="str">
        <f>IF(ISERROR(VLOOKUP(Base_Periodo1[[#This Row],[CONTA]],BaseContasDRE[#All],5,FALSE)),"Fora do DRE",VLOOKUP(Base_Periodo1[[#This Row],[CONTA]],BaseContasDRE[#All],6,FALSE))</f>
        <v>Fora do DRE</v>
      </c>
      <c r="U39" s="3" t="str">
        <f>IF(ISERROR(VLOOKUP(Base_Periodo1[[#This Row],[CONTA]],BaseContasDRE[#All],7,FALSE)),"Fora do DRE",VLOOKUP(Base_Periodo1[[#This Row],[CONTA]],BaseContasDRE[#All],7,FALSE))</f>
        <v>Fora do DRE</v>
      </c>
      <c r="V39" s="3" t="str">
        <f>IF(Base_Periodo1[[#This Row],[Tipo_Linha]]="Fora do DRE","Fora do DRE","( "&amp;Base_Periodo1[[#This Row],[Tipo_Linha]]&amp;" ) "&amp;Base_Periodo1[[#This Row],[Filtro]])</f>
        <v>Fora do DRE</v>
      </c>
      <c r="W39" s="3" t="str">
        <f>LEFT(Base_Periodo1[[#This Row],[CLASS]],3)</f>
        <v>1.1</v>
      </c>
    </row>
    <row r="40" spans="1:23" hidden="1">
      <c r="A40" s="3" t="str">
        <f t="shared" si="0"/>
        <v>Período 1</v>
      </c>
      <c r="B40">
        <v>48533</v>
      </c>
      <c r="C40" t="s">
        <v>4184</v>
      </c>
      <c r="D40" t="s">
        <v>4185</v>
      </c>
      <c r="E40" s="3" t="str">
        <f>IF(LEN(Base_Periodo1[[#This Row],[CLASS]])&gt;=7,LEFT(Base_Periodo1[[#This Row],[CLASS]],7),"")</f>
        <v>1.1.1.2</v>
      </c>
      <c r="F40" s="3" t="str">
        <f>VLOOKUP(Base_Periodo1[[#This Row],[Aux]],Base_Contas_Balanco[#All],2,FALSE)</f>
        <v>Banco C/Movimento</v>
      </c>
      <c r="G40" s="1">
        <v>42886</v>
      </c>
      <c r="H40" s="225">
        <v>25845.490000000224</v>
      </c>
      <c r="I40" s="225">
        <v>1318000</v>
      </c>
      <c r="J40" s="225">
        <v>1237230.6100000001</v>
      </c>
      <c r="K40" s="225">
        <v>106614.88000000012</v>
      </c>
      <c r="L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106614.88</v>
      </c>
      <c r="M40" s="225">
        <f>ROUND(IF(AND(Base_Periodo1[[#This Row],[Tipo_Linha]]="-",Base_Periodo1[[#This Row],[TIPOSALDO]]="D"),Base_Periodo1[[#This Row],[SALDO_ATUAL]]*-1,Base_Periodo1[[#This Row],[SALDO_ATUAL]]),4)</f>
        <v>106614.88</v>
      </c>
      <c r="N40" t="s">
        <v>116</v>
      </c>
      <c r="O40" t="s">
        <v>397</v>
      </c>
      <c r="P40" t="s">
        <v>397</v>
      </c>
      <c r="Q40">
        <v>6</v>
      </c>
      <c r="R40" s="225">
        <f>Base_Periodo1[[#This Row],[CREDITOS]]-Base_Periodo1[[#This Row],[DEBITOS]]</f>
        <v>-80769.389999999898</v>
      </c>
      <c r="S40" s="3" t="str">
        <f>IF(ISERROR(VLOOKUP(Base_Periodo1[[#This Row],[CONTA]],BaseContasDRE[#All],4,FALSE)),"Fora do DRE",VLOOKUP(Base_Periodo1[[#This Row],[CONTA]],BaseContasDRE[#All],4,FALSE))</f>
        <v>Fora do DRE</v>
      </c>
      <c r="T40" s="3" t="str">
        <f>IF(ISERROR(VLOOKUP(Base_Periodo1[[#This Row],[CONTA]],BaseContasDRE[#All],5,FALSE)),"Fora do DRE",VLOOKUP(Base_Periodo1[[#This Row],[CONTA]],BaseContasDRE[#All],6,FALSE))</f>
        <v>Fora do DRE</v>
      </c>
      <c r="U40" s="3" t="str">
        <f>IF(ISERROR(VLOOKUP(Base_Periodo1[[#This Row],[CONTA]],BaseContasDRE[#All],7,FALSE)),"Fora do DRE",VLOOKUP(Base_Periodo1[[#This Row],[CONTA]],BaseContasDRE[#All],7,FALSE))</f>
        <v>Fora do DRE</v>
      </c>
      <c r="V40" s="3" t="str">
        <f>IF(Base_Periodo1[[#This Row],[Tipo_Linha]]="Fora do DRE","Fora do DRE","( "&amp;Base_Periodo1[[#This Row],[Tipo_Linha]]&amp;" ) "&amp;Base_Periodo1[[#This Row],[Filtro]])</f>
        <v>Fora do DRE</v>
      </c>
      <c r="W40" s="3" t="str">
        <f>LEFT(Base_Periodo1[[#This Row],[CLASS]],3)</f>
        <v>1.1</v>
      </c>
    </row>
    <row r="41" spans="1:23" hidden="1">
      <c r="A41" s="3" t="str">
        <f t="shared" si="0"/>
        <v>Período 1</v>
      </c>
      <c r="B41">
        <v>55279</v>
      </c>
      <c r="C41" t="s">
        <v>5259</v>
      </c>
      <c r="D41" t="s">
        <v>5260</v>
      </c>
      <c r="E41" s="3" t="str">
        <f>IF(LEN(Base_Periodo1[[#This Row],[CLASS]])&gt;=7,LEFT(Base_Periodo1[[#This Row],[CLASS]],7),"")</f>
        <v>1.1.1.2</v>
      </c>
      <c r="F41" s="3" t="str">
        <f>VLOOKUP(Base_Periodo1[[#This Row],[Aux]],Base_Contas_Balanco[#All],2,FALSE)</f>
        <v>Banco C/Movimento</v>
      </c>
      <c r="G41" s="1">
        <v>42870</v>
      </c>
      <c r="H41" s="225">
        <v>43.870000000111759</v>
      </c>
      <c r="I41" s="225">
        <v>945000</v>
      </c>
      <c r="J41" s="225">
        <v>945043.87000000011</v>
      </c>
      <c r="K41" s="225">
        <v>0</v>
      </c>
      <c r="L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" s="225">
        <f>ROUND(IF(AND(Base_Periodo1[[#This Row],[Tipo_Linha]]="-",Base_Periodo1[[#This Row],[TIPOSALDO]]="D"),Base_Periodo1[[#This Row],[SALDO_ATUAL]]*-1,Base_Periodo1[[#This Row],[SALDO_ATUAL]]),4)</f>
        <v>0</v>
      </c>
      <c r="N41" t="s">
        <v>116</v>
      </c>
      <c r="O41" t="s">
        <v>397</v>
      </c>
      <c r="P41" t="s">
        <v>436</v>
      </c>
      <c r="Q41">
        <v>6</v>
      </c>
      <c r="R41" s="225">
        <f>Base_Periodo1[[#This Row],[CREDITOS]]-Base_Periodo1[[#This Row],[DEBITOS]]</f>
        <v>43.870000000111759</v>
      </c>
      <c r="S41" s="3" t="str">
        <f>IF(ISERROR(VLOOKUP(Base_Periodo1[[#This Row],[CONTA]],BaseContasDRE[#All],4,FALSE)),"Fora do DRE",VLOOKUP(Base_Periodo1[[#This Row],[CONTA]],BaseContasDRE[#All],4,FALSE))</f>
        <v>Fora do DRE</v>
      </c>
      <c r="T41" s="3" t="str">
        <f>IF(ISERROR(VLOOKUP(Base_Periodo1[[#This Row],[CONTA]],BaseContasDRE[#All],5,FALSE)),"Fora do DRE",VLOOKUP(Base_Periodo1[[#This Row],[CONTA]],BaseContasDRE[#All],6,FALSE))</f>
        <v>Fora do DRE</v>
      </c>
      <c r="U41" s="3" t="str">
        <f>IF(ISERROR(VLOOKUP(Base_Periodo1[[#This Row],[CONTA]],BaseContasDRE[#All],7,FALSE)),"Fora do DRE",VLOOKUP(Base_Periodo1[[#This Row],[CONTA]],BaseContasDRE[#All],7,FALSE))</f>
        <v>Fora do DRE</v>
      </c>
      <c r="V41" s="3" t="str">
        <f>IF(Base_Periodo1[[#This Row],[Tipo_Linha]]="Fora do DRE","Fora do DRE","( "&amp;Base_Periodo1[[#This Row],[Tipo_Linha]]&amp;" ) "&amp;Base_Periodo1[[#This Row],[Filtro]])</f>
        <v>Fora do DRE</v>
      </c>
      <c r="W41" s="3" t="str">
        <f>LEFT(Base_Periodo1[[#This Row],[CLASS]],3)</f>
        <v>1.1</v>
      </c>
    </row>
    <row r="42" spans="1:23" hidden="1">
      <c r="A42" s="3" t="str">
        <f t="shared" si="0"/>
        <v>Período 1</v>
      </c>
      <c r="B42">
        <v>7644</v>
      </c>
      <c r="C42" t="s">
        <v>457</v>
      </c>
      <c r="D42" t="s">
        <v>458</v>
      </c>
      <c r="E42" s="3" t="str">
        <f>IF(LEN(Base_Periodo1[[#This Row],[CLASS]])&gt;=7,LEFT(Base_Periodo1[[#This Row],[CLASS]],7),"")</f>
        <v>1.1.1.2</v>
      </c>
      <c r="F42" s="3" t="str">
        <f>VLOOKUP(Base_Periodo1[[#This Row],[Aux]],Base_Contas_Balanco[#All],2,FALSE)</f>
        <v>Banco C/Movimento</v>
      </c>
      <c r="G42" s="1"/>
      <c r="H42" s="225">
        <v>1698164.2599999141</v>
      </c>
      <c r="I42" s="225">
        <v>13241480.569999998</v>
      </c>
      <c r="J42" s="225">
        <v>12535464.270000001</v>
      </c>
      <c r="K42" s="225">
        <v>992147.95999991708</v>
      </c>
      <c r="L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-992147.96</v>
      </c>
      <c r="M42" s="225">
        <f>ROUND(IF(AND(Base_Periodo1[[#This Row],[Tipo_Linha]]="-",Base_Periodo1[[#This Row],[TIPOSALDO]]="D"),Base_Periodo1[[#This Row],[SALDO_ATUAL]]*-1,Base_Periodo1[[#This Row],[SALDO_ATUAL]]),4)</f>
        <v>992147.96</v>
      </c>
      <c r="N42" t="s">
        <v>396</v>
      </c>
      <c r="O42" t="s">
        <v>459</v>
      </c>
      <c r="P42" t="s">
        <v>459</v>
      </c>
      <c r="Q42">
        <v>5</v>
      </c>
      <c r="R42" s="225">
        <f>Base_Periodo1[[#This Row],[CREDITOS]]-Base_Periodo1[[#This Row],[DEBITOS]]</f>
        <v>-706016.29999999702</v>
      </c>
      <c r="S42" s="3" t="str">
        <f>IF(ISERROR(VLOOKUP(Base_Periodo1[[#This Row],[CONTA]],BaseContasDRE[#All],4,FALSE)),"Fora do DRE",VLOOKUP(Base_Periodo1[[#This Row],[CONTA]],BaseContasDRE[#All],4,FALSE))</f>
        <v>Fora do DRE</v>
      </c>
      <c r="T42" s="3" t="str">
        <f>IF(ISERROR(VLOOKUP(Base_Periodo1[[#This Row],[CONTA]],BaseContasDRE[#All],5,FALSE)),"Fora do DRE",VLOOKUP(Base_Periodo1[[#This Row],[CONTA]],BaseContasDRE[#All],6,FALSE))</f>
        <v>Fora do DRE</v>
      </c>
      <c r="U42" s="3" t="str">
        <f>IF(ISERROR(VLOOKUP(Base_Periodo1[[#This Row],[CONTA]],BaseContasDRE[#All],7,FALSE)),"Fora do DRE",VLOOKUP(Base_Periodo1[[#This Row],[CONTA]],BaseContasDRE[#All],7,FALSE))</f>
        <v>Fora do DRE</v>
      </c>
      <c r="V42" s="3" t="str">
        <f>IF(Base_Periodo1[[#This Row],[Tipo_Linha]]="Fora do DRE","Fora do DRE","( "&amp;Base_Periodo1[[#This Row],[Tipo_Linha]]&amp;" ) "&amp;Base_Periodo1[[#This Row],[Filtro]])</f>
        <v>Fora do DRE</v>
      </c>
      <c r="W42" s="3" t="str">
        <f>LEFT(Base_Periodo1[[#This Row],[CLASS]],3)</f>
        <v>1.1</v>
      </c>
    </row>
    <row r="43" spans="1:23" hidden="1">
      <c r="A43" s="3" t="str">
        <f t="shared" si="0"/>
        <v>Período 1</v>
      </c>
      <c r="B43">
        <v>7645</v>
      </c>
      <c r="C43" t="s">
        <v>460</v>
      </c>
      <c r="D43" t="s">
        <v>461</v>
      </c>
      <c r="E43" s="3" t="str">
        <f>IF(LEN(Base_Periodo1[[#This Row],[CLASS]])&gt;=7,LEFT(Base_Periodo1[[#This Row],[CLASS]],7),"")</f>
        <v>1.1.1.2</v>
      </c>
      <c r="F43" s="3" t="str">
        <f>VLOOKUP(Base_Periodo1[[#This Row],[Aux]],Base_Contas_Balanco[#All],2,FALSE)</f>
        <v>Banco C/Movimento</v>
      </c>
      <c r="G43" s="1">
        <v>42886</v>
      </c>
      <c r="H43" s="225">
        <v>413096.64999979734</v>
      </c>
      <c r="I43" s="225">
        <v>932425.98999999987</v>
      </c>
      <c r="J43" s="225">
        <v>526414.96</v>
      </c>
      <c r="K43" s="225">
        <v>7085.6199997974327</v>
      </c>
      <c r="L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-7085.62</v>
      </c>
      <c r="M43" s="225">
        <f>ROUND(IF(AND(Base_Periodo1[[#This Row],[Tipo_Linha]]="-",Base_Periodo1[[#This Row],[TIPOSALDO]]="D"),Base_Periodo1[[#This Row],[SALDO_ATUAL]]*-1,Base_Periodo1[[#This Row],[SALDO_ATUAL]]),4)</f>
        <v>7085.62</v>
      </c>
      <c r="N43" t="s">
        <v>116</v>
      </c>
      <c r="O43" t="s">
        <v>459</v>
      </c>
      <c r="P43" t="s">
        <v>459</v>
      </c>
      <c r="Q43">
        <v>6</v>
      </c>
      <c r="R43" s="225">
        <f>Base_Periodo1[[#This Row],[CREDITOS]]-Base_Periodo1[[#This Row],[DEBITOS]]</f>
        <v>-406011.02999999991</v>
      </c>
      <c r="S43" s="3" t="str">
        <f>IF(ISERROR(VLOOKUP(Base_Periodo1[[#This Row],[CONTA]],BaseContasDRE[#All],4,FALSE)),"Fora do DRE",VLOOKUP(Base_Periodo1[[#This Row],[CONTA]],BaseContasDRE[#All],4,FALSE))</f>
        <v>Fora do DRE</v>
      </c>
      <c r="T43" s="3" t="str">
        <f>IF(ISERROR(VLOOKUP(Base_Periodo1[[#This Row],[CONTA]],BaseContasDRE[#All],5,FALSE)),"Fora do DRE",VLOOKUP(Base_Periodo1[[#This Row],[CONTA]],BaseContasDRE[#All],6,FALSE))</f>
        <v>Fora do DRE</v>
      </c>
      <c r="U43" s="3" t="str">
        <f>IF(ISERROR(VLOOKUP(Base_Periodo1[[#This Row],[CONTA]],BaseContasDRE[#All],7,FALSE)),"Fora do DRE",VLOOKUP(Base_Periodo1[[#This Row],[CONTA]],BaseContasDRE[#All],7,FALSE))</f>
        <v>Fora do DRE</v>
      </c>
      <c r="V43" s="3" t="str">
        <f>IF(Base_Periodo1[[#This Row],[Tipo_Linha]]="Fora do DRE","Fora do DRE","( "&amp;Base_Periodo1[[#This Row],[Tipo_Linha]]&amp;" ) "&amp;Base_Periodo1[[#This Row],[Filtro]])</f>
        <v>Fora do DRE</v>
      </c>
      <c r="W43" s="3" t="str">
        <f>LEFT(Base_Periodo1[[#This Row],[CLASS]],3)</f>
        <v>1.1</v>
      </c>
    </row>
    <row r="44" spans="1:23" hidden="1">
      <c r="A44" s="3" t="str">
        <f t="shared" si="0"/>
        <v>Período 1</v>
      </c>
      <c r="B44">
        <v>7650</v>
      </c>
      <c r="C44" t="s">
        <v>462</v>
      </c>
      <c r="D44" t="s">
        <v>463</v>
      </c>
      <c r="E44" s="3" t="str">
        <f>IF(LEN(Base_Periodo1[[#This Row],[CLASS]])&gt;=7,LEFT(Base_Periodo1[[#This Row],[CLASS]],7),"")</f>
        <v>1.1.1.2</v>
      </c>
      <c r="F44" s="3" t="str">
        <f>VLOOKUP(Base_Periodo1[[#This Row],[Aux]],Base_Contas_Balanco[#All],2,FALSE)</f>
        <v>Banco C/Movimento</v>
      </c>
      <c r="G44" s="1">
        <v>42885</v>
      </c>
      <c r="H44" s="225">
        <v>214245.91000020504</v>
      </c>
      <c r="I44" s="225">
        <v>997554.73</v>
      </c>
      <c r="J44" s="225">
        <v>800345.01</v>
      </c>
      <c r="K44" s="225">
        <v>17036.190000205068</v>
      </c>
      <c r="L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-17036.189999999999</v>
      </c>
      <c r="M44" s="225">
        <f>ROUND(IF(AND(Base_Periodo1[[#This Row],[Tipo_Linha]]="-",Base_Periodo1[[#This Row],[TIPOSALDO]]="D"),Base_Periodo1[[#This Row],[SALDO_ATUAL]]*-1,Base_Periodo1[[#This Row],[SALDO_ATUAL]]),4)</f>
        <v>17036.189999999999</v>
      </c>
      <c r="N44" t="s">
        <v>116</v>
      </c>
      <c r="O44" t="s">
        <v>459</v>
      </c>
      <c r="P44" t="s">
        <v>459</v>
      </c>
      <c r="Q44">
        <v>6</v>
      </c>
      <c r="R44" s="225">
        <f>Base_Periodo1[[#This Row],[CREDITOS]]-Base_Periodo1[[#This Row],[DEBITOS]]</f>
        <v>-197209.71999999997</v>
      </c>
      <c r="S44" s="3" t="str">
        <f>IF(ISERROR(VLOOKUP(Base_Periodo1[[#This Row],[CONTA]],BaseContasDRE[#All],4,FALSE)),"Fora do DRE",VLOOKUP(Base_Periodo1[[#This Row],[CONTA]],BaseContasDRE[#All],4,FALSE))</f>
        <v>Fora do DRE</v>
      </c>
      <c r="T44" s="3" t="str">
        <f>IF(ISERROR(VLOOKUP(Base_Periodo1[[#This Row],[CONTA]],BaseContasDRE[#All],5,FALSE)),"Fora do DRE",VLOOKUP(Base_Periodo1[[#This Row],[CONTA]],BaseContasDRE[#All],6,FALSE))</f>
        <v>Fora do DRE</v>
      </c>
      <c r="U44" s="3" t="str">
        <f>IF(ISERROR(VLOOKUP(Base_Periodo1[[#This Row],[CONTA]],BaseContasDRE[#All],7,FALSE)),"Fora do DRE",VLOOKUP(Base_Periodo1[[#This Row],[CONTA]],BaseContasDRE[#All],7,FALSE))</f>
        <v>Fora do DRE</v>
      </c>
      <c r="V44" s="3" t="str">
        <f>IF(Base_Periodo1[[#This Row],[Tipo_Linha]]="Fora do DRE","Fora do DRE","( "&amp;Base_Periodo1[[#This Row],[Tipo_Linha]]&amp;" ) "&amp;Base_Periodo1[[#This Row],[Filtro]])</f>
        <v>Fora do DRE</v>
      </c>
      <c r="W44" s="3" t="str">
        <f>LEFT(Base_Periodo1[[#This Row],[CLASS]],3)</f>
        <v>1.1</v>
      </c>
    </row>
    <row r="45" spans="1:23" hidden="1">
      <c r="A45" s="3" t="str">
        <f t="shared" si="0"/>
        <v>Período 1</v>
      </c>
      <c r="B45">
        <v>14448</v>
      </c>
      <c r="C45" t="s">
        <v>464</v>
      </c>
      <c r="D45" t="s">
        <v>465</v>
      </c>
      <c r="E45" s="3" t="str">
        <f>IF(LEN(Base_Periodo1[[#This Row],[CLASS]])&gt;=7,LEFT(Base_Periodo1[[#This Row],[CLASS]],7),"")</f>
        <v>1.1.1.2</v>
      </c>
      <c r="F45" s="3" t="str">
        <f>VLOOKUP(Base_Periodo1[[#This Row],[Aux]],Base_Contas_Balanco[#All],2,FALSE)</f>
        <v>Banco C/Movimento</v>
      </c>
      <c r="G45" s="1">
        <v>42886</v>
      </c>
      <c r="I45" s="225">
        <v>210954.6</v>
      </c>
      <c r="J45" s="225">
        <v>210954.6</v>
      </c>
      <c r="K45" s="225">
        <v>1.862645149230957E-9</v>
      </c>
      <c r="L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5" s="225">
        <f>ROUND(IF(AND(Base_Periodo1[[#This Row],[Tipo_Linha]]="-",Base_Periodo1[[#This Row],[TIPOSALDO]]="D"),Base_Periodo1[[#This Row],[SALDO_ATUAL]]*-1,Base_Periodo1[[#This Row],[SALDO_ATUAL]]),4)</f>
        <v>0</v>
      </c>
      <c r="N45" t="s">
        <v>116</v>
      </c>
      <c r="O45" t="s">
        <v>436</v>
      </c>
      <c r="P45" t="s">
        <v>436</v>
      </c>
      <c r="Q45">
        <v>6</v>
      </c>
      <c r="R45" s="225">
        <f>Base_Periodo1[[#This Row],[CREDITOS]]-Base_Periodo1[[#This Row],[DEBITOS]]</f>
        <v>0</v>
      </c>
      <c r="S45" s="3" t="str">
        <f>IF(ISERROR(VLOOKUP(Base_Periodo1[[#This Row],[CONTA]],BaseContasDRE[#All],4,FALSE)),"Fora do DRE",VLOOKUP(Base_Periodo1[[#This Row],[CONTA]],BaseContasDRE[#All],4,FALSE))</f>
        <v>Fora do DRE</v>
      </c>
      <c r="T45" s="3" t="str">
        <f>IF(ISERROR(VLOOKUP(Base_Periodo1[[#This Row],[CONTA]],BaseContasDRE[#All],5,FALSE)),"Fora do DRE",VLOOKUP(Base_Periodo1[[#This Row],[CONTA]],BaseContasDRE[#All],6,FALSE))</f>
        <v>Fora do DRE</v>
      </c>
      <c r="U45" s="3" t="str">
        <f>IF(ISERROR(VLOOKUP(Base_Periodo1[[#This Row],[CONTA]],BaseContasDRE[#All],7,FALSE)),"Fora do DRE",VLOOKUP(Base_Periodo1[[#This Row],[CONTA]],BaseContasDRE[#All],7,FALSE))</f>
        <v>Fora do DRE</v>
      </c>
      <c r="V45" s="3" t="str">
        <f>IF(Base_Periodo1[[#This Row],[Tipo_Linha]]="Fora do DRE","Fora do DRE","( "&amp;Base_Periodo1[[#This Row],[Tipo_Linha]]&amp;" ) "&amp;Base_Periodo1[[#This Row],[Filtro]])</f>
        <v>Fora do DRE</v>
      </c>
      <c r="W45" s="3" t="str">
        <f>LEFT(Base_Periodo1[[#This Row],[CLASS]],3)</f>
        <v>1.1</v>
      </c>
    </row>
    <row r="46" spans="1:23" hidden="1">
      <c r="A46" s="3" t="str">
        <f t="shared" si="0"/>
        <v>Período 1</v>
      </c>
      <c r="B46">
        <v>18581</v>
      </c>
      <c r="C46" t="s">
        <v>4979</v>
      </c>
      <c r="D46" t="s">
        <v>4980</v>
      </c>
      <c r="E46" s="3" t="str">
        <f>IF(LEN(Base_Periodo1[[#This Row],[CLASS]])&gt;=7,LEFT(Base_Periodo1[[#This Row],[CLASS]],7),"")</f>
        <v>1.1.1.2</v>
      </c>
      <c r="F46" s="3" t="str">
        <f>VLOOKUP(Base_Periodo1[[#This Row],[Aux]],Base_Contas_Balanco[#All],2,FALSE)</f>
        <v>Banco C/Movimento</v>
      </c>
      <c r="G46" s="1">
        <v>42873</v>
      </c>
      <c r="H46" s="225">
        <v>2500.3199999928474</v>
      </c>
      <c r="I46" s="225">
        <v>52753.36</v>
      </c>
      <c r="J46" s="225">
        <v>50253.039999999994</v>
      </c>
      <c r="K46" s="225">
        <v>7.1595422923564911E-9</v>
      </c>
      <c r="L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6" s="225">
        <f>ROUND(IF(AND(Base_Periodo1[[#This Row],[Tipo_Linha]]="-",Base_Periodo1[[#This Row],[TIPOSALDO]]="D"),Base_Periodo1[[#This Row],[SALDO_ATUAL]]*-1,Base_Periodo1[[#This Row],[SALDO_ATUAL]]),4)</f>
        <v>0</v>
      </c>
      <c r="N46" t="s">
        <v>116</v>
      </c>
      <c r="O46" t="s">
        <v>459</v>
      </c>
      <c r="P46" t="s">
        <v>436</v>
      </c>
      <c r="Q46">
        <v>6</v>
      </c>
      <c r="R46" s="225">
        <f>Base_Periodo1[[#This Row],[CREDITOS]]-Base_Periodo1[[#This Row],[DEBITOS]]</f>
        <v>-2500.320000000007</v>
      </c>
      <c r="S46" s="3" t="str">
        <f>IF(ISERROR(VLOOKUP(Base_Periodo1[[#This Row],[CONTA]],BaseContasDRE[#All],4,FALSE)),"Fora do DRE",VLOOKUP(Base_Periodo1[[#This Row],[CONTA]],BaseContasDRE[#All],4,FALSE))</f>
        <v>Fora do DRE</v>
      </c>
      <c r="T46" s="3" t="str">
        <f>IF(ISERROR(VLOOKUP(Base_Periodo1[[#This Row],[CONTA]],BaseContasDRE[#All],5,FALSE)),"Fora do DRE",VLOOKUP(Base_Periodo1[[#This Row],[CONTA]],BaseContasDRE[#All],6,FALSE))</f>
        <v>Fora do DRE</v>
      </c>
      <c r="U46" s="3" t="str">
        <f>IF(ISERROR(VLOOKUP(Base_Periodo1[[#This Row],[CONTA]],BaseContasDRE[#All],7,FALSE)),"Fora do DRE",VLOOKUP(Base_Periodo1[[#This Row],[CONTA]],BaseContasDRE[#All],7,FALSE))</f>
        <v>Fora do DRE</v>
      </c>
      <c r="V46" s="3" t="str">
        <f>IF(Base_Periodo1[[#This Row],[Tipo_Linha]]="Fora do DRE","Fora do DRE","( "&amp;Base_Periodo1[[#This Row],[Tipo_Linha]]&amp;" ) "&amp;Base_Periodo1[[#This Row],[Filtro]])</f>
        <v>Fora do DRE</v>
      </c>
      <c r="W46" s="3" t="str">
        <f>LEFT(Base_Periodo1[[#This Row],[CLASS]],3)</f>
        <v>1.1</v>
      </c>
    </row>
    <row r="47" spans="1:23" hidden="1">
      <c r="A47" s="3" t="str">
        <f t="shared" si="0"/>
        <v>Período 1</v>
      </c>
      <c r="B47">
        <v>19248</v>
      </c>
      <c r="C47" t="s">
        <v>466</v>
      </c>
      <c r="D47" t="s">
        <v>467</v>
      </c>
      <c r="E47" s="3" t="str">
        <f>IF(LEN(Base_Periodo1[[#This Row],[CLASS]])&gt;=7,LEFT(Base_Periodo1[[#This Row],[CLASS]],7),"")</f>
        <v>1.1.1.2</v>
      </c>
      <c r="F47" s="3" t="str">
        <f>VLOOKUP(Base_Periodo1[[#This Row],[Aux]],Base_Contas_Balanco[#All],2,FALSE)</f>
        <v>Banco C/Movimento</v>
      </c>
      <c r="G47" s="1">
        <v>42886</v>
      </c>
      <c r="H47" s="225">
        <v>22361.830000009388</v>
      </c>
      <c r="I47" s="225">
        <v>104748.13999999998</v>
      </c>
      <c r="J47" s="225">
        <v>88287.390000000014</v>
      </c>
      <c r="K47" s="225">
        <v>5901.0800000094168</v>
      </c>
      <c r="L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-5901.08</v>
      </c>
      <c r="M47" s="225">
        <f>ROUND(IF(AND(Base_Periodo1[[#This Row],[Tipo_Linha]]="-",Base_Periodo1[[#This Row],[TIPOSALDO]]="D"),Base_Periodo1[[#This Row],[SALDO_ATUAL]]*-1,Base_Periodo1[[#This Row],[SALDO_ATUAL]]),4)</f>
        <v>5901.08</v>
      </c>
      <c r="N47" t="s">
        <v>116</v>
      </c>
      <c r="O47" t="s">
        <v>459</v>
      </c>
      <c r="P47" t="s">
        <v>459</v>
      </c>
      <c r="Q47">
        <v>6</v>
      </c>
      <c r="R47" s="225">
        <f>Base_Periodo1[[#This Row],[CREDITOS]]-Base_Periodo1[[#This Row],[DEBITOS]]</f>
        <v>-16460.749999999971</v>
      </c>
      <c r="S47" s="3" t="str">
        <f>IF(ISERROR(VLOOKUP(Base_Periodo1[[#This Row],[CONTA]],BaseContasDRE[#All],4,FALSE)),"Fora do DRE",VLOOKUP(Base_Periodo1[[#This Row],[CONTA]],BaseContasDRE[#All],4,FALSE))</f>
        <v>Fora do DRE</v>
      </c>
      <c r="T47" s="3" t="str">
        <f>IF(ISERROR(VLOOKUP(Base_Periodo1[[#This Row],[CONTA]],BaseContasDRE[#All],5,FALSE)),"Fora do DRE",VLOOKUP(Base_Periodo1[[#This Row],[CONTA]],BaseContasDRE[#All],6,FALSE))</f>
        <v>Fora do DRE</v>
      </c>
      <c r="U47" s="3" t="str">
        <f>IF(ISERROR(VLOOKUP(Base_Periodo1[[#This Row],[CONTA]],BaseContasDRE[#All],7,FALSE)),"Fora do DRE",VLOOKUP(Base_Periodo1[[#This Row],[CONTA]],BaseContasDRE[#All],7,FALSE))</f>
        <v>Fora do DRE</v>
      </c>
      <c r="V47" s="3" t="str">
        <f>IF(Base_Periodo1[[#This Row],[Tipo_Linha]]="Fora do DRE","Fora do DRE","( "&amp;Base_Periodo1[[#This Row],[Tipo_Linha]]&amp;" ) "&amp;Base_Periodo1[[#This Row],[Filtro]])</f>
        <v>Fora do DRE</v>
      </c>
      <c r="W47" s="3" t="str">
        <f>LEFT(Base_Periodo1[[#This Row],[CLASS]],3)</f>
        <v>1.1</v>
      </c>
    </row>
    <row r="48" spans="1:23" hidden="1">
      <c r="A48" s="3" t="str">
        <f t="shared" si="0"/>
        <v>Período 1</v>
      </c>
      <c r="B48">
        <v>23440</v>
      </c>
      <c r="C48" t="s">
        <v>468</v>
      </c>
      <c r="D48" t="s">
        <v>469</v>
      </c>
      <c r="E48" s="3" t="str">
        <f>IF(LEN(Base_Periodo1[[#This Row],[CLASS]])&gt;=7,LEFT(Base_Periodo1[[#This Row],[CLASS]],7),"")</f>
        <v>1.1.1.2</v>
      </c>
      <c r="F48" s="3" t="str">
        <f>VLOOKUP(Base_Periodo1[[#This Row],[Aux]],Base_Contas_Balanco[#All],2,FALSE)</f>
        <v>Banco C/Movimento</v>
      </c>
      <c r="G48" s="1">
        <v>42886</v>
      </c>
      <c r="H48" s="225">
        <v>14434.269999995828</v>
      </c>
      <c r="I48" s="225">
        <v>256321.65</v>
      </c>
      <c r="J48" s="225">
        <v>241887.38</v>
      </c>
      <c r="K48" s="225">
        <v>4.1618477553129196E-9</v>
      </c>
      <c r="L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8" s="225">
        <f>ROUND(IF(AND(Base_Periodo1[[#This Row],[Tipo_Linha]]="-",Base_Periodo1[[#This Row],[TIPOSALDO]]="D"),Base_Periodo1[[#This Row],[SALDO_ATUAL]]*-1,Base_Periodo1[[#This Row],[SALDO_ATUAL]]),4)</f>
        <v>0</v>
      </c>
      <c r="N48" t="s">
        <v>116</v>
      </c>
      <c r="O48" t="s">
        <v>459</v>
      </c>
      <c r="P48" t="s">
        <v>436</v>
      </c>
      <c r="Q48">
        <v>6</v>
      </c>
      <c r="R48" s="225">
        <f>Base_Periodo1[[#This Row],[CREDITOS]]-Base_Periodo1[[#This Row],[DEBITOS]]</f>
        <v>-14434.26999999999</v>
      </c>
      <c r="S48" s="3" t="str">
        <f>IF(ISERROR(VLOOKUP(Base_Periodo1[[#This Row],[CONTA]],BaseContasDRE[#All],4,FALSE)),"Fora do DRE",VLOOKUP(Base_Periodo1[[#This Row],[CONTA]],BaseContasDRE[#All],4,FALSE))</f>
        <v>Fora do DRE</v>
      </c>
      <c r="T48" s="3" t="str">
        <f>IF(ISERROR(VLOOKUP(Base_Periodo1[[#This Row],[CONTA]],BaseContasDRE[#All],5,FALSE)),"Fora do DRE",VLOOKUP(Base_Periodo1[[#This Row],[CONTA]],BaseContasDRE[#All],6,FALSE))</f>
        <v>Fora do DRE</v>
      </c>
      <c r="U48" s="3" t="str">
        <f>IF(ISERROR(VLOOKUP(Base_Periodo1[[#This Row],[CONTA]],BaseContasDRE[#All],7,FALSE)),"Fora do DRE",VLOOKUP(Base_Periodo1[[#This Row],[CONTA]],BaseContasDRE[#All],7,FALSE))</f>
        <v>Fora do DRE</v>
      </c>
      <c r="V48" s="3" t="str">
        <f>IF(Base_Periodo1[[#This Row],[Tipo_Linha]]="Fora do DRE","Fora do DRE","( "&amp;Base_Periodo1[[#This Row],[Tipo_Linha]]&amp;" ) "&amp;Base_Periodo1[[#This Row],[Filtro]])</f>
        <v>Fora do DRE</v>
      </c>
      <c r="W48" s="3" t="str">
        <f>LEFT(Base_Periodo1[[#This Row],[CLASS]],3)</f>
        <v>1.1</v>
      </c>
    </row>
    <row r="49" spans="1:23" hidden="1">
      <c r="A49" s="3" t="str">
        <f t="shared" si="0"/>
        <v>Período 1</v>
      </c>
      <c r="B49">
        <v>23990</v>
      </c>
      <c r="C49" t="s">
        <v>470</v>
      </c>
      <c r="D49" t="s">
        <v>471</v>
      </c>
      <c r="E49" s="3" t="str">
        <f>IF(LEN(Base_Periodo1[[#This Row],[CLASS]])&gt;=7,LEFT(Base_Periodo1[[#This Row],[CLASS]],7),"")</f>
        <v>1.1.1.2</v>
      </c>
      <c r="F49" s="3" t="str">
        <f>VLOOKUP(Base_Periodo1[[#This Row],[Aux]],Base_Contas_Balanco[#All],2,FALSE)</f>
        <v>Banco C/Movimento</v>
      </c>
      <c r="G49" s="1">
        <v>42886</v>
      </c>
      <c r="H49" s="225">
        <v>260737.17000002414</v>
      </c>
      <c r="I49" s="225">
        <v>1310489.8499999999</v>
      </c>
      <c r="J49" s="225">
        <v>1195162.6200000001</v>
      </c>
      <c r="K49" s="225">
        <v>145409.94000002439</v>
      </c>
      <c r="L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-145409.94</v>
      </c>
      <c r="M49" s="225">
        <f>ROUND(IF(AND(Base_Periodo1[[#This Row],[Tipo_Linha]]="-",Base_Periodo1[[#This Row],[TIPOSALDO]]="D"),Base_Periodo1[[#This Row],[SALDO_ATUAL]]*-1,Base_Periodo1[[#This Row],[SALDO_ATUAL]]),4)</f>
        <v>145409.94</v>
      </c>
      <c r="N49" t="s">
        <v>116</v>
      </c>
      <c r="O49" t="s">
        <v>459</v>
      </c>
      <c r="P49" t="s">
        <v>459</v>
      </c>
      <c r="Q49">
        <v>6</v>
      </c>
      <c r="R49" s="225">
        <f>Base_Periodo1[[#This Row],[CREDITOS]]-Base_Periodo1[[#This Row],[DEBITOS]]</f>
        <v>-115327.22999999975</v>
      </c>
      <c r="S49" s="3" t="str">
        <f>IF(ISERROR(VLOOKUP(Base_Periodo1[[#This Row],[CONTA]],BaseContasDRE[#All],4,FALSE)),"Fora do DRE",VLOOKUP(Base_Periodo1[[#This Row],[CONTA]],BaseContasDRE[#All],4,FALSE))</f>
        <v>Fora do DRE</v>
      </c>
      <c r="T49" s="3" t="str">
        <f>IF(ISERROR(VLOOKUP(Base_Periodo1[[#This Row],[CONTA]],BaseContasDRE[#All],5,FALSE)),"Fora do DRE",VLOOKUP(Base_Periodo1[[#This Row],[CONTA]],BaseContasDRE[#All],6,FALSE))</f>
        <v>Fora do DRE</v>
      </c>
      <c r="U49" s="3" t="str">
        <f>IF(ISERROR(VLOOKUP(Base_Periodo1[[#This Row],[CONTA]],BaseContasDRE[#All],7,FALSE)),"Fora do DRE",VLOOKUP(Base_Periodo1[[#This Row],[CONTA]],BaseContasDRE[#All],7,FALSE))</f>
        <v>Fora do DRE</v>
      </c>
      <c r="V49" s="3" t="str">
        <f>IF(Base_Periodo1[[#This Row],[Tipo_Linha]]="Fora do DRE","Fora do DRE","( "&amp;Base_Periodo1[[#This Row],[Tipo_Linha]]&amp;" ) "&amp;Base_Periodo1[[#This Row],[Filtro]])</f>
        <v>Fora do DRE</v>
      </c>
      <c r="W49" s="3" t="str">
        <f>LEFT(Base_Periodo1[[#This Row],[CLASS]],3)</f>
        <v>1.1</v>
      </c>
    </row>
    <row r="50" spans="1:23" hidden="1">
      <c r="A50" s="3" t="str">
        <f t="shared" si="0"/>
        <v>Período 1</v>
      </c>
      <c r="B50">
        <v>26909</v>
      </c>
      <c r="C50" t="s">
        <v>472</v>
      </c>
      <c r="D50" t="s">
        <v>473</v>
      </c>
      <c r="E50" s="3" t="str">
        <f>IF(LEN(Base_Periodo1[[#This Row],[CLASS]])&gt;=7,LEFT(Base_Periodo1[[#This Row],[CLASS]],7),"")</f>
        <v>1.1.1.2</v>
      </c>
      <c r="F50" s="3" t="str">
        <f>VLOOKUP(Base_Periodo1[[#This Row],[Aux]],Base_Contas_Balanco[#All],2,FALSE)</f>
        <v>Banco C/Movimento</v>
      </c>
      <c r="G50" s="1">
        <v>42886</v>
      </c>
      <c r="H50" s="225">
        <v>16376.090000014752</v>
      </c>
      <c r="I50" s="225">
        <v>196078.59</v>
      </c>
      <c r="J50" s="225">
        <v>215687.44</v>
      </c>
      <c r="K50" s="225">
        <v>35984.940000014758</v>
      </c>
      <c r="L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-35984.94</v>
      </c>
      <c r="M50" s="225">
        <f>ROUND(IF(AND(Base_Periodo1[[#This Row],[Tipo_Linha]]="-",Base_Periodo1[[#This Row],[TIPOSALDO]]="D"),Base_Periodo1[[#This Row],[SALDO_ATUAL]]*-1,Base_Periodo1[[#This Row],[SALDO_ATUAL]]),4)</f>
        <v>35984.94</v>
      </c>
      <c r="N50" t="s">
        <v>116</v>
      </c>
      <c r="O50" t="s">
        <v>459</v>
      </c>
      <c r="P50" t="s">
        <v>459</v>
      </c>
      <c r="Q50">
        <v>6</v>
      </c>
      <c r="R50" s="225">
        <f>Base_Periodo1[[#This Row],[CREDITOS]]-Base_Periodo1[[#This Row],[DEBITOS]]</f>
        <v>19608.850000000006</v>
      </c>
      <c r="S50" s="3" t="str">
        <f>IF(ISERROR(VLOOKUP(Base_Periodo1[[#This Row],[CONTA]],BaseContasDRE[#All],4,FALSE)),"Fora do DRE",VLOOKUP(Base_Periodo1[[#This Row],[CONTA]],BaseContasDRE[#All],4,FALSE))</f>
        <v>Fora do DRE</v>
      </c>
      <c r="T50" s="3" t="str">
        <f>IF(ISERROR(VLOOKUP(Base_Periodo1[[#This Row],[CONTA]],BaseContasDRE[#All],5,FALSE)),"Fora do DRE",VLOOKUP(Base_Periodo1[[#This Row],[CONTA]],BaseContasDRE[#All],6,FALSE))</f>
        <v>Fora do DRE</v>
      </c>
      <c r="U50" s="3" t="str">
        <f>IF(ISERROR(VLOOKUP(Base_Periodo1[[#This Row],[CONTA]],BaseContasDRE[#All],7,FALSE)),"Fora do DRE",VLOOKUP(Base_Periodo1[[#This Row],[CONTA]],BaseContasDRE[#All],7,FALSE))</f>
        <v>Fora do DRE</v>
      </c>
      <c r="V50" s="3" t="str">
        <f>IF(Base_Periodo1[[#This Row],[Tipo_Linha]]="Fora do DRE","Fora do DRE","( "&amp;Base_Periodo1[[#This Row],[Tipo_Linha]]&amp;" ) "&amp;Base_Periodo1[[#This Row],[Filtro]])</f>
        <v>Fora do DRE</v>
      </c>
      <c r="W50" s="3" t="str">
        <f>LEFT(Base_Periodo1[[#This Row],[CLASS]],3)</f>
        <v>1.1</v>
      </c>
    </row>
    <row r="51" spans="1:23" hidden="1">
      <c r="A51" s="3" t="str">
        <f t="shared" si="0"/>
        <v>Período 1</v>
      </c>
      <c r="B51">
        <v>26910</v>
      </c>
      <c r="C51" t="s">
        <v>5121</v>
      </c>
      <c r="D51" t="s">
        <v>5122</v>
      </c>
      <c r="E51" s="3" t="str">
        <f>IF(LEN(Base_Periodo1[[#This Row],[CLASS]])&gt;=7,LEFT(Base_Periodo1[[#This Row],[CLASS]],7),"")</f>
        <v>1.1.1.2</v>
      </c>
      <c r="F51" s="3" t="str">
        <f>VLOOKUP(Base_Periodo1[[#This Row],[Aux]],Base_Contas_Balanco[#All],2,FALSE)</f>
        <v>Banco C/Movimento</v>
      </c>
      <c r="G51" s="1">
        <v>42865</v>
      </c>
      <c r="I51" s="225">
        <v>33057.32</v>
      </c>
      <c r="J51" s="225">
        <v>33057.32</v>
      </c>
      <c r="K51" s="225">
        <v>9.3132257461547852E-10</v>
      </c>
      <c r="L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1" s="225">
        <f>ROUND(IF(AND(Base_Periodo1[[#This Row],[Tipo_Linha]]="-",Base_Periodo1[[#This Row],[TIPOSALDO]]="D"),Base_Periodo1[[#This Row],[SALDO_ATUAL]]*-1,Base_Periodo1[[#This Row],[SALDO_ATUAL]]),4)</f>
        <v>0</v>
      </c>
      <c r="N51" t="s">
        <v>116</v>
      </c>
      <c r="O51" t="s">
        <v>436</v>
      </c>
      <c r="P51" t="s">
        <v>436</v>
      </c>
      <c r="Q51">
        <v>6</v>
      </c>
      <c r="R51" s="225">
        <f>Base_Periodo1[[#This Row],[CREDITOS]]-Base_Periodo1[[#This Row],[DEBITOS]]</f>
        <v>0</v>
      </c>
      <c r="S51" s="3" t="str">
        <f>IF(ISERROR(VLOOKUP(Base_Periodo1[[#This Row],[CONTA]],BaseContasDRE[#All],4,FALSE)),"Fora do DRE",VLOOKUP(Base_Periodo1[[#This Row],[CONTA]],BaseContasDRE[#All],4,FALSE))</f>
        <v>Fora do DRE</v>
      </c>
      <c r="T51" s="3" t="str">
        <f>IF(ISERROR(VLOOKUP(Base_Periodo1[[#This Row],[CONTA]],BaseContasDRE[#All],5,FALSE)),"Fora do DRE",VLOOKUP(Base_Periodo1[[#This Row],[CONTA]],BaseContasDRE[#All],6,FALSE))</f>
        <v>Fora do DRE</v>
      </c>
      <c r="U51" s="3" t="str">
        <f>IF(ISERROR(VLOOKUP(Base_Periodo1[[#This Row],[CONTA]],BaseContasDRE[#All],7,FALSE)),"Fora do DRE",VLOOKUP(Base_Periodo1[[#This Row],[CONTA]],BaseContasDRE[#All],7,FALSE))</f>
        <v>Fora do DRE</v>
      </c>
      <c r="V51" s="3" t="str">
        <f>IF(Base_Periodo1[[#This Row],[Tipo_Linha]]="Fora do DRE","Fora do DRE","( "&amp;Base_Periodo1[[#This Row],[Tipo_Linha]]&amp;" ) "&amp;Base_Periodo1[[#This Row],[Filtro]])</f>
        <v>Fora do DRE</v>
      </c>
      <c r="W51" s="3" t="str">
        <f>LEFT(Base_Periodo1[[#This Row],[CLASS]],3)</f>
        <v>1.1</v>
      </c>
    </row>
    <row r="52" spans="1:23" hidden="1">
      <c r="A52" s="3" t="str">
        <f t="shared" si="0"/>
        <v>Período 1</v>
      </c>
      <c r="B52">
        <v>28978</v>
      </c>
      <c r="C52" t="s">
        <v>474</v>
      </c>
      <c r="D52" t="s">
        <v>475</v>
      </c>
      <c r="E52" s="3" t="str">
        <f>IF(LEN(Base_Periodo1[[#This Row],[CLASS]])&gt;=7,LEFT(Base_Periodo1[[#This Row],[CLASS]],7),"")</f>
        <v>1.1.1.2</v>
      </c>
      <c r="F52" s="3" t="str">
        <f>VLOOKUP(Base_Periodo1[[#This Row],[Aux]],Base_Contas_Balanco[#All],2,FALSE)</f>
        <v>Banco C/Movimento</v>
      </c>
      <c r="G52" s="1">
        <v>42886</v>
      </c>
      <c r="H52" s="225">
        <v>35643.519999984652</v>
      </c>
      <c r="I52" s="225">
        <v>236276.98</v>
      </c>
      <c r="J52" s="225">
        <v>203133.46000000002</v>
      </c>
      <c r="K52" s="225">
        <v>2499.9999999846623</v>
      </c>
      <c r="L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-2500</v>
      </c>
      <c r="M52" s="225">
        <f>ROUND(IF(AND(Base_Periodo1[[#This Row],[Tipo_Linha]]="-",Base_Periodo1[[#This Row],[TIPOSALDO]]="D"),Base_Periodo1[[#This Row],[SALDO_ATUAL]]*-1,Base_Periodo1[[#This Row],[SALDO_ATUAL]]),4)</f>
        <v>2500</v>
      </c>
      <c r="N52" t="s">
        <v>116</v>
      </c>
      <c r="O52" t="s">
        <v>459</v>
      </c>
      <c r="P52" t="s">
        <v>459</v>
      </c>
      <c r="Q52">
        <v>6</v>
      </c>
      <c r="R52" s="225">
        <f>Base_Periodo1[[#This Row],[CREDITOS]]-Base_Periodo1[[#This Row],[DEBITOS]]</f>
        <v>-33143.51999999999</v>
      </c>
      <c r="S52" s="3" t="str">
        <f>IF(ISERROR(VLOOKUP(Base_Periodo1[[#This Row],[CONTA]],BaseContasDRE[#All],4,FALSE)),"Fora do DRE",VLOOKUP(Base_Periodo1[[#This Row],[CONTA]],BaseContasDRE[#All],4,FALSE))</f>
        <v>Fora do DRE</v>
      </c>
      <c r="T52" s="3" t="str">
        <f>IF(ISERROR(VLOOKUP(Base_Periodo1[[#This Row],[CONTA]],BaseContasDRE[#All],5,FALSE)),"Fora do DRE",VLOOKUP(Base_Periodo1[[#This Row],[CONTA]],BaseContasDRE[#All],6,FALSE))</f>
        <v>Fora do DRE</v>
      </c>
      <c r="U52" s="3" t="str">
        <f>IF(ISERROR(VLOOKUP(Base_Periodo1[[#This Row],[CONTA]],BaseContasDRE[#All],7,FALSE)),"Fora do DRE",VLOOKUP(Base_Periodo1[[#This Row],[CONTA]],BaseContasDRE[#All],7,FALSE))</f>
        <v>Fora do DRE</v>
      </c>
      <c r="V52" s="3" t="str">
        <f>IF(Base_Periodo1[[#This Row],[Tipo_Linha]]="Fora do DRE","Fora do DRE","( "&amp;Base_Periodo1[[#This Row],[Tipo_Linha]]&amp;" ) "&amp;Base_Periodo1[[#This Row],[Filtro]])</f>
        <v>Fora do DRE</v>
      </c>
      <c r="W52" s="3" t="str">
        <f>LEFT(Base_Periodo1[[#This Row],[CLASS]],3)</f>
        <v>1.1</v>
      </c>
    </row>
    <row r="53" spans="1:23" hidden="1">
      <c r="A53" s="3" t="str">
        <f t="shared" si="0"/>
        <v>Período 1</v>
      </c>
      <c r="B53">
        <v>33269</v>
      </c>
      <c r="C53" t="s">
        <v>476</v>
      </c>
      <c r="D53" t="s">
        <v>477</v>
      </c>
      <c r="E53" s="3" t="str">
        <f>IF(LEN(Base_Periodo1[[#This Row],[CLASS]])&gt;=7,LEFT(Base_Periodo1[[#This Row],[CLASS]],7),"")</f>
        <v>1.1.1.2</v>
      </c>
      <c r="F53" s="3" t="str">
        <f>VLOOKUP(Base_Periodo1[[#This Row],[Aux]],Base_Contas_Balanco[#All],2,FALSE)</f>
        <v>Banco C/Movimento</v>
      </c>
      <c r="G53" s="1">
        <v>42886</v>
      </c>
      <c r="H53" s="225">
        <v>39819.240000005811</v>
      </c>
      <c r="I53" s="225">
        <v>87487.93</v>
      </c>
      <c r="J53" s="225">
        <v>48740.11</v>
      </c>
      <c r="K53" s="225">
        <v>1071.420000005819</v>
      </c>
      <c r="L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-1071.42</v>
      </c>
      <c r="M53" s="225">
        <f>ROUND(IF(AND(Base_Periodo1[[#This Row],[Tipo_Linha]]="-",Base_Periodo1[[#This Row],[TIPOSALDO]]="D"),Base_Periodo1[[#This Row],[SALDO_ATUAL]]*-1,Base_Periodo1[[#This Row],[SALDO_ATUAL]]),4)</f>
        <v>1071.42</v>
      </c>
      <c r="N53" t="s">
        <v>116</v>
      </c>
      <c r="O53" t="s">
        <v>459</v>
      </c>
      <c r="P53" t="s">
        <v>459</v>
      </c>
      <c r="Q53">
        <v>6</v>
      </c>
      <c r="R53" s="225">
        <f>Base_Periodo1[[#This Row],[CREDITOS]]-Base_Periodo1[[#This Row],[DEBITOS]]</f>
        <v>-38747.819999999992</v>
      </c>
      <c r="S53" s="3" t="str">
        <f>IF(ISERROR(VLOOKUP(Base_Periodo1[[#This Row],[CONTA]],BaseContasDRE[#All],4,FALSE)),"Fora do DRE",VLOOKUP(Base_Periodo1[[#This Row],[CONTA]],BaseContasDRE[#All],4,FALSE))</f>
        <v>Fora do DRE</v>
      </c>
      <c r="T53" s="3" t="str">
        <f>IF(ISERROR(VLOOKUP(Base_Periodo1[[#This Row],[CONTA]],BaseContasDRE[#All],5,FALSE)),"Fora do DRE",VLOOKUP(Base_Periodo1[[#This Row],[CONTA]],BaseContasDRE[#All],6,FALSE))</f>
        <v>Fora do DRE</v>
      </c>
      <c r="U53" s="3" t="str">
        <f>IF(ISERROR(VLOOKUP(Base_Periodo1[[#This Row],[CONTA]],BaseContasDRE[#All],7,FALSE)),"Fora do DRE",VLOOKUP(Base_Periodo1[[#This Row],[CONTA]],BaseContasDRE[#All],7,FALSE))</f>
        <v>Fora do DRE</v>
      </c>
      <c r="V53" s="3" t="str">
        <f>IF(Base_Periodo1[[#This Row],[Tipo_Linha]]="Fora do DRE","Fora do DRE","( "&amp;Base_Periodo1[[#This Row],[Tipo_Linha]]&amp;" ) "&amp;Base_Periodo1[[#This Row],[Filtro]])</f>
        <v>Fora do DRE</v>
      </c>
      <c r="W53" s="3" t="str">
        <f>LEFT(Base_Periodo1[[#This Row],[CLASS]],3)</f>
        <v>1.1</v>
      </c>
    </row>
    <row r="54" spans="1:23" hidden="1">
      <c r="A54" s="3" t="str">
        <f t="shared" si="0"/>
        <v>Período 1</v>
      </c>
      <c r="B54">
        <v>33545</v>
      </c>
      <c r="C54" t="s">
        <v>478</v>
      </c>
      <c r="D54" t="s">
        <v>479</v>
      </c>
      <c r="E54" s="3" t="str">
        <f>IF(LEN(Base_Periodo1[[#This Row],[CLASS]])&gt;=7,LEFT(Base_Periodo1[[#This Row],[CLASS]],7),"")</f>
        <v>1.1.1.2</v>
      </c>
      <c r="F54" s="3" t="str">
        <f>VLOOKUP(Base_Periodo1[[#This Row],[Aux]],Base_Contas_Balanco[#All],2,FALSE)</f>
        <v>Banco C/Movimento</v>
      </c>
      <c r="G54" s="1">
        <v>42886</v>
      </c>
      <c r="H54" s="225">
        <v>299750.99999989569</v>
      </c>
      <c r="I54" s="225">
        <v>3677938.6299999994</v>
      </c>
      <c r="J54" s="225">
        <v>3773126.76</v>
      </c>
      <c r="K54" s="225">
        <v>394939.12999989605</v>
      </c>
      <c r="L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-394939.13</v>
      </c>
      <c r="M54" s="225">
        <f>ROUND(IF(AND(Base_Periodo1[[#This Row],[Tipo_Linha]]="-",Base_Periodo1[[#This Row],[TIPOSALDO]]="D"),Base_Periodo1[[#This Row],[SALDO_ATUAL]]*-1,Base_Periodo1[[#This Row],[SALDO_ATUAL]]),4)</f>
        <v>394939.13</v>
      </c>
      <c r="N54" t="s">
        <v>116</v>
      </c>
      <c r="O54" t="s">
        <v>459</v>
      </c>
      <c r="P54" t="s">
        <v>459</v>
      </c>
      <c r="Q54">
        <v>6</v>
      </c>
      <c r="R54" s="225">
        <f>Base_Periodo1[[#This Row],[CREDITOS]]-Base_Periodo1[[#This Row],[DEBITOS]]</f>
        <v>95188.130000000354</v>
      </c>
      <c r="S54" s="3" t="str">
        <f>IF(ISERROR(VLOOKUP(Base_Periodo1[[#This Row],[CONTA]],BaseContasDRE[#All],4,FALSE)),"Fora do DRE",VLOOKUP(Base_Periodo1[[#This Row],[CONTA]],BaseContasDRE[#All],4,FALSE))</f>
        <v>Fora do DRE</v>
      </c>
      <c r="T54" s="3" t="str">
        <f>IF(ISERROR(VLOOKUP(Base_Periodo1[[#This Row],[CONTA]],BaseContasDRE[#All],5,FALSE)),"Fora do DRE",VLOOKUP(Base_Periodo1[[#This Row],[CONTA]],BaseContasDRE[#All],6,FALSE))</f>
        <v>Fora do DRE</v>
      </c>
      <c r="U54" s="3" t="str">
        <f>IF(ISERROR(VLOOKUP(Base_Periodo1[[#This Row],[CONTA]],BaseContasDRE[#All],7,FALSE)),"Fora do DRE",VLOOKUP(Base_Periodo1[[#This Row],[CONTA]],BaseContasDRE[#All],7,FALSE))</f>
        <v>Fora do DRE</v>
      </c>
      <c r="V54" s="3" t="str">
        <f>IF(Base_Periodo1[[#This Row],[Tipo_Linha]]="Fora do DRE","Fora do DRE","( "&amp;Base_Periodo1[[#This Row],[Tipo_Linha]]&amp;" ) "&amp;Base_Periodo1[[#This Row],[Filtro]])</f>
        <v>Fora do DRE</v>
      </c>
      <c r="W54" s="3" t="str">
        <f>LEFT(Base_Periodo1[[#This Row],[CLASS]],3)</f>
        <v>1.1</v>
      </c>
    </row>
    <row r="55" spans="1:23" hidden="1">
      <c r="A55" s="3" t="str">
        <f t="shared" si="0"/>
        <v>Período 1</v>
      </c>
      <c r="B55">
        <v>35491</v>
      </c>
      <c r="C55" t="s">
        <v>480</v>
      </c>
      <c r="D55" t="s">
        <v>481</v>
      </c>
      <c r="E55" s="3" t="str">
        <f>IF(LEN(Base_Periodo1[[#This Row],[CLASS]])&gt;=7,LEFT(Base_Periodo1[[#This Row],[CLASS]],7),"")</f>
        <v>1.1.1.2</v>
      </c>
      <c r="F55" s="3" t="str">
        <f>VLOOKUP(Base_Periodo1[[#This Row],[Aux]],Base_Contas_Balanco[#All],2,FALSE)</f>
        <v>Banco C/Movimento</v>
      </c>
      <c r="G55" s="1">
        <v>42885</v>
      </c>
      <c r="H55" s="225">
        <v>71024.070000002161</v>
      </c>
      <c r="I55" s="225">
        <v>1549449.9900000005</v>
      </c>
      <c r="J55" s="225">
        <v>1532131.4700000002</v>
      </c>
      <c r="K55" s="225">
        <v>53705.550000001909</v>
      </c>
      <c r="L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-53705.55</v>
      </c>
      <c r="M55" s="225">
        <f>ROUND(IF(AND(Base_Periodo1[[#This Row],[Tipo_Linha]]="-",Base_Periodo1[[#This Row],[TIPOSALDO]]="D"),Base_Periodo1[[#This Row],[SALDO_ATUAL]]*-1,Base_Periodo1[[#This Row],[SALDO_ATUAL]]),4)</f>
        <v>53705.55</v>
      </c>
      <c r="N55" t="s">
        <v>116</v>
      </c>
      <c r="O55" t="s">
        <v>459</v>
      </c>
      <c r="P55" t="s">
        <v>459</v>
      </c>
      <c r="Q55">
        <v>6</v>
      </c>
      <c r="R55" s="225">
        <f>Base_Periodo1[[#This Row],[CREDITOS]]-Base_Periodo1[[#This Row],[DEBITOS]]</f>
        <v>-17318.520000000251</v>
      </c>
      <c r="S55" s="3" t="str">
        <f>IF(ISERROR(VLOOKUP(Base_Periodo1[[#This Row],[CONTA]],BaseContasDRE[#All],4,FALSE)),"Fora do DRE",VLOOKUP(Base_Periodo1[[#This Row],[CONTA]],BaseContasDRE[#All],4,FALSE))</f>
        <v>Fora do DRE</v>
      </c>
      <c r="T55" s="3" t="str">
        <f>IF(ISERROR(VLOOKUP(Base_Periodo1[[#This Row],[CONTA]],BaseContasDRE[#All],5,FALSE)),"Fora do DRE",VLOOKUP(Base_Periodo1[[#This Row],[CONTA]],BaseContasDRE[#All],6,FALSE))</f>
        <v>Fora do DRE</v>
      </c>
      <c r="U55" s="3" t="str">
        <f>IF(ISERROR(VLOOKUP(Base_Periodo1[[#This Row],[CONTA]],BaseContasDRE[#All],7,FALSE)),"Fora do DRE",VLOOKUP(Base_Periodo1[[#This Row],[CONTA]],BaseContasDRE[#All],7,FALSE))</f>
        <v>Fora do DRE</v>
      </c>
      <c r="V55" s="3" t="str">
        <f>IF(Base_Periodo1[[#This Row],[Tipo_Linha]]="Fora do DRE","Fora do DRE","( "&amp;Base_Periodo1[[#This Row],[Tipo_Linha]]&amp;" ) "&amp;Base_Periodo1[[#This Row],[Filtro]])</f>
        <v>Fora do DRE</v>
      </c>
      <c r="W55" s="3" t="str">
        <f>LEFT(Base_Periodo1[[#This Row],[CLASS]],3)</f>
        <v>1.1</v>
      </c>
    </row>
    <row r="56" spans="1:23" hidden="1">
      <c r="A56" s="3" t="str">
        <f t="shared" si="0"/>
        <v>Período 1</v>
      </c>
      <c r="B56">
        <v>35489</v>
      </c>
      <c r="C56" t="s">
        <v>482</v>
      </c>
      <c r="D56" t="s">
        <v>483</v>
      </c>
      <c r="E56" s="3" t="str">
        <f>IF(LEN(Base_Periodo1[[#This Row],[CLASS]])&gt;=7,LEFT(Base_Periodo1[[#This Row],[CLASS]],7),"")</f>
        <v>1.1.1.2</v>
      </c>
      <c r="F56" s="3" t="str">
        <f>VLOOKUP(Base_Periodo1[[#This Row],[Aux]],Base_Contas_Balanco[#All],2,FALSE)</f>
        <v>Banco C/Movimento</v>
      </c>
      <c r="G56" s="1">
        <v>42886</v>
      </c>
      <c r="H56" s="225">
        <v>38319.599999999627</v>
      </c>
      <c r="I56" s="225">
        <v>1949577.5700000003</v>
      </c>
      <c r="J56" s="225">
        <v>1911257.9700000004</v>
      </c>
      <c r="K56" s="225">
        <v>2.3283064365386963E-10</v>
      </c>
      <c r="L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6" s="225">
        <f>ROUND(IF(AND(Base_Periodo1[[#This Row],[Tipo_Linha]]="-",Base_Periodo1[[#This Row],[TIPOSALDO]]="D"),Base_Periodo1[[#This Row],[SALDO_ATUAL]]*-1,Base_Periodo1[[#This Row],[SALDO_ATUAL]]),4)</f>
        <v>0</v>
      </c>
      <c r="N56" t="s">
        <v>116</v>
      </c>
      <c r="O56" t="s">
        <v>459</v>
      </c>
      <c r="P56" t="s">
        <v>436</v>
      </c>
      <c r="Q56">
        <v>6</v>
      </c>
      <c r="R56" s="225">
        <f>Base_Periodo1[[#This Row],[CREDITOS]]-Base_Periodo1[[#This Row],[DEBITOS]]</f>
        <v>-38319.59999999986</v>
      </c>
      <c r="S56" s="3" t="str">
        <f>IF(ISERROR(VLOOKUP(Base_Periodo1[[#This Row],[CONTA]],BaseContasDRE[#All],4,FALSE)),"Fora do DRE",VLOOKUP(Base_Periodo1[[#This Row],[CONTA]],BaseContasDRE[#All],4,FALSE))</f>
        <v>Fora do DRE</v>
      </c>
      <c r="T56" s="3" t="str">
        <f>IF(ISERROR(VLOOKUP(Base_Periodo1[[#This Row],[CONTA]],BaseContasDRE[#All],5,FALSE)),"Fora do DRE",VLOOKUP(Base_Periodo1[[#This Row],[CONTA]],BaseContasDRE[#All],6,FALSE))</f>
        <v>Fora do DRE</v>
      </c>
      <c r="U56" s="3" t="str">
        <f>IF(ISERROR(VLOOKUP(Base_Periodo1[[#This Row],[CONTA]],BaseContasDRE[#All],7,FALSE)),"Fora do DRE",VLOOKUP(Base_Periodo1[[#This Row],[CONTA]],BaseContasDRE[#All],7,FALSE))</f>
        <v>Fora do DRE</v>
      </c>
      <c r="V56" s="3" t="str">
        <f>IF(Base_Periodo1[[#This Row],[Tipo_Linha]]="Fora do DRE","Fora do DRE","( "&amp;Base_Periodo1[[#This Row],[Tipo_Linha]]&amp;" ) "&amp;Base_Periodo1[[#This Row],[Filtro]])</f>
        <v>Fora do DRE</v>
      </c>
      <c r="W56" s="3" t="str">
        <f>LEFT(Base_Periodo1[[#This Row],[CLASS]],3)</f>
        <v>1.1</v>
      </c>
    </row>
    <row r="57" spans="1:23" hidden="1">
      <c r="A57" s="3" t="str">
        <f t="shared" si="0"/>
        <v>Período 1</v>
      </c>
      <c r="B57">
        <v>35870</v>
      </c>
      <c r="C57" t="s">
        <v>484</v>
      </c>
      <c r="D57" t="s">
        <v>485</v>
      </c>
      <c r="E57" s="3" t="str">
        <f>IF(LEN(Base_Periodo1[[#This Row],[CLASS]])&gt;=7,LEFT(Base_Periodo1[[#This Row],[CLASS]],7),"")</f>
        <v>1.1.1.2</v>
      </c>
      <c r="F57" s="3" t="str">
        <f>VLOOKUP(Base_Periodo1[[#This Row],[Aux]],Base_Contas_Balanco[#All],2,FALSE)</f>
        <v>Banco C/Movimento</v>
      </c>
      <c r="G57" s="1">
        <v>42886</v>
      </c>
      <c r="H57" s="225">
        <v>35900.609999997541</v>
      </c>
      <c r="I57" s="225">
        <v>861573.5299999998</v>
      </c>
      <c r="J57" s="225">
        <v>1058605.75</v>
      </c>
      <c r="K57" s="225">
        <v>232932.82999999775</v>
      </c>
      <c r="L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-232932.83</v>
      </c>
      <c r="M57" s="225">
        <f>ROUND(IF(AND(Base_Periodo1[[#This Row],[Tipo_Linha]]="-",Base_Periodo1[[#This Row],[TIPOSALDO]]="D"),Base_Periodo1[[#This Row],[SALDO_ATUAL]]*-1,Base_Periodo1[[#This Row],[SALDO_ATUAL]]),4)</f>
        <v>232932.83</v>
      </c>
      <c r="N57" t="s">
        <v>116</v>
      </c>
      <c r="O57" t="s">
        <v>459</v>
      </c>
      <c r="P57" t="s">
        <v>459</v>
      </c>
      <c r="Q57">
        <v>6</v>
      </c>
      <c r="R57" s="225">
        <f>Base_Periodo1[[#This Row],[CREDITOS]]-Base_Periodo1[[#This Row],[DEBITOS]]</f>
        <v>197032.2200000002</v>
      </c>
      <c r="S57" s="3" t="str">
        <f>IF(ISERROR(VLOOKUP(Base_Periodo1[[#This Row],[CONTA]],BaseContasDRE[#All],4,FALSE)),"Fora do DRE",VLOOKUP(Base_Periodo1[[#This Row],[CONTA]],BaseContasDRE[#All],4,FALSE))</f>
        <v>Fora do DRE</v>
      </c>
      <c r="T57" s="3" t="str">
        <f>IF(ISERROR(VLOOKUP(Base_Periodo1[[#This Row],[CONTA]],BaseContasDRE[#All],5,FALSE)),"Fora do DRE",VLOOKUP(Base_Periodo1[[#This Row],[CONTA]],BaseContasDRE[#All],6,FALSE))</f>
        <v>Fora do DRE</v>
      </c>
      <c r="U57" s="3" t="str">
        <f>IF(ISERROR(VLOOKUP(Base_Periodo1[[#This Row],[CONTA]],BaseContasDRE[#All],7,FALSE)),"Fora do DRE",VLOOKUP(Base_Periodo1[[#This Row],[CONTA]],BaseContasDRE[#All],7,FALSE))</f>
        <v>Fora do DRE</v>
      </c>
      <c r="V57" s="3" t="str">
        <f>IF(Base_Periodo1[[#This Row],[Tipo_Linha]]="Fora do DRE","Fora do DRE","( "&amp;Base_Periodo1[[#This Row],[Tipo_Linha]]&amp;" ) "&amp;Base_Periodo1[[#This Row],[Filtro]])</f>
        <v>Fora do DRE</v>
      </c>
      <c r="W57" s="3" t="str">
        <f>LEFT(Base_Periodo1[[#This Row],[CLASS]],3)</f>
        <v>1.1</v>
      </c>
    </row>
    <row r="58" spans="1:23" hidden="1">
      <c r="A58" s="3" t="str">
        <f t="shared" si="0"/>
        <v>Período 1</v>
      </c>
      <c r="B58">
        <v>48535</v>
      </c>
      <c r="C58" t="s">
        <v>4239</v>
      </c>
      <c r="D58" t="s">
        <v>4240</v>
      </c>
      <c r="E58" s="3" t="str">
        <f>IF(LEN(Base_Periodo1[[#This Row],[CLASS]])&gt;=7,LEFT(Base_Periodo1[[#This Row],[CLASS]],7),"")</f>
        <v>1.1.1.2</v>
      </c>
      <c r="F58" s="3" t="str">
        <f>VLOOKUP(Base_Periodo1[[#This Row],[Aux]],Base_Contas_Balanco[#All],2,FALSE)</f>
        <v>Banco C/Movimento</v>
      </c>
      <c r="G58" s="1">
        <v>42886</v>
      </c>
      <c r="H58" s="225">
        <v>233953.97999999393</v>
      </c>
      <c r="I58" s="225">
        <v>784791.7100000002</v>
      </c>
      <c r="J58" s="225">
        <v>646418.99000000011</v>
      </c>
      <c r="K58" s="225">
        <v>95581.259999993839</v>
      </c>
      <c r="L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-95581.26</v>
      </c>
      <c r="M58" s="225">
        <f>ROUND(IF(AND(Base_Periodo1[[#This Row],[Tipo_Linha]]="-",Base_Periodo1[[#This Row],[TIPOSALDO]]="D"),Base_Periodo1[[#This Row],[SALDO_ATUAL]]*-1,Base_Periodo1[[#This Row],[SALDO_ATUAL]]),4)</f>
        <v>95581.26</v>
      </c>
      <c r="N58" t="s">
        <v>116</v>
      </c>
      <c r="O58" t="s">
        <v>459</v>
      </c>
      <c r="P58" t="s">
        <v>459</v>
      </c>
      <c r="Q58">
        <v>6</v>
      </c>
      <c r="R58" s="225">
        <f>Base_Periodo1[[#This Row],[CREDITOS]]-Base_Periodo1[[#This Row],[DEBITOS]]</f>
        <v>-138372.72000000009</v>
      </c>
      <c r="S58" s="3" t="str">
        <f>IF(ISERROR(VLOOKUP(Base_Periodo1[[#This Row],[CONTA]],BaseContasDRE[#All],4,FALSE)),"Fora do DRE",VLOOKUP(Base_Periodo1[[#This Row],[CONTA]],BaseContasDRE[#All],4,FALSE))</f>
        <v>Fora do DRE</v>
      </c>
      <c r="T58" s="3" t="str">
        <f>IF(ISERROR(VLOOKUP(Base_Periodo1[[#This Row],[CONTA]],BaseContasDRE[#All],5,FALSE)),"Fora do DRE",VLOOKUP(Base_Periodo1[[#This Row],[CONTA]],BaseContasDRE[#All],6,FALSE))</f>
        <v>Fora do DRE</v>
      </c>
      <c r="U58" s="3" t="str">
        <f>IF(ISERROR(VLOOKUP(Base_Periodo1[[#This Row],[CONTA]],BaseContasDRE[#All],7,FALSE)),"Fora do DRE",VLOOKUP(Base_Periodo1[[#This Row],[CONTA]],BaseContasDRE[#All],7,FALSE))</f>
        <v>Fora do DRE</v>
      </c>
      <c r="V58" s="3" t="str">
        <f>IF(Base_Periodo1[[#This Row],[Tipo_Linha]]="Fora do DRE","Fora do DRE","( "&amp;Base_Periodo1[[#This Row],[Tipo_Linha]]&amp;" ) "&amp;Base_Periodo1[[#This Row],[Filtro]])</f>
        <v>Fora do DRE</v>
      </c>
      <c r="W58" s="3" t="str">
        <f>LEFT(Base_Periodo1[[#This Row],[CLASS]],3)</f>
        <v>1.1</v>
      </c>
    </row>
    <row r="59" spans="1:23" hidden="1">
      <c r="A59" s="3" t="str">
        <f t="shared" si="0"/>
        <v>Período 1</v>
      </c>
      <c r="B59">
        <v>9</v>
      </c>
      <c r="C59" t="s">
        <v>486</v>
      </c>
      <c r="D59" t="s">
        <v>487</v>
      </c>
      <c r="E59" s="3" t="str">
        <f>IF(LEN(Base_Periodo1[[#This Row],[CLASS]])&gt;=7,LEFT(Base_Periodo1[[#This Row],[CLASS]],7),"")</f>
        <v>1.1.1.3</v>
      </c>
      <c r="F59" s="3" t="e">
        <f>VLOOKUP(Base_Periodo1[[#This Row],[Aux]],Base_Contas_Balanco[#All],2,FALSE)</f>
        <v>#N/A</v>
      </c>
      <c r="G59" s="1"/>
      <c r="I59" s="225">
        <v>44681106.019999996</v>
      </c>
      <c r="J59" s="225">
        <v>44681106.019999981</v>
      </c>
      <c r="K59" s="225">
        <v>-1.5348196029663086E-6</v>
      </c>
      <c r="L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9" s="225">
        <f>ROUND(IF(AND(Base_Periodo1[[#This Row],[Tipo_Linha]]="-",Base_Periodo1[[#This Row],[TIPOSALDO]]="D"),Base_Periodo1[[#This Row],[SALDO_ATUAL]]*-1,Base_Periodo1[[#This Row],[SALDO_ATUAL]]),4)</f>
        <v>0</v>
      </c>
      <c r="N59" t="s">
        <v>396</v>
      </c>
      <c r="O59" t="s">
        <v>436</v>
      </c>
      <c r="P59" t="s">
        <v>436</v>
      </c>
      <c r="Q59">
        <v>4</v>
      </c>
      <c r="R59" s="225">
        <f>Base_Periodo1[[#This Row],[CREDITOS]]-Base_Periodo1[[#This Row],[DEBITOS]]</f>
        <v>0</v>
      </c>
      <c r="S59" s="3" t="str">
        <f>IF(ISERROR(VLOOKUP(Base_Periodo1[[#This Row],[CONTA]],BaseContasDRE[#All],4,FALSE)),"Fora do DRE",VLOOKUP(Base_Periodo1[[#This Row],[CONTA]],BaseContasDRE[#All],4,FALSE))</f>
        <v>Fora do DRE</v>
      </c>
      <c r="T59" s="3" t="str">
        <f>IF(ISERROR(VLOOKUP(Base_Periodo1[[#This Row],[CONTA]],BaseContasDRE[#All],5,FALSE)),"Fora do DRE",VLOOKUP(Base_Periodo1[[#This Row],[CONTA]],BaseContasDRE[#All],6,FALSE))</f>
        <v>Fora do DRE</v>
      </c>
      <c r="U59" s="3" t="str">
        <f>IF(ISERROR(VLOOKUP(Base_Periodo1[[#This Row],[CONTA]],BaseContasDRE[#All],7,FALSE)),"Fora do DRE",VLOOKUP(Base_Periodo1[[#This Row],[CONTA]],BaseContasDRE[#All],7,FALSE))</f>
        <v>Fora do DRE</v>
      </c>
      <c r="V59" s="3" t="str">
        <f>IF(Base_Periodo1[[#This Row],[Tipo_Linha]]="Fora do DRE","Fora do DRE","( "&amp;Base_Periodo1[[#This Row],[Tipo_Linha]]&amp;" ) "&amp;Base_Periodo1[[#This Row],[Filtro]])</f>
        <v>Fora do DRE</v>
      </c>
      <c r="W59" s="3" t="str">
        <f>LEFT(Base_Periodo1[[#This Row],[CLASS]],3)</f>
        <v>1.1</v>
      </c>
    </row>
    <row r="60" spans="1:23" hidden="1">
      <c r="A60" s="3" t="str">
        <f t="shared" si="0"/>
        <v>Período 1</v>
      </c>
      <c r="B60">
        <v>10</v>
      </c>
      <c r="C60" t="s">
        <v>488</v>
      </c>
      <c r="D60" t="s">
        <v>489</v>
      </c>
      <c r="E60" s="3" t="str">
        <f>IF(LEN(Base_Periodo1[[#This Row],[CLASS]])&gt;=7,LEFT(Base_Periodo1[[#This Row],[CLASS]],7),"")</f>
        <v>1.1.1.3</v>
      </c>
      <c r="F60" s="3" t="e">
        <f>VLOOKUP(Base_Periodo1[[#This Row],[Aux]],Base_Contas_Balanco[#All],2,FALSE)</f>
        <v>#N/A</v>
      </c>
      <c r="G60" s="1">
        <v>42886</v>
      </c>
      <c r="I60" s="225">
        <v>44681106.019999996</v>
      </c>
      <c r="J60" s="225">
        <v>44681106.019999981</v>
      </c>
      <c r="K60" s="225">
        <v>-1.5348196029663086E-6</v>
      </c>
      <c r="L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0" s="225">
        <f>ROUND(IF(AND(Base_Periodo1[[#This Row],[Tipo_Linha]]="-",Base_Periodo1[[#This Row],[TIPOSALDO]]="D"),Base_Periodo1[[#This Row],[SALDO_ATUAL]]*-1,Base_Periodo1[[#This Row],[SALDO_ATUAL]]),4)</f>
        <v>0</v>
      </c>
      <c r="N60" t="s">
        <v>116</v>
      </c>
      <c r="O60" t="s">
        <v>436</v>
      </c>
      <c r="P60" t="s">
        <v>436</v>
      </c>
      <c r="Q60">
        <v>5</v>
      </c>
      <c r="R60" s="225">
        <f>Base_Periodo1[[#This Row],[CREDITOS]]-Base_Periodo1[[#This Row],[DEBITOS]]</f>
        <v>0</v>
      </c>
      <c r="S60" s="3" t="str">
        <f>IF(ISERROR(VLOOKUP(Base_Periodo1[[#This Row],[CONTA]],BaseContasDRE[#All],4,FALSE)),"Fora do DRE",VLOOKUP(Base_Periodo1[[#This Row],[CONTA]],BaseContasDRE[#All],4,FALSE))</f>
        <v>Fora do DRE</v>
      </c>
      <c r="T60" s="3" t="str">
        <f>IF(ISERROR(VLOOKUP(Base_Periodo1[[#This Row],[CONTA]],BaseContasDRE[#All],5,FALSE)),"Fora do DRE",VLOOKUP(Base_Periodo1[[#This Row],[CONTA]],BaseContasDRE[#All],6,FALSE))</f>
        <v>Fora do DRE</v>
      </c>
      <c r="U60" s="3" t="str">
        <f>IF(ISERROR(VLOOKUP(Base_Periodo1[[#This Row],[CONTA]],BaseContasDRE[#All],7,FALSE)),"Fora do DRE",VLOOKUP(Base_Periodo1[[#This Row],[CONTA]],BaseContasDRE[#All],7,FALSE))</f>
        <v>Fora do DRE</v>
      </c>
      <c r="V60" s="3" t="str">
        <f>IF(Base_Periodo1[[#This Row],[Tipo_Linha]]="Fora do DRE","Fora do DRE","( "&amp;Base_Periodo1[[#This Row],[Tipo_Linha]]&amp;" ) "&amp;Base_Periodo1[[#This Row],[Filtro]])</f>
        <v>Fora do DRE</v>
      </c>
      <c r="W60" s="3" t="str">
        <f>LEFT(Base_Periodo1[[#This Row],[CLASS]],3)</f>
        <v>1.1</v>
      </c>
    </row>
    <row r="61" spans="1:23" hidden="1">
      <c r="A61" s="3" t="str">
        <f t="shared" si="0"/>
        <v>Período 1</v>
      </c>
      <c r="B61">
        <v>11</v>
      </c>
      <c r="C61" t="s">
        <v>8</v>
      </c>
      <c r="D61" t="s">
        <v>9</v>
      </c>
      <c r="E61" s="3" t="str">
        <f>IF(LEN(Base_Periodo1[[#This Row],[CLASS]])&gt;=7,LEFT(Base_Periodo1[[#This Row],[CLASS]],7),"")</f>
        <v>1.1.1.4</v>
      </c>
      <c r="F61" s="3" t="str">
        <f>VLOOKUP(Base_Periodo1[[#This Row],[Aux]],Base_Contas_Balanco[#All],2,FALSE)</f>
        <v>Aplicacoes Financeiras Liquidação Imediata</v>
      </c>
      <c r="G61" s="1"/>
      <c r="H61" s="225">
        <v>47419065.799999923</v>
      </c>
      <c r="I61" s="225">
        <v>336396.06</v>
      </c>
      <c r="J61" s="225">
        <v>12714094.219999999</v>
      </c>
      <c r="K61" s="225">
        <v>35041367.639999926</v>
      </c>
      <c r="L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35041367.640000001</v>
      </c>
      <c r="M61" s="225">
        <f>ROUND(IF(AND(Base_Periodo1[[#This Row],[Tipo_Linha]]="-",Base_Periodo1[[#This Row],[TIPOSALDO]]="D"),Base_Periodo1[[#This Row],[SALDO_ATUAL]]*-1,Base_Periodo1[[#This Row],[SALDO_ATUAL]]),4)</f>
        <v>35041367.640000001</v>
      </c>
      <c r="N61" t="s">
        <v>396</v>
      </c>
      <c r="O61" t="s">
        <v>397</v>
      </c>
      <c r="P61" t="s">
        <v>397</v>
      </c>
      <c r="Q61">
        <v>4</v>
      </c>
      <c r="R61" s="225">
        <f>Base_Periodo1[[#This Row],[CREDITOS]]-Base_Periodo1[[#This Row],[DEBITOS]]</f>
        <v>12377698.159999998</v>
      </c>
      <c r="S61" s="3" t="str">
        <f>IF(ISERROR(VLOOKUP(Base_Periodo1[[#This Row],[CONTA]],BaseContasDRE[#All],4,FALSE)),"Fora do DRE",VLOOKUP(Base_Periodo1[[#This Row],[CONTA]],BaseContasDRE[#All],4,FALSE))</f>
        <v>Fora do DRE</v>
      </c>
      <c r="T61" s="3" t="str">
        <f>IF(ISERROR(VLOOKUP(Base_Periodo1[[#This Row],[CONTA]],BaseContasDRE[#All],5,FALSE)),"Fora do DRE",VLOOKUP(Base_Periodo1[[#This Row],[CONTA]],BaseContasDRE[#All],6,FALSE))</f>
        <v>Fora do DRE</v>
      </c>
      <c r="U61" s="3" t="str">
        <f>IF(ISERROR(VLOOKUP(Base_Periodo1[[#This Row],[CONTA]],BaseContasDRE[#All],7,FALSE)),"Fora do DRE",VLOOKUP(Base_Periodo1[[#This Row],[CONTA]],BaseContasDRE[#All],7,FALSE))</f>
        <v>Fora do DRE</v>
      </c>
      <c r="V61" s="3" t="str">
        <f>IF(Base_Periodo1[[#This Row],[Tipo_Linha]]="Fora do DRE","Fora do DRE","( "&amp;Base_Periodo1[[#This Row],[Tipo_Linha]]&amp;" ) "&amp;Base_Periodo1[[#This Row],[Filtro]])</f>
        <v>Fora do DRE</v>
      </c>
      <c r="W61" s="3" t="str">
        <f>LEFT(Base_Periodo1[[#This Row],[CLASS]],3)</f>
        <v>1.1</v>
      </c>
    </row>
    <row r="62" spans="1:23" hidden="1">
      <c r="A62" s="3" t="str">
        <f t="shared" si="0"/>
        <v>Período 1</v>
      </c>
      <c r="B62">
        <v>18108</v>
      </c>
      <c r="C62" t="s">
        <v>490</v>
      </c>
      <c r="D62" t="s">
        <v>4339</v>
      </c>
      <c r="E62" s="3" t="str">
        <f>IF(LEN(Base_Periodo1[[#This Row],[CLASS]])&gt;=7,LEFT(Base_Periodo1[[#This Row],[CLASS]],7),"")</f>
        <v>1.1.1.4</v>
      </c>
      <c r="F62" s="3" t="str">
        <f>VLOOKUP(Base_Periodo1[[#This Row],[Aux]],Base_Contas_Balanco[#All],2,FALSE)</f>
        <v>Aplicacoes Financeiras Liquidação Imediata</v>
      </c>
      <c r="G62" s="1">
        <v>42886</v>
      </c>
      <c r="H62" s="225">
        <v>3621070.3199999817</v>
      </c>
      <c r="I62" s="225">
        <v>67045.91</v>
      </c>
      <c r="J62" s="225">
        <v>1503594.78</v>
      </c>
      <c r="K62" s="225">
        <v>2184521.4499999816</v>
      </c>
      <c r="L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2184521.4500000002</v>
      </c>
      <c r="M62" s="225">
        <f>ROUND(IF(AND(Base_Periodo1[[#This Row],[Tipo_Linha]]="-",Base_Periodo1[[#This Row],[TIPOSALDO]]="D"),Base_Periodo1[[#This Row],[SALDO_ATUAL]]*-1,Base_Periodo1[[#This Row],[SALDO_ATUAL]]),4)</f>
        <v>2184521.4500000002</v>
      </c>
      <c r="N62" t="s">
        <v>116</v>
      </c>
      <c r="O62" t="s">
        <v>397</v>
      </c>
      <c r="P62" t="s">
        <v>397</v>
      </c>
      <c r="Q62">
        <v>5</v>
      </c>
      <c r="R62" s="225">
        <f>Base_Periodo1[[#This Row],[CREDITOS]]-Base_Periodo1[[#This Row],[DEBITOS]]</f>
        <v>1436548.87</v>
      </c>
      <c r="S62" s="3" t="str">
        <f>IF(ISERROR(VLOOKUP(Base_Periodo1[[#This Row],[CONTA]],BaseContasDRE[#All],4,FALSE)),"Fora do DRE",VLOOKUP(Base_Periodo1[[#This Row],[CONTA]],BaseContasDRE[#All],4,FALSE))</f>
        <v>Fora do DRE</v>
      </c>
      <c r="T62" s="3" t="str">
        <f>IF(ISERROR(VLOOKUP(Base_Periodo1[[#This Row],[CONTA]],BaseContasDRE[#All],5,FALSE)),"Fora do DRE",VLOOKUP(Base_Periodo1[[#This Row],[CONTA]],BaseContasDRE[#All],6,FALSE))</f>
        <v>Fora do DRE</v>
      </c>
      <c r="U62" s="3" t="str">
        <f>IF(ISERROR(VLOOKUP(Base_Periodo1[[#This Row],[CONTA]],BaseContasDRE[#All],7,FALSE)),"Fora do DRE",VLOOKUP(Base_Periodo1[[#This Row],[CONTA]],BaseContasDRE[#All],7,FALSE))</f>
        <v>Fora do DRE</v>
      </c>
      <c r="V62" s="3" t="str">
        <f>IF(Base_Periodo1[[#This Row],[Tipo_Linha]]="Fora do DRE","Fora do DRE","( "&amp;Base_Periodo1[[#This Row],[Tipo_Linha]]&amp;" ) "&amp;Base_Periodo1[[#This Row],[Filtro]])</f>
        <v>Fora do DRE</v>
      </c>
      <c r="W62" s="3" t="str">
        <f>LEFT(Base_Periodo1[[#This Row],[CLASS]],3)</f>
        <v>1.1</v>
      </c>
    </row>
    <row r="63" spans="1:23" hidden="1">
      <c r="A63" s="3" t="str">
        <f t="shared" si="0"/>
        <v>Período 1</v>
      </c>
      <c r="B63">
        <v>18606</v>
      </c>
      <c r="C63" t="s">
        <v>491</v>
      </c>
      <c r="D63" t="s">
        <v>492</v>
      </c>
      <c r="E63" s="3" t="str">
        <f>IF(LEN(Base_Periodo1[[#This Row],[CLASS]])&gt;=7,LEFT(Base_Periodo1[[#This Row],[CLASS]],7),"")</f>
        <v>1.1.1.4</v>
      </c>
      <c r="F63" s="3" t="str">
        <f>VLOOKUP(Base_Periodo1[[#This Row],[Aux]],Base_Contas_Balanco[#All],2,FALSE)</f>
        <v>Aplicacoes Financeiras Liquidação Imediata</v>
      </c>
      <c r="G63" s="1">
        <v>42886</v>
      </c>
      <c r="H63" s="225">
        <v>7115086.9699999839</v>
      </c>
      <c r="I63" s="225">
        <v>47749.85</v>
      </c>
      <c r="J63" s="225">
        <v>709444.84</v>
      </c>
      <c r="K63" s="225">
        <v>6453391.9799999837</v>
      </c>
      <c r="L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6453391.9800000004</v>
      </c>
      <c r="M63" s="225">
        <f>ROUND(IF(AND(Base_Periodo1[[#This Row],[Tipo_Linha]]="-",Base_Periodo1[[#This Row],[TIPOSALDO]]="D"),Base_Periodo1[[#This Row],[SALDO_ATUAL]]*-1,Base_Periodo1[[#This Row],[SALDO_ATUAL]]),4)</f>
        <v>6453391.9800000004</v>
      </c>
      <c r="N63" t="s">
        <v>116</v>
      </c>
      <c r="O63" t="s">
        <v>397</v>
      </c>
      <c r="P63" t="s">
        <v>397</v>
      </c>
      <c r="Q63">
        <v>5</v>
      </c>
      <c r="R63" s="225">
        <f>Base_Periodo1[[#This Row],[CREDITOS]]-Base_Periodo1[[#This Row],[DEBITOS]]</f>
        <v>661694.99</v>
      </c>
      <c r="S63" s="3" t="str">
        <f>IF(ISERROR(VLOOKUP(Base_Periodo1[[#This Row],[CONTA]],BaseContasDRE[#All],4,FALSE)),"Fora do DRE",VLOOKUP(Base_Periodo1[[#This Row],[CONTA]],BaseContasDRE[#All],4,FALSE))</f>
        <v>Fora do DRE</v>
      </c>
      <c r="T63" s="3" t="str">
        <f>IF(ISERROR(VLOOKUP(Base_Periodo1[[#This Row],[CONTA]],BaseContasDRE[#All],5,FALSE)),"Fora do DRE",VLOOKUP(Base_Periodo1[[#This Row],[CONTA]],BaseContasDRE[#All],6,FALSE))</f>
        <v>Fora do DRE</v>
      </c>
      <c r="U63" s="3" t="str">
        <f>IF(ISERROR(VLOOKUP(Base_Periodo1[[#This Row],[CONTA]],BaseContasDRE[#All],7,FALSE)),"Fora do DRE",VLOOKUP(Base_Periodo1[[#This Row],[CONTA]],BaseContasDRE[#All],7,FALSE))</f>
        <v>Fora do DRE</v>
      </c>
      <c r="V63" s="3" t="str">
        <f>IF(Base_Periodo1[[#This Row],[Tipo_Linha]]="Fora do DRE","Fora do DRE","( "&amp;Base_Periodo1[[#This Row],[Tipo_Linha]]&amp;" ) "&amp;Base_Periodo1[[#This Row],[Filtro]])</f>
        <v>Fora do DRE</v>
      </c>
      <c r="W63" s="3" t="str">
        <f>LEFT(Base_Periodo1[[#This Row],[CLASS]],3)</f>
        <v>1.1</v>
      </c>
    </row>
    <row r="64" spans="1:23" hidden="1">
      <c r="A64" s="3" t="str">
        <f t="shared" si="0"/>
        <v>Período 1</v>
      </c>
      <c r="B64">
        <v>24431</v>
      </c>
      <c r="C64" t="s">
        <v>493</v>
      </c>
      <c r="D64" t="s">
        <v>494</v>
      </c>
      <c r="E64" s="3" t="str">
        <f>IF(LEN(Base_Periodo1[[#This Row],[CLASS]])&gt;=7,LEFT(Base_Periodo1[[#This Row],[CLASS]],7),"")</f>
        <v>1.1.1.4</v>
      </c>
      <c r="F64" s="3" t="str">
        <f>VLOOKUP(Base_Periodo1[[#This Row],[Aux]],Base_Contas_Balanco[#All],2,FALSE)</f>
        <v>Aplicacoes Financeiras Liquidação Imediata</v>
      </c>
      <c r="G64" s="1">
        <v>42886</v>
      </c>
      <c r="H64" s="225">
        <v>15354450.64999998</v>
      </c>
      <c r="I64" s="225">
        <v>99809.53</v>
      </c>
      <c r="J64" s="225">
        <v>0</v>
      </c>
      <c r="K64" s="225">
        <v>15454260.179999979</v>
      </c>
      <c r="L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15454260.18</v>
      </c>
      <c r="M64" s="225">
        <f>ROUND(IF(AND(Base_Periodo1[[#This Row],[Tipo_Linha]]="-",Base_Periodo1[[#This Row],[TIPOSALDO]]="D"),Base_Periodo1[[#This Row],[SALDO_ATUAL]]*-1,Base_Periodo1[[#This Row],[SALDO_ATUAL]]),4)</f>
        <v>15454260.18</v>
      </c>
      <c r="N64" t="s">
        <v>116</v>
      </c>
      <c r="O64" t="s">
        <v>397</v>
      </c>
      <c r="P64" t="s">
        <v>397</v>
      </c>
      <c r="Q64">
        <v>5</v>
      </c>
      <c r="R64" s="225">
        <f>Base_Periodo1[[#This Row],[CREDITOS]]-Base_Periodo1[[#This Row],[DEBITOS]]</f>
        <v>-99809.53</v>
      </c>
      <c r="S64" s="3" t="str">
        <f>IF(ISERROR(VLOOKUP(Base_Periodo1[[#This Row],[CONTA]],BaseContasDRE[#All],4,FALSE)),"Fora do DRE",VLOOKUP(Base_Periodo1[[#This Row],[CONTA]],BaseContasDRE[#All],4,FALSE))</f>
        <v>Fora do DRE</v>
      </c>
      <c r="T64" s="3" t="str">
        <f>IF(ISERROR(VLOOKUP(Base_Periodo1[[#This Row],[CONTA]],BaseContasDRE[#All],5,FALSE)),"Fora do DRE",VLOOKUP(Base_Periodo1[[#This Row],[CONTA]],BaseContasDRE[#All],6,FALSE))</f>
        <v>Fora do DRE</v>
      </c>
      <c r="U64" s="3" t="str">
        <f>IF(ISERROR(VLOOKUP(Base_Periodo1[[#This Row],[CONTA]],BaseContasDRE[#All],7,FALSE)),"Fora do DRE",VLOOKUP(Base_Periodo1[[#This Row],[CONTA]],BaseContasDRE[#All],7,FALSE))</f>
        <v>Fora do DRE</v>
      </c>
      <c r="V64" s="3" t="str">
        <f>IF(Base_Periodo1[[#This Row],[Tipo_Linha]]="Fora do DRE","Fora do DRE","( "&amp;Base_Periodo1[[#This Row],[Tipo_Linha]]&amp;" ) "&amp;Base_Periodo1[[#This Row],[Filtro]])</f>
        <v>Fora do DRE</v>
      </c>
      <c r="W64" s="3" t="str">
        <f>LEFT(Base_Periodo1[[#This Row],[CLASS]],3)</f>
        <v>1.1</v>
      </c>
    </row>
    <row r="65" spans="1:23" hidden="1">
      <c r="A65" s="3" t="str">
        <f t="shared" si="0"/>
        <v>Período 1</v>
      </c>
      <c r="B65">
        <v>32255</v>
      </c>
      <c r="C65" t="s">
        <v>495</v>
      </c>
      <c r="D65" t="s">
        <v>496</v>
      </c>
      <c r="E65" s="3" t="str">
        <f>IF(LEN(Base_Periodo1[[#This Row],[CLASS]])&gt;=7,LEFT(Base_Periodo1[[#This Row],[CLASS]],7),"")</f>
        <v>1.1.1.4</v>
      </c>
      <c r="F65" s="3" t="str">
        <f>VLOOKUP(Base_Periodo1[[#This Row],[Aux]],Base_Contas_Balanco[#All],2,FALSE)</f>
        <v>Aplicacoes Financeiras Liquidação Imediata</v>
      </c>
      <c r="G65" s="1">
        <v>42886</v>
      </c>
      <c r="H65" s="225">
        <v>14906904.949999997</v>
      </c>
      <c r="I65" s="225">
        <v>91409.93</v>
      </c>
      <c r="J65" s="225">
        <v>10501054.6</v>
      </c>
      <c r="K65" s="225">
        <v>4497260.2799999975</v>
      </c>
      <c r="L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4497260.28</v>
      </c>
      <c r="M65" s="225">
        <f>ROUND(IF(AND(Base_Periodo1[[#This Row],[Tipo_Linha]]="-",Base_Periodo1[[#This Row],[TIPOSALDO]]="D"),Base_Periodo1[[#This Row],[SALDO_ATUAL]]*-1,Base_Periodo1[[#This Row],[SALDO_ATUAL]]),4)</f>
        <v>4497260.28</v>
      </c>
      <c r="N65" t="s">
        <v>116</v>
      </c>
      <c r="O65" t="s">
        <v>397</v>
      </c>
      <c r="P65" t="s">
        <v>397</v>
      </c>
      <c r="Q65">
        <v>5</v>
      </c>
      <c r="R65" s="225">
        <f>Base_Periodo1[[#This Row],[CREDITOS]]-Base_Periodo1[[#This Row],[DEBITOS]]</f>
        <v>10409644.67</v>
      </c>
      <c r="S65" s="3" t="str">
        <f>IF(ISERROR(VLOOKUP(Base_Periodo1[[#This Row],[CONTA]],BaseContasDRE[#All],4,FALSE)),"Fora do DRE",VLOOKUP(Base_Periodo1[[#This Row],[CONTA]],BaseContasDRE[#All],4,FALSE))</f>
        <v>Fora do DRE</v>
      </c>
      <c r="T65" s="3" t="str">
        <f>IF(ISERROR(VLOOKUP(Base_Periodo1[[#This Row],[CONTA]],BaseContasDRE[#All],5,FALSE)),"Fora do DRE",VLOOKUP(Base_Periodo1[[#This Row],[CONTA]],BaseContasDRE[#All],6,FALSE))</f>
        <v>Fora do DRE</v>
      </c>
      <c r="U65" s="3" t="str">
        <f>IF(ISERROR(VLOOKUP(Base_Periodo1[[#This Row],[CONTA]],BaseContasDRE[#All],7,FALSE)),"Fora do DRE",VLOOKUP(Base_Periodo1[[#This Row],[CONTA]],BaseContasDRE[#All],7,FALSE))</f>
        <v>Fora do DRE</v>
      </c>
      <c r="V65" s="3" t="str">
        <f>IF(Base_Periodo1[[#This Row],[Tipo_Linha]]="Fora do DRE","Fora do DRE","( "&amp;Base_Periodo1[[#This Row],[Tipo_Linha]]&amp;" ) "&amp;Base_Periodo1[[#This Row],[Filtro]])</f>
        <v>Fora do DRE</v>
      </c>
      <c r="W65" s="3" t="str">
        <f>LEFT(Base_Periodo1[[#This Row],[CLASS]],3)</f>
        <v>1.1</v>
      </c>
    </row>
    <row r="66" spans="1:23" hidden="1">
      <c r="A66" s="3" t="str">
        <f t="shared" si="0"/>
        <v>Período 1</v>
      </c>
      <c r="B66">
        <v>56323</v>
      </c>
      <c r="C66" t="s">
        <v>5623</v>
      </c>
      <c r="D66" t="s">
        <v>5624</v>
      </c>
      <c r="E66" s="3" t="str">
        <f>IF(LEN(Base_Periodo1[[#This Row],[CLASS]])&gt;=7,LEFT(Base_Periodo1[[#This Row],[CLASS]],7),"")</f>
        <v>1.1.1.4</v>
      </c>
      <c r="F66" s="3" t="str">
        <f>VLOOKUP(Base_Periodo1[[#This Row],[Aux]],Base_Contas_Balanco[#All],2,FALSE)</f>
        <v>Aplicacoes Financeiras Liquidação Imediata</v>
      </c>
      <c r="G66" s="1">
        <v>42886</v>
      </c>
      <c r="H66" s="225">
        <v>1064368.69</v>
      </c>
      <c r="I66" s="225">
        <v>30380.84</v>
      </c>
      <c r="J66" s="225">
        <v>0</v>
      </c>
      <c r="K66" s="225">
        <v>1094749.53</v>
      </c>
      <c r="L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1094749.53</v>
      </c>
      <c r="M66" s="225">
        <f>ROUND(IF(AND(Base_Periodo1[[#This Row],[Tipo_Linha]]="-",Base_Periodo1[[#This Row],[TIPOSALDO]]="D"),Base_Periodo1[[#This Row],[SALDO_ATUAL]]*-1,Base_Periodo1[[#This Row],[SALDO_ATUAL]]),4)</f>
        <v>1094749.53</v>
      </c>
      <c r="N66" t="s">
        <v>116</v>
      </c>
      <c r="O66" t="s">
        <v>397</v>
      </c>
      <c r="P66" t="s">
        <v>397</v>
      </c>
      <c r="Q66">
        <v>5</v>
      </c>
      <c r="R66" s="225">
        <f>Base_Periodo1[[#This Row],[CREDITOS]]-Base_Periodo1[[#This Row],[DEBITOS]]</f>
        <v>-30380.84</v>
      </c>
      <c r="S66" s="3" t="str">
        <f>IF(ISERROR(VLOOKUP(Base_Periodo1[[#This Row],[CONTA]],BaseContasDRE[#All],4,FALSE)),"Fora do DRE",VLOOKUP(Base_Periodo1[[#This Row],[CONTA]],BaseContasDRE[#All],4,FALSE))</f>
        <v>Fora do DRE</v>
      </c>
      <c r="T66" s="3" t="str">
        <f>IF(ISERROR(VLOOKUP(Base_Periodo1[[#This Row],[CONTA]],BaseContasDRE[#All],5,FALSE)),"Fora do DRE",VLOOKUP(Base_Periodo1[[#This Row],[CONTA]],BaseContasDRE[#All],6,FALSE))</f>
        <v>Fora do DRE</v>
      </c>
      <c r="U66" s="3" t="str">
        <f>IF(ISERROR(VLOOKUP(Base_Periodo1[[#This Row],[CONTA]],BaseContasDRE[#All],7,FALSE)),"Fora do DRE",VLOOKUP(Base_Periodo1[[#This Row],[CONTA]],BaseContasDRE[#All],7,FALSE))</f>
        <v>Fora do DRE</v>
      </c>
      <c r="V66" s="3" t="str">
        <f>IF(Base_Periodo1[[#This Row],[Tipo_Linha]]="Fora do DRE","Fora do DRE","( "&amp;Base_Periodo1[[#This Row],[Tipo_Linha]]&amp;" ) "&amp;Base_Periodo1[[#This Row],[Filtro]])</f>
        <v>Fora do DRE</v>
      </c>
      <c r="W66" s="3" t="str">
        <f>LEFT(Base_Periodo1[[#This Row],[CLASS]],3)</f>
        <v>1.1</v>
      </c>
    </row>
    <row r="67" spans="1:23" hidden="1">
      <c r="A67" s="3" t="str">
        <f t="shared" si="0"/>
        <v>Período 1</v>
      </c>
      <c r="B67">
        <v>55693</v>
      </c>
      <c r="C67" t="s">
        <v>5625</v>
      </c>
      <c r="D67" t="s">
        <v>5626</v>
      </c>
      <c r="E67" s="3" t="str">
        <f>IF(LEN(Base_Periodo1[[#This Row],[CLASS]])&gt;=7,LEFT(Base_Periodo1[[#This Row],[CLASS]],7),"")</f>
        <v>1.1.1.4</v>
      </c>
      <c r="F67" s="3" t="str">
        <f>VLOOKUP(Base_Periodo1[[#This Row],[Aux]],Base_Contas_Balanco[#All],2,FALSE)</f>
        <v>Aplicacoes Financeiras Liquidação Imediata</v>
      </c>
      <c r="G67" s="1">
        <v>42735</v>
      </c>
      <c r="H67" s="225">
        <v>5052142.3000000007</v>
      </c>
      <c r="I67" s="225">
        <v>0</v>
      </c>
      <c r="J67" s="225">
        <v>0</v>
      </c>
      <c r="K67" s="225">
        <v>5052142.3000000007</v>
      </c>
      <c r="L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5052142.3</v>
      </c>
      <c r="M67" s="225">
        <f>ROUND(IF(AND(Base_Periodo1[[#This Row],[Tipo_Linha]]="-",Base_Periodo1[[#This Row],[TIPOSALDO]]="D"),Base_Periodo1[[#This Row],[SALDO_ATUAL]]*-1,Base_Periodo1[[#This Row],[SALDO_ATUAL]]),4)</f>
        <v>5052142.3</v>
      </c>
      <c r="N67" t="s">
        <v>116</v>
      </c>
      <c r="O67" t="s">
        <v>397</v>
      </c>
      <c r="P67" t="s">
        <v>397</v>
      </c>
      <c r="Q67">
        <v>5</v>
      </c>
      <c r="R67" s="225">
        <f>Base_Periodo1[[#This Row],[CREDITOS]]-Base_Periodo1[[#This Row],[DEBITOS]]</f>
        <v>0</v>
      </c>
      <c r="S67" s="3" t="str">
        <f>IF(ISERROR(VLOOKUP(Base_Periodo1[[#This Row],[CONTA]],BaseContasDRE[#All],4,FALSE)),"Fora do DRE",VLOOKUP(Base_Periodo1[[#This Row],[CONTA]],BaseContasDRE[#All],4,FALSE))</f>
        <v>Fora do DRE</v>
      </c>
      <c r="T67" s="3" t="str">
        <f>IF(ISERROR(VLOOKUP(Base_Periodo1[[#This Row],[CONTA]],BaseContasDRE[#All],5,FALSE)),"Fora do DRE",VLOOKUP(Base_Periodo1[[#This Row],[CONTA]],BaseContasDRE[#All],6,FALSE))</f>
        <v>Fora do DRE</v>
      </c>
      <c r="U67" s="3" t="str">
        <f>IF(ISERROR(VLOOKUP(Base_Periodo1[[#This Row],[CONTA]],BaseContasDRE[#All],7,FALSE)),"Fora do DRE",VLOOKUP(Base_Periodo1[[#This Row],[CONTA]],BaseContasDRE[#All],7,FALSE))</f>
        <v>Fora do DRE</v>
      </c>
      <c r="V67" s="3" t="str">
        <f>IF(Base_Periodo1[[#This Row],[Tipo_Linha]]="Fora do DRE","Fora do DRE","( "&amp;Base_Periodo1[[#This Row],[Tipo_Linha]]&amp;" ) "&amp;Base_Periodo1[[#This Row],[Filtro]])</f>
        <v>Fora do DRE</v>
      </c>
      <c r="W67" s="3" t="str">
        <f>LEFT(Base_Periodo1[[#This Row],[CLASS]],3)</f>
        <v>1.1</v>
      </c>
    </row>
    <row r="68" spans="1:23" hidden="1">
      <c r="A68" s="3" t="str">
        <f t="shared" si="0"/>
        <v>Período 1</v>
      </c>
      <c r="B68">
        <v>39853</v>
      </c>
      <c r="C68" t="s">
        <v>497</v>
      </c>
      <c r="D68" t="s">
        <v>498</v>
      </c>
      <c r="E68" s="3" t="str">
        <f>IF(LEN(Base_Periodo1[[#This Row],[CLASS]])&gt;=7,LEFT(Base_Periodo1[[#This Row],[CLASS]],7),"")</f>
        <v>1.1.1.4</v>
      </c>
      <c r="F68" s="3" t="str">
        <f>VLOOKUP(Base_Periodo1[[#This Row],[Aux]],Base_Contas_Balanco[#All],2,FALSE)</f>
        <v>Aplicacoes Financeiras Liquidação Imediata</v>
      </c>
      <c r="G68" s="1">
        <v>42538</v>
      </c>
      <c r="H68" s="225">
        <v>305041.91999999998</v>
      </c>
      <c r="I68" s="225">
        <v>0</v>
      </c>
      <c r="J68" s="225">
        <v>0</v>
      </c>
      <c r="K68" s="225">
        <v>305041.91999999998</v>
      </c>
      <c r="L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305041.91999999998</v>
      </c>
      <c r="M68" s="225">
        <f>ROUND(IF(AND(Base_Periodo1[[#This Row],[Tipo_Linha]]="-",Base_Periodo1[[#This Row],[TIPOSALDO]]="D"),Base_Periodo1[[#This Row],[SALDO_ATUAL]]*-1,Base_Periodo1[[#This Row],[SALDO_ATUAL]]),4)</f>
        <v>305041.91999999998</v>
      </c>
      <c r="N68" t="s">
        <v>116</v>
      </c>
      <c r="O68" t="s">
        <v>397</v>
      </c>
      <c r="P68" t="s">
        <v>397</v>
      </c>
      <c r="Q68">
        <v>5</v>
      </c>
      <c r="R68" s="225">
        <f>Base_Periodo1[[#This Row],[CREDITOS]]-Base_Periodo1[[#This Row],[DEBITOS]]</f>
        <v>0</v>
      </c>
      <c r="S68" s="3" t="str">
        <f>IF(ISERROR(VLOOKUP(Base_Periodo1[[#This Row],[CONTA]],BaseContasDRE[#All],4,FALSE)),"Fora do DRE",VLOOKUP(Base_Periodo1[[#This Row],[CONTA]],BaseContasDRE[#All],4,FALSE))</f>
        <v>Fora do DRE</v>
      </c>
      <c r="T68" s="3" t="str">
        <f>IF(ISERROR(VLOOKUP(Base_Periodo1[[#This Row],[CONTA]],BaseContasDRE[#All],5,FALSE)),"Fora do DRE",VLOOKUP(Base_Periodo1[[#This Row],[CONTA]],BaseContasDRE[#All],6,FALSE))</f>
        <v>Fora do DRE</v>
      </c>
      <c r="U68" s="3" t="str">
        <f>IF(ISERROR(VLOOKUP(Base_Periodo1[[#This Row],[CONTA]],BaseContasDRE[#All],7,FALSE)),"Fora do DRE",VLOOKUP(Base_Periodo1[[#This Row],[CONTA]],BaseContasDRE[#All],7,FALSE))</f>
        <v>Fora do DRE</v>
      </c>
      <c r="V68" s="3" t="str">
        <f>IF(Base_Periodo1[[#This Row],[Tipo_Linha]]="Fora do DRE","Fora do DRE","( "&amp;Base_Periodo1[[#This Row],[Tipo_Linha]]&amp;" ) "&amp;Base_Periodo1[[#This Row],[Filtro]])</f>
        <v>Fora do DRE</v>
      </c>
      <c r="W68" s="3" t="str">
        <f>LEFT(Base_Periodo1[[#This Row],[CLASS]],3)</f>
        <v>1.1</v>
      </c>
    </row>
    <row r="69" spans="1:23" hidden="1">
      <c r="A69" s="3" t="str">
        <f t="shared" si="0"/>
        <v>Período 1</v>
      </c>
      <c r="B69">
        <v>16</v>
      </c>
      <c r="C69" t="s">
        <v>499</v>
      </c>
      <c r="D69" t="s">
        <v>82</v>
      </c>
      <c r="E69" s="3" t="str">
        <f>IF(LEN(Base_Periodo1[[#This Row],[CLASS]])&gt;=7,LEFT(Base_Periodo1[[#This Row],[CLASS]],7),"")</f>
        <v/>
      </c>
      <c r="F69" s="3" t="e">
        <f>VLOOKUP(Base_Periodo1[[#This Row],[Aux]],Base_Contas_Balanco[#All],2,FALSE)</f>
        <v>#N/A</v>
      </c>
      <c r="G69" s="1"/>
      <c r="H69" s="225">
        <v>165105255.12000135</v>
      </c>
      <c r="I69" s="225">
        <v>83646965.220000014</v>
      </c>
      <c r="J69" s="225">
        <v>94345121.959999979</v>
      </c>
      <c r="K69" s="225">
        <v>154407098.38000137</v>
      </c>
      <c r="L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154407098.38</v>
      </c>
      <c r="M69" s="225">
        <f>ROUND(IF(AND(Base_Periodo1[[#This Row],[Tipo_Linha]]="-",Base_Periodo1[[#This Row],[TIPOSALDO]]="D"),Base_Periodo1[[#This Row],[SALDO_ATUAL]]*-1,Base_Periodo1[[#This Row],[SALDO_ATUAL]]),4)</f>
        <v>154407098.38</v>
      </c>
      <c r="N69" t="s">
        <v>396</v>
      </c>
      <c r="O69" t="s">
        <v>397</v>
      </c>
      <c r="P69" t="s">
        <v>397</v>
      </c>
      <c r="Q69">
        <v>3</v>
      </c>
      <c r="R69" s="225">
        <f>Base_Periodo1[[#This Row],[CREDITOS]]-Base_Periodo1[[#This Row],[DEBITOS]]</f>
        <v>10698156.739999965</v>
      </c>
      <c r="S69" s="3" t="str">
        <f>IF(ISERROR(VLOOKUP(Base_Periodo1[[#This Row],[CONTA]],BaseContasDRE[#All],4,FALSE)),"Fora do DRE",VLOOKUP(Base_Periodo1[[#This Row],[CONTA]],BaseContasDRE[#All],4,FALSE))</f>
        <v>Fora do DRE</v>
      </c>
      <c r="T69" s="3" t="str">
        <f>IF(ISERROR(VLOOKUP(Base_Periodo1[[#This Row],[CONTA]],BaseContasDRE[#All],5,FALSE)),"Fora do DRE",VLOOKUP(Base_Periodo1[[#This Row],[CONTA]],BaseContasDRE[#All],6,FALSE))</f>
        <v>Fora do DRE</v>
      </c>
      <c r="U69" s="3" t="str">
        <f>IF(ISERROR(VLOOKUP(Base_Periodo1[[#This Row],[CONTA]],BaseContasDRE[#All],7,FALSE)),"Fora do DRE",VLOOKUP(Base_Periodo1[[#This Row],[CONTA]],BaseContasDRE[#All],7,FALSE))</f>
        <v>Fora do DRE</v>
      </c>
      <c r="V69" s="3" t="str">
        <f>IF(Base_Periodo1[[#This Row],[Tipo_Linha]]="Fora do DRE","Fora do DRE","( "&amp;Base_Periodo1[[#This Row],[Tipo_Linha]]&amp;" ) "&amp;Base_Periodo1[[#This Row],[Filtro]])</f>
        <v>Fora do DRE</v>
      </c>
      <c r="W69" s="3" t="str">
        <f>LEFT(Base_Periodo1[[#This Row],[CLASS]],3)</f>
        <v>1.1</v>
      </c>
    </row>
    <row r="70" spans="1:23" hidden="1">
      <c r="A70" s="3" t="str">
        <f t="shared" ref="A70:A133" si="1">"Período 1"</f>
        <v>Período 1</v>
      </c>
      <c r="B70">
        <v>17</v>
      </c>
      <c r="C70" t="s">
        <v>10</v>
      </c>
      <c r="D70" t="s">
        <v>11</v>
      </c>
      <c r="E70" s="3" t="str">
        <f>IF(LEN(Base_Periodo1[[#This Row],[CLASS]])&gt;=7,LEFT(Base_Periodo1[[#This Row],[CLASS]],7),"")</f>
        <v>1.1.2.1</v>
      </c>
      <c r="F70" s="3" t="str">
        <f>VLOOKUP(Base_Periodo1[[#This Row],[Aux]],Base_Contas_Balanco[#All],2,FALSE)</f>
        <v>Creditos com Cooperados</v>
      </c>
      <c r="G70" s="1"/>
      <c r="H70" s="225">
        <v>60449715.31000001</v>
      </c>
      <c r="I70" s="225">
        <v>41947791.399999999</v>
      </c>
      <c r="J70" s="225">
        <v>44547342.31000001</v>
      </c>
      <c r="K70" s="225">
        <v>57850164.399999999</v>
      </c>
      <c r="L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57850164.399999999</v>
      </c>
      <c r="M70" s="225">
        <f>ROUND(IF(AND(Base_Periodo1[[#This Row],[Tipo_Linha]]="-",Base_Periodo1[[#This Row],[TIPOSALDO]]="D"),Base_Periodo1[[#This Row],[SALDO_ATUAL]]*-1,Base_Periodo1[[#This Row],[SALDO_ATUAL]]),4)</f>
        <v>57850164.399999999</v>
      </c>
      <c r="N70" t="s">
        <v>396</v>
      </c>
      <c r="O70" t="s">
        <v>397</v>
      </c>
      <c r="P70" t="s">
        <v>397</v>
      </c>
      <c r="Q70">
        <v>4</v>
      </c>
      <c r="R70" s="225">
        <f>Base_Periodo1[[#This Row],[CREDITOS]]-Base_Periodo1[[#This Row],[DEBITOS]]</f>
        <v>2599550.9100000113</v>
      </c>
      <c r="S70" s="3" t="str">
        <f>IF(ISERROR(VLOOKUP(Base_Periodo1[[#This Row],[CONTA]],BaseContasDRE[#All],4,FALSE)),"Fora do DRE",VLOOKUP(Base_Periodo1[[#This Row],[CONTA]],BaseContasDRE[#All],4,FALSE))</f>
        <v>Fora do DRE</v>
      </c>
      <c r="T70" s="3" t="str">
        <f>IF(ISERROR(VLOOKUP(Base_Periodo1[[#This Row],[CONTA]],BaseContasDRE[#All],5,FALSE)),"Fora do DRE",VLOOKUP(Base_Periodo1[[#This Row],[CONTA]],BaseContasDRE[#All],6,FALSE))</f>
        <v>Fora do DRE</v>
      </c>
      <c r="U70" s="3" t="str">
        <f>IF(ISERROR(VLOOKUP(Base_Periodo1[[#This Row],[CONTA]],BaseContasDRE[#All],7,FALSE)),"Fora do DRE",VLOOKUP(Base_Periodo1[[#This Row],[CONTA]],BaseContasDRE[#All],7,FALSE))</f>
        <v>Fora do DRE</v>
      </c>
      <c r="V70" s="3" t="str">
        <f>IF(Base_Periodo1[[#This Row],[Tipo_Linha]]="Fora do DRE","Fora do DRE","( "&amp;Base_Periodo1[[#This Row],[Tipo_Linha]]&amp;" ) "&amp;Base_Periodo1[[#This Row],[Filtro]])</f>
        <v>Fora do DRE</v>
      </c>
      <c r="W70" s="3" t="str">
        <f>LEFT(Base_Periodo1[[#This Row],[CLASS]],3)</f>
        <v>1.1</v>
      </c>
    </row>
    <row r="71" spans="1:23" hidden="1">
      <c r="A71" s="3" t="str">
        <f t="shared" si="1"/>
        <v>Período 1</v>
      </c>
      <c r="B71">
        <v>18</v>
      </c>
      <c r="C71" t="s">
        <v>500</v>
      </c>
      <c r="D71" t="s">
        <v>11</v>
      </c>
      <c r="E71" s="3" t="str">
        <f>IF(LEN(Base_Periodo1[[#This Row],[CLASS]])&gt;=7,LEFT(Base_Periodo1[[#This Row],[CLASS]],7),"")</f>
        <v>1.1.2.1</v>
      </c>
      <c r="F71" s="3" t="str">
        <f>VLOOKUP(Base_Periodo1[[#This Row],[Aux]],Base_Contas_Balanco[#All],2,FALSE)</f>
        <v>Creditos com Cooperados</v>
      </c>
      <c r="G71" s="1"/>
      <c r="H71" s="225">
        <v>60217087.620000012</v>
      </c>
      <c r="I71" s="225">
        <v>41545589.859999999</v>
      </c>
      <c r="J71" s="225">
        <v>44171782.940000013</v>
      </c>
      <c r="K71" s="225">
        <v>57590894.540000007</v>
      </c>
      <c r="L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57590894.539999999</v>
      </c>
      <c r="M71" s="225">
        <f>ROUND(IF(AND(Base_Periodo1[[#This Row],[Tipo_Linha]]="-",Base_Periodo1[[#This Row],[TIPOSALDO]]="D"),Base_Periodo1[[#This Row],[SALDO_ATUAL]]*-1,Base_Periodo1[[#This Row],[SALDO_ATUAL]]),4)</f>
        <v>57590894.539999999</v>
      </c>
      <c r="N71" t="s">
        <v>396</v>
      </c>
      <c r="O71" t="s">
        <v>397</v>
      </c>
      <c r="P71" t="s">
        <v>397</v>
      </c>
      <c r="Q71">
        <v>5</v>
      </c>
      <c r="R71" s="225">
        <f>Base_Periodo1[[#This Row],[CREDITOS]]-Base_Periodo1[[#This Row],[DEBITOS]]</f>
        <v>2626193.0800000131</v>
      </c>
      <c r="S71" s="3" t="str">
        <f>IF(ISERROR(VLOOKUP(Base_Periodo1[[#This Row],[CONTA]],BaseContasDRE[#All],4,FALSE)),"Fora do DRE",VLOOKUP(Base_Periodo1[[#This Row],[CONTA]],BaseContasDRE[#All],4,FALSE))</f>
        <v>Fora do DRE</v>
      </c>
      <c r="T71" s="3" t="str">
        <f>IF(ISERROR(VLOOKUP(Base_Periodo1[[#This Row],[CONTA]],BaseContasDRE[#All],5,FALSE)),"Fora do DRE",VLOOKUP(Base_Periodo1[[#This Row],[CONTA]],BaseContasDRE[#All],6,FALSE))</f>
        <v>Fora do DRE</v>
      </c>
      <c r="U71" s="3" t="str">
        <f>IF(ISERROR(VLOOKUP(Base_Periodo1[[#This Row],[CONTA]],BaseContasDRE[#All],7,FALSE)),"Fora do DRE",VLOOKUP(Base_Periodo1[[#This Row],[CONTA]],BaseContasDRE[#All],7,FALSE))</f>
        <v>Fora do DRE</v>
      </c>
      <c r="V71" s="3" t="str">
        <f>IF(Base_Periodo1[[#This Row],[Tipo_Linha]]="Fora do DRE","Fora do DRE","( "&amp;Base_Periodo1[[#This Row],[Tipo_Linha]]&amp;" ) "&amp;Base_Periodo1[[#This Row],[Filtro]])</f>
        <v>Fora do DRE</v>
      </c>
      <c r="W71" s="3" t="str">
        <f>LEFT(Base_Periodo1[[#This Row],[CLASS]],3)</f>
        <v>1.1</v>
      </c>
    </row>
    <row r="72" spans="1:23" hidden="1">
      <c r="A72" s="3" t="str">
        <f t="shared" si="1"/>
        <v>Período 1</v>
      </c>
      <c r="B72">
        <v>19</v>
      </c>
      <c r="C72" t="s">
        <v>501</v>
      </c>
      <c r="D72" t="s">
        <v>502</v>
      </c>
      <c r="E72" s="3" t="str">
        <f>IF(LEN(Base_Periodo1[[#This Row],[CLASS]])&gt;=7,LEFT(Base_Periodo1[[#This Row],[CLASS]],7),"")</f>
        <v>1.1.2.1</v>
      </c>
      <c r="F72" s="3" t="str">
        <f>VLOOKUP(Base_Periodo1[[#This Row],[Aux]],Base_Contas_Balanco[#All],2,FALSE)</f>
        <v>Creditos com Cooperados</v>
      </c>
      <c r="G72" s="1"/>
      <c r="H72" s="225">
        <v>60217087.620000012</v>
      </c>
      <c r="I72" s="225">
        <v>41545589.859999999</v>
      </c>
      <c r="J72" s="225">
        <v>44171782.940000013</v>
      </c>
      <c r="K72" s="225">
        <v>57590894.540000007</v>
      </c>
      <c r="L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57590894.539999999</v>
      </c>
      <c r="M72" s="225">
        <f>ROUND(IF(AND(Base_Periodo1[[#This Row],[Tipo_Linha]]="-",Base_Periodo1[[#This Row],[TIPOSALDO]]="D"),Base_Periodo1[[#This Row],[SALDO_ATUAL]]*-1,Base_Periodo1[[#This Row],[SALDO_ATUAL]]),4)</f>
        <v>57590894.539999999</v>
      </c>
      <c r="N72" t="s">
        <v>396</v>
      </c>
      <c r="O72" t="s">
        <v>397</v>
      </c>
      <c r="P72" t="s">
        <v>397</v>
      </c>
      <c r="Q72">
        <v>6</v>
      </c>
      <c r="R72" s="225">
        <f>Base_Periodo1[[#This Row],[CREDITOS]]-Base_Periodo1[[#This Row],[DEBITOS]]</f>
        <v>2626193.0800000131</v>
      </c>
      <c r="S72" s="3" t="str">
        <f>IF(ISERROR(VLOOKUP(Base_Periodo1[[#This Row],[CONTA]],BaseContasDRE[#All],4,FALSE)),"Fora do DRE",VLOOKUP(Base_Periodo1[[#This Row],[CONTA]],BaseContasDRE[#All],4,FALSE))</f>
        <v>Fora do DRE</v>
      </c>
      <c r="T72" s="3" t="str">
        <f>IF(ISERROR(VLOOKUP(Base_Periodo1[[#This Row],[CONTA]],BaseContasDRE[#All],5,FALSE)),"Fora do DRE",VLOOKUP(Base_Periodo1[[#This Row],[CONTA]],BaseContasDRE[#All],6,FALSE))</f>
        <v>Fora do DRE</v>
      </c>
      <c r="U72" s="3" t="str">
        <f>IF(ISERROR(VLOOKUP(Base_Periodo1[[#This Row],[CONTA]],BaseContasDRE[#All],7,FALSE)),"Fora do DRE",VLOOKUP(Base_Periodo1[[#This Row],[CONTA]],BaseContasDRE[#All],7,FALSE))</f>
        <v>Fora do DRE</v>
      </c>
      <c r="V72" s="3" t="str">
        <f>IF(Base_Periodo1[[#This Row],[Tipo_Linha]]="Fora do DRE","Fora do DRE","( "&amp;Base_Periodo1[[#This Row],[Tipo_Linha]]&amp;" ) "&amp;Base_Periodo1[[#This Row],[Filtro]])</f>
        <v>Fora do DRE</v>
      </c>
      <c r="W72" s="3" t="str">
        <f>LEFT(Base_Periodo1[[#This Row],[CLASS]],3)</f>
        <v>1.1</v>
      </c>
    </row>
    <row r="73" spans="1:23" hidden="1">
      <c r="A73" s="3" t="str">
        <f t="shared" si="1"/>
        <v>Período 1</v>
      </c>
      <c r="B73">
        <v>46623</v>
      </c>
      <c r="C73" t="s">
        <v>503</v>
      </c>
      <c r="D73" t="s">
        <v>2012</v>
      </c>
      <c r="E73" s="3" t="str">
        <f>IF(LEN(Base_Periodo1[[#This Row],[CLASS]])&gt;=7,LEFT(Base_Periodo1[[#This Row],[CLASS]],7),"")</f>
        <v>1.1.2.1</v>
      </c>
      <c r="F73" s="3" t="str">
        <f>VLOOKUP(Base_Periodo1[[#This Row],[Aux]],Base_Contas_Balanco[#All],2,FALSE)</f>
        <v>Creditos com Cooperados</v>
      </c>
      <c r="G73" s="1">
        <v>42807</v>
      </c>
      <c r="H73" s="225">
        <v>2781.4200000000128</v>
      </c>
      <c r="I73" s="225">
        <v>0</v>
      </c>
      <c r="J73" s="225">
        <v>0</v>
      </c>
      <c r="K73" s="225">
        <v>2781.4200000000128</v>
      </c>
      <c r="L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2781.42</v>
      </c>
      <c r="M73" s="225">
        <f>ROUND(IF(AND(Base_Periodo1[[#This Row],[Tipo_Linha]]="-",Base_Periodo1[[#This Row],[TIPOSALDO]]="D"),Base_Periodo1[[#This Row],[SALDO_ATUAL]]*-1,Base_Periodo1[[#This Row],[SALDO_ATUAL]]),4)</f>
        <v>2781.42</v>
      </c>
      <c r="N73" t="s">
        <v>116</v>
      </c>
      <c r="O73" t="s">
        <v>397</v>
      </c>
      <c r="P73" t="s">
        <v>397</v>
      </c>
      <c r="Q73">
        <v>7</v>
      </c>
      <c r="R73" s="225">
        <f>Base_Periodo1[[#This Row],[CREDITOS]]-Base_Periodo1[[#This Row],[DEBITOS]]</f>
        <v>0</v>
      </c>
      <c r="S73" s="3" t="str">
        <f>IF(ISERROR(VLOOKUP(Base_Periodo1[[#This Row],[CONTA]],BaseContasDRE[#All],4,FALSE)),"Fora do DRE",VLOOKUP(Base_Periodo1[[#This Row],[CONTA]],BaseContasDRE[#All],4,FALSE))</f>
        <v>Fora do DRE</v>
      </c>
      <c r="T73" s="3" t="str">
        <f>IF(ISERROR(VLOOKUP(Base_Periodo1[[#This Row],[CONTA]],BaseContasDRE[#All],5,FALSE)),"Fora do DRE",VLOOKUP(Base_Periodo1[[#This Row],[CONTA]],BaseContasDRE[#All],6,FALSE))</f>
        <v>Fora do DRE</v>
      </c>
      <c r="U73" s="3" t="str">
        <f>IF(ISERROR(VLOOKUP(Base_Periodo1[[#This Row],[CONTA]],BaseContasDRE[#All],7,FALSE)),"Fora do DRE",VLOOKUP(Base_Periodo1[[#This Row],[CONTA]],BaseContasDRE[#All],7,FALSE))</f>
        <v>Fora do DRE</v>
      </c>
      <c r="V73" s="3" t="str">
        <f>IF(Base_Periodo1[[#This Row],[Tipo_Linha]]="Fora do DRE","Fora do DRE","( "&amp;Base_Periodo1[[#This Row],[Tipo_Linha]]&amp;" ) "&amp;Base_Periodo1[[#This Row],[Filtro]])</f>
        <v>Fora do DRE</v>
      </c>
      <c r="W73" s="3" t="str">
        <f>LEFT(Base_Periodo1[[#This Row],[CLASS]],3)</f>
        <v>1.1</v>
      </c>
    </row>
    <row r="74" spans="1:23" hidden="1">
      <c r="A74" s="3" t="str">
        <f t="shared" si="1"/>
        <v>Período 1</v>
      </c>
      <c r="B74">
        <v>21023</v>
      </c>
      <c r="C74" t="s">
        <v>503</v>
      </c>
      <c r="D74" t="s">
        <v>504</v>
      </c>
      <c r="E74" s="3" t="str">
        <f>IF(LEN(Base_Periodo1[[#This Row],[CLASS]])&gt;=7,LEFT(Base_Periodo1[[#This Row],[CLASS]],7),"")</f>
        <v>1.1.2.1</v>
      </c>
      <c r="F74" s="3" t="str">
        <f>VLOOKUP(Base_Periodo1[[#This Row],[Aux]],Base_Contas_Balanco[#All],2,FALSE)</f>
        <v>Creditos com Cooperados</v>
      </c>
      <c r="G74" s="1">
        <v>42885</v>
      </c>
      <c r="H74" s="225">
        <v>6310.5</v>
      </c>
      <c r="I74" s="225">
        <v>30</v>
      </c>
      <c r="J74" s="225">
        <v>3534</v>
      </c>
      <c r="K74" s="225">
        <v>2806.5</v>
      </c>
      <c r="L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2806.5</v>
      </c>
      <c r="M74" s="225">
        <f>ROUND(IF(AND(Base_Periodo1[[#This Row],[Tipo_Linha]]="-",Base_Periodo1[[#This Row],[TIPOSALDO]]="D"),Base_Periodo1[[#This Row],[SALDO_ATUAL]]*-1,Base_Periodo1[[#This Row],[SALDO_ATUAL]]),4)</f>
        <v>2806.5</v>
      </c>
      <c r="N74" t="s">
        <v>116</v>
      </c>
      <c r="O74" t="s">
        <v>397</v>
      </c>
      <c r="P74" t="s">
        <v>397</v>
      </c>
      <c r="Q74">
        <v>7</v>
      </c>
      <c r="R74" s="225">
        <f>Base_Periodo1[[#This Row],[CREDITOS]]-Base_Periodo1[[#This Row],[DEBITOS]]</f>
        <v>3504</v>
      </c>
      <c r="S74" s="3" t="str">
        <f>IF(ISERROR(VLOOKUP(Base_Periodo1[[#This Row],[CONTA]],BaseContasDRE[#All],4,FALSE)),"Fora do DRE",VLOOKUP(Base_Periodo1[[#This Row],[CONTA]],BaseContasDRE[#All],4,FALSE))</f>
        <v>Fora do DRE</v>
      </c>
      <c r="T74" s="3" t="str">
        <f>IF(ISERROR(VLOOKUP(Base_Periodo1[[#This Row],[CONTA]],BaseContasDRE[#All],5,FALSE)),"Fora do DRE",VLOOKUP(Base_Periodo1[[#This Row],[CONTA]],BaseContasDRE[#All],6,FALSE))</f>
        <v>Fora do DRE</v>
      </c>
      <c r="U74" s="3" t="str">
        <f>IF(ISERROR(VLOOKUP(Base_Periodo1[[#This Row],[CONTA]],BaseContasDRE[#All],7,FALSE)),"Fora do DRE",VLOOKUP(Base_Periodo1[[#This Row],[CONTA]],BaseContasDRE[#All],7,FALSE))</f>
        <v>Fora do DRE</v>
      </c>
      <c r="V74" s="3" t="str">
        <f>IF(Base_Periodo1[[#This Row],[Tipo_Linha]]="Fora do DRE","Fora do DRE","( "&amp;Base_Periodo1[[#This Row],[Tipo_Linha]]&amp;" ) "&amp;Base_Periodo1[[#This Row],[Filtro]])</f>
        <v>Fora do DRE</v>
      </c>
      <c r="W74" s="3" t="str">
        <f>LEFT(Base_Periodo1[[#This Row],[CLASS]],3)</f>
        <v>1.1</v>
      </c>
    </row>
    <row r="75" spans="1:23" hidden="1">
      <c r="A75" s="3" t="str">
        <f t="shared" si="1"/>
        <v>Período 1</v>
      </c>
      <c r="B75">
        <v>13476</v>
      </c>
      <c r="C75" t="s">
        <v>503</v>
      </c>
      <c r="D75" t="s">
        <v>5123</v>
      </c>
      <c r="E75" s="3" t="str">
        <f>IF(LEN(Base_Periodo1[[#This Row],[CLASS]])&gt;=7,LEFT(Base_Periodo1[[#This Row],[CLASS]],7),"")</f>
        <v>1.1.2.1</v>
      </c>
      <c r="F75" s="3" t="str">
        <f>VLOOKUP(Base_Periodo1[[#This Row],[Aux]],Base_Contas_Balanco[#All],2,FALSE)</f>
        <v>Creditos com Cooperados</v>
      </c>
      <c r="G75" s="1">
        <v>42804</v>
      </c>
      <c r="H75" s="225">
        <v>1602.6200000000026</v>
      </c>
      <c r="I75" s="225">
        <v>0</v>
      </c>
      <c r="J75" s="225">
        <v>0</v>
      </c>
      <c r="K75" s="225">
        <v>1602.6200000000026</v>
      </c>
      <c r="L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1602.62</v>
      </c>
      <c r="M75" s="225">
        <f>ROUND(IF(AND(Base_Periodo1[[#This Row],[Tipo_Linha]]="-",Base_Periodo1[[#This Row],[TIPOSALDO]]="D"),Base_Periodo1[[#This Row],[SALDO_ATUAL]]*-1,Base_Periodo1[[#This Row],[SALDO_ATUAL]]),4)</f>
        <v>1602.62</v>
      </c>
      <c r="N75" t="s">
        <v>116</v>
      </c>
      <c r="O75" t="s">
        <v>397</v>
      </c>
      <c r="P75" t="s">
        <v>397</v>
      </c>
      <c r="Q75">
        <v>7</v>
      </c>
      <c r="R75" s="225">
        <f>Base_Periodo1[[#This Row],[CREDITOS]]-Base_Periodo1[[#This Row],[DEBITOS]]</f>
        <v>0</v>
      </c>
      <c r="S75" s="3" t="str">
        <f>IF(ISERROR(VLOOKUP(Base_Periodo1[[#This Row],[CONTA]],BaseContasDRE[#All],4,FALSE)),"Fora do DRE",VLOOKUP(Base_Periodo1[[#This Row],[CONTA]],BaseContasDRE[#All],4,FALSE))</f>
        <v>Fora do DRE</v>
      </c>
      <c r="T75" s="3" t="str">
        <f>IF(ISERROR(VLOOKUP(Base_Periodo1[[#This Row],[CONTA]],BaseContasDRE[#All],5,FALSE)),"Fora do DRE",VLOOKUP(Base_Periodo1[[#This Row],[CONTA]],BaseContasDRE[#All],6,FALSE))</f>
        <v>Fora do DRE</v>
      </c>
      <c r="U75" s="3" t="str">
        <f>IF(ISERROR(VLOOKUP(Base_Periodo1[[#This Row],[CONTA]],BaseContasDRE[#All],7,FALSE)),"Fora do DRE",VLOOKUP(Base_Periodo1[[#This Row],[CONTA]],BaseContasDRE[#All],7,FALSE))</f>
        <v>Fora do DRE</v>
      </c>
      <c r="V75" s="3" t="str">
        <f>IF(Base_Periodo1[[#This Row],[Tipo_Linha]]="Fora do DRE","Fora do DRE","( "&amp;Base_Periodo1[[#This Row],[Tipo_Linha]]&amp;" ) "&amp;Base_Periodo1[[#This Row],[Filtro]])</f>
        <v>Fora do DRE</v>
      </c>
      <c r="W75" s="3" t="str">
        <f>LEFT(Base_Periodo1[[#This Row],[CLASS]],3)</f>
        <v>1.1</v>
      </c>
    </row>
    <row r="76" spans="1:23" hidden="1">
      <c r="A76" s="3" t="str">
        <f t="shared" si="1"/>
        <v>Período 1</v>
      </c>
      <c r="B76">
        <v>47178</v>
      </c>
      <c r="C76" t="s">
        <v>503</v>
      </c>
      <c r="D76" t="s">
        <v>4668</v>
      </c>
      <c r="E76" s="3" t="str">
        <f>IF(LEN(Base_Periodo1[[#This Row],[CLASS]])&gt;=7,LEFT(Base_Periodo1[[#This Row],[CLASS]],7),"")</f>
        <v>1.1.2.1</v>
      </c>
      <c r="F76" s="3" t="str">
        <f>VLOOKUP(Base_Periodo1[[#This Row],[Aux]],Base_Contas_Balanco[#All],2,FALSE)</f>
        <v>Creditos com Cooperados</v>
      </c>
      <c r="G76" s="1">
        <v>42884</v>
      </c>
      <c r="H76" s="225">
        <v>4288.679999999993</v>
      </c>
      <c r="I76" s="225">
        <v>12579.34</v>
      </c>
      <c r="J76" s="225">
        <v>3263.1</v>
      </c>
      <c r="K76" s="225">
        <v>13604.919999999993</v>
      </c>
      <c r="L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13604.92</v>
      </c>
      <c r="M76" s="225">
        <f>ROUND(IF(AND(Base_Periodo1[[#This Row],[Tipo_Linha]]="-",Base_Periodo1[[#This Row],[TIPOSALDO]]="D"),Base_Periodo1[[#This Row],[SALDO_ATUAL]]*-1,Base_Periodo1[[#This Row],[SALDO_ATUAL]]),4)</f>
        <v>13604.92</v>
      </c>
      <c r="N76" t="s">
        <v>116</v>
      </c>
      <c r="O76" t="s">
        <v>397</v>
      </c>
      <c r="P76" t="s">
        <v>397</v>
      </c>
      <c r="Q76">
        <v>7</v>
      </c>
      <c r="R76" s="225">
        <f>Base_Periodo1[[#This Row],[CREDITOS]]-Base_Periodo1[[#This Row],[DEBITOS]]</f>
        <v>-9316.24</v>
      </c>
      <c r="S76" s="3" t="str">
        <f>IF(ISERROR(VLOOKUP(Base_Periodo1[[#This Row],[CONTA]],BaseContasDRE[#All],4,FALSE)),"Fora do DRE",VLOOKUP(Base_Periodo1[[#This Row],[CONTA]],BaseContasDRE[#All],4,FALSE))</f>
        <v>Fora do DRE</v>
      </c>
      <c r="T76" s="3" t="str">
        <f>IF(ISERROR(VLOOKUP(Base_Periodo1[[#This Row],[CONTA]],BaseContasDRE[#All],5,FALSE)),"Fora do DRE",VLOOKUP(Base_Periodo1[[#This Row],[CONTA]],BaseContasDRE[#All],6,FALSE))</f>
        <v>Fora do DRE</v>
      </c>
      <c r="U76" s="3" t="str">
        <f>IF(ISERROR(VLOOKUP(Base_Periodo1[[#This Row],[CONTA]],BaseContasDRE[#All],7,FALSE)),"Fora do DRE",VLOOKUP(Base_Periodo1[[#This Row],[CONTA]],BaseContasDRE[#All],7,FALSE))</f>
        <v>Fora do DRE</v>
      </c>
      <c r="V76" s="3" t="str">
        <f>IF(Base_Periodo1[[#This Row],[Tipo_Linha]]="Fora do DRE","Fora do DRE","( "&amp;Base_Periodo1[[#This Row],[Tipo_Linha]]&amp;" ) "&amp;Base_Periodo1[[#This Row],[Filtro]])</f>
        <v>Fora do DRE</v>
      </c>
      <c r="W76" s="3" t="str">
        <f>LEFT(Base_Periodo1[[#This Row],[CLASS]],3)</f>
        <v>1.1</v>
      </c>
    </row>
    <row r="77" spans="1:23" hidden="1">
      <c r="A77" s="3" t="str">
        <f t="shared" si="1"/>
        <v>Período 1</v>
      </c>
      <c r="B77">
        <v>49566</v>
      </c>
      <c r="C77" t="s">
        <v>503</v>
      </c>
      <c r="D77" t="s">
        <v>923</v>
      </c>
      <c r="E77" s="3" t="str">
        <f>IF(LEN(Base_Periodo1[[#This Row],[CLASS]])&gt;=7,LEFT(Base_Periodo1[[#This Row],[CLASS]],7),"")</f>
        <v>1.1.2.1</v>
      </c>
      <c r="F77" s="3" t="str">
        <f>VLOOKUP(Base_Periodo1[[#This Row],[Aux]],Base_Contas_Balanco[#All],2,FALSE)</f>
        <v>Creditos com Cooperados</v>
      </c>
      <c r="G77" s="1">
        <v>42879</v>
      </c>
      <c r="H77" s="225">
        <v>1397.0000000000073</v>
      </c>
      <c r="I77" s="225">
        <v>12290</v>
      </c>
      <c r="J77" s="225">
        <v>7957.68</v>
      </c>
      <c r="K77" s="225">
        <v>5729.320000000007</v>
      </c>
      <c r="L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5729.32</v>
      </c>
      <c r="M77" s="225">
        <f>ROUND(IF(AND(Base_Periodo1[[#This Row],[Tipo_Linha]]="-",Base_Periodo1[[#This Row],[TIPOSALDO]]="D"),Base_Periodo1[[#This Row],[SALDO_ATUAL]]*-1,Base_Periodo1[[#This Row],[SALDO_ATUAL]]),4)</f>
        <v>5729.32</v>
      </c>
      <c r="N77" t="s">
        <v>116</v>
      </c>
      <c r="O77" t="s">
        <v>397</v>
      </c>
      <c r="P77" t="s">
        <v>397</v>
      </c>
      <c r="Q77">
        <v>7</v>
      </c>
      <c r="R77" s="225">
        <f>Base_Periodo1[[#This Row],[CREDITOS]]-Base_Periodo1[[#This Row],[DEBITOS]]</f>
        <v>-4332.32</v>
      </c>
      <c r="S77" s="3" t="str">
        <f>IF(ISERROR(VLOOKUP(Base_Periodo1[[#This Row],[CONTA]],BaseContasDRE[#All],4,FALSE)),"Fora do DRE",VLOOKUP(Base_Periodo1[[#This Row],[CONTA]],BaseContasDRE[#All],4,FALSE))</f>
        <v>Fora do DRE</v>
      </c>
      <c r="T77" s="3" t="str">
        <f>IF(ISERROR(VLOOKUP(Base_Periodo1[[#This Row],[CONTA]],BaseContasDRE[#All],5,FALSE)),"Fora do DRE",VLOOKUP(Base_Periodo1[[#This Row],[CONTA]],BaseContasDRE[#All],6,FALSE))</f>
        <v>Fora do DRE</v>
      </c>
      <c r="U77" s="3" t="str">
        <f>IF(ISERROR(VLOOKUP(Base_Periodo1[[#This Row],[CONTA]],BaseContasDRE[#All],7,FALSE)),"Fora do DRE",VLOOKUP(Base_Periodo1[[#This Row],[CONTA]],BaseContasDRE[#All],7,FALSE))</f>
        <v>Fora do DRE</v>
      </c>
      <c r="V77" s="3" t="str">
        <f>IF(Base_Periodo1[[#This Row],[Tipo_Linha]]="Fora do DRE","Fora do DRE","( "&amp;Base_Periodo1[[#This Row],[Tipo_Linha]]&amp;" ) "&amp;Base_Periodo1[[#This Row],[Filtro]])</f>
        <v>Fora do DRE</v>
      </c>
      <c r="W77" s="3" t="str">
        <f>LEFT(Base_Periodo1[[#This Row],[CLASS]],3)</f>
        <v>1.1</v>
      </c>
    </row>
    <row r="78" spans="1:23" hidden="1">
      <c r="A78" s="3" t="str">
        <f t="shared" si="1"/>
        <v>Período 1</v>
      </c>
      <c r="B78">
        <v>4612</v>
      </c>
      <c r="C78" t="s">
        <v>503</v>
      </c>
      <c r="D78" t="s">
        <v>5261</v>
      </c>
      <c r="E78" s="3" t="str">
        <f>IF(LEN(Base_Periodo1[[#This Row],[CLASS]])&gt;=7,LEFT(Base_Periodo1[[#This Row],[CLASS]],7),"")</f>
        <v>1.1.2.1</v>
      </c>
      <c r="F78" s="3" t="str">
        <f>VLOOKUP(Base_Periodo1[[#This Row],[Aux]],Base_Contas_Balanco[#All],2,FALSE)</f>
        <v>Creditos com Cooperados</v>
      </c>
      <c r="G78" s="1">
        <v>42851</v>
      </c>
      <c r="H78" s="225">
        <v>31842.29999999993</v>
      </c>
      <c r="I78" s="225">
        <v>0</v>
      </c>
      <c r="J78" s="225">
        <v>0</v>
      </c>
      <c r="K78" s="225">
        <v>31842.29999999993</v>
      </c>
      <c r="L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31842.3</v>
      </c>
      <c r="M78" s="225">
        <f>ROUND(IF(AND(Base_Periodo1[[#This Row],[Tipo_Linha]]="-",Base_Periodo1[[#This Row],[TIPOSALDO]]="D"),Base_Periodo1[[#This Row],[SALDO_ATUAL]]*-1,Base_Periodo1[[#This Row],[SALDO_ATUAL]]),4)</f>
        <v>31842.3</v>
      </c>
      <c r="N78" t="s">
        <v>116</v>
      </c>
      <c r="O78" t="s">
        <v>397</v>
      </c>
      <c r="P78" t="s">
        <v>397</v>
      </c>
      <c r="Q78">
        <v>7</v>
      </c>
      <c r="R78" s="225">
        <f>Base_Periodo1[[#This Row],[CREDITOS]]-Base_Periodo1[[#This Row],[DEBITOS]]</f>
        <v>0</v>
      </c>
      <c r="S78" s="3" t="str">
        <f>IF(ISERROR(VLOOKUP(Base_Periodo1[[#This Row],[CONTA]],BaseContasDRE[#All],4,FALSE)),"Fora do DRE",VLOOKUP(Base_Periodo1[[#This Row],[CONTA]],BaseContasDRE[#All],4,FALSE))</f>
        <v>Fora do DRE</v>
      </c>
      <c r="T78" s="3" t="str">
        <f>IF(ISERROR(VLOOKUP(Base_Periodo1[[#This Row],[CONTA]],BaseContasDRE[#All],5,FALSE)),"Fora do DRE",VLOOKUP(Base_Periodo1[[#This Row],[CONTA]],BaseContasDRE[#All],6,FALSE))</f>
        <v>Fora do DRE</v>
      </c>
      <c r="U78" s="3" t="str">
        <f>IF(ISERROR(VLOOKUP(Base_Periodo1[[#This Row],[CONTA]],BaseContasDRE[#All],7,FALSE)),"Fora do DRE",VLOOKUP(Base_Periodo1[[#This Row],[CONTA]],BaseContasDRE[#All],7,FALSE))</f>
        <v>Fora do DRE</v>
      </c>
      <c r="V78" s="3" t="str">
        <f>IF(Base_Periodo1[[#This Row],[Tipo_Linha]]="Fora do DRE","Fora do DRE","( "&amp;Base_Periodo1[[#This Row],[Tipo_Linha]]&amp;" ) "&amp;Base_Periodo1[[#This Row],[Filtro]])</f>
        <v>Fora do DRE</v>
      </c>
      <c r="W78" s="3" t="str">
        <f>LEFT(Base_Periodo1[[#This Row],[CLASS]],3)</f>
        <v>1.1</v>
      </c>
    </row>
    <row r="79" spans="1:23" hidden="1">
      <c r="A79" s="3" t="str">
        <f t="shared" si="1"/>
        <v>Período 1</v>
      </c>
      <c r="B79">
        <v>4860</v>
      </c>
      <c r="C79" t="s">
        <v>503</v>
      </c>
      <c r="D79" t="s">
        <v>505</v>
      </c>
      <c r="E79" s="3" t="str">
        <f>IF(LEN(Base_Periodo1[[#This Row],[CLASS]])&gt;=7,LEFT(Base_Periodo1[[#This Row],[CLASS]],7),"")</f>
        <v>1.1.2.1</v>
      </c>
      <c r="F79" s="3" t="str">
        <f>VLOOKUP(Base_Periodo1[[#This Row],[Aux]],Base_Contas_Balanco[#All],2,FALSE)</f>
        <v>Creditos com Cooperados</v>
      </c>
      <c r="G79" s="1">
        <v>42886</v>
      </c>
      <c r="H79" s="225">
        <v>12527.080000000031</v>
      </c>
      <c r="I79" s="225">
        <v>7153.1800000000012</v>
      </c>
      <c r="J79" s="225">
        <v>11468.95</v>
      </c>
      <c r="K79" s="225">
        <v>8211.3100000000304</v>
      </c>
      <c r="L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8211.31</v>
      </c>
      <c r="M79" s="225">
        <f>ROUND(IF(AND(Base_Periodo1[[#This Row],[Tipo_Linha]]="-",Base_Periodo1[[#This Row],[TIPOSALDO]]="D"),Base_Periodo1[[#This Row],[SALDO_ATUAL]]*-1,Base_Periodo1[[#This Row],[SALDO_ATUAL]]),4)</f>
        <v>8211.31</v>
      </c>
      <c r="N79" t="s">
        <v>116</v>
      </c>
      <c r="O79" t="s">
        <v>397</v>
      </c>
      <c r="P79" t="s">
        <v>397</v>
      </c>
      <c r="Q79">
        <v>7</v>
      </c>
      <c r="R79" s="225">
        <f>Base_Periodo1[[#This Row],[CREDITOS]]-Base_Periodo1[[#This Row],[DEBITOS]]</f>
        <v>4315.7699999999995</v>
      </c>
      <c r="S79" s="3" t="str">
        <f>IF(ISERROR(VLOOKUP(Base_Periodo1[[#This Row],[CONTA]],BaseContasDRE[#All],4,FALSE)),"Fora do DRE",VLOOKUP(Base_Periodo1[[#This Row],[CONTA]],BaseContasDRE[#All],4,FALSE))</f>
        <v>Fora do DRE</v>
      </c>
      <c r="T79" s="3" t="str">
        <f>IF(ISERROR(VLOOKUP(Base_Periodo1[[#This Row],[CONTA]],BaseContasDRE[#All],5,FALSE)),"Fora do DRE",VLOOKUP(Base_Periodo1[[#This Row],[CONTA]],BaseContasDRE[#All],6,FALSE))</f>
        <v>Fora do DRE</v>
      </c>
      <c r="U79" s="3" t="str">
        <f>IF(ISERROR(VLOOKUP(Base_Periodo1[[#This Row],[CONTA]],BaseContasDRE[#All],7,FALSE)),"Fora do DRE",VLOOKUP(Base_Periodo1[[#This Row],[CONTA]],BaseContasDRE[#All],7,FALSE))</f>
        <v>Fora do DRE</v>
      </c>
      <c r="V79" s="3" t="str">
        <f>IF(Base_Periodo1[[#This Row],[Tipo_Linha]]="Fora do DRE","Fora do DRE","( "&amp;Base_Periodo1[[#This Row],[Tipo_Linha]]&amp;" ) "&amp;Base_Periodo1[[#This Row],[Filtro]])</f>
        <v>Fora do DRE</v>
      </c>
      <c r="W79" s="3" t="str">
        <f>LEFT(Base_Periodo1[[#This Row],[CLASS]],3)</f>
        <v>1.1</v>
      </c>
    </row>
    <row r="80" spans="1:23" hidden="1">
      <c r="A80" s="3" t="str">
        <f t="shared" si="1"/>
        <v>Período 1</v>
      </c>
      <c r="B80">
        <v>40302</v>
      </c>
      <c r="C80" t="s">
        <v>503</v>
      </c>
      <c r="D80" t="s">
        <v>5124</v>
      </c>
      <c r="E80" s="3" t="str">
        <f>IF(LEN(Base_Periodo1[[#This Row],[CLASS]])&gt;=7,LEFT(Base_Periodo1[[#This Row],[CLASS]],7),"")</f>
        <v>1.1.2.1</v>
      </c>
      <c r="F80" s="3" t="str">
        <f>VLOOKUP(Base_Periodo1[[#This Row],[Aux]],Base_Contas_Balanco[#All],2,FALSE)</f>
        <v>Creditos com Cooperados</v>
      </c>
      <c r="G80" s="1">
        <v>42835</v>
      </c>
      <c r="H80" s="225">
        <v>224.00000000001455</v>
      </c>
      <c r="I80" s="225">
        <v>0</v>
      </c>
      <c r="J80" s="225">
        <v>0</v>
      </c>
      <c r="K80" s="225">
        <v>224.00000000001455</v>
      </c>
      <c r="L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224</v>
      </c>
      <c r="M80" s="225">
        <f>ROUND(IF(AND(Base_Periodo1[[#This Row],[Tipo_Linha]]="-",Base_Periodo1[[#This Row],[TIPOSALDO]]="D"),Base_Periodo1[[#This Row],[SALDO_ATUAL]]*-1,Base_Periodo1[[#This Row],[SALDO_ATUAL]]),4)</f>
        <v>224</v>
      </c>
      <c r="N80" t="s">
        <v>116</v>
      </c>
      <c r="O80" t="s">
        <v>397</v>
      </c>
      <c r="P80" t="s">
        <v>397</v>
      </c>
      <c r="Q80">
        <v>7</v>
      </c>
      <c r="R80" s="225">
        <f>Base_Periodo1[[#This Row],[CREDITOS]]-Base_Periodo1[[#This Row],[DEBITOS]]</f>
        <v>0</v>
      </c>
      <c r="S80" s="3" t="str">
        <f>IF(ISERROR(VLOOKUP(Base_Periodo1[[#This Row],[CONTA]],BaseContasDRE[#All],4,FALSE)),"Fora do DRE",VLOOKUP(Base_Periodo1[[#This Row],[CONTA]],BaseContasDRE[#All],4,FALSE))</f>
        <v>Fora do DRE</v>
      </c>
      <c r="T80" s="3" t="str">
        <f>IF(ISERROR(VLOOKUP(Base_Periodo1[[#This Row],[CONTA]],BaseContasDRE[#All],5,FALSE)),"Fora do DRE",VLOOKUP(Base_Periodo1[[#This Row],[CONTA]],BaseContasDRE[#All],6,FALSE))</f>
        <v>Fora do DRE</v>
      </c>
      <c r="U80" s="3" t="str">
        <f>IF(ISERROR(VLOOKUP(Base_Periodo1[[#This Row],[CONTA]],BaseContasDRE[#All],7,FALSE)),"Fora do DRE",VLOOKUP(Base_Periodo1[[#This Row],[CONTA]],BaseContasDRE[#All],7,FALSE))</f>
        <v>Fora do DRE</v>
      </c>
      <c r="V80" s="3" t="str">
        <f>IF(Base_Periodo1[[#This Row],[Tipo_Linha]]="Fora do DRE","Fora do DRE","( "&amp;Base_Periodo1[[#This Row],[Tipo_Linha]]&amp;" ) "&amp;Base_Periodo1[[#This Row],[Filtro]])</f>
        <v>Fora do DRE</v>
      </c>
      <c r="W80" s="3" t="str">
        <f>LEFT(Base_Periodo1[[#This Row],[CLASS]],3)</f>
        <v>1.1</v>
      </c>
    </row>
    <row r="81" spans="1:23" hidden="1">
      <c r="A81" s="3" t="str">
        <f t="shared" si="1"/>
        <v>Período 1</v>
      </c>
      <c r="B81">
        <v>4728</v>
      </c>
      <c r="C81" t="s">
        <v>503</v>
      </c>
      <c r="D81" t="s">
        <v>5476</v>
      </c>
      <c r="E81" s="3" t="str">
        <f>IF(LEN(Base_Periodo1[[#This Row],[CLASS]])&gt;=7,LEFT(Base_Periodo1[[#This Row],[CLASS]],7),"")</f>
        <v>1.1.2.1</v>
      </c>
      <c r="F81" s="3" t="str">
        <f>VLOOKUP(Base_Periodo1[[#This Row],[Aux]],Base_Contas_Balanco[#All],2,FALSE)</f>
        <v>Creditos com Cooperados</v>
      </c>
      <c r="G81" s="1">
        <v>42884</v>
      </c>
      <c r="H81" s="225">
        <v>5669.5</v>
      </c>
      <c r="I81" s="225">
        <v>900</v>
      </c>
      <c r="J81" s="225">
        <v>6569.5</v>
      </c>
      <c r="K81" s="225">
        <v>0</v>
      </c>
      <c r="L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1" s="225">
        <f>ROUND(IF(AND(Base_Periodo1[[#This Row],[Tipo_Linha]]="-",Base_Periodo1[[#This Row],[TIPOSALDO]]="D"),Base_Periodo1[[#This Row],[SALDO_ATUAL]]*-1,Base_Periodo1[[#This Row],[SALDO_ATUAL]]),4)</f>
        <v>0</v>
      </c>
      <c r="N81" t="s">
        <v>116</v>
      </c>
      <c r="O81" t="s">
        <v>397</v>
      </c>
      <c r="P81" t="s">
        <v>436</v>
      </c>
      <c r="Q81">
        <v>7</v>
      </c>
      <c r="R81" s="225">
        <f>Base_Periodo1[[#This Row],[CREDITOS]]-Base_Periodo1[[#This Row],[DEBITOS]]</f>
        <v>5669.5</v>
      </c>
      <c r="S81" s="3" t="str">
        <f>IF(ISERROR(VLOOKUP(Base_Periodo1[[#This Row],[CONTA]],BaseContasDRE[#All],4,FALSE)),"Fora do DRE",VLOOKUP(Base_Periodo1[[#This Row],[CONTA]],BaseContasDRE[#All],4,FALSE))</f>
        <v>Fora do DRE</v>
      </c>
      <c r="T81" s="3" t="str">
        <f>IF(ISERROR(VLOOKUP(Base_Periodo1[[#This Row],[CONTA]],BaseContasDRE[#All],5,FALSE)),"Fora do DRE",VLOOKUP(Base_Periodo1[[#This Row],[CONTA]],BaseContasDRE[#All],6,FALSE))</f>
        <v>Fora do DRE</v>
      </c>
      <c r="U81" s="3" t="str">
        <f>IF(ISERROR(VLOOKUP(Base_Periodo1[[#This Row],[CONTA]],BaseContasDRE[#All],7,FALSE)),"Fora do DRE",VLOOKUP(Base_Periodo1[[#This Row],[CONTA]],BaseContasDRE[#All],7,FALSE))</f>
        <v>Fora do DRE</v>
      </c>
      <c r="V81" s="3" t="str">
        <f>IF(Base_Periodo1[[#This Row],[Tipo_Linha]]="Fora do DRE","Fora do DRE","( "&amp;Base_Periodo1[[#This Row],[Tipo_Linha]]&amp;" ) "&amp;Base_Periodo1[[#This Row],[Filtro]])</f>
        <v>Fora do DRE</v>
      </c>
      <c r="W81" s="3" t="str">
        <f>LEFT(Base_Periodo1[[#This Row],[CLASS]],3)</f>
        <v>1.1</v>
      </c>
    </row>
    <row r="82" spans="1:23" hidden="1">
      <c r="A82" s="3" t="str">
        <f t="shared" si="1"/>
        <v>Período 1</v>
      </c>
      <c r="B82">
        <v>13160</v>
      </c>
      <c r="C82" t="s">
        <v>503</v>
      </c>
      <c r="D82" t="s">
        <v>506</v>
      </c>
      <c r="E82" s="3" t="str">
        <f>IF(LEN(Base_Periodo1[[#This Row],[CLASS]])&gt;=7,LEFT(Base_Periodo1[[#This Row],[CLASS]],7),"")</f>
        <v>1.1.2.1</v>
      </c>
      <c r="F82" s="3" t="str">
        <f>VLOOKUP(Base_Periodo1[[#This Row],[Aux]],Base_Contas_Balanco[#All],2,FALSE)</f>
        <v>Creditos com Cooperados</v>
      </c>
      <c r="G82" s="1">
        <v>42863</v>
      </c>
      <c r="H82" s="225">
        <v>6757</v>
      </c>
      <c r="I82" s="225">
        <v>0</v>
      </c>
      <c r="J82" s="225">
        <v>6757</v>
      </c>
      <c r="K82" s="225">
        <v>0</v>
      </c>
      <c r="L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2" s="225">
        <f>ROUND(IF(AND(Base_Periodo1[[#This Row],[Tipo_Linha]]="-",Base_Periodo1[[#This Row],[TIPOSALDO]]="D"),Base_Periodo1[[#This Row],[SALDO_ATUAL]]*-1,Base_Periodo1[[#This Row],[SALDO_ATUAL]]),4)</f>
        <v>0</v>
      </c>
      <c r="N82" t="s">
        <v>116</v>
      </c>
      <c r="O82" t="s">
        <v>397</v>
      </c>
      <c r="P82" t="s">
        <v>436</v>
      </c>
      <c r="Q82">
        <v>7</v>
      </c>
      <c r="R82" s="225">
        <f>Base_Periodo1[[#This Row],[CREDITOS]]-Base_Periodo1[[#This Row],[DEBITOS]]</f>
        <v>6757</v>
      </c>
      <c r="S82" s="3" t="str">
        <f>IF(ISERROR(VLOOKUP(Base_Periodo1[[#This Row],[CONTA]],BaseContasDRE[#All],4,FALSE)),"Fora do DRE",VLOOKUP(Base_Periodo1[[#This Row],[CONTA]],BaseContasDRE[#All],4,FALSE))</f>
        <v>Fora do DRE</v>
      </c>
      <c r="T82" s="3" t="str">
        <f>IF(ISERROR(VLOOKUP(Base_Periodo1[[#This Row],[CONTA]],BaseContasDRE[#All],5,FALSE)),"Fora do DRE",VLOOKUP(Base_Periodo1[[#This Row],[CONTA]],BaseContasDRE[#All],6,FALSE))</f>
        <v>Fora do DRE</v>
      </c>
      <c r="U82" s="3" t="str">
        <f>IF(ISERROR(VLOOKUP(Base_Periodo1[[#This Row],[CONTA]],BaseContasDRE[#All],7,FALSE)),"Fora do DRE",VLOOKUP(Base_Periodo1[[#This Row],[CONTA]],BaseContasDRE[#All],7,FALSE))</f>
        <v>Fora do DRE</v>
      </c>
      <c r="V82" s="3" t="str">
        <f>IF(Base_Periodo1[[#This Row],[Tipo_Linha]]="Fora do DRE","Fora do DRE","( "&amp;Base_Periodo1[[#This Row],[Tipo_Linha]]&amp;" ) "&amp;Base_Periodo1[[#This Row],[Filtro]])</f>
        <v>Fora do DRE</v>
      </c>
      <c r="W82" s="3" t="str">
        <f>LEFT(Base_Periodo1[[#This Row],[CLASS]],3)</f>
        <v>1.1</v>
      </c>
    </row>
    <row r="83" spans="1:23" hidden="1">
      <c r="A83" s="3" t="str">
        <f t="shared" si="1"/>
        <v>Período 1</v>
      </c>
      <c r="B83">
        <v>2916</v>
      </c>
      <c r="C83" t="s">
        <v>503</v>
      </c>
      <c r="D83" t="s">
        <v>507</v>
      </c>
      <c r="E83" s="3" t="str">
        <f>IF(LEN(Base_Periodo1[[#This Row],[CLASS]])&gt;=7,LEFT(Base_Periodo1[[#This Row],[CLASS]],7),"")</f>
        <v>1.1.2.1</v>
      </c>
      <c r="F83" s="3" t="str">
        <f>VLOOKUP(Base_Periodo1[[#This Row],[Aux]],Base_Contas_Balanco[#All],2,FALSE)</f>
        <v>Creditos com Cooperados</v>
      </c>
      <c r="G83" s="1">
        <v>42881</v>
      </c>
      <c r="H83" s="225">
        <v>26787.25</v>
      </c>
      <c r="I83" s="225">
        <v>6512.54</v>
      </c>
      <c r="J83" s="225">
        <v>507.27000000000004</v>
      </c>
      <c r="K83" s="225">
        <v>32792.520000000004</v>
      </c>
      <c r="L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32792.519999999997</v>
      </c>
      <c r="M83" s="225">
        <f>ROUND(IF(AND(Base_Periodo1[[#This Row],[Tipo_Linha]]="-",Base_Periodo1[[#This Row],[TIPOSALDO]]="D"),Base_Periodo1[[#This Row],[SALDO_ATUAL]]*-1,Base_Periodo1[[#This Row],[SALDO_ATUAL]]),4)</f>
        <v>32792.519999999997</v>
      </c>
      <c r="N83" t="s">
        <v>116</v>
      </c>
      <c r="O83" t="s">
        <v>397</v>
      </c>
      <c r="P83" t="s">
        <v>397</v>
      </c>
      <c r="Q83">
        <v>7</v>
      </c>
      <c r="R83" s="225">
        <f>Base_Periodo1[[#This Row],[CREDITOS]]-Base_Periodo1[[#This Row],[DEBITOS]]</f>
        <v>-6005.2699999999995</v>
      </c>
      <c r="S83" s="3" t="str">
        <f>IF(ISERROR(VLOOKUP(Base_Periodo1[[#This Row],[CONTA]],BaseContasDRE[#All],4,FALSE)),"Fora do DRE",VLOOKUP(Base_Periodo1[[#This Row],[CONTA]],BaseContasDRE[#All],4,FALSE))</f>
        <v>Fora do DRE</v>
      </c>
      <c r="T83" s="3" t="str">
        <f>IF(ISERROR(VLOOKUP(Base_Periodo1[[#This Row],[CONTA]],BaseContasDRE[#All],5,FALSE)),"Fora do DRE",VLOOKUP(Base_Periodo1[[#This Row],[CONTA]],BaseContasDRE[#All],6,FALSE))</f>
        <v>Fora do DRE</v>
      </c>
      <c r="U83" s="3" t="str">
        <f>IF(ISERROR(VLOOKUP(Base_Periodo1[[#This Row],[CONTA]],BaseContasDRE[#All],7,FALSE)),"Fora do DRE",VLOOKUP(Base_Periodo1[[#This Row],[CONTA]],BaseContasDRE[#All],7,FALSE))</f>
        <v>Fora do DRE</v>
      </c>
      <c r="V83" s="3" t="str">
        <f>IF(Base_Periodo1[[#This Row],[Tipo_Linha]]="Fora do DRE","Fora do DRE","( "&amp;Base_Periodo1[[#This Row],[Tipo_Linha]]&amp;" ) "&amp;Base_Periodo1[[#This Row],[Filtro]])</f>
        <v>Fora do DRE</v>
      </c>
      <c r="W83" s="3" t="str">
        <f>LEFT(Base_Periodo1[[#This Row],[CLASS]],3)</f>
        <v>1.1</v>
      </c>
    </row>
    <row r="84" spans="1:23" hidden="1">
      <c r="A84" s="3" t="str">
        <f t="shared" si="1"/>
        <v>Período 1</v>
      </c>
      <c r="B84">
        <v>16606</v>
      </c>
      <c r="C84" t="s">
        <v>503</v>
      </c>
      <c r="D84" t="s">
        <v>6111</v>
      </c>
      <c r="E84" s="3" t="str">
        <f>IF(LEN(Base_Periodo1[[#This Row],[CLASS]])&gt;=7,LEFT(Base_Periodo1[[#This Row],[CLASS]],7),"")</f>
        <v>1.1.2.1</v>
      </c>
      <c r="F84" s="3" t="str">
        <f>VLOOKUP(Base_Periodo1[[#This Row],[Aux]],Base_Contas_Balanco[#All],2,FALSE)</f>
        <v>Creditos com Cooperados</v>
      </c>
      <c r="G84" s="1">
        <v>42857</v>
      </c>
      <c r="H84" s="225">
        <v>191.99999999999955</v>
      </c>
      <c r="I84" s="225">
        <v>0</v>
      </c>
      <c r="J84" s="225">
        <v>192</v>
      </c>
      <c r="K84" s="225">
        <v>-4.5474735088646412E-13</v>
      </c>
      <c r="L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4" s="225">
        <f>ROUND(IF(AND(Base_Periodo1[[#This Row],[Tipo_Linha]]="-",Base_Periodo1[[#This Row],[TIPOSALDO]]="D"),Base_Periodo1[[#This Row],[SALDO_ATUAL]]*-1,Base_Periodo1[[#This Row],[SALDO_ATUAL]]),4)</f>
        <v>0</v>
      </c>
      <c r="N84" t="s">
        <v>116</v>
      </c>
      <c r="O84" t="s">
        <v>397</v>
      </c>
      <c r="P84" t="s">
        <v>436</v>
      </c>
      <c r="Q84">
        <v>7</v>
      </c>
      <c r="R84" s="225">
        <f>Base_Periodo1[[#This Row],[CREDITOS]]-Base_Periodo1[[#This Row],[DEBITOS]]</f>
        <v>192</v>
      </c>
      <c r="S84" s="3" t="str">
        <f>IF(ISERROR(VLOOKUP(Base_Periodo1[[#This Row],[CONTA]],BaseContasDRE[#All],4,FALSE)),"Fora do DRE",VLOOKUP(Base_Periodo1[[#This Row],[CONTA]],BaseContasDRE[#All],4,FALSE))</f>
        <v>Fora do DRE</v>
      </c>
      <c r="T84" s="3" t="str">
        <f>IF(ISERROR(VLOOKUP(Base_Periodo1[[#This Row],[CONTA]],BaseContasDRE[#All],5,FALSE)),"Fora do DRE",VLOOKUP(Base_Periodo1[[#This Row],[CONTA]],BaseContasDRE[#All],6,FALSE))</f>
        <v>Fora do DRE</v>
      </c>
      <c r="U84" s="3" t="str">
        <f>IF(ISERROR(VLOOKUP(Base_Periodo1[[#This Row],[CONTA]],BaseContasDRE[#All],7,FALSE)),"Fora do DRE",VLOOKUP(Base_Periodo1[[#This Row],[CONTA]],BaseContasDRE[#All],7,FALSE))</f>
        <v>Fora do DRE</v>
      </c>
      <c r="V84" s="3" t="str">
        <f>IF(Base_Periodo1[[#This Row],[Tipo_Linha]]="Fora do DRE","Fora do DRE","( "&amp;Base_Periodo1[[#This Row],[Tipo_Linha]]&amp;" ) "&amp;Base_Periodo1[[#This Row],[Filtro]])</f>
        <v>Fora do DRE</v>
      </c>
      <c r="W84" s="3" t="str">
        <f>LEFT(Base_Periodo1[[#This Row],[CLASS]],3)</f>
        <v>1.1</v>
      </c>
    </row>
    <row r="85" spans="1:23" hidden="1">
      <c r="A85" s="3" t="str">
        <f t="shared" si="1"/>
        <v>Período 1</v>
      </c>
      <c r="B85">
        <v>52941</v>
      </c>
      <c r="C85" t="s">
        <v>503</v>
      </c>
      <c r="D85" t="s">
        <v>4844</v>
      </c>
      <c r="E85" s="3" t="str">
        <f>IF(LEN(Base_Periodo1[[#This Row],[CLASS]])&gt;=7,LEFT(Base_Periodo1[[#This Row],[CLASS]],7),"")</f>
        <v>1.1.2.1</v>
      </c>
      <c r="F85" s="3" t="str">
        <f>VLOOKUP(Base_Periodo1[[#This Row],[Aux]],Base_Contas_Balanco[#All],2,FALSE)</f>
        <v>Creditos com Cooperados</v>
      </c>
      <c r="G85" s="1">
        <v>42832</v>
      </c>
      <c r="H85" s="225">
        <v>25510.290000000008</v>
      </c>
      <c r="I85" s="225">
        <v>0</v>
      </c>
      <c r="J85" s="225">
        <v>0</v>
      </c>
      <c r="K85" s="225">
        <v>25510.290000000008</v>
      </c>
      <c r="L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25510.29</v>
      </c>
      <c r="M85" s="225">
        <f>ROUND(IF(AND(Base_Periodo1[[#This Row],[Tipo_Linha]]="-",Base_Periodo1[[#This Row],[TIPOSALDO]]="D"),Base_Periodo1[[#This Row],[SALDO_ATUAL]]*-1,Base_Periodo1[[#This Row],[SALDO_ATUAL]]),4)</f>
        <v>25510.29</v>
      </c>
      <c r="N85" t="s">
        <v>116</v>
      </c>
      <c r="O85" t="s">
        <v>397</v>
      </c>
      <c r="P85" t="s">
        <v>397</v>
      </c>
      <c r="Q85">
        <v>7</v>
      </c>
      <c r="R85" s="225">
        <f>Base_Periodo1[[#This Row],[CREDITOS]]-Base_Periodo1[[#This Row],[DEBITOS]]</f>
        <v>0</v>
      </c>
      <c r="S85" s="3" t="str">
        <f>IF(ISERROR(VLOOKUP(Base_Periodo1[[#This Row],[CONTA]],BaseContasDRE[#All],4,FALSE)),"Fora do DRE",VLOOKUP(Base_Periodo1[[#This Row],[CONTA]],BaseContasDRE[#All],4,FALSE))</f>
        <v>Fora do DRE</v>
      </c>
      <c r="T85" s="3" t="str">
        <f>IF(ISERROR(VLOOKUP(Base_Periodo1[[#This Row],[CONTA]],BaseContasDRE[#All],5,FALSE)),"Fora do DRE",VLOOKUP(Base_Periodo1[[#This Row],[CONTA]],BaseContasDRE[#All],6,FALSE))</f>
        <v>Fora do DRE</v>
      </c>
      <c r="U85" s="3" t="str">
        <f>IF(ISERROR(VLOOKUP(Base_Periodo1[[#This Row],[CONTA]],BaseContasDRE[#All],7,FALSE)),"Fora do DRE",VLOOKUP(Base_Periodo1[[#This Row],[CONTA]],BaseContasDRE[#All],7,FALSE))</f>
        <v>Fora do DRE</v>
      </c>
      <c r="V85" s="3" t="str">
        <f>IF(Base_Periodo1[[#This Row],[Tipo_Linha]]="Fora do DRE","Fora do DRE","( "&amp;Base_Periodo1[[#This Row],[Tipo_Linha]]&amp;" ) "&amp;Base_Periodo1[[#This Row],[Filtro]])</f>
        <v>Fora do DRE</v>
      </c>
      <c r="W85" s="3" t="str">
        <f>LEFT(Base_Periodo1[[#This Row],[CLASS]],3)</f>
        <v>1.1</v>
      </c>
    </row>
    <row r="86" spans="1:23" hidden="1">
      <c r="A86" s="3" t="str">
        <f t="shared" si="1"/>
        <v>Período 1</v>
      </c>
      <c r="B86">
        <v>22797</v>
      </c>
      <c r="C86" t="s">
        <v>503</v>
      </c>
      <c r="D86" t="s">
        <v>509</v>
      </c>
      <c r="E86" s="3" t="str">
        <f>IF(LEN(Base_Periodo1[[#This Row],[CLASS]])&gt;=7,LEFT(Base_Periodo1[[#This Row],[CLASS]],7),"")</f>
        <v>1.1.2.1</v>
      </c>
      <c r="F86" s="3" t="str">
        <f>VLOOKUP(Base_Periodo1[[#This Row],[Aux]],Base_Contas_Balanco[#All],2,FALSE)</f>
        <v>Creditos com Cooperados</v>
      </c>
      <c r="G86" s="1">
        <v>42877</v>
      </c>
      <c r="H86" s="225">
        <v>2960.4300000000221</v>
      </c>
      <c r="I86" s="225">
        <v>13057.04</v>
      </c>
      <c r="J86" s="225">
        <v>16019.739999999998</v>
      </c>
      <c r="K86" s="225">
        <v>2.2699999999749707</v>
      </c>
      <c r="L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-2.27</v>
      </c>
      <c r="M86" s="225">
        <f>ROUND(IF(AND(Base_Periodo1[[#This Row],[Tipo_Linha]]="-",Base_Periodo1[[#This Row],[TIPOSALDO]]="D"),Base_Periodo1[[#This Row],[SALDO_ATUAL]]*-1,Base_Periodo1[[#This Row],[SALDO_ATUAL]]),4)</f>
        <v>2.27</v>
      </c>
      <c r="N86" t="s">
        <v>116</v>
      </c>
      <c r="O86" t="s">
        <v>397</v>
      </c>
      <c r="P86" t="s">
        <v>459</v>
      </c>
      <c r="Q86">
        <v>7</v>
      </c>
      <c r="R86" s="225">
        <f>Base_Periodo1[[#This Row],[CREDITOS]]-Base_Periodo1[[#This Row],[DEBITOS]]</f>
        <v>2962.6999999999971</v>
      </c>
      <c r="S86" s="3" t="str">
        <f>IF(ISERROR(VLOOKUP(Base_Periodo1[[#This Row],[CONTA]],BaseContasDRE[#All],4,FALSE)),"Fora do DRE",VLOOKUP(Base_Periodo1[[#This Row],[CONTA]],BaseContasDRE[#All],4,FALSE))</f>
        <v>Fora do DRE</v>
      </c>
      <c r="T86" s="3" t="str">
        <f>IF(ISERROR(VLOOKUP(Base_Periodo1[[#This Row],[CONTA]],BaseContasDRE[#All],5,FALSE)),"Fora do DRE",VLOOKUP(Base_Periodo1[[#This Row],[CONTA]],BaseContasDRE[#All],6,FALSE))</f>
        <v>Fora do DRE</v>
      </c>
      <c r="U86" s="3" t="str">
        <f>IF(ISERROR(VLOOKUP(Base_Periodo1[[#This Row],[CONTA]],BaseContasDRE[#All],7,FALSE)),"Fora do DRE",VLOOKUP(Base_Periodo1[[#This Row],[CONTA]],BaseContasDRE[#All],7,FALSE))</f>
        <v>Fora do DRE</v>
      </c>
      <c r="V86" s="3" t="str">
        <f>IF(Base_Periodo1[[#This Row],[Tipo_Linha]]="Fora do DRE","Fora do DRE","( "&amp;Base_Periodo1[[#This Row],[Tipo_Linha]]&amp;" ) "&amp;Base_Periodo1[[#This Row],[Filtro]])</f>
        <v>Fora do DRE</v>
      </c>
      <c r="W86" s="3" t="str">
        <f>LEFT(Base_Periodo1[[#This Row],[CLASS]],3)</f>
        <v>1.1</v>
      </c>
    </row>
    <row r="87" spans="1:23" hidden="1">
      <c r="A87" s="3" t="str">
        <f t="shared" si="1"/>
        <v>Período 1</v>
      </c>
      <c r="B87">
        <v>13132</v>
      </c>
      <c r="C87" t="s">
        <v>503</v>
      </c>
      <c r="D87" t="s">
        <v>5371</v>
      </c>
      <c r="E87" s="3" t="str">
        <f>IF(LEN(Base_Periodo1[[#This Row],[CLASS]])&gt;=7,LEFT(Base_Periodo1[[#This Row],[CLASS]],7),"")</f>
        <v>1.1.2.1</v>
      </c>
      <c r="F87" s="3" t="str">
        <f>VLOOKUP(Base_Periodo1[[#This Row],[Aux]],Base_Contas_Balanco[#All],2,FALSE)</f>
        <v>Creditos com Cooperados</v>
      </c>
      <c r="G87" s="1">
        <v>42879</v>
      </c>
      <c r="H87" s="225">
        <v>7110.7500000000146</v>
      </c>
      <c r="I87" s="225">
        <v>5591</v>
      </c>
      <c r="J87" s="225">
        <v>0</v>
      </c>
      <c r="K87" s="225">
        <v>12701.750000000015</v>
      </c>
      <c r="L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12701.75</v>
      </c>
      <c r="M87" s="225">
        <f>ROUND(IF(AND(Base_Periodo1[[#This Row],[Tipo_Linha]]="-",Base_Periodo1[[#This Row],[TIPOSALDO]]="D"),Base_Periodo1[[#This Row],[SALDO_ATUAL]]*-1,Base_Periodo1[[#This Row],[SALDO_ATUAL]]),4)</f>
        <v>12701.75</v>
      </c>
      <c r="N87" t="s">
        <v>116</v>
      </c>
      <c r="O87" t="s">
        <v>397</v>
      </c>
      <c r="P87" t="s">
        <v>397</v>
      </c>
      <c r="Q87">
        <v>7</v>
      </c>
      <c r="R87" s="225">
        <f>Base_Periodo1[[#This Row],[CREDITOS]]-Base_Periodo1[[#This Row],[DEBITOS]]</f>
        <v>-5591</v>
      </c>
      <c r="S87" s="3" t="str">
        <f>IF(ISERROR(VLOOKUP(Base_Periodo1[[#This Row],[CONTA]],BaseContasDRE[#All],4,FALSE)),"Fora do DRE",VLOOKUP(Base_Periodo1[[#This Row],[CONTA]],BaseContasDRE[#All],4,FALSE))</f>
        <v>Fora do DRE</v>
      </c>
      <c r="T87" s="3" t="str">
        <f>IF(ISERROR(VLOOKUP(Base_Periodo1[[#This Row],[CONTA]],BaseContasDRE[#All],5,FALSE)),"Fora do DRE",VLOOKUP(Base_Periodo1[[#This Row],[CONTA]],BaseContasDRE[#All],6,FALSE))</f>
        <v>Fora do DRE</v>
      </c>
      <c r="U87" s="3" t="str">
        <f>IF(ISERROR(VLOOKUP(Base_Periodo1[[#This Row],[CONTA]],BaseContasDRE[#All],7,FALSE)),"Fora do DRE",VLOOKUP(Base_Periodo1[[#This Row],[CONTA]],BaseContasDRE[#All],7,FALSE))</f>
        <v>Fora do DRE</v>
      </c>
      <c r="V87" s="3" t="str">
        <f>IF(Base_Periodo1[[#This Row],[Tipo_Linha]]="Fora do DRE","Fora do DRE","( "&amp;Base_Periodo1[[#This Row],[Tipo_Linha]]&amp;" ) "&amp;Base_Periodo1[[#This Row],[Filtro]])</f>
        <v>Fora do DRE</v>
      </c>
      <c r="W87" s="3" t="str">
        <f>LEFT(Base_Periodo1[[#This Row],[CLASS]],3)</f>
        <v>1.1</v>
      </c>
    </row>
    <row r="88" spans="1:23" hidden="1">
      <c r="A88" s="3" t="str">
        <f t="shared" si="1"/>
        <v>Período 1</v>
      </c>
      <c r="B88">
        <v>7093</v>
      </c>
      <c r="C88" t="s">
        <v>503</v>
      </c>
      <c r="D88" t="s">
        <v>510</v>
      </c>
      <c r="E88" s="3" t="str">
        <f>IF(LEN(Base_Periodo1[[#This Row],[CLASS]])&gt;=7,LEFT(Base_Periodo1[[#This Row],[CLASS]],7),"")</f>
        <v>1.1.2.1</v>
      </c>
      <c r="F88" s="3" t="str">
        <f>VLOOKUP(Base_Periodo1[[#This Row],[Aux]],Base_Contas_Balanco[#All],2,FALSE)</f>
        <v>Creditos com Cooperados</v>
      </c>
      <c r="G88" s="1">
        <v>42858</v>
      </c>
      <c r="H88" s="225">
        <v>84530.469999999856</v>
      </c>
      <c r="I88" s="225">
        <v>42.39</v>
      </c>
      <c r="J88" s="225">
        <v>84572.87999999999</v>
      </c>
      <c r="K88" s="225">
        <v>2.0000000135041773E-2</v>
      </c>
      <c r="L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-0.02</v>
      </c>
      <c r="M88" s="225">
        <f>ROUND(IF(AND(Base_Periodo1[[#This Row],[Tipo_Linha]]="-",Base_Periodo1[[#This Row],[TIPOSALDO]]="D"),Base_Periodo1[[#This Row],[SALDO_ATUAL]]*-1,Base_Periodo1[[#This Row],[SALDO_ATUAL]]),4)</f>
        <v>0.02</v>
      </c>
      <c r="N88" t="s">
        <v>116</v>
      </c>
      <c r="O88" t="s">
        <v>397</v>
      </c>
      <c r="P88" t="s">
        <v>459</v>
      </c>
      <c r="Q88">
        <v>7</v>
      </c>
      <c r="R88" s="225">
        <f>Base_Periodo1[[#This Row],[CREDITOS]]-Base_Periodo1[[#This Row],[DEBITOS]]</f>
        <v>84530.489999999991</v>
      </c>
      <c r="S88" s="3" t="str">
        <f>IF(ISERROR(VLOOKUP(Base_Periodo1[[#This Row],[CONTA]],BaseContasDRE[#All],4,FALSE)),"Fora do DRE",VLOOKUP(Base_Periodo1[[#This Row],[CONTA]],BaseContasDRE[#All],4,FALSE))</f>
        <v>Fora do DRE</v>
      </c>
      <c r="T88" s="3" t="str">
        <f>IF(ISERROR(VLOOKUP(Base_Periodo1[[#This Row],[CONTA]],BaseContasDRE[#All],5,FALSE)),"Fora do DRE",VLOOKUP(Base_Periodo1[[#This Row],[CONTA]],BaseContasDRE[#All],6,FALSE))</f>
        <v>Fora do DRE</v>
      </c>
      <c r="U88" s="3" t="str">
        <f>IF(ISERROR(VLOOKUP(Base_Periodo1[[#This Row],[CONTA]],BaseContasDRE[#All],7,FALSE)),"Fora do DRE",VLOOKUP(Base_Periodo1[[#This Row],[CONTA]],BaseContasDRE[#All],7,FALSE))</f>
        <v>Fora do DRE</v>
      </c>
      <c r="V88" s="3" t="str">
        <f>IF(Base_Periodo1[[#This Row],[Tipo_Linha]]="Fora do DRE","Fora do DRE","( "&amp;Base_Periodo1[[#This Row],[Tipo_Linha]]&amp;" ) "&amp;Base_Periodo1[[#This Row],[Filtro]])</f>
        <v>Fora do DRE</v>
      </c>
      <c r="W88" s="3" t="str">
        <f>LEFT(Base_Periodo1[[#This Row],[CLASS]],3)</f>
        <v>1.1</v>
      </c>
    </row>
    <row r="89" spans="1:23" hidden="1">
      <c r="A89" s="3" t="str">
        <f t="shared" si="1"/>
        <v>Período 1</v>
      </c>
      <c r="B89">
        <v>2748</v>
      </c>
      <c r="C89" t="s">
        <v>503</v>
      </c>
      <c r="D89" t="s">
        <v>511</v>
      </c>
      <c r="E89" s="3" t="str">
        <f>IF(LEN(Base_Periodo1[[#This Row],[CLASS]])&gt;=7,LEFT(Base_Periodo1[[#This Row],[CLASS]],7),"")</f>
        <v>1.1.2.1</v>
      </c>
      <c r="F89" s="3" t="str">
        <f>VLOOKUP(Base_Periodo1[[#This Row],[Aux]],Base_Contas_Balanco[#All],2,FALSE)</f>
        <v>Creditos com Cooperados</v>
      </c>
      <c r="G89" s="1">
        <v>42885</v>
      </c>
      <c r="H89" s="225">
        <v>520191.40000001155</v>
      </c>
      <c r="I89" s="225">
        <v>239319</v>
      </c>
      <c r="J89" s="225">
        <v>31620</v>
      </c>
      <c r="K89" s="225">
        <v>727890.40000001155</v>
      </c>
      <c r="L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727890.4</v>
      </c>
      <c r="M89" s="225">
        <f>ROUND(IF(AND(Base_Periodo1[[#This Row],[Tipo_Linha]]="-",Base_Periodo1[[#This Row],[TIPOSALDO]]="D"),Base_Periodo1[[#This Row],[SALDO_ATUAL]]*-1,Base_Periodo1[[#This Row],[SALDO_ATUAL]]),4)</f>
        <v>727890.4</v>
      </c>
      <c r="N89" t="s">
        <v>116</v>
      </c>
      <c r="O89" t="s">
        <v>397</v>
      </c>
      <c r="P89" t="s">
        <v>397</v>
      </c>
      <c r="Q89">
        <v>7</v>
      </c>
      <c r="R89" s="225">
        <f>Base_Periodo1[[#This Row],[CREDITOS]]-Base_Periodo1[[#This Row],[DEBITOS]]</f>
        <v>-207699</v>
      </c>
      <c r="S89" s="3" t="str">
        <f>IF(ISERROR(VLOOKUP(Base_Periodo1[[#This Row],[CONTA]],BaseContasDRE[#All],4,FALSE)),"Fora do DRE",VLOOKUP(Base_Periodo1[[#This Row],[CONTA]],BaseContasDRE[#All],4,FALSE))</f>
        <v>Fora do DRE</v>
      </c>
      <c r="T89" s="3" t="str">
        <f>IF(ISERROR(VLOOKUP(Base_Periodo1[[#This Row],[CONTA]],BaseContasDRE[#All],5,FALSE)),"Fora do DRE",VLOOKUP(Base_Periodo1[[#This Row],[CONTA]],BaseContasDRE[#All],6,FALSE))</f>
        <v>Fora do DRE</v>
      </c>
      <c r="U89" s="3" t="str">
        <f>IF(ISERROR(VLOOKUP(Base_Periodo1[[#This Row],[CONTA]],BaseContasDRE[#All],7,FALSE)),"Fora do DRE",VLOOKUP(Base_Periodo1[[#This Row],[CONTA]],BaseContasDRE[#All],7,FALSE))</f>
        <v>Fora do DRE</v>
      </c>
      <c r="V89" s="3" t="str">
        <f>IF(Base_Periodo1[[#This Row],[Tipo_Linha]]="Fora do DRE","Fora do DRE","( "&amp;Base_Periodo1[[#This Row],[Tipo_Linha]]&amp;" ) "&amp;Base_Periodo1[[#This Row],[Filtro]])</f>
        <v>Fora do DRE</v>
      </c>
      <c r="W89" s="3" t="str">
        <f>LEFT(Base_Periodo1[[#This Row],[CLASS]],3)</f>
        <v>1.1</v>
      </c>
    </row>
    <row r="90" spans="1:23" hidden="1">
      <c r="A90" s="3" t="str">
        <f t="shared" si="1"/>
        <v>Período 1</v>
      </c>
      <c r="B90">
        <v>46845</v>
      </c>
      <c r="C90" t="s">
        <v>503</v>
      </c>
      <c r="D90" t="s">
        <v>512</v>
      </c>
      <c r="E90" s="3" t="str">
        <f>IF(LEN(Base_Periodo1[[#This Row],[CLASS]])&gt;=7,LEFT(Base_Periodo1[[#This Row],[CLASS]],7),"")</f>
        <v>1.1.2.1</v>
      </c>
      <c r="F90" s="3" t="str">
        <f>VLOOKUP(Base_Periodo1[[#This Row],[Aux]],Base_Contas_Balanco[#All],2,FALSE)</f>
        <v>Creditos com Cooperados</v>
      </c>
      <c r="G90" s="1">
        <v>42858</v>
      </c>
      <c r="H90" s="225">
        <v>6570.4999999999854</v>
      </c>
      <c r="I90" s="225">
        <v>1303.46</v>
      </c>
      <c r="J90" s="225">
        <v>1303.46</v>
      </c>
      <c r="K90" s="225">
        <v>6570.4999999999854</v>
      </c>
      <c r="L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6570.5</v>
      </c>
      <c r="M90" s="225">
        <f>ROUND(IF(AND(Base_Periodo1[[#This Row],[Tipo_Linha]]="-",Base_Periodo1[[#This Row],[TIPOSALDO]]="D"),Base_Periodo1[[#This Row],[SALDO_ATUAL]]*-1,Base_Periodo1[[#This Row],[SALDO_ATUAL]]),4)</f>
        <v>6570.5</v>
      </c>
      <c r="N90" t="s">
        <v>116</v>
      </c>
      <c r="O90" t="s">
        <v>397</v>
      </c>
      <c r="P90" t="s">
        <v>397</v>
      </c>
      <c r="Q90">
        <v>7</v>
      </c>
      <c r="R90" s="225">
        <f>Base_Periodo1[[#This Row],[CREDITOS]]-Base_Periodo1[[#This Row],[DEBITOS]]</f>
        <v>0</v>
      </c>
      <c r="S90" s="3" t="str">
        <f>IF(ISERROR(VLOOKUP(Base_Periodo1[[#This Row],[CONTA]],BaseContasDRE[#All],4,FALSE)),"Fora do DRE",VLOOKUP(Base_Periodo1[[#This Row],[CONTA]],BaseContasDRE[#All],4,FALSE))</f>
        <v>Fora do DRE</v>
      </c>
      <c r="T90" s="3" t="str">
        <f>IF(ISERROR(VLOOKUP(Base_Periodo1[[#This Row],[CONTA]],BaseContasDRE[#All],5,FALSE)),"Fora do DRE",VLOOKUP(Base_Periodo1[[#This Row],[CONTA]],BaseContasDRE[#All],6,FALSE))</f>
        <v>Fora do DRE</v>
      </c>
      <c r="U90" s="3" t="str">
        <f>IF(ISERROR(VLOOKUP(Base_Periodo1[[#This Row],[CONTA]],BaseContasDRE[#All],7,FALSE)),"Fora do DRE",VLOOKUP(Base_Periodo1[[#This Row],[CONTA]],BaseContasDRE[#All],7,FALSE))</f>
        <v>Fora do DRE</v>
      </c>
      <c r="V90" s="3" t="str">
        <f>IF(Base_Periodo1[[#This Row],[Tipo_Linha]]="Fora do DRE","Fora do DRE","( "&amp;Base_Periodo1[[#This Row],[Tipo_Linha]]&amp;" ) "&amp;Base_Periodo1[[#This Row],[Filtro]])</f>
        <v>Fora do DRE</v>
      </c>
      <c r="W90" s="3" t="str">
        <f>LEFT(Base_Periodo1[[#This Row],[CLASS]],3)</f>
        <v>1.1</v>
      </c>
    </row>
    <row r="91" spans="1:23" hidden="1">
      <c r="A91" s="3" t="str">
        <f t="shared" si="1"/>
        <v>Período 1</v>
      </c>
      <c r="B91">
        <v>4208</v>
      </c>
      <c r="C91" t="s">
        <v>503</v>
      </c>
      <c r="D91" t="s">
        <v>4981</v>
      </c>
      <c r="E91" s="3" t="str">
        <f>IF(LEN(Base_Periodo1[[#This Row],[CLASS]])&gt;=7,LEFT(Base_Periodo1[[#This Row],[CLASS]],7),"")</f>
        <v>1.1.2.1</v>
      </c>
      <c r="F91" s="3" t="str">
        <f>VLOOKUP(Base_Periodo1[[#This Row],[Aux]],Base_Contas_Balanco[#All],2,FALSE)</f>
        <v>Creditos com Cooperados</v>
      </c>
      <c r="G91" s="1">
        <v>42885</v>
      </c>
      <c r="H91" s="225">
        <v>134207.08999999997</v>
      </c>
      <c r="I91" s="225">
        <v>4475</v>
      </c>
      <c r="J91" s="225">
        <v>115268.42000000001</v>
      </c>
      <c r="K91" s="225">
        <v>23413.669999999955</v>
      </c>
      <c r="L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23413.67</v>
      </c>
      <c r="M91" s="225">
        <f>ROUND(IF(AND(Base_Periodo1[[#This Row],[Tipo_Linha]]="-",Base_Periodo1[[#This Row],[TIPOSALDO]]="D"),Base_Periodo1[[#This Row],[SALDO_ATUAL]]*-1,Base_Periodo1[[#This Row],[SALDO_ATUAL]]),4)</f>
        <v>23413.67</v>
      </c>
      <c r="N91" t="s">
        <v>116</v>
      </c>
      <c r="O91" t="s">
        <v>397</v>
      </c>
      <c r="P91" t="s">
        <v>397</v>
      </c>
      <c r="Q91">
        <v>7</v>
      </c>
      <c r="R91" s="225">
        <f>Base_Periodo1[[#This Row],[CREDITOS]]-Base_Periodo1[[#This Row],[DEBITOS]]</f>
        <v>110793.42000000001</v>
      </c>
      <c r="S91" s="3" t="str">
        <f>IF(ISERROR(VLOOKUP(Base_Periodo1[[#This Row],[CONTA]],BaseContasDRE[#All],4,FALSE)),"Fora do DRE",VLOOKUP(Base_Periodo1[[#This Row],[CONTA]],BaseContasDRE[#All],4,FALSE))</f>
        <v>Fora do DRE</v>
      </c>
      <c r="T91" s="3" t="str">
        <f>IF(ISERROR(VLOOKUP(Base_Periodo1[[#This Row],[CONTA]],BaseContasDRE[#All],5,FALSE)),"Fora do DRE",VLOOKUP(Base_Periodo1[[#This Row],[CONTA]],BaseContasDRE[#All],6,FALSE))</f>
        <v>Fora do DRE</v>
      </c>
      <c r="U91" s="3" t="str">
        <f>IF(ISERROR(VLOOKUP(Base_Periodo1[[#This Row],[CONTA]],BaseContasDRE[#All],7,FALSE)),"Fora do DRE",VLOOKUP(Base_Periodo1[[#This Row],[CONTA]],BaseContasDRE[#All],7,FALSE))</f>
        <v>Fora do DRE</v>
      </c>
      <c r="V91" s="3" t="str">
        <f>IF(Base_Periodo1[[#This Row],[Tipo_Linha]]="Fora do DRE","Fora do DRE","( "&amp;Base_Periodo1[[#This Row],[Tipo_Linha]]&amp;" ) "&amp;Base_Periodo1[[#This Row],[Filtro]])</f>
        <v>Fora do DRE</v>
      </c>
      <c r="W91" s="3" t="str">
        <f>LEFT(Base_Periodo1[[#This Row],[CLASS]],3)</f>
        <v>1.1</v>
      </c>
    </row>
    <row r="92" spans="1:23" hidden="1">
      <c r="A92" s="3" t="str">
        <f t="shared" si="1"/>
        <v>Período 1</v>
      </c>
      <c r="B92">
        <v>39354</v>
      </c>
      <c r="C92" t="s">
        <v>503</v>
      </c>
      <c r="D92" t="s">
        <v>513</v>
      </c>
      <c r="E92" s="3" t="str">
        <f>IF(LEN(Base_Periodo1[[#This Row],[CLASS]])&gt;=7,LEFT(Base_Periodo1[[#This Row],[CLASS]],7),"")</f>
        <v>1.1.2.1</v>
      </c>
      <c r="F92" s="3" t="str">
        <f>VLOOKUP(Base_Periodo1[[#This Row],[Aux]],Base_Contas_Balanco[#All],2,FALSE)</f>
        <v>Creditos com Cooperados</v>
      </c>
      <c r="G92" s="1">
        <v>42849</v>
      </c>
      <c r="H92" s="225">
        <v>450.00000000058208</v>
      </c>
      <c r="I92" s="225">
        <v>0</v>
      </c>
      <c r="J92" s="225">
        <v>0</v>
      </c>
      <c r="K92" s="225">
        <v>450.00000000058208</v>
      </c>
      <c r="L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450</v>
      </c>
      <c r="M92" s="225">
        <f>ROUND(IF(AND(Base_Periodo1[[#This Row],[Tipo_Linha]]="-",Base_Periodo1[[#This Row],[TIPOSALDO]]="D"),Base_Periodo1[[#This Row],[SALDO_ATUAL]]*-1,Base_Periodo1[[#This Row],[SALDO_ATUAL]]),4)</f>
        <v>450</v>
      </c>
      <c r="N92" t="s">
        <v>116</v>
      </c>
      <c r="O92" t="s">
        <v>397</v>
      </c>
      <c r="P92" t="s">
        <v>397</v>
      </c>
      <c r="Q92">
        <v>7</v>
      </c>
      <c r="R92" s="225">
        <f>Base_Periodo1[[#This Row],[CREDITOS]]-Base_Periodo1[[#This Row],[DEBITOS]]</f>
        <v>0</v>
      </c>
      <c r="S92" s="3" t="str">
        <f>IF(ISERROR(VLOOKUP(Base_Periodo1[[#This Row],[CONTA]],BaseContasDRE[#All],4,FALSE)),"Fora do DRE",VLOOKUP(Base_Periodo1[[#This Row],[CONTA]],BaseContasDRE[#All],4,FALSE))</f>
        <v>Fora do DRE</v>
      </c>
      <c r="T92" s="3" t="str">
        <f>IF(ISERROR(VLOOKUP(Base_Periodo1[[#This Row],[CONTA]],BaseContasDRE[#All],5,FALSE)),"Fora do DRE",VLOOKUP(Base_Periodo1[[#This Row],[CONTA]],BaseContasDRE[#All],6,FALSE))</f>
        <v>Fora do DRE</v>
      </c>
      <c r="U92" s="3" t="str">
        <f>IF(ISERROR(VLOOKUP(Base_Periodo1[[#This Row],[CONTA]],BaseContasDRE[#All],7,FALSE)),"Fora do DRE",VLOOKUP(Base_Periodo1[[#This Row],[CONTA]],BaseContasDRE[#All],7,FALSE))</f>
        <v>Fora do DRE</v>
      </c>
      <c r="V92" s="3" t="str">
        <f>IF(Base_Periodo1[[#This Row],[Tipo_Linha]]="Fora do DRE","Fora do DRE","( "&amp;Base_Periodo1[[#This Row],[Tipo_Linha]]&amp;" ) "&amp;Base_Periodo1[[#This Row],[Filtro]])</f>
        <v>Fora do DRE</v>
      </c>
      <c r="W92" s="3" t="str">
        <f>LEFT(Base_Periodo1[[#This Row],[CLASS]],3)</f>
        <v>1.1</v>
      </c>
    </row>
    <row r="93" spans="1:23" hidden="1">
      <c r="A93" s="3" t="str">
        <f t="shared" si="1"/>
        <v>Período 1</v>
      </c>
      <c r="B93">
        <v>7085</v>
      </c>
      <c r="C93" t="s">
        <v>503</v>
      </c>
      <c r="D93" t="s">
        <v>514</v>
      </c>
      <c r="E93" s="3" t="str">
        <f>IF(LEN(Base_Periodo1[[#This Row],[CLASS]])&gt;=7,LEFT(Base_Periodo1[[#This Row],[CLASS]],7),"")</f>
        <v>1.1.2.1</v>
      </c>
      <c r="F93" s="3" t="str">
        <f>VLOOKUP(Base_Periodo1[[#This Row],[Aux]],Base_Contas_Balanco[#All],2,FALSE)</f>
        <v>Creditos com Cooperados</v>
      </c>
      <c r="G93" s="1">
        <v>42885</v>
      </c>
      <c r="H93" s="225">
        <v>30000</v>
      </c>
      <c r="I93" s="225">
        <v>0</v>
      </c>
      <c r="J93" s="225">
        <v>30000</v>
      </c>
      <c r="K93" s="225">
        <v>0</v>
      </c>
      <c r="L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3" s="225">
        <f>ROUND(IF(AND(Base_Periodo1[[#This Row],[Tipo_Linha]]="-",Base_Periodo1[[#This Row],[TIPOSALDO]]="D"),Base_Periodo1[[#This Row],[SALDO_ATUAL]]*-1,Base_Periodo1[[#This Row],[SALDO_ATUAL]]),4)</f>
        <v>0</v>
      </c>
      <c r="N93" t="s">
        <v>116</v>
      </c>
      <c r="O93" t="s">
        <v>397</v>
      </c>
      <c r="P93" t="s">
        <v>436</v>
      </c>
      <c r="Q93">
        <v>7</v>
      </c>
      <c r="R93" s="225">
        <f>Base_Periodo1[[#This Row],[CREDITOS]]-Base_Periodo1[[#This Row],[DEBITOS]]</f>
        <v>30000</v>
      </c>
      <c r="S93" s="3" t="str">
        <f>IF(ISERROR(VLOOKUP(Base_Periodo1[[#This Row],[CONTA]],BaseContasDRE[#All],4,FALSE)),"Fora do DRE",VLOOKUP(Base_Periodo1[[#This Row],[CONTA]],BaseContasDRE[#All],4,FALSE))</f>
        <v>Fora do DRE</v>
      </c>
      <c r="T93" s="3" t="str">
        <f>IF(ISERROR(VLOOKUP(Base_Periodo1[[#This Row],[CONTA]],BaseContasDRE[#All],5,FALSE)),"Fora do DRE",VLOOKUP(Base_Periodo1[[#This Row],[CONTA]],BaseContasDRE[#All],6,FALSE))</f>
        <v>Fora do DRE</v>
      </c>
      <c r="U93" s="3" t="str">
        <f>IF(ISERROR(VLOOKUP(Base_Periodo1[[#This Row],[CONTA]],BaseContasDRE[#All],7,FALSE)),"Fora do DRE",VLOOKUP(Base_Periodo1[[#This Row],[CONTA]],BaseContasDRE[#All],7,FALSE))</f>
        <v>Fora do DRE</v>
      </c>
      <c r="V93" s="3" t="str">
        <f>IF(Base_Periodo1[[#This Row],[Tipo_Linha]]="Fora do DRE","Fora do DRE","( "&amp;Base_Periodo1[[#This Row],[Tipo_Linha]]&amp;" ) "&amp;Base_Periodo1[[#This Row],[Filtro]])</f>
        <v>Fora do DRE</v>
      </c>
      <c r="W93" s="3" t="str">
        <f>LEFT(Base_Periodo1[[#This Row],[CLASS]],3)</f>
        <v>1.1</v>
      </c>
    </row>
    <row r="94" spans="1:23" hidden="1">
      <c r="A94" s="3" t="str">
        <f t="shared" si="1"/>
        <v>Período 1</v>
      </c>
      <c r="B94">
        <v>39854</v>
      </c>
      <c r="C94" t="s">
        <v>503</v>
      </c>
      <c r="D94" t="s">
        <v>4982</v>
      </c>
      <c r="E94" s="3" t="str">
        <f>IF(LEN(Base_Periodo1[[#This Row],[CLASS]])&gt;=7,LEFT(Base_Periodo1[[#This Row],[CLASS]],7),"")</f>
        <v>1.1.2.1</v>
      </c>
      <c r="F94" s="3" t="str">
        <f>VLOOKUP(Base_Periodo1[[#This Row],[Aux]],Base_Contas_Balanco[#All],2,FALSE)</f>
        <v>Creditos com Cooperados</v>
      </c>
      <c r="G94" s="1">
        <v>42850</v>
      </c>
      <c r="H94" s="225">
        <v>4709.699999999968</v>
      </c>
      <c r="I94" s="225">
        <v>0</v>
      </c>
      <c r="J94" s="225">
        <v>0</v>
      </c>
      <c r="K94" s="225">
        <v>4709.699999999968</v>
      </c>
      <c r="L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4709.7</v>
      </c>
      <c r="M94" s="225">
        <f>ROUND(IF(AND(Base_Periodo1[[#This Row],[Tipo_Linha]]="-",Base_Periodo1[[#This Row],[TIPOSALDO]]="D"),Base_Periodo1[[#This Row],[SALDO_ATUAL]]*-1,Base_Periodo1[[#This Row],[SALDO_ATUAL]]),4)</f>
        <v>4709.7</v>
      </c>
      <c r="N94" t="s">
        <v>116</v>
      </c>
      <c r="O94" t="s">
        <v>397</v>
      </c>
      <c r="P94" t="s">
        <v>397</v>
      </c>
      <c r="Q94">
        <v>7</v>
      </c>
      <c r="R94" s="225">
        <f>Base_Periodo1[[#This Row],[CREDITOS]]-Base_Periodo1[[#This Row],[DEBITOS]]</f>
        <v>0</v>
      </c>
      <c r="S94" s="3" t="str">
        <f>IF(ISERROR(VLOOKUP(Base_Periodo1[[#This Row],[CONTA]],BaseContasDRE[#All],4,FALSE)),"Fora do DRE",VLOOKUP(Base_Periodo1[[#This Row],[CONTA]],BaseContasDRE[#All],4,FALSE))</f>
        <v>Fora do DRE</v>
      </c>
      <c r="T94" s="3" t="str">
        <f>IF(ISERROR(VLOOKUP(Base_Periodo1[[#This Row],[CONTA]],BaseContasDRE[#All],5,FALSE)),"Fora do DRE",VLOOKUP(Base_Periodo1[[#This Row],[CONTA]],BaseContasDRE[#All],6,FALSE))</f>
        <v>Fora do DRE</v>
      </c>
      <c r="U94" s="3" t="str">
        <f>IF(ISERROR(VLOOKUP(Base_Periodo1[[#This Row],[CONTA]],BaseContasDRE[#All],7,FALSE)),"Fora do DRE",VLOOKUP(Base_Periodo1[[#This Row],[CONTA]],BaseContasDRE[#All],7,FALSE))</f>
        <v>Fora do DRE</v>
      </c>
      <c r="V94" s="3" t="str">
        <f>IF(Base_Periodo1[[#This Row],[Tipo_Linha]]="Fora do DRE","Fora do DRE","( "&amp;Base_Periodo1[[#This Row],[Tipo_Linha]]&amp;" ) "&amp;Base_Periodo1[[#This Row],[Filtro]])</f>
        <v>Fora do DRE</v>
      </c>
      <c r="W94" s="3" t="str">
        <f>LEFT(Base_Periodo1[[#This Row],[CLASS]],3)</f>
        <v>1.1</v>
      </c>
    </row>
    <row r="95" spans="1:23" hidden="1">
      <c r="A95" s="3" t="str">
        <f t="shared" si="1"/>
        <v>Período 1</v>
      </c>
      <c r="B95">
        <v>55879</v>
      </c>
      <c r="C95" t="s">
        <v>503</v>
      </c>
      <c r="D95" t="s">
        <v>5477</v>
      </c>
      <c r="E95" s="3" t="str">
        <f>IF(LEN(Base_Periodo1[[#This Row],[CLASS]])&gt;=7,LEFT(Base_Periodo1[[#This Row],[CLASS]],7),"")</f>
        <v>1.1.2.1</v>
      </c>
      <c r="F95" s="3" t="str">
        <f>VLOOKUP(Base_Periodo1[[#This Row],[Aux]],Base_Contas_Balanco[#All],2,FALSE)</f>
        <v>Creditos com Cooperados</v>
      </c>
      <c r="G95" s="1">
        <v>42858</v>
      </c>
      <c r="H95" s="225">
        <v>62</v>
      </c>
      <c r="I95" s="225">
        <v>0</v>
      </c>
      <c r="J95" s="225">
        <v>62</v>
      </c>
      <c r="K95" s="225">
        <v>0</v>
      </c>
      <c r="L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5" s="225">
        <f>ROUND(IF(AND(Base_Periodo1[[#This Row],[Tipo_Linha]]="-",Base_Periodo1[[#This Row],[TIPOSALDO]]="D"),Base_Periodo1[[#This Row],[SALDO_ATUAL]]*-1,Base_Periodo1[[#This Row],[SALDO_ATUAL]]),4)</f>
        <v>0</v>
      </c>
      <c r="N95" t="s">
        <v>116</v>
      </c>
      <c r="O95" t="s">
        <v>397</v>
      </c>
      <c r="P95" t="s">
        <v>436</v>
      </c>
      <c r="Q95">
        <v>7</v>
      </c>
      <c r="R95" s="225">
        <f>Base_Periodo1[[#This Row],[CREDITOS]]-Base_Periodo1[[#This Row],[DEBITOS]]</f>
        <v>62</v>
      </c>
      <c r="S95" s="3" t="str">
        <f>IF(ISERROR(VLOOKUP(Base_Periodo1[[#This Row],[CONTA]],BaseContasDRE[#All],4,FALSE)),"Fora do DRE",VLOOKUP(Base_Periodo1[[#This Row],[CONTA]],BaseContasDRE[#All],4,FALSE))</f>
        <v>Fora do DRE</v>
      </c>
      <c r="T95" s="3" t="str">
        <f>IF(ISERROR(VLOOKUP(Base_Periodo1[[#This Row],[CONTA]],BaseContasDRE[#All],5,FALSE)),"Fora do DRE",VLOOKUP(Base_Periodo1[[#This Row],[CONTA]],BaseContasDRE[#All],6,FALSE))</f>
        <v>Fora do DRE</v>
      </c>
      <c r="U95" s="3" t="str">
        <f>IF(ISERROR(VLOOKUP(Base_Periodo1[[#This Row],[CONTA]],BaseContasDRE[#All],7,FALSE)),"Fora do DRE",VLOOKUP(Base_Periodo1[[#This Row],[CONTA]],BaseContasDRE[#All],7,FALSE))</f>
        <v>Fora do DRE</v>
      </c>
      <c r="V95" s="3" t="str">
        <f>IF(Base_Periodo1[[#This Row],[Tipo_Linha]]="Fora do DRE","Fora do DRE","( "&amp;Base_Periodo1[[#This Row],[Tipo_Linha]]&amp;" ) "&amp;Base_Periodo1[[#This Row],[Filtro]])</f>
        <v>Fora do DRE</v>
      </c>
      <c r="W95" s="3" t="str">
        <f>LEFT(Base_Periodo1[[#This Row],[CLASS]],3)</f>
        <v>1.1</v>
      </c>
    </row>
    <row r="96" spans="1:23" hidden="1">
      <c r="A96" s="3" t="str">
        <f t="shared" si="1"/>
        <v>Período 1</v>
      </c>
      <c r="B96">
        <v>4500</v>
      </c>
      <c r="C96" t="s">
        <v>503</v>
      </c>
      <c r="D96" t="s">
        <v>6112</v>
      </c>
      <c r="E96" s="3" t="str">
        <f>IF(LEN(Base_Periodo1[[#This Row],[CLASS]])&gt;=7,LEFT(Base_Periodo1[[#This Row],[CLASS]],7),"")</f>
        <v>1.1.2.1</v>
      </c>
      <c r="F96" s="3" t="str">
        <f>VLOOKUP(Base_Periodo1[[#This Row],[Aux]],Base_Contas_Balanco[#All],2,FALSE)</f>
        <v>Creditos com Cooperados</v>
      </c>
      <c r="G96" s="1">
        <v>42857</v>
      </c>
      <c r="H96" s="225">
        <v>183.09999999991851</v>
      </c>
      <c r="I96" s="225">
        <v>0</v>
      </c>
      <c r="J96" s="225">
        <v>183.1</v>
      </c>
      <c r="K96" s="225">
        <v>-8.1485040936968289E-11</v>
      </c>
      <c r="L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6" s="225">
        <f>ROUND(IF(AND(Base_Periodo1[[#This Row],[Tipo_Linha]]="-",Base_Periodo1[[#This Row],[TIPOSALDO]]="D"),Base_Periodo1[[#This Row],[SALDO_ATUAL]]*-1,Base_Periodo1[[#This Row],[SALDO_ATUAL]]),4)</f>
        <v>0</v>
      </c>
      <c r="N96" t="s">
        <v>116</v>
      </c>
      <c r="O96" t="s">
        <v>397</v>
      </c>
      <c r="P96" t="s">
        <v>436</v>
      </c>
      <c r="Q96">
        <v>7</v>
      </c>
      <c r="R96" s="225">
        <f>Base_Periodo1[[#This Row],[CREDITOS]]-Base_Periodo1[[#This Row],[DEBITOS]]</f>
        <v>183.1</v>
      </c>
      <c r="S96" s="3" t="str">
        <f>IF(ISERROR(VLOOKUP(Base_Periodo1[[#This Row],[CONTA]],BaseContasDRE[#All],4,FALSE)),"Fora do DRE",VLOOKUP(Base_Periodo1[[#This Row],[CONTA]],BaseContasDRE[#All],4,FALSE))</f>
        <v>Fora do DRE</v>
      </c>
      <c r="T96" s="3" t="str">
        <f>IF(ISERROR(VLOOKUP(Base_Periodo1[[#This Row],[CONTA]],BaseContasDRE[#All],5,FALSE)),"Fora do DRE",VLOOKUP(Base_Periodo1[[#This Row],[CONTA]],BaseContasDRE[#All],6,FALSE))</f>
        <v>Fora do DRE</v>
      </c>
      <c r="U96" s="3" t="str">
        <f>IF(ISERROR(VLOOKUP(Base_Periodo1[[#This Row],[CONTA]],BaseContasDRE[#All],7,FALSE)),"Fora do DRE",VLOOKUP(Base_Periodo1[[#This Row],[CONTA]],BaseContasDRE[#All],7,FALSE))</f>
        <v>Fora do DRE</v>
      </c>
      <c r="V96" s="3" t="str">
        <f>IF(Base_Periodo1[[#This Row],[Tipo_Linha]]="Fora do DRE","Fora do DRE","( "&amp;Base_Periodo1[[#This Row],[Tipo_Linha]]&amp;" ) "&amp;Base_Periodo1[[#This Row],[Filtro]])</f>
        <v>Fora do DRE</v>
      </c>
      <c r="W96" s="3" t="str">
        <f>LEFT(Base_Periodo1[[#This Row],[CLASS]],3)</f>
        <v>1.1</v>
      </c>
    </row>
    <row r="97" spans="1:23" hidden="1">
      <c r="A97" s="3" t="str">
        <f t="shared" si="1"/>
        <v>Período 1</v>
      </c>
      <c r="B97">
        <v>52950</v>
      </c>
      <c r="C97" t="s">
        <v>503</v>
      </c>
      <c r="D97" t="s">
        <v>5125</v>
      </c>
      <c r="E97" s="3" t="str">
        <f>IF(LEN(Base_Periodo1[[#This Row],[CLASS]])&gt;=7,LEFT(Base_Periodo1[[#This Row],[CLASS]],7),"")</f>
        <v>1.1.2.1</v>
      </c>
      <c r="F97" s="3" t="str">
        <f>VLOOKUP(Base_Periodo1[[#This Row],[Aux]],Base_Contas_Balanco[#All],2,FALSE)</f>
        <v>Creditos com Cooperados</v>
      </c>
      <c r="G97" s="1">
        <v>42858</v>
      </c>
      <c r="H97" s="225">
        <v>1419.6999999999998</v>
      </c>
      <c r="I97" s="225">
        <v>972.06000000000006</v>
      </c>
      <c r="J97" s="225">
        <v>1483.28</v>
      </c>
      <c r="K97" s="225">
        <v>908.47999999999979</v>
      </c>
      <c r="L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908.48</v>
      </c>
      <c r="M97" s="225">
        <f>ROUND(IF(AND(Base_Periodo1[[#This Row],[Tipo_Linha]]="-",Base_Periodo1[[#This Row],[TIPOSALDO]]="D"),Base_Periodo1[[#This Row],[SALDO_ATUAL]]*-1,Base_Periodo1[[#This Row],[SALDO_ATUAL]]),4)</f>
        <v>908.48</v>
      </c>
      <c r="N97" t="s">
        <v>116</v>
      </c>
      <c r="O97" t="s">
        <v>397</v>
      </c>
      <c r="P97" t="s">
        <v>397</v>
      </c>
      <c r="Q97">
        <v>7</v>
      </c>
      <c r="R97" s="225">
        <f>Base_Periodo1[[#This Row],[CREDITOS]]-Base_Periodo1[[#This Row],[DEBITOS]]</f>
        <v>511.21999999999991</v>
      </c>
      <c r="S97" s="3" t="str">
        <f>IF(ISERROR(VLOOKUP(Base_Periodo1[[#This Row],[CONTA]],BaseContasDRE[#All],4,FALSE)),"Fora do DRE",VLOOKUP(Base_Periodo1[[#This Row],[CONTA]],BaseContasDRE[#All],4,FALSE))</f>
        <v>Fora do DRE</v>
      </c>
      <c r="T97" s="3" t="str">
        <f>IF(ISERROR(VLOOKUP(Base_Periodo1[[#This Row],[CONTA]],BaseContasDRE[#All],5,FALSE)),"Fora do DRE",VLOOKUP(Base_Periodo1[[#This Row],[CONTA]],BaseContasDRE[#All],6,FALSE))</f>
        <v>Fora do DRE</v>
      </c>
      <c r="U97" s="3" t="str">
        <f>IF(ISERROR(VLOOKUP(Base_Periodo1[[#This Row],[CONTA]],BaseContasDRE[#All],7,FALSE)),"Fora do DRE",VLOOKUP(Base_Periodo1[[#This Row],[CONTA]],BaseContasDRE[#All],7,FALSE))</f>
        <v>Fora do DRE</v>
      </c>
      <c r="V97" s="3" t="str">
        <f>IF(Base_Periodo1[[#This Row],[Tipo_Linha]]="Fora do DRE","Fora do DRE","( "&amp;Base_Periodo1[[#This Row],[Tipo_Linha]]&amp;" ) "&amp;Base_Periodo1[[#This Row],[Filtro]])</f>
        <v>Fora do DRE</v>
      </c>
      <c r="W97" s="3" t="str">
        <f>LEFT(Base_Periodo1[[#This Row],[CLASS]],3)</f>
        <v>1.1</v>
      </c>
    </row>
    <row r="98" spans="1:23" hidden="1">
      <c r="A98" s="3" t="str">
        <f t="shared" si="1"/>
        <v>Período 1</v>
      </c>
      <c r="B98">
        <v>54022</v>
      </c>
      <c r="C98" t="s">
        <v>503</v>
      </c>
      <c r="D98" t="s">
        <v>5126</v>
      </c>
      <c r="E98" s="3" t="str">
        <f>IF(LEN(Base_Periodo1[[#This Row],[CLASS]])&gt;=7,LEFT(Base_Periodo1[[#This Row],[CLASS]],7),"")</f>
        <v>1.1.2.1</v>
      </c>
      <c r="F98" s="3" t="str">
        <f>VLOOKUP(Base_Periodo1[[#This Row],[Aux]],Base_Contas_Balanco[#All],2,FALSE)</f>
        <v>Creditos com Cooperados</v>
      </c>
      <c r="G98" s="1">
        <v>42872</v>
      </c>
      <c r="H98" s="225">
        <v>43888.24</v>
      </c>
      <c r="I98" s="225">
        <v>4155.5</v>
      </c>
      <c r="J98" s="225">
        <v>20908.189999999999</v>
      </c>
      <c r="K98" s="225">
        <v>27135.55</v>
      </c>
      <c r="L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27135.55</v>
      </c>
      <c r="M98" s="225">
        <f>ROUND(IF(AND(Base_Periodo1[[#This Row],[Tipo_Linha]]="-",Base_Periodo1[[#This Row],[TIPOSALDO]]="D"),Base_Periodo1[[#This Row],[SALDO_ATUAL]]*-1,Base_Periodo1[[#This Row],[SALDO_ATUAL]]),4)</f>
        <v>27135.55</v>
      </c>
      <c r="N98" t="s">
        <v>116</v>
      </c>
      <c r="O98" t="s">
        <v>397</v>
      </c>
      <c r="P98" t="s">
        <v>397</v>
      </c>
      <c r="Q98">
        <v>7</v>
      </c>
      <c r="R98" s="225">
        <f>Base_Periodo1[[#This Row],[CREDITOS]]-Base_Periodo1[[#This Row],[DEBITOS]]</f>
        <v>16752.689999999999</v>
      </c>
      <c r="S98" s="3" t="str">
        <f>IF(ISERROR(VLOOKUP(Base_Periodo1[[#This Row],[CONTA]],BaseContasDRE[#All],4,FALSE)),"Fora do DRE",VLOOKUP(Base_Periodo1[[#This Row],[CONTA]],BaseContasDRE[#All],4,FALSE))</f>
        <v>Fora do DRE</v>
      </c>
      <c r="T98" s="3" t="str">
        <f>IF(ISERROR(VLOOKUP(Base_Periodo1[[#This Row],[CONTA]],BaseContasDRE[#All],5,FALSE)),"Fora do DRE",VLOOKUP(Base_Periodo1[[#This Row],[CONTA]],BaseContasDRE[#All],6,FALSE))</f>
        <v>Fora do DRE</v>
      </c>
      <c r="U98" s="3" t="str">
        <f>IF(ISERROR(VLOOKUP(Base_Periodo1[[#This Row],[CONTA]],BaseContasDRE[#All],7,FALSE)),"Fora do DRE",VLOOKUP(Base_Periodo1[[#This Row],[CONTA]],BaseContasDRE[#All],7,FALSE))</f>
        <v>Fora do DRE</v>
      </c>
      <c r="V98" s="3" t="str">
        <f>IF(Base_Periodo1[[#This Row],[Tipo_Linha]]="Fora do DRE","Fora do DRE","( "&amp;Base_Periodo1[[#This Row],[Tipo_Linha]]&amp;" ) "&amp;Base_Periodo1[[#This Row],[Filtro]])</f>
        <v>Fora do DRE</v>
      </c>
      <c r="W98" s="3" t="str">
        <f>LEFT(Base_Periodo1[[#This Row],[CLASS]],3)</f>
        <v>1.1</v>
      </c>
    </row>
    <row r="99" spans="1:23" hidden="1">
      <c r="A99" s="3" t="str">
        <f t="shared" si="1"/>
        <v>Período 1</v>
      </c>
      <c r="B99">
        <v>24218</v>
      </c>
      <c r="C99" t="s">
        <v>503</v>
      </c>
      <c r="D99" t="s">
        <v>515</v>
      </c>
      <c r="E99" s="3" t="str">
        <f>IF(LEN(Base_Periodo1[[#This Row],[CLASS]])&gt;=7,LEFT(Base_Periodo1[[#This Row],[CLASS]],7),"")</f>
        <v>1.1.2.1</v>
      </c>
      <c r="F99" s="3" t="str">
        <f>VLOOKUP(Base_Periodo1[[#This Row],[Aux]],Base_Contas_Balanco[#All],2,FALSE)</f>
        <v>Creditos com Cooperados</v>
      </c>
      <c r="G99" s="1">
        <v>42886</v>
      </c>
      <c r="H99" s="225">
        <v>11923.560000000012</v>
      </c>
      <c r="I99" s="225">
        <v>86.769999999999982</v>
      </c>
      <c r="J99" s="225">
        <v>3400.33</v>
      </c>
      <c r="K99" s="225">
        <v>8610.0000000000127</v>
      </c>
      <c r="L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8610</v>
      </c>
      <c r="M99" s="225">
        <f>ROUND(IF(AND(Base_Periodo1[[#This Row],[Tipo_Linha]]="-",Base_Periodo1[[#This Row],[TIPOSALDO]]="D"),Base_Periodo1[[#This Row],[SALDO_ATUAL]]*-1,Base_Periodo1[[#This Row],[SALDO_ATUAL]]),4)</f>
        <v>8610</v>
      </c>
      <c r="N99" t="s">
        <v>116</v>
      </c>
      <c r="O99" t="s">
        <v>397</v>
      </c>
      <c r="P99" t="s">
        <v>397</v>
      </c>
      <c r="Q99">
        <v>7</v>
      </c>
      <c r="R99" s="225">
        <f>Base_Periodo1[[#This Row],[CREDITOS]]-Base_Periodo1[[#This Row],[DEBITOS]]</f>
        <v>3313.56</v>
      </c>
      <c r="S99" s="3" t="str">
        <f>IF(ISERROR(VLOOKUP(Base_Periodo1[[#This Row],[CONTA]],BaseContasDRE[#All],4,FALSE)),"Fora do DRE",VLOOKUP(Base_Periodo1[[#This Row],[CONTA]],BaseContasDRE[#All],4,FALSE))</f>
        <v>Fora do DRE</v>
      </c>
      <c r="T99" s="3" t="str">
        <f>IF(ISERROR(VLOOKUP(Base_Periodo1[[#This Row],[CONTA]],BaseContasDRE[#All],5,FALSE)),"Fora do DRE",VLOOKUP(Base_Periodo1[[#This Row],[CONTA]],BaseContasDRE[#All],6,FALSE))</f>
        <v>Fora do DRE</v>
      </c>
      <c r="U99" s="3" t="str">
        <f>IF(ISERROR(VLOOKUP(Base_Periodo1[[#This Row],[CONTA]],BaseContasDRE[#All],7,FALSE)),"Fora do DRE",VLOOKUP(Base_Periodo1[[#This Row],[CONTA]],BaseContasDRE[#All],7,FALSE))</f>
        <v>Fora do DRE</v>
      </c>
      <c r="V99" s="3" t="str">
        <f>IF(Base_Periodo1[[#This Row],[Tipo_Linha]]="Fora do DRE","Fora do DRE","( "&amp;Base_Periodo1[[#This Row],[Tipo_Linha]]&amp;" ) "&amp;Base_Periodo1[[#This Row],[Filtro]])</f>
        <v>Fora do DRE</v>
      </c>
      <c r="W99" s="3" t="str">
        <f>LEFT(Base_Periodo1[[#This Row],[CLASS]],3)</f>
        <v>1.1</v>
      </c>
    </row>
    <row r="100" spans="1:23" hidden="1">
      <c r="A100" s="3" t="str">
        <f t="shared" si="1"/>
        <v>Período 1</v>
      </c>
      <c r="B100">
        <v>20357</v>
      </c>
      <c r="C100" t="s">
        <v>503</v>
      </c>
      <c r="D100" t="s">
        <v>4901</v>
      </c>
      <c r="E100" s="3" t="str">
        <f>IF(LEN(Base_Periodo1[[#This Row],[CLASS]])&gt;=7,LEFT(Base_Periodo1[[#This Row],[CLASS]],7),"")</f>
        <v>1.1.2.1</v>
      </c>
      <c r="F100" s="3" t="str">
        <f>VLOOKUP(Base_Periodo1[[#This Row],[Aux]],Base_Contas_Balanco[#All],2,FALSE)</f>
        <v>Creditos com Cooperados</v>
      </c>
      <c r="G100" s="1">
        <v>42859</v>
      </c>
      <c r="H100" s="225">
        <v>7044.9999999997672</v>
      </c>
      <c r="I100" s="225">
        <v>0</v>
      </c>
      <c r="J100" s="225">
        <v>1165</v>
      </c>
      <c r="K100" s="225">
        <v>5879.9999999997672</v>
      </c>
      <c r="L1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5880</v>
      </c>
      <c r="M100" s="225">
        <f>ROUND(IF(AND(Base_Periodo1[[#This Row],[Tipo_Linha]]="-",Base_Periodo1[[#This Row],[TIPOSALDO]]="D"),Base_Periodo1[[#This Row],[SALDO_ATUAL]]*-1,Base_Periodo1[[#This Row],[SALDO_ATUAL]]),4)</f>
        <v>5880</v>
      </c>
      <c r="N100" t="s">
        <v>116</v>
      </c>
      <c r="O100" t="s">
        <v>397</v>
      </c>
      <c r="P100" t="s">
        <v>397</v>
      </c>
      <c r="Q100">
        <v>7</v>
      </c>
      <c r="R100" s="225">
        <f>Base_Periodo1[[#This Row],[CREDITOS]]-Base_Periodo1[[#This Row],[DEBITOS]]</f>
        <v>1165</v>
      </c>
      <c r="S100" s="3" t="str">
        <f>IF(ISERROR(VLOOKUP(Base_Periodo1[[#This Row],[CONTA]],BaseContasDRE[#All],4,FALSE)),"Fora do DRE",VLOOKUP(Base_Periodo1[[#This Row],[CONTA]],BaseContasDRE[#All],4,FALSE))</f>
        <v>Fora do DRE</v>
      </c>
      <c r="T100" s="3" t="str">
        <f>IF(ISERROR(VLOOKUP(Base_Periodo1[[#This Row],[CONTA]],BaseContasDRE[#All],5,FALSE)),"Fora do DRE",VLOOKUP(Base_Periodo1[[#This Row],[CONTA]],BaseContasDRE[#All],6,FALSE))</f>
        <v>Fora do DRE</v>
      </c>
      <c r="U100" s="3" t="str">
        <f>IF(ISERROR(VLOOKUP(Base_Periodo1[[#This Row],[CONTA]],BaseContasDRE[#All],7,FALSE)),"Fora do DRE",VLOOKUP(Base_Periodo1[[#This Row],[CONTA]],BaseContasDRE[#All],7,FALSE))</f>
        <v>Fora do DRE</v>
      </c>
      <c r="V100" s="3" t="str">
        <f>IF(Base_Periodo1[[#This Row],[Tipo_Linha]]="Fora do DRE","Fora do DRE","( "&amp;Base_Periodo1[[#This Row],[Tipo_Linha]]&amp;" ) "&amp;Base_Periodo1[[#This Row],[Filtro]])</f>
        <v>Fora do DRE</v>
      </c>
      <c r="W100" s="3" t="str">
        <f>LEFT(Base_Periodo1[[#This Row],[CLASS]],3)</f>
        <v>1.1</v>
      </c>
    </row>
    <row r="101" spans="1:23" hidden="1">
      <c r="A101" s="3" t="str">
        <f t="shared" si="1"/>
        <v>Período 1</v>
      </c>
      <c r="B101">
        <v>2428</v>
      </c>
      <c r="C101" t="s">
        <v>503</v>
      </c>
      <c r="D101" t="s">
        <v>516</v>
      </c>
      <c r="E101" s="3" t="str">
        <f>IF(LEN(Base_Periodo1[[#This Row],[CLASS]])&gt;=7,LEFT(Base_Periodo1[[#This Row],[CLASS]],7),"")</f>
        <v>1.1.2.1</v>
      </c>
      <c r="F101" s="3" t="str">
        <f>VLOOKUP(Base_Periodo1[[#This Row],[Aux]],Base_Contas_Balanco[#All],2,FALSE)</f>
        <v>Creditos com Cooperados</v>
      </c>
      <c r="G101" s="1">
        <v>42879</v>
      </c>
      <c r="H101" s="225">
        <v>27507.649999999907</v>
      </c>
      <c r="I101" s="225">
        <v>17976.14</v>
      </c>
      <c r="J101" s="225">
        <v>34816.14</v>
      </c>
      <c r="K101" s="225">
        <v>10667.649999999907</v>
      </c>
      <c r="L1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10667.65</v>
      </c>
      <c r="M101" s="225">
        <f>ROUND(IF(AND(Base_Periodo1[[#This Row],[Tipo_Linha]]="-",Base_Periodo1[[#This Row],[TIPOSALDO]]="D"),Base_Periodo1[[#This Row],[SALDO_ATUAL]]*-1,Base_Periodo1[[#This Row],[SALDO_ATUAL]]),4)</f>
        <v>10667.65</v>
      </c>
      <c r="N101" t="s">
        <v>116</v>
      </c>
      <c r="O101" t="s">
        <v>397</v>
      </c>
      <c r="P101" t="s">
        <v>397</v>
      </c>
      <c r="Q101">
        <v>7</v>
      </c>
      <c r="R101" s="225">
        <f>Base_Periodo1[[#This Row],[CREDITOS]]-Base_Periodo1[[#This Row],[DEBITOS]]</f>
        <v>16840</v>
      </c>
      <c r="S101" s="3" t="str">
        <f>IF(ISERROR(VLOOKUP(Base_Periodo1[[#This Row],[CONTA]],BaseContasDRE[#All],4,FALSE)),"Fora do DRE",VLOOKUP(Base_Periodo1[[#This Row],[CONTA]],BaseContasDRE[#All],4,FALSE))</f>
        <v>Fora do DRE</v>
      </c>
      <c r="T101" s="3" t="str">
        <f>IF(ISERROR(VLOOKUP(Base_Periodo1[[#This Row],[CONTA]],BaseContasDRE[#All],5,FALSE)),"Fora do DRE",VLOOKUP(Base_Periodo1[[#This Row],[CONTA]],BaseContasDRE[#All],6,FALSE))</f>
        <v>Fora do DRE</v>
      </c>
      <c r="U101" s="3" t="str">
        <f>IF(ISERROR(VLOOKUP(Base_Periodo1[[#This Row],[CONTA]],BaseContasDRE[#All],7,FALSE)),"Fora do DRE",VLOOKUP(Base_Periodo1[[#This Row],[CONTA]],BaseContasDRE[#All],7,FALSE))</f>
        <v>Fora do DRE</v>
      </c>
      <c r="V101" s="3" t="str">
        <f>IF(Base_Periodo1[[#This Row],[Tipo_Linha]]="Fora do DRE","Fora do DRE","( "&amp;Base_Periodo1[[#This Row],[Tipo_Linha]]&amp;" ) "&amp;Base_Periodo1[[#This Row],[Filtro]])</f>
        <v>Fora do DRE</v>
      </c>
      <c r="W101" s="3" t="str">
        <f>LEFT(Base_Periodo1[[#This Row],[CLASS]],3)</f>
        <v>1.1</v>
      </c>
    </row>
    <row r="102" spans="1:23" hidden="1">
      <c r="A102" s="3" t="str">
        <f t="shared" si="1"/>
        <v>Período 1</v>
      </c>
      <c r="B102">
        <v>3652</v>
      </c>
      <c r="C102" t="s">
        <v>503</v>
      </c>
      <c r="D102" t="s">
        <v>517</v>
      </c>
      <c r="E102" s="3" t="str">
        <f>IF(LEN(Base_Periodo1[[#This Row],[CLASS]])&gt;=7,LEFT(Base_Periodo1[[#This Row],[CLASS]],7),"")</f>
        <v>1.1.2.1</v>
      </c>
      <c r="F102" s="3" t="str">
        <f>VLOOKUP(Base_Periodo1[[#This Row],[Aux]],Base_Contas_Balanco[#All],2,FALSE)</f>
        <v>Creditos com Cooperados</v>
      </c>
      <c r="G102" s="1">
        <v>42880</v>
      </c>
      <c r="H102" s="225">
        <v>72307.589999997057</v>
      </c>
      <c r="I102" s="225">
        <v>28452.989999999998</v>
      </c>
      <c r="J102" s="225">
        <v>20776.440000000002</v>
      </c>
      <c r="K102" s="225">
        <v>79984.139999997045</v>
      </c>
      <c r="L1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79984.14</v>
      </c>
      <c r="M102" s="225">
        <f>ROUND(IF(AND(Base_Periodo1[[#This Row],[Tipo_Linha]]="-",Base_Periodo1[[#This Row],[TIPOSALDO]]="D"),Base_Periodo1[[#This Row],[SALDO_ATUAL]]*-1,Base_Periodo1[[#This Row],[SALDO_ATUAL]]),4)</f>
        <v>79984.14</v>
      </c>
      <c r="N102" t="s">
        <v>116</v>
      </c>
      <c r="O102" t="s">
        <v>397</v>
      </c>
      <c r="P102" t="s">
        <v>397</v>
      </c>
      <c r="Q102">
        <v>7</v>
      </c>
      <c r="R102" s="225">
        <f>Base_Periodo1[[#This Row],[CREDITOS]]-Base_Periodo1[[#This Row],[DEBITOS]]</f>
        <v>-7676.5499999999956</v>
      </c>
      <c r="S102" s="3" t="str">
        <f>IF(ISERROR(VLOOKUP(Base_Periodo1[[#This Row],[CONTA]],BaseContasDRE[#All],4,FALSE)),"Fora do DRE",VLOOKUP(Base_Periodo1[[#This Row],[CONTA]],BaseContasDRE[#All],4,FALSE))</f>
        <v>Fora do DRE</v>
      </c>
      <c r="T102" s="3" t="str">
        <f>IF(ISERROR(VLOOKUP(Base_Periodo1[[#This Row],[CONTA]],BaseContasDRE[#All],5,FALSE)),"Fora do DRE",VLOOKUP(Base_Periodo1[[#This Row],[CONTA]],BaseContasDRE[#All],6,FALSE))</f>
        <v>Fora do DRE</v>
      </c>
      <c r="U102" s="3" t="str">
        <f>IF(ISERROR(VLOOKUP(Base_Periodo1[[#This Row],[CONTA]],BaseContasDRE[#All],7,FALSE)),"Fora do DRE",VLOOKUP(Base_Periodo1[[#This Row],[CONTA]],BaseContasDRE[#All],7,FALSE))</f>
        <v>Fora do DRE</v>
      </c>
      <c r="V102" s="3" t="str">
        <f>IF(Base_Periodo1[[#This Row],[Tipo_Linha]]="Fora do DRE","Fora do DRE","( "&amp;Base_Periodo1[[#This Row],[Tipo_Linha]]&amp;" ) "&amp;Base_Periodo1[[#This Row],[Filtro]])</f>
        <v>Fora do DRE</v>
      </c>
      <c r="W102" s="3" t="str">
        <f>LEFT(Base_Periodo1[[#This Row],[CLASS]],3)</f>
        <v>1.1</v>
      </c>
    </row>
    <row r="103" spans="1:23" hidden="1">
      <c r="A103" s="3" t="str">
        <f t="shared" si="1"/>
        <v>Período 1</v>
      </c>
      <c r="B103">
        <v>3524</v>
      </c>
      <c r="C103" t="s">
        <v>503</v>
      </c>
      <c r="D103" t="s">
        <v>518</v>
      </c>
      <c r="E103" s="3" t="str">
        <f>IF(LEN(Base_Periodo1[[#This Row],[CLASS]])&gt;=7,LEFT(Base_Periodo1[[#This Row],[CLASS]],7),"")</f>
        <v>1.1.2.1</v>
      </c>
      <c r="F103" s="3" t="str">
        <f>VLOOKUP(Base_Periodo1[[#This Row],[Aux]],Base_Contas_Balanco[#All],2,FALSE)</f>
        <v>Creditos com Cooperados</v>
      </c>
      <c r="G103" s="1">
        <v>42873</v>
      </c>
      <c r="H103" s="225">
        <v>44004.279999999795</v>
      </c>
      <c r="I103" s="225">
        <v>1556.7500000000002</v>
      </c>
      <c r="J103" s="225">
        <v>45560.829999999987</v>
      </c>
      <c r="K103" s="225">
        <v>0.19999999980791472</v>
      </c>
      <c r="L1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0.2</v>
      </c>
      <c r="M103" s="225">
        <f>ROUND(IF(AND(Base_Periodo1[[#This Row],[Tipo_Linha]]="-",Base_Periodo1[[#This Row],[TIPOSALDO]]="D"),Base_Periodo1[[#This Row],[SALDO_ATUAL]]*-1,Base_Periodo1[[#This Row],[SALDO_ATUAL]]),4)</f>
        <v>0.2</v>
      </c>
      <c r="N103" t="s">
        <v>116</v>
      </c>
      <c r="O103" t="s">
        <v>397</v>
      </c>
      <c r="P103" t="s">
        <v>397</v>
      </c>
      <c r="Q103">
        <v>7</v>
      </c>
      <c r="R103" s="225">
        <f>Base_Periodo1[[#This Row],[CREDITOS]]-Base_Periodo1[[#This Row],[DEBITOS]]</f>
        <v>44004.079999999987</v>
      </c>
      <c r="S103" s="3" t="str">
        <f>IF(ISERROR(VLOOKUP(Base_Periodo1[[#This Row],[CONTA]],BaseContasDRE[#All],4,FALSE)),"Fora do DRE",VLOOKUP(Base_Periodo1[[#This Row],[CONTA]],BaseContasDRE[#All],4,FALSE))</f>
        <v>Fora do DRE</v>
      </c>
      <c r="T103" s="3" t="str">
        <f>IF(ISERROR(VLOOKUP(Base_Periodo1[[#This Row],[CONTA]],BaseContasDRE[#All],5,FALSE)),"Fora do DRE",VLOOKUP(Base_Periodo1[[#This Row],[CONTA]],BaseContasDRE[#All],6,FALSE))</f>
        <v>Fora do DRE</v>
      </c>
      <c r="U103" s="3" t="str">
        <f>IF(ISERROR(VLOOKUP(Base_Periodo1[[#This Row],[CONTA]],BaseContasDRE[#All],7,FALSE)),"Fora do DRE",VLOOKUP(Base_Periodo1[[#This Row],[CONTA]],BaseContasDRE[#All],7,FALSE))</f>
        <v>Fora do DRE</v>
      </c>
      <c r="V103" s="3" t="str">
        <f>IF(Base_Periodo1[[#This Row],[Tipo_Linha]]="Fora do DRE","Fora do DRE","( "&amp;Base_Periodo1[[#This Row],[Tipo_Linha]]&amp;" ) "&amp;Base_Periodo1[[#This Row],[Filtro]])</f>
        <v>Fora do DRE</v>
      </c>
      <c r="W103" s="3" t="str">
        <f>LEFT(Base_Periodo1[[#This Row],[CLASS]],3)</f>
        <v>1.1</v>
      </c>
    </row>
    <row r="104" spans="1:23" hidden="1">
      <c r="A104" s="3" t="str">
        <f t="shared" si="1"/>
        <v>Período 1</v>
      </c>
      <c r="B104">
        <v>52636</v>
      </c>
      <c r="C104" t="s">
        <v>503</v>
      </c>
      <c r="D104" t="s">
        <v>4812</v>
      </c>
      <c r="E104" s="3" t="str">
        <f>IF(LEN(Base_Periodo1[[#This Row],[CLASS]])&gt;=7,LEFT(Base_Periodo1[[#This Row],[CLASS]],7),"")</f>
        <v>1.1.2.1</v>
      </c>
      <c r="F104" s="3" t="str">
        <f>VLOOKUP(Base_Periodo1[[#This Row],[Aux]],Base_Contas_Balanco[#All],2,FALSE)</f>
        <v>Creditos com Cooperados</v>
      </c>
      <c r="G104" s="1">
        <v>42858</v>
      </c>
      <c r="H104" s="225">
        <v>30393.61</v>
      </c>
      <c r="I104" s="225">
        <v>68.03</v>
      </c>
      <c r="J104" s="225">
        <v>30461.64</v>
      </c>
      <c r="K104" s="225">
        <v>0</v>
      </c>
      <c r="L1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4" s="225">
        <f>ROUND(IF(AND(Base_Periodo1[[#This Row],[Tipo_Linha]]="-",Base_Periodo1[[#This Row],[TIPOSALDO]]="D"),Base_Periodo1[[#This Row],[SALDO_ATUAL]]*-1,Base_Periodo1[[#This Row],[SALDO_ATUAL]]),4)</f>
        <v>0</v>
      </c>
      <c r="N104" t="s">
        <v>116</v>
      </c>
      <c r="O104" t="s">
        <v>397</v>
      </c>
      <c r="P104" t="s">
        <v>436</v>
      </c>
      <c r="Q104">
        <v>7</v>
      </c>
      <c r="R104" s="225">
        <f>Base_Periodo1[[#This Row],[CREDITOS]]-Base_Periodo1[[#This Row],[DEBITOS]]</f>
        <v>30393.61</v>
      </c>
      <c r="S104" s="3" t="str">
        <f>IF(ISERROR(VLOOKUP(Base_Periodo1[[#This Row],[CONTA]],BaseContasDRE[#All],4,FALSE)),"Fora do DRE",VLOOKUP(Base_Periodo1[[#This Row],[CONTA]],BaseContasDRE[#All],4,FALSE))</f>
        <v>Fora do DRE</v>
      </c>
      <c r="T104" s="3" t="str">
        <f>IF(ISERROR(VLOOKUP(Base_Periodo1[[#This Row],[CONTA]],BaseContasDRE[#All],5,FALSE)),"Fora do DRE",VLOOKUP(Base_Periodo1[[#This Row],[CONTA]],BaseContasDRE[#All],6,FALSE))</f>
        <v>Fora do DRE</v>
      </c>
      <c r="U104" s="3" t="str">
        <f>IF(ISERROR(VLOOKUP(Base_Periodo1[[#This Row],[CONTA]],BaseContasDRE[#All],7,FALSE)),"Fora do DRE",VLOOKUP(Base_Periodo1[[#This Row],[CONTA]],BaseContasDRE[#All],7,FALSE))</f>
        <v>Fora do DRE</v>
      </c>
      <c r="V104" s="3" t="str">
        <f>IF(Base_Periodo1[[#This Row],[Tipo_Linha]]="Fora do DRE","Fora do DRE","( "&amp;Base_Periodo1[[#This Row],[Tipo_Linha]]&amp;" ) "&amp;Base_Periodo1[[#This Row],[Filtro]])</f>
        <v>Fora do DRE</v>
      </c>
      <c r="W104" s="3" t="str">
        <f>LEFT(Base_Periodo1[[#This Row],[CLASS]],3)</f>
        <v>1.1</v>
      </c>
    </row>
    <row r="105" spans="1:23" hidden="1">
      <c r="A105" s="3" t="str">
        <f t="shared" si="1"/>
        <v>Período 1</v>
      </c>
      <c r="B105">
        <v>48107</v>
      </c>
      <c r="C105" t="s">
        <v>503</v>
      </c>
      <c r="D105" t="s">
        <v>519</v>
      </c>
      <c r="E105" s="3" t="str">
        <f>IF(LEN(Base_Periodo1[[#This Row],[CLASS]])&gt;=7,LEFT(Base_Periodo1[[#This Row],[CLASS]],7),"")</f>
        <v>1.1.2.1</v>
      </c>
      <c r="F105" s="3" t="str">
        <f>VLOOKUP(Base_Periodo1[[#This Row],[Aux]],Base_Contas_Balanco[#All],2,FALSE)</f>
        <v>Creditos com Cooperados</v>
      </c>
      <c r="G105" s="1">
        <v>42884</v>
      </c>
      <c r="H105" s="225">
        <v>297935.95000000065</v>
      </c>
      <c r="I105" s="225">
        <v>656236.23</v>
      </c>
      <c r="J105" s="225">
        <v>382257.18000000005</v>
      </c>
      <c r="K105" s="225">
        <v>571915.00000000058</v>
      </c>
      <c r="L1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571915</v>
      </c>
      <c r="M105" s="225">
        <f>ROUND(IF(AND(Base_Periodo1[[#This Row],[Tipo_Linha]]="-",Base_Periodo1[[#This Row],[TIPOSALDO]]="D"),Base_Periodo1[[#This Row],[SALDO_ATUAL]]*-1,Base_Periodo1[[#This Row],[SALDO_ATUAL]]),4)</f>
        <v>571915</v>
      </c>
      <c r="N105" t="s">
        <v>116</v>
      </c>
      <c r="O105" t="s">
        <v>397</v>
      </c>
      <c r="P105" t="s">
        <v>397</v>
      </c>
      <c r="Q105">
        <v>7</v>
      </c>
      <c r="R105" s="225">
        <f>Base_Periodo1[[#This Row],[CREDITOS]]-Base_Periodo1[[#This Row],[DEBITOS]]</f>
        <v>-273979.04999999993</v>
      </c>
      <c r="S105" s="3" t="str">
        <f>IF(ISERROR(VLOOKUP(Base_Periodo1[[#This Row],[CONTA]],BaseContasDRE[#All],4,FALSE)),"Fora do DRE",VLOOKUP(Base_Periodo1[[#This Row],[CONTA]],BaseContasDRE[#All],4,FALSE))</f>
        <v>Fora do DRE</v>
      </c>
      <c r="T105" s="3" t="str">
        <f>IF(ISERROR(VLOOKUP(Base_Periodo1[[#This Row],[CONTA]],BaseContasDRE[#All],5,FALSE)),"Fora do DRE",VLOOKUP(Base_Periodo1[[#This Row],[CONTA]],BaseContasDRE[#All],6,FALSE))</f>
        <v>Fora do DRE</v>
      </c>
      <c r="U105" s="3" t="str">
        <f>IF(ISERROR(VLOOKUP(Base_Periodo1[[#This Row],[CONTA]],BaseContasDRE[#All],7,FALSE)),"Fora do DRE",VLOOKUP(Base_Periodo1[[#This Row],[CONTA]],BaseContasDRE[#All],7,FALSE))</f>
        <v>Fora do DRE</v>
      </c>
      <c r="V105" s="3" t="str">
        <f>IF(Base_Periodo1[[#This Row],[Tipo_Linha]]="Fora do DRE","Fora do DRE","( "&amp;Base_Periodo1[[#This Row],[Tipo_Linha]]&amp;" ) "&amp;Base_Periodo1[[#This Row],[Filtro]])</f>
        <v>Fora do DRE</v>
      </c>
      <c r="W105" s="3" t="str">
        <f>LEFT(Base_Periodo1[[#This Row],[CLASS]],3)</f>
        <v>1.1</v>
      </c>
    </row>
    <row r="106" spans="1:23" hidden="1">
      <c r="A106" s="3" t="str">
        <f t="shared" si="1"/>
        <v>Período 1</v>
      </c>
      <c r="B106">
        <v>50797</v>
      </c>
      <c r="C106" t="s">
        <v>503</v>
      </c>
      <c r="D106" t="s">
        <v>4983</v>
      </c>
      <c r="E106" s="3" t="str">
        <f>IF(LEN(Base_Periodo1[[#This Row],[CLASS]])&gt;=7,LEFT(Base_Periodo1[[#This Row],[CLASS]],7),"")</f>
        <v>1.1.2.1</v>
      </c>
      <c r="F106" s="3" t="str">
        <f>VLOOKUP(Base_Periodo1[[#This Row],[Aux]],Base_Contas_Balanco[#All],2,FALSE)</f>
        <v>Creditos com Cooperados</v>
      </c>
      <c r="G106" s="1">
        <v>42868</v>
      </c>
      <c r="H106" s="225">
        <v>15035.920000000158</v>
      </c>
      <c r="I106" s="225">
        <v>10283.5</v>
      </c>
      <c r="J106" s="225">
        <v>282.39999999999998</v>
      </c>
      <c r="K106" s="225">
        <v>25037.020000000157</v>
      </c>
      <c r="L1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25037.02</v>
      </c>
      <c r="M106" s="225">
        <f>ROUND(IF(AND(Base_Periodo1[[#This Row],[Tipo_Linha]]="-",Base_Periodo1[[#This Row],[TIPOSALDO]]="D"),Base_Periodo1[[#This Row],[SALDO_ATUAL]]*-1,Base_Periodo1[[#This Row],[SALDO_ATUAL]]),4)</f>
        <v>25037.02</v>
      </c>
      <c r="N106" t="s">
        <v>116</v>
      </c>
      <c r="O106" t="s">
        <v>397</v>
      </c>
      <c r="P106" t="s">
        <v>397</v>
      </c>
      <c r="Q106">
        <v>7</v>
      </c>
      <c r="R106" s="225">
        <f>Base_Periodo1[[#This Row],[CREDITOS]]-Base_Periodo1[[#This Row],[DEBITOS]]</f>
        <v>-10001.1</v>
      </c>
      <c r="S106" s="3" t="str">
        <f>IF(ISERROR(VLOOKUP(Base_Periodo1[[#This Row],[CONTA]],BaseContasDRE[#All],4,FALSE)),"Fora do DRE",VLOOKUP(Base_Periodo1[[#This Row],[CONTA]],BaseContasDRE[#All],4,FALSE))</f>
        <v>Fora do DRE</v>
      </c>
      <c r="T106" s="3" t="str">
        <f>IF(ISERROR(VLOOKUP(Base_Periodo1[[#This Row],[CONTA]],BaseContasDRE[#All],5,FALSE)),"Fora do DRE",VLOOKUP(Base_Periodo1[[#This Row],[CONTA]],BaseContasDRE[#All],6,FALSE))</f>
        <v>Fora do DRE</v>
      </c>
      <c r="U106" s="3" t="str">
        <f>IF(ISERROR(VLOOKUP(Base_Periodo1[[#This Row],[CONTA]],BaseContasDRE[#All],7,FALSE)),"Fora do DRE",VLOOKUP(Base_Periodo1[[#This Row],[CONTA]],BaseContasDRE[#All],7,FALSE))</f>
        <v>Fora do DRE</v>
      </c>
      <c r="V106" s="3" t="str">
        <f>IF(Base_Periodo1[[#This Row],[Tipo_Linha]]="Fora do DRE","Fora do DRE","( "&amp;Base_Periodo1[[#This Row],[Tipo_Linha]]&amp;" ) "&amp;Base_Periodo1[[#This Row],[Filtro]])</f>
        <v>Fora do DRE</v>
      </c>
      <c r="W106" s="3" t="str">
        <f>LEFT(Base_Periodo1[[#This Row],[CLASS]],3)</f>
        <v>1.1</v>
      </c>
    </row>
    <row r="107" spans="1:23" hidden="1">
      <c r="A107" s="3" t="str">
        <f t="shared" si="1"/>
        <v>Período 1</v>
      </c>
      <c r="B107">
        <v>49092</v>
      </c>
      <c r="C107" t="s">
        <v>503</v>
      </c>
      <c r="D107" t="s">
        <v>4241</v>
      </c>
      <c r="E107" s="3" t="str">
        <f>IF(LEN(Base_Periodo1[[#This Row],[CLASS]])&gt;=7,LEFT(Base_Periodo1[[#This Row],[CLASS]],7),"")</f>
        <v>1.1.2.1</v>
      </c>
      <c r="F107" s="3" t="str">
        <f>VLOOKUP(Base_Periodo1[[#This Row],[Aux]],Base_Contas_Balanco[#All],2,FALSE)</f>
        <v>Creditos com Cooperados</v>
      </c>
      <c r="G107" s="1">
        <v>42872</v>
      </c>
      <c r="H107" s="225">
        <v>4168.3899999982677</v>
      </c>
      <c r="I107" s="225">
        <v>0</v>
      </c>
      <c r="J107" s="225">
        <v>4168.3900000000003</v>
      </c>
      <c r="K107" s="225">
        <v>-1.7325874068774283E-9</v>
      </c>
      <c r="L1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7" s="225">
        <f>ROUND(IF(AND(Base_Periodo1[[#This Row],[Tipo_Linha]]="-",Base_Periodo1[[#This Row],[TIPOSALDO]]="D"),Base_Periodo1[[#This Row],[SALDO_ATUAL]]*-1,Base_Periodo1[[#This Row],[SALDO_ATUAL]]),4)</f>
        <v>0</v>
      </c>
      <c r="N107" t="s">
        <v>116</v>
      </c>
      <c r="O107" t="s">
        <v>397</v>
      </c>
      <c r="P107" t="s">
        <v>436</v>
      </c>
      <c r="Q107">
        <v>7</v>
      </c>
      <c r="R107" s="225">
        <f>Base_Periodo1[[#This Row],[CREDITOS]]-Base_Periodo1[[#This Row],[DEBITOS]]</f>
        <v>4168.3900000000003</v>
      </c>
      <c r="S107" s="3" t="str">
        <f>IF(ISERROR(VLOOKUP(Base_Periodo1[[#This Row],[CONTA]],BaseContasDRE[#All],4,FALSE)),"Fora do DRE",VLOOKUP(Base_Periodo1[[#This Row],[CONTA]],BaseContasDRE[#All],4,FALSE))</f>
        <v>Fora do DRE</v>
      </c>
      <c r="T107" s="3" t="str">
        <f>IF(ISERROR(VLOOKUP(Base_Periodo1[[#This Row],[CONTA]],BaseContasDRE[#All],5,FALSE)),"Fora do DRE",VLOOKUP(Base_Periodo1[[#This Row],[CONTA]],BaseContasDRE[#All],6,FALSE))</f>
        <v>Fora do DRE</v>
      </c>
      <c r="U107" s="3" t="str">
        <f>IF(ISERROR(VLOOKUP(Base_Periodo1[[#This Row],[CONTA]],BaseContasDRE[#All],7,FALSE)),"Fora do DRE",VLOOKUP(Base_Periodo1[[#This Row],[CONTA]],BaseContasDRE[#All],7,FALSE))</f>
        <v>Fora do DRE</v>
      </c>
      <c r="V107" s="3" t="str">
        <f>IF(Base_Periodo1[[#This Row],[Tipo_Linha]]="Fora do DRE","Fora do DRE","( "&amp;Base_Periodo1[[#This Row],[Tipo_Linha]]&amp;" ) "&amp;Base_Periodo1[[#This Row],[Filtro]])</f>
        <v>Fora do DRE</v>
      </c>
      <c r="W107" s="3" t="str">
        <f>LEFT(Base_Periodo1[[#This Row],[CLASS]],3)</f>
        <v>1.1</v>
      </c>
    </row>
    <row r="108" spans="1:23" hidden="1">
      <c r="A108" s="3" t="str">
        <f t="shared" si="1"/>
        <v>Período 1</v>
      </c>
      <c r="B108">
        <v>24754</v>
      </c>
      <c r="C108" t="s">
        <v>503</v>
      </c>
      <c r="D108" t="s">
        <v>520</v>
      </c>
      <c r="E108" s="3" t="str">
        <f>IF(LEN(Base_Periodo1[[#This Row],[CLASS]])&gt;=7,LEFT(Base_Periodo1[[#This Row],[CLASS]],7),"")</f>
        <v>1.1.2.1</v>
      </c>
      <c r="F108" s="3" t="str">
        <f>VLOOKUP(Base_Periodo1[[#This Row],[Aux]],Base_Contas_Balanco[#All],2,FALSE)</f>
        <v>Creditos com Cooperados</v>
      </c>
      <c r="G108" s="1">
        <v>42880</v>
      </c>
      <c r="H108" s="225">
        <v>120325.50000000047</v>
      </c>
      <c r="I108" s="225">
        <v>168387</v>
      </c>
      <c r="J108" s="225">
        <v>0</v>
      </c>
      <c r="K108" s="225">
        <v>288712.50000000047</v>
      </c>
      <c r="L1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288712.5</v>
      </c>
      <c r="M108" s="225">
        <f>ROUND(IF(AND(Base_Periodo1[[#This Row],[Tipo_Linha]]="-",Base_Periodo1[[#This Row],[TIPOSALDO]]="D"),Base_Periodo1[[#This Row],[SALDO_ATUAL]]*-1,Base_Periodo1[[#This Row],[SALDO_ATUAL]]),4)</f>
        <v>288712.5</v>
      </c>
      <c r="N108" t="s">
        <v>116</v>
      </c>
      <c r="O108" t="s">
        <v>397</v>
      </c>
      <c r="P108" t="s">
        <v>397</v>
      </c>
      <c r="Q108">
        <v>7</v>
      </c>
      <c r="R108" s="225">
        <f>Base_Periodo1[[#This Row],[CREDITOS]]-Base_Periodo1[[#This Row],[DEBITOS]]</f>
        <v>-168387</v>
      </c>
      <c r="S108" s="3" t="str">
        <f>IF(ISERROR(VLOOKUP(Base_Periodo1[[#This Row],[CONTA]],BaseContasDRE[#All],4,FALSE)),"Fora do DRE",VLOOKUP(Base_Periodo1[[#This Row],[CONTA]],BaseContasDRE[#All],4,FALSE))</f>
        <v>Fora do DRE</v>
      </c>
      <c r="T108" s="3" t="str">
        <f>IF(ISERROR(VLOOKUP(Base_Periodo1[[#This Row],[CONTA]],BaseContasDRE[#All],5,FALSE)),"Fora do DRE",VLOOKUP(Base_Periodo1[[#This Row],[CONTA]],BaseContasDRE[#All],6,FALSE))</f>
        <v>Fora do DRE</v>
      </c>
      <c r="U108" s="3" t="str">
        <f>IF(ISERROR(VLOOKUP(Base_Periodo1[[#This Row],[CONTA]],BaseContasDRE[#All],7,FALSE)),"Fora do DRE",VLOOKUP(Base_Periodo1[[#This Row],[CONTA]],BaseContasDRE[#All],7,FALSE))</f>
        <v>Fora do DRE</v>
      </c>
      <c r="V108" s="3" t="str">
        <f>IF(Base_Periodo1[[#This Row],[Tipo_Linha]]="Fora do DRE","Fora do DRE","( "&amp;Base_Periodo1[[#This Row],[Tipo_Linha]]&amp;" ) "&amp;Base_Periodo1[[#This Row],[Filtro]])</f>
        <v>Fora do DRE</v>
      </c>
      <c r="W108" s="3" t="str">
        <f>LEFT(Base_Periodo1[[#This Row],[CLASS]],3)</f>
        <v>1.1</v>
      </c>
    </row>
    <row r="109" spans="1:23" hidden="1">
      <c r="A109" s="3" t="str">
        <f t="shared" si="1"/>
        <v>Período 1</v>
      </c>
      <c r="B109">
        <v>33871</v>
      </c>
      <c r="C109" t="s">
        <v>503</v>
      </c>
      <c r="D109" t="s">
        <v>521</v>
      </c>
      <c r="E109" s="3" t="str">
        <f>IF(LEN(Base_Periodo1[[#This Row],[CLASS]])&gt;=7,LEFT(Base_Periodo1[[#This Row],[CLASS]],7),"")</f>
        <v>1.1.2.1</v>
      </c>
      <c r="F109" s="3" t="str">
        <f>VLOOKUP(Base_Periodo1[[#This Row],[Aux]],Base_Contas_Balanco[#All],2,FALSE)</f>
        <v>Creditos com Cooperados</v>
      </c>
      <c r="G109" s="1">
        <v>42880</v>
      </c>
      <c r="H109" s="225">
        <v>290839.55999999912</v>
      </c>
      <c r="I109" s="225">
        <v>10341</v>
      </c>
      <c r="J109" s="225">
        <v>0</v>
      </c>
      <c r="K109" s="225">
        <v>301180.55999999912</v>
      </c>
      <c r="L1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301180.56</v>
      </c>
      <c r="M109" s="225">
        <f>ROUND(IF(AND(Base_Periodo1[[#This Row],[Tipo_Linha]]="-",Base_Periodo1[[#This Row],[TIPOSALDO]]="D"),Base_Periodo1[[#This Row],[SALDO_ATUAL]]*-1,Base_Periodo1[[#This Row],[SALDO_ATUAL]]),4)</f>
        <v>301180.56</v>
      </c>
      <c r="N109" t="s">
        <v>116</v>
      </c>
      <c r="O109" t="s">
        <v>397</v>
      </c>
      <c r="P109" t="s">
        <v>397</v>
      </c>
      <c r="Q109">
        <v>7</v>
      </c>
      <c r="R109" s="225">
        <f>Base_Periodo1[[#This Row],[CREDITOS]]-Base_Periodo1[[#This Row],[DEBITOS]]</f>
        <v>-10341</v>
      </c>
      <c r="S109" s="3" t="str">
        <f>IF(ISERROR(VLOOKUP(Base_Periodo1[[#This Row],[CONTA]],BaseContasDRE[#All],4,FALSE)),"Fora do DRE",VLOOKUP(Base_Periodo1[[#This Row],[CONTA]],BaseContasDRE[#All],4,FALSE))</f>
        <v>Fora do DRE</v>
      </c>
      <c r="T109" s="3" t="str">
        <f>IF(ISERROR(VLOOKUP(Base_Periodo1[[#This Row],[CONTA]],BaseContasDRE[#All],5,FALSE)),"Fora do DRE",VLOOKUP(Base_Periodo1[[#This Row],[CONTA]],BaseContasDRE[#All],6,FALSE))</f>
        <v>Fora do DRE</v>
      </c>
      <c r="U109" s="3" t="str">
        <f>IF(ISERROR(VLOOKUP(Base_Periodo1[[#This Row],[CONTA]],BaseContasDRE[#All],7,FALSE)),"Fora do DRE",VLOOKUP(Base_Periodo1[[#This Row],[CONTA]],BaseContasDRE[#All],7,FALSE))</f>
        <v>Fora do DRE</v>
      </c>
      <c r="V109" s="3" t="str">
        <f>IF(Base_Periodo1[[#This Row],[Tipo_Linha]]="Fora do DRE","Fora do DRE","( "&amp;Base_Periodo1[[#This Row],[Tipo_Linha]]&amp;" ) "&amp;Base_Periodo1[[#This Row],[Filtro]])</f>
        <v>Fora do DRE</v>
      </c>
      <c r="W109" s="3" t="str">
        <f>LEFT(Base_Periodo1[[#This Row],[CLASS]],3)</f>
        <v>1.1</v>
      </c>
    </row>
    <row r="110" spans="1:23" hidden="1">
      <c r="A110" s="3" t="str">
        <f t="shared" si="1"/>
        <v>Período 1</v>
      </c>
      <c r="B110">
        <v>20880</v>
      </c>
      <c r="C110" t="s">
        <v>503</v>
      </c>
      <c r="D110" t="s">
        <v>522</v>
      </c>
      <c r="E110" s="3" t="str">
        <f>IF(LEN(Base_Periodo1[[#This Row],[CLASS]])&gt;=7,LEFT(Base_Periodo1[[#This Row],[CLASS]],7),"")</f>
        <v>1.1.2.1</v>
      </c>
      <c r="F110" s="3" t="str">
        <f>VLOOKUP(Base_Periodo1[[#This Row],[Aux]],Base_Contas_Balanco[#All],2,FALSE)</f>
        <v>Creditos com Cooperados</v>
      </c>
      <c r="G110" s="1">
        <v>42881</v>
      </c>
      <c r="H110" s="225">
        <v>24436.510000000184</v>
      </c>
      <c r="I110" s="225">
        <v>27535.98</v>
      </c>
      <c r="J110" s="225">
        <v>9797.7199999999993</v>
      </c>
      <c r="K110" s="225">
        <v>42174.770000000179</v>
      </c>
      <c r="L1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42174.77</v>
      </c>
      <c r="M110" s="225">
        <f>ROUND(IF(AND(Base_Periodo1[[#This Row],[Tipo_Linha]]="-",Base_Periodo1[[#This Row],[TIPOSALDO]]="D"),Base_Periodo1[[#This Row],[SALDO_ATUAL]]*-1,Base_Periodo1[[#This Row],[SALDO_ATUAL]]),4)</f>
        <v>42174.77</v>
      </c>
      <c r="N110" t="s">
        <v>116</v>
      </c>
      <c r="O110" t="s">
        <v>397</v>
      </c>
      <c r="P110" t="s">
        <v>397</v>
      </c>
      <c r="Q110">
        <v>7</v>
      </c>
      <c r="R110" s="225">
        <f>Base_Periodo1[[#This Row],[CREDITOS]]-Base_Periodo1[[#This Row],[DEBITOS]]</f>
        <v>-17738.260000000002</v>
      </c>
      <c r="S110" s="3" t="str">
        <f>IF(ISERROR(VLOOKUP(Base_Periodo1[[#This Row],[CONTA]],BaseContasDRE[#All],4,FALSE)),"Fora do DRE",VLOOKUP(Base_Periodo1[[#This Row],[CONTA]],BaseContasDRE[#All],4,FALSE))</f>
        <v>Fora do DRE</v>
      </c>
      <c r="T110" s="3" t="str">
        <f>IF(ISERROR(VLOOKUP(Base_Periodo1[[#This Row],[CONTA]],BaseContasDRE[#All],5,FALSE)),"Fora do DRE",VLOOKUP(Base_Periodo1[[#This Row],[CONTA]],BaseContasDRE[#All],6,FALSE))</f>
        <v>Fora do DRE</v>
      </c>
      <c r="U110" s="3" t="str">
        <f>IF(ISERROR(VLOOKUP(Base_Periodo1[[#This Row],[CONTA]],BaseContasDRE[#All],7,FALSE)),"Fora do DRE",VLOOKUP(Base_Periodo1[[#This Row],[CONTA]],BaseContasDRE[#All],7,FALSE))</f>
        <v>Fora do DRE</v>
      </c>
      <c r="V110" s="3" t="str">
        <f>IF(Base_Periodo1[[#This Row],[Tipo_Linha]]="Fora do DRE","Fora do DRE","( "&amp;Base_Periodo1[[#This Row],[Tipo_Linha]]&amp;" ) "&amp;Base_Periodo1[[#This Row],[Filtro]])</f>
        <v>Fora do DRE</v>
      </c>
      <c r="W110" s="3" t="str">
        <f>LEFT(Base_Periodo1[[#This Row],[CLASS]],3)</f>
        <v>1.1</v>
      </c>
    </row>
    <row r="111" spans="1:23" hidden="1">
      <c r="A111" s="3" t="str">
        <f t="shared" si="1"/>
        <v>Período 1</v>
      </c>
      <c r="B111">
        <v>7445</v>
      </c>
      <c r="C111" t="s">
        <v>503</v>
      </c>
      <c r="D111" t="s">
        <v>6699</v>
      </c>
      <c r="E111" s="3" t="str">
        <f>IF(LEN(Base_Periodo1[[#This Row],[CLASS]])&gt;=7,LEFT(Base_Periodo1[[#This Row],[CLASS]],7),"")</f>
        <v>1.1.2.1</v>
      </c>
      <c r="F111" s="3" t="str">
        <f>VLOOKUP(Base_Periodo1[[#This Row],[Aux]],Base_Contas_Balanco[#All],2,FALSE)</f>
        <v>Creditos com Cooperados</v>
      </c>
      <c r="G111" s="1">
        <v>42878</v>
      </c>
      <c r="I111" s="225">
        <v>200</v>
      </c>
      <c r="J111" s="225">
        <v>200</v>
      </c>
      <c r="K111" s="225">
        <v>4.6566128730773926E-10</v>
      </c>
      <c r="L1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1" s="225">
        <f>ROUND(IF(AND(Base_Periodo1[[#This Row],[Tipo_Linha]]="-",Base_Periodo1[[#This Row],[TIPOSALDO]]="D"),Base_Periodo1[[#This Row],[SALDO_ATUAL]]*-1,Base_Periodo1[[#This Row],[SALDO_ATUAL]]),4)</f>
        <v>0</v>
      </c>
      <c r="N111" t="s">
        <v>116</v>
      </c>
      <c r="O111" t="s">
        <v>436</v>
      </c>
      <c r="P111" t="s">
        <v>436</v>
      </c>
      <c r="Q111">
        <v>7</v>
      </c>
      <c r="R111" s="225">
        <f>Base_Periodo1[[#This Row],[CREDITOS]]-Base_Periodo1[[#This Row],[DEBITOS]]</f>
        <v>0</v>
      </c>
      <c r="S111" s="3" t="str">
        <f>IF(ISERROR(VLOOKUP(Base_Periodo1[[#This Row],[CONTA]],BaseContasDRE[#All],4,FALSE)),"Fora do DRE",VLOOKUP(Base_Periodo1[[#This Row],[CONTA]],BaseContasDRE[#All],4,FALSE))</f>
        <v>Fora do DRE</v>
      </c>
      <c r="T111" s="3" t="str">
        <f>IF(ISERROR(VLOOKUP(Base_Periodo1[[#This Row],[CONTA]],BaseContasDRE[#All],5,FALSE)),"Fora do DRE",VLOOKUP(Base_Periodo1[[#This Row],[CONTA]],BaseContasDRE[#All],6,FALSE))</f>
        <v>Fora do DRE</v>
      </c>
      <c r="U111" s="3" t="str">
        <f>IF(ISERROR(VLOOKUP(Base_Periodo1[[#This Row],[CONTA]],BaseContasDRE[#All],7,FALSE)),"Fora do DRE",VLOOKUP(Base_Periodo1[[#This Row],[CONTA]],BaseContasDRE[#All],7,FALSE))</f>
        <v>Fora do DRE</v>
      </c>
      <c r="V111" s="3" t="str">
        <f>IF(Base_Periodo1[[#This Row],[Tipo_Linha]]="Fora do DRE","Fora do DRE","( "&amp;Base_Periodo1[[#This Row],[Tipo_Linha]]&amp;" ) "&amp;Base_Periodo1[[#This Row],[Filtro]])</f>
        <v>Fora do DRE</v>
      </c>
      <c r="W111" s="3" t="str">
        <f>LEFT(Base_Periodo1[[#This Row],[CLASS]],3)</f>
        <v>1.1</v>
      </c>
    </row>
    <row r="112" spans="1:23" hidden="1">
      <c r="A112" s="3" t="str">
        <f t="shared" si="1"/>
        <v>Período 1</v>
      </c>
      <c r="B112">
        <v>29201</v>
      </c>
      <c r="C112" t="s">
        <v>503</v>
      </c>
      <c r="D112" t="s">
        <v>523</v>
      </c>
      <c r="E112" s="3" t="str">
        <f>IF(LEN(Base_Periodo1[[#This Row],[CLASS]])&gt;=7,LEFT(Base_Periodo1[[#This Row],[CLASS]],7),"")</f>
        <v>1.1.2.1</v>
      </c>
      <c r="F112" s="3" t="str">
        <f>VLOOKUP(Base_Periodo1[[#This Row],[Aux]],Base_Contas_Balanco[#All],2,FALSE)</f>
        <v>Creditos com Cooperados</v>
      </c>
      <c r="G112" s="1">
        <v>42864</v>
      </c>
      <c r="H112" s="225">
        <v>9770.9999999999927</v>
      </c>
      <c r="I112" s="225">
        <v>0</v>
      </c>
      <c r="J112" s="225">
        <v>9771</v>
      </c>
      <c r="K112" s="225">
        <v>-7.2759576141834259E-12</v>
      </c>
      <c r="L1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2" s="225">
        <f>ROUND(IF(AND(Base_Periodo1[[#This Row],[Tipo_Linha]]="-",Base_Periodo1[[#This Row],[TIPOSALDO]]="D"),Base_Periodo1[[#This Row],[SALDO_ATUAL]]*-1,Base_Periodo1[[#This Row],[SALDO_ATUAL]]),4)</f>
        <v>0</v>
      </c>
      <c r="N112" t="s">
        <v>116</v>
      </c>
      <c r="O112" t="s">
        <v>397</v>
      </c>
      <c r="P112" t="s">
        <v>436</v>
      </c>
      <c r="Q112">
        <v>7</v>
      </c>
      <c r="R112" s="225">
        <f>Base_Periodo1[[#This Row],[CREDITOS]]-Base_Periodo1[[#This Row],[DEBITOS]]</f>
        <v>9771</v>
      </c>
      <c r="S112" s="3" t="str">
        <f>IF(ISERROR(VLOOKUP(Base_Periodo1[[#This Row],[CONTA]],BaseContasDRE[#All],4,FALSE)),"Fora do DRE",VLOOKUP(Base_Periodo1[[#This Row],[CONTA]],BaseContasDRE[#All],4,FALSE))</f>
        <v>Fora do DRE</v>
      </c>
      <c r="T112" s="3" t="str">
        <f>IF(ISERROR(VLOOKUP(Base_Periodo1[[#This Row],[CONTA]],BaseContasDRE[#All],5,FALSE)),"Fora do DRE",VLOOKUP(Base_Periodo1[[#This Row],[CONTA]],BaseContasDRE[#All],6,FALSE))</f>
        <v>Fora do DRE</v>
      </c>
      <c r="U112" s="3" t="str">
        <f>IF(ISERROR(VLOOKUP(Base_Periodo1[[#This Row],[CONTA]],BaseContasDRE[#All],7,FALSE)),"Fora do DRE",VLOOKUP(Base_Periodo1[[#This Row],[CONTA]],BaseContasDRE[#All],7,FALSE))</f>
        <v>Fora do DRE</v>
      </c>
      <c r="V112" s="3" t="str">
        <f>IF(Base_Periodo1[[#This Row],[Tipo_Linha]]="Fora do DRE","Fora do DRE","( "&amp;Base_Periodo1[[#This Row],[Tipo_Linha]]&amp;" ) "&amp;Base_Periodo1[[#This Row],[Filtro]])</f>
        <v>Fora do DRE</v>
      </c>
      <c r="W112" s="3" t="str">
        <f>LEFT(Base_Periodo1[[#This Row],[CLASS]],3)</f>
        <v>1.1</v>
      </c>
    </row>
    <row r="113" spans="1:23" hidden="1">
      <c r="A113" s="3" t="str">
        <f t="shared" si="1"/>
        <v>Período 1</v>
      </c>
      <c r="B113">
        <v>39421</v>
      </c>
      <c r="C113" t="s">
        <v>503</v>
      </c>
      <c r="D113" t="s">
        <v>524</v>
      </c>
      <c r="E113" s="3" t="str">
        <f>IF(LEN(Base_Periodo1[[#This Row],[CLASS]])&gt;=7,LEFT(Base_Periodo1[[#This Row],[CLASS]],7),"")</f>
        <v>1.1.2.1</v>
      </c>
      <c r="F113" s="3" t="str">
        <f>VLOOKUP(Base_Periodo1[[#This Row],[Aux]],Base_Contas_Balanco[#All],2,FALSE)</f>
        <v>Creditos com Cooperados</v>
      </c>
      <c r="G113" s="1">
        <v>42871</v>
      </c>
      <c r="H113" s="225">
        <v>30287.880000000005</v>
      </c>
      <c r="I113" s="225">
        <v>787.57</v>
      </c>
      <c r="J113" s="225">
        <v>30287.950000000004</v>
      </c>
      <c r="K113" s="225">
        <v>787.5</v>
      </c>
      <c r="L1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787.5</v>
      </c>
      <c r="M113" s="225">
        <f>ROUND(IF(AND(Base_Periodo1[[#This Row],[Tipo_Linha]]="-",Base_Periodo1[[#This Row],[TIPOSALDO]]="D"),Base_Periodo1[[#This Row],[SALDO_ATUAL]]*-1,Base_Periodo1[[#This Row],[SALDO_ATUAL]]),4)</f>
        <v>787.5</v>
      </c>
      <c r="N113" t="s">
        <v>116</v>
      </c>
      <c r="O113" t="s">
        <v>397</v>
      </c>
      <c r="P113" t="s">
        <v>397</v>
      </c>
      <c r="Q113">
        <v>7</v>
      </c>
      <c r="R113" s="225">
        <f>Base_Periodo1[[#This Row],[CREDITOS]]-Base_Periodo1[[#This Row],[DEBITOS]]</f>
        <v>29500.380000000005</v>
      </c>
      <c r="S113" s="3" t="str">
        <f>IF(ISERROR(VLOOKUP(Base_Periodo1[[#This Row],[CONTA]],BaseContasDRE[#All],4,FALSE)),"Fora do DRE",VLOOKUP(Base_Periodo1[[#This Row],[CONTA]],BaseContasDRE[#All],4,FALSE))</f>
        <v>Fora do DRE</v>
      </c>
      <c r="T113" s="3" t="str">
        <f>IF(ISERROR(VLOOKUP(Base_Periodo1[[#This Row],[CONTA]],BaseContasDRE[#All],5,FALSE)),"Fora do DRE",VLOOKUP(Base_Periodo1[[#This Row],[CONTA]],BaseContasDRE[#All],6,FALSE))</f>
        <v>Fora do DRE</v>
      </c>
      <c r="U113" s="3" t="str">
        <f>IF(ISERROR(VLOOKUP(Base_Periodo1[[#This Row],[CONTA]],BaseContasDRE[#All],7,FALSE)),"Fora do DRE",VLOOKUP(Base_Periodo1[[#This Row],[CONTA]],BaseContasDRE[#All],7,FALSE))</f>
        <v>Fora do DRE</v>
      </c>
      <c r="V113" s="3" t="str">
        <f>IF(Base_Periodo1[[#This Row],[Tipo_Linha]]="Fora do DRE","Fora do DRE","( "&amp;Base_Periodo1[[#This Row],[Tipo_Linha]]&amp;" ) "&amp;Base_Periodo1[[#This Row],[Filtro]])</f>
        <v>Fora do DRE</v>
      </c>
      <c r="W113" s="3" t="str">
        <f>LEFT(Base_Periodo1[[#This Row],[CLASS]],3)</f>
        <v>1.1</v>
      </c>
    </row>
    <row r="114" spans="1:23" hidden="1">
      <c r="A114" s="3" t="str">
        <f t="shared" si="1"/>
        <v>Período 1</v>
      </c>
      <c r="B114">
        <v>4596</v>
      </c>
      <c r="C114" t="s">
        <v>503</v>
      </c>
      <c r="D114" t="s">
        <v>525</v>
      </c>
      <c r="E114" s="3" t="str">
        <f>IF(LEN(Base_Periodo1[[#This Row],[CLASS]])&gt;=7,LEFT(Base_Periodo1[[#This Row],[CLASS]],7),"")</f>
        <v>1.1.2.1</v>
      </c>
      <c r="F114" s="3" t="str">
        <f>VLOOKUP(Base_Periodo1[[#This Row],[Aux]],Base_Contas_Balanco[#All],2,FALSE)</f>
        <v>Creditos com Cooperados</v>
      </c>
      <c r="G114" s="1">
        <v>42860</v>
      </c>
      <c r="H114" s="225">
        <v>0.51999999990221113</v>
      </c>
      <c r="I114" s="225">
        <v>940</v>
      </c>
      <c r="J114" s="225">
        <v>0</v>
      </c>
      <c r="K114" s="225">
        <v>939.48000000009779</v>
      </c>
      <c r="L1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939.48</v>
      </c>
      <c r="M114" s="225">
        <f>ROUND(IF(AND(Base_Periodo1[[#This Row],[Tipo_Linha]]="-",Base_Periodo1[[#This Row],[TIPOSALDO]]="D"),Base_Periodo1[[#This Row],[SALDO_ATUAL]]*-1,Base_Periodo1[[#This Row],[SALDO_ATUAL]]),4)</f>
        <v>939.48</v>
      </c>
      <c r="N114" t="s">
        <v>116</v>
      </c>
      <c r="O114" t="s">
        <v>459</v>
      </c>
      <c r="P114" t="s">
        <v>397</v>
      </c>
      <c r="Q114">
        <v>7</v>
      </c>
      <c r="R114" s="225">
        <f>Base_Periodo1[[#This Row],[CREDITOS]]-Base_Periodo1[[#This Row],[DEBITOS]]</f>
        <v>-940</v>
      </c>
      <c r="S114" s="3" t="str">
        <f>IF(ISERROR(VLOOKUP(Base_Periodo1[[#This Row],[CONTA]],BaseContasDRE[#All],4,FALSE)),"Fora do DRE",VLOOKUP(Base_Periodo1[[#This Row],[CONTA]],BaseContasDRE[#All],4,FALSE))</f>
        <v>Fora do DRE</v>
      </c>
      <c r="T114" s="3" t="str">
        <f>IF(ISERROR(VLOOKUP(Base_Periodo1[[#This Row],[CONTA]],BaseContasDRE[#All],5,FALSE)),"Fora do DRE",VLOOKUP(Base_Periodo1[[#This Row],[CONTA]],BaseContasDRE[#All],6,FALSE))</f>
        <v>Fora do DRE</v>
      </c>
      <c r="U114" s="3" t="str">
        <f>IF(ISERROR(VLOOKUP(Base_Periodo1[[#This Row],[CONTA]],BaseContasDRE[#All],7,FALSE)),"Fora do DRE",VLOOKUP(Base_Periodo1[[#This Row],[CONTA]],BaseContasDRE[#All],7,FALSE))</f>
        <v>Fora do DRE</v>
      </c>
      <c r="V114" s="3" t="str">
        <f>IF(Base_Periodo1[[#This Row],[Tipo_Linha]]="Fora do DRE","Fora do DRE","( "&amp;Base_Periodo1[[#This Row],[Tipo_Linha]]&amp;" ) "&amp;Base_Periodo1[[#This Row],[Filtro]])</f>
        <v>Fora do DRE</v>
      </c>
      <c r="W114" s="3" t="str">
        <f>LEFT(Base_Periodo1[[#This Row],[CLASS]],3)</f>
        <v>1.1</v>
      </c>
    </row>
    <row r="115" spans="1:23" hidden="1">
      <c r="A115" s="3" t="str">
        <f t="shared" si="1"/>
        <v>Período 1</v>
      </c>
      <c r="B115">
        <v>7669</v>
      </c>
      <c r="C115" t="s">
        <v>503</v>
      </c>
      <c r="D115" t="s">
        <v>5127</v>
      </c>
      <c r="E115" s="3" t="str">
        <f>IF(LEN(Base_Periodo1[[#This Row],[CLASS]])&gt;=7,LEFT(Base_Periodo1[[#This Row],[CLASS]],7),"")</f>
        <v>1.1.2.1</v>
      </c>
      <c r="F115" s="3" t="str">
        <f>VLOOKUP(Base_Periodo1[[#This Row],[Aux]],Base_Contas_Balanco[#All],2,FALSE)</f>
        <v>Creditos com Cooperados</v>
      </c>
      <c r="G115" s="1">
        <v>42858</v>
      </c>
      <c r="H115" s="225">
        <v>2600</v>
      </c>
      <c r="I115" s="225">
        <v>800</v>
      </c>
      <c r="J115" s="225">
        <v>0</v>
      </c>
      <c r="K115" s="225">
        <v>3400</v>
      </c>
      <c r="L1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3400</v>
      </c>
      <c r="M115" s="225">
        <f>ROUND(IF(AND(Base_Periodo1[[#This Row],[Tipo_Linha]]="-",Base_Periodo1[[#This Row],[TIPOSALDO]]="D"),Base_Periodo1[[#This Row],[SALDO_ATUAL]]*-1,Base_Periodo1[[#This Row],[SALDO_ATUAL]]),4)</f>
        <v>3400</v>
      </c>
      <c r="N115" t="s">
        <v>116</v>
      </c>
      <c r="O115" t="s">
        <v>397</v>
      </c>
      <c r="P115" t="s">
        <v>397</v>
      </c>
      <c r="Q115">
        <v>7</v>
      </c>
      <c r="R115" s="225">
        <f>Base_Periodo1[[#This Row],[CREDITOS]]-Base_Periodo1[[#This Row],[DEBITOS]]</f>
        <v>-800</v>
      </c>
      <c r="S115" s="3" t="str">
        <f>IF(ISERROR(VLOOKUP(Base_Periodo1[[#This Row],[CONTA]],BaseContasDRE[#All],4,FALSE)),"Fora do DRE",VLOOKUP(Base_Periodo1[[#This Row],[CONTA]],BaseContasDRE[#All],4,FALSE))</f>
        <v>Fora do DRE</v>
      </c>
      <c r="T115" s="3" t="str">
        <f>IF(ISERROR(VLOOKUP(Base_Periodo1[[#This Row],[CONTA]],BaseContasDRE[#All],5,FALSE)),"Fora do DRE",VLOOKUP(Base_Periodo1[[#This Row],[CONTA]],BaseContasDRE[#All],6,FALSE))</f>
        <v>Fora do DRE</v>
      </c>
      <c r="U115" s="3" t="str">
        <f>IF(ISERROR(VLOOKUP(Base_Periodo1[[#This Row],[CONTA]],BaseContasDRE[#All],7,FALSE)),"Fora do DRE",VLOOKUP(Base_Periodo1[[#This Row],[CONTA]],BaseContasDRE[#All],7,FALSE))</f>
        <v>Fora do DRE</v>
      </c>
      <c r="V115" s="3" t="str">
        <f>IF(Base_Periodo1[[#This Row],[Tipo_Linha]]="Fora do DRE","Fora do DRE","( "&amp;Base_Periodo1[[#This Row],[Tipo_Linha]]&amp;" ) "&amp;Base_Periodo1[[#This Row],[Filtro]])</f>
        <v>Fora do DRE</v>
      </c>
      <c r="W115" s="3" t="str">
        <f>LEFT(Base_Periodo1[[#This Row],[CLASS]],3)</f>
        <v>1.1</v>
      </c>
    </row>
    <row r="116" spans="1:23" hidden="1">
      <c r="A116" s="3" t="str">
        <f t="shared" si="1"/>
        <v>Período 1</v>
      </c>
      <c r="B116">
        <v>3772</v>
      </c>
      <c r="C116" t="s">
        <v>503</v>
      </c>
      <c r="D116" t="s">
        <v>526</v>
      </c>
      <c r="E116" s="3" t="str">
        <f>IF(LEN(Base_Periodo1[[#This Row],[CLASS]])&gt;=7,LEFT(Base_Periodo1[[#This Row],[CLASS]],7),"")</f>
        <v>1.1.2.1</v>
      </c>
      <c r="F116" s="3" t="str">
        <f>VLOOKUP(Base_Periodo1[[#This Row],[Aux]],Base_Contas_Balanco[#All],2,FALSE)</f>
        <v>Creditos com Cooperados</v>
      </c>
      <c r="G116" s="1">
        <v>42881</v>
      </c>
      <c r="H116" s="225">
        <v>411871.21000000462</v>
      </c>
      <c r="I116" s="225">
        <v>29399.200000000001</v>
      </c>
      <c r="J116" s="225">
        <v>166900.28000000003</v>
      </c>
      <c r="K116" s="225">
        <v>274370.1300000046</v>
      </c>
      <c r="L1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274370.13</v>
      </c>
      <c r="M116" s="225">
        <f>ROUND(IF(AND(Base_Periodo1[[#This Row],[Tipo_Linha]]="-",Base_Periodo1[[#This Row],[TIPOSALDO]]="D"),Base_Periodo1[[#This Row],[SALDO_ATUAL]]*-1,Base_Periodo1[[#This Row],[SALDO_ATUAL]]),4)</f>
        <v>274370.13</v>
      </c>
      <c r="N116" t="s">
        <v>116</v>
      </c>
      <c r="O116" t="s">
        <v>397</v>
      </c>
      <c r="P116" t="s">
        <v>397</v>
      </c>
      <c r="Q116">
        <v>7</v>
      </c>
      <c r="R116" s="225">
        <f>Base_Periodo1[[#This Row],[CREDITOS]]-Base_Periodo1[[#This Row],[DEBITOS]]</f>
        <v>137501.08000000002</v>
      </c>
      <c r="S116" s="3" t="str">
        <f>IF(ISERROR(VLOOKUP(Base_Periodo1[[#This Row],[CONTA]],BaseContasDRE[#All],4,FALSE)),"Fora do DRE",VLOOKUP(Base_Periodo1[[#This Row],[CONTA]],BaseContasDRE[#All],4,FALSE))</f>
        <v>Fora do DRE</v>
      </c>
      <c r="T116" s="3" t="str">
        <f>IF(ISERROR(VLOOKUP(Base_Periodo1[[#This Row],[CONTA]],BaseContasDRE[#All],5,FALSE)),"Fora do DRE",VLOOKUP(Base_Periodo1[[#This Row],[CONTA]],BaseContasDRE[#All],6,FALSE))</f>
        <v>Fora do DRE</v>
      </c>
      <c r="U116" s="3" t="str">
        <f>IF(ISERROR(VLOOKUP(Base_Periodo1[[#This Row],[CONTA]],BaseContasDRE[#All],7,FALSE)),"Fora do DRE",VLOOKUP(Base_Periodo1[[#This Row],[CONTA]],BaseContasDRE[#All],7,FALSE))</f>
        <v>Fora do DRE</v>
      </c>
      <c r="V116" s="3" t="str">
        <f>IF(Base_Periodo1[[#This Row],[Tipo_Linha]]="Fora do DRE","Fora do DRE","( "&amp;Base_Periodo1[[#This Row],[Tipo_Linha]]&amp;" ) "&amp;Base_Periodo1[[#This Row],[Filtro]])</f>
        <v>Fora do DRE</v>
      </c>
      <c r="W116" s="3" t="str">
        <f>LEFT(Base_Periodo1[[#This Row],[CLASS]],3)</f>
        <v>1.1</v>
      </c>
    </row>
    <row r="117" spans="1:23" hidden="1">
      <c r="A117" s="3" t="str">
        <f t="shared" si="1"/>
        <v>Período 1</v>
      </c>
      <c r="B117">
        <v>52729</v>
      </c>
      <c r="C117" t="s">
        <v>503</v>
      </c>
      <c r="D117" t="s">
        <v>5128</v>
      </c>
      <c r="E117" s="3" t="str">
        <f>IF(LEN(Base_Periodo1[[#This Row],[CLASS]])&gt;=7,LEFT(Base_Periodo1[[#This Row],[CLASS]],7),"")</f>
        <v>1.1.2.1</v>
      </c>
      <c r="F117" s="3" t="str">
        <f>VLOOKUP(Base_Periodo1[[#This Row],[Aux]],Base_Contas_Balanco[#All],2,FALSE)</f>
        <v>Creditos com Cooperados</v>
      </c>
      <c r="G117" s="1">
        <v>42859</v>
      </c>
      <c r="H117" s="225">
        <v>4796.0000000000146</v>
      </c>
      <c r="I117" s="225">
        <v>0</v>
      </c>
      <c r="J117" s="225">
        <v>2588</v>
      </c>
      <c r="K117" s="225">
        <v>2208.0000000000146</v>
      </c>
      <c r="L1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2208</v>
      </c>
      <c r="M117" s="225">
        <f>ROUND(IF(AND(Base_Periodo1[[#This Row],[Tipo_Linha]]="-",Base_Periodo1[[#This Row],[TIPOSALDO]]="D"),Base_Periodo1[[#This Row],[SALDO_ATUAL]]*-1,Base_Periodo1[[#This Row],[SALDO_ATUAL]]),4)</f>
        <v>2208</v>
      </c>
      <c r="N117" t="s">
        <v>116</v>
      </c>
      <c r="O117" t="s">
        <v>397</v>
      </c>
      <c r="P117" t="s">
        <v>397</v>
      </c>
      <c r="Q117">
        <v>7</v>
      </c>
      <c r="R117" s="225">
        <f>Base_Periodo1[[#This Row],[CREDITOS]]-Base_Periodo1[[#This Row],[DEBITOS]]</f>
        <v>2588</v>
      </c>
      <c r="S117" s="3" t="str">
        <f>IF(ISERROR(VLOOKUP(Base_Periodo1[[#This Row],[CONTA]],BaseContasDRE[#All],4,FALSE)),"Fora do DRE",VLOOKUP(Base_Periodo1[[#This Row],[CONTA]],BaseContasDRE[#All],4,FALSE))</f>
        <v>Fora do DRE</v>
      </c>
      <c r="T117" s="3" t="str">
        <f>IF(ISERROR(VLOOKUP(Base_Periodo1[[#This Row],[CONTA]],BaseContasDRE[#All],5,FALSE)),"Fora do DRE",VLOOKUP(Base_Periodo1[[#This Row],[CONTA]],BaseContasDRE[#All],6,FALSE))</f>
        <v>Fora do DRE</v>
      </c>
      <c r="U117" s="3" t="str">
        <f>IF(ISERROR(VLOOKUP(Base_Periodo1[[#This Row],[CONTA]],BaseContasDRE[#All],7,FALSE)),"Fora do DRE",VLOOKUP(Base_Periodo1[[#This Row],[CONTA]],BaseContasDRE[#All],7,FALSE))</f>
        <v>Fora do DRE</v>
      </c>
      <c r="V117" s="3" t="str">
        <f>IF(Base_Periodo1[[#This Row],[Tipo_Linha]]="Fora do DRE","Fora do DRE","( "&amp;Base_Periodo1[[#This Row],[Tipo_Linha]]&amp;" ) "&amp;Base_Periodo1[[#This Row],[Filtro]])</f>
        <v>Fora do DRE</v>
      </c>
      <c r="W117" s="3" t="str">
        <f>LEFT(Base_Periodo1[[#This Row],[CLASS]],3)</f>
        <v>1.1</v>
      </c>
    </row>
    <row r="118" spans="1:23" hidden="1">
      <c r="A118" s="3" t="str">
        <f t="shared" si="1"/>
        <v>Período 1</v>
      </c>
      <c r="B118">
        <v>4828</v>
      </c>
      <c r="C118" t="s">
        <v>503</v>
      </c>
      <c r="D118" t="s">
        <v>527</v>
      </c>
      <c r="E118" s="3" t="str">
        <f>IF(LEN(Base_Periodo1[[#This Row],[CLASS]])&gt;=7,LEFT(Base_Periodo1[[#This Row],[CLASS]],7),"")</f>
        <v>1.1.2.1</v>
      </c>
      <c r="F118" s="3" t="str">
        <f>VLOOKUP(Base_Periodo1[[#This Row],[Aux]],Base_Contas_Balanco[#All],2,FALSE)</f>
        <v>Creditos com Cooperados</v>
      </c>
      <c r="G118" s="1">
        <v>42859</v>
      </c>
      <c r="H118" s="225">
        <v>114946.59999999846</v>
      </c>
      <c r="I118" s="225">
        <v>112525.64</v>
      </c>
      <c r="J118" s="225">
        <v>110361.69</v>
      </c>
      <c r="K118" s="225">
        <v>117110.54999999847</v>
      </c>
      <c r="L1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117110.55</v>
      </c>
      <c r="M118" s="225">
        <f>ROUND(IF(AND(Base_Periodo1[[#This Row],[Tipo_Linha]]="-",Base_Periodo1[[#This Row],[TIPOSALDO]]="D"),Base_Periodo1[[#This Row],[SALDO_ATUAL]]*-1,Base_Periodo1[[#This Row],[SALDO_ATUAL]]),4)</f>
        <v>117110.55</v>
      </c>
      <c r="N118" t="s">
        <v>116</v>
      </c>
      <c r="O118" t="s">
        <v>397</v>
      </c>
      <c r="P118" t="s">
        <v>397</v>
      </c>
      <c r="Q118">
        <v>7</v>
      </c>
      <c r="R118" s="225">
        <f>Base_Periodo1[[#This Row],[CREDITOS]]-Base_Periodo1[[#This Row],[DEBITOS]]</f>
        <v>-2163.9499999999971</v>
      </c>
      <c r="S118" s="3" t="str">
        <f>IF(ISERROR(VLOOKUP(Base_Periodo1[[#This Row],[CONTA]],BaseContasDRE[#All],4,FALSE)),"Fora do DRE",VLOOKUP(Base_Periodo1[[#This Row],[CONTA]],BaseContasDRE[#All],4,FALSE))</f>
        <v>Fora do DRE</v>
      </c>
      <c r="T118" s="3" t="str">
        <f>IF(ISERROR(VLOOKUP(Base_Periodo1[[#This Row],[CONTA]],BaseContasDRE[#All],5,FALSE)),"Fora do DRE",VLOOKUP(Base_Periodo1[[#This Row],[CONTA]],BaseContasDRE[#All],6,FALSE))</f>
        <v>Fora do DRE</v>
      </c>
      <c r="U118" s="3" t="str">
        <f>IF(ISERROR(VLOOKUP(Base_Periodo1[[#This Row],[CONTA]],BaseContasDRE[#All],7,FALSE)),"Fora do DRE",VLOOKUP(Base_Periodo1[[#This Row],[CONTA]],BaseContasDRE[#All],7,FALSE))</f>
        <v>Fora do DRE</v>
      </c>
      <c r="V118" s="3" t="str">
        <f>IF(Base_Periodo1[[#This Row],[Tipo_Linha]]="Fora do DRE","Fora do DRE","( "&amp;Base_Periodo1[[#This Row],[Tipo_Linha]]&amp;" ) "&amp;Base_Periodo1[[#This Row],[Filtro]])</f>
        <v>Fora do DRE</v>
      </c>
      <c r="W118" s="3" t="str">
        <f>LEFT(Base_Periodo1[[#This Row],[CLASS]],3)</f>
        <v>1.1</v>
      </c>
    </row>
    <row r="119" spans="1:23" hidden="1">
      <c r="A119" s="3" t="str">
        <f t="shared" si="1"/>
        <v>Período 1</v>
      </c>
      <c r="B119">
        <v>7069</v>
      </c>
      <c r="C119" t="s">
        <v>503</v>
      </c>
      <c r="D119" t="s">
        <v>5373</v>
      </c>
      <c r="E119" s="3" t="str">
        <f>IF(LEN(Base_Periodo1[[#This Row],[CLASS]])&gt;=7,LEFT(Base_Periodo1[[#This Row],[CLASS]],7),"")</f>
        <v>1.1.2.1</v>
      </c>
      <c r="F119" s="3" t="str">
        <f>VLOOKUP(Base_Periodo1[[#This Row],[Aux]],Base_Contas_Balanco[#All],2,FALSE)</f>
        <v>Creditos com Cooperados</v>
      </c>
      <c r="G119" s="1">
        <v>42885</v>
      </c>
      <c r="H119" s="225">
        <v>73103.999999999651</v>
      </c>
      <c r="I119" s="225">
        <v>0</v>
      </c>
      <c r="J119" s="225">
        <v>73104</v>
      </c>
      <c r="K119" s="225">
        <v>-3.4924596548080444E-10</v>
      </c>
      <c r="L1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9" s="225">
        <f>ROUND(IF(AND(Base_Periodo1[[#This Row],[Tipo_Linha]]="-",Base_Periodo1[[#This Row],[TIPOSALDO]]="D"),Base_Periodo1[[#This Row],[SALDO_ATUAL]]*-1,Base_Periodo1[[#This Row],[SALDO_ATUAL]]),4)</f>
        <v>0</v>
      </c>
      <c r="N119" t="s">
        <v>116</v>
      </c>
      <c r="O119" t="s">
        <v>397</v>
      </c>
      <c r="P119" t="s">
        <v>436</v>
      </c>
      <c r="Q119">
        <v>7</v>
      </c>
      <c r="R119" s="225">
        <f>Base_Periodo1[[#This Row],[CREDITOS]]-Base_Periodo1[[#This Row],[DEBITOS]]</f>
        <v>73104</v>
      </c>
      <c r="S119" s="3" t="str">
        <f>IF(ISERROR(VLOOKUP(Base_Periodo1[[#This Row],[CONTA]],BaseContasDRE[#All],4,FALSE)),"Fora do DRE",VLOOKUP(Base_Periodo1[[#This Row],[CONTA]],BaseContasDRE[#All],4,FALSE))</f>
        <v>Fora do DRE</v>
      </c>
      <c r="T119" s="3" t="str">
        <f>IF(ISERROR(VLOOKUP(Base_Periodo1[[#This Row],[CONTA]],BaseContasDRE[#All],5,FALSE)),"Fora do DRE",VLOOKUP(Base_Periodo1[[#This Row],[CONTA]],BaseContasDRE[#All],6,FALSE))</f>
        <v>Fora do DRE</v>
      </c>
      <c r="U119" s="3" t="str">
        <f>IF(ISERROR(VLOOKUP(Base_Periodo1[[#This Row],[CONTA]],BaseContasDRE[#All],7,FALSE)),"Fora do DRE",VLOOKUP(Base_Periodo1[[#This Row],[CONTA]],BaseContasDRE[#All],7,FALSE))</f>
        <v>Fora do DRE</v>
      </c>
      <c r="V119" s="3" t="str">
        <f>IF(Base_Periodo1[[#This Row],[Tipo_Linha]]="Fora do DRE","Fora do DRE","( "&amp;Base_Periodo1[[#This Row],[Tipo_Linha]]&amp;" ) "&amp;Base_Periodo1[[#This Row],[Filtro]])</f>
        <v>Fora do DRE</v>
      </c>
      <c r="W119" s="3" t="str">
        <f>LEFT(Base_Periodo1[[#This Row],[CLASS]],3)</f>
        <v>1.1</v>
      </c>
    </row>
    <row r="120" spans="1:23" hidden="1">
      <c r="A120" s="3" t="str">
        <f t="shared" si="1"/>
        <v>Período 1</v>
      </c>
      <c r="B120">
        <v>2948</v>
      </c>
      <c r="C120" t="s">
        <v>503</v>
      </c>
      <c r="D120" t="s">
        <v>5849</v>
      </c>
      <c r="E120" s="3" t="str">
        <f>IF(LEN(Base_Periodo1[[#This Row],[CLASS]])&gt;=7,LEFT(Base_Periodo1[[#This Row],[CLASS]],7),"")</f>
        <v>1.1.2.1</v>
      </c>
      <c r="F120" s="3" t="str">
        <f>VLOOKUP(Base_Periodo1[[#This Row],[Aux]],Base_Contas_Balanco[#All],2,FALSE)</f>
        <v>Creditos com Cooperados</v>
      </c>
      <c r="G120" s="1">
        <v>42870</v>
      </c>
      <c r="H120" s="225">
        <v>13054.000000000058</v>
      </c>
      <c r="I120" s="225">
        <v>3000</v>
      </c>
      <c r="J120" s="225">
        <v>0</v>
      </c>
      <c r="K120" s="225">
        <v>16054.000000000058</v>
      </c>
      <c r="L1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16054</v>
      </c>
      <c r="M120" s="225">
        <f>ROUND(IF(AND(Base_Periodo1[[#This Row],[Tipo_Linha]]="-",Base_Periodo1[[#This Row],[TIPOSALDO]]="D"),Base_Periodo1[[#This Row],[SALDO_ATUAL]]*-1,Base_Periodo1[[#This Row],[SALDO_ATUAL]]),4)</f>
        <v>16054</v>
      </c>
      <c r="N120" t="s">
        <v>116</v>
      </c>
      <c r="O120" t="s">
        <v>397</v>
      </c>
      <c r="P120" t="s">
        <v>397</v>
      </c>
      <c r="Q120">
        <v>7</v>
      </c>
      <c r="R120" s="225">
        <f>Base_Periodo1[[#This Row],[CREDITOS]]-Base_Periodo1[[#This Row],[DEBITOS]]</f>
        <v>-3000</v>
      </c>
      <c r="S120" s="3" t="str">
        <f>IF(ISERROR(VLOOKUP(Base_Periodo1[[#This Row],[CONTA]],BaseContasDRE[#All],4,FALSE)),"Fora do DRE",VLOOKUP(Base_Periodo1[[#This Row],[CONTA]],BaseContasDRE[#All],4,FALSE))</f>
        <v>Fora do DRE</v>
      </c>
      <c r="T120" s="3" t="str">
        <f>IF(ISERROR(VLOOKUP(Base_Periodo1[[#This Row],[CONTA]],BaseContasDRE[#All],5,FALSE)),"Fora do DRE",VLOOKUP(Base_Periodo1[[#This Row],[CONTA]],BaseContasDRE[#All],6,FALSE))</f>
        <v>Fora do DRE</v>
      </c>
      <c r="U120" s="3" t="str">
        <f>IF(ISERROR(VLOOKUP(Base_Periodo1[[#This Row],[CONTA]],BaseContasDRE[#All],7,FALSE)),"Fora do DRE",VLOOKUP(Base_Periodo1[[#This Row],[CONTA]],BaseContasDRE[#All],7,FALSE))</f>
        <v>Fora do DRE</v>
      </c>
      <c r="V120" s="3" t="str">
        <f>IF(Base_Periodo1[[#This Row],[Tipo_Linha]]="Fora do DRE","Fora do DRE","( "&amp;Base_Periodo1[[#This Row],[Tipo_Linha]]&amp;" ) "&amp;Base_Periodo1[[#This Row],[Filtro]])</f>
        <v>Fora do DRE</v>
      </c>
      <c r="W120" s="3" t="str">
        <f>LEFT(Base_Periodo1[[#This Row],[CLASS]],3)</f>
        <v>1.1</v>
      </c>
    </row>
    <row r="121" spans="1:23" hidden="1">
      <c r="A121" s="3" t="str">
        <f t="shared" si="1"/>
        <v>Período 1</v>
      </c>
      <c r="B121">
        <v>15612</v>
      </c>
      <c r="C121" t="s">
        <v>503</v>
      </c>
      <c r="D121" t="s">
        <v>528</v>
      </c>
      <c r="E121" s="3" t="str">
        <f>IF(LEN(Base_Periodo1[[#This Row],[CLASS]])&gt;=7,LEFT(Base_Periodo1[[#This Row],[CLASS]],7),"")</f>
        <v>1.1.2.1</v>
      </c>
      <c r="F121" s="3" t="str">
        <f>VLOOKUP(Base_Periodo1[[#This Row],[Aux]],Base_Contas_Balanco[#All],2,FALSE)</f>
        <v>Creditos com Cooperados</v>
      </c>
      <c r="G121" s="1">
        <v>42860</v>
      </c>
      <c r="H121" s="225">
        <v>5179.2099999999919</v>
      </c>
      <c r="I121" s="225">
        <v>814.97</v>
      </c>
      <c r="J121" s="225">
        <v>5994.1799999999994</v>
      </c>
      <c r="K121" s="225">
        <v>-7.2759576141834259E-12</v>
      </c>
      <c r="L1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21" s="225">
        <f>ROUND(IF(AND(Base_Periodo1[[#This Row],[Tipo_Linha]]="-",Base_Periodo1[[#This Row],[TIPOSALDO]]="D"),Base_Periodo1[[#This Row],[SALDO_ATUAL]]*-1,Base_Periodo1[[#This Row],[SALDO_ATUAL]]),4)</f>
        <v>0</v>
      </c>
      <c r="N121" t="s">
        <v>116</v>
      </c>
      <c r="O121" t="s">
        <v>397</v>
      </c>
      <c r="P121" t="s">
        <v>436</v>
      </c>
      <c r="Q121">
        <v>7</v>
      </c>
      <c r="R121" s="225">
        <f>Base_Periodo1[[#This Row],[CREDITOS]]-Base_Periodo1[[#This Row],[DEBITOS]]</f>
        <v>5179.2099999999991</v>
      </c>
      <c r="S121" s="3" t="str">
        <f>IF(ISERROR(VLOOKUP(Base_Periodo1[[#This Row],[CONTA]],BaseContasDRE[#All],4,FALSE)),"Fora do DRE",VLOOKUP(Base_Periodo1[[#This Row],[CONTA]],BaseContasDRE[#All],4,FALSE))</f>
        <v>Fora do DRE</v>
      </c>
      <c r="T121" s="3" t="str">
        <f>IF(ISERROR(VLOOKUP(Base_Periodo1[[#This Row],[CONTA]],BaseContasDRE[#All],5,FALSE)),"Fora do DRE",VLOOKUP(Base_Periodo1[[#This Row],[CONTA]],BaseContasDRE[#All],6,FALSE))</f>
        <v>Fora do DRE</v>
      </c>
      <c r="U121" s="3" t="str">
        <f>IF(ISERROR(VLOOKUP(Base_Periodo1[[#This Row],[CONTA]],BaseContasDRE[#All],7,FALSE)),"Fora do DRE",VLOOKUP(Base_Periodo1[[#This Row],[CONTA]],BaseContasDRE[#All],7,FALSE))</f>
        <v>Fora do DRE</v>
      </c>
      <c r="V121" s="3" t="str">
        <f>IF(Base_Periodo1[[#This Row],[Tipo_Linha]]="Fora do DRE","Fora do DRE","( "&amp;Base_Periodo1[[#This Row],[Tipo_Linha]]&amp;" ) "&amp;Base_Periodo1[[#This Row],[Filtro]])</f>
        <v>Fora do DRE</v>
      </c>
      <c r="W121" s="3" t="str">
        <f>LEFT(Base_Periodo1[[#This Row],[CLASS]],3)</f>
        <v>1.1</v>
      </c>
    </row>
    <row r="122" spans="1:23" hidden="1">
      <c r="A122" s="3" t="str">
        <f t="shared" si="1"/>
        <v>Período 1</v>
      </c>
      <c r="B122">
        <v>55601</v>
      </c>
      <c r="C122" t="s">
        <v>503</v>
      </c>
      <c r="D122" t="s">
        <v>5292</v>
      </c>
      <c r="E122" s="3" t="str">
        <f>IF(LEN(Base_Periodo1[[#This Row],[CLASS]])&gt;=7,LEFT(Base_Periodo1[[#This Row],[CLASS]],7),"")</f>
        <v>1.1.2.1</v>
      </c>
      <c r="F122" s="3" t="str">
        <f>VLOOKUP(Base_Periodo1[[#This Row],[Aux]],Base_Contas_Balanco[#All],2,FALSE)</f>
        <v>Creditos com Cooperados</v>
      </c>
      <c r="G122" s="1">
        <v>42864</v>
      </c>
      <c r="H122" s="225">
        <v>169659.15</v>
      </c>
      <c r="I122" s="225">
        <v>0</v>
      </c>
      <c r="J122" s="225">
        <v>67478.200000000012</v>
      </c>
      <c r="K122" s="225">
        <v>102180.94999999998</v>
      </c>
      <c r="L1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102180.95</v>
      </c>
      <c r="M122" s="225">
        <f>ROUND(IF(AND(Base_Periodo1[[#This Row],[Tipo_Linha]]="-",Base_Periodo1[[#This Row],[TIPOSALDO]]="D"),Base_Periodo1[[#This Row],[SALDO_ATUAL]]*-1,Base_Periodo1[[#This Row],[SALDO_ATUAL]]),4)</f>
        <v>102180.95</v>
      </c>
      <c r="N122" t="s">
        <v>116</v>
      </c>
      <c r="O122" t="s">
        <v>397</v>
      </c>
      <c r="P122" t="s">
        <v>397</v>
      </c>
      <c r="Q122">
        <v>7</v>
      </c>
      <c r="R122" s="225">
        <f>Base_Periodo1[[#This Row],[CREDITOS]]-Base_Periodo1[[#This Row],[DEBITOS]]</f>
        <v>67478.200000000012</v>
      </c>
      <c r="S122" s="3" t="str">
        <f>IF(ISERROR(VLOOKUP(Base_Periodo1[[#This Row],[CONTA]],BaseContasDRE[#All],4,FALSE)),"Fora do DRE",VLOOKUP(Base_Periodo1[[#This Row],[CONTA]],BaseContasDRE[#All],4,FALSE))</f>
        <v>Fora do DRE</v>
      </c>
      <c r="T122" s="3" t="str">
        <f>IF(ISERROR(VLOOKUP(Base_Periodo1[[#This Row],[CONTA]],BaseContasDRE[#All],5,FALSE)),"Fora do DRE",VLOOKUP(Base_Periodo1[[#This Row],[CONTA]],BaseContasDRE[#All],6,FALSE))</f>
        <v>Fora do DRE</v>
      </c>
      <c r="U122" s="3" t="str">
        <f>IF(ISERROR(VLOOKUP(Base_Periodo1[[#This Row],[CONTA]],BaseContasDRE[#All],7,FALSE)),"Fora do DRE",VLOOKUP(Base_Periodo1[[#This Row],[CONTA]],BaseContasDRE[#All],7,FALSE))</f>
        <v>Fora do DRE</v>
      </c>
      <c r="V122" s="3" t="str">
        <f>IF(Base_Periodo1[[#This Row],[Tipo_Linha]]="Fora do DRE","Fora do DRE","( "&amp;Base_Periodo1[[#This Row],[Tipo_Linha]]&amp;" ) "&amp;Base_Periodo1[[#This Row],[Filtro]])</f>
        <v>Fora do DRE</v>
      </c>
      <c r="W122" s="3" t="str">
        <f>LEFT(Base_Periodo1[[#This Row],[CLASS]],3)</f>
        <v>1.1</v>
      </c>
    </row>
    <row r="123" spans="1:23" hidden="1">
      <c r="A123" s="3" t="str">
        <f t="shared" si="1"/>
        <v>Período 1</v>
      </c>
      <c r="B123">
        <v>8388</v>
      </c>
      <c r="C123" t="s">
        <v>503</v>
      </c>
      <c r="D123" t="s">
        <v>530</v>
      </c>
      <c r="E123" s="3" t="str">
        <f>IF(LEN(Base_Periodo1[[#This Row],[CLASS]])&gt;=7,LEFT(Base_Periodo1[[#This Row],[CLASS]],7),"")</f>
        <v>1.1.2.1</v>
      </c>
      <c r="F123" s="3" t="str">
        <f>VLOOKUP(Base_Periodo1[[#This Row],[Aux]],Base_Contas_Balanco[#All],2,FALSE)</f>
        <v>Creditos com Cooperados</v>
      </c>
      <c r="G123" s="1">
        <v>42881</v>
      </c>
      <c r="H123" s="225">
        <v>6246</v>
      </c>
      <c r="I123" s="225">
        <v>480</v>
      </c>
      <c r="J123" s="225">
        <v>0</v>
      </c>
      <c r="K123" s="225">
        <v>6726</v>
      </c>
      <c r="L1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6726</v>
      </c>
      <c r="M123" s="225">
        <f>ROUND(IF(AND(Base_Periodo1[[#This Row],[Tipo_Linha]]="-",Base_Periodo1[[#This Row],[TIPOSALDO]]="D"),Base_Periodo1[[#This Row],[SALDO_ATUAL]]*-1,Base_Periodo1[[#This Row],[SALDO_ATUAL]]),4)</f>
        <v>6726</v>
      </c>
      <c r="N123" t="s">
        <v>116</v>
      </c>
      <c r="O123" t="s">
        <v>397</v>
      </c>
      <c r="P123" t="s">
        <v>397</v>
      </c>
      <c r="Q123">
        <v>7</v>
      </c>
      <c r="R123" s="225">
        <f>Base_Periodo1[[#This Row],[CREDITOS]]-Base_Periodo1[[#This Row],[DEBITOS]]</f>
        <v>-480</v>
      </c>
      <c r="S123" s="3" t="str">
        <f>IF(ISERROR(VLOOKUP(Base_Periodo1[[#This Row],[CONTA]],BaseContasDRE[#All],4,FALSE)),"Fora do DRE",VLOOKUP(Base_Periodo1[[#This Row],[CONTA]],BaseContasDRE[#All],4,FALSE))</f>
        <v>Fora do DRE</v>
      </c>
      <c r="T123" s="3" t="str">
        <f>IF(ISERROR(VLOOKUP(Base_Periodo1[[#This Row],[CONTA]],BaseContasDRE[#All],5,FALSE)),"Fora do DRE",VLOOKUP(Base_Periodo1[[#This Row],[CONTA]],BaseContasDRE[#All],6,FALSE))</f>
        <v>Fora do DRE</v>
      </c>
      <c r="U123" s="3" t="str">
        <f>IF(ISERROR(VLOOKUP(Base_Periodo1[[#This Row],[CONTA]],BaseContasDRE[#All],7,FALSE)),"Fora do DRE",VLOOKUP(Base_Periodo1[[#This Row],[CONTA]],BaseContasDRE[#All],7,FALSE))</f>
        <v>Fora do DRE</v>
      </c>
      <c r="V123" s="3" t="str">
        <f>IF(Base_Periodo1[[#This Row],[Tipo_Linha]]="Fora do DRE","Fora do DRE","( "&amp;Base_Periodo1[[#This Row],[Tipo_Linha]]&amp;" ) "&amp;Base_Periodo1[[#This Row],[Filtro]])</f>
        <v>Fora do DRE</v>
      </c>
      <c r="W123" s="3" t="str">
        <f>LEFT(Base_Periodo1[[#This Row],[CLASS]],3)</f>
        <v>1.1</v>
      </c>
    </row>
    <row r="124" spans="1:23" hidden="1">
      <c r="A124" s="3" t="str">
        <f t="shared" si="1"/>
        <v>Período 1</v>
      </c>
      <c r="B124">
        <v>4192</v>
      </c>
      <c r="C124" t="s">
        <v>503</v>
      </c>
      <c r="D124" t="s">
        <v>4984</v>
      </c>
      <c r="E124" s="3" t="str">
        <f>IF(LEN(Base_Periodo1[[#This Row],[CLASS]])&gt;=7,LEFT(Base_Periodo1[[#This Row],[CLASS]],7),"")</f>
        <v>1.1.2.1</v>
      </c>
      <c r="F124" s="3" t="str">
        <f>VLOOKUP(Base_Periodo1[[#This Row],[Aux]],Base_Contas_Balanco[#All],2,FALSE)</f>
        <v>Creditos com Cooperados</v>
      </c>
      <c r="G124" s="1">
        <v>42877</v>
      </c>
      <c r="H124" s="225">
        <v>25028.489999999874</v>
      </c>
      <c r="I124" s="225">
        <v>1150</v>
      </c>
      <c r="J124" s="225">
        <v>0</v>
      </c>
      <c r="K124" s="225">
        <v>26178.489999999874</v>
      </c>
      <c r="L1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26178.49</v>
      </c>
      <c r="M124" s="225">
        <f>ROUND(IF(AND(Base_Periodo1[[#This Row],[Tipo_Linha]]="-",Base_Periodo1[[#This Row],[TIPOSALDO]]="D"),Base_Periodo1[[#This Row],[SALDO_ATUAL]]*-1,Base_Periodo1[[#This Row],[SALDO_ATUAL]]),4)</f>
        <v>26178.49</v>
      </c>
      <c r="N124" t="s">
        <v>116</v>
      </c>
      <c r="O124" t="s">
        <v>397</v>
      </c>
      <c r="P124" t="s">
        <v>397</v>
      </c>
      <c r="Q124">
        <v>7</v>
      </c>
      <c r="R124" s="225">
        <f>Base_Periodo1[[#This Row],[CREDITOS]]-Base_Periodo1[[#This Row],[DEBITOS]]</f>
        <v>-1150</v>
      </c>
      <c r="S124" s="3" t="str">
        <f>IF(ISERROR(VLOOKUP(Base_Periodo1[[#This Row],[CONTA]],BaseContasDRE[#All],4,FALSE)),"Fora do DRE",VLOOKUP(Base_Periodo1[[#This Row],[CONTA]],BaseContasDRE[#All],4,FALSE))</f>
        <v>Fora do DRE</v>
      </c>
      <c r="T124" s="3" t="str">
        <f>IF(ISERROR(VLOOKUP(Base_Periodo1[[#This Row],[CONTA]],BaseContasDRE[#All],5,FALSE)),"Fora do DRE",VLOOKUP(Base_Periodo1[[#This Row],[CONTA]],BaseContasDRE[#All],6,FALSE))</f>
        <v>Fora do DRE</v>
      </c>
      <c r="U124" s="3" t="str">
        <f>IF(ISERROR(VLOOKUP(Base_Periodo1[[#This Row],[CONTA]],BaseContasDRE[#All],7,FALSE)),"Fora do DRE",VLOOKUP(Base_Periodo1[[#This Row],[CONTA]],BaseContasDRE[#All],7,FALSE))</f>
        <v>Fora do DRE</v>
      </c>
      <c r="V124" s="3" t="str">
        <f>IF(Base_Periodo1[[#This Row],[Tipo_Linha]]="Fora do DRE","Fora do DRE","( "&amp;Base_Periodo1[[#This Row],[Tipo_Linha]]&amp;" ) "&amp;Base_Periodo1[[#This Row],[Filtro]])</f>
        <v>Fora do DRE</v>
      </c>
      <c r="W124" s="3" t="str">
        <f>LEFT(Base_Periodo1[[#This Row],[CLASS]],3)</f>
        <v>1.1</v>
      </c>
    </row>
    <row r="125" spans="1:23" hidden="1">
      <c r="A125" s="3" t="str">
        <f t="shared" si="1"/>
        <v>Período 1</v>
      </c>
      <c r="B125">
        <v>21123</v>
      </c>
      <c r="C125" t="s">
        <v>503</v>
      </c>
      <c r="D125" t="s">
        <v>4422</v>
      </c>
      <c r="E125" s="3" t="str">
        <f>IF(LEN(Base_Periodo1[[#This Row],[CLASS]])&gt;=7,LEFT(Base_Periodo1[[#This Row],[CLASS]],7),"")</f>
        <v>1.1.2.1</v>
      </c>
      <c r="F125" s="3" t="str">
        <f>VLOOKUP(Base_Periodo1[[#This Row],[Aux]],Base_Contas_Balanco[#All],2,FALSE)</f>
        <v>Creditos com Cooperados</v>
      </c>
      <c r="G125" s="1">
        <v>42802</v>
      </c>
      <c r="H125" s="225">
        <v>25426.899999999994</v>
      </c>
      <c r="I125" s="225">
        <v>0</v>
      </c>
      <c r="J125" s="225">
        <v>0</v>
      </c>
      <c r="K125" s="225">
        <v>25426.899999999994</v>
      </c>
      <c r="L1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25426.9</v>
      </c>
      <c r="M125" s="225">
        <f>ROUND(IF(AND(Base_Periodo1[[#This Row],[Tipo_Linha]]="-",Base_Periodo1[[#This Row],[TIPOSALDO]]="D"),Base_Periodo1[[#This Row],[SALDO_ATUAL]]*-1,Base_Periodo1[[#This Row],[SALDO_ATUAL]]),4)</f>
        <v>25426.9</v>
      </c>
      <c r="N125" t="s">
        <v>116</v>
      </c>
      <c r="O125" t="s">
        <v>397</v>
      </c>
      <c r="P125" t="s">
        <v>397</v>
      </c>
      <c r="Q125">
        <v>7</v>
      </c>
      <c r="R125" s="225">
        <f>Base_Periodo1[[#This Row],[CREDITOS]]-Base_Periodo1[[#This Row],[DEBITOS]]</f>
        <v>0</v>
      </c>
      <c r="S125" s="3" t="str">
        <f>IF(ISERROR(VLOOKUP(Base_Periodo1[[#This Row],[CONTA]],BaseContasDRE[#All],4,FALSE)),"Fora do DRE",VLOOKUP(Base_Periodo1[[#This Row],[CONTA]],BaseContasDRE[#All],4,FALSE))</f>
        <v>Fora do DRE</v>
      </c>
      <c r="T125" s="3" t="str">
        <f>IF(ISERROR(VLOOKUP(Base_Periodo1[[#This Row],[CONTA]],BaseContasDRE[#All],5,FALSE)),"Fora do DRE",VLOOKUP(Base_Periodo1[[#This Row],[CONTA]],BaseContasDRE[#All],6,FALSE))</f>
        <v>Fora do DRE</v>
      </c>
      <c r="U125" s="3" t="str">
        <f>IF(ISERROR(VLOOKUP(Base_Periodo1[[#This Row],[CONTA]],BaseContasDRE[#All],7,FALSE)),"Fora do DRE",VLOOKUP(Base_Periodo1[[#This Row],[CONTA]],BaseContasDRE[#All],7,FALSE))</f>
        <v>Fora do DRE</v>
      </c>
      <c r="V125" s="3" t="str">
        <f>IF(Base_Periodo1[[#This Row],[Tipo_Linha]]="Fora do DRE","Fora do DRE","( "&amp;Base_Periodo1[[#This Row],[Tipo_Linha]]&amp;" ) "&amp;Base_Periodo1[[#This Row],[Filtro]])</f>
        <v>Fora do DRE</v>
      </c>
      <c r="W125" s="3" t="str">
        <f>LEFT(Base_Periodo1[[#This Row],[CLASS]],3)</f>
        <v>1.1</v>
      </c>
    </row>
    <row r="126" spans="1:23" hidden="1">
      <c r="A126" s="3" t="str">
        <f t="shared" si="1"/>
        <v>Período 1</v>
      </c>
      <c r="B126">
        <v>55106</v>
      </c>
      <c r="C126" t="s">
        <v>503</v>
      </c>
      <c r="D126" t="s">
        <v>5262</v>
      </c>
      <c r="E126" s="3" t="str">
        <f>IF(LEN(Base_Periodo1[[#This Row],[CLASS]])&gt;=7,LEFT(Base_Periodo1[[#This Row],[CLASS]],7),"")</f>
        <v>1.1.2.1</v>
      </c>
      <c r="F126" s="3" t="str">
        <f>VLOOKUP(Base_Periodo1[[#This Row],[Aux]],Base_Contas_Balanco[#All],2,FALSE)</f>
        <v>Creditos com Cooperados</v>
      </c>
      <c r="G126" s="1">
        <v>42880</v>
      </c>
      <c r="H126" s="225">
        <v>212757.6</v>
      </c>
      <c r="I126" s="225">
        <v>3694.5699999999997</v>
      </c>
      <c r="J126" s="225">
        <v>216452.16999999998</v>
      </c>
      <c r="K126" s="225">
        <v>2.9103830456733704E-11</v>
      </c>
      <c r="L1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26" s="225">
        <f>ROUND(IF(AND(Base_Periodo1[[#This Row],[Tipo_Linha]]="-",Base_Periodo1[[#This Row],[TIPOSALDO]]="D"),Base_Periodo1[[#This Row],[SALDO_ATUAL]]*-1,Base_Periodo1[[#This Row],[SALDO_ATUAL]]),4)</f>
        <v>0</v>
      </c>
      <c r="N126" t="s">
        <v>116</v>
      </c>
      <c r="O126" t="s">
        <v>397</v>
      </c>
      <c r="P126" t="s">
        <v>436</v>
      </c>
      <c r="Q126">
        <v>7</v>
      </c>
      <c r="R126" s="225">
        <f>Base_Periodo1[[#This Row],[CREDITOS]]-Base_Periodo1[[#This Row],[DEBITOS]]</f>
        <v>212757.59999999998</v>
      </c>
      <c r="S126" s="3" t="str">
        <f>IF(ISERROR(VLOOKUP(Base_Periodo1[[#This Row],[CONTA]],BaseContasDRE[#All],4,FALSE)),"Fora do DRE",VLOOKUP(Base_Periodo1[[#This Row],[CONTA]],BaseContasDRE[#All],4,FALSE))</f>
        <v>Fora do DRE</v>
      </c>
      <c r="T126" s="3" t="str">
        <f>IF(ISERROR(VLOOKUP(Base_Periodo1[[#This Row],[CONTA]],BaseContasDRE[#All],5,FALSE)),"Fora do DRE",VLOOKUP(Base_Periodo1[[#This Row],[CONTA]],BaseContasDRE[#All],6,FALSE))</f>
        <v>Fora do DRE</v>
      </c>
      <c r="U126" s="3" t="str">
        <f>IF(ISERROR(VLOOKUP(Base_Periodo1[[#This Row],[CONTA]],BaseContasDRE[#All],7,FALSE)),"Fora do DRE",VLOOKUP(Base_Periodo1[[#This Row],[CONTA]],BaseContasDRE[#All],7,FALSE))</f>
        <v>Fora do DRE</v>
      </c>
      <c r="V126" s="3" t="str">
        <f>IF(Base_Periodo1[[#This Row],[Tipo_Linha]]="Fora do DRE","Fora do DRE","( "&amp;Base_Periodo1[[#This Row],[Tipo_Linha]]&amp;" ) "&amp;Base_Periodo1[[#This Row],[Filtro]])</f>
        <v>Fora do DRE</v>
      </c>
      <c r="W126" s="3" t="str">
        <f>LEFT(Base_Periodo1[[#This Row],[CLASS]],3)</f>
        <v>1.1</v>
      </c>
    </row>
    <row r="127" spans="1:23" hidden="1">
      <c r="A127" s="3" t="str">
        <f t="shared" si="1"/>
        <v>Período 1</v>
      </c>
      <c r="B127">
        <v>47160</v>
      </c>
      <c r="C127" t="s">
        <v>503</v>
      </c>
      <c r="D127" t="s">
        <v>6700</v>
      </c>
      <c r="E127" s="3" t="str">
        <f>IF(LEN(Base_Periodo1[[#This Row],[CLASS]])&gt;=7,LEFT(Base_Periodo1[[#This Row],[CLASS]],7),"")</f>
        <v>1.1.2.1</v>
      </c>
      <c r="F127" s="3" t="str">
        <f>VLOOKUP(Base_Periodo1[[#This Row],[Aux]],Base_Contas_Balanco[#All],2,FALSE)</f>
        <v>Creditos com Cooperados</v>
      </c>
      <c r="G127" s="1">
        <v>42880</v>
      </c>
      <c r="I127" s="225">
        <v>4018.78</v>
      </c>
      <c r="J127" s="225">
        <v>4018.78</v>
      </c>
      <c r="K127" s="225">
        <v>-1.4551915228366852E-11</v>
      </c>
      <c r="L1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27" s="225">
        <f>ROUND(IF(AND(Base_Periodo1[[#This Row],[Tipo_Linha]]="-",Base_Periodo1[[#This Row],[TIPOSALDO]]="D"),Base_Periodo1[[#This Row],[SALDO_ATUAL]]*-1,Base_Periodo1[[#This Row],[SALDO_ATUAL]]),4)</f>
        <v>0</v>
      </c>
      <c r="N127" t="s">
        <v>116</v>
      </c>
      <c r="O127" t="s">
        <v>436</v>
      </c>
      <c r="P127" t="s">
        <v>436</v>
      </c>
      <c r="Q127">
        <v>7</v>
      </c>
      <c r="R127" s="225">
        <f>Base_Periodo1[[#This Row],[CREDITOS]]-Base_Periodo1[[#This Row],[DEBITOS]]</f>
        <v>0</v>
      </c>
      <c r="S127" s="3" t="str">
        <f>IF(ISERROR(VLOOKUP(Base_Periodo1[[#This Row],[CONTA]],BaseContasDRE[#All],4,FALSE)),"Fora do DRE",VLOOKUP(Base_Periodo1[[#This Row],[CONTA]],BaseContasDRE[#All],4,FALSE))</f>
        <v>Fora do DRE</v>
      </c>
      <c r="T127" s="3" t="str">
        <f>IF(ISERROR(VLOOKUP(Base_Periodo1[[#This Row],[CONTA]],BaseContasDRE[#All],5,FALSE)),"Fora do DRE",VLOOKUP(Base_Periodo1[[#This Row],[CONTA]],BaseContasDRE[#All],6,FALSE))</f>
        <v>Fora do DRE</v>
      </c>
      <c r="U127" s="3" t="str">
        <f>IF(ISERROR(VLOOKUP(Base_Periodo1[[#This Row],[CONTA]],BaseContasDRE[#All],7,FALSE)),"Fora do DRE",VLOOKUP(Base_Periodo1[[#This Row],[CONTA]],BaseContasDRE[#All],7,FALSE))</f>
        <v>Fora do DRE</v>
      </c>
      <c r="V127" s="3" t="str">
        <f>IF(Base_Periodo1[[#This Row],[Tipo_Linha]]="Fora do DRE","Fora do DRE","( "&amp;Base_Periodo1[[#This Row],[Tipo_Linha]]&amp;" ) "&amp;Base_Periodo1[[#This Row],[Filtro]])</f>
        <v>Fora do DRE</v>
      </c>
      <c r="W127" s="3" t="str">
        <f>LEFT(Base_Periodo1[[#This Row],[CLASS]],3)</f>
        <v>1.1</v>
      </c>
    </row>
    <row r="128" spans="1:23" hidden="1">
      <c r="A128" s="3" t="str">
        <f t="shared" si="1"/>
        <v>Período 1</v>
      </c>
      <c r="B128">
        <v>4044</v>
      </c>
      <c r="C128" t="s">
        <v>503</v>
      </c>
      <c r="D128" t="s">
        <v>4985</v>
      </c>
      <c r="E128" s="3" t="str">
        <f>IF(LEN(Base_Periodo1[[#This Row],[CLASS]])&gt;=7,LEFT(Base_Periodo1[[#This Row],[CLASS]],7),"")</f>
        <v>1.1.2.1</v>
      </c>
      <c r="F128" s="3" t="str">
        <f>VLOOKUP(Base_Periodo1[[#This Row],[Aux]],Base_Contas_Balanco[#All],2,FALSE)</f>
        <v>Creditos com Cooperados</v>
      </c>
      <c r="G128" s="1">
        <v>42865</v>
      </c>
      <c r="I128" s="225">
        <v>1248.75</v>
      </c>
      <c r="J128" s="225">
        <v>1248.75</v>
      </c>
      <c r="K128" s="225">
        <v>1.1641532182693481E-10</v>
      </c>
      <c r="L1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28" s="225">
        <f>ROUND(IF(AND(Base_Periodo1[[#This Row],[Tipo_Linha]]="-",Base_Periodo1[[#This Row],[TIPOSALDO]]="D"),Base_Periodo1[[#This Row],[SALDO_ATUAL]]*-1,Base_Periodo1[[#This Row],[SALDO_ATUAL]]),4)</f>
        <v>0</v>
      </c>
      <c r="N128" t="s">
        <v>116</v>
      </c>
      <c r="O128" t="s">
        <v>436</v>
      </c>
      <c r="P128" t="s">
        <v>436</v>
      </c>
      <c r="Q128">
        <v>7</v>
      </c>
      <c r="R128" s="225">
        <f>Base_Periodo1[[#This Row],[CREDITOS]]-Base_Periodo1[[#This Row],[DEBITOS]]</f>
        <v>0</v>
      </c>
      <c r="S128" s="3" t="str">
        <f>IF(ISERROR(VLOOKUP(Base_Periodo1[[#This Row],[CONTA]],BaseContasDRE[#All],4,FALSE)),"Fora do DRE",VLOOKUP(Base_Periodo1[[#This Row],[CONTA]],BaseContasDRE[#All],4,FALSE))</f>
        <v>Fora do DRE</v>
      </c>
      <c r="T128" s="3" t="str">
        <f>IF(ISERROR(VLOOKUP(Base_Periodo1[[#This Row],[CONTA]],BaseContasDRE[#All],5,FALSE)),"Fora do DRE",VLOOKUP(Base_Periodo1[[#This Row],[CONTA]],BaseContasDRE[#All],6,FALSE))</f>
        <v>Fora do DRE</v>
      </c>
      <c r="U128" s="3" t="str">
        <f>IF(ISERROR(VLOOKUP(Base_Periodo1[[#This Row],[CONTA]],BaseContasDRE[#All],7,FALSE)),"Fora do DRE",VLOOKUP(Base_Periodo1[[#This Row],[CONTA]],BaseContasDRE[#All],7,FALSE))</f>
        <v>Fora do DRE</v>
      </c>
      <c r="V128" s="3" t="str">
        <f>IF(Base_Periodo1[[#This Row],[Tipo_Linha]]="Fora do DRE","Fora do DRE","( "&amp;Base_Periodo1[[#This Row],[Tipo_Linha]]&amp;" ) "&amp;Base_Periodo1[[#This Row],[Filtro]])</f>
        <v>Fora do DRE</v>
      </c>
      <c r="W128" s="3" t="str">
        <f>LEFT(Base_Periodo1[[#This Row],[CLASS]],3)</f>
        <v>1.1</v>
      </c>
    </row>
    <row r="129" spans="1:23" hidden="1">
      <c r="A129" s="3" t="str">
        <f t="shared" si="1"/>
        <v>Período 1</v>
      </c>
      <c r="B129">
        <v>3732</v>
      </c>
      <c r="C129" t="s">
        <v>503</v>
      </c>
      <c r="D129" t="s">
        <v>531</v>
      </c>
      <c r="E129" s="3" t="str">
        <f>IF(LEN(Base_Periodo1[[#This Row],[CLASS]])&gt;=7,LEFT(Base_Periodo1[[#This Row],[CLASS]],7),"")</f>
        <v>1.1.2.1</v>
      </c>
      <c r="F129" s="3" t="str">
        <f>VLOOKUP(Base_Periodo1[[#This Row],[Aux]],Base_Contas_Balanco[#All],2,FALSE)</f>
        <v>Creditos com Cooperados</v>
      </c>
      <c r="G129" s="1">
        <v>42825</v>
      </c>
      <c r="H129" s="225">
        <v>7429.6600000003236</v>
      </c>
      <c r="I129" s="225">
        <v>0</v>
      </c>
      <c r="J129" s="225">
        <v>0</v>
      </c>
      <c r="K129" s="225">
        <v>7429.6600000003236</v>
      </c>
      <c r="L1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7429.66</v>
      </c>
      <c r="M129" s="225">
        <f>ROUND(IF(AND(Base_Periodo1[[#This Row],[Tipo_Linha]]="-",Base_Periodo1[[#This Row],[TIPOSALDO]]="D"),Base_Periodo1[[#This Row],[SALDO_ATUAL]]*-1,Base_Periodo1[[#This Row],[SALDO_ATUAL]]),4)</f>
        <v>7429.66</v>
      </c>
      <c r="N129" t="s">
        <v>116</v>
      </c>
      <c r="O129" t="s">
        <v>397</v>
      </c>
      <c r="P129" t="s">
        <v>397</v>
      </c>
      <c r="Q129">
        <v>7</v>
      </c>
      <c r="R129" s="225">
        <f>Base_Periodo1[[#This Row],[CREDITOS]]-Base_Periodo1[[#This Row],[DEBITOS]]</f>
        <v>0</v>
      </c>
      <c r="S129" s="3" t="str">
        <f>IF(ISERROR(VLOOKUP(Base_Periodo1[[#This Row],[CONTA]],BaseContasDRE[#All],4,FALSE)),"Fora do DRE",VLOOKUP(Base_Periodo1[[#This Row],[CONTA]],BaseContasDRE[#All],4,FALSE))</f>
        <v>Fora do DRE</v>
      </c>
      <c r="T129" s="3" t="str">
        <f>IF(ISERROR(VLOOKUP(Base_Periodo1[[#This Row],[CONTA]],BaseContasDRE[#All],5,FALSE)),"Fora do DRE",VLOOKUP(Base_Periodo1[[#This Row],[CONTA]],BaseContasDRE[#All],6,FALSE))</f>
        <v>Fora do DRE</v>
      </c>
      <c r="U129" s="3" t="str">
        <f>IF(ISERROR(VLOOKUP(Base_Periodo1[[#This Row],[CONTA]],BaseContasDRE[#All],7,FALSE)),"Fora do DRE",VLOOKUP(Base_Periodo1[[#This Row],[CONTA]],BaseContasDRE[#All],7,FALSE))</f>
        <v>Fora do DRE</v>
      </c>
      <c r="V129" s="3" t="str">
        <f>IF(Base_Periodo1[[#This Row],[Tipo_Linha]]="Fora do DRE","Fora do DRE","( "&amp;Base_Periodo1[[#This Row],[Tipo_Linha]]&amp;" ) "&amp;Base_Periodo1[[#This Row],[Filtro]])</f>
        <v>Fora do DRE</v>
      </c>
      <c r="W129" s="3" t="str">
        <f>LEFT(Base_Periodo1[[#This Row],[CLASS]],3)</f>
        <v>1.1</v>
      </c>
    </row>
    <row r="130" spans="1:23" hidden="1">
      <c r="A130" s="3" t="str">
        <f t="shared" si="1"/>
        <v>Período 1</v>
      </c>
      <c r="B130">
        <v>9254</v>
      </c>
      <c r="C130" t="s">
        <v>503</v>
      </c>
      <c r="D130" t="s">
        <v>5129</v>
      </c>
      <c r="E130" s="3" t="str">
        <f>IF(LEN(Base_Periodo1[[#This Row],[CLASS]])&gt;=7,LEFT(Base_Periodo1[[#This Row],[CLASS]],7),"")</f>
        <v>1.1.2.1</v>
      </c>
      <c r="F130" s="3" t="str">
        <f>VLOOKUP(Base_Periodo1[[#This Row],[Aux]],Base_Contas_Balanco[#All],2,FALSE)</f>
        <v>Creditos com Cooperados</v>
      </c>
      <c r="G130" s="1">
        <v>42843</v>
      </c>
      <c r="H130" s="225">
        <v>5027.3199999999924</v>
      </c>
      <c r="I130" s="225">
        <v>0</v>
      </c>
      <c r="J130" s="225">
        <v>0</v>
      </c>
      <c r="K130" s="225">
        <v>5027.3199999999924</v>
      </c>
      <c r="L1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5027.32</v>
      </c>
      <c r="M130" s="225">
        <f>ROUND(IF(AND(Base_Periodo1[[#This Row],[Tipo_Linha]]="-",Base_Periodo1[[#This Row],[TIPOSALDO]]="D"),Base_Periodo1[[#This Row],[SALDO_ATUAL]]*-1,Base_Periodo1[[#This Row],[SALDO_ATUAL]]),4)</f>
        <v>5027.32</v>
      </c>
      <c r="N130" t="s">
        <v>116</v>
      </c>
      <c r="O130" t="s">
        <v>397</v>
      </c>
      <c r="P130" t="s">
        <v>397</v>
      </c>
      <c r="Q130">
        <v>7</v>
      </c>
      <c r="R130" s="225">
        <f>Base_Periodo1[[#This Row],[CREDITOS]]-Base_Periodo1[[#This Row],[DEBITOS]]</f>
        <v>0</v>
      </c>
      <c r="S130" s="3" t="str">
        <f>IF(ISERROR(VLOOKUP(Base_Periodo1[[#This Row],[CONTA]],BaseContasDRE[#All],4,FALSE)),"Fora do DRE",VLOOKUP(Base_Periodo1[[#This Row],[CONTA]],BaseContasDRE[#All],4,FALSE))</f>
        <v>Fora do DRE</v>
      </c>
      <c r="T130" s="3" t="str">
        <f>IF(ISERROR(VLOOKUP(Base_Periodo1[[#This Row],[CONTA]],BaseContasDRE[#All],5,FALSE)),"Fora do DRE",VLOOKUP(Base_Periodo1[[#This Row],[CONTA]],BaseContasDRE[#All],6,FALSE))</f>
        <v>Fora do DRE</v>
      </c>
      <c r="U130" s="3" t="str">
        <f>IF(ISERROR(VLOOKUP(Base_Periodo1[[#This Row],[CONTA]],BaseContasDRE[#All],7,FALSE)),"Fora do DRE",VLOOKUP(Base_Periodo1[[#This Row],[CONTA]],BaseContasDRE[#All],7,FALSE))</f>
        <v>Fora do DRE</v>
      </c>
      <c r="V130" s="3" t="str">
        <f>IF(Base_Periodo1[[#This Row],[Tipo_Linha]]="Fora do DRE","Fora do DRE","( "&amp;Base_Periodo1[[#This Row],[Tipo_Linha]]&amp;" ) "&amp;Base_Periodo1[[#This Row],[Filtro]])</f>
        <v>Fora do DRE</v>
      </c>
      <c r="W130" s="3" t="str">
        <f>LEFT(Base_Periodo1[[#This Row],[CLASS]],3)</f>
        <v>1.1</v>
      </c>
    </row>
    <row r="131" spans="1:23" hidden="1">
      <c r="A131" s="3" t="str">
        <f t="shared" si="1"/>
        <v>Período 1</v>
      </c>
      <c r="B131">
        <v>55111</v>
      </c>
      <c r="C131" t="s">
        <v>503</v>
      </c>
      <c r="D131" t="s">
        <v>5176</v>
      </c>
      <c r="E131" s="3" t="str">
        <f>IF(LEN(Base_Periodo1[[#This Row],[CLASS]])&gt;=7,LEFT(Base_Periodo1[[#This Row],[CLASS]],7),"")</f>
        <v>1.1.2.1</v>
      </c>
      <c r="F131" s="3" t="str">
        <f>VLOOKUP(Base_Periodo1[[#This Row],[Aux]],Base_Contas_Balanco[#All],2,FALSE)</f>
        <v>Creditos com Cooperados</v>
      </c>
      <c r="G131" s="1">
        <v>42724</v>
      </c>
      <c r="H131" s="225">
        <v>16706.650000000001</v>
      </c>
      <c r="I131" s="225">
        <v>0</v>
      </c>
      <c r="J131" s="225">
        <v>0</v>
      </c>
      <c r="K131" s="225">
        <v>16706.650000000001</v>
      </c>
      <c r="L1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16706.650000000001</v>
      </c>
      <c r="M131" s="225">
        <f>ROUND(IF(AND(Base_Periodo1[[#This Row],[Tipo_Linha]]="-",Base_Periodo1[[#This Row],[TIPOSALDO]]="D"),Base_Periodo1[[#This Row],[SALDO_ATUAL]]*-1,Base_Periodo1[[#This Row],[SALDO_ATUAL]]),4)</f>
        <v>16706.650000000001</v>
      </c>
      <c r="N131" t="s">
        <v>116</v>
      </c>
      <c r="O131" t="s">
        <v>397</v>
      </c>
      <c r="P131" t="s">
        <v>397</v>
      </c>
      <c r="Q131">
        <v>7</v>
      </c>
      <c r="R131" s="225">
        <f>Base_Periodo1[[#This Row],[CREDITOS]]-Base_Periodo1[[#This Row],[DEBITOS]]</f>
        <v>0</v>
      </c>
      <c r="S131" s="3" t="str">
        <f>IF(ISERROR(VLOOKUP(Base_Periodo1[[#This Row],[CONTA]],BaseContasDRE[#All],4,FALSE)),"Fora do DRE",VLOOKUP(Base_Periodo1[[#This Row],[CONTA]],BaseContasDRE[#All],4,FALSE))</f>
        <v>Fora do DRE</v>
      </c>
      <c r="T131" s="3" t="str">
        <f>IF(ISERROR(VLOOKUP(Base_Periodo1[[#This Row],[CONTA]],BaseContasDRE[#All],5,FALSE)),"Fora do DRE",VLOOKUP(Base_Periodo1[[#This Row],[CONTA]],BaseContasDRE[#All],6,FALSE))</f>
        <v>Fora do DRE</v>
      </c>
      <c r="U131" s="3" t="str">
        <f>IF(ISERROR(VLOOKUP(Base_Periodo1[[#This Row],[CONTA]],BaseContasDRE[#All],7,FALSE)),"Fora do DRE",VLOOKUP(Base_Periodo1[[#This Row],[CONTA]],BaseContasDRE[#All],7,FALSE))</f>
        <v>Fora do DRE</v>
      </c>
      <c r="V131" s="3" t="str">
        <f>IF(Base_Periodo1[[#This Row],[Tipo_Linha]]="Fora do DRE","Fora do DRE","( "&amp;Base_Periodo1[[#This Row],[Tipo_Linha]]&amp;" ) "&amp;Base_Periodo1[[#This Row],[Filtro]])</f>
        <v>Fora do DRE</v>
      </c>
      <c r="W131" s="3" t="str">
        <f>LEFT(Base_Periodo1[[#This Row],[CLASS]],3)</f>
        <v>1.1</v>
      </c>
    </row>
    <row r="132" spans="1:23" hidden="1">
      <c r="A132" s="3" t="str">
        <f t="shared" si="1"/>
        <v>Período 1</v>
      </c>
      <c r="B132">
        <v>3120</v>
      </c>
      <c r="C132" t="s">
        <v>503</v>
      </c>
      <c r="D132" t="s">
        <v>532</v>
      </c>
      <c r="E132" s="3" t="str">
        <f>IF(LEN(Base_Periodo1[[#This Row],[CLASS]])&gt;=7,LEFT(Base_Periodo1[[#This Row],[CLASS]],7),"")</f>
        <v>1.1.2.1</v>
      </c>
      <c r="F132" s="3" t="str">
        <f>VLOOKUP(Base_Periodo1[[#This Row],[Aux]],Base_Contas_Balanco[#All],2,FALSE)</f>
        <v>Creditos com Cooperados</v>
      </c>
      <c r="G132" s="1">
        <v>42885</v>
      </c>
      <c r="I132" s="225">
        <v>2188</v>
      </c>
      <c r="J132" s="225">
        <v>2188</v>
      </c>
      <c r="K132" s="225">
        <v>-1.862645149230957E-9</v>
      </c>
      <c r="L1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32" s="225">
        <f>ROUND(IF(AND(Base_Periodo1[[#This Row],[Tipo_Linha]]="-",Base_Periodo1[[#This Row],[TIPOSALDO]]="D"),Base_Periodo1[[#This Row],[SALDO_ATUAL]]*-1,Base_Periodo1[[#This Row],[SALDO_ATUAL]]),4)</f>
        <v>0</v>
      </c>
      <c r="N132" t="s">
        <v>116</v>
      </c>
      <c r="O132" t="s">
        <v>436</v>
      </c>
      <c r="P132" t="s">
        <v>436</v>
      </c>
      <c r="Q132">
        <v>7</v>
      </c>
      <c r="R132" s="225">
        <f>Base_Periodo1[[#This Row],[CREDITOS]]-Base_Periodo1[[#This Row],[DEBITOS]]</f>
        <v>0</v>
      </c>
      <c r="S132" s="3" t="str">
        <f>IF(ISERROR(VLOOKUP(Base_Periodo1[[#This Row],[CONTA]],BaseContasDRE[#All],4,FALSE)),"Fora do DRE",VLOOKUP(Base_Periodo1[[#This Row],[CONTA]],BaseContasDRE[#All],4,FALSE))</f>
        <v>Fora do DRE</v>
      </c>
      <c r="T132" s="3" t="str">
        <f>IF(ISERROR(VLOOKUP(Base_Periodo1[[#This Row],[CONTA]],BaseContasDRE[#All],5,FALSE)),"Fora do DRE",VLOOKUP(Base_Periodo1[[#This Row],[CONTA]],BaseContasDRE[#All],6,FALSE))</f>
        <v>Fora do DRE</v>
      </c>
      <c r="U132" s="3" t="str">
        <f>IF(ISERROR(VLOOKUP(Base_Periodo1[[#This Row],[CONTA]],BaseContasDRE[#All],7,FALSE)),"Fora do DRE",VLOOKUP(Base_Periodo1[[#This Row],[CONTA]],BaseContasDRE[#All],7,FALSE))</f>
        <v>Fora do DRE</v>
      </c>
      <c r="V132" s="3" t="str">
        <f>IF(Base_Periodo1[[#This Row],[Tipo_Linha]]="Fora do DRE","Fora do DRE","( "&amp;Base_Periodo1[[#This Row],[Tipo_Linha]]&amp;" ) "&amp;Base_Periodo1[[#This Row],[Filtro]])</f>
        <v>Fora do DRE</v>
      </c>
      <c r="W132" s="3" t="str">
        <f>LEFT(Base_Periodo1[[#This Row],[CLASS]],3)</f>
        <v>1.1</v>
      </c>
    </row>
    <row r="133" spans="1:23" hidden="1">
      <c r="A133" s="3" t="str">
        <f t="shared" si="1"/>
        <v>Período 1</v>
      </c>
      <c r="B133">
        <v>18480</v>
      </c>
      <c r="C133" t="s">
        <v>503</v>
      </c>
      <c r="D133" t="s">
        <v>5635</v>
      </c>
      <c r="E133" s="3" t="str">
        <f>IF(LEN(Base_Periodo1[[#This Row],[CLASS]])&gt;=7,LEFT(Base_Periodo1[[#This Row],[CLASS]],7),"")</f>
        <v>1.1.2.1</v>
      </c>
      <c r="F133" s="3" t="str">
        <f>VLOOKUP(Base_Periodo1[[#This Row],[Aux]],Base_Contas_Balanco[#All],2,FALSE)</f>
        <v>Creditos com Cooperados</v>
      </c>
      <c r="G133" s="1">
        <v>42885</v>
      </c>
      <c r="H133" s="225">
        <v>30645.999999999942</v>
      </c>
      <c r="I133" s="225">
        <v>32864.019999999997</v>
      </c>
      <c r="J133" s="225">
        <v>31755.010000000002</v>
      </c>
      <c r="K133" s="225">
        <v>31755.009999999937</v>
      </c>
      <c r="L1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31755.01</v>
      </c>
      <c r="M133" s="225">
        <f>ROUND(IF(AND(Base_Periodo1[[#This Row],[Tipo_Linha]]="-",Base_Periodo1[[#This Row],[TIPOSALDO]]="D"),Base_Periodo1[[#This Row],[SALDO_ATUAL]]*-1,Base_Periodo1[[#This Row],[SALDO_ATUAL]]),4)</f>
        <v>31755.01</v>
      </c>
      <c r="N133" t="s">
        <v>116</v>
      </c>
      <c r="O133" t="s">
        <v>397</v>
      </c>
      <c r="P133" t="s">
        <v>397</v>
      </c>
      <c r="Q133">
        <v>7</v>
      </c>
      <c r="R133" s="225">
        <f>Base_Periodo1[[#This Row],[CREDITOS]]-Base_Periodo1[[#This Row],[DEBITOS]]</f>
        <v>-1109.0099999999948</v>
      </c>
      <c r="S133" s="3" t="str">
        <f>IF(ISERROR(VLOOKUP(Base_Periodo1[[#This Row],[CONTA]],BaseContasDRE[#All],4,FALSE)),"Fora do DRE",VLOOKUP(Base_Periodo1[[#This Row],[CONTA]],BaseContasDRE[#All],4,FALSE))</f>
        <v>Fora do DRE</v>
      </c>
      <c r="T133" s="3" t="str">
        <f>IF(ISERROR(VLOOKUP(Base_Periodo1[[#This Row],[CONTA]],BaseContasDRE[#All],5,FALSE)),"Fora do DRE",VLOOKUP(Base_Periodo1[[#This Row],[CONTA]],BaseContasDRE[#All],6,FALSE))</f>
        <v>Fora do DRE</v>
      </c>
      <c r="U133" s="3" t="str">
        <f>IF(ISERROR(VLOOKUP(Base_Periodo1[[#This Row],[CONTA]],BaseContasDRE[#All],7,FALSE)),"Fora do DRE",VLOOKUP(Base_Periodo1[[#This Row],[CONTA]],BaseContasDRE[#All],7,FALSE))</f>
        <v>Fora do DRE</v>
      </c>
      <c r="V133" s="3" t="str">
        <f>IF(Base_Periodo1[[#This Row],[Tipo_Linha]]="Fora do DRE","Fora do DRE","( "&amp;Base_Periodo1[[#This Row],[Tipo_Linha]]&amp;" ) "&amp;Base_Periodo1[[#This Row],[Filtro]])</f>
        <v>Fora do DRE</v>
      </c>
      <c r="W133" s="3" t="str">
        <f>LEFT(Base_Periodo1[[#This Row],[CLASS]],3)</f>
        <v>1.1</v>
      </c>
    </row>
    <row r="134" spans="1:23" hidden="1">
      <c r="A134" s="3" t="str">
        <f t="shared" ref="A134:A197" si="2">"Período 1"</f>
        <v>Período 1</v>
      </c>
      <c r="B134">
        <v>2904</v>
      </c>
      <c r="C134" t="s">
        <v>503</v>
      </c>
      <c r="D134" t="s">
        <v>4186</v>
      </c>
      <c r="E134" s="3" t="str">
        <f>IF(LEN(Base_Periodo1[[#This Row],[CLASS]])&gt;=7,LEFT(Base_Periodo1[[#This Row],[CLASS]],7),"")</f>
        <v>1.1.2.1</v>
      </c>
      <c r="F134" s="3" t="str">
        <f>VLOOKUP(Base_Periodo1[[#This Row],[Aux]],Base_Contas_Balanco[#All],2,FALSE)</f>
        <v>Creditos com Cooperados</v>
      </c>
      <c r="G134" s="1">
        <v>42870</v>
      </c>
      <c r="I134" s="225">
        <v>225</v>
      </c>
      <c r="J134" s="225">
        <v>225</v>
      </c>
      <c r="K134" s="225">
        <v>2.9103830456733704E-11</v>
      </c>
      <c r="L1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34" s="225">
        <f>ROUND(IF(AND(Base_Periodo1[[#This Row],[Tipo_Linha]]="-",Base_Periodo1[[#This Row],[TIPOSALDO]]="D"),Base_Periodo1[[#This Row],[SALDO_ATUAL]]*-1,Base_Periodo1[[#This Row],[SALDO_ATUAL]]),4)</f>
        <v>0</v>
      </c>
      <c r="N134" t="s">
        <v>116</v>
      </c>
      <c r="O134" t="s">
        <v>436</v>
      </c>
      <c r="P134" t="s">
        <v>436</v>
      </c>
      <c r="Q134">
        <v>7</v>
      </c>
      <c r="R134" s="225">
        <f>Base_Periodo1[[#This Row],[CREDITOS]]-Base_Periodo1[[#This Row],[DEBITOS]]</f>
        <v>0</v>
      </c>
      <c r="S134" s="3" t="str">
        <f>IF(ISERROR(VLOOKUP(Base_Periodo1[[#This Row],[CONTA]],BaseContasDRE[#All],4,FALSE)),"Fora do DRE",VLOOKUP(Base_Periodo1[[#This Row],[CONTA]],BaseContasDRE[#All],4,FALSE))</f>
        <v>Fora do DRE</v>
      </c>
      <c r="T134" s="3" t="str">
        <f>IF(ISERROR(VLOOKUP(Base_Periodo1[[#This Row],[CONTA]],BaseContasDRE[#All],5,FALSE)),"Fora do DRE",VLOOKUP(Base_Periodo1[[#This Row],[CONTA]],BaseContasDRE[#All],6,FALSE))</f>
        <v>Fora do DRE</v>
      </c>
      <c r="U134" s="3" t="str">
        <f>IF(ISERROR(VLOOKUP(Base_Periodo1[[#This Row],[CONTA]],BaseContasDRE[#All],7,FALSE)),"Fora do DRE",VLOOKUP(Base_Periodo1[[#This Row],[CONTA]],BaseContasDRE[#All],7,FALSE))</f>
        <v>Fora do DRE</v>
      </c>
      <c r="V134" s="3" t="str">
        <f>IF(Base_Periodo1[[#This Row],[Tipo_Linha]]="Fora do DRE","Fora do DRE","( "&amp;Base_Periodo1[[#This Row],[Tipo_Linha]]&amp;" ) "&amp;Base_Periodo1[[#This Row],[Filtro]])</f>
        <v>Fora do DRE</v>
      </c>
      <c r="W134" s="3" t="str">
        <f>LEFT(Base_Periodo1[[#This Row],[CLASS]],3)</f>
        <v>1.1</v>
      </c>
    </row>
    <row r="135" spans="1:23" hidden="1">
      <c r="A135" s="3" t="str">
        <f t="shared" si="2"/>
        <v>Período 1</v>
      </c>
      <c r="B135">
        <v>7565</v>
      </c>
      <c r="C135" t="s">
        <v>503</v>
      </c>
      <c r="D135" t="s">
        <v>533</v>
      </c>
      <c r="E135" s="3" t="str">
        <f>IF(LEN(Base_Periodo1[[#This Row],[CLASS]])&gt;=7,LEFT(Base_Periodo1[[#This Row],[CLASS]],7),"")</f>
        <v>1.1.2.1</v>
      </c>
      <c r="F135" s="3" t="str">
        <f>VLOOKUP(Base_Periodo1[[#This Row],[Aux]],Base_Contas_Balanco[#All],2,FALSE)</f>
        <v>Creditos com Cooperados</v>
      </c>
      <c r="G135" s="1">
        <v>42879</v>
      </c>
      <c r="H135" s="225">
        <v>206729.24000000046</v>
      </c>
      <c r="I135" s="225">
        <v>17408</v>
      </c>
      <c r="J135" s="225">
        <v>124816.72000000003</v>
      </c>
      <c r="K135" s="225">
        <v>99320.520000000426</v>
      </c>
      <c r="L1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99320.52</v>
      </c>
      <c r="M135" s="225">
        <f>ROUND(IF(AND(Base_Periodo1[[#This Row],[Tipo_Linha]]="-",Base_Periodo1[[#This Row],[TIPOSALDO]]="D"),Base_Periodo1[[#This Row],[SALDO_ATUAL]]*-1,Base_Periodo1[[#This Row],[SALDO_ATUAL]]),4)</f>
        <v>99320.52</v>
      </c>
      <c r="N135" t="s">
        <v>116</v>
      </c>
      <c r="O135" t="s">
        <v>397</v>
      </c>
      <c r="P135" t="s">
        <v>397</v>
      </c>
      <c r="Q135">
        <v>7</v>
      </c>
      <c r="R135" s="225">
        <f>Base_Periodo1[[#This Row],[CREDITOS]]-Base_Periodo1[[#This Row],[DEBITOS]]</f>
        <v>107408.72000000003</v>
      </c>
      <c r="S135" s="3" t="str">
        <f>IF(ISERROR(VLOOKUP(Base_Periodo1[[#This Row],[CONTA]],BaseContasDRE[#All],4,FALSE)),"Fora do DRE",VLOOKUP(Base_Periodo1[[#This Row],[CONTA]],BaseContasDRE[#All],4,FALSE))</f>
        <v>Fora do DRE</v>
      </c>
      <c r="T135" s="3" t="str">
        <f>IF(ISERROR(VLOOKUP(Base_Periodo1[[#This Row],[CONTA]],BaseContasDRE[#All],5,FALSE)),"Fora do DRE",VLOOKUP(Base_Periodo1[[#This Row],[CONTA]],BaseContasDRE[#All],6,FALSE))</f>
        <v>Fora do DRE</v>
      </c>
      <c r="U135" s="3" t="str">
        <f>IF(ISERROR(VLOOKUP(Base_Periodo1[[#This Row],[CONTA]],BaseContasDRE[#All],7,FALSE)),"Fora do DRE",VLOOKUP(Base_Periodo1[[#This Row],[CONTA]],BaseContasDRE[#All],7,FALSE))</f>
        <v>Fora do DRE</v>
      </c>
      <c r="V135" s="3" t="str">
        <f>IF(Base_Periodo1[[#This Row],[Tipo_Linha]]="Fora do DRE","Fora do DRE","( "&amp;Base_Periodo1[[#This Row],[Tipo_Linha]]&amp;" ) "&amp;Base_Periodo1[[#This Row],[Filtro]])</f>
        <v>Fora do DRE</v>
      </c>
      <c r="W135" s="3" t="str">
        <f>LEFT(Base_Periodo1[[#This Row],[CLASS]],3)</f>
        <v>1.1</v>
      </c>
    </row>
    <row r="136" spans="1:23" hidden="1">
      <c r="A136" s="3" t="str">
        <f t="shared" si="2"/>
        <v>Período 1</v>
      </c>
      <c r="B136">
        <v>52965</v>
      </c>
      <c r="C136" t="s">
        <v>503</v>
      </c>
      <c r="D136" t="s">
        <v>4987</v>
      </c>
      <c r="E136" s="3" t="str">
        <f>IF(LEN(Base_Periodo1[[#This Row],[CLASS]])&gt;=7,LEFT(Base_Periodo1[[#This Row],[CLASS]],7),"")</f>
        <v>1.1.2.1</v>
      </c>
      <c r="F136" s="3" t="str">
        <f>VLOOKUP(Base_Periodo1[[#This Row],[Aux]],Base_Contas_Balanco[#All],2,FALSE)</f>
        <v>Creditos com Cooperados</v>
      </c>
      <c r="G136" s="1">
        <v>42866</v>
      </c>
      <c r="H136" s="225">
        <v>70.000000000003638</v>
      </c>
      <c r="I136" s="225">
        <v>172.4</v>
      </c>
      <c r="J136" s="225">
        <v>0</v>
      </c>
      <c r="K136" s="225">
        <v>242.40000000000364</v>
      </c>
      <c r="L1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242.4</v>
      </c>
      <c r="M136" s="225">
        <f>ROUND(IF(AND(Base_Periodo1[[#This Row],[Tipo_Linha]]="-",Base_Periodo1[[#This Row],[TIPOSALDO]]="D"),Base_Periodo1[[#This Row],[SALDO_ATUAL]]*-1,Base_Periodo1[[#This Row],[SALDO_ATUAL]]),4)</f>
        <v>242.4</v>
      </c>
      <c r="N136" t="s">
        <v>116</v>
      </c>
      <c r="O136" t="s">
        <v>397</v>
      </c>
      <c r="P136" t="s">
        <v>397</v>
      </c>
      <c r="Q136">
        <v>7</v>
      </c>
      <c r="R136" s="225">
        <f>Base_Periodo1[[#This Row],[CREDITOS]]-Base_Periodo1[[#This Row],[DEBITOS]]</f>
        <v>-172.4</v>
      </c>
      <c r="S136" s="3" t="str">
        <f>IF(ISERROR(VLOOKUP(Base_Periodo1[[#This Row],[CONTA]],BaseContasDRE[#All],4,FALSE)),"Fora do DRE",VLOOKUP(Base_Periodo1[[#This Row],[CONTA]],BaseContasDRE[#All],4,FALSE))</f>
        <v>Fora do DRE</v>
      </c>
      <c r="T136" s="3" t="str">
        <f>IF(ISERROR(VLOOKUP(Base_Periodo1[[#This Row],[CONTA]],BaseContasDRE[#All],5,FALSE)),"Fora do DRE",VLOOKUP(Base_Periodo1[[#This Row],[CONTA]],BaseContasDRE[#All],6,FALSE))</f>
        <v>Fora do DRE</v>
      </c>
      <c r="U136" s="3" t="str">
        <f>IF(ISERROR(VLOOKUP(Base_Periodo1[[#This Row],[CONTA]],BaseContasDRE[#All],7,FALSE)),"Fora do DRE",VLOOKUP(Base_Periodo1[[#This Row],[CONTA]],BaseContasDRE[#All],7,FALSE))</f>
        <v>Fora do DRE</v>
      </c>
      <c r="V136" s="3" t="str">
        <f>IF(Base_Periodo1[[#This Row],[Tipo_Linha]]="Fora do DRE","Fora do DRE","( "&amp;Base_Periodo1[[#This Row],[Tipo_Linha]]&amp;" ) "&amp;Base_Periodo1[[#This Row],[Filtro]])</f>
        <v>Fora do DRE</v>
      </c>
      <c r="W136" s="3" t="str">
        <f>LEFT(Base_Periodo1[[#This Row],[CLASS]],3)</f>
        <v>1.1</v>
      </c>
    </row>
    <row r="137" spans="1:23" hidden="1">
      <c r="A137" s="3" t="str">
        <f t="shared" si="2"/>
        <v>Período 1</v>
      </c>
      <c r="B137">
        <v>21792</v>
      </c>
      <c r="C137" t="s">
        <v>503</v>
      </c>
      <c r="D137" t="s">
        <v>4574</v>
      </c>
      <c r="E137" s="3" t="str">
        <f>IF(LEN(Base_Periodo1[[#This Row],[CLASS]])&gt;=7,LEFT(Base_Periodo1[[#This Row],[CLASS]],7),"")</f>
        <v>1.1.2.1</v>
      </c>
      <c r="F137" s="3" t="str">
        <f>VLOOKUP(Base_Periodo1[[#This Row],[Aux]],Base_Contas_Balanco[#All],2,FALSE)</f>
        <v>Creditos com Cooperados</v>
      </c>
      <c r="G137" s="1">
        <v>42885</v>
      </c>
      <c r="H137" s="225">
        <v>17658</v>
      </c>
      <c r="I137" s="225">
        <v>29867.27</v>
      </c>
      <c r="J137" s="225">
        <v>22837.27</v>
      </c>
      <c r="K137" s="225">
        <v>24688.000000000004</v>
      </c>
      <c r="L1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24688</v>
      </c>
      <c r="M137" s="225">
        <f>ROUND(IF(AND(Base_Periodo1[[#This Row],[Tipo_Linha]]="-",Base_Periodo1[[#This Row],[TIPOSALDO]]="D"),Base_Periodo1[[#This Row],[SALDO_ATUAL]]*-1,Base_Periodo1[[#This Row],[SALDO_ATUAL]]),4)</f>
        <v>24688</v>
      </c>
      <c r="N137" t="s">
        <v>116</v>
      </c>
      <c r="O137" t="s">
        <v>397</v>
      </c>
      <c r="P137" t="s">
        <v>397</v>
      </c>
      <c r="Q137">
        <v>7</v>
      </c>
      <c r="R137" s="225">
        <f>Base_Periodo1[[#This Row],[CREDITOS]]-Base_Periodo1[[#This Row],[DEBITOS]]</f>
        <v>-7030</v>
      </c>
      <c r="S137" s="3" t="str">
        <f>IF(ISERROR(VLOOKUP(Base_Periodo1[[#This Row],[CONTA]],BaseContasDRE[#All],4,FALSE)),"Fora do DRE",VLOOKUP(Base_Periodo1[[#This Row],[CONTA]],BaseContasDRE[#All],4,FALSE))</f>
        <v>Fora do DRE</v>
      </c>
      <c r="T137" s="3" t="str">
        <f>IF(ISERROR(VLOOKUP(Base_Periodo1[[#This Row],[CONTA]],BaseContasDRE[#All],5,FALSE)),"Fora do DRE",VLOOKUP(Base_Periodo1[[#This Row],[CONTA]],BaseContasDRE[#All],6,FALSE))</f>
        <v>Fora do DRE</v>
      </c>
      <c r="U137" s="3" t="str">
        <f>IF(ISERROR(VLOOKUP(Base_Periodo1[[#This Row],[CONTA]],BaseContasDRE[#All],7,FALSE)),"Fora do DRE",VLOOKUP(Base_Periodo1[[#This Row],[CONTA]],BaseContasDRE[#All],7,FALSE))</f>
        <v>Fora do DRE</v>
      </c>
      <c r="V137" s="3" t="str">
        <f>IF(Base_Periodo1[[#This Row],[Tipo_Linha]]="Fora do DRE","Fora do DRE","( "&amp;Base_Periodo1[[#This Row],[Tipo_Linha]]&amp;" ) "&amp;Base_Periodo1[[#This Row],[Filtro]])</f>
        <v>Fora do DRE</v>
      </c>
      <c r="W137" s="3" t="str">
        <f>LEFT(Base_Periodo1[[#This Row],[CLASS]],3)</f>
        <v>1.1</v>
      </c>
    </row>
    <row r="138" spans="1:23" hidden="1">
      <c r="A138" s="3" t="str">
        <f t="shared" si="2"/>
        <v>Período 1</v>
      </c>
      <c r="B138">
        <v>39060</v>
      </c>
      <c r="C138" t="s">
        <v>503</v>
      </c>
      <c r="D138" t="s">
        <v>535</v>
      </c>
      <c r="E138" s="3" t="str">
        <f>IF(LEN(Base_Periodo1[[#This Row],[CLASS]])&gt;=7,LEFT(Base_Periodo1[[#This Row],[CLASS]],7),"")</f>
        <v>1.1.2.1</v>
      </c>
      <c r="F138" s="3" t="str">
        <f>VLOOKUP(Base_Periodo1[[#This Row],[Aux]],Base_Contas_Balanco[#All],2,FALSE)</f>
        <v>Creditos com Cooperados</v>
      </c>
      <c r="G138" s="1">
        <v>42880</v>
      </c>
      <c r="H138" s="225">
        <v>11817.500000000058</v>
      </c>
      <c r="I138" s="225">
        <v>7597.5</v>
      </c>
      <c r="J138" s="225">
        <v>0</v>
      </c>
      <c r="K138" s="225">
        <v>19415.000000000058</v>
      </c>
      <c r="L1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19415</v>
      </c>
      <c r="M138" s="225">
        <f>ROUND(IF(AND(Base_Periodo1[[#This Row],[Tipo_Linha]]="-",Base_Periodo1[[#This Row],[TIPOSALDO]]="D"),Base_Periodo1[[#This Row],[SALDO_ATUAL]]*-1,Base_Periodo1[[#This Row],[SALDO_ATUAL]]),4)</f>
        <v>19415</v>
      </c>
      <c r="N138" t="s">
        <v>116</v>
      </c>
      <c r="O138" t="s">
        <v>397</v>
      </c>
      <c r="P138" t="s">
        <v>397</v>
      </c>
      <c r="Q138">
        <v>7</v>
      </c>
      <c r="R138" s="225">
        <f>Base_Periodo1[[#This Row],[CREDITOS]]-Base_Periodo1[[#This Row],[DEBITOS]]</f>
        <v>-7597.5</v>
      </c>
      <c r="S138" s="3" t="str">
        <f>IF(ISERROR(VLOOKUP(Base_Periodo1[[#This Row],[CONTA]],BaseContasDRE[#All],4,FALSE)),"Fora do DRE",VLOOKUP(Base_Periodo1[[#This Row],[CONTA]],BaseContasDRE[#All],4,FALSE))</f>
        <v>Fora do DRE</v>
      </c>
      <c r="T138" s="3" t="str">
        <f>IF(ISERROR(VLOOKUP(Base_Periodo1[[#This Row],[CONTA]],BaseContasDRE[#All],5,FALSE)),"Fora do DRE",VLOOKUP(Base_Periodo1[[#This Row],[CONTA]],BaseContasDRE[#All],6,FALSE))</f>
        <v>Fora do DRE</v>
      </c>
      <c r="U138" s="3" t="str">
        <f>IF(ISERROR(VLOOKUP(Base_Periodo1[[#This Row],[CONTA]],BaseContasDRE[#All],7,FALSE)),"Fora do DRE",VLOOKUP(Base_Periodo1[[#This Row],[CONTA]],BaseContasDRE[#All],7,FALSE))</f>
        <v>Fora do DRE</v>
      </c>
      <c r="V138" s="3" t="str">
        <f>IF(Base_Periodo1[[#This Row],[Tipo_Linha]]="Fora do DRE","Fora do DRE","( "&amp;Base_Periodo1[[#This Row],[Tipo_Linha]]&amp;" ) "&amp;Base_Periodo1[[#This Row],[Filtro]])</f>
        <v>Fora do DRE</v>
      </c>
      <c r="W138" s="3" t="str">
        <f>LEFT(Base_Periodo1[[#This Row],[CLASS]],3)</f>
        <v>1.1</v>
      </c>
    </row>
    <row r="139" spans="1:23" hidden="1">
      <c r="A139" s="3" t="str">
        <f t="shared" si="2"/>
        <v>Período 1</v>
      </c>
      <c r="B139">
        <v>3796</v>
      </c>
      <c r="C139" t="s">
        <v>503</v>
      </c>
      <c r="D139" t="s">
        <v>536</v>
      </c>
      <c r="E139" s="3" t="str">
        <f>IF(LEN(Base_Periodo1[[#This Row],[CLASS]])&gt;=7,LEFT(Base_Periodo1[[#This Row],[CLASS]],7),"")</f>
        <v>1.1.2.1</v>
      </c>
      <c r="F139" s="3" t="str">
        <f>VLOOKUP(Base_Periodo1[[#This Row],[Aux]],Base_Contas_Balanco[#All],2,FALSE)</f>
        <v>Creditos com Cooperados</v>
      </c>
      <c r="G139" s="1">
        <v>42877</v>
      </c>
      <c r="H139" s="225">
        <v>636.26999999943655</v>
      </c>
      <c r="I139" s="225">
        <v>1344.43</v>
      </c>
      <c r="J139" s="225">
        <v>0</v>
      </c>
      <c r="K139" s="225">
        <v>1980.6999999994366</v>
      </c>
      <c r="L1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1980.7</v>
      </c>
      <c r="M139" s="225">
        <f>ROUND(IF(AND(Base_Periodo1[[#This Row],[Tipo_Linha]]="-",Base_Periodo1[[#This Row],[TIPOSALDO]]="D"),Base_Periodo1[[#This Row],[SALDO_ATUAL]]*-1,Base_Periodo1[[#This Row],[SALDO_ATUAL]]),4)</f>
        <v>1980.7</v>
      </c>
      <c r="N139" t="s">
        <v>116</v>
      </c>
      <c r="O139" t="s">
        <v>397</v>
      </c>
      <c r="P139" t="s">
        <v>397</v>
      </c>
      <c r="Q139">
        <v>7</v>
      </c>
      <c r="R139" s="225">
        <f>Base_Periodo1[[#This Row],[CREDITOS]]-Base_Periodo1[[#This Row],[DEBITOS]]</f>
        <v>-1344.43</v>
      </c>
      <c r="S139" s="3" t="str">
        <f>IF(ISERROR(VLOOKUP(Base_Periodo1[[#This Row],[CONTA]],BaseContasDRE[#All],4,FALSE)),"Fora do DRE",VLOOKUP(Base_Periodo1[[#This Row],[CONTA]],BaseContasDRE[#All],4,FALSE))</f>
        <v>Fora do DRE</v>
      </c>
      <c r="T139" s="3" t="str">
        <f>IF(ISERROR(VLOOKUP(Base_Periodo1[[#This Row],[CONTA]],BaseContasDRE[#All],5,FALSE)),"Fora do DRE",VLOOKUP(Base_Periodo1[[#This Row],[CONTA]],BaseContasDRE[#All],6,FALSE))</f>
        <v>Fora do DRE</v>
      </c>
      <c r="U139" s="3" t="str">
        <f>IF(ISERROR(VLOOKUP(Base_Periodo1[[#This Row],[CONTA]],BaseContasDRE[#All],7,FALSE)),"Fora do DRE",VLOOKUP(Base_Periodo1[[#This Row],[CONTA]],BaseContasDRE[#All],7,FALSE))</f>
        <v>Fora do DRE</v>
      </c>
      <c r="V139" s="3" t="str">
        <f>IF(Base_Periodo1[[#This Row],[Tipo_Linha]]="Fora do DRE","Fora do DRE","( "&amp;Base_Periodo1[[#This Row],[Tipo_Linha]]&amp;" ) "&amp;Base_Periodo1[[#This Row],[Filtro]])</f>
        <v>Fora do DRE</v>
      </c>
      <c r="W139" s="3" t="str">
        <f>LEFT(Base_Periodo1[[#This Row],[CLASS]],3)</f>
        <v>1.1</v>
      </c>
    </row>
    <row r="140" spans="1:23" hidden="1">
      <c r="A140" s="3" t="str">
        <f t="shared" si="2"/>
        <v>Período 1</v>
      </c>
      <c r="B140">
        <v>46862</v>
      </c>
      <c r="C140" t="s">
        <v>503</v>
      </c>
      <c r="D140" t="s">
        <v>6113</v>
      </c>
      <c r="E140" s="3" t="str">
        <f>IF(LEN(Base_Periodo1[[#This Row],[CLASS]])&gt;=7,LEFT(Base_Periodo1[[#This Row],[CLASS]],7),"")</f>
        <v>1.1.2.1</v>
      </c>
      <c r="F140" s="3" t="str">
        <f>VLOOKUP(Base_Periodo1[[#This Row],[Aux]],Base_Contas_Balanco[#All],2,FALSE)</f>
        <v>Creditos com Cooperados</v>
      </c>
      <c r="G140" s="1">
        <v>42831</v>
      </c>
      <c r="H140" s="225">
        <v>143.15000000000146</v>
      </c>
      <c r="I140" s="225">
        <v>0</v>
      </c>
      <c r="J140" s="225">
        <v>0</v>
      </c>
      <c r="K140" s="225">
        <v>143.15000000000146</v>
      </c>
      <c r="L1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143.15</v>
      </c>
      <c r="M140" s="225">
        <f>ROUND(IF(AND(Base_Periodo1[[#This Row],[Tipo_Linha]]="-",Base_Periodo1[[#This Row],[TIPOSALDO]]="D"),Base_Periodo1[[#This Row],[SALDO_ATUAL]]*-1,Base_Periodo1[[#This Row],[SALDO_ATUAL]]),4)</f>
        <v>143.15</v>
      </c>
      <c r="N140" t="s">
        <v>116</v>
      </c>
      <c r="O140" t="s">
        <v>397</v>
      </c>
      <c r="P140" t="s">
        <v>397</v>
      </c>
      <c r="Q140">
        <v>7</v>
      </c>
      <c r="R140" s="225">
        <f>Base_Periodo1[[#This Row],[CREDITOS]]-Base_Periodo1[[#This Row],[DEBITOS]]</f>
        <v>0</v>
      </c>
      <c r="S140" s="3" t="str">
        <f>IF(ISERROR(VLOOKUP(Base_Periodo1[[#This Row],[CONTA]],BaseContasDRE[#All],4,FALSE)),"Fora do DRE",VLOOKUP(Base_Periodo1[[#This Row],[CONTA]],BaseContasDRE[#All],4,FALSE))</f>
        <v>Fora do DRE</v>
      </c>
      <c r="T140" s="3" t="str">
        <f>IF(ISERROR(VLOOKUP(Base_Periodo1[[#This Row],[CONTA]],BaseContasDRE[#All],5,FALSE)),"Fora do DRE",VLOOKUP(Base_Periodo1[[#This Row],[CONTA]],BaseContasDRE[#All],6,FALSE))</f>
        <v>Fora do DRE</v>
      </c>
      <c r="U140" s="3" t="str">
        <f>IF(ISERROR(VLOOKUP(Base_Periodo1[[#This Row],[CONTA]],BaseContasDRE[#All],7,FALSE)),"Fora do DRE",VLOOKUP(Base_Periodo1[[#This Row],[CONTA]],BaseContasDRE[#All],7,FALSE))</f>
        <v>Fora do DRE</v>
      </c>
      <c r="V140" s="3" t="str">
        <f>IF(Base_Periodo1[[#This Row],[Tipo_Linha]]="Fora do DRE","Fora do DRE","( "&amp;Base_Periodo1[[#This Row],[Tipo_Linha]]&amp;" ) "&amp;Base_Periodo1[[#This Row],[Filtro]])</f>
        <v>Fora do DRE</v>
      </c>
      <c r="W140" s="3" t="str">
        <f>LEFT(Base_Periodo1[[#This Row],[CLASS]],3)</f>
        <v>1.1</v>
      </c>
    </row>
    <row r="141" spans="1:23" hidden="1">
      <c r="A141" s="3" t="str">
        <f t="shared" si="2"/>
        <v>Período 1</v>
      </c>
      <c r="B141">
        <v>16663</v>
      </c>
      <c r="C141" t="s">
        <v>503</v>
      </c>
      <c r="D141" t="s">
        <v>537</v>
      </c>
      <c r="E141" s="3" t="str">
        <f>IF(LEN(Base_Periodo1[[#This Row],[CLASS]])&gt;=7,LEFT(Base_Periodo1[[#This Row],[CLASS]],7),"")</f>
        <v>1.1.2.1</v>
      </c>
      <c r="F141" s="3" t="str">
        <f>VLOOKUP(Base_Periodo1[[#This Row],[Aux]],Base_Contas_Balanco[#All],2,FALSE)</f>
        <v>Creditos com Cooperados</v>
      </c>
      <c r="G141" s="1">
        <v>42885</v>
      </c>
      <c r="H141" s="225">
        <v>1326.7300000002142</v>
      </c>
      <c r="I141" s="225">
        <v>31232.6</v>
      </c>
      <c r="J141" s="225">
        <v>31232.6</v>
      </c>
      <c r="K141" s="225">
        <v>1326.7300000002142</v>
      </c>
      <c r="L1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1326.73</v>
      </c>
      <c r="M141" s="225">
        <f>ROUND(IF(AND(Base_Periodo1[[#This Row],[Tipo_Linha]]="-",Base_Periodo1[[#This Row],[TIPOSALDO]]="D"),Base_Periodo1[[#This Row],[SALDO_ATUAL]]*-1,Base_Periodo1[[#This Row],[SALDO_ATUAL]]),4)</f>
        <v>1326.73</v>
      </c>
      <c r="N141" t="s">
        <v>116</v>
      </c>
      <c r="O141" t="s">
        <v>397</v>
      </c>
      <c r="P141" t="s">
        <v>397</v>
      </c>
      <c r="Q141">
        <v>7</v>
      </c>
      <c r="R141" s="225">
        <f>Base_Periodo1[[#This Row],[CREDITOS]]-Base_Periodo1[[#This Row],[DEBITOS]]</f>
        <v>0</v>
      </c>
      <c r="S141" s="3" t="str">
        <f>IF(ISERROR(VLOOKUP(Base_Periodo1[[#This Row],[CONTA]],BaseContasDRE[#All],4,FALSE)),"Fora do DRE",VLOOKUP(Base_Periodo1[[#This Row],[CONTA]],BaseContasDRE[#All],4,FALSE))</f>
        <v>Fora do DRE</v>
      </c>
      <c r="T141" s="3" t="str">
        <f>IF(ISERROR(VLOOKUP(Base_Periodo1[[#This Row],[CONTA]],BaseContasDRE[#All],5,FALSE)),"Fora do DRE",VLOOKUP(Base_Periodo1[[#This Row],[CONTA]],BaseContasDRE[#All],6,FALSE))</f>
        <v>Fora do DRE</v>
      </c>
      <c r="U141" s="3" t="str">
        <f>IF(ISERROR(VLOOKUP(Base_Periodo1[[#This Row],[CONTA]],BaseContasDRE[#All],7,FALSE)),"Fora do DRE",VLOOKUP(Base_Periodo1[[#This Row],[CONTA]],BaseContasDRE[#All],7,FALSE))</f>
        <v>Fora do DRE</v>
      </c>
      <c r="V141" s="3" t="str">
        <f>IF(Base_Periodo1[[#This Row],[Tipo_Linha]]="Fora do DRE","Fora do DRE","( "&amp;Base_Periodo1[[#This Row],[Tipo_Linha]]&amp;" ) "&amp;Base_Periodo1[[#This Row],[Filtro]])</f>
        <v>Fora do DRE</v>
      </c>
      <c r="W141" s="3" t="str">
        <f>LEFT(Base_Periodo1[[#This Row],[CLASS]],3)</f>
        <v>1.1</v>
      </c>
    </row>
    <row r="142" spans="1:23" hidden="1">
      <c r="A142" s="3" t="str">
        <f t="shared" si="2"/>
        <v>Período 1</v>
      </c>
      <c r="B142">
        <v>3344</v>
      </c>
      <c r="C142" t="s">
        <v>503</v>
      </c>
      <c r="D142" t="s">
        <v>538</v>
      </c>
      <c r="E142" s="3" t="str">
        <f>IF(LEN(Base_Periodo1[[#This Row],[CLASS]])&gt;=7,LEFT(Base_Periodo1[[#This Row],[CLASS]],7),"")</f>
        <v>1.1.2.1</v>
      </c>
      <c r="F142" s="3" t="str">
        <f>VLOOKUP(Base_Periodo1[[#This Row],[Aux]],Base_Contas_Balanco[#All],2,FALSE)</f>
        <v>Creditos com Cooperados</v>
      </c>
      <c r="G142" s="1">
        <v>42858</v>
      </c>
      <c r="H142" s="225">
        <v>48481.579999999842</v>
      </c>
      <c r="I142" s="225">
        <v>536.88</v>
      </c>
      <c r="J142" s="225">
        <v>0</v>
      </c>
      <c r="K142" s="225">
        <v>49018.459999999839</v>
      </c>
      <c r="L1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49018.46</v>
      </c>
      <c r="M142" s="225">
        <f>ROUND(IF(AND(Base_Periodo1[[#This Row],[Tipo_Linha]]="-",Base_Periodo1[[#This Row],[TIPOSALDO]]="D"),Base_Periodo1[[#This Row],[SALDO_ATUAL]]*-1,Base_Periodo1[[#This Row],[SALDO_ATUAL]]),4)</f>
        <v>49018.46</v>
      </c>
      <c r="N142" t="s">
        <v>116</v>
      </c>
      <c r="O142" t="s">
        <v>397</v>
      </c>
      <c r="P142" t="s">
        <v>397</v>
      </c>
      <c r="Q142">
        <v>7</v>
      </c>
      <c r="R142" s="225">
        <f>Base_Periodo1[[#This Row],[CREDITOS]]-Base_Periodo1[[#This Row],[DEBITOS]]</f>
        <v>-536.88</v>
      </c>
      <c r="S142" s="3" t="str">
        <f>IF(ISERROR(VLOOKUP(Base_Periodo1[[#This Row],[CONTA]],BaseContasDRE[#All],4,FALSE)),"Fora do DRE",VLOOKUP(Base_Periodo1[[#This Row],[CONTA]],BaseContasDRE[#All],4,FALSE))</f>
        <v>Fora do DRE</v>
      </c>
      <c r="T142" s="3" t="str">
        <f>IF(ISERROR(VLOOKUP(Base_Periodo1[[#This Row],[CONTA]],BaseContasDRE[#All],5,FALSE)),"Fora do DRE",VLOOKUP(Base_Periodo1[[#This Row],[CONTA]],BaseContasDRE[#All],6,FALSE))</f>
        <v>Fora do DRE</v>
      </c>
      <c r="U142" s="3" t="str">
        <f>IF(ISERROR(VLOOKUP(Base_Periodo1[[#This Row],[CONTA]],BaseContasDRE[#All],7,FALSE)),"Fora do DRE",VLOOKUP(Base_Periodo1[[#This Row],[CONTA]],BaseContasDRE[#All],7,FALSE))</f>
        <v>Fora do DRE</v>
      </c>
      <c r="V142" s="3" t="str">
        <f>IF(Base_Periodo1[[#This Row],[Tipo_Linha]]="Fora do DRE","Fora do DRE","( "&amp;Base_Periodo1[[#This Row],[Tipo_Linha]]&amp;" ) "&amp;Base_Periodo1[[#This Row],[Filtro]])</f>
        <v>Fora do DRE</v>
      </c>
      <c r="W142" s="3" t="str">
        <f>LEFT(Base_Periodo1[[#This Row],[CLASS]],3)</f>
        <v>1.1</v>
      </c>
    </row>
    <row r="143" spans="1:23" hidden="1">
      <c r="A143" s="3" t="str">
        <f t="shared" si="2"/>
        <v>Período 1</v>
      </c>
      <c r="B143">
        <v>16886</v>
      </c>
      <c r="C143" t="s">
        <v>503</v>
      </c>
      <c r="D143" t="s">
        <v>6114</v>
      </c>
      <c r="E143" s="3" t="str">
        <f>IF(LEN(Base_Periodo1[[#This Row],[CLASS]])&gt;=7,LEFT(Base_Periodo1[[#This Row],[CLASS]],7),"")</f>
        <v>1.1.2.1</v>
      </c>
      <c r="F143" s="3" t="str">
        <f>VLOOKUP(Base_Periodo1[[#This Row],[Aux]],Base_Contas_Balanco[#All],2,FALSE)</f>
        <v>Creditos com Cooperados</v>
      </c>
      <c r="G143" s="1">
        <v>42836</v>
      </c>
      <c r="H143" s="225">
        <v>1179.9999999999854</v>
      </c>
      <c r="I143" s="225">
        <v>0</v>
      </c>
      <c r="J143" s="225">
        <v>0</v>
      </c>
      <c r="K143" s="225">
        <v>1179.9999999999854</v>
      </c>
      <c r="L1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1180</v>
      </c>
      <c r="M143" s="225">
        <f>ROUND(IF(AND(Base_Periodo1[[#This Row],[Tipo_Linha]]="-",Base_Periodo1[[#This Row],[TIPOSALDO]]="D"),Base_Periodo1[[#This Row],[SALDO_ATUAL]]*-1,Base_Periodo1[[#This Row],[SALDO_ATUAL]]),4)</f>
        <v>1180</v>
      </c>
      <c r="N143" t="s">
        <v>116</v>
      </c>
      <c r="O143" t="s">
        <v>397</v>
      </c>
      <c r="P143" t="s">
        <v>397</v>
      </c>
      <c r="Q143">
        <v>7</v>
      </c>
      <c r="R143" s="225">
        <f>Base_Periodo1[[#This Row],[CREDITOS]]-Base_Periodo1[[#This Row],[DEBITOS]]</f>
        <v>0</v>
      </c>
      <c r="S143" s="3" t="str">
        <f>IF(ISERROR(VLOOKUP(Base_Periodo1[[#This Row],[CONTA]],BaseContasDRE[#All],4,FALSE)),"Fora do DRE",VLOOKUP(Base_Periodo1[[#This Row],[CONTA]],BaseContasDRE[#All],4,FALSE))</f>
        <v>Fora do DRE</v>
      </c>
      <c r="T143" s="3" t="str">
        <f>IF(ISERROR(VLOOKUP(Base_Periodo1[[#This Row],[CONTA]],BaseContasDRE[#All],5,FALSE)),"Fora do DRE",VLOOKUP(Base_Periodo1[[#This Row],[CONTA]],BaseContasDRE[#All],6,FALSE))</f>
        <v>Fora do DRE</v>
      </c>
      <c r="U143" s="3" t="str">
        <f>IF(ISERROR(VLOOKUP(Base_Periodo1[[#This Row],[CONTA]],BaseContasDRE[#All],7,FALSE)),"Fora do DRE",VLOOKUP(Base_Periodo1[[#This Row],[CONTA]],BaseContasDRE[#All],7,FALSE))</f>
        <v>Fora do DRE</v>
      </c>
      <c r="V143" s="3" t="str">
        <f>IF(Base_Periodo1[[#This Row],[Tipo_Linha]]="Fora do DRE","Fora do DRE","( "&amp;Base_Periodo1[[#This Row],[Tipo_Linha]]&amp;" ) "&amp;Base_Periodo1[[#This Row],[Filtro]])</f>
        <v>Fora do DRE</v>
      </c>
      <c r="W143" s="3" t="str">
        <f>LEFT(Base_Periodo1[[#This Row],[CLASS]],3)</f>
        <v>1.1</v>
      </c>
    </row>
    <row r="144" spans="1:23" hidden="1">
      <c r="A144" s="3" t="str">
        <f t="shared" si="2"/>
        <v>Período 1</v>
      </c>
      <c r="B144">
        <v>38980</v>
      </c>
      <c r="C144" t="s">
        <v>503</v>
      </c>
      <c r="D144" t="s">
        <v>539</v>
      </c>
      <c r="E144" s="3" t="str">
        <f>IF(LEN(Base_Periodo1[[#This Row],[CLASS]])&gt;=7,LEFT(Base_Periodo1[[#This Row],[CLASS]],7),"")</f>
        <v>1.1.2.1</v>
      </c>
      <c r="F144" s="3" t="str">
        <f>VLOOKUP(Base_Periodo1[[#This Row],[Aux]],Base_Contas_Balanco[#All],2,FALSE)</f>
        <v>Creditos com Cooperados</v>
      </c>
      <c r="G144" s="1">
        <v>42866</v>
      </c>
      <c r="H144" s="225">
        <v>4272.4499999999825</v>
      </c>
      <c r="I144" s="225">
        <v>732.6</v>
      </c>
      <c r="J144" s="225">
        <v>67</v>
      </c>
      <c r="K144" s="225">
        <v>4938.0499999999829</v>
      </c>
      <c r="L1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4938.05</v>
      </c>
      <c r="M144" s="225">
        <f>ROUND(IF(AND(Base_Periodo1[[#This Row],[Tipo_Linha]]="-",Base_Periodo1[[#This Row],[TIPOSALDO]]="D"),Base_Periodo1[[#This Row],[SALDO_ATUAL]]*-1,Base_Periodo1[[#This Row],[SALDO_ATUAL]]),4)</f>
        <v>4938.05</v>
      </c>
      <c r="N144" t="s">
        <v>116</v>
      </c>
      <c r="O144" t="s">
        <v>397</v>
      </c>
      <c r="P144" t="s">
        <v>397</v>
      </c>
      <c r="Q144">
        <v>7</v>
      </c>
      <c r="R144" s="225">
        <f>Base_Periodo1[[#This Row],[CREDITOS]]-Base_Periodo1[[#This Row],[DEBITOS]]</f>
        <v>-665.6</v>
      </c>
      <c r="S144" s="3" t="str">
        <f>IF(ISERROR(VLOOKUP(Base_Periodo1[[#This Row],[CONTA]],BaseContasDRE[#All],4,FALSE)),"Fora do DRE",VLOOKUP(Base_Periodo1[[#This Row],[CONTA]],BaseContasDRE[#All],4,FALSE))</f>
        <v>Fora do DRE</v>
      </c>
      <c r="T144" s="3" t="str">
        <f>IF(ISERROR(VLOOKUP(Base_Periodo1[[#This Row],[CONTA]],BaseContasDRE[#All],5,FALSE)),"Fora do DRE",VLOOKUP(Base_Periodo1[[#This Row],[CONTA]],BaseContasDRE[#All],6,FALSE))</f>
        <v>Fora do DRE</v>
      </c>
      <c r="U144" s="3" t="str">
        <f>IF(ISERROR(VLOOKUP(Base_Periodo1[[#This Row],[CONTA]],BaseContasDRE[#All],7,FALSE)),"Fora do DRE",VLOOKUP(Base_Periodo1[[#This Row],[CONTA]],BaseContasDRE[#All],7,FALSE))</f>
        <v>Fora do DRE</v>
      </c>
      <c r="V144" s="3" t="str">
        <f>IF(Base_Periodo1[[#This Row],[Tipo_Linha]]="Fora do DRE","Fora do DRE","( "&amp;Base_Periodo1[[#This Row],[Tipo_Linha]]&amp;" ) "&amp;Base_Periodo1[[#This Row],[Filtro]])</f>
        <v>Fora do DRE</v>
      </c>
      <c r="W144" s="3" t="str">
        <f>LEFT(Base_Periodo1[[#This Row],[CLASS]],3)</f>
        <v>1.1</v>
      </c>
    </row>
    <row r="145" spans="1:23" hidden="1">
      <c r="A145" s="3" t="str">
        <f t="shared" si="2"/>
        <v>Período 1</v>
      </c>
      <c r="B145">
        <v>23469</v>
      </c>
      <c r="C145" t="s">
        <v>503</v>
      </c>
      <c r="D145" t="s">
        <v>540</v>
      </c>
      <c r="E145" s="3" t="str">
        <f>IF(LEN(Base_Periodo1[[#This Row],[CLASS]])&gt;=7,LEFT(Base_Periodo1[[#This Row],[CLASS]],7),"")</f>
        <v>1.1.2.1</v>
      </c>
      <c r="F145" s="3" t="str">
        <f>VLOOKUP(Base_Periodo1[[#This Row],[Aux]],Base_Contas_Balanco[#All],2,FALSE)</f>
        <v>Creditos com Cooperados</v>
      </c>
      <c r="G145" s="1">
        <v>42881</v>
      </c>
      <c r="H145" s="225">
        <v>1454.4400000002934</v>
      </c>
      <c r="I145" s="225">
        <v>4850.8</v>
      </c>
      <c r="J145" s="225">
        <v>3544.44</v>
      </c>
      <c r="K145" s="225">
        <v>2760.8000000002935</v>
      </c>
      <c r="L1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2760.8</v>
      </c>
      <c r="M145" s="225">
        <f>ROUND(IF(AND(Base_Periodo1[[#This Row],[Tipo_Linha]]="-",Base_Periodo1[[#This Row],[TIPOSALDO]]="D"),Base_Periodo1[[#This Row],[SALDO_ATUAL]]*-1,Base_Periodo1[[#This Row],[SALDO_ATUAL]]),4)</f>
        <v>2760.8</v>
      </c>
      <c r="N145" t="s">
        <v>116</v>
      </c>
      <c r="O145" t="s">
        <v>397</v>
      </c>
      <c r="P145" t="s">
        <v>397</v>
      </c>
      <c r="Q145">
        <v>7</v>
      </c>
      <c r="R145" s="225">
        <f>Base_Periodo1[[#This Row],[CREDITOS]]-Base_Periodo1[[#This Row],[DEBITOS]]</f>
        <v>-1306.3600000000001</v>
      </c>
      <c r="S145" s="3" t="str">
        <f>IF(ISERROR(VLOOKUP(Base_Periodo1[[#This Row],[CONTA]],BaseContasDRE[#All],4,FALSE)),"Fora do DRE",VLOOKUP(Base_Periodo1[[#This Row],[CONTA]],BaseContasDRE[#All],4,FALSE))</f>
        <v>Fora do DRE</v>
      </c>
      <c r="T145" s="3" t="str">
        <f>IF(ISERROR(VLOOKUP(Base_Periodo1[[#This Row],[CONTA]],BaseContasDRE[#All],5,FALSE)),"Fora do DRE",VLOOKUP(Base_Periodo1[[#This Row],[CONTA]],BaseContasDRE[#All],6,FALSE))</f>
        <v>Fora do DRE</v>
      </c>
      <c r="U145" s="3" t="str">
        <f>IF(ISERROR(VLOOKUP(Base_Periodo1[[#This Row],[CONTA]],BaseContasDRE[#All],7,FALSE)),"Fora do DRE",VLOOKUP(Base_Periodo1[[#This Row],[CONTA]],BaseContasDRE[#All],7,FALSE))</f>
        <v>Fora do DRE</v>
      </c>
      <c r="V145" s="3" t="str">
        <f>IF(Base_Periodo1[[#This Row],[Tipo_Linha]]="Fora do DRE","Fora do DRE","( "&amp;Base_Periodo1[[#This Row],[Tipo_Linha]]&amp;" ) "&amp;Base_Periodo1[[#This Row],[Filtro]])</f>
        <v>Fora do DRE</v>
      </c>
      <c r="W145" s="3" t="str">
        <f>LEFT(Base_Periodo1[[#This Row],[CLASS]],3)</f>
        <v>1.1</v>
      </c>
    </row>
    <row r="146" spans="1:23" hidden="1">
      <c r="A146" s="3" t="str">
        <f t="shared" si="2"/>
        <v>Período 1</v>
      </c>
      <c r="B146">
        <v>7097</v>
      </c>
      <c r="C146" t="s">
        <v>503</v>
      </c>
      <c r="D146" t="s">
        <v>541</v>
      </c>
      <c r="E146" s="3" t="str">
        <f>IF(LEN(Base_Periodo1[[#This Row],[CLASS]])&gt;=7,LEFT(Base_Periodo1[[#This Row],[CLASS]],7),"")</f>
        <v>1.1.2.1</v>
      </c>
      <c r="F146" s="3" t="str">
        <f>VLOOKUP(Base_Periodo1[[#This Row],[Aux]],Base_Contas_Balanco[#All],2,FALSE)</f>
        <v>Creditos com Cooperados</v>
      </c>
      <c r="G146" s="1">
        <v>42865</v>
      </c>
      <c r="H146" s="225">
        <v>207254.62000000104</v>
      </c>
      <c r="I146" s="225">
        <v>725</v>
      </c>
      <c r="J146" s="225">
        <v>0</v>
      </c>
      <c r="K146" s="225">
        <v>207979.62000000104</v>
      </c>
      <c r="L1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207979.62</v>
      </c>
      <c r="M146" s="225">
        <f>ROUND(IF(AND(Base_Periodo1[[#This Row],[Tipo_Linha]]="-",Base_Periodo1[[#This Row],[TIPOSALDO]]="D"),Base_Periodo1[[#This Row],[SALDO_ATUAL]]*-1,Base_Periodo1[[#This Row],[SALDO_ATUAL]]),4)</f>
        <v>207979.62</v>
      </c>
      <c r="N146" t="s">
        <v>116</v>
      </c>
      <c r="O146" t="s">
        <v>397</v>
      </c>
      <c r="P146" t="s">
        <v>397</v>
      </c>
      <c r="Q146">
        <v>7</v>
      </c>
      <c r="R146" s="225">
        <f>Base_Periodo1[[#This Row],[CREDITOS]]-Base_Periodo1[[#This Row],[DEBITOS]]</f>
        <v>-725</v>
      </c>
      <c r="S146" s="3" t="str">
        <f>IF(ISERROR(VLOOKUP(Base_Periodo1[[#This Row],[CONTA]],BaseContasDRE[#All],4,FALSE)),"Fora do DRE",VLOOKUP(Base_Periodo1[[#This Row],[CONTA]],BaseContasDRE[#All],4,FALSE))</f>
        <v>Fora do DRE</v>
      </c>
      <c r="T146" s="3" t="str">
        <f>IF(ISERROR(VLOOKUP(Base_Periodo1[[#This Row],[CONTA]],BaseContasDRE[#All],5,FALSE)),"Fora do DRE",VLOOKUP(Base_Periodo1[[#This Row],[CONTA]],BaseContasDRE[#All],6,FALSE))</f>
        <v>Fora do DRE</v>
      </c>
      <c r="U146" s="3" t="str">
        <f>IF(ISERROR(VLOOKUP(Base_Periodo1[[#This Row],[CONTA]],BaseContasDRE[#All],7,FALSE)),"Fora do DRE",VLOOKUP(Base_Periodo1[[#This Row],[CONTA]],BaseContasDRE[#All],7,FALSE))</f>
        <v>Fora do DRE</v>
      </c>
      <c r="V146" s="3" t="str">
        <f>IF(Base_Periodo1[[#This Row],[Tipo_Linha]]="Fora do DRE","Fora do DRE","( "&amp;Base_Periodo1[[#This Row],[Tipo_Linha]]&amp;" ) "&amp;Base_Periodo1[[#This Row],[Filtro]])</f>
        <v>Fora do DRE</v>
      </c>
      <c r="W146" s="3" t="str">
        <f>LEFT(Base_Periodo1[[#This Row],[CLASS]],3)</f>
        <v>1.1</v>
      </c>
    </row>
    <row r="147" spans="1:23" hidden="1">
      <c r="A147" s="3" t="str">
        <f t="shared" si="2"/>
        <v>Período 1</v>
      </c>
      <c r="B147">
        <v>18371</v>
      </c>
      <c r="C147" t="s">
        <v>503</v>
      </c>
      <c r="D147" t="s">
        <v>5263</v>
      </c>
      <c r="E147" s="3" t="str">
        <f>IF(LEN(Base_Periodo1[[#This Row],[CLASS]])&gt;=7,LEFT(Base_Periodo1[[#This Row],[CLASS]],7),"")</f>
        <v>1.1.2.1</v>
      </c>
      <c r="F147" s="3" t="str">
        <f>VLOOKUP(Base_Periodo1[[#This Row],[Aux]],Base_Contas_Balanco[#All],2,FALSE)</f>
        <v>Creditos com Cooperados</v>
      </c>
      <c r="G147" s="1">
        <v>42877</v>
      </c>
      <c r="I147" s="225">
        <v>1290</v>
      </c>
      <c r="J147" s="225">
        <v>0</v>
      </c>
      <c r="K147" s="225">
        <v>1289.9999999999709</v>
      </c>
      <c r="L1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1290</v>
      </c>
      <c r="M147" s="225">
        <f>ROUND(IF(AND(Base_Periodo1[[#This Row],[Tipo_Linha]]="-",Base_Periodo1[[#This Row],[TIPOSALDO]]="D"),Base_Periodo1[[#This Row],[SALDO_ATUAL]]*-1,Base_Periodo1[[#This Row],[SALDO_ATUAL]]),4)</f>
        <v>1290</v>
      </c>
      <c r="N147" t="s">
        <v>116</v>
      </c>
      <c r="O147" t="s">
        <v>436</v>
      </c>
      <c r="P147" t="s">
        <v>397</v>
      </c>
      <c r="Q147">
        <v>7</v>
      </c>
      <c r="R147" s="225">
        <f>Base_Periodo1[[#This Row],[CREDITOS]]-Base_Periodo1[[#This Row],[DEBITOS]]</f>
        <v>-1290</v>
      </c>
      <c r="S147" s="3" t="str">
        <f>IF(ISERROR(VLOOKUP(Base_Periodo1[[#This Row],[CONTA]],BaseContasDRE[#All],4,FALSE)),"Fora do DRE",VLOOKUP(Base_Periodo1[[#This Row],[CONTA]],BaseContasDRE[#All],4,FALSE))</f>
        <v>Fora do DRE</v>
      </c>
      <c r="T147" s="3" t="str">
        <f>IF(ISERROR(VLOOKUP(Base_Periodo1[[#This Row],[CONTA]],BaseContasDRE[#All],5,FALSE)),"Fora do DRE",VLOOKUP(Base_Periodo1[[#This Row],[CONTA]],BaseContasDRE[#All],6,FALSE))</f>
        <v>Fora do DRE</v>
      </c>
      <c r="U147" s="3" t="str">
        <f>IF(ISERROR(VLOOKUP(Base_Periodo1[[#This Row],[CONTA]],BaseContasDRE[#All],7,FALSE)),"Fora do DRE",VLOOKUP(Base_Periodo1[[#This Row],[CONTA]],BaseContasDRE[#All],7,FALSE))</f>
        <v>Fora do DRE</v>
      </c>
      <c r="V147" s="3" t="str">
        <f>IF(Base_Periodo1[[#This Row],[Tipo_Linha]]="Fora do DRE","Fora do DRE","( "&amp;Base_Periodo1[[#This Row],[Tipo_Linha]]&amp;" ) "&amp;Base_Periodo1[[#This Row],[Filtro]])</f>
        <v>Fora do DRE</v>
      </c>
      <c r="W147" s="3" t="str">
        <f>LEFT(Base_Periodo1[[#This Row],[CLASS]],3)</f>
        <v>1.1</v>
      </c>
    </row>
    <row r="148" spans="1:23" hidden="1">
      <c r="A148" s="3" t="str">
        <f t="shared" si="2"/>
        <v>Período 1</v>
      </c>
      <c r="B148">
        <v>57673</v>
      </c>
      <c r="C148" t="s">
        <v>503</v>
      </c>
      <c r="D148" t="s">
        <v>6115</v>
      </c>
      <c r="E148" s="3" t="str">
        <f>IF(LEN(Base_Periodo1[[#This Row],[CLASS]])&gt;=7,LEFT(Base_Periodo1[[#This Row],[CLASS]],7),"")</f>
        <v>1.1.2.1</v>
      </c>
      <c r="F148" s="3" t="str">
        <f>VLOOKUP(Base_Periodo1[[#This Row],[Aux]],Base_Contas_Balanco[#All],2,FALSE)</f>
        <v>Creditos com Cooperados</v>
      </c>
      <c r="G148" s="1">
        <v>42879</v>
      </c>
      <c r="H148" s="225">
        <v>6324</v>
      </c>
      <c r="I148" s="225">
        <v>300</v>
      </c>
      <c r="J148" s="225">
        <v>6624</v>
      </c>
      <c r="K148" s="225">
        <v>0</v>
      </c>
      <c r="L1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48" s="225">
        <f>ROUND(IF(AND(Base_Periodo1[[#This Row],[Tipo_Linha]]="-",Base_Periodo1[[#This Row],[TIPOSALDO]]="D"),Base_Periodo1[[#This Row],[SALDO_ATUAL]]*-1,Base_Periodo1[[#This Row],[SALDO_ATUAL]]),4)</f>
        <v>0</v>
      </c>
      <c r="N148" t="s">
        <v>116</v>
      </c>
      <c r="O148" t="s">
        <v>397</v>
      </c>
      <c r="P148" t="s">
        <v>436</v>
      </c>
      <c r="Q148">
        <v>7</v>
      </c>
      <c r="R148" s="225">
        <f>Base_Periodo1[[#This Row],[CREDITOS]]-Base_Periodo1[[#This Row],[DEBITOS]]</f>
        <v>6324</v>
      </c>
      <c r="S148" s="3" t="str">
        <f>IF(ISERROR(VLOOKUP(Base_Periodo1[[#This Row],[CONTA]],BaseContasDRE[#All],4,FALSE)),"Fora do DRE",VLOOKUP(Base_Periodo1[[#This Row],[CONTA]],BaseContasDRE[#All],4,FALSE))</f>
        <v>Fora do DRE</v>
      </c>
      <c r="T148" s="3" t="str">
        <f>IF(ISERROR(VLOOKUP(Base_Periodo1[[#This Row],[CONTA]],BaseContasDRE[#All],5,FALSE)),"Fora do DRE",VLOOKUP(Base_Periodo1[[#This Row],[CONTA]],BaseContasDRE[#All],6,FALSE))</f>
        <v>Fora do DRE</v>
      </c>
      <c r="U148" s="3" t="str">
        <f>IF(ISERROR(VLOOKUP(Base_Periodo1[[#This Row],[CONTA]],BaseContasDRE[#All],7,FALSE)),"Fora do DRE",VLOOKUP(Base_Periodo1[[#This Row],[CONTA]],BaseContasDRE[#All],7,FALSE))</f>
        <v>Fora do DRE</v>
      </c>
      <c r="V148" s="3" t="str">
        <f>IF(Base_Periodo1[[#This Row],[Tipo_Linha]]="Fora do DRE","Fora do DRE","( "&amp;Base_Periodo1[[#This Row],[Tipo_Linha]]&amp;" ) "&amp;Base_Periodo1[[#This Row],[Filtro]])</f>
        <v>Fora do DRE</v>
      </c>
      <c r="W148" s="3" t="str">
        <f>LEFT(Base_Periodo1[[#This Row],[CLASS]],3)</f>
        <v>1.1</v>
      </c>
    </row>
    <row r="149" spans="1:23" hidden="1">
      <c r="A149" s="3" t="str">
        <f t="shared" si="2"/>
        <v>Período 1</v>
      </c>
      <c r="B149">
        <v>46887</v>
      </c>
      <c r="C149" t="s">
        <v>503</v>
      </c>
      <c r="D149" t="s">
        <v>6701</v>
      </c>
      <c r="E149" s="3" t="str">
        <f>IF(LEN(Base_Periodo1[[#This Row],[CLASS]])&gt;=7,LEFT(Base_Periodo1[[#This Row],[CLASS]],7),"")</f>
        <v>1.1.2.1</v>
      </c>
      <c r="F149" s="3" t="str">
        <f>VLOOKUP(Base_Periodo1[[#This Row],[Aux]],Base_Contas_Balanco[#All],2,FALSE)</f>
        <v>Creditos com Cooperados</v>
      </c>
      <c r="G149" s="1">
        <v>42885</v>
      </c>
      <c r="I149" s="225">
        <v>13580.8</v>
      </c>
      <c r="J149" s="225">
        <v>0</v>
      </c>
      <c r="K149" s="225">
        <v>13580.800000000007</v>
      </c>
      <c r="L1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13580.8</v>
      </c>
      <c r="M149" s="225">
        <f>ROUND(IF(AND(Base_Periodo1[[#This Row],[Tipo_Linha]]="-",Base_Periodo1[[#This Row],[TIPOSALDO]]="D"),Base_Periodo1[[#This Row],[SALDO_ATUAL]]*-1,Base_Periodo1[[#This Row],[SALDO_ATUAL]]),4)</f>
        <v>13580.8</v>
      </c>
      <c r="N149" t="s">
        <v>116</v>
      </c>
      <c r="O149" t="s">
        <v>436</v>
      </c>
      <c r="P149" t="s">
        <v>397</v>
      </c>
      <c r="Q149">
        <v>7</v>
      </c>
      <c r="R149" s="225">
        <f>Base_Periodo1[[#This Row],[CREDITOS]]-Base_Periodo1[[#This Row],[DEBITOS]]</f>
        <v>-13580.8</v>
      </c>
      <c r="S149" s="3" t="str">
        <f>IF(ISERROR(VLOOKUP(Base_Periodo1[[#This Row],[CONTA]],BaseContasDRE[#All],4,FALSE)),"Fora do DRE",VLOOKUP(Base_Periodo1[[#This Row],[CONTA]],BaseContasDRE[#All],4,FALSE))</f>
        <v>Fora do DRE</v>
      </c>
      <c r="T149" s="3" t="str">
        <f>IF(ISERROR(VLOOKUP(Base_Periodo1[[#This Row],[CONTA]],BaseContasDRE[#All],5,FALSE)),"Fora do DRE",VLOOKUP(Base_Periodo1[[#This Row],[CONTA]],BaseContasDRE[#All],6,FALSE))</f>
        <v>Fora do DRE</v>
      </c>
      <c r="U149" s="3" t="str">
        <f>IF(ISERROR(VLOOKUP(Base_Periodo1[[#This Row],[CONTA]],BaseContasDRE[#All],7,FALSE)),"Fora do DRE",VLOOKUP(Base_Periodo1[[#This Row],[CONTA]],BaseContasDRE[#All],7,FALSE))</f>
        <v>Fora do DRE</v>
      </c>
      <c r="V149" s="3" t="str">
        <f>IF(Base_Periodo1[[#This Row],[Tipo_Linha]]="Fora do DRE","Fora do DRE","( "&amp;Base_Periodo1[[#This Row],[Tipo_Linha]]&amp;" ) "&amp;Base_Periodo1[[#This Row],[Filtro]])</f>
        <v>Fora do DRE</v>
      </c>
      <c r="W149" s="3" t="str">
        <f>LEFT(Base_Periodo1[[#This Row],[CLASS]],3)</f>
        <v>1.1</v>
      </c>
    </row>
    <row r="150" spans="1:23" hidden="1">
      <c r="A150" s="3" t="str">
        <f t="shared" si="2"/>
        <v>Período 1</v>
      </c>
      <c r="B150">
        <v>48436</v>
      </c>
      <c r="C150" t="s">
        <v>503</v>
      </c>
      <c r="D150" t="s">
        <v>928</v>
      </c>
      <c r="E150" s="3" t="str">
        <f>IF(LEN(Base_Periodo1[[#This Row],[CLASS]])&gt;=7,LEFT(Base_Periodo1[[#This Row],[CLASS]],7),"")</f>
        <v>1.1.2.1</v>
      </c>
      <c r="F150" s="3" t="str">
        <f>VLOOKUP(Base_Periodo1[[#This Row],[Aux]],Base_Contas_Balanco[#All],2,FALSE)</f>
        <v>Creditos com Cooperados</v>
      </c>
      <c r="G150" s="1">
        <v>42881</v>
      </c>
      <c r="H150" s="225">
        <v>1920</v>
      </c>
      <c r="I150" s="225">
        <v>0.93</v>
      </c>
      <c r="J150" s="225">
        <v>1920.93</v>
      </c>
      <c r="K150" s="225">
        <v>0</v>
      </c>
      <c r="L1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50" s="225">
        <f>ROUND(IF(AND(Base_Periodo1[[#This Row],[Tipo_Linha]]="-",Base_Periodo1[[#This Row],[TIPOSALDO]]="D"),Base_Periodo1[[#This Row],[SALDO_ATUAL]]*-1,Base_Periodo1[[#This Row],[SALDO_ATUAL]]),4)</f>
        <v>0</v>
      </c>
      <c r="N150" t="s">
        <v>116</v>
      </c>
      <c r="O150" t="s">
        <v>397</v>
      </c>
      <c r="P150" t="s">
        <v>436</v>
      </c>
      <c r="Q150">
        <v>7</v>
      </c>
      <c r="R150" s="225">
        <f>Base_Periodo1[[#This Row],[CREDITOS]]-Base_Periodo1[[#This Row],[DEBITOS]]</f>
        <v>1920</v>
      </c>
      <c r="S150" s="3" t="str">
        <f>IF(ISERROR(VLOOKUP(Base_Periodo1[[#This Row],[CONTA]],BaseContasDRE[#All],4,FALSE)),"Fora do DRE",VLOOKUP(Base_Periodo1[[#This Row],[CONTA]],BaseContasDRE[#All],4,FALSE))</f>
        <v>Fora do DRE</v>
      </c>
      <c r="T150" s="3" t="str">
        <f>IF(ISERROR(VLOOKUP(Base_Periodo1[[#This Row],[CONTA]],BaseContasDRE[#All],5,FALSE)),"Fora do DRE",VLOOKUP(Base_Periodo1[[#This Row],[CONTA]],BaseContasDRE[#All],6,FALSE))</f>
        <v>Fora do DRE</v>
      </c>
      <c r="U150" s="3" t="str">
        <f>IF(ISERROR(VLOOKUP(Base_Periodo1[[#This Row],[CONTA]],BaseContasDRE[#All],7,FALSE)),"Fora do DRE",VLOOKUP(Base_Periodo1[[#This Row],[CONTA]],BaseContasDRE[#All],7,FALSE))</f>
        <v>Fora do DRE</v>
      </c>
      <c r="V150" s="3" t="str">
        <f>IF(Base_Periodo1[[#This Row],[Tipo_Linha]]="Fora do DRE","Fora do DRE","( "&amp;Base_Periodo1[[#This Row],[Tipo_Linha]]&amp;" ) "&amp;Base_Periodo1[[#This Row],[Filtro]])</f>
        <v>Fora do DRE</v>
      </c>
      <c r="W150" s="3" t="str">
        <f>LEFT(Base_Periodo1[[#This Row],[CLASS]],3)</f>
        <v>1.1</v>
      </c>
    </row>
    <row r="151" spans="1:23" hidden="1">
      <c r="A151" s="3" t="str">
        <f t="shared" si="2"/>
        <v>Período 1</v>
      </c>
      <c r="B151">
        <v>12307</v>
      </c>
      <c r="C151" t="s">
        <v>503</v>
      </c>
      <c r="D151" t="s">
        <v>542</v>
      </c>
      <c r="E151" s="3" t="str">
        <f>IF(LEN(Base_Periodo1[[#This Row],[CLASS]])&gt;=7,LEFT(Base_Periodo1[[#This Row],[CLASS]],7),"")</f>
        <v>1.1.2.1</v>
      </c>
      <c r="F151" s="3" t="str">
        <f>VLOOKUP(Base_Periodo1[[#This Row],[Aux]],Base_Contas_Balanco[#All],2,FALSE)</f>
        <v>Creditos com Cooperados</v>
      </c>
      <c r="G151" s="1">
        <v>42879</v>
      </c>
      <c r="H151" s="225">
        <v>118070.40999999945</v>
      </c>
      <c r="I151" s="225">
        <v>5406.13</v>
      </c>
      <c r="J151" s="225">
        <v>16947.11</v>
      </c>
      <c r="K151" s="225">
        <v>106529.42999999945</v>
      </c>
      <c r="L1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106529.43</v>
      </c>
      <c r="M151" s="225">
        <f>ROUND(IF(AND(Base_Periodo1[[#This Row],[Tipo_Linha]]="-",Base_Periodo1[[#This Row],[TIPOSALDO]]="D"),Base_Periodo1[[#This Row],[SALDO_ATUAL]]*-1,Base_Periodo1[[#This Row],[SALDO_ATUAL]]),4)</f>
        <v>106529.43</v>
      </c>
      <c r="N151" t="s">
        <v>116</v>
      </c>
      <c r="O151" t="s">
        <v>397</v>
      </c>
      <c r="P151" t="s">
        <v>397</v>
      </c>
      <c r="Q151">
        <v>7</v>
      </c>
      <c r="R151" s="225">
        <f>Base_Periodo1[[#This Row],[CREDITOS]]-Base_Periodo1[[#This Row],[DEBITOS]]</f>
        <v>11540.98</v>
      </c>
      <c r="S151" s="3" t="str">
        <f>IF(ISERROR(VLOOKUP(Base_Periodo1[[#This Row],[CONTA]],BaseContasDRE[#All],4,FALSE)),"Fora do DRE",VLOOKUP(Base_Periodo1[[#This Row],[CONTA]],BaseContasDRE[#All],4,FALSE))</f>
        <v>Fora do DRE</v>
      </c>
      <c r="T151" s="3" t="str">
        <f>IF(ISERROR(VLOOKUP(Base_Periodo1[[#This Row],[CONTA]],BaseContasDRE[#All],5,FALSE)),"Fora do DRE",VLOOKUP(Base_Periodo1[[#This Row],[CONTA]],BaseContasDRE[#All],6,FALSE))</f>
        <v>Fora do DRE</v>
      </c>
      <c r="U151" s="3" t="str">
        <f>IF(ISERROR(VLOOKUP(Base_Periodo1[[#This Row],[CONTA]],BaseContasDRE[#All],7,FALSE)),"Fora do DRE",VLOOKUP(Base_Periodo1[[#This Row],[CONTA]],BaseContasDRE[#All],7,FALSE))</f>
        <v>Fora do DRE</v>
      </c>
      <c r="V151" s="3" t="str">
        <f>IF(Base_Periodo1[[#This Row],[Tipo_Linha]]="Fora do DRE","Fora do DRE","( "&amp;Base_Periodo1[[#This Row],[Tipo_Linha]]&amp;" ) "&amp;Base_Periodo1[[#This Row],[Filtro]])</f>
        <v>Fora do DRE</v>
      </c>
      <c r="W151" s="3" t="str">
        <f>LEFT(Base_Periodo1[[#This Row],[CLASS]],3)</f>
        <v>1.1</v>
      </c>
    </row>
    <row r="152" spans="1:23" hidden="1">
      <c r="A152" s="3" t="str">
        <f t="shared" si="2"/>
        <v>Período 1</v>
      </c>
      <c r="B152">
        <v>57846</v>
      </c>
      <c r="C152" t="s">
        <v>503</v>
      </c>
      <c r="D152" t="s">
        <v>6116</v>
      </c>
      <c r="E152" s="3" t="str">
        <f>IF(LEN(Base_Periodo1[[#This Row],[CLASS]])&gt;=7,LEFT(Base_Periodo1[[#This Row],[CLASS]],7),"")</f>
        <v>1.1.2.1</v>
      </c>
      <c r="F152" s="3" t="str">
        <f>VLOOKUP(Base_Periodo1[[#This Row],[Aux]],Base_Contas_Balanco[#All],2,FALSE)</f>
        <v>Creditos com Cooperados</v>
      </c>
      <c r="G152" s="1">
        <v>42865</v>
      </c>
      <c r="H152" s="225">
        <v>3382.96</v>
      </c>
      <c r="I152" s="225">
        <v>570</v>
      </c>
      <c r="J152" s="225">
        <v>220</v>
      </c>
      <c r="K152" s="225">
        <v>3732.96</v>
      </c>
      <c r="L1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3732.96</v>
      </c>
      <c r="M152" s="225">
        <f>ROUND(IF(AND(Base_Periodo1[[#This Row],[Tipo_Linha]]="-",Base_Periodo1[[#This Row],[TIPOSALDO]]="D"),Base_Periodo1[[#This Row],[SALDO_ATUAL]]*-1,Base_Periodo1[[#This Row],[SALDO_ATUAL]]),4)</f>
        <v>3732.96</v>
      </c>
      <c r="N152" t="s">
        <v>116</v>
      </c>
      <c r="O152" t="s">
        <v>397</v>
      </c>
      <c r="P152" t="s">
        <v>397</v>
      </c>
      <c r="Q152">
        <v>7</v>
      </c>
      <c r="R152" s="225">
        <f>Base_Periodo1[[#This Row],[CREDITOS]]-Base_Periodo1[[#This Row],[DEBITOS]]</f>
        <v>-350</v>
      </c>
      <c r="S152" s="3" t="str">
        <f>IF(ISERROR(VLOOKUP(Base_Periodo1[[#This Row],[CONTA]],BaseContasDRE[#All],4,FALSE)),"Fora do DRE",VLOOKUP(Base_Periodo1[[#This Row],[CONTA]],BaseContasDRE[#All],4,FALSE))</f>
        <v>Fora do DRE</v>
      </c>
      <c r="T152" s="3" t="str">
        <f>IF(ISERROR(VLOOKUP(Base_Periodo1[[#This Row],[CONTA]],BaseContasDRE[#All],5,FALSE)),"Fora do DRE",VLOOKUP(Base_Periodo1[[#This Row],[CONTA]],BaseContasDRE[#All],6,FALSE))</f>
        <v>Fora do DRE</v>
      </c>
      <c r="U152" s="3" t="str">
        <f>IF(ISERROR(VLOOKUP(Base_Periodo1[[#This Row],[CONTA]],BaseContasDRE[#All],7,FALSE)),"Fora do DRE",VLOOKUP(Base_Periodo1[[#This Row],[CONTA]],BaseContasDRE[#All],7,FALSE))</f>
        <v>Fora do DRE</v>
      </c>
      <c r="V152" s="3" t="str">
        <f>IF(Base_Periodo1[[#This Row],[Tipo_Linha]]="Fora do DRE","Fora do DRE","( "&amp;Base_Periodo1[[#This Row],[Tipo_Linha]]&amp;" ) "&amp;Base_Periodo1[[#This Row],[Filtro]])</f>
        <v>Fora do DRE</v>
      </c>
      <c r="W152" s="3" t="str">
        <f>LEFT(Base_Periodo1[[#This Row],[CLASS]],3)</f>
        <v>1.1</v>
      </c>
    </row>
    <row r="153" spans="1:23" hidden="1">
      <c r="A153" s="3" t="str">
        <f t="shared" si="2"/>
        <v>Período 1</v>
      </c>
      <c r="B153">
        <v>2636</v>
      </c>
      <c r="C153" t="s">
        <v>503</v>
      </c>
      <c r="D153" t="s">
        <v>543</v>
      </c>
      <c r="E153" s="3" t="str">
        <f>IF(LEN(Base_Periodo1[[#This Row],[CLASS]])&gt;=7,LEFT(Base_Periodo1[[#This Row],[CLASS]],7),"")</f>
        <v>1.1.2.1</v>
      </c>
      <c r="F153" s="3" t="str">
        <f>VLOOKUP(Base_Periodo1[[#This Row],[Aux]],Base_Contas_Balanco[#All],2,FALSE)</f>
        <v>Creditos com Cooperados</v>
      </c>
      <c r="G153" s="1">
        <v>42877</v>
      </c>
      <c r="H153" s="225">
        <v>308740.8199999996</v>
      </c>
      <c r="I153" s="225">
        <v>32698</v>
      </c>
      <c r="J153" s="225">
        <v>5500</v>
      </c>
      <c r="K153" s="225">
        <v>335938.8199999996</v>
      </c>
      <c r="L1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335938.82</v>
      </c>
      <c r="M153" s="225">
        <f>ROUND(IF(AND(Base_Periodo1[[#This Row],[Tipo_Linha]]="-",Base_Periodo1[[#This Row],[TIPOSALDO]]="D"),Base_Periodo1[[#This Row],[SALDO_ATUAL]]*-1,Base_Periodo1[[#This Row],[SALDO_ATUAL]]),4)</f>
        <v>335938.82</v>
      </c>
      <c r="N153" t="s">
        <v>116</v>
      </c>
      <c r="O153" t="s">
        <v>397</v>
      </c>
      <c r="P153" t="s">
        <v>397</v>
      </c>
      <c r="Q153">
        <v>7</v>
      </c>
      <c r="R153" s="225">
        <f>Base_Periodo1[[#This Row],[CREDITOS]]-Base_Periodo1[[#This Row],[DEBITOS]]</f>
        <v>-27198</v>
      </c>
      <c r="S153" s="3" t="str">
        <f>IF(ISERROR(VLOOKUP(Base_Periodo1[[#This Row],[CONTA]],BaseContasDRE[#All],4,FALSE)),"Fora do DRE",VLOOKUP(Base_Periodo1[[#This Row],[CONTA]],BaseContasDRE[#All],4,FALSE))</f>
        <v>Fora do DRE</v>
      </c>
      <c r="T153" s="3" t="str">
        <f>IF(ISERROR(VLOOKUP(Base_Periodo1[[#This Row],[CONTA]],BaseContasDRE[#All],5,FALSE)),"Fora do DRE",VLOOKUP(Base_Periodo1[[#This Row],[CONTA]],BaseContasDRE[#All],6,FALSE))</f>
        <v>Fora do DRE</v>
      </c>
      <c r="U153" s="3" t="str">
        <f>IF(ISERROR(VLOOKUP(Base_Periodo1[[#This Row],[CONTA]],BaseContasDRE[#All],7,FALSE)),"Fora do DRE",VLOOKUP(Base_Periodo1[[#This Row],[CONTA]],BaseContasDRE[#All],7,FALSE))</f>
        <v>Fora do DRE</v>
      </c>
      <c r="V153" s="3" t="str">
        <f>IF(Base_Periodo1[[#This Row],[Tipo_Linha]]="Fora do DRE","Fora do DRE","( "&amp;Base_Periodo1[[#This Row],[Tipo_Linha]]&amp;" ) "&amp;Base_Periodo1[[#This Row],[Filtro]])</f>
        <v>Fora do DRE</v>
      </c>
      <c r="W153" s="3" t="str">
        <f>LEFT(Base_Periodo1[[#This Row],[CLASS]],3)</f>
        <v>1.1</v>
      </c>
    </row>
    <row r="154" spans="1:23" hidden="1">
      <c r="A154" s="3" t="str">
        <f t="shared" si="2"/>
        <v>Período 1</v>
      </c>
      <c r="B154">
        <v>39346</v>
      </c>
      <c r="C154" t="s">
        <v>503</v>
      </c>
      <c r="D154" t="s">
        <v>544</v>
      </c>
      <c r="E154" s="3" t="str">
        <f>IF(LEN(Base_Periodo1[[#This Row],[CLASS]])&gt;=7,LEFT(Base_Periodo1[[#This Row],[CLASS]],7),"")</f>
        <v>1.1.2.1</v>
      </c>
      <c r="F154" s="3" t="str">
        <f>VLOOKUP(Base_Periodo1[[#This Row],[Aux]],Base_Contas_Balanco[#All],2,FALSE)</f>
        <v>Creditos com Cooperados</v>
      </c>
      <c r="G154" s="1">
        <v>42885</v>
      </c>
      <c r="H154" s="225">
        <v>85674.20000000007</v>
      </c>
      <c r="I154" s="225">
        <v>5040</v>
      </c>
      <c r="J154" s="225">
        <v>76064.199999999983</v>
      </c>
      <c r="K154" s="225">
        <v>14650.000000000087</v>
      </c>
      <c r="L1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14650</v>
      </c>
      <c r="M154" s="225">
        <f>ROUND(IF(AND(Base_Periodo1[[#This Row],[Tipo_Linha]]="-",Base_Periodo1[[#This Row],[TIPOSALDO]]="D"),Base_Periodo1[[#This Row],[SALDO_ATUAL]]*-1,Base_Periodo1[[#This Row],[SALDO_ATUAL]]),4)</f>
        <v>14650</v>
      </c>
      <c r="N154" t="s">
        <v>116</v>
      </c>
      <c r="O154" t="s">
        <v>397</v>
      </c>
      <c r="P154" t="s">
        <v>397</v>
      </c>
      <c r="Q154">
        <v>7</v>
      </c>
      <c r="R154" s="225">
        <f>Base_Periodo1[[#This Row],[CREDITOS]]-Base_Periodo1[[#This Row],[DEBITOS]]</f>
        <v>71024.199999999983</v>
      </c>
      <c r="S154" s="3" t="str">
        <f>IF(ISERROR(VLOOKUP(Base_Periodo1[[#This Row],[CONTA]],BaseContasDRE[#All],4,FALSE)),"Fora do DRE",VLOOKUP(Base_Periodo1[[#This Row],[CONTA]],BaseContasDRE[#All],4,FALSE))</f>
        <v>Fora do DRE</v>
      </c>
      <c r="T154" s="3" t="str">
        <f>IF(ISERROR(VLOOKUP(Base_Periodo1[[#This Row],[CONTA]],BaseContasDRE[#All],5,FALSE)),"Fora do DRE",VLOOKUP(Base_Periodo1[[#This Row],[CONTA]],BaseContasDRE[#All],6,FALSE))</f>
        <v>Fora do DRE</v>
      </c>
      <c r="U154" s="3" t="str">
        <f>IF(ISERROR(VLOOKUP(Base_Periodo1[[#This Row],[CONTA]],BaseContasDRE[#All],7,FALSE)),"Fora do DRE",VLOOKUP(Base_Periodo1[[#This Row],[CONTA]],BaseContasDRE[#All],7,FALSE))</f>
        <v>Fora do DRE</v>
      </c>
      <c r="V154" s="3" t="str">
        <f>IF(Base_Periodo1[[#This Row],[Tipo_Linha]]="Fora do DRE","Fora do DRE","( "&amp;Base_Periodo1[[#This Row],[Tipo_Linha]]&amp;" ) "&amp;Base_Periodo1[[#This Row],[Filtro]])</f>
        <v>Fora do DRE</v>
      </c>
      <c r="W154" s="3" t="str">
        <f>LEFT(Base_Periodo1[[#This Row],[CLASS]],3)</f>
        <v>1.1</v>
      </c>
    </row>
    <row r="155" spans="1:23" hidden="1">
      <c r="A155" s="3" t="str">
        <f t="shared" si="2"/>
        <v>Período 1</v>
      </c>
      <c r="B155">
        <v>28649</v>
      </c>
      <c r="C155" t="s">
        <v>503</v>
      </c>
      <c r="D155" t="s">
        <v>545</v>
      </c>
      <c r="E155" s="3" t="str">
        <f>IF(LEN(Base_Periodo1[[#This Row],[CLASS]])&gt;=7,LEFT(Base_Periodo1[[#This Row],[CLASS]],7),"")</f>
        <v>1.1.2.1</v>
      </c>
      <c r="F155" s="3" t="str">
        <f>VLOOKUP(Base_Periodo1[[#This Row],[Aux]],Base_Contas_Balanco[#All],2,FALSE)</f>
        <v>Creditos com Cooperados</v>
      </c>
      <c r="G155" s="1">
        <v>42877</v>
      </c>
      <c r="H155" s="225">
        <v>1035936.0599999949</v>
      </c>
      <c r="I155" s="225">
        <v>6689.92</v>
      </c>
      <c r="J155" s="225">
        <v>499337.18</v>
      </c>
      <c r="K155" s="225">
        <v>543288.79999999492</v>
      </c>
      <c r="L1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543288.80000000005</v>
      </c>
      <c r="M155" s="225">
        <f>ROUND(IF(AND(Base_Periodo1[[#This Row],[Tipo_Linha]]="-",Base_Periodo1[[#This Row],[TIPOSALDO]]="D"),Base_Periodo1[[#This Row],[SALDO_ATUAL]]*-1,Base_Periodo1[[#This Row],[SALDO_ATUAL]]),4)</f>
        <v>543288.80000000005</v>
      </c>
      <c r="N155" t="s">
        <v>116</v>
      </c>
      <c r="O155" t="s">
        <v>397</v>
      </c>
      <c r="P155" t="s">
        <v>397</v>
      </c>
      <c r="Q155">
        <v>7</v>
      </c>
      <c r="R155" s="225">
        <f>Base_Periodo1[[#This Row],[CREDITOS]]-Base_Periodo1[[#This Row],[DEBITOS]]</f>
        <v>492647.26</v>
      </c>
      <c r="S155" s="3" t="str">
        <f>IF(ISERROR(VLOOKUP(Base_Periodo1[[#This Row],[CONTA]],BaseContasDRE[#All],4,FALSE)),"Fora do DRE",VLOOKUP(Base_Periodo1[[#This Row],[CONTA]],BaseContasDRE[#All],4,FALSE))</f>
        <v>Fora do DRE</v>
      </c>
      <c r="T155" s="3" t="str">
        <f>IF(ISERROR(VLOOKUP(Base_Periodo1[[#This Row],[CONTA]],BaseContasDRE[#All],5,FALSE)),"Fora do DRE",VLOOKUP(Base_Periodo1[[#This Row],[CONTA]],BaseContasDRE[#All],6,FALSE))</f>
        <v>Fora do DRE</v>
      </c>
      <c r="U155" s="3" t="str">
        <f>IF(ISERROR(VLOOKUP(Base_Periodo1[[#This Row],[CONTA]],BaseContasDRE[#All],7,FALSE)),"Fora do DRE",VLOOKUP(Base_Periodo1[[#This Row],[CONTA]],BaseContasDRE[#All],7,FALSE))</f>
        <v>Fora do DRE</v>
      </c>
      <c r="V155" s="3" t="str">
        <f>IF(Base_Periodo1[[#This Row],[Tipo_Linha]]="Fora do DRE","Fora do DRE","( "&amp;Base_Periodo1[[#This Row],[Tipo_Linha]]&amp;" ) "&amp;Base_Periodo1[[#This Row],[Filtro]])</f>
        <v>Fora do DRE</v>
      </c>
      <c r="W155" s="3" t="str">
        <f>LEFT(Base_Periodo1[[#This Row],[CLASS]],3)</f>
        <v>1.1</v>
      </c>
    </row>
    <row r="156" spans="1:23" hidden="1">
      <c r="A156" s="3" t="str">
        <f t="shared" si="2"/>
        <v>Período 1</v>
      </c>
      <c r="B156">
        <v>15632</v>
      </c>
      <c r="C156" t="s">
        <v>503</v>
      </c>
      <c r="D156" t="s">
        <v>546</v>
      </c>
      <c r="E156" s="3" t="str">
        <f>IF(LEN(Base_Periodo1[[#This Row],[CLASS]])&gt;=7,LEFT(Base_Periodo1[[#This Row],[CLASS]],7),"")</f>
        <v>1.1.2.1</v>
      </c>
      <c r="F156" s="3" t="str">
        <f>VLOOKUP(Base_Periodo1[[#This Row],[Aux]],Base_Contas_Balanco[#All],2,FALSE)</f>
        <v>Creditos com Cooperados</v>
      </c>
      <c r="G156" s="1">
        <v>42865</v>
      </c>
      <c r="H156" s="225">
        <v>37086.899999999965</v>
      </c>
      <c r="I156" s="225">
        <v>144.94</v>
      </c>
      <c r="J156" s="225">
        <v>763.61</v>
      </c>
      <c r="K156" s="225">
        <v>36468.229999999967</v>
      </c>
      <c r="L1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36468.230000000003</v>
      </c>
      <c r="M156" s="225">
        <f>ROUND(IF(AND(Base_Periodo1[[#This Row],[Tipo_Linha]]="-",Base_Periodo1[[#This Row],[TIPOSALDO]]="D"),Base_Periodo1[[#This Row],[SALDO_ATUAL]]*-1,Base_Periodo1[[#This Row],[SALDO_ATUAL]]),4)</f>
        <v>36468.230000000003</v>
      </c>
      <c r="N156" t="s">
        <v>116</v>
      </c>
      <c r="O156" t="s">
        <v>397</v>
      </c>
      <c r="P156" t="s">
        <v>397</v>
      </c>
      <c r="Q156">
        <v>7</v>
      </c>
      <c r="R156" s="225">
        <f>Base_Periodo1[[#This Row],[CREDITOS]]-Base_Periodo1[[#This Row],[DEBITOS]]</f>
        <v>618.67000000000007</v>
      </c>
      <c r="S156" s="3" t="str">
        <f>IF(ISERROR(VLOOKUP(Base_Periodo1[[#This Row],[CONTA]],BaseContasDRE[#All],4,FALSE)),"Fora do DRE",VLOOKUP(Base_Periodo1[[#This Row],[CONTA]],BaseContasDRE[#All],4,FALSE))</f>
        <v>Fora do DRE</v>
      </c>
      <c r="T156" s="3" t="str">
        <f>IF(ISERROR(VLOOKUP(Base_Periodo1[[#This Row],[CONTA]],BaseContasDRE[#All],5,FALSE)),"Fora do DRE",VLOOKUP(Base_Periodo1[[#This Row],[CONTA]],BaseContasDRE[#All],6,FALSE))</f>
        <v>Fora do DRE</v>
      </c>
      <c r="U156" s="3" t="str">
        <f>IF(ISERROR(VLOOKUP(Base_Periodo1[[#This Row],[CONTA]],BaseContasDRE[#All],7,FALSE)),"Fora do DRE",VLOOKUP(Base_Periodo1[[#This Row],[CONTA]],BaseContasDRE[#All],7,FALSE))</f>
        <v>Fora do DRE</v>
      </c>
      <c r="V156" s="3" t="str">
        <f>IF(Base_Periodo1[[#This Row],[Tipo_Linha]]="Fora do DRE","Fora do DRE","( "&amp;Base_Periodo1[[#This Row],[Tipo_Linha]]&amp;" ) "&amp;Base_Periodo1[[#This Row],[Filtro]])</f>
        <v>Fora do DRE</v>
      </c>
      <c r="W156" s="3" t="str">
        <f>LEFT(Base_Periodo1[[#This Row],[CLASS]],3)</f>
        <v>1.1</v>
      </c>
    </row>
    <row r="157" spans="1:23" hidden="1">
      <c r="A157" s="3" t="str">
        <f t="shared" si="2"/>
        <v>Período 1</v>
      </c>
      <c r="B157">
        <v>22545</v>
      </c>
      <c r="C157" t="s">
        <v>503</v>
      </c>
      <c r="D157" t="s">
        <v>547</v>
      </c>
      <c r="E157" s="3" t="str">
        <f>IF(LEN(Base_Periodo1[[#This Row],[CLASS]])&gt;=7,LEFT(Base_Periodo1[[#This Row],[CLASS]],7),"")</f>
        <v>1.1.2.1</v>
      </c>
      <c r="F157" s="3" t="str">
        <f>VLOOKUP(Base_Periodo1[[#This Row],[Aux]],Base_Contas_Balanco[#All],2,FALSE)</f>
        <v>Creditos com Cooperados</v>
      </c>
      <c r="G157" s="1">
        <v>42884</v>
      </c>
      <c r="H157" s="225">
        <v>7178.3999999999942</v>
      </c>
      <c r="I157" s="225">
        <v>90</v>
      </c>
      <c r="J157" s="225">
        <v>7268.4</v>
      </c>
      <c r="K157" s="225">
        <v>-5.4569682106375694E-12</v>
      </c>
      <c r="L1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57" s="225">
        <f>ROUND(IF(AND(Base_Periodo1[[#This Row],[Tipo_Linha]]="-",Base_Periodo1[[#This Row],[TIPOSALDO]]="D"),Base_Periodo1[[#This Row],[SALDO_ATUAL]]*-1,Base_Periodo1[[#This Row],[SALDO_ATUAL]]),4)</f>
        <v>0</v>
      </c>
      <c r="N157" t="s">
        <v>116</v>
      </c>
      <c r="O157" t="s">
        <v>397</v>
      </c>
      <c r="P157" t="s">
        <v>436</v>
      </c>
      <c r="Q157">
        <v>7</v>
      </c>
      <c r="R157" s="225">
        <f>Base_Periodo1[[#This Row],[CREDITOS]]-Base_Periodo1[[#This Row],[DEBITOS]]</f>
        <v>7178.4</v>
      </c>
      <c r="S157" s="3" t="str">
        <f>IF(ISERROR(VLOOKUP(Base_Periodo1[[#This Row],[CONTA]],BaseContasDRE[#All],4,FALSE)),"Fora do DRE",VLOOKUP(Base_Periodo1[[#This Row],[CONTA]],BaseContasDRE[#All],4,FALSE))</f>
        <v>Fora do DRE</v>
      </c>
      <c r="T157" s="3" t="str">
        <f>IF(ISERROR(VLOOKUP(Base_Periodo1[[#This Row],[CONTA]],BaseContasDRE[#All],5,FALSE)),"Fora do DRE",VLOOKUP(Base_Periodo1[[#This Row],[CONTA]],BaseContasDRE[#All],6,FALSE))</f>
        <v>Fora do DRE</v>
      </c>
      <c r="U157" s="3" t="str">
        <f>IF(ISERROR(VLOOKUP(Base_Periodo1[[#This Row],[CONTA]],BaseContasDRE[#All],7,FALSE)),"Fora do DRE",VLOOKUP(Base_Periodo1[[#This Row],[CONTA]],BaseContasDRE[#All],7,FALSE))</f>
        <v>Fora do DRE</v>
      </c>
      <c r="V157" s="3" t="str">
        <f>IF(Base_Periodo1[[#This Row],[Tipo_Linha]]="Fora do DRE","Fora do DRE","( "&amp;Base_Periodo1[[#This Row],[Tipo_Linha]]&amp;" ) "&amp;Base_Periodo1[[#This Row],[Filtro]])</f>
        <v>Fora do DRE</v>
      </c>
      <c r="W157" s="3" t="str">
        <f>LEFT(Base_Periodo1[[#This Row],[CLASS]],3)</f>
        <v>1.1</v>
      </c>
    </row>
    <row r="158" spans="1:23" hidden="1">
      <c r="A158" s="3" t="str">
        <f t="shared" si="2"/>
        <v>Período 1</v>
      </c>
      <c r="B158">
        <v>26268</v>
      </c>
      <c r="C158" t="s">
        <v>503</v>
      </c>
      <c r="D158" t="s">
        <v>548</v>
      </c>
      <c r="E158" s="3" t="str">
        <f>IF(LEN(Base_Periodo1[[#This Row],[CLASS]])&gt;=7,LEFT(Base_Periodo1[[#This Row],[CLASS]],7),"")</f>
        <v>1.1.2.1</v>
      </c>
      <c r="F158" s="3" t="str">
        <f>VLOOKUP(Base_Periodo1[[#This Row],[Aux]],Base_Contas_Balanco[#All],2,FALSE)</f>
        <v>Creditos com Cooperados</v>
      </c>
      <c r="G158" s="1">
        <v>42872</v>
      </c>
      <c r="H158" s="225">
        <v>4811</v>
      </c>
      <c r="I158" s="225">
        <v>1895.4</v>
      </c>
      <c r="J158" s="225">
        <v>6706.4</v>
      </c>
      <c r="K158" s="225">
        <v>0</v>
      </c>
      <c r="L1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58" s="225">
        <f>ROUND(IF(AND(Base_Periodo1[[#This Row],[Tipo_Linha]]="-",Base_Periodo1[[#This Row],[TIPOSALDO]]="D"),Base_Periodo1[[#This Row],[SALDO_ATUAL]]*-1,Base_Periodo1[[#This Row],[SALDO_ATUAL]]),4)</f>
        <v>0</v>
      </c>
      <c r="N158" t="s">
        <v>116</v>
      </c>
      <c r="O158" t="s">
        <v>397</v>
      </c>
      <c r="P158" t="s">
        <v>436</v>
      </c>
      <c r="Q158">
        <v>7</v>
      </c>
      <c r="R158" s="225">
        <f>Base_Periodo1[[#This Row],[CREDITOS]]-Base_Periodo1[[#This Row],[DEBITOS]]</f>
        <v>4811</v>
      </c>
      <c r="S158" s="3" t="str">
        <f>IF(ISERROR(VLOOKUP(Base_Periodo1[[#This Row],[CONTA]],BaseContasDRE[#All],4,FALSE)),"Fora do DRE",VLOOKUP(Base_Periodo1[[#This Row],[CONTA]],BaseContasDRE[#All],4,FALSE))</f>
        <v>Fora do DRE</v>
      </c>
      <c r="T158" s="3" t="str">
        <f>IF(ISERROR(VLOOKUP(Base_Periodo1[[#This Row],[CONTA]],BaseContasDRE[#All],5,FALSE)),"Fora do DRE",VLOOKUP(Base_Periodo1[[#This Row],[CONTA]],BaseContasDRE[#All],6,FALSE))</f>
        <v>Fora do DRE</v>
      </c>
      <c r="U158" s="3" t="str">
        <f>IF(ISERROR(VLOOKUP(Base_Periodo1[[#This Row],[CONTA]],BaseContasDRE[#All],7,FALSE)),"Fora do DRE",VLOOKUP(Base_Periodo1[[#This Row],[CONTA]],BaseContasDRE[#All],7,FALSE))</f>
        <v>Fora do DRE</v>
      </c>
      <c r="V158" s="3" t="str">
        <f>IF(Base_Periodo1[[#This Row],[Tipo_Linha]]="Fora do DRE","Fora do DRE","( "&amp;Base_Periodo1[[#This Row],[Tipo_Linha]]&amp;" ) "&amp;Base_Periodo1[[#This Row],[Filtro]])</f>
        <v>Fora do DRE</v>
      </c>
      <c r="W158" s="3" t="str">
        <f>LEFT(Base_Periodo1[[#This Row],[CLASS]],3)</f>
        <v>1.1</v>
      </c>
    </row>
    <row r="159" spans="1:23" hidden="1">
      <c r="A159" s="3" t="str">
        <f t="shared" si="2"/>
        <v>Período 1</v>
      </c>
      <c r="B159">
        <v>4540</v>
      </c>
      <c r="C159" t="s">
        <v>503</v>
      </c>
      <c r="D159" t="s">
        <v>549</v>
      </c>
      <c r="E159" s="3" t="str">
        <f>IF(LEN(Base_Periodo1[[#This Row],[CLASS]])&gt;=7,LEFT(Base_Periodo1[[#This Row],[CLASS]],7),"")</f>
        <v>1.1.2.1</v>
      </c>
      <c r="F159" s="3" t="str">
        <f>VLOOKUP(Base_Periodo1[[#This Row],[Aux]],Base_Contas_Balanco[#All],2,FALSE)</f>
        <v>Creditos com Cooperados</v>
      </c>
      <c r="G159" s="1">
        <v>42803</v>
      </c>
      <c r="H159" s="225">
        <v>5775.1999999999971</v>
      </c>
      <c r="I159" s="225">
        <v>0</v>
      </c>
      <c r="J159" s="225">
        <v>0</v>
      </c>
      <c r="K159" s="225">
        <v>5775.1999999999971</v>
      </c>
      <c r="L1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5775.2</v>
      </c>
      <c r="M159" s="225">
        <f>ROUND(IF(AND(Base_Periodo1[[#This Row],[Tipo_Linha]]="-",Base_Periodo1[[#This Row],[TIPOSALDO]]="D"),Base_Periodo1[[#This Row],[SALDO_ATUAL]]*-1,Base_Periodo1[[#This Row],[SALDO_ATUAL]]),4)</f>
        <v>5775.2</v>
      </c>
      <c r="N159" t="s">
        <v>116</v>
      </c>
      <c r="O159" t="s">
        <v>397</v>
      </c>
      <c r="P159" t="s">
        <v>397</v>
      </c>
      <c r="Q159">
        <v>7</v>
      </c>
      <c r="R159" s="225">
        <f>Base_Periodo1[[#This Row],[CREDITOS]]-Base_Periodo1[[#This Row],[DEBITOS]]</f>
        <v>0</v>
      </c>
      <c r="S159" s="3" t="str">
        <f>IF(ISERROR(VLOOKUP(Base_Periodo1[[#This Row],[CONTA]],BaseContasDRE[#All],4,FALSE)),"Fora do DRE",VLOOKUP(Base_Periodo1[[#This Row],[CONTA]],BaseContasDRE[#All],4,FALSE))</f>
        <v>Fora do DRE</v>
      </c>
      <c r="T159" s="3" t="str">
        <f>IF(ISERROR(VLOOKUP(Base_Periodo1[[#This Row],[CONTA]],BaseContasDRE[#All],5,FALSE)),"Fora do DRE",VLOOKUP(Base_Periodo1[[#This Row],[CONTA]],BaseContasDRE[#All],6,FALSE))</f>
        <v>Fora do DRE</v>
      </c>
      <c r="U159" s="3" t="str">
        <f>IF(ISERROR(VLOOKUP(Base_Periodo1[[#This Row],[CONTA]],BaseContasDRE[#All],7,FALSE)),"Fora do DRE",VLOOKUP(Base_Periodo1[[#This Row],[CONTA]],BaseContasDRE[#All],7,FALSE))</f>
        <v>Fora do DRE</v>
      </c>
      <c r="V159" s="3" t="str">
        <f>IF(Base_Periodo1[[#This Row],[Tipo_Linha]]="Fora do DRE","Fora do DRE","( "&amp;Base_Periodo1[[#This Row],[Tipo_Linha]]&amp;" ) "&amp;Base_Periodo1[[#This Row],[Filtro]])</f>
        <v>Fora do DRE</v>
      </c>
      <c r="W159" s="3" t="str">
        <f>LEFT(Base_Periodo1[[#This Row],[CLASS]],3)</f>
        <v>1.1</v>
      </c>
    </row>
    <row r="160" spans="1:23" hidden="1">
      <c r="A160" s="3" t="str">
        <f t="shared" si="2"/>
        <v>Período 1</v>
      </c>
      <c r="B160">
        <v>22881</v>
      </c>
      <c r="C160" t="s">
        <v>503</v>
      </c>
      <c r="D160" t="s">
        <v>550</v>
      </c>
      <c r="E160" s="3" t="str">
        <f>IF(LEN(Base_Periodo1[[#This Row],[CLASS]])&gt;=7,LEFT(Base_Periodo1[[#This Row],[CLASS]],7),"")</f>
        <v>1.1.2.1</v>
      </c>
      <c r="F160" s="3" t="str">
        <f>VLOOKUP(Base_Periodo1[[#This Row],[Aux]],Base_Contas_Balanco[#All],2,FALSE)</f>
        <v>Creditos com Cooperados</v>
      </c>
      <c r="G160" s="1">
        <v>42863</v>
      </c>
      <c r="H160" s="225">
        <v>198224.61999999918</v>
      </c>
      <c r="I160" s="225">
        <v>0</v>
      </c>
      <c r="J160" s="225">
        <v>39461.009999999995</v>
      </c>
      <c r="K160" s="225">
        <v>158763.60999999917</v>
      </c>
      <c r="L1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158763.60999999999</v>
      </c>
      <c r="M160" s="225">
        <f>ROUND(IF(AND(Base_Periodo1[[#This Row],[Tipo_Linha]]="-",Base_Periodo1[[#This Row],[TIPOSALDO]]="D"),Base_Periodo1[[#This Row],[SALDO_ATUAL]]*-1,Base_Periodo1[[#This Row],[SALDO_ATUAL]]),4)</f>
        <v>158763.60999999999</v>
      </c>
      <c r="N160" t="s">
        <v>116</v>
      </c>
      <c r="O160" t="s">
        <v>397</v>
      </c>
      <c r="P160" t="s">
        <v>397</v>
      </c>
      <c r="Q160">
        <v>7</v>
      </c>
      <c r="R160" s="225">
        <f>Base_Periodo1[[#This Row],[CREDITOS]]-Base_Periodo1[[#This Row],[DEBITOS]]</f>
        <v>39461.009999999995</v>
      </c>
      <c r="S160" s="3" t="str">
        <f>IF(ISERROR(VLOOKUP(Base_Periodo1[[#This Row],[CONTA]],BaseContasDRE[#All],4,FALSE)),"Fora do DRE",VLOOKUP(Base_Periodo1[[#This Row],[CONTA]],BaseContasDRE[#All],4,FALSE))</f>
        <v>Fora do DRE</v>
      </c>
      <c r="T160" s="3" t="str">
        <f>IF(ISERROR(VLOOKUP(Base_Periodo1[[#This Row],[CONTA]],BaseContasDRE[#All],5,FALSE)),"Fora do DRE",VLOOKUP(Base_Periodo1[[#This Row],[CONTA]],BaseContasDRE[#All],6,FALSE))</f>
        <v>Fora do DRE</v>
      </c>
      <c r="U160" s="3" t="str">
        <f>IF(ISERROR(VLOOKUP(Base_Periodo1[[#This Row],[CONTA]],BaseContasDRE[#All],7,FALSE)),"Fora do DRE",VLOOKUP(Base_Periodo1[[#This Row],[CONTA]],BaseContasDRE[#All],7,FALSE))</f>
        <v>Fora do DRE</v>
      </c>
      <c r="V160" s="3" t="str">
        <f>IF(Base_Periodo1[[#This Row],[Tipo_Linha]]="Fora do DRE","Fora do DRE","( "&amp;Base_Periodo1[[#This Row],[Tipo_Linha]]&amp;" ) "&amp;Base_Periodo1[[#This Row],[Filtro]])</f>
        <v>Fora do DRE</v>
      </c>
      <c r="W160" s="3" t="str">
        <f>LEFT(Base_Periodo1[[#This Row],[CLASS]],3)</f>
        <v>1.1</v>
      </c>
    </row>
    <row r="161" spans="1:23" hidden="1">
      <c r="A161" s="3" t="str">
        <f t="shared" si="2"/>
        <v>Período 1</v>
      </c>
      <c r="B161">
        <v>4884</v>
      </c>
      <c r="C161" t="s">
        <v>503</v>
      </c>
      <c r="D161" t="s">
        <v>551</v>
      </c>
      <c r="E161" s="3" t="str">
        <f>IF(LEN(Base_Periodo1[[#This Row],[CLASS]])&gt;=7,LEFT(Base_Periodo1[[#This Row],[CLASS]],7),"")</f>
        <v>1.1.2.1</v>
      </c>
      <c r="F161" s="3" t="str">
        <f>VLOOKUP(Base_Periodo1[[#This Row],[Aux]],Base_Contas_Balanco[#All],2,FALSE)</f>
        <v>Creditos com Cooperados</v>
      </c>
      <c r="G161" s="1">
        <v>42852</v>
      </c>
      <c r="H161" s="225">
        <v>271992.91000000201</v>
      </c>
      <c r="I161" s="225">
        <v>0</v>
      </c>
      <c r="J161" s="225">
        <v>0</v>
      </c>
      <c r="K161" s="225">
        <v>271992.91000000201</v>
      </c>
      <c r="L1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271992.90999999997</v>
      </c>
      <c r="M161" s="225">
        <f>ROUND(IF(AND(Base_Periodo1[[#This Row],[Tipo_Linha]]="-",Base_Periodo1[[#This Row],[TIPOSALDO]]="D"),Base_Periodo1[[#This Row],[SALDO_ATUAL]]*-1,Base_Periodo1[[#This Row],[SALDO_ATUAL]]),4)</f>
        <v>271992.90999999997</v>
      </c>
      <c r="N161" t="s">
        <v>116</v>
      </c>
      <c r="O161" t="s">
        <v>397</v>
      </c>
      <c r="P161" t="s">
        <v>397</v>
      </c>
      <c r="Q161">
        <v>7</v>
      </c>
      <c r="R161" s="225">
        <f>Base_Periodo1[[#This Row],[CREDITOS]]-Base_Periodo1[[#This Row],[DEBITOS]]</f>
        <v>0</v>
      </c>
      <c r="S161" s="3" t="str">
        <f>IF(ISERROR(VLOOKUP(Base_Periodo1[[#This Row],[CONTA]],BaseContasDRE[#All],4,FALSE)),"Fora do DRE",VLOOKUP(Base_Periodo1[[#This Row],[CONTA]],BaseContasDRE[#All],4,FALSE))</f>
        <v>Fora do DRE</v>
      </c>
      <c r="T161" s="3" t="str">
        <f>IF(ISERROR(VLOOKUP(Base_Periodo1[[#This Row],[CONTA]],BaseContasDRE[#All],5,FALSE)),"Fora do DRE",VLOOKUP(Base_Periodo1[[#This Row],[CONTA]],BaseContasDRE[#All],6,FALSE))</f>
        <v>Fora do DRE</v>
      </c>
      <c r="U161" s="3" t="str">
        <f>IF(ISERROR(VLOOKUP(Base_Periodo1[[#This Row],[CONTA]],BaseContasDRE[#All],7,FALSE)),"Fora do DRE",VLOOKUP(Base_Periodo1[[#This Row],[CONTA]],BaseContasDRE[#All],7,FALSE))</f>
        <v>Fora do DRE</v>
      </c>
      <c r="V161" s="3" t="str">
        <f>IF(Base_Periodo1[[#This Row],[Tipo_Linha]]="Fora do DRE","Fora do DRE","( "&amp;Base_Periodo1[[#This Row],[Tipo_Linha]]&amp;" ) "&amp;Base_Periodo1[[#This Row],[Filtro]])</f>
        <v>Fora do DRE</v>
      </c>
      <c r="W161" s="3" t="str">
        <f>LEFT(Base_Periodo1[[#This Row],[CLASS]],3)</f>
        <v>1.1</v>
      </c>
    </row>
    <row r="162" spans="1:23" hidden="1">
      <c r="A162" s="3" t="str">
        <f t="shared" si="2"/>
        <v>Período 1</v>
      </c>
      <c r="B162">
        <v>3388</v>
      </c>
      <c r="C162" t="s">
        <v>503</v>
      </c>
      <c r="D162" t="s">
        <v>552</v>
      </c>
      <c r="E162" s="3" t="str">
        <f>IF(LEN(Base_Periodo1[[#This Row],[CLASS]])&gt;=7,LEFT(Base_Periodo1[[#This Row],[CLASS]],7),"")</f>
        <v>1.1.2.1</v>
      </c>
      <c r="F162" s="3" t="str">
        <f>VLOOKUP(Base_Periodo1[[#This Row],[Aux]],Base_Contas_Balanco[#All],2,FALSE)</f>
        <v>Creditos com Cooperados</v>
      </c>
      <c r="G162" s="1">
        <v>42880</v>
      </c>
      <c r="H162" s="225">
        <v>6.7300000004470348</v>
      </c>
      <c r="I162" s="225">
        <v>2286</v>
      </c>
      <c r="J162" s="225">
        <v>2286</v>
      </c>
      <c r="K162" s="225">
        <v>6.7300000004470348</v>
      </c>
      <c r="L1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6.73</v>
      </c>
      <c r="M162" s="225">
        <f>ROUND(IF(AND(Base_Periodo1[[#This Row],[Tipo_Linha]]="-",Base_Periodo1[[#This Row],[TIPOSALDO]]="D"),Base_Periodo1[[#This Row],[SALDO_ATUAL]]*-1,Base_Periodo1[[#This Row],[SALDO_ATUAL]]),4)</f>
        <v>6.73</v>
      </c>
      <c r="N162" t="s">
        <v>116</v>
      </c>
      <c r="O162" t="s">
        <v>397</v>
      </c>
      <c r="P162" t="s">
        <v>397</v>
      </c>
      <c r="Q162">
        <v>7</v>
      </c>
      <c r="R162" s="225">
        <f>Base_Periodo1[[#This Row],[CREDITOS]]-Base_Periodo1[[#This Row],[DEBITOS]]</f>
        <v>0</v>
      </c>
      <c r="S162" s="3" t="str">
        <f>IF(ISERROR(VLOOKUP(Base_Periodo1[[#This Row],[CONTA]],BaseContasDRE[#All],4,FALSE)),"Fora do DRE",VLOOKUP(Base_Periodo1[[#This Row],[CONTA]],BaseContasDRE[#All],4,FALSE))</f>
        <v>Fora do DRE</v>
      </c>
      <c r="T162" s="3" t="str">
        <f>IF(ISERROR(VLOOKUP(Base_Periodo1[[#This Row],[CONTA]],BaseContasDRE[#All],5,FALSE)),"Fora do DRE",VLOOKUP(Base_Periodo1[[#This Row],[CONTA]],BaseContasDRE[#All],6,FALSE))</f>
        <v>Fora do DRE</v>
      </c>
      <c r="U162" s="3" t="str">
        <f>IF(ISERROR(VLOOKUP(Base_Periodo1[[#This Row],[CONTA]],BaseContasDRE[#All],7,FALSE)),"Fora do DRE",VLOOKUP(Base_Periodo1[[#This Row],[CONTA]],BaseContasDRE[#All],7,FALSE))</f>
        <v>Fora do DRE</v>
      </c>
      <c r="V162" s="3" t="str">
        <f>IF(Base_Periodo1[[#This Row],[Tipo_Linha]]="Fora do DRE","Fora do DRE","( "&amp;Base_Periodo1[[#This Row],[Tipo_Linha]]&amp;" ) "&amp;Base_Periodo1[[#This Row],[Filtro]])</f>
        <v>Fora do DRE</v>
      </c>
      <c r="W162" s="3" t="str">
        <f>LEFT(Base_Periodo1[[#This Row],[CLASS]],3)</f>
        <v>1.1</v>
      </c>
    </row>
    <row r="163" spans="1:23" hidden="1">
      <c r="A163" s="3" t="str">
        <f t="shared" si="2"/>
        <v>Período 1</v>
      </c>
      <c r="B163">
        <v>48779</v>
      </c>
      <c r="C163" t="s">
        <v>503</v>
      </c>
      <c r="D163" t="s">
        <v>4187</v>
      </c>
      <c r="E163" s="3" t="str">
        <f>IF(LEN(Base_Periodo1[[#This Row],[CLASS]])&gt;=7,LEFT(Base_Periodo1[[#This Row],[CLASS]],7),"")</f>
        <v>1.1.2.1</v>
      </c>
      <c r="F163" s="3" t="str">
        <f>VLOOKUP(Base_Periodo1[[#This Row],[Aux]],Base_Contas_Balanco[#All],2,FALSE)</f>
        <v>Creditos com Cooperados</v>
      </c>
      <c r="G163" s="1">
        <v>42709</v>
      </c>
      <c r="H163" s="225">
        <v>1142266.2800000003</v>
      </c>
      <c r="I163" s="225">
        <v>0</v>
      </c>
      <c r="J163" s="225">
        <v>0</v>
      </c>
      <c r="K163" s="225">
        <v>1142266.2800000003</v>
      </c>
      <c r="L1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1142266.28</v>
      </c>
      <c r="M163" s="225">
        <f>ROUND(IF(AND(Base_Periodo1[[#This Row],[Tipo_Linha]]="-",Base_Periodo1[[#This Row],[TIPOSALDO]]="D"),Base_Periodo1[[#This Row],[SALDO_ATUAL]]*-1,Base_Periodo1[[#This Row],[SALDO_ATUAL]]),4)</f>
        <v>1142266.28</v>
      </c>
      <c r="N163" t="s">
        <v>116</v>
      </c>
      <c r="O163" t="s">
        <v>397</v>
      </c>
      <c r="P163" t="s">
        <v>397</v>
      </c>
      <c r="Q163">
        <v>7</v>
      </c>
      <c r="R163" s="225">
        <f>Base_Periodo1[[#This Row],[CREDITOS]]-Base_Periodo1[[#This Row],[DEBITOS]]</f>
        <v>0</v>
      </c>
      <c r="S163" s="3" t="str">
        <f>IF(ISERROR(VLOOKUP(Base_Periodo1[[#This Row],[CONTA]],BaseContasDRE[#All],4,FALSE)),"Fora do DRE",VLOOKUP(Base_Periodo1[[#This Row],[CONTA]],BaseContasDRE[#All],4,FALSE))</f>
        <v>Fora do DRE</v>
      </c>
      <c r="T163" s="3" t="str">
        <f>IF(ISERROR(VLOOKUP(Base_Periodo1[[#This Row],[CONTA]],BaseContasDRE[#All],5,FALSE)),"Fora do DRE",VLOOKUP(Base_Periodo1[[#This Row],[CONTA]],BaseContasDRE[#All],6,FALSE))</f>
        <v>Fora do DRE</v>
      </c>
      <c r="U163" s="3" t="str">
        <f>IF(ISERROR(VLOOKUP(Base_Periodo1[[#This Row],[CONTA]],BaseContasDRE[#All],7,FALSE)),"Fora do DRE",VLOOKUP(Base_Periodo1[[#This Row],[CONTA]],BaseContasDRE[#All],7,FALSE))</f>
        <v>Fora do DRE</v>
      </c>
      <c r="V163" s="3" t="str">
        <f>IF(Base_Periodo1[[#This Row],[Tipo_Linha]]="Fora do DRE","Fora do DRE","( "&amp;Base_Periodo1[[#This Row],[Tipo_Linha]]&amp;" ) "&amp;Base_Periodo1[[#This Row],[Filtro]])</f>
        <v>Fora do DRE</v>
      </c>
      <c r="W163" s="3" t="str">
        <f>LEFT(Base_Periodo1[[#This Row],[CLASS]],3)</f>
        <v>1.1</v>
      </c>
    </row>
    <row r="164" spans="1:23" hidden="1">
      <c r="A164" s="3" t="str">
        <f t="shared" si="2"/>
        <v>Período 1</v>
      </c>
      <c r="B164">
        <v>2316</v>
      </c>
      <c r="C164" t="s">
        <v>503</v>
      </c>
      <c r="D164" t="s">
        <v>554</v>
      </c>
      <c r="E164" s="3" t="str">
        <f>IF(LEN(Base_Periodo1[[#This Row],[CLASS]])&gt;=7,LEFT(Base_Periodo1[[#This Row],[CLASS]],7),"")</f>
        <v>1.1.2.1</v>
      </c>
      <c r="F164" s="3" t="str">
        <f>VLOOKUP(Base_Periodo1[[#This Row],[Aux]],Base_Contas_Balanco[#All],2,FALSE)</f>
        <v>Creditos com Cooperados</v>
      </c>
      <c r="G164" s="1">
        <v>42886</v>
      </c>
      <c r="H164" s="225">
        <v>22638.330000000307</v>
      </c>
      <c r="I164" s="225">
        <v>8110</v>
      </c>
      <c r="J164" s="225">
        <v>23064.58</v>
      </c>
      <c r="K164" s="225">
        <v>7683.7500000003056</v>
      </c>
      <c r="L1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7683.75</v>
      </c>
      <c r="M164" s="225">
        <f>ROUND(IF(AND(Base_Periodo1[[#This Row],[Tipo_Linha]]="-",Base_Periodo1[[#This Row],[TIPOSALDO]]="D"),Base_Periodo1[[#This Row],[SALDO_ATUAL]]*-1,Base_Periodo1[[#This Row],[SALDO_ATUAL]]),4)</f>
        <v>7683.75</v>
      </c>
      <c r="N164" t="s">
        <v>116</v>
      </c>
      <c r="O164" t="s">
        <v>397</v>
      </c>
      <c r="P164" t="s">
        <v>397</v>
      </c>
      <c r="Q164">
        <v>7</v>
      </c>
      <c r="R164" s="225">
        <f>Base_Periodo1[[#This Row],[CREDITOS]]-Base_Periodo1[[#This Row],[DEBITOS]]</f>
        <v>14954.580000000002</v>
      </c>
      <c r="S164" s="3" t="str">
        <f>IF(ISERROR(VLOOKUP(Base_Periodo1[[#This Row],[CONTA]],BaseContasDRE[#All],4,FALSE)),"Fora do DRE",VLOOKUP(Base_Periodo1[[#This Row],[CONTA]],BaseContasDRE[#All],4,FALSE))</f>
        <v>Fora do DRE</v>
      </c>
      <c r="T164" s="3" t="str">
        <f>IF(ISERROR(VLOOKUP(Base_Periodo1[[#This Row],[CONTA]],BaseContasDRE[#All],5,FALSE)),"Fora do DRE",VLOOKUP(Base_Periodo1[[#This Row],[CONTA]],BaseContasDRE[#All],6,FALSE))</f>
        <v>Fora do DRE</v>
      </c>
      <c r="U164" s="3" t="str">
        <f>IF(ISERROR(VLOOKUP(Base_Periodo1[[#This Row],[CONTA]],BaseContasDRE[#All],7,FALSE)),"Fora do DRE",VLOOKUP(Base_Periodo1[[#This Row],[CONTA]],BaseContasDRE[#All],7,FALSE))</f>
        <v>Fora do DRE</v>
      </c>
      <c r="V164" s="3" t="str">
        <f>IF(Base_Periodo1[[#This Row],[Tipo_Linha]]="Fora do DRE","Fora do DRE","( "&amp;Base_Periodo1[[#This Row],[Tipo_Linha]]&amp;" ) "&amp;Base_Periodo1[[#This Row],[Filtro]])</f>
        <v>Fora do DRE</v>
      </c>
      <c r="W164" s="3" t="str">
        <f>LEFT(Base_Periodo1[[#This Row],[CLASS]],3)</f>
        <v>1.1</v>
      </c>
    </row>
    <row r="165" spans="1:23" hidden="1">
      <c r="A165" s="3" t="str">
        <f t="shared" si="2"/>
        <v>Período 1</v>
      </c>
      <c r="B165">
        <v>4448</v>
      </c>
      <c r="C165" t="s">
        <v>503</v>
      </c>
      <c r="D165" t="s">
        <v>4902</v>
      </c>
      <c r="E165" s="3" t="str">
        <f>IF(LEN(Base_Periodo1[[#This Row],[CLASS]])&gt;=7,LEFT(Base_Periodo1[[#This Row],[CLASS]],7),"")</f>
        <v>1.1.2.1</v>
      </c>
      <c r="F165" s="3" t="str">
        <f>VLOOKUP(Base_Periodo1[[#This Row],[Aux]],Base_Contas_Balanco[#All],2,FALSE)</f>
        <v>Creditos com Cooperados</v>
      </c>
      <c r="G165" s="1">
        <v>42880</v>
      </c>
      <c r="H165" s="225">
        <v>722.99999999976717</v>
      </c>
      <c r="I165" s="225">
        <v>933.06</v>
      </c>
      <c r="J165" s="225">
        <v>1398.09</v>
      </c>
      <c r="K165" s="225">
        <v>257.9699999997672</v>
      </c>
      <c r="L1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257.97000000000003</v>
      </c>
      <c r="M165" s="225">
        <f>ROUND(IF(AND(Base_Periodo1[[#This Row],[Tipo_Linha]]="-",Base_Periodo1[[#This Row],[TIPOSALDO]]="D"),Base_Periodo1[[#This Row],[SALDO_ATUAL]]*-1,Base_Periodo1[[#This Row],[SALDO_ATUAL]]),4)</f>
        <v>257.97000000000003</v>
      </c>
      <c r="N165" t="s">
        <v>116</v>
      </c>
      <c r="O165" t="s">
        <v>397</v>
      </c>
      <c r="P165" t="s">
        <v>397</v>
      </c>
      <c r="Q165">
        <v>7</v>
      </c>
      <c r="R165" s="225">
        <f>Base_Periodo1[[#This Row],[CREDITOS]]-Base_Periodo1[[#This Row],[DEBITOS]]</f>
        <v>465.03</v>
      </c>
      <c r="S165" s="3" t="str">
        <f>IF(ISERROR(VLOOKUP(Base_Periodo1[[#This Row],[CONTA]],BaseContasDRE[#All],4,FALSE)),"Fora do DRE",VLOOKUP(Base_Periodo1[[#This Row],[CONTA]],BaseContasDRE[#All],4,FALSE))</f>
        <v>Fora do DRE</v>
      </c>
      <c r="T165" s="3" t="str">
        <f>IF(ISERROR(VLOOKUP(Base_Periodo1[[#This Row],[CONTA]],BaseContasDRE[#All],5,FALSE)),"Fora do DRE",VLOOKUP(Base_Periodo1[[#This Row],[CONTA]],BaseContasDRE[#All],6,FALSE))</f>
        <v>Fora do DRE</v>
      </c>
      <c r="U165" s="3" t="str">
        <f>IF(ISERROR(VLOOKUP(Base_Periodo1[[#This Row],[CONTA]],BaseContasDRE[#All],7,FALSE)),"Fora do DRE",VLOOKUP(Base_Periodo1[[#This Row],[CONTA]],BaseContasDRE[#All],7,FALSE))</f>
        <v>Fora do DRE</v>
      </c>
      <c r="V165" s="3" t="str">
        <f>IF(Base_Periodo1[[#This Row],[Tipo_Linha]]="Fora do DRE","Fora do DRE","( "&amp;Base_Periodo1[[#This Row],[Tipo_Linha]]&amp;" ) "&amp;Base_Periodo1[[#This Row],[Filtro]])</f>
        <v>Fora do DRE</v>
      </c>
      <c r="W165" s="3" t="str">
        <f>LEFT(Base_Periodo1[[#This Row],[CLASS]],3)</f>
        <v>1.1</v>
      </c>
    </row>
    <row r="166" spans="1:23" hidden="1">
      <c r="A166" s="3" t="str">
        <f t="shared" si="2"/>
        <v>Período 1</v>
      </c>
      <c r="B166">
        <v>2532</v>
      </c>
      <c r="C166" t="s">
        <v>503</v>
      </c>
      <c r="D166" t="s">
        <v>4932</v>
      </c>
      <c r="E166" s="3" t="str">
        <f>IF(LEN(Base_Periodo1[[#This Row],[CLASS]])&gt;=7,LEFT(Base_Periodo1[[#This Row],[CLASS]],7),"")</f>
        <v>1.1.2.1</v>
      </c>
      <c r="F166" s="3" t="str">
        <f>VLOOKUP(Base_Periodo1[[#This Row],[Aux]],Base_Contas_Balanco[#All],2,FALSE)</f>
        <v>Creditos com Cooperados</v>
      </c>
      <c r="G166" s="1">
        <v>42859</v>
      </c>
      <c r="H166" s="225">
        <v>9.8600000003352761</v>
      </c>
      <c r="I166" s="225">
        <v>77562</v>
      </c>
      <c r="J166" s="225">
        <v>38790.86</v>
      </c>
      <c r="K166" s="225">
        <v>38781.000000000335</v>
      </c>
      <c r="L1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38781</v>
      </c>
      <c r="M166" s="225">
        <f>ROUND(IF(AND(Base_Periodo1[[#This Row],[Tipo_Linha]]="-",Base_Periodo1[[#This Row],[TIPOSALDO]]="D"),Base_Periodo1[[#This Row],[SALDO_ATUAL]]*-1,Base_Periodo1[[#This Row],[SALDO_ATUAL]]),4)</f>
        <v>38781</v>
      </c>
      <c r="N166" t="s">
        <v>116</v>
      </c>
      <c r="O166" t="s">
        <v>397</v>
      </c>
      <c r="P166" t="s">
        <v>397</v>
      </c>
      <c r="Q166">
        <v>7</v>
      </c>
      <c r="R166" s="225">
        <f>Base_Periodo1[[#This Row],[CREDITOS]]-Base_Periodo1[[#This Row],[DEBITOS]]</f>
        <v>-38771.14</v>
      </c>
      <c r="S166" s="3" t="str">
        <f>IF(ISERROR(VLOOKUP(Base_Periodo1[[#This Row],[CONTA]],BaseContasDRE[#All],4,FALSE)),"Fora do DRE",VLOOKUP(Base_Periodo1[[#This Row],[CONTA]],BaseContasDRE[#All],4,FALSE))</f>
        <v>Fora do DRE</v>
      </c>
      <c r="T166" s="3" t="str">
        <f>IF(ISERROR(VLOOKUP(Base_Periodo1[[#This Row],[CONTA]],BaseContasDRE[#All],5,FALSE)),"Fora do DRE",VLOOKUP(Base_Periodo1[[#This Row],[CONTA]],BaseContasDRE[#All],6,FALSE))</f>
        <v>Fora do DRE</v>
      </c>
      <c r="U166" s="3" t="str">
        <f>IF(ISERROR(VLOOKUP(Base_Periodo1[[#This Row],[CONTA]],BaseContasDRE[#All],7,FALSE)),"Fora do DRE",VLOOKUP(Base_Periodo1[[#This Row],[CONTA]],BaseContasDRE[#All],7,FALSE))</f>
        <v>Fora do DRE</v>
      </c>
      <c r="V166" s="3" t="str">
        <f>IF(Base_Periodo1[[#This Row],[Tipo_Linha]]="Fora do DRE","Fora do DRE","( "&amp;Base_Periodo1[[#This Row],[Tipo_Linha]]&amp;" ) "&amp;Base_Periodo1[[#This Row],[Filtro]])</f>
        <v>Fora do DRE</v>
      </c>
      <c r="W166" s="3" t="str">
        <f>LEFT(Base_Periodo1[[#This Row],[CLASS]],3)</f>
        <v>1.1</v>
      </c>
    </row>
    <row r="167" spans="1:23" hidden="1">
      <c r="A167" s="3" t="str">
        <f t="shared" si="2"/>
        <v>Período 1</v>
      </c>
      <c r="B167">
        <v>52574</v>
      </c>
      <c r="C167" t="s">
        <v>503</v>
      </c>
      <c r="D167" t="s">
        <v>4643</v>
      </c>
      <c r="E167" s="3" t="str">
        <f>IF(LEN(Base_Periodo1[[#This Row],[CLASS]])&gt;=7,LEFT(Base_Periodo1[[#This Row],[CLASS]],7),"")</f>
        <v>1.1.2.1</v>
      </c>
      <c r="F167" s="3" t="str">
        <f>VLOOKUP(Base_Periodo1[[#This Row],[Aux]],Base_Contas_Balanco[#All],2,FALSE)</f>
        <v>Creditos com Cooperados</v>
      </c>
      <c r="G167" s="1">
        <v>42881</v>
      </c>
      <c r="H167" s="225">
        <v>340.20000000000073</v>
      </c>
      <c r="I167" s="225">
        <v>14052</v>
      </c>
      <c r="J167" s="225">
        <v>0</v>
      </c>
      <c r="K167" s="225">
        <v>14392.2</v>
      </c>
      <c r="L1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14392.2</v>
      </c>
      <c r="M167" s="225">
        <f>ROUND(IF(AND(Base_Periodo1[[#This Row],[Tipo_Linha]]="-",Base_Periodo1[[#This Row],[TIPOSALDO]]="D"),Base_Periodo1[[#This Row],[SALDO_ATUAL]]*-1,Base_Periodo1[[#This Row],[SALDO_ATUAL]]),4)</f>
        <v>14392.2</v>
      </c>
      <c r="N167" t="s">
        <v>116</v>
      </c>
      <c r="O167" t="s">
        <v>397</v>
      </c>
      <c r="P167" t="s">
        <v>397</v>
      </c>
      <c r="Q167">
        <v>7</v>
      </c>
      <c r="R167" s="225">
        <f>Base_Periodo1[[#This Row],[CREDITOS]]-Base_Periodo1[[#This Row],[DEBITOS]]</f>
        <v>-14052</v>
      </c>
      <c r="S167" s="3" t="str">
        <f>IF(ISERROR(VLOOKUP(Base_Periodo1[[#This Row],[CONTA]],BaseContasDRE[#All],4,FALSE)),"Fora do DRE",VLOOKUP(Base_Periodo1[[#This Row],[CONTA]],BaseContasDRE[#All],4,FALSE))</f>
        <v>Fora do DRE</v>
      </c>
      <c r="T167" s="3" t="str">
        <f>IF(ISERROR(VLOOKUP(Base_Periodo1[[#This Row],[CONTA]],BaseContasDRE[#All],5,FALSE)),"Fora do DRE",VLOOKUP(Base_Periodo1[[#This Row],[CONTA]],BaseContasDRE[#All],6,FALSE))</f>
        <v>Fora do DRE</v>
      </c>
      <c r="U167" s="3" t="str">
        <f>IF(ISERROR(VLOOKUP(Base_Periodo1[[#This Row],[CONTA]],BaseContasDRE[#All],7,FALSE)),"Fora do DRE",VLOOKUP(Base_Periodo1[[#This Row],[CONTA]],BaseContasDRE[#All],7,FALSE))</f>
        <v>Fora do DRE</v>
      </c>
      <c r="V167" s="3" t="str">
        <f>IF(Base_Periodo1[[#This Row],[Tipo_Linha]]="Fora do DRE","Fora do DRE","( "&amp;Base_Periodo1[[#This Row],[Tipo_Linha]]&amp;" ) "&amp;Base_Periodo1[[#This Row],[Filtro]])</f>
        <v>Fora do DRE</v>
      </c>
      <c r="W167" s="3" t="str">
        <f>LEFT(Base_Periodo1[[#This Row],[CLASS]],3)</f>
        <v>1.1</v>
      </c>
    </row>
    <row r="168" spans="1:23" hidden="1">
      <c r="A168" s="3" t="str">
        <f t="shared" si="2"/>
        <v>Período 1</v>
      </c>
      <c r="B168">
        <v>2796</v>
      </c>
      <c r="C168" t="s">
        <v>503</v>
      </c>
      <c r="D168" t="s">
        <v>4730</v>
      </c>
      <c r="E168" s="3" t="str">
        <f>IF(LEN(Base_Periodo1[[#This Row],[CLASS]])&gt;=7,LEFT(Base_Periodo1[[#This Row],[CLASS]],7),"")</f>
        <v>1.1.2.1</v>
      </c>
      <c r="F168" s="3" t="str">
        <f>VLOOKUP(Base_Periodo1[[#This Row],[Aux]],Base_Contas_Balanco[#All],2,FALSE)</f>
        <v>Creditos com Cooperados</v>
      </c>
      <c r="G168" s="1">
        <v>42880</v>
      </c>
      <c r="H168" s="225">
        <v>23761.559999999823</v>
      </c>
      <c r="I168" s="225">
        <v>20199</v>
      </c>
      <c r="J168" s="225">
        <v>0</v>
      </c>
      <c r="K168" s="225">
        <v>43960.559999999823</v>
      </c>
      <c r="L1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43960.56</v>
      </c>
      <c r="M168" s="225">
        <f>ROUND(IF(AND(Base_Periodo1[[#This Row],[Tipo_Linha]]="-",Base_Periodo1[[#This Row],[TIPOSALDO]]="D"),Base_Periodo1[[#This Row],[SALDO_ATUAL]]*-1,Base_Periodo1[[#This Row],[SALDO_ATUAL]]),4)</f>
        <v>43960.56</v>
      </c>
      <c r="N168" t="s">
        <v>116</v>
      </c>
      <c r="O168" t="s">
        <v>397</v>
      </c>
      <c r="P168" t="s">
        <v>397</v>
      </c>
      <c r="Q168">
        <v>7</v>
      </c>
      <c r="R168" s="225">
        <f>Base_Periodo1[[#This Row],[CREDITOS]]-Base_Periodo1[[#This Row],[DEBITOS]]</f>
        <v>-20199</v>
      </c>
      <c r="S168" s="3" t="str">
        <f>IF(ISERROR(VLOOKUP(Base_Periodo1[[#This Row],[CONTA]],BaseContasDRE[#All],4,FALSE)),"Fora do DRE",VLOOKUP(Base_Periodo1[[#This Row],[CONTA]],BaseContasDRE[#All],4,FALSE))</f>
        <v>Fora do DRE</v>
      </c>
      <c r="T168" s="3" t="str">
        <f>IF(ISERROR(VLOOKUP(Base_Periodo1[[#This Row],[CONTA]],BaseContasDRE[#All],5,FALSE)),"Fora do DRE",VLOOKUP(Base_Periodo1[[#This Row],[CONTA]],BaseContasDRE[#All],6,FALSE))</f>
        <v>Fora do DRE</v>
      </c>
      <c r="U168" s="3" t="str">
        <f>IF(ISERROR(VLOOKUP(Base_Periodo1[[#This Row],[CONTA]],BaseContasDRE[#All],7,FALSE)),"Fora do DRE",VLOOKUP(Base_Periodo1[[#This Row],[CONTA]],BaseContasDRE[#All],7,FALSE))</f>
        <v>Fora do DRE</v>
      </c>
      <c r="V168" s="3" t="str">
        <f>IF(Base_Periodo1[[#This Row],[Tipo_Linha]]="Fora do DRE","Fora do DRE","( "&amp;Base_Periodo1[[#This Row],[Tipo_Linha]]&amp;" ) "&amp;Base_Periodo1[[#This Row],[Filtro]])</f>
        <v>Fora do DRE</v>
      </c>
      <c r="W168" s="3" t="str">
        <f>LEFT(Base_Periodo1[[#This Row],[CLASS]],3)</f>
        <v>1.1</v>
      </c>
    </row>
    <row r="169" spans="1:23" hidden="1">
      <c r="A169" s="3" t="str">
        <f t="shared" si="2"/>
        <v>Período 1</v>
      </c>
      <c r="B169">
        <v>2424</v>
      </c>
      <c r="C169" t="s">
        <v>503</v>
      </c>
      <c r="D169" t="s">
        <v>555</v>
      </c>
      <c r="E169" s="3" t="str">
        <f>IF(LEN(Base_Periodo1[[#This Row],[CLASS]])&gt;=7,LEFT(Base_Periodo1[[#This Row],[CLASS]],7),"")</f>
        <v>1.1.2.1</v>
      </c>
      <c r="F169" s="3" t="str">
        <f>VLOOKUP(Base_Periodo1[[#This Row],[Aux]],Base_Contas_Balanco[#All],2,FALSE)</f>
        <v>Creditos com Cooperados</v>
      </c>
      <c r="G169" s="1">
        <v>42884</v>
      </c>
      <c r="H169" s="225">
        <v>13313.949999999837</v>
      </c>
      <c r="I169" s="225">
        <v>3616.7</v>
      </c>
      <c r="J169" s="225">
        <v>0</v>
      </c>
      <c r="K169" s="225">
        <v>16930.649999999838</v>
      </c>
      <c r="L1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16930.650000000001</v>
      </c>
      <c r="M169" s="225">
        <f>ROUND(IF(AND(Base_Periodo1[[#This Row],[Tipo_Linha]]="-",Base_Periodo1[[#This Row],[TIPOSALDO]]="D"),Base_Periodo1[[#This Row],[SALDO_ATUAL]]*-1,Base_Periodo1[[#This Row],[SALDO_ATUAL]]),4)</f>
        <v>16930.650000000001</v>
      </c>
      <c r="N169" t="s">
        <v>116</v>
      </c>
      <c r="O169" t="s">
        <v>397</v>
      </c>
      <c r="P169" t="s">
        <v>397</v>
      </c>
      <c r="Q169">
        <v>7</v>
      </c>
      <c r="R169" s="225">
        <f>Base_Periodo1[[#This Row],[CREDITOS]]-Base_Periodo1[[#This Row],[DEBITOS]]</f>
        <v>-3616.7</v>
      </c>
      <c r="S169" s="3" t="str">
        <f>IF(ISERROR(VLOOKUP(Base_Periodo1[[#This Row],[CONTA]],BaseContasDRE[#All],4,FALSE)),"Fora do DRE",VLOOKUP(Base_Periodo1[[#This Row],[CONTA]],BaseContasDRE[#All],4,FALSE))</f>
        <v>Fora do DRE</v>
      </c>
      <c r="T169" s="3" t="str">
        <f>IF(ISERROR(VLOOKUP(Base_Periodo1[[#This Row],[CONTA]],BaseContasDRE[#All],5,FALSE)),"Fora do DRE",VLOOKUP(Base_Periodo1[[#This Row],[CONTA]],BaseContasDRE[#All],6,FALSE))</f>
        <v>Fora do DRE</v>
      </c>
      <c r="U169" s="3" t="str">
        <f>IF(ISERROR(VLOOKUP(Base_Periodo1[[#This Row],[CONTA]],BaseContasDRE[#All],7,FALSE)),"Fora do DRE",VLOOKUP(Base_Periodo1[[#This Row],[CONTA]],BaseContasDRE[#All],7,FALSE))</f>
        <v>Fora do DRE</v>
      </c>
      <c r="V169" s="3" t="str">
        <f>IF(Base_Periodo1[[#This Row],[Tipo_Linha]]="Fora do DRE","Fora do DRE","( "&amp;Base_Periodo1[[#This Row],[Tipo_Linha]]&amp;" ) "&amp;Base_Periodo1[[#This Row],[Filtro]])</f>
        <v>Fora do DRE</v>
      </c>
      <c r="W169" s="3" t="str">
        <f>LEFT(Base_Periodo1[[#This Row],[CLASS]],3)</f>
        <v>1.1</v>
      </c>
    </row>
    <row r="170" spans="1:23" hidden="1">
      <c r="A170" s="3" t="str">
        <f t="shared" si="2"/>
        <v>Período 1</v>
      </c>
      <c r="B170">
        <v>2996</v>
      </c>
      <c r="C170" t="s">
        <v>503</v>
      </c>
      <c r="D170" t="s">
        <v>6117</v>
      </c>
      <c r="E170" s="3" t="str">
        <f>IF(LEN(Base_Periodo1[[#This Row],[CLASS]])&gt;=7,LEFT(Base_Periodo1[[#This Row],[CLASS]],7),"")</f>
        <v>1.1.2.1</v>
      </c>
      <c r="F170" s="3" t="str">
        <f>VLOOKUP(Base_Periodo1[[#This Row],[Aux]],Base_Contas_Balanco[#All],2,FALSE)</f>
        <v>Creditos com Cooperados</v>
      </c>
      <c r="G170" s="1">
        <v>42871</v>
      </c>
      <c r="H170" s="225">
        <v>205</v>
      </c>
      <c r="I170" s="225">
        <v>0</v>
      </c>
      <c r="J170" s="225">
        <v>205</v>
      </c>
      <c r="K170" s="225">
        <v>0</v>
      </c>
      <c r="L1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70" s="225">
        <f>ROUND(IF(AND(Base_Periodo1[[#This Row],[Tipo_Linha]]="-",Base_Periodo1[[#This Row],[TIPOSALDO]]="D"),Base_Periodo1[[#This Row],[SALDO_ATUAL]]*-1,Base_Periodo1[[#This Row],[SALDO_ATUAL]]),4)</f>
        <v>0</v>
      </c>
      <c r="N170" t="s">
        <v>116</v>
      </c>
      <c r="O170" t="s">
        <v>397</v>
      </c>
      <c r="P170" t="s">
        <v>436</v>
      </c>
      <c r="Q170">
        <v>7</v>
      </c>
      <c r="R170" s="225">
        <f>Base_Periodo1[[#This Row],[CREDITOS]]-Base_Periodo1[[#This Row],[DEBITOS]]</f>
        <v>205</v>
      </c>
      <c r="S170" s="3" t="str">
        <f>IF(ISERROR(VLOOKUP(Base_Periodo1[[#This Row],[CONTA]],BaseContasDRE[#All],4,FALSE)),"Fora do DRE",VLOOKUP(Base_Periodo1[[#This Row],[CONTA]],BaseContasDRE[#All],4,FALSE))</f>
        <v>Fora do DRE</v>
      </c>
      <c r="T170" s="3" t="str">
        <f>IF(ISERROR(VLOOKUP(Base_Periodo1[[#This Row],[CONTA]],BaseContasDRE[#All],5,FALSE)),"Fora do DRE",VLOOKUP(Base_Periodo1[[#This Row],[CONTA]],BaseContasDRE[#All],6,FALSE))</f>
        <v>Fora do DRE</v>
      </c>
      <c r="U170" s="3" t="str">
        <f>IF(ISERROR(VLOOKUP(Base_Periodo1[[#This Row],[CONTA]],BaseContasDRE[#All],7,FALSE)),"Fora do DRE",VLOOKUP(Base_Periodo1[[#This Row],[CONTA]],BaseContasDRE[#All],7,FALSE))</f>
        <v>Fora do DRE</v>
      </c>
      <c r="V170" s="3" t="str">
        <f>IF(Base_Periodo1[[#This Row],[Tipo_Linha]]="Fora do DRE","Fora do DRE","( "&amp;Base_Periodo1[[#This Row],[Tipo_Linha]]&amp;" ) "&amp;Base_Periodo1[[#This Row],[Filtro]])</f>
        <v>Fora do DRE</v>
      </c>
      <c r="W170" s="3" t="str">
        <f>LEFT(Base_Periodo1[[#This Row],[CLASS]],3)</f>
        <v>1.1</v>
      </c>
    </row>
    <row r="171" spans="1:23" hidden="1">
      <c r="A171" s="3" t="str">
        <f t="shared" si="2"/>
        <v>Período 1</v>
      </c>
      <c r="B171">
        <v>2828</v>
      </c>
      <c r="C171" t="s">
        <v>503</v>
      </c>
      <c r="D171" t="s">
        <v>556</v>
      </c>
      <c r="E171" s="3" t="str">
        <f>IF(LEN(Base_Periodo1[[#This Row],[CLASS]])&gt;=7,LEFT(Base_Periodo1[[#This Row],[CLASS]],7),"")</f>
        <v>1.1.2.1</v>
      </c>
      <c r="F171" s="3" t="str">
        <f>VLOOKUP(Base_Periodo1[[#This Row],[Aux]],Base_Contas_Balanco[#All],2,FALSE)</f>
        <v>Creditos com Cooperados</v>
      </c>
      <c r="G171" s="1">
        <v>42865</v>
      </c>
      <c r="H171" s="225">
        <v>1575.890000000014</v>
      </c>
      <c r="I171" s="225">
        <v>278</v>
      </c>
      <c r="J171" s="225">
        <v>278</v>
      </c>
      <c r="K171" s="225">
        <v>1575.890000000014</v>
      </c>
      <c r="L1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1575.89</v>
      </c>
      <c r="M171" s="225">
        <f>ROUND(IF(AND(Base_Periodo1[[#This Row],[Tipo_Linha]]="-",Base_Periodo1[[#This Row],[TIPOSALDO]]="D"),Base_Periodo1[[#This Row],[SALDO_ATUAL]]*-1,Base_Periodo1[[#This Row],[SALDO_ATUAL]]),4)</f>
        <v>1575.89</v>
      </c>
      <c r="N171" t="s">
        <v>116</v>
      </c>
      <c r="O171" t="s">
        <v>397</v>
      </c>
      <c r="P171" t="s">
        <v>397</v>
      </c>
      <c r="Q171">
        <v>7</v>
      </c>
      <c r="R171" s="225">
        <f>Base_Periodo1[[#This Row],[CREDITOS]]-Base_Periodo1[[#This Row],[DEBITOS]]</f>
        <v>0</v>
      </c>
      <c r="S171" s="3" t="str">
        <f>IF(ISERROR(VLOOKUP(Base_Periodo1[[#This Row],[CONTA]],BaseContasDRE[#All],4,FALSE)),"Fora do DRE",VLOOKUP(Base_Periodo1[[#This Row],[CONTA]],BaseContasDRE[#All],4,FALSE))</f>
        <v>Fora do DRE</v>
      </c>
      <c r="T171" s="3" t="str">
        <f>IF(ISERROR(VLOOKUP(Base_Periodo1[[#This Row],[CONTA]],BaseContasDRE[#All],5,FALSE)),"Fora do DRE",VLOOKUP(Base_Periodo1[[#This Row],[CONTA]],BaseContasDRE[#All],6,FALSE))</f>
        <v>Fora do DRE</v>
      </c>
      <c r="U171" s="3" t="str">
        <f>IF(ISERROR(VLOOKUP(Base_Periodo1[[#This Row],[CONTA]],BaseContasDRE[#All],7,FALSE)),"Fora do DRE",VLOOKUP(Base_Periodo1[[#This Row],[CONTA]],BaseContasDRE[#All],7,FALSE))</f>
        <v>Fora do DRE</v>
      </c>
      <c r="V171" s="3" t="str">
        <f>IF(Base_Periodo1[[#This Row],[Tipo_Linha]]="Fora do DRE","Fora do DRE","( "&amp;Base_Periodo1[[#This Row],[Tipo_Linha]]&amp;" ) "&amp;Base_Periodo1[[#This Row],[Filtro]])</f>
        <v>Fora do DRE</v>
      </c>
      <c r="W171" s="3" t="str">
        <f>LEFT(Base_Periodo1[[#This Row],[CLASS]],3)</f>
        <v>1.1</v>
      </c>
    </row>
    <row r="172" spans="1:23" hidden="1">
      <c r="A172" s="3" t="str">
        <f t="shared" si="2"/>
        <v>Período 1</v>
      </c>
      <c r="B172">
        <v>17013</v>
      </c>
      <c r="C172" t="s">
        <v>503</v>
      </c>
      <c r="D172" t="s">
        <v>4989</v>
      </c>
      <c r="E172" s="3" t="str">
        <f>IF(LEN(Base_Periodo1[[#This Row],[CLASS]])&gt;=7,LEFT(Base_Periodo1[[#This Row],[CLASS]],7),"")</f>
        <v>1.1.2.1</v>
      </c>
      <c r="F172" s="3" t="str">
        <f>VLOOKUP(Base_Periodo1[[#This Row],[Aux]],Base_Contas_Balanco[#All],2,FALSE)</f>
        <v>Creditos com Cooperados</v>
      </c>
      <c r="G172" s="1">
        <v>42860</v>
      </c>
      <c r="I172" s="225">
        <v>1901.55</v>
      </c>
      <c r="J172" s="225">
        <v>0</v>
      </c>
      <c r="K172" s="225">
        <v>1901.5499999998835</v>
      </c>
      <c r="L1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1901.55</v>
      </c>
      <c r="M172" s="225">
        <f>ROUND(IF(AND(Base_Periodo1[[#This Row],[Tipo_Linha]]="-",Base_Periodo1[[#This Row],[TIPOSALDO]]="D"),Base_Periodo1[[#This Row],[SALDO_ATUAL]]*-1,Base_Periodo1[[#This Row],[SALDO_ATUAL]]),4)</f>
        <v>1901.55</v>
      </c>
      <c r="N172" t="s">
        <v>116</v>
      </c>
      <c r="O172" t="s">
        <v>436</v>
      </c>
      <c r="P172" t="s">
        <v>397</v>
      </c>
      <c r="Q172">
        <v>7</v>
      </c>
      <c r="R172" s="225">
        <f>Base_Periodo1[[#This Row],[CREDITOS]]-Base_Periodo1[[#This Row],[DEBITOS]]</f>
        <v>-1901.55</v>
      </c>
      <c r="S172" s="3" t="str">
        <f>IF(ISERROR(VLOOKUP(Base_Periodo1[[#This Row],[CONTA]],BaseContasDRE[#All],4,FALSE)),"Fora do DRE",VLOOKUP(Base_Periodo1[[#This Row],[CONTA]],BaseContasDRE[#All],4,FALSE))</f>
        <v>Fora do DRE</v>
      </c>
      <c r="T172" s="3" t="str">
        <f>IF(ISERROR(VLOOKUP(Base_Periodo1[[#This Row],[CONTA]],BaseContasDRE[#All],5,FALSE)),"Fora do DRE",VLOOKUP(Base_Periodo1[[#This Row],[CONTA]],BaseContasDRE[#All],6,FALSE))</f>
        <v>Fora do DRE</v>
      </c>
      <c r="U172" s="3" t="str">
        <f>IF(ISERROR(VLOOKUP(Base_Periodo1[[#This Row],[CONTA]],BaseContasDRE[#All],7,FALSE)),"Fora do DRE",VLOOKUP(Base_Periodo1[[#This Row],[CONTA]],BaseContasDRE[#All],7,FALSE))</f>
        <v>Fora do DRE</v>
      </c>
      <c r="V172" s="3" t="str">
        <f>IF(Base_Periodo1[[#This Row],[Tipo_Linha]]="Fora do DRE","Fora do DRE","( "&amp;Base_Periodo1[[#This Row],[Tipo_Linha]]&amp;" ) "&amp;Base_Periodo1[[#This Row],[Filtro]])</f>
        <v>Fora do DRE</v>
      </c>
      <c r="W172" s="3" t="str">
        <f>LEFT(Base_Periodo1[[#This Row],[CLASS]],3)</f>
        <v>1.1</v>
      </c>
    </row>
    <row r="173" spans="1:23" hidden="1">
      <c r="A173" s="3" t="str">
        <f t="shared" si="2"/>
        <v>Período 1</v>
      </c>
      <c r="B173">
        <v>8308</v>
      </c>
      <c r="C173" t="s">
        <v>503</v>
      </c>
      <c r="D173" t="s">
        <v>5131</v>
      </c>
      <c r="E173" s="3" t="str">
        <f>IF(LEN(Base_Periodo1[[#This Row],[CLASS]])&gt;=7,LEFT(Base_Periodo1[[#This Row],[CLASS]],7),"")</f>
        <v>1.1.2.1</v>
      </c>
      <c r="F173" s="3" t="str">
        <f>VLOOKUP(Base_Periodo1[[#This Row],[Aux]],Base_Contas_Balanco[#All],2,FALSE)</f>
        <v>Creditos com Cooperados</v>
      </c>
      <c r="G173" s="1">
        <v>42823</v>
      </c>
      <c r="H173" s="225">
        <v>11294.24000000002</v>
      </c>
      <c r="I173" s="225">
        <v>0</v>
      </c>
      <c r="J173" s="225">
        <v>0</v>
      </c>
      <c r="K173" s="225">
        <v>11294.24000000002</v>
      </c>
      <c r="L1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11294.24</v>
      </c>
      <c r="M173" s="225">
        <f>ROUND(IF(AND(Base_Periodo1[[#This Row],[Tipo_Linha]]="-",Base_Periodo1[[#This Row],[TIPOSALDO]]="D"),Base_Periodo1[[#This Row],[SALDO_ATUAL]]*-1,Base_Periodo1[[#This Row],[SALDO_ATUAL]]),4)</f>
        <v>11294.24</v>
      </c>
      <c r="N173" t="s">
        <v>116</v>
      </c>
      <c r="O173" t="s">
        <v>397</v>
      </c>
      <c r="P173" t="s">
        <v>397</v>
      </c>
      <c r="Q173">
        <v>7</v>
      </c>
      <c r="R173" s="225">
        <f>Base_Periodo1[[#This Row],[CREDITOS]]-Base_Periodo1[[#This Row],[DEBITOS]]</f>
        <v>0</v>
      </c>
      <c r="S173" s="3" t="str">
        <f>IF(ISERROR(VLOOKUP(Base_Periodo1[[#This Row],[CONTA]],BaseContasDRE[#All],4,FALSE)),"Fora do DRE",VLOOKUP(Base_Periodo1[[#This Row],[CONTA]],BaseContasDRE[#All],4,FALSE))</f>
        <v>Fora do DRE</v>
      </c>
      <c r="T173" s="3" t="str">
        <f>IF(ISERROR(VLOOKUP(Base_Periodo1[[#This Row],[CONTA]],BaseContasDRE[#All],5,FALSE)),"Fora do DRE",VLOOKUP(Base_Periodo1[[#This Row],[CONTA]],BaseContasDRE[#All],6,FALSE))</f>
        <v>Fora do DRE</v>
      </c>
      <c r="U173" s="3" t="str">
        <f>IF(ISERROR(VLOOKUP(Base_Periodo1[[#This Row],[CONTA]],BaseContasDRE[#All],7,FALSE)),"Fora do DRE",VLOOKUP(Base_Periodo1[[#This Row],[CONTA]],BaseContasDRE[#All],7,FALSE))</f>
        <v>Fora do DRE</v>
      </c>
      <c r="V173" s="3" t="str">
        <f>IF(Base_Periodo1[[#This Row],[Tipo_Linha]]="Fora do DRE","Fora do DRE","( "&amp;Base_Periodo1[[#This Row],[Tipo_Linha]]&amp;" ) "&amp;Base_Periodo1[[#This Row],[Filtro]])</f>
        <v>Fora do DRE</v>
      </c>
      <c r="W173" s="3" t="str">
        <f>LEFT(Base_Periodo1[[#This Row],[CLASS]],3)</f>
        <v>1.1</v>
      </c>
    </row>
    <row r="174" spans="1:23" hidden="1">
      <c r="A174" s="3" t="str">
        <f t="shared" si="2"/>
        <v>Período 1</v>
      </c>
      <c r="B174">
        <v>2804</v>
      </c>
      <c r="C174" t="s">
        <v>503</v>
      </c>
      <c r="D174" t="s">
        <v>557</v>
      </c>
      <c r="E174" s="3" t="str">
        <f>IF(LEN(Base_Periodo1[[#This Row],[CLASS]])&gt;=7,LEFT(Base_Periodo1[[#This Row],[CLASS]],7),"")</f>
        <v>1.1.2.1</v>
      </c>
      <c r="F174" s="3" t="str">
        <f>VLOOKUP(Base_Periodo1[[#This Row],[Aux]],Base_Contas_Balanco[#All],2,FALSE)</f>
        <v>Creditos com Cooperados</v>
      </c>
      <c r="G174" s="1">
        <v>42860</v>
      </c>
      <c r="H174" s="225">
        <v>93993.189999999013</v>
      </c>
      <c r="I174" s="225">
        <v>3151.5</v>
      </c>
      <c r="J174" s="225">
        <v>0</v>
      </c>
      <c r="K174" s="225">
        <v>97144.689999999013</v>
      </c>
      <c r="L1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97144.69</v>
      </c>
      <c r="M174" s="225">
        <f>ROUND(IF(AND(Base_Periodo1[[#This Row],[Tipo_Linha]]="-",Base_Periodo1[[#This Row],[TIPOSALDO]]="D"),Base_Periodo1[[#This Row],[SALDO_ATUAL]]*-1,Base_Periodo1[[#This Row],[SALDO_ATUAL]]),4)</f>
        <v>97144.69</v>
      </c>
      <c r="N174" t="s">
        <v>116</v>
      </c>
      <c r="O174" t="s">
        <v>397</v>
      </c>
      <c r="P174" t="s">
        <v>397</v>
      </c>
      <c r="Q174">
        <v>7</v>
      </c>
      <c r="R174" s="225">
        <f>Base_Periodo1[[#This Row],[CREDITOS]]-Base_Periodo1[[#This Row],[DEBITOS]]</f>
        <v>-3151.5</v>
      </c>
      <c r="S174" s="3" t="str">
        <f>IF(ISERROR(VLOOKUP(Base_Periodo1[[#This Row],[CONTA]],BaseContasDRE[#All],4,FALSE)),"Fora do DRE",VLOOKUP(Base_Periodo1[[#This Row],[CONTA]],BaseContasDRE[#All],4,FALSE))</f>
        <v>Fora do DRE</v>
      </c>
      <c r="T174" s="3" t="str">
        <f>IF(ISERROR(VLOOKUP(Base_Periodo1[[#This Row],[CONTA]],BaseContasDRE[#All],5,FALSE)),"Fora do DRE",VLOOKUP(Base_Periodo1[[#This Row],[CONTA]],BaseContasDRE[#All],6,FALSE))</f>
        <v>Fora do DRE</v>
      </c>
      <c r="U174" s="3" t="str">
        <f>IF(ISERROR(VLOOKUP(Base_Periodo1[[#This Row],[CONTA]],BaseContasDRE[#All],7,FALSE)),"Fora do DRE",VLOOKUP(Base_Periodo1[[#This Row],[CONTA]],BaseContasDRE[#All],7,FALSE))</f>
        <v>Fora do DRE</v>
      </c>
      <c r="V174" s="3" t="str">
        <f>IF(Base_Periodo1[[#This Row],[Tipo_Linha]]="Fora do DRE","Fora do DRE","( "&amp;Base_Periodo1[[#This Row],[Tipo_Linha]]&amp;" ) "&amp;Base_Periodo1[[#This Row],[Filtro]])</f>
        <v>Fora do DRE</v>
      </c>
      <c r="W174" s="3" t="str">
        <f>LEFT(Base_Periodo1[[#This Row],[CLASS]],3)</f>
        <v>1.1</v>
      </c>
    </row>
    <row r="175" spans="1:23" hidden="1">
      <c r="A175" s="3" t="str">
        <f t="shared" si="2"/>
        <v>Período 1</v>
      </c>
      <c r="B175">
        <v>47586</v>
      </c>
      <c r="C175" t="s">
        <v>503</v>
      </c>
      <c r="D175" t="s">
        <v>6336</v>
      </c>
      <c r="E175" s="3" t="str">
        <f>IF(LEN(Base_Periodo1[[#This Row],[CLASS]])&gt;=7,LEFT(Base_Periodo1[[#This Row],[CLASS]],7),"")</f>
        <v>1.1.2.1</v>
      </c>
      <c r="F175" s="3" t="str">
        <f>VLOOKUP(Base_Periodo1[[#This Row],[Aux]],Base_Contas_Balanco[#All],2,FALSE)</f>
        <v>Creditos com Cooperados</v>
      </c>
      <c r="G175" s="1">
        <v>42879</v>
      </c>
      <c r="I175" s="225">
        <v>117.5</v>
      </c>
      <c r="J175" s="225">
        <v>117.5</v>
      </c>
      <c r="K175" s="225">
        <v>0</v>
      </c>
      <c r="L1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75" s="225">
        <f>ROUND(IF(AND(Base_Periodo1[[#This Row],[Tipo_Linha]]="-",Base_Periodo1[[#This Row],[TIPOSALDO]]="D"),Base_Periodo1[[#This Row],[SALDO_ATUAL]]*-1,Base_Periodo1[[#This Row],[SALDO_ATUAL]]),4)</f>
        <v>0</v>
      </c>
      <c r="N175" t="s">
        <v>116</v>
      </c>
      <c r="O175" t="s">
        <v>436</v>
      </c>
      <c r="P175" t="s">
        <v>436</v>
      </c>
      <c r="Q175">
        <v>7</v>
      </c>
      <c r="R175" s="225">
        <f>Base_Periodo1[[#This Row],[CREDITOS]]-Base_Periodo1[[#This Row],[DEBITOS]]</f>
        <v>0</v>
      </c>
      <c r="S175" s="3" t="str">
        <f>IF(ISERROR(VLOOKUP(Base_Periodo1[[#This Row],[CONTA]],BaseContasDRE[#All],4,FALSE)),"Fora do DRE",VLOOKUP(Base_Periodo1[[#This Row],[CONTA]],BaseContasDRE[#All],4,FALSE))</f>
        <v>Fora do DRE</v>
      </c>
      <c r="T175" s="3" t="str">
        <f>IF(ISERROR(VLOOKUP(Base_Periodo1[[#This Row],[CONTA]],BaseContasDRE[#All],5,FALSE)),"Fora do DRE",VLOOKUP(Base_Periodo1[[#This Row],[CONTA]],BaseContasDRE[#All],6,FALSE))</f>
        <v>Fora do DRE</v>
      </c>
      <c r="U175" s="3" t="str">
        <f>IF(ISERROR(VLOOKUP(Base_Periodo1[[#This Row],[CONTA]],BaseContasDRE[#All],7,FALSE)),"Fora do DRE",VLOOKUP(Base_Periodo1[[#This Row],[CONTA]],BaseContasDRE[#All],7,FALSE))</f>
        <v>Fora do DRE</v>
      </c>
      <c r="V175" s="3" t="str">
        <f>IF(Base_Periodo1[[#This Row],[Tipo_Linha]]="Fora do DRE","Fora do DRE","( "&amp;Base_Periodo1[[#This Row],[Tipo_Linha]]&amp;" ) "&amp;Base_Periodo1[[#This Row],[Filtro]])</f>
        <v>Fora do DRE</v>
      </c>
      <c r="W175" s="3" t="str">
        <f>LEFT(Base_Periodo1[[#This Row],[CLASS]],3)</f>
        <v>1.1</v>
      </c>
    </row>
    <row r="176" spans="1:23" hidden="1">
      <c r="A176" s="3" t="str">
        <f t="shared" si="2"/>
        <v>Período 1</v>
      </c>
      <c r="B176">
        <v>5276</v>
      </c>
      <c r="C176" t="s">
        <v>503</v>
      </c>
      <c r="D176" t="s">
        <v>558</v>
      </c>
      <c r="E176" s="3" t="str">
        <f>IF(LEN(Base_Periodo1[[#This Row],[CLASS]])&gt;=7,LEFT(Base_Periodo1[[#This Row],[CLASS]],7),"")</f>
        <v>1.1.2.1</v>
      </c>
      <c r="F176" s="3" t="str">
        <f>VLOOKUP(Base_Periodo1[[#This Row],[Aux]],Base_Contas_Balanco[#All],2,FALSE)</f>
        <v>Creditos com Cooperados</v>
      </c>
      <c r="G176" s="1">
        <v>42844</v>
      </c>
      <c r="H176" s="225">
        <v>0.31000000028871</v>
      </c>
      <c r="I176" s="225">
        <v>0</v>
      </c>
      <c r="J176" s="225">
        <v>0</v>
      </c>
      <c r="K176" s="225">
        <v>0.31000000028871</v>
      </c>
      <c r="L1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0.31</v>
      </c>
      <c r="M176" s="225">
        <f>ROUND(IF(AND(Base_Periodo1[[#This Row],[Tipo_Linha]]="-",Base_Periodo1[[#This Row],[TIPOSALDO]]="D"),Base_Periodo1[[#This Row],[SALDO_ATUAL]]*-1,Base_Periodo1[[#This Row],[SALDO_ATUAL]]),4)</f>
        <v>0.31</v>
      </c>
      <c r="N176" t="s">
        <v>116</v>
      </c>
      <c r="O176" t="s">
        <v>397</v>
      </c>
      <c r="P176" t="s">
        <v>397</v>
      </c>
      <c r="Q176">
        <v>7</v>
      </c>
      <c r="R176" s="225">
        <f>Base_Periodo1[[#This Row],[CREDITOS]]-Base_Periodo1[[#This Row],[DEBITOS]]</f>
        <v>0</v>
      </c>
      <c r="S176" s="3" t="str">
        <f>IF(ISERROR(VLOOKUP(Base_Periodo1[[#This Row],[CONTA]],BaseContasDRE[#All],4,FALSE)),"Fora do DRE",VLOOKUP(Base_Periodo1[[#This Row],[CONTA]],BaseContasDRE[#All],4,FALSE))</f>
        <v>Fora do DRE</v>
      </c>
      <c r="T176" s="3" t="str">
        <f>IF(ISERROR(VLOOKUP(Base_Periodo1[[#This Row],[CONTA]],BaseContasDRE[#All],5,FALSE)),"Fora do DRE",VLOOKUP(Base_Periodo1[[#This Row],[CONTA]],BaseContasDRE[#All],6,FALSE))</f>
        <v>Fora do DRE</v>
      </c>
      <c r="U176" s="3" t="str">
        <f>IF(ISERROR(VLOOKUP(Base_Periodo1[[#This Row],[CONTA]],BaseContasDRE[#All],7,FALSE)),"Fora do DRE",VLOOKUP(Base_Periodo1[[#This Row],[CONTA]],BaseContasDRE[#All],7,FALSE))</f>
        <v>Fora do DRE</v>
      </c>
      <c r="V176" s="3" t="str">
        <f>IF(Base_Periodo1[[#This Row],[Tipo_Linha]]="Fora do DRE","Fora do DRE","( "&amp;Base_Periodo1[[#This Row],[Tipo_Linha]]&amp;" ) "&amp;Base_Periodo1[[#This Row],[Filtro]])</f>
        <v>Fora do DRE</v>
      </c>
      <c r="W176" s="3" t="str">
        <f>LEFT(Base_Periodo1[[#This Row],[CLASS]],3)</f>
        <v>1.1</v>
      </c>
    </row>
    <row r="177" spans="1:23" hidden="1">
      <c r="A177" s="3" t="str">
        <f t="shared" si="2"/>
        <v>Período 1</v>
      </c>
      <c r="B177">
        <v>8115</v>
      </c>
      <c r="C177" t="s">
        <v>503</v>
      </c>
      <c r="D177" t="s">
        <v>6702</v>
      </c>
      <c r="E177" s="3" t="str">
        <f>IF(LEN(Base_Periodo1[[#This Row],[CLASS]])&gt;=7,LEFT(Base_Periodo1[[#This Row],[CLASS]],7),"")</f>
        <v>1.1.2.1</v>
      </c>
      <c r="F177" s="3" t="str">
        <f>VLOOKUP(Base_Periodo1[[#This Row],[Aux]],Base_Contas_Balanco[#All],2,FALSE)</f>
        <v>Creditos com Cooperados</v>
      </c>
      <c r="G177" s="1">
        <v>42863</v>
      </c>
      <c r="I177" s="225">
        <v>490</v>
      </c>
      <c r="J177" s="225">
        <v>0</v>
      </c>
      <c r="K177" s="225">
        <v>490</v>
      </c>
      <c r="L1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490</v>
      </c>
      <c r="M177" s="225">
        <f>ROUND(IF(AND(Base_Periodo1[[#This Row],[Tipo_Linha]]="-",Base_Periodo1[[#This Row],[TIPOSALDO]]="D"),Base_Periodo1[[#This Row],[SALDO_ATUAL]]*-1,Base_Periodo1[[#This Row],[SALDO_ATUAL]]),4)</f>
        <v>490</v>
      </c>
      <c r="N177" t="s">
        <v>116</v>
      </c>
      <c r="O177" t="s">
        <v>436</v>
      </c>
      <c r="P177" t="s">
        <v>397</v>
      </c>
      <c r="Q177">
        <v>7</v>
      </c>
      <c r="R177" s="225">
        <f>Base_Periodo1[[#This Row],[CREDITOS]]-Base_Periodo1[[#This Row],[DEBITOS]]</f>
        <v>-490</v>
      </c>
      <c r="S177" s="3" t="str">
        <f>IF(ISERROR(VLOOKUP(Base_Periodo1[[#This Row],[CONTA]],BaseContasDRE[#All],4,FALSE)),"Fora do DRE",VLOOKUP(Base_Periodo1[[#This Row],[CONTA]],BaseContasDRE[#All],4,FALSE))</f>
        <v>Fora do DRE</v>
      </c>
      <c r="T177" s="3" t="str">
        <f>IF(ISERROR(VLOOKUP(Base_Periodo1[[#This Row],[CONTA]],BaseContasDRE[#All],5,FALSE)),"Fora do DRE",VLOOKUP(Base_Periodo1[[#This Row],[CONTA]],BaseContasDRE[#All],6,FALSE))</f>
        <v>Fora do DRE</v>
      </c>
      <c r="U177" s="3" t="str">
        <f>IF(ISERROR(VLOOKUP(Base_Periodo1[[#This Row],[CONTA]],BaseContasDRE[#All],7,FALSE)),"Fora do DRE",VLOOKUP(Base_Periodo1[[#This Row],[CONTA]],BaseContasDRE[#All],7,FALSE))</f>
        <v>Fora do DRE</v>
      </c>
      <c r="V177" s="3" t="str">
        <f>IF(Base_Periodo1[[#This Row],[Tipo_Linha]]="Fora do DRE","Fora do DRE","( "&amp;Base_Periodo1[[#This Row],[Tipo_Linha]]&amp;" ) "&amp;Base_Periodo1[[#This Row],[Filtro]])</f>
        <v>Fora do DRE</v>
      </c>
      <c r="W177" s="3" t="str">
        <f>LEFT(Base_Periodo1[[#This Row],[CLASS]],3)</f>
        <v>1.1</v>
      </c>
    </row>
    <row r="178" spans="1:23" hidden="1">
      <c r="A178" s="3" t="str">
        <f t="shared" si="2"/>
        <v>Período 1</v>
      </c>
      <c r="B178">
        <v>2260</v>
      </c>
      <c r="C178" t="s">
        <v>503</v>
      </c>
      <c r="D178" t="s">
        <v>559</v>
      </c>
      <c r="E178" s="3" t="str">
        <f>IF(LEN(Base_Periodo1[[#This Row],[CLASS]])&gt;=7,LEFT(Base_Periodo1[[#This Row],[CLASS]],7),"")</f>
        <v>1.1.2.1</v>
      </c>
      <c r="F178" s="3" t="str">
        <f>VLOOKUP(Base_Periodo1[[#This Row],[Aux]],Base_Contas_Balanco[#All],2,FALSE)</f>
        <v>Creditos com Cooperados</v>
      </c>
      <c r="G178" s="1">
        <v>42884</v>
      </c>
      <c r="H178" s="225">
        <v>28.800000000279397</v>
      </c>
      <c r="I178" s="225">
        <v>1604.35</v>
      </c>
      <c r="J178" s="225">
        <v>1633.1499999999999</v>
      </c>
      <c r="K178" s="225">
        <v>2.794422471197322E-10</v>
      </c>
      <c r="L1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78" s="225">
        <f>ROUND(IF(AND(Base_Periodo1[[#This Row],[Tipo_Linha]]="-",Base_Periodo1[[#This Row],[TIPOSALDO]]="D"),Base_Periodo1[[#This Row],[SALDO_ATUAL]]*-1,Base_Periodo1[[#This Row],[SALDO_ATUAL]]),4)</f>
        <v>0</v>
      </c>
      <c r="N178" t="s">
        <v>116</v>
      </c>
      <c r="O178" t="s">
        <v>397</v>
      </c>
      <c r="P178" t="s">
        <v>436</v>
      </c>
      <c r="Q178">
        <v>7</v>
      </c>
      <c r="R178" s="225">
        <f>Base_Periodo1[[#This Row],[CREDITOS]]-Base_Periodo1[[#This Row],[DEBITOS]]</f>
        <v>28.799999999999955</v>
      </c>
      <c r="S178" s="3" t="str">
        <f>IF(ISERROR(VLOOKUP(Base_Periodo1[[#This Row],[CONTA]],BaseContasDRE[#All],4,FALSE)),"Fora do DRE",VLOOKUP(Base_Periodo1[[#This Row],[CONTA]],BaseContasDRE[#All],4,FALSE))</f>
        <v>Fora do DRE</v>
      </c>
      <c r="T178" s="3" t="str">
        <f>IF(ISERROR(VLOOKUP(Base_Periodo1[[#This Row],[CONTA]],BaseContasDRE[#All],5,FALSE)),"Fora do DRE",VLOOKUP(Base_Periodo1[[#This Row],[CONTA]],BaseContasDRE[#All],6,FALSE))</f>
        <v>Fora do DRE</v>
      </c>
      <c r="U178" s="3" t="str">
        <f>IF(ISERROR(VLOOKUP(Base_Periodo1[[#This Row],[CONTA]],BaseContasDRE[#All],7,FALSE)),"Fora do DRE",VLOOKUP(Base_Periodo1[[#This Row],[CONTA]],BaseContasDRE[#All],7,FALSE))</f>
        <v>Fora do DRE</v>
      </c>
      <c r="V178" s="3" t="str">
        <f>IF(Base_Periodo1[[#This Row],[Tipo_Linha]]="Fora do DRE","Fora do DRE","( "&amp;Base_Periodo1[[#This Row],[Tipo_Linha]]&amp;" ) "&amp;Base_Periodo1[[#This Row],[Filtro]])</f>
        <v>Fora do DRE</v>
      </c>
      <c r="W178" s="3" t="str">
        <f>LEFT(Base_Periodo1[[#This Row],[CLASS]],3)</f>
        <v>1.1</v>
      </c>
    </row>
    <row r="179" spans="1:23" hidden="1">
      <c r="A179" s="3" t="str">
        <f t="shared" si="2"/>
        <v>Período 1</v>
      </c>
      <c r="B179">
        <v>4112</v>
      </c>
      <c r="C179" t="s">
        <v>503</v>
      </c>
      <c r="D179" t="s">
        <v>560</v>
      </c>
      <c r="E179" s="3" t="str">
        <f>IF(LEN(Base_Periodo1[[#This Row],[CLASS]])&gt;=7,LEFT(Base_Periodo1[[#This Row],[CLASS]],7),"")</f>
        <v>1.1.2.1</v>
      </c>
      <c r="F179" s="3" t="str">
        <f>VLOOKUP(Base_Periodo1[[#This Row],[Aux]],Base_Contas_Balanco[#All],2,FALSE)</f>
        <v>Creditos com Cooperados</v>
      </c>
      <c r="G179" s="1">
        <v>42886</v>
      </c>
      <c r="H179" s="225">
        <v>10149.030000003986</v>
      </c>
      <c r="I179" s="225">
        <v>177.5</v>
      </c>
      <c r="J179" s="225">
        <v>8955.7999999999993</v>
      </c>
      <c r="K179" s="225">
        <v>1370.7300000039868</v>
      </c>
      <c r="L1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1370.73</v>
      </c>
      <c r="M179" s="225">
        <f>ROUND(IF(AND(Base_Periodo1[[#This Row],[Tipo_Linha]]="-",Base_Periodo1[[#This Row],[TIPOSALDO]]="D"),Base_Periodo1[[#This Row],[SALDO_ATUAL]]*-1,Base_Periodo1[[#This Row],[SALDO_ATUAL]]),4)</f>
        <v>1370.73</v>
      </c>
      <c r="N179" t="s">
        <v>116</v>
      </c>
      <c r="O179" t="s">
        <v>397</v>
      </c>
      <c r="P179" t="s">
        <v>397</v>
      </c>
      <c r="Q179">
        <v>7</v>
      </c>
      <c r="R179" s="225">
        <f>Base_Periodo1[[#This Row],[CREDITOS]]-Base_Periodo1[[#This Row],[DEBITOS]]</f>
        <v>8778.2999999999993</v>
      </c>
      <c r="S179" s="3" t="str">
        <f>IF(ISERROR(VLOOKUP(Base_Periodo1[[#This Row],[CONTA]],BaseContasDRE[#All],4,FALSE)),"Fora do DRE",VLOOKUP(Base_Periodo1[[#This Row],[CONTA]],BaseContasDRE[#All],4,FALSE))</f>
        <v>Fora do DRE</v>
      </c>
      <c r="T179" s="3" t="str">
        <f>IF(ISERROR(VLOOKUP(Base_Periodo1[[#This Row],[CONTA]],BaseContasDRE[#All],5,FALSE)),"Fora do DRE",VLOOKUP(Base_Periodo1[[#This Row],[CONTA]],BaseContasDRE[#All],6,FALSE))</f>
        <v>Fora do DRE</v>
      </c>
      <c r="U179" s="3" t="str">
        <f>IF(ISERROR(VLOOKUP(Base_Periodo1[[#This Row],[CONTA]],BaseContasDRE[#All],7,FALSE)),"Fora do DRE",VLOOKUP(Base_Periodo1[[#This Row],[CONTA]],BaseContasDRE[#All],7,FALSE))</f>
        <v>Fora do DRE</v>
      </c>
      <c r="V179" s="3" t="str">
        <f>IF(Base_Periodo1[[#This Row],[Tipo_Linha]]="Fora do DRE","Fora do DRE","( "&amp;Base_Periodo1[[#This Row],[Tipo_Linha]]&amp;" ) "&amp;Base_Periodo1[[#This Row],[Filtro]])</f>
        <v>Fora do DRE</v>
      </c>
      <c r="W179" s="3" t="str">
        <f>LEFT(Base_Periodo1[[#This Row],[CLASS]],3)</f>
        <v>1.1</v>
      </c>
    </row>
    <row r="180" spans="1:23" hidden="1">
      <c r="A180" s="3" t="str">
        <f t="shared" si="2"/>
        <v>Período 1</v>
      </c>
      <c r="B180">
        <v>3440</v>
      </c>
      <c r="C180" t="s">
        <v>503</v>
      </c>
      <c r="D180" t="s">
        <v>561</v>
      </c>
      <c r="E180" s="3" t="str">
        <f>IF(LEN(Base_Periodo1[[#This Row],[CLASS]])&gt;=7,LEFT(Base_Periodo1[[#This Row],[CLASS]],7),"")</f>
        <v>1.1.2.1</v>
      </c>
      <c r="F180" s="3" t="str">
        <f>VLOOKUP(Base_Periodo1[[#This Row],[Aux]],Base_Contas_Balanco[#All],2,FALSE)</f>
        <v>Creditos com Cooperados</v>
      </c>
      <c r="G180" s="1">
        <v>42881</v>
      </c>
      <c r="H180" s="225">
        <v>306082.32999999449</v>
      </c>
      <c r="I180" s="225">
        <v>6845.4</v>
      </c>
      <c r="J180" s="225">
        <v>0</v>
      </c>
      <c r="K180" s="225">
        <v>312927.72999999451</v>
      </c>
      <c r="L1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312927.73</v>
      </c>
      <c r="M180" s="225">
        <f>ROUND(IF(AND(Base_Periodo1[[#This Row],[Tipo_Linha]]="-",Base_Periodo1[[#This Row],[TIPOSALDO]]="D"),Base_Periodo1[[#This Row],[SALDO_ATUAL]]*-1,Base_Periodo1[[#This Row],[SALDO_ATUAL]]),4)</f>
        <v>312927.73</v>
      </c>
      <c r="N180" t="s">
        <v>116</v>
      </c>
      <c r="O180" t="s">
        <v>397</v>
      </c>
      <c r="P180" t="s">
        <v>397</v>
      </c>
      <c r="Q180">
        <v>7</v>
      </c>
      <c r="R180" s="225">
        <f>Base_Periodo1[[#This Row],[CREDITOS]]-Base_Periodo1[[#This Row],[DEBITOS]]</f>
        <v>-6845.4</v>
      </c>
      <c r="S180" s="3" t="str">
        <f>IF(ISERROR(VLOOKUP(Base_Periodo1[[#This Row],[CONTA]],BaseContasDRE[#All],4,FALSE)),"Fora do DRE",VLOOKUP(Base_Periodo1[[#This Row],[CONTA]],BaseContasDRE[#All],4,FALSE))</f>
        <v>Fora do DRE</v>
      </c>
      <c r="T180" s="3" t="str">
        <f>IF(ISERROR(VLOOKUP(Base_Periodo1[[#This Row],[CONTA]],BaseContasDRE[#All],5,FALSE)),"Fora do DRE",VLOOKUP(Base_Periodo1[[#This Row],[CONTA]],BaseContasDRE[#All],6,FALSE))</f>
        <v>Fora do DRE</v>
      </c>
      <c r="U180" s="3" t="str">
        <f>IF(ISERROR(VLOOKUP(Base_Periodo1[[#This Row],[CONTA]],BaseContasDRE[#All],7,FALSE)),"Fora do DRE",VLOOKUP(Base_Periodo1[[#This Row],[CONTA]],BaseContasDRE[#All],7,FALSE))</f>
        <v>Fora do DRE</v>
      </c>
      <c r="V180" s="3" t="str">
        <f>IF(Base_Periodo1[[#This Row],[Tipo_Linha]]="Fora do DRE","Fora do DRE","( "&amp;Base_Periodo1[[#This Row],[Tipo_Linha]]&amp;" ) "&amp;Base_Periodo1[[#This Row],[Filtro]])</f>
        <v>Fora do DRE</v>
      </c>
      <c r="W180" s="3" t="str">
        <f>LEFT(Base_Periodo1[[#This Row],[CLASS]],3)</f>
        <v>1.1</v>
      </c>
    </row>
    <row r="181" spans="1:23" hidden="1">
      <c r="A181" s="3" t="str">
        <f t="shared" si="2"/>
        <v>Período 1</v>
      </c>
      <c r="B181">
        <v>12419</v>
      </c>
      <c r="C181" t="s">
        <v>503</v>
      </c>
      <c r="D181" t="s">
        <v>562</v>
      </c>
      <c r="E181" s="3" t="str">
        <f>IF(LEN(Base_Periodo1[[#This Row],[CLASS]])&gt;=7,LEFT(Base_Periodo1[[#This Row],[CLASS]],7),"")</f>
        <v>1.1.2.1</v>
      </c>
      <c r="F181" s="3" t="str">
        <f>VLOOKUP(Base_Periodo1[[#This Row],[Aux]],Base_Contas_Balanco[#All],2,FALSE)</f>
        <v>Creditos com Cooperados</v>
      </c>
      <c r="G181" s="1">
        <v>42299</v>
      </c>
      <c r="H181" s="225">
        <v>1153.070000000007</v>
      </c>
      <c r="I181" s="225">
        <v>0</v>
      </c>
      <c r="J181" s="225">
        <v>0</v>
      </c>
      <c r="K181" s="225">
        <v>1153.070000000007</v>
      </c>
      <c r="L1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1153.07</v>
      </c>
      <c r="M181" s="225">
        <f>ROUND(IF(AND(Base_Periodo1[[#This Row],[Tipo_Linha]]="-",Base_Periodo1[[#This Row],[TIPOSALDO]]="D"),Base_Periodo1[[#This Row],[SALDO_ATUAL]]*-1,Base_Periodo1[[#This Row],[SALDO_ATUAL]]),4)</f>
        <v>1153.07</v>
      </c>
      <c r="N181" t="s">
        <v>116</v>
      </c>
      <c r="O181" t="s">
        <v>397</v>
      </c>
      <c r="P181" t="s">
        <v>397</v>
      </c>
      <c r="Q181">
        <v>7</v>
      </c>
      <c r="R181" s="225">
        <f>Base_Periodo1[[#This Row],[CREDITOS]]-Base_Periodo1[[#This Row],[DEBITOS]]</f>
        <v>0</v>
      </c>
      <c r="S181" s="3" t="str">
        <f>IF(ISERROR(VLOOKUP(Base_Periodo1[[#This Row],[CONTA]],BaseContasDRE[#All],4,FALSE)),"Fora do DRE",VLOOKUP(Base_Periodo1[[#This Row],[CONTA]],BaseContasDRE[#All],4,FALSE))</f>
        <v>Fora do DRE</v>
      </c>
      <c r="T181" s="3" t="str">
        <f>IF(ISERROR(VLOOKUP(Base_Periodo1[[#This Row],[CONTA]],BaseContasDRE[#All],5,FALSE)),"Fora do DRE",VLOOKUP(Base_Periodo1[[#This Row],[CONTA]],BaseContasDRE[#All],6,FALSE))</f>
        <v>Fora do DRE</v>
      </c>
      <c r="U181" s="3" t="str">
        <f>IF(ISERROR(VLOOKUP(Base_Periodo1[[#This Row],[CONTA]],BaseContasDRE[#All],7,FALSE)),"Fora do DRE",VLOOKUP(Base_Periodo1[[#This Row],[CONTA]],BaseContasDRE[#All],7,FALSE))</f>
        <v>Fora do DRE</v>
      </c>
      <c r="V181" s="3" t="str">
        <f>IF(Base_Periodo1[[#This Row],[Tipo_Linha]]="Fora do DRE","Fora do DRE","( "&amp;Base_Periodo1[[#This Row],[Tipo_Linha]]&amp;" ) "&amp;Base_Periodo1[[#This Row],[Filtro]])</f>
        <v>Fora do DRE</v>
      </c>
      <c r="W181" s="3" t="str">
        <f>LEFT(Base_Periodo1[[#This Row],[CLASS]],3)</f>
        <v>1.1</v>
      </c>
    </row>
    <row r="182" spans="1:23" hidden="1">
      <c r="A182" s="3" t="str">
        <f t="shared" si="2"/>
        <v>Período 1</v>
      </c>
      <c r="B182">
        <v>34541</v>
      </c>
      <c r="C182" t="s">
        <v>503</v>
      </c>
      <c r="D182" t="s">
        <v>563</v>
      </c>
      <c r="E182" s="3" t="str">
        <f>IF(LEN(Base_Periodo1[[#This Row],[CLASS]])&gt;=7,LEFT(Base_Periodo1[[#This Row],[CLASS]],7),"")</f>
        <v>1.1.2.1</v>
      </c>
      <c r="F182" s="3" t="str">
        <f>VLOOKUP(Base_Periodo1[[#This Row],[Aux]],Base_Contas_Balanco[#All],2,FALSE)</f>
        <v>Creditos com Cooperados</v>
      </c>
      <c r="G182" s="1">
        <v>42872</v>
      </c>
      <c r="H182" s="225">
        <v>729.9999999999709</v>
      </c>
      <c r="I182" s="225">
        <v>0</v>
      </c>
      <c r="J182" s="225">
        <v>730</v>
      </c>
      <c r="K182" s="225">
        <v>-2.9103830456733704E-11</v>
      </c>
      <c r="L1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82" s="225">
        <f>ROUND(IF(AND(Base_Periodo1[[#This Row],[Tipo_Linha]]="-",Base_Periodo1[[#This Row],[TIPOSALDO]]="D"),Base_Periodo1[[#This Row],[SALDO_ATUAL]]*-1,Base_Periodo1[[#This Row],[SALDO_ATUAL]]),4)</f>
        <v>0</v>
      </c>
      <c r="N182" t="s">
        <v>116</v>
      </c>
      <c r="O182" t="s">
        <v>397</v>
      </c>
      <c r="P182" t="s">
        <v>436</v>
      </c>
      <c r="Q182">
        <v>7</v>
      </c>
      <c r="R182" s="225">
        <f>Base_Periodo1[[#This Row],[CREDITOS]]-Base_Periodo1[[#This Row],[DEBITOS]]</f>
        <v>730</v>
      </c>
      <c r="S182" s="3" t="str">
        <f>IF(ISERROR(VLOOKUP(Base_Periodo1[[#This Row],[CONTA]],BaseContasDRE[#All],4,FALSE)),"Fora do DRE",VLOOKUP(Base_Periodo1[[#This Row],[CONTA]],BaseContasDRE[#All],4,FALSE))</f>
        <v>Fora do DRE</v>
      </c>
      <c r="T182" s="3" t="str">
        <f>IF(ISERROR(VLOOKUP(Base_Periodo1[[#This Row],[CONTA]],BaseContasDRE[#All],5,FALSE)),"Fora do DRE",VLOOKUP(Base_Periodo1[[#This Row],[CONTA]],BaseContasDRE[#All],6,FALSE))</f>
        <v>Fora do DRE</v>
      </c>
      <c r="U182" s="3" t="str">
        <f>IF(ISERROR(VLOOKUP(Base_Periodo1[[#This Row],[CONTA]],BaseContasDRE[#All],7,FALSE)),"Fora do DRE",VLOOKUP(Base_Periodo1[[#This Row],[CONTA]],BaseContasDRE[#All],7,FALSE))</f>
        <v>Fora do DRE</v>
      </c>
      <c r="V182" s="3" t="str">
        <f>IF(Base_Periodo1[[#This Row],[Tipo_Linha]]="Fora do DRE","Fora do DRE","( "&amp;Base_Periodo1[[#This Row],[Tipo_Linha]]&amp;" ) "&amp;Base_Periodo1[[#This Row],[Filtro]])</f>
        <v>Fora do DRE</v>
      </c>
      <c r="W182" s="3" t="str">
        <f>LEFT(Base_Periodo1[[#This Row],[CLASS]],3)</f>
        <v>1.1</v>
      </c>
    </row>
    <row r="183" spans="1:23" hidden="1">
      <c r="A183" s="3" t="str">
        <f t="shared" si="2"/>
        <v>Período 1</v>
      </c>
      <c r="B183">
        <v>55884</v>
      </c>
      <c r="C183" t="s">
        <v>503</v>
      </c>
      <c r="D183" t="s">
        <v>5293</v>
      </c>
      <c r="E183" s="3" t="str">
        <f>IF(LEN(Base_Periodo1[[#This Row],[CLASS]])&gt;=7,LEFT(Base_Periodo1[[#This Row],[CLASS]],7),"")</f>
        <v>1.1.2.1</v>
      </c>
      <c r="F183" s="3" t="str">
        <f>VLOOKUP(Base_Periodo1[[#This Row],[Aux]],Base_Contas_Balanco[#All],2,FALSE)</f>
        <v>Creditos com Cooperados</v>
      </c>
      <c r="G183" s="1">
        <v>42720</v>
      </c>
      <c r="H183" s="225">
        <v>10367.799999999999</v>
      </c>
      <c r="I183" s="225">
        <v>0</v>
      </c>
      <c r="J183" s="225">
        <v>0</v>
      </c>
      <c r="K183" s="225">
        <v>10367.799999999999</v>
      </c>
      <c r="L1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10367.799999999999</v>
      </c>
      <c r="M183" s="225">
        <f>ROUND(IF(AND(Base_Periodo1[[#This Row],[Tipo_Linha]]="-",Base_Periodo1[[#This Row],[TIPOSALDO]]="D"),Base_Periodo1[[#This Row],[SALDO_ATUAL]]*-1,Base_Periodo1[[#This Row],[SALDO_ATUAL]]),4)</f>
        <v>10367.799999999999</v>
      </c>
      <c r="N183" t="s">
        <v>116</v>
      </c>
      <c r="O183" t="s">
        <v>397</v>
      </c>
      <c r="P183" t="s">
        <v>397</v>
      </c>
      <c r="Q183">
        <v>7</v>
      </c>
      <c r="R183" s="225">
        <f>Base_Periodo1[[#This Row],[CREDITOS]]-Base_Periodo1[[#This Row],[DEBITOS]]</f>
        <v>0</v>
      </c>
      <c r="S183" s="3" t="str">
        <f>IF(ISERROR(VLOOKUP(Base_Periodo1[[#This Row],[CONTA]],BaseContasDRE[#All],4,FALSE)),"Fora do DRE",VLOOKUP(Base_Periodo1[[#This Row],[CONTA]],BaseContasDRE[#All],4,FALSE))</f>
        <v>Fora do DRE</v>
      </c>
      <c r="T183" s="3" t="str">
        <f>IF(ISERROR(VLOOKUP(Base_Periodo1[[#This Row],[CONTA]],BaseContasDRE[#All],5,FALSE)),"Fora do DRE",VLOOKUP(Base_Periodo1[[#This Row],[CONTA]],BaseContasDRE[#All],6,FALSE))</f>
        <v>Fora do DRE</v>
      </c>
      <c r="U183" s="3" t="str">
        <f>IF(ISERROR(VLOOKUP(Base_Periodo1[[#This Row],[CONTA]],BaseContasDRE[#All],7,FALSE)),"Fora do DRE",VLOOKUP(Base_Periodo1[[#This Row],[CONTA]],BaseContasDRE[#All],7,FALSE))</f>
        <v>Fora do DRE</v>
      </c>
      <c r="V183" s="3" t="str">
        <f>IF(Base_Periodo1[[#This Row],[Tipo_Linha]]="Fora do DRE","Fora do DRE","( "&amp;Base_Periodo1[[#This Row],[Tipo_Linha]]&amp;" ) "&amp;Base_Periodo1[[#This Row],[Filtro]])</f>
        <v>Fora do DRE</v>
      </c>
      <c r="W183" s="3" t="str">
        <f>LEFT(Base_Periodo1[[#This Row],[CLASS]],3)</f>
        <v>1.1</v>
      </c>
    </row>
    <row r="184" spans="1:23" hidden="1">
      <c r="A184" s="3" t="str">
        <f t="shared" si="2"/>
        <v>Período 1</v>
      </c>
      <c r="B184">
        <v>7189</v>
      </c>
      <c r="C184" t="s">
        <v>503</v>
      </c>
      <c r="D184" t="s">
        <v>564</v>
      </c>
      <c r="E184" s="3" t="str">
        <f>IF(LEN(Base_Periodo1[[#This Row],[CLASS]])&gt;=7,LEFT(Base_Periodo1[[#This Row],[CLASS]],7),"")</f>
        <v>1.1.2.1</v>
      </c>
      <c r="F184" s="3" t="str">
        <f>VLOOKUP(Base_Periodo1[[#This Row],[Aux]],Base_Contas_Balanco[#All],2,FALSE)</f>
        <v>Creditos com Cooperados</v>
      </c>
      <c r="G184" s="1">
        <v>42871</v>
      </c>
      <c r="H184" s="225">
        <v>92505.349999997299</v>
      </c>
      <c r="I184" s="225">
        <v>6033.5</v>
      </c>
      <c r="J184" s="225">
        <v>0</v>
      </c>
      <c r="K184" s="225">
        <v>98538.849999997299</v>
      </c>
      <c r="L1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98538.85</v>
      </c>
      <c r="M184" s="225">
        <f>ROUND(IF(AND(Base_Periodo1[[#This Row],[Tipo_Linha]]="-",Base_Periodo1[[#This Row],[TIPOSALDO]]="D"),Base_Periodo1[[#This Row],[SALDO_ATUAL]]*-1,Base_Periodo1[[#This Row],[SALDO_ATUAL]]),4)</f>
        <v>98538.85</v>
      </c>
      <c r="N184" t="s">
        <v>116</v>
      </c>
      <c r="O184" t="s">
        <v>397</v>
      </c>
      <c r="P184" t="s">
        <v>397</v>
      </c>
      <c r="Q184">
        <v>7</v>
      </c>
      <c r="R184" s="225">
        <f>Base_Periodo1[[#This Row],[CREDITOS]]-Base_Periodo1[[#This Row],[DEBITOS]]</f>
        <v>-6033.5</v>
      </c>
      <c r="S184" s="3" t="str">
        <f>IF(ISERROR(VLOOKUP(Base_Periodo1[[#This Row],[CONTA]],BaseContasDRE[#All],4,FALSE)),"Fora do DRE",VLOOKUP(Base_Periodo1[[#This Row],[CONTA]],BaseContasDRE[#All],4,FALSE))</f>
        <v>Fora do DRE</v>
      </c>
      <c r="T184" s="3" t="str">
        <f>IF(ISERROR(VLOOKUP(Base_Periodo1[[#This Row],[CONTA]],BaseContasDRE[#All],5,FALSE)),"Fora do DRE",VLOOKUP(Base_Periodo1[[#This Row],[CONTA]],BaseContasDRE[#All],6,FALSE))</f>
        <v>Fora do DRE</v>
      </c>
      <c r="U184" s="3" t="str">
        <f>IF(ISERROR(VLOOKUP(Base_Periodo1[[#This Row],[CONTA]],BaseContasDRE[#All],7,FALSE)),"Fora do DRE",VLOOKUP(Base_Periodo1[[#This Row],[CONTA]],BaseContasDRE[#All],7,FALSE))</f>
        <v>Fora do DRE</v>
      </c>
      <c r="V184" s="3" t="str">
        <f>IF(Base_Periodo1[[#This Row],[Tipo_Linha]]="Fora do DRE","Fora do DRE","( "&amp;Base_Periodo1[[#This Row],[Tipo_Linha]]&amp;" ) "&amp;Base_Periodo1[[#This Row],[Filtro]])</f>
        <v>Fora do DRE</v>
      </c>
      <c r="W184" s="3" t="str">
        <f>LEFT(Base_Periodo1[[#This Row],[CLASS]],3)</f>
        <v>1.1</v>
      </c>
    </row>
    <row r="185" spans="1:23" hidden="1">
      <c r="A185" s="3" t="str">
        <f t="shared" si="2"/>
        <v>Período 1</v>
      </c>
      <c r="B185">
        <v>4172</v>
      </c>
      <c r="C185" t="s">
        <v>503</v>
      </c>
      <c r="D185" t="s">
        <v>565</v>
      </c>
      <c r="E185" s="3" t="str">
        <f>IF(LEN(Base_Periodo1[[#This Row],[CLASS]])&gt;=7,LEFT(Base_Periodo1[[#This Row],[CLASS]],7),"")</f>
        <v>1.1.2.1</v>
      </c>
      <c r="F185" s="3" t="str">
        <f>VLOOKUP(Base_Periodo1[[#This Row],[Aux]],Base_Contas_Balanco[#All],2,FALSE)</f>
        <v>Creditos com Cooperados</v>
      </c>
      <c r="G185" s="1">
        <v>42874</v>
      </c>
      <c r="H185" s="225">
        <v>9730.7000000000262</v>
      </c>
      <c r="I185" s="225">
        <v>1131.55</v>
      </c>
      <c r="J185" s="225">
        <v>1271.55</v>
      </c>
      <c r="K185" s="225">
        <v>9590.7000000000262</v>
      </c>
      <c r="L1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9590.7000000000007</v>
      </c>
      <c r="M185" s="225">
        <f>ROUND(IF(AND(Base_Periodo1[[#This Row],[Tipo_Linha]]="-",Base_Periodo1[[#This Row],[TIPOSALDO]]="D"),Base_Periodo1[[#This Row],[SALDO_ATUAL]]*-1,Base_Periodo1[[#This Row],[SALDO_ATUAL]]),4)</f>
        <v>9590.7000000000007</v>
      </c>
      <c r="N185" t="s">
        <v>116</v>
      </c>
      <c r="O185" t="s">
        <v>397</v>
      </c>
      <c r="P185" t="s">
        <v>397</v>
      </c>
      <c r="Q185">
        <v>7</v>
      </c>
      <c r="R185" s="225">
        <f>Base_Periodo1[[#This Row],[CREDITOS]]-Base_Periodo1[[#This Row],[DEBITOS]]</f>
        <v>140</v>
      </c>
      <c r="S185" s="3" t="str">
        <f>IF(ISERROR(VLOOKUP(Base_Periodo1[[#This Row],[CONTA]],BaseContasDRE[#All],4,FALSE)),"Fora do DRE",VLOOKUP(Base_Periodo1[[#This Row],[CONTA]],BaseContasDRE[#All],4,FALSE))</f>
        <v>Fora do DRE</v>
      </c>
      <c r="T185" s="3" t="str">
        <f>IF(ISERROR(VLOOKUP(Base_Periodo1[[#This Row],[CONTA]],BaseContasDRE[#All],5,FALSE)),"Fora do DRE",VLOOKUP(Base_Periodo1[[#This Row],[CONTA]],BaseContasDRE[#All],6,FALSE))</f>
        <v>Fora do DRE</v>
      </c>
      <c r="U185" s="3" t="str">
        <f>IF(ISERROR(VLOOKUP(Base_Periodo1[[#This Row],[CONTA]],BaseContasDRE[#All],7,FALSE)),"Fora do DRE",VLOOKUP(Base_Periodo1[[#This Row],[CONTA]],BaseContasDRE[#All],7,FALSE))</f>
        <v>Fora do DRE</v>
      </c>
      <c r="V185" s="3" t="str">
        <f>IF(Base_Periodo1[[#This Row],[Tipo_Linha]]="Fora do DRE","Fora do DRE","( "&amp;Base_Periodo1[[#This Row],[Tipo_Linha]]&amp;" ) "&amp;Base_Periodo1[[#This Row],[Filtro]])</f>
        <v>Fora do DRE</v>
      </c>
      <c r="W185" s="3" t="str">
        <f>LEFT(Base_Periodo1[[#This Row],[CLASS]],3)</f>
        <v>1.1</v>
      </c>
    </row>
    <row r="186" spans="1:23" hidden="1">
      <c r="A186" s="3" t="str">
        <f t="shared" si="2"/>
        <v>Período 1</v>
      </c>
      <c r="B186">
        <v>3912</v>
      </c>
      <c r="C186" t="s">
        <v>503</v>
      </c>
      <c r="D186" t="s">
        <v>566</v>
      </c>
      <c r="E186" s="3" t="str">
        <f>IF(LEN(Base_Periodo1[[#This Row],[CLASS]])&gt;=7,LEFT(Base_Periodo1[[#This Row],[CLASS]],7),"")</f>
        <v>1.1.2.1</v>
      </c>
      <c r="F186" s="3" t="str">
        <f>VLOOKUP(Base_Periodo1[[#This Row],[Aux]],Base_Contas_Balanco[#All],2,FALSE)</f>
        <v>Creditos com Cooperados</v>
      </c>
      <c r="G186" s="1">
        <v>42880</v>
      </c>
      <c r="H186" s="225">
        <v>24730.750000000698</v>
      </c>
      <c r="I186" s="225">
        <v>3498.6</v>
      </c>
      <c r="J186" s="225">
        <v>24730.75</v>
      </c>
      <c r="K186" s="225">
        <v>3498.600000000697</v>
      </c>
      <c r="L1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3498.6</v>
      </c>
      <c r="M186" s="225">
        <f>ROUND(IF(AND(Base_Periodo1[[#This Row],[Tipo_Linha]]="-",Base_Periodo1[[#This Row],[TIPOSALDO]]="D"),Base_Periodo1[[#This Row],[SALDO_ATUAL]]*-1,Base_Periodo1[[#This Row],[SALDO_ATUAL]]),4)</f>
        <v>3498.6</v>
      </c>
      <c r="N186" t="s">
        <v>116</v>
      </c>
      <c r="O186" t="s">
        <v>397</v>
      </c>
      <c r="P186" t="s">
        <v>397</v>
      </c>
      <c r="Q186">
        <v>7</v>
      </c>
      <c r="R186" s="225">
        <f>Base_Periodo1[[#This Row],[CREDITOS]]-Base_Periodo1[[#This Row],[DEBITOS]]</f>
        <v>21232.15</v>
      </c>
      <c r="S186" s="3" t="str">
        <f>IF(ISERROR(VLOOKUP(Base_Periodo1[[#This Row],[CONTA]],BaseContasDRE[#All],4,FALSE)),"Fora do DRE",VLOOKUP(Base_Periodo1[[#This Row],[CONTA]],BaseContasDRE[#All],4,FALSE))</f>
        <v>Fora do DRE</v>
      </c>
      <c r="T186" s="3" t="str">
        <f>IF(ISERROR(VLOOKUP(Base_Periodo1[[#This Row],[CONTA]],BaseContasDRE[#All],5,FALSE)),"Fora do DRE",VLOOKUP(Base_Periodo1[[#This Row],[CONTA]],BaseContasDRE[#All],6,FALSE))</f>
        <v>Fora do DRE</v>
      </c>
      <c r="U186" s="3" t="str">
        <f>IF(ISERROR(VLOOKUP(Base_Periodo1[[#This Row],[CONTA]],BaseContasDRE[#All],7,FALSE)),"Fora do DRE",VLOOKUP(Base_Periodo1[[#This Row],[CONTA]],BaseContasDRE[#All],7,FALSE))</f>
        <v>Fora do DRE</v>
      </c>
      <c r="V186" s="3" t="str">
        <f>IF(Base_Periodo1[[#This Row],[Tipo_Linha]]="Fora do DRE","Fora do DRE","( "&amp;Base_Periodo1[[#This Row],[Tipo_Linha]]&amp;" ) "&amp;Base_Periodo1[[#This Row],[Filtro]])</f>
        <v>Fora do DRE</v>
      </c>
      <c r="W186" s="3" t="str">
        <f>LEFT(Base_Periodo1[[#This Row],[CLASS]],3)</f>
        <v>1.1</v>
      </c>
    </row>
    <row r="187" spans="1:23" hidden="1">
      <c r="A187" s="3" t="str">
        <f t="shared" si="2"/>
        <v>Período 1</v>
      </c>
      <c r="B187">
        <v>22669</v>
      </c>
      <c r="C187" t="s">
        <v>503</v>
      </c>
      <c r="D187" t="s">
        <v>5132</v>
      </c>
      <c r="E187" s="3" t="str">
        <f>IF(LEN(Base_Periodo1[[#This Row],[CLASS]])&gt;=7,LEFT(Base_Periodo1[[#This Row],[CLASS]],7),"")</f>
        <v>1.1.2.1</v>
      </c>
      <c r="F187" s="3" t="str">
        <f>VLOOKUP(Base_Periodo1[[#This Row],[Aux]],Base_Contas_Balanco[#All],2,FALSE)</f>
        <v>Creditos com Cooperados</v>
      </c>
      <c r="G187" s="1">
        <v>42873</v>
      </c>
      <c r="I187" s="225">
        <v>1195</v>
      </c>
      <c r="J187" s="225">
        <v>1195</v>
      </c>
      <c r="K187" s="225">
        <v>1.4551915228366852E-11</v>
      </c>
      <c r="L1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87" s="225">
        <f>ROUND(IF(AND(Base_Periodo1[[#This Row],[Tipo_Linha]]="-",Base_Periodo1[[#This Row],[TIPOSALDO]]="D"),Base_Periodo1[[#This Row],[SALDO_ATUAL]]*-1,Base_Periodo1[[#This Row],[SALDO_ATUAL]]),4)</f>
        <v>0</v>
      </c>
      <c r="N187" t="s">
        <v>116</v>
      </c>
      <c r="O187" t="s">
        <v>436</v>
      </c>
      <c r="P187" t="s">
        <v>436</v>
      </c>
      <c r="Q187">
        <v>7</v>
      </c>
      <c r="R187" s="225">
        <f>Base_Periodo1[[#This Row],[CREDITOS]]-Base_Periodo1[[#This Row],[DEBITOS]]</f>
        <v>0</v>
      </c>
      <c r="S187" s="3" t="str">
        <f>IF(ISERROR(VLOOKUP(Base_Periodo1[[#This Row],[CONTA]],BaseContasDRE[#All],4,FALSE)),"Fora do DRE",VLOOKUP(Base_Periodo1[[#This Row],[CONTA]],BaseContasDRE[#All],4,FALSE))</f>
        <v>Fora do DRE</v>
      </c>
      <c r="T187" s="3" t="str">
        <f>IF(ISERROR(VLOOKUP(Base_Periodo1[[#This Row],[CONTA]],BaseContasDRE[#All],5,FALSE)),"Fora do DRE",VLOOKUP(Base_Periodo1[[#This Row],[CONTA]],BaseContasDRE[#All],6,FALSE))</f>
        <v>Fora do DRE</v>
      </c>
      <c r="U187" s="3" t="str">
        <f>IF(ISERROR(VLOOKUP(Base_Periodo1[[#This Row],[CONTA]],BaseContasDRE[#All],7,FALSE)),"Fora do DRE",VLOOKUP(Base_Periodo1[[#This Row],[CONTA]],BaseContasDRE[#All],7,FALSE))</f>
        <v>Fora do DRE</v>
      </c>
      <c r="V187" s="3" t="str">
        <f>IF(Base_Periodo1[[#This Row],[Tipo_Linha]]="Fora do DRE","Fora do DRE","( "&amp;Base_Periodo1[[#This Row],[Tipo_Linha]]&amp;" ) "&amp;Base_Periodo1[[#This Row],[Filtro]])</f>
        <v>Fora do DRE</v>
      </c>
      <c r="W187" s="3" t="str">
        <f>LEFT(Base_Periodo1[[#This Row],[CLASS]],3)</f>
        <v>1.1</v>
      </c>
    </row>
    <row r="188" spans="1:23" hidden="1">
      <c r="A188" s="3" t="str">
        <f t="shared" si="2"/>
        <v>Período 1</v>
      </c>
      <c r="B188">
        <v>39314</v>
      </c>
      <c r="C188" t="s">
        <v>503</v>
      </c>
      <c r="D188" t="s">
        <v>567</v>
      </c>
      <c r="E188" s="3" t="str">
        <f>IF(LEN(Base_Periodo1[[#This Row],[CLASS]])&gt;=7,LEFT(Base_Periodo1[[#This Row],[CLASS]],7),"")</f>
        <v>1.1.2.1</v>
      </c>
      <c r="F188" s="3" t="str">
        <f>VLOOKUP(Base_Periodo1[[#This Row],[Aux]],Base_Contas_Balanco[#All],2,FALSE)</f>
        <v>Creditos com Cooperados</v>
      </c>
      <c r="G188" s="1">
        <v>42867</v>
      </c>
      <c r="H188" s="225">
        <v>449.99999999991269</v>
      </c>
      <c r="I188" s="225">
        <v>117.5</v>
      </c>
      <c r="J188" s="225">
        <v>0</v>
      </c>
      <c r="K188" s="225">
        <v>567.49999999991269</v>
      </c>
      <c r="L1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567.5</v>
      </c>
      <c r="M188" s="225">
        <f>ROUND(IF(AND(Base_Periodo1[[#This Row],[Tipo_Linha]]="-",Base_Periodo1[[#This Row],[TIPOSALDO]]="D"),Base_Periodo1[[#This Row],[SALDO_ATUAL]]*-1,Base_Periodo1[[#This Row],[SALDO_ATUAL]]),4)</f>
        <v>567.5</v>
      </c>
      <c r="N188" t="s">
        <v>116</v>
      </c>
      <c r="O188" t="s">
        <v>397</v>
      </c>
      <c r="P188" t="s">
        <v>397</v>
      </c>
      <c r="Q188">
        <v>7</v>
      </c>
      <c r="R188" s="225">
        <f>Base_Periodo1[[#This Row],[CREDITOS]]-Base_Periodo1[[#This Row],[DEBITOS]]</f>
        <v>-117.5</v>
      </c>
      <c r="S188" s="3" t="str">
        <f>IF(ISERROR(VLOOKUP(Base_Periodo1[[#This Row],[CONTA]],BaseContasDRE[#All],4,FALSE)),"Fora do DRE",VLOOKUP(Base_Periodo1[[#This Row],[CONTA]],BaseContasDRE[#All],4,FALSE))</f>
        <v>Fora do DRE</v>
      </c>
      <c r="T188" s="3" t="str">
        <f>IF(ISERROR(VLOOKUP(Base_Periodo1[[#This Row],[CONTA]],BaseContasDRE[#All],5,FALSE)),"Fora do DRE",VLOOKUP(Base_Periodo1[[#This Row],[CONTA]],BaseContasDRE[#All],6,FALSE))</f>
        <v>Fora do DRE</v>
      </c>
      <c r="U188" s="3" t="str">
        <f>IF(ISERROR(VLOOKUP(Base_Periodo1[[#This Row],[CONTA]],BaseContasDRE[#All],7,FALSE)),"Fora do DRE",VLOOKUP(Base_Periodo1[[#This Row],[CONTA]],BaseContasDRE[#All],7,FALSE))</f>
        <v>Fora do DRE</v>
      </c>
      <c r="V188" s="3" t="str">
        <f>IF(Base_Periodo1[[#This Row],[Tipo_Linha]]="Fora do DRE","Fora do DRE","( "&amp;Base_Periodo1[[#This Row],[Tipo_Linha]]&amp;" ) "&amp;Base_Periodo1[[#This Row],[Filtro]])</f>
        <v>Fora do DRE</v>
      </c>
      <c r="W188" s="3" t="str">
        <f>LEFT(Base_Periodo1[[#This Row],[CLASS]],3)</f>
        <v>1.1</v>
      </c>
    </row>
    <row r="189" spans="1:23" hidden="1">
      <c r="A189" s="3" t="str">
        <f t="shared" si="2"/>
        <v>Período 1</v>
      </c>
      <c r="B189">
        <v>3908</v>
      </c>
      <c r="C189" t="s">
        <v>503</v>
      </c>
      <c r="D189" t="s">
        <v>568</v>
      </c>
      <c r="E189" s="3" t="str">
        <f>IF(LEN(Base_Periodo1[[#This Row],[CLASS]])&gt;=7,LEFT(Base_Periodo1[[#This Row],[CLASS]],7),"")</f>
        <v>1.1.2.1</v>
      </c>
      <c r="F189" s="3" t="str">
        <f>VLOOKUP(Base_Periodo1[[#This Row],[Aux]],Base_Contas_Balanco[#All],2,FALSE)</f>
        <v>Creditos com Cooperados</v>
      </c>
      <c r="G189" s="1">
        <v>42882</v>
      </c>
      <c r="H189" s="225">
        <v>8648.7500000002328</v>
      </c>
      <c r="I189" s="225">
        <v>23505</v>
      </c>
      <c r="J189" s="225">
        <v>8648.75</v>
      </c>
      <c r="K189" s="225">
        <v>23505.000000000233</v>
      </c>
      <c r="L1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23505</v>
      </c>
      <c r="M189" s="225">
        <f>ROUND(IF(AND(Base_Periodo1[[#This Row],[Tipo_Linha]]="-",Base_Periodo1[[#This Row],[TIPOSALDO]]="D"),Base_Periodo1[[#This Row],[SALDO_ATUAL]]*-1,Base_Periodo1[[#This Row],[SALDO_ATUAL]]),4)</f>
        <v>23505</v>
      </c>
      <c r="N189" t="s">
        <v>116</v>
      </c>
      <c r="O189" t="s">
        <v>397</v>
      </c>
      <c r="P189" t="s">
        <v>397</v>
      </c>
      <c r="Q189">
        <v>7</v>
      </c>
      <c r="R189" s="225">
        <f>Base_Periodo1[[#This Row],[CREDITOS]]-Base_Periodo1[[#This Row],[DEBITOS]]</f>
        <v>-14856.25</v>
      </c>
      <c r="S189" s="3" t="str">
        <f>IF(ISERROR(VLOOKUP(Base_Periodo1[[#This Row],[CONTA]],BaseContasDRE[#All],4,FALSE)),"Fora do DRE",VLOOKUP(Base_Periodo1[[#This Row],[CONTA]],BaseContasDRE[#All],4,FALSE))</f>
        <v>Fora do DRE</v>
      </c>
      <c r="T189" s="3" t="str">
        <f>IF(ISERROR(VLOOKUP(Base_Periodo1[[#This Row],[CONTA]],BaseContasDRE[#All],5,FALSE)),"Fora do DRE",VLOOKUP(Base_Periodo1[[#This Row],[CONTA]],BaseContasDRE[#All],6,FALSE))</f>
        <v>Fora do DRE</v>
      </c>
      <c r="U189" s="3" t="str">
        <f>IF(ISERROR(VLOOKUP(Base_Periodo1[[#This Row],[CONTA]],BaseContasDRE[#All],7,FALSE)),"Fora do DRE",VLOOKUP(Base_Periodo1[[#This Row],[CONTA]],BaseContasDRE[#All],7,FALSE))</f>
        <v>Fora do DRE</v>
      </c>
      <c r="V189" s="3" t="str">
        <f>IF(Base_Periodo1[[#This Row],[Tipo_Linha]]="Fora do DRE","Fora do DRE","( "&amp;Base_Periodo1[[#This Row],[Tipo_Linha]]&amp;" ) "&amp;Base_Periodo1[[#This Row],[Filtro]])</f>
        <v>Fora do DRE</v>
      </c>
      <c r="W189" s="3" t="str">
        <f>LEFT(Base_Periodo1[[#This Row],[CLASS]],3)</f>
        <v>1.1</v>
      </c>
    </row>
    <row r="190" spans="1:23" hidden="1">
      <c r="A190" s="3" t="str">
        <f t="shared" si="2"/>
        <v>Período 1</v>
      </c>
      <c r="B190">
        <v>2788</v>
      </c>
      <c r="C190" t="s">
        <v>503</v>
      </c>
      <c r="D190" t="s">
        <v>569</v>
      </c>
      <c r="E190" s="3" t="str">
        <f>IF(LEN(Base_Periodo1[[#This Row],[CLASS]])&gt;=7,LEFT(Base_Periodo1[[#This Row],[CLASS]],7),"")</f>
        <v>1.1.2.1</v>
      </c>
      <c r="F190" s="3" t="str">
        <f>VLOOKUP(Base_Periodo1[[#This Row],[Aux]],Base_Contas_Balanco[#All],2,FALSE)</f>
        <v>Creditos com Cooperados</v>
      </c>
      <c r="G190" s="1">
        <v>42867</v>
      </c>
      <c r="H190" s="225">
        <v>414137.87000000104</v>
      </c>
      <c r="I190" s="225">
        <v>9940.85</v>
      </c>
      <c r="J190" s="225">
        <v>340281.22000000003</v>
      </c>
      <c r="K190" s="225">
        <v>83797.50000000099</v>
      </c>
      <c r="L1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83797.5</v>
      </c>
      <c r="M190" s="225">
        <f>ROUND(IF(AND(Base_Periodo1[[#This Row],[Tipo_Linha]]="-",Base_Periodo1[[#This Row],[TIPOSALDO]]="D"),Base_Periodo1[[#This Row],[SALDO_ATUAL]]*-1,Base_Periodo1[[#This Row],[SALDO_ATUAL]]),4)</f>
        <v>83797.5</v>
      </c>
      <c r="N190" t="s">
        <v>116</v>
      </c>
      <c r="O190" t="s">
        <v>397</v>
      </c>
      <c r="P190" t="s">
        <v>397</v>
      </c>
      <c r="Q190">
        <v>7</v>
      </c>
      <c r="R190" s="225">
        <f>Base_Periodo1[[#This Row],[CREDITOS]]-Base_Periodo1[[#This Row],[DEBITOS]]</f>
        <v>330340.37000000005</v>
      </c>
      <c r="S190" s="3" t="str">
        <f>IF(ISERROR(VLOOKUP(Base_Periodo1[[#This Row],[CONTA]],BaseContasDRE[#All],4,FALSE)),"Fora do DRE",VLOOKUP(Base_Periodo1[[#This Row],[CONTA]],BaseContasDRE[#All],4,FALSE))</f>
        <v>Fora do DRE</v>
      </c>
      <c r="T190" s="3" t="str">
        <f>IF(ISERROR(VLOOKUP(Base_Periodo1[[#This Row],[CONTA]],BaseContasDRE[#All],5,FALSE)),"Fora do DRE",VLOOKUP(Base_Periodo1[[#This Row],[CONTA]],BaseContasDRE[#All],6,FALSE))</f>
        <v>Fora do DRE</v>
      </c>
      <c r="U190" s="3" t="str">
        <f>IF(ISERROR(VLOOKUP(Base_Periodo1[[#This Row],[CONTA]],BaseContasDRE[#All],7,FALSE)),"Fora do DRE",VLOOKUP(Base_Periodo1[[#This Row],[CONTA]],BaseContasDRE[#All],7,FALSE))</f>
        <v>Fora do DRE</v>
      </c>
      <c r="V190" s="3" t="str">
        <f>IF(Base_Periodo1[[#This Row],[Tipo_Linha]]="Fora do DRE","Fora do DRE","( "&amp;Base_Periodo1[[#This Row],[Tipo_Linha]]&amp;" ) "&amp;Base_Periodo1[[#This Row],[Filtro]])</f>
        <v>Fora do DRE</v>
      </c>
      <c r="W190" s="3" t="str">
        <f>LEFT(Base_Periodo1[[#This Row],[CLASS]],3)</f>
        <v>1.1</v>
      </c>
    </row>
    <row r="191" spans="1:23" hidden="1">
      <c r="A191" s="3" t="str">
        <f t="shared" si="2"/>
        <v>Período 1</v>
      </c>
      <c r="B191">
        <v>20073</v>
      </c>
      <c r="C191" t="s">
        <v>503</v>
      </c>
      <c r="D191" t="s">
        <v>570</v>
      </c>
      <c r="E191" s="3" t="str">
        <f>IF(LEN(Base_Periodo1[[#This Row],[CLASS]])&gt;=7,LEFT(Base_Periodo1[[#This Row],[CLASS]],7),"")</f>
        <v>1.1.2.1</v>
      </c>
      <c r="F191" s="3" t="str">
        <f>VLOOKUP(Base_Periodo1[[#This Row],[Aux]],Base_Contas_Balanco[#All],2,FALSE)</f>
        <v>Creditos com Cooperados</v>
      </c>
      <c r="G191" s="1">
        <v>42866</v>
      </c>
      <c r="H191" s="225">
        <v>26467.869999999879</v>
      </c>
      <c r="I191" s="225">
        <v>4773.5</v>
      </c>
      <c r="J191" s="225">
        <v>25656.639999999996</v>
      </c>
      <c r="K191" s="225">
        <v>5584.7299999998831</v>
      </c>
      <c r="L1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5584.73</v>
      </c>
      <c r="M191" s="225">
        <f>ROUND(IF(AND(Base_Periodo1[[#This Row],[Tipo_Linha]]="-",Base_Periodo1[[#This Row],[TIPOSALDO]]="D"),Base_Periodo1[[#This Row],[SALDO_ATUAL]]*-1,Base_Periodo1[[#This Row],[SALDO_ATUAL]]),4)</f>
        <v>5584.73</v>
      </c>
      <c r="N191" t="s">
        <v>116</v>
      </c>
      <c r="O191" t="s">
        <v>397</v>
      </c>
      <c r="P191" t="s">
        <v>397</v>
      </c>
      <c r="Q191">
        <v>7</v>
      </c>
      <c r="R191" s="225">
        <f>Base_Periodo1[[#This Row],[CREDITOS]]-Base_Periodo1[[#This Row],[DEBITOS]]</f>
        <v>20883.139999999996</v>
      </c>
      <c r="S191" s="3" t="str">
        <f>IF(ISERROR(VLOOKUP(Base_Periodo1[[#This Row],[CONTA]],BaseContasDRE[#All],4,FALSE)),"Fora do DRE",VLOOKUP(Base_Periodo1[[#This Row],[CONTA]],BaseContasDRE[#All],4,FALSE))</f>
        <v>Fora do DRE</v>
      </c>
      <c r="T191" s="3" t="str">
        <f>IF(ISERROR(VLOOKUP(Base_Periodo1[[#This Row],[CONTA]],BaseContasDRE[#All],5,FALSE)),"Fora do DRE",VLOOKUP(Base_Periodo1[[#This Row],[CONTA]],BaseContasDRE[#All],6,FALSE))</f>
        <v>Fora do DRE</v>
      </c>
      <c r="U191" s="3" t="str">
        <f>IF(ISERROR(VLOOKUP(Base_Periodo1[[#This Row],[CONTA]],BaseContasDRE[#All],7,FALSE)),"Fora do DRE",VLOOKUP(Base_Periodo1[[#This Row],[CONTA]],BaseContasDRE[#All],7,FALSE))</f>
        <v>Fora do DRE</v>
      </c>
      <c r="V191" s="3" t="str">
        <f>IF(Base_Periodo1[[#This Row],[Tipo_Linha]]="Fora do DRE","Fora do DRE","( "&amp;Base_Periodo1[[#This Row],[Tipo_Linha]]&amp;" ) "&amp;Base_Periodo1[[#This Row],[Filtro]])</f>
        <v>Fora do DRE</v>
      </c>
      <c r="W191" s="3" t="str">
        <f>LEFT(Base_Periodo1[[#This Row],[CLASS]],3)</f>
        <v>1.1</v>
      </c>
    </row>
    <row r="192" spans="1:23" hidden="1">
      <c r="A192" s="3" t="str">
        <f t="shared" si="2"/>
        <v>Período 1</v>
      </c>
      <c r="B192">
        <v>4476</v>
      </c>
      <c r="C192" t="s">
        <v>503</v>
      </c>
      <c r="D192" t="s">
        <v>571</v>
      </c>
      <c r="E192" s="3" t="str">
        <f>IF(LEN(Base_Periodo1[[#This Row],[CLASS]])&gt;=7,LEFT(Base_Periodo1[[#This Row],[CLASS]],7),"")</f>
        <v>1.1.2.1</v>
      </c>
      <c r="F192" s="3" t="str">
        <f>VLOOKUP(Base_Periodo1[[#This Row],[Aux]],Base_Contas_Balanco[#All],2,FALSE)</f>
        <v>Creditos com Cooperados</v>
      </c>
      <c r="G192" s="1">
        <v>42886</v>
      </c>
      <c r="H192" s="225">
        <v>69539.160000000149</v>
      </c>
      <c r="I192" s="225">
        <v>291674.58999999997</v>
      </c>
      <c r="J192" s="225">
        <v>283127.28999999998</v>
      </c>
      <c r="K192" s="225">
        <v>78086.460000000137</v>
      </c>
      <c r="L1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78086.460000000006</v>
      </c>
      <c r="M192" s="225">
        <f>ROUND(IF(AND(Base_Periodo1[[#This Row],[Tipo_Linha]]="-",Base_Periodo1[[#This Row],[TIPOSALDO]]="D"),Base_Periodo1[[#This Row],[SALDO_ATUAL]]*-1,Base_Periodo1[[#This Row],[SALDO_ATUAL]]),4)</f>
        <v>78086.460000000006</v>
      </c>
      <c r="N192" t="s">
        <v>116</v>
      </c>
      <c r="O192" t="s">
        <v>397</v>
      </c>
      <c r="P192" t="s">
        <v>397</v>
      </c>
      <c r="Q192">
        <v>7</v>
      </c>
      <c r="R192" s="225">
        <f>Base_Periodo1[[#This Row],[CREDITOS]]-Base_Periodo1[[#This Row],[DEBITOS]]</f>
        <v>-8547.2999999999884</v>
      </c>
      <c r="S192" s="3" t="str">
        <f>IF(ISERROR(VLOOKUP(Base_Periodo1[[#This Row],[CONTA]],BaseContasDRE[#All],4,FALSE)),"Fora do DRE",VLOOKUP(Base_Periodo1[[#This Row],[CONTA]],BaseContasDRE[#All],4,FALSE))</f>
        <v>Fora do DRE</v>
      </c>
      <c r="T192" s="3" t="str">
        <f>IF(ISERROR(VLOOKUP(Base_Periodo1[[#This Row],[CONTA]],BaseContasDRE[#All],5,FALSE)),"Fora do DRE",VLOOKUP(Base_Periodo1[[#This Row],[CONTA]],BaseContasDRE[#All],6,FALSE))</f>
        <v>Fora do DRE</v>
      </c>
      <c r="U192" s="3" t="str">
        <f>IF(ISERROR(VLOOKUP(Base_Periodo1[[#This Row],[CONTA]],BaseContasDRE[#All],7,FALSE)),"Fora do DRE",VLOOKUP(Base_Periodo1[[#This Row],[CONTA]],BaseContasDRE[#All],7,FALSE))</f>
        <v>Fora do DRE</v>
      </c>
      <c r="V192" s="3" t="str">
        <f>IF(Base_Periodo1[[#This Row],[Tipo_Linha]]="Fora do DRE","Fora do DRE","( "&amp;Base_Periodo1[[#This Row],[Tipo_Linha]]&amp;" ) "&amp;Base_Periodo1[[#This Row],[Filtro]])</f>
        <v>Fora do DRE</v>
      </c>
      <c r="W192" s="3" t="str">
        <f>LEFT(Base_Periodo1[[#This Row],[CLASS]],3)</f>
        <v>1.1</v>
      </c>
    </row>
    <row r="193" spans="1:23" hidden="1">
      <c r="A193" s="3" t="str">
        <f t="shared" si="2"/>
        <v>Período 1</v>
      </c>
      <c r="B193">
        <v>4624</v>
      </c>
      <c r="C193" t="s">
        <v>503</v>
      </c>
      <c r="D193" t="s">
        <v>572</v>
      </c>
      <c r="E193" s="3" t="str">
        <f>IF(LEN(Base_Periodo1[[#This Row],[CLASS]])&gt;=7,LEFT(Base_Periodo1[[#This Row],[CLASS]],7),"")</f>
        <v>1.1.2.1</v>
      </c>
      <c r="F193" s="3" t="str">
        <f>VLOOKUP(Base_Periodo1[[#This Row],[Aux]],Base_Contas_Balanco[#All],2,FALSE)</f>
        <v>Creditos com Cooperados</v>
      </c>
      <c r="G193" s="1">
        <v>42880</v>
      </c>
      <c r="H193" s="225">
        <v>849.9999999999709</v>
      </c>
      <c r="I193" s="225">
        <v>10461</v>
      </c>
      <c r="J193" s="225">
        <v>0</v>
      </c>
      <c r="K193" s="225">
        <v>11310.999999999971</v>
      </c>
      <c r="L1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11311</v>
      </c>
      <c r="M193" s="225">
        <f>ROUND(IF(AND(Base_Periodo1[[#This Row],[Tipo_Linha]]="-",Base_Periodo1[[#This Row],[TIPOSALDO]]="D"),Base_Periodo1[[#This Row],[SALDO_ATUAL]]*-1,Base_Periodo1[[#This Row],[SALDO_ATUAL]]),4)</f>
        <v>11311</v>
      </c>
      <c r="N193" t="s">
        <v>116</v>
      </c>
      <c r="O193" t="s">
        <v>397</v>
      </c>
      <c r="P193" t="s">
        <v>397</v>
      </c>
      <c r="Q193">
        <v>7</v>
      </c>
      <c r="R193" s="225">
        <f>Base_Periodo1[[#This Row],[CREDITOS]]-Base_Periodo1[[#This Row],[DEBITOS]]</f>
        <v>-10461</v>
      </c>
      <c r="S193" s="3" t="str">
        <f>IF(ISERROR(VLOOKUP(Base_Periodo1[[#This Row],[CONTA]],BaseContasDRE[#All],4,FALSE)),"Fora do DRE",VLOOKUP(Base_Periodo1[[#This Row],[CONTA]],BaseContasDRE[#All],4,FALSE))</f>
        <v>Fora do DRE</v>
      </c>
      <c r="T193" s="3" t="str">
        <f>IF(ISERROR(VLOOKUP(Base_Periodo1[[#This Row],[CONTA]],BaseContasDRE[#All],5,FALSE)),"Fora do DRE",VLOOKUP(Base_Periodo1[[#This Row],[CONTA]],BaseContasDRE[#All],6,FALSE))</f>
        <v>Fora do DRE</v>
      </c>
      <c r="U193" s="3" t="str">
        <f>IF(ISERROR(VLOOKUP(Base_Periodo1[[#This Row],[CONTA]],BaseContasDRE[#All],7,FALSE)),"Fora do DRE",VLOOKUP(Base_Periodo1[[#This Row],[CONTA]],BaseContasDRE[#All],7,FALSE))</f>
        <v>Fora do DRE</v>
      </c>
      <c r="V193" s="3" t="str">
        <f>IF(Base_Periodo1[[#This Row],[Tipo_Linha]]="Fora do DRE","Fora do DRE","( "&amp;Base_Periodo1[[#This Row],[Tipo_Linha]]&amp;" ) "&amp;Base_Periodo1[[#This Row],[Filtro]])</f>
        <v>Fora do DRE</v>
      </c>
      <c r="W193" s="3" t="str">
        <f>LEFT(Base_Periodo1[[#This Row],[CLASS]],3)</f>
        <v>1.1</v>
      </c>
    </row>
    <row r="194" spans="1:23" hidden="1">
      <c r="A194" s="3" t="str">
        <f t="shared" si="2"/>
        <v>Período 1</v>
      </c>
      <c r="B194">
        <v>54567</v>
      </c>
      <c r="C194" t="s">
        <v>503</v>
      </c>
      <c r="D194" t="s">
        <v>5265</v>
      </c>
      <c r="E194" s="3" t="str">
        <f>IF(LEN(Base_Periodo1[[#This Row],[CLASS]])&gt;=7,LEFT(Base_Periodo1[[#This Row],[CLASS]],7),"")</f>
        <v>1.1.2.1</v>
      </c>
      <c r="F194" s="3" t="str">
        <f>VLOOKUP(Base_Periodo1[[#This Row],[Aux]],Base_Contas_Balanco[#All],2,FALSE)</f>
        <v>Creditos com Cooperados</v>
      </c>
      <c r="G194" s="1">
        <v>42881</v>
      </c>
      <c r="H194" s="225">
        <v>3888.0499999999993</v>
      </c>
      <c r="I194" s="225">
        <v>238.3</v>
      </c>
      <c r="J194" s="225">
        <v>1007.63</v>
      </c>
      <c r="K194" s="225">
        <v>3118.7199999999993</v>
      </c>
      <c r="L1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3118.72</v>
      </c>
      <c r="M194" s="225">
        <f>ROUND(IF(AND(Base_Periodo1[[#This Row],[Tipo_Linha]]="-",Base_Periodo1[[#This Row],[TIPOSALDO]]="D"),Base_Periodo1[[#This Row],[SALDO_ATUAL]]*-1,Base_Periodo1[[#This Row],[SALDO_ATUAL]]),4)</f>
        <v>3118.72</v>
      </c>
      <c r="N194" t="s">
        <v>116</v>
      </c>
      <c r="O194" t="s">
        <v>397</v>
      </c>
      <c r="P194" t="s">
        <v>397</v>
      </c>
      <c r="Q194">
        <v>7</v>
      </c>
      <c r="R194" s="225">
        <f>Base_Periodo1[[#This Row],[CREDITOS]]-Base_Periodo1[[#This Row],[DEBITOS]]</f>
        <v>769.32999999999993</v>
      </c>
      <c r="S194" s="3" t="str">
        <f>IF(ISERROR(VLOOKUP(Base_Periodo1[[#This Row],[CONTA]],BaseContasDRE[#All],4,FALSE)),"Fora do DRE",VLOOKUP(Base_Periodo1[[#This Row],[CONTA]],BaseContasDRE[#All],4,FALSE))</f>
        <v>Fora do DRE</v>
      </c>
      <c r="T194" s="3" t="str">
        <f>IF(ISERROR(VLOOKUP(Base_Periodo1[[#This Row],[CONTA]],BaseContasDRE[#All],5,FALSE)),"Fora do DRE",VLOOKUP(Base_Periodo1[[#This Row],[CONTA]],BaseContasDRE[#All],6,FALSE))</f>
        <v>Fora do DRE</v>
      </c>
      <c r="U194" s="3" t="str">
        <f>IF(ISERROR(VLOOKUP(Base_Periodo1[[#This Row],[CONTA]],BaseContasDRE[#All],7,FALSE)),"Fora do DRE",VLOOKUP(Base_Periodo1[[#This Row],[CONTA]],BaseContasDRE[#All],7,FALSE))</f>
        <v>Fora do DRE</v>
      </c>
      <c r="V194" s="3" t="str">
        <f>IF(Base_Periodo1[[#This Row],[Tipo_Linha]]="Fora do DRE","Fora do DRE","( "&amp;Base_Periodo1[[#This Row],[Tipo_Linha]]&amp;" ) "&amp;Base_Periodo1[[#This Row],[Filtro]])</f>
        <v>Fora do DRE</v>
      </c>
      <c r="W194" s="3" t="str">
        <f>LEFT(Base_Periodo1[[#This Row],[CLASS]],3)</f>
        <v>1.1</v>
      </c>
    </row>
    <row r="195" spans="1:23" hidden="1">
      <c r="A195" s="3" t="str">
        <f t="shared" si="2"/>
        <v>Período 1</v>
      </c>
      <c r="B195">
        <v>18151</v>
      </c>
      <c r="C195" t="s">
        <v>503</v>
      </c>
      <c r="D195" t="s">
        <v>573</v>
      </c>
      <c r="E195" s="3" t="str">
        <f>IF(LEN(Base_Periodo1[[#This Row],[CLASS]])&gt;=7,LEFT(Base_Periodo1[[#This Row],[CLASS]],7),"")</f>
        <v>1.1.2.1</v>
      </c>
      <c r="F195" s="3" t="str">
        <f>VLOOKUP(Base_Periodo1[[#This Row],[Aux]],Base_Contas_Balanco[#All],2,FALSE)</f>
        <v>Creditos com Cooperados</v>
      </c>
      <c r="G195" s="1">
        <v>42828</v>
      </c>
      <c r="H195" s="225">
        <v>0.17999999997846317</v>
      </c>
      <c r="I195" s="225">
        <v>0</v>
      </c>
      <c r="J195" s="225">
        <v>0</v>
      </c>
      <c r="K195" s="225">
        <v>0.17999999997846317</v>
      </c>
      <c r="L1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-0.18</v>
      </c>
      <c r="M195" s="225">
        <f>ROUND(IF(AND(Base_Periodo1[[#This Row],[Tipo_Linha]]="-",Base_Periodo1[[#This Row],[TIPOSALDO]]="D"),Base_Periodo1[[#This Row],[SALDO_ATUAL]]*-1,Base_Periodo1[[#This Row],[SALDO_ATUAL]]),4)</f>
        <v>0.18</v>
      </c>
      <c r="N195" t="s">
        <v>116</v>
      </c>
      <c r="O195" t="s">
        <v>459</v>
      </c>
      <c r="P195" t="s">
        <v>459</v>
      </c>
      <c r="Q195">
        <v>7</v>
      </c>
      <c r="R195" s="225">
        <f>Base_Periodo1[[#This Row],[CREDITOS]]-Base_Periodo1[[#This Row],[DEBITOS]]</f>
        <v>0</v>
      </c>
      <c r="S195" s="3" t="str">
        <f>IF(ISERROR(VLOOKUP(Base_Periodo1[[#This Row],[CONTA]],BaseContasDRE[#All],4,FALSE)),"Fora do DRE",VLOOKUP(Base_Periodo1[[#This Row],[CONTA]],BaseContasDRE[#All],4,FALSE))</f>
        <v>Fora do DRE</v>
      </c>
      <c r="T195" s="3" t="str">
        <f>IF(ISERROR(VLOOKUP(Base_Periodo1[[#This Row],[CONTA]],BaseContasDRE[#All],5,FALSE)),"Fora do DRE",VLOOKUP(Base_Periodo1[[#This Row],[CONTA]],BaseContasDRE[#All],6,FALSE))</f>
        <v>Fora do DRE</v>
      </c>
      <c r="U195" s="3" t="str">
        <f>IF(ISERROR(VLOOKUP(Base_Periodo1[[#This Row],[CONTA]],BaseContasDRE[#All],7,FALSE)),"Fora do DRE",VLOOKUP(Base_Periodo1[[#This Row],[CONTA]],BaseContasDRE[#All],7,FALSE))</f>
        <v>Fora do DRE</v>
      </c>
      <c r="V195" s="3" t="str">
        <f>IF(Base_Periodo1[[#This Row],[Tipo_Linha]]="Fora do DRE","Fora do DRE","( "&amp;Base_Periodo1[[#This Row],[Tipo_Linha]]&amp;" ) "&amp;Base_Periodo1[[#This Row],[Filtro]])</f>
        <v>Fora do DRE</v>
      </c>
      <c r="W195" s="3" t="str">
        <f>LEFT(Base_Periodo1[[#This Row],[CLASS]],3)</f>
        <v>1.1</v>
      </c>
    </row>
    <row r="196" spans="1:23" hidden="1">
      <c r="A196" s="3" t="str">
        <f t="shared" si="2"/>
        <v>Período 1</v>
      </c>
      <c r="B196">
        <v>54147</v>
      </c>
      <c r="C196" t="s">
        <v>503</v>
      </c>
      <c r="D196" t="s">
        <v>4990</v>
      </c>
      <c r="E196" s="3" t="str">
        <f>IF(LEN(Base_Periodo1[[#This Row],[CLASS]])&gt;=7,LEFT(Base_Periodo1[[#This Row],[CLASS]],7),"")</f>
        <v>1.1.2.1</v>
      </c>
      <c r="F196" s="3" t="str">
        <f>VLOOKUP(Base_Periodo1[[#This Row],[Aux]],Base_Contas_Balanco[#All],2,FALSE)</f>
        <v>Creditos com Cooperados</v>
      </c>
      <c r="G196" s="1">
        <v>42884</v>
      </c>
      <c r="H196" s="225">
        <v>20024.399999999987</v>
      </c>
      <c r="I196" s="225">
        <v>827</v>
      </c>
      <c r="J196" s="225">
        <v>0</v>
      </c>
      <c r="K196" s="225">
        <v>20851.399999999987</v>
      </c>
      <c r="L1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20851.400000000001</v>
      </c>
      <c r="M196" s="225">
        <f>ROUND(IF(AND(Base_Periodo1[[#This Row],[Tipo_Linha]]="-",Base_Periodo1[[#This Row],[TIPOSALDO]]="D"),Base_Periodo1[[#This Row],[SALDO_ATUAL]]*-1,Base_Periodo1[[#This Row],[SALDO_ATUAL]]),4)</f>
        <v>20851.400000000001</v>
      </c>
      <c r="N196" t="s">
        <v>116</v>
      </c>
      <c r="O196" t="s">
        <v>397</v>
      </c>
      <c r="P196" t="s">
        <v>397</v>
      </c>
      <c r="Q196">
        <v>7</v>
      </c>
      <c r="R196" s="225">
        <f>Base_Periodo1[[#This Row],[CREDITOS]]-Base_Periodo1[[#This Row],[DEBITOS]]</f>
        <v>-827</v>
      </c>
      <c r="S196" s="3" t="str">
        <f>IF(ISERROR(VLOOKUP(Base_Periodo1[[#This Row],[CONTA]],BaseContasDRE[#All],4,FALSE)),"Fora do DRE",VLOOKUP(Base_Periodo1[[#This Row],[CONTA]],BaseContasDRE[#All],4,FALSE))</f>
        <v>Fora do DRE</v>
      </c>
      <c r="T196" s="3" t="str">
        <f>IF(ISERROR(VLOOKUP(Base_Periodo1[[#This Row],[CONTA]],BaseContasDRE[#All],5,FALSE)),"Fora do DRE",VLOOKUP(Base_Periodo1[[#This Row],[CONTA]],BaseContasDRE[#All],6,FALSE))</f>
        <v>Fora do DRE</v>
      </c>
      <c r="U196" s="3" t="str">
        <f>IF(ISERROR(VLOOKUP(Base_Periodo1[[#This Row],[CONTA]],BaseContasDRE[#All],7,FALSE)),"Fora do DRE",VLOOKUP(Base_Periodo1[[#This Row],[CONTA]],BaseContasDRE[#All],7,FALSE))</f>
        <v>Fora do DRE</v>
      </c>
      <c r="V196" s="3" t="str">
        <f>IF(Base_Periodo1[[#This Row],[Tipo_Linha]]="Fora do DRE","Fora do DRE","( "&amp;Base_Periodo1[[#This Row],[Tipo_Linha]]&amp;" ) "&amp;Base_Periodo1[[#This Row],[Filtro]])</f>
        <v>Fora do DRE</v>
      </c>
      <c r="W196" s="3" t="str">
        <f>LEFT(Base_Periodo1[[#This Row],[CLASS]],3)</f>
        <v>1.1</v>
      </c>
    </row>
    <row r="197" spans="1:23" hidden="1">
      <c r="A197" s="3" t="str">
        <f t="shared" si="2"/>
        <v>Período 1</v>
      </c>
      <c r="B197">
        <v>39288</v>
      </c>
      <c r="C197" t="s">
        <v>503</v>
      </c>
      <c r="D197" t="s">
        <v>5053</v>
      </c>
      <c r="E197" s="3" t="str">
        <f>IF(LEN(Base_Periodo1[[#This Row],[CLASS]])&gt;=7,LEFT(Base_Periodo1[[#This Row],[CLASS]],7),"")</f>
        <v>1.1.2.1</v>
      </c>
      <c r="F197" s="3" t="str">
        <f>VLOOKUP(Base_Periodo1[[#This Row],[Aux]],Base_Contas_Balanco[#All],2,FALSE)</f>
        <v>Creditos com Cooperados</v>
      </c>
      <c r="G197" s="1">
        <v>42864</v>
      </c>
      <c r="H197" s="225">
        <v>185.00000000000728</v>
      </c>
      <c r="I197" s="225">
        <v>0</v>
      </c>
      <c r="J197" s="225">
        <v>185</v>
      </c>
      <c r="K197" s="225">
        <v>7.2759576141834259E-12</v>
      </c>
      <c r="L1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97" s="225">
        <f>ROUND(IF(AND(Base_Periodo1[[#This Row],[Tipo_Linha]]="-",Base_Periodo1[[#This Row],[TIPOSALDO]]="D"),Base_Periodo1[[#This Row],[SALDO_ATUAL]]*-1,Base_Periodo1[[#This Row],[SALDO_ATUAL]]),4)</f>
        <v>0</v>
      </c>
      <c r="N197" t="s">
        <v>116</v>
      </c>
      <c r="O197" t="s">
        <v>397</v>
      </c>
      <c r="P197" t="s">
        <v>436</v>
      </c>
      <c r="Q197">
        <v>7</v>
      </c>
      <c r="R197" s="225">
        <f>Base_Periodo1[[#This Row],[CREDITOS]]-Base_Periodo1[[#This Row],[DEBITOS]]</f>
        <v>185</v>
      </c>
      <c r="S197" s="3" t="str">
        <f>IF(ISERROR(VLOOKUP(Base_Periodo1[[#This Row],[CONTA]],BaseContasDRE[#All],4,FALSE)),"Fora do DRE",VLOOKUP(Base_Periodo1[[#This Row],[CONTA]],BaseContasDRE[#All],4,FALSE))</f>
        <v>Fora do DRE</v>
      </c>
      <c r="T197" s="3" t="str">
        <f>IF(ISERROR(VLOOKUP(Base_Periodo1[[#This Row],[CONTA]],BaseContasDRE[#All],5,FALSE)),"Fora do DRE",VLOOKUP(Base_Periodo1[[#This Row],[CONTA]],BaseContasDRE[#All],6,FALSE))</f>
        <v>Fora do DRE</v>
      </c>
      <c r="U197" s="3" t="str">
        <f>IF(ISERROR(VLOOKUP(Base_Periodo1[[#This Row],[CONTA]],BaseContasDRE[#All],7,FALSE)),"Fora do DRE",VLOOKUP(Base_Periodo1[[#This Row],[CONTA]],BaseContasDRE[#All],7,FALSE))</f>
        <v>Fora do DRE</v>
      </c>
      <c r="V197" s="3" t="str">
        <f>IF(Base_Periodo1[[#This Row],[Tipo_Linha]]="Fora do DRE","Fora do DRE","( "&amp;Base_Periodo1[[#This Row],[Tipo_Linha]]&amp;" ) "&amp;Base_Periodo1[[#This Row],[Filtro]])</f>
        <v>Fora do DRE</v>
      </c>
      <c r="W197" s="3" t="str">
        <f>LEFT(Base_Periodo1[[#This Row],[CLASS]],3)</f>
        <v>1.1</v>
      </c>
    </row>
    <row r="198" spans="1:23" hidden="1">
      <c r="A198" s="3" t="str">
        <f t="shared" ref="A198:A261" si="3">"Período 1"</f>
        <v>Período 1</v>
      </c>
      <c r="B198">
        <v>26432</v>
      </c>
      <c r="C198" t="s">
        <v>503</v>
      </c>
      <c r="D198" t="s">
        <v>574</v>
      </c>
      <c r="E198" s="3" t="str">
        <f>IF(LEN(Base_Periodo1[[#This Row],[CLASS]])&gt;=7,LEFT(Base_Periodo1[[#This Row],[CLASS]],7),"")</f>
        <v>1.1.2.1</v>
      </c>
      <c r="F198" s="3" t="str">
        <f>VLOOKUP(Base_Periodo1[[#This Row],[Aux]],Base_Contas_Balanco[#All],2,FALSE)</f>
        <v>Creditos com Cooperados</v>
      </c>
      <c r="G198" s="1">
        <v>42874</v>
      </c>
      <c r="H198" s="225">
        <v>13901.650000000023</v>
      </c>
      <c r="I198" s="225">
        <v>1110</v>
      </c>
      <c r="J198" s="225">
        <v>0</v>
      </c>
      <c r="K198" s="225">
        <v>15011.650000000023</v>
      </c>
      <c r="L1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15011.65</v>
      </c>
      <c r="M198" s="225">
        <f>ROUND(IF(AND(Base_Periodo1[[#This Row],[Tipo_Linha]]="-",Base_Periodo1[[#This Row],[TIPOSALDO]]="D"),Base_Periodo1[[#This Row],[SALDO_ATUAL]]*-1,Base_Periodo1[[#This Row],[SALDO_ATUAL]]),4)</f>
        <v>15011.65</v>
      </c>
      <c r="N198" t="s">
        <v>116</v>
      </c>
      <c r="O198" t="s">
        <v>397</v>
      </c>
      <c r="P198" t="s">
        <v>397</v>
      </c>
      <c r="Q198">
        <v>7</v>
      </c>
      <c r="R198" s="225">
        <f>Base_Periodo1[[#This Row],[CREDITOS]]-Base_Periodo1[[#This Row],[DEBITOS]]</f>
        <v>-1110</v>
      </c>
      <c r="S198" s="3" t="str">
        <f>IF(ISERROR(VLOOKUP(Base_Periodo1[[#This Row],[CONTA]],BaseContasDRE[#All],4,FALSE)),"Fora do DRE",VLOOKUP(Base_Periodo1[[#This Row],[CONTA]],BaseContasDRE[#All],4,FALSE))</f>
        <v>Fora do DRE</v>
      </c>
      <c r="T198" s="3" t="str">
        <f>IF(ISERROR(VLOOKUP(Base_Periodo1[[#This Row],[CONTA]],BaseContasDRE[#All],5,FALSE)),"Fora do DRE",VLOOKUP(Base_Periodo1[[#This Row],[CONTA]],BaseContasDRE[#All],6,FALSE))</f>
        <v>Fora do DRE</v>
      </c>
      <c r="U198" s="3" t="str">
        <f>IF(ISERROR(VLOOKUP(Base_Periodo1[[#This Row],[CONTA]],BaseContasDRE[#All],7,FALSE)),"Fora do DRE",VLOOKUP(Base_Periodo1[[#This Row],[CONTA]],BaseContasDRE[#All],7,FALSE))</f>
        <v>Fora do DRE</v>
      </c>
      <c r="V198" s="3" t="str">
        <f>IF(Base_Periodo1[[#This Row],[Tipo_Linha]]="Fora do DRE","Fora do DRE","( "&amp;Base_Periodo1[[#This Row],[Tipo_Linha]]&amp;" ) "&amp;Base_Periodo1[[#This Row],[Filtro]])</f>
        <v>Fora do DRE</v>
      </c>
      <c r="W198" s="3" t="str">
        <f>LEFT(Base_Periodo1[[#This Row],[CLASS]],3)</f>
        <v>1.1</v>
      </c>
    </row>
    <row r="199" spans="1:23" hidden="1">
      <c r="A199" s="3" t="str">
        <f t="shared" si="3"/>
        <v>Período 1</v>
      </c>
      <c r="B199">
        <v>55096</v>
      </c>
      <c r="C199" t="s">
        <v>503</v>
      </c>
      <c r="D199" t="s">
        <v>5374</v>
      </c>
      <c r="E199" s="3" t="str">
        <f>IF(LEN(Base_Periodo1[[#This Row],[CLASS]])&gt;=7,LEFT(Base_Periodo1[[#This Row],[CLASS]],7),"")</f>
        <v>1.1.2.1</v>
      </c>
      <c r="F199" s="3" t="str">
        <f>VLOOKUP(Base_Periodo1[[#This Row],[Aux]],Base_Contas_Balanco[#All],2,FALSE)</f>
        <v>Creditos com Cooperados</v>
      </c>
      <c r="G199" s="1">
        <v>42860</v>
      </c>
      <c r="H199" s="225">
        <v>124340.77</v>
      </c>
      <c r="I199" s="225">
        <v>0</v>
      </c>
      <c r="J199" s="225">
        <v>124340.77</v>
      </c>
      <c r="K199" s="225">
        <v>0</v>
      </c>
      <c r="L1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99" s="225">
        <f>ROUND(IF(AND(Base_Periodo1[[#This Row],[Tipo_Linha]]="-",Base_Periodo1[[#This Row],[TIPOSALDO]]="D"),Base_Periodo1[[#This Row],[SALDO_ATUAL]]*-1,Base_Periodo1[[#This Row],[SALDO_ATUAL]]),4)</f>
        <v>0</v>
      </c>
      <c r="N199" t="s">
        <v>116</v>
      </c>
      <c r="O199" t="s">
        <v>397</v>
      </c>
      <c r="P199" t="s">
        <v>436</v>
      </c>
      <c r="Q199">
        <v>7</v>
      </c>
      <c r="R199" s="225">
        <f>Base_Periodo1[[#This Row],[CREDITOS]]-Base_Periodo1[[#This Row],[DEBITOS]]</f>
        <v>124340.77</v>
      </c>
      <c r="S199" s="3" t="str">
        <f>IF(ISERROR(VLOOKUP(Base_Periodo1[[#This Row],[CONTA]],BaseContasDRE[#All],4,FALSE)),"Fora do DRE",VLOOKUP(Base_Periodo1[[#This Row],[CONTA]],BaseContasDRE[#All],4,FALSE))</f>
        <v>Fora do DRE</v>
      </c>
      <c r="T199" s="3" t="str">
        <f>IF(ISERROR(VLOOKUP(Base_Periodo1[[#This Row],[CONTA]],BaseContasDRE[#All],5,FALSE)),"Fora do DRE",VLOOKUP(Base_Periodo1[[#This Row],[CONTA]],BaseContasDRE[#All],6,FALSE))</f>
        <v>Fora do DRE</v>
      </c>
      <c r="U199" s="3" t="str">
        <f>IF(ISERROR(VLOOKUP(Base_Periodo1[[#This Row],[CONTA]],BaseContasDRE[#All],7,FALSE)),"Fora do DRE",VLOOKUP(Base_Periodo1[[#This Row],[CONTA]],BaseContasDRE[#All],7,FALSE))</f>
        <v>Fora do DRE</v>
      </c>
      <c r="V199" s="3" t="str">
        <f>IF(Base_Periodo1[[#This Row],[Tipo_Linha]]="Fora do DRE","Fora do DRE","( "&amp;Base_Periodo1[[#This Row],[Tipo_Linha]]&amp;" ) "&amp;Base_Periodo1[[#This Row],[Filtro]])</f>
        <v>Fora do DRE</v>
      </c>
      <c r="W199" s="3" t="str">
        <f>LEFT(Base_Periodo1[[#This Row],[CLASS]],3)</f>
        <v>1.1</v>
      </c>
    </row>
    <row r="200" spans="1:23" hidden="1">
      <c r="A200" s="3" t="str">
        <f t="shared" si="3"/>
        <v>Período 1</v>
      </c>
      <c r="B200">
        <v>3260</v>
      </c>
      <c r="C200" t="s">
        <v>503</v>
      </c>
      <c r="D200" t="s">
        <v>575</v>
      </c>
      <c r="E200" s="3" t="str">
        <f>IF(LEN(Base_Periodo1[[#This Row],[CLASS]])&gt;=7,LEFT(Base_Periodo1[[#This Row],[CLASS]],7),"")</f>
        <v>1.1.2.1</v>
      </c>
      <c r="F200" s="3" t="str">
        <f>VLOOKUP(Base_Periodo1[[#This Row],[Aux]],Base_Contas_Balanco[#All],2,FALSE)</f>
        <v>Creditos com Cooperados</v>
      </c>
      <c r="G200" s="1">
        <v>42863</v>
      </c>
      <c r="H200" s="225">
        <v>174000.86999999976</v>
      </c>
      <c r="I200" s="225">
        <v>12294.77</v>
      </c>
      <c r="J200" s="225">
        <v>101839.60999999999</v>
      </c>
      <c r="K200" s="225">
        <v>84456.029999999766</v>
      </c>
      <c r="L2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84456.03</v>
      </c>
      <c r="M200" s="225">
        <f>ROUND(IF(AND(Base_Periodo1[[#This Row],[Tipo_Linha]]="-",Base_Periodo1[[#This Row],[TIPOSALDO]]="D"),Base_Periodo1[[#This Row],[SALDO_ATUAL]]*-1,Base_Periodo1[[#This Row],[SALDO_ATUAL]]),4)</f>
        <v>84456.03</v>
      </c>
      <c r="N200" t="s">
        <v>116</v>
      </c>
      <c r="O200" t="s">
        <v>397</v>
      </c>
      <c r="P200" t="s">
        <v>397</v>
      </c>
      <c r="Q200">
        <v>7</v>
      </c>
      <c r="R200" s="225">
        <f>Base_Periodo1[[#This Row],[CREDITOS]]-Base_Periodo1[[#This Row],[DEBITOS]]</f>
        <v>89544.839999999982</v>
      </c>
      <c r="S200" s="3" t="str">
        <f>IF(ISERROR(VLOOKUP(Base_Periodo1[[#This Row],[CONTA]],BaseContasDRE[#All],4,FALSE)),"Fora do DRE",VLOOKUP(Base_Periodo1[[#This Row],[CONTA]],BaseContasDRE[#All],4,FALSE))</f>
        <v>Fora do DRE</v>
      </c>
      <c r="T200" s="3" t="str">
        <f>IF(ISERROR(VLOOKUP(Base_Periodo1[[#This Row],[CONTA]],BaseContasDRE[#All],5,FALSE)),"Fora do DRE",VLOOKUP(Base_Periodo1[[#This Row],[CONTA]],BaseContasDRE[#All],6,FALSE))</f>
        <v>Fora do DRE</v>
      </c>
      <c r="U200" s="3" t="str">
        <f>IF(ISERROR(VLOOKUP(Base_Periodo1[[#This Row],[CONTA]],BaseContasDRE[#All],7,FALSE)),"Fora do DRE",VLOOKUP(Base_Periodo1[[#This Row],[CONTA]],BaseContasDRE[#All],7,FALSE))</f>
        <v>Fora do DRE</v>
      </c>
      <c r="V200" s="3" t="str">
        <f>IF(Base_Periodo1[[#This Row],[Tipo_Linha]]="Fora do DRE","Fora do DRE","( "&amp;Base_Periodo1[[#This Row],[Tipo_Linha]]&amp;" ) "&amp;Base_Periodo1[[#This Row],[Filtro]])</f>
        <v>Fora do DRE</v>
      </c>
      <c r="W200" s="3" t="str">
        <f>LEFT(Base_Periodo1[[#This Row],[CLASS]],3)</f>
        <v>1.1</v>
      </c>
    </row>
    <row r="201" spans="1:23" hidden="1">
      <c r="A201" s="3" t="str">
        <f t="shared" si="3"/>
        <v>Período 1</v>
      </c>
      <c r="B201">
        <v>46955</v>
      </c>
      <c r="C201" t="s">
        <v>503</v>
      </c>
      <c r="D201" t="s">
        <v>5133</v>
      </c>
      <c r="E201" s="3" t="str">
        <f>IF(LEN(Base_Periodo1[[#This Row],[CLASS]])&gt;=7,LEFT(Base_Periodo1[[#This Row],[CLASS]],7),"")</f>
        <v>1.1.2.1</v>
      </c>
      <c r="F201" s="3" t="str">
        <f>VLOOKUP(Base_Periodo1[[#This Row],[Aux]],Base_Contas_Balanco[#All],2,FALSE)</f>
        <v>Creditos com Cooperados</v>
      </c>
      <c r="G201" s="1">
        <v>42861</v>
      </c>
      <c r="H201" s="225">
        <v>6303.9999999999854</v>
      </c>
      <c r="I201" s="225">
        <v>865</v>
      </c>
      <c r="J201" s="225">
        <v>0</v>
      </c>
      <c r="K201" s="225">
        <v>7168.9999999999854</v>
      </c>
      <c r="L2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7169</v>
      </c>
      <c r="M201" s="225">
        <f>ROUND(IF(AND(Base_Periodo1[[#This Row],[Tipo_Linha]]="-",Base_Periodo1[[#This Row],[TIPOSALDO]]="D"),Base_Periodo1[[#This Row],[SALDO_ATUAL]]*-1,Base_Periodo1[[#This Row],[SALDO_ATUAL]]),4)</f>
        <v>7169</v>
      </c>
      <c r="N201" t="s">
        <v>116</v>
      </c>
      <c r="O201" t="s">
        <v>397</v>
      </c>
      <c r="P201" t="s">
        <v>397</v>
      </c>
      <c r="Q201">
        <v>7</v>
      </c>
      <c r="R201" s="225">
        <f>Base_Periodo1[[#This Row],[CREDITOS]]-Base_Periodo1[[#This Row],[DEBITOS]]</f>
        <v>-865</v>
      </c>
      <c r="S201" s="3" t="str">
        <f>IF(ISERROR(VLOOKUP(Base_Periodo1[[#This Row],[CONTA]],BaseContasDRE[#All],4,FALSE)),"Fora do DRE",VLOOKUP(Base_Periodo1[[#This Row],[CONTA]],BaseContasDRE[#All],4,FALSE))</f>
        <v>Fora do DRE</v>
      </c>
      <c r="T201" s="3" t="str">
        <f>IF(ISERROR(VLOOKUP(Base_Periodo1[[#This Row],[CONTA]],BaseContasDRE[#All],5,FALSE)),"Fora do DRE",VLOOKUP(Base_Periodo1[[#This Row],[CONTA]],BaseContasDRE[#All],6,FALSE))</f>
        <v>Fora do DRE</v>
      </c>
      <c r="U201" s="3" t="str">
        <f>IF(ISERROR(VLOOKUP(Base_Periodo1[[#This Row],[CONTA]],BaseContasDRE[#All],7,FALSE)),"Fora do DRE",VLOOKUP(Base_Periodo1[[#This Row],[CONTA]],BaseContasDRE[#All],7,FALSE))</f>
        <v>Fora do DRE</v>
      </c>
      <c r="V201" s="3" t="str">
        <f>IF(Base_Periodo1[[#This Row],[Tipo_Linha]]="Fora do DRE","Fora do DRE","( "&amp;Base_Periodo1[[#This Row],[Tipo_Linha]]&amp;" ) "&amp;Base_Periodo1[[#This Row],[Filtro]])</f>
        <v>Fora do DRE</v>
      </c>
      <c r="W201" s="3" t="str">
        <f>LEFT(Base_Periodo1[[#This Row],[CLASS]],3)</f>
        <v>1.1</v>
      </c>
    </row>
    <row r="202" spans="1:23" hidden="1">
      <c r="A202" s="3" t="str">
        <f t="shared" si="3"/>
        <v>Período 1</v>
      </c>
      <c r="B202">
        <v>3252</v>
      </c>
      <c r="C202" t="s">
        <v>503</v>
      </c>
      <c r="D202" t="s">
        <v>576</v>
      </c>
      <c r="E202" s="3" t="str">
        <f>IF(LEN(Base_Periodo1[[#This Row],[CLASS]])&gt;=7,LEFT(Base_Periodo1[[#This Row],[CLASS]],7),"")</f>
        <v>1.1.2.1</v>
      </c>
      <c r="F202" s="3" t="str">
        <f>VLOOKUP(Base_Periodo1[[#This Row],[Aux]],Base_Contas_Balanco[#All],2,FALSE)</f>
        <v>Creditos com Cooperados</v>
      </c>
      <c r="G202" s="1">
        <v>42870</v>
      </c>
      <c r="H202" s="225">
        <v>1927.2600000000675</v>
      </c>
      <c r="I202" s="225">
        <v>69.55</v>
      </c>
      <c r="J202" s="225">
        <v>0</v>
      </c>
      <c r="K202" s="225">
        <v>1996.8100000000675</v>
      </c>
      <c r="L2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1996.81</v>
      </c>
      <c r="M202" s="225">
        <f>ROUND(IF(AND(Base_Periodo1[[#This Row],[Tipo_Linha]]="-",Base_Periodo1[[#This Row],[TIPOSALDO]]="D"),Base_Periodo1[[#This Row],[SALDO_ATUAL]]*-1,Base_Periodo1[[#This Row],[SALDO_ATUAL]]),4)</f>
        <v>1996.81</v>
      </c>
      <c r="N202" t="s">
        <v>116</v>
      </c>
      <c r="O202" t="s">
        <v>397</v>
      </c>
      <c r="P202" t="s">
        <v>397</v>
      </c>
      <c r="Q202">
        <v>7</v>
      </c>
      <c r="R202" s="225">
        <f>Base_Periodo1[[#This Row],[CREDITOS]]-Base_Periodo1[[#This Row],[DEBITOS]]</f>
        <v>-69.55</v>
      </c>
      <c r="S202" s="3" t="str">
        <f>IF(ISERROR(VLOOKUP(Base_Periodo1[[#This Row],[CONTA]],BaseContasDRE[#All],4,FALSE)),"Fora do DRE",VLOOKUP(Base_Periodo1[[#This Row],[CONTA]],BaseContasDRE[#All],4,FALSE))</f>
        <v>Fora do DRE</v>
      </c>
      <c r="T202" s="3" t="str">
        <f>IF(ISERROR(VLOOKUP(Base_Periodo1[[#This Row],[CONTA]],BaseContasDRE[#All],5,FALSE)),"Fora do DRE",VLOOKUP(Base_Periodo1[[#This Row],[CONTA]],BaseContasDRE[#All],6,FALSE))</f>
        <v>Fora do DRE</v>
      </c>
      <c r="U202" s="3" t="str">
        <f>IF(ISERROR(VLOOKUP(Base_Periodo1[[#This Row],[CONTA]],BaseContasDRE[#All],7,FALSE)),"Fora do DRE",VLOOKUP(Base_Periodo1[[#This Row],[CONTA]],BaseContasDRE[#All],7,FALSE))</f>
        <v>Fora do DRE</v>
      </c>
      <c r="V202" s="3" t="str">
        <f>IF(Base_Periodo1[[#This Row],[Tipo_Linha]]="Fora do DRE","Fora do DRE","( "&amp;Base_Periodo1[[#This Row],[Tipo_Linha]]&amp;" ) "&amp;Base_Periodo1[[#This Row],[Filtro]])</f>
        <v>Fora do DRE</v>
      </c>
      <c r="W202" s="3" t="str">
        <f>LEFT(Base_Periodo1[[#This Row],[CLASS]],3)</f>
        <v>1.1</v>
      </c>
    </row>
    <row r="203" spans="1:23" hidden="1">
      <c r="A203" s="3" t="str">
        <f t="shared" si="3"/>
        <v>Período 1</v>
      </c>
      <c r="B203">
        <v>25265</v>
      </c>
      <c r="C203" t="s">
        <v>503</v>
      </c>
      <c r="D203" t="s">
        <v>5134</v>
      </c>
      <c r="E203" s="3" t="str">
        <f>IF(LEN(Base_Periodo1[[#This Row],[CLASS]])&gt;=7,LEFT(Base_Periodo1[[#This Row],[CLASS]],7),"")</f>
        <v>1.1.2.1</v>
      </c>
      <c r="F203" s="3" t="str">
        <f>VLOOKUP(Base_Periodo1[[#This Row],[Aux]],Base_Contas_Balanco[#All],2,FALSE)</f>
        <v>Creditos com Cooperados</v>
      </c>
      <c r="G203" s="1">
        <v>42858</v>
      </c>
      <c r="H203" s="225">
        <v>0.29999999998835847</v>
      </c>
      <c r="I203" s="225">
        <v>654.5</v>
      </c>
      <c r="J203" s="225">
        <v>0</v>
      </c>
      <c r="K203" s="225">
        <v>654.79999999998836</v>
      </c>
      <c r="L2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654.79999999999995</v>
      </c>
      <c r="M203" s="225">
        <f>ROUND(IF(AND(Base_Periodo1[[#This Row],[Tipo_Linha]]="-",Base_Periodo1[[#This Row],[TIPOSALDO]]="D"),Base_Periodo1[[#This Row],[SALDO_ATUAL]]*-1,Base_Periodo1[[#This Row],[SALDO_ATUAL]]),4)</f>
        <v>654.79999999999995</v>
      </c>
      <c r="N203" t="s">
        <v>116</v>
      </c>
      <c r="O203" t="s">
        <v>397</v>
      </c>
      <c r="P203" t="s">
        <v>397</v>
      </c>
      <c r="Q203">
        <v>7</v>
      </c>
      <c r="R203" s="225">
        <f>Base_Periodo1[[#This Row],[CREDITOS]]-Base_Periodo1[[#This Row],[DEBITOS]]</f>
        <v>-654.5</v>
      </c>
      <c r="S203" s="3" t="str">
        <f>IF(ISERROR(VLOOKUP(Base_Periodo1[[#This Row],[CONTA]],BaseContasDRE[#All],4,FALSE)),"Fora do DRE",VLOOKUP(Base_Periodo1[[#This Row],[CONTA]],BaseContasDRE[#All],4,FALSE))</f>
        <v>Fora do DRE</v>
      </c>
      <c r="T203" s="3" t="str">
        <f>IF(ISERROR(VLOOKUP(Base_Periodo1[[#This Row],[CONTA]],BaseContasDRE[#All],5,FALSE)),"Fora do DRE",VLOOKUP(Base_Periodo1[[#This Row],[CONTA]],BaseContasDRE[#All],6,FALSE))</f>
        <v>Fora do DRE</v>
      </c>
      <c r="U203" s="3" t="str">
        <f>IF(ISERROR(VLOOKUP(Base_Periodo1[[#This Row],[CONTA]],BaseContasDRE[#All],7,FALSE)),"Fora do DRE",VLOOKUP(Base_Periodo1[[#This Row],[CONTA]],BaseContasDRE[#All],7,FALSE))</f>
        <v>Fora do DRE</v>
      </c>
      <c r="V203" s="3" t="str">
        <f>IF(Base_Periodo1[[#This Row],[Tipo_Linha]]="Fora do DRE","Fora do DRE","( "&amp;Base_Periodo1[[#This Row],[Tipo_Linha]]&amp;" ) "&amp;Base_Periodo1[[#This Row],[Filtro]])</f>
        <v>Fora do DRE</v>
      </c>
      <c r="W203" s="3" t="str">
        <f>LEFT(Base_Periodo1[[#This Row],[CLASS]],3)</f>
        <v>1.1</v>
      </c>
    </row>
    <row r="204" spans="1:23" hidden="1">
      <c r="A204" s="3" t="str">
        <f t="shared" si="3"/>
        <v>Período 1</v>
      </c>
      <c r="B204">
        <v>3704</v>
      </c>
      <c r="C204" t="s">
        <v>503</v>
      </c>
      <c r="D204" t="s">
        <v>5135</v>
      </c>
      <c r="E204" s="3" t="str">
        <f>IF(LEN(Base_Periodo1[[#This Row],[CLASS]])&gt;=7,LEFT(Base_Periodo1[[#This Row],[CLASS]],7),"")</f>
        <v>1.1.2.1</v>
      </c>
      <c r="F204" s="3" t="str">
        <f>VLOOKUP(Base_Periodo1[[#This Row],[Aux]],Base_Contas_Balanco[#All],2,FALSE)</f>
        <v>Creditos com Cooperados</v>
      </c>
      <c r="G204" s="1">
        <v>42863</v>
      </c>
      <c r="H204" s="225">
        <v>3919.9999999998836</v>
      </c>
      <c r="I204" s="225">
        <v>3814.74</v>
      </c>
      <c r="J204" s="225">
        <v>1907.37</v>
      </c>
      <c r="K204" s="225">
        <v>5827.3699999998835</v>
      </c>
      <c r="L2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5827.37</v>
      </c>
      <c r="M204" s="225">
        <f>ROUND(IF(AND(Base_Periodo1[[#This Row],[Tipo_Linha]]="-",Base_Periodo1[[#This Row],[TIPOSALDO]]="D"),Base_Periodo1[[#This Row],[SALDO_ATUAL]]*-1,Base_Periodo1[[#This Row],[SALDO_ATUAL]]),4)</f>
        <v>5827.37</v>
      </c>
      <c r="N204" t="s">
        <v>116</v>
      </c>
      <c r="O204" t="s">
        <v>397</v>
      </c>
      <c r="P204" t="s">
        <v>397</v>
      </c>
      <c r="Q204">
        <v>7</v>
      </c>
      <c r="R204" s="225">
        <f>Base_Periodo1[[#This Row],[CREDITOS]]-Base_Periodo1[[#This Row],[DEBITOS]]</f>
        <v>-1907.37</v>
      </c>
      <c r="S204" s="3" t="str">
        <f>IF(ISERROR(VLOOKUP(Base_Periodo1[[#This Row],[CONTA]],BaseContasDRE[#All],4,FALSE)),"Fora do DRE",VLOOKUP(Base_Periodo1[[#This Row],[CONTA]],BaseContasDRE[#All],4,FALSE))</f>
        <v>Fora do DRE</v>
      </c>
      <c r="T204" s="3" t="str">
        <f>IF(ISERROR(VLOOKUP(Base_Periodo1[[#This Row],[CONTA]],BaseContasDRE[#All],5,FALSE)),"Fora do DRE",VLOOKUP(Base_Periodo1[[#This Row],[CONTA]],BaseContasDRE[#All],6,FALSE))</f>
        <v>Fora do DRE</v>
      </c>
      <c r="U204" s="3" t="str">
        <f>IF(ISERROR(VLOOKUP(Base_Periodo1[[#This Row],[CONTA]],BaseContasDRE[#All],7,FALSE)),"Fora do DRE",VLOOKUP(Base_Periodo1[[#This Row],[CONTA]],BaseContasDRE[#All],7,FALSE))</f>
        <v>Fora do DRE</v>
      </c>
      <c r="V204" s="3" t="str">
        <f>IF(Base_Periodo1[[#This Row],[Tipo_Linha]]="Fora do DRE","Fora do DRE","( "&amp;Base_Periodo1[[#This Row],[Tipo_Linha]]&amp;" ) "&amp;Base_Periodo1[[#This Row],[Filtro]])</f>
        <v>Fora do DRE</v>
      </c>
      <c r="W204" s="3" t="str">
        <f>LEFT(Base_Periodo1[[#This Row],[CLASS]],3)</f>
        <v>1.1</v>
      </c>
    </row>
    <row r="205" spans="1:23" hidden="1">
      <c r="A205" s="3" t="str">
        <f t="shared" si="3"/>
        <v>Período 1</v>
      </c>
      <c r="B205">
        <v>47151</v>
      </c>
      <c r="C205" t="s">
        <v>503</v>
      </c>
      <c r="D205" t="s">
        <v>577</v>
      </c>
      <c r="E205" s="3" t="str">
        <f>IF(LEN(Base_Periodo1[[#This Row],[CLASS]])&gt;=7,LEFT(Base_Periodo1[[#This Row],[CLASS]],7),"")</f>
        <v>1.1.2.1</v>
      </c>
      <c r="F205" s="3" t="str">
        <f>VLOOKUP(Base_Periodo1[[#This Row],[Aux]],Base_Contas_Balanco[#All],2,FALSE)</f>
        <v>Creditos com Cooperados</v>
      </c>
      <c r="G205" s="1">
        <v>42864</v>
      </c>
      <c r="H205" s="225">
        <v>630.78000000008615</v>
      </c>
      <c r="I205" s="225">
        <v>835.28</v>
      </c>
      <c r="J205" s="225">
        <v>835.28</v>
      </c>
      <c r="K205" s="225">
        <v>630.78000000008615</v>
      </c>
      <c r="L2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630.78</v>
      </c>
      <c r="M205" s="225">
        <f>ROUND(IF(AND(Base_Periodo1[[#This Row],[Tipo_Linha]]="-",Base_Periodo1[[#This Row],[TIPOSALDO]]="D"),Base_Periodo1[[#This Row],[SALDO_ATUAL]]*-1,Base_Periodo1[[#This Row],[SALDO_ATUAL]]),4)</f>
        <v>630.78</v>
      </c>
      <c r="N205" t="s">
        <v>116</v>
      </c>
      <c r="O205" t="s">
        <v>397</v>
      </c>
      <c r="P205" t="s">
        <v>397</v>
      </c>
      <c r="Q205">
        <v>7</v>
      </c>
      <c r="R205" s="225">
        <f>Base_Periodo1[[#This Row],[CREDITOS]]-Base_Periodo1[[#This Row],[DEBITOS]]</f>
        <v>0</v>
      </c>
      <c r="S205" s="3" t="str">
        <f>IF(ISERROR(VLOOKUP(Base_Periodo1[[#This Row],[CONTA]],BaseContasDRE[#All],4,FALSE)),"Fora do DRE",VLOOKUP(Base_Periodo1[[#This Row],[CONTA]],BaseContasDRE[#All],4,FALSE))</f>
        <v>Fora do DRE</v>
      </c>
      <c r="T205" s="3" t="str">
        <f>IF(ISERROR(VLOOKUP(Base_Periodo1[[#This Row],[CONTA]],BaseContasDRE[#All],5,FALSE)),"Fora do DRE",VLOOKUP(Base_Periodo1[[#This Row],[CONTA]],BaseContasDRE[#All],6,FALSE))</f>
        <v>Fora do DRE</v>
      </c>
      <c r="U205" s="3" t="str">
        <f>IF(ISERROR(VLOOKUP(Base_Periodo1[[#This Row],[CONTA]],BaseContasDRE[#All],7,FALSE)),"Fora do DRE",VLOOKUP(Base_Periodo1[[#This Row],[CONTA]],BaseContasDRE[#All],7,FALSE))</f>
        <v>Fora do DRE</v>
      </c>
      <c r="V205" s="3" t="str">
        <f>IF(Base_Periodo1[[#This Row],[Tipo_Linha]]="Fora do DRE","Fora do DRE","( "&amp;Base_Periodo1[[#This Row],[Tipo_Linha]]&amp;" ) "&amp;Base_Periodo1[[#This Row],[Filtro]])</f>
        <v>Fora do DRE</v>
      </c>
      <c r="W205" s="3" t="str">
        <f>LEFT(Base_Periodo1[[#This Row],[CLASS]],3)</f>
        <v>1.1</v>
      </c>
    </row>
    <row r="206" spans="1:23" hidden="1">
      <c r="A206" s="3" t="str">
        <f t="shared" si="3"/>
        <v>Período 1</v>
      </c>
      <c r="B206">
        <v>16520</v>
      </c>
      <c r="C206" t="s">
        <v>503</v>
      </c>
      <c r="D206" t="s">
        <v>4991</v>
      </c>
      <c r="E206" s="3" t="str">
        <f>IF(LEN(Base_Periodo1[[#This Row],[CLASS]])&gt;=7,LEFT(Base_Periodo1[[#This Row],[CLASS]],7),"")</f>
        <v>1.1.2.1</v>
      </c>
      <c r="F206" s="3" t="str">
        <f>VLOOKUP(Base_Periodo1[[#This Row],[Aux]],Base_Contas_Balanco[#All],2,FALSE)</f>
        <v>Creditos com Cooperados</v>
      </c>
      <c r="G206" s="1">
        <v>42853</v>
      </c>
      <c r="H206" s="225">
        <v>1633.4000000000233</v>
      </c>
      <c r="I206" s="225">
        <v>0</v>
      </c>
      <c r="J206" s="225">
        <v>0</v>
      </c>
      <c r="K206" s="225">
        <v>1633.4000000000233</v>
      </c>
      <c r="L2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1633.4</v>
      </c>
      <c r="M206" s="225">
        <f>ROUND(IF(AND(Base_Periodo1[[#This Row],[Tipo_Linha]]="-",Base_Periodo1[[#This Row],[TIPOSALDO]]="D"),Base_Periodo1[[#This Row],[SALDO_ATUAL]]*-1,Base_Periodo1[[#This Row],[SALDO_ATUAL]]),4)</f>
        <v>1633.4</v>
      </c>
      <c r="N206" t="s">
        <v>116</v>
      </c>
      <c r="O206" t="s">
        <v>397</v>
      </c>
      <c r="P206" t="s">
        <v>397</v>
      </c>
      <c r="Q206">
        <v>7</v>
      </c>
      <c r="R206" s="225">
        <f>Base_Periodo1[[#This Row],[CREDITOS]]-Base_Periodo1[[#This Row],[DEBITOS]]</f>
        <v>0</v>
      </c>
      <c r="S206" s="3" t="str">
        <f>IF(ISERROR(VLOOKUP(Base_Periodo1[[#This Row],[CONTA]],BaseContasDRE[#All],4,FALSE)),"Fora do DRE",VLOOKUP(Base_Periodo1[[#This Row],[CONTA]],BaseContasDRE[#All],4,FALSE))</f>
        <v>Fora do DRE</v>
      </c>
      <c r="T206" s="3" t="str">
        <f>IF(ISERROR(VLOOKUP(Base_Periodo1[[#This Row],[CONTA]],BaseContasDRE[#All],5,FALSE)),"Fora do DRE",VLOOKUP(Base_Periodo1[[#This Row],[CONTA]],BaseContasDRE[#All],6,FALSE))</f>
        <v>Fora do DRE</v>
      </c>
      <c r="U206" s="3" t="str">
        <f>IF(ISERROR(VLOOKUP(Base_Periodo1[[#This Row],[CONTA]],BaseContasDRE[#All],7,FALSE)),"Fora do DRE",VLOOKUP(Base_Periodo1[[#This Row],[CONTA]],BaseContasDRE[#All],7,FALSE))</f>
        <v>Fora do DRE</v>
      </c>
      <c r="V206" s="3" t="str">
        <f>IF(Base_Periodo1[[#This Row],[Tipo_Linha]]="Fora do DRE","Fora do DRE","( "&amp;Base_Periodo1[[#This Row],[Tipo_Linha]]&amp;" ) "&amp;Base_Periodo1[[#This Row],[Filtro]])</f>
        <v>Fora do DRE</v>
      </c>
      <c r="W206" s="3" t="str">
        <f>LEFT(Base_Periodo1[[#This Row],[CLASS]],3)</f>
        <v>1.1</v>
      </c>
    </row>
    <row r="207" spans="1:23" hidden="1">
      <c r="A207" s="3" t="str">
        <f t="shared" si="3"/>
        <v>Período 1</v>
      </c>
      <c r="B207">
        <v>47226</v>
      </c>
      <c r="C207" t="s">
        <v>503</v>
      </c>
      <c r="D207" t="s">
        <v>6703</v>
      </c>
      <c r="E207" s="3" t="str">
        <f>IF(LEN(Base_Periodo1[[#This Row],[CLASS]])&gt;=7,LEFT(Base_Periodo1[[#This Row],[CLASS]],7),"")</f>
        <v>1.1.2.1</v>
      </c>
      <c r="F207" s="3" t="str">
        <f>VLOOKUP(Base_Periodo1[[#This Row],[Aux]],Base_Contas_Balanco[#All],2,FALSE)</f>
        <v>Creditos com Cooperados</v>
      </c>
      <c r="G207" s="1">
        <v>42863</v>
      </c>
      <c r="I207" s="225">
        <v>1307</v>
      </c>
      <c r="J207" s="225">
        <v>0</v>
      </c>
      <c r="K207" s="225">
        <v>1307.0000000000073</v>
      </c>
      <c r="L2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1307</v>
      </c>
      <c r="M207" s="225">
        <f>ROUND(IF(AND(Base_Periodo1[[#This Row],[Tipo_Linha]]="-",Base_Periodo1[[#This Row],[TIPOSALDO]]="D"),Base_Periodo1[[#This Row],[SALDO_ATUAL]]*-1,Base_Periodo1[[#This Row],[SALDO_ATUAL]]),4)</f>
        <v>1307</v>
      </c>
      <c r="N207" t="s">
        <v>116</v>
      </c>
      <c r="O207" t="s">
        <v>436</v>
      </c>
      <c r="P207" t="s">
        <v>397</v>
      </c>
      <c r="Q207">
        <v>7</v>
      </c>
      <c r="R207" s="225">
        <f>Base_Periodo1[[#This Row],[CREDITOS]]-Base_Periodo1[[#This Row],[DEBITOS]]</f>
        <v>-1307</v>
      </c>
      <c r="S207" s="3" t="str">
        <f>IF(ISERROR(VLOOKUP(Base_Periodo1[[#This Row],[CONTA]],BaseContasDRE[#All],4,FALSE)),"Fora do DRE",VLOOKUP(Base_Periodo1[[#This Row],[CONTA]],BaseContasDRE[#All],4,FALSE))</f>
        <v>Fora do DRE</v>
      </c>
      <c r="T207" s="3" t="str">
        <f>IF(ISERROR(VLOOKUP(Base_Periodo1[[#This Row],[CONTA]],BaseContasDRE[#All],5,FALSE)),"Fora do DRE",VLOOKUP(Base_Periodo1[[#This Row],[CONTA]],BaseContasDRE[#All],6,FALSE))</f>
        <v>Fora do DRE</v>
      </c>
      <c r="U207" s="3" t="str">
        <f>IF(ISERROR(VLOOKUP(Base_Periodo1[[#This Row],[CONTA]],BaseContasDRE[#All],7,FALSE)),"Fora do DRE",VLOOKUP(Base_Periodo1[[#This Row],[CONTA]],BaseContasDRE[#All],7,FALSE))</f>
        <v>Fora do DRE</v>
      </c>
      <c r="V207" s="3" t="str">
        <f>IF(Base_Periodo1[[#This Row],[Tipo_Linha]]="Fora do DRE","Fora do DRE","( "&amp;Base_Periodo1[[#This Row],[Tipo_Linha]]&amp;" ) "&amp;Base_Periodo1[[#This Row],[Filtro]])</f>
        <v>Fora do DRE</v>
      </c>
      <c r="W207" s="3" t="str">
        <f>LEFT(Base_Periodo1[[#This Row],[CLASS]],3)</f>
        <v>1.1</v>
      </c>
    </row>
    <row r="208" spans="1:23" hidden="1">
      <c r="A208" s="3" t="str">
        <f t="shared" si="3"/>
        <v>Período 1</v>
      </c>
      <c r="B208">
        <v>4820</v>
      </c>
      <c r="C208" t="s">
        <v>503</v>
      </c>
      <c r="D208" t="s">
        <v>578</v>
      </c>
      <c r="E208" s="3" t="str">
        <f>IF(LEN(Base_Periodo1[[#This Row],[CLASS]])&gt;=7,LEFT(Base_Periodo1[[#This Row],[CLASS]],7),"")</f>
        <v>1.1.2.1</v>
      </c>
      <c r="F208" s="3" t="str">
        <f>VLOOKUP(Base_Periodo1[[#This Row],[Aux]],Base_Contas_Balanco[#All],2,FALSE)</f>
        <v>Creditos com Cooperados</v>
      </c>
      <c r="G208" s="1">
        <v>42884</v>
      </c>
      <c r="H208" s="225">
        <v>91807.900000000838</v>
      </c>
      <c r="I208" s="225">
        <v>1931.19</v>
      </c>
      <c r="J208" s="225">
        <v>73751.11</v>
      </c>
      <c r="K208" s="225">
        <v>19987.98000000084</v>
      </c>
      <c r="L2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19987.98</v>
      </c>
      <c r="M208" s="225">
        <f>ROUND(IF(AND(Base_Periodo1[[#This Row],[Tipo_Linha]]="-",Base_Periodo1[[#This Row],[TIPOSALDO]]="D"),Base_Periodo1[[#This Row],[SALDO_ATUAL]]*-1,Base_Periodo1[[#This Row],[SALDO_ATUAL]]),4)</f>
        <v>19987.98</v>
      </c>
      <c r="N208" t="s">
        <v>116</v>
      </c>
      <c r="O208" t="s">
        <v>397</v>
      </c>
      <c r="P208" t="s">
        <v>397</v>
      </c>
      <c r="Q208">
        <v>7</v>
      </c>
      <c r="R208" s="225">
        <f>Base_Periodo1[[#This Row],[CREDITOS]]-Base_Periodo1[[#This Row],[DEBITOS]]</f>
        <v>71819.92</v>
      </c>
      <c r="S208" s="3" t="str">
        <f>IF(ISERROR(VLOOKUP(Base_Periodo1[[#This Row],[CONTA]],BaseContasDRE[#All],4,FALSE)),"Fora do DRE",VLOOKUP(Base_Periodo1[[#This Row],[CONTA]],BaseContasDRE[#All],4,FALSE))</f>
        <v>Fora do DRE</v>
      </c>
      <c r="T208" s="3" t="str">
        <f>IF(ISERROR(VLOOKUP(Base_Periodo1[[#This Row],[CONTA]],BaseContasDRE[#All],5,FALSE)),"Fora do DRE",VLOOKUP(Base_Periodo1[[#This Row],[CONTA]],BaseContasDRE[#All],6,FALSE))</f>
        <v>Fora do DRE</v>
      </c>
      <c r="U208" s="3" t="str">
        <f>IF(ISERROR(VLOOKUP(Base_Periodo1[[#This Row],[CONTA]],BaseContasDRE[#All],7,FALSE)),"Fora do DRE",VLOOKUP(Base_Periodo1[[#This Row],[CONTA]],BaseContasDRE[#All],7,FALSE))</f>
        <v>Fora do DRE</v>
      </c>
      <c r="V208" s="3" t="str">
        <f>IF(Base_Periodo1[[#This Row],[Tipo_Linha]]="Fora do DRE","Fora do DRE","( "&amp;Base_Periodo1[[#This Row],[Tipo_Linha]]&amp;" ) "&amp;Base_Periodo1[[#This Row],[Filtro]])</f>
        <v>Fora do DRE</v>
      </c>
      <c r="W208" s="3" t="str">
        <f>LEFT(Base_Periodo1[[#This Row],[CLASS]],3)</f>
        <v>1.1</v>
      </c>
    </row>
    <row r="209" spans="1:23" hidden="1">
      <c r="A209" s="3" t="str">
        <f t="shared" si="3"/>
        <v>Período 1</v>
      </c>
      <c r="B209">
        <v>2944</v>
      </c>
      <c r="C209" t="s">
        <v>503</v>
      </c>
      <c r="D209" t="s">
        <v>6118</v>
      </c>
      <c r="E209" s="3" t="str">
        <f>IF(LEN(Base_Periodo1[[#This Row],[CLASS]])&gt;=7,LEFT(Base_Periodo1[[#This Row],[CLASS]],7),"")</f>
        <v>1.1.2.1</v>
      </c>
      <c r="F209" s="3" t="str">
        <f>VLOOKUP(Base_Periodo1[[#This Row],[Aux]],Base_Contas_Balanco[#All],2,FALSE)</f>
        <v>Creditos com Cooperados</v>
      </c>
      <c r="G209" s="1">
        <v>42859</v>
      </c>
      <c r="I209" s="225">
        <v>63</v>
      </c>
      <c r="J209" s="225">
        <v>0</v>
      </c>
      <c r="K209" s="225">
        <v>62.999999999985448</v>
      </c>
      <c r="L2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</v>
      </c>
      <c r="M209" s="225">
        <f>ROUND(IF(AND(Base_Periodo1[[#This Row],[Tipo_Linha]]="-",Base_Periodo1[[#This Row],[TIPOSALDO]]="D"),Base_Periodo1[[#This Row],[SALDO_ATUAL]]*-1,Base_Periodo1[[#This Row],[SALDO_ATUAL]]),4)</f>
        <v>63</v>
      </c>
      <c r="N209" t="s">
        <v>116</v>
      </c>
      <c r="O209" t="s">
        <v>436</v>
      </c>
      <c r="P209" t="s">
        <v>397</v>
      </c>
      <c r="Q209">
        <v>7</v>
      </c>
      <c r="R209" s="225">
        <f>Base_Periodo1[[#This Row],[CREDITOS]]-Base_Periodo1[[#This Row],[DEBITOS]]</f>
        <v>-63</v>
      </c>
      <c r="S209" s="3" t="str">
        <f>IF(ISERROR(VLOOKUP(Base_Periodo1[[#This Row],[CONTA]],BaseContasDRE[#All],4,FALSE)),"Fora do DRE",VLOOKUP(Base_Periodo1[[#This Row],[CONTA]],BaseContasDRE[#All],4,FALSE))</f>
        <v>Fora do DRE</v>
      </c>
      <c r="T209" s="3" t="str">
        <f>IF(ISERROR(VLOOKUP(Base_Periodo1[[#This Row],[CONTA]],BaseContasDRE[#All],5,FALSE)),"Fora do DRE",VLOOKUP(Base_Periodo1[[#This Row],[CONTA]],BaseContasDRE[#All],6,FALSE))</f>
        <v>Fora do DRE</v>
      </c>
      <c r="U209" s="3" t="str">
        <f>IF(ISERROR(VLOOKUP(Base_Periodo1[[#This Row],[CONTA]],BaseContasDRE[#All],7,FALSE)),"Fora do DRE",VLOOKUP(Base_Periodo1[[#This Row],[CONTA]],BaseContasDRE[#All],7,FALSE))</f>
        <v>Fora do DRE</v>
      </c>
      <c r="V209" s="3" t="str">
        <f>IF(Base_Periodo1[[#This Row],[Tipo_Linha]]="Fora do DRE","Fora do DRE","( "&amp;Base_Periodo1[[#This Row],[Tipo_Linha]]&amp;" ) "&amp;Base_Periodo1[[#This Row],[Filtro]])</f>
        <v>Fora do DRE</v>
      </c>
      <c r="W209" s="3" t="str">
        <f>LEFT(Base_Periodo1[[#This Row],[CLASS]],3)</f>
        <v>1.1</v>
      </c>
    </row>
    <row r="210" spans="1:23" hidden="1">
      <c r="A210" s="3" t="str">
        <f t="shared" si="3"/>
        <v>Período 1</v>
      </c>
      <c r="B210">
        <v>12643</v>
      </c>
      <c r="C210" t="s">
        <v>503</v>
      </c>
      <c r="D210" t="s">
        <v>579</v>
      </c>
      <c r="E210" s="3" t="str">
        <f>IF(LEN(Base_Periodo1[[#This Row],[CLASS]])&gt;=7,LEFT(Base_Periodo1[[#This Row],[CLASS]],7),"")</f>
        <v>1.1.2.1</v>
      </c>
      <c r="F210" s="3" t="str">
        <f>VLOOKUP(Base_Periodo1[[#This Row],[Aux]],Base_Contas_Balanco[#All],2,FALSE)</f>
        <v>Creditos com Cooperados</v>
      </c>
      <c r="G210" s="1">
        <v>42853</v>
      </c>
      <c r="H210" s="225">
        <v>4913.3300000000745</v>
      </c>
      <c r="I210" s="225">
        <v>0</v>
      </c>
      <c r="J210" s="225">
        <v>0</v>
      </c>
      <c r="K210" s="225">
        <v>4913.3300000000745</v>
      </c>
      <c r="L2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4913.33</v>
      </c>
      <c r="M210" s="225">
        <f>ROUND(IF(AND(Base_Periodo1[[#This Row],[Tipo_Linha]]="-",Base_Periodo1[[#This Row],[TIPOSALDO]]="D"),Base_Periodo1[[#This Row],[SALDO_ATUAL]]*-1,Base_Periodo1[[#This Row],[SALDO_ATUAL]]),4)</f>
        <v>4913.33</v>
      </c>
      <c r="N210" t="s">
        <v>116</v>
      </c>
      <c r="O210" t="s">
        <v>397</v>
      </c>
      <c r="P210" t="s">
        <v>397</v>
      </c>
      <c r="Q210">
        <v>7</v>
      </c>
      <c r="R210" s="225">
        <f>Base_Periodo1[[#This Row],[CREDITOS]]-Base_Periodo1[[#This Row],[DEBITOS]]</f>
        <v>0</v>
      </c>
      <c r="S210" s="3" t="str">
        <f>IF(ISERROR(VLOOKUP(Base_Periodo1[[#This Row],[CONTA]],BaseContasDRE[#All],4,FALSE)),"Fora do DRE",VLOOKUP(Base_Periodo1[[#This Row],[CONTA]],BaseContasDRE[#All],4,FALSE))</f>
        <v>Fora do DRE</v>
      </c>
      <c r="T210" s="3" t="str">
        <f>IF(ISERROR(VLOOKUP(Base_Periodo1[[#This Row],[CONTA]],BaseContasDRE[#All],5,FALSE)),"Fora do DRE",VLOOKUP(Base_Periodo1[[#This Row],[CONTA]],BaseContasDRE[#All],6,FALSE))</f>
        <v>Fora do DRE</v>
      </c>
      <c r="U210" s="3" t="str">
        <f>IF(ISERROR(VLOOKUP(Base_Periodo1[[#This Row],[CONTA]],BaseContasDRE[#All],7,FALSE)),"Fora do DRE",VLOOKUP(Base_Periodo1[[#This Row],[CONTA]],BaseContasDRE[#All],7,FALSE))</f>
        <v>Fora do DRE</v>
      </c>
      <c r="V210" s="3" t="str">
        <f>IF(Base_Periodo1[[#This Row],[Tipo_Linha]]="Fora do DRE","Fora do DRE","( "&amp;Base_Periodo1[[#This Row],[Tipo_Linha]]&amp;" ) "&amp;Base_Periodo1[[#This Row],[Filtro]])</f>
        <v>Fora do DRE</v>
      </c>
      <c r="W210" s="3" t="str">
        <f>LEFT(Base_Periodo1[[#This Row],[CLASS]],3)</f>
        <v>1.1</v>
      </c>
    </row>
    <row r="211" spans="1:23" hidden="1">
      <c r="A211" s="3" t="str">
        <f t="shared" si="3"/>
        <v>Período 1</v>
      </c>
      <c r="B211">
        <v>27497</v>
      </c>
      <c r="C211" t="s">
        <v>503</v>
      </c>
      <c r="D211" t="s">
        <v>580</v>
      </c>
      <c r="E211" s="3" t="str">
        <f>IF(LEN(Base_Periodo1[[#This Row],[CLASS]])&gt;=7,LEFT(Base_Periodo1[[#This Row],[CLASS]],7),"")</f>
        <v>1.1.2.1</v>
      </c>
      <c r="F211" s="3" t="str">
        <f>VLOOKUP(Base_Periodo1[[#This Row],[Aux]],Base_Contas_Balanco[#All],2,FALSE)</f>
        <v>Creditos com Cooperados</v>
      </c>
      <c r="G211" s="1">
        <v>42803</v>
      </c>
      <c r="H211" s="225">
        <v>5.1700000000128057</v>
      </c>
      <c r="I211" s="225">
        <v>0</v>
      </c>
      <c r="J211" s="225">
        <v>0</v>
      </c>
      <c r="K211" s="225">
        <v>5.1700000000128057</v>
      </c>
      <c r="L2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5.17</v>
      </c>
      <c r="M211" s="225">
        <f>ROUND(IF(AND(Base_Periodo1[[#This Row],[Tipo_Linha]]="-",Base_Periodo1[[#This Row],[TIPOSALDO]]="D"),Base_Periodo1[[#This Row],[SALDO_ATUAL]]*-1,Base_Periodo1[[#This Row],[SALDO_ATUAL]]),4)</f>
        <v>5.17</v>
      </c>
      <c r="N211" t="s">
        <v>116</v>
      </c>
      <c r="O211" t="s">
        <v>397</v>
      </c>
      <c r="P211" t="s">
        <v>397</v>
      </c>
      <c r="Q211">
        <v>7</v>
      </c>
      <c r="R211" s="225">
        <f>Base_Periodo1[[#This Row],[CREDITOS]]-Base_Periodo1[[#This Row],[DEBITOS]]</f>
        <v>0</v>
      </c>
      <c r="S211" s="3" t="str">
        <f>IF(ISERROR(VLOOKUP(Base_Periodo1[[#This Row],[CONTA]],BaseContasDRE[#All],4,FALSE)),"Fora do DRE",VLOOKUP(Base_Periodo1[[#This Row],[CONTA]],BaseContasDRE[#All],4,FALSE))</f>
        <v>Fora do DRE</v>
      </c>
      <c r="T211" s="3" t="str">
        <f>IF(ISERROR(VLOOKUP(Base_Periodo1[[#This Row],[CONTA]],BaseContasDRE[#All],5,FALSE)),"Fora do DRE",VLOOKUP(Base_Periodo1[[#This Row],[CONTA]],BaseContasDRE[#All],6,FALSE))</f>
        <v>Fora do DRE</v>
      </c>
      <c r="U211" s="3" t="str">
        <f>IF(ISERROR(VLOOKUP(Base_Periodo1[[#This Row],[CONTA]],BaseContasDRE[#All],7,FALSE)),"Fora do DRE",VLOOKUP(Base_Periodo1[[#This Row],[CONTA]],BaseContasDRE[#All],7,FALSE))</f>
        <v>Fora do DRE</v>
      </c>
      <c r="V211" s="3" t="str">
        <f>IF(Base_Periodo1[[#This Row],[Tipo_Linha]]="Fora do DRE","Fora do DRE","( "&amp;Base_Periodo1[[#This Row],[Tipo_Linha]]&amp;" ) "&amp;Base_Periodo1[[#This Row],[Filtro]])</f>
        <v>Fora do DRE</v>
      </c>
      <c r="W211" s="3" t="str">
        <f>LEFT(Base_Periodo1[[#This Row],[CLASS]],3)</f>
        <v>1.1</v>
      </c>
    </row>
    <row r="212" spans="1:23" hidden="1">
      <c r="A212" s="3" t="str">
        <f t="shared" si="3"/>
        <v>Período 1</v>
      </c>
      <c r="B212">
        <v>11634</v>
      </c>
      <c r="C212" t="s">
        <v>503</v>
      </c>
      <c r="D212" t="s">
        <v>581</v>
      </c>
      <c r="E212" s="3" t="str">
        <f>IF(LEN(Base_Periodo1[[#This Row],[CLASS]])&gt;=7,LEFT(Base_Periodo1[[#This Row],[CLASS]],7),"")</f>
        <v>1.1.2.1</v>
      </c>
      <c r="F212" s="3" t="str">
        <f>VLOOKUP(Base_Periodo1[[#This Row],[Aux]],Base_Contas_Balanco[#All],2,FALSE)</f>
        <v>Creditos com Cooperados</v>
      </c>
      <c r="G212" s="1">
        <v>42884</v>
      </c>
      <c r="H212" s="225">
        <v>16.639999999548309</v>
      </c>
      <c r="I212" s="225">
        <v>83.36</v>
      </c>
      <c r="J212" s="225">
        <v>100</v>
      </c>
      <c r="K212" s="225">
        <v>-4.5169201712269569E-10</v>
      </c>
      <c r="L2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2" s="225">
        <f>ROUND(IF(AND(Base_Periodo1[[#This Row],[Tipo_Linha]]="-",Base_Periodo1[[#This Row],[TIPOSALDO]]="D"),Base_Periodo1[[#This Row],[SALDO_ATUAL]]*-1,Base_Periodo1[[#This Row],[SALDO_ATUAL]]),4)</f>
        <v>0</v>
      </c>
      <c r="N212" t="s">
        <v>116</v>
      </c>
      <c r="O212" t="s">
        <v>397</v>
      </c>
      <c r="P212" t="s">
        <v>436</v>
      </c>
      <c r="Q212">
        <v>7</v>
      </c>
      <c r="R212" s="225">
        <f>Base_Periodo1[[#This Row],[CREDITOS]]-Base_Periodo1[[#This Row],[DEBITOS]]</f>
        <v>16.64</v>
      </c>
      <c r="S212" s="3" t="str">
        <f>IF(ISERROR(VLOOKUP(Base_Periodo1[[#This Row],[CONTA]],BaseContasDRE[#All],4,FALSE)),"Fora do DRE",VLOOKUP(Base_Periodo1[[#This Row],[CONTA]],BaseContasDRE[#All],4,FALSE))</f>
        <v>Fora do DRE</v>
      </c>
      <c r="T212" s="3" t="str">
        <f>IF(ISERROR(VLOOKUP(Base_Periodo1[[#This Row],[CONTA]],BaseContasDRE[#All],5,FALSE)),"Fora do DRE",VLOOKUP(Base_Periodo1[[#This Row],[CONTA]],BaseContasDRE[#All],6,FALSE))</f>
        <v>Fora do DRE</v>
      </c>
      <c r="U212" s="3" t="str">
        <f>IF(ISERROR(VLOOKUP(Base_Periodo1[[#This Row],[CONTA]],BaseContasDRE[#All],7,FALSE)),"Fora do DRE",VLOOKUP(Base_Periodo1[[#This Row],[CONTA]],BaseContasDRE[#All],7,FALSE))</f>
        <v>Fora do DRE</v>
      </c>
      <c r="V212" s="3" t="str">
        <f>IF(Base_Periodo1[[#This Row],[Tipo_Linha]]="Fora do DRE","Fora do DRE","( "&amp;Base_Periodo1[[#This Row],[Tipo_Linha]]&amp;" ) "&amp;Base_Periodo1[[#This Row],[Filtro]])</f>
        <v>Fora do DRE</v>
      </c>
      <c r="W212" s="3" t="str">
        <f>LEFT(Base_Periodo1[[#This Row],[CLASS]],3)</f>
        <v>1.1</v>
      </c>
    </row>
    <row r="213" spans="1:23" hidden="1">
      <c r="A213" s="3" t="str">
        <f t="shared" si="3"/>
        <v>Período 1</v>
      </c>
      <c r="B213">
        <v>3532</v>
      </c>
      <c r="C213" t="s">
        <v>503</v>
      </c>
      <c r="D213" t="s">
        <v>582</v>
      </c>
      <c r="E213" s="3" t="str">
        <f>IF(LEN(Base_Periodo1[[#This Row],[CLASS]])&gt;=7,LEFT(Base_Periodo1[[#This Row],[CLASS]],7),"")</f>
        <v>1.1.2.1</v>
      </c>
      <c r="F213" s="3" t="str">
        <f>VLOOKUP(Base_Periodo1[[#This Row],[Aux]],Base_Contas_Balanco[#All],2,FALSE)</f>
        <v>Creditos com Cooperados</v>
      </c>
      <c r="G213" s="1">
        <v>42881</v>
      </c>
      <c r="H213" s="225">
        <v>16426.919999999925</v>
      </c>
      <c r="I213" s="225">
        <v>6985.3</v>
      </c>
      <c r="J213" s="225">
        <v>0</v>
      </c>
      <c r="K213" s="225">
        <v>23412.219999999925</v>
      </c>
      <c r="L2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23412.22</v>
      </c>
      <c r="M213" s="225">
        <f>ROUND(IF(AND(Base_Periodo1[[#This Row],[Tipo_Linha]]="-",Base_Periodo1[[#This Row],[TIPOSALDO]]="D"),Base_Periodo1[[#This Row],[SALDO_ATUAL]]*-1,Base_Periodo1[[#This Row],[SALDO_ATUAL]]),4)</f>
        <v>23412.22</v>
      </c>
      <c r="N213" t="s">
        <v>116</v>
      </c>
      <c r="O213" t="s">
        <v>397</v>
      </c>
      <c r="P213" t="s">
        <v>397</v>
      </c>
      <c r="Q213">
        <v>7</v>
      </c>
      <c r="R213" s="225">
        <f>Base_Periodo1[[#This Row],[CREDITOS]]-Base_Periodo1[[#This Row],[DEBITOS]]</f>
        <v>-6985.3</v>
      </c>
      <c r="S213" s="3" t="str">
        <f>IF(ISERROR(VLOOKUP(Base_Periodo1[[#This Row],[CONTA]],BaseContasDRE[#All],4,FALSE)),"Fora do DRE",VLOOKUP(Base_Periodo1[[#This Row],[CONTA]],BaseContasDRE[#All],4,FALSE))</f>
        <v>Fora do DRE</v>
      </c>
      <c r="T213" s="3" t="str">
        <f>IF(ISERROR(VLOOKUP(Base_Periodo1[[#This Row],[CONTA]],BaseContasDRE[#All],5,FALSE)),"Fora do DRE",VLOOKUP(Base_Periodo1[[#This Row],[CONTA]],BaseContasDRE[#All],6,FALSE))</f>
        <v>Fora do DRE</v>
      </c>
      <c r="U213" s="3" t="str">
        <f>IF(ISERROR(VLOOKUP(Base_Periodo1[[#This Row],[CONTA]],BaseContasDRE[#All],7,FALSE)),"Fora do DRE",VLOOKUP(Base_Periodo1[[#This Row],[CONTA]],BaseContasDRE[#All],7,FALSE))</f>
        <v>Fora do DRE</v>
      </c>
      <c r="V213" s="3" t="str">
        <f>IF(Base_Periodo1[[#This Row],[Tipo_Linha]]="Fora do DRE","Fora do DRE","( "&amp;Base_Periodo1[[#This Row],[Tipo_Linha]]&amp;" ) "&amp;Base_Periodo1[[#This Row],[Filtro]])</f>
        <v>Fora do DRE</v>
      </c>
      <c r="W213" s="3" t="str">
        <f>LEFT(Base_Periodo1[[#This Row],[CLASS]],3)</f>
        <v>1.1</v>
      </c>
    </row>
    <row r="214" spans="1:23" hidden="1">
      <c r="A214" s="3" t="str">
        <f t="shared" si="3"/>
        <v>Período 1</v>
      </c>
      <c r="B214">
        <v>7413</v>
      </c>
      <c r="C214" t="s">
        <v>503</v>
      </c>
      <c r="D214" t="s">
        <v>4903</v>
      </c>
      <c r="E214" s="3" t="str">
        <f>IF(LEN(Base_Periodo1[[#This Row],[CLASS]])&gt;=7,LEFT(Base_Periodo1[[#This Row],[CLASS]],7),"")</f>
        <v>1.1.2.1</v>
      </c>
      <c r="F214" s="3" t="str">
        <f>VLOOKUP(Base_Periodo1[[#This Row],[Aux]],Base_Contas_Balanco[#All],2,FALSE)</f>
        <v>Creditos com Cooperados</v>
      </c>
      <c r="G214" s="1">
        <v>42886</v>
      </c>
      <c r="H214" s="225">
        <v>69182.09999999986</v>
      </c>
      <c r="I214" s="225">
        <v>29213.200000000001</v>
      </c>
      <c r="J214" s="225">
        <v>1070.1500000000001</v>
      </c>
      <c r="K214" s="225">
        <v>97325.149999999863</v>
      </c>
      <c r="L2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97325.15</v>
      </c>
      <c r="M214" s="225">
        <f>ROUND(IF(AND(Base_Periodo1[[#This Row],[Tipo_Linha]]="-",Base_Periodo1[[#This Row],[TIPOSALDO]]="D"),Base_Periodo1[[#This Row],[SALDO_ATUAL]]*-1,Base_Periodo1[[#This Row],[SALDO_ATUAL]]),4)</f>
        <v>97325.15</v>
      </c>
      <c r="N214" t="s">
        <v>116</v>
      </c>
      <c r="O214" t="s">
        <v>397</v>
      </c>
      <c r="P214" t="s">
        <v>397</v>
      </c>
      <c r="Q214">
        <v>7</v>
      </c>
      <c r="R214" s="225">
        <f>Base_Periodo1[[#This Row],[CREDITOS]]-Base_Periodo1[[#This Row],[DEBITOS]]</f>
        <v>-28143.05</v>
      </c>
      <c r="S214" s="3" t="str">
        <f>IF(ISERROR(VLOOKUP(Base_Periodo1[[#This Row],[CONTA]],BaseContasDRE[#All],4,FALSE)),"Fora do DRE",VLOOKUP(Base_Periodo1[[#This Row],[CONTA]],BaseContasDRE[#All],4,FALSE))</f>
        <v>Fora do DRE</v>
      </c>
      <c r="T214" s="3" t="str">
        <f>IF(ISERROR(VLOOKUP(Base_Periodo1[[#This Row],[CONTA]],BaseContasDRE[#All],5,FALSE)),"Fora do DRE",VLOOKUP(Base_Periodo1[[#This Row],[CONTA]],BaseContasDRE[#All],6,FALSE))</f>
        <v>Fora do DRE</v>
      </c>
      <c r="U214" s="3" t="str">
        <f>IF(ISERROR(VLOOKUP(Base_Periodo1[[#This Row],[CONTA]],BaseContasDRE[#All],7,FALSE)),"Fora do DRE",VLOOKUP(Base_Periodo1[[#This Row],[CONTA]],BaseContasDRE[#All],7,FALSE))</f>
        <v>Fora do DRE</v>
      </c>
      <c r="V214" s="3" t="str">
        <f>IF(Base_Periodo1[[#This Row],[Tipo_Linha]]="Fora do DRE","Fora do DRE","( "&amp;Base_Periodo1[[#This Row],[Tipo_Linha]]&amp;" ) "&amp;Base_Periodo1[[#This Row],[Filtro]])</f>
        <v>Fora do DRE</v>
      </c>
      <c r="W214" s="3" t="str">
        <f>LEFT(Base_Periodo1[[#This Row],[CLASS]],3)</f>
        <v>1.1</v>
      </c>
    </row>
    <row r="215" spans="1:23" hidden="1">
      <c r="A215" s="3" t="str">
        <f t="shared" si="3"/>
        <v>Período 1</v>
      </c>
      <c r="B215">
        <v>11690</v>
      </c>
      <c r="C215" t="s">
        <v>503</v>
      </c>
      <c r="D215" t="s">
        <v>583</v>
      </c>
      <c r="E215" s="3" t="str">
        <f>IF(LEN(Base_Periodo1[[#This Row],[CLASS]])&gt;=7,LEFT(Base_Periodo1[[#This Row],[CLASS]],7),"")</f>
        <v>1.1.2.1</v>
      </c>
      <c r="F215" s="3" t="str">
        <f>VLOOKUP(Base_Periodo1[[#This Row],[Aux]],Base_Contas_Balanco[#All],2,FALSE)</f>
        <v>Creditos com Cooperados</v>
      </c>
      <c r="G215" s="1">
        <v>42881</v>
      </c>
      <c r="H215" s="225">
        <v>42045.050000001094</v>
      </c>
      <c r="I215" s="225">
        <v>228.12</v>
      </c>
      <c r="J215" s="225">
        <v>25104.84</v>
      </c>
      <c r="K215" s="225">
        <v>17168.330000001097</v>
      </c>
      <c r="L2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17168.330000000002</v>
      </c>
      <c r="M215" s="225">
        <f>ROUND(IF(AND(Base_Periodo1[[#This Row],[Tipo_Linha]]="-",Base_Periodo1[[#This Row],[TIPOSALDO]]="D"),Base_Periodo1[[#This Row],[SALDO_ATUAL]]*-1,Base_Periodo1[[#This Row],[SALDO_ATUAL]]),4)</f>
        <v>17168.330000000002</v>
      </c>
      <c r="N215" t="s">
        <v>116</v>
      </c>
      <c r="O215" t="s">
        <v>397</v>
      </c>
      <c r="P215" t="s">
        <v>397</v>
      </c>
      <c r="Q215">
        <v>7</v>
      </c>
      <c r="R215" s="225">
        <f>Base_Periodo1[[#This Row],[CREDITOS]]-Base_Periodo1[[#This Row],[DEBITOS]]</f>
        <v>24876.720000000001</v>
      </c>
      <c r="S215" s="3" t="str">
        <f>IF(ISERROR(VLOOKUP(Base_Periodo1[[#This Row],[CONTA]],BaseContasDRE[#All],4,FALSE)),"Fora do DRE",VLOOKUP(Base_Periodo1[[#This Row],[CONTA]],BaseContasDRE[#All],4,FALSE))</f>
        <v>Fora do DRE</v>
      </c>
      <c r="T215" s="3" t="str">
        <f>IF(ISERROR(VLOOKUP(Base_Periodo1[[#This Row],[CONTA]],BaseContasDRE[#All],5,FALSE)),"Fora do DRE",VLOOKUP(Base_Periodo1[[#This Row],[CONTA]],BaseContasDRE[#All],6,FALSE))</f>
        <v>Fora do DRE</v>
      </c>
      <c r="U215" s="3" t="str">
        <f>IF(ISERROR(VLOOKUP(Base_Periodo1[[#This Row],[CONTA]],BaseContasDRE[#All],7,FALSE)),"Fora do DRE",VLOOKUP(Base_Periodo1[[#This Row],[CONTA]],BaseContasDRE[#All],7,FALSE))</f>
        <v>Fora do DRE</v>
      </c>
      <c r="V215" s="3" t="str">
        <f>IF(Base_Periodo1[[#This Row],[Tipo_Linha]]="Fora do DRE","Fora do DRE","( "&amp;Base_Periodo1[[#This Row],[Tipo_Linha]]&amp;" ) "&amp;Base_Periodo1[[#This Row],[Filtro]])</f>
        <v>Fora do DRE</v>
      </c>
      <c r="W215" s="3" t="str">
        <f>LEFT(Base_Periodo1[[#This Row],[CLASS]],3)</f>
        <v>1.1</v>
      </c>
    </row>
    <row r="216" spans="1:23" hidden="1">
      <c r="A216" s="3" t="str">
        <f t="shared" si="3"/>
        <v>Período 1</v>
      </c>
      <c r="B216">
        <v>38988</v>
      </c>
      <c r="C216" t="s">
        <v>503</v>
      </c>
      <c r="D216" t="s">
        <v>584</v>
      </c>
      <c r="E216" s="3" t="str">
        <f>IF(LEN(Base_Periodo1[[#This Row],[CLASS]])&gt;=7,LEFT(Base_Periodo1[[#This Row],[CLASS]],7),"")</f>
        <v>1.1.2.1</v>
      </c>
      <c r="F216" s="3" t="str">
        <f>VLOOKUP(Base_Periodo1[[#This Row],[Aux]],Base_Contas_Balanco[#All],2,FALSE)</f>
        <v>Creditos com Cooperados</v>
      </c>
      <c r="G216" s="1">
        <v>42878</v>
      </c>
      <c r="H216" s="225">
        <v>14906.040000000008</v>
      </c>
      <c r="I216" s="225">
        <v>5027.6000000000004</v>
      </c>
      <c r="J216" s="225">
        <v>0</v>
      </c>
      <c r="K216" s="225">
        <v>19933.640000000007</v>
      </c>
      <c r="L2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19933.64</v>
      </c>
      <c r="M216" s="225">
        <f>ROUND(IF(AND(Base_Periodo1[[#This Row],[Tipo_Linha]]="-",Base_Periodo1[[#This Row],[TIPOSALDO]]="D"),Base_Periodo1[[#This Row],[SALDO_ATUAL]]*-1,Base_Periodo1[[#This Row],[SALDO_ATUAL]]),4)</f>
        <v>19933.64</v>
      </c>
      <c r="N216" t="s">
        <v>116</v>
      </c>
      <c r="O216" t="s">
        <v>397</v>
      </c>
      <c r="P216" t="s">
        <v>397</v>
      </c>
      <c r="Q216">
        <v>7</v>
      </c>
      <c r="R216" s="225">
        <f>Base_Periodo1[[#This Row],[CREDITOS]]-Base_Periodo1[[#This Row],[DEBITOS]]</f>
        <v>-5027.6000000000004</v>
      </c>
      <c r="S216" s="3" t="str">
        <f>IF(ISERROR(VLOOKUP(Base_Periodo1[[#This Row],[CONTA]],BaseContasDRE[#All],4,FALSE)),"Fora do DRE",VLOOKUP(Base_Periodo1[[#This Row],[CONTA]],BaseContasDRE[#All],4,FALSE))</f>
        <v>Fora do DRE</v>
      </c>
      <c r="T216" s="3" t="str">
        <f>IF(ISERROR(VLOOKUP(Base_Periodo1[[#This Row],[CONTA]],BaseContasDRE[#All],5,FALSE)),"Fora do DRE",VLOOKUP(Base_Periodo1[[#This Row],[CONTA]],BaseContasDRE[#All],6,FALSE))</f>
        <v>Fora do DRE</v>
      </c>
      <c r="U216" s="3" t="str">
        <f>IF(ISERROR(VLOOKUP(Base_Periodo1[[#This Row],[CONTA]],BaseContasDRE[#All],7,FALSE)),"Fora do DRE",VLOOKUP(Base_Periodo1[[#This Row],[CONTA]],BaseContasDRE[#All],7,FALSE))</f>
        <v>Fora do DRE</v>
      </c>
      <c r="V216" s="3" t="str">
        <f>IF(Base_Periodo1[[#This Row],[Tipo_Linha]]="Fora do DRE","Fora do DRE","( "&amp;Base_Periodo1[[#This Row],[Tipo_Linha]]&amp;" ) "&amp;Base_Periodo1[[#This Row],[Filtro]])</f>
        <v>Fora do DRE</v>
      </c>
      <c r="W216" s="3" t="str">
        <f>LEFT(Base_Periodo1[[#This Row],[CLASS]],3)</f>
        <v>1.1</v>
      </c>
    </row>
    <row r="217" spans="1:23" hidden="1">
      <c r="A217" s="3" t="str">
        <f t="shared" si="3"/>
        <v>Período 1</v>
      </c>
      <c r="B217">
        <v>49925</v>
      </c>
      <c r="C217" t="s">
        <v>503</v>
      </c>
      <c r="D217" t="s">
        <v>5054</v>
      </c>
      <c r="E217" s="3" t="str">
        <f>IF(LEN(Base_Periodo1[[#This Row],[CLASS]])&gt;=7,LEFT(Base_Periodo1[[#This Row],[CLASS]],7),"")</f>
        <v>1.1.2.1</v>
      </c>
      <c r="F217" s="3" t="str">
        <f>VLOOKUP(Base_Periodo1[[#This Row],[Aux]],Base_Contas_Balanco[#All],2,FALSE)</f>
        <v>Creditos com Cooperados</v>
      </c>
      <c r="G217" s="1">
        <v>42874</v>
      </c>
      <c r="I217" s="225">
        <v>747.45</v>
      </c>
      <c r="J217" s="225">
        <v>747.45</v>
      </c>
      <c r="K217" s="225">
        <v>2.9103830456733704E-11</v>
      </c>
      <c r="L2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7" s="225">
        <f>ROUND(IF(AND(Base_Periodo1[[#This Row],[Tipo_Linha]]="-",Base_Periodo1[[#This Row],[TIPOSALDO]]="D"),Base_Periodo1[[#This Row],[SALDO_ATUAL]]*-1,Base_Periodo1[[#This Row],[SALDO_ATUAL]]),4)</f>
        <v>0</v>
      </c>
      <c r="N217" t="s">
        <v>116</v>
      </c>
      <c r="O217" t="s">
        <v>436</v>
      </c>
      <c r="P217" t="s">
        <v>436</v>
      </c>
      <c r="Q217">
        <v>7</v>
      </c>
      <c r="R217" s="225">
        <f>Base_Periodo1[[#This Row],[CREDITOS]]-Base_Periodo1[[#This Row],[DEBITOS]]</f>
        <v>0</v>
      </c>
      <c r="S217" s="3" t="str">
        <f>IF(ISERROR(VLOOKUP(Base_Periodo1[[#This Row],[CONTA]],BaseContasDRE[#All],4,FALSE)),"Fora do DRE",VLOOKUP(Base_Periodo1[[#This Row],[CONTA]],BaseContasDRE[#All],4,FALSE))</f>
        <v>Fora do DRE</v>
      </c>
      <c r="T217" s="3" t="str">
        <f>IF(ISERROR(VLOOKUP(Base_Periodo1[[#This Row],[CONTA]],BaseContasDRE[#All],5,FALSE)),"Fora do DRE",VLOOKUP(Base_Periodo1[[#This Row],[CONTA]],BaseContasDRE[#All],6,FALSE))</f>
        <v>Fora do DRE</v>
      </c>
      <c r="U217" s="3" t="str">
        <f>IF(ISERROR(VLOOKUP(Base_Periodo1[[#This Row],[CONTA]],BaseContasDRE[#All],7,FALSE)),"Fora do DRE",VLOOKUP(Base_Periodo1[[#This Row],[CONTA]],BaseContasDRE[#All],7,FALSE))</f>
        <v>Fora do DRE</v>
      </c>
      <c r="V217" s="3" t="str">
        <f>IF(Base_Periodo1[[#This Row],[Tipo_Linha]]="Fora do DRE","Fora do DRE","( "&amp;Base_Periodo1[[#This Row],[Tipo_Linha]]&amp;" ) "&amp;Base_Periodo1[[#This Row],[Filtro]])</f>
        <v>Fora do DRE</v>
      </c>
      <c r="W217" s="3" t="str">
        <f>LEFT(Base_Periodo1[[#This Row],[CLASS]],3)</f>
        <v>1.1</v>
      </c>
    </row>
    <row r="218" spans="1:23" hidden="1">
      <c r="A218" s="3" t="str">
        <f t="shared" si="3"/>
        <v>Período 1</v>
      </c>
      <c r="B218">
        <v>25452</v>
      </c>
      <c r="C218" t="s">
        <v>503</v>
      </c>
      <c r="D218" t="s">
        <v>6119</v>
      </c>
      <c r="E218" s="3" t="str">
        <f>IF(LEN(Base_Periodo1[[#This Row],[CLASS]])&gt;=7,LEFT(Base_Periodo1[[#This Row],[CLASS]],7),"")</f>
        <v>1.1.2.1</v>
      </c>
      <c r="F218" s="3" t="str">
        <f>VLOOKUP(Base_Periodo1[[#This Row],[Aux]],Base_Contas_Balanco[#All],2,FALSE)</f>
        <v>Creditos com Cooperados</v>
      </c>
      <c r="G218" s="1">
        <v>42857</v>
      </c>
      <c r="I218" s="225">
        <v>420</v>
      </c>
      <c r="J218" s="225">
        <v>420</v>
      </c>
      <c r="K218" s="225">
        <v>0</v>
      </c>
      <c r="L2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8" s="225">
        <f>ROUND(IF(AND(Base_Periodo1[[#This Row],[Tipo_Linha]]="-",Base_Periodo1[[#This Row],[TIPOSALDO]]="D"),Base_Periodo1[[#This Row],[SALDO_ATUAL]]*-1,Base_Periodo1[[#This Row],[SALDO_ATUAL]]),4)</f>
        <v>0</v>
      </c>
      <c r="N218" t="s">
        <v>116</v>
      </c>
      <c r="O218" t="s">
        <v>436</v>
      </c>
      <c r="P218" t="s">
        <v>436</v>
      </c>
      <c r="Q218">
        <v>7</v>
      </c>
      <c r="R218" s="225">
        <f>Base_Periodo1[[#This Row],[CREDITOS]]-Base_Periodo1[[#This Row],[DEBITOS]]</f>
        <v>0</v>
      </c>
      <c r="S218" s="3" t="str">
        <f>IF(ISERROR(VLOOKUP(Base_Periodo1[[#This Row],[CONTA]],BaseContasDRE[#All],4,FALSE)),"Fora do DRE",VLOOKUP(Base_Periodo1[[#This Row],[CONTA]],BaseContasDRE[#All],4,FALSE))</f>
        <v>Fora do DRE</v>
      </c>
      <c r="T218" s="3" t="str">
        <f>IF(ISERROR(VLOOKUP(Base_Periodo1[[#This Row],[CONTA]],BaseContasDRE[#All],5,FALSE)),"Fora do DRE",VLOOKUP(Base_Periodo1[[#This Row],[CONTA]],BaseContasDRE[#All],6,FALSE))</f>
        <v>Fora do DRE</v>
      </c>
      <c r="U218" s="3" t="str">
        <f>IF(ISERROR(VLOOKUP(Base_Periodo1[[#This Row],[CONTA]],BaseContasDRE[#All],7,FALSE)),"Fora do DRE",VLOOKUP(Base_Periodo1[[#This Row],[CONTA]],BaseContasDRE[#All],7,FALSE))</f>
        <v>Fora do DRE</v>
      </c>
      <c r="V218" s="3" t="str">
        <f>IF(Base_Periodo1[[#This Row],[Tipo_Linha]]="Fora do DRE","Fora do DRE","( "&amp;Base_Periodo1[[#This Row],[Tipo_Linha]]&amp;" ) "&amp;Base_Periodo1[[#This Row],[Filtro]])</f>
        <v>Fora do DRE</v>
      </c>
      <c r="W218" s="3" t="str">
        <f>LEFT(Base_Periodo1[[#This Row],[CLASS]],3)</f>
        <v>1.1</v>
      </c>
    </row>
    <row r="219" spans="1:23" hidden="1">
      <c r="A219" s="3" t="str">
        <f t="shared" si="3"/>
        <v>Período 1</v>
      </c>
      <c r="B219">
        <v>50606</v>
      </c>
      <c r="C219" t="s">
        <v>503</v>
      </c>
      <c r="D219" t="s">
        <v>936</v>
      </c>
      <c r="E219" s="3" t="str">
        <f>IF(LEN(Base_Periodo1[[#This Row],[CLASS]])&gt;=7,LEFT(Base_Periodo1[[#This Row],[CLASS]],7),"")</f>
        <v>1.1.2.1</v>
      </c>
      <c r="F219" s="3" t="str">
        <f>VLOOKUP(Base_Periodo1[[#This Row],[Aux]],Base_Contas_Balanco[#All],2,FALSE)</f>
        <v>Creditos com Cooperados</v>
      </c>
      <c r="G219" s="1">
        <v>42880</v>
      </c>
      <c r="H219" s="225">
        <v>138462.23999999982</v>
      </c>
      <c r="I219" s="225">
        <v>14253</v>
      </c>
      <c r="J219" s="225">
        <v>87750</v>
      </c>
      <c r="K219" s="225">
        <v>64965.239999999816</v>
      </c>
      <c r="L2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64965.24</v>
      </c>
      <c r="M219" s="225">
        <f>ROUND(IF(AND(Base_Periodo1[[#This Row],[Tipo_Linha]]="-",Base_Periodo1[[#This Row],[TIPOSALDO]]="D"),Base_Periodo1[[#This Row],[SALDO_ATUAL]]*-1,Base_Periodo1[[#This Row],[SALDO_ATUAL]]),4)</f>
        <v>64965.24</v>
      </c>
      <c r="N219" t="s">
        <v>116</v>
      </c>
      <c r="O219" t="s">
        <v>397</v>
      </c>
      <c r="P219" t="s">
        <v>397</v>
      </c>
      <c r="Q219">
        <v>7</v>
      </c>
      <c r="R219" s="225">
        <f>Base_Periodo1[[#This Row],[CREDITOS]]-Base_Periodo1[[#This Row],[DEBITOS]]</f>
        <v>73497</v>
      </c>
      <c r="S219" s="3" t="str">
        <f>IF(ISERROR(VLOOKUP(Base_Periodo1[[#This Row],[CONTA]],BaseContasDRE[#All],4,FALSE)),"Fora do DRE",VLOOKUP(Base_Periodo1[[#This Row],[CONTA]],BaseContasDRE[#All],4,FALSE))</f>
        <v>Fora do DRE</v>
      </c>
      <c r="T219" s="3" t="str">
        <f>IF(ISERROR(VLOOKUP(Base_Periodo1[[#This Row],[CONTA]],BaseContasDRE[#All],5,FALSE)),"Fora do DRE",VLOOKUP(Base_Periodo1[[#This Row],[CONTA]],BaseContasDRE[#All],6,FALSE))</f>
        <v>Fora do DRE</v>
      </c>
      <c r="U219" s="3" t="str">
        <f>IF(ISERROR(VLOOKUP(Base_Periodo1[[#This Row],[CONTA]],BaseContasDRE[#All],7,FALSE)),"Fora do DRE",VLOOKUP(Base_Periodo1[[#This Row],[CONTA]],BaseContasDRE[#All],7,FALSE))</f>
        <v>Fora do DRE</v>
      </c>
      <c r="V219" s="3" t="str">
        <f>IF(Base_Periodo1[[#This Row],[Tipo_Linha]]="Fora do DRE","Fora do DRE","( "&amp;Base_Periodo1[[#This Row],[Tipo_Linha]]&amp;" ) "&amp;Base_Periodo1[[#This Row],[Filtro]])</f>
        <v>Fora do DRE</v>
      </c>
      <c r="W219" s="3" t="str">
        <f>LEFT(Base_Periodo1[[#This Row],[CLASS]],3)</f>
        <v>1.1</v>
      </c>
    </row>
    <row r="220" spans="1:23" hidden="1">
      <c r="A220" s="3" t="str">
        <f t="shared" si="3"/>
        <v>Período 1</v>
      </c>
      <c r="B220">
        <v>55556</v>
      </c>
      <c r="C220" t="s">
        <v>503</v>
      </c>
      <c r="D220" t="s">
        <v>5636</v>
      </c>
      <c r="E220" s="3" t="str">
        <f>IF(LEN(Base_Periodo1[[#This Row],[CLASS]])&gt;=7,LEFT(Base_Periodo1[[#This Row],[CLASS]],7),"")</f>
        <v>1.1.2.1</v>
      </c>
      <c r="F220" s="3" t="str">
        <f>VLOOKUP(Base_Periodo1[[#This Row],[Aux]],Base_Contas_Balanco[#All],2,FALSE)</f>
        <v>Creditos com Cooperados</v>
      </c>
      <c r="G220" s="1">
        <v>42886</v>
      </c>
      <c r="H220" s="225">
        <v>2850</v>
      </c>
      <c r="I220" s="225">
        <v>24646.73</v>
      </c>
      <c r="J220" s="225">
        <v>12246.73</v>
      </c>
      <c r="K220" s="225">
        <v>15250</v>
      </c>
      <c r="L2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15250</v>
      </c>
      <c r="M220" s="225">
        <f>ROUND(IF(AND(Base_Periodo1[[#This Row],[Tipo_Linha]]="-",Base_Periodo1[[#This Row],[TIPOSALDO]]="D"),Base_Periodo1[[#This Row],[SALDO_ATUAL]]*-1,Base_Periodo1[[#This Row],[SALDO_ATUAL]]),4)</f>
        <v>15250</v>
      </c>
      <c r="N220" t="s">
        <v>116</v>
      </c>
      <c r="O220" t="s">
        <v>397</v>
      </c>
      <c r="P220" t="s">
        <v>397</v>
      </c>
      <c r="Q220">
        <v>7</v>
      </c>
      <c r="R220" s="225">
        <f>Base_Periodo1[[#This Row],[CREDITOS]]-Base_Periodo1[[#This Row],[DEBITOS]]</f>
        <v>-12400</v>
      </c>
      <c r="S220" s="3" t="str">
        <f>IF(ISERROR(VLOOKUP(Base_Periodo1[[#This Row],[CONTA]],BaseContasDRE[#All],4,FALSE)),"Fora do DRE",VLOOKUP(Base_Periodo1[[#This Row],[CONTA]],BaseContasDRE[#All],4,FALSE))</f>
        <v>Fora do DRE</v>
      </c>
      <c r="T220" s="3" t="str">
        <f>IF(ISERROR(VLOOKUP(Base_Periodo1[[#This Row],[CONTA]],BaseContasDRE[#All],5,FALSE)),"Fora do DRE",VLOOKUP(Base_Periodo1[[#This Row],[CONTA]],BaseContasDRE[#All],6,FALSE))</f>
        <v>Fora do DRE</v>
      </c>
      <c r="U220" s="3" t="str">
        <f>IF(ISERROR(VLOOKUP(Base_Periodo1[[#This Row],[CONTA]],BaseContasDRE[#All],7,FALSE)),"Fora do DRE",VLOOKUP(Base_Periodo1[[#This Row],[CONTA]],BaseContasDRE[#All],7,FALSE))</f>
        <v>Fora do DRE</v>
      </c>
      <c r="V220" s="3" t="str">
        <f>IF(Base_Periodo1[[#This Row],[Tipo_Linha]]="Fora do DRE","Fora do DRE","( "&amp;Base_Periodo1[[#This Row],[Tipo_Linha]]&amp;" ) "&amp;Base_Periodo1[[#This Row],[Filtro]])</f>
        <v>Fora do DRE</v>
      </c>
      <c r="W220" s="3" t="str">
        <f>LEFT(Base_Periodo1[[#This Row],[CLASS]],3)</f>
        <v>1.1</v>
      </c>
    </row>
    <row r="221" spans="1:23" hidden="1">
      <c r="A221" s="3" t="str">
        <f t="shared" si="3"/>
        <v>Período 1</v>
      </c>
      <c r="B221">
        <v>3408</v>
      </c>
      <c r="C221" t="s">
        <v>503</v>
      </c>
      <c r="D221" t="s">
        <v>585</v>
      </c>
      <c r="E221" s="3" t="str">
        <f>IF(LEN(Base_Periodo1[[#This Row],[CLASS]])&gt;=7,LEFT(Base_Periodo1[[#This Row],[CLASS]],7),"")</f>
        <v>1.1.2.1</v>
      </c>
      <c r="F221" s="3" t="str">
        <f>VLOOKUP(Base_Periodo1[[#This Row],[Aux]],Base_Contas_Balanco[#All],2,FALSE)</f>
        <v>Creditos com Cooperados</v>
      </c>
      <c r="G221" s="1">
        <v>42885</v>
      </c>
      <c r="H221" s="225">
        <v>2768575.1300000064</v>
      </c>
      <c r="I221" s="225">
        <v>1215614.8199999998</v>
      </c>
      <c r="J221" s="225">
        <v>1761551.3200000003</v>
      </c>
      <c r="K221" s="225">
        <v>2222638.6300000059</v>
      </c>
      <c r="L2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2222638.63</v>
      </c>
      <c r="M221" s="225">
        <f>ROUND(IF(AND(Base_Periodo1[[#This Row],[Tipo_Linha]]="-",Base_Periodo1[[#This Row],[TIPOSALDO]]="D"),Base_Periodo1[[#This Row],[SALDO_ATUAL]]*-1,Base_Periodo1[[#This Row],[SALDO_ATUAL]]),4)</f>
        <v>2222638.63</v>
      </c>
      <c r="N221" t="s">
        <v>116</v>
      </c>
      <c r="O221" t="s">
        <v>397</v>
      </c>
      <c r="P221" t="s">
        <v>397</v>
      </c>
      <c r="Q221">
        <v>7</v>
      </c>
      <c r="R221" s="225">
        <f>Base_Periodo1[[#This Row],[CREDITOS]]-Base_Periodo1[[#This Row],[DEBITOS]]</f>
        <v>545936.50000000047</v>
      </c>
      <c r="S221" s="3" t="str">
        <f>IF(ISERROR(VLOOKUP(Base_Periodo1[[#This Row],[CONTA]],BaseContasDRE[#All],4,FALSE)),"Fora do DRE",VLOOKUP(Base_Periodo1[[#This Row],[CONTA]],BaseContasDRE[#All],4,FALSE))</f>
        <v>Fora do DRE</v>
      </c>
      <c r="T221" s="3" t="str">
        <f>IF(ISERROR(VLOOKUP(Base_Periodo1[[#This Row],[CONTA]],BaseContasDRE[#All],5,FALSE)),"Fora do DRE",VLOOKUP(Base_Periodo1[[#This Row],[CONTA]],BaseContasDRE[#All],6,FALSE))</f>
        <v>Fora do DRE</v>
      </c>
      <c r="U221" s="3" t="str">
        <f>IF(ISERROR(VLOOKUP(Base_Periodo1[[#This Row],[CONTA]],BaseContasDRE[#All],7,FALSE)),"Fora do DRE",VLOOKUP(Base_Periodo1[[#This Row],[CONTA]],BaseContasDRE[#All],7,FALSE))</f>
        <v>Fora do DRE</v>
      </c>
      <c r="V221" s="3" t="str">
        <f>IF(Base_Periodo1[[#This Row],[Tipo_Linha]]="Fora do DRE","Fora do DRE","( "&amp;Base_Periodo1[[#This Row],[Tipo_Linha]]&amp;" ) "&amp;Base_Periodo1[[#This Row],[Filtro]])</f>
        <v>Fora do DRE</v>
      </c>
      <c r="W221" s="3" t="str">
        <f>LEFT(Base_Periodo1[[#This Row],[CLASS]],3)</f>
        <v>1.1</v>
      </c>
    </row>
    <row r="222" spans="1:23" hidden="1">
      <c r="A222" s="3" t="str">
        <f t="shared" si="3"/>
        <v>Período 1</v>
      </c>
      <c r="B222">
        <v>15298</v>
      </c>
      <c r="C222" t="s">
        <v>503</v>
      </c>
      <c r="D222" t="s">
        <v>5376</v>
      </c>
      <c r="E222" s="3" t="str">
        <f>IF(LEN(Base_Periodo1[[#This Row],[CLASS]])&gt;=7,LEFT(Base_Periodo1[[#This Row],[CLASS]],7),"")</f>
        <v>1.1.2.1</v>
      </c>
      <c r="F222" s="3" t="str">
        <f>VLOOKUP(Base_Periodo1[[#This Row],[Aux]],Base_Contas_Balanco[#All],2,FALSE)</f>
        <v>Creditos com Cooperados</v>
      </c>
      <c r="G222" s="1">
        <v>42762</v>
      </c>
      <c r="H222" s="225">
        <v>3929.8000000000102</v>
      </c>
      <c r="I222" s="225">
        <v>0</v>
      </c>
      <c r="J222" s="225">
        <v>0</v>
      </c>
      <c r="K222" s="225">
        <v>3929.8000000000102</v>
      </c>
      <c r="L2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3929.8</v>
      </c>
      <c r="M222" s="225">
        <f>ROUND(IF(AND(Base_Periodo1[[#This Row],[Tipo_Linha]]="-",Base_Periodo1[[#This Row],[TIPOSALDO]]="D"),Base_Periodo1[[#This Row],[SALDO_ATUAL]]*-1,Base_Periodo1[[#This Row],[SALDO_ATUAL]]),4)</f>
        <v>3929.8</v>
      </c>
      <c r="N222" t="s">
        <v>116</v>
      </c>
      <c r="O222" t="s">
        <v>397</v>
      </c>
      <c r="P222" t="s">
        <v>397</v>
      </c>
      <c r="Q222">
        <v>7</v>
      </c>
      <c r="R222" s="225">
        <f>Base_Periodo1[[#This Row],[CREDITOS]]-Base_Periodo1[[#This Row],[DEBITOS]]</f>
        <v>0</v>
      </c>
      <c r="S222" s="3" t="str">
        <f>IF(ISERROR(VLOOKUP(Base_Periodo1[[#This Row],[CONTA]],BaseContasDRE[#All],4,FALSE)),"Fora do DRE",VLOOKUP(Base_Periodo1[[#This Row],[CONTA]],BaseContasDRE[#All],4,FALSE))</f>
        <v>Fora do DRE</v>
      </c>
      <c r="T222" s="3" t="str">
        <f>IF(ISERROR(VLOOKUP(Base_Periodo1[[#This Row],[CONTA]],BaseContasDRE[#All],5,FALSE)),"Fora do DRE",VLOOKUP(Base_Periodo1[[#This Row],[CONTA]],BaseContasDRE[#All],6,FALSE))</f>
        <v>Fora do DRE</v>
      </c>
      <c r="U222" s="3" t="str">
        <f>IF(ISERROR(VLOOKUP(Base_Periodo1[[#This Row],[CONTA]],BaseContasDRE[#All],7,FALSE)),"Fora do DRE",VLOOKUP(Base_Periodo1[[#This Row],[CONTA]],BaseContasDRE[#All],7,FALSE))</f>
        <v>Fora do DRE</v>
      </c>
      <c r="V222" s="3" t="str">
        <f>IF(Base_Periodo1[[#This Row],[Tipo_Linha]]="Fora do DRE","Fora do DRE","( "&amp;Base_Periodo1[[#This Row],[Tipo_Linha]]&amp;" ) "&amp;Base_Periodo1[[#This Row],[Filtro]])</f>
        <v>Fora do DRE</v>
      </c>
      <c r="W222" s="3" t="str">
        <f>LEFT(Base_Periodo1[[#This Row],[CLASS]],3)</f>
        <v>1.1</v>
      </c>
    </row>
    <row r="223" spans="1:23" hidden="1">
      <c r="A223" s="3" t="str">
        <f t="shared" si="3"/>
        <v>Período 1</v>
      </c>
      <c r="B223">
        <v>2852</v>
      </c>
      <c r="C223" t="s">
        <v>503</v>
      </c>
      <c r="D223" t="s">
        <v>586</v>
      </c>
      <c r="E223" s="3" t="str">
        <f>IF(LEN(Base_Periodo1[[#This Row],[CLASS]])&gt;=7,LEFT(Base_Periodo1[[#This Row],[CLASS]],7),"")</f>
        <v>1.1.2.1</v>
      </c>
      <c r="F223" s="3" t="str">
        <f>VLOOKUP(Base_Periodo1[[#This Row],[Aux]],Base_Contas_Balanco[#All],2,FALSE)</f>
        <v>Creditos com Cooperados</v>
      </c>
      <c r="G223" s="1">
        <v>42878</v>
      </c>
      <c r="H223" s="225">
        <v>73990.83000000054</v>
      </c>
      <c r="I223" s="225">
        <v>6932</v>
      </c>
      <c r="J223" s="225">
        <v>0</v>
      </c>
      <c r="K223" s="225">
        <v>80922.83000000054</v>
      </c>
      <c r="L2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80922.83</v>
      </c>
      <c r="M223" s="225">
        <f>ROUND(IF(AND(Base_Periodo1[[#This Row],[Tipo_Linha]]="-",Base_Periodo1[[#This Row],[TIPOSALDO]]="D"),Base_Periodo1[[#This Row],[SALDO_ATUAL]]*-1,Base_Periodo1[[#This Row],[SALDO_ATUAL]]),4)</f>
        <v>80922.83</v>
      </c>
      <c r="N223" t="s">
        <v>116</v>
      </c>
      <c r="O223" t="s">
        <v>397</v>
      </c>
      <c r="P223" t="s">
        <v>397</v>
      </c>
      <c r="Q223">
        <v>7</v>
      </c>
      <c r="R223" s="225">
        <f>Base_Periodo1[[#This Row],[CREDITOS]]-Base_Periodo1[[#This Row],[DEBITOS]]</f>
        <v>-6932</v>
      </c>
      <c r="S223" s="3" t="str">
        <f>IF(ISERROR(VLOOKUP(Base_Periodo1[[#This Row],[CONTA]],BaseContasDRE[#All],4,FALSE)),"Fora do DRE",VLOOKUP(Base_Periodo1[[#This Row],[CONTA]],BaseContasDRE[#All],4,FALSE))</f>
        <v>Fora do DRE</v>
      </c>
      <c r="T223" s="3" t="str">
        <f>IF(ISERROR(VLOOKUP(Base_Periodo1[[#This Row],[CONTA]],BaseContasDRE[#All],5,FALSE)),"Fora do DRE",VLOOKUP(Base_Periodo1[[#This Row],[CONTA]],BaseContasDRE[#All],6,FALSE))</f>
        <v>Fora do DRE</v>
      </c>
      <c r="U223" s="3" t="str">
        <f>IF(ISERROR(VLOOKUP(Base_Periodo1[[#This Row],[CONTA]],BaseContasDRE[#All],7,FALSE)),"Fora do DRE",VLOOKUP(Base_Periodo1[[#This Row],[CONTA]],BaseContasDRE[#All],7,FALSE))</f>
        <v>Fora do DRE</v>
      </c>
      <c r="V223" s="3" t="str">
        <f>IF(Base_Periodo1[[#This Row],[Tipo_Linha]]="Fora do DRE","Fora do DRE","( "&amp;Base_Periodo1[[#This Row],[Tipo_Linha]]&amp;" ) "&amp;Base_Periodo1[[#This Row],[Filtro]])</f>
        <v>Fora do DRE</v>
      </c>
      <c r="W223" s="3" t="str">
        <f>LEFT(Base_Periodo1[[#This Row],[CLASS]],3)</f>
        <v>1.1</v>
      </c>
    </row>
    <row r="224" spans="1:23" hidden="1">
      <c r="A224" s="3" t="str">
        <f t="shared" si="3"/>
        <v>Período 1</v>
      </c>
      <c r="B224">
        <v>38968</v>
      </c>
      <c r="C224" t="s">
        <v>503</v>
      </c>
      <c r="D224" t="s">
        <v>587</v>
      </c>
      <c r="E224" s="3" t="str">
        <f>IF(LEN(Base_Periodo1[[#This Row],[CLASS]])&gt;=7,LEFT(Base_Periodo1[[#This Row],[CLASS]],7),"")</f>
        <v>1.1.2.1</v>
      </c>
      <c r="F224" s="3" t="str">
        <f>VLOOKUP(Base_Periodo1[[#This Row],[Aux]],Base_Contas_Balanco[#All],2,FALSE)</f>
        <v>Creditos com Cooperados</v>
      </c>
      <c r="G224" s="1">
        <v>42867</v>
      </c>
      <c r="I224" s="225">
        <v>3046.4</v>
      </c>
      <c r="J224" s="225">
        <v>0</v>
      </c>
      <c r="K224" s="225">
        <v>3046.4000000000583</v>
      </c>
      <c r="L2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3046.4</v>
      </c>
      <c r="M224" s="225">
        <f>ROUND(IF(AND(Base_Periodo1[[#This Row],[Tipo_Linha]]="-",Base_Periodo1[[#This Row],[TIPOSALDO]]="D"),Base_Periodo1[[#This Row],[SALDO_ATUAL]]*-1,Base_Periodo1[[#This Row],[SALDO_ATUAL]]),4)</f>
        <v>3046.4</v>
      </c>
      <c r="N224" t="s">
        <v>116</v>
      </c>
      <c r="O224" t="s">
        <v>436</v>
      </c>
      <c r="P224" t="s">
        <v>397</v>
      </c>
      <c r="Q224">
        <v>7</v>
      </c>
      <c r="R224" s="225">
        <f>Base_Periodo1[[#This Row],[CREDITOS]]-Base_Periodo1[[#This Row],[DEBITOS]]</f>
        <v>-3046.4</v>
      </c>
      <c r="S224" s="3" t="str">
        <f>IF(ISERROR(VLOOKUP(Base_Periodo1[[#This Row],[CONTA]],BaseContasDRE[#All],4,FALSE)),"Fora do DRE",VLOOKUP(Base_Periodo1[[#This Row],[CONTA]],BaseContasDRE[#All],4,FALSE))</f>
        <v>Fora do DRE</v>
      </c>
      <c r="T224" s="3" t="str">
        <f>IF(ISERROR(VLOOKUP(Base_Periodo1[[#This Row],[CONTA]],BaseContasDRE[#All],5,FALSE)),"Fora do DRE",VLOOKUP(Base_Periodo1[[#This Row],[CONTA]],BaseContasDRE[#All],6,FALSE))</f>
        <v>Fora do DRE</v>
      </c>
      <c r="U224" s="3" t="str">
        <f>IF(ISERROR(VLOOKUP(Base_Periodo1[[#This Row],[CONTA]],BaseContasDRE[#All],7,FALSE)),"Fora do DRE",VLOOKUP(Base_Periodo1[[#This Row],[CONTA]],BaseContasDRE[#All],7,FALSE))</f>
        <v>Fora do DRE</v>
      </c>
      <c r="V224" s="3" t="str">
        <f>IF(Base_Periodo1[[#This Row],[Tipo_Linha]]="Fora do DRE","Fora do DRE","( "&amp;Base_Periodo1[[#This Row],[Tipo_Linha]]&amp;" ) "&amp;Base_Periodo1[[#This Row],[Filtro]])</f>
        <v>Fora do DRE</v>
      </c>
      <c r="W224" s="3" t="str">
        <f>LEFT(Base_Periodo1[[#This Row],[CLASS]],3)</f>
        <v>1.1</v>
      </c>
    </row>
    <row r="225" spans="1:23" hidden="1">
      <c r="A225" s="3" t="str">
        <f t="shared" si="3"/>
        <v>Período 1</v>
      </c>
      <c r="B225">
        <v>5260</v>
      </c>
      <c r="C225" t="s">
        <v>503</v>
      </c>
      <c r="D225" t="s">
        <v>4193</v>
      </c>
      <c r="E225" s="3" t="str">
        <f>IF(LEN(Base_Periodo1[[#This Row],[CLASS]])&gt;=7,LEFT(Base_Periodo1[[#This Row],[CLASS]],7),"")</f>
        <v>1.1.2.1</v>
      </c>
      <c r="F225" s="3" t="str">
        <f>VLOOKUP(Base_Periodo1[[#This Row],[Aux]],Base_Contas_Balanco[#All],2,FALSE)</f>
        <v>Creditos com Cooperados</v>
      </c>
      <c r="G225" s="1">
        <v>42885</v>
      </c>
      <c r="H225" s="225">
        <v>516818.64999999292</v>
      </c>
      <c r="I225" s="225">
        <v>197859.41</v>
      </c>
      <c r="J225" s="225">
        <v>287014.23999999993</v>
      </c>
      <c r="K225" s="225">
        <v>427663.81999999302</v>
      </c>
      <c r="L2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427663.82</v>
      </c>
      <c r="M225" s="225">
        <f>ROUND(IF(AND(Base_Periodo1[[#This Row],[Tipo_Linha]]="-",Base_Periodo1[[#This Row],[TIPOSALDO]]="D"),Base_Periodo1[[#This Row],[SALDO_ATUAL]]*-1,Base_Periodo1[[#This Row],[SALDO_ATUAL]]),4)</f>
        <v>427663.82</v>
      </c>
      <c r="N225" t="s">
        <v>116</v>
      </c>
      <c r="O225" t="s">
        <v>397</v>
      </c>
      <c r="P225" t="s">
        <v>397</v>
      </c>
      <c r="Q225">
        <v>7</v>
      </c>
      <c r="R225" s="225">
        <f>Base_Periodo1[[#This Row],[CREDITOS]]-Base_Periodo1[[#This Row],[DEBITOS]]</f>
        <v>89154.829999999929</v>
      </c>
      <c r="S225" s="3" t="str">
        <f>IF(ISERROR(VLOOKUP(Base_Periodo1[[#This Row],[CONTA]],BaseContasDRE[#All],4,FALSE)),"Fora do DRE",VLOOKUP(Base_Periodo1[[#This Row],[CONTA]],BaseContasDRE[#All],4,FALSE))</f>
        <v>Fora do DRE</v>
      </c>
      <c r="T225" s="3" t="str">
        <f>IF(ISERROR(VLOOKUP(Base_Periodo1[[#This Row],[CONTA]],BaseContasDRE[#All],5,FALSE)),"Fora do DRE",VLOOKUP(Base_Periodo1[[#This Row],[CONTA]],BaseContasDRE[#All],6,FALSE))</f>
        <v>Fora do DRE</v>
      </c>
      <c r="U225" s="3" t="str">
        <f>IF(ISERROR(VLOOKUP(Base_Periodo1[[#This Row],[CONTA]],BaseContasDRE[#All],7,FALSE)),"Fora do DRE",VLOOKUP(Base_Periodo1[[#This Row],[CONTA]],BaseContasDRE[#All],7,FALSE))</f>
        <v>Fora do DRE</v>
      </c>
      <c r="V225" s="3" t="str">
        <f>IF(Base_Periodo1[[#This Row],[Tipo_Linha]]="Fora do DRE","Fora do DRE","( "&amp;Base_Periodo1[[#This Row],[Tipo_Linha]]&amp;" ) "&amp;Base_Periodo1[[#This Row],[Filtro]])</f>
        <v>Fora do DRE</v>
      </c>
      <c r="W225" s="3" t="str">
        <f>LEFT(Base_Periodo1[[#This Row],[CLASS]],3)</f>
        <v>1.1</v>
      </c>
    </row>
    <row r="226" spans="1:23" hidden="1">
      <c r="A226" s="3" t="str">
        <f t="shared" si="3"/>
        <v>Período 1</v>
      </c>
      <c r="B226">
        <v>26726</v>
      </c>
      <c r="C226" t="s">
        <v>503</v>
      </c>
      <c r="D226" t="s">
        <v>5377</v>
      </c>
      <c r="E226" s="3" t="str">
        <f>IF(LEN(Base_Periodo1[[#This Row],[CLASS]])&gt;=7,LEFT(Base_Periodo1[[#This Row],[CLASS]],7),"")</f>
        <v>1.1.2.1</v>
      </c>
      <c r="F226" s="3" t="str">
        <f>VLOOKUP(Base_Periodo1[[#This Row],[Aux]],Base_Contas_Balanco[#All],2,FALSE)</f>
        <v>Creditos com Cooperados</v>
      </c>
      <c r="G226" s="1">
        <v>42860</v>
      </c>
      <c r="H226" s="225">
        <v>24135</v>
      </c>
      <c r="I226" s="225">
        <v>0</v>
      </c>
      <c r="J226" s="225">
        <v>18495</v>
      </c>
      <c r="K226" s="225">
        <v>5640</v>
      </c>
      <c r="L2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5640</v>
      </c>
      <c r="M226" s="225">
        <f>ROUND(IF(AND(Base_Periodo1[[#This Row],[Tipo_Linha]]="-",Base_Periodo1[[#This Row],[TIPOSALDO]]="D"),Base_Periodo1[[#This Row],[SALDO_ATUAL]]*-1,Base_Periodo1[[#This Row],[SALDO_ATUAL]]),4)</f>
        <v>5640</v>
      </c>
      <c r="N226" t="s">
        <v>116</v>
      </c>
      <c r="O226" t="s">
        <v>397</v>
      </c>
      <c r="P226" t="s">
        <v>397</v>
      </c>
      <c r="Q226">
        <v>7</v>
      </c>
      <c r="R226" s="225">
        <f>Base_Periodo1[[#This Row],[CREDITOS]]-Base_Periodo1[[#This Row],[DEBITOS]]</f>
        <v>18495</v>
      </c>
      <c r="S226" s="3" t="str">
        <f>IF(ISERROR(VLOOKUP(Base_Periodo1[[#This Row],[CONTA]],BaseContasDRE[#All],4,FALSE)),"Fora do DRE",VLOOKUP(Base_Periodo1[[#This Row],[CONTA]],BaseContasDRE[#All],4,FALSE))</f>
        <v>Fora do DRE</v>
      </c>
      <c r="T226" s="3" t="str">
        <f>IF(ISERROR(VLOOKUP(Base_Periodo1[[#This Row],[CONTA]],BaseContasDRE[#All],5,FALSE)),"Fora do DRE",VLOOKUP(Base_Periodo1[[#This Row],[CONTA]],BaseContasDRE[#All],6,FALSE))</f>
        <v>Fora do DRE</v>
      </c>
      <c r="U226" s="3" t="str">
        <f>IF(ISERROR(VLOOKUP(Base_Periodo1[[#This Row],[CONTA]],BaseContasDRE[#All],7,FALSE)),"Fora do DRE",VLOOKUP(Base_Periodo1[[#This Row],[CONTA]],BaseContasDRE[#All],7,FALSE))</f>
        <v>Fora do DRE</v>
      </c>
      <c r="V226" s="3" t="str">
        <f>IF(Base_Periodo1[[#This Row],[Tipo_Linha]]="Fora do DRE","Fora do DRE","( "&amp;Base_Periodo1[[#This Row],[Tipo_Linha]]&amp;" ) "&amp;Base_Periodo1[[#This Row],[Filtro]])</f>
        <v>Fora do DRE</v>
      </c>
      <c r="W226" s="3" t="str">
        <f>LEFT(Base_Periodo1[[#This Row],[CLASS]],3)</f>
        <v>1.1</v>
      </c>
    </row>
    <row r="227" spans="1:23" hidden="1">
      <c r="A227" s="3" t="str">
        <f t="shared" si="3"/>
        <v>Período 1</v>
      </c>
      <c r="B227">
        <v>4164</v>
      </c>
      <c r="C227" t="s">
        <v>503</v>
      </c>
      <c r="D227" t="s">
        <v>588</v>
      </c>
      <c r="E227" s="3" t="str">
        <f>IF(LEN(Base_Periodo1[[#This Row],[CLASS]])&gt;=7,LEFT(Base_Periodo1[[#This Row],[CLASS]],7),"")</f>
        <v>1.1.2.1</v>
      </c>
      <c r="F227" s="3" t="str">
        <f>VLOOKUP(Base_Periodo1[[#This Row],[Aux]],Base_Contas_Balanco[#All],2,FALSE)</f>
        <v>Creditos com Cooperados</v>
      </c>
      <c r="G227" s="1">
        <v>42852</v>
      </c>
      <c r="H227" s="225">
        <v>737.9199999999546</v>
      </c>
      <c r="I227" s="225">
        <v>0</v>
      </c>
      <c r="J227" s="225">
        <v>0</v>
      </c>
      <c r="K227" s="225">
        <v>737.9199999999546</v>
      </c>
      <c r="L2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737.92</v>
      </c>
      <c r="M227" s="225">
        <f>ROUND(IF(AND(Base_Periodo1[[#This Row],[Tipo_Linha]]="-",Base_Periodo1[[#This Row],[TIPOSALDO]]="D"),Base_Periodo1[[#This Row],[SALDO_ATUAL]]*-1,Base_Periodo1[[#This Row],[SALDO_ATUAL]]),4)</f>
        <v>737.92</v>
      </c>
      <c r="N227" t="s">
        <v>116</v>
      </c>
      <c r="O227" t="s">
        <v>397</v>
      </c>
      <c r="P227" t="s">
        <v>397</v>
      </c>
      <c r="Q227">
        <v>7</v>
      </c>
      <c r="R227" s="225">
        <f>Base_Periodo1[[#This Row],[CREDITOS]]-Base_Periodo1[[#This Row],[DEBITOS]]</f>
        <v>0</v>
      </c>
      <c r="S227" s="3" t="str">
        <f>IF(ISERROR(VLOOKUP(Base_Periodo1[[#This Row],[CONTA]],BaseContasDRE[#All],4,FALSE)),"Fora do DRE",VLOOKUP(Base_Periodo1[[#This Row],[CONTA]],BaseContasDRE[#All],4,FALSE))</f>
        <v>Fora do DRE</v>
      </c>
      <c r="T227" s="3" t="str">
        <f>IF(ISERROR(VLOOKUP(Base_Periodo1[[#This Row],[CONTA]],BaseContasDRE[#All],5,FALSE)),"Fora do DRE",VLOOKUP(Base_Periodo1[[#This Row],[CONTA]],BaseContasDRE[#All],6,FALSE))</f>
        <v>Fora do DRE</v>
      </c>
      <c r="U227" s="3" t="str">
        <f>IF(ISERROR(VLOOKUP(Base_Periodo1[[#This Row],[CONTA]],BaseContasDRE[#All],7,FALSE)),"Fora do DRE",VLOOKUP(Base_Periodo1[[#This Row],[CONTA]],BaseContasDRE[#All],7,FALSE))</f>
        <v>Fora do DRE</v>
      </c>
      <c r="V227" s="3" t="str">
        <f>IF(Base_Periodo1[[#This Row],[Tipo_Linha]]="Fora do DRE","Fora do DRE","( "&amp;Base_Periodo1[[#This Row],[Tipo_Linha]]&amp;" ) "&amp;Base_Periodo1[[#This Row],[Filtro]])</f>
        <v>Fora do DRE</v>
      </c>
      <c r="W227" s="3" t="str">
        <f>LEFT(Base_Periodo1[[#This Row],[CLASS]],3)</f>
        <v>1.1</v>
      </c>
    </row>
    <row r="228" spans="1:23" hidden="1">
      <c r="A228" s="3" t="str">
        <f t="shared" si="3"/>
        <v>Período 1</v>
      </c>
      <c r="B228">
        <v>48258</v>
      </c>
      <c r="C228" t="s">
        <v>503</v>
      </c>
      <c r="D228" t="s">
        <v>589</v>
      </c>
      <c r="E228" s="3" t="str">
        <f>IF(LEN(Base_Periodo1[[#This Row],[CLASS]])&gt;=7,LEFT(Base_Periodo1[[#This Row],[CLASS]],7),"")</f>
        <v>1.1.2.1</v>
      </c>
      <c r="F228" s="3" t="str">
        <f>VLOOKUP(Base_Periodo1[[#This Row],[Aux]],Base_Contas_Balanco[#All],2,FALSE)</f>
        <v>Creditos com Cooperados</v>
      </c>
      <c r="G228" s="1">
        <v>42870</v>
      </c>
      <c r="H228" s="225">
        <v>5219.9999999999418</v>
      </c>
      <c r="I228" s="225">
        <v>130</v>
      </c>
      <c r="J228" s="225">
        <v>0</v>
      </c>
      <c r="K228" s="225">
        <v>5349.9999999999418</v>
      </c>
      <c r="L2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5350</v>
      </c>
      <c r="M228" s="225">
        <f>ROUND(IF(AND(Base_Periodo1[[#This Row],[Tipo_Linha]]="-",Base_Periodo1[[#This Row],[TIPOSALDO]]="D"),Base_Periodo1[[#This Row],[SALDO_ATUAL]]*-1,Base_Periodo1[[#This Row],[SALDO_ATUAL]]),4)</f>
        <v>5350</v>
      </c>
      <c r="N228" t="s">
        <v>116</v>
      </c>
      <c r="O228" t="s">
        <v>397</v>
      </c>
      <c r="P228" t="s">
        <v>397</v>
      </c>
      <c r="Q228">
        <v>7</v>
      </c>
      <c r="R228" s="225">
        <f>Base_Periodo1[[#This Row],[CREDITOS]]-Base_Periodo1[[#This Row],[DEBITOS]]</f>
        <v>-130</v>
      </c>
      <c r="S228" s="3" t="str">
        <f>IF(ISERROR(VLOOKUP(Base_Periodo1[[#This Row],[CONTA]],BaseContasDRE[#All],4,FALSE)),"Fora do DRE",VLOOKUP(Base_Periodo1[[#This Row],[CONTA]],BaseContasDRE[#All],4,FALSE))</f>
        <v>Fora do DRE</v>
      </c>
      <c r="T228" s="3" t="str">
        <f>IF(ISERROR(VLOOKUP(Base_Periodo1[[#This Row],[CONTA]],BaseContasDRE[#All],5,FALSE)),"Fora do DRE",VLOOKUP(Base_Periodo1[[#This Row],[CONTA]],BaseContasDRE[#All],6,FALSE))</f>
        <v>Fora do DRE</v>
      </c>
      <c r="U228" s="3" t="str">
        <f>IF(ISERROR(VLOOKUP(Base_Periodo1[[#This Row],[CONTA]],BaseContasDRE[#All],7,FALSE)),"Fora do DRE",VLOOKUP(Base_Periodo1[[#This Row],[CONTA]],BaseContasDRE[#All],7,FALSE))</f>
        <v>Fora do DRE</v>
      </c>
      <c r="V228" s="3" t="str">
        <f>IF(Base_Periodo1[[#This Row],[Tipo_Linha]]="Fora do DRE","Fora do DRE","( "&amp;Base_Periodo1[[#This Row],[Tipo_Linha]]&amp;" ) "&amp;Base_Periodo1[[#This Row],[Filtro]])</f>
        <v>Fora do DRE</v>
      </c>
      <c r="W228" s="3" t="str">
        <f>LEFT(Base_Periodo1[[#This Row],[CLASS]],3)</f>
        <v>1.1</v>
      </c>
    </row>
    <row r="229" spans="1:23" hidden="1">
      <c r="A229" s="3" t="str">
        <f t="shared" si="3"/>
        <v>Período 1</v>
      </c>
      <c r="B229">
        <v>4528</v>
      </c>
      <c r="C229" t="s">
        <v>503</v>
      </c>
      <c r="D229" t="s">
        <v>590</v>
      </c>
      <c r="E229" s="3" t="str">
        <f>IF(LEN(Base_Periodo1[[#This Row],[CLASS]])&gt;=7,LEFT(Base_Periodo1[[#This Row],[CLASS]],7),"")</f>
        <v>1.1.2.1</v>
      </c>
      <c r="F229" s="3" t="str">
        <f>VLOOKUP(Base_Periodo1[[#This Row],[Aux]],Base_Contas_Balanco[#All],2,FALSE)</f>
        <v>Creditos com Cooperados</v>
      </c>
      <c r="G229" s="1">
        <v>42824</v>
      </c>
      <c r="H229" s="225">
        <v>43.149999998509884</v>
      </c>
      <c r="I229" s="225">
        <v>0</v>
      </c>
      <c r="J229" s="225">
        <v>0</v>
      </c>
      <c r="K229" s="225">
        <v>43.149999998509884</v>
      </c>
      <c r="L2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43.15</v>
      </c>
      <c r="M229" s="225">
        <f>ROUND(IF(AND(Base_Periodo1[[#This Row],[Tipo_Linha]]="-",Base_Periodo1[[#This Row],[TIPOSALDO]]="D"),Base_Periodo1[[#This Row],[SALDO_ATUAL]]*-1,Base_Periodo1[[#This Row],[SALDO_ATUAL]]),4)</f>
        <v>43.15</v>
      </c>
      <c r="N229" t="s">
        <v>116</v>
      </c>
      <c r="O229" t="s">
        <v>397</v>
      </c>
      <c r="P229" t="s">
        <v>397</v>
      </c>
      <c r="Q229">
        <v>7</v>
      </c>
      <c r="R229" s="225">
        <f>Base_Periodo1[[#This Row],[CREDITOS]]-Base_Periodo1[[#This Row],[DEBITOS]]</f>
        <v>0</v>
      </c>
      <c r="S229" s="3" t="str">
        <f>IF(ISERROR(VLOOKUP(Base_Periodo1[[#This Row],[CONTA]],BaseContasDRE[#All],4,FALSE)),"Fora do DRE",VLOOKUP(Base_Periodo1[[#This Row],[CONTA]],BaseContasDRE[#All],4,FALSE))</f>
        <v>Fora do DRE</v>
      </c>
      <c r="T229" s="3" t="str">
        <f>IF(ISERROR(VLOOKUP(Base_Periodo1[[#This Row],[CONTA]],BaseContasDRE[#All],5,FALSE)),"Fora do DRE",VLOOKUP(Base_Periodo1[[#This Row],[CONTA]],BaseContasDRE[#All],6,FALSE))</f>
        <v>Fora do DRE</v>
      </c>
      <c r="U229" s="3" t="str">
        <f>IF(ISERROR(VLOOKUP(Base_Periodo1[[#This Row],[CONTA]],BaseContasDRE[#All],7,FALSE)),"Fora do DRE",VLOOKUP(Base_Periodo1[[#This Row],[CONTA]],BaseContasDRE[#All],7,FALSE))</f>
        <v>Fora do DRE</v>
      </c>
      <c r="V229" s="3" t="str">
        <f>IF(Base_Periodo1[[#This Row],[Tipo_Linha]]="Fora do DRE","Fora do DRE","( "&amp;Base_Periodo1[[#This Row],[Tipo_Linha]]&amp;" ) "&amp;Base_Periodo1[[#This Row],[Filtro]])</f>
        <v>Fora do DRE</v>
      </c>
      <c r="W229" s="3" t="str">
        <f>LEFT(Base_Periodo1[[#This Row],[CLASS]],3)</f>
        <v>1.1</v>
      </c>
    </row>
    <row r="230" spans="1:23" hidden="1">
      <c r="A230" s="3" t="str">
        <f t="shared" si="3"/>
        <v>Período 1</v>
      </c>
      <c r="B230">
        <v>57916</v>
      </c>
      <c r="C230" t="s">
        <v>503</v>
      </c>
      <c r="D230" t="s">
        <v>5178</v>
      </c>
      <c r="E230" s="3" t="str">
        <f>IF(LEN(Base_Periodo1[[#This Row],[CLASS]])&gt;=7,LEFT(Base_Periodo1[[#This Row],[CLASS]],7),"")</f>
        <v>1.1.2.1</v>
      </c>
      <c r="F230" s="3" t="str">
        <f>VLOOKUP(Base_Periodo1[[#This Row],[Aux]],Base_Contas_Balanco[#All],2,FALSE)</f>
        <v>Creditos com Cooperados</v>
      </c>
      <c r="G230" s="1">
        <v>42824</v>
      </c>
      <c r="H230" s="225">
        <v>11077.05</v>
      </c>
      <c r="I230" s="225">
        <v>0</v>
      </c>
      <c r="J230" s="225">
        <v>0</v>
      </c>
      <c r="K230" s="225">
        <v>11077.05</v>
      </c>
      <c r="L2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11077.05</v>
      </c>
      <c r="M230" s="225">
        <f>ROUND(IF(AND(Base_Periodo1[[#This Row],[Tipo_Linha]]="-",Base_Periodo1[[#This Row],[TIPOSALDO]]="D"),Base_Periodo1[[#This Row],[SALDO_ATUAL]]*-1,Base_Periodo1[[#This Row],[SALDO_ATUAL]]),4)</f>
        <v>11077.05</v>
      </c>
      <c r="N230" t="s">
        <v>116</v>
      </c>
      <c r="O230" t="s">
        <v>397</v>
      </c>
      <c r="P230" t="s">
        <v>397</v>
      </c>
      <c r="Q230">
        <v>7</v>
      </c>
      <c r="R230" s="225">
        <f>Base_Periodo1[[#This Row],[CREDITOS]]-Base_Periodo1[[#This Row],[DEBITOS]]</f>
        <v>0</v>
      </c>
      <c r="S230" s="3" t="str">
        <f>IF(ISERROR(VLOOKUP(Base_Periodo1[[#This Row],[CONTA]],BaseContasDRE[#All],4,FALSE)),"Fora do DRE",VLOOKUP(Base_Periodo1[[#This Row],[CONTA]],BaseContasDRE[#All],4,FALSE))</f>
        <v>Fora do DRE</v>
      </c>
      <c r="T230" s="3" t="str">
        <f>IF(ISERROR(VLOOKUP(Base_Periodo1[[#This Row],[CONTA]],BaseContasDRE[#All],5,FALSE)),"Fora do DRE",VLOOKUP(Base_Periodo1[[#This Row],[CONTA]],BaseContasDRE[#All],6,FALSE))</f>
        <v>Fora do DRE</v>
      </c>
      <c r="U230" s="3" t="str">
        <f>IF(ISERROR(VLOOKUP(Base_Periodo1[[#This Row],[CONTA]],BaseContasDRE[#All],7,FALSE)),"Fora do DRE",VLOOKUP(Base_Periodo1[[#This Row],[CONTA]],BaseContasDRE[#All],7,FALSE))</f>
        <v>Fora do DRE</v>
      </c>
      <c r="V230" s="3" t="str">
        <f>IF(Base_Periodo1[[#This Row],[Tipo_Linha]]="Fora do DRE","Fora do DRE","( "&amp;Base_Periodo1[[#This Row],[Tipo_Linha]]&amp;" ) "&amp;Base_Periodo1[[#This Row],[Filtro]])</f>
        <v>Fora do DRE</v>
      </c>
      <c r="W230" s="3" t="str">
        <f>LEFT(Base_Periodo1[[#This Row],[CLASS]],3)</f>
        <v>1.1</v>
      </c>
    </row>
    <row r="231" spans="1:23" hidden="1">
      <c r="A231" s="3" t="str">
        <f t="shared" si="3"/>
        <v>Período 1</v>
      </c>
      <c r="B231">
        <v>25606</v>
      </c>
      <c r="C231" t="s">
        <v>503</v>
      </c>
      <c r="D231" t="s">
        <v>4904</v>
      </c>
      <c r="E231" s="3" t="str">
        <f>IF(LEN(Base_Periodo1[[#This Row],[CLASS]])&gt;=7,LEFT(Base_Periodo1[[#This Row],[CLASS]],7),"")</f>
        <v>1.1.2.1</v>
      </c>
      <c r="F231" s="3" t="str">
        <f>VLOOKUP(Base_Periodo1[[#This Row],[Aux]],Base_Contas_Balanco[#All],2,FALSE)</f>
        <v>Creditos com Cooperados</v>
      </c>
      <c r="G231" s="1">
        <v>42878</v>
      </c>
      <c r="H231" s="225">
        <v>34456.370000000345</v>
      </c>
      <c r="I231" s="225">
        <v>59905.750000000007</v>
      </c>
      <c r="J231" s="225">
        <v>25301.37</v>
      </c>
      <c r="K231" s="225">
        <v>69060.750000000349</v>
      </c>
      <c r="L2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69060.75</v>
      </c>
      <c r="M231" s="225">
        <f>ROUND(IF(AND(Base_Periodo1[[#This Row],[Tipo_Linha]]="-",Base_Periodo1[[#This Row],[TIPOSALDO]]="D"),Base_Periodo1[[#This Row],[SALDO_ATUAL]]*-1,Base_Periodo1[[#This Row],[SALDO_ATUAL]]),4)</f>
        <v>69060.75</v>
      </c>
      <c r="N231" t="s">
        <v>116</v>
      </c>
      <c r="O231" t="s">
        <v>397</v>
      </c>
      <c r="P231" t="s">
        <v>397</v>
      </c>
      <c r="Q231">
        <v>7</v>
      </c>
      <c r="R231" s="225">
        <f>Base_Periodo1[[#This Row],[CREDITOS]]-Base_Periodo1[[#This Row],[DEBITOS]]</f>
        <v>-34604.380000000005</v>
      </c>
      <c r="S231" s="3" t="str">
        <f>IF(ISERROR(VLOOKUP(Base_Periodo1[[#This Row],[CONTA]],BaseContasDRE[#All],4,FALSE)),"Fora do DRE",VLOOKUP(Base_Periodo1[[#This Row],[CONTA]],BaseContasDRE[#All],4,FALSE))</f>
        <v>Fora do DRE</v>
      </c>
      <c r="T231" s="3" t="str">
        <f>IF(ISERROR(VLOOKUP(Base_Periodo1[[#This Row],[CONTA]],BaseContasDRE[#All],5,FALSE)),"Fora do DRE",VLOOKUP(Base_Periodo1[[#This Row],[CONTA]],BaseContasDRE[#All],6,FALSE))</f>
        <v>Fora do DRE</v>
      </c>
      <c r="U231" s="3" t="str">
        <f>IF(ISERROR(VLOOKUP(Base_Periodo1[[#This Row],[CONTA]],BaseContasDRE[#All],7,FALSE)),"Fora do DRE",VLOOKUP(Base_Periodo1[[#This Row],[CONTA]],BaseContasDRE[#All],7,FALSE))</f>
        <v>Fora do DRE</v>
      </c>
      <c r="V231" s="3" t="str">
        <f>IF(Base_Periodo1[[#This Row],[Tipo_Linha]]="Fora do DRE","Fora do DRE","( "&amp;Base_Periodo1[[#This Row],[Tipo_Linha]]&amp;" ) "&amp;Base_Periodo1[[#This Row],[Filtro]])</f>
        <v>Fora do DRE</v>
      </c>
      <c r="W231" s="3" t="str">
        <f>LEFT(Base_Periodo1[[#This Row],[CLASS]],3)</f>
        <v>1.1</v>
      </c>
    </row>
    <row r="232" spans="1:23" hidden="1">
      <c r="A232" s="3" t="str">
        <f t="shared" si="3"/>
        <v>Período 1</v>
      </c>
      <c r="B232">
        <v>53680</v>
      </c>
      <c r="C232" t="s">
        <v>503</v>
      </c>
      <c r="D232" t="s">
        <v>4771</v>
      </c>
      <c r="E232" s="3" t="str">
        <f>IF(LEN(Base_Periodo1[[#This Row],[CLASS]])&gt;=7,LEFT(Base_Periodo1[[#This Row],[CLASS]],7),"")</f>
        <v>1.1.2.1</v>
      </c>
      <c r="F232" s="3" t="str">
        <f>VLOOKUP(Base_Periodo1[[#This Row],[Aux]],Base_Contas_Balanco[#All],2,FALSE)</f>
        <v>Creditos com Cooperados</v>
      </c>
      <c r="G232" s="1">
        <v>42871</v>
      </c>
      <c r="H232" s="225">
        <v>615</v>
      </c>
      <c r="I232" s="225">
        <v>837.4</v>
      </c>
      <c r="J232" s="225">
        <v>0</v>
      </c>
      <c r="K232" s="225">
        <v>1452.4</v>
      </c>
      <c r="L2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1452.4</v>
      </c>
      <c r="M232" s="225">
        <f>ROUND(IF(AND(Base_Periodo1[[#This Row],[Tipo_Linha]]="-",Base_Periodo1[[#This Row],[TIPOSALDO]]="D"),Base_Periodo1[[#This Row],[SALDO_ATUAL]]*-1,Base_Periodo1[[#This Row],[SALDO_ATUAL]]),4)</f>
        <v>1452.4</v>
      </c>
      <c r="N232" t="s">
        <v>116</v>
      </c>
      <c r="O232" t="s">
        <v>397</v>
      </c>
      <c r="P232" t="s">
        <v>397</v>
      </c>
      <c r="Q232">
        <v>7</v>
      </c>
      <c r="R232" s="225">
        <f>Base_Periodo1[[#This Row],[CREDITOS]]-Base_Periodo1[[#This Row],[DEBITOS]]</f>
        <v>-837.4</v>
      </c>
      <c r="S232" s="3" t="str">
        <f>IF(ISERROR(VLOOKUP(Base_Periodo1[[#This Row],[CONTA]],BaseContasDRE[#All],4,FALSE)),"Fora do DRE",VLOOKUP(Base_Periodo1[[#This Row],[CONTA]],BaseContasDRE[#All],4,FALSE))</f>
        <v>Fora do DRE</v>
      </c>
      <c r="T232" s="3" t="str">
        <f>IF(ISERROR(VLOOKUP(Base_Periodo1[[#This Row],[CONTA]],BaseContasDRE[#All],5,FALSE)),"Fora do DRE",VLOOKUP(Base_Periodo1[[#This Row],[CONTA]],BaseContasDRE[#All],6,FALSE))</f>
        <v>Fora do DRE</v>
      </c>
      <c r="U232" s="3" t="str">
        <f>IF(ISERROR(VLOOKUP(Base_Periodo1[[#This Row],[CONTA]],BaseContasDRE[#All],7,FALSE)),"Fora do DRE",VLOOKUP(Base_Periodo1[[#This Row],[CONTA]],BaseContasDRE[#All],7,FALSE))</f>
        <v>Fora do DRE</v>
      </c>
      <c r="V232" s="3" t="str">
        <f>IF(Base_Periodo1[[#This Row],[Tipo_Linha]]="Fora do DRE","Fora do DRE","( "&amp;Base_Periodo1[[#This Row],[Tipo_Linha]]&amp;" ) "&amp;Base_Periodo1[[#This Row],[Filtro]])</f>
        <v>Fora do DRE</v>
      </c>
      <c r="W232" s="3" t="str">
        <f>LEFT(Base_Periodo1[[#This Row],[CLASS]],3)</f>
        <v>1.1</v>
      </c>
    </row>
    <row r="233" spans="1:23" hidden="1">
      <c r="A233" s="3" t="str">
        <f t="shared" si="3"/>
        <v>Período 1</v>
      </c>
      <c r="B233">
        <v>8428</v>
      </c>
      <c r="C233" t="s">
        <v>503</v>
      </c>
      <c r="D233" t="s">
        <v>6120</v>
      </c>
      <c r="E233" s="3" t="str">
        <f>IF(LEN(Base_Periodo1[[#This Row],[CLASS]])&gt;=7,LEFT(Base_Periodo1[[#This Row],[CLASS]],7),"")</f>
        <v>1.1.2.1</v>
      </c>
      <c r="F233" s="3" t="str">
        <f>VLOOKUP(Base_Periodo1[[#This Row],[Aux]],Base_Contas_Balanco[#All],2,FALSE)</f>
        <v>Creditos com Cooperados</v>
      </c>
      <c r="G233" s="1">
        <v>42840</v>
      </c>
      <c r="H233" s="225">
        <v>1125</v>
      </c>
      <c r="I233" s="225">
        <v>0</v>
      </c>
      <c r="J233" s="225">
        <v>0</v>
      </c>
      <c r="K233" s="225">
        <v>1125</v>
      </c>
      <c r="L2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1125</v>
      </c>
      <c r="M233" s="225">
        <f>ROUND(IF(AND(Base_Periodo1[[#This Row],[Tipo_Linha]]="-",Base_Periodo1[[#This Row],[TIPOSALDO]]="D"),Base_Periodo1[[#This Row],[SALDO_ATUAL]]*-1,Base_Periodo1[[#This Row],[SALDO_ATUAL]]),4)</f>
        <v>1125</v>
      </c>
      <c r="N233" t="s">
        <v>116</v>
      </c>
      <c r="O233" t="s">
        <v>397</v>
      </c>
      <c r="P233" t="s">
        <v>397</v>
      </c>
      <c r="Q233">
        <v>7</v>
      </c>
      <c r="R233" s="225">
        <f>Base_Periodo1[[#This Row],[CREDITOS]]-Base_Periodo1[[#This Row],[DEBITOS]]</f>
        <v>0</v>
      </c>
      <c r="S233" s="3" t="str">
        <f>IF(ISERROR(VLOOKUP(Base_Periodo1[[#This Row],[CONTA]],BaseContasDRE[#All],4,FALSE)),"Fora do DRE",VLOOKUP(Base_Periodo1[[#This Row],[CONTA]],BaseContasDRE[#All],4,FALSE))</f>
        <v>Fora do DRE</v>
      </c>
      <c r="T233" s="3" t="str">
        <f>IF(ISERROR(VLOOKUP(Base_Periodo1[[#This Row],[CONTA]],BaseContasDRE[#All],5,FALSE)),"Fora do DRE",VLOOKUP(Base_Periodo1[[#This Row],[CONTA]],BaseContasDRE[#All],6,FALSE))</f>
        <v>Fora do DRE</v>
      </c>
      <c r="U233" s="3" t="str">
        <f>IF(ISERROR(VLOOKUP(Base_Periodo1[[#This Row],[CONTA]],BaseContasDRE[#All],7,FALSE)),"Fora do DRE",VLOOKUP(Base_Periodo1[[#This Row],[CONTA]],BaseContasDRE[#All],7,FALSE))</f>
        <v>Fora do DRE</v>
      </c>
      <c r="V233" s="3" t="str">
        <f>IF(Base_Periodo1[[#This Row],[Tipo_Linha]]="Fora do DRE","Fora do DRE","( "&amp;Base_Periodo1[[#This Row],[Tipo_Linha]]&amp;" ) "&amp;Base_Periodo1[[#This Row],[Filtro]])</f>
        <v>Fora do DRE</v>
      </c>
      <c r="W233" s="3" t="str">
        <f>LEFT(Base_Periodo1[[#This Row],[CLASS]],3)</f>
        <v>1.1</v>
      </c>
    </row>
    <row r="234" spans="1:23" hidden="1">
      <c r="A234" s="3" t="str">
        <f t="shared" si="3"/>
        <v>Período 1</v>
      </c>
      <c r="B234">
        <v>49425</v>
      </c>
      <c r="C234" t="s">
        <v>503</v>
      </c>
      <c r="D234" t="s">
        <v>938</v>
      </c>
      <c r="E234" s="3" t="str">
        <f>IF(LEN(Base_Periodo1[[#This Row],[CLASS]])&gt;=7,LEFT(Base_Periodo1[[#This Row],[CLASS]],7),"")</f>
        <v>1.1.2.1</v>
      </c>
      <c r="F234" s="3" t="str">
        <f>VLOOKUP(Base_Periodo1[[#This Row],[Aux]],Base_Contas_Balanco[#All],2,FALSE)</f>
        <v>Creditos com Cooperados</v>
      </c>
      <c r="G234" s="1">
        <v>42845</v>
      </c>
      <c r="H234" s="225">
        <v>741.15000000000873</v>
      </c>
      <c r="I234" s="225">
        <v>0</v>
      </c>
      <c r="J234" s="225">
        <v>0</v>
      </c>
      <c r="K234" s="225">
        <v>741.15000000000873</v>
      </c>
      <c r="L2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741.15</v>
      </c>
      <c r="M234" s="225">
        <f>ROUND(IF(AND(Base_Periodo1[[#This Row],[Tipo_Linha]]="-",Base_Periodo1[[#This Row],[TIPOSALDO]]="D"),Base_Periodo1[[#This Row],[SALDO_ATUAL]]*-1,Base_Periodo1[[#This Row],[SALDO_ATUAL]]),4)</f>
        <v>741.15</v>
      </c>
      <c r="N234" t="s">
        <v>116</v>
      </c>
      <c r="O234" t="s">
        <v>397</v>
      </c>
      <c r="P234" t="s">
        <v>397</v>
      </c>
      <c r="Q234">
        <v>7</v>
      </c>
      <c r="R234" s="225">
        <f>Base_Periodo1[[#This Row],[CREDITOS]]-Base_Periodo1[[#This Row],[DEBITOS]]</f>
        <v>0</v>
      </c>
      <c r="S234" s="3" t="str">
        <f>IF(ISERROR(VLOOKUP(Base_Periodo1[[#This Row],[CONTA]],BaseContasDRE[#All],4,FALSE)),"Fora do DRE",VLOOKUP(Base_Periodo1[[#This Row],[CONTA]],BaseContasDRE[#All],4,FALSE))</f>
        <v>Fora do DRE</v>
      </c>
      <c r="T234" s="3" t="str">
        <f>IF(ISERROR(VLOOKUP(Base_Periodo1[[#This Row],[CONTA]],BaseContasDRE[#All],5,FALSE)),"Fora do DRE",VLOOKUP(Base_Periodo1[[#This Row],[CONTA]],BaseContasDRE[#All],6,FALSE))</f>
        <v>Fora do DRE</v>
      </c>
      <c r="U234" s="3" t="str">
        <f>IF(ISERROR(VLOOKUP(Base_Periodo1[[#This Row],[CONTA]],BaseContasDRE[#All],7,FALSE)),"Fora do DRE",VLOOKUP(Base_Periodo1[[#This Row],[CONTA]],BaseContasDRE[#All],7,FALSE))</f>
        <v>Fora do DRE</v>
      </c>
      <c r="V234" s="3" t="str">
        <f>IF(Base_Periodo1[[#This Row],[Tipo_Linha]]="Fora do DRE","Fora do DRE","( "&amp;Base_Periodo1[[#This Row],[Tipo_Linha]]&amp;" ) "&amp;Base_Periodo1[[#This Row],[Filtro]])</f>
        <v>Fora do DRE</v>
      </c>
      <c r="W234" s="3" t="str">
        <f>LEFT(Base_Periodo1[[#This Row],[CLASS]],3)</f>
        <v>1.1</v>
      </c>
    </row>
    <row r="235" spans="1:23" hidden="1">
      <c r="A235" s="3" t="str">
        <f t="shared" si="3"/>
        <v>Período 1</v>
      </c>
      <c r="B235">
        <v>4508</v>
      </c>
      <c r="C235" t="s">
        <v>503</v>
      </c>
      <c r="D235" t="s">
        <v>591</v>
      </c>
      <c r="E235" s="3" t="str">
        <f>IF(LEN(Base_Periodo1[[#This Row],[CLASS]])&gt;=7,LEFT(Base_Periodo1[[#This Row],[CLASS]],7),"")</f>
        <v>1.1.2.1</v>
      </c>
      <c r="F235" s="3" t="str">
        <f>VLOOKUP(Base_Periodo1[[#This Row],[Aux]],Base_Contas_Balanco[#All],2,FALSE)</f>
        <v>Creditos com Cooperados</v>
      </c>
      <c r="G235" s="1">
        <v>42880</v>
      </c>
      <c r="H235" s="225">
        <v>653717.01999998093</v>
      </c>
      <c r="I235" s="225">
        <v>1640235.6400000001</v>
      </c>
      <c r="J235" s="225">
        <v>828817.82000000007</v>
      </c>
      <c r="K235" s="225">
        <v>1465134.839999981</v>
      </c>
      <c r="L2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1465134.84</v>
      </c>
      <c r="M235" s="225">
        <f>ROUND(IF(AND(Base_Periodo1[[#This Row],[Tipo_Linha]]="-",Base_Periodo1[[#This Row],[TIPOSALDO]]="D"),Base_Periodo1[[#This Row],[SALDO_ATUAL]]*-1,Base_Periodo1[[#This Row],[SALDO_ATUAL]]),4)</f>
        <v>1465134.84</v>
      </c>
      <c r="N235" t="s">
        <v>116</v>
      </c>
      <c r="O235" t="s">
        <v>397</v>
      </c>
      <c r="P235" t="s">
        <v>397</v>
      </c>
      <c r="Q235">
        <v>7</v>
      </c>
      <c r="R235" s="225">
        <f>Base_Periodo1[[#This Row],[CREDITOS]]-Base_Periodo1[[#This Row],[DEBITOS]]</f>
        <v>-811417.82000000007</v>
      </c>
      <c r="S235" s="3" t="str">
        <f>IF(ISERROR(VLOOKUP(Base_Periodo1[[#This Row],[CONTA]],BaseContasDRE[#All],4,FALSE)),"Fora do DRE",VLOOKUP(Base_Periodo1[[#This Row],[CONTA]],BaseContasDRE[#All],4,FALSE))</f>
        <v>Fora do DRE</v>
      </c>
      <c r="T235" s="3" t="str">
        <f>IF(ISERROR(VLOOKUP(Base_Periodo1[[#This Row],[CONTA]],BaseContasDRE[#All],5,FALSE)),"Fora do DRE",VLOOKUP(Base_Periodo1[[#This Row],[CONTA]],BaseContasDRE[#All],6,FALSE))</f>
        <v>Fora do DRE</v>
      </c>
      <c r="U235" s="3" t="str">
        <f>IF(ISERROR(VLOOKUP(Base_Periodo1[[#This Row],[CONTA]],BaseContasDRE[#All],7,FALSE)),"Fora do DRE",VLOOKUP(Base_Periodo1[[#This Row],[CONTA]],BaseContasDRE[#All],7,FALSE))</f>
        <v>Fora do DRE</v>
      </c>
      <c r="V235" s="3" t="str">
        <f>IF(Base_Periodo1[[#This Row],[Tipo_Linha]]="Fora do DRE","Fora do DRE","( "&amp;Base_Periodo1[[#This Row],[Tipo_Linha]]&amp;" ) "&amp;Base_Periodo1[[#This Row],[Filtro]])</f>
        <v>Fora do DRE</v>
      </c>
      <c r="W235" s="3" t="str">
        <f>LEFT(Base_Periodo1[[#This Row],[CLASS]],3)</f>
        <v>1.1</v>
      </c>
    </row>
    <row r="236" spans="1:23" hidden="1">
      <c r="A236" s="3" t="str">
        <f t="shared" si="3"/>
        <v>Período 1</v>
      </c>
      <c r="B236">
        <v>3560</v>
      </c>
      <c r="C236" t="s">
        <v>503</v>
      </c>
      <c r="D236" t="s">
        <v>592</v>
      </c>
      <c r="E236" s="3" t="str">
        <f>IF(LEN(Base_Periodo1[[#This Row],[CLASS]])&gt;=7,LEFT(Base_Periodo1[[#This Row],[CLASS]],7),"")</f>
        <v>1.1.2.1</v>
      </c>
      <c r="F236" s="3" t="str">
        <f>VLOOKUP(Base_Periodo1[[#This Row],[Aux]],Base_Contas_Balanco[#All],2,FALSE)</f>
        <v>Creditos com Cooperados</v>
      </c>
      <c r="G236" s="1">
        <v>42881</v>
      </c>
      <c r="I236" s="225">
        <v>126651.84</v>
      </c>
      <c r="J236" s="225">
        <v>66131.28</v>
      </c>
      <c r="K236" s="225">
        <v>60520.560000011174</v>
      </c>
      <c r="L2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60520.56</v>
      </c>
      <c r="M236" s="225">
        <f>ROUND(IF(AND(Base_Periodo1[[#This Row],[Tipo_Linha]]="-",Base_Periodo1[[#This Row],[TIPOSALDO]]="D"),Base_Periodo1[[#This Row],[SALDO_ATUAL]]*-1,Base_Periodo1[[#This Row],[SALDO_ATUAL]]),4)</f>
        <v>60520.56</v>
      </c>
      <c r="N236" t="s">
        <v>116</v>
      </c>
      <c r="O236" t="s">
        <v>436</v>
      </c>
      <c r="P236" t="s">
        <v>397</v>
      </c>
      <c r="Q236">
        <v>7</v>
      </c>
      <c r="R236" s="225">
        <f>Base_Periodo1[[#This Row],[CREDITOS]]-Base_Periodo1[[#This Row],[DEBITOS]]</f>
        <v>-60520.56</v>
      </c>
      <c r="S236" s="3" t="str">
        <f>IF(ISERROR(VLOOKUP(Base_Periodo1[[#This Row],[CONTA]],BaseContasDRE[#All],4,FALSE)),"Fora do DRE",VLOOKUP(Base_Periodo1[[#This Row],[CONTA]],BaseContasDRE[#All],4,FALSE))</f>
        <v>Fora do DRE</v>
      </c>
      <c r="T236" s="3" t="str">
        <f>IF(ISERROR(VLOOKUP(Base_Periodo1[[#This Row],[CONTA]],BaseContasDRE[#All],5,FALSE)),"Fora do DRE",VLOOKUP(Base_Periodo1[[#This Row],[CONTA]],BaseContasDRE[#All],6,FALSE))</f>
        <v>Fora do DRE</v>
      </c>
      <c r="U236" s="3" t="str">
        <f>IF(ISERROR(VLOOKUP(Base_Periodo1[[#This Row],[CONTA]],BaseContasDRE[#All],7,FALSE)),"Fora do DRE",VLOOKUP(Base_Periodo1[[#This Row],[CONTA]],BaseContasDRE[#All],7,FALSE))</f>
        <v>Fora do DRE</v>
      </c>
      <c r="V236" s="3" t="str">
        <f>IF(Base_Periodo1[[#This Row],[Tipo_Linha]]="Fora do DRE","Fora do DRE","( "&amp;Base_Periodo1[[#This Row],[Tipo_Linha]]&amp;" ) "&amp;Base_Periodo1[[#This Row],[Filtro]])</f>
        <v>Fora do DRE</v>
      </c>
      <c r="W236" s="3" t="str">
        <f>LEFT(Base_Periodo1[[#This Row],[CLASS]],3)</f>
        <v>1.1</v>
      </c>
    </row>
    <row r="237" spans="1:23" hidden="1">
      <c r="A237" s="3" t="str">
        <f t="shared" si="3"/>
        <v>Período 1</v>
      </c>
      <c r="B237">
        <v>8580</v>
      </c>
      <c r="C237" t="s">
        <v>503</v>
      </c>
      <c r="D237" t="s">
        <v>593</v>
      </c>
      <c r="E237" s="3" t="str">
        <f>IF(LEN(Base_Periodo1[[#This Row],[CLASS]])&gt;=7,LEFT(Base_Periodo1[[#This Row],[CLASS]],7),"")</f>
        <v>1.1.2.1</v>
      </c>
      <c r="F237" s="3" t="str">
        <f>VLOOKUP(Base_Periodo1[[#This Row],[Aux]],Base_Contas_Balanco[#All],2,FALSE)</f>
        <v>Creditos com Cooperados</v>
      </c>
      <c r="G237" s="1">
        <v>42874</v>
      </c>
      <c r="I237" s="225">
        <v>5848.7</v>
      </c>
      <c r="J237" s="225">
        <v>0</v>
      </c>
      <c r="K237" s="225">
        <v>5848.6999999999707</v>
      </c>
      <c r="L2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5848.7</v>
      </c>
      <c r="M237" s="225">
        <f>ROUND(IF(AND(Base_Periodo1[[#This Row],[Tipo_Linha]]="-",Base_Periodo1[[#This Row],[TIPOSALDO]]="D"),Base_Periodo1[[#This Row],[SALDO_ATUAL]]*-1,Base_Periodo1[[#This Row],[SALDO_ATUAL]]),4)</f>
        <v>5848.7</v>
      </c>
      <c r="N237" t="s">
        <v>116</v>
      </c>
      <c r="O237" t="s">
        <v>436</v>
      </c>
      <c r="P237" t="s">
        <v>397</v>
      </c>
      <c r="Q237">
        <v>7</v>
      </c>
      <c r="R237" s="225">
        <f>Base_Periodo1[[#This Row],[CREDITOS]]-Base_Periodo1[[#This Row],[DEBITOS]]</f>
        <v>-5848.7</v>
      </c>
      <c r="S237" s="3" t="str">
        <f>IF(ISERROR(VLOOKUP(Base_Periodo1[[#This Row],[CONTA]],BaseContasDRE[#All],4,FALSE)),"Fora do DRE",VLOOKUP(Base_Periodo1[[#This Row],[CONTA]],BaseContasDRE[#All],4,FALSE))</f>
        <v>Fora do DRE</v>
      </c>
      <c r="T237" s="3" t="str">
        <f>IF(ISERROR(VLOOKUP(Base_Periodo1[[#This Row],[CONTA]],BaseContasDRE[#All],5,FALSE)),"Fora do DRE",VLOOKUP(Base_Periodo1[[#This Row],[CONTA]],BaseContasDRE[#All],6,FALSE))</f>
        <v>Fora do DRE</v>
      </c>
      <c r="U237" s="3" t="str">
        <f>IF(ISERROR(VLOOKUP(Base_Periodo1[[#This Row],[CONTA]],BaseContasDRE[#All],7,FALSE)),"Fora do DRE",VLOOKUP(Base_Periodo1[[#This Row],[CONTA]],BaseContasDRE[#All],7,FALSE))</f>
        <v>Fora do DRE</v>
      </c>
      <c r="V237" s="3" t="str">
        <f>IF(Base_Periodo1[[#This Row],[Tipo_Linha]]="Fora do DRE","Fora do DRE","( "&amp;Base_Periodo1[[#This Row],[Tipo_Linha]]&amp;" ) "&amp;Base_Periodo1[[#This Row],[Filtro]])</f>
        <v>Fora do DRE</v>
      </c>
      <c r="W237" s="3" t="str">
        <f>LEFT(Base_Periodo1[[#This Row],[CLASS]],3)</f>
        <v>1.1</v>
      </c>
    </row>
    <row r="238" spans="1:23" hidden="1">
      <c r="A238" s="3" t="str">
        <f t="shared" si="3"/>
        <v>Período 1</v>
      </c>
      <c r="B238">
        <v>15286</v>
      </c>
      <c r="C238" t="s">
        <v>503</v>
      </c>
      <c r="D238" t="s">
        <v>594</v>
      </c>
      <c r="E238" s="3" t="str">
        <f>IF(LEN(Base_Periodo1[[#This Row],[CLASS]])&gt;=7,LEFT(Base_Periodo1[[#This Row],[CLASS]],7),"")</f>
        <v>1.1.2.1</v>
      </c>
      <c r="F238" s="3" t="str">
        <f>VLOOKUP(Base_Periodo1[[#This Row],[Aux]],Base_Contas_Balanco[#All],2,FALSE)</f>
        <v>Creditos com Cooperados</v>
      </c>
      <c r="G238" s="1">
        <v>42884</v>
      </c>
      <c r="H238" s="225">
        <v>1195.9999999999709</v>
      </c>
      <c r="I238" s="225">
        <v>2637</v>
      </c>
      <c r="J238" s="225">
        <v>0</v>
      </c>
      <c r="K238" s="225">
        <v>3832.9999999999709</v>
      </c>
      <c r="L2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3833</v>
      </c>
      <c r="M238" s="225">
        <f>ROUND(IF(AND(Base_Periodo1[[#This Row],[Tipo_Linha]]="-",Base_Periodo1[[#This Row],[TIPOSALDO]]="D"),Base_Periodo1[[#This Row],[SALDO_ATUAL]]*-1,Base_Periodo1[[#This Row],[SALDO_ATUAL]]),4)</f>
        <v>3833</v>
      </c>
      <c r="N238" t="s">
        <v>116</v>
      </c>
      <c r="O238" t="s">
        <v>397</v>
      </c>
      <c r="P238" t="s">
        <v>397</v>
      </c>
      <c r="Q238">
        <v>7</v>
      </c>
      <c r="R238" s="225">
        <f>Base_Periodo1[[#This Row],[CREDITOS]]-Base_Periodo1[[#This Row],[DEBITOS]]</f>
        <v>-2637</v>
      </c>
      <c r="S238" s="3" t="str">
        <f>IF(ISERROR(VLOOKUP(Base_Periodo1[[#This Row],[CONTA]],BaseContasDRE[#All],4,FALSE)),"Fora do DRE",VLOOKUP(Base_Periodo1[[#This Row],[CONTA]],BaseContasDRE[#All],4,FALSE))</f>
        <v>Fora do DRE</v>
      </c>
      <c r="T238" s="3" t="str">
        <f>IF(ISERROR(VLOOKUP(Base_Periodo1[[#This Row],[CONTA]],BaseContasDRE[#All],5,FALSE)),"Fora do DRE",VLOOKUP(Base_Periodo1[[#This Row],[CONTA]],BaseContasDRE[#All],6,FALSE))</f>
        <v>Fora do DRE</v>
      </c>
      <c r="U238" s="3" t="str">
        <f>IF(ISERROR(VLOOKUP(Base_Periodo1[[#This Row],[CONTA]],BaseContasDRE[#All],7,FALSE)),"Fora do DRE",VLOOKUP(Base_Periodo1[[#This Row],[CONTA]],BaseContasDRE[#All],7,FALSE))</f>
        <v>Fora do DRE</v>
      </c>
      <c r="V238" s="3" t="str">
        <f>IF(Base_Periodo1[[#This Row],[Tipo_Linha]]="Fora do DRE","Fora do DRE","( "&amp;Base_Periodo1[[#This Row],[Tipo_Linha]]&amp;" ) "&amp;Base_Periodo1[[#This Row],[Filtro]])</f>
        <v>Fora do DRE</v>
      </c>
      <c r="W238" s="3" t="str">
        <f>LEFT(Base_Periodo1[[#This Row],[CLASS]],3)</f>
        <v>1.1</v>
      </c>
    </row>
    <row r="239" spans="1:23" hidden="1">
      <c r="A239" s="3" t="str">
        <f t="shared" si="3"/>
        <v>Período 1</v>
      </c>
      <c r="B239">
        <v>2720</v>
      </c>
      <c r="C239" t="s">
        <v>503</v>
      </c>
      <c r="D239" t="s">
        <v>595</v>
      </c>
      <c r="E239" s="3" t="str">
        <f>IF(LEN(Base_Periodo1[[#This Row],[CLASS]])&gt;=7,LEFT(Base_Periodo1[[#This Row],[CLASS]],7),"")</f>
        <v>1.1.2.1</v>
      </c>
      <c r="F239" s="3" t="str">
        <f>VLOOKUP(Base_Periodo1[[#This Row],[Aux]],Base_Contas_Balanco[#All],2,FALSE)</f>
        <v>Creditos com Cooperados</v>
      </c>
      <c r="G239" s="1">
        <v>42857</v>
      </c>
      <c r="H239" s="225">
        <v>33498.680000000051</v>
      </c>
      <c r="I239" s="225">
        <v>0</v>
      </c>
      <c r="J239" s="225">
        <v>5821.7999999999993</v>
      </c>
      <c r="K239" s="225">
        <v>27676.880000000052</v>
      </c>
      <c r="L2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27676.880000000001</v>
      </c>
      <c r="M239" s="225">
        <f>ROUND(IF(AND(Base_Periodo1[[#This Row],[Tipo_Linha]]="-",Base_Periodo1[[#This Row],[TIPOSALDO]]="D"),Base_Periodo1[[#This Row],[SALDO_ATUAL]]*-1,Base_Periodo1[[#This Row],[SALDO_ATUAL]]),4)</f>
        <v>27676.880000000001</v>
      </c>
      <c r="N239" t="s">
        <v>116</v>
      </c>
      <c r="O239" t="s">
        <v>397</v>
      </c>
      <c r="P239" t="s">
        <v>397</v>
      </c>
      <c r="Q239">
        <v>7</v>
      </c>
      <c r="R239" s="225">
        <f>Base_Periodo1[[#This Row],[CREDITOS]]-Base_Periodo1[[#This Row],[DEBITOS]]</f>
        <v>5821.7999999999993</v>
      </c>
      <c r="S239" s="3" t="str">
        <f>IF(ISERROR(VLOOKUP(Base_Periodo1[[#This Row],[CONTA]],BaseContasDRE[#All],4,FALSE)),"Fora do DRE",VLOOKUP(Base_Periodo1[[#This Row],[CONTA]],BaseContasDRE[#All],4,FALSE))</f>
        <v>Fora do DRE</v>
      </c>
      <c r="T239" s="3" t="str">
        <f>IF(ISERROR(VLOOKUP(Base_Periodo1[[#This Row],[CONTA]],BaseContasDRE[#All],5,FALSE)),"Fora do DRE",VLOOKUP(Base_Periodo1[[#This Row],[CONTA]],BaseContasDRE[#All],6,FALSE))</f>
        <v>Fora do DRE</v>
      </c>
      <c r="U239" s="3" t="str">
        <f>IF(ISERROR(VLOOKUP(Base_Periodo1[[#This Row],[CONTA]],BaseContasDRE[#All],7,FALSE)),"Fora do DRE",VLOOKUP(Base_Periodo1[[#This Row],[CONTA]],BaseContasDRE[#All],7,FALSE))</f>
        <v>Fora do DRE</v>
      </c>
      <c r="V239" s="3" t="str">
        <f>IF(Base_Periodo1[[#This Row],[Tipo_Linha]]="Fora do DRE","Fora do DRE","( "&amp;Base_Periodo1[[#This Row],[Tipo_Linha]]&amp;" ) "&amp;Base_Periodo1[[#This Row],[Filtro]])</f>
        <v>Fora do DRE</v>
      </c>
      <c r="W239" s="3" t="str">
        <f>LEFT(Base_Periodo1[[#This Row],[CLASS]],3)</f>
        <v>1.1</v>
      </c>
    </row>
    <row r="240" spans="1:23" hidden="1">
      <c r="A240" s="3" t="str">
        <f t="shared" si="3"/>
        <v>Período 1</v>
      </c>
      <c r="B240">
        <v>7061</v>
      </c>
      <c r="C240" t="s">
        <v>503</v>
      </c>
      <c r="D240" t="s">
        <v>596</v>
      </c>
      <c r="E240" s="3" t="str">
        <f>IF(LEN(Base_Periodo1[[#This Row],[CLASS]])&gt;=7,LEFT(Base_Periodo1[[#This Row],[CLASS]],7),"")</f>
        <v>1.1.2.1</v>
      </c>
      <c r="F240" s="3" t="str">
        <f>VLOOKUP(Base_Periodo1[[#This Row],[Aux]],Base_Contas_Balanco[#All],2,FALSE)</f>
        <v>Creditos com Cooperados</v>
      </c>
      <c r="G240" s="1">
        <v>42859</v>
      </c>
      <c r="H240" s="225">
        <v>611125.39999999991</v>
      </c>
      <c r="I240" s="225">
        <v>0</v>
      </c>
      <c r="J240" s="225">
        <v>611125.4</v>
      </c>
      <c r="K240" s="225">
        <v>-1.1641532182693481E-10</v>
      </c>
      <c r="L2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0" s="225">
        <f>ROUND(IF(AND(Base_Periodo1[[#This Row],[Tipo_Linha]]="-",Base_Periodo1[[#This Row],[TIPOSALDO]]="D"),Base_Periodo1[[#This Row],[SALDO_ATUAL]]*-1,Base_Periodo1[[#This Row],[SALDO_ATUAL]]),4)</f>
        <v>0</v>
      </c>
      <c r="N240" t="s">
        <v>116</v>
      </c>
      <c r="O240" t="s">
        <v>397</v>
      </c>
      <c r="P240" t="s">
        <v>436</v>
      </c>
      <c r="Q240">
        <v>7</v>
      </c>
      <c r="R240" s="225">
        <f>Base_Periodo1[[#This Row],[CREDITOS]]-Base_Periodo1[[#This Row],[DEBITOS]]</f>
        <v>611125.4</v>
      </c>
      <c r="S240" s="3" t="str">
        <f>IF(ISERROR(VLOOKUP(Base_Periodo1[[#This Row],[CONTA]],BaseContasDRE[#All],4,FALSE)),"Fora do DRE",VLOOKUP(Base_Periodo1[[#This Row],[CONTA]],BaseContasDRE[#All],4,FALSE))</f>
        <v>Fora do DRE</v>
      </c>
      <c r="T240" s="3" t="str">
        <f>IF(ISERROR(VLOOKUP(Base_Periodo1[[#This Row],[CONTA]],BaseContasDRE[#All],5,FALSE)),"Fora do DRE",VLOOKUP(Base_Periodo1[[#This Row],[CONTA]],BaseContasDRE[#All],6,FALSE))</f>
        <v>Fora do DRE</v>
      </c>
      <c r="U240" s="3" t="str">
        <f>IF(ISERROR(VLOOKUP(Base_Periodo1[[#This Row],[CONTA]],BaseContasDRE[#All],7,FALSE)),"Fora do DRE",VLOOKUP(Base_Periodo1[[#This Row],[CONTA]],BaseContasDRE[#All],7,FALSE))</f>
        <v>Fora do DRE</v>
      </c>
      <c r="V240" s="3" t="str">
        <f>IF(Base_Periodo1[[#This Row],[Tipo_Linha]]="Fora do DRE","Fora do DRE","( "&amp;Base_Periodo1[[#This Row],[Tipo_Linha]]&amp;" ) "&amp;Base_Periodo1[[#This Row],[Filtro]])</f>
        <v>Fora do DRE</v>
      </c>
      <c r="W240" s="3" t="str">
        <f>LEFT(Base_Periodo1[[#This Row],[CLASS]],3)</f>
        <v>1.1</v>
      </c>
    </row>
    <row r="241" spans="1:23" hidden="1">
      <c r="A241" s="3" t="str">
        <f t="shared" si="3"/>
        <v>Período 1</v>
      </c>
      <c r="B241">
        <v>47192</v>
      </c>
      <c r="C241" t="s">
        <v>503</v>
      </c>
      <c r="D241" t="s">
        <v>4845</v>
      </c>
      <c r="E241" s="3" t="str">
        <f>IF(LEN(Base_Periodo1[[#This Row],[CLASS]])&gt;=7,LEFT(Base_Periodo1[[#This Row],[CLASS]],7),"")</f>
        <v>1.1.2.1</v>
      </c>
      <c r="F241" s="3" t="str">
        <f>VLOOKUP(Base_Periodo1[[#This Row],[Aux]],Base_Contas_Balanco[#All],2,FALSE)</f>
        <v>Creditos com Cooperados</v>
      </c>
      <c r="G241" s="1">
        <v>42837</v>
      </c>
      <c r="H241" s="225">
        <v>492914</v>
      </c>
      <c r="I241" s="225">
        <v>0</v>
      </c>
      <c r="J241" s="225">
        <v>0</v>
      </c>
      <c r="K241" s="225">
        <v>492914</v>
      </c>
      <c r="L2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492914</v>
      </c>
      <c r="M241" s="225">
        <f>ROUND(IF(AND(Base_Periodo1[[#This Row],[Tipo_Linha]]="-",Base_Periodo1[[#This Row],[TIPOSALDO]]="D"),Base_Periodo1[[#This Row],[SALDO_ATUAL]]*-1,Base_Periodo1[[#This Row],[SALDO_ATUAL]]),4)</f>
        <v>492914</v>
      </c>
      <c r="N241" t="s">
        <v>116</v>
      </c>
      <c r="O241" t="s">
        <v>397</v>
      </c>
      <c r="P241" t="s">
        <v>397</v>
      </c>
      <c r="Q241">
        <v>7</v>
      </c>
      <c r="R241" s="225">
        <f>Base_Periodo1[[#This Row],[CREDITOS]]-Base_Periodo1[[#This Row],[DEBITOS]]</f>
        <v>0</v>
      </c>
      <c r="S241" s="3" t="str">
        <f>IF(ISERROR(VLOOKUP(Base_Periodo1[[#This Row],[CONTA]],BaseContasDRE[#All],4,FALSE)),"Fora do DRE",VLOOKUP(Base_Periodo1[[#This Row],[CONTA]],BaseContasDRE[#All],4,FALSE))</f>
        <v>Fora do DRE</v>
      </c>
      <c r="T241" s="3" t="str">
        <f>IF(ISERROR(VLOOKUP(Base_Periodo1[[#This Row],[CONTA]],BaseContasDRE[#All],5,FALSE)),"Fora do DRE",VLOOKUP(Base_Periodo1[[#This Row],[CONTA]],BaseContasDRE[#All],6,FALSE))</f>
        <v>Fora do DRE</v>
      </c>
      <c r="U241" s="3" t="str">
        <f>IF(ISERROR(VLOOKUP(Base_Periodo1[[#This Row],[CONTA]],BaseContasDRE[#All],7,FALSE)),"Fora do DRE",VLOOKUP(Base_Periodo1[[#This Row],[CONTA]],BaseContasDRE[#All],7,FALSE))</f>
        <v>Fora do DRE</v>
      </c>
      <c r="V241" s="3" t="str">
        <f>IF(Base_Periodo1[[#This Row],[Tipo_Linha]]="Fora do DRE","Fora do DRE","( "&amp;Base_Periodo1[[#This Row],[Tipo_Linha]]&amp;" ) "&amp;Base_Periodo1[[#This Row],[Filtro]])</f>
        <v>Fora do DRE</v>
      </c>
      <c r="W241" s="3" t="str">
        <f>LEFT(Base_Periodo1[[#This Row],[CLASS]],3)</f>
        <v>1.1</v>
      </c>
    </row>
    <row r="242" spans="1:23" hidden="1">
      <c r="A242" s="3" t="str">
        <f t="shared" si="3"/>
        <v>Período 1</v>
      </c>
      <c r="B242">
        <v>13412</v>
      </c>
      <c r="C242" t="s">
        <v>503</v>
      </c>
      <c r="D242" t="s">
        <v>5378</v>
      </c>
      <c r="E242" s="3" t="str">
        <f>IF(LEN(Base_Periodo1[[#This Row],[CLASS]])&gt;=7,LEFT(Base_Periodo1[[#This Row],[CLASS]],7),"")</f>
        <v>1.1.2.1</v>
      </c>
      <c r="F242" s="3" t="str">
        <f>VLOOKUP(Base_Periodo1[[#This Row],[Aux]],Base_Contas_Balanco[#All],2,FALSE)</f>
        <v>Creditos com Cooperados</v>
      </c>
      <c r="G242" s="1">
        <v>42885</v>
      </c>
      <c r="H242" s="225">
        <v>42800.000000000029</v>
      </c>
      <c r="I242" s="225">
        <v>4755</v>
      </c>
      <c r="J242" s="225">
        <v>30675</v>
      </c>
      <c r="K242" s="225">
        <v>16880.000000000029</v>
      </c>
      <c r="L2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16880</v>
      </c>
      <c r="M242" s="225">
        <f>ROUND(IF(AND(Base_Periodo1[[#This Row],[Tipo_Linha]]="-",Base_Periodo1[[#This Row],[TIPOSALDO]]="D"),Base_Periodo1[[#This Row],[SALDO_ATUAL]]*-1,Base_Periodo1[[#This Row],[SALDO_ATUAL]]),4)</f>
        <v>16880</v>
      </c>
      <c r="N242" t="s">
        <v>116</v>
      </c>
      <c r="O242" t="s">
        <v>397</v>
      </c>
      <c r="P242" t="s">
        <v>397</v>
      </c>
      <c r="Q242">
        <v>7</v>
      </c>
      <c r="R242" s="225">
        <f>Base_Periodo1[[#This Row],[CREDITOS]]-Base_Periodo1[[#This Row],[DEBITOS]]</f>
        <v>25920</v>
      </c>
      <c r="S242" s="3" t="str">
        <f>IF(ISERROR(VLOOKUP(Base_Periodo1[[#This Row],[CONTA]],BaseContasDRE[#All],4,FALSE)),"Fora do DRE",VLOOKUP(Base_Periodo1[[#This Row],[CONTA]],BaseContasDRE[#All],4,FALSE))</f>
        <v>Fora do DRE</v>
      </c>
      <c r="T242" s="3" t="str">
        <f>IF(ISERROR(VLOOKUP(Base_Periodo1[[#This Row],[CONTA]],BaseContasDRE[#All],5,FALSE)),"Fora do DRE",VLOOKUP(Base_Periodo1[[#This Row],[CONTA]],BaseContasDRE[#All],6,FALSE))</f>
        <v>Fora do DRE</v>
      </c>
      <c r="U242" s="3" t="str">
        <f>IF(ISERROR(VLOOKUP(Base_Periodo1[[#This Row],[CONTA]],BaseContasDRE[#All],7,FALSE)),"Fora do DRE",VLOOKUP(Base_Periodo1[[#This Row],[CONTA]],BaseContasDRE[#All],7,FALSE))</f>
        <v>Fora do DRE</v>
      </c>
      <c r="V242" s="3" t="str">
        <f>IF(Base_Periodo1[[#This Row],[Tipo_Linha]]="Fora do DRE","Fora do DRE","( "&amp;Base_Periodo1[[#This Row],[Tipo_Linha]]&amp;" ) "&amp;Base_Periodo1[[#This Row],[Filtro]])</f>
        <v>Fora do DRE</v>
      </c>
      <c r="W242" s="3" t="str">
        <f>LEFT(Base_Periodo1[[#This Row],[CLASS]],3)</f>
        <v>1.1</v>
      </c>
    </row>
    <row r="243" spans="1:23" hidden="1">
      <c r="A243" s="3" t="str">
        <f t="shared" si="3"/>
        <v>Período 1</v>
      </c>
      <c r="B243">
        <v>8123</v>
      </c>
      <c r="C243" t="s">
        <v>503</v>
      </c>
      <c r="D243" t="s">
        <v>597</v>
      </c>
      <c r="E243" s="3" t="str">
        <f>IF(LEN(Base_Periodo1[[#This Row],[CLASS]])&gt;=7,LEFT(Base_Periodo1[[#This Row],[CLASS]],7),"")</f>
        <v>1.1.2.1</v>
      </c>
      <c r="F243" s="3" t="str">
        <f>VLOOKUP(Base_Periodo1[[#This Row],[Aux]],Base_Contas_Balanco[#All],2,FALSE)</f>
        <v>Creditos com Cooperados</v>
      </c>
      <c r="G243" s="1">
        <v>42886</v>
      </c>
      <c r="H243" s="225">
        <v>37226.290000000154</v>
      </c>
      <c r="I243" s="225">
        <v>4046.08</v>
      </c>
      <c r="J243" s="225">
        <v>18540.080000000002</v>
      </c>
      <c r="K243" s="225">
        <v>22732.290000000154</v>
      </c>
      <c r="L2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22732.29</v>
      </c>
      <c r="M243" s="225">
        <f>ROUND(IF(AND(Base_Periodo1[[#This Row],[Tipo_Linha]]="-",Base_Periodo1[[#This Row],[TIPOSALDO]]="D"),Base_Periodo1[[#This Row],[SALDO_ATUAL]]*-1,Base_Periodo1[[#This Row],[SALDO_ATUAL]]),4)</f>
        <v>22732.29</v>
      </c>
      <c r="N243" t="s">
        <v>116</v>
      </c>
      <c r="O243" t="s">
        <v>397</v>
      </c>
      <c r="P243" t="s">
        <v>397</v>
      </c>
      <c r="Q243">
        <v>7</v>
      </c>
      <c r="R243" s="225">
        <f>Base_Periodo1[[#This Row],[CREDITOS]]-Base_Periodo1[[#This Row],[DEBITOS]]</f>
        <v>14494.000000000002</v>
      </c>
      <c r="S243" s="3" t="str">
        <f>IF(ISERROR(VLOOKUP(Base_Periodo1[[#This Row],[CONTA]],BaseContasDRE[#All],4,FALSE)),"Fora do DRE",VLOOKUP(Base_Periodo1[[#This Row],[CONTA]],BaseContasDRE[#All],4,FALSE))</f>
        <v>Fora do DRE</v>
      </c>
      <c r="T243" s="3" t="str">
        <f>IF(ISERROR(VLOOKUP(Base_Periodo1[[#This Row],[CONTA]],BaseContasDRE[#All],5,FALSE)),"Fora do DRE",VLOOKUP(Base_Periodo1[[#This Row],[CONTA]],BaseContasDRE[#All],6,FALSE))</f>
        <v>Fora do DRE</v>
      </c>
      <c r="U243" s="3" t="str">
        <f>IF(ISERROR(VLOOKUP(Base_Periodo1[[#This Row],[CONTA]],BaseContasDRE[#All],7,FALSE)),"Fora do DRE",VLOOKUP(Base_Periodo1[[#This Row],[CONTA]],BaseContasDRE[#All],7,FALSE))</f>
        <v>Fora do DRE</v>
      </c>
      <c r="V243" s="3" t="str">
        <f>IF(Base_Periodo1[[#This Row],[Tipo_Linha]]="Fora do DRE","Fora do DRE","( "&amp;Base_Periodo1[[#This Row],[Tipo_Linha]]&amp;" ) "&amp;Base_Periodo1[[#This Row],[Filtro]])</f>
        <v>Fora do DRE</v>
      </c>
      <c r="W243" s="3" t="str">
        <f>LEFT(Base_Periodo1[[#This Row],[CLASS]],3)</f>
        <v>1.1</v>
      </c>
    </row>
    <row r="244" spans="1:23" hidden="1">
      <c r="A244" s="3" t="str">
        <f t="shared" si="3"/>
        <v>Período 1</v>
      </c>
      <c r="B244">
        <v>5104</v>
      </c>
      <c r="C244" t="s">
        <v>503</v>
      </c>
      <c r="D244" t="s">
        <v>6704</v>
      </c>
      <c r="E244" s="3" t="str">
        <f>IF(LEN(Base_Periodo1[[#This Row],[CLASS]])&gt;=7,LEFT(Base_Periodo1[[#This Row],[CLASS]],7),"")</f>
        <v>1.1.2.1</v>
      </c>
      <c r="F244" s="3" t="str">
        <f>VLOOKUP(Base_Periodo1[[#This Row],[Aux]],Base_Contas_Balanco[#All],2,FALSE)</f>
        <v>Creditos com Cooperados</v>
      </c>
      <c r="G244" s="1">
        <v>42880</v>
      </c>
      <c r="I244" s="225">
        <v>80</v>
      </c>
      <c r="J244" s="225">
        <v>0</v>
      </c>
      <c r="K244" s="225">
        <v>80</v>
      </c>
      <c r="L2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</v>
      </c>
      <c r="M244" s="225">
        <f>ROUND(IF(AND(Base_Periodo1[[#This Row],[Tipo_Linha]]="-",Base_Periodo1[[#This Row],[TIPOSALDO]]="D"),Base_Periodo1[[#This Row],[SALDO_ATUAL]]*-1,Base_Periodo1[[#This Row],[SALDO_ATUAL]]),4)</f>
        <v>80</v>
      </c>
      <c r="N244" t="s">
        <v>116</v>
      </c>
      <c r="O244" t="s">
        <v>436</v>
      </c>
      <c r="P244" t="s">
        <v>397</v>
      </c>
      <c r="Q244">
        <v>7</v>
      </c>
      <c r="R244" s="225">
        <f>Base_Periodo1[[#This Row],[CREDITOS]]-Base_Periodo1[[#This Row],[DEBITOS]]</f>
        <v>-80</v>
      </c>
      <c r="S244" s="3" t="str">
        <f>IF(ISERROR(VLOOKUP(Base_Periodo1[[#This Row],[CONTA]],BaseContasDRE[#All],4,FALSE)),"Fora do DRE",VLOOKUP(Base_Periodo1[[#This Row],[CONTA]],BaseContasDRE[#All],4,FALSE))</f>
        <v>Fora do DRE</v>
      </c>
      <c r="T244" s="3" t="str">
        <f>IF(ISERROR(VLOOKUP(Base_Periodo1[[#This Row],[CONTA]],BaseContasDRE[#All],5,FALSE)),"Fora do DRE",VLOOKUP(Base_Periodo1[[#This Row],[CONTA]],BaseContasDRE[#All],6,FALSE))</f>
        <v>Fora do DRE</v>
      </c>
      <c r="U244" s="3" t="str">
        <f>IF(ISERROR(VLOOKUP(Base_Periodo1[[#This Row],[CONTA]],BaseContasDRE[#All],7,FALSE)),"Fora do DRE",VLOOKUP(Base_Periodo1[[#This Row],[CONTA]],BaseContasDRE[#All],7,FALSE))</f>
        <v>Fora do DRE</v>
      </c>
      <c r="V244" s="3" t="str">
        <f>IF(Base_Periodo1[[#This Row],[Tipo_Linha]]="Fora do DRE","Fora do DRE","( "&amp;Base_Periodo1[[#This Row],[Tipo_Linha]]&amp;" ) "&amp;Base_Periodo1[[#This Row],[Filtro]])</f>
        <v>Fora do DRE</v>
      </c>
      <c r="W244" s="3" t="str">
        <f>LEFT(Base_Periodo1[[#This Row],[CLASS]],3)</f>
        <v>1.1</v>
      </c>
    </row>
    <row r="245" spans="1:23" hidden="1">
      <c r="A245" s="3" t="str">
        <f t="shared" si="3"/>
        <v>Período 1</v>
      </c>
      <c r="B245">
        <v>13284</v>
      </c>
      <c r="C245" t="s">
        <v>503</v>
      </c>
      <c r="D245" t="s">
        <v>598</v>
      </c>
      <c r="E245" s="3" t="str">
        <f>IF(LEN(Base_Periodo1[[#This Row],[CLASS]])&gt;=7,LEFT(Base_Periodo1[[#This Row],[CLASS]],7),"")</f>
        <v>1.1.2.1</v>
      </c>
      <c r="F245" s="3" t="str">
        <f>VLOOKUP(Base_Periodo1[[#This Row],[Aux]],Base_Contas_Balanco[#All],2,FALSE)</f>
        <v>Creditos com Cooperados</v>
      </c>
      <c r="G245" s="1">
        <v>42814</v>
      </c>
      <c r="H245" s="225">
        <v>0.66000000000349246</v>
      </c>
      <c r="I245" s="225">
        <v>0</v>
      </c>
      <c r="J245" s="225">
        <v>0</v>
      </c>
      <c r="K245" s="225">
        <v>0.66000000000349246</v>
      </c>
      <c r="L2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0.66</v>
      </c>
      <c r="M245" s="225">
        <f>ROUND(IF(AND(Base_Periodo1[[#This Row],[Tipo_Linha]]="-",Base_Periodo1[[#This Row],[TIPOSALDO]]="D"),Base_Periodo1[[#This Row],[SALDO_ATUAL]]*-1,Base_Periodo1[[#This Row],[SALDO_ATUAL]]),4)</f>
        <v>0.66</v>
      </c>
      <c r="N245" t="s">
        <v>116</v>
      </c>
      <c r="O245" t="s">
        <v>397</v>
      </c>
      <c r="P245" t="s">
        <v>397</v>
      </c>
      <c r="Q245">
        <v>7</v>
      </c>
      <c r="R245" s="225">
        <f>Base_Periodo1[[#This Row],[CREDITOS]]-Base_Periodo1[[#This Row],[DEBITOS]]</f>
        <v>0</v>
      </c>
      <c r="S245" s="3" t="str">
        <f>IF(ISERROR(VLOOKUP(Base_Periodo1[[#This Row],[CONTA]],BaseContasDRE[#All],4,FALSE)),"Fora do DRE",VLOOKUP(Base_Periodo1[[#This Row],[CONTA]],BaseContasDRE[#All],4,FALSE))</f>
        <v>Fora do DRE</v>
      </c>
      <c r="T245" s="3" t="str">
        <f>IF(ISERROR(VLOOKUP(Base_Periodo1[[#This Row],[CONTA]],BaseContasDRE[#All],5,FALSE)),"Fora do DRE",VLOOKUP(Base_Periodo1[[#This Row],[CONTA]],BaseContasDRE[#All],6,FALSE))</f>
        <v>Fora do DRE</v>
      </c>
      <c r="U245" s="3" t="str">
        <f>IF(ISERROR(VLOOKUP(Base_Periodo1[[#This Row],[CONTA]],BaseContasDRE[#All],7,FALSE)),"Fora do DRE",VLOOKUP(Base_Periodo1[[#This Row],[CONTA]],BaseContasDRE[#All],7,FALSE))</f>
        <v>Fora do DRE</v>
      </c>
      <c r="V245" s="3" t="str">
        <f>IF(Base_Periodo1[[#This Row],[Tipo_Linha]]="Fora do DRE","Fora do DRE","( "&amp;Base_Periodo1[[#This Row],[Tipo_Linha]]&amp;" ) "&amp;Base_Periodo1[[#This Row],[Filtro]])</f>
        <v>Fora do DRE</v>
      </c>
      <c r="W245" s="3" t="str">
        <f>LEFT(Base_Periodo1[[#This Row],[CLASS]],3)</f>
        <v>1.1</v>
      </c>
    </row>
    <row r="246" spans="1:23" hidden="1">
      <c r="A246" s="3" t="str">
        <f t="shared" si="3"/>
        <v>Período 1</v>
      </c>
      <c r="B246">
        <v>54050</v>
      </c>
      <c r="C246" t="s">
        <v>503</v>
      </c>
      <c r="D246" t="s">
        <v>5266</v>
      </c>
      <c r="E246" s="3" t="str">
        <f>IF(LEN(Base_Periodo1[[#This Row],[CLASS]])&gt;=7,LEFT(Base_Periodo1[[#This Row],[CLASS]],7),"")</f>
        <v>1.1.2.1</v>
      </c>
      <c r="F246" s="3" t="str">
        <f>VLOOKUP(Base_Periodo1[[#This Row],[Aux]],Base_Contas_Balanco[#All],2,FALSE)</f>
        <v>Creditos com Cooperados</v>
      </c>
      <c r="G246" s="1">
        <v>42850</v>
      </c>
      <c r="H246" s="225">
        <v>4540</v>
      </c>
      <c r="I246" s="225">
        <v>0</v>
      </c>
      <c r="J246" s="225">
        <v>0</v>
      </c>
      <c r="K246" s="225">
        <v>4540</v>
      </c>
      <c r="L2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4540</v>
      </c>
      <c r="M246" s="225">
        <f>ROUND(IF(AND(Base_Periodo1[[#This Row],[Tipo_Linha]]="-",Base_Periodo1[[#This Row],[TIPOSALDO]]="D"),Base_Periodo1[[#This Row],[SALDO_ATUAL]]*-1,Base_Periodo1[[#This Row],[SALDO_ATUAL]]),4)</f>
        <v>4540</v>
      </c>
      <c r="N246" t="s">
        <v>116</v>
      </c>
      <c r="O246" t="s">
        <v>397</v>
      </c>
      <c r="P246" t="s">
        <v>397</v>
      </c>
      <c r="Q246">
        <v>7</v>
      </c>
      <c r="R246" s="225">
        <f>Base_Periodo1[[#This Row],[CREDITOS]]-Base_Periodo1[[#This Row],[DEBITOS]]</f>
        <v>0</v>
      </c>
      <c r="S246" s="3" t="str">
        <f>IF(ISERROR(VLOOKUP(Base_Periodo1[[#This Row],[CONTA]],BaseContasDRE[#All],4,FALSE)),"Fora do DRE",VLOOKUP(Base_Periodo1[[#This Row],[CONTA]],BaseContasDRE[#All],4,FALSE))</f>
        <v>Fora do DRE</v>
      </c>
      <c r="T246" s="3" t="str">
        <f>IF(ISERROR(VLOOKUP(Base_Periodo1[[#This Row],[CONTA]],BaseContasDRE[#All],5,FALSE)),"Fora do DRE",VLOOKUP(Base_Periodo1[[#This Row],[CONTA]],BaseContasDRE[#All],6,FALSE))</f>
        <v>Fora do DRE</v>
      </c>
      <c r="U246" s="3" t="str">
        <f>IF(ISERROR(VLOOKUP(Base_Periodo1[[#This Row],[CONTA]],BaseContasDRE[#All],7,FALSE)),"Fora do DRE",VLOOKUP(Base_Periodo1[[#This Row],[CONTA]],BaseContasDRE[#All],7,FALSE))</f>
        <v>Fora do DRE</v>
      </c>
      <c r="V246" s="3" t="str">
        <f>IF(Base_Periodo1[[#This Row],[Tipo_Linha]]="Fora do DRE","Fora do DRE","( "&amp;Base_Periodo1[[#This Row],[Tipo_Linha]]&amp;" ) "&amp;Base_Periodo1[[#This Row],[Filtro]])</f>
        <v>Fora do DRE</v>
      </c>
      <c r="W246" s="3" t="str">
        <f>LEFT(Base_Periodo1[[#This Row],[CLASS]],3)</f>
        <v>1.1</v>
      </c>
    </row>
    <row r="247" spans="1:23" hidden="1">
      <c r="A247" s="3" t="str">
        <f t="shared" si="3"/>
        <v>Período 1</v>
      </c>
      <c r="B247">
        <v>46271</v>
      </c>
      <c r="C247" t="s">
        <v>503</v>
      </c>
      <c r="D247" t="s">
        <v>940</v>
      </c>
      <c r="E247" s="3" t="str">
        <f>IF(LEN(Base_Periodo1[[#This Row],[CLASS]])&gt;=7,LEFT(Base_Periodo1[[#This Row],[CLASS]],7),"")</f>
        <v>1.1.2.1</v>
      </c>
      <c r="F247" s="3" t="str">
        <f>VLOOKUP(Base_Periodo1[[#This Row],[Aux]],Base_Contas_Balanco[#All],2,FALSE)</f>
        <v>Creditos com Cooperados</v>
      </c>
      <c r="G247" s="1">
        <v>42860</v>
      </c>
      <c r="H247" s="225">
        <v>55454.209999999963</v>
      </c>
      <c r="I247" s="225">
        <v>3427</v>
      </c>
      <c r="J247" s="225">
        <v>0</v>
      </c>
      <c r="K247" s="225">
        <v>58881.209999999963</v>
      </c>
      <c r="L2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58881.21</v>
      </c>
      <c r="M247" s="225">
        <f>ROUND(IF(AND(Base_Periodo1[[#This Row],[Tipo_Linha]]="-",Base_Periodo1[[#This Row],[TIPOSALDO]]="D"),Base_Periodo1[[#This Row],[SALDO_ATUAL]]*-1,Base_Periodo1[[#This Row],[SALDO_ATUAL]]),4)</f>
        <v>58881.21</v>
      </c>
      <c r="N247" t="s">
        <v>116</v>
      </c>
      <c r="O247" t="s">
        <v>397</v>
      </c>
      <c r="P247" t="s">
        <v>397</v>
      </c>
      <c r="Q247">
        <v>7</v>
      </c>
      <c r="R247" s="225">
        <f>Base_Periodo1[[#This Row],[CREDITOS]]-Base_Periodo1[[#This Row],[DEBITOS]]</f>
        <v>-3427</v>
      </c>
      <c r="S247" s="3" t="str">
        <f>IF(ISERROR(VLOOKUP(Base_Periodo1[[#This Row],[CONTA]],BaseContasDRE[#All],4,FALSE)),"Fora do DRE",VLOOKUP(Base_Periodo1[[#This Row],[CONTA]],BaseContasDRE[#All],4,FALSE))</f>
        <v>Fora do DRE</v>
      </c>
      <c r="T247" s="3" t="str">
        <f>IF(ISERROR(VLOOKUP(Base_Periodo1[[#This Row],[CONTA]],BaseContasDRE[#All],5,FALSE)),"Fora do DRE",VLOOKUP(Base_Periodo1[[#This Row],[CONTA]],BaseContasDRE[#All],6,FALSE))</f>
        <v>Fora do DRE</v>
      </c>
      <c r="U247" s="3" t="str">
        <f>IF(ISERROR(VLOOKUP(Base_Periodo1[[#This Row],[CONTA]],BaseContasDRE[#All],7,FALSE)),"Fora do DRE",VLOOKUP(Base_Periodo1[[#This Row],[CONTA]],BaseContasDRE[#All],7,FALSE))</f>
        <v>Fora do DRE</v>
      </c>
      <c r="V247" s="3" t="str">
        <f>IF(Base_Periodo1[[#This Row],[Tipo_Linha]]="Fora do DRE","Fora do DRE","( "&amp;Base_Periodo1[[#This Row],[Tipo_Linha]]&amp;" ) "&amp;Base_Periodo1[[#This Row],[Filtro]])</f>
        <v>Fora do DRE</v>
      </c>
      <c r="W247" s="3" t="str">
        <f>LEFT(Base_Periodo1[[#This Row],[CLASS]],3)</f>
        <v>1.1</v>
      </c>
    </row>
    <row r="248" spans="1:23" hidden="1">
      <c r="A248" s="3" t="str">
        <f t="shared" si="3"/>
        <v>Período 1</v>
      </c>
      <c r="B248">
        <v>3972</v>
      </c>
      <c r="C248" t="s">
        <v>503</v>
      </c>
      <c r="D248" t="s">
        <v>599</v>
      </c>
      <c r="E248" s="3" t="str">
        <f>IF(LEN(Base_Periodo1[[#This Row],[CLASS]])&gt;=7,LEFT(Base_Periodo1[[#This Row],[CLASS]],7),"")</f>
        <v>1.1.2.1</v>
      </c>
      <c r="F248" s="3" t="str">
        <f>VLOOKUP(Base_Periodo1[[#This Row],[Aux]],Base_Contas_Balanco[#All],2,FALSE)</f>
        <v>Creditos com Cooperados</v>
      </c>
      <c r="G248" s="1">
        <v>42857</v>
      </c>
      <c r="H248" s="225">
        <v>1360.6500000000233</v>
      </c>
      <c r="I248" s="225">
        <v>873.5</v>
      </c>
      <c r="J248" s="225">
        <v>2233.5</v>
      </c>
      <c r="K248" s="225">
        <v>0.65000000002328306</v>
      </c>
      <c r="L2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0.65</v>
      </c>
      <c r="M248" s="225">
        <f>ROUND(IF(AND(Base_Periodo1[[#This Row],[Tipo_Linha]]="-",Base_Periodo1[[#This Row],[TIPOSALDO]]="D"),Base_Periodo1[[#This Row],[SALDO_ATUAL]]*-1,Base_Periodo1[[#This Row],[SALDO_ATUAL]]),4)</f>
        <v>0.65</v>
      </c>
      <c r="N248" t="s">
        <v>116</v>
      </c>
      <c r="O248" t="s">
        <v>397</v>
      </c>
      <c r="P248" t="s">
        <v>397</v>
      </c>
      <c r="Q248">
        <v>7</v>
      </c>
      <c r="R248" s="225">
        <f>Base_Periodo1[[#This Row],[CREDITOS]]-Base_Periodo1[[#This Row],[DEBITOS]]</f>
        <v>1360</v>
      </c>
      <c r="S248" s="3" t="str">
        <f>IF(ISERROR(VLOOKUP(Base_Periodo1[[#This Row],[CONTA]],BaseContasDRE[#All],4,FALSE)),"Fora do DRE",VLOOKUP(Base_Periodo1[[#This Row],[CONTA]],BaseContasDRE[#All],4,FALSE))</f>
        <v>Fora do DRE</v>
      </c>
      <c r="T248" s="3" t="str">
        <f>IF(ISERROR(VLOOKUP(Base_Periodo1[[#This Row],[CONTA]],BaseContasDRE[#All],5,FALSE)),"Fora do DRE",VLOOKUP(Base_Periodo1[[#This Row],[CONTA]],BaseContasDRE[#All],6,FALSE))</f>
        <v>Fora do DRE</v>
      </c>
      <c r="U248" s="3" t="str">
        <f>IF(ISERROR(VLOOKUP(Base_Periodo1[[#This Row],[CONTA]],BaseContasDRE[#All],7,FALSE)),"Fora do DRE",VLOOKUP(Base_Periodo1[[#This Row],[CONTA]],BaseContasDRE[#All],7,FALSE))</f>
        <v>Fora do DRE</v>
      </c>
      <c r="V248" s="3" t="str">
        <f>IF(Base_Periodo1[[#This Row],[Tipo_Linha]]="Fora do DRE","Fora do DRE","( "&amp;Base_Periodo1[[#This Row],[Tipo_Linha]]&amp;" ) "&amp;Base_Periodo1[[#This Row],[Filtro]])</f>
        <v>Fora do DRE</v>
      </c>
      <c r="W248" s="3" t="str">
        <f>LEFT(Base_Periodo1[[#This Row],[CLASS]],3)</f>
        <v>1.1</v>
      </c>
    </row>
    <row r="249" spans="1:23" hidden="1">
      <c r="A249" s="3" t="str">
        <f t="shared" si="3"/>
        <v>Período 1</v>
      </c>
      <c r="B249">
        <v>53989</v>
      </c>
      <c r="C249" t="s">
        <v>503</v>
      </c>
      <c r="D249" t="s">
        <v>4992</v>
      </c>
      <c r="E249" s="3" t="str">
        <f>IF(LEN(Base_Periodo1[[#This Row],[CLASS]])&gt;=7,LEFT(Base_Periodo1[[#This Row],[CLASS]],7),"")</f>
        <v>1.1.2.1</v>
      </c>
      <c r="F249" s="3" t="str">
        <f>VLOOKUP(Base_Periodo1[[#This Row],[Aux]],Base_Contas_Balanco[#All],2,FALSE)</f>
        <v>Creditos com Cooperados</v>
      </c>
      <c r="G249" s="1">
        <v>42828</v>
      </c>
      <c r="H249" s="225">
        <v>27216.399999999972</v>
      </c>
      <c r="I249" s="225">
        <v>0</v>
      </c>
      <c r="J249" s="225">
        <v>0</v>
      </c>
      <c r="K249" s="225">
        <v>27216.399999999972</v>
      </c>
      <c r="L2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27216.400000000001</v>
      </c>
      <c r="M249" s="225">
        <f>ROUND(IF(AND(Base_Periodo1[[#This Row],[Tipo_Linha]]="-",Base_Periodo1[[#This Row],[TIPOSALDO]]="D"),Base_Periodo1[[#This Row],[SALDO_ATUAL]]*-1,Base_Periodo1[[#This Row],[SALDO_ATUAL]]),4)</f>
        <v>27216.400000000001</v>
      </c>
      <c r="N249" t="s">
        <v>116</v>
      </c>
      <c r="O249" t="s">
        <v>397</v>
      </c>
      <c r="P249" t="s">
        <v>397</v>
      </c>
      <c r="Q249">
        <v>7</v>
      </c>
      <c r="R249" s="225">
        <f>Base_Periodo1[[#This Row],[CREDITOS]]-Base_Periodo1[[#This Row],[DEBITOS]]</f>
        <v>0</v>
      </c>
      <c r="S249" s="3" t="str">
        <f>IF(ISERROR(VLOOKUP(Base_Periodo1[[#This Row],[CONTA]],BaseContasDRE[#All],4,FALSE)),"Fora do DRE",VLOOKUP(Base_Periodo1[[#This Row],[CONTA]],BaseContasDRE[#All],4,FALSE))</f>
        <v>Fora do DRE</v>
      </c>
      <c r="T249" s="3" t="str">
        <f>IF(ISERROR(VLOOKUP(Base_Periodo1[[#This Row],[CONTA]],BaseContasDRE[#All],5,FALSE)),"Fora do DRE",VLOOKUP(Base_Periodo1[[#This Row],[CONTA]],BaseContasDRE[#All],6,FALSE))</f>
        <v>Fora do DRE</v>
      </c>
      <c r="U249" s="3" t="str">
        <f>IF(ISERROR(VLOOKUP(Base_Periodo1[[#This Row],[CONTA]],BaseContasDRE[#All],7,FALSE)),"Fora do DRE",VLOOKUP(Base_Periodo1[[#This Row],[CONTA]],BaseContasDRE[#All],7,FALSE))</f>
        <v>Fora do DRE</v>
      </c>
      <c r="V249" s="3" t="str">
        <f>IF(Base_Periodo1[[#This Row],[Tipo_Linha]]="Fora do DRE","Fora do DRE","( "&amp;Base_Periodo1[[#This Row],[Tipo_Linha]]&amp;" ) "&amp;Base_Periodo1[[#This Row],[Filtro]])</f>
        <v>Fora do DRE</v>
      </c>
      <c r="W249" s="3" t="str">
        <f>LEFT(Base_Periodo1[[#This Row],[CLASS]],3)</f>
        <v>1.1</v>
      </c>
    </row>
    <row r="250" spans="1:23" hidden="1">
      <c r="A250" s="3" t="str">
        <f t="shared" si="3"/>
        <v>Período 1</v>
      </c>
      <c r="B250">
        <v>50536</v>
      </c>
      <c r="C250" t="s">
        <v>503</v>
      </c>
      <c r="D250" t="s">
        <v>6121</v>
      </c>
      <c r="E250" s="3" t="str">
        <f>IF(LEN(Base_Periodo1[[#This Row],[CLASS]])&gt;=7,LEFT(Base_Periodo1[[#This Row],[CLASS]],7),"")</f>
        <v>1.1.2.1</v>
      </c>
      <c r="F250" s="3" t="str">
        <f>VLOOKUP(Base_Periodo1[[#This Row],[Aux]],Base_Contas_Balanco[#All],2,FALSE)</f>
        <v>Creditos com Cooperados</v>
      </c>
      <c r="G250" s="1">
        <v>42860</v>
      </c>
      <c r="H250" s="225">
        <v>1120</v>
      </c>
      <c r="I250" s="225">
        <v>0</v>
      </c>
      <c r="J250" s="225">
        <v>1120</v>
      </c>
      <c r="K250" s="225">
        <v>0</v>
      </c>
      <c r="L2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0" s="225">
        <f>ROUND(IF(AND(Base_Periodo1[[#This Row],[Tipo_Linha]]="-",Base_Periodo1[[#This Row],[TIPOSALDO]]="D"),Base_Periodo1[[#This Row],[SALDO_ATUAL]]*-1,Base_Periodo1[[#This Row],[SALDO_ATUAL]]),4)</f>
        <v>0</v>
      </c>
      <c r="N250" t="s">
        <v>116</v>
      </c>
      <c r="O250" t="s">
        <v>397</v>
      </c>
      <c r="P250" t="s">
        <v>436</v>
      </c>
      <c r="Q250">
        <v>7</v>
      </c>
      <c r="R250" s="225">
        <f>Base_Periodo1[[#This Row],[CREDITOS]]-Base_Periodo1[[#This Row],[DEBITOS]]</f>
        <v>1120</v>
      </c>
      <c r="S250" s="3" t="str">
        <f>IF(ISERROR(VLOOKUP(Base_Periodo1[[#This Row],[CONTA]],BaseContasDRE[#All],4,FALSE)),"Fora do DRE",VLOOKUP(Base_Periodo1[[#This Row],[CONTA]],BaseContasDRE[#All],4,FALSE))</f>
        <v>Fora do DRE</v>
      </c>
      <c r="T250" s="3" t="str">
        <f>IF(ISERROR(VLOOKUP(Base_Periodo1[[#This Row],[CONTA]],BaseContasDRE[#All],5,FALSE)),"Fora do DRE",VLOOKUP(Base_Periodo1[[#This Row],[CONTA]],BaseContasDRE[#All],6,FALSE))</f>
        <v>Fora do DRE</v>
      </c>
      <c r="U250" s="3" t="str">
        <f>IF(ISERROR(VLOOKUP(Base_Periodo1[[#This Row],[CONTA]],BaseContasDRE[#All],7,FALSE)),"Fora do DRE",VLOOKUP(Base_Periodo1[[#This Row],[CONTA]],BaseContasDRE[#All],7,FALSE))</f>
        <v>Fora do DRE</v>
      </c>
      <c r="V250" s="3" t="str">
        <f>IF(Base_Periodo1[[#This Row],[Tipo_Linha]]="Fora do DRE","Fora do DRE","( "&amp;Base_Periodo1[[#This Row],[Tipo_Linha]]&amp;" ) "&amp;Base_Periodo1[[#This Row],[Filtro]])</f>
        <v>Fora do DRE</v>
      </c>
      <c r="W250" s="3" t="str">
        <f>LEFT(Base_Periodo1[[#This Row],[CLASS]],3)</f>
        <v>1.1</v>
      </c>
    </row>
    <row r="251" spans="1:23" hidden="1">
      <c r="A251" s="3" t="str">
        <f t="shared" si="3"/>
        <v>Período 1</v>
      </c>
      <c r="B251">
        <v>11490</v>
      </c>
      <c r="C251" t="s">
        <v>503</v>
      </c>
      <c r="D251" t="s">
        <v>5136</v>
      </c>
      <c r="E251" s="3" t="str">
        <f>IF(LEN(Base_Periodo1[[#This Row],[CLASS]])&gt;=7,LEFT(Base_Periodo1[[#This Row],[CLASS]],7),"")</f>
        <v>1.1.2.1</v>
      </c>
      <c r="F251" s="3" t="str">
        <f>VLOOKUP(Base_Periodo1[[#This Row],[Aux]],Base_Contas_Balanco[#All],2,FALSE)</f>
        <v>Creditos com Cooperados</v>
      </c>
      <c r="G251" s="1">
        <v>42881</v>
      </c>
      <c r="H251" s="225">
        <v>11560.999999999956</v>
      </c>
      <c r="I251" s="225">
        <v>300</v>
      </c>
      <c r="J251" s="225">
        <v>0</v>
      </c>
      <c r="K251" s="225">
        <v>11860.999999999956</v>
      </c>
      <c r="L2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11861</v>
      </c>
      <c r="M251" s="225">
        <f>ROUND(IF(AND(Base_Periodo1[[#This Row],[Tipo_Linha]]="-",Base_Periodo1[[#This Row],[TIPOSALDO]]="D"),Base_Periodo1[[#This Row],[SALDO_ATUAL]]*-1,Base_Periodo1[[#This Row],[SALDO_ATUAL]]),4)</f>
        <v>11861</v>
      </c>
      <c r="N251" t="s">
        <v>116</v>
      </c>
      <c r="O251" t="s">
        <v>397</v>
      </c>
      <c r="P251" t="s">
        <v>397</v>
      </c>
      <c r="Q251">
        <v>7</v>
      </c>
      <c r="R251" s="225">
        <f>Base_Periodo1[[#This Row],[CREDITOS]]-Base_Periodo1[[#This Row],[DEBITOS]]</f>
        <v>-300</v>
      </c>
      <c r="S251" s="3" t="str">
        <f>IF(ISERROR(VLOOKUP(Base_Periodo1[[#This Row],[CONTA]],BaseContasDRE[#All],4,FALSE)),"Fora do DRE",VLOOKUP(Base_Periodo1[[#This Row],[CONTA]],BaseContasDRE[#All],4,FALSE))</f>
        <v>Fora do DRE</v>
      </c>
      <c r="T251" s="3" t="str">
        <f>IF(ISERROR(VLOOKUP(Base_Periodo1[[#This Row],[CONTA]],BaseContasDRE[#All],5,FALSE)),"Fora do DRE",VLOOKUP(Base_Periodo1[[#This Row],[CONTA]],BaseContasDRE[#All],6,FALSE))</f>
        <v>Fora do DRE</v>
      </c>
      <c r="U251" s="3" t="str">
        <f>IF(ISERROR(VLOOKUP(Base_Periodo1[[#This Row],[CONTA]],BaseContasDRE[#All],7,FALSE)),"Fora do DRE",VLOOKUP(Base_Periodo1[[#This Row],[CONTA]],BaseContasDRE[#All],7,FALSE))</f>
        <v>Fora do DRE</v>
      </c>
      <c r="V251" s="3" t="str">
        <f>IF(Base_Periodo1[[#This Row],[Tipo_Linha]]="Fora do DRE","Fora do DRE","( "&amp;Base_Periodo1[[#This Row],[Tipo_Linha]]&amp;" ) "&amp;Base_Periodo1[[#This Row],[Filtro]])</f>
        <v>Fora do DRE</v>
      </c>
      <c r="W251" s="3" t="str">
        <f>LEFT(Base_Periodo1[[#This Row],[CLASS]],3)</f>
        <v>1.1</v>
      </c>
    </row>
    <row r="252" spans="1:23" hidden="1">
      <c r="A252" s="3" t="str">
        <f t="shared" si="3"/>
        <v>Período 1</v>
      </c>
      <c r="B252">
        <v>39136</v>
      </c>
      <c r="C252" t="s">
        <v>503</v>
      </c>
      <c r="D252" t="s">
        <v>5379</v>
      </c>
      <c r="E252" s="3" t="str">
        <f>IF(LEN(Base_Periodo1[[#This Row],[CLASS]])&gt;=7,LEFT(Base_Periodo1[[#This Row],[CLASS]],7),"")</f>
        <v>1.1.2.1</v>
      </c>
      <c r="F252" s="3" t="str">
        <f>VLOOKUP(Base_Periodo1[[#This Row],[Aux]],Base_Contas_Balanco[#All],2,FALSE)</f>
        <v>Creditos com Cooperados</v>
      </c>
      <c r="G252" s="1">
        <v>42836</v>
      </c>
      <c r="H252" s="225">
        <v>14956.400000000081</v>
      </c>
      <c r="I252" s="225">
        <v>0</v>
      </c>
      <c r="J252" s="225">
        <v>0</v>
      </c>
      <c r="K252" s="225">
        <v>14956.400000000081</v>
      </c>
      <c r="L2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14956.4</v>
      </c>
      <c r="M252" s="225">
        <f>ROUND(IF(AND(Base_Periodo1[[#This Row],[Tipo_Linha]]="-",Base_Periodo1[[#This Row],[TIPOSALDO]]="D"),Base_Periodo1[[#This Row],[SALDO_ATUAL]]*-1,Base_Periodo1[[#This Row],[SALDO_ATUAL]]),4)</f>
        <v>14956.4</v>
      </c>
      <c r="N252" t="s">
        <v>116</v>
      </c>
      <c r="O252" t="s">
        <v>397</v>
      </c>
      <c r="P252" t="s">
        <v>397</v>
      </c>
      <c r="Q252">
        <v>7</v>
      </c>
      <c r="R252" s="225">
        <f>Base_Periodo1[[#This Row],[CREDITOS]]-Base_Periodo1[[#This Row],[DEBITOS]]</f>
        <v>0</v>
      </c>
      <c r="S252" s="3" t="str">
        <f>IF(ISERROR(VLOOKUP(Base_Periodo1[[#This Row],[CONTA]],BaseContasDRE[#All],4,FALSE)),"Fora do DRE",VLOOKUP(Base_Periodo1[[#This Row],[CONTA]],BaseContasDRE[#All],4,FALSE))</f>
        <v>Fora do DRE</v>
      </c>
      <c r="T252" s="3" t="str">
        <f>IF(ISERROR(VLOOKUP(Base_Periodo1[[#This Row],[CONTA]],BaseContasDRE[#All],5,FALSE)),"Fora do DRE",VLOOKUP(Base_Periodo1[[#This Row],[CONTA]],BaseContasDRE[#All],6,FALSE))</f>
        <v>Fora do DRE</v>
      </c>
      <c r="U252" s="3" t="str">
        <f>IF(ISERROR(VLOOKUP(Base_Periodo1[[#This Row],[CONTA]],BaseContasDRE[#All],7,FALSE)),"Fora do DRE",VLOOKUP(Base_Periodo1[[#This Row],[CONTA]],BaseContasDRE[#All],7,FALSE))</f>
        <v>Fora do DRE</v>
      </c>
      <c r="V252" s="3" t="str">
        <f>IF(Base_Periodo1[[#This Row],[Tipo_Linha]]="Fora do DRE","Fora do DRE","( "&amp;Base_Periodo1[[#This Row],[Tipo_Linha]]&amp;" ) "&amp;Base_Periodo1[[#This Row],[Filtro]])</f>
        <v>Fora do DRE</v>
      </c>
      <c r="W252" s="3" t="str">
        <f>LEFT(Base_Periodo1[[#This Row],[CLASS]],3)</f>
        <v>1.1</v>
      </c>
    </row>
    <row r="253" spans="1:23" hidden="1">
      <c r="A253" s="3" t="str">
        <f t="shared" si="3"/>
        <v>Período 1</v>
      </c>
      <c r="B253">
        <v>3444</v>
      </c>
      <c r="C253" t="s">
        <v>503</v>
      </c>
      <c r="D253" t="s">
        <v>5479</v>
      </c>
      <c r="E253" s="3" t="str">
        <f>IF(LEN(Base_Periodo1[[#This Row],[CLASS]])&gt;=7,LEFT(Base_Periodo1[[#This Row],[CLASS]],7),"")</f>
        <v>1.1.2.1</v>
      </c>
      <c r="F253" s="3" t="str">
        <f>VLOOKUP(Base_Periodo1[[#This Row],[Aux]],Base_Contas_Balanco[#All],2,FALSE)</f>
        <v>Creditos com Cooperados</v>
      </c>
      <c r="G253" s="1">
        <v>42866</v>
      </c>
      <c r="H253" s="225">
        <v>130000.00000000559</v>
      </c>
      <c r="I253" s="225">
        <v>8268.66</v>
      </c>
      <c r="J253" s="225">
        <v>138268.66</v>
      </c>
      <c r="K253" s="225">
        <v>5.5879354476928711E-9</v>
      </c>
      <c r="L2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3" s="225">
        <f>ROUND(IF(AND(Base_Periodo1[[#This Row],[Tipo_Linha]]="-",Base_Periodo1[[#This Row],[TIPOSALDO]]="D"),Base_Periodo1[[#This Row],[SALDO_ATUAL]]*-1,Base_Periodo1[[#This Row],[SALDO_ATUAL]]),4)</f>
        <v>0</v>
      </c>
      <c r="N253" t="s">
        <v>116</v>
      </c>
      <c r="O253" t="s">
        <v>397</v>
      </c>
      <c r="P253" t="s">
        <v>436</v>
      </c>
      <c r="Q253">
        <v>7</v>
      </c>
      <c r="R253" s="225">
        <f>Base_Periodo1[[#This Row],[CREDITOS]]-Base_Periodo1[[#This Row],[DEBITOS]]</f>
        <v>130000</v>
      </c>
      <c r="S253" s="3" t="str">
        <f>IF(ISERROR(VLOOKUP(Base_Periodo1[[#This Row],[CONTA]],BaseContasDRE[#All],4,FALSE)),"Fora do DRE",VLOOKUP(Base_Periodo1[[#This Row],[CONTA]],BaseContasDRE[#All],4,FALSE))</f>
        <v>Fora do DRE</v>
      </c>
      <c r="T253" s="3" t="str">
        <f>IF(ISERROR(VLOOKUP(Base_Periodo1[[#This Row],[CONTA]],BaseContasDRE[#All],5,FALSE)),"Fora do DRE",VLOOKUP(Base_Periodo1[[#This Row],[CONTA]],BaseContasDRE[#All],6,FALSE))</f>
        <v>Fora do DRE</v>
      </c>
      <c r="U253" s="3" t="str">
        <f>IF(ISERROR(VLOOKUP(Base_Periodo1[[#This Row],[CONTA]],BaseContasDRE[#All],7,FALSE)),"Fora do DRE",VLOOKUP(Base_Periodo1[[#This Row],[CONTA]],BaseContasDRE[#All],7,FALSE))</f>
        <v>Fora do DRE</v>
      </c>
      <c r="V253" s="3" t="str">
        <f>IF(Base_Periodo1[[#This Row],[Tipo_Linha]]="Fora do DRE","Fora do DRE","( "&amp;Base_Periodo1[[#This Row],[Tipo_Linha]]&amp;" ) "&amp;Base_Periodo1[[#This Row],[Filtro]])</f>
        <v>Fora do DRE</v>
      </c>
      <c r="W253" s="3" t="str">
        <f>LEFT(Base_Periodo1[[#This Row],[CLASS]],3)</f>
        <v>1.1</v>
      </c>
    </row>
    <row r="254" spans="1:23" hidden="1">
      <c r="A254" s="3" t="str">
        <f t="shared" si="3"/>
        <v>Período 1</v>
      </c>
      <c r="B254">
        <v>9944</v>
      </c>
      <c r="C254" t="s">
        <v>503</v>
      </c>
      <c r="D254" t="s">
        <v>5380</v>
      </c>
      <c r="E254" s="3" t="str">
        <f>IF(LEN(Base_Periodo1[[#This Row],[CLASS]])&gt;=7,LEFT(Base_Periodo1[[#This Row],[CLASS]],7),"")</f>
        <v>1.1.2.1</v>
      </c>
      <c r="F254" s="3" t="str">
        <f>VLOOKUP(Base_Periodo1[[#This Row],[Aux]],Base_Contas_Balanco[#All],2,FALSE)</f>
        <v>Creditos com Cooperados</v>
      </c>
      <c r="G254" s="1">
        <v>42886</v>
      </c>
      <c r="H254" s="225">
        <v>76305.809999998659</v>
      </c>
      <c r="I254" s="225">
        <v>103663.5</v>
      </c>
      <c r="J254" s="225">
        <v>86102.01</v>
      </c>
      <c r="K254" s="225">
        <v>93867.299999998664</v>
      </c>
      <c r="L2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93867.3</v>
      </c>
      <c r="M254" s="225">
        <f>ROUND(IF(AND(Base_Periodo1[[#This Row],[Tipo_Linha]]="-",Base_Periodo1[[#This Row],[TIPOSALDO]]="D"),Base_Periodo1[[#This Row],[SALDO_ATUAL]]*-1,Base_Periodo1[[#This Row],[SALDO_ATUAL]]),4)</f>
        <v>93867.3</v>
      </c>
      <c r="N254" t="s">
        <v>116</v>
      </c>
      <c r="O254" t="s">
        <v>397</v>
      </c>
      <c r="P254" t="s">
        <v>397</v>
      </c>
      <c r="Q254">
        <v>7</v>
      </c>
      <c r="R254" s="225">
        <f>Base_Periodo1[[#This Row],[CREDITOS]]-Base_Periodo1[[#This Row],[DEBITOS]]</f>
        <v>-17561.490000000005</v>
      </c>
      <c r="S254" s="3" t="str">
        <f>IF(ISERROR(VLOOKUP(Base_Periodo1[[#This Row],[CONTA]],BaseContasDRE[#All],4,FALSE)),"Fora do DRE",VLOOKUP(Base_Periodo1[[#This Row],[CONTA]],BaseContasDRE[#All],4,FALSE))</f>
        <v>Fora do DRE</v>
      </c>
      <c r="T254" s="3" t="str">
        <f>IF(ISERROR(VLOOKUP(Base_Periodo1[[#This Row],[CONTA]],BaseContasDRE[#All],5,FALSE)),"Fora do DRE",VLOOKUP(Base_Periodo1[[#This Row],[CONTA]],BaseContasDRE[#All],6,FALSE))</f>
        <v>Fora do DRE</v>
      </c>
      <c r="U254" s="3" t="str">
        <f>IF(ISERROR(VLOOKUP(Base_Periodo1[[#This Row],[CONTA]],BaseContasDRE[#All],7,FALSE)),"Fora do DRE",VLOOKUP(Base_Periodo1[[#This Row],[CONTA]],BaseContasDRE[#All],7,FALSE))</f>
        <v>Fora do DRE</v>
      </c>
      <c r="V254" s="3" t="str">
        <f>IF(Base_Periodo1[[#This Row],[Tipo_Linha]]="Fora do DRE","Fora do DRE","( "&amp;Base_Periodo1[[#This Row],[Tipo_Linha]]&amp;" ) "&amp;Base_Periodo1[[#This Row],[Filtro]])</f>
        <v>Fora do DRE</v>
      </c>
      <c r="W254" s="3" t="str">
        <f>LEFT(Base_Periodo1[[#This Row],[CLASS]],3)</f>
        <v>1.1</v>
      </c>
    </row>
    <row r="255" spans="1:23" hidden="1">
      <c r="A255" s="3" t="str">
        <f t="shared" si="3"/>
        <v>Período 1</v>
      </c>
      <c r="B255">
        <v>9062</v>
      </c>
      <c r="C255" t="s">
        <v>503</v>
      </c>
      <c r="D255" t="s">
        <v>6338</v>
      </c>
      <c r="E255" s="3" t="str">
        <f>IF(LEN(Base_Periodo1[[#This Row],[CLASS]])&gt;=7,LEFT(Base_Periodo1[[#This Row],[CLASS]],7),"")</f>
        <v>1.1.2.1</v>
      </c>
      <c r="F255" s="3" t="str">
        <f>VLOOKUP(Base_Periodo1[[#This Row],[Aux]],Base_Contas_Balanco[#All],2,FALSE)</f>
        <v>Creditos com Cooperados</v>
      </c>
      <c r="G255" s="1">
        <v>42885</v>
      </c>
      <c r="I255" s="225">
        <v>21503.18</v>
      </c>
      <c r="J255" s="225">
        <v>21503.18</v>
      </c>
      <c r="K255" s="225">
        <v>0</v>
      </c>
      <c r="L2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5" s="225">
        <f>ROUND(IF(AND(Base_Periodo1[[#This Row],[Tipo_Linha]]="-",Base_Periodo1[[#This Row],[TIPOSALDO]]="D"),Base_Periodo1[[#This Row],[SALDO_ATUAL]]*-1,Base_Periodo1[[#This Row],[SALDO_ATUAL]]),4)</f>
        <v>0</v>
      </c>
      <c r="N255" t="s">
        <v>116</v>
      </c>
      <c r="O255" t="s">
        <v>436</v>
      </c>
      <c r="P255" t="s">
        <v>436</v>
      </c>
      <c r="Q255">
        <v>7</v>
      </c>
      <c r="R255" s="225">
        <f>Base_Periodo1[[#This Row],[CREDITOS]]-Base_Periodo1[[#This Row],[DEBITOS]]</f>
        <v>0</v>
      </c>
      <c r="S255" s="3" t="str">
        <f>IF(ISERROR(VLOOKUP(Base_Periodo1[[#This Row],[CONTA]],BaseContasDRE[#All],4,FALSE)),"Fora do DRE",VLOOKUP(Base_Periodo1[[#This Row],[CONTA]],BaseContasDRE[#All],4,FALSE))</f>
        <v>Fora do DRE</v>
      </c>
      <c r="T255" s="3" t="str">
        <f>IF(ISERROR(VLOOKUP(Base_Periodo1[[#This Row],[CONTA]],BaseContasDRE[#All],5,FALSE)),"Fora do DRE",VLOOKUP(Base_Periodo1[[#This Row],[CONTA]],BaseContasDRE[#All],6,FALSE))</f>
        <v>Fora do DRE</v>
      </c>
      <c r="U255" s="3" t="str">
        <f>IF(ISERROR(VLOOKUP(Base_Periodo1[[#This Row],[CONTA]],BaseContasDRE[#All],7,FALSE)),"Fora do DRE",VLOOKUP(Base_Periodo1[[#This Row],[CONTA]],BaseContasDRE[#All],7,FALSE))</f>
        <v>Fora do DRE</v>
      </c>
      <c r="V255" s="3" t="str">
        <f>IF(Base_Periodo1[[#This Row],[Tipo_Linha]]="Fora do DRE","Fora do DRE","( "&amp;Base_Periodo1[[#This Row],[Tipo_Linha]]&amp;" ) "&amp;Base_Periodo1[[#This Row],[Filtro]])</f>
        <v>Fora do DRE</v>
      </c>
      <c r="W255" s="3" t="str">
        <f>LEFT(Base_Periodo1[[#This Row],[CLASS]],3)</f>
        <v>1.1</v>
      </c>
    </row>
    <row r="256" spans="1:23" hidden="1">
      <c r="A256" s="3" t="str">
        <f t="shared" si="3"/>
        <v>Período 1</v>
      </c>
      <c r="B256">
        <v>18586</v>
      </c>
      <c r="C256" t="s">
        <v>503</v>
      </c>
      <c r="D256" t="s">
        <v>600</v>
      </c>
      <c r="E256" s="3" t="str">
        <f>IF(LEN(Base_Periodo1[[#This Row],[CLASS]])&gt;=7,LEFT(Base_Periodo1[[#This Row],[CLASS]],7),"")</f>
        <v>1.1.2.1</v>
      </c>
      <c r="F256" s="3" t="str">
        <f>VLOOKUP(Base_Periodo1[[#This Row],[Aux]],Base_Contas_Balanco[#All],2,FALSE)</f>
        <v>Creditos com Cooperados</v>
      </c>
      <c r="G256" s="1">
        <v>42530</v>
      </c>
      <c r="H256" s="225">
        <v>14999.999999999767</v>
      </c>
      <c r="I256" s="225">
        <v>0</v>
      </c>
      <c r="J256" s="225">
        <v>0</v>
      </c>
      <c r="K256" s="225">
        <v>14999.999999999767</v>
      </c>
      <c r="L2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15000</v>
      </c>
      <c r="M256" s="225">
        <f>ROUND(IF(AND(Base_Periodo1[[#This Row],[Tipo_Linha]]="-",Base_Periodo1[[#This Row],[TIPOSALDO]]="D"),Base_Periodo1[[#This Row],[SALDO_ATUAL]]*-1,Base_Periodo1[[#This Row],[SALDO_ATUAL]]),4)</f>
        <v>15000</v>
      </c>
      <c r="N256" t="s">
        <v>116</v>
      </c>
      <c r="O256" t="s">
        <v>397</v>
      </c>
      <c r="P256" t="s">
        <v>397</v>
      </c>
      <c r="Q256">
        <v>7</v>
      </c>
      <c r="R256" s="225">
        <f>Base_Periodo1[[#This Row],[CREDITOS]]-Base_Periodo1[[#This Row],[DEBITOS]]</f>
        <v>0</v>
      </c>
      <c r="S256" s="3" t="str">
        <f>IF(ISERROR(VLOOKUP(Base_Periodo1[[#This Row],[CONTA]],BaseContasDRE[#All],4,FALSE)),"Fora do DRE",VLOOKUP(Base_Periodo1[[#This Row],[CONTA]],BaseContasDRE[#All],4,FALSE))</f>
        <v>Fora do DRE</v>
      </c>
      <c r="T256" s="3" t="str">
        <f>IF(ISERROR(VLOOKUP(Base_Periodo1[[#This Row],[CONTA]],BaseContasDRE[#All],5,FALSE)),"Fora do DRE",VLOOKUP(Base_Periodo1[[#This Row],[CONTA]],BaseContasDRE[#All],6,FALSE))</f>
        <v>Fora do DRE</v>
      </c>
      <c r="U256" s="3" t="str">
        <f>IF(ISERROR(VLOOKUP(Base_Periodo1[[#This Row],[CONTA]],BaseContasDRE[#All],7,FALSE)),"Fora do DRE",VLOOKUP(Base_Periodo1[[#This Row],[CONTA]],BaseContasDRE[#All],7,FALSE))</f>
        <v>Fora do DRE</v>
      </c>
      <c r="V256" s="3" t="str">
        <f>IF(Base_Periodo1[[#This Row],[Tipo_Linha]]="Fora do DRE","Fora do DRE","( "&amp;Base_Periodo1[[#This Row],[Tipo_Linha]]&amp;" ) "&amp;Base_Periodo1[[#This Row],[Filtro]])</f>
        <v>Fora do DRE</v>
      </c>
      <c r="W256" s="3" t="str">
        <f>LEFT(Base_Periodo1[[#This Row],[CLASS]],3)</f>
        <v>1.1</v>
      </c>
    </row>
    <row r="257" spans="1:23" hidden="1">
      <c r="A257" s="3" t="str">
        <f t="shared" si="3"/>
        <v>Período 1</v>
      </c>
      <c r="B257">
        <v>49303</v>
      </c>
      <c r="C257" t="s">
        <v>503</v>
      </c>
      <c r="D257" t="s">
        <v>942</v>
      </c>
      <c r="E257" s="3" t="str">
        <f>IF(LEN(Base_Periodo1[[#This Row],[CLASS]])&gt;=7,LEFT(Base_Periodo1[[#This Row],[CLASS]],7),"")</f>
        <v>1.1.2.1</v>
      </c>
      <c r="F257" s="3" t="str">
        <f>VLOOKUP(Base_Periodo1[[#This Row],[Aux]],Base_Contas_Balanco[#All],2,FALSE)</f>
        <v>Creditos com Cooperados</v>
      </c>
      <c r="G257" s="1">
        <v>42853</v>
      </c>
      <c r="H257" s="225">
        <v>53940</v>
      </c>
      <c r="I257" s="225">
        <v>0</v>
      </c>
      <c r="J257" s="225">
        <v>0</v>
      </c>
      <c r="K257" s="225">
        <v>53940</v>
      </c>
      <c r="L2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53940</v>
      </c>
      <c r="M257" s="225">
        <f>ROUND(IF(AND(Base_Periodo1[[#This Row],[Tipo_Linha]]="-",Base_Periodo1[[#This Row],[TIPOSALDO]]="D"),Base_Periodo1[[#This Row],[SALDO_ATUAL]]*-1,Base_Periodo1[[#This Row],[SALDO_ATUAL]]),4)</f>
        <v>53940</v>
      </c>
      <c r="N257" t="s">
        <v>116</v>
      </c>
      <c r="O257" t="s">
        <v>397</v>
      </c>
      <c r="P257" t="s">
        <v>397</v>
      </c>
      <c r="Q257">
        <v>7</v>
      </c>
      <c r="R257" s="225">
        <f>Base_Periodo1[[#This Row],[CREDITOS]]-Base_Periodo1[[#This Row],[DEBITOS]]</f>
        <v>0</v>
      </c>
      <c r="S257" s="3" t="str">
        <f>IF(ISERROR(VLOOKUP(Base_Periodo1[[#This Row],[CONTA]],BaseContasDRE[#All],4,FALSE)),"Fora do DRE",VLOOKUP(Base_Periodo1[[#This Row],[CONTA]],BaseContasDRE[#All],4,FALSE))</f>
        <v>Fora do DRE</v>
      </c>
      <c r="T257" s="3" t="str">
        <f>IF(ISERROR(VLOOKUP(Base_Periodo1[[#This Row],[CONTA]],BaseContasDRE[#All],5,FALSE)),"Fora do DRE",VLOOKUP(Base_Periodo1[[#This Row],[CONTA]],BaseContasDRE[#All],6,FALSE))</f>
        <v>Fora do DRE</v>
      </c>
      <c r="U257" s="3" t="str">
        <f>IF(ISERROR(VLOOKUP(Base_Periodo1[[#This Row],[CONTA]],BaseContasDRE[#All],7,FALSE)),"Fora do DRE",VLOOKUP(Base_Periodo1[[#This Row],[CONTA]],BaseContasDRE[#All],7,FALSE))</f>
        <v>Fora do DRE</v>
      </c>
      <c r="V257" s="3" t="str">
        <f>IF(Base_Periodo1[[#This Row],[Tipo_Linha]]="Fora do DRE","Fora do DRE","( "&amp;Base_Periodo1[[#This Row],[Tipo_Linha]]&amp;" ) "&amp;Base_Periodo1[[#This Row],[Filtro]])</f>
        <v>Fora do DRE</v>
      </c>
      <c r="W257" s="3" t="str">
        <f>LEFT(Base_Periodo1[[#This Row],[CLASS]],3)</f>
        <v>1.1</v>
      </c>
    </row>
    <row r="258" spans="1:23" hidden="1">
      <c r="A258" s="3" t="str">
        <f t="shared" si="3"/>
        <v>Período 1</v>
      </c>
      <c r="B258">
        <v>8009</v>
      </c>
      <c r="C258" t="s">
        <v>503</v>
      </c>
      <c r="D258" t="s">
        <v>5381</v>
      </c>
      <c r="E258" s="3" t="str">
        <f>IF(LEN(Base_Periodo1[[#This Row],[CLASS]])&gt;=7,LEFT(Base_Periodo1[[#This Row],[CLASS]],7),"")</f>
        <v>1.1.2.1</v>
      </c>
      <c r="F258" s="3" t="str">
        <f>VLOOKUP(Base_Periodo1[[#This Row],[Aux]],Base_Contas_Balanco[#All],2,FALSE)</f>
        <v>Creditos com Cooperados</v>
      </c>
      <c r="G258" s="1">
        <v>42886</v>
      </c>
      <c r="H258" s="225">
        <v>36454.5</v>
      </c>
      <c r="I258" s="225">
        <v>0</v>
      </c>
      <c r="J258" s="225">
        <v>37665.75</v>
      </c>
      <c r="K258" s="225">
        <v>1211.25</v>
      </c>
      <c r="L2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-1211.25</v>
      </c>
      <c r="M258" s="225">
        <f>ROUND(IF(AND(Base_Periodo1[[#This Row],[Tipo_Linha]]="-",Base_Periodo1[[#This Row],[TIPOSALDO]]="D"),Base_Periodo1[[#This Row],[SALDO_ATUAL]]*-1,Base_Periodo1[[#This Row],[SALDO_ATUAL]]),4)</f>
        <v>1211.25</v>
      </c>
      <c r="N258" t="s">
        <v>116</v>
      </c>
      <c r="O258" t="s">
        <v>397</v>
      </c>
      <c r="P258" t="s">
        <v>459</v>
      </c>
      <c r="Q258">
        <v>7</v>
      </c>
      <c r="R258" s="225">
        <f>Base_Periodo1[[#This Row],[CREDITOS]]-Base_Periodo1[[#This Row],[DEBITOS]]</f>
        <v>37665.75</v>
      </c>
      <c r="S258" s="3" t="str">
        <f>IF(ISERROR(VLOOKUP(Base_Periodo1[[#This Row],[CONTA]],BaseContasDRE[#All],4,FALSE)),"Fora do DRE",VLOOKUP(Base_Periodo1[[#This Row],[CONTA]],BaseContasDRE[#All],4,FALSE))</f>
        <v>Fora do DRE</v>
      </c>
      <c r="T258" s="3" t="str">
        <f>IF(ISERROR(VLOOKUP(Base_Periodo1[[#This Row],[CONTA]],BaseContasDRE[#All],5,FALSE)),"Fora do DRE",VLOOKUP(Base_Periodo1[[#This Row],[CONTA]],BaseContasDRE[#All],6,FALSE))</f>
        <v>Fora do DRE</v>
      </c>
      <c r="U258" s="3" t="str">
        <f>IF(ISERROR(VLOOKUP(Base_Periodo1[[#This Row],[CONTA]],BaseContasDRE[#All],7,FALSE)),"Fora do DRE",VLOOKUP(Base_Periodo1[[#This Row],[CONTA]],BaseContasDRE[#All],7,FALSE))</f>
        <v>Fora do DRE</v>
      </c>
      <c r="V258" s="3" t="str">
        <f>IF(Base_Periodo1[[#This Row],[Tipo_Linha]]="Fora do DRE","Fora do DRE","( "&amp;Base_Periodo1[[#This Row],[Tipo_Linha]]&amp;" ) "&amp;Base_Periodo1[[#This Row],[Filtro]])</f>
        <v>Fora do DRE</v>
      </c>
      <c r="W258" s="3" t="str">
        <f>LEFT(Base_Periodo1[[#This Row],[CLASS]],3)</f>
        <v>1.1</v>
      </c>
    </row>
    <row r="259" spans="1:23" hidden="1">
      <c r="A259" s="3" t="str">
        <f t="shared" si="3"/>
        <v>Período 1</v>
      </c>
      <c r="B259">
        <v>3508</v>
      </c>
      <c r="C259" t="s">
        <v>503</v>
      </c>
      <c r="D259" t="s">
        <v>4731</v>
      </c>
      <c r="E259" s="3" t="str">
        <f>IF(LEN(Base_Periodo1[[#This Row],[CLASS]])&gt;=7,LEFT(Base_Periodo1[[#This Row],[CLASS]],7),"")</f>
        <v>1.1.2.1</v>
      </c>
      <c r="F259" s="3" t="str">
        <f>VLOOKUP(Base_Periodo1[[#This Row],[Aux]],Base_Contas_Balanco[#All],2,FALSE)</f>
        <v>Creditos com Cooperados</v>
      </c>
      <c r="G259" s="1">
        <v>42521</v>
      </c>
      <c r="H259" s="225">
        <v>3088614.9999999981</v>
      </c>
      <c r="I259" s="225">
        <v>0</v>
      </c>
      <c r="J259" s="225">
        <v>0</v>
      </c>
      <c r="K259" s="225">
        <v>3088614.9999999981</v>
      </c>
      <c r="L2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3088615</v>
      </c>
      <c r="M259" s="225">
        <f>ROUND(IF(AND(Base_Periodo1[[#This Row],[Tipo_Linha]]="-",Base_Periodo1[[#This Row],[TIPOSALDO]]="D"),Base_Periodo1[[#This Row],[SALDO_ATUAL]]*-1,Base_Periodo1[[#This Row],[SALDO_ATUAL]]),4)</f>
        <v>3088615</v>
      </c>
      <c r="N259" t="s">
        <v>116</v>
      </c>
      <c r="O259" t="s">
        <v>397</v>
      </c>
      <c r="P259" t="s">
        <v>397</v>
      </c>
      <c r="Q259">
        <v>7</v>
      </c>
      <c r="R259" s="225">
        <f>Base_Periodo1[[#This Row],[CREDITOS]]-Base_Periodo1[[#This Row],[DEBITOS]]</f>
        <v>0</v>
      </c>
      <c r="S259" s="3" t="str">
        <f>IF(ISERROR(VLOOKUP(Base_Periodo1[[#This Row],[CONTA]],BaseContasDRE[#All],4,FALSE)),"Fora do DRE",VLOOKUP(Base_Periodo1[[#This Row],[CONTA]],BaseContasDRE[#All],4,FALSE))</f>
        <v>Fora do DRE</v>
      </c>
      <c r="T259" s="3" t="str">
        <f>IF(ISERROR(VLOOKUP(Base_Periodo1[[#This Row],[CONTA]],BaseContasDRE[#All],5,FALSE)),"Fora do DRE",VLOOKUP(Base_Periodo1[[#This Row],[CONTA]],BaseContasDRE[#All],6,FALSE))</f>
        <v>Fora do DRE</v>
      </c>
      <c r="U259" s="3" t="str">
        <f>IF(ISERROR(VLOOKUP(Base_Periodo1[[#This Row],[CONTA]],BaseContasDRE[#All],7,FALSE)),"Fora do DRE",VLOOKUP(Base_Periodo1[[#This Row],[CONTA]],BaseContasDRE[#All],7,FALSE))</f>
        <v>Fora do DRE</v>
      </c>
      <c r="V259" s="3" t="str">
        <f>IF(Base_Periodo1[[#This Row],[Tipo_Linha]]="Fora do DRE","Fora do DRE","( "&amp;Base_Periodo1[[#This Row],[Tipo_Linha]]&amp;" ) "&amp;Base_Periodo1[[#This Row],[Filtro]])</f>
        <v>Fora do DRE</v>
      </c>
      <c r="W259" s="3" t="str">
        <f>LEFT(Base_Periodo1[[#This Row],[CLASS]],3)</f>
        <v>1.1</v>
      </c>
    </row>
    <row r="260" spans="1:23" hidden="1">
      <c r="A260" s="3" t="str">
        <f t="shared" si="3"/>
        <v>Período 1</v>
      </c>
      <c r="B260">
        <v>53544</v>
      </c>
      <c r="C260" t="s">
        <v>503</v>
      </c>
      <c r="D260" t="s">
        <v>601</v>
      </c>
      <c r="E260" s="3" t="str">
        <f>IF(LEN(Base_Periodo1[[#This Row],[CLASS]])&gt;=7,LEFT(Base_Periodo1[[#This Row],[CLASS]],7),"")</f>
        <v>1.1.2.1</v>
      </c>
      <c r="F260" s="3" t="str">
        <f>VLOOKUP(Base_Periodo1[[#This Row],[Aux]],Base_Contas_Balanco[#All],2,FALSE)</f>
        <v>Creditos com Cooperados</v>
      </c>
      <c r="G260" s="1">
        <v>42853</v>
      </c>
      <c r="H260" s="225">
        <v>354366.77999999997</v>
      </c>
      <c r="I260" s="225">
        <v>0</v>
      </c>
      <c r="J260" s="225">
        <v>0</v>
      </c>
      <c r="K260" s="225">
        <v>354366.77999999997</v>
      </c>
      <c r="L2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354366.78</v>
      </c>
      <c r="M260" s="225">
        <f>ROUND(IF(AND(Base_Periodo1[[#This Row],[Tipo_Linha]]="-",Base_Periodo1[[#This Row],[TIPOSALDO]]="D"),Base_Periodo1[[#This Row],[SALDO_ATUAL]]*-1,Base_Periodo1[[#This Row],[SALDO_ATUAL]]),4)</f>
        <v>354366.78</v>
      </c>
      <c r="N260" t="s">
        <v>116</v>
      </c>
      <c r="O260" t="s">
        <v>397</v>
      </c>
      <c r="P260" t="s">
        <v>397</v>
      </c>
      <c r="Q260">
        <v>7</v>
      </c>
      <c r="R260" s="225">
        <f>Base_Periodo1[[#This Row],[CREDITOS]]-Base_Periodo1[[#This Row],[DEBITOS]]</f>
        <v>0</v>
      </c>
      <c r="S260" s="3" t="str">
        <f>IF(ISERROR(VLOOKUP(Base_Periodo1[[#This Row],[CONTA]],BaseContasDRE[#All],4,FALSE)),"Fora do DRE",VLOOKUP(Base_Periodo1[[#This Row],[CONTA]],BaseContasDRE[#All],4,FALSE))</f>
        <v>Fora do DRE</v>
      </c>
      <c r="T260" s="3" t="str">
        <f>IF(ISERROR(VLOOKUP(Base_Periodo1[[#This Row],[CONTA]],BaseContasDRE[#All],5,FALSE)),"Fora do DRE",VLOOKUP(Base_Periodo1[[#This Row],[CONTA]],BaseContasDRE[#All],6,FALSE))</f>
        <v>Fora do DRE</v>
      </c>
      <c r="U260" s="3" t="str">
        <f>IF(ISERROR(VLOOKUP(Base_Periodo1[[#This Row],[CONTA]],BaseContasDRE[#All],7,FALSE)),"Fora do DRE",VLOOKUP(Base_Periodo1[[#This Row],[CONTA]],BaseContasDRE[#All],7,FALSE))</f>
        <v>Fora do DRE</v>
      </c>
      <c r="V260" s="3" t="str">
        <f>IF(Base_Periodo1[[#This Row],[Tipo_Linha]]="Fora do DRE","Fora do DRE","( "&amp;Base_Periodo1[[#This Row],[Tipo_Linha]]&amp;" ) "&amp;Base_Periodo1[[#This Row],[Filtro]])</f>
        <v>Fora do DRE</v>
      </c>
      <c r="W260" s="3" t="str">
        <f>LEFT(Base_Periodo1[[#This Row],[CLASS]],3)</f>
        <v>1.1</v>
      </c>
    </row>
    <row r="261" spans="1:23" hidden="1">
      <c r="A261" s="3" t="str">
        <f t="shared" si="3"/>
        <v>Período 1</v>
      </c>
      <c r="B261">
        <v>24206</v>
      </c>
      <c r="C261" t="s">
        <v>503</v>
      </c>
      <c r="D261" t="s">
        <v>601</v>
      </c>
      <c r="E261" s="3" t="str">
        <f>IF(LEN(Base_Periodo1[[#This Row],[CLASS]])&gt;=7,LEFT(Base_Periodo1[[#This Row],[CLASS]],7),"")</f>
        <v>1.1.2.1</v>
      </c>
      <c r="F261" s="3" t="str">
        <f>VLOOKUP(Base_Periodo1[[#This Row],[Aux]],Base_Contas_Balanco[#All],2,FALSE)</f>
        <v>Creditos com Cooperados</v>
      </c>
      <c r="G261" s="1">
        <v>42863</v>
      </c>
      <c r="H261" s="225">
        <v>221846.91000000108</v>
      </c>
      <c r="I261" s="225">
        <v>0</v>
      </c>
      <c r="J261" s="225">
        <v>19228</v>
      </c>
      <c r="K261" s="225">
        <v>202618.91000000108</v>
      </c>
      <c r="L2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202618.91</v>
      </c>
      <c r="M261" s="225">
        <f>ROUND(IF(AND(Base_Periodo1[[#This Row],[Tipo_Linha]]="-",Base_Periodo1[[#This Row],[TIPOSALDO]]="D"),Base_Periodo1[[#This Row],[SALDO_ATUAL]]*-1,Base_Periodo1[[#This Row],[SALDO_ATUAL]]),4)</f>
        <v>202618.91</v>
      </c>
      <c r="N261" t="s">
        <v>116</v>
      </c>
      <c r="O261" t="s">
        <v>397</v>
      </c>
      <c r="P261" t="s">
        <v>397</v>
      </c>
      <c r="Q261">
        <v>7</v>
      </c>
      <c r="R261" s="225">
        <f>Base_Periodo1[[#This Row],[CREDITOS]]-Base_Periodo1[[#This Row],[DEBITOS]]</f>
        <v>19228</v>
      </c>
      <c r="S261" s="3" t="str">
        <f>IF(ISERROR(VLOOKUP(Base_Periodo1[[#This Row],[CONTA]],BaseContasDRE[#All],4,FALSE)),"Fora do DRE",VLOOKUP(Base_Periodo1[[#This Row],[CONTA]],BaseContasDRE[#All],4,FALSE))</f>
        <v>Fora do DRE</v>
      </c>
      <c r="T261" s="3" t="str">
        <f>IF(ISERROR(VLOOKUP(Base_Periodo1[[#This Row],[CONTA]],BaseContasDRE[#All],5,FALSE)),"Fora do DRE",VLOOKUP(Base_Periodo1[[#This Row],[CONTA]],BaseContasDRE[#All],6,FALSE))</f>
        <v>Fora do DRE</v>
      </c>
      <c r="U261" s="3" t="str">
        <f>IF(ISERROR(VLOOKUP(Base_Periodo1[[#This Row],[CONTA]],BaseContasDRE[#All],7,FALSE)),"Fora do DRE",VLOOKUP(Base_Periodo1[[#This Row],[CONTA]],BaseContasDRE[#All],7,FALSE))</f>
        <v>Fora do DRE</v>
      </c>
      <c r="V261" s="3" t="str">
        <f>IF(Base_Periodo1[[#This Row],[Tipo_Linha]]="Fora do DRE","Fora do DRE","( "&amp;Base_Periodo1[[#This Row],[Tipo_Linha]]&amp;" ) "&amp;Base_Periodo1[[#This Row],[Filtro]])</f>
        <v>Fora do DRE</v>
      </c>
      <c r="W261" s="3" t="str">
        <f>LEFT(Base_Periodo1[[#This Row],[CLASS]],3)</f>
        <v>1.1</v>
      </c>
    </row>
    <row r="262" spans="1:23" hidden="1">
      <c r="A262" s="3" t="str">
        <f t="shared" ref="A262:A325" si="4">"Período 1"</f>
        <v>Período 1</v>
      </c>
      <c r="B262">
        <v>35552</v>
      </c>
      <c r="C262" t="s">
        <v>503</v>
      </c>
      <c r="D262" t="s">
        <v>601</v>
      </c>
      <c r="E262" s="3" t="str">
        <f>IF(LEN(Base_Periodo1[[#This Row],[CLASS]])&gt;=7,LEFT(Base_Periodo1[[#This Row],[CLASS]],7),"")</f>
        <v>1.1.2.1</v>
      </c>
      <c r="F262" s="3" t="str">
        <f>VLOOKUP(Base_Periodo1[[#This Row],[Aux]],Base_Contas_Balanco[#All],2,FALSE)</f>
        <v>Creditos com Cooperados</v>
      </c>
      <c r="G262" s="1">
        <v>42886</v>
      </c>
      <c r="H262" s="225">
        <v>1915674.7799999993</v>
      </c>
      <c r="I262" s="225">
        <v>24374.75</v>
      </c>
      <c r="J262" s="225">
        <v>52714.229999999996</v>
      </c>
      <c r="K262" s="225">
        <v>1887335.2999999993</v>
      </c>
      <c r="L2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1887335.3</v>
      </c>
      <c r="M262" s="225">
        <f>ROUND(IF(AND(Base_Periodo1[[#This Row],[Tipo_Linha]]="-",Base_Periodo1[[#This Row],[TIPOSALDO]]="D"),Base_Periodo1[[#This Row],[SALDO_ATUAL]]*-1,Base_Periodo1[[#This Row],[SALDO_ATUAL]]),4)</f>
        <v>1887335.3</v>
      </c>
      <c r="N262" t="s">
        <v>116</v>
      </c>
      <c r="O262" t="s">
        <v>397</v>
      </c>
      <c r="P262" t="s">
        <v>397</v>
      </c>
      <c r="Q262">
        <v>7</v>
      </c>
      <c r="R262" s="225">
        <f>Base_Periodo1[[#This Row],[CREDITOS]]-Base_Periodo1[[#This Row],[DEBITOS]]</f>
        <v>28339.479999999996</v>
      </c>
      <c r="S262" s="3" t="str">
        <f>IF(ISERROR(VLOOKUP(Base_Periodo1[[#This Row],[CONTA]],BaseContasDRE[#All],4,FALSE)),"Fora do DRE",VLOOKUP(Base_Periodo1[[#This Row],[CONTA]],BaseContasDRE[#All],4,FALSE))</f>
        <v>Fora do DRE</v>
      </c>
      <c r="T262" s="3" t="str">
        <f>IF(ISERROR(VLOOKUP(Base_Periodo1[[#This Row],[CONTA]],BaseContasDRE[#All],5,FALSE)),"Fora do DRE",VLOOKUP(Base_Periodo1[[#This Row],[CONTA]],BaseContasDRE[#All],6,FALSE))</f>
        <v>Fora do DRE</v>
      </c>
      <c r="U262" s="3" t="str">
        <f>IF(ISERROR(VLOOKUP(Base_Periodo1[[#This Row],[CONTA]],BaseContasDRE[#All],7,FALSE)),"Fora do DRE",VLOOKUP(Base_Periodo1[[#This Row],[CONTA]],BaseContasDRE[#All],7,FALSE))</f>
        <v>Fora do DRE</v>
      </c>
      <c r="V262" s="3" t="str">
        <f>IF(Base_Periodo1[[#This Row],[Tipo_Linha]]="Fora do DRE","Fora do DRE","( "&amp;Base_Periodo1[[#This Row],[Tipo_Linha]]&amp;" ) "&amp;Base_Periodo1[[#This Row],[Filtro]])</f>
        <v>Fora do DRE</v>
      </c>
      <c r="W262" s="3" t="str">
        <f>LEFT(Base_Periodo1[[#This Row],[CLASS]],3)</f>
        <v>1.1</v>
      </c>
    </row>
    <row r="263" spans="1:23" hidden="1">
      <c r="A263" s="3" t="str">
        <f t="shared" si="4"/>
        <v>Período 1</v>
      </c>
      <c r="B263">
        <v>35126</v>
      </c>
      <c r="C263" t="s">
        <v>503</v>
      </c>
      <c r="D263" t="s">
        <v>6122</v>
      </c>
      <c r="E263" s="3" t="str">
        <f>IF(LEN(Base_Periodo1[[#This Row],[CLASS]])&gt;=7,LEFT(Base_Periodo1[[#This Row],[CLASS]],7),"")</f>
        <v>1.1.2.1</v>
      </c>
      <c r="F263" s="3" t="str">
        <f>VLOOKUP(Base_Periodo1[[#This Row],[Aux]],Base_Contas_Balanco[#All],2,FALSE)</f>
        <v>Creditos com Cooperados</v>
      </c>
      <c r="G263" s="1">
        <v>42886</v>
      </c>
      <c r="H263" s="225">
        <v>39590</v>
      </c>
      <c r="I263" s="225">
        <v>0</v>
      </c>
      <c r="J263" s="225">
        <v>19816.400000000001</v>
      </c>
      <c r="K263" s="225">
        <v>19773.599999999999</v>
      </c>
      <c r="L2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19773.599999999999</v>
      </c>
      <c r="M263" s="225">
        <f>ROUND(IF(AND(Base_Periodo1[[#This Row],[Tipo_Linha]]="-",Base_Periodo1[[#This Row],[TIPOSALDO]]="D"),Base_Periodo1[[#This Row],[SALDO_ATUAL]]*-1,Base_Periodo1[[#This Row],[SALDO_ATUAL]]),4)</f>
        <v>19773.599999999999</v>
      </c>
      <c r="N263" t="s">
        <v>116</v>
      </c>
      <c r="O263" t="s">
        <v>397</v>
      </c>
      <c r="P263" t="s">
        <v>397</v>
      </c>
      <c r="Q263">
        <v>7</v>
      </c>
      <c r="R263" s="225">
        <f>Base_Periodo1[[#This Row],[CREDITOS]]-Base_Periodo1[[#This Row],[DEBITOS]]</f>
        <v>19816.400000000001</v>
      </c>
      <c r="S263" s="3" t="str">
        <f>IF(ISERROR(VLOOKUP(Base_Periodo1[[#This Row],[CONTA]],BaseContasDRE[#All],4,FALSE)),"Fora do DRE",VLOOKUP(Base_Periodo1[[#This Row],[CONTA]],BaseContasDRE[#All],4,FALSE))</f>
        <v>Fora do DRE</v>
      </c>
      <c r="T263" s="3" t="str">
        <f>IF(ISERROR(VLOOKUP(Base_Periodo1[[#This Row],[CONTA]],BaseContasDRE[#All],5,FALSE)),"Fora do DRE",VLOOKUP(Base_Periodo1[[#This Row],[CONTA]],BaseContasDRE[#All],6,FALSE))</f>
        <v>Fora do DRE</v>
      </c>
      <c r="U263" s="3" t="str">
        <f>IF(ISERROR(VLOOKUP(Base_Periodo1[[#This Row],[CONTA]],BaseContasDRE[#All],7,FALSE)),"Fora do DRE",VLOOKUP(Base_Periodo1[[#This Row],[CONTA]],BaseContasDRE[#All],7,FALSE))</f>
        <v>Fora do DRE</v>
      </c>
      <c r="V263" s="3" t="str">
        <f>IF(Base_Periodo1[[#This Row],[Tipo_Linha]]="Fora do DRE","Fora do DRE","( "&amp;Base_Periodo1[[#This Row],[Tipo_Linha]]&amp;" ) "&amp;Base_Periodo1[[#This Row],[Filtro]])</f>
        <v>Fora do DRE</v>
      </c>
      <c r="W263" s="3" t="str">
        <f>LEFT(Base_Periodo1[[#This Row],[CLASS]],3)</f>
        <v>1.1</v>
      </c>
    </row>
    <row r="264" spans="1:23" hidden="1">
      <c r="A264" s="3" t="str">
        <f t="shared" si="4"/>
        <v>Período 1</v>
      </c>
      <c r="B264">
        <v>3512</v>
      </c>
      <c r="C264" t="s">
        <v>503</v>
      </c>
      <c r="D264" t="s">
        <v>602</v>
      </c>
      <c r="E264" s="3" t="str">
        <f>IF(LEN(Base_Periodo1[[#This Row],[CLASS]])&gt;=7,LEFT(Base_Periodo1[[#This Row],[CLASS]],7),"")</f>
        <v>1.1.2.1</v>
      </c>
      <c r="F264" s="3" t="str">
        <f>VLOOKUP(Base_Periodo1[[#This Row],[Aux]],Base_Contas_Balanco[#All],2,FALSE)</f>
        <v>Creditos com Cooperados</v>
      </c>
      <c r="G264" s="1">
        <v>42864</v>
      </c>
      <c r="H264" s="225">
        <v>93388.05999999959</v>
      </c>
      <c r="I264" s="225">
        <v>77.94</v>
      </c>
      <c r="J264" s="225">
        <v>8828.9500000000007</v>
      </c>
      <c r="K264" s="225">
        <v>84637.049999999595</v>
      </c>
      <c r="L2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84637.05</v>
      </c>
      <c r="M264" s="225">
        <f>ROUND(IF(AND(Base_Periodo1[[#This Row],[Tipo_Linha]]="-",Base_Periodo1[[#This Row],[TIPOSALDO]]="D"),Base_Periodo1[[#This Row],[SALDO_ATUAL]]*-1,Base_Periodo1[[#This Row],[SALDO_ATUAL]]),4)</f>
        <v>84637.05</v>
      </c>
      <c r="N264" t="s">
        <v>116</v>
      </c>
      <c r="O264" t="s">
        <v>397</v>
      </c>
      <c r="P264" t="s">
        <v>397</v>
      </c>
      <c r="Q264">
        <v>7</v>
      </c>
      <c r="R264" s="225">
        <f>Base_Periodo1[[#This Row],[CREDITOS]]-Base_Periodo1[[#This Row],[DEBITOS]]</f>
        <v>8751.01</v>
      </c>
      <c r="S264" s="3" t="str">
        <f>IF(ISERROR(VLOOKUP(Base_Periodo1[[#This Row],[CONTA]],BaseContasDRE[#All],4,FALSE)),"Fora do DRE",VLOOKUP(Base_Periodo1[[#This Row],[CONTA]],BaseContasDRE[#All],4,FALSE))</f>
        <v>Fora do DRE</v>
      </c>
      <c r="T264" s="3" t="str">
        <f>IF(ISERROR(VLOOKUP(Base_Periodo1[[#This Row],[CONTA]],BaseContasDRE[#All],5,FALSE)),"Fora do DRE",VLOOKUP(Base_Periodo1[[#This Row],[CONTA]],BaseContasDRE[#All],6,FALSE))</f>
        <v>Fora do DRE</v>
      </c>
      <c r="U264" s="3" t="str">
        <f>IF(ISERROR(VLOOKUP(Base_Periodo1[[#This Row],[CONTA]],BaseContasDRE[#All],7,FALSE)),"Fora do DRE",VLOOKUP(Base_Periodo1[[#This Row],[CONTA]],BaseContasDRE[#All],7,FALSE))</f>
        <v>Fora do DRE</v>
      </c>
      <c r="V264" s="3" t="str">
        <f>IF(Base_Periodo1[[#This Row],[Tipo_Linha]]="Fora do DRE","Fora do DRE","( "&amp;Base_Periodo1[[#This Row],[Tipo_Linha]]&amp;" ) "&amp;Base_Periodo1[[#This Row],[Filtro]])</f>
        <v>Fora do DRE</v>
      </c>
      <c r="W264" s="3" t="str">
        <f>LEFT(Base_Periodo1[[#This Row],[CLASS]],3)</f>
        <v>1.1</v>
      </c>
    </row>
    <row r="265" spans="1:23" hidden="1">
      <c r="A265" s="3" t="str">
        <f t="shared" si="4"/>
        <v>Período 1</v>
      </c>
      <c r="B265">
        <v>37076</v>
      </c>
      <c r="C265" t="s">
        <v>503</v>
      </c>
      <c r="D265" t="s">
        <v>603</v>
      </c>
      <c r="E265" s="3" t="str">
        <f>IF(LEN(Base_Periodo1[[#This Row],[CLASS]])&gt;=7,LEFT(Base_Periodo1[[#This Row],[CLASS]],7),"")</f>
        <v>1.1.2.1</v>
      </c>
      <c r="F265" s="3" t="str">
        <f>VLOOKUP(Base_Periodo1[[#This Row],[Aux]],Base_Contas_Balanco[#All],2,FALSE)</f>
        <v>Creditos com Cooperados</v>
      </c>
      <c r="G265" s="1">
        <v>42879</v>
      </c>
      <c r="H265" s="225">
        <v>39535.389999999199</v>
      </c>
      <c r="I265" s="225">
        <v>2970</v>
      </c>
      <c r="J265" s="225">
        <v>42505.39</v>
      </c>
      <c r="K265" s="225">
        <v>-8.0035533756017685E-10</v>
      </c>
      <c r="L2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5" s="225">
        <f>ROUND(IF(AND(Base_Periodo1[[#This Row],[Tipo_Linha]]="-",Base_Periodo1[[#This Row],[TIPOSALDO]]="D"),Base_Periodo1[[#This Row],[SALDO_ATUAL]]*-1,Base_Periodo1[[#This Row],[SALDO_ATUAL]]),4)</f>
        <v>0</v>
      </c>
      <c r="N265" t="s">
        <v>116</v>
      </c>
      <c r="O265" t="s">
        <v>397</v>
      </c>
      <c r="P265" t="s">
        <v>436</v>
      </c>
      <c r="Q265">
        <v>7</v>
      </c>
      <c r="R265" s="225">
        <f>Base_Periodo1[[#This Row],[CREDITOS]]-Base_Periodo1[[#This Row],[DEBITOS]]</f>
        <v>39535.39</v>
      </c>
      <c r="S265" s="3" t="str">
        <f>IF(ISERROR(VLOOKUP(Base_Periodo1[[#This Row],[CONTA]],BaseContasDRE[#All],4,FALSE)),"Fora do DRE",VLOOKUP(Base_Periodo1[[#This Row],[CONTA]],BaseContasDRE[#All],4,FALSE))</f>
        <v>Fora do DRE</v>
      </c>
      <c r="T265" s="3" t="str">
        <f>IF(ISERROR(VLOOKUP(Base_Periodo1[[#This Row],[CONTA]],BaseContasDRE[#All],5,FALSE)),"Fora do DRE",VLOOKUP(Base_Periodo1[[#This Row],[CONTA]],BaseContasDRE[#All],6,FALSE))</f>
        <v>Fora do DRE</v>
      </c>
      <c r="U265" s="3" t="str">
        <f>IF(ISERROR(VLOOKUP(Base_Periodo1[[#This Row],[CONTA]],BaseContasDRE[#All],7,FALSE)),"Fora do DRE",VLOOKUP(Base_Periodo1[[#This Row],[CONTA]],BaseContasDRE[#All],7,FALSE))</f>
        <v>Fora do DRE</v>
      </c>
      <c r="V265" s="3" t="str">
        <f>IF(Base_Periodo1[[#This Row],[Tipo_Linha]]="Fora do DRE","Fora do DRE","( "&amp;Base_Periodo1[[#This Row],[Tipo_Linha]]&amp;" ) "&amp;Base_Periodo1[[#This Row],[Filtro]])</f>
        <v>Fora do DRE</v>
      </c>
      <c r="W265" s="3" t="str">
        <f>LEFT(Base_Periodo1[[#This Row],[CLASS]],3)</f>
        <v>1.1</v>
      </c>
    </row>
    <row r="266" spans="1:23" hidden="1">
      <c r="A266" s="3" t="str">
        <f t="shared" si="4"/>
        <v>Período 1</v>
      </c>
      <c r="B266">
        <v>48122</v>
      </c>
      <c r="C266" t="s">
        <v>503</v>
      </c>
      <c r="D266" t="s">
        <v>5137</v>
      </c>
      <c r="E266" s="3" t="str">
        <f>IF(LEN(Base_Periodo1[[#This Row],[CLASS]])&gt;=7,LEFT(Base_Periodo1[[#This Row],[CLASS]],7),"")</f>
        <v>1.1.2.1</v>
      </c>
      <c r="F266" s="3" t="str">
        <f>VLOOKUP(Base_Periodo1[[#This Row],[Aux]],Base_Contas_Balanco[#All],2,FALSE)</f>
        <v>Creditos com Cooperados</v>
      </c>
      <c r="G266" s="1">
        <v>42885</v>
      </c>
      <c r="H266" s="225">
        <v>199954.75999999981</v>
      </c>
      <c r="I266" s="225">
        <v>1932.2500000000002</v>
      </c>
      <c r="J266" s="225">
        <v>83847.219999999972</v>
      </c>
      <c r="K266" s="225">
        <v>118039.78999999983</v>
      </c>
      <c r="L2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118039.79</v>
      </c>
      <c r="M266" s="225">
        <f>ROUND(IF(AND(Base_Periodo1[[#This Row],[Tipo_Linha]]="-",Base_Periodo1[[#This Row],[TIPOSALDO]]="D"),Base_Periodo1[[#This Row],[SALDO_ATUAL]]*-1,Base_Periodo1[[#This Row],[SALDO_ATUAL]]),4)</f>
        <v>118039.79</v>
      </c>
      <c r="N266" t="s">
        <v>116</v>
      </c>
      <c r="O266" t="s">
        <v>397</v>
      </c>
      <c r="P266" t="s">
        <v>397</v>
      </c>
      <c r="Q266">
        <v>7</v>
      </c>
      <c r="R266" s="225">
        <f>Base_Periodo1[[#This Row],[CREDITOS]]-Base_Periodo1[[#This Row],[DEBITOS]]</f>
        <v>81914.969999999972</v>
      </c>
      <c r="S266" s="3" t="str">
        <f>IF(ISERROR(VLOOKUP(Base_Periodo1[[#This Row],[CONTA]],BaseContasDRE[#All],4,FALSE)),"Fora do DRE",VLOOKUP(Base_Periodo1[[#This Row],[CONTA]],BaseContasDRE[#All],4,FALSE))</f>
        <v>Fora do DRE</v>
      </c>
      <c r="T266" s="3" t="str">
        <f>IF(ISERROR(VLOOKUP(Base_Periodo1[[#This Row],[CONTA]],BaseContasDRE[#All],5,FALSE)),"Fora do DRE",VLOOKUP(Base_Periodo1[[#This Row],[CONTA]],BaseContasDRE[#All],6,FALSE))</f>
        <v>Fora do DRE</v>
      </c>
      <c r="U266" s="3" t="str">
        <f>IF(ISERROR(VLOOKUP(Base_Periodo1[[#This Row],[CONTA]],BaseContasDRE[#All],7,FALSE)),"Fora do DRE",VLOOKUP(Base_Periodo1[[#This Row],[CONTA]],BaseContasDRE[#All],7,FALSE))</f>
        <v>Fora do DRE</v>
      </c>
      <c r="V266" s="3" t="str">
        <f>IF(Base_Periodo1[[#This Row],[Tipo_Linha]]="Fora do DRE","Fora do DRE","( "&amp;Base_Periodo1[[#This Row],[Tipo_Linha]]&amp;" ) "&amp;Base_Periodo1[[#This Row],[Filtro]])</f>
        <v>Fora do DRE</v>
      </c>
      <c r="W266" s="3" t="str">
        <f>LEFT(Base_Periodo1[[#This Row],[CLASS]],3)</f>
        <v>1.1</v>
      </c>
    </row>
    <row r="267" spans="1:23" hidden="1">
      <c r="A267" s="3" t="str">
        <f t="shared" si="4"/>
        <v>Período 1</v>
      </c>
      <c r="B267">
        <v>4032</v>
      </c>
      <c r="C267" t="s">
        <v>503</v>
      </c>
      <c r="D267" t="s">
        <v>604</v>
      </c>
      <c r="E267" s="3" t="str">
        <f>IF(LEN(Base_Periodo1[[#This Row],[CLASS]])&gt;=7,LEFT(Base_Periodo1[[#This Row],[CLASS]],7),"")</f>
        <v>1.1.2.1</v>
      </c>
      <c r="F267" s="3" t="str">
        <f>VLOOKUP(Base_Periodo1[[#This Row],[Aux]],Base_Contas_Balanco[#All],2,FALSE)</f>
        <v>Creditos com Cooperados</v>
      </c>
      <c r="G267" s="1">
        <v>42886</v>
      </c>
      <c r="H267" s="225">
        <v>253611.28999999724</v>
      </c>
      <c r="I267" s="225">
        <v>16515.02</v>
      </c>
      <c r="J267" s="225">
        <v>117436.51999999999</v>
      </c>
      <c r="K267" s="225">
        <v>152689.78999999727</v>
      </c>
      <c r="L2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152689.79</v>
      </c>
      <c r="M267" s="225">
        <f>ROUND(IF(AND(Base_Periodo1[[#This Row],[Tipo_Linha]]="-",Base_Periodo1[[#This Row],[TIPOSALDO]]="D"),Base_Periodo1[[#This Row],[SALDO_ATUAL]]*-1,Base_Periodo1[[#This Row],[SALDO_ATUAL]]),4)</f>
        <v>152689.79</v>
      </c>
      <c r="N267" t="s">
        <v>116</v>
      </c>
      <c r="O267" t="s">
        <v>397</v>
      </c>
      <c r="P267" t="s">
        <v>397</v>
      </c>
      <c r="Q267">
        <v>7</v>
      </c>
      <c r="R267" s="225">
        <f>Base_Periodo1[[#This Row],[CREDITOS]]-Base_Periodo1[[#This Row],[DEBITOS]]</f>
        <v>100921.49999999999</v>
      </c>
      <c r="S267" s="3" t="str">
        <f>IF(ISERROR(VLOOKUP(Base_Periodo1[[#This Row],[CONTA]],BaseContasDRE[#All],4,FALSE)),"Fora do DRE",VLOOKUP(Base_Periodo1[[#This Row],[CONTA]],BaseContasDRE[#All],4,FALSE))</f>
        <v>Fora do DRE</v>
      </c>
      <c r="T267" s="3" t="str">
        <f>IF(ISERROR(VLOOKUP(Base_Periodo1[[#This Row],[CONTA]],BaseContasDRE[#All],5,FALSE)),"Fora do DRE",VLOOKUP(Base_Periodo1[[#This Row],[CONTA]],BaseContasDRE[#All],6,FALSE))</f>
        <v>Fora do DRE</v>
      </c>
      <c r="U267" s="3" t="str">
        <f>IF(ISERROR(VLOOKUP(Base_Periodo1[[#This Row],[CONTA]],BaseContasDRE[#All],7,FALSE)),"Fora do DRE",VLOOKUP(Base_Periodo1[[#This Row],[CONTA]],BaseContasDRE[#All],7,FALSE))</f>
        <v>Fora do DRE</v>
      </c>
      <c r="V267" s="3" t="str">
        <f>IF(Base_Periodo1[[#This Row],[Tipo_Linha]]="Fora do DRE","Fora do DRE","( "&amp;Base_Periodo1[[#This Row],[Tipo_Linha]]&amp;" ) "&amp;Base_Periodo1[[#This Row],[Filtro]])</f>
        <v>Fora do DRE</v>
      </c>
      <c r="W267" s="3" t="str">
        <f>LEFT(Base_Periodo1[[#This Row],[CLASS]],3)</f>
        <v>1.1</v>
      </c>
    </row>
    <row r="268" spans="1:23" hidden="1">
      <c r="A268" s="3" t="str">
        <f t="shared" si="4"/>
        <v>Período 1</v>
      </c>
      <c r="B268">
        <v>2936</v>
      </c>
      <c r="C268" t="s">
        <v>503</v>
      </c>
      <c r="D268" t="s">
        <v>605</v>
      </c>
      <c r="E268" s="3" t="str">
        <f>IF(LEN(Base_Periodo1[[#This Row],[CLASS]])&gt;=7,LEFT(Base_Periodo1[[#This Row],[CLASS]],7),"")</f>
        <v>1.1.2.1</v>
      </c>
      <c r="F268" s="3" t="str">
        <f>VLOOKUP(Base_Periodo1[[#This Row],[Aux]],Base_Contas_Balanco[#All],2,FALSE)</f>
        <v>Creditos com Cooperados</v>
      </c>
      <c r="G268" s="1">
        <v>42879</v>
      </c>
      <c r="H268" s="225">
        <v>64231.999999999884</v>
      </c>
      <c r="I268" s="225">
        <v>360</v>
      </c>
      <c r="J268" s="225">
        <v>31500</v>
      </c>
      <c r="K268" s="225">
        <v>33091.999999999884</v>
      </c>
      <c r="L2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33092</v>
      </c>
      <c r="M268" s="225">
        <f>ROUND(IF(AND(Base_Periodo1[[#This Row],[Tipo_Linha]]="-",Base_Periodo1[[#This Row],[TIPOSALDO]]="D"),Base_Periodo1[[#This Row],[SALDO_ATUAL]]*-1,Base_Periodo1[[#This Row],[SALDO_ATUAL]]),4)</f>
        <v>33092</v>
      </c>
      <c r="N268" t="s">
        <v>116</v>
      </c>
      <c r="O268" t="s">
        <v>397</v>
      </c>
      <c r="P268" t="s">
        <v>397</v>
      </c>
      <c r="Q268">
        <v>7</v>
      </c>
      <c r="R268" s="225">
        <f>Base_Periodo1[[#This Row],[CREDITOS]]-Base_Periodo1[[#This Row],[DEBITOS]]</f>
        <v>31140</v>
      </c>
      <c r="S268" s="3" t="str">
        <f>IF(ISERROR(VLOOKUP(Base_Periodo1[[#This Row],[CONTA]],BaseContasDRE[#All],4,FALSE)),"Fora do DRE",VLOOKUP(Base_Periodo1[[#This Row],[CONTA]],BaseContasDRE[#All],4,FALSE))</f>
        <v>Fora do DRE</v>
      </c>
      <c r="T268" s="3" t="str">
        <f>IF(ISERROR(VLOOKUP(Base_Periodo1[[#This Row],[CONTA]],BaseContasDRE[#All],5,FALSE)),"Fora do DRE",VLOOKUP(Base_Periodo1[[#This Row],[CONTA]],BaseContasDRE[#All],6,FALSE))</f>
        <v>Fora do DRE</v>
      </c>
      <c r="U268" s="3" t="str">
        <f>IF(ISERROR(VLOOKUP(Base_Periodo1[[#This Row],[CONTA]],BaseContasDRE[#All],7,FALSE)),"Fora do DRE",VLOOKUP(Base_Periodo1[[#This Row],[CONTA]],BaseContasDRE[#All],7,FALSE))</f>
        <v>Fora do DRE</v>
      </c>
      <c r="V268" s="3" t="str">
        <f>IF(Base_Periodo1[[#This Row],[Tipo_Linha]]="Fora do DRE","Fora do DRE","( "&amp;Base_Periodo1[[#This Row],[Tipo_Linha]]&amp;" ) "&amp;Base_Periodo1[[#This Row],[Filtro]])</f>
        <v>Fora do DRE</v>
      </c>
      <c r="W268" s="3" t="str">
        <f>LEFT(Base_Periodo1[[#This Row],[CLASS]],3)</f>
        <v>1.1</v>
      </c>
    </row>
    <row r="269" spans="1:23" hidden="1">
      <c r="A269" s="3" t="str">
        <f t="shared" si="4"/>
        <v>Período 1</v>
      </c>
      <c r="B269">
        <v>3172</v>
      </c>
      <c r="C269" t="s">
        <v>503</v>
      </c>
      <c r="D269" t="s">
        <v>6705</v>
      </c>
      <c r="E269" s="3" t="str">
        <f>IF(LEN(Base_Periodo1[[#This Row],[CLASS]])&gt;=7,LEFT(Base_Periodo1[[#This Row],[CLASS]],7),"")</f>
        <v>1.1.2.1</v>
      </c>
      <c r="F269" s="3" t="str">
        <f>VLOOKUP(Base_Periodo1[[#This Row],[Aux]],Base_Contas_Balanco[#All],2,FALSE)</f>
        <v>Creditos com Cooperados</v>
      </c>
      <c r="G269" s="1">
        <v>42867</v>
      </c>
      <c r="I269" s="225">
        <v>68.5</v>
      </c>
      <c r="J269" s="225">
        <v>0</v>
      </c>
      <c r="K269" s="225">
        <v>68.5</v>
      </c>
      <c r="L2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68.5</v>
      </c>
      <c r="M269" s="225">
        <f>ROUND(IF(AND(Base_Periodo1[[#This Row],[Tipo_Linha]]="-",Base_Periodo1[[#This Row],[TIPOSALDO]]="D"),Base_Periodo1[[#This Row],[SALDO_ATUAL]]*-1,Base_Periodo1[[#This Row],[SALDO_ATUAL]]),4)</f>
        <v>68.5</v>
      </c>
      <c r="N269" t="s">
        <v>116</v>
      </c>
      <c r="O269" t="s">
        <v>436</v>
      </c>
      <c r="P269" t="s">
        <v>397</v>
      </c>
      <c r="Q269">
        <v>7</v>
      </c>
      <c r="R269" s="225">
        <f>Base_Periodo1[[#This Row],[CREDITOS]]-Base_Periodo1[[#This Row],[DEBITOS]]</f>
        <v>-68.5</v>
      </c>
      <c r="S269" s="3" t="str">
        <f>IF(ISERROR(VLOOKUP(Base_Periodo1[[#This Row],[CONTA]],BaseContasDRE[#All],4,FALSE)),"Fora do DRE",VLOOKUP(Base_Periodo1[[#This Row],[CONTA]],BaseContasDRE[#All],4,FALSE))</f>
        <v>Fora do DRE</v>
      </c>
      <c r="T269" s="3" t="str">
        <f>IF(ISERROR(VLOOKUP(Base_Periodo1[[#This Row],[CONTA]],BaseContasDRE[#All],5,FALSE)),"Fora do DRE",VLOOKUP(Base_Periodo1[[#This Row],[CONTA]],BaseContasDRE[#All],6,FALSE))</f>
        <v>Fora do DRE</v>
      </c>
      <c r="U269" s="3" t="str">
        <f>IF(ISERROR(VLOOKUP(Base_Periodo1[[#This Row],[CONTA]],BaseContasDRE[#All],7,FALSE)),"Fora do DRE",VLOOKUP(Base_Periodo1[[#This Row],[CONTA]],BaseContasDRE[#All],7,FALSE))</f>
        <v>Fora do DRE</v>
      </c>
      <c r="V269" s="3" t="str">
        <f>IF(Base_Periodo1[[#This Row],[Tipo_Linha]]="Fora do DRE","Fora do DRE","( "&amp;Base_Periodo1[[#This Row],[Tipo_Linha]]&amp;" ) "&amp;Base_Periodo1[[#This Row],[Filtro]])</f>
        <v>Fora do DRE</v>
      </c>
      <c r="W269" s="3" t="str">
        <f>LEFT(Base_Periodo1[[#This Row],[CLASS]],3)</f>
        <v>1.1</v>
      </c>
    </row>
    <row r="270" spans="1:23" hidden="1">
      <c r="A270" s="3" t="str">
        <f t="shared" si="4"/>
        <v>Período 1</v>
      </c>
      <c r="B270">
        <v>46965</v>
      </c>
      <c r="C270" t="s">
        <v>503</v>
      </c>
      <c r="D270" t="s">
        <v>6706</v>
      </c>
      <c r="E270" s="3" t="str">
        <f>IF(LEN(Base_Periodo1[[#This Row],[CLASS]])&gt;=7,LEFT(Base_Periodo1[[#This Row],[CLASS]],7),"")</f>
        <v>1.1.2.1</v>
      </c>
      <c r="F270" s="3" t="str">
        <f>VLOOKUP(Base_Periodo1[[#This Row],[Aux]],Base_Contas_Balanco[#All],2,FALSE)</f>
        <v>Creditos com Cooperados</v>
      </c>
      <c r="G270" s="1">
        <v>42884</v>
      </c>
      <c r="I270" s="225">
        <v>13089.79</v>
      </c>
      <c r="J270" s="225">
        <v>13089.79</v>
      </c>
      <c r="K270" s="225">
        <v>-3.637978807091713E-12</v>
      </c>
      <c r="L2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70" s="225">
        <f>ROUND(IF(AND(Base_Periodo1[[#This Row],[Tipo_Linha]]="-",Base_Periodo1[[#This Row],[TIPOSALDO]]="D"),Base_Periodo1[[#This Row],[SALDO_ATUAL]]*-1,Base_Periodo1[[#This Row],[SALDO_ATUAL]]),4)</f>
        <v>0</v>
      </c>
      <c r="N270" t="s">
        <v>116</v>
      </c>
      <c r="O270" t="s">
        <v>436</v>
      </c>
      <c r="P270" t="s">
        <v>436</v>
      </c>
      <c r="Q270">
        <v>7</v>
      </c>
      <c r="R270" s="225">
        <f>Base_Periodo1[[#This Row],[CREDITOS]]-Base_Periodo1[[#This Row],[DEBITOS]]</f>
        <v>0</v>
      </c>
      <c r="S270" s="3" t="str">
        <f>IF(ISERROR(VLOOKUP(Base_Periodo1[[#This Row],[CONTA]],BaseContasDRE[#All],4,FALSE)),"Fora do DRE",VLOOKUP(Base_Periodo1[[#This Row],[CONTA]],BaseContasDRE[#All],4,FALSE))</f>
        <v>Fora do DRE</v>
      </c>
      <c r="T270" s="3" t="str">
        <f>IF(ISERROR(VLOOKUP(Base_Periodo1[[#This Row],[CONTA]],BaseContasDRE[#All],5,FALSE)),"Fora do DRE",VLOOKUP(Base_Periodo1[[#This Row],[CONTA]],BaseContasDRE[#All],6,FALSE))</f>
        <v>Fora do DRE</v>
      </c>
      <c r="U270" s="3" t="str">
        <f>IF(ISERROR(VLOOKUP(Base_Periodo1[[#This Row],[CONTA]],BaseContasDRE[#All],7,FALSE)),"Fora do DRE",VLOOKUP(Base_Periodo1[[#This Row],[CONTA]],BaseContasDRE[#All],7,FALSE))</f>
        <v>Fora do DRE</v>
      </c>
      <c r="V270" s="3" t="str">
        <f>IF(Base_Periodo1[[#This Row],[Tipo_Linha]]="Fora do DRE","Fora do DRE","( "&amp;Base_Periodo1[[#This Row],[Tipo_Linha]]&amp;" ) "&amp;Base_Periodo1[[#This Row],[Filtro]])</f>
        <v>Fora do DRE</v>
      </c>
      <c r="W270" s="3" t="str">
        <f>LEFT(Base_Periodo1[[#This Row],[CLASS]],3)</f>
        <v>1.1</v>
      </c>
    </row>
    <row r="271" spans="1:23" hidden="1">
      <c r="A271" s="3" t="str">
        <f t="shared" si="4"/>
        <v>Período 1</v>
      </c>
      <c r="B271">
        <v>48287</v>
      </c>
      <c r="C271" t="s">
        <v>503</v>
      </c>
      <c r="D271" t="s">
        <v>607</v>
      </c>
      <c r="E271" s="3" t="str">
        <f>IF(LEN(Base_Periodo1[[#This Row],[CLASS]])&gt;=7,LEFT(Base_Periodo1[[#This Row],[CLASS]],7),"")</f>
        <v>1.1.2.1</v>
      </c>
      <c r="F271" s="3" t="str">
        <f>VLOOKUP(Base_Periodo1[[#This Row],[Aux]],Base_Contas_Balanco[#All],2,FALSE)</f>
        <v>Creditos com Cooperados</v>
      </c>
      <c r="G271" s="1">
        <v>42859</v>
      </c>
      <c r="H271" s="225">
        <v>4188.0000000002328</v>
      </c>
      <c r="I271" s="225">
        <v>3377</v>
      </c>
      <c r="J271" s="225">
        <v>0</v>
      </c>
      <c r="K271" s="225">
        <v>7565.0000000002328</v>
      </c>
      <c r="L2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7565</v>
      </c>
      <c r="M271" s="225">
        <f>ROUND(IF(AND(Base_Periodo1[[#This Row],[Tipo_Linha]]="-",Base_Periodo1[[#This Row],[TIPOSALDO]]="D"),Base_Periodo1[[#This Row],[SALDO_ATUAL]]*-1,Base_Periodo1[[#This Row],[SALDO_ATUAL]]),4)</f>
        <v>7565</v>
      </c>
      <c r="N271" t="s">
        <v>116</v>
      </c>
      <c r="O271" t="s">
        <v>397</v>
      </c>
      <c r="P271" t="s">
        <v>397</v>
      </c>
      <c r="Q271">
        <v>7</v>
      </c>
      <c r="R271" s="225">
        <f>Base_Periodo1[[#This Row],[CREDITOS]]-Base_Periodo1[[#This Row],[DEBITOS]]</f>
        <v>-3377</v>
      </c>
      <c r="S271" s="3" t="str">
        <f>IF(ISERROR(VLOOKUP(Base_Periodo1[[#This Row],[CONTA]],BaseContasDRE[#All],4,FALSE)),"Fora do DRE",VLOOKUP(Base_Periodo1[[#This Row],[CONTA]],BaseContasDRE[#All],4,FALSE))</f>
        <v>Fora do DRE</v>
      </c>
      <c r="T271" s="3" t="str">
        <f>IF(ISERROR(VLOOKUP(Base_Periodo1[[#This Row],[CONTA]],BaseContasDRE[#All],5,FALSE)),"Fora do DRE",VLOOKUP(Base_Periodo1[[#This Row],[CONTA]],BaseContasDRE[#All],6,FALSE))</f>
        <v>Fora do DRE</v>
      </c>
      <c r="U271" s="3" t="str">
        <f>IF(ISERROR(VLOOKUP(Base_Periodo1[[#This Row],[CONTA]],BaseContasDRE[#All],7,FALSE)),"Fora do DRE",VLOOKUP(Base_Periodo1[[#This Row],[CONTA]],BaseContasDRE[#All],7,FALSE))</f>
        <v>Fora do DRE</v>
      </c>
      <c r="V271" s="3" t="str">
        <f>IF(Base_Periodo1[[#This Row],[Tipo_Linha]]="Fora do DRE","Fora do DRE","( "&amp;Base_Periodo1[[#This Row],[Tipo_Linha]]&amp;" ) "&amp;Base_Periodo1[[#This Row],[Filtro]])</f>
        <v>Fora do DRE</v>
      </c>
      <c r="W271" s="3" t="str">
        <f>LEFT(Base_Periodo1[[#This Row],[CLASS]],3)</f>
        <v>1.1</v>
      </c>
    </row>
    <row r="272" spans="1:23" hidden="1">
      <c r="A272" s="3" t="str">
        <f t="shared" si="4"/>
        <v>Período 1</v>
      </c>
      <c r="B272">
        <v>52970</v>
      </c>
      <c r="C272" t="s">
        <v>503</v>
      </c>
      <c r="D272" t="s">
        <v>946</v>
      </c>
      <c r="E272" s="3" t="str">
        <f>IF(LEN(Base_Periodo1[[#This Row],[CLASS]])&gt;=7,LEFT(Base_Periodo1[[#This Row],[CLASS]],7),"")</f>
        <v>1.1.2.1</v>
      </c>
      <c r="F272" s="3" t="str">
        <f>VLOOKUP(Base_Periodo1[[#This Row],[Aux]],Base_Contas_Balanco[#All],2,FALSE)</f>
        <v>Creditos com Cooperados</v>
      </c>
      <c r="G272" s="1">
        <v>42879</v>
      </c>
      <c r="H272" s="225">
        <v>889375.93999999948</v>
      </c>
      <c r="I272" s="225">
        <v>61930</v>
      </c>
      <c r="J272" s="225">
        <v>798215.94</v>
      </c>
      <c r="K272" s="225">
        <v>153089.99999999953</v>
      </c>
      <c r="L2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153090</v>
      </c>
      <c r="M272" s="225">
        <f>ROUND(IF(AND(Base_Periodo1[[#This Row],[Tipo_Linha]]="-",Base_Periodo1[[#This Row],[TIPOSALDO]]="D"),Base_Periodo1[[#This Row],[SALDO_ATUAL]]*-1,Base_Periodo1[[#This Row],[SALDO_ATUAL]]),4)</f>
        <v>153090</v>
      </c>
      <c r="N272" t="s">
        <v>116</v>
      </c>
      <c r="O272" t="s">
        <v>397</v>
      </c>
      <c r="P272" t="s">
        <v>397</v>
      </c>
      <c r="Q272">
        <v>7</v>
      </c>
      <c r="R272" s="225">
        <f>Base_Periodo1[[#This Row],[CREDITOS]]-Base_Periodo1[[#This Row],[DEBITOS]]</f>
        <v>736285.94</v>
      </c>
      <c r="S272" s="3" t="str">
        <f>IF(ISERROR(VLOOKUP(Base_Periodo1[[#This Row],[CONTA]],BaseContasDRE[#All],4,FALSE)),"Fora do DRE",VLOOKUP(Base_Periodo1[[#This Row],[CONTA]],BaseContasDRE[#All],4,FALSE))</f>
        <v>Fora do DRE</v>
      </c>
      <c r="T272" s="3" t="str">
        <f>IF(ISERROR(VLOOKUP(Base_Periodo1[[#This Row],[CONTA]],BaseContasDRE[#All],5,FALSE)),"Fora do DRE",VLOOKUP(Base_Periodo1[[#This Row],[CONTA]],BaseContasDRE[#All],6,FALSE))</f>
        <v>Fora do DRE</v>
      </c>
      <c r="U272" s="3" t="str">
        <f>IF(ISERROR(VLOOKUP(Base_Periodo1[[#This Row],[CONTA]],BaseContasDRE[#All],7,FALSE)),"Fora do DRE",VLOOKUP(Base_Periodo1[[#This Row],[CONTA]],BaseContasDRE[#All],7,FALSE))</f>
        <v>Fora do DRE</v>
      </c>
      <c r="V272" s="3" t="str">
        <f>IF(Base_Periodo1[[#This Row],[Tipo_Linha]]="Fora do DRE","Fora do DRE","( "&amp;Base_Periodo1[[#This Row],[Tipo_Linha]]&amp;" ) "&amp;Base_Periodo1[[#This Row],[Filtro]])</f>
        <v>Fora do DRE</v>
      </c>
      <c r="W272" s="3" t="str">
        <f>LEFT(Base_Periodo1[[#This Row],[CLASS]],3)</f>
        <v>1.1</v>
      </c>
    </row>
    <row r="273" spans="1:23" hidden="1">
      <c r="A273" s="3" t="str">
        <f t="shared" si="4"/>
        <v>Período 1</v>
      </c>
      <c r="B273">
        <v>8127</v>
      </c>
      <c r="C273" t="s">
        <v>503</v>
      </c>
      <c r="D273" t="s">
        <v>5382</v>
      </c>
      <c r="E273" s="3" t="str">
        <f>IF(LEN(Base_Periodo1[[#This Row],[CLASS]])&gt;=7,LEFT(Base_Periodo1[[#This Row],[CLASS]],7),"")</f>
        <v>1.1.2.1</v>
      </c>
      <c r="F273" s="3" t="str">
        <f>VLOOKUP(Base_Periodo1[[#This Row],[Aux]],Base_Contas_Balanco[#All],2,FALSE)</f>
        <v>Creditos com Cooperados</v>
      </c>
      <c r="G273" s="1">
        <v>42874</v>
      </c>
      <c r="H273" s="225">
        <v>32044.149999999674</v>
      </c>
      <c r="I273" s="225">
        <v>14250</v>
      </c>
      <c r="J273" s="225">
        <v>11500</v>
      </c>
      <c r="K273" s="225">
        <v>34794.149999999674</v>
      </c>
      <c r="L2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34794.15</v>
      </c>
      <c r="M273" s="225">
        <f>ROUND(IF(AND(Base_Periodo1[[#This Row],[Tipo_Linha]]="-",Base_Periodo1[[#This Row],[TIPOSALDO]]="D"),Base_Periodo1[[#This Row],[SALDO_ATUAL]]*-1,Base_Periodo1[[#This Row],[SALDO_ATUAL]]),4)</f>
        <v>34794.15</v>
      </c>
      <c r="N273" t="s">
        <v>116</v>
      </c>
      <c r="O273" t="s">
        <v>397</v>
      </c>
      <c r="P273" t="s">
        <v>397</v>
      </c>
      <c r="Q273">
        <v>7</v>
      </c>
      <c r="R273" s="225">
        <f>Base_Periodo1[[#This Row],[CREDITOS]]-Base_Periodo1[[#This Row],[DEBITOS]]</f>
        <v>-2750</v>
      </c>
      <c r="S273" s="3" t="str">
        <f>IF(ISERROR(VLOOKUP(Base_Periodo1[[#This Row],[CONTA]],BaseContasDRE[#All],4,FALSE)),"Fora do DRE",VLOOKUP(Base_Periodo1[[#This Row],[CONTA]],BaseContasDRE[#All],4,FALSE))</f>
        <v>Fora do DRE</v>
      </c>
      <c r="T273" s="3" t="str">
        <f>IF(ISERROR(VLOOKUP(Base_Periodo1[[#This Row],[CONTA]],BaseContasDRE[#All],5,FALSE)),"Fora do DRE",VLOOKUP(Base_Periodo1[[#This Row],[CONTA]],BaseContasDRE[#All],6,FALSE))</f>
        <v>Fora do DRE</v>
      </c>
      <c r="U273" s="3" t="str">
        <f>IF(ISERROR(VLOOKUP(Base_Periodo1[[#This Row],[CONTA]],BaseContasDRE[#All],7,FALSE)),"Fora do DRE",VLOOKUP(Base_Periodo1[[#This Row],[CONTA]],BaseContasDRE[#All],7,FALSE))</f>
        <v>Fora do DRE</v>
      </c>
      <c r="V273" s="3" t="str">
        <f>IF(Base_Periodo1[[#This Row],[Tipo_Linha]]="Fora do DRE","Fora do DRE","( "&amp;Base_Periodo1[[#This Row],[Tipo_Linha]]&amp;" ) "&amp;Base_Periodo1[[#This Row],[Filtro]])</f>
        <v>Fora do DRE</v>
      </c>
      <c r="W273" s="3" t="str">
        <f>LEFT(Base_Periodo1[[#This Row],[CLASS]],3)</f>
        <v>1.1</v>
      </c>
    </row>
    <row r="274" spans="1:23" hidden="1">
      <c r="A274" s="3" t="str">
        <f t="shared" si="4"/>
        <v>Período 1</v>
      </c>
      <c r="B274">
        <v>24480</v>
      </c>
      <c r="C274" t="s">
        <v>503</v>
      </c>
      <c r="D274" t="s">
        <v>608</v>
      </c>
      <c r="E274" s="3" t="str">
        <f>IF(LEN(Base_Periodo1[[#This Row],[CLASS]])&gt;=7,LEFT(Base_Periodo1[[#This Row],[CLASS]],7),"")</f>
        <v>1.1.2.1</v>
      </c>
      <c r="F274" s="3" t="str">
        <f>VLOOKUP(Base_Periodo1[[#This Row],[Aux]],Base_Contas_Balanco[#All],2,FALSE)</f>
        <v>Creditos com Cooperados</v>
      </c>
      <c r="G274" s="1">
        <v>42825</v>
      </c>
      <c r="H274" s="225">
        <v>861.73000000137836</v>
      </c>
      <c r="I274" s="225">
        <v>0</v>
      </c>
      <c r="J274" s="225">
        <v>0</v>
      </c>
      <c r="K274" s="225">
        <v>861.73000000137836</v>
      </c>
      <c r="L2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861.73</v>
      </c>
      <c r="M274" s="225">
        <f>ROUND(IF(AND(Base_Periodo1[[#This Row],[Tipo_Linha]]="-",Base_Periodo1[[#This Row],[TIPOSALDO]]="D"),Base_Periodo1[[#This Row],[SALDO_ATUAL]]*-1,Base_Periodo1[[#This Row],[SALDO_ATUAL]]),4)</f>
        <v>861.73</v>
      </c>
      <c r="N274" t="s">
        <v>116</v>
      </c>
      <c r="O274" t="s">
        <v>397</v>
      </c>
      <c r="P274" t="s">
        <v>397</v>
      </c>
      <c r="Q274">
        <v>7</v>
      </c>
      <c r="R274" s="225">
        <f>Base_Periodo1[[#This Row],[CREDITOS]]-Base_Periodo1[[#This Row],[DEBITOS]]</f>
        <v>0</v>
      </c>
      <c r="S274" s="3" t="str">
        <f>IF(ISERROR(VLOOKUP(Base_Periodo1[[#This Row],[CONTA]],BaseContasDRE[#All],4,FALSE)),"Fora do DRE",VLOOKUP(Base_Periodo1[[#This Row],[CONTA]],BaseContasDRE[#All],4,FALSE))</f>
        <v>Fora do DRE</v>
      </c>
      <c r="T274" s="3" t="str">
        <f>IF(ISERROR(VLOOKUP(Base_Periodo1[[#This Row],[CONTA]],BaseContasDRE[#All],5,FALSE)),"Fora do DRE",VLOOKUP(Base_Periodo1[[#This Row],[CONTA]],BaseContasDRE[#All],6,FALSE))</f>
        <v>Fora do DRE</v>
      </c>
      <c r="U274" s="3" t="str">
        <f>IF(ISERROR(VLOOKUP(Base_Periodo1[[#This Row],[CONTA]],BaseContasDRE[#All],7,FALSE)),"Fora do DRE",VLOOKUP(Base_Periodo1[[#This Row],[CONTA]],BaseContasDRE[#All],7,FALSE))</f>
        <v>Fora do DRE</v>
      </c>
      <c r="V274" s="3" t="str">
        <f>IF(Base_Periodo1[[#This Row],[Tipo_Linha]]="Fora do DRE","Fora do DRE","( "&amp;Base_Periodo1[[#This Row],[Tipo_Linha]]&amp;" ) "&amp;Base_Periodo1[[#This Row],[Filtro]])</f>
        <v>Fora do DRE</v>
      </c>
      <c r="W274" s="3" t="str">
        <f>LEFT(Base_Periodo1[[#This Row],[CLASS]],3)</f>
        <v>1.1</v>
      </c>
    </row>
    <row r="275" spans="1:23" hidden="1">
      <c r="A275" s="3" t="str">
        <f t="shared" si="4"/>
        <v>Período 1</v>
      </c>
      <c r="B275">
        <v>8714</v>
      </c>
      <c r="C275" t="s">
        <v>503</v>
      </c>
      <c r="D275" t="s">
        <v>609</v>
      </c>
      <c r="E275" s="3" t="str">
        <f>IF(LEN(Base_Periodo1[[#This Row],[CLASS]])&gt;=7,LEFT(Base_Periodo1[[#This Row],[CLASS]],7),"")</f>
        <v>1.1.2.1</v>
      </c>
      <c r="F275" s="3" t="str">
        <f>VLOOKUP(Base_Periodo1[[#This Row],[Aux]],Base_Contas_Balanco[#All],2,FALSE)</f>
        <v>Creditos com Cooperados</v>
      </c>
      <c r="G275" s="1">
        <v>42886</v>
      </c>
      <c r="H275" s="225">
        <v>1484861.6799999848</v>
      </c>
      <c r="I275" s="225">
        <v>430507.12</v>
      </c>
      <c r="J275" s="225">
        <v>1183119.44</v>
      </c>
      <c r="K275" s="225">
        <v>732249.35999998497</v>
      </c>
      <c r="L2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732249.36</v>
      </c>
      <c r="M275" s="225">
        <f>ROUND(IF(AND(Base_Periodo1[[#This Row],[Tipo_Linha]]="-",Base_Periodo1[[#This Row],[TIPOSALDO]]="D"),Base_Periodo1[[#This Row],[SALDO_ATUAL]]*-1,Base_Periodo1[[#This Row],[SALDO_ATUAL]]),4)</f>
        <v>732249.36</v>
      </c>
      <c r="N275" t="s">
        <v>116</v>
      </c>
      <c r="O275" t="s">
        <v>397</v>
      </c>
      <c r="P275" t="s">
        <v>397</v>
      </c>
      <c r="Q275">
        <v>7</v>
      </c>
      <c r="R275" s="225">
        <f>Base_Periodo1[[#This Row],[CREDITOS]]-Base_Periodo1[[#This Row],[DEBITOS]]</f>
        <v>752612.32</v>
      </c>
      <c r="S275" s="3" t="str">
        <f>IF(ISERROR(VLOOKUP(Base_Periodo1[[#This Row],[CONTA]],BaseContasDRE[#All],4,FALSE)),"Fora do DRE",VLOOKUP(Base_Periodo1[[#This Row],[CONTA]],BaseContasDRE[#All],4,FALSE))</f>
        <v>Fora do DRE</v>
      </c>
      <c r="T275" s="3" t="str">
        <f>IF(ISERROR(VLOOKUP(Base_Periodo1[[#This Row],[CONTA]],BaseContasDRE[#All],5,FALSE)),"Fora do DRE",VLOOKUP(Base_Periodo1[[#This Row],[CONTA]],BaseContasDRE[#All],6,FALSE))</f>
        <v>Fora do DRE</v>
      </c>
      <c r="U275" s="3" t="str">
        <f>IF(ISERROR(VLOOKUP(Base_Periodo1[[#This Row],[CONTA]],BaseContasDRE[#All],7,FALSE)),"Fora do DRE",VLOOKUP(Base_Periodo1[[#This Row],[CONTA]],BaseContasDRE[#All],7,FALSE))</f>
        <v>Fora do DRE</v>
      </c>
      <c r="V275" s="3" t="str">
        <f>IF(Base_Periodo1[[#This Row],[Tipo_Linha]]="Fora do DRE","Fora do DRE","( "&amp;Base_Periodo1[[#This Row],[Tipo_Linha]]&amp;" ) "&amp;Base_Periodo1[[#This Row],[Filtro]])</f>
        <v>Fora do DRE</v>
      </c>
      <c r="W275" s="3" t="str">
        <f>LEFT(Base_Periodo1[[#This Row],[CLASS]],3)</f>
        <v>1.1</v>
      </c>
    </row>
    <row r="276" spans="1:23" hidden="1">
      <c r="A276" s="3" t="str">
        <f t="shared" si="4"/>
        <v>Período 1</v>
      </c>
      <c r="B276">
        <v>4896</v>
      </c>
      <c r="C276" t="s">
        <v>503</v>
      </c>
      <c r="D276" t="s">
        <v>610</v>
      </c>
      <c r="E276" s="3" t="str">
        <f>IF(LEN(Base_Periodo1[[#This Row],[CLASS]])&gt;=7,LEFT(Base_Periodo1[[#This Row],[CLASS]],7),"")</f>
        <v>1.1.2.1</v>
      </c>
      <c r="F276" s="3" t="str">
        <f>VLOOKUP(Base_Periodo1[[#This Row],[Aux]],Base_Contas_Balanco[#All],2,FALSE)</f>
        <v>Creditos com Cooperados</v>
      </c>
      <c r="G276" s="1">
        <v>42850</v>
      </c>
      <c r="H276" s="225">
        <v>16205.999999998603</v>
      </c>
      <c r="I276" s="225">
        <v>0</v>
      </c>
      <c r="J276" s="225">
        <v>0</v>
      </c>
      <c r="K276" s="225">
        <v>16205.999999998603</v>
      </c>
      <c r="L2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16206</v>
      </c>
      <c r="M276" s="225">
        <f>ROUND(IF(AND(Base_Periodo1[[#This Row],[Tipo_Linha]]="-",Base_Periodo1[[#This Row],[TIPOSALDO]]="D"),Base_Periodo1[[#This Row],[SALDO_ATUAL]]*-1,Base_Periodo1[[#This Row],[SALDO_ATUAL]]),4)</f>
        <v>16206</v>
      </c>
      <c r="N276" t="s">
        <v>116</v>
      </c>
      <c r="O276" t="s">
        <v>397</v>
      </c>
      <c r="P276" t="s">
        <v>397</v>
      </c>
      <c r="Q276">
        <v>7</v>
      </c>
      <c r="R276" s="225">
        <f>Base_Periodo1[[#This Row],[CREDITOS]]-Base_Periodo1[[#This Row],[DEBITOS]]</f>
        <v>0</v>
      </c>
      <c r="S276" s="3" t="str">
        <f>IF(ISERROR(VLOOKUP(Base_Periodo1[[#This Row],[CONTA]],BaseContasDRE[#All],4,FALSE)),"Fora do DRE",VLOOKUP(Base_Periodo1[[#This Row],[CONTA]],BaseContasDRE[#All],4,FALSE))</f>
        <v>Fora do DRE</v>
      </c>
      <c r="T276" s="3" t="str">
        <f>IF(ISERROR(VLOOKUP(Base_Periodo1[[#This Row],[CONTA]],BaseContasDRE[#All],5,FALSE)),"Fora do DRE",VLOOKUP(Base_Periodo1[[#This Row],[CONTA]],BaseContasDRE[#All],6,FALSE))</f>
        <v>Fora do DRE</v>
      </c>
      <c r="U276" s="3" t="str">
        <f>IF(ISERROR(VLOOKUP(Base_Periodo1[[#This Row],[CONTA]],BaseContasDRE[#All],7,FALSE)),"Fora do DRE",VLOOKUP(Base_Periodo1[[#This Row],[CONTA]],BaseContasDRE[#All],7,FALSE))</f>
        <v>Fora do DRE</v>
      </c>
      <c r="V276" s="3" t="str">
        <f>IF(Base_Periodo1[[#This Row],[Tipo_Linha]]="Fora do DRE","Fora do DRE","( "&amp;Base_Periodo1[[#This Row],[Tipo_Linha]]&amp;" ) "&amp;Base_Periodo1[[#This Row],[Filtro]])</f>
        <v>Fora do DRE</v>
      </c>
      <c r="W276" s="3" t="str">
        <f>LEFT(Base_Periodo1[[#This Row],[CLASS]],3)</f>
        <v>1.1</v>
      </c>
    </row>
    <row r="277" spans="1:23" hidden="1">
      <c r="A277" s="3" t="str">
        <f t="shared" si="4"/>
        <v>Período 1</v>
      </c>
      <c r="B277">
        <v>3304</v>
      </c>
      <c r="C277" t="s">
        <v>503</v>
      </c>
      <c r="D277" t="s">
        <v>612</v>
      </c>
      <c r="E277" s="3" t="str">
        <f>IF(LEN(Base_Periodo1[[#This Row],[CLASS]])&gt;=7,LEFT(Base_Periodo1[[#This Row],[CLASS]],7),"")</f>
        <v>1.1.2.1</v>
      </c>
      <c r="F277" s="3" t="str">
        <f>VLOOKUP(Base_Periodo1[[#This Row],[Aux]],Base_Contas_Balanco[#All],2,FALSE)</f>
        <v>Creditos com Cooperados</v>
      </c>
      <c r="G277" s="1">
        <v>42885</v>
      </c>
      <c r="H277" s="225">
        <v>83156.29999999865</v>
      </c>
      <c r="I277" s="225">
        <v>5020</v>
      </c>
      <c r="J277" s="225">
        <v>34912.35</v>
      </c>
      <c r="K277" s="225">
        <v>53263.949999998651</v>
      </c>
      <c r="L2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53263.95</v>
      </c>
      <c r="M277" s="225">
        <f>ROUND(IF(AND(Base_Periodo1[[#This Row],[Tipo_Linha]]="-",Base_Periodo1[[#This Row],[TIPOSALDO]]="D"),Base_Periodo1[[#This Row],[SALDO_ATUAL]]*-1,Base_Periodo1[[#This Row],[SALDO_ATUAL]]),4)</f>
        <v>53263.95</v>
      </c>
      <c r="N277" t="s">
        <v>116</v>
      </c>
      <c r="O277" t="s">
        <v>397</v>
      </c>
      <c r="P277" t="s">
        <v>397</v>
      </c>
      <c r="Q277">
        <v>7</v>
      </c>
      <c r="R277" s="225">
        <f>Base_Periodo1[[#This Row],[CREDITOS]]-Base_Periodo1[[#This Row],[DEBITOS]]</f>
        <v>29892.35</v>
      </c>
      <c r="S277" s="3" t="str">
        <f>IF(ISERROR(VLOOKUP(Base_Periodo1[[#This Row],[CONTA]],BaseContasDRE[#All],4,FALSE)),"Fora do DRE",VLOOKUP(Base_Periodo1[[#This Row],[CONTA]],BaseContasDRE[#All],4,FALSE))</f>
        <v>Fora do DRE</v>
      </c>
      <c r="T277" s="3" t="str">
        <f>IF(ISERROR(VLOOKUP(Base_Periodo1[[#This Row],[CONTA]],BaseContasDRE[#All],5,FALSE)),"Fora do DRE",VLOOKUP(Base_Periodo1[[#This Row],[CONTA]],BaseContasDRE[#All],6,FALSE))</f>
        <v>Fora do DRE</v>
      </c>
      <c r="U277" s="3" t="str">
        <f>IF(ISERROR(VLOOKUP(Base_Periodo1[[#This Row],[CONTA]],BaseContasDRE[#All],7,FALSE)),"Fora do DRE",VLOOKUP(Base_Periodo1[[#This Row],[CONTA]],BaseContasDRE[#All],7,FALSE))</f>
        <v>Fora do DRE</v>
      </c>
      <c r="V277" s="3" t="str">
        <f>IF(Base_Periodo1[[#This Row],[Tipo_Linha]]="Fora do DRE","Fora do DRE","( "&amp;Base_Periodo1[[#This Row],[Tipo_Linha]]&amp;" ) "&amp;Base_Periodo1[[#This Row],[Filtro]])</f>
        <v>Fora do DRE</v>
      </c>
      <c r="W277" s="3" t="str">
        <f>LEFT(Base_Periodo1[[#This Row],[CLASS]],3)</f>
        <v>1.1</v>
      </c>
    </row>
    <row r="278" spans="1:23" hidden="1">
      <c r="A278" s="3" t="str">
        <f t="shared" si="4"/>
        <v>Período 1</v>
      </c>
      <c r="B278">
        <v>37699</v>
      </c>
      <c r="C278" t="s">
        <v>503</v>
      </c>
      <c r="D278" t="s">
        <v>614</v>
      </c>
      <c r="E278" s="3" t="str">
        <f>IF(LEN(Base_Periodo1[[#This Row],[CLASS]])&gt;=7,LEFT(Base_Periodo1[[#This Row],[CLASS]],7),"")</f>
        <v>1.1.2.1</v>
      </c>
      <c r="F278" s="3" t="str">
        <f>VLOOKUP(Base_Periodo1[[#This Row],[Aux]],Base_Contas_Balanco[#All],2,FALSE)</f>
        <v>Creditos com Cooperados</v>
      </c>
      <c r="G278" s="1">
        <v>42886</v>
      </c>
      <c r="H278" s="225">
        <v>109.69000000000051</v>
      </c>
      <c r="I278" s="225">
        <v>2</v>
      </c>
      <c r="J278" s="225">
        <v>112</v>
      </c>
      <c r="K278" s="225">
        <v>0.30999999999949068</v>
      </c>
      <c r="L2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-0.31</v>
      </c>
      <c r="M278" s="225">
        <f>ROUND(IF(AND(Base_Periodo1[[#This Row],[Tipo_Linha]]="-",Base_Periodo1[[#This Row],[TIPOSALDO]]="D"),Base_Periodo1[[#This Row],[SALDO_ATUAL]]*-1,Base_Periodo1[[#This Row],[SALDO_ATUAL]]),4)</f>
        <v>0.31</v>
      </c>
      <c r="N278" t="s">
        <v>116</v>
      </c>
      <c r="O278" t="s">
        <v>397</v>
      </c>
      <c r="P278" t="s">
        <v>459</v>
      </c>
      <c r="Q278">
        <v>7</v>
      </c>
      <c r="R278" s="225">
        <f>Base_Periodo1[[#This Row],[CREDITOS]]-Base_Periodo1[[#This Row],[DEBITOS]]</f>
        <v>110</v>
      </c>
      <c r="S278" s="3" t="str">
        <f>IF(ISERROR(VLOOKUP(Base_Periodo1[[#This Row],[CONTA]],BaseContasDRE[#All],4,FALSE)),"Fora do DRE",VLOOKUP(Base_Periodo1[[#This Row],[CONTA]],BaseContasDRE[#All],4,FALSE))</f>
        <v>Fora do DRE</v>
      </c>
      <c r="T278" s="3" t="str">
        <f>IF(ISERROR(VLOOKUP(Base_Periodo1[[#This Row],[CONTA]],BaseContasDRE[#All],5,FALSE)),"Fora do DRE",VLOOKUP(Base_Periodo1[[#This Row],[CONTA]],BaseContasDRE[#All],6,FALSE))</f>
        <v>Fora do DRE</v>
      </c>
      <c r="U278" s="3" t="str">
        <f>IF(ISERROR(VLOOKUP(Base_Periodo1[[#This Row],[CONTA]],BaseContasDRE[#All],7,FALSE)),"Fora do DRE",VLOOKUP(Base_Periodo1[[#This Row],[CONTA]],BaseContasDRE[#All],7,FALSE))</f>
        <v>Fora do DRE</v>
      </c>
      <c r="V278" s="3" t="str">
        <f>IF(Base_Periodo1[[#This Row],[Tipo_Linha]]="Fora do DRE","Fora do DRE","( "&amp;Base_Periodo1[[#This Row],[Tipo_Linha]]&amp;" ) "&amp;Base_Periodo1[[#This Row],[Filtro]])</f>
        <v>Fora do DRE</v>
      </c>
      <c r="W278" s="3" t="str">
        <f>LEFT(Base_Periodo1[[#This Row],[CLASS]],3)</f>
        <v>1.1</v>
      </c>
    </row>
    <row r="279" spans="1:23" hidden="1">
      <c r="A279" s="3" t="str">
        <f t="shared" si="4"/>
        <v>Período 1</v>
      </c>
      <c r="B279">
        <v>4404</v>
      </c>
      <c r="C279" t="s">
        <v>503</v>
      </c>
      <c r="D279" t="s">
        <v>615</v>
      </c>
      <c r="E279" s="3" t="str">
        <f>IF(LEN(Base_Periodo1[[#This Row],[CLASS]])&gt;=7,LEFT(Base_Periodo1[[#This Row],[CLASS]],7),"")</f>
        <v>1.1.2.1</v>
      </c>
      <c r="F279" s="3" t="str">
        <f>VLOOKUP(Base_Periodo1[[#This Row],[Aux]],Base_Contas_Balanco[#All],2,FALSE)</f>
        <v>Creditos com Cooperados</v>
      </c>
      <c r="G279" s="1">
        <v>42878</v>
      </c>
      <c r="H279" s="225">
        <v>719619.94999999972</v>
      </c>
      <c r="I279" s="225">
        <v>543110.64</v>
      </c>
      <c r="J279" s="225">
        <v>803853.39999999991</v>
      </c>
      <c r="K279" s="225">
        <v>458877.18999999994</v>
      </c>
      <c r="L2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458877.19</v>
      </c>
      <c r="M279" s="225">
        <f>ROUND(IF(AND(Base_Periodo1[[#This Row],[Tipo_Linha]]="-",Base_Periodo1[[#This Row],[TIPOSALDO]]="D"),Base_Periodo1[[#This Row],[SALDO_ATUAL]]*-1,Base_Periodo1[[#This Row],[SALDO_ATUAL]]),4)</f>
        <v>458877.19</v>
      </c>
      <c r="N279" t="s">
        <v>116</v>
      </c>
      <c r="O279" t="s">
        <v>397</v>
      </c>
      <c r="P279" t="s">
        <v>397</v>
      </c>
      <c r="Q279">
        <v>7</v>
      </c>
      <c r="R279" s="225">
        <f>Base_Periodo1[[#This Row],[CREDITOS]]-Base_Periodo1[[#This Row],[DEBITOS]]</f>
        <v>260742.75999999989</v>
      </c>
      <c r="S279" s="3" t="str">
        <f>IF(ISERROR(VLOOKUP(Base_Periodo1[[#This Row],[CONTA]],BaseContasDRE[#All],4,FALSE)),"Fora do DRE",VLOOKUP(Base_Periodo1[[#This Row],[CONTA]],BaseContasDRE[#All],4,FALSE))</f>
        <v>Fora do DRE</v>
      </c>
      <c r="T279" s="3" t="str">
        <f>IF(ISERROR(VLOOKUP(Base_Periodo1[[#This Row],[CONTA]],BaseContasDRE[#All],5,FALSE)),"Fora do DRE",VLOOKUP(Base_Periodo1[[#This Row],[CONTA]],BaseContasDRE[#All],6,FALSE))</f>
        <v>Fora do DRE</v>
      </c>
      <c r="U279" s="3" t="str">
        <f>IF(ISERROR(VLOOKUP(Base_Periodo1[[#This Row],[CONTA]],BaseContasDRE[#All],7,FALSE)),"Fora do DRE",VLOOKUP(Base_Periodo1[[#This Row],[CONTA]],BaseContasDRE[#All],7,FALSE))</f>
        <v>Fora do DRE</v>
      </c>
      <c r="V279" s="3" t="str">
        <f>IF(Base_Periodo1[[#This Row],[Tipo_Linha]]="Fora do DRE","Fora do DRE","( "&amp;Base_Periodo1[[#This Row],[Tipo_Linha]]&amp;" ) "&amp;Base_Periodo1[[#This Row],[Filtro]])</f>
        <v>Fora do DRE</v>
      </c>
      <c r="W279" s="3" t="str">
        <f>LEFT(Base_Periodo1[[#This Row],[CLASS]],3)</f>
        <v>1.1</v>
      </c>
    </row>
    <row r="280" spans="1:23" hidden="1">
      <c r="A280" s="3" t="str">
        <f t="shared" si="4"/>
        <v>Período 1</v>
      </c>
      <c r="B280">
        <v>3240</v>
      </c>
      <c r="C280" t="s">
        <v>503</v>
      </c>
      <c r="D280" t="s">
        <v>616</v>
      </c>
      <c r="E280" s="3" t="str">
        <f>IF(LEN(Base_Periodo1[[#This Row],[CLASS]])&gt;=7,LEFT(Base_Periodo1[[#This Row],[CLASS]],7),"")</f>
        <v>1.1.2.1</v>
      </c>
      <c r="F280" s="3" t="str">
        <f>VLOOKUP(Base_Periodo1[[#This Row],[Aux]],Base_Contas_Balanco[#All],2,FALSE)</f>
        <v>Creditos com Cooperados</v>
      </c>
      <c r="G280" s="1">
        <v>42831</v>
      </c>
      <c r="H280" s="225">
        <v>6.8199999993667006</v>
      </c>
      <c r="I280" s="225">
        <v>0</v>
      </c>
      <c r="J280" s="225">
        <v>0</v>
      </c>
      <c r="K280" s="225">
        <v>6.8199999993667006</v>
      </c>
      <c r="L2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-6.82</v>
      </c>
      <c r="M280" s="225">
        <f>ROUND(IF(AND(Base_Periodo1[[#This Row],[Tipo_Linha]]="-",Base_Periodo1[[#This Row],[TIPOSALDO]]="D"),Base_Periodo1[[#This Row],[SALDO_ATUAL]]*-1,Base_Periodo1[[#This Row],[SALDO_ATUAL]]),4)</f>
        <v>6.82</v>
      </c>
      <c r="N280" t="s">
        <v>116</v>
      </c>
      <c r="O280" t="s">
        <v>459</v>
      </c>
      <c r="P280" t="s">
        <v>459</v>
      </c>
      <c r="Q280">
        <v>7</v>
      </c>
      <c r="R280" s="225">
        <f>Base_Periodo1[[#This Row],[CREDITOS]]-Base_Periodo1[[#This Row],[DEBITOS]]</f>
        <v>0</v>
      </c>
      <c r="S280" s="3" t="str">
        <f>IF(ISERROR(VLOOKUP(Base_Periodo1[[#This Row],[CONTA]],BaseContasDRE[#All],4,FALSE)),"Fora do DRE",VLOOKUP(Base_Periodo1[[#This Row],[CONTA]],BaseContasDRE[#All],4,FALSE))</f>
        <v>Fora do DRE</v>
      </c>
      <c r="T280" s="3" t="str">
        <f>IF(ISERROR(VLOOKUP(Base_Periodo1[[#This Row],[CONTA]],BaseContasDRE[#All],5,FALSE)),"Fora do DRE",VLOOKUP(Base_Periodo1[[#This Row],[CONTA]],BaseContasDRE[#All],6,FALSE))</f>
        <v>Fora do DRE</v>
      </c>
      <c r="U280" s="3" t="str">
        <f>IF(ISERROR(VLOOKUP(Base_Periodo1[[#This Row],[CONTA]],BaseContasDRE[#All],7,FALSE)),"Fora do DRE",VLOOKUP(Base_Periodo1[[#This Row],[CONTA]],BaseContasDRE[#All],7,FALSE))</f>
        <v>Fora do DRE</v>
      </c>
      <c r="V280" s="3" t="str">
        <f>IF(Base_Periodo1[[#This Row],[Tipo_Linha]]="Fora do DRE","Fora do DRE","( "&amp;Base_Periodo1[[#This Row],[Tipo_Linha]]&amp;" ) "&amp;Base_Periodo1[[#This Row],[Filtro]])</f>
        <v>Fora do DRE</v>
      </c>
      <c r="W280" s="3" t="str">
        <f>LEFT(Base_Periodo1[[#This Row],[CLASS]],3)</f>
        <v>1.1</v>
      </c>
    </row>
    <row r="281" spans="1:23" hidden="1">
      <c r="A281" s="3" t="str">
        <f t="shared" si="4"/>
        <v>Período 1</v>
      </c>
      <c r="B281">
        <v>24274</v>
      </c>
      <c r="C281" t="s">
        <v>503</v>
      </c>
      <c r="D281" t="s">
        <v>617</v>
      </c>
      <c r="E281" s="3" t="str">
        <f>IF(LEN(Base_Periodo1[[#This Row],[CLASS]])&gt;=7,LEFT(Base_Periodo1[[#This Row],[CLASS]],7),"")</f>
        <v>1.1.2.1</v>
      </c>
      <c r="F281" s="3" t="str">
        <f>VLOOKUP(Base_Periodo1[[#This Row],[Aux]],Base_Contas_Balanco[#All],2,FALSE)</f>
        <v>Creditos com Cooperados</v>
      </c>
      <c r="G281" s="1">
        <v>42865</v>
      </c>
      <c r="H281" s="225">
        <v>24657.499999999971</v>
      </c>
      <c r="I281" s="225">
        <v>13622.660000000002</v>
      </c>
      <c r="J281" s="225">
        <v>12177.33</v>
      </c>
      <c r="K281" s="225">
        <v>26102.829999999973</v>
      </c>
      <c r="L2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26102.83</v>
      </c>
      <c r="M281" s="225">
        <f>ROUND(IF(AND(Base_Periodo1[[#This Row],[Tipo_Linha]]="-",Base_Periodo1[[#This Row],[TIPOSALDO]]="D"),Base_Periodo1[[#This Row],[SALDO_ATUAL]]*-1,Base_Periodo1[[#This Row],[SALDO_ATUAL]]),4)</f>
        <v>26102.83</v>
      </c>
      <c r="N281" t="s">
        <v>116</v>
      </c>
      <c r="O281" t="s">
        <v>397</v>
      </c>
      <c r="P281" t="s">
        <v>397</v>
      </c>
      <c r="Q281">
        <v>7</v>
      </c>
      <c r="R281" s="225">
        <f>Base_Periodo1[[#This Row],[CREDITOS]]-Base_Periodo1[[#This Row],[DEBITOS]]</f>
        <v>-1445.3300000000017</v>
      </c>
      <c r="S281" s="3" t="str">
        <f>IF(ISERROR(VLOOKUP(Base_Periodo1[[#This Row],[CONTA]],BaseContasDRE[#All],4,FALSE)),"Fora do DRE",VLOOKUP(Base_Periodo1[[#This Row],[CONTA]],BaseContasDRE[#All],4,FALSE))</f>
        <v>Fora do DRE</v>
      </c>
      <c r="T281" s="3" t="str">
        <f>IF(ISERROR(VLOOKUP(Base_Periodo1[[#This Row],[CONTA]],BaseContasDRE[#All],5,FALSE)),"Fora do DRE",VLOOKUP(Base_Periodo1[[#This Row],[CONTA]],BaseContasDRE[#All],6,FALSE))</f>
        <v>Fora do DRE</v>
      </c>
      <c r="U281" s="3" t="str">
        <f>IF(ISERROR(VLOOKUP(Base_Periodo1[[#This Row],[CONTA]],BaseContasDRE[#All],7,FALSE)),"Fora do DRE",VLOOKUP(Base_Periodo1[[#This Row],[CONTA]],BaseContasDRE[#All],7,FALSE))</f>
        <v>Fora do DRE</v>
      </c>
      <c r="V281" s="3" t="str">
        <f>IF(Base_Periodo1[[#This Row],[Tipo_Linha]]="Fora do DRE","Fora do DRE","( "&amp;Base_Periodo1[[#This Row],[Tipo_Linha]]&amp;" ) "&amp;Base_Periodo1[[#This Row],[Filtro]])</f>
        <v>Fora do DRE</v>
      </c>
      <c r="W281" s="3" t="str">
        <f>LEFT(Base_Periodo1[[#This Row],[CLASS]],3)</f>
        <v>1.1</v>
      </c>
    </row>
    <row r="282" spans="1:23" hidden="1">
      <c r="A282" s="3" t="str">
        <f t="shared" si="4"/>
        <v>Período 1</v>
      </c>
      <c r="B282">
        <v>4264</v>
      </c>
      <c r="C282" t="s">
        <v>503</v>
      </c>
      <c r="D282" t="s">
        <v>618</v>
      </c>
      <c r="E282" s="3" t="str">
        <f>IF(LEN(Base_Periodo1[[#This Row],[CLASS]])&gt;=7,LEFT(Base_Periodo1[[#This Row],[CLASS]],7),"")</f>
        <v>1.1.2.1</v>
      </c>
      <c r="F282" s="3" t="str">
        <f>VLOOKUP(Base_Periodo1[[#This Row],[Aux]],Base_Contas_Balanco[#All],2,FALSE)</f>
        <v>Creditos com Cooperados</v>
      </c>
      <c r="G282" s="1">
        <v>42347</v>
      </c>
      <c r="H282" s="225">
        <v>12.299999999988358</v>
      </c>
      <c r="I282" s="225">
        <v>0</v>
      </c>
      <c r="J282" s="225">
        <v>0</v>
      </c>
      <c r="K282" s="225">
        <v>12.299999999988358</v>
      </c>
      <c r="L2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12.3</v>
      </c>
      <c r="M282" s="225">
        <f>ROUND(IF(AND(Base_Periodo1[[#This Row],[Tipo_Linha]]="-",Base_Periodo1[[#This Row],[TIPOSALDO]]="D"),Base_Periodo1[[#This Row],[SALDO_ATUAL]]*-1,Base_Periodo1[[#This Row],[SALDO_ATUAL]]),4)</f>
        <v>12.3</v>
      </c>
      <c r="N282" t="s">
        <v>116</v>
      </c>
      <c r="O282" t="s">
        <v>397</v>
      </c>
      <c r="P282" t="s">
        <v>397</v>
      </c>
      <c r="Q282">
        <v>7</v>
      </c>
      <c r="R282" s="225">
        <f>Base_Periodo1[[#This Row],[CREDITOS]]-Base_Periodo1[[#This Row],[DEBITOS]]</f>
        <v>0</v>
      </c>
      <c r="S282" s="3" t="str">
        <f>IF(ISERROR(VLOOKUP(Base_Periodo1[[#This Row],[CONTA]],BaseContasDRE[#All],4,FALSE)),"Fora do DRE",VLOOKUP(Base_Periodo1[[#This Row],[CONTA]],BaseContasDRE[#All],4,FALSE))</f>
        <v>Fora do DRE</v>
      </c>
      <c r="T282" s="3" t="str">
        <f>IF(ISERROR(VLOOKUP(Base_Periodo1[[#This Row],[CONTA]],BaseContasDRE[#All],5,FALSE)),"Fora do DRE",VLOOKUP(Base_Periodo1[[#This Row],[CONTA]],BaseContasDRE[#All],6,FALSE))</f>
        <v>Fora do DRE</v>
      </c>
      <c r="U282" s="3" t="str">
        <f>IF(ISERROR(VLOOKUP(Base_Periodo1[[#This Row],[CONTA]],BaseContasDRE[#All],7,FALSE)),"Fora do DRE",VLOOKUP(Base_Periodo1[[#This Row],[CONTA]],BaseContasDRE[#All],7,FALSE))</f>
        <v>Fora do DRE</v>
      </c>
      <c r="V282" s="3" t="str">
        <f>IF(Base_Periodo1[[#This Row],[Tipo_Linha]]="Fora do DRE","Fora do DRE","( "&amp;Base_Periodo1[[#This Row],[Tipo_Linha]]&amp;" ) "&amp;Base_Periodo1[[#This Row],[Filtro]])</f>
        <v>Fora do DRE</v>
      </c>
      <c r="W282" s="3" t="str">
        <f>LEFT(Base_Periodo1[[#This Row],[CLASS]],3)</f>
        <v>1.1</v>
      </c>
    </row>
    <row r="283" spans="1:23" hidden="1">
      <c r="A283" s="3" t="str">
        <f t="shared" si="4"/>
        <v>Período 1</v>
      </c>
      <c r="B283">
        <v>18199</v>
      </c>
      <c r="C283" t="s">
        <v>503</v>
      </c>
      <c r="D283" t="s">
        <v>6707</v>
      </c>
      <c r="E283" s="3" t="str">
        <f>IF(LEN(Base_Periodo1[[#This Row],[CLASS]])&gt;=7,LEFT(Base_Periodo1[[#This Row],[CLASS]],7),"")</f>
        <v>1.1.2.1</v>
      </c>
      <c r="F283" s="3" t="str">
        <f>VLOOKUP(Base_Periodo1[[#This Row],[Aux]],Base_Contas_Balanco[#All],2,FALSE)</f>
        <v>Creditos com Cooperados</v>
      </c>
      <c r="G283" s="1">
        <v>42881</v>
      </c>
      <c r="I283" s="225">
        <v>2041.52</v>
      </c>
      <c r="J283" s="225">
        <v>2041.52</v>
      </c>
      <c r="K283" s="225">
        <v>2.9103830456733704E-11</v>
      </c>
      <c r="L2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83" s="225">
        <f>ROUND(IF(AND(Base_Periodo1[[#This Row],[Tipo_Linha]]="-",Base_Periodo1[[#This Row],[TIPOSALDO]]="D"),Base_Periodo1[[#This Row],[SALDO_ATUAL]]*-1,Base_Periodo1[[#This Row],[SALDO_ATUAL]]),4)</f>
        <v>0</v>
      </c>
      <c r="N283" t="s">
        <v>116</v>
      </c>
      <c r="O283" t="s">
        <v>436</v>
      </c>
      <c r="P283" t="s">
        <v>436</v>
      </c>
      <c r="Q283">
        <v>7</v>
      </c>
      <c r="R283" s="225">
        <f>Base_Periodo1[[#This Row],[CREDITOS]]-Base_Periodo1[[#This Row],[DEBITOS]]</f>
        <v>0</v>
      </c>
      <c r="S283" s="3" t="str">
        <f>IF(ISERROR(VLOOKUP(Base_Periodo1[[#This Row],[CONTA]],BaseContasDRE[#All],4,FALSE)),"Fora do DRE",VLOOKUP(Base_Periodo1[[#This Row],[CONTA]],BaseContasDRE[#All],4,FALSE))</f>
        <v>Fora do DRE</v>
      </c>
      <c r="T283" s="3" t="str">
        <f>IF(ISERROR(VLOOKUP(Base_Periodo1[[#This Row],[CONTA]],BaseContasDRE[#All],5,FALSE)),"Fora do DRE",VLOOKUP(Base_Periodo1[[#This Row],[CONTA]],BaseContasDRE[#All],6,FALSE))</f>
        <v>Fora do DRE</v>
      </c>
      <c r="U283" s="3" t="str">
        <f>IF(ISERROR(VLOOKUP(Base_Periodo1[[#This Row],[CONTA]],BaseContasDRE[#All],7,FALSE)),"Fora do DRE",VLOOKUP(Base_Periodo1[[#This Row],[CONTA]],BaseContasDRE[#All],7,FALSE))</f>
        <v>Fora do DRE</v>
      </c>
      <c r="V283" s="3" t="str">
        <f>IF(Base_Periodo1[[#This Row],[Tipo_Linha]]="Fora do DRE","Fora do DRE","( "&amp;Base_Periodo1[[#This Row],[Tipo_Linha]]&amp;" ) "&amp;Base_Periodo1[[#This Row],[Filtro]])</f>
        <v>Fora do DRE</v>
      </c>
      <c r="W283" s="3" t="str">
        <f>LEFT(Base_Periodo1[[#This Row],[CLASS]],3)</f>
        <v>1.1</v>
      </c>
    </row>
    <row r="284" spans="1:23" hidden="1">
      <c r="A284" s="3" t="str">
        <f t="shared" si="4"/>
        <v>Período 1</v>
      </c>
      <c r="B284">
        <v>4228</v>
      </c>
      <c r="C284" t="s">
        <v>503</v>
      </c>
      <c r="D284" t="s">
        <v>619</v>
      </c>
      <c r="E284" s="3" t="str">
        <f>IF(LEN(Base_Periodo1[[#This Row],[CLASS]])&gt;=7,LEFT(Base_Periodo1[[#This Row],[CLASS]],7),"")</f>
        <v>1.1.2.1</v>
      </c>
      <c r="F284" s="3" t="str">
        <f>VLOOKUP(Base_Periodo1[[#This Row],[Aux]],Base_Contas_Balanco[#All],2,FALSE)</f>
        <v>Creditos com Cooperados</v>
      </c>
      <c r="G284" s="1">
        <v>42851</v>
      </c>
      <c r="H284" s="225">
        <v>16464.360000000044</v>
      </c>
      <c r="I284" s="225">
        <v>0</v>
      </c>
      <c r="J284" s="225">
        <v>0</v>
      </c>
      <c r="K284" s="225">
        <v>16464.360000000044</v>
      </c>
      <c r="L2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16464.36</v>
      </c>
      <c r="M284" s="225">
        <f>ROUND(IF(AND(Base_Periodo1[[#This Row],[Tipo_Linha]]="-",Base_Periodo1[[#This Row],[TIPOSALDO]]="D"),Base_Periodo1[[#This Row],[SALDO_ATUAL]]*-1,Base_Periodo1[[#This Row],[SALDO_ATUAL]]),4)</f>
        <v>16464.36</v>
      </c>
      <c r="N284" t="s">
        <v>116</v>
      </c>
      <c r="O284" t="s">
        <v>397</v>
      </c>
      <c r="P284" t="s">
        <v>397</v>
      </c>
      <c r="Q284">
        <v>7</v>
      </c>
      <c r="R284" s="225">
        <f>Base_Periodo1[[#This Row],[CREDITOS]]-Base_Periodo1[[#This Row],[DEBITOS]]</f>
        <v>0</v>
      </c>
      <c r="S284" s="3" t="str">
        <f>IF(ISERROR(VLOOKUP(Base_Periodo1[[#This Row],[CONTA]],BaseContasDRE[#All],4,FALSE)),"Fora do DRE",VLOOKUP(Base_Periodo1[[#This Row],[CONTA]],BaseContasDRE[#All],4,FALSE))</f>
        <v>Fora do DRE</v>
      </c>
      <c r="T284" s="3" t="str">
        <f>IF(ISERROR(VLOOKUP(Base_Periodo1[[#This Row],[CONTA]],BaseContasDRE[#All],5,FALSE)),"Fora do DRE",VLOOKUP(Base_Periodo1[[#This Row],[CONTA]],BaseContasDRE[#All],6,FALSE))</f>
        <v>Fora do DRE</v>
      </c>
      <c r="U284" s="3" t="str">
        <f>IF(ISERROR(VLOOKUP(Base_Periodo1[[#This Row],[CONTA]],BaseContasDRE[#All],7,FALSE)),"Fora do DRE",VLOOKUP(Base_Periodo1[[#This Row],[CONTA]],BaseContasDRE[#All],7,FALSE))</f>
        <v>Fora do DRE</v>
      </c>
      <c r="V284" s="3" t="str">
        <f>IF(Base_Periodo1[[#This Row],[Tipo_Linha]]="Fora do DRE","Fora do DRE","( "&amp;Base_Periodo1[[#This Row],[Tipo_Linha]]&amp;" ) "&amp;Base_Periodo1[[#This Row],[Filtro]])</f>
        <v>Fora do DRE</v>
      </c>
      <c r="W284" s="3" t="str">
        <f>LEFT(Base_Periodo1[[#This Row],[CLASS]],3)</f>
        <v>1.1</v>
      </c>
    </row>
    <row r="285" spans="1:23" hidden="1">
      <c r="A285" s="3" t="str">
        <f t="shared" si="4"/>
        <v>Período 1</v>
      </c>
      <c r="B285">
        <v>2752</v>
      </c>
      <c r="C285" t="s">
        <v>503</v>
      </c>
      <c r="D285" t="s">
        <v>620</v>
      </c>
      <c r="E285" s="3" t="str">
        <f>IF(LEN(Base_Periodo1[[#This Row],[CLASS]])&gt;=7,LEFT(Base_Periodo1[[#This Row],[CLASS]],7),"")</f>
        <v>1.1.2.1</v>
      </c>
      <c r="F285" s="3" t="str">
        <f>VLOOKUP(Base_Periodo1[[#This Row],[Aux]],Base_Contas_Balanco[#All],2,FALSE)</f>
        <v>Creditos com Cooperados</v>
      </c>
      <c r="G285" s="1">
        <v>42849</v>
      </c>
      <c r="H285" s="225">
        <v>29211.889999999956</v>
      </c>
      <c r="I285" s="225">
        <v>0</v>
      </c>
      <c r="J285" s="225">
        <v>0</v>
      </c>
      <c r="K285" s="225">
        <v>29211.889999999956</v>
      </c>
      <c r="L2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29211.89</v>
      </c>
      <c r="M285" s="225">
        <f>ROUND(IF(AND(Base_Periodo1[[#This Row],[Tipo_Linha]]="-",Base_Periodo1[[#This Row],[TIPOSALDO]]="D"),Base_Periodo1[[#This Row],[SALDO_ATUAL]]*-1,Base_Periodo1[[#This Row],[SALDO_ATUAL]]),4)</f>
        <v>29211.89</v>
      </c>
      <c r="N285" t="s">
        <v>116</v>
      </c>
      <c r="O285" t="s">
        <v>397</v>
      </c>
      <c r="P285" t="s">
        <v>397</v>
      </c>
      <c r="Q285">
        <v>7</v>
      </c>
      <c r="R285" s="225">
        <f>Base_Periodo1[[#This Row],[CREDITOS]]-Base_Periodo1[[#This Row],[DEBITOS]]</f>
        <v>0</v>
      </c>
      <c r="S285" s="3" t="str">
        <f>IF(ISERROR(VLOOKUP(Base_Periodo1[[#This Row],[CONTA]],BaseContasDRE[#All],4,FALSE)),"Fora do DRE",VLOOKUP(Base_Periodo1[[#This Row],[CONTA]],BaseContasDRE[#All],4,FALSE))</f>
        <v>Fora do DRE</v>
      </c>
      <c r="T285" s="3" t="str">
        <f>IF(ISERROR(VLOOKUP(Base_Periodo1[[#This Row],[CONTA]],BaseContasDRE[#All],5,FALSE)),"Fora do DRE",VLOOKUP(Base_Periodo1[[#This Row],[CONTA]],BaseContasDRE[#All],6,FALSE))</f>
        <v>Fora do DRE</v>
      </c>
      <c r="U285" s="3" t="str">
        <f>IF(ISERROR(VLOOKUP(Base_Periodo1[[#This Row],[CONTA]],BaseContasDRE[#All],7,FALSE)),"Fora do DRE",VLOOKUP(Base_Periodo1[[#This Row],[CONTA]],BaseContasDRE[#All],7,FALSE))</f>
        <v>Fora do DRE</v>
      </c>
      <c r="V285" s="3" t="str">
        <f>IF(Base_Periodo1[[#This Row],[Tipo_Linha]]="Fora do DRE","Fora do DRE","( "&amp;Base_Periodo1[[#This Row],[Tipo_Linha]]&amp;" ) "&amp;Base_Periodo1[[#This Row],[Filtro]])</f>
        <v>Fora do DRE</v>
      </c>
      <c r="W285" s="3" t="str">
        <f>LEFT(Base_Periodo1[[#This Row],[CLASS]],3)</f>
        <v>1.1</v>
      </c>
    </row>
    <row r="286" spans="1:23" hidden="1">
      <c r="A286" s="3" t="str">
        <f t="shared" si="4"/>
        <v>Período 1</v>
      </c>
      <c r="B286">
        <v>5144</v>
      </c>
      <c r="C286" t="s">
        <v>503</v>
      </c>
      <c r="D286" t="s">
        <v>6708</v>
      </c>
      <c r="E286" s="3" t="str">
        <f>IF(LEN(Base_Periodo1[[#This Row],[CLASS]])&gt;=7,LEFT(Base_Periodo1[[#This Row],[CLASS]],7),"")</f>
        <v>1.1.2.1</v>
      </c>
      <c r="F286" s="3" t="str">
        <f>VLOOKUP(Base_Periodo1[[#This Row],[Aux]],Base_Contas_Balanco[#All],2,FALSE)</f>
        <v>Creditos com Cooperados</v>
      </c>
      <c r="G286" s="1">
        <v>42884</v>
      </c>
      <c r="I286" s="225">
        <v>2.59</v>
      </c>
      <c r="J286" s="225">
        <v>2.59</v>
      </c>
      <c r="K286" s="225">
        <v>7.2759576141834259E-12</v>
      </c>
      <c r="L2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86" s="225">
        <f>ROUND(IF(AND(Base_Periodo1[[#This Row],[Tipo_Linha]]="-",Base_Periodo1[[#This Row],[TIPOSALDO]]="D"),Base_Periodo1[[#This Row],[SALDO_ATUAL]]*-1,Base_Periodo1[[#This Row],[SALDO_ATUAL]]),4)</f>
        <v>0</v>
      </c>
      <c r="N286" t="s">
        <v>116</v>
      </c>
      <c r="O286" t="s">
        <v>436</v>
      </c>
      <c r="P286" t="s">
        <v>436</v>
      </c>
      <c r="Q286">
        <v>7</v>
      </c>
      <c r="R286" s="225">
        <f>Base_Periodo1[[#This Row],[CREDITOS]]-Base_Periodo1[[#This Row],[DEBITOS]]</f>
        <v>0</v>
      </c>
      <c r="S286" s="3" t="str">
        <f>IF(ISERROR(VLOOKUP(Base_Periodo1[[#This Row],[CONTA]],BaseContasDRE[#All],4,FALSE)),"Fora do DRE",VLOOKUP(Base_Periodo1[[#This Row],[CONTA]],BaseContasDRE[#All],4,FALSE))</f>
        <v>Fora do DRE</v>
      </c>
      <c r="T286" s="3" t="str">
        <f>IF(ISERROR(VLOOKUP(Base_Periodo1[[#This Row],[CONTA]],BaseContasDRE[#All],5,FALSE)),"Fora do DRE",VLOOKUP(Base_Periodo1[[#This Row],[CONTA]],BaseContasDRE[#All],6,FALSE))</f>
        <v>Fora do DRE</v>
      </c>
      <c r="U286" s="3" t="str">
        <f>IF(ISERROR(VLOOKUP(Base_Periodo1[[#This Row],[CONTA]],BaseContasDRE[#All],7,FALSE)),"Fora do DRE",VLOOKUP(Base_Periodo1[[#This Row],[CONTA]],BaseContasDRE[#All],7,FALSE))</f>
        <v>Fora do DRE</v>
      </c>
      <c r="V286" s="3" t="str">
        <f>IF(Base_Periodo1[[#This Row],[Tipo_Linha]]="Fora do DRE","Fora do DRE","( "&amp;Base_Periodo1[[#This Row],[Tipo_Linha]]&amp;" ) "&amp;Base_Periodo1[[#This Row],[Filtro]])</f>
        <v>Fora do DRE</v>
      </c>
      <c r="W286" s="3" t="str">
        <f>LEFT(Base_Periodo1[[#This Row],[CLASS]],3)</f>
        <v>1.1</v>
      </c>
    </row>
    <row r="287" spans="1:23" hidden="1">
      <c r="A287" s="3" t="str">
        <f t="shared" si="4"/>
        <v>Período 1</v>
      </c>
      <c r="B287">
        <v>3028</v>
      </c>
      <c r="C287" t="s">
        <v>503</v>
      </c>
      <c r="D287" t="s">
        <v>621</v>
      </c>
      <c r="E287" s="3" t="str">
        <f>IF(LEN(Base_Periodo1[[#This Row],[CLASS]])&gt;=7,LEFT(Base_Periodo1[[#This Row],[CLASS]],7),"")</f>
        <v>1.1.2.1</v>
      </c>
      <c r="F287" s="3" t="str">
        <f>VLOOKUP(Base_Periodo1[[#This Row],[Aux]],Base_Contas_Balanco[#All],2,FALSE)</f>
        <v>Creditos com Cooperados</v>
      </c>
      <c r="G287" s="1">
        <v>42871</v>
      </c>
      <c r="H287" s="225">
        <v>172305.60999999847</v>
      </c>
      <c r="I287" s="225">
        <v>1870</v>
      </c>
      <c r="J287" s="225">
        <v>0</v>
      </c>
      <c r="K287" s="225">
        <v>174175.60999999847</v>
      </c>
      <c r="L2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174175.61</v>
      </c>
      <c r="M287" s="225">
        <f>ROUND(IF(AND(Base_Periodo1[[#This Row],[Tipo_Linha]]="-",Base_Periodo1[[#This Row],[TIPOSALDO]]="D"),Base_Periodo1[[#This Row],[SALDO_ATUAL]]*-1,Base_Periodo1[[#This Row],[SALDO_ATUAL]]),4)</f>
        <v>174175.61</v>
      </c>
      <c r="N287" t="s">
        <v>116</v>
      </c>
      <c r="O287" t="s">
        <v>397</v>
      </c>
      <c r="P287" t="s">
        <v>397</v>
      </c>
      <c r="Q287">
        <v>7</v>
      </c>
      <c r="R287" s="225">
        <f>Base_Periodo1[[#This Row],[CREDITOS]]-Base_Periodo1[[#This Row],[DEBITOS]]</f>
        <v>-1870</v>
      </c>
      <c r="S287" s="3" t="str">
        <f>IF(ISERROR(VLOOKUP(Base_Periodo1[[#This Row],[CONTA]],BaseContasDRE[#All],4,FALSE)),"Fora do DRE",VLOOKUP(Base_Periodo1[[#This Row],[CONTA]],BaseContasDRE[#All],4,FALSE))</f>
        <v>Fora do DRE</v>
      </c>
      <c r="T287" s="3" t="str">
        <f>IF(ISERROR(VLOOKUP(Base_Periodo1[[#This Row],[CONTA]],BaseContasDRE[#All],5,FALSE)),"Fora do DRE",VLOOKUP(Base_Periodo1[[#This Row],[CONTA]],BaseContasDRE[#All],6,FALSE))</f>
        <v>Fora do DRE</v>
      </c>
      <c r="U287" s="3" t="str">
        <f>IF(ISERROR(VLOOKUP(Base_Periodo1[[#This Row],[CONTA]],BaseContasDRE[#All],7,FALSE)),"Fora do DRE",VLOOKUP(Base_Periodo1[[#This Row],[CONTA]],BaseContasDRE[#All],7,FALSE))</f>
        <v>Fora do DRE</v>
      </c>
      <c r="V287" s="3" t="str">
        <f>IF(Base_Periodo1[[#This Row],[Tipo_Linha]]="Fora do DRE","Fora do DRE","( "&amp;Base_Periodo1[[#This Row],[Tipo_Linha]]&amp;" ) "&amp;Base_Periodo1[[#This Row],[Filtro]])</f>
        <v>Fora do DRE</v>
      </c>
      <c r="W287" s="3" t="str">
        <f>LEFT(Base_Periodo1[[#This Row],[CLASS]],3)</f>
        <v>1.1</v>
      </c>
    </row>
    <row r="288" spans="1:23" hidden="1">
      <c r="A288" s="3" t="str">
        <f t="shared" si="4"/>
        <v>Período 1</v>
      </c>
      <c r="B288">
        <v>38038</v>
      </c>
      <c r="C288" t="s">
        <v>503</v>
      </c>
      <c r="D288" t="s">
        <v>622</v>
      </c>
      <c r="E288" s="3" t="str">
        <f>IF(LEN(Base_Periodo1[[#This Row],[CLASS]])&gt;=7,LEFT(Base_Periodo1[[#This Row],[CLASS]],7),"")</f>
        <v>1.1.2.1</v>
      </c>
      <c r="F288" s="3" t="str">
        <f>VLOOKUP(Base_Periodo1[[#This Row],[Aux]],Base_Contas_Balanco[#All],2,FALSE)</f>
        <v>Creditos com Cooperados</v>
      </c>
      <c r="G288" s="1">
        <v>42878</v>
      </c>
      <c r="H288" s="225">
        <v>53668.079999999842</v>
      </c>
      <c r="I288" s="225">
        <v>2053.4</v>
      </c>
      <c r="J288" s="225">
        <v>0</v>
      </c>
      <c r="K288" s="225">
        <v>55721.479999999843</v>
      </c>
      <c r="L2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55721.48</v>
      </c>
      <c r="M288" s="225">
        <f>ROUND(IF(AND(Base_Periodo1[[#This Row],[Tipo_Linha]]="-",Base_Periodo1[[#This Row],[TIPOSALDO]]="D"),Base_Periodo1[[#This Row],[SALDO_ATUAL]]*-1,Base_Periodo1[[#This Row],[SALDO_ATUAL]]),4)</f>
        <v>55721.48</v>
      </c>
      <c r="N288" t="s">
        <v>116</v>
      </c>
      <c r="O288" t="s">
        <v>397</v>
      </c>
      <c r="P288" t="s">
        <v>397</v>
      </c>
      <c r="Q288">
        <v>7</v>
      </c>
      <c r="R288" s="225">
        <f>Base_Periodo1[[#This Row],[CREDITOS]]-Base_Periodo1[[#This Row],[DEBITOS]]</f>
        <v>-2053.4</v>
      </c>
      <c r="S288" s="3" t="str">
        <f>IF(ISERROR(VLOOKUP(Base_Periodo1[[#This Row],[CONTA]],BaseContasDRE[#All],4,FALSE)),"Fora do DRE",VLOOKUP(Base_Periodo1[[#This Row],[CONTA]],BaseContasDRE[#All],4,FALSE))</f>
        <v>Fora do DRE</v>
      </c>
      <c r="T288" s="3" t="str">
        <f>IF(ISERROR(VLOOKUP(Base_Periodo1[[#This Row],[CONTA]],BaseContasDRE[#All],5,FALSE)),"Fora do DRE",VLOOKUP(Base_Periodo1[[#This Row],[CONTA]],BaseContasDRE[#All],6,FALSE))</f>
        <v>Fora do DRE</v>
      </c>
      <c r="U288" s="3" t="str">
        <f>IF(ISERROR(VLOOKUP(Base_Periodo1[[#This Row],[CONTA]],BaseContasDRE[#All],7,FALSE)),"Fora do DRE",VLOOKUP(Base_Periodo1[[#This Row],[CONTA]],BaseContasDRE[#All],7,FALSE))</f>
        <v>Fora do DRE</v>
      </c>
      <c r="V288" s="3" t="str">
        <f>IF(Base_Periodo1[[#This Row],[Tipo_Linha]]="Fora do DRE","Fora do DRE","( "&amp;Base_Periodo1[[#This Row],[Tipo_Linha]]&amp;" ) "&amp;Base_Periodo1[[#This Row],[Filtro]])</f>
        <v>Fora do DRE</v>
      </c>
      <c r="W288" s="3" t="str">
        <f>LEFT(Base_Periodo1[[#This Row],[CLASS]],3)</f>
        <v>1.1</v>
      </c>
    </row>
    <row r="289" spans="1:23" hidden="1">
      <c r="A289" s="3" t="str">
        <f t="shared" si="4"/>
        <v>Período 1</v>
      </c>
      <c r="B289">
        <v>12078</v>
      </c>
      <c r="C289" t="s">
        <v>503</v>
      </c>
      <c r="D289" t="s">
        <v>5138</v>
      </c>
      <c r="E289" s="3" t="str">
        <f>IF(LEN(Base_Periodo1[[#This Row],[CLASS]])&gt;=7,LEFT(Base_Periodo1[[#This Row],[CLASS]],7),"")</f>
        <v>1.1.2.1</v>
      </c>
      <c r="F289" s="3" t="str">
        <f>VLOOKUP(Base_Periodo1[[#This Row],[Aux]],Base_Contas_Balanco[#All],2,FALSE)</f>
        <v>Creditos com Cooperados</v>
      </c>
      <c r="G289" s="1">
        <v>42853</v>
      </c>
      <c r="H289" s="225">
        <v>20027.639999999839</v>
      </c>
      <c r="I289" s="225">
        <v>0</v>
      </c>
      <c r="J289" s="225">
        <v>0</v>
      </c>
      <c r="K289" s="225">
        <v>20027.639999999839</v>
      </c>
      <c r="L2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20027.64</v>
      </c>
      <c r="M289" s="225">
        <f>ROUND(IF(AND(Base_Periodo1[[#This Row],[Tipo_Linha]]="-",Base_Periodo1[[#This Row],[TIPOSALDO]]="D"),Base_Periodo1[[#This Row],[SALDO_ATUAL]]*-1,Base_Periodo1[[#This Row],[SALDO_ATUAL]]),4)</f>
        <v>20027.64</v>
      </c>
      <c r="N289" t="s">
        <v>116</v>
      </c>
      <c r="O289" t="s">
        <v>397</v>
      </c>
      <c r="P289" t="s">
        <v>397</v>
      </c>
      <c r="Q289">
        <v>7</v>
      </c>
      <c r="R289" s="225">
        <f>Base_Periodo1[[#This Row],[CREDITOS]]-Base_Periodo1[[#This Row],[DEBITOS]]</f>
        <v>0</v>
      </c>
      <c r="S289" s="3" t="str">
        <f>IF(ISERROR(VLOOKUP(Base_Periodo1[[#This Row],[CONTA]],BaseContasDRE[#All],4,FALSE)),"Fora do DRE",VLOOKUP(Base_Periodo1[[#This Row],[CONTA]],BaseContasDRE[#All],4,FALSE))</f>
        <v>Fora do DRE</v>
      </c>
      <c r="T289" s="3" t="str">
        <f>IF(ISERROR(VLOOKUP(Base_Periodo1[[#This Row],[CONTA]],BaseContasDRE[#All],5,FALSE)),"Fora do DRE",VLOOKUP(Base_Periodo1[[#This Row],[CONTA]],BaseContasDRE[#All],6,FALSE))</f>
        <v>Fora do DRE</v>
      </c>
      <c r="U289" s="3" t="str">
        <f>IF(ISERROR(VLOOKUP(Base_Periodo1[[#This Row],[CONTA]],BaseContasDRE[#All],7,FALSE)),"Fora do DRE",VLOOKUP(Base_Periodo1[[#This Row],[CONTA]],BaseContasDRE[#All],7,FALSE))</f>
        <v>Fora do DRE</v>
      </c>
      <c r="V289" s="3" t="str">
        <f>IF(Base_Periodo1[[#This Row],[Tipo_Linha]]="Fora do DRE","Fora do DRE","( "&amp;Base_Periodo1[[#This Row],[Tipo_Linha]]&amp;" ) "&amp;Base_Periodo1[[#This Row],[Filtro]])</f>
        <v>Fora do DRE</v>
      </c>
      <c r="W289" s="3" t="str">
        <f>LEFT(Base_Periodo1[[#This Row],[CLASS]],3)</f>
        <v>1.1</v>
      </c>
    </row>
    <row r="290" spans="1:23" hidden="1">
      <c r="A290" s="3" t="str">
        <f t="shared" si="4"/>
        <v>Período 1</v>
      </c>
      <c r="B290">
        <v>5008</v>
      </c>
      <c r="C290" t="s">
        <v>503</v>
      </c>
      <c r="D290" t="s">
        <v>623</v>
      </c>
      <c r="E290" s="3" t="str">
        <f>IF(LEN(Base_Periodo1[[#This Row],[CLASS]])&gt;=7,LEFT(Base_Periodo1[[#This Row],[CLASS]],7),"")</f>
        <v>1.1.2.1</v>
      </c>
      <c r="F290" s="3" t="str">
        <f>VLOOKUP(Base_Periodo1[[#This Row],[Aux]],Base_Contas_Balanco[#All],2,FALSE)</f>
        <v>Creditos com Cooperados</v>
      </c>
      <c r="G290" s="1">
        <v>42866</v>
      </c>
      <c r="I290" s="225">
        <v>1688.41</v>
      </c>
      <c r="J290" s="225">
        <v>45896.409999999996</v>
      </c>
      <c r="K290" s="225">
        <v>44208.000000000051</v>
      </c>
      <c r="L2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-44208</v>
      </c>
      <c r="M290" s="225">
        <f>ROUND(IF(AND(Base_Periodo1[[#This Row],[Tipo_Linha]]="-",Base_Periodo1[[#This Row],[TIPOSALDO]]="D"),Base_Periodo1[[#This Row],[SALDO_ATUAL]]*-1,Base_Periodo1[[#This Row],[SALDO_ATUAL]]),4)</f>
        <v>44208</v>
      </c>
      <c r="N290" t="s">
        <v>116</v>
      </c>
      <c r="O290" t="s">
        <v>436</v>
      </c>
      <c r="P290" t="s">
        <v>459</v>
      </c>
      <c r="Q290">
        <v>7</v>
      </c>
      <c r="R290" s="225">
        <f>Base_Periodo1[[#This Row],[CREDITOS]]-Base_Periodo1[[#This Row],[DEBITOS]]</f>
        <v>44207.999999999993</v>
      </c>
      <c r="S290" s="3" t="str">
        <f>IF(ISERROR(VLOOKUP(Base_Periodo1[[#This Row],[CONTA]],BaseContasDRE[#All],4,FALSE)),"Fora do DRE",VLOOKUP(Base_Periodo1[[#This Row],[CONTA]],BaseContasDRE[#All],4,FALSE))</f>
        <v>Fora do DRE</v>
      </c>
      <c r="T290" s="3" t="str">
        <f>IF(ISERROR(VLOOKUP(Base_Periodo1[[#This Row],[CONTA]],BaseContasDRE[#All],5,FALSE)),"Fora do DRE",VLOOKUP(Base_Periodo1[[#This Row],[CONTA]],BaseContasDRE[#All],6,FALSE))</f>
        <v>Fora do DRE</v>
      </c>
      <c r="U290" s="3" t="str">
        <f>IF(ISERROR(VLOOKUP(Base_Periodo1[[#This Row],[CONTA]],BaseContasDRE[#All],7,FALSE)),"Fora do DRE",VLOOKUP(Base_Periodo1[[#This Row],[CONTA]],BaseContasDRE[#All],7,FALSE))</f>
        <v>Fora do DRE</v>
      </c>
      <c r="V290" s="3" t="str">
        <f>IF(Base_Periodo1[[#This Row],[Tipo_Linha]]="Fora do DRE","Fora do DRE","( "&amp;Base_Periodo1[[#This Row],[Tipo_Linha]]&amp;" ) "&amp;Base_Periodo1[[#This Row],[Filtro]])</f>
        <v>Fora do DRE</v>
      </c>
      <c r="W290" s="3" t="str">
        <f>LEFT(Base_Periodo1[[#This Row],[CLASS]],3)</f>
        <v>1.1</v>
      </c>
    </row>
    <row r="291" spans="1:23" hidden="1">
      <c r="A291" s="3" t="str">
        <f t="shared" si="4"/>
        <v>Período 1</v>
      </c>
      <c r="B291">
        <v>27212</v>
      </c>
      <c r="C291" t="s">
        <v>503</v>
      </c>
      <c r="D291" t="s">
        <v>5267</v>
      </c>
      <c r="E291" s="3" t="str">
        <f>IF(LEN(Base_Periodo1[[#This Row],[CLASS]])&gt;=7,LEFT(Base_Periodo1[[#This Row],[CLASS]],7),"")</f>
        <v>1.1.2.1</v>
      </c>
      <c r="F291" s="3" t="str">
        <f>VLOOKUP(Base_Periodo1[[#This Row],[Aux]],Base_Contas_Balanco[#All],2,FALSE)</f>
        <v>Creditos com Cooperados</v>
      </c>
      <c r="G291" s="1">
        <v>42860</v>
      </c>
      <c r="H291" s="225">
        <v>15000.000000000233</v>
      </c>
      <c r="I291" s="225">
        <v>12682.419999999998</v>
      </c>
      <c r="J291" s="225">
        <v>6341.21</v>
      </c>
      <c r="K291" s="225">
        <v>21341.210000000232</v>
      </c>
      <c r="L2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21341.21</v>
      </c>
      <c r="M291" s="225">
        <f>ROUND(IF(AND(Base_Periodo1[[#This Row],[Tipo_Linha]]="-",Base_Periodo1[[#This Row],[TIPOSALDO]]="D"),Base_Periodo1[[#This Row],[SALDO_ATUAL]]*-1,Base_Periodo1[[#This Row],[SALDO_ATUAL]]),4)</f>
        <v>21341.21</v>
      </c>
      <c r="N291" t="s">
        <v>116</v>
      </c>
      <c r="O291" t="s">
        <v>397</v>
      </c>
      <c r="P291" t="s">
        <v>397</v>
      </c>
      <c r="Q291">
        <v>7</v>
      </c>
      <c r="R291" s="225">
        <f>Base_Periodo1[[#This Row],[CREDITOS]]-Base_Periodo1[[#This Row],[DEBITOS]]</f>
        <v>-6341.2099999999982</v>
      </c>
      <c r="S291" s="3" t="str">
        <f>IF(ISERROR(VLOOKUP(Base_Periodo1[[#This Row],[CONTA]],BaseContasDRE[#All],4,FALSE)),"Fora do DRE",VLOOKUP(Base_Periodo1[[#This Row],[CONTA]],BaseContasDRE[#All],4,FALSE))</f>
        <v>Fora do DRE</v>
      </c>
      <c r="T291" s="3" t="str">
        <f>IF(ISERROR(VLOOKUP(Base_Periodo1[[#This Row],[CONTA]],BaseContasDRE[#All],5,FALSE)),"Fora do DRE",VLOOKUP(Base_Periodo1[[#This Row],[CONTA]],BaseContasDRE[#All],6,FALSE))</f>
        <v>Fora do DRE</v>
      </c>
      <c r="U291" s="3" t="str">
        <f>IF(ISERROR(VLOOKUP(Base_Periodo1[[#This Row],[CONTA]],BaseContasDRE[#All],7,FALSE)),"Fora do DRE",VLOOKUP(Base_Periodo1[[#This Row],[CONTA]],BaseContasDRE[#All],7,FALSE))</f>
        <v>Fora do DRE</v>
      </c>
      <c r="V291" s="3" t="str">
        <f>IF(Base_Periodo1[[#This Row],[Tipo_Linha]]="Fora do DRE","Fora do DRE","( "&amp;Base_Periodo1[[#This Row],[Tipo_Linha]]&amp;" ) "&amp;Base_Periodo1[[#This Row],[Filtro]])</f>
        <v>Fora do DRE</v>
      </c>
      <c r="W291" s="3" t="str">
        <f>LEFT(Base_Periodo1[[#This Row],[CLASS]],3)</f>
        <v>1.1</v>
      </c>
    </row>
    <row r="292" spans="1:23" hidden="1">
      <c r="A292" s="3" t="str">
        <f t="shared" si="4"/>
        <v>Período 1</v>
      </c>
      <c r="B292">
        <v>2548</v>
      </c>
      <c r="C292" t="s">
        <v>503</v>
      </c>
      <c r="D292" t="s">
        <v>624</v>
      </c>
      <c r="E292" s="3" t="str">
        <f>IF(LEN(Base_Periodo1[[#This Row],[CLASS]])&gt;=7,LEFT(Base_Periodo1[[#This Row],[CLASS]],7),"")</f>
        <v>1.1.2.1</v>
      </c>
      <c r="F292" s="3" t="str">
        <f>VLOOKUP(Base_Periodo1[[#This Row],[Aux]],Base_Contas_Balanco[#All],2,FALSE)</f>
        <v>Creditos com Cooperados</v>
      </c>
      <c r="G292" s="1">
        <v>42845</v>
      </c>
      <c r="H292" s="225">
        <v>0.48000000003958121</v>
      </c>
      <c r="I292" s="225">
        <v>0</v>
      </c>
      <c r="J292" s="225">
        <v>0</v>
      </c>
      <c r="K292" s="225">
        <v>0.48000000003958121</v>
      </c>
      <c r="L2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0.48</v>
      </c>
      <c r="M292" s="225">
        <f>ROUND(IF(AND(Base_Periodo1[[#This Row],[Tipo_Linha]]="-",Base_Periodo1[[#This Row],[TIPOSALDO]]="D"),Base_Periodo1[[#This Row],[SALDO_ATUAL]]*-1,Base_Periodo1[[#This Row],[SALDO_ATUAL]]),4)</f>
        <v>0.48</v>
      </c>
      <c r="N292" t="s">
        <v>116</v>
      </c>
      <c r="O292" t="s">
        <v>397</v>
      </c>
      <c r="P292" t="s">
        <v>397</v>
      </c>
      <c r="Q292">
        <v>7</v>
      </c>
      <c r="R292" s="225">
        <f>Base_Periodo1[[#This Row],[CREDITOS]]-Base_Periodo1[[#This Row],[DEBITOS]]</f>
        <v>0</v>
      </c>
      <c r="S292" s="3" t="str">
        <f>IF(ISERROR(VLOOKUP(Base_Periodo1[[#This Row],[CONTA]],BaseContasDRE[#All],4,FALSE)),"Fora do DRE",VLOOKUP(Base_Periodo1[[#This Row],[CONTA]],BaseContasDRE[#All],4,FALSE))</f>
        <v>Fora do DRE</v>
      </c>
      <c r="T292" s="3" t="str">
        <f>IF(ISERROR(VLOOKUP(Base_Periodo1[[#This Row],[CONTA]],BaseContasDRE[#All],5,FALSE)),"Fora do DRE",VLOOKUP(Base_Periodo1[[#This Row],[CONTA]],BaseContasDRE[#All],6,FALSE))</f>
        <v>Fora do DRE</v>
      </c>
      <c r="U292" s="3" t="str">
        <f>IF(ISERROR(VLOOKUP(Base_Periodo1[[#This Row],[CONTA]],BaseContasDRE[#All],7,FALSE)),"Fora do DRE",VLOOKUP(Base_Periodo1[[#This Row],[CONTA]],BaseContasDRE[#All],7,FALSE))</f>
        <v>Fora do DRE</v>
      </c>
      <c r="V292" s="3" t="str">
        <f>IF(Base_Periodo1[[#This Row],[Tipo_Linha]]="Fora do DRE","Fora do DRE","( "&amp;Base_Periodo1[[#This Row],[Tipo_Linha]]&amp;" ) "&amp;Base_Periodo1[[#This Row],[Filtro]])</f>
        <v>Fora do DRE</v>
      </c>
      <c r="W292" s="3" t="str">
        <f>LEFT(Base_Periodo1[[#This Row],[CLASS]],3)</f>
        <v>1.1</v>
      </c>
    </row>
    <row r="293" spans="1:23" hidden="1">
      <c r="A293" s="3" t="str">
        <f t="shared" si="4"/>
        <v>Período 1</v>
      </c>
      <c r="B293">
        <v>11710</v>
      </c>
      <c r="C293" t="s">
        <v>503</v>
      </c>
      <c r="D293" t="s">
        <v>625</v>
      </c>
      <c r="E293" s="3" t="str">
        <f>IF(LEN(Base_Periodo1[[#This Row],[CLASS]])&gt;=7,LEFT(Base_Periodo1[[#This Row],[CLASS]],7),"")</f>
        <v>1.1.2.1</v>
      </c>
      <c r="F293" s="3" t="str">
        <f>VLOOKUP(Base_Periodo1[[#This Row],[Aux]],Base_Contas_Balanco[#All],2,FALSE)</f>
        <v>Creditos com Cooperados</v>
      </c>
      <c r="G293" s="1">
        <v>42879</v>
      </c>
      <c r="I293" s="225">
        <v>160.80000000000001</v>
      </c>
      <c r="J293" s="225">
        <v>0</v>
      </c>
      <c r="K293" s="225">
        <v>160.7999999999418</v>
      </c>
      <c r="L2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160.80000000000001</v>
      </c>
      <c r="M293" s="225">
        <f>ROUND(IF(AND(Base_Periodo1[[#This Row],[Tipo_Linha]]="-",Base_Periodo1[[#This Row],[TIPOSALDO]]="D"),Base_Periodo1[[#This Row],[SALDO_ATUAL]]*-1,Base_Periodo1[[#This Row],[SALDO_ATUAL]]),4)</f>
        <v>160.80000000000001</v>
      </c>
      <c r="N293" t="s">
        <v>116</v>
      </c>
      <c r="O293" t="s">
        <v>436</v>
      </c>
      <c r="P293" t="s">
        <v>397</v>
      </c>
      <c r="Q293">
        <v>7</v>
      </c>
      <c r="R293" s="225">
        <f>Base_Periodo1[[#This Row],[CREDITOS]]-Base_Periodo1[[#This Row],[DEBITOS]]</f>
        <v>-160.80000000000001</v>
      </c>
      <c r="S293" s="3" t="str">
        <f>IF(ISERROR(VLOOKUP(Base_Periodo1[[#This Row],[CONTA]],BaseContasDRE[#All],4,FALSE)),"Fora do DRE",VLOOKUP(Base_Periodo1[[#This Row],[CONTA]],BaseContasDRE[#All],4,FALSE))</f>
        <v>Fora do DRE</v>
      </c>
      <c r="T293" s="3" t="str">
        <f>IF(ISERROR(VLOOKUP(Base_Periodo1[[#This Row],[CONTA]],BaseContasDRE[#All],5,FALSE)),"Fora do DRE",VLOOKUP(Base_Periodo1[[#This Row],[CONTA]],BaseContasDRE[#All],6,FALSE))</f>
        <v>Fora do DRE</v>
      </c>
      <c r="U293" s="3" t="str">
        <f>IF(ISERROR(VLOOKUP(Base_Periodo1[[#This Row],[CONTA]],BaseContasDRE[#All],7,FALSE)),"Fora do DRE",VLOOKUP(Base_Periodo1[[#This Row],[CONTA]],BaseContasDRE[#All],7,FALSE))</f>
        <v>Fora do DRE</v>
      </c>
      <c r="V293" s="3" t="str">
        <f>IF(Base_Periodo1[[#This Row],[Tipo_Linha]]="Fora do DRE","Fora do DRE","( "&amp;Base_Periodo1[[#This Row],[Tipo_Linha]]&amp;" ) "&amp;Base_Periodo1[[#This Row],[Filtro]])</f>
        <v>Fora do DRE</v>
      </c>
      <c r="W293" s="3" t="str">
        <f>LEFT(Base_Periodo1[[#This Row],[CLASS]],3)</f>
        <v>1.1</v>
      </c>
    </row>
    <row r="294" spans="1:23" hidden="1">
      <c r="A294" s="3" t="str">
        <f t="shared" si="4"/>
        <v>Período 1</v>
      </c>
      <c r="B294">
        <v>13824</v>
      </c>
      <c r="C294" t="s">
        <v>503</v>
      </c>
      <c r="D294" t="s">
        <v>626</v>
      </c>
      <c r="E294" s="3" t="str">
        <f>IF(LEN(Base_Periodo1[[#This Row],[CLASS]])&gt;=7,LEFT(Base_Periodo1[[#This Row],[CLASS]],7),"")</f>
        <v>1.1.2.1</v>
      </c>
      <c r="F294" s="3" t="str">
        <f>VLOOKUP(Base_Periodo1[[#This Row],[Aux]],Base_Contas_Balanco[#All],2,FALSE)</f>
        <v>Creditos com Cooperados</v>
      </c>
      <c r="G294" s="1">
        <v>42863</v>
      </c>
      <c r="H294" s="225">
        <v>86.999999999650754</v>
      </c>
      <c r="I294" s="225">
        <v>400</v>
      </c>
      <c r="J294" s="225">
        <v>0</v>
      </c>
      <c r="K294" s="225">
        <v>486.99999999965075</v>
      </c>
      <c r="L2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487</v>
      </c>
      <c r="M294" s="225">
        <f>ROUND(IF(AND(Base_Periodo1[[#This Row],[Tipo_Linha]]="-",Base_Periodo1[[#This Row],[TIPOSALDO]]="D"),Base_Periodo1[[#This Row],[SALDO_ATUAL]]*-1,Base_Periodo1[[#This Row],[SALDO_ATUAL]]),4)</f>
        <v>487</v>
      </c>
      <c r="N294" t="s">
        <v>116</v>
      </c>
      <c r="O294" t="s">
        <v>397</v>
      </c>
      <c r="P294" t="s">
        <v>397</v>
      </c>
      <c r="Q294">
        <v>7</v>
      </c>
      <c r="R294" s="225">
        <f>Base_Periodo1[[#This Row],[CREDITOS]]-Base_Periodo1[[#This Row],[DEBITOS]]</f>
        <v>-400</v>
      </c>
      <c r="S294" s="3" t="str">
        <f>IF(ISERROR(VLOOKUP(Base_Periodo1[[#This Row],[CONTA]],BaseContasDRE[#All],4,FALSE)),"Fora do DRE",VLOOKUP(Base_Periodo1[[#This Row],[CONTA]],BaseContasDRE[#All],4,FALSE))</f>
        <v>Fora do DRE</v>
      </c>
      <c r="T294" s="3" t="str">
        <f>IF(ISERROR(VLOOKUP(Base_Periodo1[[#This Row],[CONTA]],BaseContasDRE[#All],5,FALSE)),"Fora do DRE",VLOOKUP(Base_Periodo1[[#This Row],[CONTA]],BaseContasDRE[#All],6,FALSE))</f>
        <v>Fora do DRE</v>
      </c>
      <c r="U294" s="3" t="str">
        <f>IF(ISERROR(VLOOKUP(Base_Periodo1[[#This Row],[CONTA]],BaseContasDRE[#All],7,FALSE)),"Fora do DRE",VLOOKUP(Base_Periodo1[[#This Row],[CONTA]],BaseContasDRE[#All],7,FALSE))</f>
        <v>Fora do DRE</v>
      </c>
      <c r="V294" s="3" t="str">
        <f>IF(Base_Periodo1[[#This Row],[Tipo_Linha]]="Fora do DRE","Fora do DRE","( "&amp;Base_Periodo1[[#This Row],[Tipo_Linha]]&amp;" ) "&amp;Base_Periodo1[[#This Row],[Filtro]])</f>
        <v>Fora do DRE</v>
      </c>
      <c r="W294" s="3" t="str">
        <f>LEFT(Base_Periodo1[[#This Row],[CLASS]],3)</f>
        <v>1.1</v>
      </c>
    </row>
    <row r="295" spans="1:23" hidden="1">
      <c r="A295" s="3" t="str">
        <f t="shared" si="4"/>
        <v>Período 1</v>
      </c>
      <c r="B295">
        <v>37269</v>
      </c>
      <c r="C295" t="s">
        <v>503</v>
      </c>
      <c r="D295" t="s">
        <v>6709</v>
      </c>
      <c r="E295" s="3" t="str">
        <f>IF(LEN(Base_Periodo1[[#This Row],[CLASS]])&gt;=7,LEFT(Base_Periodo1[[#This Row],[CLASS]],7),"")</f>
        <v>1.1.2.1</v>
      </c>
      <c r="F295" s="3" t="str">
        <f>VLOOKUP(Base_Periodo1[[#This Row],[Aux]],Base_Contas_Balanco[#All],2,FALSE)</f>
        <v>Creditos com Cooperados</v>
      </c>
      <c r="G295" s="1">
        <v>42877</v>
      </c>
      <c r="I295" s="225">
        <v>161.82</v>
      </c>
      <c r="J295" s="225">
        <v>0</v>
      </c>
      <c r="K295" s="225">
        <v>161.82000000000727</v>
      </c>
      <c r="L2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161.82</v>
      </c>
      <c r="M295" s="225">
        <f>ROUND(IF(AND(Base_Periodo1[[#This Row],[Tipo_Linha]]="-",Base_Periodo1[[#This Row],[TIPOSALDO]]="D"),Base_Periodo1[[#This Row],[SALDO_ATUAL]]*-1,Base_Periodo1[[#This Row],[SALDO_ATUAL]]),4)</f>
        <v>161.82</v>
      </c>
      <c r="N295" t="s">
        <v>116</v>
      </c>
      <c r="O295" t="s">
        <v>436</v>
      </c>
      <c r="P295" t="s">
        <v>397</v>
      </c>
      <c r="Q295">
        <v>7</v>
      </c>
      <c r="R295" s="225">
        <f>Base_Periodo1[[#This Row],[CREDITOS]]-Base_Periodo1[[#This Row],[DEBITOS]]</f>
        <v>-161.82</v>
      </c>
      <c r="S295" s="3" t="str">
        <f>IF(ISERROR(VLOOKUP(Base_Periodo1[[#This Row],[CONTA]],BaseContasDRE[#All],4,FALSE)),"Fora do DRE",VLOOKUP(Base_Periodo1[[#This Row],[CONTA]],BaseContasDRE[#All],4,FALSE))</f>
        <v>Fora do DRE</v>
      </c>
      <c r="T295" s="3" t="str">
        <f>IF(ISERROR(VLOOKUP(Base_Periodo1[[#This Row],[CONTA]],BaseContasDRE[#All],5,FALSE)),"Fora do DRE",VLOOKUP(Base_Periodo1[[#This Row],[CONTA]],BaseContasDRE[#All],6,FALSE))</f>
        <v>Fora do DRE</v>
      </c>
      <c r="U295" s="3" t="str">
        <f>IF(ISERROR(VLOOKUP(Base_Periodo1[[#This Row],[CONTA]],BaseContasDRE[#All],7,FALSE)),"Fora do DRE",VLOOKUP(Base_Periodo1[[#This Row],[CONTA]],BaseContasDRE[#All],7,FALSE))</f>
        <v>Fora do DRE</v>
      </c>
      <c r="V295" s="3" t="str">
        <f>IF(Base_Periodo1[[#This Row],[Tipo_Linha]]="Fora do DRE","Fora do DRE","( "&amp;Base_Periodo1[[#This Row],[Tipo_Linha]]&amp;" ) "&amp;Base_Periodo1[[#This Row],[Filtro]])</f>
        <v>Fora do DRE</v>
      </c>
      <c r="W295" s="3" t="str">
        <f>LEFT(Base_Periodo1[[#This Row],[CLASS]],3)</f>
        <v>1.1</v>
      </c>
    </row>
    <row r="296" spans="1:23" hidden="1">
      <c r="A296" s="3" t="str">
        <f t="shared" si="4"/>
        <v>Período 1</v>
      </c>
      <c r="B296">
        <v>3792</v>
      </c>
      <c r="C296" t="s">
        <v>503</v>
      </c>
      <c r="D296" t="s">
        <v>627</v>
      </c>
      <c r="E296" s="3" t="str">
        <f>IF(LEN(Base_Periodo1[[#This Row],[CLASS]])&gt;=7,LEFT(Base_Periodo1[[#This Row],[CLASS]],7),"")</f>
        <v>1.1.2.1</v>
      </c>
      <c r="F296" s="3" t="str">
        <f>VLOOKUP(Base_Periodo1[[#This Row],[Aux]],Base_Contas_Balanco[#All],2,FALSE)</f>
        <v>Creditos com Cooperados</v>
      </c>
      <c r="G296" s="1">
        <v>42829</v>
      </c>
      <c r="H296" s="225">
        <v>25862.449999999721</v>
      </c>
      <c r="I296" s="225">
        <v>0</v>
      </c>
      <c r="J296" s="225">
        <v>0</v>
      </c>
      <c r="K296" s="225">
        <v>25862.449999999721</v>
      </c>
      <c r="L2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25862.45</v>
      </c>
      <c r="M296" s="225">
        <f>ROUND(IF(AND(Base_Periodo1[[#This Row],[Tipo_Linha]]="-",Base_Periodo1[[#This Row],[TIPOSALDO]]="D"),Base_Periodo1[[#This Row],[SALDO_ATUAL]]*-1,Base_Periodo1[[#This Row],[SALDO_ATUAL]]),4)</f>
        <v>25862.45</v>
      </c>
      <c r="N296" t="s">
        <v>116</v>
      </c>
      <c r="O296" t="s">
        <v>397</v>
      </c>
      <c r="P296" t="s">
        <v>397</v>
      </c>
      <c r="Q296">
        <v>7</v>
      </c>
      <c r="R296" s="225">
        <f>Base_Periodo1[[#This Row],[CREDITOS]]-Base_Periodo1[[#This Row],[DEBITOS]]</f>
        <v>0</v>
      </c>
      <c r="S296" s="3" t="str">
        <f>IF(ISERROR(VLOOKUP(Base_Periodo1[[#This Row],[CONTA]],BaseContasDRE[#All],4,FALSE)),"Fora do DRE",VLOOKUP(Base_Periodo1[[#This Row],[CONTA]],BaseContasDRE[#All],4,FALSE))</f>
        <v>Fora do DRE</v>
      </c>
      <c r="T296" s="3" t="str">
        <f>IF(ISERROR(VLOOKUP(Base_Periodo1[[#This Row],[CONTA]],BaseContasDRE[#All],5,FALSE)),"Fora do DRE",VLOOKUP(Base_Periodo1[[#This Row],[CONTA]],BaseContasDRE[#All],6,FALSE))</f>
        <v>Fora do DRE</v>
      </c>
      <c r="U296" s="3" t="str">
        <f>IF(ISERROR(VLOOKUP(Base_Periodo1[[#This Row],[CONTA]],BaseContasDRE[#All],7,FALSE)),"Fora do DRE",VLOOKUP(Base_Periodo1[[#This Row],[CONTA]],BaseContasDRE[#All],7,FALSE))</f>
        <v>Fora do DRE</v>
      </c>
      <c r="V296" s="3" t="str">
        <f>IF(Base_Periodo1[[#This Row],[Tipo_Linha]]="Fora do DRE","Fora do DRE","( "&amp;Base_Periodo1[[#This Row],[Tipo_Linha]]&amp;" ) "&amp;Base_Periodo1[[#This Row],[Filtro]])</f>
        <v>Fora do DRE</v>
      </c>
      <c r="W296" s="3" t="str">
        <f>LEFT(Base_Periodo1[[#This Row],[CLASS]],3)</f>
        <v>1.1</v>
      </c>
    </row>
    <row r="297" spans="1:23" hidden="1">
      <c r="A297" s="3" t="str">
        <f t="shared" si="4"/>
        <v>Período 1</v>
      </c>
      <c r="B297">
        <v>47566</v>
      </c>
      <c r="C297" t="s">
        <v>503</v>
      </c>
      <c r="D297" t="s">
        <v>629</v>
      </c>
      <c r="E297" s="3" t="str">
        <f>IF(LEN(Base_Periodo1[[#This Row],[CLASS]])&gt;=7,LEFT(Base_Periodo1[[#This Row],[CLASS]],7),"")</f>
        <v>1.1.2.1</v>
      </c>
      <c r="F297" s="3" t="str">
        <f>VLOOKUP(Base_Periodo1[[#This Row],[Aux]],Base_Contas_Balanco[#All],2,FALSE)</f>
        <v>Creditos com Cooperados</v>
      </c>
      <c r="G297" s="1">
        <v>42877</v>
      </c>
      <c r="H297" s="225">
        <v>65997.200000001118</v>
      </c>
      <c r="I297" s="225">
        <v>22520</v>
      </c>
      <c r="J297" s="225">
        <v>0</v>
      </c>
      <c r="K297" s="225">
        <v>88517.200000001118</v>
      </c>
      <c r="L2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88517.2</v>
      </c>
      <c r="M297" s="225">
        <f>ROUND(IF(AND(Base_Periodo1[[#This Row],[Tipo_Linha]]="-",Base_Periodo1[[#This Row],[TIPOSALDO]]="D"),Base_Periodo1[[#This Row],[SALDO_ATUAL]]*-1,Base_Periodo1[[#This Row],[SALDO_ATUAL]]),4)</f>
        <v>88517.2</v>
      </c>
      <c r="N297" t="s">
        <v>116</v>
      </c>
      <c r="O297" t="s">
        <v>397</v>
      </c>
      <c r="P297" t="s">
        <v>397</v>
      </c>
      <c r="Q297">
        <v>7</v>
      </c>
      <c r="R297" s="225">
        <f>Base_Periodo1[[#This Row],[CREDITOS]]-Base_Periodo1[[#This Row],[DEBITOS]]</f>
        <v>-22520</v>
      </c>
      <c r="S297" s="3" t="str">
        <f>IF(ISERROR(VLOOKUP(Base_Periodo1[[#This Row],[CONTA]],BaseContasDRE[#All],4,FALSE)),"Fora do DRE",VLOOKUP(Base_Periodo1[[#This Row],[CONTA]],BaseContasDRE[#All],4,FALSE))</f>
        <v>Fora do DRE</v>
      </c>
      <c r="T297" s="3" t="str">
        <f>IF(ISERROR(VLOOKUP(Base_Periodo1[[#This Row],[CONTA]],BaseContasDRE[#All],5,FALSE)),"Fora do DRE",VLOOKUP(Base_Periodo1[[#This Row],[CONTA]],BaseContasDRE[#All],6,FALSE))</f>
        <v>Fora do DRE</v>
      </c>
      <c r="U297" s="3" t="str">
        <f>IF(ISERROR(VLOOKUP(Base_Periodo1[[#This Row],[CONTA]],BaseContasDRE[#All],7,FALSE)),"Fora do DRE",VLOOKUP(Base_Periodo1[[#This Row],[CONTA]],BaseContasDRE[#All],7,FALSE))</f>
        <v>Fora do DRE</v>
      </c>
      <c r="V297" s="3" t="str">
        <f>IF(Base_Periodo1[[#This Row],[Tipo_Linha]]="Fora do DRE","Fora do DRE","( "&amp;Base_Periodo1[[#This Row],[Tipo_Linha]]&amp;" ) "&amp;Base_Periodo1[[#This Row],[Filtro]])</f>
        <v>Fora do DRE</v>
      </c>
      <c r="W297" s="3" t="str">
        <f>LEFT(Base_Periodo1[[#This Row],[CLASS]],3)</f>
        <v>1.1</v>
      </c>
    </row>
    <row r="298" spans="1:23" hidden="1">
      <c r="A298" s="3" t="str">
        <f t="shared" si="4"/>
        <v>Período 1</v>
      </c>
      <c r="B298">
        <v>18882</v>
      </c>
      <c r="C298" t="s">
        <v>503</v>
      </c>
      <c r="D298" t="s">
        <v>630</v>
      </c>
      <c r="E298" s="3" t="str">
        <f>IF(LEN(Base_Periodo1[[#This Row],[CLASS]])&gt;=7,LEFT(Base_Periodo1[[#This Row],[CLASS]],7),"")</f>
        <v>1.1.2.1</v>
      </c>
      <c r="F298" s="3" t="str">
        <f>VLOOKUP(Base_Periodo1[[#This Row],[Aux]],Base_Contas_Balanco[#All],2,FALSE)</f>
        <v>Creditos com Cooperados</v>
      </c>
      <c r="G298" s="1">
        <v>42858</v>
      </c>
      <c r="H298" s="225">
        <v>909.85999999998603</v>
      </c>
      <c r="I298" s="225">
        <v>0</v>
      </c>
      <c r="J298" s="225">
        <v>906</v>
      </c>
      <c r="K298" s="225">
        <v>3.8599999999860302</v>
      </c>
      <c r="L2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3.86</v>
      </c>
      <c r="M298" s="225">
        <f>ROUND(IF(AND(Base_Periodo1[[#This Row],[Tipo_Linha]]="-",Base_Periodo1[[#This Row],[TIPOSALDO]]="D"),Base_Periodo1[[#This Row],[SALDO_ATUAL]]*-1,Base_Periodo1[[#This Row],[SALDO_ATUAL]]),4)</f>
        <v>3.86</v>
      </c>
      <c r="N298" t="s">
        <v>116</v>
      </c>
      <c r="O298" t="s">
        <v>397</v>
      </c>
      <c r="P298" t="s">
        <v>397</v>
      </c>
      <c r="Q298">
        <v>7</v>
      </c>
      <c r="R298" s="225">
        <f>Base_Periodo1[[#This Row],[CREDITOS]]-Base_Periodo1[[#This Row],[DEBITOS]]</f>
        <v>906</v>
      </c>
      <c r="S298" s="3" t="str">
        <f>IF(ISERROR(VLOOKUP(Base_Periodo1[[#This Row],[CONTA]],BaseContasDRE[#All],4,FALSE)),"Fora do DRE",VLOOKUP(Base_Periodo1[[#This Row],[CONTA]],BaseContasDRE[#All],4,FALSE))</f>
        <v>Fora do DRE</v>
      </c>
      <c r="T298" s="3" t="str">
        <f>IF(ISERROR(VLOOKUP(Base_Periodo1[[#This Row],[CONTA]],BaseContasDRE[#All],5,FALSE)),"Fora do DRE",VLOOKUP(Base_Periodo1[[#This Row],[CONTA]],BaseContasDRE[#All],6,FALSE))</f>
        <v>Fora do DRE</v>
      </c>
      <c r="U298" s="3" t="str">
        <f>IF(ISERROR(VLOOKUP(Base_Periodo1[[#This Row],[CONTA]],BaseContasDRE[#All],7,FALSE)),"Fora do DRE",VLOOKUP(Base_Periodo1[[#This Row],[CONTA]],BaseContasDRE[#All],7,FALSE))</f>
        <v>Fora do DRE</v>
      </c>
      <c r="V298" s="3" t="str">
        <f>IF(Base_Periodo1[[#This Row],[Tipo_Linha]]="Fora do DRE","Fora do DRE","( "&amp;Base_Periodo1[[#This Row],[Tipo_Linha]]&amp;" ) "&amp;Base_Periodo1[[#This Row],[Filtro]])</f>
        <v>Fora do DRE</v>
      </c>
      <c r="W298" s="3" t="str">
        <f>LEFT(Base_Periodo1[[#This Row],[CLASS]],3)</f>
        <v>1.1</v>
      </c>
    </row>
    <row r="299" spans="1:23" hidden="1">
      <c r="A299" s="3" t="str">
        <f t="shared" si="4"/>
        <v>Período 1</v>
      </c>
      <c r="B299">
        <v>38928</v>
      </c>
      <c r="C299" t="s">
        <v>503</v>
      </c>
      <c r="D299" t="s">
        <v>631</v>
      </c>
      <c r="E299" s="3" t="str">
        <f>IF(LEN(Base_Periodo1[[#This Row],[CLASS]])&gt;=7,LEFT(Base_Periodo1[[#This Row],[CLASS]],7),"")</f>
        <v>1.1.2.1</v>
      </c>
      <c r="F299" s="3" t="str">
        <f>VLOOKUP(Base_Periodo1[[#This Row],[Aux]],Base_Contas_Balanco[#All],2,FALSE)</f>
        <v>Creditos com Cooperados</v>
      </c>
      <c r="G299" s="1">
        <v>42880</v>
      </c>
      <c r="H299" s="225">
        <v>14308.740000000224</v>
      </c>
      <c r="I299" s="225">
        <v>450</v>
      </c>
      <c r="J299" s="225">
        <v>0</v>
      </c>
      <c r="K299" s="225">
        <v>14758.740000000224</v>
      </c>
      <c r="L2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14758.74</v>
      </c>
      <c r="M299" s="225">
        <f>ROUND(IF(AND(Base_Periodo1[[#This Row],[Tipo_Linha]]="-",Base_Periodo1[[#This Row],[TIPOSALDO]]="D"),Base_Periodo1[[#This Row],[SALDO_ATUAL]]*-1,Base_Periodo1[[#This Row],[SALDO_ATUAL]]),4)</f>
        <v>14758.74</v>
      </c>
      <c r="N299" t="s">
        <v>116</v>
      </c>
      <c r="O299" t="s">
        <v>397</v>
      </c>
      <c r="P299" t="s">
        <v>397</v>
      </c>
      <c r="Q299">
        <v>7</v>
      </c>
      <c r="R299" s="225">
        <f>Base_Periodo1[[#This Row],[CREDITOS]]-Base_Periodo1[[#This Row],[DEBITOS]]</f>
        <v>-450</v>
      </c>
      <c r="S299" s="3" t="str">
        <f>IF(ISERROR(VLOOKUP(Base_Periodo1[[#This Row],[CONTA]],BaseContasDRE[#All],4,FALSE)),"Fora do DRE",VLOOKUP(Base_Periodo1[[#This Row],[CONTA]],BaseContasDRE[#All],4,FALSE))</f>
        <v>Fora do DRE</v>
      </c>
      <c r="T299" s="3" t="str">
        <f>IF(ISERROR(VLOOKUP(Base_Periodo1[[#This Row],[CONTA]],BaseContasDRE[#All],5,FALSE)),"Fora do DRE",VLOOKUP(Base_Periodo1[[#This Row],[CONTA]],BaseContasDRE[#All],6,FALSE))</f>
        <v>Fora do DRE</v>
      </c>
      <c r="U299" s="3" t="str">
        <f>IF(ISERROR(VLOOKUP(Base_Periodo1[[#This Row],[CONTA]],BaseContasDRE[#All],7,FALSE)),"Fora do DRE",VLOOKUP(Base_Periodo1[[#This Row],[CONTA]],BaseContasDRE[#All],7,FALSE))</f>
        <v>Fora do DRE</v>
      </c>
      <c r="V299" s="3" t="str">
        <f>IF(Base_Periodo1[[#This Row],[Tipo_Linha]]="Fora do DRE","Fora do DRE","( "&amp;Base_Periodo1[[#This Row],[Tipo_Linha]]&amp;" ) "&amp;Base_Periodo1[[#This Row],[Filtro]])</f>
        <v>Fora do DRE</v>
      </c>
      <c r="W299" s="3" t="str">
        <f>LEFT(Base_Periodo1[[#This Row],[CLASS]],3)</f>
        <v>1.1</v>
      </c>
    </row>
    <row r="300" spans="1:23" hidden="1">
      <c r="A300" s="3" t="str">
        <f t="shared" si="4"/>
        <v>Período 1</v>
      </c>
      <c r="B300">
        <v>4020</v>
      </c>
      <c r="C300" t="s">
        <v>503</v>
      </c>
      <c r="D300" t="s">
        <v>632</v>
      </c>
      <c r="E300" s="3" t="str">
        <f>IF(LEN(Base_Periodo1[[#This Row],[CLASS]])&gt;=7,LEFT(Base_Periodo1[[#This Row],[CLASS]],7),"")</f>
        <v>1.1.2.1</v>
      </c>
      <c r="F300" s="3" t="str">
        <f>VLOOKUP(Base_Periodo1[[#This Row],[Aux]],Base_Contas_Balanco[#All],2,FALSE)</f>
        <v>Creditos com Cooperados</v>
      </c>
      <c r="G300" s="1">
        <v>42885</v>
      </c>
      <c r="H300" s="225">
        <v>49930.530000000261</v>
      </c>
      <c r="I300" s="225">
        <v>2396</v>
      </c>
      <c r="J300" s="225">
        <v>20275.330000000002</v>
      </c>
      <c r="K300" s="225">
        <v>32051.200000000259</v>
      </c>
      <c r="L3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32051.200000000001</v>
      </c>
      <c r="M300" s="225">
        <f>ROUND(IF(AND(Base_Periodo1[[#This Row],[Tipo_Linha]]="-",Base_Periodo1[[#This Row],[TIPOSALDO]]="D"),Base_Periodo1[[#This Row],[SALDO_ATUAL]]*-1,Base_Periodo1[[#This Row],[SALDO_ATUAL]]),4)</f>
        <v>32051.200000000001</v>
      </c>
      <c r="N300" t="s">
        <v>116</v>
      </c>
      <c r="O300" t="s">
        <v>397</v>
      </c>
      <c r="P300" t="s">
        <v>397</v>
      </c>
      <c r="Q300">
        <v>7</v>
      </c>
      <c r="R300" s="225">
        <f>Base_Periodo1[[#This Row],[CREDITOS]]-Base_Periodo1[[#This Row],[DEBITOS]]</f>
        <v>17879.330000000002</v>
      </c>
      <c r="S300" s="3" t="str">
        <f>IF(ISERROR(VLOOKUP(Base_Periodo1[[#This Row],[CONTA]],BaseContasDRE[#All],4,FALSE)),"Fora do DRE",VLOOKUP(Base_Periodo1[[#This Row],[CONTA]],BaseContasDRE[#All],4,FALSE))</f>
        <v>Fora do DRE</v>
      </c>
      <c r="T300" s="3" t="str">
        <f>IF(ISERROR(VLOOKUP(Base_Periodo1[[#This Row],[CONTA]],BaseContasDRE[#All],5,FALSE)),"Fora do DRE",VLOOKUP(Base_Periodo1[[#This Row],[CONTA]],BaseContasDRE[#All],6,FALSE))</f>
        <v>Fora do DRE</v>
      </c>
      <c r="U300" s="3" t="str">
        <f>IF(ISERROR(VLOOKUP(Base_Periodo1[[#This Row],[CONTA]],BaseContasDRE[#All],7,FALSE)),"Fora do DRE",VLOOKUP(Base_Periodo1[[#This Row],[CONTA]],BaseContasDRE[#All],7,FALSE))</f>
        <v>Fora do DRE</v>
      </c>
      <c r="V300" s="3" t="str">
        <f>IF(Base_Periodo1[[#This Row],[Tipo_Linha]]="Fora do DRE","Fora do DRE","( "&amp;Base_Periodo1[[#This Row],[Tipo_Linha]]&amp;" ) "&amp;Base_Periodo1[[#This Row],[Filtro]])</f>
        <v>Fora do DRE</v>
      </c>
      <c r="W300" s="3" t="str">
        <f>LEFT(Base_Periodo1[[#This Row],[CLASS]],3)</f>
        <v>1.1</v>
      </c>
    </row>
    <row r="301" spans="1:23" hidden="1">
      <c r="A301" s="3" t="str">
        <f t="shared" si="4"/>
        <v>Período 1</v>
      </c>
      <c r="B301">
        <v>3192</v>
      </c>
      <c r="C301" t="s">
        <v>503</v>
      </c>
      <c r="D301" t="s">
        <v>633</v>
      </c>
      <c r="E301" s="3" t="str">
        <f>IF(LEN(Base_Periodo1[[#This Row],[CLASS]])&gt;=7,LEFT(Base_Periodo1[[#This Row],[CLASS]],7),"")</f>
        <v>1.1.2.1</v>
      </c>
      <c r="F301" s="3" t="str">
        <f>VLOOKUP(Base_Periodo1[[#This Row],[Aux]],Base_Contas_Balanco[#All],2,FALSE)</f>
        <v>Creditos com Cooperados</v>
      </c>
      <c r="G301" s="1">
        <v>42886</v>
      </c>
      <c r="H301" s="225">
        <v>3430.5999999998021</v>
      </c>
      <c r="I301" s="225">
        <v>1719</v>
      </c>
      <c r="J301" s="225">
        <v>1085.5999999999999</v>
      </c>
      <c r="K301" s="225">
        <v>4063.9999999998022</v>
      </c>
      <c r="L3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4064</v>
      </c>
      <c r="M301" s="225">
        <f>ROUND(IF(AND(Base_Periodo1[[#This Row],[Tipo_Linha]]="-",Base_Periodo1[[#This Row],[TIPOSALDO]]="D"),Base_Periodo1[[#This Row],[SALDO_ATUAL]]*-1,Base_Periodo1[[#This Row],[SALDO_ATUAL]]),4)</f>
        <v>4064</v>
      </c>
      <c r="N301" t="s">
        <v>116</v>
      </c>
      <c r="O301" t="s">
        <v>397</v>
      </c>
      <c r="P301" t="s">
        <v>397</v>
      </c>
      <c r="Q301">
        <v>7</v>
      </c>
      <c r="R301" s="225">
        <f>Base_Periodo1[[#This Row],[CREDITOS]]-Base_Periodo1[[#This Row],[DEBITOS]]</f>
        <v>-633.40000000000009</v>
      </c>
      <c r="S301" s="3" t="str">
        <f>IF(ISERROR(VLOOKUP(Base_Periodo1[[#This Row],[CONTA]],BaseContasDRE[#All],4,FALSE)),"Fora do DRE",VLOOKUP(Base_Periodo1[[#This Row],[CONTA]],BaseContasDRE[#All],4,FALSE))</f>
        <v>Fora do DRE</v>
      </c>
      <c r="T301" s="3" t="str">
        <f>IF(ISERROR(VLOOKUP(Base_Periodo1[[#This Row],[CONTA]],BaseContasDRE[#All],5,FALSE)),"Fora do DRE",VLOOKUP(Base_Periodo1[[#This Row],[CONTA]],BaseContasDRE[#All],6,FALSE))</f>
        <v>Fora do DRE</v>
      </c>
      <c r="U301" s="3" t="str">
        <f>IF(ISERROR(VLOOKUP(Base_Periodo1[[#This Row],[CONTA]],BaseContasDRE[#All],7,FALSE)),"Fora do DRE",VLOOKUP(Base_Periodo1[[#This Row],[CONTA]],BaseContasDRE[#All],7,FALSE))</f>
        <v>Fora do DRE</v>
      </c>
      <c r="V301" s="3" t="str">
        <f>IF(Base_Periodo1[[#This Row],[Tipo_Linha]]="Fora do DRE","Fora do DRE","( "&amp;Base_Periodo1[[#This Row],[Tipo_Linha]]&amp;" ) "&amp;Base_Periodo1[[#This Row],[Filtro]])</f>
        <v>Fora do DRE</v>
      </c>
      <c r="W301" s="3" t="str">
        <f>LEFT(Base_Periodo1[[#This Row],[CLASS]],3)</f>
        <v>1.1</v>
      </c>
    </row>
    <row r="302" spans="1:23" hidden="1">
      <c r="A302" s="3" t="str">
        <f t="shared" si="4"/>
        <v>Período 1</v>
      </c>
      <c r="B302">
        <v>52985</v>
      </c>
      <c r="C302" t="s">
        <v>503</v>
      </c>
      <c r="D302" t="s">
        <v>4813</v>
      </c>
      <c r="E302" s="3" t="str">
        <f>IF(LEN(Base_Periodo1[[#This Row],[CLASS]])&gt;=7,LEFT(Base_Periodo1[[#This Row],[CLASS]],7),"")</f>
        <v>1.1.2.1</v>
      </c>
      <c r="F302" s="3" t="str">
        <f>VLOOKUP(Base_Periodo1[[#This Row],[Aux]],Base_Contas_Balanco[#All],2,FALSE)</f>
        <v>Creditos com Cooperados</v>
      </c>
      <c r="G302" s="1">
        <v>42880</v>
      </c>
      <c r="H302" s="225">
        <v>18752.049999999988</v>
      </c>
      <c r="I302" s="225">
        <v>3336</v>
      </c>
      <c r="J302" s="225">
        <v>0</v>
      </c>
      <c r="K302" s="225">
        <v>22088.049999999988</v>
      </c>
      <c r="L3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22088.05</v>
      </c>
      <c r="M302" s="225">
        <f>ROUND(IF(AND(Base_Periodo1[[#This Row],[Tipo_Linha]]="-",Base_Periodo1[[#This Row],[TIPOSALDO]]="D"),Base_Periodo1[[#This Row],[SALDO_ATUAL]]*-1,Base_Periodo1[[#This Row],[SALDO_ATUAL]]),4)</f>
        <v>22088.05</v>
      </c>
      <c r="N302" t="s">
        <v>116</v>
      </c>
      <c r="O302" t="s">
        <v>397</v>
      </c>
      <c r="P302" t="s">
        <v>397</v>
      </c>
      <c r="Q302">
        <v>7</v>
      </c>
      <c r="R302" s="225">
        <f>Base_Periodo1[[#This Row],[CREDITOS]]-Base_Periodo1[[#This Row],[DEBITOS]]</f>
        <v>-3336</v>
      </c>
      <c r="S302" s="3" t="str">
        <f>IF(ISERROR(VLOOKUP(Base_Periodo1[[#This Row],[CONTA]],BaseContasDRE[#All],4,FALSE)),"Fora do DRE",VLOOKUP(Base_Periodo1[[#This Row],[CONTA]],BaseContasDRE[#All],4,FALSE))</f>
        <v>Fora do DRE</v>
      </c>
      <c r="T302" s="3" t="str">
        <f>IF(ISERROR(VLOOKUP(Base_Periodo1[[#This Row],[CONTA]],BaseContasDRE[#All],5,FALSE)),"Fora do DRE",VLOOKUP(Base_Periodo1[[#This Row],[CONTA]],BaseContasDRE[#All],6,FALSE))</f>
        <v>Fora do DRE</v>
      </c>
      <c r="U302" s="3" t="str">
        <f>IF(ISERROR(VLOOKUP(Base_Periodo1[[#This Row],[CONTA]],BaseContasDRE[#All],7,FALSE)),"Fora do DRE",VLOOKUP(Base_Periodo1[[#This Row],[CONTA]],BaseContasDRE[#All],7,FALSE))</f>
        <v>Fora do DRE</v>
      </c>
      <c r="V302" s="3" t="str">
        <f>IF(Base_Periodo1[[#This Row],[Tipo_Linha]]="Fora do DRE","Fora do DRE","( "&amp;Base_Periodo1[[#This Row],[Tipo_Linha]]&amp;" ) "&amp;Base_Periodo1[[#This Row],[Filtro]])</f>
        <v>Fora do DRE</v>
      </c>
      <c r="W302" s="3" t="str">
        <f>LEFT(Base_Periodo1[[#This Row],[CLASS]],3)</f>
        <v>1.1</v>
      </c>
    </row>
    <row r="303" spans="1:23" hidden="1">
      <c r="A303" s="3" t="str">
        <f t="shared" si="4"/>
        <v>Período 1</v>
      </c>
      <c r="B303">
        <v>4532</v>
      </c>
      <c r="C303" t="s">
        <v>503</v>
      </c>
      <c r="D303" t="s">
        <v>5383</v>
      </c>
      <c r="E303" s="3" t="str">
        <f>IF(LEN(Base_Periodo1[[#This Row],[CLASS]])&gt;=7,LEFT(Base_Periodo1[[#This Row],[CLASS]],7),"")</f>
        <v>1.1.2.1</v>
      </c>
      <c r="F303" s="3" t="str">
        <f>VLOOKUP(Base_Periodo1[[#This Row],[Aux]],Base_Contas_Balanco[#All],2,FALSE)</f>
        <v>Creditos com Cooperados</v>
      </c>
      <c r="G303" s="1">
        <v>42863</v>
      </c>
      <c r="H303" s="225">
        <v>7748.4799999999959</v>
      </c>
      <c r="I303" s="225">
        <v>788.92000000000007</v>
      </c>
      <c r="J303" s="225">
        <v>496.96</v>
      </c>
      <c r="K303" s="225">
        <v>8040.439999999996</v>
      </c>
      <c r="L3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8040.44</v>
      </c>
      <c r="M303" s="225">
        <f>ROUND(IF(AND(Base_Periodo1[[#This Row],[Tipo_Linha]]="-",Base_Periodo1[[#This Row],[TIPOSALDO]]="D"),Base_Periodo1[[#This Row],[SALDO_ATUAL]]*-1,Base_Periodo1[[#This Row],[SALDO_ATUAL]]),4)</f>
        <v>8040.44</v>
      </c>
      <c r="N303" t="s">
        <v>116</v>
      </c>
      <c r="O303" t="s">
        <v>397</v>
      </c>
      <c r="P303" t="s">
        <v>397</v>
      </c>
      <c r="Q303">
        <v>7</v>
      </c>
      <c r="R303" s="225">
        <f>Base_Periodo1[[#This Row],[CREDITOS]]-Base_Periodo1[[#This Row],[DEBITOS]]</f>
        <v>-291.96000000000009</v>
      </c>
      <c r="S303" s="3" t="str">
        <f>IF(ISERROR(VLOOKUP(Base_Periodo1[[#This Row],[CONTA]],BaseContasDRE[#All],4,FALSE)),"Fora do DRE",VLOOKUP(Base_Periodo1[[#This Row],[CONTA]],BaseContasDRE[#All],4,FALSE))</f>
        <v>Fora do DRE</v>
      </c>
      <c r="T303" s="3" t="str">
        <f>IF(ISERROR(VLOOKUP(Base_Periodo1[[#This Row],[CONTA]],BaseContasDRE[#All],5,FALSE)),"Fora do DRE",VLOOKUP(Base_Periodo1[[#This Row],[CONTA]],BaseContasDRE[#All],6,FALSE))</f>
        <v>Fora do DRE</v>
      </c>
      <c r="U303" s="3" t="str">
        <f>IF(ISERROR(VLOOKUP(Base_Periodo1[[#This Row],[CONTA]],BaseContasDRE[#All],7,FALSE)),"Fora do DRE",VLOOKUP(Base_Periodo1[[#This Row],[CONTA]],BaseContasDRE[#All],7,FALSE))</f>
        <v>Fora do DRE</v>
      </c>
      <c r="V303" s="3" t="str">
        <f>IF(Base_Periodo1[[#This Row],[Tipo_Linha]]="Fora do DRE","Fora do DRE","( "&amp;Base_Periodo1[[#This Row],[Tipo_Linha]]&amp;" ) "&amp;Base_Periodo1[[#This Row],[Filtro]])</f>
        <v>Fora do DRE</v>
      </c>
      <c r="W303" s="3" t="str">
        <f>LEFT(Base_Periodo1[[#This Row],[CLASS]],3)</f>
        <v>1.1</v>
      </c>
    </row>
    <row r="304" spans="1:23" hidden="1">
      <c r="A304" s="3" t="str">
        <f t="shared" si="4"/>
        <v>Período 1</v>
      </c>
      <c r="B304">
        <v>47887</v>
      </c>
      <c r="C304" t="s">
        <v>503</v>
      </c>
      <c r="D304" t="s">
        <v>634</v>
      </c>
      <c r="E304" s="3" t="str">
        <f>IF(LEN(Base_Periodo1[[#This Row],[CLASS]])&gt;=7,LEFT(Base_Periodo1[[#This Row],[CLASS]],7),"")</f>
        <v>1.1.2.1</v>
      </c>
      <c r="F304" s="3" t="str">
        <f>VLOOKUP(Base_Periodo1[[#This Row],[Aux]],Base_Contas_Balanco[#All],2,FALSE)</f>
        <v>Creditos com Cooperados</v>
      </c>
      <c r="G304" s="1">
        <v>42872</v>
      </c>
      <c r="H304" s="225">
        <v>7940</v>
      </c>
      <c r="I304" s="225">
        <v>17333.86</v>
      </c>
      <c r="J304" s="225">
        <v>0</v>
      </c>
      <c r="K304" s="225">
        <v>25273.86</v>
      </c>
      <c r="L3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25273.86</v>
      </c>
      <c r="M304" s="225">
        <f>ROUND(IF(AND(Base_Periodo1[[#This Row],[Tipo_Linha]]="-",Base_Periodo1[[#This Row],[TIPOSALDO]]="D"),Base_Periodo1[[#This Row],[SALDO_ATUAL]]*-1,Base_Periodo1[[#This Row],[SALDO_ATUAL]]),4)</f>
        <v>25273.86</v>
      </c>
      <c r="N304" t="s">
        <v>116</v>
      </c>
      <c r="O304" t="s">
        <v>397</v>
      </c>
      <c r="P304" t="s">
        <v>397</v>
      </c>
      <c r="Q304">
        <v>7</v>
      </c>
      <c r="R304" s="225">
        <f>Base_Periodo1[[#This Row],[CREDITOS]]-Base_Periodo1[[#This Row],[DEBITOS]]</f>
        <v>-17333.86</v>
      </c>
      <c r="S304" s="3" t="str">
        <f>IF(ISERROR(VLOOKUP(Base_Periodo1[[#This Row],[CONTA]],BaseContasDRE[#All],4,FALSE)),"Fora do DRE",VLOOKUP(Base_Periodo1[[#This Row],[CONTA]],BaseContasDRE[#All],4,FALSE))</f>
        <v>Fora do DRE</v>
      </c>
      <c r="T304" s="3" t="str">
        <f>IF(ISERROR(VLOOKUP(Base_Periodo1[[#This Row],[CONTA]],BaseContasDRE[#All],5,FALSE)),"Fora do DRE",VLOOKUP(Base_Periodo1[[#This Row],[CONTA]],BaseContasDRE[#All],6,FALSE))</f>
        <v>Fora do DRE</v>
      </c>
      <c r="U304" s="3" t="str">
        <f>IF(ISERROR(VLOOKUP(Base_Periodo1[[#This Row],[CONTA]],BaseContasDRE[#All],7,FALSE)),"Fora do DRE",VLOOKUP(Base_Periodo1[[#This Row],[CONTA]],BaseContasDRE[#All],7,FALSE))</f>
        <v>Fora do DRE</v>
      </c>
      <c r="V304" s="3" t="str">
        <f>IF(Base_Periodo1[[#This Row],[Tipo_Linha]]="Fora do DRE","Fora do DRE","( "&amp;Base_Periodo1[[#This Row],[Tipo_Linha]]&amp;" ) "&amp;Base_Periodo1[[#This Row],[Filtro]])</f>
        <v>Fora do DRE</v>
      </c>
      <c r="W304" s="3" t="str">
        <f>LEFT(Base_Periodo1[[#This Row],[CLASS]],3)</f>
        <v>1.1</v>
      </c>
    </row>
    <row r="305" spans="1:23" hidden="1">
      <c r="A305" s="3" t="str">
        <f t="shared" si="4"/>
        <v>Período 1</v>
      </c>
      <c r="B305">
        <v>30178</v>
      </c>
      <c r="C305" t="s">
        <v>503</v>
      </c>
      <c r="D305" t="s">
        <v>4732</v>
      </c>
      <c r="E305" s="3" t="str">
        <f>IF(LEN(Base_Periodo1[[#This Row],[CLASS]])&gt;=7,LEFT(Base_Periodo1[[#This Row],[CLASS]],7),"")</f>
        <v>1.1.2.1</v>
      </c>
      <c r="F305" s="3" t="str">
        <f>VLOOKUP(Base_Periodo1[[#This Row],[Aux]],Base_Contas_Balanco[#All],2,FALSE)</f>
        <v>Creditos com Cooperados</v>
      </c>
      <c r="G305" s="1">
        <v>42864</v>
      </c>
      <c r="H305" s="225">
        <v>1209</v>
      </c>
      <c r="I305" s="225">
        <v>9533</v>
      </c>
      <c r="J305" s="225">
        <v>0</v>
      </c>
      <c r="K305" s="225">
        <v>10742</v>
      </c>
      <c r="L3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10742</v>
      </c>
      <c r="M305" s="225">
        <f>ROUND(IF(AND(Base_Periodo1[[#This Row],[Tipo_Linha]]="-",Base_Periodo1[[#This Row],[TIPOSALDO]]="D"),Base_Periodo1[[#This Row],[SALDO_ATUAL]]*-1,Base_Periodo1[[#This Row],[SALDO_ATUAL]]),4)</f>
        <v>10742</v>
      </c>
      <c r="N305" t="s">
        <v>116</v>
      </c>
      <c r="O305" t="s">
        <v>397</v>
      </c>
      <c r="P305" t="s">
        <v>397</v>
      </c>
      <c r="Q305">
        <v>7</v>
      </c>
      <c r="R305" s="225">
        <f>Base_Periodo1[[#This Row],[CREDITOS]]-Base_Periodo1[[#This Row],[DEBITOS]]</f>
        <v>-9533</v>
      </c>
      <c r="S305" s="3" t="str">
        <f>IF(ISERROR(VLOOKUP(Base_Periodo1[[#This Row],[CONTA]],BaseContasDRE[#All],4,FALSE)),"Fora do DRE",VLOOKUP(Base_Periodo1[[#This Row],[CONTA]],BaseContasDRE[#All],4,FALSE))</f>
        <v>Fora do DRE</v>
      </c>
      <c r="T305" s="3" t="str">
        <f>IF(ISERROR(VLOOKUP(Base_Periodo1[[#This Row],[CONTA]],BaseContasDRE[#All],5,FALSE)),"Fora do DRE",VLOOKUP(Base_Periodo1[[#This Row],[CONTA]],BaseContasDRE[#All],6,FALSE))</f>
        <v>Fora do DRE</v>
      </c>
      <c r="U305" s="3" t="str">
        <f>IF(ISERROR(VLOOKUP(Base_Periodo1[[#This Row],[CONTA]],BaseContasDRE[#All],7,FALSE)),"Fora do DRE",VLOOKUP(Base_Periodo1[[#This Row],[CONTA]],BaseContasDRE[#All],7,FALSE))</f>
        <v>Fora do DRE</v>
      </c>
      <c r="V305" s="3" t="str">
        <f>IF(Base_Periodo1[[#This Row],[Tipo_Linha]]="Fora do DRE","Fora do DRE","( "&amp;Base_Periodo1[[#This Row],[Tipo_Linha]]&amp;" ) "&amp;Base_Periodo1[[#This Row],[Filtro]])</f>
        <v>Fora do DRE</v>
      </c>
      <c r="W305" s="3" t="str">
        <f>LEFT(Base_Periodo1[[#This Row],[CLASS]],3)</f>
        <v>1.1</v>
      </c>
    </row>
    <row r="306" spans="1:23" hidden="1">
      <c r="A306" s="3" t="str">
        <f t="shared" si="4"/>
        <v>Período 1</v>
      </c>
      <c r="B306">
        <v>15532</v>
      </c>
      <c r="C306" t="s">
        <v>503</v>
      </c>
      <c r="D306" t="s">
        <v>5850</v>
      </c>
      <c r="E306" s="3" t="str">
        <f>IF(LEN(Base_Periodo1[[#This Row],[CLASS]])&gt;=7,LEFT(Base_Periodo1[[#This Row],[CLASS]],7),"")</f>
        <v>1.1.2.1</v>
      </c>
      <c r="F306" s="3" t="str">
        <f>VLOOKUP(Base_Periodo1[[#This Row],[Aux]],Base_Contas_Balanco[#All],2,FALSE)</f>
        <v>Creditos com Cooperados</v>
      </c>
      <c r="G306" s="1">
        <v>42832</v>
      </c>
      <c r="H306" s="225">
        <v>97.919999999998254</v>
      </c>
      <c r="I306" s="225">
        <v>0</v>
      </c>
      <c r="J306" s="225">
        <v>0</v>
      </c>
      <c r="K306" s="225">
        <v>97.919999999998254</v>
      </c>
      <c r="L3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97.92</v>
      </c>
      <c r="M306" s="225">
        <f>ROUND(IF(AND(Base_Periodo1[[#This Row],[Tipo_Linha]]="-",Base_Periodo1[[#This Row],[TIPOSALDO]]="D"),Base_Periodo1[[#This Row],[SALDO_ATUAL]]*-1,Base_Periodo1[[#This Row],[SALDO_ATUAL]]),4)</f>
        <v>97.92</v>
      </c>
      <c r="N306" t="s">
        <v>116</v>
      </c>
      <c r="O306" t="s">
        <v>397</v>
      </c>
      <c r="P306" t="s">
        <v>397</v>
      </c>
      <c r="Q306">
        <v>7</v>
      </c>
      <c r="R306" s="225">
        <f>Base_Periodo1[[#This Row],[CREDITOS]]-Base_Periodo1[[#This Row],[DEBITOS]]</f>
        <v>0</v>
      </c>
      <c r="S306" s="3" t="str">
        <f>IF(ISERROR(VLOOKUP(Base_Periodo1[[#This Row],[CONTA]],BaseContasDRE[#All],4,FALSE)),"Fora do DRE",VLOOKUP(Base_Periodo1[[#This Row],[CONTA]],BaseContasDRE[#All],4,FALSE))</f>
        <v>Fora do DRE</v>
      </c>
      <c r="T306" s="3" t="str">
        <f>IF(ISERROR(VLOOKUP(Base_Periodo1[[#This Row],[CONTA]],BaseContasDRE[#All],5,FALSE)),"Fora do DRE",VLOOKUP(Base_Periodo1[[#This Row],[CONTA]],BaseContasDRE[#All],6,FALSE))</f>
        <v>Fora do DRE</v>
      </c>
      <c r="U306" s="3" t="str">
        <f>IF(ISERROR(VLOOKUP(Base_Periodo1[[#This Row],[CONTA]],BaseContasDRE[#All],7,FALSE)),"Fora do DRE",VLOOKUP(Base_Periodo1[[#This Row],[CONTA]],BaseContasDRE[#All],7,FALSE))</f>
        <v>Fora do DRE</v>
      </c>
      <c r="V306" s="3" t="str">
        <f>IF(Base_Periodo1[[#This Row],[Tipo_Linha]]="Fora do DRE","Fora do DRE","( "&amp;Base_Periodo1[[#This Row],[Tipo_Linha]]&amp;" ) "&amp;Base_Periodo1[[#This Row],[Filtro]])</f>
        <v>Fora do DRE</v>
      </c>
      <c r="W306" s="3" t="str">
        <f>LEFT(Base_Periodo1[[#This Row],[CLASS]],3)</f>
        <v>1.1</v>
      </c>
    </row>
    <row r="307" spans="1:23" hidden="1">
      <c r="A307" s="3" t="str">
        <f t="shared" si="4"/>
        <v>Período 1</v>
      </c>
      <c r="B307">
        <v>2540</v>
      </c>
      <c r="C307" t="s">
        <v>503</v>
      </c>
      <c r="D307" t="s">
        <v>635</v>
      </c>
      <c r="E307" s="3" t="str">
        <f>IF(LEN(Base_Periodo1[[#This Row],[CLASS]])&gt;=7,LEFT(Base_Periodo1[[#This Row],[CLASS]],7),"")</f>
        <v>1.1.2.1</v>
      </c>
      <c r="F307" s="3" t="str">
        <f>VLOOKUP(Base_Periodo1[[#This Row],[Aux]],Base_Contas_Balanco[#All],2,FALSE)</f>
        <v>Creditos com Cooperados</v>
      </c>
      <c r="G307" s="1">
        <v>42850</v>
      </c>
      <c r="H307" s="225">
        <v>43331.52999999997</v>
      </c>
      <c r="I307" s="225">
        <v>0</v>
      </c>
      <c r="J307" s="225">
        <v>0</v>
      </c>
      <c r="K307" s="225">
        <v>43331.52999999997</v>
      </c>
      <c r="L3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43331.53</v>
      </c>
      <c r="M307" s="225">
        <f>ROUND(IF(AND(Base_Periodo1[[#This Row],[Tipo_Linha]]="-",Base_Periodo1[[#This Row],[TIPOSALDO]]="D"),Base_Periodo1[[#This Row],[SALDO_ATUAL]]*-1,Base_Periodo1[[#This Row],[SALDO_ATUAL]]),4)</f>
        <v>43331.53</v>
      </c>
      <c r="N307" t="s">
        <v>116</v>
      </c>
      <c r="O307" t="s">
        <v>397</v>
      </c>
      <c r="P307" t="s">
        <v>397</v>
      </c>
      <c r="Q307">
        <v>7</v>
      </c>
      <c r="R307" s="225">
        <f>Base_Periodo1[[#This Row],[CREDITOS]]-Base_Periodo1[[#This Row],[DEBITOS]]</f>
        <v>0</v>
      </c>
      <c r="S307" s="3" t="str">
        <f>IF(ISERROR(VLOOKUP(Base_Periodo1[[#This Row],[CONTA]],BaseContasDRE[#All],4,FALSE)),"Fora do DRE",VLOOKUP(Base_Periodo1[[#This Row],[CONTA]],BaseContasDRE[#All],4,FALSE))</f>
        <v>Fora do DRE</v>
      </c>
      <c r="T307" s="3" t="str">
        <f>IF(ISERROR(VLOOKUP(Base_Periodo1[[#This Row],[CONTA]],BaseContasDRE[#All],5,FALSE)),"Fora do DRE",VLOOKUP(Base_Periodo1[[#This Row],[CONTA]],BaseContasDRE[#All],6,FALSE))</f>
        <v>Fora do DRE</v>
      </c>
      <c r="U307" s="3" t="str">
        <f>IF(ISERROR(VLOOKUP(Base_Periodo1[[#This Row],[CONTA]],BaseContasDRE[#All],7,FALSE)),"Fora do DRE",VLOOKUP(Base_Periodo1[[#This Row],[CONTA]],BaseContasDRE[#All],7,FALSE))</f>
        <v>Fora do DRE</v>
      </c>
      <c r="V307" s="3" t="str">
        <f>IF(Base_Periodo1[[#This Row],[Tipo_Linha]]="Fora do DRE","Fora do DRE","( "&amp;Base_Periodo1[[#This Row],[Tipo_Linha]]&amp;" ) "&amp;Base_Periodo1[[#This Row],[Filtro]])</f>
        <v>Fora do DRE</v>
      </c>
      <c r="W307" s="3" t="str">
        <f>LEFT(Base_Periodo1[[#This Row],[CLASS]],3)</f>
        <v>1.1</v>
      </c>
    </row>
    <row r="308" spans="1:23" hidden="1">
      <c r="A308" s="3" t="str">
        <f t="shared" si="4"/>
        <v>Período 1</v>
      </c>
      <c r="B308">
        <v>55854</v>
      </c>
      <c r="C308" t="s">
        <v>503</v>
      </c>
      <c r="D308" t="s">
        <v>5480</v>
      </c>
      <c r="E308" s="3" t="str">
        <f>IF(LEN(Base_Periodo1[[#This Row],[CLASS]])&gt;=7,LEFT(Base_Periodo1[[#This Row],[CLASS]],7),"")</f>
        <v>1.1.2.1</v>
      </c>
      <c r="F308" s="3" t="str">
        <f>VLOOKUP(Base_Periodo1[[#This Row],[Aux]],Base_Contas_Balanco[#All],2,FALSE)</f>
        <v>Creditos com Cooperados</v>
      </c>
      <c r="G308" s="1">
        <v>42878</v>
      </c>
      <c r="H308" s="225">
        <v>4380</v>
      </c>
      <c r="I308" s="225">
        <v>196140</v>
      </c>
      <c r="J308" s="225">
        <v>133680</v>
      </c>
      <c r="K308" s="225">
        <v>66840</v>
      </c>
      <c r="L3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66840</v>
      </c>
      <c r="M308" s="225">
        <f>ROUND(IF(AND(Base_Periodo1[[#This Row],[Tipo_Linha]]="-",Base_Periodo1[[#This Row],[TIPOSALDO]]="D"),Base_Periodo1[[#This Row],[SALDO_ATUAL]]*-1,Base_Periodo1[[#This Row],[SALDO_ATUAL]]),4)</f>
        <v>66840</v>
      </c>
      <c r="N308" t="s">
        <v>116</v>
      </c>
      <c r="O308" t="s">
        <v>397</v>
      </c>
      <c r="P308" t="s">
        <v>397</v>
      </c>
      <c r="Q308">
        <v>7</v>
      </c>
      <c r="R308" s="225">
        <f>Base_Periodo1[[#This Row],[CREDITOS]]-Base_Periodo1[[#This Row],[DEBITOS]]</f>
        <v>-62460</v>
      </c>
      <c r="S308" s="3" t="str">
        <f>IF(ISERROR(VLOOKUP(Base_Periodo1[[#This Row],[CONTA]],BaseContasDRE[#All],4,FALSE)),"Fora do DRE",VLOOKUP(Base_Periodo1[[#This Row],[CONTA]],BaseContasDRE[#All],4,FALSE))</f>
        <v>Fora do DRE</v>
      </c>
      <c r="T308" s="3" t="str">
        <f>IF(ISERROR(VLOOKUP(Base_Periodo1[[#This Row],[CONTA]],BaseContasDRE[#All],5,FALSE)),"Fora do DRE",VLOOKUP(Base_Periodo1[[#This Row],[CONTA]],BaseContasDRE[#All],6,FALSE))</f>
        <v>Fora do DRE</v>
      </c>
      <c r="U308" s="3" t="str">
        <f>IF(ISERROR(VLOOKUP(Base_Periodo1[[#This Row],[CONTA]],BaseContasDRE[#All],7,FALSE)),"Fora do DRE",VLOOKUP(Base_Periodo1[[#This Row],[CONTA]],BaseContasDRE[#All],7,FALSE))</f>
        <v>Fora do DRE</v>
      </c>
      <c r="V308" s="3" t="str">
        <f>IF(Base_Periodo1[[#This Row],[Tipo_Linha]]="Fora do DRE","Fora do DRE","( "&amp;Base_Periodo1[[#This Row],[Tipo_Linha]]&amp;" ) "&amp;Base_Periodo1[[#This Row],[Filtro]])</f>
        <v>Fora do DRE</v>
      </c>
      <c r="W308" s="3" t="str">
        <f>LEFT(Base_Periodo1[[#This Row],[CLASS]],3)</f>
        <v>1.1</v>
      </c>
    </row>
    <row r="309" spans="1:23" hidden="1">
      <c r="A309" s="3" t="str">
        <f t="shared" si="4"/>
        <v>Período 1</v>
      </c>
      <c r="B309">
        <v>3348</v>
      </c>
      <c r="C309" t="s">
        <v>503</v>
      </c>
      <c r="D309" t="s">
        <v>636</v>
      </c>
      <c r="E309" s="3" t="str">
        <f>IF(LEN(Base_Periodo1[[#This Row],[CLASS]])&gt;=7,LEFT(Base_Periodo1[[#This Row],[CLASS]],7),"")</f>
        <v>1.1.2.1</v>
      </c>
      <c r="F309" s="3" t="str">
        <f>VLOOKUP(Base_Periodo1[[#This Row],[Aux]],Base_Contas_Balanco[#All],2,FALSE)</f>
        <v>Creditos com Cooperados</v>
      </c>
      <c r="G309" s="1">
        <v>42774</v>
      </c>
      <c r="H309" s="225">
        <v>2.9799999999959255</v>
      </c>
      <c r="I309" s="225">
        <v>0</v>
      </c>
      <c r="J309" s="225">
        <v>0</v>
      </c>
      <c r="K309" s="225">
        <v>2.9799999999959255</v>
      </c>
      <c r="L3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2.98</v>
      </c>
      <c r="M309" s="225">
        <f>ROUND(IF(AND(Base_Periodo1[[#This Row],[Tipo_Linha]]="-",Base_Periodo1[[#This Row],[TIPOSALDO]]="D"),Base_Periodo1[[#This Row],[SALDO_ATUAL]]*-1,Base_Periodo1[[#This Row],[SALDO_ATUAL]]),4)</f>
        <v>2.98</v>
      </c>
      <c r="N309" t="s">
        <v>116</v>
      </c>
      <c r="O309" t="s">
        <v>397</v>
      </c>
      <c r="P309" t="s">
        <v>397</v>
      </c>
      <c r="Q309">
        <v>7</v>
      </c>
      <c r="R309" s="225">
        <f>Base_Periodo1[[#This Row],[CREDITOS]]-Base_Periodo1[[#This Row],[DEBITOS]]</f>
        <v>0</v>
      </c>
      <c r="S309" s="3" t="str">
        <f>IF(ISERROR(VLOOKUP(Base_Periodo1[[#This Row],[CONTA]],BaseContasDRE[#All],4,FALSE)),"Fora do DRE",VLOOKUP(Base_Periodo1[[#This Row],[CONTA]],BaseContasDRE[#All],4,FALSE))</f>
        <v>Fora do DRE</v>
      </c>
      <c r="T309" s="3" t="str">
        <f>IF(ISERROR(VLOOKUP(Base_Periodo1[[#This Row],[CONTA]],BaseContasDRE[#All],5,FALSE)),"Fora do DRE",VLOOKUP(Base_Periodo1[[#This Row],[CONTA]],BaseContasDRE[#All],6,FALSE))</f>
        <v>Fora do DRE</v>
      </c>
      <c r="U309" s="3" t="str">
        <f>IF(ISERROR(VLOOKUP(Base_Periodo1[[#This Row],[CONTA]],BaseContasDRE[#All],7,FALSE)),"Fora do DRE",VLOOKUP(Base_Periodo1[[#This Row],[CONTA]],BaseContasDRE[#All],7,FALSE))</f>
        <v>Fora do DRE</v>
      </c>
      <c r="V309" s="3" t="str">
        <f>IF(Base_Periodo1[[#This Row],[Tipo_Linha]]="Fora do DRE","Fora do DRE","( "&amp;Base_Periodo1[[#This Row],[Tipo_Linha]]&amp;" ) "&amp;Base_Periodo1[[#This Row],[Filtro]])</f>
        <v>Fora do DRE</v>
      </c>
      <c r="W309" s="3" t="str">
        <f>LEFT(Base_Periodo1[[#This Row],[CLASS]],3)</f>
        <v>1.1</v>
      </c>
    </row>
    <row r="310" spans="1:23" hidden="1">
      <c r="A310" s="3" t="str">
        <f t="shared" si="4"/>
        <v>Período 1</v>
      </c>
      <c r="B310">
        <v>19207</v>
      </c>
      <c r="C310" t="s">
        <v>503</v>
      </c>
      <c r="D310" t="s">
        <v>6710</v>
      </c>
      <c r="E310" s="3" t="str">
        <f>IF(LEN(Base_Periodo1[[#This Row],[CLASS]])&gt;=7,LEFT(Base_Periodo1[[#This Row],[CLASS]],7),"")</f>
        <v>1.1.2.1</v>
      </c>
      <c r="F310" s="3" t="str">
        <f>VLOOKUP(Base_Periodo1[[#This Row],[Aux]],Base_Contas_Balanco[#All],2,FALSE)</f>
        <v>Creditos com Cooperados</v>
      </c>
      <c r="G310" s="1">
        <v>42872</v>
      </c>
      <c r="I310" s="225">
        <v>1464.03</v>
      </c>
      <c r="J310" s="225">
        <v>1464.03</v>
      </c>
      <c r="K310" s="225">
        <v>2.9103830456733704E-11</v>
      </c>
      <c r="L3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0" s="225">
        <f>ROUND(IF(AND(Base_Periodo1[[#This Row],[Tipo_Linha]]="-",Base_Periodo1[[#This Row],[TIPOSALDO]]="D"),Base_Periodo1[[#This Row],[SALDO_ATUAL]]*-1,Base_Periodo1[[#This Row],[SALDO_ATUAL]]),4)</f>
        <v>0</v>
      </c>
      <c r="N310" t="s">
        <v>116</v>
      </c>
      <c r="O310" t="s">
        <v>436</v>
      </c>
      <c r="P310" t="s">
        <v>436</v>
      </c>
      <c r="Q310">
        <v>7</v>
      </c>
      <c r="R310" s="225">
        <f>Base_Periodo1[[#This Row],[CREDITOS]]-Base_Periodo1[[#This Row],[DEBITOS]]</f>
        <v>0</v>
      </c>
      <c r="S310" s="3" t="str">
        <f>IF(ISERROR(VLOOKUP(Base_Periodo1[[#This Row],[CONTA]],BaseContasDRE[#All],4,FALSE)),"Fora do DRE",VLOOKUP(Base_Periodo1[[#This Row],[CONTA]],BaseContasDRE[#All],4,FALSE))</f>
        <v>Fora do DRE</v>
      </c>
      <c r="T310" s="3" t="str">
        <f>IF(ISERROR(VLOOKUP(Base_Periodo1[[#This Row],[CONTA]],BaseContasDRE[#All],5,FALSE)),"Fora do DRE",VLOOKUP(Base_Periodo1[[#This Row],[CONTA]],BaseContasDRE[#All],6,FALSE))</f>
        <v>Fora do DRE</v>
      </c>
      <c r="U310" s="3" t="str">
        <f>IF(ISERROR(VLOOKUP(Base_Periodo1[[#This Row],[CONTA]],BaseContasDRE[#All],7,FALSE)),"Fora do DRE",VLOOKUP(Base_Periodo1[[#This Row],[CONTA]],BaseContasDRE[#All],7,FALSE))</f>
        <v>Fora do DRE</v>
      </c>
      <c r="V310" s="3" t="str">
        <f>IF(Base_Periodo1[[#This Row],[Tipo_Linha]]="Fora do DRE","Fora do DRE","( "&amp;Base_Periodo1[[#This Row],[Tipo_Linha]]&amp;" ) "&amp;Base_Periodo1[[#This Row],[Filtro]])</f>
        <v>Fora do DRE</v>
      </c>
      <c r="W310" s="3" t="str">
        <f>LEFT(Base_Periodo1[[#This Row],[CLASS]],3)</f>
        <v>1.1</v>
      </c>
    </row>
    <row r="311" spans="1:23" hidden="1">
      <c r="A311" s="3" t="str">
        <f t="shared" si="4"/>
        <v>Período 1</v>
      </c>
      <c r="B311">
        <v>40271</v>
      </c>
      <c r="C311" t="s">
        <v>503</v>
      </c>
      <c r="D311" t="s">
        <v>6123</v>
      </c>
      <c r="E311" s="3" t="str">
        <f>IF(LEN(Base_Periodo1[[#This Row],[CLASS]])&gt;=7,LEFT(Base_Periodo1[[#This Row],[CLASS]],7),"")</f>
        <v>1.1.2.1</v>
      </c>
      <c r="F311" s="3" t="str">
        <f>VLOOKUP(Base_Periodo1[[#This Row],[Aux]],Base_Contas_Balanco[#All],2,FALSE)</f>
        <v>Creditos com Cooperados</v>
      </c>
      <c r="G311" s="1">
        <v>42796</v>
      </c>
      <c r="H311" s="225">
        <v>703.59999999999854</v>
      </c>
      <c r="I311" s="225">
        <v>0</v>
      </c>
      <c r="J311" s="225">
        <v>0</v>
      </c>
      <c r="K311" s="225">
        <v>703.59999999999854</v>
      </c>
      <c r="L3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703.6</v>
      </c>
      <c r="M311" s="225">
        <f>ROUND(IF(AND(Base_Periodo1[[#This Row],[Tipo_Linha]]="-",Base_Periodo1[[#This Row],[TIPOSALDO]]="D"),Base_Periodo1[[#This Row],[SALDO_ATUAL]]*-1,Base_Periodo1[[#This Row],[SALDO_ATUAL]]),4)</f>
        <v>703.6</v>
      </c>
      <c r="N311" t="s">
        <v>116</v>
      </c>
      <c r="O311" t="s">
        <v>397</v>
      </c>
      <c r="P311" t="s">
        <v>397</v>
      </c>
      <c r="Q311">
        <v>7</v>
      </c>
      <c r="R311" s="225">
        <f>Base_Periodo1[[#This Row],[CREDITOS]]-Base_Periodo1[[#This Row],[DEBITOS]]</f>
        <v>0</v>
      </c>
      <c r="S311" s="3" t="str">
        <f>IF(ISERROR(VLOOKUP(Base_Periodo1[[#This Row],[CONTA]],BaseContasDRE[#All],4,FALSE)),"Fora do DRE",VLOOKUP(Base_Periodo1[[#This Row],[CONTA]],BaseContasDRE[#All],4,FALSE))</f>
        <v>Fora do DRE</v>
      </c>
      <c r="T311" s="3" t="str">
        <f>IF(ISERROR(VLOOKUP(Base_Periodo1[[#This Row],[CONTA]],BaseContasDRE[#All],5,FALSE)),"Fora do DRE",VLOOKUP(Base_Periodo1[[#This Row],[CONTA]],BaseContasDRE[#All],6,FALSE))</f>
        <v>Fora do DRE</v>
      </c>
      <c r="U311" s="3" t="str">
        <f>IF(ISERROR(VLOOKUP(Base_Periodo1[[#This Row],[CONTA]],BaseContasDRE[#All],7,FALSE)),"Fora do DRE",VLOOKUP(Base_Periodo1[[#This Row],[CONTA]],BaseContasDRE[#All],7,FALSE))</f>
        <v>Fora do DRE</v>
      </c>
      <c r="V311" s="3" t="str">
        <f>IF(Base_Periodo1[[#This Row],[Tipo_Linha]]="Fora do DRE","Fora do DRE","( "&amp;Base_Periodo1[[#This Row],[Tipo_Linha]]&amp;" ) "&amp;Base_Periodo1[[#This Row],[Filtro]])</f>
        <v>Fora do DRE</v>
      </c>
      <c r="W311" s="3" t="str">
        <f>LEFT(Base_Periodo1[[#This Row],[CLASS]],3)</f>
        <v>1.1</v>
      </c>
    </row>
    <row r="312" spans="1:23" hidden="1">
      <c r="A312" s="3" t="str">
        <f t="shared" si="4"/>
        <v>Período 1</v>
      </c>
      <c r="B312">
        <v>17916</v>
      </c>
      <c r="C312" t="s">
        <v>503</v>
      </c>
      <c r="D312" t="s">
        <v>4993</v>
      </c>
      <c r="E312" s="3" t="str">
        <f>IF(LEN(Base_Periodo1[[#This Row],[CLASS]])&gt;=7,LEFT(Base_Periodo1[[#This Row],[CLASS]],7),"")</f>
        <v>1.1.2.1</v>
      </c>
      <c r="F312" s="3" t="str">
        <f>VLOOKUP(Base_Periodo1[[#This Row],[Aux]],Base_Contas_Balanco[#All],2,FALSE)</f>
        <v>Creditos com Cooperados</v>
      </c>
      <c r="G312" s="1">
        <v>42632</v>
      </c>
      <c r="H312" s="225">
        <v>3987.6000000000022</v>
      </c>
      <c r="I312" s="225">
        <v>0</v>
      </c>
      <c r="J312" s="225">
        <v>0</v>
      </c>
      <c r="K312" s="225">
        <v>3987.6000000000022</v>
      </c>
      <c r="L3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3987.6</v>
      </c>
      <c r="M312" s="225">
        <f>ROUND(IF(AND(Base_Periodo1[[#This Row],[Tipo_Linha]]="-",Base_Periodo1[[#This Row],[TIPOSALDO]]="D"),Base_Periodo1[[#This Row],[SALDO_ATUAL]]*-1,Base_Periodo1[[#This Row],[SALDO_ATUAL]]),4)</f>
        <v>3987.6</v>
      </c>
      <c r="N312" t="s">
        <v>116</v>
      </c>
      <c r="O312" t="s">
        <v>397</v>
      </c>
      <c r="P312" t="s">
        <v>397</v>
      </c>
      <c r="Q312">
        <v>7</v>
      </c>
      <c r="R312" s="225">
        <f>Base_Periodo1[[#This Row],[CREDITOS]]-Base_Periodo1[[#This Row],[DEBITOS]]</f>
        <v>0</v>
      </c>
      <c r="S312" s="3" t="str">
        <f>IF(ISERROR(VLOOKUP(Base_Periodo1[[#This Row],[CONTA]],BaseContasDRE[#All],4,FALSE)),"Fora do DRE",VLOOKUP(Base_Periodo1[[#This Row],[CONTA]],BaseContasDRE[#All],4,FALSE))</f>
        <v>Fora do DRE</v>
      </c>
      <c r="T312" s="3" t="str">
        <f>IF(ISERROR(VLOOKUP(Base_Periodo1[[#This Row],[CONTA]],BaseContasDRE[#All],5,FALSE)),"Fora do DRE",VLOOKUP(Base_Periodo1[[#This Row],[CONTA]],BaseContasDRE[#All],6,FALSE))</f>
        <v>Fora do DRE</v>
      </c>
      <c r="U312" s="3" t="str">
        <f>IF(ISERROR(VLOOKUP(Base_Periodo1[[#This Row],[CONTA]],BaseContasDRE[#All],7,FALSE)),"Fora do DRE",VLOOKUP(Base_Periodo1[[#This Row],[CONTA]],BaseContasDRE[#All],7,FALSE))</f>
        <v>Fora do DRE</v>
      </c>
      <c r="V312" s="3" t="str">
        <f>IF(Base_Periodo1[[#This Row],[Tipo_Linha]]="Fora do DRE","Fora do DRE","( "&amp;Base_Periodo1[[#This Row],[Tipo_Linha]]&amp;" ) "&amp;Base_Periodo1[[#This Row],[Filtro]])</f>
        <v>Fora do DRE</v>
      </c>
      <c r="W312" s="3" t="str">
        <f>LEFT(Base_Periodo1[[#This Row],[CLASS]],3)</f>
        <v>1.1</v>
      </c>
    </row>
    <row r="313" spans="1:23" hidden="1">
      <c r="A313" s="3" t="str">
        <f t="shared" si="4"/>
        <v>Período 1</v>
      </c>
      <c r="B313">
        <v>49224</v>
      </c>
      <c r="C313" t="s">
        <v>503</v>
      </c>
      <c r="D313" t="s">
        <v>5943</v>
      </c>
      <c r="E313" s="3" t="str">
        <f>IF(LEN(Base_Periodo1[[#This Row],[CLASS]])&gt;=7,LEFT(Base_Periodo1[[#This Row],[CLASS]],7),"")</f>
        <v>1.1.2.1</v>
      </c>
      <c r="F313" s="3" t="str">
        <f>VLOOKUP(Base_Periodo1[[#This Row],[Aux]],Base_Contas_Balanco[#All],2,FALSE)</f>
        <v>Creditos com Cooperados</v>
      </c>
      <c r="G313" s="1">
        <v>42823</v>
      </c>
      <c r="H313" s="225">
        <v>880.00000000000364</v>
      </c>
      <c r="I313" s="225">
        <v>0</v>
      </c>
      <c r="J313" s="225">
        <v>0</v>
      </c>
      <c r="K313" s="225">
        <v>880.00000000000364</v>
      </c>
      <c r="L3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880</v>
      </c>
      <c r="M313" s="225">
        <f>ROUND(IF(AND(Base_Periodo1[[#This Row],[Tipo_Linha]]="-",Base_Periodo1[[#This Row],[TIPOSALDO]]="D"),Base_Periodo1[[#This Row],[SALDO_ATUAL]]*-1,Base_Periodo1[[#This Row],[SALDO_ATUAL]]),4)</f>
        <v>880</v>
      </c>
      <c r="N313" t="s">
        <v>116</v>
      </c>
      <c r="O313" t="s">
        <v>397</v>
      </c>
      <c r="P313" t="s">
        <v>397</v>
      </c>
      <c r="Q313">
        <v>7</v>
      </c>
      <c r="R313" s="225">
        <f>Base_Periodo1[[#This Row],[CREDITOS]]-Base_Periodo1[[#This Row],[DEBITOS]]</f>
        <v>0</v>
      </c>
      <c r="S313" s="3" t="str">
        <f>IF(ISERROR(VLOOKUP(Base_Periodo1[[#This Row],[CONTA]],BaseContasDRE[#All],4,FALSE)),"Fora do DRE",VLOOKUP(Base_Periodo1[[#This Row],[CONTA]],BaseContasDRE[#All],4,FALSE))</f>
        <v>Fora do DRE</v>
      </c>
      <c r="T313" s="3" t="str">
        <f>IF(ISERROR(VLOOKUP(Base_Periodo1[[#This Row],[CONTA]],BaseContasDRE[#All],5,FALSE)),"Fora do DRE",VLOOKUP(Base_Periodo1[[#This Row],[CONTA]],BaseContasDRE[#All],6,FALSE))</f>
        <v>Fora do DRE</v>
      </c>
      <c r="U313" s="3" t="str">
        <f>IF(ISERROR(VLOOKUP(Base_Periodo1[[#This Row],[CONTA]],BaseContasDRE[#All],7,FALSE)),"Fora do DRE",VLOOKUP(Base_Periodo1[[#This Row],[CONTA]],BaseContasDRE[#All],7,FALSE))</f>
        <v>Fora do DRE</v>
      </c>
      <c r="V313" s="3" t="str">
        <f>IF(Base_Periodo1[[#This Row],[Tipo_Linha]]="Fora do DRE","Fora do DRE","( "&amp;Base_Periodo1[[#This Row],[Tipo_Linha]]&amp;" ) "&amp;Base_Periodo1[[#This Row],[Filtro]])</f>
        <v>Fora do DRE</v>
      </c>
      <c r="W313" s="3" t="str">
        <f>LEFT(Base_Periodo1[[#This Row],[CLASS]],3)</f>
        <v>1.1</v>
      </c>
    </row>
    <row r="314" spans="1:23" hidden="1">
      <c r="A314" s="3" t="str">
        <f t="shared" si="4"/>
        <v>Período 1</v>
      </c>
      <c r="B314">
        <v>9320</v>
      </c>
      <c r="C314" t="s">
        <v>503</v>
      </c>
      <c r="D314" t="s">
        <v>6711</v>
      </c>
      <c r="E314" s="3" t="str">
        <f>IF(LEN(Base_Periodo1[[#This Row],[CLASS]])&gt;=7,LEFT(Base_Periodo1[[#This Row],[CLASS]],7),"")</f>
        <v>1.1.2.1</v>
      </c>
      <c r="F314" s="3" t="str">
        <f>VLOOKUP(Base_Periodo1[[#This Row],[Aux]],Base_Contas_Balanco[#All],2,FALSE)</f>
        <v>Creditos com Cooperados</v>
      </c>
      <c r="G314" s="1">
        <v>42880</v>
      </c>
      <c r="I314" s="225">
        <v>246</v>
      </c>
      <c r="J314" s="225">
        <v>246</v>
      </c>
      <c r="K314" s="225">
        <v>0</v>
      </c>
      <c r="L3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4" s="225">
        <f>ROUND(IF(AND(Base_Periodo1[[#This Row],[Tipo_Linha]]="-",Base_Periodo1[[#This Row],[TIPOSALDO]]="D"),Base_Periodo1[[#This Row],[SALDO_ATUAL]]*-1,Base_Periodo1[[#This Row],[SALDO_ATUAL]]),4)</f>
        <v>0</v>
      </c>
      <c r="N314" t="s">
        <v>116</v>
      </c>
      <c r="O314" t="s">
        <v>436</v>
      </c>
      <c r="P314" t="s">
        <v>436</v>
      </c>
      <c r="Q314">
        <v>7</v>
      </c>
      <c r="R314" s="225">
        <f>Base_Periodo1[[#This Row],[CREDITOS]]-Base_Periodo1[[#This Row],[DEBITOS]]</f>
        <v>0</v>
      </c>
      <c r="S314" s="3" t="str">
        <f>IF(ISERROR(VLOOKUP(Base_Periodo1[[#This Row],[CONTA]],BaseContasDRE[#All],4,FALSE)),"Fora do DRE",VLOOKUP(Base_Periodo1[[#This Row],[CONTA]],BaseContasDRE[#All],4,FALSE))</f>
        <v>Fora do DRE</v>
      </c>
      <c r="T314" s="3" t="str">
        <f>IF(ISERROR(VLOOKUP(Base_Periodo1[[#This Row],[CONTA]],BaseContasDRE[#All],5,FALSE)),"Fora do DRE",VLOOKUP(Base_Periodo1[[#This Row],[CONTA]],BaseContasDRE[#All],6,FALSE))</f>
        <v>Fora do DRE</v>
      </c>
      <c r="U314" s="3" t="str">
        <f>IF(ISERROR(VLOOKUP(Base_Periodo1[[#This Row],[CONTA]],BaseContasDRE[#All],7,FALSE)),"Fora do DRE",VLOOKUP(Base_Periodo1[[#This Row],[CONTA]],BaseContasDRE[#All],7,FALSE))</f>
        <v>Fora do DRE</v>
      </c>
      <c r="V314" s="3" t="str">
        <f>IF(Base_Periodo1[[#This Row],[Tipo_Linha]]="Fora do DRE","Fora do DRE","( "&amp;Base_Periodo1[[#This Row],[Tipo_Linha]]&amp;" ) "&amp;Base_Periodo1[[#This Row],[Filtro]])</f>
        <v>Fora do DRE</v>
      </c>
      <c r="W314" s="3" t="str">
        <f>LEFT(Base_Periodo1[[#This Row],[CLASS]],3)</f>
        <v>1.1</v>
      </c>
    </row>
    <row r="315" spans="1:23" hidden="1">
      <c r="A315" s="3" t="str">
        <f t="shared" si="4"/>
        <v>Período 1</v>
      </c>
      <c r="B315">
        <v>47561</v>
      </c>
      <c r="C315" t="s">
        <v>503</v>
      </c>
      <c r="D315" t="s">
        <v>4733</v>
      </c>
      <c r="E315" s="3" t="str">
        <f>IF(LEN(Base_Periodo1[[#This Row],[CLASS]])&gt;=7,LEFT(Base_Periodo1[[#This Row],[CLASS]],7),"")</f>
        <v>1.1.2.1</v>
      </c>
      <c r="F315" s="3" t="str">
        <f>VLOOKUP(Base_Periodo1[[#This Row],[Aux]],Base_Contas_Balanco[#All],2,FALSE)</f>
        <v>Creditos com Cooperados</v>
      </c>
      <c r="G315" s="1">
        <v>42881</v>
      </c>
      <c r="I315" s="225">
        <v>6125</v>
      </c>
      <c r="J315" s="225">
        <v>0</v>
      </c>
      <c r="K315" s="225">
        <v>6125.0000000002328</v>
      </c>
      <c r="L3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6125</v>
      </c>
      <c r="M315" s="225">
        <f>ROUND(IF(AND(Base_Periodo1[[#This Row],[Tipo_Linha]]="-",Base_Periodo1[[#This Row],[TIPOSALDO]]="D"),Base_Periodo1[[#This Row],[SALDO_ATUAL]]*-1,Base_Periodo1[[#This Row],[SALDO_ATUAL]]),4)</f>
        <v>6125</v>
      </c>
      <c r="N315" t="s">
        <v>116</v>
      </c>
      <c r="O315" t="s">
        <v>436</v>
      </c>
      <c r="P315" t="s">
        <v>397</v>
      </c>
      <c r="Q315">
        <v>7</v>
      </c>
      <c r="R315" s="225">
        <f>Base_Periodo1[[#This Row],[CREDITOS]]-Base_Periodo1[[#This Row],[DEBITOS]]</f>
        <v>-6125</v>
      </c>
      <c r="S315" s="3" t="str">
        <f>IF(ISERROR(VLOOKUP(Base_Periodo1[[#This Row],[CONTA]],BaseContasDRE[#All],4,FALSE)),"Fora do DRE",VLOOKUP(Base_Periodo1[[#This Row],[CONTA]],BaseContasDRE[#All],4,FALSE))</f>
        <v>Fora do DRE</v>
      </c>
      <c r="T315" s="3" t="str">
        <f>IF(ISERROR(VLOOKUP(Base_Periodo1[[#This Row],[CONTA]],BaseContasDRE[#All],5,FALSE)),"Fora do DRE",VLOOKUP(Base_Periodo1[[#This Row],[CONTA]],BaseContasDRE[#All],6,FALSE))</f>
        <v>Fora do DRE</v>
      </c>
      <c r="U315" s="3" t="str">
        <f>IF(ISERROR(VLOOKUP(Base_Periodo1[[#This Row],[CONTA]],BaseContasDRE[#All],7,FALSE)),"Fora do DRE",VLOOKUP(Base_Periodo1[[#This Row],[CONTA]],BaseContasDRE[#All],7,FALSE))</f>
        <v>Fora do DRE</v>
      </c>
      <c r="V315" s="3" t="str">
        <f>IF(Base_Periodo1[[#This Row],[Tipo_Linha]]="Fora do DRE","Fora do DRE","( "&amp;Base_Periodo1[[#This Row],[Tipo_Linha]]&amp;" ) "&amp;Base_Periodo1[[#This Row],[Filtro]])</f>
        <v>Fora do DRE</v>
      </c>
      <c r="W315" s="3" t="str">
        <f>LEFT(Base_Periodo1[[#This Row],[CLASS]],3)</f>
        <v>1.1</v>
      </c>
    </row>
    <row r="316" spans="1:23" hidden="1">
      <c r="A316" s="3" t="str">
        <f t="shared" si="4"/>
        <v>Período 1</v>
      </c>
      <c r="B316">
        <v>4108</v>
      </c>
      <c r="C316" t="s">
        <v>503</v>
      </c>
      <c r="D316" t="s">
        <v>637</v>
      </c>
      <c r="E316" s="3" t="str">
        <f>IF(LEN(Base_Periodo1[[#This Row],[CLASS]])&gt;=7,LEFT(Base_Periodo1[[#This Row],[CLASS]],7),"")</f>
        <v>1.1.2.1</v>
      </c>
      <c r="F316" s="3" t="str">
        <f>VLOOKUP(Base_Periodo1[[#This Row],[Aux]],Base_Contas_Balanco[#All],2,FALSE)</f>
        <v>Creditos com Cooperados</v>
      </c>
      <c r="G316" s="1">
        <v>42881</v>
      </c>
      <c r="H316" s="225">
        <v>117686.07000000007</v>
      </c>
      <c r="I316" s="225">
        <v>1712.9399999999998</v>
      </c>
      <c r="J316" s="225">
        <v>82701.119999999995</v>
      </c>
      <c r="K316" s="225">
        <v>36697.890000000072</v>
      </c>
      <c r="L3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36697.89</v>
      </c>
      <c r="M316" s="225">
        <f>ROUND(IF(AND(Base_Periodo1[[#This Row],[Tipo_Linha]]="-",Base_Periodo1[[#This Row],[TIPOSALDO]]="D"),Base_Periodo1[[#This Row],[SALDO_ATUAL]]*-1,Base_Periodo1[[#This Row],[SALDO_ATUAL]]),4)</f>
        <v>36697.89</v>
      </c>
      <c r="N316" t="s">
        <v>116</v>
      </c>
      <c r="O316" t="s">
        <v>397</v>
      </c>
      <c r="P316" t="s">
        <v>397</v>
      </c>
      <c r="Q316">
        <v>7</v>
      </c>
      <c r="R316" s="225">
        <f>Base_Periodo1[[#This Row],[CREDITOS]]-Base_Periodo1[[#This Row],[DEBITOS]]</f>
        <v>80988.179999999993</v>
      </c>
      <c r="S316" s="3" t="str">
        <f>IF(ISERROR(VLOOKUP(Base_Periodo1[[#This Row],[CONTA]],BaseContasDRE[#All],4,FALSE)),"Fora do DRE",VLOOKUP(Base_Periodo1[[#This Row],[CONTA]],BaseContasDRE[#All],4,FALSE))</f>
        <v>Fora do DRE</v>
      </c>
      <c r="T316" s="3" t="str">
        <f>IF(ISERROR(VLOOKUP(Base_Periodo1[[#This Row],[CONTA]],BaseContasDRE[#All],5,FALSE)),"Fora do DRE",VLOOKUP(Base_Periodo1[[#This Row],[CONTA]],BaseContasDRE[#All],6,FALSE))</f>
        <v>Fora do DRE</v>
      </c>
      <c r="U316" s="3" t="str">
        <f>IF(ISERROR(VLOOKUP(Base_Periodo1[[#This Row],[CONTA]],BaseContasDRE[#All],7,FALSE)),"Fora do DRE",VLOOKUP(Base_Periodo1[[#This Row],[CONTA]],BaseContasDRE[#All],7,FALSE))</f>
        <v>Fora do DRE</v>
      </c>
      <c r="V316" s="3" t="str">
        <f>IF(Base_Periodo1[[#This Row],[Tipo_Linha]]="Fora do DRE","Fora do DRE","( "&amp;Base_Periodo1[[#This Row],[Tipo_Linha]]&amp;" ) "&amp;Base_Periodo1[[#This Row],[Filtro]])</f>
        <v>Fora do DRE</v>
      </c>
      <c r="W316" s="3" t="str">
        <f>LEFT(Base_Periodo1[[#This Row],[CLASS]],3)</f>
        <v>1.1</v>
      </c>
    </row>
    <row r="317" spans="1:23" hidden="1">
      <c r="A317" s="3" t="str">
        <f t="shared" si="4"/>
        <v>Período 1</v>
      </c>
      <c r="B317">
        <v>40795</v>
      </c>
      <c r="C317" t="s">
        <v>503</v>
      </c>
      <c r="D317" t="s">
        <v>638</v>
      </c>
      <c r="E317" s="3" t="str">
        <f>IF(LEN(Base_Periodo1[[#This Row],[CLASS]])&gt;=7,LEFT(Base_Periodo1[[#This Row],[CLASS]],7),"")</f>
        <v>1.1.2.1</v>
      </c>
      <c r="F317" s="3" t="str">
        <f>VLOOKUP(Base_Periodo1[[#This Row],[Aux]],Base_Contas_Balanco[#All],2,FALSE)</f>
        <v>Creditos com Cooperados</v>
      </c>
      <c r="G317" s="1">
        <v>42716</v>
      </c>
      <c r="H317" s="225">
        <v>0.41000000003259629</v>
      </c>
      <c r="I317" s="225">
        <v>0</v>
      </c>
      <c r="J317" s="225">
        <v>0</v>
      </c>
      <c r="K317" s="225">
        <v>0.41000000003259629</v>
      </c>
      <c r="L3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0.41</v>
      </c>
      <c r="M317" s="225">
        <f>ROUND(IF(AND(Base_Periodo1[[#This Row],[Tipo_Linha]]="-",Base_Periodo1[[#This Row],[TIPOSALDO]]="D"),Base_Periodo1[[#This Row],[SALDO_ATUAL]]*-1,Base_Periodo1[[#This Row],[SALDO_ATUAL]]),4)</f>
        <v>0.41</v>
      </c>
      <c r="N317" t="s">
        <v>116</v>
      </c>
      <c r="O317" t="s">
        <v>397</v>
      </c>
      <c r="P317" t="s">
        <v>397</v>
      </c>
      <c r="Q317">
        <v>7</v>
      </c>
      <c r="R317" s="225">
        <f>Base_Periodo1[[#This Row],[CREDITOS]]-Base_Periodo1[[#This Row],[DEBITOS]]</f>
        <v>0</v>
      </c>
      <c r="S317" s="3" t="str">
        <f>IF(ISERROR(VLOOKUP(Base_Periodo1[[#This Row],[CONTA]],BaseContasDRE[#All],4,FALSE)),"Fora do DRE",VLOOKUP(Base_Periodo1[[#This Row],[CONTA]],BaseContasDRE[#All],4,FALSE))</f>
        <v>Fora do DRE</v>
      </c>
      <c r="T317" s="3" t="str">
        <f>IF(ISERROR(VLOOKUP(Base_Periodo1[[#This Row],[CONTA]],BaseContasDRE[#All],5,FALSE)),"Fora do DRE",VLOOKUP(Base_Periodo1[[#This Row],[CONTA]],BaseContasDRE[#All],6,FALSE))</f>
        <v>Fora do DRE</v>
      </c>
      <c r="U317" s="3" t="str">
        <f>IF(ISERROR(VLOOKUP(Base_Periodo1[[#This Row],[CONTA]],BaseContasDRE[#All],7,FALSE)),"Fora do DRE",VLOOKUP(Base_Periodo1[[#This Row],[CONTA]],BaseContasDRE[#All],7,FALSE))</f>
        <v>Fora do DRE</v>
      </c>
      <c r="V317" s="3" t="str">
        <f>IF(Base_Periodo1[[#This Row],[Tipo_Linha]]="Fora do DRE","Fora do DRE","( "&amp;Base_Periodo1[[#This Row],[Tipo_Linha]]&amp;" ) "&amp;Base_Periodo1[[#This Row],[Filtro]])</f>
        <v>Fora do DRE</v>
      </c>
      <c r="W317" s="3" t="str">
        <f>LEFT(Base_Periodo1[[#This Row],[CLASS]],3)</f>
        <v>1.1</v>
      </c>
    </row>
    <row r="318" spans="1:23" hidden="1">
      <c r="A318" s="3" t="str">
        <f t="shared" si="4"/>
        <v>Período 1</v>
      </c>
      <c r="B318">
        <v>4936</v>
      </c>
      <c r="C318" t="s">
        <v>503</v>
      </c>
      <c r="D318" t="s">
        <v>5139</v>
      </c>
      <c r="E318" s="3" t="str">
        <f>IF(LEN(Base_Periodo1[[#This Row],[CLASS]])&gt;=7,LEFT(Base_Periodo1[[#This Row],[CLASS]],7),"")</f>
        <v>1.1.2.1</v>
      </c>
      <c r="F318" s="3" t="str">
        <f>VLOOKUP(Base_Periodo1[[#This Row],[Aux]],Base_Contas_Balanco[#All],2,FALSE)</f>
        <v>Creditos com Cooperados</v>
      </c>
      <c r="G318" s="1">
        <v>42837</v>
      </c>
      <c r="H318" s="225">
        <v>1171</v>
      </c>
      <c r="I318" s="225">
        <v>0</v>
      </c>
      <c r="J318" s="225">
        <v>0</v>
      </c>
      <c r="K318" s="225">
        <v>1171</v>
      </c>
      <c r="L3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1171</v>
      </c>
      <c r="M318" s="225">
        <f>ROUND(IF(AND(Base_Periodo1[[#This Row],[Tipo_Linha]]="-",Base_Periodo1[[#This Row],[TIPOSALDO]]="D"),Base_Periodo1[[#This Row],[SALDO_ATUAL]]*-1,Base_Periodo1[[#This Row],[SALDO_ATUAL]]),4)</f>
        <v>1171</v>
      </c>
      <c r="N318" t="s">
        <v>116</v>
      </c>
      <c r="O318" t="s">
        <v>397</v>
      </c>
      <c r="P318" t="s">
        <v>397</v>
      </c>
      <c r="Q318">
        <v>7</v>
      </c>
      <c r="R318" s="225">
        <f>Base_Periodo1[[#This Row],[CREDITOS]]-Base_Periodo1[[#This Row],[DEBITOS]]</f>
        <v>0</v>
      </c>
      <c r="S318" s="3" t="str">
        <f>IF(ISERROR(VLOOKUP(Base_Periodo1[[#This Row],[CONTA]],BaseContasDRE[#All],4,FALSE)),"Fora do DRE",VLOOKUP(Base_Periodo1[[#This Row],[CONTA]],BaseContasDRE[#All],4,FALSE))</f>
        <v>Fora do DRE</v>
      </c>
      <c r="T318" s="3" t="str">
        <f>IF(ISERROR(VLOOKUP(Base_Periodo1[[#This Row],[CONTA]],BaseContasDRE[#All],5,FALSE)),"Fora do DRE",VLOOKUP(Base_Periodo1[[#This Row],[CONTA]],BaseContasDRE[#All],6,FALSE))</f>
        <v>Fora do DRE</v>
      </c>
      <c r="U318" s="3" t="str">
        <f>IF(ISERROR(VLOOKUP(Base_Periodo1[[#This Row],[CONTA]],BaseContasDRE[#All],7,FALSE)),"Fora do DRE",VLOOKUP(Base_Periodo1[[#This Row],[CONTA]],BaseContasDRE[#All],7,FALSE))</f>
        <v>Fora do DRE</v>
      </c>
      <c r="V318" s="3" t="str">
        <f>IF(Base_Periodo1[[#This Row],[Tipo_Linha]]="Fora do DRE","Fora do DRE","( "&amp;Base_Periodo1[[#This Row],[Tipo_Linha]]&amp;" ) "&amp;Base_Periodo1[[#This Row],[Filtro]])</f>
        <v>Fora do DRE</v>
      </c>
      <c r="W318" s="3" t="str">
        <f>LEFT(Base_Periodo1[[#This Row],[CLASS]],3)</f>
        <v>1.1</v>
      </c>
    </row>
    <row r="319" spans="1:23" hidden="1">
      <c r="A319" s="3" t="str">
        <f t="shared" si="4"/>
        <v>Período 1</v>
      </c>
      <c r="B319">
        <v>50235</v>
      </c>
      <c r="C319" t="s">
        <v>503</v>
      </c>
      <c r="D319" t="s">
        <v>5384</v>
      </c>
      <c r="E319" s="3" t="str">
        <f>IF(LEN(Base_Periodo1[[#This Row],[CLASS]])&gt;=7,LEFT(Base_Periodo1[[#This Row],[CLASS]],7),"")</f>
        <v>1.1.2.1</v>
      </c>
      <c r="F319" s="3" t="str">
        <f>VLOOKUP(Base_Periodo1[[#This Row],[Aux]],Base_Contas_Balanco[#All],2,FALSE)</f>
        <v>Creditos com Cooperados</v>
      </c>
      <c r="G319" s="1">
        <v>42860</v>
      </c>
      <c r="H319" s="225">
        <v>12793.5</v>
      </c>
      <c r="I319" s="225">
        <v>822.3</v>
      </c>
      <c r="J319" s="225">
        <v>0</v>
      </c>
      <c r="K319" s="225">
        <v>13615.8</v>
      </c>
      <c r="L3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13615.8</v>
      </c>
      <c r="M319" s="225">
        <f>ROUND(IF(AND(Base_Periodo1[[#This Row],[Tipo_Linha]]="-",Base_Periodo1[[#This Row],[TIPOSALDO]]="D"),Base_Periodo1[[#This Row],[SALDO_ATUAL]]*-1,Base_Periodo1[[#This Row],[SALDO_ATUAL]]),4)</f>
        <v>13615.8</v>
      </c>
      <c r="N319" t="s">
        <v>116</v>
      </c>
      <c r="O319" t="s">
        <v>397</v>
      </c>
      <c r="P319" t="s">
        <v>397</v>
      </c>
      <c r="Q319">
        <v>7</v>
      </c>
      <c r="R319" s="225">
        <f>Base_Periodo1[[#This Row],[CREDITOS]]-Base_Periodo1[[#This Row],[DEBITOS]]</f>
        <v>-822.3</v>
      </c>
      <c r="S319" s="3" t="str">
        <f>IF(ISERROR(VLOOKUP(Base_Periodo1[[#This Row],[CONTA]],BaseContasDRE[#All],4,FALSE)),"Fora do DRE",VLOOKUP(Base_Periodo1[[#This Row],[CONTA]],BaseContasDRE[#All],4,FALSE))</f>
        <v>Fora do DRE</v>
      </c>
      <c r="T319" s="3" t="str">
        <f>IF(ISERROR(VLOOKUP(Base_Periodo1[[#This Row],[CONTA]],BaseContasDRE[#All],5,FALSE)),"Fora do DRE",VLOOKUP(Base_Periodo1[[#This Row],[CONTA]],BaseContasDRE[#All],6,FALSE))</f>
        <v>Fora do DRE</v>
      </c>
      <c r="U319" s="3" t="str">
        <f>IF(ISERROR(VLOOKUP(Base_Periodo1[[#This Row],[CONTA]],BaseContasDRE[#All],7,FALSE)),"Fora do DRE",VLOOKUP(Base_Periodo1[[#This Row],[CONTA]],BaseContasDRE[#All],7,FALSE))</f>
        <v>Fora do DRE</v>
      </c>
      <c r="V319" s="3" t="str">
        <f>IF(Base_Periodo1[[#This Row],[Tipo_Linha]]="Fora do DRE","Fora do DRE","( "&amp;Base_Periodo1[[#This Row],[Tipo_Linha]]&amp;" ) "&amp;Base_Periodo1[[#This Row],[Filtro]])</f>
        <v>Fora do DRE</v>
      </c>
      <c r="W319" s="3" t="str">
        <f>LEFT(Base_Periodo1[[#This Row],[CLASS]],3)</f>
        <v>1.1</v>
      </c>
    </row>
    <row r="320" spans="1:23" hidden="1">
      <c r="A320" s="3" t="str">
        <f t="shared" si="4"/>
        <v>Período 1</v>
      </c>
      <c r="B320">
        <v>22134</v>
      </c>
      <c r="C320" t="s">
        <v>503</v>
      </c>
      <c r="D320" t="s">
        <v>5268</v>
      </c>
      <c r="E320" s="3" t="str">
        <f>IF(LEN(Base_Periodo1[[#This Row],[CLASS]])&gt;=7,LEFT(Base_Periodo1[[#This Row],[CLASS]],7),"")</f>
        <v>1.1.2.1</v>
      </c>
      <c r="F320" s="3" t="str">
        <f>VLOOKUP(Base_Periodo1[[#This Row],[Aux]],Base_Contas_Balanco[#All],2,FALSE)</f>
        <v>Creditos com Cooperados</v>
      </c>
      <c r="G320" s="1">
        <v>42885</v>
      </c>
      <c r="H320" s="225">
        <v>22290.559999999983</v>
      </c>
      <c r="I320" s="225">
        <v>51.339999999999996</v>
      </c>
      <c r="J320" s="225">
        <v>21991.9</v>
      </c>
      <c r="K320" s="225">
        <v>349.99999999998181</v>
      </c>
      <c r="L3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350</v>
      </c>
      <c r="M320" s="225">
        <f>ROUND(IF(AND(Base_Periodo1[[#This Row],[Tipo_Linha]]="-",Base_Periodo1[[#This Row],[TIPOSALDO]]="D"),Base_Periodo1[[#This Row],[SALDO_ATUAL]]*-1,Base_Periodo1[[#This Row],[SALDO_ATUAL]]),4)</f>
        <v>350</v>
      </c>
      <c r="N320" t="s">
        <v>116</v>
      </c>
      <c r="O320" t="s">
        <v>397</v>
      </c>
      <c r="P320" t="s">
        <v>397</v>
      </c>
      <c r="Q320">
        <v>7</v>
      </c>
      <c r="R320" s="225">
        <f>Base_Periodo1[[#This Row],[CREDITOS]]-Base_Periodo1[[#This Row],[DEBITOS]]</f>
        <v>21940.560000000001</v>
      </c>
      <c r="S320" s="3" t="str">
        <f>IF(ISERROR(VLOOKUP(Base_Periodo1[[#This Row],[CONTA]],BaseContasDRE[#All],4,FALSE)),"Fora do DRE",VLOOKUP(Base_Periodo1[[#This Row],[CONTA]],BaseContasDRE[#All],4,FALSE))</f>
        <v>Fora do DRE</v>
      </c>
      <c r="T320" s="3" t="str">
        <f>IF(ISERROR(VLOOKUP(Base_Periodo1[[#This Row],[CONTA]],BaseContasDRE[#All],5,FALSE)),"Fora do DRE",VLOOKUP(Base_Periodo1[[#This Row],[CONTA]],BaseContasDRE[#All],6,FALSE))</f>
        <v>Fora do DRE</v>
      </c>
      <c r="U320" s="3" t="str">
        <f>IF(ISERROR(VLOOKUP(Base_Periodo1[[#This Row],[CONTA]],BaseContasDRE[#All],7,FALSE)),"Fora do DRE",VLOOKUP(Base_Periodo1[[#This Row],[CONTA]],BaseContasDRE[#All],7,FALSE))</f>
        <v>Fora do DRE</v>
      </c>
      <c r="V320" s="3" t="str">
        <f>IF(Base_Periodo1[[#This Row],[Tipo_Linha]]="Fora do DRE","Fora do DRE","( "&amp;Base_Periodo1[[#This Row],[Tipo_Linha]]&amp;" ) "&amp;Base_Periodo1[[#This Row],[Filtro]])</f>
        <v>Fora do DRE</v>
      </c>
      <c r="W320" s="3" t="str">
        <f>LEFT(Base_Periodo1[[#This Row],[CLASS]],3)</f>
        <v>1.1</v>
      </c>
    </row>
    <row r="321" spans="1:23" hidden="1">
      <c r="A321" s="3" t="str">
        <f t="shared" si="4"/>
        <v>Período 1</v>
      </c>
      <c r="B321">
        <v>51567</v>
      </c>
      <c r="C321" t="s">
        <v>503</v>
      </c>
      <c r="D321" t="s">
        <v>5851</v>
      </c>
      <c r="E321" s="3" t="str">
        <f>IF(LEN(Base_Periodo1[[#This Row],[CLASS]])&gt;=7,LEFT(Base_Periodo1[[#This Row],[CLASS]],7),"")</f>
        <v>1.1.2.1</v>
      </c>
      <c r="F321" s="3" t="str">
        <f>VLOOKUP(Base_Periodo1[[#This Row],[Aux]],Base_Contas_Balanco[#All],2,FALSE)</f>
        <v>Creditos com Cooperados</v>
      </c>
      <c r="G321" s="1">
        <v>42838</v>
      </c>
      <c r="H321" s="225">
        <v>160.78000000000065</v>
      </c>
      <c r="I321" s="225">
        <v>0</v>
      </c>
      <c r="J321" s="225">
        <v>0</v>
      </c>
      <c r="K321" s="225">
        <v>160.78000000000065</v>
      </c>
      <c r="L3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160.78</v>
      </c>
      <c r="M321" s="225">
        <f>ROUND(IF(AND(Base_Periodo1[[#This Row],[Tipo_Linha]]="-",Base_Periodo1[[#This Row],[TIPOSALDO]]="D"),Base_Periodo1[[#This Row],[SALDO_ATUAL]]*-1,Base_Periodo1[[#This Row],[SALDO_ATUAL]]),4)</f>
        <v>160.78</v>
      </c>
      <c r="N321" t="s">
        <v>116</v>
      </c>
      <c r="O321" t="s">
        <v>397</v>
      </c>
      <c r="P321" t="s">
        <v>397</v>
      </c>
      <c r="Q321">
        <v>7</v>
      </c>
      <c r="R321" s="225">
        <f>Base_Periodo1[[#This Row],[CREDITOS]]-Base_Periodo1[[#This Row],[DEBITOS]]</f>
        <v>0</v>
      </c>
      <c r="S321" s="3" t="str">
        <f>IF(ISERROR(VLOOKUP(Base_Periodo1[[#This Row],[CONTA]],BaseContasDRE[#All],4,FALSE)),"Fora do DRE",VLOOKUP(Base_Periodo1[[#This Row],[CONTA]],BaseContasDRE[#All],4,FALSE))</f>
        <v>Fora do DRE</v>
      </c>
      <c r="T321" s="3" t="str">
        <f>IF(ISERROR(VLOOKUP(Base_Periodo1[[#This Row],[CONTA]],BaseContasDRE[#All],5,FALSE)),"Fora do DRE",VLOOKUP(Base_Periodo1[[#This Row],[CONTA]],BaseContasDRE[#All],6,FALSE))</f>
        <v>Fora do DRE</v>
      </c>
      <c r="U321" s="3" t="str">
        <f>IF(ISERROR(VLOOKUP(Base_Periodo1[[#This Row],[CONTA]],BaseContasDRE[#All],7,FALSE)),"Fora do DRE",VLOOKUP(Base_Periodo1[[#This Row],[CONTA]],BaseContasDRE[#All],7,FALSE))</f>
        <v>Fora do DRE</v>
      </c>
      <c r="V321" s="3" t="str">
        <f>IF(Base_Periodo1[[#This Row],[Tipo_Linha]]="Fora do DRE","Fora do DRE","( "&amp;Base_Periodo1[[#This Row],[Tipo_Linha]]&amp;" ) "&amp;Base_Periodo1[[#This Row],[Filtro]])</f>
        <v>Fora do DRE</v>
      </c>
      <c r="W321" s="3" t="str">
        <f>LEFT(Base_Periodo1[[#This Row],[CLASS]],3)</f>
        <v>1.1</v>
      </c>
    </row>
    <row r="322" spans="1:23" hidden="1">
      <c r="A322" s="3" t="str">
        <f t="shared" si="4"/>
        <v>Período 1</v>
      </c>
      <c r="B322">
        <v>46980</v>
      </c>
      <c r="C322" t="s">
        <v>503</v>
      </c>
      <c r="D322" t="s">
        <v>6124</v>
      </c>
      <c r="E322" s="3" t="str">
        <f>IF(LEN(Base_Periodo1[[#This Row],[CLASS]])&gt;=7,LEFT(Base_Periodo1[[#This Row],[CLASS]],7),"")</f>
        <v>1.1.2.1</v>
      </c>
      <c r="F322" s="3" t="str">
        <f>VLOOKUP(Base_Periodo1[[#This Row],[Aux]],Base_Contas_Balanco[#All],2,FALSE)</f>
        <v>Creditos com Cooperados</v>
      </c>
      <c r="G322" s="1">
        <v>42863</v>
      </c>
      <c r="I322" s="225">
        <v>140</v>
      </c>
      <c r="J322" s="225">
        <v>140</v>
      </c>
      <c r="K322" s="225">
        <v>3.637978807091713E-12</v>
      </c>
      <c r="L3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2" s="225">
        <f>ROUND(IF(AND(Base_Periodo1[[#This Row],[Tipo_Linha]]="-",Base_Periodo1[[#This Row],[TIPOSALDO]]="D"),Base_Periodo1[[#This Row],[SALDO_ATUAL]]*-1,Base_Periodo1[[#This Row],[SALDO_ATUAL]]),4)</f>
        <v>0</v>
      </c>
      <c r="N322" t="s">
        <v>116</v>
      </c>
      <c r="O322" t="s">
        <v>436</v>
      </c>
      <c r="P322" t="s">
        <v>436</v>
      </c>
      <c r="Q322">
        <v>7</v>
      </c>
      <c r="R322" s="225">
        <f>Base_Periodo1[[#This Row],[CREDITOS]]-Base_Periodo1[[#This Row],[DEBITOS]]</f>
        <v>0</v>
      </c>
      <c r="S322" s="3" t="str">
        <f>IF(ISERROR(VLOOKUP(Base_Periodo1[[#This Row],[CONTA]],BaseContasDRE[#All],4,FALSE)),"Fora do DRE",VLOOKUP(Base_Periodo1[[#This Row],[CONTA]],BaseContasDRE[#All],4,FALSE))</f>
        <v>Fora do DRE</v>
      </c>
      <c r="T322" s="3" t="str">
        <f>IF(ISERROR(VLOOKUP(Base_Periodo1[[#This Row],[CONTA]],BaseContasDRE[#All],5,FALSE)),"Fora do DRE",VLOOKUP(Base_Periodo1[[#This Row],[CONTA]],BaseContasDRE[#All],6,FALSE))</f>
        <v>Fora do DRE</v>
      </c>
      <c r="U322" s="3" t="str">
        <f>IF(ISERROR(VLOOKUP(Base_Periodo1[[#This Row],[CONTA]],BaseContasDRE[#All],7,FALSE)),"Fora do DRE",VLOOKUP(Base_Periodo1[[#This Row],[CONTA]],BaseContasDRE[#All],7,FALSE))</f>
        <v>Fora do DRE</v>
      </c>
      <c r="V322" s="3" t="str">
        <f>IF(Base_Periodo1[[#This Row],[Tipo_Linha]]="Fora do DRE","Fora do DRE","( "&amp;Base_Periodo1[[#This Row],[Tipo_Linha]]&amp;" ) "&amp;Base_Periodo1[[#This Row],[Filtro]])</f>
        <v>Fora do DRE</v>
      </c>
      <c r="W322" s="3" t="str">
        <f>LEFT(Base_Periodo1[[#This Row],[CLASS]],3)</f>
        <v>1.1</v>
      </c>
    </row>
    <row r="323" spans="1:23" hidden="1">
      <c r="A323" s="3" t="str">
        <f t="shared" si="4"/>
        <v>Período 1</v>
      </c>
      <c r="B323">
        <v>3128</v>
      </c>
      <c r="C323" t="s">
        <v>503</v>
      </c>
      <c r="D323" t="s">
        <v>639</v>
      </c>
      <c r="E323" s="3" t="str">
        <f>IF(LEN(Base_Periodo1[[#This Row],[CLASS]])&gt;=7,LEFT(Base_Periodo1[[#This Row],[CLASS]],7),"")</f>
        <v>1.1.2.1</v>
      </c>
      <c r="F323" s="3" t="str">
        <f>VLOOKUP(Base_Periodo1[[#This Row],[Aux]],Base_Contas_Balanco[#All],2,FALSE)</f>
        <v>Creditos com Cooperados</v>
      </c>
      <c r="G323" s="1">
        <v>42885</v>
      </c>
      <c r="H323" s="225">
        <v>24064.899999996647</v>
      </c>
      <c r="I323" s="225">
        <v>50832.09</v>
      </c>
      <c r="J323" s="225">
        <v>42109.990000000005</v>
      </c>
      <c r="K323" s="225">
        <v>32786.999999996639</v>
      </c>
      <c r="L3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32787</v>
      </c>
      <c r="M323" s="225">
        <f>ROUND(IF(AND(Base_Periodo1[[#This Row],[Tipo_Linha]]="-",Base_Periodo1[[#This Row],[TIPOSALDO]]="D"),Base_Periodo1[[#This Row],[SALDO_ATUAL]]*-1,Base_Periodo1[[#This Row],[SALDO_ATUAL]]),4)</f>
        <v>32787</v>
      </c>
      <c r="N323" t="s">
        <v>116</v>
      </c>
      <c r="O323" t="s">
        <v>397</v>
      </c>
      <c r="P323" t="s">
        <v>397</v>
      </c>
      <c r="Q323">
        <v>7</v>
      </c>
      <c r="R323" s="225">
        <f>Base_Periodo1[[#This Row],[CREDITOS]]-Base_Periodo1[[#This Row],[DEBITOS]]</f>
        <v>-8722.0999999999913</v>
      </c>
      <c r="S323" s="3" t="str">
        <f>IF(ISERROR(VLOOKUP(Base_Periodo1[[#This Row],[CONTA]],BaseContasDRE[#All],4,FALSE)),"Fora do DRE",VLOOKUP(Base_Periodo1[[#This Row],[CONTA]],BaseContasDRE[#All],4,FALSE))</f>
        <v>Fora do DRE</v>
      </c>
      <c r="T323" s="3" t="str">
        <f>IF(ISERROR(VLOOKUP(Base_Periodo1[[#This Row],[CONTA]],BaseContasDRE[#All],5,FALSE)),"Fora do DRE",VLOOKUP(Base_Periodo1[[#This Row],[CONTA]],BaseContasDRE[#All],6,FALSE))</f>
        <v>Fora do DRE</v>
      </c>
      <c r="U323" s="3" t="str">
        <f>IF(ISERROR(VLOOKUP(Base_Periodo1[[#This Row],[CONTA]],BaseContasDRE[#All],7,FALSE)),"Fora do DRE",VLOOKUP(Base_Periodo1[[#This Row],[CONTA]],BaseContasDRE[#All],7,FALSE))</f>
        <v>Fora do DRE</v>
      </c>
      <c r="V323" s="3" t="str">
        <f>IF(Base_Periodo1[[#This Row],[Tipo_Linha]]="Fora do DRE","Fora do DRE","( "&amp;Base_Periodo1[[#This Row],[Tipo_Linha]]&amp;" ) "&amp;Base_Periodo1[[#This Row],[Filtro]])</f>
        <v>Fora do DRE</v>
      </c>
      <c r="W323" s="3" t="str">
        <f>LEFT(Base_Periodo1[[#This Row],[CLASS]],3)</f>
        <v>1.1</v>
      </c>
    </row>
    <row r="324" spans="1:23" hidden="1">
      <c r="A324" s="3" t="str">
        <f t="shared" si="4"/>
        <v>Período 1</v>
      </c>
      <c r="B324">
        <v>57856</v>
      </c>
      <c r="C324" t="s">
        <v>503</v>
      </c>
      <c r="D324" t="s">
        <v>5494</v>
      </c>
      <c r="E324" s="3" t="str">
        <f>IF(LEN(Base_Periodo1[[#This Row],[CLASS]])&gt;=7,LEFT(Base_Periodo1[[#This Row],[CLASS]],7),"")</f>
        <v>1.1.2.1</v>
      </c>
      <c r="F324" s="3" t="str">
        <f>VLOOKUP(Base_Periodo1[[#This Row],[Aux]],Base_Contas_Balanco[#All],2,FALSE)</f>
        <v>Creditos com Cooperados</v>
      </c>
      <c r="G324" s="1">
        <v>42824</v>
      </c>
      <c r="H324" s="225">
        <v>747.4</v>
      </c>
      <c r="I324" s="225">
        <v>0</v>
      </c>
      <c r="J324" s="225">
        <v>0</v>
      </c>
      <c r="K324" s="225">
        <v>747.4</v>
      </c>
      <c r="L3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747.4</v>
      </c>
      <c r="M324" s="225">
        <f>ROUND(IF(AND(Base_Periodo1[[#This Row],[Tipo_Linha]]="-",Base_Periodo1[[#This Row],[TIPOSALDO]]="D"),Base_Periodo1[[#This Row],[SALDO_ATUAL]]*-1,Base_Periodo1[[#This Row],[SALDO_ATUAL]]),4)</f>
        <v>747.4</v>
      </c>
      <c r="N324" t="s">
        <v>116</v>
      </c>
      <c r="O324" t="s">
        <v>397</v>
      </c>
      <c r="P324" t="s">
        <v>397</v>
      </c>
      <c r="Q324">
        <v>7</v>
      </c>
      <c r="R324" s="225">
        <f>Base_Periodo1[[#This Row],[CREDITOS]]-Base_Periodo1[[#This Row],[DEBITOS]]</f>
        <v>0</v>
      </c>
      <c r="S324" s="3" t="str">
        <f>IF(ISERROR(VLOOKUP(Base_Periodo1[[#This Row],[CONTA]],BaseContasDRE[#All],4,FALSE)),"Fora do DRE",VLOOKUP(Base_Periodo1[[#This Row],[CONTA]],BaseContasDRE[#All],4,FALSE))</f>
        <v>Fora do DRE</v>
      </c>
      <c r="T324" s="3" t="str">
        <f>IF(ISERROR(VLOOKUP(Base_Periodo1[[#This Row],[CONTA]],BaseContasDRE[#All],5,FALSE)),"Fora do DRE",VLOOKUP(Base_Periodo1[[#This Row],[CONTA]],BaseContasDRE[#All],6,FALSE))</f>
        <v>Fora do DRE</v>
      </c>
      <c r="U324" s="3" t="str">
        <f>IF(ISERROR(VLOOKUP(Base_Periodo1[[#This Row],[CONTA]],BaseContasDRE[#All],7,FALSE)),"Fora do DRE",VLOOKUP(Base_Periodo1[[#This Row],[CONTA]],BaseContasDRE[#All],7,FALSE))</f>
        <v>Fora do DRE</v>
      </c>
      <c r="V324" s="3" t="str">
        <f>IF(Base_Periodo1[[#This Row],[Tipo_Linha]]="Fora do DRE","Fora do DRE","( "&amp;Base_Periodo1[[#This Row],[Tipo_Linha]]&amp;" ) "&amp;Base_Periodo1[[#This Row],[Filtro]])</f>
        <v>Fora do DRE</v>
      </c>
      <c r="W324" s="3" t="str">
        <f>LEFT(Base_Periodo1[[#This Row],[CLASS]],3)</f>
        <v>1.1</v>
      </c>
    </row>
    <row r="325" spans="1:23" hidden="1">
      <c r="A325" s="3" t="str">
        <f t="shared" si="4"/>
        <v>Período 1</v>
      </c>
      <c r="B325">
        <v>40145</v>
      </c>
      <c r="C325" t="s">
        <v>503</v>
      </c>
      <c r="D325" t="s">
        <v>640</v>
      </c>
      <c r="E325" s="3" t="str">
        <f>IF(LEN(Base_Periodo1[[#This Row],[CLASS]])&gt;=7,LEFT(Base_Periodo1[[#This Row],[CLASS]],7),"")</f>
        <v>1.1.2.1</v>
      </c>
      <c r="F325" s="3" t="str">
        <f>VLOOKUP(Base_Periodo1[[#This Row],[Aux]],Base_Contas_Balanco[#All],2,FALSE)</f>
        <v>Creditos com Cooperados</v>
      </c>
      <c r="G325" s="1">
        <v>42865</v>
      </c>
      <c r="H325" s="225">
        <v>1045.0000000000146</v>
      </c>
      <c r="I325" s="225">
        <v>602</v>
      </c>
      <c r="J325" s="225">
        <v>0</v>
      </c>
      <c r="K325" s="225">
        <v>1647.0000000000146</v>
      </c>
      <c r="L3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1647</v>
      </c>
      <c r="M325" s="225">
        <f>ROUND(IF(AND(Base_Periodo1[[#This Row],[Tipo_Linha]]="-",Base_Periodo1[[#This Row],[TIPOSALDO]]="D"),Base_Periodo1[[#This Row],[SALDO_ATUAL]]*-1,Base_Periodo1[[#This Row],[SALDO_ATUAL]]),4)</f>
        <v>1647</v>
      </c>
      <c r="N325" t="s">
        <v>116</v>
      </c>
      <c r="O325" t="s">
        <v>397</v>
      </c>
      <c r="P325" t="s">
        <v>397</v>
      </c>
      <c r="Q325">
        <v>7</v>
      </c>
      <c r="R325" s="225">
        <f>Base_Periodo1[[#This Row],[CREDITOS]]-Base_Periodo1[[#This Row],[DEBITOS]]</f>
        <v>-602</v>
      </c>
      <c r="S325" s="3" t="str">
        <f>IF(ISERROR(VLOOKUP(Base_Periodo1[[#This Row],[CONTA]],BaseContasDRE[#All],4,FALSE)),"Fora do DRE",VLOOKUP(Base_Periodo1[[#This Row],[CONTA]],BaseContasDRE[#All],4,FALSE))</f>
        <v>Fora do DRE</v>
      </c>
      <c r="T325" s="3" t="str">
        <f>IF(ISERROR(VLOOKUP(Base_Periodo1[[#This Row],[CONTA]],BaseContasDRE[#All],5,FALSE)),"Fora do DRE",VLOOKUP(Base_Periodo1[[#This Row],[CONTA]],BaseContasDRE[#All],6,FALSE))</f>
        <v>Fora do DRE</v>
      </c>
      <c r="U325" s="3" t="str">
        <f>IF(ISERROR(VLOOKUP(Base_Periodo1[[#This Row],[CONTA]],BaseContasDRE[#All],7,FALSE)),"Fora do DRE",VLOOKUP(Base_Periodo1[[#This Row],[CONTA]],BaseContasDRE[#All],7,FALSE))</f>
        <v>Fora do DRE</v>
      </c>
      <c r="V325" s="3" t="str">
        <f>IF(Base_Periodo1[[#This Row],[Tipo_Linha]]="Fora do DRE","Fora do DRE","( "&amp;Base_Periodo1[[#This Row],[Tipo_Linha]]&amp;" ) "&amp;Base_Periodo1[[#This Row],[Filtro]])</f>
        <v>Fora do DRE</v>
      </c>
      <c r="W325" s="3" t="str">
        <f>LEFT(Base_Periodo1[[#This Row],[CLASS]],3)</f>
        <v>1.1</v>
      </c>
    </row>
    <row r="326" spans="1:23" hidden="1">
      <c r="A326" s="3" t="str">
        <f t="shared" ref="A326:A389" si="5">"Período 1"</f>
        <v>Período 1</v>
      </c>
      <c r="B326">
        <v>47742</v>
      </c>
      <c r="C326" t="s">
        <v>503</v>
      </c>
      <c r="D326" t="s">
        <v>641</v>
      </c>
      <c r="E326" s="3" t="str">
        <f>IF(LEN(Base_Periodo1[[#This Row],[CLASS]])&gt;=7,LEFT(Base_Periodo1[[#This Row],[CLASS]],7),"")</f>
        <v>1.1.2.1</v>
      </c>
      <c r="F326" s="3" t="str">
        <f>VLOOKUP(Base_Periodo1[[#This Row],[Aux]],Base_Contas_Balanco[#All],2,FALSE)</f>
        <v>Creditos com Cooperados</v>
      </c>
      <c r="G326" s="1">
        <v>42884</v>
      </c>
      <c r="I326" s="225">
        <v>40600</v>
      </c>
      <c r="J326" s="225">
        <v>0</v>
      </c>
      <c r="K326" s="225">
        <v>40599.999999999534</v>
      </c>
      <c r="L3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40600</v>
      </c>
      <c r="M326" s="225">
        <f>ROUND(IF(AND(Base_Periodo1[[#This Row],[Tipo_Linha]]="-",Base_Periodo1[[#This Row],[TIPOSALDO]]="D"),Base_Periodo1[[#This Row],[SALDO_ATUAL]]*-1,Base_Periodo1[[#This Row],[SALDO_ATUAL]]),4)</f>
        <v>40600</v>
      </c>
      <c r="N326" t="s">
        <v>116</v>
      </c>
      <c r="O326" t="s">
        <v>436</v>
      </c>
      <c r="P326" t="s">
        <v>397</v>
      </c>
      <c r="Q326">
        <v>7</v>
      </c>
      <c r="R326" s="225">
        <f>Base_Periodo1[[#This Row],[CREDITOS]]-Base_Periodo1[[#This Row],[DEBITOS]]</f>
        <v>-40600</v>
      </c>
      <c r="S326" s="3" t="str">
        <f>IF(ISERROR(VLOOKUP(Base_Periodo1[[#This Row],[CONTA]],BaseContasDRE[#All],4,FALSE)),"Fora do DRE",VLOOKUP(Base_Periodo1[[#This Row],[CONTA]],BaseContasDRE[#All],4,FALSE))</f>
        <v>Fora do DRE</v>
      </c>
      <c r="T326" s="3" t="str">
        <f>IF(ISERROR(VLOOKUP(Base_Periodo1[[#This Row],[CONTA]],BaseContasDRE[#All],5,FALSE)),"Fora do DRE",VLOOKUP(Base_Periodo1[[#This Row],[CONTA]],BaseContasDRE[#All],6,FALSE))</f>
        <v>Fora do DRE</v>
      </c>
      <c r="U326" s="3" t="str">
        <f>IF(ISERROR(VLOOKUP(Base_Periodo1[[#This Row],[CONTA]],BaseContasDRE[#All],7,FALSE)),"Fora do DRE",VLOOKUP(Base_Periodo1[[#This Row],[CONTA]],BaseContasDRE[#All],7,FALSE))</f>
        <v>Fora do DRE</v>
      </c>
      <c r="V326" s="3" t="str">
        <f>IF(Base_Periodo1[[#This Row],[Tipo_Linha]]="Fora do DRE","Fora do DRE","( "&amp;Base_Periodo1[[#This Row],[Tipo_Linha]]&amp;" ) "&amp;Base_Periodo1[[#This Row],[Filtro]])</f>
        <v>Fora do DRE</v>
      </c>
      <c r="W326" s="3" t="str">
        <f>LEFT(Base_Periodo1[[#This Row],[CLASS]],3)</f>
        <v>1.1</v>
      </c>
    </row>
    <row r="327" spans="1:23" hidden="1">
      <c r="A327" s="3" t="str">
        <f t="shared" si="5"/>
        <v>Período 1</v>
      </c>
      <c r="B327">
        <v>3800</v>
      </c>
      <c r="C327" t="s">
        <v>503</v>
      </c>
      <c r="D327" t="s">
        <v>642</v>
      </c>
      <c r="E327" s="3" t="str">
        <f>IF(LEN(Base_Periodo1[[#This Row],[CLASS]])&gt;=7,LEFT(Base_Periodo1[[#This Row],[CLASS]],7),"")</f>
        <v>1.1.2.1</v>
      </c>
      <c r="F327" s="3" t="str">
        <f>VLOOKUP(Base_Periodo1[[#This Row],[Aux]],Base_Contas_Balanco[#All],2,FALSE)</f>
        <v>Creditos com Cooperados</v>
      </c>
      <c r="G327" s="1">
        <v>42870</v>
      </c>
      <c r="H327" s="225">
        <v>30944.070000000298</v>
      </c>
      <c r="I327" s="225">
        <v>1217.5</v>
      </c>
      <c r="J327" s="225">
        <v>0</v>
      </c>
      <c r="K327" s="225">
        <v>32161.570000000298</v>
      </c>
      <c r="L3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32161.57</v>
      </c>
      <c r="M327" s="225">
        <f>ROUND(IF(AND(Base_Periodo1[[#This Row],[Tipo_Linha]]="-",Base_Periodo1[[#This Row],[TIPOSALDO]]="D"),Base_Periodo1[[#This Row],[SALDO_ATUAL]]*-1,Base_Periodo1[[#This Row],[SALDO_ATUAL]]),4)</f>
        <v>32161.57</v>
      </c>
      <c r="N327" t="s">
        <v>116</v>
      </c>
      <c r="O327" t="s">
        <v>397</v>
      </c>
      <c r="P327" t="s">
        <v>397</v>
      </c>
      <c r="Q327">
        <v>7</v>
      </c>
      <c r="R327" s="225">
        <f>Base_Periodo1[[#This Row],[CREDITOS]]-Base_Periodo1[[#This Row],[DEBITOS]]</f>
        <v>-1217.5</v>
      </c>
      <c r="S327" s="3" t="str">
        <f>IF(ISERROR(VLOOKUP(Base_Periodo1[[#This Row],[CONTA]],BaseContasDRE[#All],4,FALSE)),"Fora do DRE",VLOOKUP(Base_Periodo1[[#This Row],[CONTA]],BaseContasDRE[#All],4,FALSE))</f>
        <v>Fora do DRE</v>
      </c>
      <c r="T327" s="3" t="str">
        <f>IF(ISERROR(VLOOKUP(Base_Periodo1[[#This Row],[CONTA]],BaseContasDRE[#All],5,FALSE)),"Fora do DRE",VLOOKUP(Base_Periodo1[[#This Row],[CONTA]],BaseContasDRE[#All],6,FALSE))</f>
        <v>Fora do DRE</v>
      </c>
      <c r="U327" s="3" t="str">
        <f>IF(ISERROR(VLOOKUP(Base_Periodo1[[#This Row],[CONTA]],BaseContasDRE[#All],7,FALSE)),"Fora do DRE",VLOOKUP(Base_Periodo1[[#This Row],[CONTA]],BaseContasDRE[#All],7,FALSE))</f>
        <v>Fora do DRE</v>
      </c>
      <c r="V327" s="3" t="str">
        <f>IF(Base_Periodo1[[#This Row],[Tipo_Linha]]="Fora do DRE","Fora do DRE","( "&amp;Base_Periodo1[[#This Row],[Tipo_Linha]]&amp;" ) "&amp;Base_Periodo1[[#This Row],[Filtro]])</f>
        <v>Fora do DRE</v>
      </c>
      <c r="W327" s="3" t="str">
        <f>LEFT(Base_Periodo1[[#This Row],[CLASS]],3)</f>
        <v>1.1</v>
      </c>
    </row>
    <row r="328" spans="1:23" hidden="1">
      <c r="A328" s="3" t="str">
        <f t="shared" si="5"/>
        <v>Período 1</v>
      </c>
      <c r="B328">
        <v>2792</v>
      </c>
      <c r="C328" t="s">
        <v>503</v>
      </c>
      <c r="D328" t="s">
        <v>643</v>
      </c>
      <c r="E328" s="3" t="str">
        <f>IF(LEN(Base_Periodo1[[#This Row],[CLASS]])&gt;=7,LEFT(Base_Periodo1[[#This Row],[CLASS]],7),"")</f>
        <v>1.1.2.1</v>
      </c>
      <c r="F328" s="3" t="str">
        <f>VLOOKUP(Base_Periodo1[[#This Row],[Aux]],Base_Contas_Balanco[#All],2,FALSE)</f>
        <v>Creditos com Cooperados</v>
      </c>
      <c r="G328" s="1">
        <v>42886</v>
      </c>
      <c r="H328" s="225">
        <v>73820.579999999143</v>
      </c>
      <c r="I328" s="225">
        <v>1911.4</v>
      </c>
      <c r="J328" s="225">
        <v>25542.609999999997</v>
      </c>
      <c r="K328" s="225">
        <v>50189.369999999137</v>
      </c>
      <c r="L3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50189.37</v>
      </c>
      <c r="M328" s="225">
        <f>ROUND(IF(AND(Base_Periodo1[[#This Row],[Tipo_Linha]]="-",Base_Periodo1[[#This Row],[TIPOSALDO]]="D"),Base_Periodo1[[#This Row],[SALDO_ATUAL]]*-1,Base_Periodo1[[#This Row],[SALDO_ATUAL]]),4)</f>
        <v>50189.37</v>
      </c>
      <c r="N328" t="s">
        <v>116</v>
      </c>
      <c r="O328" t="s">
        <v>397</v>
      </c>
      <c r="P328" t="s">
        <v>397</v>
      </c>
      <c r="Q328">
        <v>7</v>
      </c>
      <c r="R328" s="225">
        <f>Base_Periodo1[[#This Row],[CREDITOS]]-Base_Periodo1[[#This Row],[DEBITOS]]</f>
        <v>23631.209999999995</v>
      </c>
      <c r="S328" s="3" t="str">
        <f>IF(ISERROR(VLOOKUP(Base_Periodo1[[#This Row],[CONTA]],BaseContasDRE[#All],4,FALSE)),"Fora do DRE",VLOOKUP(Base_Periodo1[[#This Row],[CONTA]],BaseContasDRE[#All],4,FALSE))</f>
        <v>Fora do DRE</v>
      </c>
      <c r="T328" s="3" t="str">
        <f>IF(ISERROR(VLOOKUP(Base_Periodo1[[#This Row],[CONTA]],BaseContasDRE[#All],5,FALSE)),"Fora do DRE",VLOOKUP(Base_Periodo1[[#This Row],[CONTA]],BaseContasDRE[#All],6,FALSE))</f>
        <v>Fora do DRE</v>
      </c>
      <c r="U328" s="3" t="str">
        <f>IF(ISERROR(VLOOKUP(Base_Periodo1[[#This Row],[CONTA]],BaseContasDRE[#All],7,FALSE)),"Fora do DRE",VLOOKUP(Base_Periodo1[[#This Row],[CONTA]],BaseContasDRE[#All],7,FALSE))</f>
        <v>Fora do DRE</v>
      </c>
      <c r="V328" s="3" t="str">
        <f>IF(Base_Periodo1[[#This Row],[Tipo_Linha]]="Fora do DRE","Fora do DRE","( "&amp;Base_Periodo1[[#This Row],[Tipo_Linha]]&amp;" ) "&amp;Base_Periodo1[[#This Row],[Filtro]])</f>
        <v>Fora do DRE</v>
      </c>
      <c r="W328" s="3" t="str">
        <f>LEFT(Base_Periodo1[[#This Row],[CLASS]],3)</f>
        <v>1.1</v>
      </c>
    </row>
    <row r="329" spans="1:23" hidden="1">
      <c r="A329" s="3" t="str">
        <f t="shared" si="5"/>
        <v>Período 1</v>
      </c>
      <c r="B329">
        <v>3132</v>
      </c>
      <c r="C329" t="s">
        <v>503</v>
      </c>
      <c r="D329" t="s">
        <v>644</v>
      </c>
      <c r="E329" s="3" t="str">
        <f>IF(LEN(Base_Periodo1[[#This Row],[CLASS]])&gt;=7,LEFT(Base_Periodo1[[#This Row],[CLASS]],7),"")</f>
        <v>1.1.2.1</v>
      </c>
      <c r="F329" s="3" t="str">
        <f>VLOOKUP(Base_Periodo1[[#This Row],[Aux]],Base_Contas_Balanco[#All],2,FALSE)</f>
        <v>Creditos com Cooperados</v>
      </c>
      <c r="G329" s="1">
        <v>42881</v>
      </c>
      <c r="H329" s="225">
        <v>21749.860000002198</v>
      </c>
      <c r="I329" s="225">
        <v>1055</v>
      </c>
      <c r="J329" s="225">
        <v>0</v>
      </c>
      <c r="K329" s="225">
        <v>22804.860000002198</v>
      </c>
      <c r="L3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22804.86</v>
      </c>
      <c r="M329" s="225">
        <f>ROUND(IF(AND(Base_Periodo1[[#This Row],[Tipo_Linha]]="-",Base_Periodo1[[#This Row],[TIPOSALDO]]="D"),Base_Periodo1[[#This Row],[SALDO_ATUAL]]*-1,Base_Periodo1[[#This Row],[SALDO_ATUAL]]),4)</f>
        <v>22804.86</v>
      </c>
      <c r="N329" t="s">
        <v>116</v>
      </c>
      <c r="O329" t="s">
        <v>397</v>
      </c>
      <c r="P329" t="s">
        <v>397</v>
      </c>
      <c r="Q329">
        <v>7</v>
      </c>
      <c r="R329" s="225">
        <f>Base_Periodo1[[#This Row],[CREDITOS]]-Base_Periodo1[[#This Row],[DEBITOS]]</f>
        <v>-1055</v>
      </c>
      <c r="S329" s="3" t="str">
        <f>IF(ISERROR(VLOOKUP(Base_Periodo1[[#This Row],[CONTA]],BaseContasDRE[#All],4,FALSE)),"Fora do DRE",VLOOKUP(Base_Periodo1[[#This Row],[CONTA]],BaseContasDRE[#All],4,FALSE))</f>
        <v>Fora do DRE</v>
      </c>
      <c r="T329" s="3" t="str">
        <f>IF(ISERROR(VLOOKUP(Base_Periodo1[[#This Row],[CONTA]],BaseContasDRE[#All],5,FALSE)),"Fora do DRE",VLOOKUP(Base_Periodo1[[#This Row],[CONTA]],BaseContasDRE[#All],6,FALSE))</f>
        <v>Fora do DRE</v>
      </c>
      <c r="U329" s="3" t="str">
        <f>IF(ISERROR(VLOOKUP(Base_Periodo1[[#This Row],[CONTA]],BaseContasDRE[#All],7,FALSE)),"Fora do DRE",VLOOKUP(Base_Periodo1[[#This Row],[CONTA]],BaseContasDRE[#All],7,FALSE))</f>
        <v>Fora do DRE</v>
      </c>
      <c r="V329" s="3" t="str">
        <f>IF(Base_Periodo1[[#This Row],[Tipo_Linha]]="Fora do DRE","Fora do DRE","( "&amp;Base_Periodo1[[#This Row],[Tipo_Linha]]&amp;" ) "&amp;Base_Periodo1[[#This Row],[Filtro]])</f>
        <v>Fora do DRE</v>
      </c>
      <c r="W329" s="3" t="str">
        <f>LEFT(Base_Periodo1[[#This Row],[CLASS]],3)</f>
        <v>1.1</v>
      </c>
    </row>
    <row r="330" spans="1:23" hidden="1">
      <c r="A330" s="3" t="str">
        <f t="shared" si="5"/>
        <v>Período 1</v>
      </c>
      <c r="B330">
        <v>25379</v>
      </c>
      <c r="C330" t="s">
        <v>503</v>
      </c>
      <c r="D330" t="s">
        <v>645</v>
      </c>
      <c r="E330" s="3" t="str">
        <f>IF(LEN(Base_Periodo1[[#This Row],[CLASS]])&gt;=7,LEFT(Base_Periodo1[[#This Row],[CLASS]],7),"")</f>
        <v>1.1.2.1</v>
      </c>
      <c r="F330" s="3" t="str">
        <f>VLOOKUP(Base_Periodo1[[#This Row],[Aux]],Base_Contas_Balanco[#All],2,FALSE)</f>
        <v>Creditos com Cooperados</v>
      </c>
      <c r="G330" s="1">
        <v>42878</v>
      </c>
      <c r="H330" s="225">
        <v>5550</v>
      </c>
      <c r="I330" s="225">
        <v>14705.89</v>
      </c>
      <c r="J330" s="225">
        <v>2208.13</v>
      </c>
      <c r="K330" s="225">
        <v>18047.759999999998</v>
      </c>
      <c r="L3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18047.759999999998</v>
      </c>
      <c r="M330" s="225">
        <f>ROUND(IF(AND(Base_Periodo1[[#This Row],[Tipo_Linha]]="-",Base_Periodo1[[#This Row],[TIPOSALDO]]="D"),Base_Periodo1[[#This Row],[SALDO_ATUAL]]*-1,Base_Periodo1[[#This Row],[SALDO_ATUAL]]),4)</f>
        <v>18047.759999999998</v>
      </c>
      <c r="N330" t="s">
        <v>116</v>
      </c>
      <c r="O330" t="s">
        <v>397</v>
      </c>
      <c r="P330" t="s">
        <v>397</v>
      </c>
      <c r="Q330">
        <v>7</v>
      </c>
      <c r="R330" s="225">
        <f>Base_Periodo1[[#This Row],[CREDITOS]]-Base_Periodo1[[#This Row],[DEBITOS]]</f>
        <v>-12497.759999999998</v>
      </c>
      <c r="S330" s="3" t="str">
        <f>IF(ISERROR(VLOOKUP(Base_Periodo1[[#This Row],[CONTA]],BaseContasDRE[#All],4,FALSE)),"Fora do DRE",VLOOKUP(Base_Periodo1[[#This Row],[CONTA]],BaseContasDRE[#All],4,FALSE))</f>
        <v>Fora do DRE</v>
      </c>
      <c r="T330" s="3" t="str">
        <f>IF(ISERROR(VLOOKUP(Base_Periodo1[[#This Row],[CONTA]],BaseContasDRE[#All],5,FALSE)),"Fora do DRE",VLOOKUP(Base_Periodo1[[#This Row],[CONTA]],BaseContasDRE[#All],6,FALSE))</f>
        <v>Fora do DRE</v>
      </c>
      <c r="U330" s="3" t="str">
        <f>IF(ISERROR(VLOOKUP(Base_Periodo1[[#This Row],[CONTA]],BaseContasDRE[#All],7,FALSE)),"Fora do DRE",VLOOKUP(Base_Periodo1[[#This Row],[CONTA]],BaseContasDRE[#All],7,FALSE))</f>
        <v>Fora do DRE</v>
      </c>
      <c r="V330" s="3" t="str">
        <f>IF(Base_Periodo1[[#This Row],[Tipo_Linha]]="Fora do DRE","Fora do DRE","( "&amp;Base_Periodo1[[#This Row],[Tipo_Linha]]&amp;" ) "&amp;Base_Periodo1[[#This Row],[Filtro]])</f>
        <v>Fora do DRE</v>
      </c>
      <c r="W330" s="3" t="str">
        <f>LEFT(Base_Periodo1[[#This Row],[CLASS]],3)</f>
        <v>1.1</v>
      </c>
    </row>
    <row r="331" spans="1:23" hidden="1">
      <c r="A331" s="3" t="str">
        <f t="shared" si="5"/>
        <v>Período 1</v>
      </c>
      <c r="B331">
        <v>14352</v>
      </c>
      <c r="C331" t="s">
        <v>503</v>
      </c>
      <c r="D331" t="s">
        <v>646</v>
      </c>
      <c r="E331" s="3" t="str">
        <f>IF(LEN(Base_Periodo1[[#This Row],[CLASS]])&gt;=7,LEFT(Base_Periodo1[[#This Row],[CLASS]],7),"")</f>
        <v>1.1.2.1</v>
      </c>
      <c r="F331" s="3" t="str">
        <f>VLOOKUP(Base_Periodo1[[#This Row],[Aux]],Base_Contas_Balanco[#All],2,FALSE)</f>
        <v>Creditos com Cooperados</v>
      </c>
      <c r="G331" s="1">
        <v>42877</v>
      </c>
      <c r="H331" s="225">
        <v>3944.0899999999674</v>
      </c>
      <c r="I331" s="225">
        <v>90</v>
      </c>
      <c r="J331" s="225">
        <v>90</v>
      </c>
      <c r="K331" s="225">
        <v>3944.0899999999674</v>
      </c>
      <c r="L3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3944.09</v>
      </c>
      <c r="M331" s="225">
        <f>ROUND(IF(AND(Base_Periodo1[[#This Row],[Tipo_Linha]]="-",Base_Periodo1[[#This Row],[TIPOSALDO]]="D"),Base_Periodo1[[#This Row],[SALDO_ATUAL]]*-1,Base_Periodo1[[#This Row],[SALDO_ATUAL]]),4)</f>
        <v>3944.09</v>
      </c>
      <c r="N331" t="s">
        <v>116</v>
      </c>
      <c r="O331" t="s">
        <v>397</v>
      </c>
      <c r="P331" t="s">
        <v>397</v>
      </c>
      <c r="Q331">
        <v>7</v>
      </c>
      <c r="R331" s="225">
        <f>Base_Periodo1[[#This Row],[CREDITOS]]-Base_Periodo1[[#This Row],[DEBITOS]]</f>
        <v>0</v>
      </c>
      <c r="S331" s="3" t="str">
        <f>IF(ISERROR(VLOOKUP(Base_Periodo1[[#This Row],[CONTA]],BaseContasDRE[#All],4,FALSE)),"Fora do DRE",VLOOKUP(Base_Periodo1[[#This Row],[CONTA]],BaseContasDRE[#All],4,FALSE))</f>
        <v>Fora do DRE</v>
      </c>
      <c r="T331" s="3" t="str">
        <f>IF(ISERROR(VLOOKUP(Base_Periodo1[[#This Row],[CONTA]],BaseContasDRE[#All],5,FALSE)),"Fora do DRE",VLOOKUP(Base_Periodo1[[#This Row],[CONTA]],BaseContasDRE[#All],6,FALSE))</f>
        <v>Fora do DRE</v>
      </c>
      <c r="U331" s="3" t="str">
        <f>IF(ISERROR(VLOOKUP(Base_Periodo1[[#This Row],[CONTA]],BaseContasDRE[#All],7,FALSE)),"Fora do DRE",VLOOKUP(Base_Periodo1[[#This Row],[CONTA]],BaseContasDRE[#All],7,FALSE))</f>
        <v>Fora do DRE</v>
      </c>
      <c r="V331" s="3" t="str">
        <f>IF(Base_Periodo1[[#This Row],[Tipo_Linha]]="Fora do DRE","Fora do DRE","( "&amp;Base_Periodo1[[#This Row],[Tipo_Linha]]&amp;" ) "&amp;Base_Periodo1[[#This Row],[Filtro]])</f>
        <v>Fora do DRE</v>
      </c>
      <c r="W331" s="3" t="str">
        <f>LEFT(Base_Periodo1[[#This Row],[CLASS]],3)</f>
        <v>1.1</v>
      </c>
    </row>
    <row r="332" spans="1:23" hidden="1">
      <c r="A332" s="3" t="str">
        <f t="shared" si="5"/>
        <v>Período 1</v>
      </c>
      <c r="B332">
        <v>7117</v>
      </c>
      <c r="C332" t="s">
        <v>503</v>
      </c>
      <c r="D332" t="s">
        <v>647</v>
      </c>
      <c r="E332" s="3" t="str">
        <f>IF(LEN(Base_Periodo1[[#This Row],[CLASS]])&gt;=7,LEFT(Base_Periodo1[[#This Row],[CLASS]],7),"")</f>
        <v>1.1.2.1</v>
      </c>
      <c r="F332" s="3" t="str">
        <f>VLOOKUP(Base_Periodo1[[#This Row],[Aux]],Base_Contas_Balanco[#All],2,FALSE)</f>
        <v>Creditos com Cooperados</v>
      </c>
      <c r="G332" s="1">
        <v>42866</v>
      </c>
      <c r="H332" s="225">
        <v>21588.089999999967</v>
      </c>
      <c r="I332" s="225">
        <v>1955</v>
      </c>
      <c r="J332" s="225">
        <v>0</v>
      </c>
      <c r="K332" s="225">
        <v>23543.089999999967</v>
      </c>
      <c r="L3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23543.09</v>
      </c>
      <c r="M332" s="225">
        <f>ROUND(IF(AND(Base_Periodo1[[#This Row],[Tipo_Linha]]="-",Base_Periodo1[[#This Row],[TIPOSALDO]]="D"),Base_Periodo1[[#This Row],[SALDO_ATUAL]]*-1,Base_Periodo1[[#This Row],[SALDO_ATUAL]]),4)</f>
        <v>23543.09</v>
      </c>
      <c r="N332" t="s">
        <v>116</v>
      </c>
      <c r="O332" t="s">
        <v>397</v>
      </c>
      <c r="P332" t="s">
        <v>397</v>
      </c>
      <c r="Q332">
        <v>7</v>
      </c>
      <c r="R332" s="225">
        <f>Base_Periodo1[[#This Row],[CREDITOS]]-Base_Periodo1[[#This Row],[DEBITOS]]</f>
        <v>-1955</v>
      </c>
      <c r="S332" s="3" t="str">
        <f>IF(ISERROR(VLOOKUP(Base_Periodo1[[#This Row],[CONTA]],BaseContasDRE[#All],4,FALSE)),"Fora do DRE",VLOOKUP(Base_Periodo1[[#This Row],[CONTA]],BaseContasDRE[#All],4,FALSE))</f>
        <v>Fora do DRE</v>
      </c>
      <c r="T332" s="3" t="str">
        <f>IF(ISERROR(VLOOKUP(Base_Periodo1[[#This Row],[CONTA]],BaseContasDRE[#All],5,FALSE)),"Fora do DRE",VLOOKUP(Base_Periodo1[[#This Row],[CONTA]],BaseContasDRE[#All],6,FALSE))</f>
        <v>Fora do DRE</v>
      </c>
      <c r="U332" s="3" t="str">
        <f>IF(ISERROR(VLOOKUP(Base_Periodo1[[#This Row],[CONTA]],BaseContasDRE[#All],7,FALSE)),"Fora do DRE",VLOOKUP(Base_Periodo1[[#This Row],[CONTA]],BaseContasDRE[#All],7,FALSE))</f>
        <v>Fora do DRE</v>
      </c>
      <c r="V332" s="3" t="str">
        <f>IF(Base_Periodo1[[#This Row],[Tipo_Linha]]="Fora do DRE","Fora do DRE","( "&amp;Base_Periodo1[[#This Row],[Tipo_Linha]]&amp;" ) "&amp;Base_Periodo1[[#This Row],[Filtro]])</f>
        <v>Fora do DRE</v>
      </c>
      <c r="W332" s="3" t="str">
        <f>LEFT(Base_Periodo1[[#This Row],[CLASS]],3)</f>
        <v>1.1</v>
      </c>
    </row>
    <row r="333" spans="1:23" hidden="1">
      <c r="A333" s="3" t="str">
        <f t="shared" si="5"/>
        <v>Período 1</v>
      </c>
      <c r="B333">
        <v>9324</v>
      </c>
      <c r="C333" t="s">
        <v>503</v>
      </c>
      <c r="D333" t="s">
        <v>648</v>
      </c>
      <c r="E333" s="3" t="str">
        <f>IF(LEN(Base_Periodo1[[#This Row],[CLASS]])&gt;=7,LEFT(Base_Periodo1[[#This Row],[CLASS]],7),"")</f>
        <v>1.1.2.1</v>
      </c>
      <c r="F333" s="3" t="str">
        <f>VLOOKUP(Base_Periodo1[[#This Row],[Aux]],Base_Contas_Balanco[#All],2,FALSE)</f>
        <v>Creditos com Cooperados</v>
      </c>
      <c r="G333" s="1">
        <v>42859</v>
      </c>
      <c r="H333" s="225">
        <v>55163.390000000014</v>
      </c>
      <c r="I333" s="225">
        <v>1559.8600000000001</v>
      </c>
      <c r="J333" s="225">
        <v>52302.85</v>
      </c>
      <c r="K333" s="225">
        <v>4420.400000000016</v>
      </c>
      <c r="L3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4420.3999999999996</v>
      </c>
      <c r="M333" s="225">
        <f>ROUND(IF(AND(Base_Periodo1[[#This Row],[Tipo_Linha]]="-",Base_Periodo1[[#This Row],[TIPOSALDO]]="D"),Base_Periodo1[[#This Row],[SALDO_ATUAL]]*-1,Base_Periodo1[[#This Row],[SALDO_ATUAL]]),4)</f>
        <v>4420.3999999999996</v>
      </c>
      <c r="N333" t="s">
        <v>116</v>
      </c>
      <c r="O333" t="s">
        <v>397</v>
      </c>
      <c r="P333" t="s">
        <v>397</v>
      </c>
      <c r="Q333">
        <v>7</v>
      </c>
      <c r="R333" s="225">
        <f>Base_Periodo1[[#This Row],[CREDITOS]]-Base_Periodo1[[#This Row],[DEBITOS]]</f>
        <v>50742.99</v>
      </c>
      <c r="S333" s="3" t="str">
        <f>IF(ISERROR(VLOOKUP(Base_Periodo1[[#This Row],[CONTA]],BaseContasDRE[#All],4,FALSE)),"Fora do DRE",VLOOKUP(Base_Periodo1[[#This Row],[CONTA]],BaseContasDRE[#All],4,FALSE))</f>
        <v>Fora do DRE</v>
      </c>
      <c r="T333" s="3" t="str">
        <f>IF(ISERROR(VLOOKUP(Base_Periodo1[[#This Row],[CONTA]],BaseContasDRE[#All],5,FALSE)),"Fora do DRE",VLOOKUP(Base_Periodo1[[#This Row],[CONTA]],BaseContasDRE[#All],6,FALSE))</f>
        <v>Fora do DRE</v>
      </c>
      <c r="U333" s="3" t="str">
        <f>IF(ISERROR(VLOOKUP(Base_Periodo1[[#This Row],[CONTA]],BaseContasDRE[#All],7,FALSE)),"Fora do DRE",VLOOKUP(Base_Periodo1[[#This Row],[CONTA]],BaseContasDRE[#All],7,FALSE))</f>
        <v>Fora do DRE</v>
      </c>
      <c r="V333" s="3" t="str">
        <f>IF(Base_Periodo1[[#This Row],[Tipo_Linha]]="Fora do DRE","Fora do DRE","( "&amp;Base_Periodo1[[#This Row],[Tipo_Linha]]&amp;" ) "&amp;Base_Periodo1[[#This Row],[Filtro]])</f>
        <v>Fora do DRE</v>
      </c>
      <c r="W333" s="3" t="str">
        <f>LEFT(Base_Periodo1[[#This Row],[CLASS]],3)</f>
        <v>1.1</v>
      </c>
    </row>
    <row r="334" spans="1:23" hidden="1">
      <c r="A334" s="3" t="str">
        <f t="shared" si="5"/>
        <v>Período 1</v>
      </c>
      <c r="B334">
        <v>11003</v>
      </c>
      <c r="C334" t="s">
        <v>503</v>
      </c>
      <c r="D334" t="s">
        <v>649</v>
      </c>
      <c r="E334" s="3" t="str">
        <f>IF(LEN(Base_Periodo1[[#This Row],[CLASS]])&gt;=7,LEFT(Base_Periodo1[[#This Row],[CLASS]],7),"")</f>
        <v>1.1.2.1</v>
      </c>
      <c r="F334" s="3" t="str">
        <f>VLOOKUP(Base_Periodo1[[#This Row],[Aux]],Base_Contas_Balanco[#All],2,FALSE)</f>
        <v>Creditos com Cooperados</v>
      </c>
      <c r="G334" s="1">
        <v>42879</v>
      </c>
      <c r="H334" s="225">
        <v>57090.209999999614</v>
      </c>
      <c r="I334" s="225">
        <v>4347.8</v>
      </c>
      <c r="J334" s="225">
        <v>0</v>
      </c>
      <c r="K334" s="225">
        <v>61438.009999999616</v>
      </c>
      <c r="L3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61438.01</v>
      </c>
      <c r="M334" s="225">
        <f>ROUND(IF(AND(Base_Periodo1[[#This Row],[Tipo_Linha]]="-",Base_Periodo1[[#This Row],[TIPOSALDO]]="D"),Base_Periodo1[[#This Row],[SALDO_ATUAL]]*-1,Base_Periodo1[[#This Row],[SALDO_ATUAL]]),4)</f>
        <v>61438.01</v>
      </c>
      <c r="N334" t="s">
        <v>116</v>
      </c>
      <c r="O334" t="s">
        <v>397</v>
      </c>
      <c r="P334" t="s">
        <v>397</v>
      </c>
      <c r="Q334">
        <v>7</v>
      </c>
      <c r="R334" s="225">
        <f>Base_Periodo1[[#This Row],[CREDITOS]]-Base_Periodo1[[#This Row],[DEBITOS]]</f>
        <v>-4347.8</v>
      </c>
      <c r="S334" s="3" t="str">
        <f>IF(ISERROR(VLOOKUP(Base_Periodo1[[#This Row],[CONTA]],BaseContasDRE[#All],4,FALSE)),"Fora do DRE",VLOOKUP(Base_Periodo1[[#This Row],[CONTA]],BaseContasDRE[#All],4,FALSE))</f>
        <v>Fora do DRE</v>
      </c>
      <c r="T334" s="3" t="str">
        <f>IF(ISERROR(VLOOKUP(Base_Periodo1[[#This Row],[CONTA]],BaseContasDRE[#All],5,FALSE)),"Fora do DRE",VLOOKUP(Base_Periodo1[[#This Row],[CONTA]],BaseContasDRE[#All],6,FALSE))</f>
        <v>Fora do DRE</v>
      </c>
      <c r="U334" s="3" t="str">
        <f>IF(ISERROR(VLOOKUP(Base_Periodo1[[#This Row],[CONTA]],BaseContasDRE[#All],7,FALSE)),"Fora do DRE",VLOOKUP(Base_Periodo1[[#This Row],[CONTA]],BaseContasDRE[#All],7,FALSE))</f>
        <v>Fora do DRE</v>
      </c>
      <c r="V334" s="3" t="str">
        <f>IF(Base_Periodo1[[#This Row],[Tipo_Linha]]="Fora do DRE","Fora do DRE","( "&amp;Base_Periodo1[[#This Row],[Tipo_Linha]]&amp;" ) "&amp;Base_Periodo1[[#This Row],[Filtro]])</f>
        <v>Fora do DRE</v>
      </c>
      <c r="W334" s="3" t="str">
        <f>LEFT(Base_Periodo1[[#This Row],[CLASS]],3)</f>
        <v>1.1</v>
      </c>
    </row>
    <row r="335" spans="1:23" hidden="1">
      <c r="A335" s="3" t="str">
        <f t="shared" si="5"/>
        <v>Período 1</v>
      </c>
      <c r="B335">
        <v>11966</v>
      </c>
      <c r="C335" t="s">
        <v>503</v>
      </c>
      <c r="D335" t="s">
        <v>650</v>
      </c>
      <c r="E335" s="3" t="str">
        <f>IF(LEN(Base_Periodo1[[#This Row],[CLASS]])&gt;=7,LEFT(Base_Periodo1[[#This Row],[CLASS]],7),"")</f>
        <v>1.1.2.1</v>
      </c>
      <c r="F335" s="3" t="str">
        <f>VLOOKUP(Base_Periodo1[[#This Row],[Aux]],Base_Contas_Balanco[#All],2,FALSE)</f>
        <v>Creditos com Cooperados</v>
      </c>
      <c r="G335" s="1">
        <v>42851</v>
      </c>
      <c r="H335" s="225">
        <v>37984.420000000042</v>
      </c>
      <c r="I335" s="225">
        <v>0</v>
      </c>
      <c r="J335" s="225">
        <v>0</v>
      </c>
      <c r="K335" s="225">
        <v>37984.420000000042</v>
      </c>
      <c r="L3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37984.42</v>
      </c>
      <c r="M335" s="225">
        <f>ROUND(IF(AND(Base_Periodo1[[#This Row],[Tipo_Linha]]="-",Base_Periodo1[[#This Row],[TIPOSALDO]]="D"),Base_Periodo1[[#This Row],[SALDO_ATUAL]]*-1,Base_Periodo1[[#This Row],[SALDO_ATUAL]]),4)</f>
        <v>37984.42</v>
      </c>
      <c r="N335" t="s">
        <v>116</v>
      </c>
      <c r="O335" t="s">
        <v>397</v>
      </c>
      <c r="P335" t="s">
        <v>397</v>
      </c>
      <c r="Q335">
        <v>7</v>
      </c>
      <c r="R335" s="225">
        <f>Base_Periodo1[[#This Row],[CREDITOS]]-Base_Periodo1[[#This Row],[DEBITOS]]</f>
        <v>0</v>
      </c>
      <c r="S335" s="3" t="str">
        <f>IF(ISERROR(VLOOKUP(Base_Periodo1[[#This Row],[CONTA]],BaseContasDRE[#All],4,FALSE)),"Fora do DRE",VLOOKUP(Base_Periodo1[[#This Row],[CONTA]],BaseContasDRE[#All],4,FALSE))</f>
        <v>Fora do DRE</v>
      </c>
      <c r="T335" s="3" t="str">
        <f>IF(ISERROR(VLOOKUP(Base_Periodo1[[#This Row],[CONTA]],BaseContasDRE[#All],5,FALSE)),"Fora do DRE",VLOOKUP(Base_Periodo1[[#This Row],[CONTA]],BaseContasDRE[#All],6,FALSE))</f>
        <v>Fora do DRE</v>
      </c>
      <c r="U335" s="3" t="str">
        <f>IF(ISERROR(VLOOKUP(Base_Periodo1[[#This Row],[CONTA]],BaseContasDRE[#All],7,FALSE)),"Fora do DRE",VLOOKUP(Base_Periodo1[[#This Row],[CONTA]],BaseContasDRE[#All],7,FALSE))</f>
        <v>Fora do DRE</v>
      </c>
      <c r="V335" s="3" t="str">
        <f>IF(Base_Periodo1[[#This Row],[Tipo_Linha]]="Fora do DRE","Fora do DRE","( "&amp;Base_Periodo1[[#This Row],[Tipo_Linha]]&amp;" ) "&amp;Base_Periodo1[[#This Row],[Filtro]])</f>
        <v>Fora do DRE</v>
      </c>
      <c r="W335" s="3" t="str">
        <f>LEFT(Base_Periodo1[[#This Row],[CLASS]],3)</f>
        <v>1.1</v>
      </c>
    </row>
    <row r="336" spans="1:23" hidden="1">
      <c r="A336" s="3" t="str">
        <f t="shared" si="5"/>
        <v>Período 1</v>
      </c>
      <c r="B336">
        <v>3024</v>
      </c>
      <c r="C336" t="s">
        <v>503</v>
      </c>
      <c r="D336" t="s">
        <v>651</v>
      </c>
      <c r="E336" s="3" t="str">
        <f>IF(LEN(Base_Periodo1[[#This Row],[CLASS]])&gt;=7,LEFT(Base_Periodo1[[#This Row],[CLASS]],7),"")</f>
        <v>1.1.2.1</v>
      </c>
      <c r="F336" s="3" t="str">
        <f>VLOOKUP(Base_Periodo1[[#This Row],[Aux]],Base_Contas_Balanco[#All],2,FALSE)</f>
        <v>Creditos com Cooperados</v>
      </c>
      <c r="G336" s="1">
        <v>42871</v>
      </c>
      <c r="H336" s="225">
        <v>511359.88000001013</v>
      </c>
      <c r="I336" s="225">
        <v>18624.379999999997</v>
      </c>
      <c r="J336" s="225">
        <v>5617.19</v>
      </c>
      <c r="K336" s="225">
        <v>524367.07000001019</v>
      </c>
      <c r="L3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524367.06999999995</v>
      </c>
      <c r="M336" s="225">
        <f>ROUND(IF(AND(Base_Periodo1[[#This Row],[Tipo_Linha]]="-",Base_Periodo1[[#This Row],[TIPOSALDO]]="D"),Base_Periodo1[[#This Row],[SALDO_ATUAL]]*-1,Base_Periodo1[[#This Row],[SALDO_ATUAL]]),4)</f>
        <v>524367.06999999995</v>
      </c>
      <c r="N336" t="s">
        <v>116</v>
      </c>
      <c r="O336" t="s">
        <v>397</v>
      </c>
      <c r="P336" t="s">
        <v>397</v>
      </c>
      <c r="Q336">
        <v>7</v>
      </c>
      <c r="R336" s="225">
        <f>Base_Periodo1[[#This Row],[CREDITOS]]-Base_Periodo1[[#This Row],[DEBITOS]]</f>
        <v>-13007.189999999999</v>
      </c>
      <c r="S336" s="3" t="str">
        <f>IF(ISERROR(VLOOKUP(Base_Periodo1[[#This Row],[CONTA]],BaseContasDRE[#All],4,FALSE)),"Fora do DRE",VLOOKUP(Base_Periodo1[[#This Row],[CONTA]],BaseContasDRE[#All],4,FALSE))</f>
        <v>Fora do DRE</v>
      </c>
      <c r="T336" s="3" t="str">
        <f>IF(ISERROR(VLOOKUP(Base_Periodo1[[#This Row],[CONTA]],BaseContasDRE[#All],5,FALSE)),"Fora do DRE",VLOOKUP(Base_Periodo1[[#This Row],[CONTA]],BaseContasDRE[#All],6,FALSE))</f>
        <v>Fora do DRE</v>
      </c>
      <c r="U336" s="3" t="str">
        <f>IF(ISERROR(VLOOKUP(Base_Periodo1[[#This Row],[CONTA]],BaseContasDRE[#All],7,FALSE)),"Fora do DRE",VLOOKUP(Base_Periodo1[[#This Row],[CONTA]],BaseContasDRE[#All],7,FALSE))</f>
        <v>Fora do DRE</v>
      </c>
      <c r="V336" s="3" t="str">
        <f>IF(Base_Periodo1[[#This Row],[Tipo_Linha]]="Fora do DRE","Fora do DRE","( "&amp;Base_Periodo1[[#This Row],[Tipo_Linha]]&amp;" ) "&amp;Base_Periodo1[[#This Row],[Filtro]])</f>
        <v>Fora do DRE</v>
      </c>
      <c r="W336" s="3" t="str">
        <f>LEFT(Base_Periodo1[[#This Row],[CLASS]],3)</f>
        <v>1.1</v>
      </c>
    </row>
    <row r="337" spans="1:23" hidden="1">
      <c r="A337" s="3" t="str">
        <f t="shared" si="5"/>
        <v>Período 1</v>
      </c>
      <c r="B337">
        <v>3504</v>
      </c>
      <c r="C337" t="s">
        <v>503</v>
      </c>
      <c r="D337" t="s">
        <v>652</v>
      </c>
      <c r="E337" s="3" t="str">
        <f>IF(LEN(Base_Periodo1[[#This Row],[CLASS]])&gt;=7,LEFT(Base_Periodo1[[#This Row],[CLASS]],7),"")</f>
        <v>1.1.2.1</v>
      </c>
      <c r="F337" s="3" t="str">
        <f>VLOOKUP(Base_Periodo1[[#This Row],[Aux]],Base_Contas_Balanco[#All],2,FALSE)</f>
        <v>Creditos com Cooperados</v>
      </c>
      <c r="G337" s="1">
        <v>42871</v>
      </c>
      <c r="H337" s="225">
        <v>3308.9999999998836</v>
      </c>
      <c r="I337" s="225">
        <v>475</v>
      </c>
      <c r="J337" s="225">
        <v>3784</v>
      </c>
      <c r="K337" s="225">
        <v>-1.1641532182693481E-10</v>
      </c>
      <c r="L3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7" s="225">
        <f>ROUND(IF(AND(Base_Periodo1[[#This Row],[Tipo_Linha]]="-",Base_Periodo1[[#This Row],[TIPOSALDO]]="D"),Base_Periodo1[[#This Row],[SALDO_ATUAL]]*-1,Base_Periodo1[[#This Row],[SALDO_ATUAL]]),4)</f>
        <v>0</v>
      </c>
      <c r="N337" t="s">
        <v>116</v>
      </c>
      <c r="O337" t="s">
        <v>397</v>
      </c>
      <c r="P337" t="s">
        <v>436</v>
      </c>
      <c r="Q337">
        <v>7</v>
      </c>
      <c r="R337" s="225">
        <f>Base_Periodo1[[#This Row],[CREDITOS]]-Base_Periodo1[[#This Row],[DEBITOS]]</f>
        <v>3309</v>
      </c>
      <c r="S337" s="3" t="str">
        <f>IF(ISERROR(VLOOKUP(Base_Periodo1[[#This Row],[CONTA]],BaseContasDRE[#All],4,FALSE)),"Fora do DRE",VLOOKUP(Base_Periodo1[[#This Row],[CONTA]],BaseContasDRE[#All],4,FALSE))</f>
        <v>Fora do DRE</v>
      </c>
      <c r="T337" s="3" t="str">
        <f>IF(ISERROR(VLOOKUP(Base_Periodo1[[#This Row],[CONTA]],BaseContasDRE[#All],5,FALSE)),"Fora do DRE",VLOOKUP(Base_Periodo1[[#This Row],[CONTA]],BaseContasDRE[#All],6,FALSE))</f>
        <v>Fora do DRE</v>
      </c>
      <c r="U337" s="3" t="str">
        <f>IF(ISERROR(VLOOKUP(Base_Periodo1[[#This Row],[CONTA]],BaseContasDRE[#All],7,FALSE)),"Fora do DRE",VLOOKUP(Base_Periodo1[[#This Row],[CONTA]],BaseContasDRE[#All],7,FALSE))</f>
        <v>Fora do DRE</v>
      </c>
      <c r="V337" s="3" t="str">
        <f>IF(Base_Periodo1[[#This Row],[Tipo_Linha]]="Fora do DRE","Fora do DRE","( "&amp;Base_Periodo1[[#This Row],[Tipo_Linha]]&amp;" ) "&amp;Base_Periodo1[[#This Row],[Filtro]])</f>
        <v>Fora do DRE</v>
      </c>
      <c r="W337" s="3" t="str">
        <f>LEFT(Base_Periodo1[[#This Row],[CLASS]],3)</f>
        <v>1.1</v>
      </c>
    </row>
    <row r="338" spans="1:23" hidden="1">
      <c r="A338" s="3" t="str">
        <f t="shared" si="5"/>
        <v>Período 1</v>
      </c>
      <c r="B338">
        <v>55081</v>
      </c>
      <c r="C338" t="s">
        <v>503</v>
      </c>
      <c r="D338" t="s">
        <v>5269</v>
      </c>
      <c r="E338" s="3" t="str">
        <f>IF(LEN(Base_Periodo1[[#This Row],[CLASS]])&gt;=7,LEFT(Base_Periodo1[[#This Row],[CLASS]],7),"")</f>
        <v>1.1.2.1</v>
      </c>
      <c r="F338" s="3" t="str">
        <f>VLOOKUP(Base_Periodo1[[#This Row],[Aux]],Base_Contas_Balanco[#All],2,FALSE)</f>
        <v>Creditos com Cooperados</v>
      </c>
      <c r="G338" s="1">
        <v>42851</v>
      </c>
      <c r="H338" s="225">
        <v>20825.000000000004</v>
      </c>
      <c r="I338" s="225">
        <v>0</v>
      </c>
      <c r="J338" s="225">
        <v>0</v>
      </c>
      <c r="K338" s="225">
        <v>20825.000000000004</v>
      </c>
      <c r="L3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20825</v>
      </c>
      <c r="M338" s="225">
        <f>ROUND(IF(AND(Base_Periodo1[[#This Row],[Tipo_Linha]]="-",Base_Periodo1[[#This Row],[TIPOSALDO]]="D"),Base_Periodo1[[#This Row],[SALDO_ATUAL]]*-1,Base_Periodo1[[#This Row],[SALDO_ATUAL]]),4)</f>
        <v>20825</v>
      </c>
      <c r="N338" t="s">
        <v>116</v>
      </c>
      <c r="O338" t="s">
        <v>397</v>
      </c>
      <c r="P338" t="s">
        <v>397</v>
      </c>
      <c r="Q338">
        <v>7</v>
      </c>
      <c r="R338" s="225">
        <f>Base_Periodo1[[#This Row],[CREDITOS]]-Base_Periodo1[[#This Row],[DEBITOS]]</f>
        <v>0</v>
      </c>
      <c r="S338" s="3" t="str">
        <f>IF(ISERROR(VLOOKUP(Base_Periodo1[[#This Row],[CONTA]],BaseContasDRE[#All],4,FALSE)),"Fora do DRE",VLOOKUP(Base_Periodo1[[#This Row],[CONTA]],BaseContasDRE[#All],4,FALSE))</f>
        <v>Fora do DRE</v>
      </c>
      <c r="T338" s="3" t="str">
        <f>IF(ISERROR(VLOOKUP(Base_Periodo1[[#This Row],[CONTA]],BaseContasDRE[#All],5,FALSE)),"Fora do DRE",VLOOKUP(Base_Periodo1[[#This Row],[CONTA]],BaseContasDRE[#All],6,FALSE))</f>
        <v>Fora do DRE</v>
      </c>
      <c r="U338" s="3" t="str">
        <f>IF(ISERROR(VLOOKUP(Base_Periodo1[[#This Row],[CONTA]],BaseContasDRE[#All],7,FALSE)),"Fora do DRE",VLOOKUP(Base_Periodo1[[#This Row],[CONTA]],BaseContasDRE[#All],7,FALSE))</f>
        <v>Fora do DRE</v>
      </c>
      <c r="V338" s="3" t="str">
        <f>IF(Base_Periodo1[[#This Row],[Tipo_Linha]]="Fora do DRE","Fora do DRE","( "&amp;Base_Periodo1[[#This Row],[Tipo_Linha]]&amp;" ) "&amp;Base_Periodo1[[#This Row],[Filtro]])</f>
        <v>Fora do DRE</v>
      </c>
      <c r="W338" s="3" t="str">
        <f>LEFT(Base_Periodo1[[#This Row],[CLASS]],3)</f>
        <v>1.1</v>
      </c>
    </row>
    <row r="339" spans="1:23" hidden="1">
      <c r="A339" s="3" t="str">
        <f t="shared" si="5"/>
        <v>Período 1</v>
      </c>
      <c r="B339">
        <v>54269</v>
      </c>
      <c r="C339" t="s">
        <v>503</v>
      </c>
      <c r="D339" t="s">
        <v>4995</v>
      </c>
      <c r="E339" s="3" t="str">
        <f>IF(LEN(Base_Periodo1[[#This Row],[CLASS]])&gt;=7,LEFT(Base_Periodo1[[#This Row],[CLASS]],7),"")</f>
        <v>1.1.2.1</v>
      </c>
      <c r="F339" s="3" t="str">
        <f>VLOOKUP(Base_Periodo1[[#This Row],[Aux]],Base_Contas_Balanco[#All],2,FALSE)</f>
        <v>Creditos com Cooperados</v>
      </c>
      <c r="G339" s="1">
        <v>42808</v>
      </c>
      <c r="H339" s="225">
        <v>1160.0000000000073</v>
      </c>
      <c r="I339" s="225">
        <v>0</v>
      </c>
      <c r="J339" s="225">
        <v>0</v>
      </c>
      <c r="K339" s="225">
        <v>1160.0000000000073</v>
      </c>
      <c r="L3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1160</v>
      </c>
      <c r="M339" s="225">
        <f>ROUND(IF(AND(Base_Periodo1[[#This Row],[Tipo_Linha]]="-",Base_Periodo1[[#This Row],[TIPOSALDO]]="D"),Base_Periodo1[[#This Row],[SALDO_ATUAL]]*-1,Base_Periodo1[[#This Row],[SALDO_ATUAL]]),4)</f>
        <v>1160</v>
      </c>
      <c r="N339" t="s">
        <v>116</v>
      </c>
      <c r="O339" t="s">
        <v>397</v>
      </c>
      <c r="P339" t="s">
        <v>397</v>
      </c>
      <c r="Q339">
        <v>7</v>
      </c>
      <c r="R339" s="225">
        <f>Base_Periodo1[[#This Row],[CREDITOS]]-Base_Periodo1[[#This Row],[DEBITOS]]</f>
        <v>0</v>
      </c>
      <c r="S339" s="3" t="str">
        <f>IF(ISERROR(VLOOKUP(Base_Periodo1[[#This Row],[CONTA]],BaseContasDRE[#All],4,FALSE)),"Fora do DRE",VLOOKUP(Base_Periodo1[[#This Row],[CONTA]],BaseContasDRE[#All],4,FALSE))</f>
        <v>Fora do DRE</v>
      </c>
      <c r="T339" s="3" t="str">
        <f>IF(ISERROR(VLOOKUP(Base_Periodo1[[#This Row],[CONTA]],BaseContasDRE[#All],5,FALSE)),"Fora do DRE",VLOOKUP(Base_Periodo1[[#This Row],[CONTA]],BaseContasDRE[#All],6,FALSE))</f>
        <v>Fora do DRE</v>
      </c>
      <c r="U339" s="3" t="str">
        <f>IF(ISERROR(VLOOKUP(Base_Periodo1[[#This Row],[CONTA]],BaseContasDRE[#All],7,FALSE)),"Fora do DRE",VLOOKUP(Base_Periodo1[[#This Row],[CONTA]],BaseContasDRE[#All],7,FALSE))</f>
        <v>Fora do DRE</v>
      </c>
      <c r="V339" s="3" t="str">
        <f>IF(Base_Periodo1[[#This Row],[Tipo_Linha]]="Fora do DRE","Fora do DRE","( "&amp;Base_Periodo1[[#This Row],[Tipo_Linha]]&amp;" ) "&amp;Base_Periodo1[[#This Row],[Filtro]])</f>
        <v>Fora do DRE</v>
      </c>
      <c r="W339" s="3" t="str">
        <f>LEFT(Base_Periodo1[[#This Row],[CLASS]],3)</f>
        <v>1.1</v>
      </c>
    </row>
    <row r="340" spans="1:23" hidden="1">
      <c r="A340" s="3" t="str">
        <f t="shared" si="5"/>
        <v>Período 1</v>
      </c>
      <c r="B340">
        <v>21091</v>
      </c>
      <c r="C340" t="s">
        <v>503</v>
      </c>
      <c r="D340" t="s">
        <v>653</v>
      </c>
      <c r="E340" s="3" t="str">
        <f>IF(LEN(Base_Periodo1[[#This Row],[CLASS]])&gt;=7,LEFT(Base_Periodo1[[#This Row],[CLASS]],7),"")</f>
        <v>1.1.2.1</v>
      </c>
      <c r="F340" s="3" t="str">
        <f>VLOOKUP(Base_Periodo1[[#This Row],[Aux]],Base_Contas_Balanco[#All],2,FALSE)</f>
        <v>Creditos com Cooperados</v>
      </c>
      <c r="G340" s="1">
        <v>42864</v>
      </c>
      <c r="H340" s="225">
        <v>1955.7199999999139</v>
      </c>
      <c r="I340" s="225">
        <v>620</v>
      </c>
      <c r="J340" s="225">
        <v>0</v>
      </c>
      <c r="K340" s="225">
        <v>2575.7199999999139</v>
      </c>
      <c r="L3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2575.7199999999998</v>
      </c>
      <c r="M340" s="225">
        <f>ROUND(IF(AND(Base_Periodo1[[#This Row],[Tipo_Linha]]="-",Base_Periodo1[[#This Row],[TIPOSALDO]]="D"),Base_Periodo1[[#This Row],[SALDO_ATUAL]]*-1,Base_Periodo1[[#This Row],[SALDO_ATUAL]]),4)</f>
        <v>2575.7199999999998</v>
      </c>
      <c r="N340" t="s">
        <v>116</v>
      </c>
      <c r="O340" t="s">
        <v>397</v>
      </c>
      <c r="P340" t="s">
        <v>397</v>
      </c>
      <c r="Q340">
        <v>7</v>
      </c>
      <c r="R340" s="225">
        <f>Base_Periodo1[[#This Row],[CREDITOS]]-Base_Periodo1[[#This Row],[DEBITOS]]</f>
        <v>-620</v>
      </c>
      <c r="S340" s="3" t="str">
        <f>IF(ISERROR(VLOOKUP(Base_Periodo1[[#This Row],[CONTA]],BaseContasDRE[#All],4,FALSE)),"Fora do DRE",VLOOKUP(Base_Periodo1[[#This Row],[CONTA]],BaseContasDRE[#All],4,FALSE))</f>
        <v>Fora do DRE</v>
      </c>
      <c r="T340" s="3" t="str">
        <f>IF(ISERROR(VLOOKUP(Base_Periodo1[[#This Row],[CONTA]],BaseContasDRE[#All],5,FALSE)),"Fora do DRE",VLOOKUP(Base_Periodo1[[#This Row],[CONTA]],BaseContasDRE[#All],6,FALSE))</f>
        <v>Fora do DRE</v>
      </c>
      <c r="U340" s="3" t="str">
        <f>IF(ISERROR(VLOOKUP(Base_Periodo1[[#This Row],[CONTA]],BaseContasDRE[#All],7,FALSE)),"Fora do DRE",VLOOKUP(Base_Periodo1[[#This Row],[CONTA]],BaseContasDRE[#All],7,FALSE))</f>
        <v>Fora do DRE</v>
      </c>
      <c r="V340" s="3" t="str">
        <f>IF(Base_Periodo1[[#This Row],[Tipo_Linha]]="Fora do DRE","Fora do DRE","( "&amp;Base_Periodo1[[#This Row],[Tipo_Linha]]&amp;" ) "&amp;Base_Periodo1[[#This Row],[Filtro]])</f>
        <v>Fora do DRE</v>
      </c>
      <c r="W340" s="3" t="str">
        <f>LEFT(Base_Periodo1[[#This Row],[CLASS]],3)</f>
        <v>1.1</v>
      </c>
    </row>
    <row r="341" spans="1:23" hidden="1">
      <c r="A341" s="3" t="str">
        <f t="shared" si="5"/>
        <v>Período 1</v>
      </c>
      <c r="B341">
        <v>5168</v>
      </c>
      <c r="C341" t="s">
        <v>503</v>
      </c>
      <c r="D341" t="s">
        <v>654</v>
      </c>
      <c r="E341" s="3" t="str">
        <f>IF(LEN(Base_Periodo1[[#This Row],[CLASS]])&gt;=7,LEFT(Base_Periodo1[[#This Row],[CLASS]],7),"")</f>
        <v>1.1.2.1</v>
      </c>
      <c r="F341" s="3" t="str">
        <f>VLOOKUP(Base_Periodo1[[#This Row],[Aux]],Base_Contas_Balanco[#All],2,FALSE)</f>
        <v>Creditos com Cooperados</v>
      </c>
      <c r="G341" s="1">
        <v>42865</v>
      </c>
      <c r="H341" s="225">
        <v>19.860000000335276</v>
      </c>
      <c r="I341" s="225">
        <v>0</v>
      </c>
      <c r="J341" s="225">
        <v>9.86</v>
      </c>
      <c r="K341" s="225">
        <v>10.000000000335277</v>
      </c>
      <c r="L3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</v>
      </c>
      <c r="M341" s="225">
        <f>ROUND(IF(AND(Base_Periodo1[[#This Row],[Tipo_Linha]]="-",Base_Periodo1[[#This Row],[TIPOSALDO]]="D"),Base_Periodo1[[#This Row],[SALDO_ATUAL]]*-1,Base_Periodo1[[#This Row],[SALDO_ATUAL]]),4)</f>
        <v>10</v>
      </c>
      <c r="N341" t="s">
        <v>116</v>
      </c>
      <c r="O341" t="s">
        <v>397</v>
      </c>
      <c r="P341" t="s">
        <v>397</v>
      </c>
      <c r="Q341">
        <v>7</v>
      </c>
      <c r="R341" s="225">
        <f>Base_Periodo1[[#This Row],[CREDITOS]]-Base_Periodo1[[#This Row],[DEBITOS]]</f>
        <v>9.86</v>
      </c>
      <c r="S341" s="3" t="str">
        <f>IF(ISERROR(VLOOKUP(Base_Periodo1[[#This Row],[CONTA]],BaseContasDRE[#All],4,FALSE)),"Fora do DRE",VLOOKUP(Base_Periodo1[[#This Row],[CONTA]],BaseContasDRE[#All],4,FALSE))</f>
        <v>Fora do DRE</v>
      </c>
      <c r="T341" s="3" t="str">
        <f>IF(ISERROR(VLOOKUP(Base_Periodo1[[#This Row],[CONTA]],BaseContasDRE[#All],5,FALSE)),"Fora do DRE",VLOOKUP(Base_Periodo1[[#This Row],[CONTA]],BaseContasDRE[#All],6,FALSE))</f>
        <v>Fora do DRE</v>
      </c>
      <c r="U341" s="3" t="str">
        <f>IF(ISERROR(VLOOKUP(Base_Periodo1[[#This Row],[CONTA]],BaseContasDRE[#All],7,FALSE)),"Fora do DRE",VLOOKUP(Base_Periodo1[[#This Row],[CONTA]],BaseContasDRE[#All],7,FALSE))</f>
        <v>Fora do DRE</v>
      </c>
      <c r="V341" s="3" t="str">
        <f>IF(Base_Periodo1[[#This Row],[Tipo_Linha]]="Fora do DRE","Fora do DRE","( "&amp;Base_Periodo1[[#This Row],[Tipo_Linha]]&amp;" ) "&amp;Base_Periodo1[[#This Row],[Filtro]])</f>
        <v>Fora do DRE</v>
      </c>
      <c r="W341" s="3" t="str">
        <f>LEFT(Base_Periodo1[[#This Row],[CLASS]],3)</f>
        <v>1.1</v>
      </c>
    </row>
    <row r="342" spans="1:23" hidden="1">
      <c r="A342" s="3" t="str">
        <f t="shared" si="5"/>
        <v>Período 1</v>
      </c>
      <c r="B342">
        <v>2692</v>
      </c>
      <c r="C342" t="s">
        <v>503</v>
      </c>
      <c r="D342" t="s">
        <v>655</v>
      </c>
      <c r="E342" s="3" t="str">
        <f>IF(LEN(Base_Periodo1[[#This Row],[CLASS]])&gt;=7,LEFT(Base_Periodo1[[#This Row],[CLASS]],7),"")</f>
        <v>1.1.2.1</v>
      </c>
      <c r="F342" s="3" t="str">
        <f>VLOOKUP(Base_Periodo1[[#This Row],[Aux]],Base_Contas_Balanco[#All],2,FALSE)</f>
        <v>Creditos com Cooperados</v>
      </c>
      <c r="G342" s="1">
        <v>42880</v>
      </c>
      <c r="H342" s="225">
        <v>44527.399999999907</v>
      </c>
      <c r="I342" s="225">
        <v>5982.5</v>
      </c>
      <c r="J342" s="225">
        <v>0</v>
      </c>
      <c r="K342" s="225">
        <v>50509.899999999907</v>
      </c>
      <c r="L3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50509.9</v>
      </c>
      <c r="M342" s="225">
        <f>ROUND(IF(AND(Base_Periodo1[[#This Row],[Tipo_Linha]]="-",Base_Periodo1[[#This Row],[TIPOSALDO]]="D"),Base_Periodo1[[#This Row],[SALDO_ATUAL]]*-1,Base_Periodo1[[#This Row],[SALDO_ATUAL]]),4)</f>
        <v>50509.9</v>
      </c>
      <c r="N342" t="s">
        <v>116</v>
      </c>
      <c r="O342" t="s">
        <v>397</v>
      </c>
      <c r="P342" t="s">
        <v>397</v>
      </c>
      <c r="Q342">
        <v>7</v>
      </c>
      <c r="R342" s="225">
        <f>Base_Periodo1[[#This Row],[CREDITOS]]-Base_Periodo1[[#This Row],[DEBITOS]]</f>
        <v>-5982.5</v>
      </c>
      <c r="S342" s="3" t="str">
        <f>IF(ISERROR(VLOOKUP(Base_Periodo1[[#This Row],[CONTA]],BaseContasDRE[#All],4,FALSE)),"Fora do DRE",VLOOKUP(Base_Periodo1[[#This Row],[CONTA]],BaseContasDRE[#All],4,FALSE))</f>
        <v>Fora do DRE</v>
      </c>
      <c r="T342" s="3" t="str">
        <f>IF(ISERROR(VLOOKUP(Base_Periodo1[[#This Row],[CONTA]],BaseContasDRE[#All],5,FALSE)),"Fora do DRE",VLOOKUP(Base_Periodo1[[#This Row],[CONTA]],BaseContasDRE[#All],6,FALSE))</f>
        <v>Fora do DRE</v>
      </c>
      <c r="U342" s="3" t="str">
        <f>IF(ISERROR(VLOOKUP(Base_Periodo1[[#This Row],[CONTA]],BaseContasDRE[#All],7,FALSE)),"Fora do DRE",VLOOKUP(Base_Periodo1[[#This Row],[CONTA]],BaseContasDRE[#All],7,FALSE))</f>
        <v>Fora do DRE</v>
      </c>
      <c r="V342" s="3" t="str">
        <f>IF(Base_Periodo1[[#This Row],[Tipo_Linha]]="Fora do DRE","Fora do DRE","( "&amp;Base_Periodo1[[#This Row],[Tipo_Linha]]&amp;" ) "&amp;Base_Periodo1[[#This Row],[Filtro]])</f>
        <v>Fora do DRE</v>
      </c>
      <c r="W342" s="3" t="str">
        <f>LEFT(Base_Periodo1[[#This Row],[CLASS]],3)</f>
        <v>1.1</v>
      </c>
    </row>
    <row r="343" spans="1:23" hidden="1">
      <c r="A343" s="3" t="str">
        <f t="shared" si="5"/>
        <v>Período 1</v>
      </c>
      <c r="B343">
        <v>3768</v>
      </c>
      <c r="C343" t="s">
        <v>503</v>
      </c>
      <c r="D343" t="s">
        <v>4933</v>
      </c>
      <c r="E343" s="3" t="str">
        <f>IF(LEN(Base_Periodo1[[#This Row],[CLASS]])&gt;=7,LEFT(Base_Periodo1[[#This Row],[CLASS]],7),"")</f>
        <v>1.1.2.1</v>
      </c>
      <c r="F343" s="3" t="str">
        <f>VLOOKUP(Base_Periodo1[[#This Row],[Aux]],Base_Contas_Balanco[#All],2,FALSE)</f>
        <v>Creditos com Cooperados</v>
      </c>
      <c r="G343" s="1">
        <v>42885</v>
      </c>
      <c r="H343" s="225">
        <v>3132.6699999999837</v>
      </c>
      <c r="I343" s="225">
        <v>604.79999999999995</v>
      </c>
      <c r="J343" s="225">
        <v>3237.4700000000003</v>
      </c>
      <c r="K343" s="225">
        <v>499.99999999998363</v>
      </c>
      <c r="L3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343" s="225">
        <f>ROUND(IF(AND(Base_Periodo1[[#This Row],[Tipo_Linha]]="-",Base_Periodo1[[#This Row],[TIPOSALDO]]="D"),Base_Periodo1[[#This Row],[SALDO_ATUAL]]*-1,Base_Periodo1[[#This Row],[SALDO_ATUAL]]),4)</f>
        <v>500</v>
      </c>
      <c r="N343" t="s">
        <v>116</v>
      </c>
      <c r="O343" t="s">
        <v>397</v>
      </c>
      <c r="P343" t="s">
        <v>397</v>
      </c>
      <c r="Q343">
        <v>7</v>
      </c>
      <c r="R343" s="225">
        <f>Base_Periodo1[[#This Row],[CREDITOS]]-Base_Periodo1[[#This Row],[DEBITOS]]</f>
        <v>2632.67</v>
      </c>
      <c r="S343" s="3" t="str">
        <f>IF(ISERROR(VLOOKUP(Base_Periodo1[[#This Row],[CONTA]],BaseContasDRE[#All],4,FALSE)),"Fora do DRE",VLOOKUP(Base_Periodo1[[#This Row],[CONTA]],BaseContasDRE[#All],4,FALSE))</f>
        <v>Fora do DRE</v>
      </c>
      <c r="T343" s="3" t="str">
        <f>IF(ISERROR(VLOOKUP(Base_Periodo1[[#This Row],[CONTA]],BaseContasDRE[#All],5,FALSE)),"Fora do DRE",VLOOKUP(Base_Periodo1[[#This Row],[CONTA]],BaseContasDRE[#All],6,FALSE))</f>
        <v>Fora do DRE</v>
      </c>
      <c r="U343" s="3" t="str">
        <f>IF(ISERROR(VLOOKUP(Base_Periodo1[[#This Row],[CONTA]],BaseContasDRE[#All],7,FALSE)),"Fora do DRE",VLOOKUP(Base_Periodo1[[#This Row],[CONTA]],BaseContasDRE[#All],7,FALSE))</f>
        <v>Fora do DRE</v>
      </c>
      <c r="V343" s="3" t="str">
        <f>IF(Base_Periodo1[[#This Row],[Tipo_Linha]]="Fora do DRE","Fora do DRE","( "&amp;Base_Periodo1[[#This Row],[Tipo_Linha]]&amp;" ) "&amp;Base_Periodo1[[#This Row],[Filtro]])</f>
        <v>Fora do DRE</v>
      </c>
      <c r="W343" s="3" t="str">
        <f>LEFT(Base_Periodo1[[#This Row],[CLASS]],3)</f>
        <v>1.1</v>
      </c>
    </row>
    <row r="344" spans="1:23" hidden="1">
      <c r="A344" s="3" t="str">
        <f t="shared" si="5"/>
        <v>Período 1</v>
      </c>
      <c r="B344">
        <v>50142</v>
      </c>
      <c r="C344" t="s">
        <v>503</v>
      </c>
      <c r="D344" t="s">
        <v>4250</v>
      </c>
      <c r="E344" s="3" t="str">
        <f>IF(LEN(Base_Periodo1[[#This Row],[CLASS]])&gt;=7,LEFT(Base_Periodo1[[#This Row],[CLASS]],7),"")</f>
        <v>1.1.2.1</v>
      </c>
      <c r="F344" s="3" t="str">
        <f>VLOOKUP(Base_Periodo1[[#This Row],[Aux]],Base_Contas_Balanco[#All],2,FALSE)</f>
        <v>Creditos com Cooperados</v>
      </c>
      <c r="G344" s="1">
        <v>42817</v>
      </c>
      <c r="H344" s="225">
        <v>23299.200000000012</v>
      </c>
      <c r="I344" s="225">
        <v>0</v>
      </c>
      <c r="J344" s="225">
        <v>0</v>
      </c>
      <c r="K344" s="225">
        <v>23299.200000000012</v>
      </c>
      <c r="L3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23299.200000000001</v>
      </c>
      <c r="M344" s="225">
        <f>ROUND(IF(AND(Base_Periodo1[[#This Row],[Tipo_Linha]]="-",Base_Periodo1[[#This Row],[TIPOSALDO]]="D"),Base_Periodo1[[#This Row],[SALDO_ATUAL]]*-1,Base_Periodo1[[#This Row],[SALDO_ATUAL]]),4)</f>
        <v>23299.200000000001</v>
      </c>
      <c r="N344" t="s">
        <v>116</v>
      </c>
      <c r="O344" t="s">
        <v>397</v>
      </c>
      <c r="P344" t="s">
        <v>397</v>
      </c>
      <c r="Q344">
        <v>7</v>
      </c>
      <c r="R344" s="225">
        <f>Base_Periodo1[[#This Row],[CREDITOS]]-Base_Periodo1[[#This Row],[DEBITOS]]</f>
        <v>0</v>
      </c>
      <c r="S344" s="3" t="str">
        <f>IF(ISERROR(VLOOKUP(Base_Periodo1[[#This Row],[CONTA]],BaseContasDRE[#All],4,FALSE)),"Fora do DRE",VLOOKUP(Base_Periodo1[[#This Row],[CONTA]],BaseContasDRE[#All],4,FALSE))</f>
        <v>Fora do DRE</v>
      </c>
      <c r="T344" s="3" t="str">
        <f>IF(ISERROR(VLOOKUP(Base_Periodo1[[#This Row],[CONTA]],BaseContasDRE[#All],5,FALSE)),"Fora do DRE",VLOOKUP(Base_Periodo1[[#This Row],[CONTA]],BaseContasDRE[#All],6,FALSE))</f>
        <v>Fora do DRE</v>
      </c>
      <c r="U344" s="3" t="str">
        <f>IF(ISERROR(VLOOKUP(Base_Periodo1[[#This Row],[CONTA]],BaseContasDRE[#All],7,FALSE)),"Fora do DRE",VLOOKUP(Base_Periodo1[[#This Row],[CONTA]],BaseContasDRE[#All],7,FALSE))</f>
        <v>Fora do DRE</v>
      </c>
      <c r="V344" s="3" t="str">
        <f>IF(Base_Periodo1[[#This Row],[Tipo_Linha]]="Fora do DRE","Fora do DRE","( "&amp;Base_Periodo1[[#This Row],[Tipo_Linha]]&amp;" ) "&amp;Base_Periodo1[[#This Row],[Filtro]])</f>
        <v>Fora do DRE</v>
      </c>
      <c r="W344" s="3" t="str">
        <f>LEFT(Base_Periodo1[[#This Row],[CLASS]],3)</f>
        <v>1.1</v>
      </c>
    </row>
    <row r="345" spans="1:23" hidden="1">
      <c r="A345" s="3" t="str">
        <f t="shared" si="5"/>
        <v>Período 1</v>
      </c>
      <c r="B345">
        <v>17152</v>
      </c>
      <c r="C345" t="s">
        <v>503</v>
      </c>
      <c r="D345" t="s">
        <v>656</v>
      </c>
      <c r="E345" s="3" t="str">
        <f>IF(LEN(Base_Periodo1[[#This Row],[CLASS]])&gt;=7,LEFT(Base_Periodo1[[#This Row],[CLASS]],7),"")</f>
        <v>1.1.2.1</v>
      </c>
      <c r="F345" s="3" t="str">
        <f>VLOOKUP(Base_Periodo1[[#This Row],[Aux]],Base_Contas_Balanco[#All],2,FALSE)</f>
        <v>Creditos com Cooperados</v>
      </c>
      <c r="G345" s="1">
        <v>42879</v>
      </c>
      <c r="H345" s="225">
        <v>2401.0000000000291</v>
      </c>
      <c r="I345" s="225">
        <v>1386</v>
      </c>
      <c r="J345" s="225">
        <v>3787.0000000000005</v>
      </c>
      <c r="K345" s="225">
        <v>2.8649083105847239E-11</v>
      </c>
      <c r="L3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5" s="225">
        <f>ROUND(IF(AND(Base_Periodo1[[#This Row],[Tipo_Linha]]="-",Base_Periodo1[[#This Row],[TIPOSALDO]]="D"),Base_Periodo1[[#This Row],[SALDO_ATUAL]]*-1,Base_Periodo1[[#This Row],[SALDO_ATUAL]]),4)</f>
        <v>0</v>
      </c>
      <c r="N345" t="s">
        <v>116</v>
      </c>
      <c r="O345" t="s">
        <v>397</v>
      </c>
      <c r="P345" t="s">
        <v>436</v>
      </c>
      <c r="Q345">
        <v>7</v>
      </c>
      <c r="R345" s="225">
        <f>Base_Periodo1[[#This Row],[CREDITOS]]-Base_Periodo1[[#This Row],[DEBITOS]]</f>
        <v>2401.0000000000005</v>
      </c>
      <c r="S345" s="3" t="str">
        <f>IF(ISERROR(VLOOKUP(Base_Periodo1[[#This Row],[CONTA]],BaseContasDRE[#All],4,FALSE)),"Fora do DRE",VLOOKUP(Base_Periodo1[[#This Row],[CONTA]],BaseContasDRE[#All],4,FALSE))</f>
        <v>Fora do DRE</v>
      </c>
      <c r="T345" s="3" t="str">
        <f>IF(ISERROR(VLOOKUP(Base_Periodo1[[#This Row],[CONTA]],BaseContasDRE[#All],5,FALSE)),"Fora do DRE",VLOOKUP(Base_Periodo1[[#This Row],[CONTA]],BaseContasDRE[#All],6,FALSE))</f>
        <v>Fora do DRE</v>
      </c>
      <c r="U345" s="3" t="str">
        <f>IF(ISERROR(VLOOKUP(Base_Periodo1[[#This Row],[CONTA]],BaseContasDRE[#All],7,FALSE)),"Fora do DRE",VLOOKUP(Base_Periodo1[[#This Row],[CONTA]],BaseContasDRE[#All],7,FALSE))</f>
        <v>Fora do DRE</v>
      </c>
      <c r="V345" s="3" t="str">
        <f>IF(Base_Periodo1[[#This Row],[Tipo_Linha]]="Fora do DRE","Fora do DRE","( "&amp;Base_Periodo1[[#This Row],[Tipo_Linha]]&amp;" ) "&amp;Base_Periodo1[[#This Row],[Filtro]])</f>
        <v>Fora do DRE</v>
      </c>
      <c r="W345" s="3" t="str">
        <f>LEFT(Base_Periodo1[[#This Row],[CLASS]],3)</f>
        <v>1.1</v>
      </c>
    </row>
    <row r="346" spans="1:23" hidden="1">
      <c r="A346" s="3" t="str">
        <f t="shared" si="5"/>
        <v>Período 1</v>
      </c>
      <c r="B346">
        <v>13796</v>
      </c>
      <c r="C346" t="s">
        <v>503</v>
      </c>
      <c r="D346" t="s">
        <v>5852</v>
      </c>
      <c r="E346" s="3" t="str">
        <f>IF(LEN(Base_Periodo1[[#This Row],[CLASS]])&gt;=7,LEFT(Base_Periodo1[[#This Row],[CLASS]],7),"")</f>
        <v>1.1.2.1</v>
      </c>
      <c r="F346" s="3" t="str">
        <f>VLOOKUP(Base_Periodo1[[#This Row],[Aux]],Base_Contas_Balanco[#All],2,FALSE)</f>
        <v>Creditos com Cooperados</v>
      </c>
      <c r="G346" s="1">
        <v>42865</v>
      </c>
      <c r="H346" s="225">
        <v>770</v>
      </c>
      <c r="I346" s="225">
        <v>0</v>
      </c>
      <c r="J346" s="225">
        <v>770</v>
      </c>
      <c r="K346" s="225">
        <v>0</v>
      </c>
      <c r="L3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6" s="225">
        <f>ROUND(IF(AND(Base_Periodo1[[#This Row],[Tipo_Linha]]="-",Base_Periodo1[[#This Row],[TIPOSALDO]]="D"),Base_Periodo1[[#This Row],[SALDO_ATUAL]]*-1,Base_Periodo1[[#This Row],[SALDO_ATUAL]]),4)</f>
        <v>0</v>
      </c>
      <c r="N346" t="s">
        <v>116</v>
      </c>
      <c r="O346" t="s">
        <v>397</v>
      </c>
      <c r="P346" t="s">
        <v>436</v>
      </c>
      <c r="Q346">
        <v>7</v>
      </c>
      <c r="R346" s="225">
        <f>Base_Periodo1[[#This Row],[CREDITOS]]-Base_Periodo1[[#This Row],[DEBITOS]]</f>
        <v>770</v>
      </c>
      <c r="S346" s="3" t="str">
        <f>IF(ISERROR(VLOOKUP(Base_Periodo1[[#This Row],[CONTA]],BaseContasDRE[#All],4,FALSE)),"Fora do DRE",VLOOKUP(Base_Periodo1[[#This Row],[CONTA]],BaseContasDRE[#All],4,FALSE))</f>
        <v>Fora do DRE</v>
      </c>
      <c r="T346" s="3" t="str">
        <f>IF(ISERROR(VLOOKUP(Base_Periodo1[[#This Row],[CONTA]],BaseContasDRE[#All],5,FALSE)),"Fora do DRE",VLOOKUP(Base_Periodo1[[#This Row],[CONTA]],BaseContasDRE[#All],6,FALSE))</f>
        <v>Fora do DRE</v>
      </c>
      <c r="U346" s="3" t="str">
        <f>IF(ISERROR(VLOOKUP(Base_Periodo1[[#This Row],[CONTA]],BaseContasDRE[#All],7,FALSE)),"Fora do DRE",VLOOKUP(Base_Periodo1[[#This Row],[CONTA]],BaseContasDRE[#All],7,FALSE))</f>
        <v>Fora do DRE</v>
      </c>
      <c r="V346" s="3" t="str">
        <f>IF(Base_Periodo1[[#This Row],[Tipo_Linha]]="Fora do DRE","Fora do DRE","( "&amp;Base_Periodo1[[#This Row],[Tipo_Linha]]&amp;" ) "&amp;Base_Periodo1[[#This Row],[Filtro]])</f>
        <v>Fora do DRE</v>
      </c>
      <c r="W346" s="3" t="str">
        <f>LEFT(Base_Periodo1[[#This Row],[CLASS]],3)</f>
        <v>1.1</v>
      </c>
    </row>
    <row r="347" spans="1:23" hidden="1">
      <c r="A347" s="3" t="str">
        <f t="shared" si="5"/>
        <v>Período 1</v>
      </c>
      <c r="B347">
        <v>2716</v>
      </c>
      <c r="C347" t="s">
        <v>503</v>
      </c>
      <c r="D347" t="s">
        <v>657</v>
      </c>
      <c r="E347" s="3" t="str">
        <f>IF(LEN(Base_Periodo1[[#This Row],[CLASS]])&gt;=7,LEFT(Base_Periodo1[[#This Row],[CLASS]],7),"")</f>
        <v>1.1.2.1</v>
      </c>
      <c r="F347" s="3" t="str">
        <f>VLOOKUP(Base_Periodo1[[#This Row],[Aux]],Base_Contas_Balanco[#All],2,FALSE)</f>
        <v>Creditos com Cooperados</v>
      </c>
      <c r="G347" s="1">
        <v>42835</v>
      </c>
      <c r="H347" s="225">
        <v>668.75999999999476</v>
      </c>
      <c r="I347" s="225">
        <v>0</v>
      </c>
      <c r="J347" s="225">
        <v>0</v>
      </c>
      <c r="K347" s="225">
        <v>668.75999999999476</v>
      </c>
      <c r="L3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668.76</v>
      </c>
      <c r="M347" s="225">
        <f>ROUND(IF(AND(Base_Periodo1[[#This Row],[Tipo_Linha]]="-",Base_Periodo1[[#This Row],[TIPOSALDO]]="D"),Base_Periodo1[[#This Row],[SALDO_ATUAL]]*-1,Base_Periodo1[[#This Row],[SALDO_ATUAL]]),4)</f>
        <v>668.76</v>
      </c>
      <c r="N347" t="s">
        <v>116</v>
      </c>
      <c r="O347" t="s">
        <v>397</v>
      </c>
      <c r="P347" t="s">
        <v>397</v>
      </c>
      <c r="Q347">
        <v>7</v>
      </c>
      <c r="R347" s="225">
        <f>Base_Periodo1[[#This Row],[CREDITOS]]-Base_Periodo1[[#This Row],[DEBITOS]]</f>
        <v>0</v>
      </c>
      <c r="S347" s="3" t="str">
        <f>IF(ISERROR(VLOOKUP(Base_Periodo1[[#This Row],[CONTA]],BaseContasDRE[#All],4,FALSE)),"Fora do DRE",VLOOKUP(Base_Periodo1[[#This Row],[CONTA]],BaseContasDRE[#All],4,FALSE))</f>
        <v>Fora do DRE</v>
      </c>
      <c r="T347" s="3" t="str">
        <f>IF(ISERROR(VLOOKUP(Base_Periodo1[[#This Row],[CONTA]],BaseContasDRE[#All],5,FALSE)),"Fora do DRE",VLOOKUP(Base_Periodo1[[#This Row],[CONTA]],BaseContasDRE[#All],6,FALSE))</f>
        <v>Fora do DRE</v>
      </c>
      <c r="U347" s="3" t="str">
        <f>IF(ISERROR(VLOOKUP(Base_Periodo1[[#This Row],[CONTA]],BaseContasDRE[#All],7,FALSE)),"Fora do DRE",VLOOKUP(Base_Periodo1[[#This Row],[CONTA]],BaseContasDRE[#All],7,FALSE))</f>
        <v>Fora do DRE</v>
      </c>
      <c r="V347" s="3" t="str">
        <f>IF(Base_Periodo1[[#This Row],[Tipo_Linha]]="Fora do DRE","Fora do DRE","( "&amp;Base_Periodo1[[#This Row],[Tipo_Linha]]&amp;" ) "&amp;Base_Periodo1[[#This Row],[Filtro]])</f>
        <v>Fora do DRE</v>
      </c>
      <c r="W347" s="3" t="str">
        <f>LEFT(Base_Periodo1[[#This Row],[CLASS]],3)</f>
        <v>1.1</v>
      </c>
    </row>
    <row r="348" spans="1:23" hidden="1">
      <c r="A348" s="3" t="str">
        <f t="shared" si="5"/>
        <v>Período 1</v>
      </c>
      <c r="B348">
        <v>47245</v>
      </c>
      <c r="C348" t="s">
        <v>503</v>
      </c>
      <c r="D348" t="s">
        <v>5637</v>
      </c>
      <c r="E348" s="3" t="str">
        <f>IF(LEN(Base_Periodo1[[#This Row],[CLASS]])&gt;=7,LEFT(Base_Periodo1[[#This Row],[CLASS]],7),"")</f>
        <v>1.1.2.1</v>
      </c>
      <c r="F348" s="3" t="str">
        <f>VLOOKUP(Base_Periodo1[[#This Row],[Aux]],Base_Contas_Balanco[#All],2,FALSE)</f>
        <v>Creditos com Cooperados</v>
      </c>
      <c r="G348" s="1">
        <v>42859</v>
      </c>
      <c r="H348" s="225">
        <v>3986</v>
      </c>
      <c r="I348" s="225">
        <v>175.65</v>
      </c>
      <c r="J348" s="225">
        <v>4161.6499999999996</v>
      </c>
      <c r="K348" s="225">
        <v>0</v>
      </c>
      <c r="L3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8" s="225">
        <f>ROUND(IF(AND(Base_Periodo1[[#This Row],[Tipo_Linha]]="-",Base_Periodo1[[#This Row],[TIPOSALDO]]="D"),Base_Periodo1[[#This Row],[SALDO_ATUAL]]*-1,Base_Periodo1[[#This Row],[SALDO_ATUAL]]),4)</f>
        <v>0</v>
      </c>
      <c r="N348" t="s">
        <v>116</v>
      </c>
      <c r="O348" t="s">
        <v>397</v>
      </c>
      <c r="P348" t="s">
        <v>436</v>
      </c>
      <c r="Q348">
        <v>7</v>
      </c>
      <c r="R348" s="225">
        <f>Base_Periodo1[[#This Row],[CREDITOS]]-Base_Periodo1[[#This Row],[DEBITOS]]</f>
        <v>3985.9999999999995</v>
      </c>
      <c r="S348" s="3" t="str">
        <f>IF(ISERROR(VLOOKUP(Base_Periodo1[[#This Row],[CONTA]],BaseContasDRE[#All],4,FALSE)),"Fora do DRE",VLOOKUP(Base_Periodo1[[#This Row],[CONTA]],BaseContasDRE[#All],4,FALSE))</f>
        <v>Fora do DRE</v>
      </c>
      <c r="T348" s="3" t="str">
        <f>IF(ISERROR(VLOOKUP(Base_Periodo1[[#This Row],[CONTA]],BaseContasDRE[#All],5,FALSE)),"Fora do DRE",VLOOKUP(Base_Periodo1[[#This Row],[CONTA]],BaseContasDRE[#All],6,FALSE))</f>
        <v>Fora do DRE</v>
      </c>
      <c r="U348" s="3" t="str">
        <f>IF(ISERROR(VLOOKUP(Base_Periodo1[[#This Row],[CONTA]],BaseContasDRE[#All],7,FALSE)),"Fora do DRE",VLOOKUP(Base_Periodo1[[#This Row],[CONTA]],BaseContasDRE[#All],7,FALSE))</f>
        <v>Fora do DRE</v>
      </c>
      <c r="V348" s="3" t="str">
        <f>IF(Base_Periodo1[[#This Row],[Tipo_Linha]]="Fora do DRE","Fora do DRE","( "&amp;Base_Periodo1[[#This Row],[Tipo_Linha]]&amp;" ) "&amp;Base_Periodo1[[#This Row],[Filtro]])</f>
        <v>Fora do DRE</v>
      </c>
      <c r="W348" s="3" t="str">
        <f>LEFT(Base_Periodo1[[#This Row],[CLASS]],3)</f>
        <v>1.1</v>
      </c>
    </row>
    <row r="349" spans="1:23" hidden="1">
      <c r="A349" s="3" t="str">
        <f t="shared" si="5"/>
        <v>Período 1</v>
      </c>
      <c r="B349">
        <v>2152</v>
      </c>
      <c r="C349" t="s">
        <v>503</v>
      </c>
      <c r="D349" t="s">
        <v>658</v>
      </c>
      <c r="E349" s="3" t="str">
        <f>IF(LEN(Base_Periodo1[[#This Row],[CLASS]])&gt;=7,LEFT(Base_Periodo1[[#This Row],[CLASS]],7),"")</f>
        <v>1.1.2.1</v>
      </c>
      <c r="F349" s="3" t="str">
        <f>VLOOKUP(Base_Periodo1[[#This Row],[Aux]],Base_Contas_Balanco[#All],2,FALSE)</f>
        <v>Creditos com Cooperados</v>
      </c>
      <c r="G349" s="1">
        <v>42886</v>
      </c>
      <c r="H349" s="225">
        <v>270123.09999999404</v>
      </c>
      <c r="I349" s="225">
        <v>169060.40000000002</v>
      </c>
      <c r="J349" s="225">
        <v>216469.76000000001</v>
      </c>
      <c r="K349" s="225">
        <v>222713.73999999405</v>
      </c>
      <c r="L3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222713.74</v>
      </c>
      <c r="M349" s="225">
        <f>ROUND(IF(AND(Base_Periodo1[[#This Row],[Tipo_Linha]]="-",Base_Periodo1[[#This Row],[TIPOSALDO]]="D"),Base_Periodo1[[#This Row],[SALDO_ATUAL]]*-1,Base_Periodo1[[#This Row],[SALDO_ATUAL]]),4)</f>
        <v>222713.74</v>
      </c>
      <c r="N349" t="s">
        <v>116</v>
      </c>
      <c r="O349" t="s">
        <v>397</v>
      </c>
      <c r="P349" t="s">
        <v>397</v>
      </c>
      <c r="Q349">
        <v>7</v>
      </c>
      <c r="R349" s="225">
        <f>Base_Periodo1[[#This Row],[CREDITOS]]-Base_Periodo1[[#This Row],[DEBITOS]]</f>
        <v>47409.359999999986</v>
      </c>
      <c r="S349" s="3" t="str">
        <f>IF(ISERROR(VLOOKUP(Base_Periodo1[[#This Row],[CONTA]],BaseContasDRE[#All],4,FALSE)),"Fora do DRE",VLOOKUP(Base_Periodo1[[#This Row],[CONTA]],BaseContasDRE[#All],4,FALSE))</f>
        <v>Fora do DRE</v>
      </c>
      <c r="T349" s="3" t="str">
        <f>IF(ISERROR(VLOOKUP(Base_Periodo1[[#This Row],[CONTA]],BaseContasDRE[#All],5,FALSE)),"Fora do DRE",VLOOKUP(Base_Periodo1[[#This Row],[CONTA]],BaseContasDRE[#All],6,FALSE))</f>
        <v>Fora do DRE</v>
      </c>
      <c r="U349" s="3" t="str">
        <f>IF(ISERROR(VLOOKUP(Base_Periodo1[[#This Row],[CONTA]],BaseContasDRE[#All],7,FALSE)),"Fora do DRE",VLOOKUP(Base_Periodo1[[#This Row],[CONTA]],BaseContasDRE[#All],7,FALSE))</f>
        <v>Fora do DRE</v>
      </c>
      <c r="V349" s="3" t="str">
        <f>IF(Base_Periodo1[[#This Row],[Tipo_Linha]]="Fora do DRE","Fora do DRE","( "&amp;Base_Periodo1[[#This Row],[Tipo_Linha]]&amp;" ) "&amp;Base_Periodo1[[#This Row],[Filtro]])</f>
        <v>Fora do DRE</v>
      </c>
      <c r="W349" s="3" t="str">
        <f>LEFT(Base_Periodo1[[#This Row],[CLASS]],3)</f>
        <v>1.1</v>
      </c>
    </row>
    <row r="350" spans="1:23" hidden="1">
      <c r="A350" s="3" t="str">
        <f t="shared" si="5"/>
        <v>Período 1</v>
      </c>
      <c r="B350">
        <v>40226</v>
      </c>
      <c r="C350" t="s">
        <v>503</v>
      </c>
      <c r="D350" t="s">
        <v>659</v>
      </c>
      <c r="E350" s="3" t="str">
        <f>IF(LEN(Base_Periodo1[[#This Row],[CLASS]])&gt;=7,LEFT(Base_Periodo1[[#This Row],[CLASS]],7),"")</f>
        <v>1.1.2.1</v>
      </c>
      <c r="F350" s="3" t="str">
        <f>VLOOKUP(Base_Periodo1[[#This Row],[Aux]],Base_Contas_Balanco[#All],2,FALSE)</f>
        <v>Creditos com Cooperados</v>
      </c>
      <c r="G350" s="1">
        <v>42878</v>
      </c>
      <c r="H350" s="225">
        <v>3416.0899999999965</v>
      </c>
      <c r="I350" s="225">
        <v>0</v>
      </c>
      <c r="J350" s="225">
        <v>3416.0899999999997</v>
      </c>
      <c r="K350" s="225">
        <v>-3.1832314562052488E-12</v>
      </c>
      <c r="L3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0" s="225">
        <f>ROUND(IF(AND(Base_Periodo1[[#This Row],[Tipo_Linha]]="-",Base_Periodo1[[#This Row],[TIPOSALDO]]="D"),Base_Periodo1[[#This Row],[SALDO_ATUAL]]*-1,Base_Periodo1[[#This Row],[SALDO_ATUAL]]),4)</f>
        <v>0</v>
      </c>
      <c r="N350" t="s">
        <v>116</v>
      </c>
      <c r="O350" t="s">
        <v>397</v>
      </c>
      <c r="P350" t="s">
        <v>436</v>
      </c>
      <c r="Q350">
        <v>7</v>
      </c>
      <c r="R350" s="225">
        <f>Base_Periodo1[[#This Row],[CREDITOS]]-Base_Periodo1[[#This Row],[DEBITOS]]</f>
        <v>3416.0899999999997</v>
      </c>
      <c r="S350" s="3" t="str">
        <f>IF(ISERROR(VLOOKUP(Base_Periodo1[[#This Row],[CONTA]],BaseContasDRE[#All],4,FALSE)),"Fora do DRE",VLOOKUP(Base_Periodo1[[#This Row],[CONTA]],BaseContasDRE[#All],4,FALSE))</f>
        <v>Fora do DRE</v>
      </c>
      <c r="T350" s="3" t="str">
        <f>IF(ISERROR(VLOOKUP(Base_Periodo1[[#This Row],[CONTA]],BaseContasDRE[#All],5,FALSE)),"Fora do DRE",VLOOKUP(Base_Periodo1[[#This Row],[CONTA]],BaseContasDRE[#All],6,FALSE))</f>
        <v>Fora do DRE</v>
      </c>
      <c r="U350" s="3" t="str">
        <f>IF(ISERROR(VLOOKUP(Base_Periodo1[[#This Row],[CONTA]],BaseContasDRE[#All],7,FALSE)),"Fora do DRE",VLOOKUP(Base_Periodo1[[#This Row],[CONTA]],BaseContasDRE[#All],7,FALSE))</f>
        <v>Fora do DRE</v>
      </c>
      <c r="V350" s="3" t="str">
        <f>IF(Base_Periodo1[[#This Row],[Tipo_Linha]]="Fora do DRE","Fora do DRE","( "&amp;Base_Periodo1[[#This Row],[Tipo_Linha]]&amp;" ) "&amp;Base_Periodo1[[#This Row],[Filtro]])</f>
        <v>Fora do DRE</v>
      </c>
      <c r="W350" s="3" t="str">
        <f>LEFT(Base_Periodo1[[#This Row],[CLASS]],3)</f>
        <v>1.1</v>
      </c>
    </row>
    <row r="351" spans="1:23" hidden="1">
      <c r="A351" s="3" t="str">
        <f t="shared" si="5"/>
        <v>Período 1</v>
      </c>
      <c r="B351">
        <v>3116</v>
      </c>
      <c r="C351" t="s">
        <v>503</v>
      </c>
      <c r="D351" t="s">
        <v>660</v>
      </c>
      <c r="E351" s="3" t="str">
        <f>IF(LEN(Base_Periodo1[[#This Row],[CLASS]])&gt;=7,LEFT(Base_Periodo1[[#This Row],[CLASS]],7),"")</f>
        <v>1.1.2.1</v>
      </c>
      <c r="F351" s="3" t="str">
        <f>VLOOKUP(Base_Periodo1[[#This Row],[Aux]],Base_Contas_Balanco[#All],2,FALSE)</f>
        <v>Creditos com Cooperados</v>
      </c>
      <c r="G351" s="1">
        <v>42884</v>
      </c>
      <c r="H351" s="225">
        <v>31832.119999999413</v>
      </c>
      <c r="I351" s="225">
        <v>1574.72</v>
      </c>
      <c r="J351" s="225">
        <v>26705.539999999997</v>
      </c>
      <c r="K351" s="225">
        <v>6701.2999999994172</v>
      </c>
      <c r="L3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6701.3</v>
      </c>
      <c r="M351" s="225">
        <f>ROUND(IF(AND(Base_Periodo1[[#This Row],[Tipo_Linha]]="-",Base_Periodo1[[#This Row],[TIPOSALDO]]="D"),Base_Periodo1[[#This Row],[SALDO_ATUAL]]*-1,Base_Periodo1[[#This Row],[SALDO_ATUAL]]),4)</f>
        <v>6701.3</v>
      </c>
      <c r="N351" t="s">
        <v>116</v>
      </c>
      <c r="O351" t="s">
        <v>397</v>
      </c>
      <c r="P351" t="s">
        <v>397</v>
      </c>
      <c r="Q351">
        <v>7</v>
      </c>
      <c r="R351" s="225">
        <f>Base_Periodo1[[#This Row],[CREDITOS]]-Base_Periodo1[[#This Row],[DEBITOS]]</f>
        <v>25130.819999999996</v>
      </c>
      <c r="S351" s="3" t="str">
        <f>IF(ISERROR(VLOOKUP(Base_Periodo1[[#This Row],[CONTA]],BaseContasDRE[#All],4,FALSE)),"Fora do DRE",VLOOKUP(Base_Periodo1[[#This Row],[CONTA]],BaseContasDRE[#All],4,FALSE))</f>
        <v>Fora do DRE</v>
      </c>
      <c r="T351" s="3" t="str">
        <f>IF(ISERROR(VLOOKUP(Base_Periodo1[[#This Row],[CONTA]],BaseContasDRE[#All],5,FALSE)),"Fora do DRE",VLOOKUP(Base_Periodo1[[#This Row],[CONTA]],BaseContasDRE[#All],6,FALSE))</f>
        <v>Fora do DRE</v>
      </c>
      <c r="U351" s="3" t="str">
        <f>IF(ISERROR(VLOOKUP(Base_Periodo1[[#This Row],[CONTA]],BaseContasDRE[#All],7,FALSE)),"Fora do DRE",VLOOKUP(Base_Periodo1[[#This Row],[CONTA]],BaseContasDRE[#All],7,FALSE))</f>
        <v>Fora do DRE</v>
      </c>
      <c r="V351" s="3" t="str">
        <f>IF(Base_Periodo1[[#This Row],[Tipo_Linha]]="Fora do DRE","Fora do DRE","( "&amp;Base_Periodo1[[#This Row],[Tipo_Linha]]&amp;" ) "&amp;Base_Periodo1[[#This Row],[Filtro]])</f>
        <v>Fora do DRE</v>
      </c>
      <c r="W351" s="3" t="str">
        <f>LEFT(Base_Periodo1[[#This Row],[CLASS]],3)</f>
        <v>1.1</v>
      </c>
    </row>
    <row r="352" spans="1:23" hidden="1">
      <c r="A352" s="3" t="str">
        <f t="shared" si="5"/>
        <v>Período 1</v>
      </c>
      <c r="B352">
        <v>4396</v>
      </c>
      <c r="C352" t="s">
        <v>503</v>
      </c>
      <c r="D352" t="s">
        <v>661</v>
      </c>
      <c r="E352" s="3" t="str">
        <f>IF(LEN(Base_Periodo1[[#This Row],[CLASS]])&gt;=7,LEFT(Base_Periodo1[[#This Row],[CLASS]],7),"")</f>
        <v>1.1.2.1</v>
      </c>
      <c r="F352" s="3" t="str">
        <f>VLOOKUP(Base_Periodo1[[#This Row],[Aux]],Base_Contas_Balanco[#All],2,FALSE)</f>
        <v>Creditos com Cooperados</v>
      </c>
      <c r="G352" s="1">
        <v>42809</v>
      </c>
      <c r="H352" s="225">
        <v>273.48000000001048</v>
      </c>
      <c r="I352" s="225">
        <v>0</v>
      </c>
      <c r="J352" s="225">
        <v>0</v>
      </c>
      <c r="K352" s="225">
        <v>273.48000000001048</v>
      </c>
      <c r="L3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273.48</v>
      </c>
      <c r="M352" s="225">
        <f>ROUND(IF(AND(Base_Periodo1[[#This Row],[Tipo_Linha]]="-",Base_Periodo1[[#This Row],[TIPOSALDO]]="D"),Base_Periodo1[[#This Row],[SALDO_ATUAL]]*-1,Base_Periodo1[[#This Row],[SALDO_ATUAL]]),4)</f>
        <v>273.48</v>
      </c>
      <c r="N352" t="s">
        <v>116</v>
      </c>
      <c r="O352" t="s">
        <v>397</v>
      </c>
      <c r="P352" t="s">
        <v>397</v>
      </c>
      <c r="Q352">
        <v>7</v>
      </c>
      <c r="R352" s="225">
        <f>Base_Periodo1[[#This Row],[CREDITOS]]-Base_Periodo1[[#This Row],[DEBITOS]]</f>
        <v>0</v>
      </c>
      <c r="S352" s="3" t="str">
        <f>IF(ISERROR(VLOOKUP(Base_Periodo1[[#This Row],[CONTA]],BaseContasDRE[#All],4,FALSE)),"Fora do DRE",VLOOKUP(Base_Periodo1[[#This Row],[CONTA]],BaseContasDRE[#All],4,FALSE))</f>
        <v>Fora do DRE</v>
      </c>
      <c r="T352" s="3" t="str">
        <f>IF(ISERROR(VLOOKUP(Base_Periodo1[[#This Row],[CONTA]],BaseContasDRE[#All],5,FALSE)),"Fora do DRE",VLOOKUP(Base_Periodo1[[#This Row],[CONTA]],BaseContasDRE[#All],6,FALSE))</f>
        <v>Fora do DRE</v>
      </c>
      <c r="U352" s="3" t="str">
        <f>IF(ISERROR(VLOOKUP(Base_Periodo1[[#This Row],[CONTA]],BaseContasDRE[#All],7,FALSE)),"Fora do DRE",VLOOKUP(Base_Periodo1[[#This Row],[CONTA]],BaseContasDRE[#All],7,FALSE))</f>
        <v>Fora do DRE</v>
      </c>
      <c r="V352" s="3" t="str">
        <f>IF(Base_Periodo1[[#This Row],[Tipo_Linha]]="Fora do DRE","Fora do DRE","( "&amp;Base_Periodo1[[#This Row],[Tipo_Linha]]&amp;" ) "&amp;Base_Periodo1[[#This Row],[Filtro]])</f>
        <v>Fora do DRE</v>
      </c>
      <c r="W352" s="3" t="str">
        <f>LEFT(Base_Periodo1[[#This Row],[CLASS]],3)</f>
        <v>1.1</v>
      </c>
    </row>
    <row r="353" spans="1:23" hidden="1">
      <c r="A353" s="3" t="str">
        <f t="shared" si="5"/>
        <v>Período 1</v>
      </c>
      <c r="B353">
        <v>39627</v>
      </c>
      <c r="C353" t="s">
        <v>503</v>
      </c>
      <c r="D353" t="s">
        <v>5481</v>
      </c>
      <c r="E353" s="3" t="str">
        <f>IF(LEN(Base_Periodo1[[#This Row],[CLASS]])&gt;=7,LEFT(Base_Periodo1[[#This Row],[CLASS]],7),"")</f>
        <v>1.1.2.1</v>
      </c>
      <c r="F353" s="3" t="str">
        <f>VLOOKUP(Base_Periodo1[[#This Row],[Aux]],Base_Contas_Balanco[#All],2,FALSE)</f>
        <v>Creditos com Cooperados</v>
      </c>
      <c r="G353" s="1">
        <v>42857</v>
      </c>
      <c r="H353" s="225">
        <v>135</v>
      </c>
      <c r="I353" s="225">
        <v>0</v>
      </c>
      <c r="J353" s="225">
        <v>135</v>
      </c>
      <c r="K353" s="225">
        <v>0</v>
      </c>
      <c r="L3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3" s="225">
        <f>ROUND(IF(AND(Base_Periodo1[[#This Row],[Tipo_Linha]]="-",Base_Periodo1[[#This Row],[TIPOSALDO]]="D"),Base_Periodo1[[#This Row],[SALDO_ATUAL]]*-1,Base_Periodo1[[#This Row],[SALDO_ATUAL]]),4)</f>
        <v>0</v>
      </c>
      <c r="N353" t="s">
        <v>116</v>
      </c>
      <c r="O353" t="s">
        <v>397</v>
      </c>
      <c r="P353" t="s">
        <v>436</v>
      </c>
      <c r="Q353">
        <v>7</v>
      </c>
      <c r="R353" s="225">
        <f>Base_Periodo1[[#This Row],[CREDITOS]]-Base_Periodo1[[#This Row],[DEBITOS]]</f>
        <v>135</v>
      </c>
      <c r="S353" s="3" t="str">
        <f>IF(ISERROR(VLOOKUP(Base_Periodo1[[#This Row],[CONTA]],BaseContasDRE[#All],4,FALSE)),"Fora do DRE",VLOOKUP(Base_Periodo1[[#This Row],[CONTA]],BaseContasDRE[#All],4,FALSE))</f>
        <v>Fora do DRE</v>
      </c>
      <c r="T353" s="3" t="str">
        <f>IF(ISERROR(VLOOKUP(Base_Periodo1[[#This Row],[CONTA]],BaseContasDRE[#All],5,FALSE)),"Fora do DRE",VLOOKUP(Base_Periodo1[[#This Row],[CONTA]],BaseContasDRE[#All],6,FALSE))</f>
        <v>Fora do DRE</v>
      </c>
      <c r="U353" s="3" t="str">
        <f>IF(ISERROR(VLOOKUP(Base_Periodo1[[#This Row],[CONTA]],BaseContasDRE[#All],7,FALSE)),"Fora do DRE",VLOOKUP(Base_Periodo1[[#This Row],[CONTA]],BaseContasDRE[#All],7,FALSE))</f>
        <v>Fora do DRE</v>
      </c>
      <c r="V353" s="3" t="str">
        <f>IF(Base_Periodo1[[#This Row],[Tipo_Linha]]="Fora do DRE","Fora do DRE","( "&amp;Base_Periodo1[[#This Row],[Tipo_Linha]]&amp;" ) "&amp;Base_Periodo1[[#This Row],[Filtro]])</f>
        <v>Fora do DRE</v>
      </c>
      <c r="W353" s="3" t="str">
        <f>LEFT(Base_Periodo1[[#This Row],[CLASS]],3)</f>
        <v>1.1</v>
      </c>
    </row>
    <row r="354" spans="1:23" hidden="1">
      <c r="A354" s="3" t="str">
        <f t="shared" si="5"/>
        <v>Período 1</v>
      </c>
      <c r="B354">
        <v>47950</v>
      </c>
      <c r="C354" t="s">
        <v>503</v>
      </c>
      <c r="D354" t="s">
        <v>662</v>
      </c>
      <c r="E354" s="3" t="str">
        <f>IF(LEN(Base_Periodo1[[#This Row],[CLASS]])&gt;=7,LEFT(Base_Periodo1[[#This Row],[CLASS]],7),"")</f>
        <v>1.1.2.1</v>
      </c>
      <c r="F354" s="3" t="str">
        <f>VLOOKUP(Base_Periodo1[[#This Row],[Aux]],Base_Contas_Balanco[#All],2,FALSE)</f>
        <v>Creditos com Cooperados</v>
      </c>
      <c r="G354" s="1">
        <v>42860</v>
      </c>
      <c r="I354" s="225">
        <v>502.6</v>
      </c>
      <c r="J354" s="225">
        <v>0</v>
      </c>
      <c r="K354" s="225">
        <v>502.6000000000073</v>
      </c>
      <c r="L3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502.6</v>
      </c>
      <c r="M354" s="225">
        <f>ROUND(IF(AND(Base_Periodo1[[#This Row],[Tipo_Linha]]="-",Base_Periodo1[[#This Row],[TIPOSALDO]]="D"),Base_Periodo1[[#This Row],[SALDO_ATUAL]]*-1,Base_Periodo1[[#This Row],[SALDO_ATUAL]]),4)</f>
        <v>502.6</v>
      </c>
      <c r="N354" t="s">
        <v>116</v>
      </c>
      <c r="O354" t="s">
        <v>436</v>
      </c>
      <c r="P354" t="s">
        <v>397</v>
      </c>
      <c r="Q354">
        <v>7</v>
      </c>
      <c r="R354" s="225">
        <f>Base_Periodo1[[#This Row],[CREDITOS]]-Base_Periodo1[[#This Row],[DEBITOS]]</f>
        <v>-502.6</v>
      </c>
      <c r="S354" s="3" t="str">
        <f>IF(ISERROR(VLOOKUP(Base_Periodo1[[#This Row],[CONTA]],BaseContasDRE[#All],4,FALSE)),"Fora do DRE",VLOOKUP(Base_Periodo1[[#This Row],[CONTA]],BaseContasDRE[#All],4,FALSE))</f>
        <v>Fora do DRE</v>
      </c>
      <c r="T354" s="3" t="str">
        <f>IF(ISERROR(VLOOKUP(Base_Periodo1[[#This Row],[CONTA]],BaseContasDRE[#All],5,FALSE)),"Fora do DRE",VLOOKUP(Base_Periodo1[[#This Row],[CONTA]],BaseContasDRE[#All],6,FALSE))</f>
        <v>Fora do DRE</v>
      </c>
      <c r="U354" s="3" t="str">
        <f>IF(ISERROR(VLOOKUP(Base_Periodo1[[#This Row],[CONTA]],BaseContasDRE[#All],7,FALSE)),"Fora do DRE",VLOOKUP(Base_Periodo1[[#This Row],[CONTA]],BaseContasDRE[#All],7,FALSE))</f>
        <v>Fora do DRE</v>
      </c>
      <c r="V354" s="3" t="str">
        <f>IF(Base_Periodo1[[#This Row],[Tipo_Linha]]="Fora do DRE","Fora do DRE","( "&amp;Base_Periodo1[[#This Row],[Tipo_Linha]]&amp;" ) "&amp;Base_Periodo1[[#This Row],[Filtro]])</f>
        <v>Fora do DRE</v>
      </c>
      <c r="W354" s="3" t="str">
        <f>LEFT(Base_Periodo1[[#This Row],[CLASS]],3)</f>
        <v>1.1</v>
      </c>
    </row>
    <row r="355" spans="1:23" hidden="1">
      <c r="A355" s="3" t="str">
        <f t="shared" si="5"/>
        <v>Período 1</v>
      </c>
      <c r="B355">
        <v>39052</v>
      </c>
      <c r="C355" t="s">
        <v>503</v>
      </c>
      <c r="D355" t="s">
        <v>663</v>
      </c>
      <c r="E355" s="3" t="str">
        <f>IF(LEN(Base_Periodo1[[#This Row],[CLASS]])&gt;=7,LEFT(Base_Periodo1[[#This Row],[CLASS]],7),"")</f>
        <v>1.1.2.1</v>
      </c>
      <c r="F355" s="3" t="str">
        <f>VLOOKUP(Base_Periodo1[[#This Row],[Aux]],Base_Contas_Balanco[#All],2,FALSE)</f>
        <v>Creditos com Cooperados</v>
      </c>
      <c r="G355" s="1">
        <v>42880</v>
      </c>
      <c r="H355" s="225">
        <v>73385.550000000047</v>
      </c>
      <c r="I355" s="225">
        <v>6115.92</v>
      </c>
      <c r="J355" s="225">
        <v>921.92</v>
      </c>
      <c r="K355" s="225">
        <v>78579.550000000047</v>
      </c>
      <c r="L3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78579.55</v>
      </c>
      <c r="M355" s="225">
        <f>ROUND(IF(AND(Base_Periodo1[[#This Row],[Tipo_Linha]]="-",Base_Periodo1[[#This Row],[TIPOSALDO]]="D"),Base_Periodo1[[#This Row],[SALDO_ATUAL]]*-1,Base_Periodo1[[#This Row],[SALDO_ATUAL]]),4)</f>
        <v>78579.55</v>
      </c>
      <c r="N355" t="s">
        <v>116</v>
      </c>
      <c r="O355" t="s">
        <v>397</v>
      </c>
      <c r="P355" t="s">
        <v>397</v>
      </c>
      <c r="Q355">
        <v>7</v>
      </c>
      <c r="R355" s="225">
        <f>Base_Periodo1[[#This Row],[CREDITOS]]-Base_Periodo1[[#This Row],[DEBITOS]]</f>
        <v>-5194</v>
      </c>
      <c r="S355" s="3" t="str">
        <f>IF(ISERROR(VLOOKUP(Base_Periodo1[[#This Row],[CONTA]],BaseContasDRE[#All],4,FALSE)),"Fora do DRE",VLOOKUP(Base_Periodo1[[#This Row],[CONTA]],BaseContasDRE[#All],4,FALSE))</f>
        <v>Fora do DRE</v>
      </c>
      <c r="T355" s="3" t="str">
        <f>IF(ISERROR(VLOOKUP(Base_Periodo1[[#This Row],[CONTA]],BaseContasDRE[#All],5,FALSE)),"Fora do DRE",VLOOKUP(Base_Periodo1[[#This Row],[CONTA]],BaseContasDRE[#All],6,FALSE))</f>
        <v>Fora do DRE</v>
      </c>
      <c r="U355" s="3" t="str">
        <f>IF(ISERROR(VLOOKUP(Base_Periodo1[[#This Row],[CONTA]],BaseContasDRE[#All],7,FALSE)),"Fora do DRE",VLOOKUP(Base_Periodo1[[#This Row],[CONTA]],BaseContasDRE[#All],7,FALSE))</f>
        <v>Fora do DRE</v>
      </c>
      <c r="V355" s="3" t="str">
        <f>IF(Base_Periodo1[[#This Row],[Tipo_Linha]]="Fora do DRE","Fora do DRE","( "&amp;Base_Periodo1[[#This Row],[Tipo_Linha]]&amp;" ) "&amp;Base_Periodo1[[#This Row],[Filtro]])</f>
        <v>Fora do DRE</v>
      </c>
      <c r="W355" s="3" t="str">
        <f>LEFT(Base_Periodo1[[#This Row],[CLASS]],3)</f>
        <v>1.1</v>
      </c>
    </row>
    <row r="356" spans="1:23" hidden="1">
      <c r="A356" s="3" t="str">
        <f t="shared" si="5"/>
        <v>Período 1</v>
      </c>
      <c r="B356">
        <v>23806</v>
      </c>
      <c r="C356" t="s">
        <v>503</v>
      </c>
      <c r="D356" t="s">
        <v>664</v>
      </c>
      <c r="E356" s="3" t="str">
        <f>IF(LEN(Base_Periodo1[[#This Row],[CLASS]])&gt;=7,LEFT(Base_Periodo1[[#This Row],[CLASS]],7),"")</f>
        <v>1.1.2.1</v>
      </c>
      <c r="F356" s="3" t="str">
        <f>VLOOKUP(Base_Periodo1[[#This Row],[Aux]],Base_Contas_Balanco[#All],2,FALSE)</f>
        <v>Creditos com Cooperados</v>
      </c>
      <c r="G356" s="1">
        <v>42879</v>
      </c>
      <c r="H356" s="225">
        <v>27185.45000000007</v>
      </c>
      <c r="I356" s="225">
        <v>10098</v>
      </c>
      <c r="J356" s="225">
        <v>5547.5</v>
      </c>
      <c r="K356" s="225">
        <v>31735.95000000007</v>
      </c>
      <c r="L3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31735.95</v>
      </c>
      <c r="M356" s="225">
        <f>ROUND(IF(AND(Base_Periodo1[[#This Row],[Tipo_Linha]]="-",Base_Periodo1[[#This Row],[TIPOSALDO]]="D"),Base_Periodo1[[#This Row],[SALDO_ATUAL]]*-1,Base_Periodo1[[#This Row],[SALDO_ATUAL]]),4)</f>
        <v>31735.95</v>
      </c>
      <c r="N356" t="s">
        <v>116</v>
      </c>
      <c r="O356" t="s">
        <v>397</v>
      </c>
      <c r="P356" t="s">
        <v>397</v>
      </c>
      <c r="Q356">
        <v>7</v>
      </c>
      <c r="R356" s="225">
        <f>Base_Periodo1[[#This Row],[CREDITOS]]-Base_Periodo1[[#This Row],[DEBITOS]]</f>
        <v>-4550.5</v>
      </c>
      <c r="S356" s="3" t="str">
        <f>IF(ISERROR(VLOOKUP(Base_Periodo1[[#This Row],[CONTA]],BaseContasDRE[#All],4,FALSE)),"Fora do DRE",VLOOKUP(Base_Periodo1[[#This Row],[CONTA]],BaseContasDRE[#All],4,FALSE))</f>
        <v>Fora do DRE</v>
      </c>
      <c r="T356" s="3" t="str">
        <f>IF(ISERROR(VLOOKUP(Base_Periodo1[[#This Row],[CONTA]],BaseContasDRE[#All],5,FALSE)),"Fora do DRE",VLOOKUP(Base_Periodo1[[#This Row],[CONTA]],BaseContasDRE[#All],6,FALSE))</f>
        <v>Fora do DRE</v>
      </c>
      <c r="U356" s="3" t="str">
        <f>IF(ISERROR(VLOOKUP(Base_Periodo1[[#This Row],[CONTA]],BaseContasDRE[#All],7,FALSE)),"Fora do DRE",VLOOKUP(Base_Periodo1[[#This Row],[CONTA]],BaseContasDRE[#All],7,FALSE))</f>
        <v>Fora do DRE</v>
      </c>
      <c r="V356" s="3" t="str">
        <f>IF(Base_Periodo1[[#This Row],[Tipo_Linha]]="Fora do DRE","Fora do DRE","( "&amp;Base_Periodo1[[#This Row],[Tipo_Linha]]&amp;" ) "&amp;Base_Periodo1[[#This Row],[Filtro]])</f>
        <v>Fora do DRE</v>
      </c>
      <c r="W356" s="3" t="str">
        <f>LEFT(Base_Periodo1[[#This Row],[CLASS]],3)</f>
        <v>1.1</v>
      </c>
    </row>
    <row r="357" spans="1:23" hidden="1">
      <c r="A357" s="3" t="str">
        <f t="shared" si="5"/>
        <v>Período 1</v>
      </c>
      <c r="B357">
        <v>10971</v>
      </c>
      <c r="C357" t="s">
        <v>503</v>
      </c>
      <c r="D357" t="s">
        <v>4996</v>
      </c>
      <c r="E357" s="3" t="str">
        <f>IF(LEN(Base_Periodo1[[#This Row],[CLASS]])&gt;=7,LEFT(Base_Periodo1[[#This Row],[CLASS]],7),"")</f>
        <v>1.1.2.1</v>
      </c>
      <c r="F357" s="3" t="str">
        <f>VLOOKUP(Base_Periodo1[[#This Row],[Aux]],Base_Contas_Balanco[#All],2,FALSE)</f>
        <v>Creditos com Cooperados</v>
      </c>
      <c r="G357" s="1">
        <v>42867</v>
      </c>
      <c r="H357" s="225">
        <v>21339.999999999985</v>
      </c>
      <c r="I357" s="225">
        <v>16675.199999999997</v>
      </c>
      <c r="J357" s="225">
        <v>38015.199999999997</v>
      </c>
      <c r="K357" s="225">
        <v>-1.4551915228366852E-11</v>
      </c>
      <c r="L3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7" s="225">
        <f>ROUND(IF(AND(Base_Periodo1[[#This Row],[Tipo_Linha]]="-",Base_Periodo1[[#This Row],[TIPOSALDO]]="D"),Base_Periodo1[[#This Row],[SALDO_ATUAL]]*-1,Base_Periodo1[[#This Row],[SALDO_ATUAL]]),4)</f>
        <v>0</v>
      </c>
      <c r="N357" t="s">
        <v>116</v>
      </c>
      <c r="O357" t="s">
        <v>397</v>
      </c>
      <c r="P357" t="s">
        <v>436</v>
      </c>
      <c r="Q357">
        <v>7</v>
      </c>
      <c r="R357" s="225">
        <f>Base_Periodo1[[#This Row],[CREDITOS]]-Base_Periodo1[[#This Row],[DEBITOS]]</f>
        <v>21340</v>
      </c>
      <c r="S357" s="3" t="str">
        <f>IF(ISERROR(VLOOKUP(Base_Periodo1[[#This Row],[CONTA]],BaseContasDRE[#All],4,FALSE)),"Fora do DRE",VLOOKUP(Base_Periodo1[[#This Row],[CONTA]],BaseContasDRE[#All],4,FALSE))</f>
        <v>Fora do DRE</v>
      </c>
      <c r="T357" s="3" t="str">
        <f>IF(ISERROR(VLOOKUP(Base_Periodo1[[#This Row],[CONTA]],BaseContasDRE[#All],5,FALSE)),"Fora do DRE",VLOOKUP(Base_Periodo1[[#This Row],[CONTA]],BaseContasDRE[#All],6,FALSE))</f>
        <v>Fora do DRE</v>
      </c>
      <c r="U357" s="3" t="str">
        <f>IF(ISERROR(VLOOKUP(Base_Periodo1[[#This Row],[CONTA]],BaseContasDRE[#All],7,FALSE)),"Fora do DRE",VLOOKUP(Base_Periodo1[[#This Row],[CONTA]],BaseContasDRE[#All],7,FALSE))</f>
        <v>Fora do DRE</v>
      </c>
      <c r="V357" s="3" t="str">
        <f>IF(Base_Periodo1[[#This Row],[Tipo_Linha]]="Fora do DRE","Fora do DRE","( "&amp;Base_Periodo1[[#This Row],[Tipo_Linha]]&amp;" ) "&amp;Base_Periodo1[[#This Row],[Filtro]])</f>
        <v>Fora do DRE</v>
      </c>
      <c r="W357" s="3" t="str">
        <f>LEFT(Base_Periodo1[[#This Row],[CLASS]],3)</f>
        <v>1.1</v>
      </c>
    </row>
    <row r="358" spans="1:23" hidden="1">
      <c r="A358" s="3" t="str">
        <f t="shared" si="5"/>
        <v>Período 1</v>
      </c>
      <c r="B358">
        <v>55606</v>
      </c>
      <c r="C358" t="s">
        <v>503</v>
      </c>
      <c r="D358" t="s">
        <v>5295</v>
      </c>
      <c r="E358" s="3" t="str">
        <f>IF(LEN(Base_Periodo1[[#This Row],[CLASS]])&gt;=7,LEFT(Base_Periodo1[[#This Row],[CLASS]],7),"")</f>
        <v>1.1.2.1</v>
      </c>
      <c r="F358" s="3" t="str">
        <f>VLOOKUP(Base_Periodo1[[#This Row],[Aux]],Base_Contas_Balanco[#All],2,FALSE)</f>
        <v>Creditos com Cooperados</v>
      </c>
      <c r="G358" s="1">
        <v>42886</v>
      </c>
      <c r="H358" s="225">
        <v>39148.730000000032</v>
      </c>
      <c r="I358" s="225">
        <v>0</v>
      </c>
      <c r="J358" s="225">
        <v>4669.3500000000004</v>
      </c>
      <c r="K358" s="225">
        <v>34479.380000000034</v>
      </c>
      <c r="L3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34479.379999999997</v>
      </c>
      <c r="M358" s="225">
        <f>ROUND(IF(AND(Base_Periodo1[[#This Row],[Tipo_Linha]]="-",Base_Periodo1[[#This Row],[TIPOSALDO]]="D"),Base_Periodo1[[#This Row],[SALDO_ATUAL]]*-1,Base_Periodo1[[#This Row],[SALDO_ATUAL]]),4)</f>
        <v>34479.379999999997</v>
      </c>
      <c r="N358" t="s">
        <v>116</v>
      </c>
      <c r="O358" t="s">
        <v>397</v>
      </c>
      <c r="P358" t="s">
        <v>397</v>
      </c>
      <c r="Q358">
        <v>7</v>
      </c>
      <c r="R358" s="225">
        <f>Base_Periodo1[[#This Row],[CREDITOS]]-Base_Periodo1[[#This Row],[DEBITOS]]</f>
        <v>4669.3500000000004</v>
      </c>
      <c r="S358" s="3" t="str">
        <f>IF(ISERROR(VLOOKUP(Base_Periodo1[[#This Row],[CONTA]],BaseContasDRE[#All],4,FALSE)),"Fora do DRE",VLOOKUP(Base_Periodo1[[#This Row],[CONTA]],BaseContasDRE[#All],4,FALSE))</f>
        <v>Fora do DRE</v>
      </c>
      <c r="T358" s="3" t="str">
        <f>IF(ISERROR(VLOOKUP(Base_Periodo1[[#This Row],[CONTA]],BaseContasDRE[#All],5,FALSE)),"Fora do DRE",VLOOKUP(Base_Periodo1[[#This Row],[CONTA]],BaseContasDRE[#All],6,FALSE))</f>
        <v>Fora do DRE</v>
      </c>
      <c r="U358" s="3" t="str">
        <f>IF(ISERROR(VLOOKUP(Base_Periodo1[[#This Row],[CONTA]],BaseContasDRE[#All],7,FALSE)),"Fora do DRE",VLOOKUP(Base_Periodo1[[#This Row],[CONTA]],BaseContasDRE[#All],7,FALSE))</f>
        <v>Fora do DRE</v>
      </c>
      <c r="V358" s="3" t="str">
        <f>IF(Base_Periodo1[[#This Row],[Tipo_Linha]]="Fora do DRE","Fora do DRE","( "&amp;Base_Periodo1[[#This Row],[Tipo_Linha]]&amp;" ) "&amp;Base_Periodo1[[#This Row],[Filtro]])</f>
        <v>Fora do DRE</v>
      </c>
      <c r="W358" s="3" t="str">
        <f>LEFT(Base_Periodo1[[#This Row],[CLASS]],3)</f>
        <v>1.1</v>
      </c>
    </row>
    <row r="359" spans="1:23" hidden="1">
      <c r="A359" s="3" t="str">
        <f t="shared" si="5"/>
        <v>Período 1</v>
      </c>
      <c r="B359">
        <v>8982</v>
      </c>
      <c r="C359" t="s">
        <v>503</v>
      </c>
      <c r="D359" t="s">
        <v>665</v>
      </c>
      <c r="E359" s="3" t="str">
        <f>IF(LEN(Base_Periodo1[[#This Row],[CLASS]])&gt;=7,LEFT(Base_Periodo1[[#This Row],[CLASS]],7),"")</f>
        <v>1.1.2.1</v>
      </c>
      <c r="F359" s="3" t="str">
        <f>VLOOKUP(Base_Periodo1[[#This Row],[Aux]],Base_Contas_Balanco[#All],2,FALSE)</f>
        <v>Creditos com Cooperados</v>
      </c>
      <c r="G359" s="1">
        <v>42885</v>
      </c>
      <c r="H359" s="225">
        <v>2508163.2400000002</v>
      </c>
      <c r="I359" s="225">
        <v>5399039.1799999997</v>
      </c>
      <c r="J359" s="225">
        <v>5138601.21</v>
      </c>
      <c r="K359" s="225">
        <v>2768601.21</v>
      </c>
      <c r="L3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2768601.21</v>
      </c>
      <c r="M359" s="225">
        <f>ROUND(IF(AND(Base_Periodo1[[#This Row],[Tipo_Linha]]="-",Base_Periodo1[[#This Row],[TIPOSALDO]]="D"),Base_Periodo1[[#This Row],[SALDO_ATUAL]]*-1,Base_Periodo1[[#This Row],[SALDO_ATUAL]]),4)</f>
        <v>2768601.21</v>
      </c>
      <c r="N359" t="s">
        <v>116</v>
      </c>
      <c r="O359" t="s">
        <v>397</v>
      </c>
      <c r="P359" t="s">
        <v>397</v>
      </c>
      <c r="Q359">
        <v>7</v>
      </c>
      <c r="R359" s="225">
        <f>Base_Periodo1[[#This Row],[CREDITOS]]-Base_Periodo1[[#This Row],[DEBITOS]]</f>
        <v>-260437.96999999974</v>
      </c>
      <c r="S359" s="3" t="str">
        <f>IF(ISERROR(VLOOKUP(Base_Periodo1[[#This Row],[CONTA]],BaseContasDRE[#All],4,FALSE)),"Fora do DRE",VLOOKUP(Base_Periodo1[[#This Row],[CONTA]],BaseContasDRE[#All],4,FALSE))</f>
        <v>Fora do DRE</v>
      </c>
      <c r="T359" s="3" t="str">
        <f>IF(ISERROR(VLOOKUP(Base_Periodo1[[#This Row],[CONTA]],BaseContasDRE[#All],5,FALSE)),"Fora do DRE",VLOOKUP(Base_Periodo1[[#This Row],[CONTA]],BaseContasDRE[#All],6,FALSE))</f>
        <v>Fora do DRE</v>
      </c>
      <c r="U359" s="3" t="str">
        <f>IF(ISERROR(VLOOKUP(Base_Periodo1[[#This Row],[CONTA]],BaseContasDRE[#All],7,FALSE)),"Fora do DRE",VLOOKUP(Base_Periodo1[[#This Row],[CONTA]],BaseContasDRE[#All],7,FALSE))</f>
        <v>Fora do DRE</v>
      </c>
      <c r="V359" s="3" t="str">
        <f>IF(Base_Periodo1[[#This Row],[Tipo_Linha]]="Fora do DRE","Fora do DRE","( "&amp;Base_Periodo1[[#This Row],[Tipo_Linha]]&amp;" ) "&amp;Base_Periodo1[[#This Row],[Filtro]])</f>
        <v>Fora do DRE</v>
      </c>
      <c r="W359" s="3" t="str">
        <f>LEFT(Base_Periodo1[[#This Row],[CLASS]],3)</f>
        <v>1.1</v>
      </c>
    </row>
    <row r="360" spans="1:23" hidden="1">
      <c r="A360" s="3" t="str">
        <f t="shared" si="5"/>
        <v>Período 1</v>
      </c>
      <c r="B360">
        <v>18977</v>
      </c>
      <c r="C360" t="s">
        <v>503</v>
      </c>
      <c r="D360" t="s">
        <v>5386</v>
      </c>
      <c r="E360" s="3" t="str">
        <f>IF(LEN(Base_Periodo1[[#This Row],[CLASS]])&gt;=7,LEFT(Base_Periodo1[[#This Row],[CLASS]],7),"")</f>
        <v>1.1.2.1</v>
      </c>
      <c r="F360" s="3" t="str">
        <f>VLOOKUP(Base_Periodo1[[#This Row],[Aux]],Base_Contas_Balanco[#All],2,FALSE)</f>
        <v>Creditos com Cooperados</v>
      </c>
      <c r="G360" s="1">
        <v>42881</v>
      </c>
      <c r="H360" s="225">
        <v>79680</v>
      </c>
      <c r="I360" s="225">
        <v>30801.399999999998</v>
      </c>
      <c r="J360" s="225">
        <v>79680</v>
      </c>
      <c r="K360" s="225">
        <v>30801.399999999994</v>
      </c>
      <c r="L3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30801.4</v>
      </c>
      <c r="M360" s="225">
        <f>ROUND(IF(AND(Base_Periodo1[[#This Row],[Tipo_Linha]]="-",Base_Periodo1[[#This Row],[TIPOSALDO]]="D"),Base_Periodo1[[#This Row],[SALDO_ATUAL]]*-1,Base_Periodo1[[#This Row],[SALDO_ATUAL]]),4)</f>
        <v>30801.4</v>
      </c>
      <c r="N360" t="s">
        <v>116</v>
      </c>
      <c r="O360" t="s">
        <v>397</v>
      </c>
      <c r="P360" t="s">
        <v>397</v>
      </c>
      <c r="Q360">
        <v>7</v>
      </c>
      <c r="R360" s="225">
        <f>Base_Periodo1[[#This Row],[CREDITOS]]-Base_Periodo1[[#This Row],[DEBITOS]]</f>
        <v>48878.600000000006</v>
      </c>
      <c r="S360" s="3" t="str">
        <f>IF(ISERROR(VLOOKUP(Base_Periodo1[[#This Row],[CONTA]],BaseContasDRE[#All],4,FALSE)),"Fora do DRE",VLOOKUP(Base_Periodo1[[#This Row],[CONTA]],BaseContasDRE[#All],4,FALSE))</f>
        <v>Fora do DRE</v>
      </c>
      <c r="T360" s="3" t="str">
        <f>IF(ISERROR(VLOOKUP(Base_Periodo1[[#This Row],[CONTA]],BaseContasDRE[#All],5,FALSE)),"Fora do DRE",VLOOKUP(Base_Periodo1[[#This Row],[CONTA]],BaseContasDRE[#All],6,FALSE))</f>
        <v>Fora do DRE</v>
      </c>
      <c r="U360" s="3" t="str">
        <f>IF(ISERROR(VLOOKUP(Base_Periodo1[[#This Row],[CONTA]],BaseContasDRE[#All],7,FALSE)),"Fora do DRE",VLOOKUP(Base_Periodo1[[#This Row],[CONTA]],BaseContasDRE[#All],7,FALSE))</f>
        <v>Fora do DRE</v>
      </c>
      <c r="V360" s="3" t="str">
        <f>IF(Base_Periodo1[[#This Row],[Tipo_Linha]]="Fora do DRE","Fora do DRE","( "&amp;Base_Periodo1[[#This Row],[Tipo_Linha]]&amp;" ) "&amp;Base_Periodo1[[#This Row],[Filtro]])</f>
        <v>Fora do DRE</v>
      </c>
      <c r="W360" s="3" t="str">
        <f>LEFT(Base_Periodo1[[#This Row],[CLASS]],3)</f>
        <v>1.1</v>
      </c>
    </row>
    <row r="361" spans="1:23" hidden="1">
      <c r="A361" s="3" t="str">
        <f t="shared" si="5"/>
        <v>Período 1</v>
      </c>
      <c r="B361">
        <v>4148</v>
      </c>
      <c r="C361" t="s">
        <v>503</v>
      </c>
      <c r="D361" t="s">
        <v>666</v>
      </c>
      <c r="E361" s="3" t="str">
        <f>IF(LEN(Base_Periodo1[[#This Row],[CLASS]])&gt;=7,LEFT(Base_Periodo1[[#This Row],[CLASS]],7),"")</f>
        <v>1.1.2.1</v>
      </c>
      <c r="F361" s="3" t="str">
        <f>VLOOKUP(Base_Periodo1[[#This Row],[Aux]],Base_Contas_Balanco[#All],2,FALSE)</f>
        <v>Creditos com Cooperados</v>
      </c>
      <c r="G361" s="1">
        <v>42873</v>
      </c>
      <c r="H361" s="225">
        <v>6203.6199999999371</v>
      </c>
      <c r="I361" s="225">
        <v>508.02</v>
      </c>
      <c r="J361" s="225">
        <v>6707.0199999999995</v>
      </c>
      <c r="K361" s="225">
        <v>4.6199999999380452</v>
      </c>
      <c r="L3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4.62</v>
      </c>
      <c r="M361" s="225">
        <f>ROUND(IF(AND(Base_Periodo1[[#This Row],[Tipo_Linha]]="-",Base_Periodo1[[#This Row],[TIPOSALDO]]="D"),Base_Periodo1[[#This Row],[SALDO_ATUAL]]*-1,Base_Periodo1[[#This Row],[SALDO_ATUAL]]),4)</f>
        <v>4.62</v>
      </c>
      <c r="N361" t="s">
        <v>116</v>
      </c>
      <c r="O361" t="s">
        <v>397</v>
      </c>
      <c r="P361" t="s">
        <v>397</v>
      </c>
      <c r="Q361">
        <v>7</v>
      </c>
      <c r="R361" s="225">
        <f>Base_Periodo1[[#This Row],[CREDITOS]]-Base_Periodo1[[#This Row],[DEBITOS]]</f>
        <v>6199</v>
      </c>
      <c r="S361" s="3" t="str">
        <f>IF(ISERROR(VLOOKUP(Base_Periodo1[[#This Row],[CONTA]],BaseContasDRE[#All],4,FALSE)),"Fora do DRE",VLOOKUP(Base_Periodo1[[#This Row],[CONTA]],BaseContasDRE[#All],4,FALSE))</f>
        <v>Fora do DRE</v>
      </c>
      <c r="T361" s="3" t="str">
        <f>IF(ISERROR(VLOOKUP(Base_Periodo1[[#This Row],[CONTA]],BaseContasDRE[#All],5,FALSE)),"Fora do DRE",VLOOKUP(Base_Periodo1[[#This Row],[CONTA]],BaseContasDRE[#All],6,FALSE))</f>
        <v>Fora do DRE</v>
      </c>
      <c r="U361" s="3" t="str">
        <f>IF(ISERROR(VLOOKUP(Base_Periodo1[[#This Row],[CONTA]],BaseContasDRE[#All],7,FALSE)),"Fora do DRE",VLOOKUP(Base_Periodo1[[#This Row],[CONTA]],BaseContasDRE[#All],7,FALSE))</f>
        <v>Fora do DRE</v>
      </c>
      <c r="V361" s="3" t="str">
        <f>IF(Base_Periodo1[[#This Row],[Tipo_Linha]]="Fora do DRE","Fora do DRE","( "&amp;Base_Periodo1[[#This Row],[Tipo_Linha]]&amp;" ) "&amp;Base_Periodo1[[#This Row],[Filtro]])</f>
        <v>Fora do DRE</v>
      </c>
      <c r="W361" s="3" t="str">
        <f>LEFT(Base_Periodo1[[#This Row],[CLASS]],3)</f>
        <v>1.1</v>
      </c>
    </row>
    <row r="362" spans="1:23" hidden="1">
      <c r="A362" s="3" t="str">
        <f t="shared" si="5"/>
        <v>Período 1</v>
      </c>
      <c r="B362">
        <v>47694</v>
      </c>
      <c r="C362" t="s">
        <v>503</v>
      </c>
      <c r="D362" t="s">
        <v>667</v>
      </c>
      <c r="E362" s="3" t="str">
        <f>IF(LEN(Base_Periodo1[[#This Row],[CLASS]])&gt;=7,LEFT(Base_Periodo1[[#This Row],[CLASS]],7),"")</f>
        <v>1.1.2.1</v>
      </c>
      <c r="F362" s="3" t="str">
        <f>VLOOKUP(Base_Periodo1[[#This Row],[Aux]],Base_Contas_Balanco[#All],2,FALSE)</f>
        <v>Creditos com Cooperados</v>
      </c>
      <c r="G362" s="1">
        <v>42849</v>
      </c>
      <c r="H362" s="225">
        <v>555.00000000005821</v>
      </c>
      <c r="I362" s="225">
        <v>0</v>
      </c>
      <c r="J362" s="225">
        <v>0</v>
      </c>
      <c r="K362" s="225">
        <v>555.00000000005821</v>
      </c>
      <c r="L3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555</v>
      </c>
      <c r="M362" s="225">
        <f>ROUND(IF(AND(Base_Periodo1[[#This Row],[Tipo_Linha]]="-",Base_Periodo1[[#This Row],[TIPOSALDO]]="D"),Base_Periodo1[[#This Row],[SALDO_ATUAL]]*-1,Base_Periodo1[[#This Row],[SALDO_ATUAL]]),4)</f>
        <v>555</v>
      </c>
      <c r="N362" t="s">
        <v>116</v>
      </c>
      <c r="O362" t="s">
        <v>397</v>
      </c>
      <c r="P362" t="s">
        <v>397</v>
      </c>
      <c r="Q362">
        <v>7</v>
      </c>
      <c r="R362" s="225">
        <f>Base_Periodo1[[#This Row],[CREDITOS]]-Base_Periodo1[[#This Row],[DEBITOS]]</f>
        <v>0</v>
      </c>
      <c r="S362" s="3" t="str">
        <f>IF(ISERROR(VLOOKUP(Base_Periodo1[[#This Row],[CONTA]],BaseContasDRE[#All],4,FALSE)),"Fora do DRE",VLOOKUP(Base_Periodo1[[#This Row],[CONTA]],BaseContasDRE[#All],4,FALSE))</f>
        <v>Fora do DRE</v>
      </c>
      <c r="T362" s="3" t="str">
        <f>IF(ISERROR(VLOOKUP(Base_Periodo1[[#This Row],[CONTA]],BaseContasDRE[#All],5,FALSE)),"Fora do DRE",VLOOKUP(Base_Periodo1[[#This Row],[CONTA]],BaseContasDRE[#All],6,FALSE))</f>
        <v>Fora do DRE</v>
      </c>
      <c r="U362" s="3" t="str">
        <f>IF(ISERROR(VLOOKUP(Base_Periodo1[[#This Row],[CONTA]],BaseContasDRE[#All],7,FALSE)),"Fora do DRE",VLOOKUP(Base_Periodo1[[#This Row],[CONTA]],BaseContasDRE[#All],7,FALSE))</f>
        <v>Fora do DRE</v>
      </c>
      <c r="V362" s="3" t="str">
        <f>IF(Base_Periodo1[[#This Row],[Tipo_Linha]]="Fora do DRE","Fora do DRE","( "&amp;Base_Periodo1[[#This Row],[Tipo_Linha]]&amp;" ) "&amp;Base_Periodo1[[#This Row],[Filtro]])</f>
        <v>Fora do DRE</v>
      </c>
      <c r="W362" s="3" t="str">
        <f>LEFT(Base_Periodo1[[#This Row],[CLASS]],3)</f>
        <v>1.1</v>
      </c>
    </row>
    <row r="363" spans="1:23" hidden="1">
      <c r="A363" s="3" t="str">
        <f t="shared" si="5"/>
        <v>Período 1</v>
      </c>
      <c r="B363">
        <v>4960</v>
      </c>
      <c r="C363" t="s">
        <v>503</v>
      </c>
      <c r="D363" t="s">
        <v>668</v>
      </c>
      <c r="E363" s="3" t="str">
        <f>IF(LEN(Base_Periodo1[[#This Row],[CLASS]])&gt;=7,LEFT(Base_Periodo1[[#This Row],[CLASS]],7),"")</f>
        <v>1.1.2.1</v>
      </c>
      <c r="F363" s="3" t="str">
        <f>VLOOKUP(Base_Periodo1[[#This Row],[Aux]],Base_Contas_Balanco[#All],2,FALSE)</f>
        <v>Creditos com Cooperados</v>
      </c>
      <c r="G363" s="1">
        <v>42123</v>
      </c>
      <c r="H363" s="225">
        <v>3823.9200000003912</v>
      </c>
      <c r="I363" s="225">
        <v>0</v>
      </c>
      <c r="J363" s="225">
        <v>0</v>
      </c>
      <c r="K363" s="225">
        <v>3823.9200000003912</v>
      </c>
      <c r="L3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3823.92</v>
      </c>
      <c r="M363" s="225">
        <f>ROUND(IF(AND(Base_Periodo1[[#This Row],[Tipo_Linha]]="-",Base_Periodo1[[#This Row],[TIPOSALDO]]="D"),Base_Periodo1[[#This Row],[SALDO_ATUAL]]*-1,Base_Periodo1[[#This Row],[SALDO_ATUAL]]),4)</f>
        <v>3823.92</v>
      </c>
      <c r="N363" t="s">
        <v>116</v>
      </c>
      <c r="O363" t="s">
        <v>397</v>
      </c>
      <c r="P363" t="s">
        <v>397</v>
      </c>
      <c r="Q363">
        <v>7</v>
      </c>
      <c r="R363" s="225">
        <f>Base_Periodo1[[#This Row],[CREDITOS]]-Base_Periodo1[[#This Row],[DEBITOS]]</f>
        <v>0</v>
      </c>
      <c r="S363" s="3" t="str">
        <f>IF(ISERROR(VLOOKUP(Base_Periodo1[[#This Row],[CONTA]],BaseContasDRE[#All],4,FALSE)),"Fora do DRE",VLOOKUP(Base_Periodo1[[#This Row],[CONTA]],BaseContasDRE[#All],4,FALSE))</f>
        <v>Fora do DRE</v>
      </c>
      <c r="T363" s="3" t="str">
        <f>IF(ISERROR(VLOOKUP(Base_Periodo1[[#This Row],[CONTA]],BaseContasDRE[#All],5,FALSE)),"Fora do DRE",VLOOKUP(Base_Periodo1[[#This Row],[CONTA]],BaseContasDRE[#All],6,FALSE))</f>
        <v>Fora do DRE</v>
      </c>
      <c r="U363" s="3" t="str">
        <f>IF(ISERROR(VLOOKUP(Base_Periodo1[[#This Row],[CONTA]],BaseContasDRE[#All],7,FALSE)),"Fora do DRE",VLOOKUP(Base_Periodo1[[#This Row],[CONTA]],BaseContasDRE[#All],7,FALSE))</f>
        <v>Fora do DRE</v>
      </c>
      <c r="V363" s="3" t="str">
        <f>IF(Base_Periodo1[[#This Row],[Tipo_Linha]]="Fora do DRE","Fora do DRE","( "&amp;Base_Periodo1[[#This Row],[Tipo_Linha]]&amp;" ) "&amp;Base_Periodo1[[#This Row],[Filtro]])</f>
        <v>Fora do DRE</v>
      </c>
      <c r="W363" s="3" t="str">
        <f>LEFT(Base_Periodo1[[#This Row],[CLASS]],3)</f>
        <v>1.1</v>
      </c>
    </row>
    <row r="364" spans="1:23" hidden="1">
      <c r="A364" s="3" t="str">
        <f t="shared" si="5"/>
        <v>Período 1</v>
      </c>
      <c r="B364">
        <v>25659</v>
      </c>
      <c r="C364" t="s">
        <v>503</v>
      </c>
      <c r="D364" t="s">
        <v>6712</v>
      </c>
      <c r="E364" s="3" t="str">
        <f>IF(LEN(Base_Periodo1[[#This Row],[CLASS]])&gt;=7,LEFT(Base_Periodo1[[#This Row],[CLASS]],7),"")</f>
        <v>1.1.2.1</v>
      </c>
      <c r="F364" s="3" t="str">
        <f>VLOOKUP(Base_Periodo1[[#This Row],[Aux]],Base_Contas_Balanco[#All],2,FALSE)</f>
        <v>Creditos com Cooperados</v>
      </c>
      <c r="G364" s="1">
        <v>42877</v>
      </c>
      <c r="I364" s="225">
        <v>300</v>
      </c>
      <c r="J364" s="225">
        <v>300</v>
      </c>
      <c r="K364" s="225">
        <v>0</v>
      </c>
      <c r="L3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4" s="225">
        <f>ROUND(IF(AND(Base_Periodo1[[#This Row],[Tipo_Linha]]="-",Base_Periodo1[[#This Row],[TIPOSALDO]]="D"),Base_Periodo1[[#This Row],[SALDO_ATUAL]]*-1,Base_Periodo1[[#This Row],[SALDO_ATUAL]]),4)</f>
        <v>0</v>
      </c>
      <c r="N364" t="s">
        <v>116</v>
      </c>
      <c r="O364" t="s">
        <v>436</v>
      </c>
      <c r="P364" t="s">
        <v>436</v>
      </c>
      <c r="Q364">
        <v>7</v>
      </c>
      <c r="R364" s="225">
        <f>Base_Periodo1[[#This Row],[CREDITOS]]-Base_Periodo1[[#This Row],[DEBITOS]]</f>
        <v>0</v>
      </c>
      <c r="S364" s="3" t="str">
        <f>IF(ISERROR(VLOOKUP(Base_Periodo1[[#This Row],[CONTA]],BaseContasDRE[#All],4,FALSE)),"Fora do DRE",VLOOKUP(Base_Periodo1[[#This Row],[CONTA]],BaseContasDRE[#All],4,FALSE))</f>
        <v>Fora do DRE</v>
      </c>
      <c r="T364" s="3" t="str">
        <f>IF(ISERROR(VLOOKUP(Base_Periodo1[[#This Row],[CONTA]],BaseContasDRE[#All],5,FALSE)),"Fora do DRE",VLOOKUP(Base_Periodo1[[#This Row],[CONTA]],BaseContasDRE[#All],6,FALSE))</f>
        <v>Fora do DRE</v>
      </c>
      <c r="U364" s="3" t="str">
        <f>IF(ISERROR(VLOOKUP(Base_Periodo1[[#This Row],[CONTA]],BaseContasDRE[#All],7,FALSE)),"Fora do DRE",VLOOKUP(Base_Periodo1[[#This Row],[CONTA]],BaseContasDRE[#All],7,FALSE))</f>
        <v>Fora do DRE</v>
      </c>
      <c r="V364" s="3" t="str">
        <f>IF(Base_Periodo1[[#This Row],[Tipo_Linha]]="Fora do DRE","Fora do DRE","( "&amp;Base_Periodo1[[#This Row],[Tipo_Linha]]&amp;" ) "&amp;Base_Periodo1[[#This Row],[Filtro]])</f>
        <v>Fora do DRE</v>
      </c>
      <c r="W364" s="3" t="str">
        <f>LEFT(Base_Periodo1[[#This Row],[CLASS]],3)</f>
        <v>1.1</v>
      </c>
    </row>
    <row r="365" spans="1:23" hidden="1">
      <c r="A365" s="3" t="str">
        <f t="shared" si="5"/>
        <v>Período 1</v>
      </c>
      <c r="B365">
        <v>3164</v>
      </c>
      <c r="C365" t="s">
        <v>503</v>
      </c>
      <c r="D365" t="s">
        <v>669</v>
      </c>
      <c r="E365" s="3" t="str">
        <f>IF(LEN(Base_Periodo1[[#This Row],[CLASS]])&gt;=7,LEFT(Base_Periodo1[[#This Row],[CLASS]],7),"")</f>
        <v>1.1.2.1</v>
      </c>
      <c r="F365" s="3" t="str">
        <f>VLOOKUP(Base_Periodo1[[#This Row],[Aux]],Base_Contas_Balanco[#All],2,FALSE)</f>
        <v>Creditos com Cooperados</v>
      </c>
      <c r="G365" s="1">
        <v>42821</v>
      </c>
      <c r="H365" s="225">
        <v>2.3199999998323619</v>
      </c>
      <c r="I365" s="225">
        <v>0</v>
      </c>
      <c r="J365" s="225">
        <v>0</v>
      </c>
      <c r="K365" s="225">
        <v>2.3199999998323619</v>
      </c>
      <c r="L3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2.3199999999999998</v>
      </c>
      <c r="M365" s="225">
        <f>ROUND(IF(AND(Base_Periodo1[[#This Row],[Tipo_Linha]]="-",Base_Periodo1[[#This Row],[TIPOSALDO]]="D"),Base_Periodo1[[#This Row],[SALDO_ATUAL]]*-1,Base_Periodo1[[#This Row],[SALDO_ATUAL]]),4)</f>
        <v>2.3199999999999998</v>
      </c>
      <c r="N365" t="s">
        <v>116</v>
      </c>
      <c r="O365" t="s">
        <v>397</v>
      </c>
      <c r="P365" t="s">
        <v>397</v>
      </c>
      <c r="Q365">
        <v>7</v>
      </c>
      <c r="R365" s="225">
        <f>Base_Periodo1[[#This Row],[CREDITOS]]-Base_Periodo1[[#This Row],[DEBITOS]]</f>
        <v>0</v>
      </c>
      <c r="S365" s="3" t="str">
        <f>IF(ISERROR(VLOOKUP(Base_Periodo1[[#This Row],[CONTA]],BaseContasDRE[#All],4,FALSE)),"Fora do DRE",VLOOKUP(Base_Periodo1[[#This Row],[CONTA]],BaseContasDRE[#All],4,FALSE))</f>
        <v>Fora do DRE</v>
      </c>
      <c r="T365" s="3" t="str">
        <f>IF(ISERROR(VLOOKUP(Base_Periodo1[[#This Row],[CONTA]],BaseContasDRE[#All],5,FALSE)),"Fora do DRE",VLOOKUP(Base_Periodo1[[#This Row],[CONTA]],BaseContasDRE[#All],6,FALSE))</f>
        <v>Fora do DRE</v>
      </c>
      <c r="U365" s="3" t="str">
        <f>IF(ISERROR(VLOOKUP(Base_Periodo1[[#This Row],[CONTA]],BaseContasDRE[#All],7,FALSE)),"Fora do DRE",VLOOKUP(Base_Periodo1[[#This Row],[CONTA]],BaseContasDRE[#All],7,FALSE))</f>
        <v>Fora do DRE</v>
      </c>
      <c r="V365" s="3" t="str">
        <f>IF(Base_Periodo1[[#This Row],[Tipo_Linha]]="Fora do DRE","Fora do DRE","( "&amp;Base_Periodo1[[#This Row],[Tipo_Linha]]&amp;" ) "&amp;Base_Periodo1[[#This Row],[Filtro]])</f>
        <v>Fora do DRE</v>
      </c>
      <c r="W365" s="3" t="str">
        <f>LEFT(Base_Periodo1[[#This Row],[CLASS]],3)</f>
        <v>1.1</v>
      </c>
    </row>
    <row r="366" spans="1:23" hidden="1">
      <c r="A366" s="3" t="str">
        <f t="shared" si="5"/>
        <v>Período 1</v>
      </c>
      <c r="B366">
        <v>4052</v>
      </c>
      <c r="C366" t="s">
        <v>503</v>
      </c>
      <c r="D366" t="s">
        <v>5322</v>
      </c>
      <c r="E366" s="3" t="str">
        <f>IF(LEN(Base_Periodo1[[#This Row],[CLASS]])&gt;=7,LEFT(Base_Periodo1[[#This Row],[CLASS]],7),"")</f>
        <v>1.1.2.1</v>
      </c>
      <c r="F366" s="3" t="str">
        <f>VLOOKUP(Base_Periodo1[[#This Row],[Aux]],Base_Contas_Balanco[#All],2,FALSE)</f>
        <v>Creditos com Cooperados</v>
      </c>
      <c r="G366" s="1">
        <v>42886</v>
      </c>
      <c r="H366" s="225">
        <v>9623.7299999999959</v>
      </c>
      <c r="I366" s="225">
        <v>5771.24</v>
      </c>
      <c r="J366" s="225">
        <v>13735.119999999997</v>
      </c>
      <c r="K366" s="225">
        <v>1659.8499999999985</v>
      </c>
      <c r="L3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1659.85</v>
      </c>
      <c r="M366" s="225">
        <f>ROUND(IF(AND(Base_Periodo1[[#This Row],[Tipo_Linha]]="-",Base_Periodo1[[#This Row],[TIPOSALDO]]="D"),Base_Periodo1[[#This Row],[SALDO_ATUAL]]*-1,Base_Periodo1[[#This Row],[SALDO_ATUAL]]),4)</f>
        <v>1659.85</v>
      </c>
      <c r="N366" t="s">
        <v>116</v>
      </c>
      <c r="O366" t="s">
        <v>397</v>
      </c>
      <c r="P366" t="s">
        <v>397</v>
      </c>
      <c r="Q366">
        <v>7</v>
      </c>
      <c r="R366" s="225">
        <f>Base_Periodo1[[#This Row],[CREDITOS]]-Base_Periodo1[[#This Row],[DEBITOS]]</f>
        <v>7963.8799999999974</v>
      </c>
      <c r="S366" s="3" t="str">
        <f>IF(ISERROR(VLOOKUP(Base_Periodo1[[#This Row],[CONTA]],BaseContasDRE[#All],4,FALSE)),"Fora do DRE",VLOOKUP(Base_Periodo1[[#This Row],[CONTA]],BaseContasDRE[#All],4,FALSE))</f>
        <v>Fora do DRE</v>
      </c>
      <c r="T366" s="3" t="str">
        <f>IF(ISERROR(VLOOKUP(Base_Periodo1[[#This Row],[CONTA]],BaseContasDRE[#All],5,FALSE)),"Fora do DRE",VLOOKUP(Base_Periodo1[[#This Row],[CONTA]],BaseContasDRE[#All],6,FALSE))</f>
        <v>Fora do DRE</v>
      </c>
      <c r="U366" s="3" t="str">
        <f>IF(ISERROR(VLOOKUP(Base_Periodo1[[#This Row],[CONTA]],BaseContasDRE[#All],7,FALSE)),"Fora do DRE",VLOOKUP(Base_Periodo1[[#This Row],[CONTA]],BaseContasDRE[#All],7,FALSE))</f>
        <v>Fora do DRE</v>
      </c>
      <c r="V366" s="3" t="str">
        <f>IF(Base_Periodo1[[#This Row],[Tipo_Linha]]="Fora do DRE","Fora do DRE","( "&amp;Base_Periodo1[[#This Row],[Tipo_Linha]]&amp;" ) "&amp;Base_Periodo1[[#This Row],[Filtro]])</f>
        <v>Fora do DRE</v>
      </c>
      <c r="W366" s="3" t="str">
        <f>LEFT(Base_Periodo1[[#This Row],[CLASS]],3)</f>
        <v>1.1</v>
      </c>
    </row>
    <row r="367" spans="1:23" hidden="1">
      <c r="A367" s="3" t="str">
        <f t="shared" si="5"/>
        <v>Período 1</v>
      </c>
      <c r="B367">
        <v>2272</v>
      </c>
      <c r="C367" t="s">
        <v>503</v>
      </c>
      <c r="D367" t="s">
        <v>670</v>
      </c>
      <c r="E367" s="3" t="str">
        <f>IF(LEN(Base_Periodo1[[#This Row],[CLASS]])&gt;=7,LEFT(Base_Periodo1[[#This Row],[CLASS]],7),"")</f>
        <v>1.1.2.1</v>
      </c>
      <c r="F367" s="3" t="str">
        <f>VLOOKUP(Base_Periodo1[[#This Row],[Aux]],Base_Contas_Balanco[#All],2,FALSE)</f>
        <v>Creditos com Cooperados</v>
      </c>
      <c r="G367" s="1">
        <v>42858</v>
      </c>
      <c r="H367" s="225">
        <v>333496.55000000261</v>
      </c>
      <c r="I367" s="225">
        <v>20</v>
      </c>
      <c r="J367" s="225">
        <v>150335.54999999999</v>
      </c>
      <c r="K367" s="225">
        <v>183181.00000000262</v>
      </c>
      <c r="L3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183181</v>
      </c>
      <c r="M367" s="225">
        <f>ROUND(IF(AND(Base_Periodo1[[#This Row],[Tipo_Linha]]="-",Base_Periodo1[[#This Row],[TIPOSALDO]]="D"),Base_Periodo1[[#This Row],[SALDO_ATUAL]]*-1,Base_Periodo1[[#This Row],[SALDO_ATUAL]]),4)</f>
        <v>183181</v>
      </c>
      <c r="N367" t="s">
        <v>116</v>
      </c>
      <c r="O367" t="s">
        <v>397</v>
      </c>
      <c r="P367" t="s">
        <v>397</v>
      </c>
      <c r="Q367">
        <v>7</v>
      </c>
      <c r="R367" s="225">
        <f>Base_Periodo1[[#This Row],[CREDITOS]]-Base_Periodo1[[#This Row],[DEBITOS]]</f>
        <v>150315.54999999999</v>
      </c>
      <c r="S367" s="3" t="str">
        <f>IF(ISERROR(VLOOKUP(Base_Periodo1[[#This Row],[CONTA]],BaseContasDRE[#All],4,FALSE)),"Fora do DRE",VLOOKUP(Base_Periodo1[[#This Row],[CONTA]],BaseContasDRE[#All],4,FALSE))</f>
        <v>Fora do DRE</v>
      </c>
      <c r="T367" s="3" t="str">
        <f>IF(ISERROR(VLOOKUP(Base_Periodo1[[#This Row],[CONTA]],BaseContasDRE[#All],5,FALSE)),"Fora do DRE",VLOOKUP(Base_Periodo1[[#This Row],[CONTA]],BaseContasDRE[#All],6,FALSE))</f>
        <v>Fora do DRE</v>
      </c>
      <c r="U367" s="3" t="str">
        <f>IF(ISERROR(VLOOKUP(Base_Periodo1[[#This Row],[CONTA]],BaseContasDRE[#All],7,FALSE)),"Fora do DRE",VLOOKUP(Base_Periodo1[[#This Row],[CONTA]],BaseContasDRE[#All],7,FALSE))</f>
        <v>Fora do DRE</v>
      </c>
      <c r="V367" s="3" t="str">
        <f>IF(Base_Periodo1[[#This Row],[Tipo_Linha]]="Fora do DRE","Fora do DRE","( "&amp;Base_Periodo1[[#This Row],[Tipo_Linha]]&amp;" ) "&amp;Base_Periodo1[[#This Row],[Filtro]])</f>
        <v>Fora do DRE</v>
      </c>
      <c r="W367" s="3" t="str">
        <f>LEFT(Base_Periodo1[[#This Row],[CLASS]],3)</f>
        <v>1.1</v>
      </c>
    </row>
    <row r="368" spans="1:23" hidden="1">
      <c r="A368" s="3" t="str">
        <f t="shared" si="5"/>
        <v>Período 1</v>
      </c>
      <c r="B368">
        <v>20852</v>
      </c>
      <c r="C368" t="s">
        <v>503</v>
      </c>
      <c r="D368" t="s">
        <v>6713</v>
      </c>
      <c r="E368" s="3" t="str">
        <f>IF(LEN(Base_Periodo1[[#This Row],[CLASS]])&gt;=7,LEFT(Base_Periodo1[[#This Row],[CLASS]],7),"")</f>
        <v>1.1.2.1</v>
      </c>
      <c r="F368" s="3" t="str">
        <f>VLOOKUP(Base_Periodo1[[#This Row],[Aux]],Base_Contas_Balanco[#All],2,FALSE)</f>
        <v>Creditos com Cooperados</v>
      </c>
      <c r="G368" s="1">
        <v>42884</v>
      </c>
      <c r="I368" s="225">
        <v>20157.990000000002</v>
      </c>
      <c r="J368" s="225">
        <v>20157.990000000002</v>
      </c>
      <c r="K368" s="225">
        <v>-7.2759576141834259E-12</v>
      </c>
      <c r="L3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8" s="225">
        <f>ROUND(IF(AND(Base_Periodo1[[#This Row],[Tipo_Linha]]="-",Base_Periodo1[[#This Row],[TIPOSALDO]]="D"),Base_Periodo1[[#This Row],[SALDO_ATUAL]]*-1,Base_Periodo1[[#This Row],[SALDO_ATUAL]]),4)</f>
        <v>0</v>
      </c>
      <c r="N368" t="s">
        <v>116</v>
      </c>
      <c r="O368" t="s">
        <v>436</v>
      </c>
      <c r="P368" t="s">
        <v>436</v>
      </c>
      <c r="Q368">
        <v>7</v>
      </c>
      <c r="R368" s="225">
        <f>Base_Periodo1[[#This Row],[CREDITOS]]-Base_Periodo1[[#This Row],[DEBITOS]]</f>
        <v>0</v>
      </c>
      <c r="S368" s="3" t="str">
        <f>IF(ISERROR(VLOOKUP(Base_Periodo1[[#This Row],[CONTA]],BaseContasDRE[#All],4,FALSE)),"Fora do DRE",VLOOKUP(Base_Periodo1[[#This Row],[CONTA]],BaseContasDRE[#All],4,FALSE))</f>
        <v>Fora do DRE</v>
      </c>
      <c r="T368" s="3" t="str">
        <f>IF(ISERROR(VLOOKUP(Base_Periodo1[[#This Row],[CONTA]],BaseContasDRE[#All],5,FALSE)),"Fora do DRE",VLOOKUP(Base_Periodo1[[#This Row],[CONTA]],BaseContasDRE[#All],6,FALSE))</f>
        <v>Fora do DRE</v>
      </c>
      <c r="U368" s="3" t="str">
        <f>IF(ISERROR(VLOOKUP(Base_Periodo1[[#This Row],[CONTA]],BaseContasDRE[#All],7,FALSE)),"Fora do DRE",VLOOKUP(Base_Periodo1[[#This Row],[CONTA]],BaseContasDRE[#All],7,FALSE))</f>
        <v>Fora do DRE</v>
      </c>
      <c r="V368" s="3" t="str">
        <f>IF(Base_Periodo1[[#This Row],[Tipo_Linha]]="Fora do DRE","Fora do DRE","( "&amp;Base_Periodo1[[#This Row],[Tipo_Linha]]&amp;" ) "&amp;Base_Periodo1[[#This Row],[Filtro]])</f>
        <v>Fora do DRE</v>
      </c>
      <c r="W368" s="3" t="str">
        <f>LEFT(Base_Periodo1[[#This Row],[CLASS]],3)</f>
        <v>1.1</v>
      </c>
    </row>
    <row r="369" spans="1:23" hidden="1">
      <c r="A369" s="3" t="str">
        <f t="shared" si="5"/>
        <v>Período 1</v>
      </c>
      <c r="B369">
        <v>3032</v>
      </c>
      <c r="C369" t="s">
        <v>503</v>
      </c>
      <c r="D369" t="s">
        <v>671</v>
      </c>
      <c r="E369" s="3" t="str">
        <f>IF(LEN(Base_Periodo1[[#This Row],[CLASS]])&gt;=7,LEFT(Base_Periodo1[[#This Row],[CLASS]],7),"")</f>
        <v>1.1.2.1</v>
      </c>
      <c r="F369" s="3" t="str">
        <f>VLOOKUP(Base_Periodo1[[#This Row],[Aux]],Base_Contas_Balanco[#All],2,FALSE)</f>
        <v>Creditos com Cooperados</v>
      </c>
      <c r="G369" s="1">
        <v>42886</v>
      </c>
      <c r="H369" s="225">
        <v>102005.25000000116</v>
      </c>
      <c r="I369" s="225">
        <v>15309.51</v>
      </c>
      <c r="J369" s="225">
        <v>21257.510000000002</v>
      </c>
      <c r="K369" s="225">
        <v>96057.250000001164</v>
      </c>
      <c r="L3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96057.25</v>
      </c>
      <c r="M369" s="225">
        <f>ROUND(IF(AND(Base_Periodo1[[#This Row],[Tipo_Linha]]="-",Base_Periodo1[[#This Row],[TIPOSALDO]]="D"),Base_Periodo1[[#This Row],[SALDO_ATUAL]]*-1,Base_Periodo1[[#This Row],[SALDO_ATUAL]]),4)</f>
        <v>96057.25</v>
      </c>
      <c r="N369" t="s">
        <v>116</v>
      </c>
      <c r="O369" t="s">
        <v>397</v>
      </c>
      <c r="P369" t="s">
        <v>397</v>
      </c>
      <c r="Q369">
        <v>7</v>
      </c>
      <c r="R369" s="225">
        <f>Base_Periodo1[[#This Row],[CREDITOS]]-Base_Periodo1[[#This Row],[DEBITOS]]</f>
        <v>5948.0000000000018</v>
      </c>
      <c r="S369" s="3" t="str">
        <f>IF(ISERROR(VLOOKUP(Base_Periodo1[[#This Row],[CONTA]],BaseContasDRE[#All],4,FALSE)),"Fora do DRE",VLOOKUP(Base_Periodo1[[#This Row],[CONTA]],BaseContasDRE[#All],4,FALSE))</f>
        <v>Fora do DRE</v>
      </c>
      <c r="T369" s="3" t="str">
        <f>IF(ISERROR(VLOOKUP(Base_Periodo1[[#This Row],[CONTA]],BaseContasDRE[#All],5,FALSE)),"Fora do DRE",VLOOKUP(Base_Periodo1[[#This Row],[CONTA]],BaseContasDRE[#All],6,FALSE))</f>
        <v>Fora do DRE</v>
      </c>
      <c r="U369" s="3" t="str">
        <f>IF(ISERROR(VLOOKUP(Base_Periodo1[[#This Row],[CONTA]],BaseContasDRE[#All],7,FALSE)),"Fora do DRE",VLOOKUP(Base_Periodo1[[#This Row],[CONTA]],BaseContasDRE[#All],7,FALSE))</f>
        <v>Fora do DRE</v>
      </c>
      <c r="V369" s="3" t="str">
        <f>IF(Base_Periodo1[[#This Row],[Tipo_Linha]]="Fora do DRE","Fora do DRE","( "&amp;Base_Periodo1[[#This Row],[Tipo_Linha]]&amp;" ) "&amp;Base_Periodo1[[#This Row],[Filtro]])</f>
        <v>Fora do DRE</v>
      </c>
      <c r="W369" s="3" t="str">
        <f>LEFT(Base_Periodo1[[#This Row],[CLASS]],3)</f>
        <v>1.1</v>
      </c>
    </row>
    <row r="370" spans="1:23" hidden="1">
      <c r="A370" s="3" t="str">
        <f t="shared" si="5"/>
        <v>Período 1</v>
      </c>
      <c r="B370">
        <v>4524</v>
      </c>
      <c r="C370" t="s">
        <v>503</v>
      </c>
      <c r="D370" t="s">
        <v>672</v>
      </c>
      <c r="E370" s="3" t="str">
        <f>IF(LEN(Base_Periodo1[[#This Row],[CLASS]])&gt;=7,LEFT(Base_Periodo1[[#This Row],[CLASS]],7),"")</f>
        <v>1.1.2.1</v>
      </c>
      <c r="F370" s="3" t="str">
        <f>VLOOKUP(Base_Periodo1[[#This Row],[Aux]],Base_Contas_Balanco[#All],2,FALSE)</f>
        <v>Creditos com Cooperados</v>
      </c>
      <c r="G370" s="1">
        <v>42885</v>
      </c>
      <c r="H370" s="225">
        <v>0.36999999999534339</v>
      </c>
      <c r="I370" s="225">
        <v>5484.32</v>
      </c>
      <c r="J370" s="225">
        <v>5484.69</v>
      </c>
      <c r="K370" s="225">
        <v>-4.5474735088646412E-12</v>
      </c>
      <c r="L3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0" s="225">
        <f>ROUND(IF(AND(Base_Periodo1[[#This Row],[Tipo_Linha]]="-",Base_Periodo1[[#This Row],[TIPOSALDO]]="D"),Base_Periodo1[[#This Row],[SALDO_ATUAL]]*-1,Base_Periodo1[[#This Row],[SALDO_ATUAL]]),4)</f>
        <v>0</v>
      </c>
      <c r="N370" t="s">
        <v>116</v>
      </c>
      <c r="O370" t="s">
        <v>397</v>
      </c>
      <c r="P370" t="s">
        <v>436</v>
      </c>
      <c r="Q370">
        <v>7</v>
      </c>
      <c r="R370" s="225">
        <f>Base_Periodo1[[#This Row],[CREDITOS]]-Base_Periodo1[[#This Row],[DEBITOS]]</f>
        <v>0.36999999999989086</v>
      </c>
      <c r="S370" s="3" t="str">
        <f>IF(ISERROR(VLOOKUP(Base_Periodo1[[#This Row],[CONTA]],BaseContasDRE[#All],4,FALSE)),"Fora do DRE",VLOOKUP(Base_Periodo1[[#This Row],[CONTA]],BaseContasDRE[#All],4,FALSE))</f>
        <v>Fora do DRE</v>
      </c>
      <c r="T370" s="3" t="str">
        <f>IF(ISERROR(VLOOKUP(Base_Periodo1[[#This Row],[CONTA]],BaseContasDRE[#All],5,FALSE)),"Fora do DRE",VLOOKUP(Base_Periodo1[[#This Row],[CONTA]],BaseContasDRE[#All],6,FALSE))</f>
        <v>Fora do DRE</v>
      </c>
      <c r="U370" s="3" t="str">
        <f>IF(ISERROR(VLOOKUP(Base_Periodo1[[#This Row],[CONTA]],BaseContasDRE[#All],7,FALSE)),"Fora do DRE",VLOOKUP(Base_Periodo1[[#This Row],[CONTA]],BaseContasDRE[#All],7,FALSE))</f>
        <v>Fora do DRE</v>
      </c>
      <c r="V370" s="3" t="str">
        <f>IF(Base_Periodo1[[#This Row],[Tipo_Linha]]="Fora do DRE","Fora do DRE","( "&amp;Base_Periodo1[[#This Row],[Tipo_Linha]]&amp;" ) "&amp;Base_Periodo1[[#This Row],[Filtro]])</f>
        <v>Fora do DRE</v>
      </c>
      <c r="W370" s="3" t="str">
        <f>LEFT(Base_Periodo1[[#This Row],[CLASS]],3)</f>
        <v>1.1</v>
      </c>
    </row>
    <row r="371" spans="1:23" hidden="1">
      <c r="A371" s="3" t="str">
        <f t="shared" si="5"/>
        <v>Período 1</v>
      </c>
      <c r="B371">
        <v>4644</v>
      </c>
      <c r="C371" t="s">
        <v>503</v>
      </c>
      <c r="D371" t="s">
        <v>673</v>
      </c>
      <c r="E371" s="3" t="str">
        <f>IF(LEN(Base_Periodo1[[#This Row],[CLASS]])&gt;=7,LEFT(Base_Periodo1[[#This Row],[CLASS]],7),"")</f>
        <v>1.1.2.1</v>
      </c>
      <c r="F371" s="3" t="str">
        <f>VLOOKUP(Base_Periodo1[[#This Row],[Aux]],Base_Contas_Balanco[#All],2,FALSE)</f>
        <v>Creditos com Cooperados</v>
      </c>
      <c r="G371" s="1">
        <v>42877</v>
      </c>
      <c r="I371" s="225">
        <v>260</v>
      </c>
      <c r="J371" s="225">
        <v>0</v>
      </c>
      <c r="K371" s="225">
        <v>260</v>
      </c>
      <c r="L3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260</v>
      </c>
      <c r="M371" s="225">
        <f>ROUND(IF(AND(Base_Periodo1[[#This Row],[Tipo_Linha]]="-",Base_Periodo1[[#This Row],[TIPOSALDO]]="D"),Base_Periodo1[[#This Row],[SALDO_ATUAL]]*-1,Base_Periodo1[[#This Row],[SALDO_ATUAL]]),4)</f>
        <v>260</v>
      </c>
      <c r="N371" t="s">
        <v>116</v>
      </c>
      <c r="O371" t="s">
        <v>436</v>
      </c>
      <c r="P371" t="s">
        <v>397</v>
      </c>
      <c r="Q371">
        <v>7</v>
      </c>
      <c r="R371" s="225">
        <f>Base_Periodo1[[#This Row],[CREDITOS]]-Base_Periodo1[[#This Row],[DEBITOS]]</f>
        <v>-260</v>
      </c>
      <c r="S371" s="3" t="str">
        <f>IF(ISERROR(VLOOKUP(Base_Periodo1[[#This Row],[CONTA]],BaseContasDRE[#All],4,FALSE)),"Fora do DRE",VLOOKUP(Base_Periodo1[[#This Row],[CONTA]],BaseContasDRE[#All],4,FALSE))</f>
        <v>Fora do DRE</v>
      </c>
      <c r="T371" s="3" t="str">
        <f>IF(ISERROR(VLOOKUP(Base_Periodo1[[#This Row],[CONTA]],BaseContasDRE[#All],5,FALSE)),"Fora do DRE",VLOOKUP(Base_Periodo1[[#This Row],[CONTA]],BaseContasDRE[#All],6,FALSE))</f>
        <v>Fora do DRE</v>
      </c>
      <c r="U371" s="3" t="str">
        <f>IF(ISERROR(VLOOKUP(Base_Periodo1[[#This Row],[CONTA]],BaseContasDRE[#All],7,FALSE)),"Fora do DRE",VLOOKUP(Base_Periodo1[[#This Row],[CONTA]],BaseContasDRE[#All],7,FALSE))</f>
        <v>Fora do DRE</v>
      </c>
      <c r="V371" s="3" t="str">
        <f>IF(Base_Periodo1[[#This Row],[Tipo_Linha]]="Fora do DRE","Fora do DRE","( "&amp;Base_Periodo1[[#This Row],[Tipo_Linha]]&amp;" ) "&amp;Base_Periodo1[[#This Row],[Filtro]])</f>
        <v>Fora do DRE</v>
      </c>
      <c r="W371" s="3" t="str">
        <f>LEFT(Base_Periodo1[[#This Row],[CLASS]],3)</f>
        <v>1.1</v>
      </c>
    </row>
    <row r="372" spans="1:23" hidden="1">
      <c r="A372" s="3" t="str">
        <f t="shared" si="5"/>
        <v>Período 1</v>
      </c>
      <c r="B372">
        <v>4776</v>
      </c>
      <c r="C372" t="s">
        <v>503</v>
      </c>
      <c r="D372" t="s">
        <v>5141</v>
      </c>
      <c r="E372" s="3" t="str">
        <f>IF(LEN(Base_Periodo1[[#This Row],[CLASS]])&gt;=7,LEFT(Base_Periodo1[[#This Row],[CLASS]],7),"")</f>
        <v>1.1.2.1</v>
      </c>
      <c r="F372" s="3" t="str">
        <f>VLOOKUP(Base_Periodo1[[#This Row],[Aux]],Base_Contas_Balanco[#All],2,FALSE)</f>
        <v>Creditos com Cooperados</v>
      </c>
      <c r="G372" s="1">
        <v>42874</v>
      </c>
      <c r="H372" s="225">
        <v>660.00000000000728</v>
      </c>
      <c r="I372" s="225">
        <v>1518.75</v>
      </c>
      <c r="J372" s="225">
        <v>0</v>
      </c>
      <c r="K372" s="225">
        <v>2178.7500000000073</v>
      </c>
      <c r="L3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2178.75</v>
      </c>
      <c r="M372" s="225">
        <f>ROUND(IF(AND(Base_Periodo1[[#This Row],[Tipo_Linha]]="-",Base_Periodo1[[#This Row],[TIPOSALDO]]="D"),Base_Periodo1[[#This Row],[SALDO_ATUAL]]*-1,Base_Periodo1[[#This Row],[SALDO_ATUAL]]),4)</f>
        <v>2178.75</v>
      </c>
      <c r="N372" t="s">
        <v>116</v>
      </c>
      <c r="O372" t="s">
        <v>397</v>
      </c>
      <c r="P372" t="s">
        <v>397</v>
      </c>
      <c r="Q372">
        <v>7</v>
      </c>
      <c r="R372" s="225">
        <f>Base_Periodo1[[#This Row],[CREDITOS]]-Base_Periodo1[[#This Row],[DEBITOS]]</f>
        <v>-1518.75</v>
      </c>
      <c r="S372" s="3" t="str">
        <f>IF(ISERROR(VLOOKUP(Base_Periodo1[[#This Row],[CONTA]],BaseContasDRE[#All],4,FALSE)),"Fora do DRE",VLOOKUP(Base_Periodo1[[#This Row],[CONTA]],BaseContasDRE[#All],4,FALSE))</f>
        <v>Fora do DRE</v>
      </c>
      <c r="T372" s="3" t="str">
        <f>IF(ISERROR(VLOOKUP(Base_Periodo1[[#This Row],[CONTA]],BaseContasDRE[#All],5,FALSE)),"Fora do DRE",VLOOKUP(Base_Periodo1[[#This Row],[CONTA]],BaseContasDRE[#All],6,FALSE))</f>
        <v>Fora do DRE</v>
      </c>
      <c r="U372" s="3" t="str">
        <f>IF(ISERROR(VLOOKUP(Base_Periodo1[[#This Row],[CONTA]],BaseContasDRE[#All],7,FALSE)),"Fora do DRE",VLOOKUP(Base_Periodo1[[#This Row],[CONTA]],BaseContasDRE[#All],7,FALSE))</f>
        <v>Fora do DRE</v>
      </c>
      <c r="V372" s="3" t="str">
        <f>IF(Base_Periodo1[[#This Row],[Tipo_Linha]]="Fora do DRE","Fora do DRE","( "&amp;Base_Periodo1[[#This Row],[Tipo_Linha]]&amp;" ) "&amp;Base_Periodo1[[#This Row],[Filtro]])</f>
        <v>Fora do DRE</v>
      </c>
      <c r="W372" s="3" t="str">
        <f>LEFT(Base_Periodo1[[#This Row],[CLASS]],3)</f>
        <v>1.1</v>
      </c>
    </row>
    <row r="373" spans="1:23" hidden="1">
      <c r="A373" s="3" t="str">
        <f t="shared" si="5"/>
        <v>Período 1</v>
      </c>
      <c r="B373">
        <v>2208</v>
      </c>
      <c r="C373" t="s">
        <v>503</v>
      </c>
      <c r="D373" t="s">
        <v>675</v>
      </c>
      <c r="E373" s="3" t="str">
        <f>IF(LEN(Base_Periodo1[[#This Row],[CLASS]])&gt;=7,LEFT(Base_Periodo1[[#This Row],[CLASS]],7),"")</f>
        <v>1.1.2.1</v>
      </c>
      <c r="F373" s="3" t="str">
        <f>VLOOKUP(Base_Periodo1[[#This Row],[Aux]],Base_Contas_Balanco[#All],2,FALSE)</f>
        <v>Creditos com Cooperados</v>
      </c>
      <c r="G373" s="1">
        <v>42886</v>
      </c>
      <c r="H373" s="225">
        <v>153307.90999998339</v>
      </c>
      <c r="I373" s="225">
        <v>215556.34999999998</v>
      </c>
      <c r="J373" s="225">
        <v>349694.56000000006</v>
      </c>
      <c r="K373" s="225">
        <v>19169.699999983306</v>
      </c>
      <c r="L3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19169.7</v>
      </c>
      <c r="M373" s="225">
        <f>ROUND(IF(AND(Base_Periodo1[[#This Row],[Tipo_Linha]]="-",Base_Periodo1[[#This Row],[TIPOSALDO]]="D"),Base_Periodo1[[#This Row],[SALDO_ATUAL]]*-1,Base_Periodo1[[#This Row],[SALDO_ATUAL]]),4)</f>
        <v>19169.7</v>
      </c>
      <c r="N373" t="s">
        <v>116</v>
      </c>
      <c r="O373" t="s">
        <v>397</v>
      </c>
      <c r="P373" t="s">
        <v>397</v>
      </c>
      <c r="Q373">
        <v>7</v>
      </c>
      <c r="R373" s="225">
        <f>Base_Periodo1[[#This Row],[CREDITOS]]-Base_Periodo1[[#This Row],[DEBITOS]]</f>
        <v>134138.21000000008</v>
      </c>
      <c r="S373" s="3" t="str">
        <f>IF(ISERROR(VLOOKUP(Base_Periodo1[[#This Row],[CONTA]],BaseContasDRE[#All],4,FALSE)),"Fora do DRE",VLOOKUP(Base_Periodo1[[#This Row],[CONTA]],BaseContasDRE[#All],4,FALSE))</f>
        <v>Fora do DRE</v>
      </c>
      <c r="T373" s="3" t="str">
        <f>IF(ISERROR(VLOOKUP(Base_Periodo1[[#This Row],[CONTA]],BaseContasDRE[#All],5,FALSE)),"Fora do DRE",VLOOKUP(Base_Periodo1[[#This Row],[CONTA]],BaseContasDRE[#All],6,FALSE))</f>
        <v>Fora do DRE</v>
      </c>
      <c r="U373" s="3" t="str">
        <f>IF(ISERROR(VLOOKUP(Base_Periodo1[[#This Row],[CONTA]],BaseContasDRE[#All],7,FALSE)),"Fora do DRE",VLOOKUP(Base_Periodo1[[#This Row],[CONTA]],BaseContasDRE[#All],7,FALSE))</f>
        <v>Fora do DRE</v>
      </c>
      <c r="V373" s="3" t="str">
        <f>IF(Base_Periodo1[[#This Row],[Tipo_Linha]]="Fora do DRE","Fora do DRE","( "&amp;Base_Periodo1[[#This Row],[Tipo_Linha]]&amp;" ) "&amp;Base_Periodo1[[#This Row],[Filtro]])</f>
        <v>Fora do DRE</v>
      </c>
      <c r="W373" s="3" t="str">
        <f>LEFT(Base_Periodo1[[#This Row],[CLASS]],3)</f>
        <v>1.1</v>
      </c>
    </row>
    <row r="374" spans="1:23" hidden="1">
      <c r="A374" s="3" t="str">
        <f t="shared" si="5"/>
        <v>Período 1</v>
      </c>
      <c r="B374">
        <v>52787</v>
      </c>
      <c r="C374" t="s">
        <v>503</v>
      </c>
      <c r="D374" t="s">
        <v>4814</v>
      </c>
      <c r="E374" s="3" t="str">
        <f>IF(LEN(Base_Periodo1[[#This Row],[CLASS]])&gt;=7,LEFT(Base_Periodo1[[#This Row],[CLASS]],7),"")</f>
        <v>1.1.2.1</v>
      </c>
      <c r="F374" s="3" t="str">
        <f>VLOOKUP(Base_Periodo1[[#This Row],[Aux]],Base_Contas_Balanco[#All],2,FALSE)</f>
        <v>Creditos com Cooperados</v>
      </c>
      <c r="G374" s="1">
        <v>42886</v>
      </c>
      <c r="H374" s="225">
        <v>213936.00999999995</v>
      </c>
      <c r="I374" s="225">
        <v>11287.000000000002</v>
      </c>
      <c r="J374" s="225">
        <v>200960.51</v>
      </c>
      <c r="K374" s="225">
        <v>24262.499999999942</v>
      </c>
      <c r="L3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24262.5</v>
      </c>
      <c r="M374" s="225">
        <f>ROUND(IF(AND(Base_Periodo1[[#This Row],[Tipo_Linha]]="-",Base_Periodo1[[#This Row],[TIPOSALDO]]="D"),Base_Periodo1[[#This Row],[SALDO_ATUAL]]*-1,Base_Periodo1[[#This Row],[SALDO_ATUAL]]),4)</f>
        <v>24262.5</v>
      </c>
      <c r="N374" t="s">
        <v>116</v>
      </c>
      <c r="O374" t="s">
        <v>397</v>
      </c>
      <c r="P374" t="s">
        <v>397</v>
      </c>
      <c r="Q374">
        <v>7</v>
      </c>
      <c r="R374" s="225">
        <f>Base_Periodo1[[#This Row],[CREDITOS]]-Base_Periodo1[[#This Row],[DEBITOS]]</f>
        <v>189673.51</v>
      </c>
      <c r="S374" s="3" t="str">
        <f>IF(ISERROR(VLOOKUP(Base_Periodo1[[#This Row],[CONTA]],BaseContasDRE[#All],4,FALSE)),"Fora do DRE",VLOOKUP(Base_Periodo1[[#This Row],[CONTA]],BaseContasDRE[#All],4,FALSE))</f>
        <v>Fora do DRE</v>
      </c>
      <c r="T374" s="3" t="str">
        <f>IF(ISERROR(VLOOKUP(Base_Periodo1[[#This Row],[CONTA]],BaseContasDRE[#All],5,FALSE)),"Fora do DRE",VLOOKUP(Base_Periodo1[[#This Row],[CONTA]],BaseContasDRE[#All],6,FALSE))</f>
        <v>Fora do DRE</v>
      </c>
      <c r="U374" s="3" t="str">
        <f>IF(ISERROR(VLOOKUP(Base_Periodo1[[#This Row],[CONTA]],BaseContasDRE[#All],7,FALSE)),"Fora do DRE",VLOOKUP(Base_Periodo1[[#This Row],[CONTA]],BaseContasDRE[#All],7,FALSE))</f>
        <v>Fora do DRE</v>
      </c>
      <c r="V374" s="3" t="str">
        <f>IF(Base_Periodo1[[#This Row],[Tipo_Linha]]="Fora do DRE","Fora do DRE","( "&amp;Base_Periodo1[[#This Row],[Tipo_Linha]]&amp;" ) "&amp;Base_Periodo1[[#This Row],[Filtro]])</f>
        <v>Fora do DRE</v>
      </c>
      <c r="W374" s="3" t="str">
        <f>LEFT(Base_Periodo1[[#This Row],[CLASS]],3)</f>
        <v>1.1</v>
      </c>
    </row>
    <row r="375" spans="1:23" hidden="1">
      <c r="A375" s="3" t="str">
        <f t="shared" si="5"/>
        <v>Período 1</v>
      </c>
      <c r="B375">
        <v>51852</v>
      </c>
      <c r="C375" t="s">
        <v>503</v>
      </c>
      <c r="D375" t="s">
        <v>4365</v>
      </c>
      <c r="E375" s="3" t="str">
        <f>IF(LEN(Base_Periodo1[[#This Row],[CLASS]])&gt;=7,LEFT(Base_Periodo1[[#This Row],[CLASS]],7),"")</f>
        <v>1.1.2.1</v>
      </c>
      <c r="F375" s="3" t="str">
        <f>VLOOKUP(Base_Periodo1[[#This Row],[Aux]],Base_Contas_Balanco[#All],2,FALSE)</f>
        <v>Creditos com Cooperados</v>
      </c>
      <c r="G375" s="1">
        <v>42857</v>
      </c>
      <c r="H375" s="225">
        <v>7950.570000000007</v>
      </c>
      <c r="I375" s="225">
        <v>0</v>
      </c>
      <c r="J375" s="225">
        <v>7950.57</v>
      </c>
      <c r="K375" s="225">
        <v>7.2759576141834259E-12</v>
      </c>
      <c r="L3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5" s="225">
        <f>ROUND(IF(AND(Base_Periodo1[[#This Row],[Tipo_Linha]]="-",Base_Periodo1[[#This Row],[TIPOSALDO]]="D"),Base_Periodo1[[#This Row],[SALDO_ATUAL]]*-1,Base_Periodo1[[#This Row],[SALDO_ATUAL]]),4)</f>
        <v>0</v>
      </c>
      <c r="N375" t="s">
        <v>116</v>
      </c>
      <c r="O375" t="s">
        <v>397</v>
      </c>
      <c r="P375" t="s">
        <v>436</v>
      </c>
      <c r="Q375">
        <v>7</v>
      </c>
      <c r="R375" s="225">
        <f>Base_Periodo1[[#This Row],[CREDITOS]]-Base_Periodo1[[#This Row],[DEBITOS]]</f>
        <v>7950.57</v>
      </c>
      <c r="S375" s="3" t="str">
        <f>IF(ISERROR(VLOOKUP(Base_Periodo1[[#This Row],[CONTA]],BaseContasDRE[#All],4,FALSE)),"Fora do DRE",VLOOKUP(Base_Periodo1[[#This Row],[CONTA]],BaseContasDRE[#All],4,FALSE))</f>
        <v>Fora do DRE</v>
      </c>
      <c r="T375" s="3" t="str">
        <f>IF(ISERROR(VLOOKUP(Base_Periodo1[[#This Row],[CONTA]],BaseContasDRE[#All],5,FALSE)),"Fora do DRE",VLOOKUP(Base_Periodo1[[#This Row],[CONTA]],BaseContasDRE[#All],6,FALSE))</f>
        <v>Fora do DRE</v>
      </c>
      <c r="U375" s="3" t="str">
        <f>IF(ISERROR(VLOOKUP(Base_Periodo1[[#This Row],[CONTA]],BaseContasDRE[#All],7,FALSE)),"Fora do DRE",VLOOKUP(Base_Periodo1[[#This Row],[CONTA]],BaseContasDRE[#All],7,FALSE))</f>
        <v>Fora do DRE</v>
      </c>
      <c r="V375" s="3" t="str">
        <f>IF(Base_Periodo1[[#This Row],[Tipo_Linha]]="Fora do DRE","Fora do DRE","( "&amp;Base_Periodo1[[#This Row],[Tipo_Linha]]&amp;" ) "&amp;Base_Periodo1[[#This Row],[Filtro]])</f>
        <v>Fora do DRE</v>
      </c>
      <c r="W375" s="3" t="str">
        <f>LEFT(Base_Periodo1[[#This Row],[CLASS]],3)</f>
        <v>1.1</v>
      </c>
    </row>
    <row r="376" spans="1:23" hidden="1">
      <c r="A376" s="3" t="str">
        <f t="shared" si="5"/>
        <v>Período 1</v>
      </c>
      <c r="B376">
        <v>47841</v>
      </c>
      <c r="C376" t="s">
        <v>503</v>
      </c>
      <c r="D376" t="s">
        <v>4189</v>
      </c>
      <c r="E376" s="3" t="str">
        <f>IF(LEN(Base_Periodo1[[#This Row],[CLASS]])&gt;=7,LEFT(Base_Periodo1[[#This Row],[CLASS]],7),"")</f>
        <v>1.1.2.1</v>
      </c>
      <c r="F376" s="3" t="str">
        <f>VLOOKUP(Base_Periodo1[[#This Row],[Aux]],Base_Contas_Balanco[#All],2,FALSE)</f>
        <v>Creditos com Cooperados</v>
      </c>
      <c r="G376" s="1">
        <v>42877</v>
      </c>
      <c r="H376" s="225">
        <v>19940.190000000017</v>
      </c>
      <c r="I376" s="225">
        <v>5645.2</v>
      </c>
      <c r="J376" s="225">
        <v>10107.530000000001</v>
      </c>
      <c r="K376" s="225">
        <v>15477.860000000017</v>
      </c>
      <c r="L3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15477.86</v>
      </c>
      <c r="M376" s="225">
        <f>ROUND(IF(AND(Base_Periodo1[[#This Row],[Tipo_Linha]]="-",Base_Periodo1[[#This Row],[TIPOSALDO]]="D"),Base_Periodo1[[#This Row],[SALDO_ATUAL]]*-1,Base_Periodo1[[#This Row],[SALDO_ATUAL]]),4)</f>
        <v>15477.86</v>
      </c>
      <c r="N376" t="s">
        <v>116</v>
      </c>
      <c r="O376" t="s">
        <v>397</v>
      </c>
      <c r="P376" t="s">
        <v>397</v>
      </c>
      <c r="Q376">
        <v>7</v>
      </c>
      <c r="R376" s="225">
        <f>Base_Periodo1[[#This Row],[CREDITOS]]-Base_Periodo1[[#This Row],[DEBITOS]]</f>
        <v>4462.3300000000008</v>
      </c>
      <c r="S376" s="3" t="str">
        <f>IF(ISERROR(VLOOKUP(Base_Periodo1[[#This Row],[CONTA]],BaseContasDRE[#All],4,FALSE)),"Fora do DRE",VLOOKUP(Base_Periodo1[[#This Row],[CONTA]],BaseContasDRE[#All],4,FALSE))</f>
        <v>Fora do DRE</v>
      </c>
      <c r="T376" s="3" t="str">
        <f>IF(ISERROR(VLOOKUP(Base_Periodo1[[#This Row],[CONTA]],BaseContasDRE[#All],5,FALSE)),"Fora do DRE",VLOOKUP(Base_Periodo1[[#This Row],[CONTA]],BaseContasDRE[#All],6,FALSE))</f>
        <v>Fora do DRE</v>
      </c>
      <c r="U376" s="3" t="str">
        <f>IF(ISERROR(VLOOKUP(Base_Periodo1[[#This Row],[CONTA]],BaseContasDRE[#All],7,FALSE)),"Fora do DRE",VLOOKUP(Base_Periodo1[[#This Row],[CONTA]],BaseContasDRE[#All],7,FALSE))</f>
        <v>Fora do DRE</v>
      </c>
      <c r="V376" s="3" t="str">
        <f>IF(Base_Periodo1[[#This Row],[Tipo_Linha]]="Fora do DRE","Fora do DRE","( "&amp;Base_Periodo1[[#This Row],[Tipo_Linha]]&amp;" ) "&amp;Base_Periodo1[[#This Row],[Filtro]])</f>
        <v>Fora do DRE</v>
      </c>
      <c r="W376" s="3" t="str">
        <f>LEFT(Base_Periodo1[[#This Row],[CLASS]],3)</f>
        <v>1.1</v>
      </c>
    </row>
    <row r="377" spans="1:23" hidden="1">
      <c r="A377" s="3" t="str">
        <f t="shared" si="5"/>
        <v>Período 1</v>
      </c>
      <c r="B377">
        <v>3804</v>
      </c>
      <c r="C377" t="s">
        <v>503</v>
      </c>
      <c r="D377" t="s">
        <v>5142</v>
      </c>
      <c r="E377" s="3" t="str">
        <f>IF(LEN(Base_Periodo1[[#This Row],[CLASS]])&gt;=7,LEFT(Base_Periodo1[[#This Row],[CLASS]],7),"")</f>
        <v>1.1.2.1</v>
      </c>
      <c r="F377" s="3" t="str">
        <f>VLOOKUP(Base_Periodo1[[#This Row],[Aux]],Base_Contas_Balanco[#All],2,FALSE)</f>
        <v>Creditos com Cooperados</v>
      </c>
      <c r="G377" s="1">
        <v>42858</v>
      </c>
      <c r="I377" s="225">
        <v>1284.8</v>
      </c>
      <c r="J377" s="225">
        <v>0</v>
      </c>
      <c r="K377" s="225">
        <v>1284.8000000000582</v>
      </c>
      <c r="L3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1284.8</v>
      </c>
      <c r="M377" s="225">
        <f>ROUND(IF(AND(Base_Periodo1[[#This Row],[Tipo_Linha]]="-",Base_Periodo1[[#This Row],[TIPOSALDO]]="D"),Base_Periodo1[[#This Row],[SALDO_ATUAL]]*-1,Base_Periodo1[[#This Row],[SALDO_ATUAL]]),4)</f>
        <v>1284.8</v>
      </c>
      <c r="N377" t="s">
        <v>116</v>
      </c>
      <c r="O377" t="s">
        <v>436</v>
      </c>
      <c r="P377" t="s">
        <v>397</v>
      </c>
      <c r="Q377">
        <v>7</v>
      </c>
      <c r="R377" s="225">
        <f>Base_Periodo1[[#This Row],[CREDITOS]]-Base_Periodo1[[#This Row],[DEBITOS]]</f>
        <v>-1284.8</v>
      </c>
      <c r="S377" s="3" t="str">
        <f>IF(ISERROR(VLOOKUP(Base_Periodo1[[#This Row],[CONTA]],BaseContasDRE[#All],4,FALSE)),"Fora do DRE",VLOOKUP(Base_Periodo1[[#This Row],[CONTA]],BaseContasDRE[#All],4,FALSE))</f>
        <v>Fora do DRE</v>
      </c>
      <c r="T377" s="3" t="str">
        <f>IF(ISERROR(VLOOKUP(Base_Periodo1[[#This Row],[CONTA]],BaseContasDRE[#All],5,FALSE)),"Fora do DRE",VLOOKUP(Base_Periodo1[[#This Row],[CONTA]],BaseContasDRE[#All],6,FALSE))</f>
        <v>Fora do DRE</v>
      </c>
      <c r="U377" s="3" t="str">
        <f>IF(ISERROR(VLOOKUP(Base_Periodo1[[#This Row],[CONTA]],BaseContasDRE[#All],7,FALSE)),"Fora do DRE",VLOOKUP(Base_Periodo1[[#This Row],[CONTA]],BaseContasDRE[#All],7,FALSE))</f>
        <v>Fora do DRE</v>
      </c>
      <c r="V377" s="3" t="str">
        <f>IF(Base_Periodo1[[#This Row],[Tipo_Linha]]="Fora do DRE","Fora do DRE","( "&amp;Base_Periodo1[[#This Row],[Tipo_Linha]]&amp;" ) "&amp;Base_Periodo1[[#This Row],[Filtro]])</f>
        <v>Fora do DRE</v>
      </c>
      <c r="W377" s="3" t="str">
        <f>LEFT(Base_Periodo1[[#This Row],[CLASS]],3)</f>
        <v>1.1</v>
      </c>
    </row>
    <row r="378" spans="1:23" hidden="1">
      <c r="A378" s="3" t="str">
        <f t="shared" si="5"/>
        <v>Período 1</v>
      </c>
      <c r="B378">
        <v>21191</v>
      </c>
      <c r="C378" t="s">
        <v>503</v>
      </c>
      <c r="D378" t="s">
        <v>676</v>
      </c>
      <c r="E378" s="3" t="str">
        <f>IF(LEN(Base_Periodo1[[#This Row],[CLASS]])&gt;=7,LEFT(Base_Periodo1[[#This Row],[CLASS]],7),"")</f>
        <v>1.1.2.1</v>
      </c>
      <c r="F378" s="3" t="str">
        <f>VLOOKUP(Base_Periodo1[[#This Row],[Aux]],Base_Contas_Balanco[#All],2,FALSE)</f>
        <v>Creditos com Cooperados</v>
      </c>
      <c r="G378" s="1">
        <v>42832</v>
      </c>
      <c r="H378" s="225">
        <v>978.28999999986263</v>
      </c>
      <c r="I378" s="225">
        <v>0</v>
      </c>
      <c r="J378" s="225">
        <v>0</v>
      </c>
      <c r="K378" s="225">
        <v>978.28999999986263</v>
      </c>
      <c r="L3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978.29</v>
      </c>
      <c r="M378" s="225">
        <f>ROUND(IF(AND(Base_Periodo1[[#This Row],[Tipo_Linha]]="-",Base_Periodo1[[#This Row],[TIPOSALDO]]="D"),Base_Periodo1[[#This Row],[SALDO_ATUAL]]*-1,Base_Periodo1[[#This Row],[SALDO_ATUAL]]),4)</f>
        <v>978.29</v>
      </c>
      <c r="N378" t="s">
        <v>116</v>
      </c>
      <c r="O378" t="s">
        <v>397</v>
      </c>
      <c r="P378" t="s">
        <v>397</v>
      </c>
      <c r="Q378">
        <v>7</v>
      </c>
      <c r="R378" s="225">
        <f>Base_Periodo1[[#This Row],[CREDITOS]]-Base_Periodo1[[#This Row],[DEBITOS]]</f>
        <v>0</v>
      </c>
      <c r="S378" s="3" t="str">
        <f>IF(ISERROR(VLOOKUP(Base_Periodo1[[#This Row],[CONTA]],BaseContasDRE[#All],4,FALSE)),"Fora do DRE",VLOOKUP(Base_Periodo1[[#This Row],[CONTA]],BaseContasDRE[#All],4,FALSE))</f>
        <v>Fora do DRE</v>
      </c>
      <c r="T378" s="3" t="str">
        <f>IF(ISERROR(VLOOKUP(Base_Periodo1[[#This Row],[CONTA]],BaseContasDRE[#All],5,FALSE)),"Fora do DRE",VLOOKUP(Base_Periodo1[[#This Row],[CONTA]],BaseContasDRE[#All],6,FALSE))</f>
        <v>Fora do DRE</v>
      </c>
      <c r="U378" s="3" t="str">
        <f>IF(ISERROR(VLOOKUP(Base_Periodo1[[#This Row],[CONTA]],BaseContasDRE[#All],7,FALSE)),"Fora do DRE",VLOOKUP(Base_Periodo1[[#This Row],[CONTA]],BaseContasDRE[#All],7,FALSE))</f>
        <v>Fora do DRE</v>
      </c>
      <c r="V378" s="3" t="str">
        <f>IF(Base_Periodo1[[#This Row],[Tipo_Linha]]="Fora do DRE","Fora do DRE","( "&amp;Base_Periodo1[[#This Row],[Tipo_Linha]]&amp;" ) "&amp;Base_Periodo1[[#This Row],[Filtro]])</f>
        <v>Fora do DRE</v>
      </c>
      <c r="W378" s="3" t="str">
        <f>LEFT(Base_Periodo1[[#This Row],[CLASS]],3)</f>
        <v>1.1</v>
      </c>
    </row>
    <row r="379" spans="1:23" hidden="1">
      <c r="A379" s="3" t="str">
        <f t="shared" si="5"/>
        <v>Período 1</v>
      </c>
      <c r="B379">
        <v>2228</v>
      </c>
      <c r="C379" t="s">
        <v>503</v>
      </c>
      <c r="D379" t="s">
        <v>677</v>
      </c>
      <c r="E379" s="3" t="str">
        <f>IF(LEN(Base_Periodo1[[#This Row],[CLASS]])&gt;=7,LEFT(Base_Periodo1[[#This Row],[CLASS]],7),"")</f>
        <v>1.1.2.1</v>
      </c>
      <c r="F379" s="3" t="str">
        <f>VLOOKUP(Base_Periodo1[[#This Row],[Aux]],Base_Contas_Balanco[#All],2,FALSE)</f>
        <v>Creditos com Cooperados</v>
      </c>
      <c r="G379" s="1">
        <v>42870</v>
      </c>
      <c r="H379" s="225">
        <v>198.46000000019558</v>
      </c>
      <c r="I379" s="225">
        <v>2584</v>
      </c>
      <c r="J379" s="225">
        <v>0</v>
      </c>
      <c r="K379" s="225">
        <v>2782.4600000001956</v>
      </c>
      <c r="L3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2782.46</v>
      </c>
      <c r="M379" s="225">
        <f>ROUND(IF(AND(Base_Periodo1[[#This Row],[Tipo_Linha]]="-",Base_Periodo1[[#This Row],[TIPOSALDO]]="D"),Base_Periodo1[[#This Row],[SALDO_ATUAL]]*-1,Base_Periodo1[[#This Row],[SALDO_ATUAL]]),4)</f>
        <v>2782.46</v>
      </c>
      <c r="N379" t="s">
        <v>116</v>
      </c>
      <c r="O379" t="s">
        <v>397</v>
      </c>
      <c r="P379" t="s">
        <v>397</v>
      </c>
      <c r="Q379">
        <v>7</v>
      </c>
      <c r="R379" s="225">
        <f>Base_Periodo1[[#This Row],[CREDITOS]]-Base_Periodo1[[#This Row],[DEBITOS]]</f>
        <v>-2584</v>
      </c>
      <c r="S379" s="3" t="str">
        <f>IF(ISERROR(VLOOKUP(Base_Periodo1[[#This Row],[CONTA]],BaseContasDRE[#All],4,FALSE)),"Fora do DRE",VLOOKUP(Base_Periodo1[[#This Row],[CONTA]],BaseContasDRE[#All],4,FALSE))</f>
        <v>Fora do DRE</v>
      </c>
      <c r="T379" s="3" t="str">
        <f>IF(ISERROR(VLOOKUP(Base_Periodo1[[#This Row],[CONTA]],BaseContasDRE[#All],5,FALSE)),"Fora do DRE",VLOOKUP(Base_Periodo1[[#This Row],[CONTA]],BaseContasDRE[#All],6,FALSE))</f>
        <v>Fora do DRE</v>
      </c>
      <c r="U379" s="3" t="str">
        <f>IF(ISERROR(VLOOKUP(Base_Periodo1[[#This Row],[CONTA]],BaseContasDRE[#All],7,FALSE)),"Fora do DRE",VLOOKUP(Base_Periodo1[[#This Row],[CONTA]],BaseContasDRE[#All],7,FALSE))</f>
        <v>Fora do DRE</v>
      </c>
      <c r="V379" s="3" t="str">
        <f>IF(Base_Periodo1[[#This Row],[Tipo_Linha]]="Fora do DRE","Fora do DRE","( "&amp;Base_Periodo1[[#This Row],[Tipo_Linha]]&amp;" ) "&amp;Base_Periodo1[[#This Row],[Filtro]])</f>
        <v>Fora do DRE</v>
      </c>
      <c r="W379" s="3" t="str">
        <f>LEFT(Base_Periodo1[[#This Row],[CLASS]],3)</f>
        <v>1.1</v>
      </c>
    </row>
    <row r="380" spans="1:23" hidden="1">
      <c r="A380" s="3" t="str">
        <f t="shared" si="5"/>
        <v>Período 1</v>
      </c>
      <c r="B380">
        <v>48127</v>
      </c>
      <c r="C380" t="s">
        <v>503</v>
      </c>
      <c r="D380" t="s">
        <v>5143</v>
      </c>
      <c r="E380" s="3" t="str">
        <f>IF(LEN(Base_Periodo1[[#This Row],[CLASS]])&gt;=7,LEFT(Base_Periodo1[[#This Row],[CLASS]],7),"")</f>
        <v>1.1.2.1</v>
      </c>
      <c r="F380" s="3" t="str">
        <f>VLOOKUP(Base_Periodo1[[#This Row],[Aux]],Base_Contas_Balanco[#All],2,FALSE)</f>
        <v>Creditos com Cooperados</v>
      </c>
      <c r="G380" s="1">
        <v>42857</v>
      </c>
      <c r="H380" s="225">
        <v>6999.0999999999767</v>
      </c>
      <c r="I380" s="225">
        <v>0</v>
      </c>
      <c r="J380" s="225">
        <v>6999.0999999999995</v>
      </c>
      <c r="K380" s="225">
        <v>-2.2737367544323206E-11</v>
      </c>
      <c r="L3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0" s="225">
        <f>ROUND(IF(AND(Base_Periodo1[[#This Row],[Tipo_Linha]]="-",Base_Periodo1[[#This Row],[TIPOSALDO]]="D"),Base_Periodo1[[#This Row],[SALDO_ATUAL]]*-1,Base_Periodo1[[#This Row],[SALDO_ATUAL]]),4)</f>
        <v>0</v>
      </c>
      <c r="N380" t="s">
        <v>116</v>
      </c>
      <c r="O380" t="s">
        <v>397</v>
      </c>
      <c r="P380" t="s">
        <v>436</v>
      </c>
      <c r="Q380">
        <v>7</v>
      </c>
      <c r="R380" s="225">
        <f>Base_Periodo1[[#This Row],[CREDITOS]]-Base_Periodo1[[#This Row],[DEBITOS]]</f>
        <v>6999.0999999999995</v>
      </c>
      <c r="S380" s="3" t="str">
        <f>IF(ISERROR(VLOOKUP(Base_Periodo1[[#This Row],[CONTA]],BaseContasDRE[#All],4,FALSE)),"Fora do DRE",VLOOKUP(Base_Periodo1[[#This Row],[CONTA]],BaseContasDRE[#All],4,FALSE))</f>
        <v>Fora do DRE</v>
      </c>
      <c r="T380" s="3" t="str">
        <f>IF(ISERROR(VLOOKUP(Base_Periodo1[[#This Row],[CONTA]],BaseContasDRE[#All],5,FALSE)),"Fora do DRE",VLOOKUP(Base_Periodo1[[#This Row],[CONTA]],BaseContasDRE[#All],6,FALSE))</f>
        <v>Fora do DRE</v>
      </c>
      <c r="U380" s="3" t="str">
        <f>IF(ISERROR(VLOOKUP(Base_Periodo1[[#This Row],[CONTA]],BaseContasDRE[#All],7,FALSE)),"Fora do DRE",VLOOKUP(Base_Periodo1[[#This Row],[CONTA]],BaseContasDRE[#All],7,FALSE))</f>
        <v>Fora do DRE</v>
      </c>
      <c r="V380" s="3" t="str">
        <f>IF(Base_Periodo1[[#This Row],[Tipo_Linha]]="Fora do DRE","Fora do DRE","( "&amp;Base_Periodo1[[#This Row],[Tipo_Linha]]&amp;" ) "&amp;Base_Periodo1[[#This Row],[Filtro]])</f>
        <v>Fora do DRE</v>
      </c>
      <c r="W380" s="3" t="str">
        <f>LEFT(Base_Periodo1[[#This Row],[CLASS]],3)</f>
        <v>1.1</v>
      </c>
    </row>
    <row r="381" spans="1:23" hidden="1">
      <c r="A381" s="3" t="str">
        <f t="shared" si="5"/>
        <v>Período 1</v>
      </c>
      <c r="B381">
        <v>39374</v>
      </c>
      <c r="C381" t="s">
        <v>503</v>
      </c>
      <c r="D381" t="s">
        <v>5210</v>
      </c>
      <c r="E381" s="3" t="str">
        <f>IF(LEN(Base_Periodo1[[#This Row],[CLASS]])&gt;=7,LEFT(Base_Periodo1[[#This Row],[CLASS]],7),"")</f>
        <v>1.1.2.1</v>
      </c>
      <c r="F381" s="3" t="str">
        <f>VLOOKUP(Base_Periodo1[[#This Row],[Aux]],Base_Contas_Balanco[#All],2,FALSE)</f>
        <v>Creditos com Cooperados</v>
      </c>
      <c r="G381" s="1">
        <v>42859</v>
      </c>
      <c r="I381" s="225">
        <v>49</v>
      </c>
      <c r="J381" s="225">
        <v>49</v>
      </c>
      <c r="K381" s="225">
        <v>-3.637978807091713E-12</v>
      </c>
      <c r="L3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1" s="225">
        <f>ROUND(IF(AND(Base_Periodo1[[#This Row],[Tipo_Linha]]="-",Base_Periodo1[[#This Row],[TIPOSALDO]]="D"),Base_Periodo1[[#This Row],[SALDO_ATUAL]]*-1,Base_Periodo1[[#This Row],[SALDO_ATUAL]]),4)</f>
        <v>0</v>
      </c>
      <c r="N381" t="s">
        <v>116</v>
      </c>
      <c r="O381" t="s">
        <v>436</v>
      </c>
      <c r="P381" t="s">
        <v>436</v>
      </c>
      <c r="Q381">
        <v>7</v>
      </c>
      <c r="R381" s="225">
        <f>Base_Periodo1[[#This Row],[CREDITOS]]-Base_Periodo1[[#This Row],[DEBITOS]]</f>
        <v>0</v>
      </c>
      <c r="S381" s="3" t="str">
        <f>IF(ISERROR(VLOOKUP(Base_Periodo1[[#This Row],[CONTA]],BaseContasDRE[#All],4,FALSE)),"Fora do DRE",VLOOKUP(Base_Periodo1[[#This Row],[CONTA]],BaseContasDRE[#All],4,FALSE))</f>
        <v>Fora do DRE</v>
      </c>
      <c r="T381" s="3" t="str">
        <f>IF(ISERROR(VLOOKUP(Base_Periodo1[[#This Row],[CONTA]],BaseContasDRE[#All],5,FALSE)),"Fora do DRE",VLOOKUP(Base_Periodo1[[#This Row],[CONTA]],BaseContasDRE[#All],6,FALSE))</f>
        <v>Fora do DRE</v>
      </c>
      <c r="U381" s="3" t="str">
        <f>IF(ISERROR(VLOOKUP(Base_Periodo1[[#This Row],[CONTA]],BaseContasDRE[#All],7,FALSE)),"Fora do DRE",VLOOKUP(Base_Periodo1[[#This Row],[CONTA]],BaseContasDRE[#All],7,FALSE))</f>
        <v>Fora do DRE</v>
      </c>
      <c r="V381" s="3" t="str">
        <f>IF(Base_Periodo1[[#This Row],[Tipo_Linha]]="Fora do DRE","Fora do DRE","( "&amp;Base_Periodo1[[#This Row],[Tipo_Linha]]&amp;" ) "&amp;Base_Periodo1[[#This Row],[Filtro]])</f>
        <v>Fora do DRE</v>
      </c>
      <c r="W381" s="3" t="str">
        <f>LEFT(Base_Periodo1[[#This Row],[CLASS]],3)</f>
        <v>1.1</v>
      </c>
    </row>
    <row r="382" spans="1:23" hidden="1">
      <c r="A382" s="3" t="str">
        <f t="shared" si="5"/>
        <v>Período 1</v>
      </c>
      <c r="B382">
        <v>55336</v>
      </c>
      <c r="C382" t="s">
        <v>503</v>
      </c>
      <c r="D382" t="s">
        <v>957</v>
      </c>
      <c r="E382" s="3" t="str">
        <f>IF(LEN(Base_Periodo1[[#This Row],[CLASS]])&gt;=7,LEFT(Base_Periodo1[[#This Row],[CLASS]],7),"")</f>
        <v>1.1.2.1</v>
      </c>
      <c r="F382" s="3" t="str">
        <f>VLOOKUP(Base_Periodo1[[#This Row],[Aux]],Base_Contas_Balanco[#All],2,FALSE)</f>
        <v>Creditos com Cooperados</v>
      </c>
      <c r="G382" s="1">
        <v>42884</v>
      </c>
      <c r="H382" s="225">
        <v>20500.62000000001</v>
      </c>
      <c r="I382" s="225">
        <v>2685</v>
      </c>
      <c r="J382" s="225">
        <v>167.27</v>
      </c>
      <c r="K382" s="225">
        <v>23018.350000000009</v>
      </c>
      <c r="L3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23018.35</v>
      </c>
      <c r="M382" s="225">
        <f>ROUND(IF(AND(Base_Periodo1[[#This Row],[Tipo_Linha]]="-",Base_Periodo1[[#This Row],[TIPOSALDO]]="D"),Base_Periodo1[[#This Row],[SALDO_ATUAL]]*-1,Base_Periodo1[[#This Row],[SALDO_ATUAL]]),4)</f>
        <v>23018.35</v>
      </c>
      <c r="N382" t="s">
        <v>116</v>
      </c>
      <c r="O382" t="s">
        <v>397</v>
      </c>
      <c r="P382" t="s">
        <v>397</v>
      </c>
      <c r="Q382">
        <v>7</v>
      </c>
      <c r="R382" s="225">
        <f>Base_Periodo1[[#This Row],[CREDITOS]]-Base_Periodo1[[#This Row],[DEBITOS]]</f>
        <v>-2517.73</v>
      </c>
      <c r="S382" s="3" t="str">
        <f>IF(ISERROR(VLOOKUP(Base_Periodo1[[#This Row],[CONTA]],BaseContasDRE[#All],4,FALSE)),"Fora do DRE",VLOOKUP(Base_Periodo1[[#This Row],[CONTA]],BaseContasDRE[#All],4,FALSE))</f>
        <v>Fora do DRE</v>
      </c>
      <c r="T382" s="3" t="str">
        <f>IF(ISERROR(VLOOKUP(Base_Periodo1[[#This Row],[CONTA]],BaseContasDRE[#All],5,FALSE)),"Fora do DRE",VLOOKUP(Base_Periodo1[[#This Row],[CONTA]],BaseContasDRE[#All],6,FALSE))</f>
        <v>Fora do DRE</v>
      </c>
      <c r="U382" s="3" t="str">
        <f>IF(ISERROR(VLOOKUP(Base_Periodo1[[#This Row],[CONTA]],BaseContasDRE[#All],7,FALSE)),"Fora do DRE",VLOOKUP(Base_Periodo1[[#This Row],[CONTA]],BaseContasDRE[#All],7,FALSE))</f>
        <v>Fora do DRE</v>
      </c>
      <c r="V382" s="3" t="str">
        <f>IF(Base_Periodo1[[#This Row],[Tipo_Linha]]="Fora do DRE","Fora do DRE","( "&amp;Base_Periodo1[[#This Row],[Tipo_Linha]]&amp;" ) "&amp;Base_Periodo1[[#This Row],[Filtro]])</f>
        <v>Fora do DRE</v>
      </c>
      <c r="W382" s="3" t="str">
        <f>LEFT(Base_Periodo1[[#This Row],[CLASS]],3)</f>
        <v>1.1</v>
      </c>
    </row>
    <row r="383" spans="1:23" hidden="1">
      <c r="A383" s="3" t="str">
        <f t="shared" si="5"/>
        <v>Período 1</v>
      </c>
      <c r="B383">
        <v>26316</v>
      </c>
      <c r="C383" t="s">
        <v>503</v>
      </c>
      <c r="D383" t="s">
        <v>678</v>
      </c>
      <c r="E383" s="3" t="str">
        <f>IF(LEN(Base_Periodo1[[#This Row],[CLASS]])&gt;=7,LEFT(Base_Periodo1[[#This Row],[CLASS]],7),"")</f>
        <v>1.1.2.1</v>
      </c>
      <c r="F383" s="3" t="str">
        <f>VLOOKUP(Base_Periodo1[[#This Row],[Aux]],Base_Contas_Balanco[#All],2,FALSE)</f>
        <v>Creditos com Cooperados</v>
      </c>
      <c r="G383" s="1">
        <v>42881</v>
      </c>
      <c r="I383" s="225">
        <v>1869.92</v>
      </c>
      <c r="J383" s="225">
        <v>0</v>
      </c>
      <c r="K383" s="225">
        <v>1869.9199999999419</v>
      </c>
      <c r="L3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1869.92</v>
      </c>
      <c r="M383" s="225">
        <f>ROUND(IF(AND(Base_Periodo1[[#This Row],[Tipo_Linha]]="-",Base_Periodo1[[#This Row],[TIPOSALDO]]="D"),Base_Periodo1[[#This Row],[SALDO_ATUAL]]*-1,Base_Periodo1[[#This Row],[SALDO_ATUAL]]),4)</f>
        <v>1869.92</v>
      </c>
      <c r="N383" t="s">
        <v>116</v>
      </c>
      <c r="O383" t="s">
        <v>436</v>
      </c>
      <c r="P383" t="s">
        <v>397</v>
      </c>
      <c r="Q383">
        <v>7</v>
      </c>
      <c r="R383" s="225">
        <f>Base_Periodo1[[#This Row],[CREDITOS]]-Base_Periodo1[[#This Row],[DEBITOS]]</f>
        <v>-1869.92</v>
      </c>
      <c r="S383" s="3" t="str">
        <f>IF(ISERROR(VLOOKUP(Base_Periodo1[[#This Row],[CONTA]],BaseContasDRE[#All],4,FALSE)),"Fora do DRE",VLOOKUP(Base_Periodo1[[#This Row],[CONTA]],BaseContasDRE[#All],4,FALSE))</f>
        <v>Fora do DRE</v>
      </c>
      <c r="T383" s="3" t="str">
        <f>IF(ISERROR(VLOOKUP(Base_Periodo1[[#This Row],[CONTA]],BaseContasDRE[#All],5,FALSE)),"Fora do DRE",VLOOKUP(Base_Periodo1[[#This Row],[CONTA]],BaseContasDRE[#All],6,FALSE))</f>
        <v>Fora do DRE</v>
      </c>
      <c r="U383" s="3" t="str">
        <f>IF(ISERROR(VLOOKUP(Base_Periodo1[[#This Row],[CONTA]],BaseContasDRE[#All],7,FALSE)),"Fora do DRE",VLOOKUP(Base_Periodo1[[#This Row],[CONTA]],BaseContasDRE[#All],7,FALSE))</f>
        <v>Fora do DRE</v>
      </c>
      <c r="V383" s="3" t="str">
        <f>IF(Base_Periodo1[[#This Row],[Tipo_Linha]]="Fora do DRE","Fora do DRE","( "&amp;Base_Periodo1[[#This Row],[Tipo_Linha]]&amp;" ) "&amp;Base_Periodo1[[#This Row],[Filtro]])</f>
        <v>Fora do DRE</v>
      </c>
      <c r="W383" s="3" t="str">
        <f>LEFT(Base_Periodo1[[#This Row],[CLASS]],3)</f>
        <v>1.1</v>
      </c>
    </row>
    <row r="384" spans="1:23" hidden="1">
      <c r="A384" s="3" t="str">
        <f t="shared" si="5"/>
        <v>Período 1</v>
      </c>
      <c r="B384">
        <v>9356</v>
      </c>
      <c r="C384" t="s">
        <v>503</v>
      </c>
      <c r="D384" t="s">
        <v>679</v>
      </c>
      <c r="E384" s="3" t="str">
        <f>IF(LEN(Base_Periodo1[[#This Row],[CLASS]])&gt;=7,LEFT(Base_Periodo1[[#This Row],[CLASS]],7),"")</f>
        <v>1.1.2.1</v>
      </c>
      <c r="F384" s="3" t="str">
        <f>VLOOKUP(Base_Periodo1[[#This Row],[Aux]],Base_Contas_Balanco[#All],2,FALSE)</f>
        <v>Creditos com Cooperados</v>
      </c>
      <c r="G384" s="1">
        <v>42872</v>
      </c>
      <c r="H384" s="225">
        <v>6988.8000000000175</v>
      </c>
      <c r="I384" s="225">
        <v>6621</v>
      </c>
      <c r="J384" s="225">
        <v>0</v>
      </c>
      <c r="K384" s="225">
        <v>13609.800000000017</v>
      </c>
      <c r="L3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13609.8</v>
      </c>
      <c r="M384" s="225">
        <f>ROUND(IF(AND(Base_Periodo1[[#This Row],[Tipo_Linha]]="-",Base_Periodo1[[#This Row],[TIPOSALDO]]="D"),Base_Periodo1[[#This Row],[SALDO_ATUAL]]*-1,Base_Periodo1[[#This Row],[SALDO_ATUAL]]),4)</f>
        <v>13609.8</v>
      </c>
      <c r="N384" t="s">
        <v>116</v>
      </c>
      <c r="O384" t="s">
        <v>397</v>
      </c>
      <c r="P384" t="s">
        <v>397</v>
      </c>
      <c r="Q384">
        <v>7</v>
      </c>
      <c r="R384" s="225">
        <f>Base_Periodo1[[#This Row],[CREDITOS]]-Base_Periodo1[[#This Row],[DEBITOS]]</f>
        <v>-6621</v>
      </c>
      <c r="S384" s="3" t="str">
        <f>IF(ISERROR(VLOOKUP(Base_Periodo1[[#This Row],[CONTA]],BaseContasDRE[#All],4,FALSE)),"Fora do DRE",VLOOKUP(Base_Periodo1[[#This Row],[CONTA]],BaseContasDRE[#All],4,FALSE))</f>
        <v>Fora do DRE</v>
      </c>
      <c r="T384" s="3" t="str">
        <f>IF(ISERROR(VLOOKUP(Base_Periodo1[[#This Row],[CONTA]],BaseContasDRE[#All],5,FALSE)),"Fora do DRE",VLOOKUP(Base_Periodo1[[#This Row],[CONTA]],BaseContasDRE[#All],6,FALSE))</f>
        <v>Fora do DRE</v>
      </c>
      <c r="U384" s="3" t="str">
        <f>IF(ISERROR(VLOOKUP(Base_Periodo1[[#This Row],[CONTA]],BaseContasDRE[#All],7,FALSE)),"Fora do DRE",VLOOKUP(Base_Periodo1[[#This Row],[CONTA]],BaseContasDRE[#All],7,FALSE))</f>
        <v>Fora do DRE</v>
      </c>
      <c r="V384" s="3" t="str">
        <f>IF(Base_Periodo1[[#This Row],[Tipo_Linha]]="Fora do DRE","Fora do DRE","( "&amp;Base_Periodo1[[#This Row],[Tipo_Linha]]&amp;" ) "&amp;Base_Periodo1[[#This Row],[Filtro]])</f>
        <v>Fora do DRE</v>
      </c>
      <c r="W384" s="3" t="str">
        <f>LEFT(Base_Periodo1[[#This Row],[CLASS]],3)</f>
        <v>1.1</v>
      </c>
    </row>
    <row r="385" spans="1:23" hidden="1">
      <c r="A385" s="3" t="str">
        <f t="shared" si="5"/>
        <v>Período 1</v>
      </c>
      <c r="B385">
        <v>39461</v>
      </c>
      <c r="C385" t="s">
        <v>503</v>
      </c>
      <c r="D385" t="s">
        <v>680</v>
      </c>
      <c r="E385" s="3" t="str">
        <f>IF(LEN(Base_Periodo1[[#This Row],[CLASS]])&gt;=7,LEFT(Base_Periodo1[[#This Row],[CLASS]],7),"")</f>
        <v>1.1.2.1</v>
      </c>
      <c r="F385" s="3" t="str">
        <f>VLOOKUP(Base_Periodo1[[#This Row],[Aux]],Base_Contas_Balanco[#All],2,FALSE)</f>
        <v>Creditos com Cooperados</v>
      </c>
      <c r="G385" s="1">
        <v>42860</v>
      </c>
      <c r="H385" s="225">
        <v>31144.030000000319</v>
      </c>
      <c r="I385" s="225">
        <v>0</v>
      </c>
      <c r="J385" s="225">
        <v>3623.0699999999997</v>
      </c>
      <c r="K385" s="225">
        <v>27520.960000000319</v>
      </c>
      <c r="L3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27520.959999999999</v>
      </c>
      <c r="M385" s="225">
        <f>ROUND(IF(AND(Base_Periodo1[[#This Row],[Tipo_Linha]]="-",Base_Periodo1[[#This Row],[TIPOSALDO]]="D"),Base_Periodo1[[#This Row],[SALDO_ATUAL]]*-1,Base_Periodo1[[#This Row],[SALDO_ATUAL]]),4)</f>
        <v>27520.959999999999</v>
      </c>
      <c r="N385" t="s">
        <v>116</v>
      </c>
      <c r="O385" t="s">
        <v>397</v>
      </c>
      <c r="P385" t="s">
        <v>397</v>
      </c>
      <c r="Q385">
        <v>7</v>
      </c>
      <c r="R385" s="225">
        <f>Base_Periodo1[[#This Row],[CREDITOS]]-Base_Periodo1[[#This Row],[DEBITOS]]</f>
        <v>3623.0699999999997</v>
      </c>
      <c r="S385" s="3" t="str">
        <f>IF(ISERROR(VLOOKUP(Base_Periodo1[[#This Row],[CONTA]],BaseContasDRE[#All],4,FALSE)),"Fora do DRE",VLOOKUP(Base_Periodo1[[#This Row],[CONTA]],BaseContasDRE[#All],4,FALSE))</f>
        <v>Fora do DRE</v>
      </c>
      <c r="T385" s="3" t="str">
        <f>IF(ISERROR(VLOOKUP(Base_Periodo1[[#This Row],[CONTA]],BaseContasDRE[#All],5,FALSE)),"Fora do DRE",VLOOKUP(Base_Periodo1[[#This Row],[CONTA]],BaseContasDRE[#All],6,FALSE))</f>
        <v>Fora do DRE</v>
      </c>
      <c r="U385" s="3" t="str">
        <f>IF(ISERROR(VLOOKUP(Base_Periodo1[[#This Row],[CONTA]],BaseContasDRE[#All],7,FALSE)),"Fora do DRE",VLOOKUP(Base_Periodo1[[#This Row],[CONTA]],BaseContasDRE[#All],7,FALSE))</f>
        <v>Fora do DRE</v>
      </c>
      <c r="V385" s="3" t="str">
        <f>IF(Base_Periodo1[[#This Row],[Tipo_Linha]]="Fora do DRE","Fora do DRE","( "&amp;Base_Periodo1[[#This Row],[Tipo_Linha]]&amp;" ) "&amp;Base_Periodo1[[#This Row],[Filtro]])</f>
        <v>Fora do DRE</v>
      </c>
      <c r="W385" s="3" t="str">
        <f>LEFT(Base_Periodo1[[#This Row],[CLASS]],3)</f>
        <v>1.1</v>
      </c>
    </row>
    <row r="386" spans="1:23" hidden="1">
      <c r="A386" s="3" t="str">
        <f t="shared" si="5"/>
        <v>Período 1</v>
      </c>
      <c r="B386">
        <v>40123</v>
      </c>
      <c r="C386" t="s">
        <v>503</v>
      </c>
      <c r="D386" t="s">
        <v>4997</v>
      </c>
      <c r="E386" s="3" t="str">
        <f>IF(LEN(Base_Periodo1[[#This Row],[CLASS]])&gt;=7,LEFT(Base_Periodo1[[#This Row],[CLASS]],7),"")</f>
        <v>1.1.2.1</v>
      </c>
      <c r="F386" s="3" t="str">
        <f>VLOOKUP(Base_Periodo1[[#This Row],[Aux]],Base_Contas_Balanco[#All],2,FALSE)</f>
        <v>Creditos com Cooperados</v>
      </c>
      <c r="G386" s="1">
        <v>42840</v>
      </c>
      <c r="H386" s="225">
        <v>4004</v>
      </c>
      <c r="I386" s="225">
        <v>0</v>
      </c>
      <c r="J386" s="225">
        <v>0</v>
      </c>
      <c r="K386" s="225">
        <v>4004</v>
      </c>
      <c r="L3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4004</v>
      </c>
      <c r="M386" s="225">
        <f>ROUND(IF(AND(Base_Periodo1[[#This Row],[Tipo_Linha]]="-",Base_Periodo1[[#This Row],[TIPOSALDO]]="D"),Base_Periodo1[[#This Row],[SALDO_ATUAL]]*-1,Base_Periodo1[[#This Row],[SALDO_ATUAL]]),4)</f>
        <v>4004</v>
      </c>
      <c r="N386" t="s">
        <v>116</v>
      </c>
      <c r="O386" t="s">
        <v>397</v>
      </c>
      <c r="P386" t="s">
        <v>397</v>
      </c>
      <c r="Q386">
        <v>7</v>
      </c>
      <c r="R386" s="225">
        <f>Base_Periodo1[[#This Row],[CREDITOS]]-Base_Periodo1[[#This Row],[DEBITOS]]</f>
        <v>0</v>
      </c>
      <c r="S386" s="3" t="str">
        <f>IF(ISERROR(VLOOKUP(Base_Periodo1[[#This Row],[CONTA]],BaseContasDRE[#All],4,FALSE)),"Fora do DRE",VLOOKUP(Base_Periodo1[[#This Row],[CONTA]],BaseContasDRE[#All],4,FALSE))</f>
        <v>Fora do DRE</v>
      </c>
      <c r="T386" s="3" t="str">
        <f>IF(ISERROR(VLOOKUP(Base_Periodo1[[#This Row],[CONTA]],BaseContasDRE[#All],5,FALSE)),"Fora do DRE",VLOOKUP(Base_Periodo1[[#This Row],[CONTA]],BaseContasDRE[#All],6,FALSE))</f>
        <v>Fora do DRE</v>
      </c>
      <c r="U386" s="3" t="str">
        <f>IF(ISERROR(VLOOKUP(Base_Periodo1[[#This Row],[CONTA]],BaseContasDRE[#All],7,FALSE)),"Fora do DRE",VLOOKUP(Base_Periodo1[[#This Row],[CONTA]],BaseContasDRE[#All],7,FALSE))</f>
        <v>Fora do DRE</v>
      </c>
      <c r="V386" s="3" t="str">
        <f>IF(Base_Periodo1[[#This Row],[Tipo_Linha]]="Fora do DRE","Fora do DRE","( "&amp;Base_Periodo1[[#This Row],[Tipo_Linha]]&amp;" ) "&amp;Base_Periodo1[[#This Row],[Filtro]])</f>
        <v>Fora do DRE</v>
      </c>
      <c r="W386" s="3" t="str">
        <f>LEFT(Base_Periodo1[[#This Row],[CLASS]],3)</f>
        <v>1.1</v>
      </c>
    </row>
    <row r="387" spans="1:23" hidden="1">
      <c r="A387" s="3" t="str">
        <f t="shared" si="5"/>
        <v>Período 1</v>
      </c>
      <c r="B387">
        <v>7217</v>
      </c>
      <c r="C387" t="s">
        <v>503</v>
      </c>
      <c r="D387" t="s">
        <v>5638</v>
      </c>
      <c r="E387" s="3" t="str">
        <f>IF(LEN(Base_Periodo1[[#This Row],[CLASS]])&gt;=7,LEFT(Base_Periodo1[[#This Row],[CLASS]],7),"")</f>
        <v>1.1.2.1</v>
      </c>
      <c r="F387" s="3" t="str">
        <f>VLOOKUP(Base_Periodo1[[#This Row],[Aux]],Base_Contas_Balanco[#All],2,FALSE)</f>
        <v>Creditos com Cooperados</v>
      </c>
      <c r="G387" s="1">
        <v>42851</v>
      </c>
      <c r="H387" s="225">
        <v>7849.9999999999418</v>
      </c>
      <c r="I387" s="225">
        <v>0</v>
      </c>
      <c r="J387" s="225">
        <v>0</v>
      </c>
      <c r="K387" s="225">
        <v>7849.9999999999418</v>
      </c>
      <c r="L3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7850</v>
      </c>
      <c r="M387" s="225">
        <f>ROUND(IF(AND(Base_Periodo1[[#This Row],[Tipo_Linha]]="-",Base_Periodo1[[#This Row],[TIPOSALDO]]="D"),Base_Periodo1[[#This Row],[SALDO_ATUAL]]*-1,Base_Periodo1[[#This Row],[SALDO_ATUAL]]),4)</f>
        <v>7850</v>
      </c>
      <c r="N387" t="s">
        <v>116</v>
      </c>
      <c r="O387" t="s">
        <v>397</v>
      </c>
      <c r="P387" t="s">
        <v>397</v>
      </c>
      <c r="Q387">
        <v>7</v>
      </c>
      <c r="R387" s="225">
        <f>Base_Periodo1[[#This Row],[CREDITOS]]-Base_Periodo1[[#This Row],[DEBITOS]]</f>
        <v>0</v>
      </c>
      <c r="S387" s="3" t="str">
        <f>IF(ISERROR(VLOOKUP(Base_Periodo1[[#This Row],[CONTA]],BaseContasDRE[#All],4,FALSE)),"Fora do DRE",VLOOKUP(Base_Periodo1[[#This Row],[CONTA]],BaseContasDRE[#All],4,FALSE))</f>
        <v>Fora do DRE</v>
      </c>
      <c r="T387" s="3" t="str">
        <f>IF(ISERROR(VLOOKUP(Base_Periodo1[[#This Row],[CONTA]],BaseContasDRE[#All],5,FALSE)),"Fora do DRE",VLOOKUP(Base_Periodo1[[#This Row],[CONTA]],BaseContasDRE[#All],6,FALSE))</f>
        <v>Fora do DRE</v>
      </c>
      <c r="U387" s="3" t="str">
        <f>IF(ISERROR(VLOOKUP(Base_Periodo1[[#This Row],[CONTA]],BaseContasDRE[#All],7,FALSE)),"Fora do DRE",VLOOKUP(Base_Periodo1[[#This Row],[CONTA]],BaseContasDRE[#All],7,FALSE))</f>
        <v>Fora do DRE</v>
      </c>
      <c r="V387" s="3" t="str">
        <f>IF(Base_Periodo1[[#This Row],[Tipo_Linha]]="Fora do DRE","Fora do DRE","( "&amp;Base_Periodo1[[#This Row],[Tipo_Linha]]&amp;" ) "&amp;Base_Periodo1[[#This Row],[Filtro]])</f>
        <v>Fora do DRE</v>
      </c>
      <c r="W387" s="3" t="str">
        <f>LEFT(Base_Periodo1[[#This Row],[CLASS]],3)</f>
        <v>1.1</v>
      </c>
    </row>
    <row r="388" spans="1:23" hidden="1">
      <c r="A388" s="3" t="str">
        <f t="shared" si="5"/>
        <v>Período 1</v>
      </c>
      <c r="B388">
        <v>22002</v>
      </c>
      <c r="C388" t="s">
        <v>503</v>
      </c>
      <c r="D388" t="s">
        <v>681</v>
      </c>
      <c r="E388" s="3" t="str">
        <f>IF(LEN(Base_Periodo1[[#This Row],[CLASS]])&gt;=7,LEFT(Base_Periodo1[[#This Row],[CLASS]],7),"")</f>
        <v>1.1.2.1</v>
      </c>
      <c r="F388" s="3" t="str">
        <f>VLOOKUP(Base_Periodo1[[#This Row],[Aux]],Base_Contas_Balanco[#All],2,FALSE)</f>
        <v>Creditos com Cooperados</v>
      </c>
      <c r="G388" s="1">
        <v>42878</v>
      </c>
      <c r="H388" s="225">
        <v>227052.16999999806</v>
      </c>
      <c r="I388" s="225">
        <v>908.2</v>
      </c>
      <c r="J388" s="225">
        <v>227960.37000000002</v>
      </c>
      <c r="K388" s="225">
        <v>-1.9499566406011581E-9</v>
      </c>
      <c r="L3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8" s="225">
        <f>ROUND(IF(AND(Base_Periodo1[[#This Row],[Tipo_Linha]]="-",Base_Periodo1[[#This Row],[TIPOSALDO]]="D"),Base_Periodo1[[#This Row],[SALDO_ATUAL]]*-1,Base_Periodo1[[#This Row],[SALDO_ATUAL]]),4)</f>
        <v>0</v>
      </c>
      <c r="N388" t="s">
        <v>116</v>
      </c>
      <c r="O388" t="s">
        <v>397</v>
      </c>
      <c r="P388" t="s">
        <v>436</v>
      </c>
      <c r="Q388">
        <v>7</v>
      </c>
      <c r="R388" s="225">
        <f>Base_Periodo1[[#This Row],[CREDITOS]]-Base_Periodo1[[#This Row],[DEBITOS]]</f>
        <v>227052.17</v>
      </c>
      <c r="S388" s="3" t="str">
        <f>IF(ISERROR(VLOOKUP(Base_Periodo1[[#This Row],[CONTA]],BaseContasDRE[#All],4,FALSE)),"Fora do DRE",VLOOKUP(Base_Periodo1[[#This Row],[CONTA]],BaseContasDRE[#All],4,FALSE))</f>
        <v>Fora do DRE</v>
      </c>
      <c r="T388" s="3" t="str">
        <f>IF(ISERROR(VLOOKUP(Base_Periodo1[[#This Row],[CONTA]],BaseContasDRE[#All],5,FALSE)),"Fora do DRE",VLOOKUP(Base_Periodo1[[#This Row],[CONTA]],BaseContasDRE[#All],6,FALSE))</f>
        <v>Fora do DRE</v>
      </c>
      <c r="U388" s="3" t="str">
        <f>IF(ISERROR(VLOOKUP(Base_Periodo1[[#This Row],[CONTA]],BaseContasDRE[#All],7,FALSE)),"Fora do DRE",VLOOKUP(Base_Periodo1[[#This Row],[CONTA]],BaseContasDRE[#All],7,FALSE))</f>
        <v>Fora do DRE</v>
      </c>
      <c r="V388" s="3" t="str">
        <f>IF(Base_Periodo1[[#This Row],[Tipo_Linha]]="Fora do DRE","Fora do DRE","( "&amp;Base_Periodo1[[#This Row],[Tipo_Linha]]&amp;" ) "&amp;Base_Periodo1[[#This Row],[Filtro]])</f>
        <v>Fora do DRE</v>
      </c>
      <c r="W388" s="3" t="str">
        <f>LEFT(Base_Periodo1[[#This Row],[CLASS]],3)</f>
        <v>1.1</v>
      </c>
    </row>
    <row r="389" spans="1:23" hidden="1">
      <c r="A389" s="3" t="str">
        <f t="shared" si="5"/>
        <v>Período 1</v>
      </c>
      <c r="B389">
        <v>12767</v>
      </c>
      <c r="C389" t="s">
        <v>503</v>
      </c>
      <c r="D389" t="s">
        <v>5387</v>
      </c>
      <c r="E389" s="3" t="str">
        <f>IF(LEN(Base_Periodo1[[#This Row],[CLASS]])&gt;=7,LEFT(Base_Periodo1[[#This Row],[CLASS]],7),"")</f>
        <v>1.1.2.1</v>
      </c>
      <c r="F389" s="3" t="str">
        <f>VLOOKUP(Base_Periodo1[[#This Row],[Aux]],Base_Contas_Balanco[#All],2,FALSE)</f>
        <v>Creditos com Cooperados</v>
      </c>
      <c r="G389" s="1">
        <v>42695</v>
      </c>
      <c r="H389" s="225">
        <v>1125</v>
      </c>
      <c r="I389" s="225">
        <v>0</v>
      </c>
      <c r="J389" s="225">
        <v>0</v>
      </c>
      <c r="K389" s="225">
        <v>1125</v>
      </c>
      <c r="L3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1125</v>
      </c>
      <c r="M389" s="225">
        <f>ROUND(IF(AND(Base_Periodo1[[#This Row],[Tipo_Linha]]="-",Base_Periodo1[[#This Row],[TIPOSALDO]]="D"),Base_Periodo1[[#This Row],[SALDO_ATUAL]]*-1,Base_Periodo1[[#This Row],[SALDO_ATUAL]]),4)</f>
        <v>1125</v>
      </c>
      <c r="N389" t="s">
        <v>116</v>
      </c>
      <c r="O389" t="s">
        <v>397</v>
      </c>
      <c r="P389" t="s">
        <v>397</v>
      </c>
      <c r="Q389">
        <v>7</v>
      </c>
      <c r="R389" s="225">
        <f>Base_Periodo1[[#This Row],[CREDITOS]]-Base_Periodo1[[#This Row],[DEBITOS]]</f>
        <v>0</v>
      </c>
      <c r="S389" s="3" t="str">
        <f>IF(ISERROR(VLOOKUP(Base_Periodo1[[#This Row],[CONTA]],BaseContasDRE[#All],4,FALSE)),"Fora do DRE",VLOOKUP(Base_Periodo1[[#This Row],[CONTA]],BaseContasDRE[#All],4,FALSE))</f>
        <v>Fora do DRE</v>
      </c>
      <c r="T389" s="3" t="str">
        <f>IF(ISERROR(VLOOKUP(Base_Periodo1[[#This Row],[CONTA]],BaseContasDRE[#All],5,FALSE)),"Fora do DRE",VLOOKUP(Base_Periodo1[[#This Row],[CONTA]],BaseContasDRE[#All],6,FALSE))</f>
        <v>Fora do DRE</v>
      </c>
      <c r="U389" s="3" t="str">
        <f>IF(ISERROR(VLOOKUP(Base_Periodo1[[#This Row],[CONTA]],BaseContasDRE[#All],7,FALSE)),"Fora do DRE",VLOOKUP(Base_Periodo1[[#This Row],[CONTA]],BaseContasDRE[#All],7,FALSE))</f>
        <v>Fora do DRE</v>
      </c>
      <c r="V389" s="3" t="str">
        <f>IF(Base_Periodo1[[#This Row],[Tipo_Linha]]="Fora do DRE","Fora do DRE","( "&amp;Base_Periodo1[[#This Row],[Tipo_Linha]]&amp;" ) "&amp;Base_Periodo1[[#This Row],[Filtro]])</f>
        <v>Fora do DRE</v>
      </c>
      <c r="W389" s="3" t="str">
        <f>LEFT(Base_Periodo1[[#This Row],[CLASS]],3)</f>
        <v>1.1</v>
      </c>
    </row>
    <row r="390" spans="1:23" hidden="1">
      <c r="A390" s="3" t="str">
        <f t="shared" ref="A390:A453" si="6">"Período 1"</f>
        <v>Período 1</v>
      </c>
      <c r="B390">
        <v>12166</v>
      </c>
      <c r="C390" t="s">
        <v>503</v>
      </c>
      <c r="D390" t="s">
        <v>6714</v>
      </c>
      <c r="E390" s="3" t="str">
        <f>IF(LEN(Base_Periodo1[[#This Row],[CLASS]])&gt;=7,LEFT(Base_Periodo1[[#This Row],[CLASS]],7),"")</f>
        <v>1.1.2.1</v>
      </c>
      <c r="F390" s="3" t="str">
        <f>VLOOKUP(Base_Periodo1[[#This Row],[Aux]],Base_Contas_Balanco[#All],2,FALSE)</f>
        <v>Creditos com Cooperados</v>
      </c>
      <c r="G390" s="1">
        <v>42884</v>
      </c>
      <c r="I390" s="225">
        <v>3079.88</v>
      </c>
      <c r="J390" s="225">
        <v>3079.88</v>
      </c>
      <c r="K390" s="225">
        <v>-1.4551915228366852E-11</v>
      </c>
      <c r="L3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0" s="225">
        <f>ROUND(IF(AND(Base_Periodo1[[#This Row],[Tipo_Linha]]="-",Base_Periodo1[[#This Row],[TIPOSALDO]]="D"),Base_Periodo1[[#This Row],[SALDO_ATUAL]]*-1,Base_Periodo1[[#This Row],[SALDO_ATUAL]]),4)</f>
        <v>0</v>
      </c>
      <c r="N390" t="s">
        <v>116</v>
      </c>
      <c r="O390" t="s">
        <v>436</v>
      </c>
      <c r="P390" t="s">
        <v>436</v>
      </c>
      <c r="Q390">
        <v>7</v>
      </c>
      <c r="R390" s="225">
        <f>Base_Periodo1[[#This Row],[CREDITOS]]-Base_Periodo1[[#This Row],[DEBITOS]]</f>
        <v>0</v>
      </c>
      <c r="S390" s="3" t="str">
        <f>IF(ISERROR(VLOOKUP(Base_Periodo1[[#This Row],[CONTA]],BaseContasDRE[#All],4,FALSE)),"Fora do DRE",VLOOKUP(Base_Periodo1[[#This Row],[CONTA]],BaseContasDRE[#All],4,FALSE))</f>
        <v>Fora do DRE</v>
      </c>
      <c r="T390" s="3" t="str">
        <f>IF(ISERROR(VLOOKUP(Base_Periodo1[[#This Row],[CONTA]],BaseContasDRE[#All],5,FALSE)),"Fora do DRE",VLOOKUP(Base_Periodo1[[#This Row],[CONTA]],BaseContasDRE[#All],6,FALSE))</f>
        <v>Fora do DRE</v>
      </c>
      <c r="U390" s="3" t="str">
        <f>IF(ISERROR(VLOOKUP(Base_Periodo1[[#This Row],[CONTA]],BaseContasDRE[#All],7,FALSE)),"Fora do DRE",VLOOKUP(Base_Periodo1[[#This Row],[CONTA]],BaseContasDRE[#All],7,FALSE))</f>
        <v>Fora do DRE</v>
      </c>
      <c r="V390" s="3" t="str">
        <f>IF(Base_Periodo1[[#This Row],[Tipo_Linha]]="Fora do DRE","Fora do DRE","( "&amp;Base_Periodo1[[#This Row],[Tipo_Linha]]&amp;" ) "&amp;Base_Periodo1[[#This Row],[Filtro]])</f>
        <v>Fora do DRE</v>
      </c>
      <c r="W390" s="3" t="str">
        <f>LEFT(Base_Periodo1[[#This Row],[CLASS]],3)</f>
        <v>1.1</v>
      </c>
    </row>
    <row r="391" spans="1:23" hidden="1">
      <c r="A391" s="3" t="str">
        <f t="shared" si="6"/>
        <v>Período 1</v>
      </c>
      <c r="B391">
        <v>47264</v>
      </c>
      <c r="C391" t="s">
        <v>503</v>
      </c>
      <c r="D391" t="s">
        <v>4934</v>
      </c>
      <c r="E391" s="3" t="str">
        <f>IF(LEN(Base_Periodo1[[#This Row],[CLASS]])&gt;=7,LEFT(Base_Periodo1[[#This Row],[CLASS]],7),"")</f>
        <v>1.1.2.1</v>
      </c>
      <c r="F391" s="3" t="str">
        <f>VLOOKUP(Base_Periodo1[[#This Row],[Aux]],Base_Contas_Balanco[#All],2,FALSE)</f>
        <v>Creditos com Cooperados</v>
      </c>
      <c r="G391" s="1">
        <v>42881</v>
      </c>
      <c r="H391" s="225">
        <v>31559.350000000035</v>
      </c>
      <c r="I391" s="225">
        <v>29639.599999999999</v>
      </c>
      <c r="J391" s="225">
        <v>27959.35</v>
      </c>
      <c r="K391" s="225">
        <v>33239.600000000035</v>
      </c>
      <c r="L3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33239.599999999999</v>
      </c>
      <c r="M391" s="225">
        <f>ROUND(IF(AND(Base_Periodo1[[#This Row],[Tipo_Linha]]="-",Base_Periodo1[[#This Row],[TIPOSALDO]]="D"),Base_Periodo1[[#This Row],[SALDO_ATUAL]]*-1,Base_Periodo1[[#This Row],[SALDO_ATUAL]]),4)</f>
        <v>33239.599999999999</v>
      </c>
      <c r="N391" t="s">
        <v>116</v>
      </c>
      <c r="O391" t="s">
        <v>397</v>
      </c>
      <c r="P391" t="s">
        <v>397</v>
      </c>
      <c r="Q391">
        <v>7</v>
      </c>
      <c r="R391" s="225">
        <f>Base_Periodo1[[#This Row],[CREDITOS]]-Base_Periodo1[[#This Row],[DEBITOS]]</f>
        <v>-1680.25</v>
      </c>
      <c r="S391" s="3" t="str">
        <f>IF(ISERROR(VLOOKUP(Base_Periodo1[[#This Row],[CONTA]],BaseContasDRE[#All],4,FALSE)),"Fora do DRE",VLOOKUP(Base_Periodo1[[#This Row],[CONTA]],BaseContasDRE[#All],4,FALSE))</f>
        <v>Fora do DRE</v>
      </c>
      <c r="T391" s="3" t="str">
        <f>IF(ISERROR(VLOOKUP(Base_Periodo1[[#This Row],[CONTA]],BaseContasDRE[#All],5,FALSE)),"Fora do DRE",VLOOKUP(Base_Periodo1[[#This Row],[CONTA]],BaseContasDRE[#All],6,FALSE))</f>
        <v>Fora do DRE</v>
      </c>
      <c r="U391" s="3" t="str">
        <f>IF(ISERROR(VLOOKUP(Base_Periodo1[[#This Row],[CONTA]],BaseContasDRE[#All],7,FALSE)),"Fora do DRE",VLOOKUP(Base_Periodo1[[#This Row],[CONTA]],BaseContasDRE[#All],7,FALSE))</f>
        <v>Fora do DRE</v>
      </c>
      <c r="V391" s="3" t="str">
        <f>IF(Base_Periodo1[[#This Row],[Tipo_Linha]]="Fora do DRE","Fora do DRE","( "&amp;Base_Periodo1[[#This Row],[Tipo_Linha]]&amp;" ) "&amp;Base_Periodo1[[#This Row],[Filtro]])</f>
        <v>Fora do DRE</v>
      </c>
      <c r="W391" s="3" t="str">
        <f>LEFT(Base_Periodo1[[#This Row],[CLASS]],3)</f>
        <v>1.1</v>
      </c>
    </row>
    <row r="392" spans="1:23" hidden="1">
      <c r="A392" s="3" t="str">
        <f t="shared" si="6"/>
        <v>Período 1</v>
      </c>
      <c r="B392">
        <v>37326</v>
      </c>
      <c r="C392" t="s">
        <v>503</v>
      </c>
      <c r="D392" t="s">
        <v>5388</v>
      </c>
      <c r="E392" s="3" t="str">
        <f>IF(LEN(Base_Periodo1[[#This Row],[CLASS]])&gt;=7,LEFT(Base_Periodo1[[#This Row],[CLASS]],7),"")</f>
        <v>1.1.2.1</v>
      </c>
      <c r="F392" s="3" t="str">
        <f>VLOOKUP(Base_Periodo1[[#This Row],[Aux]],Base_Contas_Balanco[#All],2,FALSE)</f>
        <v>Creditos com Cooperados</v>
      </c>
      <c r="G392" s="1">
        <v>42763</v>
      </c>
      <c r="H392" s="225">
        <v>6152.2500000000146</v>
      </c>
      <c r="I392" s="225">
        <v>0</v>
      </c>
      <c r="J392" s="225">
        <v>0</v>
      </c>
      <c r="K392" s="225">
        <v>6152.2500000000146</v>
      </c>
      <c r="L3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6152.25</v>
      </c>
      <c r="M392" s="225">
        <f>ROUND(IF(AND(Base_Periodo1[[#This Row],[Tipo_Linha]]="-",Base_Periodo1[[#This Row],[TIPOSALDO]]="D"),Base_Periodo1[[#This Row],[SALDO_ATUAL]]*-1,Base_Periodo1[[#This Row],[SALDO_ATUAL]]),4)</f>
        <v>6152.25</v>
      </c>
      <c r="N392" t="s">
        <v>116</v>
      </c>
      <c r="O392" t="s">
        <v>397</v>
      </c>
      <c r="P392" t="s">
        <v>397</v>
      </c>
      <c r="Q392">
        <v>7</v>
      </c>
      <c r="R392" s="225">
        <f>Base_Periodo1[[#This Row],[CREDITOS]]-Base_Periodo1[[#This Row],[DEBITOS]]</f>
        <v>0</v>
      </c>
      <c r="S392" s="3" t="str">
        <f>IF(ISERROR(VLOOKUP(Base_Periodo1[[#This Row],[CONTA]],BaseContasDRE[#All],4,FALSE)),"Fora do DRE",VLOOKUP(Base_Periodo1[[#This Row],[CONTA]],BaseContasDRE[#All],4,FALSE))</f>
        <v>Fora do DRE</v>
      </c>
      <c r="T392" s="3" t="str">
        <f>IF(ISERROR(VLOOKUP(Base_Periodo1[[#This Row],[CONTA]],BaseContasDRE[#All],5,FALSE)),"Fora do DRE",VLOOKUP(Base_Periodo1[[#This Row],[CONTA]],BaseContasDRE[#All],6,FALSE))</f>
        <v>Fora do DRE</v>
      </c>
      <c r="U392" s="3" t="str">
        <f>IF(ISERROR(VLOOKUP(Base_Periodo1[[#This Row],[CONTA]],BaseContasDRE[#All],7,FALSE)),"Fora do DRE",VLOOKUP(Base_Periodo1[[#This Row],[CONTA]],BaseContasDRE[#All],7,FALSE))</f>
        <v>Fora do DRE</v>
      </c>
      <c r="V392" s="3" t="str">
        <f>IF(Base_Periodo1[[#This Row],[Tipo_Linha]]="Fora do DRE","Fora do DRE","( "&amp;Base_Periodo1[[#This Row],[Tipo_Linha]]&amp;" ) "&amp;Base_Periodo1[[#This Row],[Filtro]])</f>
        <v>Fora do DRE</v>
      </c>
      <c r="W392" s="3" t="str">
        <f>LEFT(Base_Periodo1[[#This Row],[CLASS]],3)</f>
        <v>1.1</v>
      </c>
    </row>
    <row r="393" spans="1:23" hidden="1">
      <c r="A393" s="3" t="str">
        <f t="shared" si="6"/>
        <v>Período 1</v>
      </c>
      <c r="B393">
        <v>7757</v>
      </c>
      <c r="C393" t="s">
        <v>503</v>
      </c>
      <c r="D393" t="s">
        <v>682</v>
      </c>
      <c r="E393" s="3" t="str">
        <f>IF(LEN(Base_Periodo1[[#This Row],[CLASS]])&gt;=7,LEFT(Base_Periodo1[[#This Row],[CLASS]],7),"")</f>
        <v>1.1.2.1</v>
      </c>
      <c r="F393" s="3" t="str">
        <f>VLOOKUP(Base_Periodo1[[#This Row],[Aux]],Base_Contas_Balanco[#All],2,FALSE)</f>
        <v>Creditos com Cooperados</v>
      </c>
      <c r="G393" s="1">
        <v>42870</v>
      </c>
      <c r="I393" s="225">
        <v>508</v>
      </c>
      <c r="J393" s="225">
        <v>0</v>
      </c>
      <c r="K393" s="225">
        <v>508.00000000005821</v>
      </c>
      <c r="L3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508</v>
      </c>
      <c r="M393" s="225">
        <f>ROUND(IF(AND(Base_Periodo1[[#This Row],[Tipo_Linha]]="-",Base_Periodo1[[#This Row],[TIPOSALDO]]="D"),Base_Periodo1[[#This Row],[SALDO_ATUAL]]*-1,Base_Periodo1[[#This Row],[SALDO_ATUAL]]),4)</f>
        <v>508</v>
      </c>
      <c r="N393" t="s">
        <v>116</v>
      </c>
      <c r="O393" t="s">
        <v>436</v>
      </c>
      <c r="P393" t="s">
        <v>397</v>
      </c>
      <c r="Q393">
        <v>7</v>
      </c>
      <c r="R393" s="225">
        <f>Base_Periodo1[[#This Row],[CREDITOS]]-Base_Periodo1[[#This Row],[DEBITOS]]</f>
        <v>-508</v>
      </c>
      <c r="S393" s="3" t="str">
        <f>IF(ISERROR(VLOOKUP(Base_Periodo1[[#This Row],[CONTA]],BaseContasDRE[#All],4,FALSE)),"Fora do DRE",VLOOKUP(Base_Periodo1[[#This Row],[CONTA]],BaseContasDRE[#All],4,FALSE))</f>
        <v>Fora do DRE</v>
      </c>
      <c r="T393" s="3" t="str">
        <f>IF(ISERROR(VLOOKUP(Base_Periodo1[[#This Row],[CONTA]],BaseContasDRE[#All],5,FALSE)),"Fora do DRE",VLOOKUP(Base_Periodo1[[#This Row],[CONTA]],BaseContasDRE[#All],6,FALSE))</f>
        <v>Fora do DRE</v>
      </c>
      <c r="U393" s="3" t="str">
        <f>IF(ISERROR(VLOOKUP(Base_Periodo1[[#This Row],[CONTA]],BaseContasDRE[#All],7,FALSE)),"Fora do DRE",VLOOKUP(Base_Periodo1[[#This Row],[CONTA]],BaseContasDRE[#All],7,FALSE))</f>
        <v>Fora do DRE</v>
      </c>
      <c r="V393" s="3" t="str">
        <f>IF(Base_Periodo1[[#This Row],[Tipo_Linha]]="Fora do DRE","Fora do DRE","( "&amp;Base_Periodo1[[#This Row],[Tipo_Linha]]&amp;" ) "&amp;Base_Periodo1[[#This Row],[Filtro]])</f>
        <v>Fora do DRE</v>
      </c>
      <c r="W393" s="3" t="str">
        <f>LEFT(Base_Periodo1[[#This Row],[CLASS]],3)</f>
        <v>1.1</v>
      </c>
    </row>
    <row r="394" spans="1:23" hidden="1">
      <c r="A394" s="3" t="str">
        <f t="shared" si="6"/>
        <v>Período 1</v>
      </c>
      <c r="B394">
        <v>3204</v>
      </c>
      <c r="C394" t="s">
        <v>503</v>
      </c>
      <c r="D394" t="s">
        <v>683</v>
      </c>
      <c r="E394" s="3" t="str">
        <f>IF(LEN(Base_Periodo1[[#This Row],[CLASS]])&gt;=7,LEFT(Base_Periodo1[[#This Row],[CLASS]],7),"")</f>
        <v>1.1.2.1</v>
      </c>
      <c r="F394" s="3" t="str">
        <f>VLOOKUP(Base_Periodo1[[#This Row],[Aux]],Base_Contas_Balanco[#All],2,FALSE)</f>
        <v>Creditos com Cooperados</v>
      </c>
      <c r="G394" s="1">
        <v>42871</v>
      </c>
      <c r="H394" s="225">
        <v>29714.499999999942</v>
      </c>
      <c r="I394" s="225">
        <v>4545</v>
      </c>
      <c r="J394" s="225">
        <v>0</v>
      </c>
      <c r="K394" s="225">
        <v>34259.499999999942</v>
      </c>
      <c r="L3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34259.5</v>
      </c>
      <c r="M394" s="225">
        <f>ROUND(IF(AND(Base_Periodo1[[#This Row],[Tipo_Linha]]="-",Base_Periodo1[[#This Row],[TIPOSALDO]]="D"),Base_Periodo1[[#This Row],[SALDO_ATUAL]]*-1,Base_Periodo1[[#This Row],[SALDO_ATUAL]]),4)</f>
        <v>34259.5</v>
      </c>
      <c r="N394" t="s">
        <v>116</v>
      </c>
      <c r="O394" t="s">
        <v>397</v>
      </c>
      <c r="P394" t="s">
        <v>397</v>
      </c>
      <c r="Q394">
        <v>7</v>
      </c>
      <c r="R394" s="225">
        <f>Base_Periodo1[[#This Row],[CREDITOS]]-Base_Periodo1[[#This Row],[DEBITOS]]</f>
        <v>-4545</v>
      </c>
      <c r="S394" s="3" t="str">
        <f>IF(ISERROR(VLOOKUP(Base_Periodo1[[#This Row],[CONTA]],BaseContasDRE[#All],4,FALSE)),"Fora do DRE",VLOOKUP(Base_Periodo1[[#This Row],[CONTA]],BaseContasDRE[#All],4,FALSE))</f>
        <v>Fora do DRE</v>
      </c>
      <c r="T394" s="3" t="str">
        <f>IF(ISERROR(VLOOKUP(Base_Periodo1[[#This Row],[CONTA]],BaseContasDRE[#All],5,FALSE)),"Fora do DRE",VLOOKUP(Base_Periodo1[[#This Row],[CONTA]],BaseContasDRE[#All],6,FALSE))</f>
        <v>Fora do DRE</v>
      </c>
      <c r="U394" s="3" t="str">
        <f>IF(ISERROR(VLOOKUP(Base_Periodo1[[#This Row],[CONTA]],BaseContasDRE[#All],7,FALSE)),"Fora do DRE",VLOOKUP(Base_Periodo1[[#This Row],[CONTA]],BaseContasDRE[#All],7,FALSE))</f>
        <v>Fora do DRE</v>
      </c>
      <c r="V394" s="3" t="str">
        <f>IF(Base_Periodo1[[#This Row],[Tipo_Linha]]="Fora do DRE","Fora do DRE","( "&amp;Base_Periodo1[[#This Row],[Tipo_Linha]]&amp;" ) "&amp;Base_Periodo1[[#This Row],[Filtro]])</f>
        <v>Fora do DRE</v>
      </c>
      <c r="W394" s="3" t="str">
        <f>LEFT(Base_Periodo1[[#This Row],[CLASS]],3)</f>
        <v>1.1</v>
      </c>
    </row>
    <row r="395" spans="1:23" hidden="1">
      <c r="A395" s="3" t="str">
        <f t="shared" si="6"/>
        <v>Período 1</v>
      </c>
      <c r="B395">
        <v>3684</v>
      </c>
      <c r="C395" t="s">
        <v>503</v>
      </c>
      <c r="D395" t="s">
        <v>684</v>
      </c>
      <c r="E395" s="3" t="str">
        <f>IF(LEN(Base_Periodo1[[#This Row],[CLASS]])&gt;=7,LEFT(Base_Periodo1[[#This Row],[CLASS]],7),"")</f>
        <v>1.1.2.1</v>
      </c>
      <c r="F395" s="3" t="str">
        <f>VLOOKUP(Base_Periodo1[[#This Row],[Aux]],Base_Contas_Balanco[#All],2,FALSE)</f>
        <v>Creditos com Cooperados</v>
      </c>
      <c r="G395" s="1">
        <v>42881</v>
      </c>
      <c r="H395" s="225">
        <v>50085.290000000386</v>
      </c>
      <c r="I395" s="225">
        <v>831.5</v>
      </c>
      <c r="J395" s="225">
        <v>7701.04</v>
      </c>
      <c r="K395" s="225">
        <v>43215.750000000386</v>
      </c>
      <c r="L3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43215.75</v>
      </c>
      <c r="M395" s="225">
        <f>ROUND(IF(AND(Base_Periodo1[[#This Row],[Tipo_Linha]]="-",Base_Periodo1[[#This Row],[TIPOSALDO]]="D"),Base_Periodo1[[#This Row],[SALDO_ATUAL]]*-1,Base_Periodo1[[#This Row],[SALDO_ATUAL]]),4)</f>
        <v>43215.75</v>
      </c>
      <c r="N395" t="s">
        <v>116</v>
      </c>
      <c r="O395" t="s">
        <v>397</v>
      </c>
      <c r="P395" t="s">
        <v>397</v>
      </c>
      <c r="Q395">
        <v>7</v>
      </c>
      <c r="R395" s="225">
        <f>Base_Periodo1[[#This Row],[CREDITOS]]-Base_Periodo1[[#This Row],[DEBITOS]]</f>
        <v>6869.54</v>
      </c>
      <c r="S395" s="3" t="str">
        <f>IF(ISERROR(VLOOKUP(Base_Periodo1[[#This Row],[CONTA]],BaseContasDRE[#All],4,FALSE)),"Fora do DRE",VLOOKUP(Base_Periodo1[[#This Row],[CONTA]],BaseContasDRE[#All],4,FALSE))</f>
        <v>Fora do DRE</v>
      </c>
      <c r="T395" s="3" t="str">
        <f>IF(ISERROR(VLOOKUP(Base_Periodo1[[#This Row],[CONTA]],BaseContasDRE[#All],5,FALSE)),"Fora do DRE",VLOOKUP(Base_Periodo1[[#This Row],[CONTA]],BaseContasDRE[#All],6,FALSE))</f>
        <v>Fora do DRE</v>
      </c>
      <c r="U395" s="3" t="str">
        <f>IF(ISERROR(VLOOKUP(Base_Periodo1[[#This Row],[CONTA]],BaseContasDRE[#All],7,FALSE)),"Fora do DRE",VLOOKUP(Base_Periodo1[[#This Row],[CONTA]],BaseContasDRE[#All],7,FALSE))</f>
        <v>Fora do DRE</v>
      </c>
      <c r="V395" s="3" t="str">
        <f>IF(Base_Periodo1[[#This Row],[Tipo_Linha]]="Fora do DRE","Fora do DRE","( "&amp;Base_Periodo1[[#This Row],[Tipo_Linha]]&amp;" ) "&amp;Base_Periodo1[[#This Row],[Filtro]])</f>
        <v>Fora do DRE</v>
      </c>
      <c r="W395" s="3" t="str">
        <f>LEFT(Base_Periodo1[[#This Row],[CLASS]],3)</f>
        <v>1.1</v>
      </c>
    </row>
    <row r="396" spans="1:23" hidden="1">
      <c r="A396" s="3" t="str">
        <f t="shared" si="6"/>
        <v>Período 1</v>
      </c>
      <c r="B396">
        <v>2556</v>
      </c>
      <c r="C396" t="s">
        <v>503</v>
      </c>
      <c r="D396" t="s">
        <v>4998</v>
      </c>
      <c r="E396" s="3" t="str">
        <f>IF(LEN(Base_Periodo1[[#This Row],[CLASS]])&gt;=7,LEFT(Base_Periodo1[[#This Row],[CLASS]],7),"")</f>
        <v>1.1.2.1</v>
      </c>
      <c r="F396" s="3" t="str">
        <f>VLOOKUP(Base_Periodo1[[#This Row],[Aux]],Base_Contas_Balanco[#All],2,FALSE)</f>
        <v>Creditos com Cooperados</v>
      </c>
      <c r="G396" s="1">
        <v>42879</v>
      </c>
      <c r="H396" s="225">
        <v>2431.8199999999779</v>
      </c>
      <c r="I396" s="225">
        <v>34.68</v>
      </c>
      <c r="J396" s="225">
        <v>666.5</v>
      </c>
      <c r="K396" s="225">
        <v>1799.9999999999777</v>
      </c>
      <c r="L3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1800</v>
      </c>
      <c r="M396" s="225">
        <f>ROUND(IF(AND(Base_Periodo1[[#This Row],[Tipo_Linha]]="-",Base_Periodo1[[#This Row],[TIPOSALDO]]="D"),Base_Periodo1[[#This Row],[SALDO_ATUAL]]*-1,Base_Periodo1[[#This Row],[SALDO_ATUAL]]),4)</f>
        <v>1800</v>
      </c>
      <c r="N396" t="s">
        <v>116</v>
      </c>
      <c r="O396" t="s">
        <v>397</v>
      </c>
      <c r="P396" t="s">
        <v>397</v>
      </c>
      <c r="Q396">
        <v>7</v>
      </c>
      <c r="R396" s="225">
        <f>Base_Periodo1[[#This Row],[CREDITOS]]-Base_Periodo1[[#This Row],[DEBITOS]]</f>
        <v>631.82000000000005</v>
      </c>
      <c r="S396" s="3" t="str">
        <f>IF(ISERROR(VLOOKUP(Base_Periodo1[[#This Row],[CONTA]],BaseContasDRE[#All],4,FALSE)),"Fora do DRE",VLOOKUP(Base_Periodo1[[#This Row],[CONTA]],BaseContasDRE[#All],4,FALSE))</f>
        <v>Fora do DRE</v>
      </c>
      <c r="T396" s="3" t="str">
        <f>IF(ISERROR(VLOOKUP(Base_Periodo1[[#This Row],[CONTA]],BaseContasDRE[#All],5,FALSE)),"Fora do DRE",VLOOKUP(Base_Periodo1[[#This Row],[CONTA]],BaseContasDRE[#All],6,FALSE))</f>
        <v>Fora do DRE</v>
      </c>
      <c r="U396" s="3" t="str">
        <f>IF(ISERROR(VLOOKUP(Base_Periodo1[[#This Row],[CONTA]],BaseContasDRE[#All],7,FALSE)),"Fora do DRE",VLOOKUP(Base_Periodo1[[#This Row],[CONTA]],BaseContasDRE[#All],7,FALSE))</f>
        <v>Fora do DRE</v>
      </c>
      <c r="V396" s="3" t="str">
        <f>IF(Base_Periodo1[[#This Row],[Tipo_Linha]]="Fora do DRE","Fora do DRE","( "&amp;Base_Periodo1[[#This Row],[Tipo_Linha]]&amp;" ) "&amp;Base_Periodo1[[#This Row],[Filtro]])</f>
        <v>Fora do DRE</v>
      </c>
      <c r="W396" s="3" t="str">
        <f>LEFT(Base_Periodo1[[#This Row],[CLASS]],3)</f>
        <v>1.1</v>
      </c>
    </row>
    <row r="397" spans="1:23" hidden="1">
      <c r="A397" s="3" t="str">
        <f t="shared" si="6"/>
        <v>Período 1</v>
      </c>
      <c r="B397">
        <v>4640</v>
      </c>
      <c r="C397" t="s">
        <v>503</v>
      </c>
      <c r="D397" t="s">
        <v>686</v>
      </c>
      <c r="E397" s="3" t="str">
        <f>IF(LEN(Base_Periodo1[[#This Row],[CLASS]])&gt;=7,LEFT(Base_Periodo1[[#This Row],[CLASS]],7),"")</f>
        <v>1.1.2.1</v>
      </c>
      <c r="F397" s="3" t="str">
        <f>VLOOKUP(Base_Periodo1[[#This Row],[Aux]],Base_Contas_Balanco[#All],2,FALSE)</f>
        <v>Creditos com Cooperados</v>
      </c>
      <c r="G397" s="1">
        <v>42885</v>
      </c>
      <c r="H397" s="225">
        <v>281885.68999999994</v>
      </c>
      <c r="I397" s="225">
        <v>6124.1000000000022</v>
      </c>
      <c r="J397" s="225">
        <v>287759.78999999998</v>
      </c>
      <c r="K397" s="225">
        <v>249.99999999994179</v>
      </c>
      <c r="L3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250</v>
      </c>
      <c r="M397" s="225">
        <f>ROUND(IF(AND(Base_Periodo1[[#This Row],[Tipo_Linha]]="-",Base_Periodo1[[#This Row],[TIPOSALDO]]="D"),Base_Periodo1[[#This Row],[SALDO_ATUAL]]*-1,Base_Periodo1[[#This Row],[SALDO_ATUAL]]),4)</f>
        <v>250</v>
      </c>
      <c r="N397" t="s">
        <v>116</v>
      </c>
      <c r="O397" t="s">
        <v>397</v>
      </c>
      <c r="P397" t="s">
        <v>397</v>
      </c>
      <c r="Q397">
        <v>7</v>
      </c>
      <c r="R397" s="225">
        <f>Base_Periodo1[[#This Row],[CREDITOS]]-Base_Periodo1[[#This Row],[DEBITOS]]</f>
        <v>281635.69</v>
      </c>
      <c r="S397" s="3" t="str">
        <f>IF(ISERROR(VLOOKUP(Base_Periodo1[[#This Row],[CONTA]],BaseContasDRE[#All],4,FALSE)),"Fora do DRE",VLOOKUP(Base_Periodo1[[#This Row],[CONTA]],BaseContasDRE[#All],4,FALSE))</f>
        <v>Fora do DRE</v>
      </c>
      <c r="T397" s="3" t="str">
        <f>IF(ISERROR(VLOOKUP(Base_Periodo1[[#This Row],[CONTA]],BaseContasDRE[#All],5,FALSE)),"Fora do DRE",VLOOKUP(Base_Periodo1[[#This Row],[CONTA]],BaseContasDRE[#All],6,FALSE))</f>
        <v>Fora do DRE</v>
      </c>
      <c r="U397" s="3" t="str">
        <f>IF(ISERROR(VLOOKUP(Base_Periodo1[[#This Row],[CONTA]],BaseContasDRE[#All],7,FALSE)),"Fora do DRE",VLOOKUP(Base_Periodo1[[#This Row],[CONTA]],BaseContasDRE[#All],7,FALSE))</f>
        <v>Fora do DRE</v>
      </c>
      <c r="V397" s="3" t="str">
        <f>IF(Base_Periodo1[[#This Row],[Tipo_Linha]]="Fora do DRE","Fora do DRE","( "&amp;Base_Periodo1[[#This Row],[Tipo_Linha]]&amp;" ) "&amp;Base_Periodo1[[#This Row],[Filtro]])</f>
        <v>Fora do DRE</v>
      </c>
      <c r="W397" s="3" t="str">
        <f>LEFT(Base_Periodo1[[#This Row],[CLASS]],3)</f>
        <v>1.1</v>
      </c>
    </row>
    <row r="398" spans="1:23" hidden="1">
      <c r="A398" s="3" t="str">
        <f t="shared" si="6"/>
        <v>Período 1</v>
      </c>
      <c r="B398">
        <v>39452</v>
      </c>
      <c r="C398" t="s">
        <v>503</v>
      </c>
      <c r="D398" t="s">
        <v>5639</v>
      </c>
      <c r="E398" s="3" t="str">
        <f>IF(LEN(Base_Periodo1[[#This Row],[CLASS]])&gt;=7,LEFT(Base_Periodo1[[#This Row],[CLASS]],7),"")</f>
        <v>1.1.2.1</v>
      </c>
      <c r="F398" s="3" t="str">
        <f>VLOOKUP(Base_Periodo1[[#This Row],[Aux]],Base_Contas_Balanco[#All],2,FALSE)</f>
        <v>Creditos com Cooperados</v>
      </c>
      <c r="G398" s="1">
        <v>42858</v>
      </c>
      <c r="I398" s="225">
        <v>422.25</v>
      </c>
      <c r="J398" s="225">
        <v>422.25</v>
      </c>
      <c r="K398" s="225">
        <v>-9.0949470177292824E-13</v>
      </c>
      <c r="L3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8" s="225">
        <f>ROUND(IF(AND(Base_Periodo1[[#This Row],[Tipo_Linha]]="-",Base_Periodo1[[#This Row],[TIPOSALDO]]="D"),Base_Periodo1[[#This Row],[SALDO_ATUAL]]*-1,Base_Periodo1[[#This Row],[SALDO_ATUAL]]),4)</f>
        <v>0</v>
      </c>
      <c r="N398" t="s">
        <v>116</v>
      </c>
      <c r="O398" t="s">
        <v>436</v>
      </c>
      <c r="P398" t="s">
        <v>436</v>
      </c>
      <c r="Q398">
        <v>7</v>
      </c>
      <c r="R398" s="225">
        <f>Base_Periodo1[[#This Row],[CREDITOS]]-Base_Periodo1[[#This Row],[DEBITOS]]</f>
        <v>0</v>
      </c>
      <c r="S398" s="3" t="str">
        <f>IF(ISERROR(VLOOKUP(Base_Periodo1[[#This Row],[CONTA]],BaseContasDRE[#All],4,FALSE)),"Fora do DRE",VLOOKUP(Base_Periodo1[[#This Row],[CONTA]],BaseContasDRE[#All],4,FALSE))</f>
        <v>Fora do DRE</v>
      </c>
      <c r="T398" s="3" t="str">
        <f>IF(ISERROR(VLOOKUP(Base_Periodo1[[#This Row],[CONTA]],BaseContasDRE[#All],5,FALSE)),"Fora do DRE",VLOOKUP(Base_Periodo1[[#This Row],[CONTA]],BaseContasDRE[#All],6,FALSE))</f>
        <v>Fora do DRE</v>
      </c>
      <c r="U398" s="3" t="str">
        <f>IF(ISERROR(VLOOKUP(Base_Periodo1[[#This Row],[CONTA]],BaseContasDRE[#All],7,FALSE)),"Fora do DRE",VLOOKUP(Base_Periodo1[[#This Row],[CONTA]],BaseContasDRE[#All],7,FALSE))</f>
        <v>Fora do DRE</v>
      </c>
      <c r="V398" s="3" t="str">
        <f>IF(Base_Periodo1[[#This Row],[Tipo_Linha]]="Fora do DRE","Fora do DRE","( "&amp;Base_Periodo1[[#This Row],[Tipo_Linha]]&amp;" ) "&amp;Base_Periodo1[[#This Row],[Filtro]])</f>
        <v>Fora do DRE</v>
      </c>
      <c r="W398" s="3" t="str">
        <f>LEFT(Base_Periodo1[[#This Row],[CLASS]],3)</f>
        <v>1.1</v>
      </c>
    </row>
    <row r="399" spans="1:23" hidden="1">
      <c r="A399" s="3" t="str">
        <f t="shared" si="6"/>
        <v>Período 1</v>
      </c>
      <c r="B399">
        <v>7089</v>
      </c>
      <c r="C399" t="s">
        <v>503</v>
      </c>
      <c r="D399" t="s">
        <v>687</v>
      </c>
      <c r="E399" s="3" t="str">
        <f>IF(LEN(Base_Periodo1[[#This Row],[CLASS]])&gt;=7,LEFT(Base_Periodo1[[#This Row],[CLASS]],7),"")</f>
        <v>1.1.2.1</v>
      </c>
      <c r="F399" s="3" t="str">
        <f>VLOOKUP(Base_Periodo1[[#This Row],[Aux]],Base_Contas_Balanco[#All],2,FALSE)</f>
        <v>Creditos com Cooperados</v>
      </c>
      <c r="G399" s="1">
        <v>42873</v>
      </c>
      <c r="H399" s="225">
        <v>9866.6800000000512</v>
      </c>
      <c r="I399" s="225">
        <v>142.45999999999998</v>
      </c>
      <c r="J399" s="225">
        <v>10002.150000000001</v>
      </c>
      <c r="K399" s="225">
        <v>6.9900000000488944</v>
      </c>
      <c r="L3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6.99</v>
      </c>
      <c r="M399" s="225">
        <f>ROUND(IF(AND(Base_Periodo1[[#This Row],[Tipo_Linha]]="-",Base_Periodo1[[#This Row],[TIPOSALDO]]="D"),Base_Periodo1[[#This Row],[SALDO_ATUAL]]*-1,Base_Periodo1[[#This Row],[SALDO_ATUAL]]),4)</f>
        <v>6.99</v>
      </c>
      <c r="N399" t="s">
        <v>116</v>
      </c>
      <c r="O399" t="s">
        <v>397</v>
      </c>
      <c r="P399" t="s">
        <v>397</v>
      </c>
      <c r="Q399">
        <v>7</v>
      </c>
      <c r="R399" s="225">
        <f>Base_Periodo1[[#This Row],[CREDITOS]]-Base_Periodo1[[#This Row],[DEBITOS]]</f>
        <v>9859.6900000000023</v>
      </c>
      <c r="S399" s="3" t="str">
        <f>IF(ISERROR(VLOOKUP(Base_Periodo1[[#This Row],[CONTA]],BaseContasDRE[#All],4,FALSE)),"Fora do DRE",VLOOKUP(Base_Periodo1[[#This Row],[CONTA]],BaseContasDRE[#All],4,FALSE))</f>
        <v>Fora do DRE</v>
      </c>
      <c r="T399" s="3" t="str">
        <f>IF(ISERROR(VLOOKUP(Base_Periodo1[[#This Row],[CONTA]],BaseContasDRE[#All],5,FALSE)),"Fora do DRE",VLOOKUP(Base_Periodo1[[#This Row],[CONTA]],BaseContasDRE[#All],6,FALSE))</f>
        <v>Fora do DRE</v>
      </c>
      <c r="U399" s="3" t="str">
        <f>IF(ISERROR(VLOOKUP(Base_Periodo1[[#This Row],[CONTA]],BaseContasDRE[#All],7,FALSE)),"Fora do DRE",VLOOKUP(Base_Periodo1[[#This Row],[CONTA]],BaseContasDRE[#All],7,FALSE))</f>
        <v>Fora do DRE</v>
      </c>
      <c r="V399" s="3" t="str">
        <f>IF(Base_Periodo1[[#This Row],[Tipo_Linha]]="Fora do DRE","Fora do DRE","( "&amp;Base_Periodo1[[#This Row],[Tipo_Linha]]&amp;" ) "&amp;Base_Periodo1[[#This Row],[Filtro]])</f>
        <v>Fora do DRE</v>
      </c>
      <c r="W399" s="3" t="str">
        <f>LEFT(Base_Periodo1[[#This Row],[CLASS]],3)</f>
        <v>1.1</v>
      </c>
    </row>
    <row r="400" spans="1:23" hidden="1">
      <c r="A400" s="3" t="str">
        <f t="shared" si="6"/>
        <v>Período 1</v>
      </c>
      <c r="B400">
        <v>22745</v>
      </c>
      <c r="C400" t="s">
        <v>503</v>
      </c>
      <c r="D400" t="s">
        <v>4999</v>
      </c>
      <c r="E400" s="3" t="str">
        <f>IF(LEN(Base_Periodo1[[#This Row],[CLASS]])&gt;=7,LEFT(Base_Periodo1[[#This Row],[CLASS]],7),"")</f>
        <v>1.1.2.1</v>
      </c>
      <c r="F400" s="3" t="str">
        <f>VLOOKUP(Base_Periodo1[[#This Row],[Aux]],Base_Contas_Balanco[#All],2,FALSE)</f>
        <v>Creditos com Cooperados</v>
      </c>
      <c r="G400" s="1">
        <v>42879</v>
      </c>
      <c r="I400" s="225">
        <v>511</v>
      </c>
      <c r="J400" s="225">
        <v>511.00000000000006</v>
      </c>
      <c r="K400" s="225">
        <v>-1.460875864722766E-11</v>
      </c>
      <c r="L4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0" s="225">
        <f>ROUND(IF(AND(Base_Periodo1[[#This Row],[Tipo_Linha]]="-",Base_Periodo1[[#This Row],[TIPOSALDO]]="D"),Base_Periodo1[[#This Row],[SALDO_ATUAL]]*-1,Base_Periodo1[[#This Row],[SALDO_ATUAL]]),4)</f>
        <v>0</v>
      </c>
      <c r="N400" t="s">
        <v>116</v>
      </c>
      <c r="O400" t="s">
        <v>436</v>
      </c>
      <c r="P400" t="s">
        <v>436</v>
      </c>
      <c r="Q400">
        <v>7</v>
      </c>
      <c r="R400" s="225">
        <f>Base_Periodo1[[#This Row],[CREDITOS]]-Base_Periodo1[[#This Row],[DEBITOS]]</f>
        <v>0</v>
      </c>
      <c r="S400" s="3" t="str">
        <f>IF(ISERROR(VLOOKUP(Base_Periodo1[[#This Row],[CONTA]],BaseContasDRE[#All],4,FALSE)),"Fora do DRE",VLOOKUP(Base_Periodo1[[#This Row],[CONTA]],BaseContasDRE[#All],4,FALSE))</f>
        <v>Fora do DRE</v>
      </c>
      <c r="T400" s="3" t="str">
        <f>IF(ISERROR(VLOOKUP(Base_Periodo1[[#This Row],[CONTA]],BaseContasDRE[#All],5,FALSE)),"Fora do DRE",VLOOKUP(Base_Periodo1[[#This Row],[CONTA]],BaseContasDRE[#All],6,FALSE))</f>
        <v>Fora do DRE</v>
      </c>
      <c r="U400" s="3" t="str">
        <f>IF(ISERROR(VLOOKUP(Base_Periodo1[[#This Row],[CONTA]],BaseContasDRE[#All],7,FALSE)),"Fora do DRE",VLOOKUP(Base_Periodo1[[#This Row],[CONTA]],BaseContasDRE[#All],7,FALSE))</f>
        <v>Fora do DRE</v>
      </c>
      <c r="V400" s="3" t="str">
        <f>IF(Base_Periodo1[[#This Row],[Tipo_Linha]]="Fora do DRE","Fora do DRE","( "&amp;Base_Periodo1[[#This Row],[Tipo_Linha]]&amp;" ) "&amp;Base_Periodo1[[#This Row],[Filtro]])</f>
        <v>Fora do DRE</v>
      </c>
      <c r="W400" s="3" t="str">
        <f>LEFT(Base_Periodo1[[#This Row],[CLASS]],3)</f>
        <v>1.1</v>
      </c>
    </row>
    <row r="401" spans="1:23" hidden="1">
      <c r="A401" s="3" t="str">
        <f t="shared" si="6"/>
        <v>Período 1</v>
      </c>
      <c r="B401">
        <v>3376</v>
      </c>
      <c r="C401" t="s">
        <v>503</v>
      </c>
      <c r="D401" t="s">
        <v>688</v>
      </c>
      <c r="E401" s="3" t="str">
        <f>IF(LEN(Base_Periodo1[[#This Row],[CLASS]])&gt;=7,LEFT(Base_Periodo1[[#This Row],[CLASS]],7),"")</f>
        <v>1.1.2.1</v>
      </c>
      <c r="F401" s="3" t="str">
        <f>VLOOKUP(Base_Periodo1[[#This Row],[Aux]],Base_Contas_Balanco[#All],2,FALSE)</f>
        <v>Creditos com Cooperados</v>
      </c>
      <c r="G401" s="1">
        <v>42884</v>
      </c>
      <c r="H401" s="225">
        <v>309200</v>
      </c>
      <c r="I401" s="225">
        <v>321984.5</v>
      </c>
      <c r="J401" s="225">
        <v>631184.5</v>
      </c>
      <c r="K401" s="225">
        <v>0</v>
      </c>
      <c r="L4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1" s="225">
        <f>ROUND(IF(AND(Base_Periodo1[[#This Row],[Tipo_Linha]]="-",Base_Periodo1[[#This Row],[TIPOSALDO]]="D"),Base_Periodo1[[#This Row],[SALDO_ATUAL]]*-1,Base_Periodo1[[#This Row],[SALDO_ATUAL]]),4)</f>
        <v>0</v>
      </c>
      <c r="N401" t="s">
        <v>116</v>
      </c>
      <c r="O401" t="s">
        <v>397</v>
      </c>
      <c r="P401" t="s">
        <v>436</v>
      </c>
      <c r="Q401">
        <v>7</v>
      </c>
      <c r="R401" s="225">
        <f>Base_Periodo1[[#This Row],[CREDITOS]]-Base_Periodo1[[#This Row],[DEBITOS]]</f>
        <v>309200</v>
      </c>
      <c r="S401" s="3" t="str">
        <f>IF(ISERROR(VLOOKUP(Base_Periodo1[[#This Row],[CONTA]],BaseContasDRE[#All],4,FALSE)),"Fora do DRE",VLOOKUP(Base_Periodo1[[#This Row],[CONTA]],BaseContasDRE[#All],4,FALSE))</f>
        <v>Fora do DRE</v>
      </c>
      <c r="T401" s="3" t="str">
        <f>IF(ISERROR(VLOOKUP(Base_Periodo1[[#This Row],[CONTA]],BaseContasDRE[#All],5,FALSE)),"Fora do DRE",VLOOKUP(Base_Periodo1[[#This Row],[CONTA]],BaseContasDRE[#All],6,FALSE))</f>
        <v>Fora do DRE</v>
      </c>
      <c r="U401" s="3" t="str">
        <f>IF(ISERROR(VLOOKUP(Base_Periodo1[[#This Row],[CONTA]],BaseContasDRE[#All],7,FALSE)),"Fora do DRE",VLOOKUP(Base_Periodo1[[#This Row],[CONTA]],BaseContasDRE[#All],7,FALSE))</f>
        <v>Fora do DRE</v>
      </c>
      <c r="V401" s="3" t="str">
        <f>IF(Base_Periodo1[[#This Row],[Tipo_Linha]]="Fora do DRE","Fora do DRE","( "&amp;Base_Periodo1[[#This Row],[Tipo_Linha]]&amp;" ) "&amp;Base_Periodo1[[#This Row],[Filtro]])</f>
        <v>Fora do DRE</v>
      </c>
      <c r="W401" s="3" t="str">
        <f>LEFT(Base_Periodo1[[#This Row],[CLASS]],3)</f>
        <v>1.1</v>
      </c>
    </row>
    <row r="402" spans="1:23" hidden="1">
      <c r="A402" s="3" t="str">
        <f t="shared" si="6"/>
        <v>Período 1</v>
      </c>
      <c r="B402">
        <v>31827</v>
      </c>
      <c r="C402" t="s">
        <v>503</v>
      </c>
      <c r="D402" t="s">
        <v>6126</v>
      </c>
      <c r="E402" s="3" t="str">
        <f>IF(LEN(Base_Periodo1[[#This Row],[CLASS]])&gt;=7,LEFT(Base_Periodo1[[#This Row],[CLASS]],7),"")</f>
        <v>1.1.2.1</v>
      </c>
      <c r="F402" s="3" t="str">
        <f>VLOOKUP(Base_Periodo1[[#This Row],[Aux]],Base_Contas_Balanco[#All],2,FALSE)</f>
        <v>Creditos com Cooperados</v>
      </c>
      <c r="G402" s="1">
        <v>42858</v>
      </c>
      <c r="H402" s="225">
        <v>2145</v>
      </c>
      <c r="I402" s="225">
        <v>1555</v>
      </c>
      <c r="J402" s="225">
        <v>230</v>
      </c>
      <c r="K402" s="225">
        <v>3470</v>
      </c>
      <c r="L4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3470</v>
      </c>
      <c r="M402" s="225">
        <f>ROUND(IF(AND(Base_Periodo1[[#This Row],[Tipo_Linha]]="-",Base_Periodo1[[#This Row],[TIPOSALDO]]="D"),Base_Periodo1[[#This Row],[SALDO_ATUAL]]*-1,Base_Periodo1[[#This Row],[SALDO_ATUAL]]),4)</f>
        <v>3470</v>
      </c>
      <c r="N402" t="s">
        <v>116</v>
      </c>
      <c r="O402" t="s">
        <v>397</v>
      </c>
      <c r="P402" t="s">
        <v>397</v>
      </c>
      <c r="Q402">
        <v>7</v>
      </c>
      <c r="R402" s="225">
        <f>Base_Periodo1[[#This Row],[CREDITOS]]-Base_Periodo1[[#This Row],[DEBITOS]]</f>
        <v>-1325</v>
      </c>
      <c r="S402" s="3" t="str">
        <f>IF(ISERROR(VLOOKUP(Base_Periodo1[[#This Row],[CONTA]],BaseContasDRE[#All],4,FALSE)),"Fora do DRE",VLOOKUP(Base_Periodo1[[#This Row],[CONTA]],BaseContasDRE[#All],4,FALSE))</f>
        <v>Fora do DRE</v>
      </c>
      <c r="T402" s="3" t="str">
        <f>IF(ISERROR(VLOOKUP(Base_Periodo1[[#This Row],[CONTA]],BaseContasDRE[#All],5,FALSE)),"Fora do DRE",VLOOKUP(Base_Periodo1[[#This Row],[CONTA]],BaseContasDRE[#All],6,FALSE))</f>
        <v>Fora do DRE</v>
      </c>
      <c r="U402" s="3" t="str">
        <f>IF(ISERROR(VLOOKUP(Base_Periodo1[[#This Row],[CONTA]],BaseContasDRE[#All],7,FALSE)),"Fora do DRE",VLOOKUP(Base_Periodo1[[#This Row],[CONTA]],BaseContasDRE[#All],7,FALSE))</f>
        <v>Fora do DRE</v>
      </c>
      <c r="V402" s="3" t="str">
        <f>IF(Base_Periodo1[[#This Row],[Tipo_Linha]]="Fora do DRE","Fora do DRE","( "&amp;Base_Periodo1[[#This Row],[Tipo_Linha]]&amp;" ) "&amp;Base_Periodo1[[#This Row],[Filtro]])</f>
        <v>Fora do DRE</v>
      </c>
      <c r="W402" s="3" t="str">
        <f>LEFT(Base_Periodo1[[#This Row],[CLASS]],3)</f>
        <v>1.1</v>
      </c>
    </row>
    <row r="403" spans="1:23" hidden="1">
      <c r="A403" s="3" t="str">
        <f t="shared" si="6"/>
        <v>Período 1</v>
      </c>
      <c r="B403">
        <v>47235</v>
      </c>
      <c r="C403" t="s">
        <v>503</v>
      </c>
      <c r="D403" t="s">
        <v>689</v>
      </c>
      <c r="E403" s="3" t="str">
        <f>IF(LEN(Base_Periodo1[[#This Row],[CLASS]])&gt;=7,LEFT(Base_Periodo1[[#This Row],[CLASS]],7),"")</f>
        <v>1.1.2.1</v>
      </c>
      <c r="F403" s="3" t="str">
        <f>VLOOKUP(Base_Periodo1[[#This Row],[Aux]],Base_Contas_Balanco[#All],2,FALSE)</f>
        <v>Creditos com Cooperados</v>
      </c>
      <c r="G403" s="1">
        <v>42871</v>
      </c>
      <c r="H403" s="225">
        <v>1841.9999999999709</v>
      </c>
      <c r="I403" s="225">
        <v>20508</v>
      </c>
      <c r="J403" s="225">
        <v>0</v>
      </c>
      <c r="K403" s="225">
        <v>22349.999999999971</v>
      </c>
      <c r="L4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22350</v>
      </c>
      <c r="M403" s="225">
        <f>ROUND(IF(AND(Base_Periodo1[[#This Row],[Tipo_Linha]]="-",Base_Periodo1[[#This Row],[TIPOSALDO]]="D"),Base_Periodo1[[#This Row],[SALDO_ATUAL]]*-1,Base_Periodo1[[#This Row],[SALDO_ATUAL]]),4)</f>
        <v>22350</v>
      </c>
      <c r="N403" t="s">
        <v>116</v>
      </c>
      <c r="O403" t="s">
        <v>397</v>
      </c>
      <c r="P403" t="s">
        <v>397</v>
      </c>
      <c r="Q403">
        <v>7</v>
      </c>
      <c r="R403" s="225">
        <f>Base_Periodo1[[#This Row],[CREDITOS]]-Base_Periodo1[[#This Row],[DEBITOS]]</f>
        <v>-20508</v>
      </c>
      <c r="S403" s="3" t="str">
        <f>IF(ISERROR(VLOOKUP(Base_Periodo1[[#This Row],[CONTA]],BaseContasDRE[#All],4,FALSE)),"Fora do DRE",VLOOKUP(Base_Periodo1[[#This Row],[CONTA]],BaseContasDRE[#All],4,FALSE))</f>
        <v>Fora do DRE</v>
      </c>
      <c r="T403" s="3" t="str">
        <f>IF(ISERROR(VLOOKUP(Base_Periodo1[[#This Row],[CONTA]],BaseContasDRE[#All],5,FALSE)),"Fora do DRE",VLOOKUP(Base_Periodo1[[#This Row],[CONTA]],BaseContasDRE[#All],6,FALSE))</f>
        <v>Fora do DRE</v>
      </c>
      <c r="U403" s="3" t="str">
        <f>IF(ISERROR(VLOOKUP(Base_Periodo1[[#This Row],[CONTA]],BaseContasDRE[#All],7,FALSE)),"Fora do DRE",VLOOKUP(Base_Periodo1[[#This Row],[CONTA]],BaseContasDRE[#All],7,FALSE))</f>
        <v>Fora do DRE</v>
      </c>
      <c r="V403" s="3" t="str">
        <f>IF(Base_Periodo1[[#This Row],[Tipo_Linha]]="Fora do DRE","Fora do DRE","( "&amp;Base_Periodo1[[#This Row],[Tipo_Linha]]&amp;" ) "&amp;Base_Periodo1[[#This Row],[Filtro]])</f>
        <v>Fora do DRE</v>
      </c>
      <c r="W403" s="3" t="str">
        <f>LEFT(Base_Periodo1[[#This Row],[CLASS]],3)</f>
        <v>1.1</v>
      </c>
    </row>
    <row r="404" spans="1:23" hidden="1">
      <c r="A404" s="3" t="str">
        <f t="shared" si="6"/>
        <v>Período 1</v>
      </c>
      <c r="B404">
        <v>3428</v>
      </c>
      <c r="C404" t="s">
        <v>503</v>
      </c>
      <c r="D404" t="s">
        <v>690</v>
      </c>
      <c r="E404" s="3" t="str">
        <f>IF(LEN(Base_Periodo1[[#This Row],[CLASS]])&gt;=7,LEFT(Base_Periodo1[[#This Row],[CLASS]],7),"")</f>
        <v>1.1.2.1</v>
      </c>
      <c r="F404" s="3" t="str">
        <f>VLOOKUP(Base_Periodo1[[#This Row],[Aux]],Base_Contas_Balanco[#All],2,FALSE)</f>
        <v>Creditos com Cooperados</v>
      </c>
      <c r="G404" s="1">
        <v>42881</v>
      </c>
      <c r="H404" s="225">
        <v>496580.65000000317</v>
      </c>
      <c r="I404" s="225">
        <v>10786.14</v>
      </c>
      <c r="J404" s="225">
        <v>493831.79</v>
      </c>
      <c r="K404" s="225">
        <v>13535.000000003201</v>
      </c>
      <c r="L4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13535</v>
      </c>
      <c r="M404" s="225">
        <f>ROUND(IF(AND(Base_Periodo1[[#This Row],[Tipo_Linha]]="-",Base_Periodo1[[#This Row],[TIPOSALDO]]="D"),Base_Periodo1[[#This Row],[SALDO_ATUAL]]*-1,Base_Periodo1[[#This Row],[SALDO_ATUAL]]),4)</f>
        <v>13535</v>
      </c>
      <c r="N404" t="s">
        <v>116</v>
      </c>
      <c r="O404" t="s">
        <v>397</v>
      </c>
      <c r="P404" t="s">
        <v>397</v>
      </c>
      <c r="Q404">
        <v>7</v>
      </c>
      <c r="R404" s="225">
        <f>Base_Periodo1[[#This Row],[CREDITOS]]-Base_Periodo1[[#This Row],[DEBITOS]]</f>
        <v>483045.64999999997</v>
      </c>
      <c r="S404" s="3" t="str">
        <f>IF(ISERROR(VLOOKUP(Base_Periodo1[[#This Row],[CONTA]],BaseContasDRE[#All],4,FALSE)),"Fora do DRE",VLOOKUP(Base_Periodo1[[#This Row],[CONTA]],BaseContasDRE[#All],4,FALSE))</f>
        <v>Fora do DRE</v>
      </c>
      <c r="T404" s="3" t="str">
        <f>IF(ISERROR(VLOOKUP(Base_Periodo1[[#This Row],[CONTA]],BaseContasDRE[#All],5,FALSE)),"Fora do DRE",VLOOKUP(Base_Periodo1[[#This Row],[CONTA]],BaseContasDRE[#All],6,FALSE))</f>
        <v>Fora do DRE</v>
      </c>
      <c r="U404" s="3" t="str">
        <f>IF(ISERROR(VLOOKUP(Base_Periodo1[[#This Row],[CONTA]],BaseContasDRE[#All],7,FALSE)),"Fora do DRE",VLOOKUP(Base_Periodo1[[#This Row],[CONTA]],BaseContasDRE[#All],7,FALSE))</f>
        <v>Fora do DRE</v>
      </c>
      <c r="V404" s="3" t="str">
        <f>IF(Base_Periodo1[[#This Row],[Tipo_Linha]]="Fora do DRE","Fora do DRE","( "&amp;Base_Periodo1[[#This Row],[Tipo_Linha]]&amp;" ) "&amp;Base_Periodo1[[#This Row],[Filtro]])</f>
        <v>Fora do DRE</v>
      </c>
      <c r="W404" s="3" t="str">
        <f>LEFT(Base_Periodo1[[#This Row],[CLASS]],3)</f>
        <v>1.1</v>
      </c>
    </row>
    <row r="405" spans="1:23" hidden="1">
      <c r="A405" s="3" t="str">
        <f t="shared" si="6"/>
        <v>Período 1</v>
      </c>
      <c r="B405">
        <v>2824</v>
      </c>
      <c r="C405" t="s">
        <v>503</v>
      </c>
      <c r="D405" t="s">
        <v>691</v>
      </c>
      <c r="E405" s="3" t="str">
        <f>IF(LEN(Base_Periodo1[[#This Row],[CLASS]])&gt;=7,LEFT(Base_Periodo1[[#This Row],[CLASS]],7),"")</f>
        <v>1.1.2.1</v>
      </c>
      <c r="F405" s="3" t="str">
        <f>VLOOKUP(Base_Periodo1[[#This Row],[Aux]],Base_Contas_Balanco[#All],2,FALSE)</f>
        <v>Creditos com Cooperados</v>
      </c>
      <c r="G405" s="1">
        <v>42885</v>
      </c>
      <c r="H405" s="225">
        <v>520494.20000001229</v>
      </c>
      <c r="I405" s="225">
        <v>123025.92</v>
      </c>
      <c r="J405" s="225">
        <v>266351.25000000006</v>
      </c>
      <c r="K405" s="225">
        <v>377168.87000001228</v>
      </c>
      <c r="L4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377168.87</v>
      </c>
      <c r="M405" s="225">
        <f>ROUND(IF(AND(Base_Periodo1[[#This Row],[Tipo_Linha]]="-",Base_Periodo1[[#This Row],[TIPOSALDO]]="D"),Base_Periodo1[[#This Row],[SALDO_ATUAL]]*-1,Base_Periodo1[[#This Row],[SALDO_ATUAL]]),4)</f>
        <v>377168.87</v>
      </c>
      <c r="N405" t="s">
        <v>116</v>
      </c>
      <c r="O405" t="s">
        <v>397</v>
      </c>
      <c r="P405" t="s">
        <v>397</v>
      </c>
      <c r="Q405">
        <v>7</v>
      </c>
      <c r="R405" s="225">
        <f>Base_Periodo1[[#This Row],[CREDITOS]]-Base_Periodo1[[#This Row],[DEBITOS]]</f>
        <v>143325.33000000007</v>
      </c>
      <c r="S405" s="3" t="str">
        <f>IF(ISERROR(VLOOKUP(Base_Periodo1[[#This Row],[CONTA]],BaseContasDRE[#All],4,FALSE)),"Fora do DRE",VLOOKUP(Base_Periodo1[[#This Row],[CONTA]],BaseContasDRE[#All],4,FALSE))</f>
        <v>Fora do DRE</v>
      </c>
      <c r="T405" s="3" t="str">
        <f>IF(ISERROR(VLOOKUP(Base_Periodo1[[#This Row],[CONTA]],BaseContasDRE[#All],5,FALSE)),"Fora do DRE",VLOOKUP(Base_Periodo1[[#This Row],[CONTA]],BaseContasDRE[#All],6,FALSE))</f>
        <v>Fora do DRE</v>
      </c>
      <c r="U405" s="3" t="str">
        <f>IF(ISERROR(VLOOKUP(Base_Periodo1[[#This Row],[CONTA]],BaseContasDRE[#All],7,FALSE)),"Fora do DRE",VLOOKUP(Base_Periodo1[[#This Row],[CONTA]],BaseContasDRE[#All],7,FALSE))</f>
        <v>Fora do DRE</v>
      </c>
      <c r="V405" s="3" t="str">
        <f>IF(Base_Periodo1[[#This Row],[Tipo_Linha]]="Fora do DRE","Fora do DRE","( "&amp;Base_Periodo1[[#This Row],[Tipo_Linha]]&amp;" ) "&amp;Base_Periodo1[[#This Row],[Filtro]])</f>
        <v>Fora do DRE</v>
      </c>
      <c r="W405" s="3" t="str">
        <f>LEFT(Base_Periodo1[[#This Row],[CLASS]],3)</f>
        <v>1.1</v>
      </c>
    </row>
    <row r="406" spans="1:23" hidden="1">
      <c r="A406" s="3" t="str">
        <f t="shared" si="6"/>
        <v>Período 1</v>
      </c>
      <c r="B406">
        <v>21552</v>
      </c>
      <c r="C406" t="s">
        <v>503</v>
      </c>
      <c r="D406" t="s">
        <v>692</v>
      </c>
      <c r="E406" s="3" t="str">
        <f>IF(LEN(Base_Periodo1[[#This Row],[CLASS]])&gt;=7,LEFT(Base_Periodo1[[#This Row],[CLASS]],7),"")</f>
        <v>1.1.2.1</v>
      </c>
      <c r="F406" s="3" t="str">
        <f>VLOOKUP(Base_Periodo1[[#This Row],[Aux]],Base_Contas_Balanco[#All],2,FALSE)</f>
        <v>Creditos com Cooperados</v>
      </c>
      <c r="G406" s="1">
        <v>42885</v>
      </c>
      <c r="H406" s="225">
        <v>15764.16000000012</v>
      </c>
      <c r="I406" s="225">
        <v>690</v>
      </c>
      <c r="J406" s="225">
        <v>9042.1299999999992</v>
      </c>
      <c r="K406" s="225">
        <v>7412.0300000001207</v>
      </c>
      <c r="L4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7412.03</v>
      </c>
      <c r="M406" s="225">
        <f>ROUND(IF(AND(Base_Periodo1[[#This Row],[Tipo_Linha]]="-",Base_Periodo1[[#This Row],[TIPOSALDO]]="D"),Base_Periodo1[[#This Row],[SALDO_ATUAL]]*-1,Base_Periodo1[[#This Row],[SALDO_ATUAL]]),4)</f>
        <v>7412.03</v>
      </c>
      <c r="N406" t="s">
        <v>116</v>
      </c>
      <c r="O406" t="s">
        <v>397</v>
      </c>
      <c r="P406" t="s">
        <v>397</v>
      </c>
      <c r="Q406">
        <v>7</v>
      </c>
      <c r="R406" s="225">
        <f>Base_Periodo1[[#This Row],[CREDITOS]]-Base_Periodo1[[#This Row],[DEBITOS]]</f>
        <v>8352.1299999999992</v>
      </c>
      <c r="S406" s="3" t="str">
        <f>IF(ISERROR(VLOOKUP(Base_Periodo1[[#This Row],[CONTA]],BaseContasDRE[#All],4,FALSE)),"Fora do DRE",VLOOKUP(Base_Periodo1[[#This Row],[CONTA]],BaseContasDRE[#All],4,FALSE))</f>
        <v>Fora do DRE</v>
      </c>
      <c r="T406" s="3" t="str">
        <f>IF(ISERROR(VLOOKUP(Base_Periodo1[[#This Row],[CONTA]],BaseContasDRE[#All],5,FALSE)),"Fora do DRE",VLOOKUP(Base_Periodo1[[#This Row],[CONTA]],BaseContasDRE[#All],6,FALSE))</f>
        <v>Fora do DRE</v>
      </c>
      <c r="U406" s="3" t="str">
        <f>IF(ISERROR(VLOOKUP(Base_Periodo1[[#This Row],[CONTA]],BaseContasDRE[#All],7,FALSE)),"Fora do DRE",VLOOKUP(Base_Periodo1[[#This Row],[CONTA]],BaseContasDRE[#All],7,FALSE))</f>
        <v>Fora do DRE</v>
      </c>
      <c r="V406" s="3" t="str">
        <f>IF(Base_Periodo1[[#This Row],[Tipo_Linha]]="Fora do DRE","Fora do DRE","( "&amp;Base_Periodo1[[#This Row],[Tipo_Linha]]&amp;" ) "&amp;Base_Periodo1[[#This Row],[Filtro]])</f>
        <v>Fora do DRE</v>
      </c>
      <c r="W406" s="3" t="str">
        <f>LEFT(Base_Periodo1[[#This Row],[CLASS]],3)</f>
        <v>1.1</v>
      </c>
    </row>
    <row r="407" spans="1:23" hidden="1">
      <c r="A407" s="3" t="str">
        <f t="shared" si="6"/>
        <v>Período 1</v>
      </c>
      <c r="B407">
        <v>20198</v>
      </c>
      <c r="C407" t="s">
        <v>503</v>
      </c>
      <c r="D407" t="s">
        <v>693</v>
      </c>
      <c r="E407" s="3" t="str">
        <f>IF(LEN(Base_Periodo1[[#This Row],[CLASS]])&gt;=7,LEFT(Base_Periodo1[[#This Row],[CLASS]],7),"")</f>
        <v>1.1.2.1</v>
      </c>
      <c r="F407" s="3" t="str">
        <f>VLOOKUP(Base_Periodo1[[#This Row],[Aux]],Base_Contas_Balanco[#All],2,FALSE)</f>
        <v>Creditos com Cooperados</v>
      </c>
      <c r="G407" s="1">
        <v>42877</v>
      </c>
      <c r="H407" s="225">
        <v>76688.969999999972</v>
      </c>
      <c r="I407" s="225">
        <v>2480</v>
      </c>
      <c r="J407" s="225">
        <v>77012.599999999991</v>
      </c>
      <c r="K407" s="225">
        <v>2156.3699999999808</v>
      </c>
      <c r="L4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2156.37</v>
      </c>
      <c r="M407" s="225">
        <f>ROUND(IF(AND(Base_Periodo1[[#This Row],[Tipo_Linha]]="-",Base_Periodo1[[#This Row],[TIPOSALDO]]="D"),Base_Periodo1[[#This Row],[SALDO_ATUAL]]*-1,Base_Periodo1[[#This Row],[SALDO_ATUAL]]),4)</f>
        <v>2156.37</v>
      </c>
      <c r="N407" t="s">
        <v>116</v>
      </c>
      <c r="O407" t="s">
        <v>397</v>
      </c>
      <c r="P407" t="s">
        <v>397</v>
      </c>
      <c r="Q407">
        <v>7</v>
      </c>
      <c r="R407" s="225">
        <f>Base_Periodo1[[#This Row],[CREDITOS]]-Base_Periodo1[[#This Row],[DEBITOS]]</f>
        <v>74532.599999999991</v>
      </c>
      <c r="S407" s="3" t="str">
        <f>IF(ISERROR(VLOOKUP(Base_Periodo1[[#This Row],[CONTA]],BaseContasDRE[#All],4,FALSE)),"Fora do DRE",VLOOKUP(Base_Periodo1[[#This Row],[CONTA]],BaseContasDRE[#All],4,FALSE))</f>
        <v>Fora do DRE</v>
      </c>
      <c r="T407" s="3" t="str">
        <f>IF(ISERROR(VLOOKUP(Base_Periodo1[[#This Row],[CONTA]],BaseContasDRE[#All],5,FALSE)),"Fora do DRE",VLOOKUP(Base_Periodo1[[#This Row],[CONTA]],BaseContasDRE[#All],6,FALSE))</f>
        <v>Fora do DRE</v>
      </c>
      <c r="U407" s="3" t="str">
        <f>IF(ISERROR(VLOOKUP(Base_Periodo1[[#This Row],[CONTA]],BaseContasDRE[#All],7,FALSE)),"Fora do DRE",VLOOKUP(Base_Periodo1[[#This Row],[CONTA]],BaseContasDRE[#All],7,FALSE))</f>
        <v>Fora do DRE</v>
      </c>
      <c r="V407" s="3" t="str">
        <f>IF(Base_Periodo1[[#This Row],[Tipo_Linha]]="Fora do DRE","Fora do DRE","( "&amp;Base_Periodo1[[#This Row],[Tipo_Linha]]&amp;" ) "&amp;Base_Periodo1[[#This Row],[Filtro]])</f>
        <v>Fora do DRE</v>
      </c>
      <c r="W407" s="3" t="str">
        <f>LEFT(Base_Periodo1[[#This Row],[CLASS]],3)</f>
        <v>1.1</v>
      </c>
    </row>
    <row r="408" spans="1:23" hidden="1">
      <c r="A408" s="3" t="str">
        <f t="shared" si="6"/>
        <v>Período 1</v>
      </c>
      <c r="B408">
        <v>9552</v>
      </c>
      <c r="C408" t="s">
        <v>503</v>
      </c>
      <c r="D408" t="s">
        <v>4575</v>
      </c>
      <c r="E408" s="3" t="str">
        <f>IF(LEN(Base_Periodo1[[#This Row],[CLASS]])&gt;=7,LEFT(Base_Periodo1[[#This Row],[CLASS]],7),"")</f>
        <v>1.1.2.1</v>
      </c>
      <c r="F408" s="3" t="str">
        <f>VLOOKUP(Base_Periodo1[[#This Row],[Aux]],Base_Contas_Balanco[#All],2,FALSE)</f>
        <v>Creditos com Cooperados</v>
      </c>
      <c r="G408" s="1">
        <v>42858</v>
      </c>
      <c r="H408" s="225">
        <v>35960</v>
      </c>
      <c r="I408" s="225">
        <v>669.06</v>
      </c>
      <c r="J408" s="225">
        <v>36629.06</v>
      </c>
      <c r="K408" s="225">
        <v>0</v>
      </c>
      <c r="L4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8" s="225">
        <f>ROUND(IF(AND(Base_Periodo1[[#This Row],[Tipo_Linha]]="-",Base_Periodo1[[#This Row],[TIPOSALDO]]="D"),Base_Periodo1[[#This Row],[SALDO_ATUAL]]*-1,Base_Periodo1[[#This Row],[SALDO_ATUAL]]),4)</f>
        <v>0</v>
      </c>
      <c r="N408" t="s">
        <v>116</v>
      </c>
      <c r="O408" t="s">
        <v>397</v>
      </c>
      <c r="P408" t="s">
        <v>436</v>
      </c>
      <c r="Q408">
        <v>7</v>
      </c>
      <c r="R408" s="225">
        <f>Base_Periodo1[[#This Row],[CREDITOS]]-Base_Periodo1[[#This Row],[DEBITOS]]</f>
        <v>35960</v>
      </c>
      <c r="S408" s="3" t="str">
        <f>IF(ISERROR(VLOOKUP(Base_Periodo1[[#This Row],[CONTA]],BaseContasDRE[#All],4,FALSE)),"Fora do DRE",VLOOKUP(Base_Periodo1[[#This Row],[CONTA]],BaseContasDRE[#All],4,FALSE))</f>
        <v>Fora do DRE</v>
      </c>
      <c r="T408" s="3" t="str">
        <f>IF(ISERROR(VLOOKUP(Base_Periodo1[[#This Row],[CONTA]],BaseContasDRE[#All],5,FALSE)),"Fora do DRE",VLOOKUP(Base_Periodo1[[#This Row],[CONTA]],BaseContasDRE[#All],6,FALSE))</f>
        <v>Fora do DRE</v>
      </c>
      <c r="U408" s="3" t="str">
        <f>IF(ISERROR(VLOOKUP(Base_Periodo1[[#This Row],[CONTA]],BaseContasDRE[#All],7,FALSE)),"Fora do DRE",VLOOKUP(Base_Periodo1[[#This Row],[CONTA]],BaseContasDRE[#All],7,FALSE))</f>
        <v>Fora do DRE</v>
      </c>
      <c r="V408" s="3" t="str">
        <f>IF(Base_Periodo1[[#This Row],[Tipo_Linha]]="Fora do DRE","Fora do DRE","( "&amp;Base_Periodo1[[#This Row],[Tipo_Linha]]&amp;" ) "&amp;Base_Periodo1[[#This Row],[Filtro]])</f>
        <v>Fora do DRE</v>
      </c>
      <c r="W408" s="3" t="str">
        <f>LEFT(Base_Periodo1[[#This Row],[CLASS]],3)</f>
        <v>1.1</v>
      </c>
    </row>
    <row r="409" spans="1:23" hidden="1">
      <c r="A409" s="3" t="str">
        <f t="shared" si="6"/>
        <v>Período 1</v>
      </c>
      <c r="B409">
        <v>57901</v>
      </c>
      <c r="C409" t="s">
        <v>503</v>
      </c>
      <c r="D409" t="s">
        <v>6341</v>
      </c>
      <c r="E409" s="3" t="str">
        <f>IF(LEN(Base_Periodo1[[#This Row],[CLASS]])&gt;=7,LEFT(Base_Periodo1[[#This Row],[CLASS]],7),"")</f>
        <v>1.1.2.1</v>
      </c>
      <c r="F409" s="3" t="str">
        <f>VLOOKUP(Base_Periodo1[[#This Row],[Aux]],Base_Contas_Balanco[#All],2,FALSE)</f>
        <v>Creditos com Cooperados</v>
      </c>
      <c r="G409" s="1">
        <v>42867</v>
      </c>
      <c r="I409" s="225">
        <v>2335</v>
      </c>
      <c r="J409" s="225">
        <v>0</v>
      </c>
      <c r="K409" s="225">
        <v>2335</v>
      </c>
      <c r="L4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2335</v>
      </c>
      <c r="M409" s="225">
        <f>ROUND(IF(AND(Base_Periodo1[[#This Row],[Tipo_Linha]]="-",Base_Periodo1[[#This Row],[TIPOSALDO]]="D"),Base_Periodo1[[#This Row],[SALDO_ATUAL]]*-1,Base_Periodo1[[#This Row],[SALDO_ATUAL]]),4)</f>
        <v>2335</v>
      </c>
      <c r="N409" t="s">
        <v>116</v>
      </c>
      <c r="O409" t="s">
        <v>436</v>
      </c>
      <c r="P409" t="s">
        <v>397</v>
      </c>
      <c r="Q409">
        <v>7</v>
      </c>
      <c r="R409" s="225">
        <f>Base_Periodo1[[#This Row],[CREDITOS]]-Base_Periodo1[[#This Row],[DEBITOS]]</f>
        <v>-2335</v>
      </c>
      <c r="S409" s="3" t="str">
        <f>IF(ISERROR(VLOOKUP(Base_Periodo1[[#This Row],[CONTA]],BaseContasDRE[#All],4,FALSE)),"Fora do DRE",VLOOKUP(Base_Periodo1[[#This Row],[CONTA]],BaseContasDRE[#All],4,FALSE))</f>
        <v>Fora do DRE</v>
      </c>
      <c r="T409" s="3" t="str">
        <f>IF(ISERROR(VLOOKUP(Base_Periodo1[[#This Row],[CONTA]],BaseContasDRE[#All],5,FALSE)),"Fora do DRE",VLOOKUP(Base_Periodo1[[#This Row],[CONTA]],BaseContasDRE[#All],6,FALSE))</f>
        <v>Fora do DRE</v>
      </c>
      <c r="U409" s="3" t="str">
        <f>IF(ISERROR(VLOOKUP(Base_Periodo1[[#This Row],[CONTA]],BaseContasDRE[#All],7,FALSE)),"Fora do DRE",VLOOKUP(Base_Periodo1[[#This Row],[CONTA]],BaseContasDRE[#All],7,FALSE))</f>
        <v>Fora do DRE</v>
      </c>
      <c r="V409" s="3" t="str">
        <f>IF(Base_Periodo1[[#This Row],[Tipo_Linha]]="Fora do DRE","Fora do DRE","( "&amp;Base_Periodo1[[#This Row],[Tipo_Linha]]&amp;" ) "&amp;Base_Periodo1[[#This Row],[Filtro]])</f>
        <v>Fora do DRE</v>
      </c>
      <c r="W409" s="3" t="str">
        <f>LEFT(Base_Periodo1[[#This Row],[CLASS]],3)</f>
        <v>1.1</v>
      </c>
    </row>
    <row r="410" spans="1:23" hidden="1">
      <c r="A410" s="3" t="str">
        <f t="shared" si="6"/>
        <v>Período 1</v>
      </c>
      <c r="B410">
        <v>22993</v>
      </c>
      <c r="C410" t="s">
        <v>503</v>
      </c>
      <c r="D410" t="s">
        <v>4935</v>
      </c>
      <c r="E410" s="3" t="str">
        <f>IF(LEN(Base_Periodo1[[#This Row],[CLASS]])&gt;=7,LEFT(Base_Periodo1[[#This Row],[CLASS]],7),"")</f>
        <v>1.1.2.1</v>
      </c>
      <c r="F410" s="3" t="str">
        <f>VLOOKUP(Base_Periodo1[[#This Row],[Aux]],Base_Contas_Balanco[#All],2,FALSE)</f>
        <v>Creditos com Cooperados</v>
      </c>
      <c r="G410" s="1">
        <v>42884</v>
      </c>
      <c r="I410" s="225">
        <v>14300.8</v>
      </c>
      <c r="J410" s="225">
        <v>14300.8</v>
      </c>
      <c r="K410" s="225">
        <v>2.9103830456733704E-11</v>
      </c>
      <c r="L4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0" s="225">
        <f>ROUND(IF(AND(Base_Periodo1[[#This Row],[Tipo_Linha]]="-",Base_Periodo1[[#This Row],[TIPOSALDO]]="D"),Base_Periodo1[[#This Row],[SALDO_ATUAL]]*-1,Base_Periodo1[[#This Row],[SALDO_ATUAL]]),4)</f>
        <v>0</v>
      </c>
      <c r="N410" t="s">
        <v>116</v>
      </c>
      <c r="O410" t="s">
        <v>436</v>
      </c>
      <c r="P410" t="s">
        <v>436</v>
      </c>
      <c r="Q410">
        <v>7</v>
      </c>
      <c r="R410" s="225">
        <f>Base_Periodo1[[#This Row],[CREDITOS]]-Base_Periodo1[[#This Row],[DEBITOS]]</f>
        <v>0</v>
      </c>
      <c r="S410" s="3" t="str">
        <f>IF(ISERROR(VLOOKUP(Base_Periodo1[[#This Row],[CONTA]],BaseContasDRE[#All],4,FALSE)),"Fora do DRE",VLOOKUP(Base_Periodo1[[#This Row],[CONTA]],BaseContasDRE[#All],4,FALSE))</f>
        <v>Fora do DRE</v>
      </c>
      <c r="T410" s="3" t="str">
        <f>IF(ISERROR(VLOOKUP(Base_Periodo1[[#This Row],[CONTA]],BaseContasDRE[#All],5,FALSE)),"Fora do DRE",VLOOKUP(Base_Periodo1[[#This Row],[CONTA]],BaseContasDRE[#All],6,FALSE))</f>
        <v>Fora do DRE</v>
      </c>
      <c r="U410" s="3" t="str">
        <f>IF(ISERROR(VLOOKUP(Base_Periodo1[[#This Row],[CONTA]],BaseContasDRE[#All],7,FALSE)),"Fora do DRE",VLOOKUP(Base_Periodo1[[#This Row],[CONTA]],BaseContasDRE[#All],7,FALSE))</f>
        <v>Fora do DRE</v>
      </c>
      <c r="V410" s="3" t="str">
        <f>IF(Base_Periodo1[[#This Row],[Tipo_Linha]]="Fora do DRE","Fora do DRE","( "&amp;Base_Periodo1[[#This Row],[Tipo_Linha]]&amp;" ) "&amp;Base_Periodo1[[#This Row],[Filtro]])</f>
        <v>Fora do DRE</v>
      </c>
      <c r="W410" s="3" t="str">
        <f>LEFT(Base_Periodo1[[#This Row],[CLASS]],3)</f>
        <v>1.1</v>
      </c>
    </row>
    <row r="411" spans="1:23" hidden="1">
      <c r="A411" s="3" t="str">
        <f t="shared" si="6"/>
        <v>Período 1</v>
      </c>
      <c r="B411">
        <v>52960</v>
      </c>
      <c r="C411" t="s">
        <v>503</v>
      </c>
      <c r="D411" t="s">
        <v>5482</v>
      </c>
      <c r="E411" s="3" t="str">
        <f>IF(LEN(Base_Periodo1[[#This Row],[CLASS]])&gt;=7,LEFT(Base_Periodo1[[#This Row],[CLASS]],7),"")</f>
        <v>1.1.2.1</v>
      </c>
      <c r="F411" s="3" t="str">
        <f>VLOOKUP(Base_Periodo1[[#This Row],[Aux]],Base_Contas_Balanco[#All],2,FALSE)</f>
        <v>Creditos com Cooperados</v>
      </c>
      <c r="G411" s="1">
        <v>42865</v>
      </c>
      <c r="H411" s="225">
        <v>14346.000000000007</v>
      </c>
      <c r="I411" s="225">
        <v>4683.62</v>
      </c>
      <c r="J411" s="225">
        <v>19029.62</v>
      </c>
      <c r="K411" s="225">
        <v>7.2759576141834259E-12</v>
      </c>
      <c r="L4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1" s="225">
        <f>ROUND(IF(AND(Base_Periodo1[[#This Row],[Tipo_Linha]]="-",Base_Periodo1[[#This Row],[TIPOSALDO]]="D"),Base_Periodo1[[#This Row],[SALDO_ATUAL]]*-1,Base_Periodo1[[#This Row],[SALDO_ATUAL]]),4)</f>
        <v>0</v>
      </c>
      <c r="N411" t="s">
        <v>116</v>
      </c>
      <c r="O411" t="s">
        <v>397</v>
      </c>
      <c r="P411" t="s">
        <v>436</v>
      </c>
      <c r="Q411">
        <v>7</v>
      </c>
      <c r="R411" s="225">
        <f>Base_Periodo1[[#This Row],[CREDITOS]]-Base_Periodo1[[#This Row],[DEBITOS]]</f>
        <v>14346</v>
      </c>
      <c r="S411" s="3" t="str">
        <f>IF(ISERROR(VLOOKUP(Base_Periodo1[[#This Row],[CONTA]],BaseContasDRE[#All],4,FALSE)),"Fora do DRE",VLOOKUP(Base_Periodo1[[#This Row],[CONTA]],BaseContasDRE[#All],4,FALSE))</f>
        <v>Fora do DRE</v>
      </c>
      <c r="T411" s="3" t="str">
        <f>IF(ISERROR(VLOOKUP(Base_Periodo1[[#This Row],[CONTA]],BaseContasDRE[#All],5,FALSE)),"Fora do DRE",VLOOKUP(Base_Periodo1[[#This Row],[CONTA]],BaseContasDRE[#All],6,FALSE))</f>
        <v>Fora do DRE</v>
      </c>
      <c r="U411" s="3" t="str">
        <f>IF(ISERROR(VLOOKUP(Base_Periodo1[[#This Row],[CONTA]],BaseContasDRE[#All],7,FALSE)),"Fora do DRE",VLOOKUP(Base_Periodo1[[#This Row],[CONTA]],BaseContasDRE[#All],7,FALSE))</f>
        <v>Fora do DRE</v>
      </c>
      <c r="V411" s="3" t="str">
        <f>IF(Base_Periodo1[[#This Row],[Tipo_Linha]]="Fora do DRE","Fora do DRE","( "&amp;Base_Periodo1[[#This Row],[Tipo_Linha]]&amp;" ) "&amp;Base_Periodo1[[#This Row],[Filtro]])</f>
        <v>Fora do DRE</v>
      </c>
      <c r="W411" s="3" t="str">
        <f>LEFT(Base_Periodo1[[#This Row],[CLASS]],3)</f>
        <v>1.1</v>
      </c>
    </row>
    <row r="412" spans="1:23" hidden="1">
      <c r="A412" s="3" t="str">
        <f t="shared" si="6"/>
        <v>Período 1</v>
      </c>
      <c r="B412">
        <v>2756</v>
      </c>
      <c r="C412" t="s">
        <v>503</v>
      </c>
      <c r="D412" t="s">
        <v>694</v>
      </c>
      <c r="E412" s="3" t="str">
        <f>IF(LEN(Base_Periodo1[[#This Row],[CLASS]])&gt;=7,LEFT(Base_Periodo1[[#This Row],[CLASS]],7),"")</f>
        <v>1.1.2.1</v>
      </c>
      <c r="F412" s="3" t="str">
        <f>VLOOKUP(Base_Periodo1[[#This Row],[Aux]],Base_Contas_Balanco[#All],2,FALSE)</f>
        <v>Creditos com Cooperados</v>
      </c>
      <c r="G412" s="1">
        <v>42850</v>
      </c>
      <c r="H412" s="225">
        <v>6.2000000005355105</v>
      </c>
      <c r="I412" s="225">
        <v>0</v>
      </c>
      <c r="J412" s="225">
        <v>0</v>
      </c>
      <c r="K412" s="225">
        <v>6.2000000005355105</v>
      </c>
      <c r="L4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6.2</v>
      </c>
      <c r="M412" s="225">
        <f>ROUND(IF(AND(Base_Periodo1[[#This Row],[Tipo_Linha]]="-",Base_Periodo1[[#This Row],[TIPOSALDO]]="D"),Base_Periodo1[[#This Row],[SALDO_ATUAL]]*-1,Base_Periodo1[[#This Row],[SALDO_ATUAL]]),4)</f>
        <v>6.2</v>
      </c>
      <c r="N412" t="s">
        <v>116</v>
      </c>
      <c r="O412" t="s">
        <v>397</v>
      </c>
      <c r="P412" t="s">
        <v>397</v>
      </c>
      <c r="Q412">
        <v>7</v>
      </c>
      <c r="R412" s="225">
        <f>Base_Periodo1[[#This Row],[CREDITOS]]-Base_Periodo1[[#This Row],[DEBITOS]]</f>
        <v>0</v>
      </c>
      <c r="S412" s="3" t="str">
        <f>IF(ISERROR(VLOOKUP(Base_Periodo1[[#This Row],[CONTA]],BaseContasDRE[#All],4,FALSE)),"Fora do DRE",VLOOKUP(Base_Periodo1[[#This Row],[CONTA]],BaseContasDRE[#All],4,FALSE))</f>
        <v>Fora do DRE</v>
      </c>
      <c r="T412" s="3" t="str">
        <f>IF(ISERROR(VLOOKUP(Base_Periodo1[[#This Row],[CONTA]],BaseContasDRE[#All],5,FALSE)),"Fora do DRE",VLOOKUP(Base_Periodo1[[#This Row],[CONTA]],BaseContasDRE[#All],6,FALSE))</f>
        <v>Fora do DRE</v>
      </c>
      <c r="U412" s="3" t="str">
        <f>IF(ISERROR(VLOOKUP(Base_Periodo1[[#This Row],[CONTA]],BaseContasDRE[#All],7,FALSE)),"Fora do DRE",VLOOKUP(Base_Periodo1[[#This Row],[CONTA]],BaseContasDRE[#All],7,FALSE))</f>
        <v>Fora do DRE</v>
      </c>
      <c r="V412" s="3" t="str">
        <f>IF(Base_Periodo1[[#This Row],[Tipo_Linha]]="Fora do DRE","Fora do DRE","( "&amp;Base_Periodo1[[#This Row],[Tipo_Linha]]&amp;" ) "&amp;Base_Periodo1[[#This Row],[Filtro]])</f>
        <v>Fora do DRE</v>
      </c>
      <c r="W412" s="3" t="str">
        <f>LEFT(Base_Periodo1[[#This Row],[CLASS]],3)</f>
        <v>1.1</v>
      </c>
    </row>
    <row r="413" spans="1:23" hidden="1">
      <c r="A413" s="3" t="str">
        <f t="shared" si="6"/>
        <v>Período 1</v>
      </c>
      <c r="B413">
        <v>24917</v>
      </c>
      <c r="C413" t="s">
        <v>503</v>
      </c>
      <c r="D413" t="s">
        <v>695</v>
      </c>
      <c r="E413" s="3" t="str">
        <f>IF(LEN(Base_Periodo1[[#This Row],[CLASS]])&gt;=7,LEFT(Base_Periodo1[[#This Row],[CLASS]],7),"")</f>
        <v>1.1.2.1</v>
      </c>
      <c r="F413" s="3" t="str">
        <f>VLOOKUP(Base_Periodo1[[#This Row],[Aux]],Base_Contas_Balanco[#All],2,FALSE)</f>
        <v>Creditos com Cooperados</v>
      </c>
      <c r="G413" s="1">
        <v>42885</v>
      </c>
      <c r="H413" s="225">
        <v>556663.64999999979</v>
      </c>
      <c r="I413" s="225">
        <v>0</v>
      </c>
      <c r="J413" s="225">
        <v>556663.65</v>
      </c>
      <c r="K413" s="225">
        <v>-2.3283064365386963E-10</v>
      </c>
      <c r="L4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3" s="225">
        <f>ROUND(IF(AND(Base_Periodo1[[#This Row],[Tipo_Linha]]="-",Base_Periodo1[[#This Row],[TIPOSALDO]]="D"),Base_Periodo1[[#This Row],[SALDO_ATUAL]]*-1,Base_Periodo1[[#This Row],[SALDO_ATUAL]]),4)</f>
        <v>0</v>
      </c>
      <c r="N413" t="s">
        <v>116</v>
      </c>
      <c r="O413" t="s">
        <v>397</v>
      </c>
      <c r="P413" t="s">
        <v>436</v>
      </c>
      <c r="Q413">
        <v>7</v>
      </c>
      <c r="R413" s="225">
        <f>Base_Periodo1[[#This Row],[CREDITOS]]-Base_Periodo1[[#This Row],[DEBITOS]]</f>
        <v>556663.65</v>
      </c>
      <c r="S413" s="3" t="str">
        <f>IF(ISERROR(VLOOKUP(Base_Periodo1[[#This Row],[CONTA]],BaseContasDRE[#All],4,FALSE)),"Fora do DRE",VLOOKUP(Base_Periodo1[[#This Row],[CONTA]],BaseContasDRE[#All],4,FALSE))</f>
        <v>Fora do DRE</v>
      </c>
      <c r="T413" s="3" t="str">
        <f>IF(ISERROR(VLOOKUP(Base_Periodo1[[#This Row],[CONTA]],BaseContasDRE[#All],5,FALSE)),"Fora do DRE",VLOOKUP(Base_Periodo1[[#This Row],[CONTA]],BaseContasDRE[#All],6,FALSE))</f>
        <v>Fora do DRE</v>
      </c>
      <c r="U413" s="3" t="str">
        <f>IF(ISERROR(VLOOKUP(Base_Periodo1[[#This Row],[CONTA]],BaseContasDRE[#All],7,FALSE)),"Fora do DRE",VLOOKUP(Base_Periodo1[[#This Row],[CONTA]],BaseContasDRE[#All],7,FALSE))</f>
        <v>Fora do DRE</v>
      </c>
      <c r="V413" s="3" t="str">
        <f>IF(Base_Periodo1[[#This Row],[Tipo_Linha]]="Fora do DRE","Fora do DRE","( "&amp;Base_Periodo1[[#This Row],[Tipo_Linha]]&amp;" ) "&amp;Base_Periodo1[[#This Row],[Filtro]])</f>
        <v>Fora do DRE</v>
      </c>
      <c r="W413" s="3" t="str">
        <f>LEFT(Base_Periodo1[[#This Row],[CLASS]],3)</f>
        <v>1.1</v>
      </c>
    </row>
    <row r="414" spans="1:23" hidden="1">
      <c r="A414" s="3" t="str">
        <f t="shared" si="6"/>
        <v>Período 1</v>
      </c>
      <c r="B414">
        <v>4616</v>
      </c>
      <c r="C414" t="s">
        <v>503</v>
      </c>
      <c r="D414" t="s">
        <v>695</v>
      </c>
      <c r="E414" s="3" t="str">
        <f>IF(LEN(Base_Periodo1[[#This Row],[CLASS]])&gt;=7,LEFT(Base_Periodo1[[#This Row],[CLASS]],7),"")</f>
        <v>1.1.2.1</v>
      </c>
      <c r="F414" s="3" t="str">
        <f>VLOOKUP(Base_Periodo1[[#This Row],[Aux]],Base_Contas_Balanco[#All],2,FALSE)</f>
        <v>Creditos com Cooperados</v>
      </c>
      <c r="G414" s="1">
        <v>42885</v>
      </c>
      <c r="H414" s="225">
        <v>5788384.5400000066</v>
      </c>
      <c r="I414" s="225">
        <v>4729120.1399999987</v>
      </c>
      <c r="J414" s="225">
        <v>5388184.5100000007</v>
      </c>
      <c r="K414" s="225">
        <v>5129320.1700000046</v>
      </c>
      <c r="L4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5129320.17</v>
      </c>
      <c r="M414" s="225">
        <f>ROUND(IF(AND(Base_Periodo1[[#This Row],[Tipo_Linha]]="-",Base_Periodo1[[#This Row],[TIPOSALDO]]="D"),Base_Periodo1[[#This Row],[SALDO_ATUAL]]*-1,Base_Periodo1[[#This Row],[SALDO_ATUAL]]),4)</f>
        <v>5129320.17</v>
      </c>
      <c r="N414" t="s">
        <v>116</v>
      </c>
      <c r="O414" t="s">
        <v>397</v>
      </c>
      <c r="P414" t="s">
        <v>397</v>
      </c>
      <c r="Q414">
        <v>7</v>
      </c>
      <c r="R414" s="225">
        <f>Base_Periodo1[[#This Row],[CREDITOS]]-Base_Periodo1[[#This Row],[DEBITOS]]</f>
        <v>659064.37000000197</v>
      </c>
      <c r="S414" s="3" t="str">
        <f>IF(ISERROR(VLOOKUP(Base_Periodo1[[#This Row],[CONTA]],BaseContasDRE[#All],4,FALSE)),"Fora do DRE",VLOOKUP(Base_Periodo1[[#This Row],[CONTA]],BaseContasDRE[#All],4,FALSE))</f>
        <v>Fora do DRE</v>
      </c>
      <c r="T414" s="3" t="str">
        <f>IF(ISERROR(VLOOKUP(Base_Periodo1[[#This Row],[CONTA]],BaseContasDRE[#All],5,FALSE)),"Fora do DRE",VLOOKUP(Base_Periodo1[[#This Row],[CONTA]],BaseContasDRE[#All],6,FALSE))</f>
        <v>Fora do DRE</v>
      </c>
      <c r="U414" s="3" t="str">
        <f>IF(ISERROR(VLOOKUP(Base_Periodo1[[#This Row],[CONTA]],BaseContasDRE[#All],7,FALSE)),"Fora do DRE",VLOOKUP(Base_Periodo1[[#This Row],[CONTA]],BaseContasDRE[#All],7,FALSE))</f>
        <v>Fora do DRE</v>
      </c>
      <c r="V414" s="3" t="str">
        <f>IF(Base_Periodo1[[#This Row],[Tipo_Linha]]="Fora do DRE","Fora do DRE","( "&amp;Base_Periodo1[[#This Row],[Tipo_Linha]]&amp;" ) "&amp;Base_Periodo1[[#This Row],[Filtro]])</f>
        <v>Fora do DRE</v>
      </c>
      <c r="W414" s="3" t="str">
        <f>LEFT(Base_Periodo1[[#This Row],[CLASS]],3)</f>
        <v>1.1</v>
      </c>
    </row>
    <row r="415" spans="1:23" hidden="1">
      <c r="A415" s="3" t="str">
        <f t="shared" si="6"/>
        <v>Período 1</v>
      </c>
      <c r="B415">
        <v>3876</v>
      </c>
      <c r="C415" t="s">
        <v>503</v>
      </c>
      <c r="D415" t="s">
        <v>696</v>
      </c>
      <c r="E415" s="3" t="str">
        <f>IF(LEN(Base_Periodo1[[#This Row],[CLASS]])&gt;=7,LEFT(Base_Periodo1[[#This Row],[CLASS]],7),"")</f>
        <v>1.1.2.1</v>
      </c>
      <c r="F415" s="3" t="str">
        <f>VLOOKUP(Base_Periodo1[[#This Row],[Aux]],Base_Contas_Balanco[#All],2,FALSE)</f>
        <v>Creditos com Cooperados</v>
      </c>
      <c r="G415" s="1">
        <v>42685</v>
      </c>
      <c r="H415" s="225">
        <v>153.94000000011874</v>
      </c>
      <c r="I415" s="225">
        <v>0</v>
      </c>
      <c r="J415" s="225">
        <v>0</v>
      </c>
      <c r="K415" s="225">
        <v>153.94000000011874</v>
      </c>
      <c r="L4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153.94</v>
      </c>
      <c r="M415" s="225">
        <f>ROUND(IF(AND(Base_Periodo1[[#This Row],[Tipo_Linha]]="-",Base_Periodo1[[#This Row],[TIPOSALDO]]="D"),Base_Periodo1[[#This Row],[SALDO_ATUAL]]*-1,Base_Periodo1[[#This Row],[SALDO_ATUAL]]),4)</f>
        <v>153.94</v>
      </c>
      <c r="N415" t="s">
        <v>116</v>
      </c>
      <c r="O415" t="s">
        <v>397</v>
      </c>
      <c r="P415" t="s">
        <v>397</v>
      </c>
      <c r="Q415">
        <v>7</v>
      </c>
      <c r="R415" s="225">
        <f>Base_Periodo1[[#This Row],[CREDITOS]]-Base_Periodo1[[#This Row],[DEBITOS]]</f>
        <v>0</v>
      </c>
      <c r="S415" s="3" t="str">
        <f>IF(ISERROR(VLOOKUP(Base_Periodo1[[#This Row],[CONTA]],BaseContasDRE[#All],4,FALSE)),"Fora do DRE",VLOOKUP(Base_Periodo1[[#This Row],[CONTA]],BaseContasDRE[#All],4,FALSE))</f>
        <v>Fora do DRE</v>
      </c>
      <c r="T415" s="3" t="str">
        <f>IF(ISERROR(VLOOKUP(Base_Periodo1[[#This Row],[CONTA]],BaseContasDRE[#All],5,FALSE)),"Fora do DRE",VLOOKUP(Base_Periodo1[[#This Row],[CONTA]],BaseContasDRE[#All],6,FALSE))</f>
        <v>Fora do DRE</v>
      </c>
      <c r="U415" s="3" t="str">
        <f>IF(ISERROR(VLOOKUP(Base_Periodo1[[#This Row],[CONTA]],BaseContasDRE[#All],7,FALSE)),"Fora do DRE",VLOOKUP(Base_Periodo1[[#This Row],[CONTA]],BaseContasDRE[#All],7,FALSE))</f>
        <v>Fora do DRE</v>
      </c>
      <c r="V415" s="3" t="str">
        <f>IF(Base_Periodo1[[#This Row],[Tipo_Linha]]="Fora do DRE","Fora do DRE","( "&amp;Base_Periodo1[[#This Row],[Tipo_Linha]]&amp;" ) "&amp;Base_Periodo1[[#This Row],[Filtro]])</f>
        <v>Fora do DRE</v>
      </c>
      <c r="W415" s="3" t="str">
        <f>LEFT(Base_Periodo1[[#This Row],[CLASS]],3)</f>
        <v>1.1</v>
      </c>
    </row>
    <row r="416" spans="1:23" hidden="1">
      <c r="A416" s="3" t="str">
        <f t="shared" si="6"/>
        <v>Período 1</v>
      </c>
      <c r="B416">
        <v>8216</v>
      </c>
      <c r="C416" t="s">
        <v>503</v>
      </c>
      <c r="D416" t="s">
        <v>697</v>
      </c>
      <c r="E416" s="3" t="str">
        <f>IF(LEN(Base_Periodo1[[#This Row],[CLASS]])&gt;=7,LEFT(Base_Periodo1[[#This Row],[CLASS]],7),"")</f>
        <v>1.1.2.1</v>
      </c>
      <c r="F416" s="3" t="str">
        <f>VLOOKUP(Base_Periodo1[[#This Row],[Aux]],Base_Contas_Balanco[#All],2,FALSE)</f>
        <v>Creditos com Cooperados</v>
      </c>
      <c r="G416" s="1">
        <v>42877</v>
      </c>
      <c r="H416" s="225">
        <v>35729.599999999802</v>
      </c>
      <c r="I416" s="225">
        <v>5096</v>
      </c>
      <c r="J416" s="225">
        <v>0</v>
      </c>
      <c r="K416" s="225">
        <v>40825.599999999802</v>
      </c>
      <c r="L4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40825.599999999999</v>
      </c>
      <c r="M416" s="225">
        <f>ROUND(IF(AND(Base_Periodo1[[#This Row],[Tipo_Linha]]="-",Base_Periodo1[[#This Row],[TIPOSALDO]]="D"),Base_Periodo1[[#This Row],[SALDO_ATUAL]]*-1,Base_Periodo1[[#This Row],[SALDO_ATUAL]]),4)</f>
        <v>40825.599999999999</v>
      </c>
      <c r="N416" t="s">
        <v>116</v>
      </c>
      <c r="O416" t="s">
        <v>397</v>
      </c>
      <c r="P416" t="s">
        <v>397</v>
      </c>
      <c r="Q416">
        <v>7</v>
      </c>
      <c r="R416" s="225">
        <f>Base_Periodo1[[#This Row],[CREDITOS]]-Base_Periodo1[[#This Row],[DEBITOS]]</f>
        <v>-5096</v>
      </c>
      <c r="S416" s="3" t="str">
        <f>IF(ISERROR(VLOOKUP(Base_Periodo1[[#This Row],[CONTA]],BaseContasDRE[#All],4,FALSE)),"Fora do DRE",VLOOKUP(Base_Periodo1[[#This Row],[CONTA]],BaseContasDRE[#All],4,FALSE))</f>
        <v>Fora do DRE</v>
      </c>
      <c r="T416" s="3" t="str">
        <f>IF(ISERROR(VLOOKUP(Base_Periodo1[[#This Row],[CONTA]],BaseContasDRE[#All],5,FALSE)),"Fora do DRE",VLOOKUP(Base_Periodo1[[#This Row],[CONTA]],BaseContasDRE[#All],6,FALSE))</f>
        <v>Fora do DRE</v>
      </c>
      <c r="U416" s="3" t="str">
        <f>IF(ISERROR(VLOOKUP(Base_Periodo1[[#This Row],[CONTA]],BaseContasDRE[#All],7,FALSE)),"Fora do DRE",VLOOKUP(Base_Periodo1[[#This Row],[CONTA]],BaseContasDRE[#All],7,FALSE))</f>
        <v>Fora do DRE</v>
      </c>
      <c r="V416" s="3" t="str">
        <f>IF(Base_Periodo1[[#This Row],[Tipo_Linha]]="Fora do DRE","Fora do DRE","( "&amp;Base_Periodo1[[#This Row],[Tipo_Linha]]&amp;" ) "&amp;Base_Periodo1[[#This Row],[Filtro]])</f>
        <v>Fora do DRE</v>
      </c>
      <c r="W416" s="3" t="str">
        <f>LEFT(Base_Periodo1[[#This Row],[CLASS]],3)</f>
        <v>1.1</v>
      </c>
    </row>
    <row r="417" spans="1:23" hidden="1">
      <c r="A417" s="3" t="str">
        <f t="shared" si="6"/>
        <v>Período 1</v>
      </c>
      <c r="B417">
        <v>3104</v>
      </c>
      <c r="C417" t="s">
        <v>503</v>
      </c>
      <c r="D417" t="s">
        <v>698</v>
      </c>
      <c r="E417" s="3" t="str">
        <f>IF(LEN(Base_Periodo1[[#This Row],[CLASS]])&gt;=7,LEFT(Base_Periodo1[[#This Row],[CLASS]],7),"")</f>
        <v>1.1.2.1</v>
      </c>
      <c r="F417" s="3" t="str">
        <f>VLOOKUP(Base_Periodo1[[#This Row],[Aux]],Base_Contas_Balanco[#All],2,FALSE)</f>
        <v>Creditos com Cooperados</v>
      </c>
      <c r="G417" s="1">
        <v>42884</v>
      </c>
      <c r="H417" s="225">
        <v>16581.940000000061</v>
      </c>
      <c r="I417" s="225">
        <v>3793.2</v>
      </c>
      <c r="J417" s="225">
        <v>0</v>
      </c>
      <c r="K417" s="225">
        <v>20375.140000000061</v>
      </c>
      <c r="L4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20375.14</v>
      </c>
      <c r="M417" s="225">
        <f>ROUND(IF(AND(Base_Periodo1[[#This Row],[Tipo_Linha]]="-",Base_Periodo1[[#This Row],[TIPOSALDO]]="D"),Base_Periodo1[[#This Row],[SALDO_ATUAL]]*-1,Base_Periodo1[[#This Row],[SALDO_ATUAL]]),4)</f>
        <v>20375.14</v>
      </c>
      <c r="N417" t="s">
        <v>116</v>
      </c>
      <c r="O417" t="s">
        <v>397</v>
      </c>
      <c r="P417" t="s">
        <v>397</v>
      </c>
      <c r="Q417">
        <v>7</v>
      </c>
      <c r="R417" s="225">
        <f>Base_Periodo1[[#This Row],[CREDITOS]]-Base_Periodo1[[#This Row],[DEBITOS]]</f>
        <v>-3793.2</v>
      </c>
      <c r="S417" s="3" t="str">
        <f>IF(ISERROR(VLOOKUP(Base_Periodo1[[#This Row],[CONTA]],BaseContasDRE[#All],4,FALSE)),"Fora do DRE",VLOOKUP(Base_Periodo1[[#This Row],[CONTA]],BaseContasDRE[#All],4,FALSE))</f>
        <v>Fora do DRE</v>
      </c>
      <c r="T417" s="3" t="str">
        <f>IF(ISERROR(VLOOKUP(Base_Periodo1[[#This Row],[CONTA]],BaseContasDRE[#All],5,FALSE)),"Fora do DRE",VLOOKUP(Base_Periodo1[[#This Row],[CONTA]],BaseContasDRE[#All],6,FALSE))</f>
        <v>Fora do DRE</v>
      </c>
      <c r="U417" s="3" t="str">
        <f>IF(ISERROR(VLOOKUP(Base_Periodo1[[#This Row],[CONTA]],BaseContasDRE[#All],7,FALSE)),"Fora do DRE",VLOOKUP(Base_Periodo1[[#This Row],[CONTA]],BaseContasDRE[#All],7,FALSE))</f>
        <v>Fora do DRE</v>
      </c>
      <c r="V417" s="3" t="str">
        <f>IF(Base_Periodo1[[#This Row],[Tipo_Linha]]="Fora do DRE","Fora do DRE","( "&amp;Base_Periodo1[[#This Row],[Tipo_Linha]]&amp;" ) "&amp;Base_Periodo1[[#This Row],[Filtro]])</f>
        <v>Fora do DRE</v>
      </c>
      <c r="W417" s="3" t="str">
        <f>LEFT(Base_Periodo1[[#This Row],[CLASS]],3)</f>
        <v>1.1</v>
      </c>
    </row>
    <row r="418" spans="1:23" hidden="1">
      <c r="A418" s="3" t="str">
        <f t="shared" si="6"/>
        <v>Período 1</v>
      </c>
      <c r="B418">
        <v>47831</v>
      </c>
      <c r="C418" t="s">
        <v>503</v>
      </c>
      <c r="D418" t="s">
        <v>4423</v>
      </c>
      <c r="E418" s="3" t="str">
        <f>IF(LEN(Base_Periodo1[[#This Row],[CLASS]])&gt;=7,LEFT(Base_Periodo1[[#This Row],[CLASS]],7),"")</f>
        <v>1.1.2.1</v>
      </c>
      <c r="F418" s="3" t="str">
        <f>VLOOKUP(Base_Periodo1[[#This Row],[Aux]],Base_Contas_Balanco[#All],2,FALSE)</f>
        <v>Creditos com Cooperados</v>
      </c>
      <c r="G418" s="1">
        <v>42880</v>
      </c>
      <c r="H418" s="225">
        <v>90879.299999999697</v>
      </c>
      <c r="I418" s="225">
        <v>91288</v>
      </c>
      <c r="J418" s="225">
        <v>0</v>
      </c>
      <c r="K418" s="225">
        <v>182167.2999999997</v>
      </c>
      <c r="L4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182167.3</v>
      </c>
      <c r="M418" s="225">
        <f>ROUND(IF(AND(Base_Periodo1[[#This Row],[Tipo_Linha]]="-",Base_Periodo1[[#This Row],[TIPOSALDO]]="D"),Base_Periodo1[[#This Row],[SALDO_ATUAL]]*-1,Base_Periodo1[[#This Row],[SALDO_ATUAL]]),4)</f>
        <v>182167.3</v>
      </c>
      <c r="N418" t="s">
        <v>116</v>
      </c>
      <c r="O418" t="s">
        <v>397</v>
      </c>
      <c r="P418" t="s">
        <v>397</v>
      </c>
      <c r="Q418">
        <v>7</v>
      </c>
      <c r="R418" s="225">
        <f>Base_Periodo1[[#This Row],[CREDITOS]]-Base_Periodo1[[#This Row],[DEBITOS]]</f>
        <v>-91288</v>
      </c>
      <c r="S418" s="3" t="str">
        <f>IF(ISERROR(VLOOKUP(Base_Periodo1[[#This Row],[CONTA]],BaseContasDRE[#All],4,FALSE)),"Fora do DRE",VLOOKUP(Base_Periodo1[[#This Row],[CONTA]],BaseContasDRE[#All],4,FALSE))</f>
        <v>Fora do DRE</v>
      </c>
      <c r="T418" s="3" t="str">
        <f>IF(ISERROR(VLOOKUP(Base_Periodo1[[#This Row],[CONTA]],BaseContasDRE[#All],5,FALSE)),"Fora do DRE",VLOOKUP(Base_Periodo1[[#This Row],[CONTA]],BaseContasDRE[#All],6,FALSE))</f>
        <v>Fora do DRE</v>
      </c>
      <c r="U418" s="3" t="str">
        <f>IF(ISERROR(VLOOKUP(Base_Periodo1[[#This Row],[CONTA]],BaseContasDRE[#All],7,FALSE)),"Fora do DRE",VLOOKUP(Base_Periodo1[[#This Row],[CONTA]],BaseContasDRE[#All],7,FALSE))</f>
        <v>Fora do DRE</v>
      </c>
      <c r="V418" s="3" t="str">
        <f>IF(Base_Periodo1[[#This Row],[Tipo_Linha]]="Fora do DRE","Fora do DRE","( "&amp;Base_Periodo1[[#This Row],[Tipo_Linha]]&amp;" ) "&amp;Base_Periodo1[[#This Row],[Filtro]])</f>
        <v>Fora do DRE</v>
      </c>
      <c r="W418" s="3" t="str">
        <f>LEFT(Base_Periodo1[[#This Row],[CLASS]],3)</f>
        <v>1.1</v>
      </c>
    </row>
    <row r="419" spans="1:23" hidden="1">
      <c r="A419" s="3" t="str">
        <f t="shared" si="6"/>
        <v>Período 1</v>
      </c>
      <c r="B419">
        <v>47882</v>
      </c>
      <c r="C419" t="s">
        <v>503</v>
      </c>
      <c r="D419" t="s">
        <v>699</v>
      </c>
      <c r="E419" s="3" t="str">
        <f>IF(LEN(Base_Periodo1[[#This Row],[CLASS]])&gt;=7,LEFT(Base_Periodo1[[#This Row],[CLASS]],7),"")</f>
        <v>1.1.2.1</v>
      </c>
      <c r="F419" s="3" t="str">
        <f>VLOOKUP(Base_Periodo1[[#This Row],[Aux]],Base_Contas_Balanco[#All],2,FALSE)</f>
        <v>Creditos com Cooperados</v>
      </c>
      <c r="G419" s="1">
        <v>42881</v>
      </c>
      <c r="H419" s="225">
        <v>40943.800000000396</v>
      </c>
      <c r="I419" s="225">
        <v>848.55000000000007</v>
      </c>
      <c r="J419" s="225">
        <v>30715.969999999998</v>
      </c>
      <c r="K419" s="225">
        <v>11076.380000000401</v>
      </c>
      <c r="L4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11076.38</v>
      </c>
      <c r="M419" s="225">
        <f>ROUND(IF(AND(Base_Periodo1[[#This Row],[Tipo_Linha]]="-",Base_Periodo1[[#This Row],[TIPOSALDO]]="D"),Base_Periodo1[[#This Row],[SALDO_ATUAL]]*-1,Base_Periodo1[[#This Row],[SALDO_ATUAL]]),4)</f>
        <v>11076.38</v>
      </c>
      <c r="N419" t="s">
        <v>116</v>
      </c>
      <c r="O419" t="s">
        <v>397</v>
      </c>
      <c r="P419" t="s">
        <v>397</v>
      </c>
      <c r="Q419">
        <v>7</v>
      </c>
      <c r="R419" s="225">
        <f>Base_Periodo1[[#This Row],[CREDITOS]]-Base_Periodo1[[#This Row],[DEBITOS]]</f>
        <v>29867.42</v>
      </c>
      <c r="S419" s="3" t="str">
        <f>IF(ISERROR(VLOOKUP(Base_Periodo1[[#This Row],[CONTA]],BaseContasDRE[#All],4,FALSE)),"Fora do DRE",VLOOKUP(Base_Periodo1[[#This Row],[CONTA]],BaseContasDRE[#All],4,FALSE))</f>
        <v>Fora do DRE</v>
      </c>
      <c r="T419" s="3" t="str">
        <f>IF(ISERROR(VLOOKUP(Base_Periodo1[[#This Row],[CONTA]],BaseContasDRE[#All],5,FALSE)),"Fora do DRE",VLOOKUP(Base_Periodo1[[#This Row],[CONTA]],BaseContasDRE[#All],6,FALSE))</f>
        <v>Fora do DRE</v>
      </c>
      <c r="U419" s="3" t="str">
        <f>IF(ISERROR(VLOOKUP(Base_Periodo1[[#This Row],[CONTA]],BaseContasDRE[#All],7,FALSE)),"Fora do DRE",VLOOKUP(Base_Periodo1[[#This Row],[CONTA]],BaseContasDRE[#All],7,FALSE))</f>
        <v>Fora do DRE</v>
      </c>
      <c r="V419" s="3" t="str">
        <f>IF(Base_Periodo1[[#This Row],[Tipo_Linha]]="Fora do DRE","Fora do DRE","( "&amp;Base_Periodo1[[#This Row],[Tipo_Linha]]&amp;" ) "&amp;Base_Periodo1[[#This Row],[Filtro]])</f>
        <v>Fora do DRE</v>
      </c>
      <c r="W419" s="3" t="str">
        <f>LEFT(Base_Periodo1[[#This Row],[CLASS]],3)</f>
        <v>1.1</v>
      </c>
    </row>
    <row r="420" spans="1:23" hidden="1">
      <c r="A420" s="3" t="str">
        <f t="shared" si="6"/>
        <v>Período 1</v>
      </c>
      <c r="B420">
        <v>3692</v>
      </c>
      <c r="C420" t="s">
        <v>503</v>
      </c>
      <c r="D420" t="s">
        <v>700</v>
      </c>
      <c r="E420" s="3" t="str">
        <f>IF(LEN(Base_Periodo1[[#This Row],[CLASS]])&gt;=7,LEFT(Base_Periodo1[[#This Row],[CLASS]],7),"")</f>
        <v>1.1.2.1</v>
      </c>
      <c r="F420" s="3" t="str">
        <f>VLOOKUP(Base_Periodo1[[#This Row],[Aux]],Base_Contas_Balanco[#All],2,FALSE)</f>
        <v>Creditos com Cooperados</v>
      </c>
      <c r="G420" s="1">
        <v>42864</v>
      </c>
      <c r="H420" s="225">
        <v>34910.730000001378</v>
      </c>
      <c r="I420" s="225">
        <v>174.07999999999998</v>
      </c>
      <c r="J420" s="225">
        <v>9160.8799999999992</v>
      </c>
      <c r="K420" s="225">
        <v>25923.930000001383</v>
      </c>
      <c r="L4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25923.93</v>
      </c>
      <c r="M420" s="225">
        <f>ROUND(IF(AND(Base_Periodo1[[#This Row],[Tipo_Linha]]="-",Base_Periodo1[[#This Row],[TIPOSALDO]]="D"),Base_Periodo1[[#This Row],[SALDO_ATUAL]]*-1,Base_Periodo1[[#This Row],[SALDO_ATUAL]]),4)</f>
        <v>25923.93</v>
      </c>
      <c r="N420" t="s">
        <v>116</v>
      </c>
      <c r="O420" t="s">
        <v>397</v>
      </c>
      <c r="P420" t="s">
        <v>397</v>
      </c>
      <c r="Q420">
        <v>7</v>
      </c>
      <c r="R420" s="225">
        <f>Base_Periodo1[[#This Row],[CREDITOS]]-Base_Periodo1[[#This Row],[DEBITOS]]</f>
        <v>8986.7999999999993</v>
      </c>
      <c r="S420" s="3" t="str">
        <f>IF(ISERROR(VLOOKUP(Base_Periodo1[[#This Row],[CONTA]],BaseContasDRE[#All],4,FALSE)),"Fora do DRE",VLOOKUP(Base_Periodo1[[#This Row],[CONTA]],BaseContasDRE[#All],4,FALSE))</f>
        <v>Fora do DRE</v>
      </c>
      <c r="T420" s="3" t="str">
        <f>IF(ISERROR(VLOOKUP(Base_Periodo1[[#This Row],[CONTA]],BaseContasDRE[#All],5,FALSE)),"Fora do DRE",VLOOKUP(Base_Periodo1[[#This Row],[CONTA]],BaseContasDRE[#All],6,FALSE))</f>
        <v>Fora do DRE</v>
      </c>
      <c r="U420" s="3" t="str">
        <f>IF(ISERROR(VLOOKUP(Base_Periodo1[[#This Row],[CONTA]],BaseContasDRE[#All],7,FALSE)),"Fora do DRE",VLOOKUP(Base_Periodo1[[#This Row],[CONTA]],BaseContasDRE[#All],7,FALSE))</f>
        <v>Fora do DRE</v>
      </c>
      <c r="V420" s="3" t="str">
        <f>IF(Base_Periodo1[[#This Row],[Tipo_Linha]]="Fora do DRE","Fora do DRE","( "&amp;Base_Periodo1[[#This Row],[Tipo_Linha]]&amp;" ) "&amp;Base_Periodo1[[#This Row],[Filtro]])</f>
        <v>Fora do DRE</v>
      </c>
      <c r="W420" s="3" t="str">
        <f>LEFT(Base_Periodo1[[#This Row],[CLASS]],3)</f>
        <v>1.1</v>
      </c>
    </row>
    <row r="421" spans="1:23" hidden="1">
      <c r="A421" s="3" t="str">
        <f t="shared" si="6"/>
        <v>Período 1</v>
      </c>
      <c r="B421">
        <v>47137</v>
      </c>
      <c r="C421" t="s">
        <v>503</v>
      </c>
      <c r="D421" t="s">
        <v>702</v>
      </c>
      <c r="E421" s="3" t="str">
        <f>IF(LEN(Base_Periodo1[[#This Row],[CLASS]])&gt;=7,LEFT(Base_Periodo1[[#This Row],[CLASS]],7),"")</f>
        <v>1.1.2.1</v>
      </c>
      <c r="F421" s="3" t="str">
        <f>VLOOKUP(Base_Periodo1[[#This Row],[Aux]],Base_Contas_Balanco[#All],2,FALSE)</f>
        <v>Creditos com Cooperados</v>
      </c>
      <c r="G421" s="1">
        <v>42884</v>
      </c>
      <c r="H421" s="225">
        <v>91736.819999998435</v>
      </c>
      <c r="I421" s="225">
        <v>26664.34</v>
      </c>
      <c r="J421" s="225">
        <v>95466.860000000015</v>
      </c>
      <c r="K421" s="225">
        <v>22934.299999998417</v>
      </c>
      <c r="L4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22934.3</v>
      </c>
      <c r="M421" s="225">
        <f>ROUND(IF(AND(Base_Periodo1[[#This Row],[Tipo_Linha]]="-",Base_Periodo1[[#This Row],[TIPOSALDO]]="D"),Base_Periodo1[[#This Row],[SALDO_ATUAL]]*-1,Base_Periodo1[[#This Row],[SALDO_ATUAL]]),4)</f>
        <v>22934.3</v>
      </c>
      <c r="N421" t="s">
        <v>116</v>
      </c>
      <c r="O421" t="s">
        <v>397</v>
      </c>
      <c r="P421" t="s">
        <v>397</v>
      </c>
      <c r="Q421">
        <v>7</v>
      </c>
      <c r="R421" s="225">
        <f>Base_Periodo1[[#This Row],[CREDITOS]]-Base_Periodo1[[#This Row],[DEBITOS]]</f>
        <v>68802.520000000019</v>
      </c>
      <c r="S421" s="3" t="str">
        <f>IF(ISERROR(VLOOKUP(Base_Periodo1[[#This Row],[CONTA]],BaseContasDRE[#All],4,FALSE)),"Fora do DRE",VLOOKUP(Base_Periodo1[[#This Row],[CONTA]],BaseContasDRE[#All],4,FALSE))</f>
        <v>Fora do DRE</v>
      </c>
      <c r="T421" s="3" t="str">
        <f>IF(ISERROR(VLOOKUP(Base_Periodo1[[#This Row],[CONTA]],BaseContasDRE[#All],5,FALSE)),"Fora do DRE",VLOOKUP(Base_Periodo1[[#This Row],[CONTA]],BaseContasDRE[#All],6,FALSE))</f>
        <v>Fora do DRE</v>
      </c>
      <c r="U421" s="3" t="str">
        <f>IF(ISERROR(VLOOKUP(Base_Periodo1[[#This Row],[CONTA]],BaseContasDRE[#All],7,FALSE)),"Fora do DRE",VLOOKUP(Base_Periodo1[[#This Row],[CONTA]],BaseContasDRE[#All],7,FALSE))</f>
        <v>Fora do DRE</v>
      </c>
      <c r="V421" s="3" t="str">
        <f>IF(Base_Periodo1[[#This Row],[Tipo_Linha]]="Fora do DRE","Fora do DRE","( "&amp;Base_Periodo1[[#This Row],[Tipo_Linha]]&amp;" ) "&amp;Base_Periodo1[[#This Row],[Filtro]])</f>
        <v>Fora do DRE</v>
      </c>
      <c r="W421" s="3" t="str">
        <f>LEFT(Base_Periodo1[[#This Row],[CLASS]],3)</f>
        <v>1.1</v>
      </c>
    </row>
    <row r="422" spans="1:23" hidden="1">
      <c r="A422" s="3" t="str">
        <f t="shared" si="6"/>
        <v>Período 1</v>
      </c>
      <c r="B422">
        <v>7973</v>
      </c>
      <c r="C422" t="s">
        <v>503</v>
      </c>
      <c r="D422" t="s">
        <v>703</v>
      </c>
      <c r="E422" s="3" t="str">
        <f>IF(LEN(Base_Periodo1[[#This Row],[CLASS]])&gt;=7,LEFT(Base_Periodo1[[#This Row],[CLASS]],7),"")</f>
        <v>1.1.2.1</v>
      </c>
      <c r="F422" s="3" t="str">
        <f>VLOOKUP(Base_Periodo1[[#This Row],[Aux]],Base_Contas_Balanco[#All],2,FALSE)</f>
        <v>Creditos com Cooperados</v>
      </c>
      <c r="G422" s="1">
        <v>42884</v>
      </c>
      <c r="H422" s="225">
        <v>284519.21000000089</v>
      </c>
      <c r="I422" s="225">
        <v>34262.639999999999</v>
      </c>
      <c r="J422" s="225">
        <v>221853.24999999997</v>
      </c>
      <c r="K422" s="225">
        <v>96928.600000000937</v>
      </c>
      <c r="L4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96928.6</v>
      </c>
      <c r="M422" s="225">
        <f>ROUND(IF(AND(Base_Periodo1[[#This Row],[Tipo_Linha]]="-",Base_Periodo1[[#This Row],[TIPOSALDO]]="D"),Base_Periodo1[[#This Row],[SALDO_ATUAL]]*-1,Base_Periodo1[[#This Row],[SALDO_ATUAL]]),4)</f>
        <v>96928.6</v>
      </c>
      <c r="N422" t="s">
        <v>116</v>
      </c>
      <c r="O422" t="s">
        <v>397</v>
      </c>
      <c r="P422" t="s">
        <v>397</v>
      </c>
      <c r="Q422">
        <v>7</v>
      </c>
      <c r="R422" s="225">
        <f>Base_Periodo1[[#This Row],[CREDITOS]]-Base_Periodo1[[#This Row],[DEBITOS]]</f>
        <v>187590.61</v>
      </c>
      <c r="S422" s="3" t="str">
        <f>IF(ISERROR(VLOOKUP(Base_Periodo1[[#This Row],[CONTA]],BaseContasDRE[#All],4,FALSE)),"Fora do DRE",VLOOKUP(Base_Periodo1[[#This Row],[CONTA]],BaseContasDRE[#All],4,FALSE))</f>
        <v>Fora do DRE</v>
      </c>
      <c r="T422" s="3" t="str">
        <f>IF(ISERROR(VLOOKUP(Base_Periodo1[[#This Row],[CONTA]],BaseContasDRE[#All],5,FALSE)),"Fora do DRE",VLOOKUP(Base_Periodo1[[#This Row],[CONTA]],BaseContasDRE[#All],6,FALSE))</f>
        <v>Fora do DRE</v>
      </c>
      <c r="U422" s="3" t="str">
        <f>IF(ISERROR(VLOOKUP(Base_Periodo1[[#This Row],[CONTA]],BaseContasDRE[#All],7,FALSE)),"Fora do DRE",VLOOKUP(Base_Periodo1[[#This Row],[CONTA]],BaseContasDRE[#All],7,FALSE))</f>
        <v>Fora do DRE</v>
      </c>
      <c r="V422" s="3" t="str">
        <f>IF(Base_Periodo1[[#This Row],[Tipo_Linha]]="Fora do DRE","Fora do DRE","( "&amp;Base_Periodo1[[#This Row],[Tipo_Linha]]&amp;" ) "&amp;Base_Periodo1[[#This Row],[Filtro]])</f>
        <v>Fora do DRE</v>
      </c>
      <c r="W422" s="3" t="str">
        <f>LEFT(Base_Periodo1[[#This Row],[CLASS]],3)</f>
        <v>1.1</v>
      </c>
    </row>
    <row r="423" spans="1:23" hidden="1">
      <c r="A423" s="3" t="str">
        <f t="shared" si="6"/>
        <v>Período 1</v>
      </c>
      <c r="B423">
        <v>3136</v>
      </c>
      <c r="C423" t="s">
        <v>503</v>
      </c>
      <c r="D423" t="s">
        <v>704</v>
      </c>
      <c r="E423" s="3" t="str">
        <f>IF(LEN(Base_Periodo1[[#This Row],[CLASS]])&gt;=7,LEFT(Base_Periodo1[[#This Row],[CLASS]],7),"")</f>
        <v>1.1.2.1</v>
      </c>
      <c r="F423" s="3" t="str">
        <f>VLOOKUP(Base_Periodo1[[#This Row],[Aux]],Base_Contas_Balanco[#All],2,FALSE)</f>
        <v>Creditos com Cooperados</v>
      </c>
      <c r="G423" s="1">
        <v>42822</v>
      </c>
      <c r="H423" s="225">
        <v>26.790000000037253</v>
      </c>
      <c r="I423" s="225">
        <v>0</v>
      </c>
      <c r="J423" s="225">
        <v>0</v>
      </c>
      <c r="K423" s="225">
        <v>26.790000000037253</v>
      </c>
      <c r="L4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26.79</v>
      </c>
      <c r="M423" s="225">
        <f>ROUND(IF(AND(Base_Periodo1[[#This Row],[Tipo_Linha]]="-",Base_Periodo1[[#This Row],[TIPOSALDO]]="D"),Base_Periodo1[[#This Row],[SALDO_ATUAL]]*-1,Base_Periodo1[[#This Row],[SALDO_ATUAL]]),4)</f>
        <v>26.79</v>
      </c>
      <c r="N423" t="s">
        <v>116</v>
      </c>
      <c r="O423" t="s">
        <v>397</v>
      </c>
      <c r="P423" t="s">
        <v>397</v>
      </c>
      <c r="Q423">
        <v>7</v>
      </c>
      <c r="R423" s="225">
        <f>Base_Periodo1[[#This Row],[CREDITOS]]-Base_Periodo1[[#This Row],[DEBITOS]]</f>
        <v>0</v>
      </c>
      <c r="S423" s="3" t="str">
        <f>IF(ISERROR(VLOOKUP(Base_Periodo1[[#This Row],[CONTA]],BaseContasDRE[#All],4,FALSE)),"Fora do DRE",VLOOKUP(Base_Periodo1[[#This Row],[CONTA]],BaseContasDRE[#All],4,FALSE))</f>
        <v>Fora do DRE</v>
      </c>
      <c r="T423" s="3" t="str">
        <f>IF(ISERROR(VLOOKUP(Base_Periodo1[[#This Row],[CONTA]],BaseContasDRE[#All],5,FALSE)),"Fora do DRE",VLOOKUP(Base_Periodo1[[#This Row],[CONTA]],BaseContasDRE[#All],6,FALSE))</f>
        <v>Fora do DRE</v>
      </c>
      <c r="U423" s="3" t="str">
        <f>IF(ISERROR(VLOOKUP(Base_Periodo1[[#This Row],[CONTA]],BaseContasDRE[#All],7,FALSE)),"Fora do DRE",VLOOKUP(Base_Periodo1[[#This Row],[CONTA]],BaseContasDRE[#All],7,FALSE))</f>
        <v>Fora do DRE</v>
      </c>
      <c r="V423" s="3" t="str">
        <f>IF(Base_Periodo1[[#This Row],[Tipo_Linha]]="Fora do DRE","Fora do DRE","( "&amp;Base_Periodo1[[#This Row],[Tipo_Linha]]&amp;" ) "&amp;Base_Periodo1[[#This Row],[Filtro]])</f>
        <v>Fora do DRE</v>
      </c>
      <c r="W423" s="3" t="str">
        <f>LEFT(Base_Periodo1[[#This Row],[CLASS]],3)</f>
        <v>1.1</v>
      </c>
    </row>
    <row r="424" spans="1:23" hidden="1">
      <c r="A424" s="3" t="str">
        <f t="shared" si="6"/>
        <v>Período 1</v>
      </c>
      <c r="B424">
        <v>9376</v>
      </c>
      <c r="C424" t="s">
        <v>503</v>
      </c>
      <c r="D424" t="s">
        <v>5853</v>
      </c>
      <c r="E424" s="3" t="str">
        <f>IF(LEN(Base_Periodo1[[#This Row],[CLASS]])&gt;=7,LEFT(Base_Periodo1[[#This Row],[CLASS]],7),"")</f>
        <v>1.1.2.1</v>
      </c>
      <c r="F424" s="3" t="str">
        <f>VLOOKUP(Base_Periodo1[[#This Row],[Aux]],Base_Contas_Balanco[#All],2,FALSE)</f>
        <v>Creditos com Cooperados</v>
      </c>
      <c r="G424" s="1">
        <v>42873</v>
      </c>
      <c r="I424" s="225">
        <v>375</v>
      </c>
      <c r="J424" s="225">
        <v>0</v>
      </c>
      <c r="K424" s="225">
        <v>375.00000000000364</v>
      </c>
      <c r="L4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375</v>
      </c>
      <c r="M424" s="225">
        <f>ROUND(IF(AND(Base_Periodo1[[#This Row],[Tipo_Linha]]="-",Base_Periodo1[[#This Row],[TIPOSALDO]]="D"),Base_Periodo1[[#This Row],[SALDO_ATUAL]]*-1,Base_Periodo1[[#This Row],[SALDO_ATUAL]]),4)</f>
        <v>375</v>
      </c>
      <c r="N424" t="s">
        <v>116</v>
      </c>
      <c r="O424" t="s">
        <v>436</v>
      </c>
      <c r="P424" t="s">
        <v>397</v>
      </c>
      <c r="Q424">
        <v>7</v>
      </c>
      <c r="R424" s="225">
        <f>Base_Periodo1[[#This Row],[CREDITOS]]-Base_Periodo1[[#This Row],[DEBITOS]]</f>
        <v>-375</v>
      </c>
      <c r="S424" s="3" t="str">
        <f>IF(ISERROR(VLOOKUP(Base_Periodo1[[#This Row],[CONTA]],BaseContasDRE[#All],4,FALSE)),"Fora do DRE",VLOOKUP(Base_Periodo1[[#This Row],[CONTA]],BaseContasDRE[#All],4,FALSE))</f>
        <v>Fora do DRE</v>
      </c>
      <c r="T424" s="3" t="str">
        <f>IF(ISERROR(VLOOKUP(Base_Periodo1[[#This Row],[CONTA]],BaseContasDRE[#All],5,FALSE)),"Fora do DRE",VLOOKUP(Base_Periodo1[[#This Row],[CONTA]],BaseContasDRE[#All],6,FALSE))</f>
        <v>Fora do DRE</v>
      </c>
      <c r="U424" s="3" t="str">
        <f>IF(ISERROR(VLOOKUP(Base_Periodo1[[#This Row],[CONTA]],BaseContasDRE[#All],7,FALSE)),"Fora do DRE",VLOOKUP(Base_Periodo1[[#This Row],[CONTA]],BaseContasDRE[#All],7,FALSE))</f>
        <v>Fora do DRE</v>
      </c>
      <c r="V424" s="3" t="str">
        <f>IF(Base_Periodo1[[#This Row],[Tipo_Linha]]="Fora do DRE","Fora do DRE","( "&amp;Base_Periodo1[[#This Row],[Tipo_Linha]]&amp;" ) "&amp;Base_Periodo1[[#This Row],[Filtro]])</f>
        <v>Fora do DRE</v>
      </c>
      <c r="W424" s="3" t="str">
        <f>LEFT(Base_Periodo1[[#This Row],[CLASS]],3)</f>
        <v>1.1</v>
      </c>
    </row>
    <row r="425" spans="1:23" hidden="1">
      <c r="A425" s="3" t="str">
        <f t="shared" si="6"/>
        <v>Período 1</v>
      </c>
      <c r="B425">
        <v>39569</v>
      </c>
      <c r="C425" t="s">
        <v>503</v>
      </c>
      <c r="D425" t="s">
        <v>705</v>
      </c>
      <c r="E425" s="3" t="str">
        <f>IF(LEN(Base_Periodo1[[#This Row],[CLASS]])&gt;=7,LEFT(Base_Periodo1[[#This Row],[CLASS]],7),"")</f>
        <v>1.1.2.1</v>
      </c>
      <c r="F425" s="3" t="str">
        <f>VLOOKUP(Base_Periodo1[[#This Row],[Aux]],Base_Contas_Balanco[#All],2,FALSE)</f>
        <v>Creditos com Cooperados</v>
      </c>
      <c r="G425" s="1">
        <v>42836</v>
      </c>
      <c r="H425" s="225">
        <v>347.85000000000582</v>
      </c>
      <c r="I425" s="225">
        <v>0</v>
      </c>
      <c r="J425" s="225">
        <v>0</v>
      </c>
      <c r="K425" s="225">
        <v>347.85000000000582</v>
      </c>
      <c r="L4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347.85</v>
      </c>
      <c r="M425" s="225">
        <f>ROUND(IF(AND(Base_Periodo1[[#This Row],[Tipo_Linha]]="-",Base_Periodo1[[#This Row],[TIPOSALDO]]="D"),Base_Periodo1[[#This Row],[SALDO_ATUAL]]*-1,Base_Periodo1[[#This Row],[SALDO_ATUAL]]),4)</f>
        <v>347.85</v>
      </c>
      <c r="N425" t="s">
        <v>116</v>
      </c>
      <c r="O425" t="s">
        <v>397</v>
      </c>
      <c r="P425" t="s">
        <v>397</v>
      </c>
      <c r="Q425">
        <v>7</v>
      </c>
      <c r="R425" s="225">
        <f>Base_Periodo1[[#This Row],[CREDITOS]]-Base_Periodo1[[#This Row],[DEBITOS]]</f>
        <v>0</v>
      </c>
      <c r="S425" s="3" t="str">
        <f>IF(ISERROR(VLOOKUP(Base_Periodo1[[#This Row],[CONTA]],BaseContasDRE[#All],4,FALSE)),"Fora do DRE",VLOOKUP(Base_Periodo1[[#This Row],[CONTA]],BaseContasDRE[#All],4,FALSE))</f>
        <v>Fora do DRE</v>
      </c>
      <c r="T425" s="3" t="str">
        <f>IF(ISERROR(VLOOKUP(Base_Periodo1[[#This Row],[CONTA]],BaseContasDRE[#All],5,FALSE)),"Fora do DRE",VLOOKUP(Base_Periodo1[[#This Row],[CONTA]],BaseContasDRE[#All],6,FALSE))</f>
        <v>Fora do DRE</v>
      </c>
      <c r="U425" s="3" t="str">
        <f>IF(ISERROR(VLOOKUP(Base_Periodo1[[#This Row],[CONTA]],BaseContasDRE[#All],7,FALSE)),"Fora do DRE",VLOOKUP(Base_Periodo1[[#This Row],[CONTA]],BaseContasDRE[#All],7,FALSE))</f>
        <v>Fora do DRE</v>
      </c>
      <c r="V425" s="3" t="str">
        <f>IF(Base_Periodo1[[#This Row],[Tipo_Linha]]="Fora do DRE","Fora do DRE","( "&amp;Base_Periodo1[[#This Row],[Tipo_Linha]]&amp;" ) "&amp;Base_Periodo1[[#This Row],[Filtro]])</f>
        <v>Fora do DRE</v>
      </c>
      <c r="W425" s="3" t="str">
        <f>LEFT(Base_Periodo1[[#This Row],[CLASS]],3)</f>
        <v>1.1</v>
      </c>
    </row>
    <row r="426" spans="1:23" hidden="1">
      <c r="A426" s="3" t="str">
        <f t="shared" si="6"/>
        <v>Período 1</v>
      </c>
      <c r="B426">
        <v>21844</v>
      </c>
      <c r="C426" t="s">
        <v>503</v>
      </c>
      <c r="D426" t="s">
        <v>4190</v>
      </c>
      <c r="E426" s="3" t="str">
        <f>IF(LEN(Base_Periodo1[[#This Row],[CLASS]])&gt;=7,LEFT(Base_Periodo1[[#This Row],[CLASS]],7),"")</f>
        <v>1.1.2.1</v>
      </c>
      <c r="F426" s="3" t="str">
        <f>VLOOKUP(Base_Periodo1[[#This Row],[Aux]],Base_Contas_Balanco[#All],2,FALSE)</f>
        <v>Creditos com Cooperados</v>
      </c>
      <c r="G426" s="1">
        <v>42724</v>
      </c>
      <c r="H426" s="225">
        <v>43014.280000000028</v>
      </c>
      <c r="I426" s="225">
        <v>0</v>
      </c>
      <c r="J426" s="225">
        <v>0</v>
      </c>
      <c r="K426" s="225">
        <v>43014.280000000028</v>
      </c>
      <c r="L4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43014.28</v>
      </c>
      <c r="M426" s="225">
        <f>ROUND(IF(AND(Base_Periodo1[[#This Row],[Tipo_Linha]]="-",Base_Periodo1[[#This Row],[TIPOSALDO]]="D"),Base_Periodo1[[#This Row],[SALDO_ATUAL]]*-1,Base_Periodo1[[#This Row],[SALDO_ATUAL]]),4)</f>
        <v>43014.28</v>
      </c>
      <c r="N426" t="s">
        <v>116</v>
      </c>
      <c r="O426" t="s">
        <v>397</v>
      </c>
      <c r="P426" t="s">
        <v>397</v>
      </c>
      <c r="Q426">
        <v>7</v>
      </c>
      <c r="R426" s="225">
        <f>Base_Periodo1[[#This Row],[CREDITOS]]-Base_Periodo1[[#This Row],[DEBITOS]]</f>
        <v>0</v>
      </c>
      <c r="S426" s="3" t="str">
        <f>IF(ISERROR(VLOOKUP(Base_Periodo1[[#This Row],[CONTA]],BaseContasDRE[#All],4,FALSE)),"Fora do DRE",VLOOKUP(Base_Periodo1[[#This Row],[CONTA]],BaseContasDRE[#All],4,FALSE))</f>
        <v>Fora do DRE</v>
      </c>
      <c r="T426" s="3" t="str">
        <f>IF(ISERROR(VLOOKUP(Base_Periodo1[[#This Row],[CONTA]],BaseContasDRE[#All],5,FALSE)),"Fora do DRE",VLOOKUP(Base_Periodo1[[#This Row],[CONTA]],BaseContasDRE[#All],6,FALSE))</f>
        <v>Fora do DRE</v>
      </c>
      <c r="U426" s="3" t="str">
        <f>IF(ISERROR(VLOOKUP(Base_Periodo1[[#This Row],[CONTA]],BaseContasDRE[#All],7,FALSE)),"Fora do DRE",VLOOKUP(Base_Periodo1[[#This Row],[CONTA]],BaseContasDRE[#All],7,FALSE))</f>
        <v>Fora do DRE</v>
      </c>
      <c r="V426" s="3" t="str">
        <f>IF(Base_Periodo1[[#This Row],[Tipo_Linha]]="Fora do DRE","Fora do DRE","( "&amp;Base_Periodo1[[#This Row],[Tipo_Linha]]&amp;" ) "&amp;Base_Periodo1[[#This Row],[Filtro]])</f>
        <v>Fora do DRE</v>
      </c>
      <c r="W426" s="3" t="str">
        <f>LEFT(Base_Periodo1[[#This Row],[CLASS]],3)</f>
        <v>1.1</v>
      </c>
    </row>
    <row r="427" spans="1:23" hidden="1">
      <c r="A427" s="3" t="str">
        <f t="shared" si="6"/>
        <v>Período 1</v>
      </c>
      <c r="B427">
        <v>17964</v>
      </c>
      <c r="C427" t="s">
        <v>503</v>
      </c>
      <c r="D427" t="s">
        <v>5000</v>
      </c>
      <c r="E427" s="3" t="str">
        <f>IF(LEN(Base_Periodo1[[#This Row],[CLASS]])&gt;=7,LEFT(Base_Periodo1[[#This Row],[CLASS]],7),"")</f>
        <v>1.1.2.1</v>
      </c>
      <c r="F427" s="3" t="str">
        <f>VLOOKUP(Base_Periodo1[[#This Row],[Aux]],Base_Contas_Balanco[#All],2,FALSE)</f>
        <v>Creditos com Cooperados</v>
      </c>
      <c r="G427" s="1">
        <v>42872</v>
      </c>
      <c r="H427" s="225">
        <v>5576.0999999999985</v>
      </c>
      <c r="I427" s="225">
        <v>7487.46</v>
      </c>
      <c r="J427" s="225">
        <v>6531.78</v>
      </c>
      <c r="K427" s="225">
        <v>6531.7799999999979</v>
      </c>
      <c r="L4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6531.78</v>
      </c>
      <c r="M427" s="225">
        <f>ROUND(IF(AND(Base_Periodo1[[#This Row],[Tipo_Linha]]="-",Base_Periodo1[[#This Row],[TIPOSALDO]]="D"),Base_Periodo1[[#This Row],[SALDO_ATUAL]]*-1,Base_Periodo1[[#This Row],[SALDO_ATUAL]]),4)</f>
        <v>6531.78</v>
      </c>
      <c r="N427" t="s">
        <v>116</v>
      </c>
      <c r="O427" t="s">
        <v>397</v>
      </c>
      <c r="P427" t="s">
        <v>397</v>
      </c>
      <c r="Q427">
        <v>7</v>
      </c>
      <c r="R427" s="225">
        <f>Base_Periodo1[[#This Row],[CREDITOS]]-Base_Periodo1[[#This Row],[DEBITOS]]</f>
        <v>-955.68000000000029</v>
      </c>
      <c r="S427" s="3" t="str">
        <f>IF(ISERROR(VLOOKUP(Base_Periodo1[[#This Row],[CONTA]],BaseContasDRE[#All],4,FALSE)),"Fora do DRE",VLOOKUP(Base_Periodo1[[#This Row],[CONTA]],BaseContasDRE[#All],4,FALSE))</f>
        <v>Fora do DRE</v>
      </c>
      <c r="T427" s="3" t="str">
        <f>IF(ISERROR(VLOOKUP(Base_Periodo1[[#This Row],[CONTA]],BaseContasDRE[#All],5,FALSE)),"Fora do DRE",VLOOKUP(Base_Periodo1[[#This Row],[CONTA]],BaseContasDRE[#All],6,FALSE))</f>
        <v>Fora do DRE</v>
      </c>
      <c r="U427" s="3" t="str">
        <f>IF(ISERROR(VLOOKUP(Base_Periodo1[[#This Row],[CONTA]],BaseContasDRE[#All],7,FALSE)),"Fora do DRE",VLOOKUP(Base_Periodo1[[#This Row],[CONTA]],BaseContasDRE[#All],7,FALSE))</f>
        <v>Fora do DRE</v>
      </c>
      <c r="V427" s="3" t="str">
        <f>IF(Base_Periodo1[[#This Row],[Tipo_Linha]]="Fora do DRE","Fora do DRE","( "&amp;Base_Periodo1[[#This Row],[Tipo_Linha]]&amp;" ) "&amp;Base_Periodo1[[#This Row],[Filtro]])</f>
        <v>Fora do DRE</v>
      </c>
      <c r="W427" s="3" t="str">
        <f>LEFT(Base_Periodo1[[#This Row],[CLASS]],3)</f>
        <v>1.1</v>
      </c>
    </row>
    <row r="428" spans="1:23" hidden="1">
      <c r="A428" s="3" t="str">
        <f t="shared" si="6"/>
        <v>Período 1</v>
      </c>
      <c r="B428">
        <v>16695</v>
      </c>
      <c r="C428" t="s">
        <v>503</v>
      </c>
      <c r="D428" t="s">
        <v>5145</v>
      </c>
      <c r="E428" s="3" t="str">
        <f>IF(LEN(Base_Periodo1[[#This Row],[CLASS]])&gt;=7,LEFT(Base_Periodo1[[#This Row],[CLASS]],7),"")</f>
        <v>1.1.2.1</v>
      </c>
      <c r="F428" s="3" t="str">
        <f>VLOOKUP(Base_Periodo1[[#This Row],[Aux]],Base_Contas_Balanco[#All],2,FALSE)</f>
        <v>Creditos com Cooperados</v>
      </c>
      <c r="G428" s="1">
        <v>42881</v>
      </c>
      <c r="H428" s="225">
        <v>107853.97999999992</v>
      </c>
      <c r="I428" s="225">
        <v>22608.63</v>
      </c>
      <c r="J428" s="225">
        <v>12756.130000000001</v>
      </c>
      <c r="K428" s="225">
        <v>117706.47999999992</v>
      </c>
      <c r="L4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117706.48</v>
      </c>
      <c r="M428" s="225">
        <f>ROUND(IF(AND(Base_Periodo1[[#This Row],[Tipo_Linha]]="-",Base_Periodo1[[#This Row],[TIPOSALDO]]="D"),Base_Periodo1[[#This Row],[SALDO_ATUAL]]*-1,Base_Periodo1[[#This Row],[SALDO_ATUAL]]),4)</f>
        <v>117706.48</v>
      </c>
      <c r="N428" t="s">
        <v>116</v>
      </c>
      <c r="O428" t="s">
        <v>397</v>
      </c>
      <c r="P428" t="s">
        <v>397</v>
      </c>
      <c r="Q428">
        <v>7</v>
      </c>
      <c r="R428" s="225">
        <f>Base_Periodo1[[#This Row],[CREDITOS]]-Base_Periodo1[[#This Row],[DEBITOS]]</f>
        <v>-9852.5</v>
      </c>
      <c r="S428" s="3" t="str">
        <f>IF(ISERROR(VLOOKUP(Base_Periodo1[[#This Row],[CONTA]],BaseContasDRE[#All],4,FALSE)),"Fora do DRE",VLOOKUP(Base_Periodo1[[#This Row],[CONTA]],BaseContasDRE[#All],4,FALSE))</f>
        <v>Fora do DRE</v>
      </c>
      <c r="T428" s="3" t="str">
        <f>IF(ISERROR(VLOOKUP(Base_Periodo1[[#This Row],[CONTA]],BaseContasDRE[#All],5,FALSE)),"Fora do DRE",VLOOKUP(Base_Periodo1[[#This Row],[CONTA]],BaseContasDRE[#All],6,FALSE))</f>
        <v>Fora do DRE</v>
      </c>
      <c r="U428" s="3" t="str">
        <f>IF(ISERROR(VLOOKUP(Base_Periodo1[[#This Row],[CONTA]],BaseContasDRE[#All],7,FALSE)),"Fora do DRE",VLOOKUP(Base_Periodo1[[#This Row],[CONTA]],BaseContasDRE[#All],7,FALSE))</f>
        <v>Fora do DRE</v>
      </c>
      <c r="V428" s="3" t="str">
        <f>IF(Base_Periodo1[[#This Row],[Tipo_Linha]]="Fora do DRE","Fora do DRE","( "&amp;Base_Periodo1[[#This Row],[Tipo_Linha]]&amp;" ) "&amp;Base_Periodo1[[#This Row],[Filtro]])</f>
        <v>Fora do DRE</v>
      </c>
      <c r="W428" s="3" t="str">
        <f>LEFT(Base_Periodo1[[#This Row],[CLASS]],3)</f>
        <v>1.1</v>
      </c>
    </row>
    <row r="429" spans="1:23" hidden="1">
      <c r="A429" s="3" t="str">
        <f t="shared" si="6"/>
        <v>Período 1</v>
      </c>
      <c r="B429">
        <v>8340</v>
      </c>
      <c r="C429" t="s">
        <v>503</v>
      </c>
      <c r="D429" t="s">
        <v>707</v>
      </c>
      <c r="E429" s="3" t="str">
        <f>IF(LEN(Base_Periodo1[[#This Row],[CLASS]])&gt;=7,LEFT(Base_Periodo1[[#This Row],[CLASS]],7),"")</f>
        <v>1.1.2.1</v>
      </c>
      <c r="F429" s="3" t="str">
        <f>VLOOKUP(Base_Periodo1[[#This Row],[Aux]],Base_Contas_Balanco[#All],2,FALSE)</f>
        <v>Creditos com Cooperados</v>
      </c>
      <c r="G429" s="1">
        <v>42821</v>
      </c>
      <c r="H429" s="225">
        <v>842.71000000007916</v>
      </c>
      <c r="I429" s="225">
        <v>0</v>
      </c>
      <c r="J429" s="225">
        <v>0</v>
      </c>
      <c r="K429" s="225">
        <v>842.71000000007916</v>
      </c>
      <c r="L4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842.71</v>
      </c>
      <c r="M429" s="225">
        <f>ROUND(IF(AND(Base_Periodo1[[#This Row],[Tipo_Linha]]="-",Base_Periodo1[[#This Row],[TIPOSALDO]]="D"),Base_Periodo1[[#This Row],[SALDO_ATUAL]]*-1,Base_Periodo1[[#This Row],[SALDO_ATUAL]]),4)</f>
        <v>842.71</v>
      </c>
      <c r="N429" t="s">
        <v>116</v>
      </c>
      <c r="O429" t="s">
        <v>397</v>
      </c>
      <c r="P429" t="s">
        <v>397</v>
      </c>
      <c r="Q429">
        <v>7</v>
      </c>
      <c r="R429" s="225">
        <f>Base_Periodo1[[#This Row],[CREDITOS]]-Base_Periodo1[[#This Row],[DEBITOS]]</f>
        <v>0</v>
      </c>
      <c r="S429" s="3" t="str">
        <f>IF(ISERROR(VLOOKUP(Base_Periodo1[[#This Row],[CONTA]],BaseContasDRE[#All],4,FALSE)),"Fora do DRE",VLOOKUP(Base_Periodo1[[#This Row],[CONTA]],BaseContasDRE[#All],4,FALSE))</f>
        <v>Fora do DRE</v>
      </c>
      <c r="T429" s="3" t="str">
        <f>IF(ISERROR(VLOOKUP(Base_Periodo1[[#This Row],[CONTA]],BaseContasDRE[#All],5,FALSE)),"Fora do DRE",VLOOKUP(Base_Periodo1[[#This Row],[CONTA]],BaseContasDRE[#All],6,FALSE))</f>
        <v>Fora do DRE</v>
      </c>
      <c r="U429" s="3" t="str">
        <f>IF(ISERROR(VLOOKUP(Base_Periodo1[[#This Row],[CONTA]],BaseContasDRE[#All],7,FALSE)),"Fora do DRE",VLOOKUP(Base_Periodo1[[#This Row],[CONTA]],BaseContasDRE[#All],7,FALSE))</f>
        <v>Fora do DRE</v>
      </c>
      <c r="V429" s="3" t="str">
        <f>IF(Base_Periodo1[[#This Row],[Tipo_Linha]]="Fora do DRE","Fora do DRE","( "&amp;Base_Periodo1[[#This Row],[Tipo_Linha]]&amp;" ) "&amp;Base_Periodo1[[#This Row],[Filtro]])</f>
        <v>Fora do DRE</v>
      </c>
      <c r="W429" s="3" t="str">
        <f>LEFT(Base_Periodo1[[#This Row],[CLASS]],3)</f>
        <v>1.1</v>
      </c>
    </row>
    <row r="430" spans="1:23" hidden="1">
      <c r="A430" s="3" t="str">
        <f t="shared" si="6"/>
        <v>Período 1</v>
      </c>
      <c r="B430">
        <v>3208</v>
      </c>
      <c r="C430" t="s">
        <v>503</v>
      </c>
      <c r="D430" t="s">
        <v>708</v>
      </c>
      <c r="E430" s="3" t="str">
        <f>IF(LEN(Base_Periodo1[[#This Row],[CLASS]])&gt;=7,LEFT(Base_Periodo1[[#This Row],[CLASS]],7),"")</f>
        <v>1.1.2.1</v>
      </c>
      <c r="F430" s="3" t="str">
        <f>VLOOKUP(Base_Periodo1[[#This Row],[Aux]],Base_Contas_Balanco[#All],2,FALSE)</f>
        <v>Creditos com Cooperados</v>
      </c>
      <c r="G430" s="1">
        <v>42860</v>
      </c>
      <c r="I430" s="225">
        <v>41400</v>
      </c>
      <c r="J430" s="225">
        <v>41400</v>
      </c>
      <c r="K430" s="225">
        <v>0</v>
      </c>
      <c r="L4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30" s="225">
        <f>ROUND(IF(AND(Base_Periodo1[[#This Row],[Tipo_Linha]]="-",Base_Periodo1[[#This Row],[TIPOSALDO]]="D"),Base_Periodo1[[#This Row],[SALDO_ATUAL]]*-1,Base_Periodo1[[#This Row],[SALDO_ATUAL]]),4)</f>
        <v>0</v>
      </c>
      <c r="N430" t="s">
        <v>116</v>
      </c>
      <c r="O430" t="s">
        <v>436</v>
      </c>
      <c r="P430" t="s">
        <v>436</v>
      </c>
      <c r="Q430">
        <v>7</v>
      </c>
      <c r="R430" s="225">
        <f>Base_Periodo1[[#This Row],[CREDITOS]]-Base_Periodo1[[#This Row],[DEBITOS]]</f>
        <v>0</v>
      </c>
      <c r="S430" s="3" t="str">
        <f>IF(ISERROR(VLOOKUP(Base_Periodo1[[#This Row],[CONTA]],BaseContasDRE[#All],4,FALSE)),"Fora do DRE",VLOOKUP(Base_Periodo1[[#This Row],[CONTA]],BaseContasDRE[#All],4,FALSE))</f>
        <v>Fora do DRE</v>
      </c>
      <c r="T430" s="3" t="str">
        <f>IF(ISERROR(VLOOKUP(Base_Periodo1[[#This Row],[CONTA]],BaseContasDRE[#All],5,FALSE)),"Fora do DRE",VLOOKUP(Base_Periodo1[[#This Row],[CONTA]],BaseContasDRE[#All],6,FALSE))</f>
        <v>Fora do DRE</v>
      </c>
      <c r="U430" s="3" t="str">
        <f>IF(ISERROR(VLOOKUP(Base_Periodo1[[#This Row],[CONTA]],BaseContasDRE[#All],7,FALSE)),"Fora do DRE",VLOOKUP(Base_Periodo1[[#This Row],[CONTA]],BaseContasDRE[#All],7,FALSE))</f>
        <v>Fora do DRE</v>
      </c>
      <c r="V430" s="3" t="str">
        <f>IF(Base_Periodo1[[#This Row],[Tipo_Linha]]="Fora do DRE","Fora do DRE","( "&amp;Base_Periodo1[[#This Row],[Tipo_Linha]]&amp;" ) "&amp;Base_Periodo1[[#This Row],[Filtro]])</f>
        <v>Fora do DRE</v>
      </c>
      <c r="W430" s="3" t="str">
        <f>LEFT(Base_Periodo1[[#This Row],[CLASS]],3)</f>
        <v>1.1</v>
      </c>
    </row>
    <row r="431" spans="1:23" hidden="1">
      <c r="A431" s="3" t="str">
        <f t="shared" si="6"/>
        <v>Período 1</v>
      </c>
      <c r="B431">
        <v>9544</v>
      </c>
      <c r="C431" t="s">
        <v>503</v>
      </c>
      <c r="D431" t="s">
        <v>709</v>
      </c>
      <c r="E431" s="3" t="str">
        <f>IF(LEN(Base_Periodo1[[#This Row],[CLASS]])&gt;=7,LEFT(Base_Periodo1[[#This Row],[CLASS]],7),"")</f>
        <v>1.1.2.1</v>
      </c>
      <c r="F431" s="3" t="str">
        <f>VLOOKUP(Base_Periodo1[[#This Row],[Aux]],Base_Contas_Balanco[#All],2,FALSE)</f>
        <v>Creditos com Cooperados</v>
      </c>
      <c r="G431" s="1">
        <v>42867</v>
      </c>
      <c r="H431" s="225">
        <v>525.98999999993248</v>
      </c>
      <c r="I431" s="225">
        <v>0</v>
      </c>
      <c r="J431" s="225">
        <v>525.99</v>
      </c>
      <c r="K431" s="225">
        <v>-6.7529981606639922E-11</v>
      </c>
      <c r="L4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31" s="225">
        <f>ROUND(IF(AND(Base_Periodo1[[#This Row],[Tipo_Linha]]="-",Base_Periodo1[[#This Row],[TIPOSALDO]]="D"),Base_Periodo1[[#This Row],[SALDO_ATUAL]]*-1,Base_Periodo1[[#This Row],[SALDO_ATUAL]]),4)</f>
        <v>0</v>
      </c>
      <c r="N431" t="s">
        <v>116</v>
      </c>
      <c r="O431" t="s">
        <v>397</v>
      </c>
      <c r="P431" t="s">
        <v>436</v>
      </c>
      <c r="Q431">
        <v>7</v>
      </c>
      <c r="R431" s="225">
        <f>Base_Periodo1[[#This Row],[CREDITOS]]-Base_Periodo1[[#This Row],[DEBITOS]]</f>
        <v>525.99</v>
      </c>
      <c r="S431" s="3" t="str">
        <f>IF(ISERROR(VLOOKUP(Base_Periodo1[[#This Row],[CONTA]],BaseContasDRE[#All],4,FALSE)),"Fora do DRE",VLOOKUP(Base_Periodo1[[#This Row],[CONTA]],BaseContasDRE[#All],4,FALSE))</f>
        <v>Fora do DRE</v>
      </c>
      <c r="T431" s="3" t="str">
        <f>IF(ISERROR(VLOOKUP(Base_Periodo1[[#This Row],[CONTA]],BaseContasDRE[#All],5,FALSE)),"Fora do DRE",VLOOKUP(Base_Periodo1[[#This Row],[CONTA]],BaseContasDRE[#All],6,FALSE))</f>
        <v>Fora do DRE</v>
      </c>
      <c r="U431" s="3" t="str">
        <f>IF(ISERROR(VLOOKUP(Base_Periodo1[[#This Row],[CONTA]],BaseContasDRE[#All],7,FALSE)),"Fora do DRE",VLOOKUP(Base_Periodo1[[#This Row],[CONTA]],BaseContasDRE[#All],7,FALSE))</f>
        <v>Fora do DRE</v>
      </c>
      <c r="V431" s="3" t="str">
        <f>IF(Base_Periodo1[[#This Row],[Tipo_Linha]]="Fora do DRE","Fora do DRE","( "&amp;Base_Periodo1[[#This Row],[Tipo_Linha]]&amp;" ) "&amp;Base_Periodo1[[#This Row],[Filtro]])</f>
        <v>Fora do DRE</v>
      </c>
      <c r="W431" s="3" t="str">
        <f>LEFT(Base_Periodo1[[#This Row],[CLASS]],3)</f>
        <v>1.1</v>
      </c>
    </row>
    <row r="432" spans="1:23" hidden="1">
      <c r="A432" s="3" t="str">
        <f t="shared" si="6"/>
        <v>Período 1</v>
      </c>
      <c r="B432">
        <v>3100</v>
      </c>
      <c r="C432" t="s">
        <v>503</v>
      </c>
      <c r="D432" t="s">
        <v>710</v>
      </c>
      <c r="E432" s="3" t="str">
        <f>IF(LEN(Base_Periodo1[[#This Row],[CLASS]])&gt;=7,LEFT(Base_Periodo1[[#This Row],[CLASS]],7),"")</f>
        <v>1.1.2.1</v>
      </c>
      <c r="F432" s="3" t="str">
        <f>VLOOKUP(Base_Periodo1[[#This Row],[Aux]],Base_Contas_Balanco[#All],2,FALSE)</f>
        <v>Creditos com Cooperados</v>
      </c>
      <c r="G432" s="1">
        <v>42872</v>
      </c>
      <c r="H432" s="225">
        <v>32260.160000000091</v>
      </c>
      <c r="I432" s="225">
        <v>35372.54</v>
      </c>
      <c r="J432" s="225">
        <v>21086.52</v>
      </c>
      <c r="K432" s="225">
        <v>46546.180000000095</v>
      </c>
      <c r="L4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46546.18</v>
      </c>
      <c r="M432" s="225">
        <f>ROUND(IF(AND(Base_Periodo1[[#This Row],[Tipo_Linha]]="-",Base_Periodo1[[#This Row],[TIPOSALDO]]="D"),Base_Periodo1[[#This Row],[SALDO_ATUAL]]*-1,Base_Periodo1[[#This Row],[SALDO_ATUAL]]),4)</f>
        <v>46546.18</v>
      </c>
      <c r="N432" t="s">
        <v>116</v>
      </c>
      <c r="O432" t="s">
        <v>397</v>
      </c>
      <c r="P432" t="s">
        <v>397</v>
      </c>
      <c r="Q432">
        <v>7</v>
      </c>
      <c r="R432" s="225">
        <f>Base_Periodo1[[#This Row],[CREDITOS]]-Base_Periodo1[[#This Row],[DEBITOS]]</f>
        <v>-14286.02</v>
      </c>
      <c r="S432" s="3" t="str">
        <f>IF(ISERROR(VLOOKUP(Base_Periodo1[[#This Row],[CONTA]],BaseContasDRE[#All],4,FALSE)),"Fora do DRE",VLOOKUP(Base_Periodo1[[#This Row],[CONTA]],BaseContasDRE[#All],4,FALSE))</f>
        <v>Fora do DRE</v>
      </c>
      <c r="T432" s="3" t="str">
        <f>IF(ISERROR(VLOOKUP(Base_Periodo1[[#This Row],[CONTA]],BaseContasDRE[#All],5,FALSE)),"Fora do DRE",VLOOKUP(Base_Periodo1[[#This Row],[CONTA]],BaseContasDRE[#All],6,FALSE))</f>
        <v>Fora do DRE</v>
      </c>
      <c r="U432" s="3" t="str">
        <f>IF(ISERROR(VLOOKUP(Base_Periodo1[[#This Row],[CONTA]],BaseContasDRE[#All],7,FALSE)),"Fora do DRE",VLOOKUP(Base_Periodo1[[#This Row],[CONTA]],BaseContasDRE[#All],7,FALSE))</f>
        <v>Fora do DRE</v>
      </c>
      <c r="V432" s="3" t="str">
        <f>IF(Base_Periodo1[[#This Row],[Tipo_Linha]]="Fora do DRE","Fora do DRE","( "&amp;Base_Periodo1[[#This Row],[Tipo_Linha]]&amp;" ) "&amp;Base_Periodo1[[#This Row],[Filtro]])</f>
        <v>Fora do DRE</v>
      </c>
      <c r="W432" s="3" t="str">
        <f>LEFT(Base_Periodo1[[#This Row],[CLASS]],3)</f>
        <v>1.1</v>
      </c>
    </row>
    <row r="433" spans="1:23" hidden="1">
      <c r="A433" s="3" t="str">
        <f t="shared" si="6"/>
        <v>Período 1</v>
      </c>
      <c r="B433">
        <v>9384</v>
      </c>
      <c r="C433" t="s">
        <v>503</v>
      </c>
      <c r="D433" t="s">
        <v>711</v>
      </c>
      <c r="E433" s="3" t="str">
        <f>IF(LEN(Base_Periodo1[[#This Row],[CLASS]])&gt;=7,LEFT(Base_Periodo1[[#This Row],[CLASS]],7),"")</f>
        <v>1.1.2.1</v>
      </c>
      <c r="F433" s="3" t="str">
        <f>VLOOKUP(Base_Periodo1[[#This Row],[Aux]],Base_Contas_Balanco[#All],2,FALSE)</f>
        <v>Creditos com Cooperados</v>
      </c>
      <c r="G433" s="1">
        <v>42867</v>
      </c>
      <c r="H433" s="225">
        <v>729.49000000000524</v>
      </c>
      <c r="I433" s="225">
        <v>47.82</v>
      </c>
      <c r="J433" s="225">
        <v>733.98</v>
      </c>
      <c r="K433" s="225">
        <v>43.330000000005271</v>
      </c>
      <c r="L4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43.33</v>
      </c>
      <c r="M433" s="225">
        <f>ROUND(IF(AND(Base_Periodo1[[#This Row],[Tipo_Linha]]="-",Base_Periodo1[[#This Row],[TIPOSALDO]]="D"),Base_Periodo1[[#This Row],[SALDO_ATUAL]]*-1,Base_Periodo1[[#This Row],[SALDO_ATUAL]]),4)</f>
        <v>43.33</v>
      </c>
      <c r="N433" t="s">
        <v>116</v>
      </c>
      <c r="O433" t="s">
        <v>397</v>
      </c>
      <c r="P433" t="s">
        <v>397</v>
      </c>
      <c r="Q433">
        <v>7</v>
      </c>
      <c r="R433" s="225">
        <f>Base_Periodo1[[#This Row],[CREDITOS]]-Base_Periodo1[[#This Row],[DEBITOS]]</f>
        <v>686.16</v>
      </c>
      <c r="S433" s="3" t="str">
        <f>IF(ISERROR(VLOOKUP(Base_Periodo1[[#This Row],[CONTA]],BaseContasDRE[#All],4,FALSE)),"Fora do DRE",VLOOKUP(Base_Periodo1[[#This Row],[CONTA]],BaseContasDRE[#All],4,FALSE))</f>
        <v>Fora do DRE</v>
      </c>
      <c r="T433" s="3" t="str">
        <f>IF(ISERROR(VLOOKUP(Base_Periodo1[[#This Row],[CONTA]],BaseContasDRE[#All],5,FALSE)),"Fora do DRE",VLOOKUP(Base_Periodo1[[#This Row],[CONTA]],BaseContasDRE[#All],6,FALSE))</f>
        <v>Fora do DRE</v>
      </c>
      <c r="U433" s="3" t="str">
        <f>IF(ISERROR(VLOOKUP(Base_Periodo1[[#This Row],[CONTA]],BaseContasDRE[#All],7,FALSE)),"Fora do DRE",VLOOKUP(Base_Periodo1[[#This Row],[CONTA]],BaseContasDRE[#All],7,FALSE))</f>
        <v>Fora do DRE</v>
      </c>
      <c r="V433" s="3" t="str">
        <f>IF(Base_Periodo1[[#This Row],[Tipo_Linha]]="Fora do DRE","Fora do DRE","( "&amp;Base_Periodo1[[#This Row],[Tipo_Linha]]&amp;" ) "&amp;Base_Periodo1[[#This Row],[Filtro]])</f>
        <v>Fora do DRE</v>
      </c>
      <c r="W433" s="3" t="str">
        <f>LEFT(Base_Periodo1[[#This Row],[CLASS]],3)</f>
        <v>1.1</v>
      </c>
    </row>
    <row r="434" spans="1:23" hidden="1">
      <c r="A434" s="3" t="str">
        <f t="shared" si="6"/>
        <v>Período 1</v>
      </c>
      <c r="B434">
        <v>2932</v>
      </c>
      <c r="C434" t="s">
        <v>503</v>
      </c>
      <c r="D434" t="s">
        <v>712</v>
      </c>
      <c r="E434" s="3" t="str">
        <f>IF(LEN(Base_Periodo1[[#This Row],[CLASS]])&gt;=7,LEFT(Base_Periodo1[[#This Row],[CLASS]],7),"")</f>
        <v>1.1.2.1</v>
      </c>
      <c r="F434" s="3" t="str">
        <f>VLOOKUP(Base_Periodo1[[#This Row],[Aux]],Base_Contas_Balanco[#All],2,FALSE)</f>
        <v>Creditos com Cooperados</v>
      </c>
      <c r="G434" s="1">
        <v>42885</v>
      </c>
      <c r="H434" s="225">
        <v>55633.319999998435</v>
      </c>
      <c r="I434" s="225">
        <v>9790.5300000000007</v>
      </c>
      <c r="J434" s="225">
        <v>64542.569999999985</v>
      </c>
      <c r="K434" s="225">
        <v>881.27999999844906</v>
      </c>
      <c r="L4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881.28</v>
      </c>
      <c r="M434" s="225">
        <f>ROUND(IF(AND(Base_Periodo1[[#This Row],[Tipo_Linha]]="-",Base_Periodo1[[#This Row],[TIPOSALDO]]="D"),Base_Periodo1[[#This Row],[SALDO_ATUAL]]*-1,Base_Periodo1[[#This Row],[SALDO_ATUAL]]),4)</f>
        <v>881.28</v>
      </c>
      <c r="N434" t="s">
        <v>116</v>
      </c>
      <c r="O434" t="s">
        <v>397</v>
      </c>
      <c r="P434" t="s">
        <v>397</v>
      </c>
      <c r="Q434">
        <v>7</v>
      </c>
      <c r="R434" s="225">
        <f>Base_Periodo1[[#This Row],[CREDITOS]]-Base_Periodo1[[#This Row],[DEBITOS]]</f>
        <v>54752.039999999986</v>
      </c>
      <c r="S434" s="3" t="str">
        <f>IF(ISERROR(VLOOKUP(Base_Periodo1[[#This Row],[CONTA]],BaseContasDRE[#All],4,FALSE)),"Fora do DRE",VLOOKUP(Base_Periodo1[[#This Row],[CONTA]],BaseContasDRE[#All],4,FALSE))</f>
        <v>Fora do DRE</v>
      </c>
      <c r="T434" s="3" t="str">
        <f>IF(ISERROR(VLOOKUP(Base_Periodo1[[#This Row],[CONTA]],BaseContasDRE[#All],5,FALSE)),"Fora do DRE",VLOOKUP(Base_Periodo1[[#This Row],[CONTA]],BaseContasDRE[#All],6,FALSE))</f>
        <v>Fora do DRE</v>
      </c>
      <c r="U434" s="3" t="str">
        <f>IF(ISERROR(VLOOKUP(Base_Periodo1[[#This Row],[CONTA]],BaseContasDRE[#All],7,FALSE)),"Fora do DRE",VLOOKUP(Base_Periodo1[[#This Row],[CONTA]],BaseContasDRE[#All],7,FALSE))</f>
        <v>Fora do DRE</v>
      </c>
      <c r="V434" s="3" t="str">
        <f>IF(Base_Periodo1[[#This Row],[Tipo_Linha]]="Fora do DRE","Fora do DRE","( "&amp;Base_Periodo1[[#This Row],[Tipo_Linha]]&amp;" ) "&amp;Base_Periodo1[[#This Row],[Filtro]])</f>
        <v>Fora do DRE</v>
      </c>
      <c r="W434" s="3" t="str">
        <f>LEFT(Base_Periodo1[[#This Row],[CLASS]],3)</f>
        <v>1.1</v>
      </c>
    </row>
    <row r="435" spans="1:23" hidden="1">
      <c r="A435" s="3" t="str">
        <f t="shared" si="6"/>
        <v>Período 1</v>
      </c>
      <c r="B435">
        <v>25104</v>
      </c>
      <c r="C435" t="s">
        <v>503</v>
      </c>
      <c r="D435" t="s">
        <v>713</v>
      </c>
      <c r="E435" s="3" t="str">
        <f>IF(LEN(Base_Periodo1[[#This Row],[CLASS]])&gt;=7,LEFT(Base_Periodo1[[#This Row],[CLASS]],7),"")</f>
        <v>1.1.2.1</v>
      </c>
      <c r="F435" s="3" t="str">
        <f>VLOOKUP(Base_Periodo1[[#This Row],[Aux]],Base_Contas_Balanco[#All],2,FALSE)</f>
        <v>Creditos com Cooperados</v>
      </c>
      <c r="G435" s="1">
        <v>42874</v>
      </c>
      <c r="H435" s="225">
        <v>1.2000000000407454</v>
      </c>
      <c r="I435" s="225">
        <v>1075.23</v>
      </c>
      <c r="J435" s="225">
        <v>1075.23</v>
      </c>
      <c r="K435" s="225">
        <v>1.2000000000407454</v>
      </c>
      <c r="L4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1.2</v>
      </c>
      <c r="M435" s="225">
        <f>ROUND(IF(AND(Base_Periodo1[[#This Row],[Tipo_Linha]]="-",Base_Periodo1[[#This Row],[TIPOSALDO]]="D"),Base_Periodo1[[#This Row],[SALDO_ATUAL]]*-1,Base_Periodo1[[#This Row],[SALDO_ATUAL]]),4)</f>
        <v>1.2</v>
      </c>
      <c r="N435" t="s">
        <v>116</v>
      </c>
      <c r="O435" t="s">
        <v>397</v>
      </c>
      <c r="P435" t="s">
        <v>397</v>
      </c>
      <c r="Q435">
        <v>7</v>
      </c>
      <c r="R435" s="225">
        <f>Base_Periodo1[[#This Row],[CREDITOS]]-Base_Periodo1[[#This Row],[DEBITOS]]</f>
        <v>0</v>
      </c>
      <c r="S435" s="3" t="str">
        <f>IF(ISERROR(VLOOKUP(Base_Periodo1[[#This Row],[CONTA]],BaseContasDRE[#All],4,FALSE)),"Fora do DRE",VLOOKUP(Base_Periodo1[[#This Row],[CONTA]],BaseContasDRE[#All],4,FALSE))</f>
        <v>Fora do DRE</v>
      </c>
      <c r="T435" s="3" t="str">
        <f>IF(ISERROR(VLOOKUP(Base_Periodo1[[#This Row],[CONTA]],BaseContasDRE[#All],5,FALSE)),"Fora do DRE",VLOOKUP(Base_Periodo1[[#This Row],[CONTA]],BaseContasDRE[#All],6,FALSE))</f>
        <v>Fora do DRE</v>
      </c>
      <c r="U435" s="3" t="str">
        <f>IF(ISERROR(VLOOKUP(Base_Periodo1[[#This Row],[CONTA]],BaseContasDRE[#All],7,FALSE)),"Fora do DRE",VLOOKUP(Base_Periodo1[[#This Row],[CONTA]],BaseContasDRE[#All],7,FALSE))</f>
        <v>Fora do DRE</v>
      </c>
      <c r="V435" s="3" t="str">
        <f>IF(Base_Periodo1[[#This Row],[Tipo_Linha]]="Fora do DRE","Fora do DRE","( "&amp;Base_Periodo1[[#This Row],[Tipo_Linha]]&amp;" ) "&amp;Base_Periodo1[[#This Row],[Filtro]])</f>
        <v>Fora do DRE</v>
      </c>
      <c r="W435" s="3" t="str">
        <f>LEFT(Base_Periodo1[[#This Row],[CLASS]],3)</f>
        <v>1.1</v>
      </c>
    </row>
    <row r="436" spans="1:23" hidden="1">
      <c r="A436" s="3" t="str">
        <f t="shared" si="6"/>
        <v>Período 1</v>
      </c>
      <c r="B436">
        <v>52564</v>
      </c>
      <c r="C436" t="s">
        <v>503</v>
      </c>
      <c r="D436" t="s">
        <v>5272</v>
      </c>
      <c r="E436" s="3" t="str">
        <f>IF(LEN(Base_Periodo1[[#This Row],[CLASS]])&gt;=7,LEFT(Base_Periodo1[[#This Row],[CLASS]],7),"")</f>
        <v>1.1.2.1</v>
      </c>
      <c r="F436" s="3" t="str">
        <f>VLOOKUP(Base_Periodo1[[#This Row],[Aux]],Base_Contas_Balanco[#All],2,FALSE)</f>
        <v>Creditos com Cooperados</v>
      </c>
      <c r="G436" s="1">
        <v>42850</v>
      </c>
      <c r="H436" s="225">
        <v>143.59999999999945</v>
      </c>
      <c r="I436" s="225">
        <v>0</v>
      </c>
      <c r="J436" s="225">
        <v>0</v>
      </c>
      <c r="K436" s="225">
        <v>143.59999999999945</v>
      </c>
      <c r="L4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143.6</v>
      </c>
      <c r="M436" s="225">
        <f>ROUND(IF(AND(Base_Periodo1[[#This Row],[Tipo_Linha]]="-",Base_Periodo1[[#This Row],[TIPOSALDO]]="D"),Base_Periodo1[[#This Row],[SALDO_ATUAL]]*-1,Base_Periodo1[[#This Row],[SALDO_ATUAL]]),4)</f>
        <v>143.6</v>
      </c>
      <c r="N436" t="s">
        <v>116</v>
      </c>
      <c r="O436" t="s">
        <v>397</v>
      </c>
      <c r="P436" t="s">
        <v>397</v>
      </c>
      <c r="Q436">
        <v>7</v>
      </c>
      <c r="R436" s="225">
        <f>Base_Periodo1[[#This Row],[CREDITOS]]-Base_Periodo1[[#This Row],[DEBITOS]]</f>
        <v>0</v>
      </c>
      <c r="S436" s="3" t="str">
        <f>IF(ISERROR(VLOOKUP(Base_Periodo1[[#This Row],[CONTA]],BaseContasDRE[#All],4,FALSE)),"Fora do DRE",VLOOKUP(Base_Periodo1[[#This Row],[CONTA]],BaseContasDRE[#All],4,FALSE))</f>
        <v>Fora do DRE</v>
      </c>
      <c r="T436" s="3" t="str">
        <f>IF(ISERROR(VLOOKUP(Base_Periodo1[[#This Row],[CONTA]],BaseContasDRE[#All],5,FALSE)),"Fora do DRE",VLOOKUP(Base_Periodo1[[#This Row],[CONTA]],BaseContasDRE[#All],6,FALSE))</f>
        <v>Fora do DRE</v>
      </c>
      <c r="U436" s="3" t="str">
        <f>IF(ISERROR(VLOOKUP(Base_Periodo1[[#This Row],[CONTA]],BaseContasDRE[#All],7,FALSE)),"Fora do DRE",VLOOKUP(Base_Periodo1[[#This Row],[CONTA]],BaseContasDRE[#All],7,FALSE))</f>
        <v>Fora do DRE</v>
      </c>
      <c r="V436" s="3" t="str">
        <f>IF(Base_Periodo1[[#This Row],[Tipo_Linha]]="Fora do DRE","Fora do DRE","( "&amp;Base_Periodo1[[#This Row],[Tipo_Linha]]&amp;" ) "&amp;Base_Periodo1[[#This Row],[Filtro]])</f>
        <v>Fora do DRE</v>
      </c>
      <c r="W436" s="3" t="str">
        <f>LEFT(Base_Periodo1[[#This Row],[CLASS]],3)</f>
        <v>1.1</v>
      </c>
    </row>
    <row r="437" spans="1:23" hidden="1">
      <c r="A437" s="3" t="str">
        <f t="shared" si="6"/>
        <v>Período 1</v>
      </c>
      <c r="B437">
        <v>47965</v>
      </c>
      <c r="C437" t="s">
        <v>503</v>
      </c>
      <c r="D437" t="s">
        <v>714</v>
      </c>
      <c r="E437" s="3" t="str">
        <f>IF(LEN(Base_Periodo1[[#This Row],[CLASS]])&gt;=7,LEFT(Base_Periodo1[[#This Row],[CLASS]],7),"")</f>
        <v>1.1.2.1</v>
      </c>
      <c r="F437" s="3" t="str">
        <f>VLOOKUP(Base_Periodo1[[#This Row],[Aux]],Base_Contas_Balanco[#All],2,FALSE)</f>
        <v>Creditos com Cooperados</v>
      </c>
      <c r="G437" s="1">
        <v>42880</v>
      </c>
      <c r="H437" s="225">
        <v>2906.4500000000262</v>
      </c>
      <c r="I437" s="225">
        <v>1121</v>
      </c>
      <c r="J437" s="225">
        <v>1121</v>
      </c>
      <c r="K437" s="225">
        <v>2906.4500000000262</v>
      </c>
      <c r="L4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2906.45</v>
      </c>
      <c r="M437" s="225">
        <f>ROUND(IF(AND(Base_Periodo1[[#This Row],[Tipo_Linha]]="-",Base_Periodo1[[#This Row],[TIPOSALDO]]="D"),Base_Periodo1[[#This Row],[SALDO_ATUAL]]*-1,Base_Periodo1[[#This Row],[SALDO_ATUAL]]),4)</f>
        <v>2906.45</v>
      </c>
      <c r="N437" t="s">
        <v>116</v>
      </c>
      <c r="O437" t="s">
        <v>397</v>
      </c>
      <c r="P437" t="s">
        <v>397</v>
      </c>
      <c r="Q437">
        <v>7</v>
      </c>
      <c r="R437" s="225">
        <f>Base_Periodo1[[#This Row],[CREDITOS]]-Base_Periodo1[[#This Row],[DEBITOS]]</f>
        <v>0</v>
      </c>
      <c r="S437" s="3" t="str">
        <f>IF(ISERROR(VLOOKUP(Base_Periodo1[[#This Row],[CONTA]],BaseContasDRE[#All],4,FALSE)),"Fora do DRE",VLOOKUP(Base_Periodo1[[#This Row],[CONTA]],BaseContasDRE[#All],4,FALSE))</f>
        <v>Fora do DRE</v>
      </c>
      <c r="T437" s="3" t="str">
        <f>IF(ISERROR(VLOOKUP(Base_Periodo1[[#This Row],[CONTA]],BaseContasDRE[#All],5,FALSE)),"Fora do DRE",VLOOKUP(Base_Periodo1[[#This Row],[CONTA]],BaseContasDRE[#All],6,FALSE))</f>
        <v>Fora do DRE</v>
      </c>
      <c r="U437" s="3" t="str">
        <f>IF(ISERROR(VLOOKUP(Base_Periodo1[[#This Row],[CONTA]],BaseContasDRE[#All],7,FALSE)),"Fora do DRE",VLOOKUP(Base_Periodo1[[#This Row],[CONTA]],BaseContasDRE[#All],7,FALSE))</f>
        <v>Fora do DRE</v>
      </c>
      <c r="V437" s="3" t="str">
        <f>IF(Base_Periodo1[[#This Row],[Tipo_Linha]]="Fora do DRE","Fora do DRE","( "&amp;Base_Periodo1[[#This Row],[Tipo_Linha]]&amp;" ) "&amp;Base_Periodo1[[#This Row],[Filtro]])</f>
        <v>Fora do DRE</v>
      </c>
      <c r="W437" s="3" t="str">
        <f>LEFT(Base_Periodo1[[#This Row],[CLASS]],3)</f>
        <v>1.1</v>
      </c>
    </row>
    <row r="438" spans="1:23" hidden="1">
      <c r="A438" s="3" t="str">
        <f t="shared" si="6"/>
        <v>Período 1</v>
      </c>
      <c r="B438">
        <v>2744</v>
      </c>
      <c r="C438" t="s">
        <v>503</v>
      </c>
      <c r="D438" t="s">
        <v>715</v>
      </c>
      <c r="E438" s="3" t="str">
        <f>IF(LEN(Base_Periodo1[[#This Row],[CLASS]])&gt;=7,LEFT(Base_Periodo1[[#This Row],[CLASS]],7),"")</f>
        <v>1.1.2.1</v>
      </c>
      <c r="F438" s="3" t="str">
        <f>VLOOKUP(Base_Periodo1[[#This Row],[Aux]],Base_Contas_Balanco[#All],2,FALSE)</f>
        <v>Creditos com Cooperados</v>
      </c>
      <c r="G438" s="1">
        <v>42870</v>
      </c>
      <c r="H438" s="225">
        <v>0.27999999994062819</v>
      </c>
      <c r="I438" s="225">
        <v>190</v>
      </c>
      <c r="J438" s="225">
        <v>0</v>
      </c>
      <c r="K438" s="225">
        <v>190.27999999994063</v>
      </c>
      <c r="L4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190.28</v>
      </c>
      <c r="M438" s="225">
        <f>ROUND(IF(AND(Base_Periodo1[[#This Row],[Tipo_Linha]]="-",Base_Periodo1[[#This Row],[TIPOSALDO]]="D"),Base_Periodo1[[#This Row],[SALDO_ATUAL]]*-1,Base_Periodo1[[#This Row],[SALDO_ATUAL]]),4)</f>
        <v>190.28</v>
      </c>
      <c r="N438" t="s">
        <v>116</v>
      </c>
      <c r="O438" t="s">
        <v>397</v>
      </c>
      <c r="P438" t="s">
        <v>397</v>
      </c>
      <c r="Q438">
        <v>7</v>
      </c>
      <c r="R438" s="225">
        <f>Base_Periodo1[[#This Row],[CREDITOS]]-Base_Periodo1[[#This Row],[DEBITOS]]</f>
        <v>-190</v>
      </c>
      <c r="S438" s="3" t="str">
        <f>IF(ISERROR(VLOOKUP(Base_Periodo1[[#This Row],[CONTA]],BaseContasDRE[#All],4,FALSE)),"Fora do DRE",VLOOKUP(Base_Periodo1[[#This Row],[CONTA]],BaseContasDRE[#All],4,FALSE))</f>
        <v>Fora do DRE</v>
      </c>
      <c r="T438" s="3" t="str">
        <f>IF(ISERROR(VLOOKUP(Base_Periodo1[[#This Row],[CONTA]],BaseContasDRE[#All],5,FALSE)),"Fora do DRE",VLOOKUP(Base_Periodo1[[#This Row],[CONTA]],BaseContasDRE[#All],6,FALSE))</f>
        <v>Fora do DRE</v>
      </c>
      <c r="U438" s="3" t="str">
        <f>IF(ISERROR(VLOOKUP(Base_Periodo1[[#This Row],[CONTA]],BaseContasDRE[#All],7,FALSE)),"Fora do DRE",VLOOKUP(Base_Periodo1[[#This Row],[CONTA]],BaseContasDRE[#All],7,FALSE))</f>
        <v>Fora do DRE</v>
      </c>
      <c r="V438" s="3" t="str">
        <f>IF(Base_Periodo1[[#This Row],[Tipo_Linha]]="Fora do DRE","Fora do DRE","( "&amp;Base_Periodo1[[#This Row],[Tipo_Linha]]&amp;" ) "&amp;Base_Periodo1[[#This Row],[Filtro]])</f>
        <v>Fora do DRE</v>
      </c>
      <c r="W438" s="3" t="str">
        <f>LEFT(Base_Periodo1[[#This Row],[CLASS]],3)</f>
        <v>1.1</v>
      </c>
    </row>
    <row r="439" spans="1:23" hidden="1">
      <c r="A439" s="3" t="str">
        <f t="shared" si="6"/>
        <v>Período 1</v>
      </c>
      <c r="B439">
        <v>47704</v>
      </c>
      <c r="C439" t="s">
        <v>503</v>
      </c>
      <c r="D439" t="s">
        <v>5146</v>
      </c>
      <c r="E439" s="3" t="str">
        <f>IF(LEN(Base_Periodo1[[#This Row],[CLASS]])&gt;=7,LEFT(Base_Periodo1[[#This Row],[CLASS]],7),"")</f>
        <v>1.1.2.1</v>
      </c>
      <c r="F439" s="3" t="str">
        <f>VLOOKUP(Base_Periodo1[[#This Row],[Aux]],Base_Contas_Balanco[#All],2,FALSE)</f>
        <v>Creditos com Cooperados</v>
      </c>
      <c r="G439" s="1">
        <v>42831</v>
      </c>
      <c r="H439" s="225">
        <v>897.25</v>
      </c>
      <c r="I439" s="225">
        <v>0</v>
      </c>
      <c r="J439" s="225">
        <v>0</v>
      </c>
      <c r="K439" s="225">
        <v>897.25</v>
      </c>
      <c r="L4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897.25</v>
      </c>
      <c r="M439" s="225">
        <f>ROUND(IF(AND(Base_Periodo1[[#This Row],[Tipo_Linha]]="-",Base_Periodo1[[#This Row],[TIPOSALDO]]="D"),Base_Periodo1[[#This Row],[SALDO_ATUAL]]*-1,Base_Periodo1[[#This Row],[SALDO_ATUAL]]),4)</f>
        <v>897.25</v>
      </c>
      <c r="N439" t="s">
        <v>116</v>
      </c>
      <c r="O439" t="s">
        <v>397</v>
      </c>
      <c r="P439" t="s">
        <v>397</v>
      </c>
      <c r="Q439">
        <v>7</v>
      </c>
      <c r="R439" s="225">
        <f>Base_Periodo1[[#This Row],[CREDITOS]]-Base_Periodo1[[#This Row],[DEBITOS]]</f>
        <v>0</v>
      </c>
      <c r="S439" s="3" t="str">
        <f>IF(ISERROR(VLOOKUP(Base_Periodo1[[#This Row],[CONTA]],BaseContasDRE[#All],4,FALSE)),"Fora do DRE",VLOOKUP(Base_Periodo1[[#This Row],[CONTA]],BaseContasDRE[#All],4,FALSE))</f>
        <v>Fora do DRE</v>
      </c>
      <c r="T439" s="3" t="str">
        <f>IF(ISERROR(VLOOKUP(Base_Periodo1[[#This Row],[CONTA]],BaseContasDRE[#All],5,FALSE)),"Fora do DRE",VLOOKUP(Base_Periodo1[[#This Row],[CONTA]],BaseContasDRE[#All],6,FALSE))</f>
        <v>Fora do DRE</v>
      </c>
      <c r="U439" s="3" t="str">
        <f>IF(ISERROR(VLOOKUP(Base_Periodo1[[#This Row],[CONTA]],BaseContasDRE[#All],7,FALSE)),"Fora do DRE",VLOOKUP(Base_Periodo1[[#This Row],[CONTA]],BaseContasDRE[#All],7,FALSE))</f>
        <v>Fora do DRE</v>
      </c>
      <c r="V439" s="3" t="str">
        <f>IF(Base_Periodo1[[#This Row],[Tipo_Linha]]="Fora do DRE","Fora do DRE","( "&amp;Base_Periodo1[[#This Row],[Tipo_Linha]]&amp;" ) "&amp;Base_Periodo1[[#This Row],[Filtro]])</f>
        <v>Fora do DRE</v>
      </c>
      <c r="W439" s="3" t="str">
        <f>LEFT(Base_Periodo1[[#This Row],[CLASS]],3)</f>
        <v>1.1</v>
      </c>
    </row>
    <row r="440" spans="1:23" hidden="1">
      <c r="A440" s="3" t="str">
        <f t="shared" si="6"/>
        <v>Período 1</v>
      </c>
      <c r="B440">
        <v>3740</v>
      </c>
      <c r="C440" t="s">
        <v>503</v>
      </c>
      <c r="D440" t="s">
        <v>716</v>
      </c>
      <c r="E440" s="3" t="str">
        <f>IF(LEN(Base_Periodo1[[#This Row],[CLASS]])&gt;=7,LEFT(Base_Periodo1[[#This Row],[CLASS]],7),"")</f>
        <v>1.1.2.1</v>
      </c>
      <c r="F440" s="3" t="str">
        <f>VLOOKUP(Base_Periodo1[[#This Row],[Aux]],Base_Contas_Balanco[#All],2,FALSE)</f>
        <v>Creditos com Cooperados</v>
      </c>
      <c r="G440" s="1">
        <v>42858</v>
      </c>
      <c r="H440" s="225">
        <v>289612.51999999955</v>
      </c>
      <c r="I440" s="225">
        <v>159996.6</v>
      </c>
      <c r="J440" s="225">
        <v>253471.63</v>
      </c>
      <c r="K440" s="225">
        <v>196137.48999999953</v>
      </c>
      <c r="L4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196137.49</v>
      </c>
      <c r="M440" s="225">
        <f>ROUND(IF(AND(Base_Periodo1[[#This Row],[Tipo_Linha]]="-",Base_Periodo1[[#This Row],[TIPOSALDO]]="D"),Base_Periodo1[[#This Row],[SALDO_ATUAL]]*-1,Base_Periodo1[[#This Row],[SALDO_ATUAL]]),4)</f>
        <v>196137.49</v>
      </c>
      <c r="N440" t="s">
        <v>116</v>
      </c>
      <c r="O440" t="s">
        <v>397</v>
      </c>
      <c r="P440" t="s">
        <v>397</v>
      </c>
      <c r="Q440">
        <v>7</v>
      </c>
      <c r="R440" s="225">
        <f>Base_Periodo1[[#This Row],[CREDITOS]]-Base_Periodo1[[#This Row],[DEBITOS]]</f>
        <v>93475.03</v>
      </c>
      <c r="S440" s="3" t="str">
        <f>IF(ISERROR(VLOOKUP(Base_Periodo1[[#This Row],[CONTA]],BaseContasDRE[#All],4,FALSE)),"Fora do DRE",VLOOKUP(Base_Periodo1[[#This Row],[CONTA]],BaseContasDRE[#All],4,FALSE))</f>
        <v>Fora do DRE</v>
      </c>
      <c r="T440" s="3" t="str">
        <f>IF(ISERROR(VLOOKUP(Base_Periodo1[[#This Row],[CONTA]],BaseContasDRE[#All],5,FALSE)),"Fora do DRE",VLOOKUP(Base_Periodo1[[#This Row],[CONTA]],BaseContasDRE[#All],6,FALSE))</f>
        <v>Fora do DRE</v>
      </c>
      <c r="U440" s="3" t="str">
        <f>IF(ISERROR(VLOOKUP(Base_Periodo1[[#This Row],[CONTA]],BaseContasDRE[#All],7,FALSE)),"Fora do DRE",VLOOKUP(Base_Periodo1[[#This Row],[CONTA]],BaseContasDRE[#All],7,FALSE))</f>
        <v>Fora do DRE</v>
      </c>
      <c r="V440" s="3" t="str">
        <f>IF(Base_Periodo1[[#This Row],[Tipo_Linha]]="Fora do DRE","Fora do DRE","( "&amp;Base_Periodo1[[#This Row],[Tipo_Linha]]&amp;" ) "&amp;Base_Periodo1[[#This Row],[Filtro]])</f>
        <v>Fora do DRE</v>
      </c>
      <c r="W440" s="3" t="str">
        <f>LEFT(Base_Periodo1[[#This Row],[CLASS]],3)</f>
        <v>1.1</v>
      </c>
    </row>
    <row r="441" spans="1:23" hidden="1">
      <c r="A441" s="3" t="str">
        <f t="shared" si="6"/>
        <v>Período 1</v>
      </c>
      <c r="B441">
        <v>6889</v>
      </c>
      <c r="C441" t="s">
        <v>503</v>
      </c>
      <c r="D441" t="s">
        <v>717</v>
      </c>
      <c r="E441" s="3" t="str">
        <f>IF(LEN(Base_Periodo1[[#This Row],[CLASS]])&gt;=7,LEFT(Base_Periodo1[[#This Row],[CLASS]],7),"")</f>
        <v>1.1.2.1</v>
      </c>
      <c r="F441" s="3" t="str">
        <f>VLOOKUP(Base_Periodo1[[#This Row],[Aux]],Base_Contas_Balanco[#All],2,FALSE)</f>
        <v>Creditos com Cooperados</v>
      </c>
      <c r="G441" s="1">
        <v>42851</v>
      </c>
      <c r="H441" s="225">
        <v>297.24000000001979</v>
      </c>
      <c r="I441" s="225">
        <v>0</v>
      </c>
      <c r="J441" s="225">
        <v>0</v>
      </c>
      <c r="K441" s="225">
        <v>297.24000000001979</v>
      </c>
      <c r="L4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297.24</v>
      </c>
      <c r="M441" s="225">
        <f>ROUND(IF(AND(Base_Periodo1[[#This Row],[Tipo_Linha]]="-",Base_Periodo1[[#This Row],[TIPOSALDO]]="D"),Base_Periodo1[[#This Row],[SALDO_ATUAL]]*-1,Base_Periodo1[[#This Row],[SALDO_ATUAL]]),4)</f>
        <v>297.24</v>
      </c>
      <c r="N441" t="s">
        <v>116</v>
      </c>
      <c r="O441" t="s">
        <v>397</v>
      </c>
      <c r="P441" t="s">
        <v>397</v>
      </c>
      <c r="Q441">
        <v>7</v>
      </c>
      <c r="R441" s="225">
        <f>Base_Periodo1[[#This Row],[CREDITOS]]-Base_Periodo1[[#This Row],[DEBITOS]]</f>
        <v>0</v>
      </c>
      <c r="S441" s="3" t="str">
        <f>IF(ISERROR(VLOOKUP(Base_Periodo1[[#This Row],[CONTA]],BaseContasDRE[#All],4,FALSE)),"Fora do DRE",VLOOKUP(Base_Periodo1[[#This Row],[CONTA]],BaseContasDRE[#All],4,FALSE))</f>
        <v>Fora do DRE</v>
      </c>
      <c r="T441" s="3" t="str">
        <f>IF(ISERROR(VLOOKUP(Base_Periodo1[[#This Row],[CONTA]],BaseContasDRE[#All],5,FALSE)),"Fora do DRE",VLOOKUP(Base_Periodo1[[#This Row],[CONTA]],BaseContasDRE[#All],6,FALSE))</f>
        <v>Fora do DRE</v>
      </c>
      <c r="U441" s="3" t="str">
        <f>IF(ISERROR(VLOOKUP(Base_Periodo1[[#This Row],[CONTA]],BaseContasDRE[#All],7,FALSE)),"Fora do DRE",VLOOKUP(Base_Periodo1[[#This Row],[CONTA]],BaseContasDRE[#All],7,FALSE))</f>
        <v>Fora do DRE</v>
      </c>
      <c r="V441" s="3" t="str">
        <f>IF(Base_Periodo1[[#This Row],[Tipo_Linha]]="Fora do DRE","Fora do DRE","( "&amp;Base_Periodo1[[#This Row],[Tipo_Linha]]&amp;" ) "&amp;Base_Periodo1[[#This Row],[Filtro]])</f>
        <v>Fora do DRE</v>
      </c>
      <c r="W441" s="3" t="str">
        <f>LEFT(Base_Periodo1[[#This Row],[CLASS]],3)</f>
        <v>1.1</v>
      </c>
    </row>
    <row r="442" spans="1:23" hidden="1">
      <c r="A442" s="3" t="str">
        <f t="shared" si="6"/>
        <v>Período 1</v>
      </c>
      <c r="B442">
        <v>27158</v>
      </c>
      <c r="C442" t="s">
        <v>503</v>
      </c>
      <c r="D442" t="s">
        <v>718</v>
      </c>
      <c r="E442" s="3" t="str">
        <f>IF(LEN(Base_Periodo1[[#This Row],[CLASS]])&gt;=7,LEFT(Base_Periodo1[[#This Row],[CLASS]],7),"")</f>
        <v>1.1.2.1</v>
      </c>
      <c r="F442" s="3" t="str">
        <f>VLOOKUP(Base_Periodo1[[#This Row],[Aux]],Base_Contas_Balanco[#All],2,FALSE)</f>
        <v>Creditos com Cooperados</v>
      </c>
      <c r="G442" s="1">
        <v>42877</v>
      </c>
      <c r="H442" s="225">
        <v>159407.64999999991</v>
      </c>
      <c r="I442" s="225">
        <v>11380</v>
      </c>
      <c r="J442" s="225">
        <v>11060</v>
      </c>
      <c r="K442" s="225">
        <v>159727.64999999991</v>
      </c>
      <c r="L4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159727.65</v>
      </c>
      <c r="M442" s="225">
        <f>ROUND(IF(AND(Base_Periodo1[[#This Row],[Tipo_Linha]]="-",Base_Periodo1[[#This Row],[TIPOSALDO]]="D"),Base_Periodo1[[#This Row],[SALDO_ATUAL]]*-1,Base_Periodo1[[#This Row],[SALDO_ATUAL]]),4)</f>
        <v>159727.65</v>
      </c>
      <c r="N442" t="s">
        <v>116</v>
      </c>
      <c r="O442" t="s">
        <v>397</v>
      </c>
      <c r="P442" t="s">
        <v>397</v>
      </c>
      <c r="Q442">
        <v>7</v>
      </c>
      <c r="R442" s="225">
        <f>Base_Periodo1[[#This Row],[CREDITOS]]-Base_Periodo1[[#This Row],[DEBITOS]]</f>
        <v>-320</v>
      </c>
      <c r="S442" s="3" t="str">
        <f>IF(ISERROR(VLOOKUP(Base_Periodo1[[#This Row],[CONTA]],BaseContasDRE[#All],4,FALSE)),"Fora do DRE",VLOOKUP(Base_Periodo1[[#This Row],[CONTA]],BaseContasDRE[#All],4,FALSE))</f>
        <v>Fora do DRE</v>
      </c>
      <c r="T442" s="3" t="str">
        <f>IF(ISERROR(VLOOKUP(Base_Periodo1[[#This Row],[CONTA]],BaseContasDRE[#All],5,FALSE)),"Fora do DRE",VLOOKUP(Base_Periodo1[[#This Row],[CONTA]],BaseContasDRE[#All],6,FALSE))</f>
        <v>Fora do DRE</v>
      </c>
      <c r="U442" s="3" t="str">
        <f>IF(ISERROR(VLOOKUP(Base_Periodo1[[#This Row],[CONTA]],BaseContasDRE[#All],7,FALSE)),"Fora do DRE",VLOOKUP(Base_Periodo1[[#This Row],[CONTA]],BaseContasDRE[#All],7,FALSE))</f>
        <v>Fora do DRE</v>
      </c>
      <c r="V442" s="3" t="str">
        <f>IF(Base_Periodo1[[#This Row],[Tipo_Linha]]="Fora do DRE","Fora do DRE","( "&amp;Base_Periodo1[[#This Row],[Tipo_Linha]]&amp;" ) "&amp;Base_Periodo1[[#This Row],[Filtro]])</f>
        <v>Fora do DRE</v>
      </c>
      <c r="W442" s="3" t="str">
        <f>LEFT(Base_Periodo1[[#This Row],[CLASS]],3)</f>
        <v>1.1</v>
      </c>
    </row>
    <row r="443" spans="1:23" hidden="1">
      <c r="A443" s="3" t="str">
        <f t="shared" si="6"/>
        <v>Período 1</v>
      </c>
      <c r="B443">
        <v>14981</v>
      </c>
      <c r="C443" t="s">
        <v>503</v>
      </c>
      <c r="D443" t="s">
        <v>719</v>
      </c>
      <c r="E443" s="3" t="str">
        <f>IF(LEN(Base_Periodo1[[#This Row],[CLASS]])&gt;=7,LEFT(Base_Periodo1[[#This Row],[CLASS]],7),"")</f>
        <v>1.1.2.1</v>
      </c>
      <c r="F443" s="3" t="str">
        <f>VLOOKUP(Base_Periodo1[[#This Row],[Aux]],Base_Contas_Balanco[#All],2,FALSE)</f>
        <v>Creditos com Cooperados</v>
      </c>
      <c r="G443" s="1">
        <v>42881</v>
      </c>
      <c r="H443" s="225">
        <v>17939.350000000035</v>
      </c>
      <c r="I443" s="225">
        <v>608.4</v>
      </c>
      <c r="J443" s="225">
        <v>110</v>
      </c>
      <c r="K443" s="225">
        <v>18437.750000000036</v>
      </c>
      <c r="L4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18437.75</v>
      </c>
      <c r="M443" s="225">
        <f>ROUND(IF(AND(Base_Periodo1[[#This Row],[Tipo_Linha]]="-",Base_Periodo1[[#This Row],[TIPOSALDO]]="D"),Base_Periodo1[[#This Row],[SALDO_ATUAL]]*-1,Base_Periodo1[[#This Row],[SALDO_ATUAL]]),4)</f>
        <v>18437.75</v>
      </c>
      <c r="N443" t="s">
        <v>116</v>
      </c>
      <c r="O443" t="s">
        <v>397</v>
      </c>
      <c r="P443" t="s">
        <v>397</v>
      </c>
      <c r="Q443">
        <v>7</v>
      </c>
      <c r="R443" s="225">
        <f>Base_Periodo1[[#This Row],[CREDITOS]]-Base_Periodo1[[#This Row],[DEBITOS]]</f>
        <v>-498.4</v>
      </c>
      <c r="S443" s="3" t="str">
        <f>IF(ISERROR(VLOOKUP(Base_Periodo1[[#This Row],[CONTA]],BaseContasDRE[#All],4,FALSE)),"Fora do DRE",VLOOKUP(Base_Periodo1[[#This Row],[CONTA]],BaseContasDRE[#All],4,FALSE))</f>
        <v>Fora do DRE</v>
      </c>
      <c r="T443" s="3" t="str">
        <f>IF(ISERROR(VLOOKUP(Base_Periodo1[[#This Row],[CONTA]],BaseContasDRE[#All],5,FALSE)),"Fora do DRE",VLOOKUP(Base_Periodo1[[#This Row],[CONTA]],BaseContasDRE[#All],6,FALSE))</f>
        <v>Fora do DRE</v>
      </c>
      <c r="U443" s="3" t="str">
        <f>IF(ISERROR(VLOOKUP(Base_Periodo1[[#This Row],[CONTA]],BaseContasDRE[#All],7,FALSE)),"Fora do DRE",VLOOKUP(Base_Periodo1[[#This Row],[CONTA]],BaseContasDRE[#All],7,FALSE))</f>
        <v>Fora do DRE</v>
      </c>
      <c r="V443" s="3" t="str">
        <f>IF(Base_Periodo1[[#This Row],[Tipo_Linha]]="Fora do DRE","Fora do DRE","( "&amp;Base_Periodo1[[#This Row],[Tipo_Linha]]&amp;" ) "&amp;Base_Periodo1[[#This Row],[Filtro]])</f>
        <v>Fora do DRE</v>
      </c>
      <c r="W443" s="3" t="str">
        <f>LEFT(Base_Periodo1[[#This Row],[CLASS]],3)</f>
        <v>1.1</v>
      </c>
    </row>
    <row r="444" spans="1:23" hidden="1">
      <c r="A444" s="3" t="str">
        <f t="shared" si="6"/>
        <v>Período 1</v>
      </c>
      <c r="B444">
        <v>3184</v>
      </c>
      <c r="C444" t="s">
        <v>503</v>
      </c>
      <c r="D444" t="s">
        <v>720</v>
      </c>
      <c r="E444" s="3" t="str">
        <f>IF(LEN(Base_Periodo1[[#This Row],[CLASS]])&gt;=7,LEFT(Base_Periodo1[[#This Row],[CLASS]],7),"")</f>
        <v>1.1.2.1</v>
      </c>
      <c r="F444" s="3" t="str">
        <f>VLOOKUP(Base_Periodo1[[#This Row],[Aux]],Base_Contas_Balanco[#All],2,FALSE)</f>
        <v>Creditos com Cooperados</v>
      </c>
      <c r="G444" s="1">
        <v>42880</v>
      </c>
      <c r="H444" s="225">
        <v>25336.339999999851</v>
      </c>
      <c r="I444" s="225">
        <v>56755.600000000006</v>
      </c>
      <c r="J444" s="225">
        <v>44155.25</v>
      </c>
      <c r="K444" s="225">
        <v>37936.689999999857</v>
      </c>
      <c r="L4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37936.69</v>
      </c>
      <c r="M444" s="225">
        <f>ROUND(IF(AND(Base_Periodo1[[#This Row],[Tipo_Linha]]="-",Base_Periodo1[[#This Row],[TIPOSALDO]]="D"),Base_Periodo1[[#This Row],[SALDO_ATUAL]]*-1,Base_Periodo1[[#This Row],[SALDO_ATUAL]]),4)</f>
        <v>37936.69</v>
      </c>
      <c r="N444" t="s">
        <v>116</v>
      </c>
      <c r="O444" t="s">
        <v>397</v>
      </c>
      <c r="P444" t="s">
        <v>397</v>
      </c>
      <c r="Q444">
        <v>7</v>
      </c>
      <c r="R444" s="225">
        <f>Base_Periodo1[[#This Row],[CREDITOS]]-Base_Periodo1[[#This Row],[DEBITOS]]</f>
        <v>-12600.350000000006</v>
      </c>
      <c r="S444" s="3" t="str">
        <f>IF(ISERROR(VLOOKUP(Base_Periodo1[[#This Row],[CONTA]],BaseContasDRE[#All],4,FALSE)),"Fora do DRE",VLOOKUP(Base_Periodo1[[#This Row],[CONTA]],BaseContasDRE[#All],4,FALSE))</f>
        <v>Fora do DRE</v>
      </c>
      <c r="T444" s="3" t="str">
        <f>IF(ISERROR(VLOOKUP(Base_Periodo1[[#This Row],[CONTA]],BaseContasDRE[#All],5,FALSE)),"Fora do DRE",VLOOKUP(Base_Periodo1[[#This Row],[CONTA]],BaseContasDRE[#All],6,FALSE))</f>
        <v>Fora do DRE</v>
      </c>
      <c r="U444" s="3" t="str">
        <f>IF(ISERROR(VLOOKUP(Base_Periodo1[[#This Row],[CONTA]],BaseContasDRE[#All],7,FALSE)),"Fora do DRE",VLOOKUP(Base_Periodo1[[#This Row],[CONTA]],BaseContasDRE[#All],7,FALSE))</f>
        <v>Fora do DRE</v>
      </c>
      <c r="V444" s="3" t="str">
        <f>IF(Base_Periodo1[[#This Row],[Tipo_Linha]]="Fora do DRE","Fora do DRE","( "&amp;Base_Periodo1[[#This Row],[Tipo_Linha]]&amp;" ) "&amp;Base_Periodo1[[#This Row],[Filtro]])</f>
        <v>Fora do DRE</v>
      </c>
      <c r="W444" s="3" t="str">
        <f>LEFT(Base_Periodo1[[#This Row],[CLASS]],3)</f>
        <v>1.1</v>
      </c>
    </row>
    <row r="445" spans="1:23" hidden="1">
      <c r="A445" s="3" t="str">
        <f t="shared" si="6"/>
        <v>Período 1</v>
      </c>
      <c r="B445">
        <v>35764</v>
      </c>
      <c r="C445" t="s">
        <v>503</v>
      </c>
      <c r="D445" t="s">
        <v>721</v>
      </c>
      <c r="E445" s="3" t="str">
        <f>IF(LEN(Base_Periodo1[[#This Row],[CLASS]])&gt;=7,LEFT(Base_Periodo1[[#This Row],[CLASS]],7),"")</f>
        <v>1.1.2.1</v>
      </c>
      <c r="F445" s="3" t="str">
        <f>VLOOKUP(Base_Periodo1[[#This Row],[Aux]],Base_Contas_Balanco[#All],2,FALSE)</f>
        <v>Creditos com Cooperados</v>
      </c>
      <c r="G445" s="1">
        <v>42885</v>
      </c>
      <c r="H445" s="225">
        <v>1649.9999999999418</v>
      </c>
      <c r="I445" s="225">
        <v>13834.6</v>
      </c>
      <c r="J445" s="225">
        <v>995.05</v>
      </c>
      <c r="K445" s="225">
        <v>14489.549999999943</v>
      </c>
      <c r="L4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14489.55</v>
      </c>
      <c r="M445" s="225">
        <f>ROUND(IF(AND(Base_Periodo1[[#This Row],[Tipo_Linha]]="-",Base_Periodo1[[#This Row],[TIPOSALDO]]="D"),Base_Periodo1[[#This Row],[SALDO_ATUAL]]*-1,Base_Periodo1[[#This Row],[SALDO_ATUAL]]),4)</f>
        <v>14489.55</v>
      </c>
      <c r="N445" t="s">
        <v>116</v>
      </c>
      <c r="O445" t="s">
        <v>397</v>
      </c>
      <c r="P445" t="s">
        <v>397</v>
      </c>
      <c r="Q445">
        <v>7</v>
      </c>
      <c r="R445" s="225">
        <f>Base_Periodo1[[#This Row],[CREDITOS]]-Base_Periodo1[[#This Row],[DEBITOS]]</f>
        <v>-12839.550000000001</v>
      </c>
      <c r="S445" s="3" t="str">
        <f>IF(ISERROR(VLOOKUP(Base_Periodo1[[#This Row],[CONTA]],BaseContasDRE[#All],4,FALSE)),"Fora do DRE",VLOOKUP(Base_Periodo1[[#This Row],[CONTA]],BaseContasDRE[#All],4,FALSE))</f>
        <v>Fora do DRE</v>
      </c>
      <c r="T445" s="3" t="str">
        <f>IF(ISERROR(VLOOKUP(Base_Periodo1[[#This Row],[CONTA]],BaseContasDRE[#All],5,FALSE)),"Fora do DRE",VLOOKUP(Base_Periodo1[[#This Row],[CONTA]],BaseContasDRE[#All],6,FALSE))</f>
        <v>Fora do DRE</v>
      </c>
      <c r="U445" s="3" t="str">
        <f>IF(ISERROR(VLOOKUP(Base_Periodo1[[#This Row],[CONTA]],BaseContasDRE[#All],7,FALSE)),"Fora do DRE",VLOOKUP(Base_Periodo1[[#This Row],[CONTA]],BaseContasDRE[#All],7,FALSE))</f>
        <v>Fora do DRE</v>
      </c>
      <c r="V445" s="3" t="str">
        <f>IF(Base_Periodo1[[#This Row],[Tipo_Linha]]="Fora do DRE","Fora do DRE","( "&amp;Base_Periodo1[[#This Row],[Tipo_Linha]]&amp;" ) "&amp;Base_Periodo1[[#This Row],[Filtro]])</f>
        <v>Fora do DRE</v>
      </c>
      <c r="W445" s="3" t="str">
        <f>LEFT(Base_Periodo1[[#This Row],[CLASS]],3)</f>
        <v>1.1</v>
      </c>
    </row>
    <row r="446" spans="1:23" hidden="1">
      <c r="A446" s="3" t="str">
        <f t="shared" si="6"/>
        <v>Período 1</v>
      </c>
      <c r="B446">
        <v>55071</v>
      </c>
      <c r="C446" t="s">
        <v>503</v>
      </c>
      <c r="D446" t="s">
        <v>6715</v>
      </c>
      <c r="E446" s="3" t="str">
        <f>IF(LEN(Base_Periodo1[[#This Row],[CLASS]])&gt;=7,LEFT(Base_Periodo1[[#This Row],[CLASS]],7),"")</f>
        <v>1.1.2.1</v>
      </c>
      <c r="F446" s="3" t="str">
        <f>VLOOKUP(Base_Periodo1[[#This Row],[Aux]],Base_Contas_Balanco[#All],2,FALSE)</f>
        <v>Creditos com Cooperados</v>
      </c>
      <c r="G446" s="1">
        <v>42877</v>
      </c>
      <c r="I446" s="225">
        <v>161.82</v>
      </c>
      <c r="J446" s="225">
        <v>0</v>
      </c>
      <c r="K446" s="225">
        <v>161.81999999999908</v>
      </c>
      <c r="L4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161.82</v>
      </c>
      <c r="M446" s="225">
        <f>ROUND(IF(AND(Base_Periodo1[[#This Row],[Tipo_Linha]]="-",Base_Periodo1[[#This Row],[TIPOSALDO]]="D"),Base_Periodo1[[#This Row],[SALDO_ATUAL]]*-1,Base_Periodo1[[#This Row],[SALDO_ATUAL]]),4)</f>
        <v>161.82</v>
      </c>
      <c r="N446" t="s">
        <v>116</v>
      </c>
      <c r="O446" t="s">
        <v>436</v>
      </c>
      <c r="P446" t="s">
        <v>397</v>
      </c>
      <c r="Q446">
        <v>7</v>
      </c>
      <c r="R446" s="225">
        <f>Base_Periodo1[[#This Row],[CREDITOS]]-Base_Periodo1[[#This Row],[DEBITOS]]</f>
        <v>-161.82</v>
      </c>
      <c r="S446" s="3" t="str">
        <f>IF(ISERROR(VLOOKUP(Base_Periodo1[[#This Row],[CONTA]],BaseContasDRE[#All],4,FALSE)),"Fora do DRE",VLOOKUP(Base_Periodo1[[#This Row],[CONTA]],BaseContasDRE[#All],4,FALSE))</f>
        <v>Fora do DRE</v>
      </c>
      <c r="T446" s="3" t="str">
        <f>IF(ISERROR(VLOOKUP(Base_Periodo1[[#This Row],[CONTA]],BaseContasDRE[#All],5,FALSE)),"Fora do DRE",VLOOKUP(Base_Periodo1[[#This Row],[CONTA]],BaseContasDRE[#All],6,FALSE))</f>
        <v>Fora do DRE</v>
      </c>
      <c r="U446" s="3" t="str">
        <f>IF(ISERROR(VLOOKUP(Base_Periodo1[[#This Row],[CONTA]],BaseContasDRE[#All],7,FALSE)),"Fora do DRE",VLOOKUP(Base_Periodo1[[#This Row],[CONTA]],BaseContasDRE[#All],7,FALSE))</f>
        <v>Fora do DRE</v>
      </c>
      <c r="V446" s="3" t="str">
        <f>IF(Base_Periodo1[[#This Row],[Tipo_Linha]]="Fora do DRE","Fora do DRE","( "&amp;Base_Periodo1[[#This Row],[Tipo_Linha]]&amp;" ) "&amp;Base_Periodo1[[#This Row],[Filtro]])</f>
        <v>Fora do DRE</v>
      </c>
      <c r="W446" s="3" t="str">
        <f>LEFT(Base_Periodo1[[#This Row],[CLASS]],3)</f>
        <v>1.1</v>
      </c>
    </row>
    <row r="447" spans="1:23" hidden="1">
      <c r="A447" s="3" t="str">
        <f t="shared" si="6"/>
        <v>Período 1</v>
      </c>
      <c r="B447">
        <v>39036</v>
      </c>
      <c r="C447" t="s">
        <v>503</v>
      </c>
      <c r="D447" t="s">
        <v>6127</v>
      </c>
      <c r="E447" s="3" t="str">
        <f>IF(LEN(Base_Periodo1[[#This Row],[CLASS]])&gt;=7,LEFT(Base_Periodo1[[#This Row],[CLASS]],7),"")</f>
        <v>1.1.2.1</v>
      </c>
      <c r="F447" s="3" t="str">
        <f>VLOOKUP(Base_Periodo1[[#This Row],[Aux]],Base_Contas_Balanco[#All],2,FALSE)</f>
        <v>Creditos com Cooperados</v>
      </c>
      <c r="G447" s="1">
        <v>42870</v>
      </c>
      <c r="H447" s="225">
        <v>405.29999999999563</v>
      </c>
      <c r="I447" s="225">
        <v>557</v>
      </c>
      <c r="J447" s="225">
        <v>557</v>
      </c>
      <c r="K447" s="225">
        <v>405.29999999999563</v>
      </c>
      <c r="L4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405.3</v>
      </c>
      <c r="M447" s="225">
        <f>ROUND(IF(AND(Base_Periodo1[[#This Row],[Tipo_Linha]]="-",Base_Periodo1[[#This Row],[TIPOSALDO]]="D"),Base_Periodo1[[#This Row],[SALDO_ATUAL]]*-1,Base_Periodo1[[#This Row],[SALDO_ATUAL]]),4)</f>
        <v>405.3</v>
      </c>
      <c r="N447" t="s">
        <v>116</v>
      </c>
      <c r="O447" t="s">
        <v>397</v>
      </c>
      <c r="P447" t="s">
        <v>397</v>
      </c>
      <c r="Q447">
        <v>7</v>
      </c>
      <c r="R447" s="225">
        <f>Base_Periodo1[[#This Row],[CREDITOS]]-Base_Periodo1[[#This Row],[DEBITOS]]</f>
        <v>0</v>
      </c>
      <c r="S447" s="3" t="str">
        <f>IF(ISERROR(VLOOKUP(Base_Periodo1[[#This Row],[CONTA]],BaseContasDRE[#All],4,FALSE)),"Fora do DRE",VLOOKUP(Base_Periodo1[[#This Row],[CONTA]],BaseContasDRE[#All],4,FALSE))</f>
        <v>Fora do DRE</v>
      </c>
      <c r="T447" s="3" t="str">
        <f>IF(ISERROR(VLOOKUP(Base_Periodo1[[#This Row],[CONTA]],BaseContasDRE[#All],5,FALSE)),"Fora do DRE",VLOOKUP(Base_Periodo1[[#This Row],[CONTA]],BaseContasDRE[#All],6,FALSE))</f>
        <v>Fora do DRE</v>
      </c>
      <c r="U447" s="3" t="str">
        <f>IF(ISERROR(VLOOKUP(Base_Periodo1[[#This Row],[CONTA]],BaseContasDRE[#All],7,FALSE)),"Fora do DRE",VLOOKUP(Base_Periodo1[[#This Row],[CONTA]],BaseContasDRE[#All],7,FALSE))</f>
        <v>Fora do DRE</v>
      </c>
      <c r="V447" s="3" t="str">
        <f>IF(Base_Periodo1[[#This Row],[Tipo_Linha]]="Fora do DRE","Fora do DRE","( "&amp;Base_Periodo1[[#This Row],[Tipo_Linha]]&amp;" ) "&amp;Base_Periodo1[[#This Row],[Filtro]])</f>
        <v>Fora do DRE</v>
      </c>
      <c r="W447" s="3" t="str">
        <f>LEFT(Base_Periodo1[[#This Row],[CLASS]],3)</f>
        <v>1.1</v>
      </c>
    </row>
    <row r="448" spans="1:23" hidden="1">
      <c r="A448" s="3" t="str">
        <f t="shared" si="6"/>
        <v>Período 1</v>
      </c>
      <c r="B448">
        <v>3728</v>
      </c>
      <c r="C448" t="s">
        <v>503</v>
      </c>
      <c r="D448" t="s">
        <v>6716</v>
      </c>
      <c r="E448" s="3" t="str">
        <f>IF(LEN(Base_Periodo1[[#This Row],[CLASS]])&gt;=7,LEFT(Base_Periodo1[[#This Row],[CLASS]],7),"")</f>
        <v>1.1.2.1</v>
      </c>
      <c r="F448" s="3" t="str">
        <f>VLOOKUP(Base_Periodo1[[#This Row],[Aux]],Base_Contas_Balanco[#All],2,FALSE)</f>
        <v>Creditos com Cooperados</v>
      </c>
      <c r="G448" s="1">
        <v>42884</v>
      </c>
      <c r="I448" s="225">
        <v>14637.12</v>
      </c>
      <c r="J448" s="225">
        <v>14637.12</v>
      </c>
      <c r="K448" s="225">
        <v>5.8207660913467407E-11</v>
      </c>
      <c r="L4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48" s="225">
        <f>ROUND(IF(AND(Base_Periodo1[[#This Row],[Tipo_Linha]]="-",Base_Periodo1[[#This Row],[TIPOSALDO]]="D"),Base_Periodo1[[#This Row],[SALDO_ATUAL]]*-1,Base_Periodo1[[#This Row],[SALDO_ATUAL]]),4)</f>
        <v>0</v>
      </c>
      <c r="N448" t="s">
        <v>116</v>
      </c>
      <c r="O448" t="s">
        <v>436</v>
      </c>
      <c r="P448" t="s">
        <v>436</v>
      </c>
      <c r="Q448">
        <v>7</v>
      </c>
      <c r="R448" s="225">
        <f>Base_Periodo1[[#This Row],[CREDITOS]]-Base_Periodo1[[#This Row],[DEBITOS]]</f>
        <v>0</v>
      </c>
      <c r="S448" s="3" t="str">
        <f>IF(ISERROR(VLOOKUP(Base_Periodo1[[#This Row],[CONTA]],BaseContasDRE[#All],4,FALSE)),"Fora do DRE",VLOOKUP(Base_Periodo1[[#This Row],[CONTA]],BaseContasDRE[#All],4,FALSE))</f>
        <v>Fora do DRE</v>
      </c>
      <c r="T448" s="3" t="str">
        <f>IF(ISERROR(VLOOKUP(Base_Periodo1[[#This Row],[CONTA]],BaseContasDRE[#All],5,FALSE)),"Fora do DRE",VLOOKUP(Base_Periodo1[[#This Row],[CONTA]],BaseContasDRE[#All],6,FALSE))</f>
        <v>Fora do DRE</v>
      </c>
      <c r="U448" s="3" t="str">
        <f>IF(ISERROR(VLOOKUP(Base_Periodo1[[#This Row],[CONTA]],BaseContasDRE[#All],7,FALSE)),"Fora do DRE",VLOOKUP(Base_Periodo1[[#This Row],[CONTA]],BaseContasDRE[#All],7,FALSE))</f>
        <v>Fora do DRE</v>
      </c>
      <c r="V448" s="3" t="str">
        <f>IF(Base_Periodo1[[#This Row],[Tipo_Linha]]="Fora do DRE","Fora do DRE","( "&amp;Base_Periodo1[[#This Row],[Tipo_Linha]]&amp;" ) "&amp;Base_Periodo1[[#This Row],[Filtro]])</f>
        <v>Fora do DRE</v>
      </c>
      <c r="W448" s="3" t="str">
        <f>LEFT(Base_Periodo1[[#This Row],[CLASS]],3)</f>
        <v>1.1</v>
      </c>
    </row>
    <row r="449" spans="1:23" hidden="1">
      <c r="A449" s="3" t="str">
        <f t="shared" si="6"/>
        <v>Período 1</v>
      </c>
      <c r="B449">
        <v>40504</v>
      </c>
      <c r="C449" t="s">
        <v>503</v>
      </c>
      <c r="D449" t="s">
        <v>5483</v>
      </c>
      <c r="E449" s="3" t="str">
        <f>IF(LEN(Base_Periodo1[[#This Row],[CLASS]])&gt;=7,LEFT(Base_Periodo1[[#This Row],[CLASS]],7),"")</f>
        <v>1.1.2.1</v>
      </c>
      <c r="F449" s="3" t="str">
        <f>VLOOKUP(Base_Periodo1[[#This Row],[Aux]],Base_Contas_Balanco[#All],2,FALSE)</f>
        <v>Creditos com Cooperados</v>
      </c>
      <c r="G449" s="1">
        <v>42830</v>
      </c>
      <c r="H449" s="225">
        <v>233.15000000000146</v>
      </c>
      <c r="I449" s="225">
        <v>0</v>
      </c>
      <c r="J449" s="225">
        <v>0</v>
      </c>
      <c r="K449" s="225">
        <v>233.15000000000146</v>
      </c>
      <c r="L4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233.15</v>
      </c>
      <c r="M449" s="225">
        <f>ROUND(IF(AND(Base_Periodo1[[#This Row],[Tipo_Linha]]="-",Base_Periodo1[[#This Row],[TIPOSALDO]]="D"),Base_Periodo1[[#This Row],[SALDO_ATUAL]]*-1,Base_Periodo1[[#This Row],[SALDO_ATUAL]]),4)</f>
        <v>233.15</v>
      </c>
      <c r="N449" t="s">
        <v>116</v>
      </c>
      <c r="O449" t="s">
        <v>397</v>
      </c>
      <c r="P449" t="s">
        <v>397</v>
      </c>
      <c r="Q449">
        <v>7</v>
      </c>
      <c r="R449" s="225">
        <f>Base_Periodo1[[#This Row],[CREDITOS]]-Base_Periodo1[[#This Row],[DEBITOS]]</f>
        <v>0</v>
      </c>
      <c r="S449" s="3" t="str">
        <f>IF(ISERROR(VLOOKUP(Base_Periodo1[[#This Row],[CONTA]],BaseContasDRE[#All],4,FALSE)),"Fora do DRE",VLOOKUP(Base_Periodo1[[#This Row],[CONTA]],BaseContasDRE[#All],4,FALSE))</f>
        <v>Fora do DRE</v>
      </c>
      <c r="T449" s="3" t="str">
        <f>IF(ISERROR(VLOOKUP(Base_Periodo1[[#This Row],[CONTA]],BaseContasDRE[#All],5,FALSE)),"Fora do DRE",VLOOKUP(Base_Periodo1[[#This Row],[CONTA]],BaseContasDRE[#All],6,FALSE))</f>
        <v>Fora do DRE</v>
      </c>
      <c r="U449" s="3" t="str">
        <f>IF(ISERROR(VLOOKUP(Base_Periodo1[[#This Row],[CONTA]],BaseContasDRE[#All],7,FALSE)),"Fora do DRE",VLOOKUP(Base_Periodo1[[#This Row],[CONTA]],BaseContasDRE[#All],7,FALSE))</f>
        <v>Fora do DRE</v>
      </c>
      <c r="V449" s="3" t="str">
        <f>IF(Base_Periodo1[[#This Row],[Tipo_Linha]]="Fora do DRE","Fora do DRE","( "&amp;Base_Periodo1[[#This Row],[Tipo_Linha]]&amp;" ) "&amp;Base_Periodo1[[#This Row],[Filtro]])</f>
        <v>Fora do DRE</v>
      </c>
      <c r="W449" s="3" t="str">
        <f>LEFT(Base_Periodo1[[#This Row],[CLASS]],3)</f>
        <v>1.1</v>
      </c>
    </row>
    <row r="450" spans="1:23" hidden="1">
      <c r="A450" s="3" t="str">
        <f t="shared" si="6"/>
        <v>Período 1</v>
      </c>
      <c r="B450">
        <v>4816</v>
      </c>
      <c r="C450" t="s">
        <v>503</v>
      </c>
      <c r="D450" t="s">
        <v>1735</v>
      </c>
      <c r="E450" s="3" t="str">
        <f>IF(LEN(Base_Periodo1[[#This Row],[CLASS]])&gt;=7,LEFT(Base_Periodo1[[#This Row],[CLASS]],7),"")</f>
        <v>1.1.2.1</v>
      </c>
      <c r="F450" s="3" t="str">
        <f>VLOOKUP(Base_Periodo1[[#This Row],[Aux]],Base_Contas_Balanco[#All],2,FALSE)</f>
        <v>Creditos com Cooperados</v>
      </c>
      <c r="G450" s="1">
        <v>42880</v>
      </c>
      <c r="H450" s="225">
        <v>4675.0000000001746</v>
      </c>
      <c r="I450" s="225">
        <v>1778</v>
      </c>
      <c r="J450" s="225">
        <v>3400</v>
      </c>
      <c r="K450" s="225">
        <v>3053.0000000001746</v>
      </c>
      <c r="L4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3053</v>
      </c>
      <c r="M450" s="225">
        <f>ROUND(IF(AND(Base_Periodo1[[#This Row],[Tipo_Linha]]="-",Base_Periodo1[[#This Row],[TIPOSALDO]]="D"),Base_Periodo1[[#This Row],[SALDO_ATUAL]]*-1,Base_Periodo1[[#This Row],[SALDO_ATUAL]]),4)</f>
        <v>3053</v>
      </c>
      <c r="N450" t="s">
        <v>116</v>
      </c>
      <c r="O450" t="s">
        <v>397</v>
      </c>
      <c r="P450" t="s">
        <v>397</v>
      </c>
      <c r="Q450">
        <v>7</v>
      </c>
      <c r="R450" s="225">
        <f>Base_Periodo1[[#This Row],[CREDITOS]]-Base_Periodo1[[#This Row],[DEBITOS]]</f>
        <v>1622</v>
      </c>
      <c r="S450" s="3" t="str">
        <f>IF(ISERROR(VLOOKUP(Base_Periodo1[[#This Row],[CONTA]],BaseContasDRE[#All],4,FALSE)),"Fora do DRE",VLOOKUP(Base_Periodo1[[#This Row],[CONTA]],BaseContasDRE[#All],4,FALSE))</f>
        <v>Fora do DRE</v>
      </c>
      <c r="T450" s="3" t="str">
        <f>IF(ISERROR(VLOOKUP(Base_Periodo1[[#This Row],[CONTA]],BaseContasDRE[#All],5,FALSE)),"Fora do DRE",VLOOKUP(Base_Periodo1[[#This Row],[CONTA]],BaseContasDRE[#All],6,FALSE))</f>
        <v>Fora do DRE</v>
      </c>
      <c r="U450" s="3" t="str">
        <f>IF(ISERROR(VLOOKUP(Base_Periodo1[[#This Row],[CONTA]],BaseContasDRE[#All],7,FALSE)),"Fora do DRE",VLOOKUP(Base_Periodo1[[#This Row],[CONTA]],BaseContasDRE[#All],7,FALSE))</f>
        <v>Fora do DRE</v>
      </c>
      <c r="V450" s="3" t="str">
        <f>IF(Base_Periodo1[[#This Row],[Tipo_Linha]]="Fora do DRE","Fora do DRE","( "&amp;Base_Periodo1[[#This Row],[Tipo_Linha]]&amp;" ) "&amp;Base_Periodo1[[#This Row],[Filtro]])</f>
        <v>Fora do DRE</v>
      </c>
      <c r="W450" s="3" t="str">
        <f>LEFT(Base_Periodo1[[#This Row],[CLASS]],3)</f>
        <v>1.1</v>
      </c>
    </row>
    <row r="451" spans="1:23" hidden="1">
      <c r="A451" s="3" t="str">
        <f t="shared" si="6"/>
        <v>Período 1</v>
      </c>
      <c r="B451">
        <v>4464</v>
      </c>
      <c r="C451" t="s">
        <v>503</v>
      </c>
      <c r="D451" t="s">
        <v>722</v>
      </c>
      <c r="E451" s="3" t="str">
        <f>IF(LEN(Base_Periodo1[[#This Row],[CLASS]])&gt;=7,LEFT(Base_Periodo1[[#This Row],[CLASS]],7),"")</f>
        <v>1.1.2.1</v>
      </c>
      <c r="F451" s="3" t="str">
        <f>VLOOKUP(Base_Periodo1[[#This Row],[Aux]],Base_Contas_Balanco[#All],2,FALSE)</f>
        <v>Creditos com Cooperados</v>
      </c>
      <c r="G451" s="1">
        <v>42863</v>
      </c>
      <c r="I451" s="225">
        <v>73221.100000000006</v>
      </c>
      <c r="J451" s="225">
        <v>73221.100000000006</v>
      </c>
      <c r="K451" s="225">
        <v>9.3132257461547852E-10</v>
      </c>
      <c r="L4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51" s="225">
        <f>ROUND(IF(AND(Base_Periodo1[[#This Row],[Tipo_Linha]]="-",Base_Periodo1[[#This Row],[TIPOSALDO]]="D"),Base_Periodo1[[#This Row],[SALDO_ATUAL]]*-1,Base_Periodo1[[#This Row],[SALDO_ATUAL]]),4)</f>
        <v>0</v>
      </c>
      <c r="N451" t="s">
        <v>116</v>
      </c>
      <c r="O451" t="s">
        <v>436</v>
      </c>
      <c r="P451" t="s">
        <v>436</v>
      </c>
      <c r="Q451">
        <v>7</v>
      </c>
      <c r="R451" s="225">
        <f>Base_Periodo1[[#This Row],[CREDITOS]]-Base_Periodo1[[#This Row],[DEBITOS]]</f>
        <v>0</v>
      </c>
      <c r="S451" s="3" t="str">
        <f>IF(ISERROR(VLOOKUP(Base_Periodo1[[#This Row],[CONTA]],BaseContasDRE[#All],4,FALSE)),"Fora do DRE",VLOOKUP(Base_Periodo1[[#This Row],[CONTA]],BaseContasDRE[#All],4,FALSE))</f>
        <v>Fora do DRE</v>
      </c>
      <c r="T451" s="3" t="str">
        <f>IF(ISERROR(VLOOKUP(Base_Periodo1[[#This Row],[CONTA]],BaseContasDRE[#All],5,FALSE)),"Fora do DRE",VLOOKUP(Base_Periodo1[[#This Row],[CONTA]],BaseContasDRE[#All],6,FALSE))</f>
        <v>Fora do DRE</v>
      </c>
      <c r="U451" s="3" t="str">
        <f>IF(ISERROR(VLOOKUP(Base_Periodo1[[#This Row],[CONTA]],BaseContasDRE[#All],7,FALSE)),"Fora do DRE",VLOOKUP(Base_Periodo1[[#This Row],[CONTA]],BaseContasDRE[#All],7,FALSE))</f>
        <v>Fora do DRE</v>
      </c>
      <c r="V451" s="3" t="str">
        <f>IF(Base_Periodo1[[#This Row],[Tipo_Linha]]="Fora do DRE","Fora do DRE","( "&amp;Base_Periodo1[[#This Row],[Tipo_Linha]]&amp;" ) "&amp;Base_Periodo1[[#This Row],[Filtro]])</f>
        <v>Fora do DRE</v>
      </c>
      <c r="W451" s="3" t="str">
        <f>LEFT(Base_Periodo1[[#This Row],[CLASS]],3)</f>
        <v>1.1</v>
      </c>
    </row>
    <row r="452" spans="1:23" hidden="1">
      <c r="A452" s="3" t="str">
        <f t="shared" si="6"/>
        <v>Período 1</v>
      </c>
      <c r="B452">
        <v>3012</v>
      </c>
      <c r="C452" t="s">
        <v>503</v>
      </c>
      <c r="D452" t="s">
        <v>723</v>
      </c>
      <c r="E452" s="3" t="str">
        <f>IF(LEN(Base_Periodo1[[#This Row],[CLASS]])&gt;=7,LEFT(Base_Periodo1[[#This Row],[CLASS]],7),"")</f>
        <v>1.1.2.1</v>
      </c>
      <c r="F452" s="3" t="str">
        <f>VLOOKUP(Base_Periodo1[[#This Row],[Aux]],Base_Contas_Balanco[#All],2,FALSE)</f>
        <v>Creditos com Cooperados</v>
      </c>
      <c r="G452" s="1">
        <v>42886</v>
      </c>
      <c r="I452" s="225">
        <v>2041.14</v>
      </c>
      <c r="J452" s="225">
        <v>2041.14</v>
      </c>
      <c r="K452" s="225">
        <v>-6.9849193096160889E-10</v>
      </c>
      <c r="L4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52" s="225">
        <f>ROUND(IF(AND(Base_Periodo1[[#This Row],[Tipo_Linha]]="-",Base_Periodo1[[#This Row],[TIPOSALDO]]="D"),Base_Periodo1[[#This Row],[SALDO_ATUAL]]*-1,Base_Periodo1[[#This Row],[SALDO_ATUAL]]),4)</f>
        <v>0</v>
      </c>
      <c r="N452" t="s">
        <v>116</v>
      </c>
      <c r="O452" t="s">
        <v>436</v>
      </c>
      <c r="P452" t="s">
        <v>436</v>
      </c>
      <c r="Q452">
        <v>7</v>
      </c>
      <c r="R452" s="225">
        <f>Base_Periodo1[[#This Row],[CREDITOS]]-Base_Periodo1[[#This Row],[DEBITOS]]</f>
        <v>0</v>
      </c>
      <c r="S452" s="3" t="str">
        <f>IF(ISERROR(VLOOKUP(Base_Periodo1[[#This Row],[CONTA]],BaseContasDRE[#All],4,FALSE)),"Fora do DRE",VLOOKUP(Base_Periodo1[[#This Row],[CONTA]],BaseContasDRE[#All],4,FALSE))</f>
        <v>Fora do DRE</v>
      </c>
      <c r="T452" s="3" t="str">
        <f>IF(ISERROR(VLOOKUP(Base_Periodo1[[#This Row],[CONTA]],BaseContasDRE[#All],5,FALSE)),"Fora do DRE",VLOOKUP(Base_Periodo1[[#This Row],[CONTA]],BaseContasDRE[#All],6,FALSE))</f>
        <v>Fora do DRE</v>
      </c>
      <c r="U452" s="3" t="str">
        <f>IF(ISERROR(VLOOKUP(Base_Periodo1[[#This Row],[CONTA]],BaseContasDRE[#All],7,FALSE)),"Fora do DRE",VLOOKUP(Base_Periodo1[[#This Row],[CONTA]],BaseContasDRE[#All],7,FALSE))</f>
        <v>Fora do DRE</v>
      </c>
      <c r="V452" s="3" t="str">
        <f>IF(Base_Periodo1[[#This Row],[Tipo_Linha]]="Fora do DRE","Fora do DRE","( "&amp;Base_Periodo1[[#This Row],[Tipo_Linha]]&amp;" ) "&amp;Base_Periodo1[[#This Row],[Filtro]])</f>
        <v>Fora do DRE</v>
      </c>
      <c r="W452" s="3" t="str">
        <f>LEFT(Base_Periodo1[[#This Row],[CLASS]],3)</f>
        <v>1.1</v>
      </c>
    </row>
    <row r="453" spans="1:23" hidden="1">
      <c r="A453" s="3" t="str">
        <f t="shared" si="6"/>
        <v>Período 1</v>
      </c>
      <c r="B453">
        <v>20979</v>
      </c>
      <c r="C453" t="s">
        <v>503</v>
      </c>
      <c r="D453" t="s">
        <v>6717</v>
      </c>
      <c r="E453" s="3" t="str">
        <f>IF(LEN(Base_Periodo1[[#This Row],[CLASS]])&gt;=7,LEFT(Base_Periodo1[[#This Row],[CLASS]],7),"")</f>
        <v>1.1.2.1</v>
      </c>
      <c r="F453" s="3" t="str">
        <f>VLOOKUP(Base_Periodo1[[#This Row],[Aux]],Base_Contas_Balanco[#All],2,FALSE)</f>
        <v>Creditos com Cooperados</v>
      </c>
      <c r="G453" s="1">
        <v>42886</v>
      </c>
      <c r="I453" s="225">
        <v>625</v>
      </c>
      <c r="J453" s="225">
        <v>625</v>
      </c>
      <c r="K453" s="225">
        <v>3.637978807091713E-12</v>
      </c>
      <c r="L4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53" s="225">
        <f>ROUND(IF(AND(Base_Periodo1[[#This Row],[Tipo_Linha]]="-",Base_Periodo1[[#This Row],[TIPOSALDO]]="D"),Base_Periodo1[[#This Row],[SALDO_ATUAL]]*-1,Base_Periodo1[[#This Row],[SALDO_ATUAL]]),4)</f>
        <v>0</v>
      </c>
      <c r="N453" t="s">
        <v>116</v>
      </c>
      <c r="O453" t="s">
        <v>436</v>
      </c>
      <c r="P453" t="s">
        <v>436</v>
      </c>
      <c r="Q453">
        <v>7</v>
      </c>
      <c r="R453" s="225">
        <f>Base_Periodo1[[#This Row],[CREDITOS]]-Base_Periodo1[[#This Row],[DEBITOS]]</f>
        <v>0</v>
      </c>
      <c r="S453" s="3" t="str">
        <f>IF(ISERROR(VLOOKUP(Base_Periodo1[[#This Row],[CONTA]],BaseContasDRE[#All],4,FALSE)),"Fora do DRE",VLOOKUP(Base_Periodo1[[#This Row],[CONTA]],BaseContasDRE[#All],4,FALSE))</f>
        <v>Fora do DRE</v>
      </c>
      <c r="T453" s="3" t="str">
        <f>IF(ISERROR(VLOOKUP(Base_Periodo1[[#This Row],[CONTA]],BaseContasDRE[#All],5,FALSE)),"Fora do DRE",VLOOKUP(Base_Periodo1[[#This Row],[CONTA]],BaseContasDRE[#All],6,FALSE))</f>
        <v>Fora do DRE</v>
      </c>
      <c r="U453" s="3" t="str">
        <f>IF(ISERROR(VLOOKUP(Base_Periodo1[[#This Row],[CONTA]],BaseContasDRE[#All],7,FALSE)),"Fora do DRE",VLOOKUP(Base_Periodo1[[#This Row],[CONTA]],BaseContasDRE[#All],7,FALSE))</f>
        <v>Fora do DRE</v>
      </c>
      <c r="V453" s="3" t="str">
        <f>IF(Base_Periodo1[[#This Row],[Tipo_Linha]]="Fora do DRE","Fora do DRE","( "&amp;Base_Periodo1[[#This Row],[Tipo_Linha]]&amp;" ) "&amp;Base_Periodo1[[#This Row],[Filtro]])</f>
        <v>Fora do DRE</v>
      </c>
      <c r="W453" s="3" t="str">
        <f>LEFT(Base_Periodo1[[#This Row],[CLASS]],3)</f>
        <v>1.1</v>
      </c>
    </row>
    <row r="454" spans="1:23" hidden="1">
      <c r="A454" s="3" t="str">
        <f t="shared" ref="A454:A517" si="7">"Período 1"</f>
        <v>Período 1</v>
      </c>
      <c r="B454">
        <v>3200</v>
      </c>
      <c r="C454" t="s">
        <v>503</v>
      </c>
      <c r="D454" t="s">
        <v>724</v>
      </c>
      <c r="E454" s="3" t="str">
        <f>IF(LEN(Base_Periodo1[[#This Row],[CLASS]])&gt;=7,LEFT(Base_Periodo1[[#This Row],[CLASS]],7),"")</f>
        <v>1.1.2.1</v>
      </c>
      <c r="F454" s="3" t="str">
        <f>VLOOKUP(Base_Periodo1[[#This Row],[Aux]],Base_Contas_Balanco[#All],2,FALSE)</f>
        <v>Creditos com Cooperados</v>
      </c>
      <c r="G454" s="1">
        <v>42884</v>
      </c>
      <c r="H454" s="225">
        <v>41378.979999996722</v>
      </c>
      <c r="I454" s="225">
        <v>18135</v>
      </c>
      <c r="J454" s="225">
        <v>0</v>
      </c>
      <c r="K454" s="225">
        <v>59513.979999996722</v>
      </c>
      <c r="L4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59513.98</v>
      </c>
      <c r="M454" s="225">
        <f>ROUND(IF(AND(Base_Periodo1[[#This Row],[Tipo_Linha]]="-",Base_Periodo1[[#This Row],[TIPOSALDO]]="D"),Base_Periodo1[[#This Row],[SALDO_ATUAL]]*-1,Base_Periodo1[[#This Row],[SALDO_ATUAL]]),4)</f>
        <v>59513.98</v>
      </c>
      <c r="N454" t="s">
        <v>116</v>
      </c>
      <c r="O454" t="s">
        <v>397</v>
      </c>
      <c r="P454" t="s">
        <v>397</v>
      </c>
      <c r="Q454">
        <v>7</v>
      </c>
      <c r="R454" s="225">
        <f>Base_Periodo1[[#This Row],[CREDITOS]]-Base_Periodo1[[#This Row],[DEBITOS]]</f>
        <v>-18135</v>
      </c>
      <c r="S454" s="3" t="str">
        <f>IF(ISERROR(VLOOKUP(Base_Periodo1[[#This Row],[CONTA]],BaseContasDRE[#All],4,FALSE)),"Fora do DRE",VLOOKUP(Base_Periodo1[[#This Row],[CONTA]],BaseContasDRE[#All],4,FALSE))</f>
        <v>Fora do DRE</v>
      </c>
      <c r="T454" s="3" t="str">
        <f>IF(ISERROR(VLOOKUP(Base_Periodo1[[#This Row],[CONTA]],BaseContasDRE[#All],5,FALSE)),"Fora do DRE",VLOOKUP(Base_Periodo1[[#This Row],[CONTA]],BaseContasDRE[#All],6,FALSE))</f>
        <v>Fora do DRE</v>
      </c>
      <c r="U454" s="3" t="str">
        <f>IF(ISERROR(VLOOKUP(Base_Periodo1[[#This Row],[CONTA]],BaseContasDRE[#All],7,FALSE)),"Fora do DRE",VLOOKUP(Base_Periodo1[[#This Row],[CONTA]],BaseContasDRE[#All],7,FALSE))</f>
        <v>Fora do DRE</v>
      </c>
      <c r="V454" s="3" t="str">
        <f>IF(Base_Periodo1[[#This Row],[Tipo_Linha]]="Fora do DRE","Fora do DRE","( "&amp;Base_Periodo1[[#This Row],[Tipo_Linha]]&amp;" ) "&amp;Base_Periodo1[[#This Row],[Filtro]])</f>
        <v>Fora do DRE</v>
      </c>
      <c r="W454" s="3" t="str">
        <f>LEFT(Base_Periodo1[[#This Row],[CLASS]],3)</f>
        <v>1.1</v>
      </c>
    </row>
    <row r="455" spans="1:23" hidden="1">
      <c r="A455" s="3" t="str">
        <f t="shared" si="7"/>
        <v>Período 1</v>
      </c>
      <c r="B455">
        <v>24348</v>
      </c>
      <c r="C455" t="s">
        <v>503</v>
      </c>
      <c r="D455" t="s">
        <v>5640</v>
      </c>
      <c r="E455" s="3" t="str">
        <f>IF(LEN(Base_Periodo1[[#This Row],[CLASS]])&gt;=7,LEFT(Base_Periodo1[[#This Row],[CLASS]],7),"")</f>
        <v>1.1.2.1</v>
      </c>
      <c r="F455" s="3" t="str">
        <f>VLOOKUP(Base_Periodo1[[#This Row],[Aux]],Base_Contas_Balanco[#All],2,FALSE)</f>
        <v>Creditos com Cooperados</v>
      </c>
      <c r="G455" s="1">
        <v>42836</v>
      </c>
      <c r="H455" s="225">
        <v>4416.570000000007</v>
      </c>
      <c r="I455" s="225">
        <v>0</v>
      </c>
      <c r="J455" s="225">
        <v>0</v>
      </c>
      <c r="K455" s="225">
        <v>4416.570000000007</v>
      </c>
      <c r="L4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4416.57</v>
      </c>
      <c r="M455" s="225">
        <f>ROUND(IF(AND(Base_Periodo1[[#This Row],[Tipo_Linha]]="-",Base_Periodo1[[#This Row],[TIPOSALDO]]="D"),Base_Periodo1[[#This Row],[SALDO_ATUAL]]*-1,Base_Periodo1[[#This Row],[SALDO_ATUAL]]),4)</f>
        <v>4416.57</v>
      </c>
      <c r="N455" t="s">
        <v>116</v>
      </c>
      <c r="O455" t="s">
        <v>397</v>
      </c>
      <c r="P455" t="s">
        <v>397</v>
      </c>
      <c r="Q455">
        <v>7</v>
      </c>
      <c r="R455" s="225">
        <f>Base_Periodo1[[#This Row],[CREDITOS]]-Base_Periodo1[[#This Row],[DEBITOS]]</f>
        <v>0</v>
      </c>
      <c r="S455" s="3" t="str">
        <f>IF(ISERROR(VLOOKUP(Base_Periodo1[[#This Row],[CONTA]],BaseContasDRE[#All],4,FALSE)),"Fora do DRE",VLOOKUP(Base_Periodo1[[#This Row],[CONTA]],BaseContasDRE[#All],4,FALSE))</f>
        <v>Fora do DRE</v>
      </c>
      <c r="T455" s="3" t="str">
        <f>IF(ISERROR(VLOOKUP(Base_Periodo1[[#This Row],[CONTA]],BaseContasDRE[#All],5,FALSE)),"Fora do DRE",VLOOKUP(Base_Periodo1[[#This Row],[CONTA]],BaseContasDRE[#All],6,FALSE))</f>
        <v>Fora do DRE</v>
      </c>
      <c r="U455" s="3" t="str">
        <f>IF(ISERROR(VLOOKUP(Base_Periodo1[[#This Row],[CONTA]],BaseContasDRE[#All],7,FALSE)),"Fora do DRE",VLOOKUP(Base_Periodo1[[#This Row],[CONTA]],BaseContasDRE[#All],7,FALSE))</f>
        <v>Fora do DRE</v>
      </c>
      <c r="V455" s="3" t="str">
        <f>IF(Base_Periodo1[[#This Row],[Tipo_Linha]]="Fora do DRE","Fora do DRE","( "&amp;Base_Periodo1[[#This Row],[Tipo_Linha]]&amp;" ) "&amp;Base_Periodo1[[#This Row],[Filtro]])</f>
        <v>Fora do DRE</v>
      </c>
      <c r="W455" s="3" t="str">
        <f>LEFT(Base_Periodo1[[#This Row],[CLASS]],3)</f>
        <v>1.1</v>
      </c>
    </row>
    <row r="456" spans="1:23" hidden="1">
      <c r="A456" s="3" t="str">
        <f t="shared" si="7"/>
        <v>Período 1</v>
      </c>
      <c r="B456">
        <v>4248</v>
      </c>
      <c r="C456" t="s">
        <v>503</v>
      </c>
      <c r="D456" t="s">
        <v>725</v>
      </c>
      <c r="E456" s="3" t="str">
        <f>IF(LEN(Base_Periodo1[[#This Row],[CLASS]])&gt;=7,LEFT(Base_Periodo1[[#This Row],[CLASS]],7),"")</f>
        <v>1.1.2.1</v>
      </c>
      <c r="F456" s="3" t="str">
        <f>VLOOKUP(Base_Periodo1[[#This Row],[Aux]],Base_Contas_Balanco[#All],2,FALSE)</f>
        <v>Creditos com Cooperados</v>
      </c>
      <c r="G456" s="1">
        <v>42885</v>
      </c>
      <c r="H456" s="225">
        <v>4365.9399999990128</v>
      </c>
      <c r="I456" s="225">
        <v>115</v>
      </c>
      <c r="J456" s="225">
        <v>305.58999999999997</v>
      </c>
      <c r="K456" s="225">
        <v>4175.3499999990127</v>
      </c>
      <c r="L4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4175.3500000000004</v>
      </c>
      <c r="M456" s="225">
        <f>ROUND(IF(AND(Base_Periodo1[[#This Row],[Tipo_Linha]]="-",Base_Periodo1[[#This Row],[TIPOSALDO]]="D"),Base_Periodo1[[#This Row],[SALDO_ATUAL]]*-1,Base_Periodo1[[#This Row],[SALDO_ATUAL]]),4)</f>
        <v>4175.3500000000004</v>
      </c>
      <c r="N456" t="s">
        <v>116</v>
      </c>
      <c r="O456" t="s">
        <v>397</v>
      </c>
      <c r="P456" t="s">
        <v>397</v>
      </c>
      <c r="Q456">
        <v>7</v>
      </c>
      <c r="R456" s="225">
        <f>Base_Periodo1[[#This Row],[CREDITOS]]-Base_Periodo1[[#This Row],[DEBITOS]]</f>
        <v>190.58999999999997</v>
      </c>
      <c r="S456" s="3" t="str">
        <f>IF(ISERROR(VLOOKUP(Base_Periodo1[[#This Row],[CONTA]],BaseContasDRE[#All],4,FALSE)),"Fora do DRE",VLOOKUP(Base_Periodo1[[#This Row],[CONTA]],BaseContasDRE[#All],4,FALSE))</f>
        <v>Fora do DRE</v>
      </c>
      <c r="T456" s="3" t="str">
        <f>IF(ISERROR(VLOOKUP(Base_Periodo1[[#This Row],[CONTA]],BaseContasDRE[#All],5,FALSE)),"Fora do DRE",VLOOKUP(Base_Periodo1[[#This Row],[CONTA]],BaseContasDRE[#All],6,FALSE))</f>
        <v>Fora do DRE</v>
      </c>
      <c r="U456" s="3" t="str">
        <f>IF(ISERROR(VLOOKUP(Base_Periodo1[[#This Row],[CONTA]],BaseContasDRE[#All],7,FALSE)),"Fora do DRE",VLOOKUP(Base_Periodo1[[#This Row],[CONTA]],BaseContasDRE[#All],7,FALSE))</f>
        <v>Fora do DRE</v>
      </c>
      <c r="V456" s="3" t="str">
        <f>IF(Base_Periodo1[[#This Row],[Tipo_Linha]]="Fora do DRE","Fora do DRE","( "&amp;Base_Periodo1[[#This Row],[Tipo_Linha]]&amp;" ) "&amp;Base_Periodo1[[#This Row],[Filtro]])</f>
        <v>Fora do DRE</v>
      </c>
      <c r="W456" s="3" t="str">
        <f>LEFT(Base_Periodo1[[#This Row],[CLASS]],3)</f>
        <v>1.1</v>
      </c>
    </row>
    <row r="457" spans="1:23" hidden="1">
      <c r="A457" s="3" t="str">
        <f t="shared" si="7"/>
        <v>Período 1</v>
      </c>
      <c r="B457">
        <v>57851</v>
      </c>
      <c r="C457" t="s">
        <v>503</v>
      </c>
      <c r="D457" t="s">
        <v>6128</v>
      </c>
      <c r="E457" s="3" t="str">
        <f>IF(LEN(Base_Periodo1[[#This Row],[CLASS]])&gt;=7,LEFT(Base_Periodo1[[#This Row],[CLASS]],7),"")</f>
        <v>1.1.2.1</v>
      </c>
      <c r="F457" s="3" t="str">
        <f>VLOOKUP(Base_Periodo1[[#This Row],[Aux]],Base_Contas_Balanco[#All],2,FALSE)</f>
        <v>Creditos com Cooperados</v>
      </c>
      <c r="G457" s="1">
        <v>42885</v>
      </c>
      <c r="H457" s="225">
        <v>1759.8</v>
      </c>
      <c r="I457" s="225">
        <v>362.35</v>
      </c>
      <c r="J457" s="225">
        <v>0</v>
      </c>
      <c r="K457" s="225">
        <v>2122.15</v>
      </c>
      <c r="L4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2122.15</v>
      </c>
      <c r="M457" s="225">
        <f>ROUND(IF(AND(Base_Periodo1[[#This Row],[Tipo_Linha]]="-",Base_Periodo1[[#This Row],[TIPOSALDO]]="D"),Base_Periodo1[[#This Row],[SALDO_ATUAL]]*-1,Base_Periodo1[[#This Row],[SALDO_ATUAL]]),4)</f>
        <v>2122.15</v>
      </c>
      <c r="N457" t="s">
        <v>116</v>
      </c>
      <c r="O457" t="s">
        <v>397</v>
      </c>
      <c r="P457" t="s">
        <v>397</v>
      </c>
      <c r="Q457">
        <v>7</v>
      </c>
      <c r="R457" s="225">
        <f>Base_Periodo1[[#This Row],[CREDITOS]]-Base_Periodo1[[#This Row],[DEBITOS]]</f>
        <v>-362.35</v>
      </c>
      <c r="S457" s="3" t="str">
        <f>IF(ISERROR(VLOOKUP(Base_Periodo1[[#This Row],[CONTA]],BaseContasDRE[#All],4,FALSE)),"Fora do DRE",VLOOKUP(Base_Periodo1[[#This Row],[CONTA]],BaseContasDRE[#All],4,FALSE))</f>
        <v>Fora do DRE</v>
      </c>
      <c r="T457" s="3" t="str">
        <f>IF(ISERROR(VLOOKUP(Base_Periodo1[[#This Row],[CONTA]],BaseContasDRE[#All],5,FALSE)),"Fora do DRE",VLOOKUP(Base_Periodo1[[#This Row],[CONTA]],BaseContasDRE[#All],6,FALSE))</f>
        <v>Fora do DRE</v>
      </c>
      <c r="U457" s="3" t="str">
        <f>IF(ISERROR(VLOOKUP(Base_Periodo1[[#This Row],[CONTA]],BaseContasDRE[#All],7,FALSE)),"Fora do DRE",VLOOKUP(Base_Periodo1[[#This Row],[CONTA]],BaseContasDRE[#All],7,FALSE))</f>
        <v>Fora do DRE</v>
      </c>
      <c r="V457" s="3" t="str">
        <f>IF(Base_Periodo1[[#This Row],[Tipo_Linha]]="Fora do DRE","Fora do DRE","( "&amp;Base_Periodo1[[#This Row],[Tipo_Linha]]&amp;" ) "&amp;Base_Periodo1[[#This Row],[Filtro]])</f>
        <v>Fora do DRE</v>
      </c>
      <c r="W457" s="3" t="str">
        <f>LEFT(Base_Periodo1[[#This Row],[CLASS]],3)</f>
        <v>1.1</v>
      </c>
    </row>
    <row r="458" spans="1:23" hidden="1">
      <c r="A458" s="3" t="str">
        <f t="shared" si="7"/>
        <v>Período 1</v>
      </c>
      <c r="B458">
        <v>35544</v>
      </c>
      <c r="C458" t="s">
        <v>503</v>
      </c>
      <c r="D458" t="s">
        <v>6718</v>
      </c>
      <c r="E458" s="3" t="str">
        <f>IF(LEN(Base_Periodo1[[#This Row],[CLASS]])&gt;=7,LEFT(Base_Periodo1[[#This Row],[CLASS]],7),"")</f>
        <v>1.1.2.1</v>
      </c>
      <c r="F458" s="3" t="str">
        <f>VLOOKUP(Base_Periodo1[[#This Row],[Aux]],Base_Contas_Balanco[#All],2,FALSE)</f>
        <v>Creditos com Cooperados</v>
      </c>
      <c r="G458" s="1">
        <v>42871</v>
      </c>
      <c r="I458" s="225">
        <v>252</v>
      </c>
      <c r="J458" s="225">
        <v>0</v>
      </c>
      <c r="K458" s="225">
        <v>252</v>
      </c>
      <c r="L4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252</v>
      </c>
      <c r="M458" s="225">
        <f>ROUND(IF(AND(Base_Periodo1[[#This Row],[Tipo_Linha]]="-",Base_Periodo1[[#This Row],[TIPOSALDO]]="D"),Base_Periodo1[[#This Row],[SALDO_ATUAL]]*-1,Base_Periodo1[[#This Row],[SALDO_ATUAL]]),4)</f>
        <v>252</v>
      </c>
      <c r="N458" t="s">
        <v>116</v>
      </c>
      <c r="O458" t="s">
        <v>436</v>
      </c>
      <c r="P458" t="s">
        <v>397</v>
      </c>
      <c r="Q458">
        <v>7</v>
      </c>
      <c r="R458" s="225">
        <f>Base_Periodo1[[#This Row],[CREDITOS]]-Base_Periodo1[[#This Row],[DEBITOS]]</f>
        <v>-252</v>
      </c>
      <c r="S458" s="3" t="str">
        <f>IF(ISERROR(VLOOKUP(Base_Periodo1[[#This Row],[CONTA]],BaseContasDRE[#All],4,FALSE)),"Fora do DRE",VLOOKUP(Base_Periodo1[[#This Row],[CONTA]],BaseContasDRE[#All],4,FALSE))</f>
        <v>Fora do DRE</v>
      </c>
      <c r="T458" s="3" t="str">
        <f>IF(ISERROR(VLOOKUP(Base_Periodo1[[#This Row],[CONTA]],BaseContasDRE[#All],5,FALSE)),"Fora do DRE",VLOOKUP(Base_Periodo1[[#This Row],[CONTA]],BaseContasDRE[#All],6,FALSE))</f>
        <v>Fora do DRE</v>
      </c>
      <c r="U458" s="3" t="str">
        <f>IF(ISERROR(VLOOKUP(Base_Periodo1[[#This Row],[CONTA]],BaseContasDRE[#All],7,FALSE)),"Fora do DRE",VLOOKUP(Base_Periodo1[[#This Row],[CONTA]],BaseContasDRE[#All],7,FALSE))</f>
        <v>Fora do DRE</v>
      </c>
      <c r="V458" s="3" t="str">
        <f>IF(Base_Periodo1[[#This Row],[Tipo_Linha]]="Fora do DRE","Fora do DRE","( "&amp;Base_Periodo1[[#This Row],[Tipo_Linha]]&amp;" ) "&amp;Base_Periodo1[[#This Row],[Filtro]])</f>
        <v>Fora do DRE</v>
      </c>
      <c r="W458" s="3" t="str">
        <f>LEFT(Base_Periodo1[[#This Row],[CLASS]],3)</f>
        <v>1.1</v>
      </c>
    </row>
    <row r="459" spans="1:23" hidden="1">
      <c r="A459" s="3" t="str">
        <f t="shared" si="7"/>
        <v>Período 1</v>
      </c>
      <c r="B459">
        <v>2660</v>
      </c>
      <c r="C459" t="s">
        <v>503</v>
      </c>
      <c r="D459" t="s">
        <v>5148</v>
      </c>
      <c r="E459" s="3" t="str">
        <f>IF(LEN(Base_Periodo1[[#This Row],[CLASS]])&gt;=7,LEFT(Base_Periodo1[[#This Row],[CLASS]],7),"")</f>
        <v>1.1.2.1</v>
      </c>
      <c r="F459" s="3" t="str">
        <f>VLOOKUP(Base_Periodo1[[#This Row],[Aux]],Base_Contas_Balanco[#All],2,FALSE)</f>
        <v>Creditos com Cooperados</v>
      </c>
      <c r="G459" s="1">
        <v>42872</v>
      </c>
      <c r="H459" s="225">
        <v>7862</v>
      </c>
      <c r="I459" s="225">
        <v>0</v>
      </c>
      <c r="J459" s="225">
        <v>7862</v>
      </c>
      <c r="K459" s="225">
        <v>0</v>
      </c>
      <c r="L4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59" s="225">
        <f>ROUND(IF(AND(Base_Periodo1[[#This Row],[Tipo_Linha]]="-",Base_Periodo1[[#This Row],[TIPOSALDO]]="D"),Base_Periodo1[[#This Row],[SALDO_ATUAL]]*-1,Base_Periodo1[[#This Row],[SALDO_ATUAL]]),4)</f>
        <v>0</v>
      </c>
      <c r="N459" t="s">
        <v>116</v>
      </c>
      <c r="O459" t="s">
        <v>397</v>
      </c>
      <c r="P459" t="s">
        <v>436</v>
      </c>
      <c r="Q459">
        <v>7</v>
      </c>
      <c r="R459" s="225">
        <f>Base_Periodo1[[#This Row],[CREDITOS]]-Base_Periodo1[[#This Row],[DEBITOS]]</f>
        <v>7862</v>
      </c>
      <c r="S459" s="3" t="str">
        <f>IF(ISERROR(VLOOKUP(Base_Periodo1[[#This Row],[CONTA]],BaseContasDRE[#All],4,FALSE)),"Fora do DRE",VLOOKUP(Base_Periodo1[[#This Row],[CONTA]],BaseContasDRE[#All],4,FALSE))</f>
        <v>Fora do DRE</v>
      </c>
      <c r="T459" s="3" t="str">
        <f>IF(ISERROR(VLOOKUP(Base_Periodo1[[#This Row],[CONTA]],BaseContasDRE[#All],5,FALSE)),"Fora do DRE",VLOOKUP(Base_Periodo1[[#This Row],[CONTA]],BaseContasDRE[#All],6,FALSE))</f>
        <v>Fora do DRE</v>
      </c>
      <c r="U459" s="3" t="str">
        <f>IF(ISERROR(VLOOKUP(Base_Periodo1[[#This Row],[CONTA]],BaseContasDRE[#All],7,FALSE)),"Fora do DRE",VLOOKUP(Base_Periodo1[[#This Row],[CONTA]],BaseContasDRE[#All],7,FALSE))</f>
        <v>Fora do DRE</v>
      </c>
      <c r="V459" s="3" t="str">
        <f>IF(Base_Periodo1[[#This Row],[Tipo_Linha]]="Fora do DRE","Fora do DRE","( "&amp;Base_Periodo1[[#This Row],[Tipo_Linha]]&amp;" ) "&amp;Base_Periodo1[[#This Row],[Filtro]])</f>
        <v>Fora do DRE</v>
      </c>
      <c r="W459" s="3" t="str">
        <f>LEFT(Base_Periodo1[[#This Row],[CLASS]],3)</f>
        <v>1.1</v>
      </c>
    </row>
    <row r="460" spans="1:23" hidden="1">
      <c r="A460" s="3" t="str">
        <f t="shared" si="7"/>
        <v>Período 1</v>
      </c>
      <c r="B460">
        <v>47591</v>
      </c>
      <c r="C460" t="s">
        <v>503</v>
      </c>
      <c r="D460" t="s">
        <v>727</v>
      </c>
      <c r="E460" s="3" t="str">
        <f>IF(LEN(Base_Periodo1[[#This Row],[CLASS]])&gt;=7,LEFT(Base_Periodo1[[#This Row],[CLASS]],7),"")</f>
        <v>1.1.2.1</v>
      </c>
      <c r="F460" s="3" t="str">
        <f>VLOOKUP(Base_Periodo1[[#This Row],[Aux]],Base_Contas_Balanco[#All],2,FALSE)</f>
        <v>Creditos com Cooperados</v>
      </c>
      <c r="G460" s="1">
        <v>42677</v>
      </c>
      <c r="H460" s="225">
        <v>12041.850000000009</v>
      </c>
      <c r="I460" s="225">
        <v>0</v>
      </c>
      <c r="J460" s="225">
        <v>0</v>
      </c>
      <c r="K460" s="225">
        <v>12041.850000000009</v>
      </c>
      <c r="L4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12041.85</v>
      </c>
      <c r="M460" s="225">
        <f>ROUND(IF(AND(Base_Periodo1[[#This Row],[Tipo_Linha]]="-",Base_Periodo1[[#This Row],[TIPOSALDO]]="D"),Base_Periodo1[[#This Row],[SALDO_ATUAL]]*-1,Base_Periodo1[[#This Row],[SALDO_ATUAL]]),4)</f>
        <v>12041.85</v>
      </c>
      <c r="N460" t="s">
        <v>116</v>
      </c>
      <c r="O460" t="s">
        <v>397</v>
      </c>
      <c r="P460" t="s">
        <v>397</v>
      </c>
      <c r="Q460">
        <v>7</v>
      </c>
      <c r="R460" s="225">
        <f>Base_Periodo1[[#This Row],[CREDITOS]]-Base_Periodo1[[#This Row],[DEBITOS]]</f>
        <v>0</v>
      </c>
      <c r="S460" s="3" t="str">
        <f>IF(ISERROR(VLOOKUP(Base_Periodo1[[#This Row],[CONTA]],BaseContasDRE[#All],4,FALSE)),"Fora do DRE",VLOOKUP(Base_Periodo1[[#This Row],[CONTA]],BaseContasDRE[#All],4,FALSE))</f>
        <v>Fora do DRE</v>
      </c>
      <c r="T460" s="3" t="str">
        <f>IF(ISERROR(VLOOKUP(Base_Periodo1[[#This Row],[CONTA]],BaseContasDRE[#All],5,FALSE)),"Fora do DRE",VLOOKUP(Base_Periodo1[[#This Row],[CONTA]],BaseContasDRE[#All],6,FALSE))</f>
        <v>Fora do DRE</v>
      </c>
      <c r="U460" s="3" t="str">
        <f>IF(ISERROR(VLOOKUP(Base_Periodo1[[#This Row],[CONTA]],BaseContasDRE[#All],7,FALSE)),"Fora do DRE",VLOOKUP(Base_Periodo1[[#This Row],[CONTA]],BaseContasDRE[#All],7,FALSE))</f>
        <v>Fora do DRE</v>
      </c>
      <c r="V460" s="3" t="str">
        <f>IF(Base_Periodo1[[#This Row],[Tipo_Linha]]="Fora do DRE","Fora do DRE","( "&amp;Base_Periodo1[[#This Row],[Tipo_Linha]]&amp;" ) "&amp;Base_Periodo1[[#This Row],[Filtro]])</f>
        <v>Fora do DRE</v>
      </c>
      <c r="W460" s="3" t="str">
        <f>LEFT(Base_Periodo1[[#This Row],[CLASS]],3)</f>
        <v>1.1</v>
      </c>
    </row>
    <row r="461" spans="1:23" hidden="1">
      <c r="A461" s="3" t="str">
        <f t="shared" si="7"/>
        <v>Período 1</v>
      </c>
      <c r="B461">
        <v>49269</v>
      </c>
      <c r="C461" t="s">
        <v>503</v>
      </c>
      <c r="D461" t="s">
        <v>4242</v>
      </c>
      <c r="E461" s="3" t="str">
        <f>IF(LEN(Base_Periodo1[[#This Row],[CLASS]])&gt;=7,LEFT(Base_Periodo1[[#This Row],[CLASS]],7),"")</f>
        <v>1.1.2.1</v>
      </c>
      <c r="F461" s="3" t="str">
        <f>VLOOKUP(Base_Periodo1[[#This Row],[Aux]],Base_Contas_Balanco[#All],2,FALSE)</f>
        <v>Creditos com Cooperados</v>
      </c>
      <c r="G461" s="1">
        <v>42515</v>
      </c>
      <c r="H461" s="225">
        <v>20840</v>
      </c>
      <c r="I461" s="225">
        <v>0</v>
      </c>
      <c r="J461" s="225">
        <v>0</v>
      </c>
      <c r="K461" s="225">
        <v>20840</v>
      </c>
      <c r="L4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20840</v>
      </c>
      <c r="M461" s="225">
        <f>ROUND(IF(AND(Base_Periodo1[[#This Row],[Tipo_Linha]]="-",Base_Periodo1[[#This Row],[TIPOSALDO]]="D"),Base_Periodo1[[#This Row],[SALDO_ATUAL]]*-1,Base_Periodo1[[#This Row],[SALDO_ATUAL]]),4)</f>
        <v>20840</v>
      </c>
      <c r="N461" t="s">
        <v>116</v>
      </c>
      <c r="O461" t="s">
        <v>397</v>
      </c>
      <c r="P461" t="s">
        <v>397</v>
      </c>
      <c r="Q461">
        <v>7</v>
      </c>
      <c r="R461" s="225">
        <f>Base_Periodo1[[#This Row],[CREDITOS]]-Base_Periodo1[[#This Row],[DEBITOS]]</f>
        <v>0</v>
      </c>
      <c r="S461" s="3" t="str">
        <f>IF(ISERROR(VLOOKUP(Base_Periodo1[[#This Row],[CONTA]],BaseContasDRE[#All],4,FALSE)),"Fora do DRE",VLOOKUP(Base_Periodo1[[#This Row],[CONTA]],BaseContasDRE[#All],4,FALSE))</f>
        <v>Fora do DRE</v>
      </c>
      <c r="T461" s="3" t="str">
        <f>IF(ISERROR(VLOOKUP(Base_Periodo1[[#This Row],[CONTA]],BaseContasDRE[#All],5,FALSE)),"Fora do DRE",VLOOKUP(Base_Periodo1[[#This Row],[CONTA]],BaseContasDRE[#All],6,FALSE))</f>
        <v>Fora do DRE</v>
      </c>
      <c r="U461" s="3" t="str">
        <f>IF(ISERROR(VLOOKUP(Base_Periodo1[[#This Row],[CONTA]],BaseContasDRE[#All],7,FALSE)),"Fora do DRE",VLOOKUP(Base_Periodo1[[#This Row],[CONTA]],BaseContasDRE[#All],7,FALSE))</f>
        <v>Fora do DRE</v>
      </c>
      <c r="V461" s="3" t="str">
        <f>IF(Base_Periodo1[[#This Row],[Tipo_Linha]]="Fora do DRE","Fora do DRE","( "&amp;Base_Periodo1[[#This Row],[Tipo_Linha]]&amp;" ) "&amp;Base_Periodo1[[#This Row],[Filtro]])</f>
        <v>Fora do DRE</v>
      </c>
      <c r="W461" s="3" t="str">
        <f>LEFT(Base_Periodo1[[#This Row],[CLASS]],3)</f>
        <v>1.1</v>
      </c>
    </row>
    <row r="462" spans="1:23" hidden="1">
      <c r="A462" s="3" t="str">
        <f t="shared" si="7"/>
        <v>Período 1</v>
      </c>
      <c r="B462">
        <v>8364</v>
      </c>
      <c r="C462" t="s">
        <v>503</v>
      </c>
      <c r="D462" t="s">
        <v>728</v>
      </c>
      <c r="E462" s="3" t="str">
        <f>IF(LEN(Base_Periodo1[[#This Row],[CLASS]])&gt;=7,LEFT(Base_Periodo1[[#This Row],[CLASS]],7),"")</f>
        <v>1.1.2.1</v>
      </c>
      <c r="F462" s="3" t="str">
        <f>VLOOKUP(Base_Periodo1[[#This Row],[Aux]],Base_Contas_Balanco[#All],2,FALSE)</f>
        <v>Creditos com Cooperados</v>
      </c>
      <c r="G462" s="1">
        <v>42860</v>
      </c>
      <c r="H462" s="225">
        <v>0.26000000047497451</v>
      </c>
      <c r="I462" s="225">
        <v>284</v>
      </c>
      <c r="J462" s="225">
        <v>0</v>
      </c>
      <c r="K462" s="225">
        <v>284.26000000047497</v>
      </c>
      <c r="L4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284.26</v>
      </c>
      <c r="M462" s="225">
        <f>ROUND(IF(AND(Base_Periodo1[[#This Row],[Tipo_Linha]]="-",Base_Periodo1[[#This Row],[TIPOSALDO]]="D"),Base_Periodo1[[#This Row],[SALDO_ATUAL]]*-1,Base_Periodo1[[#This Row],[SALDO_ATUAL]]),4)</f>
        <v>284.26</v>
      </c>
      <c r="N462" t="s">
        <v>116</v>
      </c>
      <c r="O462" t="s">
        <v>397</v>
      </c>
      <c r="P462" t="s">
        <v>397</v>
      </c>
      <c r="Q462">
        <v>7</v>
      </c>
      <c r="R462" s="225">
        <f>Base_Periodo1[[#This Row],[CREDITOS]]-Base_Periodo1[[#This Row],[DEBITOS]]</f>
        <v>-284</v>
      </c>
      <c r="S462" s="3" t="str">
        <f>IF(ISERROR(VLOOKUP(Base_Periodo1[[#This Row],[CONTA]],BaseContasDRE[#All],4,FALSE)),"Fora do DRE",VLOOKUP(Base_Periodo1[[#This Row],[CONTA]],BaseContasDRE[#All],4,FALSE))</f>
        <v>Fora do DRE</v>
      </c>
      <c r="T462" s="3" t="str">
        <f>IF(ISERROR(VLOOKUP(Base_Periodo1[[#This Row],[CONTA]],BaseContasDRE[#All],5,FALSE)),"Fora do DRE",VLOOKUP(Base_Periodo1[[#This Row],[CONTA]],BaseContasDRE[#All],6,FALSE))</f>
        <v>Fora do DRE</v>
      </c>
      <c r="U462" s="3" t="str">
        <f>IF(ISERROR(VLOOKUP(Base_Periodo1[[#This Row],[CONTA]],BaseContasDRE[#All],7,FALSE)),"Fora do DRE",VLOOKUP(Base_Periodo1[[#This Row],[CONTA]],BaseContasDRE[#All],7,FALSE))</f>
        <v>Fora do DRE</v>
      </c>
      <c r="V462" s="3" t="str">
        <f>IF(Base_Periodo1[[#This Row],[Tipo_Linha]]="Fora do DRE","Fora do DRE","( "&amp;Base_Periodo1[[#This Row],[Tipo_Linha]]&amp;" ) "&amp;Base_Periodo1[[#This Row],[Filtro]])</f>
        <v>Fora do DRE</v>
      </c>
      <c r="W462" s="3" t="str">
        <f>LEFT(Base_Periodo1[[#This Row],[CLASS]],3)</f>
        <v>1.1</v>
      </c>
    </row>
    <row r="463" spans="1:23" hidden="1">
      <c r="A463" s="3" t="str">
        <f t="shared" si="7"/>
        <v>Período 1</v>
      </c>
      <c r="B463">
        <v>4224</v>
      </c>
      <c r="C463" t="s">
        <v>503</v>
      </c>
      <c r="D463" t="s">
        <v>729</v>
      </c>
      <c r="E463" s="3" t="str">
        <f>IF(LEN(Base_Periodo1[[#This Row],[CLASS]])&gt;=7,LEFT(Base_Periodo1[[#This Row],[CLASS]],7),"")</f>
        <v>1.1.2.1</v>
      </c>
      <c r="F463" s="3" t="str">
        <f>VLOOKUP(Base_Periodo1[[#This Row],[Aux]],Base_Contas_Balanco[#All],2,FALSE)</f>
        <v>Creditos com Cooperados</v>
      </c>
      <c r="G463" s="1">
        <v>42808</v>
      </c>
      <c r="H463" s="225">
        <v>75.980000000010477</v>
      </c>
      <c r="I463" s="225">
        <v>0</v>
      </c>
      <c r="J463" s="225">
        <v>0</v>
      </c>
      <c r="K463" s="225">
        <v>75.980000000010477</v>
      </c>
      <c r="L4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75.98</v>
      </c>
      <c r="M463" s="225">
        <f>ROUND(IF(AND(Base_Periodo1[[#This Row],[Tipo_Linha]]="-",Base_Periodo1[[#This Row],[TIPOSALDO]]="D"),Base_Periodo1[[#This Row],[SALDO_ATUAL]]*-1,Base_Periodo1[[#This Row],[SALDO_ATUAL]]),4)</f>
        <v>75.98</v>
      </c>
      <c r="N463" t="s">
        <v>116</v>
      </c>
      <c r="O463" t="s">
        <v>397</v>
      </c>
      <c r="P463" t="s">
        <v>397</v>
      </c>
      <c r="Q463">
        <v>7</v>
      </c>
      <c r="R463" s="225">
        <f>Base_Periodo1[[#This Row],[CREDITOS]]-Base_Periodo1[[#This Row],[DEBITOS]]</f>
        <v>0</v>
      </c>
      <c r="S463" s="3" t="str">
        <f>IF(ISERROR(VLOOKUP(Base_Periodo1[[#This Row],[CONTA]],BaseContasDRE[#All],4,FALSE)),"Fora do DRE",VLOOKUP(Base_Periodo1[[#This Row],[CONTA]],BaseContasDRE[#All],4,FALSE))</f>
        <v>Fora do DRE</v>
      </c>
      <c r="T463" s="3" t="str">
        <f>IF(ISERROR(VLOOKUP(Base_Periodo1[[#This Row],[CONTA]],BaseContasDRE[#All],5,FALSE)),"Fora do DRE",VLOOKUP(Base_Periodo1[[#This Row],[CONTA]],BaseContasDRE[#All],6,FALSE))</f>
        <v>Fora do DRE</v>
      </c>
      <c r="U463" s="3" t="str">
        <f>IF(ISERROR(VLOOKUP(Base_Periodo1[[#This Row],[CONTA]],BaseContasDRE[#All],7,FALSE)),"Fora do DRE",VLOOKUP(Base_Periodo1[[#This Row],[CONTA]],BaseContasDRE[#All],7,FALSE))</f>
        <v>Fora do DRE</v>
      </c>
      <c r="V463" s="3" t="str">
        <f>IF(Base_Periodo1[[#This Row],[Tipo_Linha]]="Fora do DRE","Fora do DRE","( "&amp;Base_Periodo1[[#This Row],[Tipo_Linha]]&amp;" ) "&amp;Base_Periodo1[[#This Row],[Filtro]])</f>
        <v>Fora do DRE</v>
      </c>
      <c r="W463" s="3" t="str">
        <f>LEFT(Base_Periodo1[[#This Row],[CLASS]],3)</f>
        <v>1.1</v>
      </c>
    </row>
    <row r="464" spans="1:23" hidden="1">
      <c r="A464" s="3" t="str">
        <f t="shared" si="7"/>
        <v>Período 1</v>
      </c>
      <c r="B464">
        <v>2808</v>
      </c>
      <c r="C464" t="s">
        <v>503</v>
      </c>
      <c r="D464" t="s">
        <v>4734</v>
      </c>
      <c r="E464" s="3" t="str">
        <f>IF(LEN(Base_Periodo1[[#This Row],[CLASS]])&gt;=7,LEFT(Base_Periodo1[[#This Row],[CLASS]],7),"")</f>
        <v>1.1.2.1</v>
      </c>
      <c r="F464" s="3" t="str">
        <f>VLOOKUP(Base_Periodo1[[#This Row],[Aux]],Base_Contas_Balanco[#All],2,FALSE)</f>
        <v>Creditos com Cooperados</v>
      </c>
      <c r="G464" s="1">
        <v>42881</v>
      </c>
      <c r="H464" s="225">
        <v>289.9999999999709</v>
      </c>
      <c r="I464" s="225">
        <v>13.93</v>
      </c>
      <c r="J464" s="225">
        <v>303.93</v>
      </c>
      <c r="K464" s="225">
        <v>-2.9103830456733704E-11</v>
      </c>
      <c r="L4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64" s="225">
        <f>ROUND(IF(AND(Base_Periodo1[[#This Row],[Tipo_Linha]]="-",Base_Periodo1[[#This Row],[TIPOSALDO]]="D"),Base_Periodo1[[#This Row],[SALDO_ATUAL]]*-1,Base_Periodo1[[#This Row],[SALDO_ATUAL]]),4)</f>
        <v>0</v>
      </c>
      <c r="N464" t="s">
        <v>116</v>
      </c>
      <c r="O464" t="s">
        <v>397</v>
      </c>
      <c r="P464" t="s">
        <v>436</v>
      </c>
      <c r="Q464">
        <v>7</v>
      </c>
      <c r="R464" s="225">
        <f>Base_Periodo1[[#This Row],[CREDITOS]]-Base_Periodo1[[#This Row],[DEBITOS]]</f>
        <v>290</v>
      </c>
      <c r="S464" s="3" t="str">
        <f>IF(ISERROR(VLOOKUP(Base_Periodo1[[#This Row],[CONTA]],BaseContasDRE[#All],4,FALSE)),"Fora do DRE",VLOOKUP(Base_Periodo1[[#This Row],[CONTA]],BaseContasDRE[#All],4,FALSE))</f>
        <v>Fora do DRE</v>
      </c>
      <c r="T464" s="3" t="str">
        <f>IF(ISERROR(VLOOKUP(Base_Periodo1[[#This Row],[CONTA]],BaseContasDRE[#All],5,FALSE)),"Fora do DRE",VLOOKUP(Base_Periodo1[[#This Row],[CONTA]],BaseContasDRE[#All],6,FALSE))</f>
        <v>Fora do DRE</v>
      </c>
      <c r="U464" s="3" t="str">
        <f>IF(ISERROR(VLOOKUP(Base_Periodo1[[#This Row],[CONTA]],BaseContasDRE[#All],7,FALSE)),"Fora do DRE",VLOOKUP(Base_Periodo1[[#This Row],[CONTA]],BaseContasDRE[#All],7,FALSE))</f>
        <v>Fora do DRE</v>
      </c>
      <c r="V464" s="3" t="str">
        <f>IF(Base_Periodo1[[#This Row],[Tipo_Linha]]="Fora do DRE","Fora do DRE","( "&amp;Base_Periodo1[[#This Row],[Tipo_Linha]]&amp;" ) "&amp;Base_Periodo1[[#This Row],[Filtro]])</f>
        <v>Fora do DRE</v>
      </c>
      <c r="W464" s="3" t="str">
        <f>LEFT(Base_Periodo1[[#This Row],[CLASS]],3)</f>
        <v>1.1</v>
      </c>
    </row>
    <row r="465" spans="1:23" hidden="1">
      <c r="A465" s="3" t="str">
        <f t="shared" si="7"/>
        <v>Período 1</v>
      </c>
      <c r="B465">
        <v>52975</v>
      </c>
      <c r="C465" t="s">
        <v>503</v>
      </c>
      <c r="D465" t="s">
        <v>4816</v>
      </c>
      <c r="E465" s="3" t="str">
        <f>IF(LEN(Base_Periodo1[[#This Row],[CLASS]])&gt;=7,LEFT(Base_Periodo1[[#This Row],[CLASS]],7),"")</f>
        <v>1.1.2.1</v>
      </c>
      <c r="F465" s="3" t="str">
        <f>VLOOKUP(Base_Periodo1[[#This Row],[Aux]],Base_Contas_Balanco[#All],2,FALSE)</f>
        <v>Creditos com Cooperados</v>
      </c>
      <c r="G465" s="1">
        <v>42868</v>
      </c>
      <c r="H465" s="225">
        <v>45685.650000000009</v>
      </c>
      <c r="I465" s="225">
        <v>8136.6399999999994</v>
      </c>
      <c r="J465" s="225">
        <v>6188.32</v>
      </c>
      <c r="K465" s="225">
        <v>47633.970000000008</v>
      </c>
      <c r="L4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47633.97</v>
      </c>
      <c r="M465" s="225">
        <f>ROUND(IF(AND(Base_Periodo1[[#This Row],[Tipo_Linha]]="-",Base_Periodo1[[#This Row],[TIPOSALDO]]="D"),Base_Periodo1[[#This Row],[SALDO_ATUAL]]*-1,Base_Periodo1[[#This Row],[SALDO_ATUAL]]),4)</f>
        <v>47633.97</v>
      </c>
      <c r="N465" t="s">
        <v>116</v>
      </c>
      <c r="O465" t="s">
        <v>397</v>
      </c>
      <c r="P465" t="s">
        <v>397</v>
      </c>
      <c r="Q465">
        <v>7</v>
      </c>
      <c r="R465" s="225">
        <f>Base_Periodo1[[#This Row],[CREDITOS]]-Base_Periodo1[[#This Row],[DEBITOS]]</f>
        <v>-1948.3199999999997</v>
      </c>
      <c r="S465" s="3" t="str">
        <f>IF(ISERROR(VLOOKUP(Base_Periodo1[[#This Row],[CONTA]],BaseContasDRE[#All],4,FALSE)),"Fora do DRE",VLOOKUP(Base_Periodo1[[#This Row],[CONTA]],BaseContasDRE[#All],4,FALSE))</f>
        <v>Fora do DRE</v>
      </c>
      <c r="T465" s="3" t="str">
        <f>IF(ISERROR(VLOOKUP(Base_Periodo1[[#This Row],[CONTA]],BaseContasDRE[#All],5,FALSE)),"Fora do DRE",VLOOKUP(Base_Periodo1[[#This Row],[CONTA]],BaseContasDRE[#All],6,FALSE))</f>
        <v>Fora do DRE</v>
      </c>
      <c r="U465" s="3" t="str">
        <f>IF(ISERROR(VLOOKUP(Base_Periodo1[[#This Row],[CONTA]],BaseContasDRE[#All],7,FALSE)),"Fora do DRE",VLOOKUP(Base_Periodo1[[#This Row],[CONTA]],BaseContasDRE[#All],7,FALSE))</f>
        <v>Fora do DRE</v>
      </c>
      <c r="V465" s="3" t="str">
        <f>IF(Base_Periodo1[[#This Row],[Tipo_Linha]]="Fora do DRE","Fora do DRE","( "&amp;Base_Periodo1[[#This Row],[Tipo_Linha]]&amp;" ) "&amp;Base_Periodo1[[#This Row],[Filtro]])</f>
        <v>Fora do DRE</v>
      </c>
      <c r="W465" s="3" t="str">
        <f>LEFT(Base_Periodo1[[#This Row],[CLASS]],3)</f>
        <v>1.1</v>
      </c>
    </row>
    <row r="466" spans="1:23" hidden="1">
      <c r="A466" s="3" t="str">
        <f t="shared" si="7"/>
        <v>Período 1</v>
      </c>
      <c r="B466">
        <v>2992</v>
      </c>
      <c r="C466" t="s">
        <v>503</v>
      </c>
      <c r="D466" t="s">
        <v>5149</v>
      </c>
      <c r="E466" s="3" t="str">
        <f>IF(LEN(Base_Periodo1[[#This Row],[CLASS]])&gt;=7,LEFT(Base_Periodo1[[#This Row],[CLASS]],7),"")</f>
        <v>1.1.2.1</v>
      </c>
      <c r="F466" s="3" t="str">
        <f>VLOOKUP(Base_Periodo1[[#This Row],[Aux]],Base_Contas_Balanco[#All],2,FALSE)</f>
        <v>Creditos com Cooperados</v>
      </c>
      <c r="G466" s="1">
        <v>42884</v>
      </c>
      <c r="H466" s="225">
        <v>7699.2000000000116</v>
      </c>
      <c r="I466" s="225">
        <v>980</v>
      </c>
      <c r="J466" s="225">
        <v>8679.2000000000007</v>
      </c>
      <c r="K466" s="225">
        <v>1.0913936421275139E-11</v>
      </c>
      <c r="L4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66" s="225">
        <f>ROUND(IF(AND(Base_Periodo1[[#This Row],[Tipo_Linha]]="-",Base_Periodo1[[#This Row],[TIPOSALDO]]="D"),Base_Periodo1[[#This Row],[SALDO_ATUAL]]*-1,Base_Periodo1[[#This Row],[SALDO_ATUAL]]),4)</f>
        <v>0</v>
      </c>
      <c r="N466" t="s">
        <v>116</v>
      </c>
      <c r="O466" t="s">
        <v>397</v>
      </c>
      <c r="P466" t="s">
        <v>436</v>
      </c>
      <c r="Q466">
        <v>7</v>
      </c>
      <c r="R466" s="225">
        <f>Base_Periodo1[[#This Row],[CREDITOS]]-Base_Periodo1[[#This Row],[DEBITOS]]</f>
        <v>7699.2000000000007</v>
      </c>
      <c r="S466" s="3" t="str">
        <f>IF(ISERROR(VLOOKUP(Base_Periodo1[[#This Row],[CONTA]],BaseContasDRE[#All],4,FALSE)),"Fora do DRE",VLOOKUP(Base_Periodo1[[#This Row],[CONTA]],BaseContasDRE[#All],4,FALSE))</f>
        <v>Fora do DRE</v>
      </c>
      <c r="T466" s="3" t="str">
        <f>IF(ISERROR(VLOOKUP(Base_Periodo1[[#This Row],[CONTA]],BaseContasDRE[#All],5,FALSE)),"Fora do DRE",VLOOKUP(Base_Periodo1[[#This Row],[CONTA]],BaseContasDRE[#All],6,FALSE))</f>
        <v>Fora do DRE</v>
      </c>
      <c r="U466" s="3" t="str">
        <f>IF(ISERROR(VLOOKUP(Base_Periodo1[[#This Row],[CONTA]],BaseContasDRE[#All],7,FALSE)),"Fora do DRE",VLOOKUP(Base_Periodo1[[#This Row],[CONTA]],BaseContasDRE[#All],7,FALSE))</f>
        <v>Fora do DRE</v>
      </c>
      <c r="V466" s="3" t="str">
        <f>IF(Base_Periodo1[[#This Row],[Tipo_Linha]]="Fora do DRE","Fora do DRE","( "&amp;Base_Periodo1[[#This Row],[Tipo_Linha]]&amp;" ) "&amp;Base_Periodo1[[#This Row],[Filtro]])</f>
        <v>Fora do DRE</v>
      </c>
      <c r="W466" s="3" t="str">
        <f>LEFT(Base_Periodo1[[#This Row],[CLASS]],3)</f>
        <v>1.1</v>
      </c>
    </row>
    <row r="467" spans="1:23" hidden="1">
      <c r="A467" s="3" t="str">
        <f t="shared" si="7"/>
        <v>Período 1</v>
      </c>
      <c r="B467">
        <v>14893</v>
      </c>
      <c r="C467" t="s">
        <v>503</v>
      </c>
      <c r="D467" t="s">
        <v>730</v>
      </c>
      <c r="E467" s="3" t="str">
        <f>IF(LEN(Base_Periodo1[[#This Row],[CLASS]])&gt;=7,LEFT(Base_Periodo1[[#This Row],[CLASS]],7),"")</f>
        <v>1.1.2.1</v>
      </c>
      <c r="F467" s="3" t="str">
        <f>VLOOKUP(Base_Periodo1[[#This Row],[Aux]],Base_Contas_Balanco[#All],2,FALSE)</f>
        <v>Creditos com Cooperados</v>
      </c>
      <c r="G467" s="1">
        <v>42881</v>
      </c>
      <c r="H467" s="225">
        <v>21698.930000000168</v>
      </c>
      <c r="I467" s="225">
        <v>5313.68</v>
      </c>
      <c r="J467" s="225">
        <v>26503.68</v>
      </c>
      <c r="K467" s="225">
        <v>508.93000000016764</v>
      </c>
      <c r="L4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508.93</v>
      </c>
      <c r="M467" s="225">
        <f>ROUND(IF(AND(Base_Periodo1[[#This Row],[Tipo_Linha]]="-",Base_Periodo1[[#This Row],[TIPOSALDO]]="D"),Base_Periodo1[[#This Row],[SALDO_ATUAL]]*-1,Base_Periodo1[[#This Row],[SALDO_ATUAL]]),4)</f>
        <v>508.93</v>
      </c>
      <c r="N467" t="s">
        <v>116</v>
      </c>
      <c r="O467" t="s">
        <v>397</v>
      </c>
      <c r="P467" t="s">
        <v>397</v>
      </c>
      <c r="Q467">
        <v>7</v>
      </c>
      <c r="R467" s="225">
        <f>Base_Periodo1[[#This Row],[CREDITOS]]-Base_Periodo1[[#This Row],[DEBITOS]]</f>
        <v>21190</v>
      </c>
      <c r="S467" s="3" t="str">
        <f>IF(ISERROR(VLOOKUP(Base_Periodo1[[#This Row],[CONTA]],BaseContasDRE[#All],4,FALSE)),"Fora do DRE",VLOOKUP(Base_Periodo1[[#This Row],[CONTA]],BaseContasDRE[#All],4,FALSE))</f>
        <v>Fora do DRE</v>
      </c>
      <c r="T467" s="3" t="str">
        <f>IF(ISERROR(VLOOKUP(Base_Periodo1[[#This Row],[CONTA]],BaseContasDRE[#All],5,FALSE)),"Fora do DRE",VLOOKUP(Base_Periodo1[[#This Row],[CONTA]],BaseContasDRE[#All],6,FALSE))</f>
        <v>Fora do DRE</v>
      </c>
      <c r="U467" s="3" t="str">
        <f>IF(ISERROR(VLOOKUP(Base_Periodo1[[#This Row],[CONTA]],BaseContasDRE[#All],7,FALSE)),"Fora do DRE",VLOOKUP(Base_Periodo1[[#This Row],[CONTA]],BaseContasDRE[#All],7,FALSE))</f>
        <v>Fora do DRE</v>
      </c>
      <c r="V467" s="3" t="str">
        <f>IF(Base_Periodo1[[#This Row],[Tipo_Linha]]="Fora do DRE","Fora do DRE","( "&amp;Base_Periodo1[[#This Row],[Tipo_Linha]]&amp;" ) "&amp;Base_Periodo1[[#This Row],[Filtro]])</f>
        <v>Fora do DRE</v>
      </c>
      <c r="W467" s="3" t="str">
        <f>LEFT(Base_Periodo1[[#This Row],[CLASS]],3)</f>
        <v>1.1</v>
      </c>
    </row>
    <row r="468" spans="1:23" hidden="1">
      <c r="A468" s="3" t="str">
        <f t="shared" si="7"/>
        <v>Período 1</v>
      </c>
      <c r="B468">
        <v>5244</v>
      </c>
      <c r="C468" t="s">
        <v>503</v>
      </c>
      <c r="D468" t="s">
        <v>731</v>
      </c>
      <c r="E468" s="3" t="str">
        <f>IF(LEN(Base_Periodo1[[#This Row],[CLASS]])&gt;=7,LEFT(Base_Periodo1[[#This Row],[CLASS]],7),"")</f>
        <v>1.1.2.1</v>
      </c>
      <c r="F468" s="3" t="str">
        <f>VLOOKUP(Base_Periodo1[[#This Row],[Aux]],Base_Contas_Balanco[#All],2,FALSE)</f>
        <v>Creditos com Cooperados</v>
      </c>
      <c r="G468" s="1">
        <v>42870</v>
      </c>
      <c r="H468" s="225">
        <v>33223.560000000289</v>
      </c>
      <c r="I468" s="225">
        <v>30254.479999999996</v>
      </c>
      <c r="J468" s="225">
        <v>27954.22</v>
      </c>
      <c r="K468" s="225">
        <v>35523.820000000283</v>
      </c>
      <c r="L4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35523.82</v>
      </c>
      <c r="M468" s="225">
        <f>ROUND(IF(AND(Base_Periodo1[[#This Row],[Tipo_Linha]]="-",Base_Periodo1[[#This Row],[TIPOSALDO]]="D"),Base_Periodo1[[#This Row],[SALDO_ATUAL]]*-1,Base_Periodo1[[#This Row],[SALDO_ATUAL]]),4)</f>
        <v>35523.82</v>
      </c>
      <c r="N468" t="s">
        <v>116</v>
      </c>
      <c r="O468" t="s">
        <v>397</v>
      </c>
      <c r="P468" t="s">
        <v>397</v>
      </c>
      <c r="Q468">
        <v>7</v>
      </c>
      <c r="R468" s="225">
        <f>Base_Periodo1[[#This Row],[CREDITOS]]-Base_Periodo1[[#This Row],[DEBITOS]]</f>
        <v>-2300.2599999999948</v>
      </c>
      <c r="S468" s="3" t="str">
        <f>IF(ISERROR(VLOOKUP(Base_Periodo1[[#This Row],[CONTA]],BaseContasDRE[#All],4,FALSE)),"Fora do DRE",VLOOKUP(Base_Periodo1[[#This Row],[CONTA]],BaseContasDRE[#All],4,FALSE))</f>
        <v>Fora do DRE</v>
      </c>
      <c r="T468" s="3" t="str">
        <f>IF(ISERROR(VLOOKUP(Base_Periodo1[[#This Row],[CONTA]],BaseContasDRE[#All],5,FALSE)),"Fora do DRE",VLOOKUP(Base_Periodo1[[#This Row],[CONTA]],BaseContasDRE[#All],6,FALSE))</f>
        <v>Fora do DRE</v>
      </c>
      <c r="U468" s="3" t="str">
        <f>IF(ISERROR(VLOOKUP(Base_Periodo1[[#This Row],[CONTA]],BaseContasDRE[#All],7,FALSE)),"Fora do DRE",VLOOKUP(Base_Periodo1[[#This Row],[CONTA]],BaseContasDRE[#All],7,FALSE))</f>
        <v>Fora do DRE</v>
      </c>
      <c r="V468" s="3" t="str">
        <f>IF(Base_Periodo1[[#This Row],[Tipo_Linha]]="Fora do DRE","Fora do DRE","( "&amp;Base_Periodo1[[#This Row],[Tipo_Linha]]&amp;" ) "&amp;Base_Periodo1[[#This Row],[Filtro]])</f>
        <v>Fora do DRE</v>
      </c>
      <c r="W468" s="3" t="str">
        <f>LEFT(Base_Periodo1[[#This Row],[CLASS]],3)</f>
        <v>1.1</v>
      </c>
    </row>
    <row r="469" spans="1:23" hidden="1">
      <c r="A469" s="3" t="str">
        <f t="shared" si="7"/>
        <v>Período 1</v>
      </c>
      <c r="B469">
        <v>9596</v>
      </c>
      <c r="C469" t="s">
        <v>503</v>
      </c>
      <c r="D469" t="s">
        <v>5484</v>
      </c>
      <c r="E469" s="3" t="str">
        <f>IF(LEN(Base_Periodo1[[#This Row],[CLASS]])&gt;=7,LEFT(Base_Periodo1[[#This Row],[CLASS]],7),"")</f>
        <v>1.1.2.1</v>
      </c>
      <c r="F469" s="3" t="str">
        <f>VLOOKUP(Base_Periodo1[[#This Row],[Aux]],Base_Contas_Balanco[#All],2,FALSE)</f>
        <v>Creditos com Cooperados</v>
      </c>
      <c r="G469" s="1">
        <v>42881</v>
      </c>
      <c r="H469" s="225">
        <v>7971.4500000000407</v>
      </c>
      <c r="I469" s="225">
        <v>11189.24</v>
      </c>
      <c r="J469" s="225">
        <v>3866.24</v>
      </c>
      <c r="K469" s="225">
        <v>15294.450000000039</v>
      </c>
      <c r="L4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15294.45</v>
      </c>
      <c r="M469" s="225">
        <f>ROUND(IF(AND(Base_Periodo1[[#This Row],[Tipo_Linha]]="-",Base_Periodo1[[#This Row],[TIPOSALDO]]="D"),Base_Periodo1[[#This Row],[SALDO_ATUAL]]*-1,Base_Periodo1[[#This Row],[SALDO_ATUAL]]),4)</f>
        <v>15294.45</v>
      </c>
      <c r="N469" t="s">
        <v>116</v>
      </c>
      <c r="O469" t="s">
        <v>397</v>
      </c>
      <c r="P469" t="s">
        <v>397</v>
      </c>
      <c r="Q469">
        <v>7</v>
      </c>
      <c r="R469" s="225">
        <f>Base_Periodo1[[#This Row],[CREDITOS]]-Base_Periodo1[[#This Row],[DEBITOS]]</f>
        <v>-7323</v>
      </c>
      <c r="S469" s="3" t="str">
        <f>IF(ISERROR(VLOOKUP(Base_Periodo1[[#This Row],[CONTA]],BaseContasDRE[#All],4,FALSE)),"Fora do DRE",VLOOKUP(Base_Periodo1[[#This Row],[CONTA]],BaseContasDRE[#All],4,FALSE))</f>
        <v>Fora do DRE</v>
      </c>
      <c r="T469" s="3" t="str">
        <f>IF(ISERROR(VLOOKUP(Base_Periodo1[[#This Row],[CONTA]],BaseContasDRE[#All],5,FALSE)),"Fora do DRE",VLOOKUP(Base_Periodo1[[#This Row],[CONTA]],BaseContasDRE[#All],6,FALSE))</f>
        <v>Fora do DRE</v>
      </c>
      <c r="U469" s="3" t="str">
        <f>IF(ISERROR(VLOOKUP(Base_Periodo1[[#This Row],[CONTA]],BaseContasDRE[#All],7,FALSE)),"Fora do DRE",VLOOKUP(Base_Periodo1[[#This Row],[CONTA]],BaseContasDRE[#All],7,FALSE))</f>
        <v>Fora do DRE</v>
      </c>
      <c r="V469" s="3" t="str">
        <f>IF(Base_Periodo1[[#This Row],[Tipo_Linha]]="Fora do DRE","Fora do DRE","( "&amp;Base_Periodo1[[#This Row],[Tipo_Linha]]&amp;" ) "&amp;Base_Periodo1[[#This Row],[Filtro]])</f>
        <v>Fora do DRE</v>
      </c>
      <c r="W469" s="3" t="str">
        <f>LEFT(Base_Periodo1[[#This Row],[CLASS]],3)</f>
        <v>1.1</v>
      </c>
    </row>
    <row r="470" spans="1:23" hidden="1">
      <c r="A470" s="3" t="str">
        <f t="shared" si="7"/>
        <v>Período 1</v>
      </c>
      <c r="B470">
        <v>20337</v>
      </c>
      <c r="C470" t="s">
        <v>503</v>
      </c>
      <c r="D470" t="s">
        <v>4243</v>
      </c>
      <c r="E470" s="3" t="str">
        <f>IF(LEN(Base_Periodo1[[#This Row],[CLASS]])&gt;=7,LEFT(Base_Periodo1[[#This Row],[CLASS]],7),"")</f>
        <v>1.1.2.1</v>
      </c>
      <c r="F470" s="3" t="str">
        <f>VLOOKUP(Base_Periodo1[[#This Row],[Aux]],Base_Contas_Balanco[#All],2,FALSE)</f>
        <v>Creditos com Cooperados</v>
      </c>
      <c r="G470" s="1">
        <v>42885</v>
      </c>
      <c r="H470" s="225">
        <v>15212.800000000105</v>
      </c>
      <c r="I470" s="225">
        <v>0</v>
      </c>
      <c r="J470" s="225">
        <v>7891.8000000000011</v>
      </c>
      <c r="K470" s="225">
        <v>7321.0000000001037</v>
      </c>
      <c r="L4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7321</v>
      </c>
      <c r="M470" s="225">
        <f>ROUND(IF(AND(Base_Periodo1[[#This Row],[Tipo_Linha]]="-",Base_Periodo1[[#This Row],[TIPOSALDO]]="D"),Base_Periodo1[[#This Row],[SALDO_ATUAL]]*-1,Base_Periodo1[[#This Row],[SALDO_ATUAL]]),4)</f>
        <v>7321</v>
      </c>
      <c r="N470" t="s">
        <v>116</v>
      </c>
      <c r="O470" t="s">
        <v>397</v>
      </c>
      <c r="P470" t="s">
        <v>397</v>
      </c>
      <c r="Q470">
        <v>7</v>
      </c>
      <c r="R470" s="225">
        <f>Base_Periodo1[[#This Row],[CREDITOS]]-Base_Periodo1[[#This Row],[DEBITOS]]</f>
        <v>7891.8000000000011</v>
      </c>
      <c r="S470" s="3" t="str">
        <f>IF(ISERROR(VLOOKUP(Base_Periodo1[[#This Row],[CONTA]],BaseContasDRE[#All],4,FALSE)),"Fora do DRE",VLOOKUP(Base_Periodo1[[#This Row],[CONTA]],BaseContasDRE[#All],4,FALSE))</f>
        <v>Fora do DRE</v>
      </c>
      <c r="T470" s="3" t="str">
        <f>IF(ISERROR(VLOOKUP(Base_Periodo1[[#This Row],[CONTA]],BaseContasDRE[#All],5,FALSE)),"Fora do DRE",VLOOKUP(Base_Periodo1[[#This Row],[CONTA]],BaseContasDRE[#All],6,FALSE))</f>
        <v>Fora do DRE</v>
      </c>
      <c r="U470" s="3" t="str">
        <f>IF(ISERROR(VLOOKUP(Base_Periodo1[[#This Row],[CONTA]],BaseContasDRE[#All],7,FALSE)),"Fora do DRE",VLOOKUP(Base_Periodo1[[#This Row],[CONTA]],BaseContasDRE[#All],7,FALSE))</f>
        <v>Fora do DRE</v>
      </c>
      <c r="V470" s="3" t="str">
        <f>IF(Base_Periodo1[[#This Row],[Tipo_Linha]]="Fora do DRE","Fora do DRE","( "&amp;Base_Periodo1[[#This Row],[Tipo_Linha]]&amp;" ) "&amp;Base_Periodo1[[#This Row],[Filtro]])</f>
        <v>Fora do DRE</v>
      </c>
      <c r="W470" s="3" t="str">
        <f>LEFT(Base_Periodo1[[#This Row],[CLASS]],3)</f>
        <v>1.1</v>
      </c>
    </row>
    <row r="471" spans="1:23" hidden="1">
      <c r="A471" s="3" t="str">
        <f t="shared" si="7"/>
        <v>Período 1</v>
      </c>
      <c r="B471">
        <v>2396</v>
      </c>
      <c r="C471" t="s">
        <v>503</v>
      </c>
      <c r="D471" t="s">
        <v>4906</v>
      </c>
      <c r="E471" s="3" t="str">
        <f>IF(LEN(Base_Periodo1[[#This Row],[CLASS]])&gt;=7,LEFT(Base_Periodo1[[#This Row],[CLASS]],7),"")</f>
        <v>1.1.2.1</v>
      </c>
      <c r="F471" s="3" t="str">
        <f>VLOOKUP(Base_Periodo1[[#This Row],[Aux]],Base_Contas_Balanco[#All],2,FALSE)</f>
        <v>Creditos com Cooperados</v>
      </c>
      <c r="G471" s="1">
        <v>42870</v>
      </c>
      <c r="H471" s="225">
        <v>3100.0000000000582</v>
      </c>
      <c r="I471" s="225">
        <v>1752.5</v>
      </c>
      <c r="J471" s="225">
        <v>0</v>
      </c>
      <c r="K471" s="225">
        <v>4852.5000000000582</v>
      </c>
      <c r="L4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4852.5</v>
      </c>
      <c r="M471" s="225">
        <f>ROUND(IF(AND(Base_Periodo1[[#This Row],[Tipo_Linha]]="-",Base_Periodo1[[#This Row],[TIPOSALDO]]="D"),Base_Periodo1[[#This Row],[SALDO_ATUAL]]*-1,Base_Periodo1[[#This Row],[SALDO_ATUAL]]),4)</f>
        <v>4852.5</v>
      </c>
      <c r="N471" t="s">
        <v>116</v>
      </c>
      <c r="O471" t="s">
        <v>397</v>
      </c>
      <c r="P471" t="s">
        <v>397</v>
      </c>
      <c r="Q471">
        <v>7</v>
      </c>
      <c r="R471" s="225">
        <f>Base_Periodo1[[#This Row],[CREDITOS]]-Base_Periodo1[[#This Row],[DEBITOS]]</f>
        <v>-1752.5</v>
      </c>
      <c r="S471" s="3" t="str">
        <f>IF(ISERROR(VLOOKUP(Base_Periodo1[[#This Row],[CONTA]],BaseContasDRE[#All],4,FALSE)),"Fora do DRE",VLOOKUP(Base_Periodo1[[#This Row],[CONTA]],BaseContasDRE[#All],4,FALSE))</f>
        <v>Fora do DRE</v>
      </c>
      <c r="T471" s="3" t="str">
        <f>IF(ISERROR(VLOOKUP(Base_Periodo1[[#This Row],[CONTA]],BaseContasDRE[#All],5,FALSE)),"Fora do DRE",VLOOKUP(Base_Periodo1[[#This Row],[CONTA]],BaseContasDRE[#All],6,FALSE))</f>
        <v>Fora do DRE</v>
      </c>
      <c r="U471" s="3" t="str">
        <f>IF(ISERROR(VLOOKUP(Base_Periodo1[[#This Row],[CONTA]],BaseContasDRE[#All],7,FALSE)),"Fora do DRE",VLOOKUP(Base_Periodo1[[#This Row],[CONTA]],BaseContasDRE[#All],7,FALSE))</f>
        <v>Fora do DRE</v>
      </c>
      <c r="V471" s="3" t="str">
        <f>IF(Base_Periodo1[[#This Row],[Tipo_Linha]]="Fora do DRE","Fora do DRE","( "&amp;Base_Periodo1[[#This Row],[Tipo_Linha]]&amp;" ) "&amp;Base_Periodo1[[#This Row],[Filtro]])</f>
        <v>Fora do DRE</v>
      </c>
      <c r="W471" s="3" t="str">
        <f>LEFT(Base_Periodo1[[#This Row],[CLASS]],3)</f>
        <v>1.1</v>
      </c>
    </row>
    <row r="472" spans="1:23" hidden="1">
      <c r="A472" s="3" t="str">
        <f t="shared" si="7"/>
        <v>Período 1</v>
      </c>
      <c r="B472">
        <v>45891</v>
      </c>
      <c r="C472" t="s">
        <v>503</v>
      </c>
      <c r="D472" t="s">
        <v>4340</v>
      </c>
      <c r="E472" s="3" t="str">
        <f>IF(LEN(Base_Periodo1[[#This Row],[CLASS]])&gt;=7,LEFT(Base_Periodo1[[#This Row],[CLASS]],7),"")</f>
        <v>1.1.2.1</v>
      </c>
      <c r="F472" s="3" t="str">
        <f>VLOOKUP(Base_Periodo1[[#This Row],[Aux]],Base_Contas_Balanco[#All],2,FALSE)</f>
        <v>Creditos com Cooperados</v>
      </c>
      <c r="G472" s="1">
        <v>42852</v>
      </c>
      <c r="H472" s="225">
        <v>851276.59999999986</v>
      </c>
      <c r="I472" s="225">
        <v>0</v>
      </c>
      <c r="J472" s="225">
        <v>0</v>
      </c>
      <c r="K472" s="225">
        <v>851276.59999999986</v>
      </c>
      <c r="L4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851276.6</v>
      </c>
      <c r="M472" s="225">
        <f>ROUND(IF(AND(Base_Periodo1[[#This Row],[Tipo_Linha]]="-",Base_Periodo1[[#This Row],[TIPOSALDO]]="D"),Base_Periodo1[[#This Row],[SALDO_ATUAL]]*-1,Base_Periodo1[[#This Row],[SALDO_ATUAL]]),4)</f>
        <v>851276.6</v>
      </c>
      <c r="N472" t="s">
        <v>116</v>
      </c>
      <c r="O472" t="s">
        <v>397</v>
      </c>
      <c r="P472" t="s">
        <v>397</v>
      </c>
      <c r="Q472">
        <v>7</v>
      </c>
      <c r="R472" s="225">
        <f>Base_Periodo1[[#This Row],[CREDITOS]]-Base_Periodo1[[#This Row],[DEBITOS]]</f>
        <v>0</v>
      </c>
      <c r="S472" s="3" t="str">
        <f>IF(ISERROR(VLOOKUP(Base_Periodo1[[#This Row],[CONTA]],BaseContasDRE[#All],4,FALSE)),"Fora do DRE",VLOOKUP(Base_Periodo1[[#This Row],[CONTA]],BaseContasDRE[#All],4,FALSE))</f>
        <v>Fora do DRE</v>
      </c>
      <c r="T472" s="3" t="str">
        <f>IF(ISERROR(VLOOKUP(Base_Periodo1[[#This Row],[CONTA]],BaseContasDRE[#All],5,FALSE)),"Fora do DRE",VLOOKUP(Base_Periodo1[[#This Row],[CONTA]],BaseContasDRE[#All],6,FALSE))</f>
        <v>Fora do DRE</v>
      </c>
      <c r="U472" s="3" t="str">
        <f>IF(ISERROR(VLOOKUP(Base_Periodo1[[#This Row],[CONTA]],BaseContasDRE[#All],7,FALSE)),"Fora do DRE",VLOOKUP(Base_Periodo1[[#This Row],[CONTA]],BaseContasDRE[#All],7,FALSE))</f>
        <v>Fora do DRE</v>
      </c>
      <c r="V472" s="3" t="str">
        <f>IF(Base_Periodo1[[#This Row],[Tipo_Linha]]="Fora do DRE","Fora do DRE","( "&amp;Base_Periodo1[[#This Row],[Tipo_Linha]]&amp;" ) "&amp;Base_Periodo1[[#This Row],[Filtro]])</f>
        <v>Fora do DRE</v>
      </c>
      <c r="W472" s="3" t="str">
        <f>LEFT(Base_Periodo1[[#This Row],[CLASS]],3)</f>
        <v>1.1</v>
      </c>
    </row>
    <row r="473" spans="1:23" hidden="1">
      <c r="A473" s="3" t="str">
        <f t="shared" si="7"/>
        <v>Período 1</v>
      </c>
      <c r="B473">
        <v>3840</v>
      </c>
      <c r="C473" t="s">
        <v>503</v>
      </c>
      <c r="D473" t="s">
        <v>732</v>
      </c>
      <c r="E473" s="3" t="str">
        <f>IF(LEN(Base_Periodo1[[#This Row],[CLASS]])&gt;=7,LEFT(Base_Periodo1[[#This Row],[CLASS]],7),"")</f>
        <v>1.1.2.1</v>
      </c>
      <c r="F473" s="3" t="str">
        <f>VLOOKUP(Base_Periodo1[[#This Row],[Aux]],Base_Contas_Balanco[#All],2,FALSE)</f>
        <v>Creditos com Cooperados</v>
      </c>
      <c r="G473" s="1">
        <v>42865</v>
      </c>
      <c r="H473" s="225">
        <v>32828.70000000007</v>
      </c>
      <c r="I473" s="225">
        <v>1585</v>
      </c>
      <c r="J473" s="225">
        <v>0</v>
      </c>
      <c r="K473" s="225">
        <v>34413.70000000007</v>
      </c>
      <c r="L4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34413.699999999997</v>
      </c>
      <c r="M473" s="225">
        <f>ROUND(IF(AND(Base_Periodo1[[#This Row],[Tipo_Linha]]="-",Base_Periodo1[[#This Row],[TIPOSALDO]]="D"),Base_Periodo1[[#This Row],[SALDO_ATUAL]]*-1,Base_Periodo1[[#This Row],[SALDO_ATUAL]]),4)</f>
        <v>34413.699999999997</v>
      </c>
      <c r="N473" t="s">
        <v>116</v>
      </c>
      <c r="O473" t="s">
        <v>397</v>
      </c>
      <c r="P473" t="s">
        <v>397</v>
      </c>
      <c r="Q473">
        <v>7</v>
      </c>
      <c r="R473" s="225">
        <f>Base_Periodo1[[#This Row],[CREDITOS]]-Base_Periodo1[[#This Row],[DEBITOS]]</f>
        <v>-1585</v>
      </c>
      <c r="S473" s="3" t="str">
        <f>IF(ISERROR(VLOOKUP(Base_Periodo1[[#This Row],[CONTA]],BaseContasDRE[#All],4,FALSE)),"Fora do DRE",VLOOKUP(Base_Periodo1[[#This Row],[CONTA]],BaseContasDRE[#All],4,FALSE))</f>
        <v>Fora do DRE</v>
      </c>
      <c r="T473" s="3" t="str">
        <f>IF(ISERROR(VLOOKUP(Base_Periodo1[[#This Row],[CONTA]],BaseContasDRE[#All],5,FALSE)),"Fora do DRE",VLOOKUP(Base_Periodo1[[#This Row],[CONTA]],BaseContasDRE[#All],6,FALSE))</f>
        <v>Fora do DRE</v>
      </c>
      <c r="U473" s="3" t="str">
        <f>IF(ISERROR(VLOOKUP(Base_Periodo1[[#This Row],[CONTA]],BaseContasDRE[#All],7,FALSE)),"Fora do DRE",VLOOKUP(Base_Periodo1[[#This Row],[CONTA]],BaseContasDRE[#All],7,FALSE))</f>
        <v>Fora do DRE</v>
      </c>
      <c r="V473" s="3" t="str">
        <f>IF(Base_Periodo1[[#This Row],[Tipo_Linha]]="Fora do DRE","Fora do DRE","( "&amp;Base_Periodo1[[#This Row],[Tipo_Linha]]&amp;" ) "&amp;Base_Periodo1[[#This Row],[Filtro]])</f>
        <v>Fora do DRE</v>
      </c>
      <c r="W473" s="3" t="str">
        <f>LEFT(Base_Periodo1[[#This Row],[CLASS]],3)</f>
        <v>1.1</v>
      </c>
    </row>
    <row r="474" spans="1:23" hidden="1">
      <c r="A474" s="3" t="str">
        <f t="shared" si="7"/>
        <v>Período 1</v>
      </c>
      <c r="B474">
        <v>57921</v>
      </c>
      <c r="C474" t="s">
        <v>503</v>
      </c>
      <c r="D474" t="s">
        <v>5185</v>
      </c>
      <c r="E474" s="3" t="str">
        <f>IF(LEN(Base_Periodo1[[#This Row],[CLASS]])&gt;=7,LEFT(Base_Periodo1[[#This Row],[CLASS]],7),"")</f>
        <v>1.1.2.1</v>
      </c>
      <c r="F474" s="3" t="str">
        <f>VLOOKUP(Base_Periodo1[[#This Row],[Aux]],Base_Contas_Balanco[#All],2,FALSE)</f>
        <v>Creditos com Cooperados</v>
      </c>
      <c r="G474" s="1">
        <v>42853</v>
      </c>
      <c r="H474" s="225">
        <v>1745</v>
      </c>
      <c r="I474" s="225">
        <v>0</v>
      </c>
      <c r="J474" s="225">
        <v>0</v>
      </c>
      <c r="K474" s="225">
        <v>1745</v>
      </c>
      <c r="L4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1745</v>
      </c>
      <c r="M474" s="225">
        <f>ROUND(IF(AND(Base_Periodo1[[#This Row],[Tipo_Linha]]="-",Base_Periodo1[[#This Row],[TIPOSALDO]]="D"),Base_Periodo1[[#This Row],[SALDO_ATUAL]]*-1,Base_Periodo1[[#This Row],[SALDO_ATUAL]]),4)</f>
        <v>1745</v>
      </c>
      <c r="N474" t="s">
        <v>116</v>
      </c>
      <c r="O474" t="s">
        <v>397</v>
      </c>
      <c r="P474" t="s">
        <v>397</v>
      </c>
      <c r="Q474">
        <v>7</v>
      </c>
      <c r="R474" s="225">
        <f>Base_Periodo1[[#This Row],[CREDITOS]]-Base_Periodo1[[#This Row],[DEBITOS]]</f>
        <v>0</v>
      </c>
      <c r="S474" s="3" t="str">
        <f>IF(ISERROR(VLOOKUP(Base_Periodo1[[#This Row],[CONTA]],BaseContasDRE[#All],4,FALSE)),"Fora do DRE",VLOOKUP(Base_Periodo1[[#This Row],[CONTA]],BaseContasDRE[#All],4,FALSE))</f>
        <v>Fora do DRE</v>
      </c>
      <c r="T474" s="3" t="str">
        <f>IF(ISERROR(VLOOKUP(Base_Periodo1[[#This Row],[CONTA]],BaseContasDRE[#All],5,FALSE)),"Fora do DRE",VLOOKUP(Base_Periodo1[[#This Row],[CONTA]],BaseContasDRE[#All],6,FALSE))</f>
        <v>Fora do DRE</v>
      </c>
      <c r="U474" s="3" t="str">
        <f>IF(ISERROR(VLOOKUP(Base_Periodo1[[#This Row],[CONTA]],BaseContasDRE[#All],7,FALSE)),"Fora do DRE",VLOOKUP(Base_Periodo1[[#This Row],[CONTA]],BaseContasDRE[#All],7,FALSE))</f>
        <v>Fora do DRE</v>
      </c>
      <c r="V474" s="3" t="str">
        <f>IF(Base_Periodo1[[#This Row],[Tipo_Linha]]="Fora do DRE","Fora do DRE","( "&amp;Base_Periodo1[[#This Row],[Tipo_Linha]]&amp;" ) "&amp;Base_Periodo1[[#This Row],[Filtro]])</f>
        <v>Fora do DRE</v>
      </c>
      <c r="W474" s="3" t="str">
        <f>LEFT(Base_Periodo1[[#This Row],[CLASS]],3)</f>
        <v>1.1</v>
      </c>
    </row>
    <row r="475" spans="1:23" hidden="1">
      <c r="A475" s="3" t="str">
        <f t="shared" si="7"/>
        <v>Período 1</v>
      </c>
      <c r="B475">
        <v>3776</v>
      </c>
      <c r="C475" t="s">
        <v>503</v>
      </c>
      <c r="D475" t="s">
        <v>733</v>
      </c>
      <c r="E475" s="3" t="str">
        <f>IF(LEN(Base_Periodo1[[#This Row],[CLASS]])&gt;=7,LEFT(Base_Periodo1[[#This Row],[CLASS]],7),"")</f>
        <v>1.1.2.1</v>
      </c>
      <c r="F475" s="3" t="str">
        <f>VLOOKUP(Base_Periodo1[[#This Row],[Aux]],Base_Contas_Balanco[#All],2,FALSE)</f>
        <v>Creditos com Cooperados</v>
      </c>
      <c r="G475" s="1">
        <v>42857</v>
      </c>
      <c r="H475" s="225">
        <v>16647.879999998026</v>
      </c>
      <c r="I475" s="225">
        <v>0</v>
      </c>
      <c r="J475" s="225">
        <v>16647.88</v>
      </c>
      <c r="K475" s="225">
        <v>-1.9754224922508001E-9</v>
      </c>
      <c r="L4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75" s="225">
        <f>ROUND(IF(AND(Base_Periodo1[[#This Row],[Tipo_Linha]]="-",Base_Periodo1[[#This Row],[TIPOSALDO]]="D"),Base_Periodo1[[#This Row],[SALDO_ATUAL]]*-1,Base_Periodo1[[#This Row],[SALDO_ATUAL]]),4)</f>
        <v>0</v>
      </c>
      <c r="N475" t="s">
        <v>116</v>
      </c>
      <c r="O475" t="s">
        <v>397</v>
      </c>
      <c r="P475" t="s">
        <v>436</v>
      </c>
      <c r="Q475">
        <v>7</v>
      </c>
      <c r="R475" s="225">
        <f>Base_Periodo1[[#This Row],[CREDITOS]]-Base_Periodo1[[#This Row],[DEBITOS]]</f>
        <v>16647.88</v>
      </c>
      <c r="S475" s="3" t="str">
        <f>IF(ISERROR(VLOOKUP(Base_Periodo1[[#This Row],[CONTA]],BaseContasDRE[#All],4,FALSE)),"Fora do DRE",VLOOKUP(Base_Periodo1[[#This Row],[CONTA]],BaseContasDRE[#All],4,FALSE))</f>
        <v>Fora do DRE</v>
      </c>
      <c r="T475" s="3" t="str">
        <f>IF(ISERROR(VLOOKUP(Base_Periodo1[[#This Row],[CONTA]],BaseContasDRE[#All],5,FALSE)),"Fora do DRE",VLOOKUP(Base_Periodo1[[#This Row],[CONTA]],BaseContasDRE[#All],6,FALSE))</f>
        <v>Fora do DRE</v>
      </c>
      <c r="U475" s="3" t="str">
        <f>IF(ISERROR(VLOOKUP(Base_Periodo1[[#This Row],[CONTA]],BaseContasDRE[#All],7,FALSE)),"Fora do DRE",VLOOKUP(Base_Periodo1[[#This Row],[CONTA]],BaseContasDRE[#All],7,FALSE))</f>
        <v>Fora do DRE</v>
      </c>
      <c r="V475" s="3" t="str">
        <f>IF(Base_Periodo1[[#This Row],[Tipo_Linha]]="Fora do DRE","Fora do DRE","( "&amp;Base_Periodo1[[#This Row],[Tipo_Linha]]&amp;" ) "&amp;Base_Periodo1[[#This Row],[Filtro]])</f>
        <v>Fora do DRE</v>
      </c>
      <c r="W475" s="3" t="str">
        <f>LEFT(Base_Periodo1[[#This Row],[CLASS]],3)</f>
        <v>1.1</v>
      </c>
    </row>
    <row r="476" spans="1:23" hidden="1">
      <c r="A476" s="3" t="str">
        <f t="shared" si="7"/>
        <v>Período 1</v>
      </c>
      <c r="B476">
        <v>8504</v>
      </c>
      <c r="C476" t="s">
        <v>503</v>
      </c>
      <c r="D476" t="s">
        <v>735</v>
      </c>
      <c r="E476" s="3" t="str">
        <f>IF(LEN(Base_Periodo1[[#This Row],[CLASS]])&gt;=7,LEFT(Base_Periodo1[[#This Row],[CLASS]],7),"")</f>
        <v>1.1.2.1</v>
      </c>
      <c r="F476" s="3" t="str">
        <f>VLOOKUP(Base_Periodo1[[#This Row],[Aux]],Base_Contas_Balanco[#All],2,FALSE)</f>
        <v>Creditos com Cooperados</v>
      </c>
      <c r="G476" s="1">
        <v>42537</v>
      </c>
      <c r="H476" s="225">
        <v>7815.3500000000931</v>
      </c>
      <c r="I476" s="225">
        <v>0</v>
      </c>
      <c r="J476" s="225">
        <v>0</v>
      </c>
      <c r="K476" s="225">
        <v>7815.3500000000931</v>
      </c>
      <c r="L4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7815.35</v>
      </c>
      <c r="M476" s="225">
        <f>ROUND(IF(AND(Base_Periodo1[[#This Row],[Tipo_Linha]]="-",Base_Periodo1[[#This Row],[TIPOSALDO]]="D"),Base_Periodo1[[#This Row],[SALDO_ATUAL]]*-1,Base_Periodo1[[#This Row],[SALDO_ATUAL]]),4)</f>
        <v>7815.35</v>
      </c>
      <c r="N476" t="s">
        <v>116</v>
      </c>
      <c r="O476" t="s">
        <v>397</v>
      </c>
      <c r="P476" t="s">
        <v>397</v>
      </c>
      <c r="Q476">
        <v>7</v>
      </c>
      <c r="R476" s="225">
        <f>Base_Periodo1[[#This Row],[CREDITOS]]-Base_Periodo1[[#This Row],[DEBITOS]]</f>
        <v>0</v>
      </c>
      <c r="S476" s="3" t="str">
        <f>IF(ISERROR(VLOOKUP(Base_Periodo1[[#This Row],[CONTA]],BaseContasDRE[#All],4,FALSE)),"Fora do DRE",VLOOKUP(Base_Periodo1[[#This Row],[CONTA]],BaseContasDRE[#All],4,FALSE))</f>
        <v>Fora do DRE</v>
      </c>
      <c r="T476" s="3" t="str">
        <f>IF(ISERROR(VLOOKUP(Base_Periodo1[[#This Row],[CONTA]],BaseContasDRE[#All],5,FALSE)),"Fora do DRE",VLOOKUP(Base_Periodo1[[#This Row],[CONTA]],BaseContasDRE[#All],6,FALSE))</f>
        <v>Fora do DRE</v>
      </c>
      <c r="U476" s="3" t="str">
        <f>IF(ISERROR(VLOOKUP(Base_Periodo1[[#This Row],[CONTA]],BaseContasDRE[#All],7,FALSE)),"Fora do DRE",VLOOKUP(Base_Periodo1[[#This Row],[CONTA]],BaseContasDRE[#All],7,FALSE))</f>
        <v>Fora do DRE</v>
      </c>
      <c r="V476" s="3" t="str">
        <f>IF(Base_Periodo1[[#This Row],[Tipo_Linha]]="Fora do DRE","Fora do DRE","( "&amp;Base_Periodo1[[#This Row],[Tipo_Linha]]&amp;" ) "&amp;Base_Periodo1[[#This Row],[Filtro]])</f>
        <v>Fora do DRE</v>
      </c>
      <c r="W476" s="3" t="str">
        <f>LEFT(Base_Periodo1[[#This Row],[CLASS]],3)</f>
        <v>1.1</v>
      </c>
    </row>
    <row r="477" spans="1:23" hidden="1">
      <c r="A477" s="3" t="str">
        <f t="shared" si="7"/>
        <v>Período 1</v>
      </c>
      <c r="B477">
        <v>2324</v>
      </c>
      <c r="C477" t="s">
        <v>503</v>
      </c>
      <c r="D477" t="s">
        <v>736</v>
      </c>
      <c r="E477" s="3" t="str">
        <f>IF(LEN(Base_Periodo1[[#This Row],[CLASS]])&gt;=7,LEFT(Base_Periodo1[[#This Row],[CLASS]],7),"")</f>
        <v>1.1.2.1</v>
      </c>
      <c r="F477" s="3" t="str">
        <f>VLOOKUP(Base_Periodo1[[#This Row],[Aux]],Base_Contas_Balanco[#All],2,FALSE)</f>
        <v>Creditos com Cooperados</v>
      </c>
      <c r="G477" s="1">
        <v>42884</v>
      </c>
      <c r="H477" s="225">
        <v>0.43999999994412065</v>
      </c>
      <c r="I477" s="225">
        <v>110234.16</v>
      </c>
      <c r="J477" s="225">
        <v>110234.6</v>
      </c>
      <c r="K477" s="225">
        <v>-5.8207660913467407E-11</v>
      </c>
      <c r="L4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77" s="225">
        <f>ROUND(IF(AND(Base_Periodo1[[#This Row],[Tipo_Linha]]="-",Base_Periodo1[[#This Row],[TIPOSALDO]]="D"),Base_Periodo1[[#This Row],[SALDO_ATUAL]]*-1,Base_Periodo1[[#This Row],[SALDO_ATUAL]]),4)</f>
        <v>0</v>
      </c>
      <c r="N477" t="s">
        <v>116</v>
      </c>
      <c r="O477" t="s">
        <v>397</v>
      </c>
      <c r="P477" t="s">
        <v>436</v>
      </c>
      <c r="Q477">
        <v>7</v>
      </c>
      <c r="R477" s="225">
        <f>Base_Periodo1[[#This Row],[CREDITOS]]-Base_Periodo1[[#This Row],[DEBITOS]]</f>
        <v>0.44000000000232831</v>
      </c>
      <c r="S477" s="3" t="str">
        <f>IF(ISERROR(VLOOKUP(Base_Periodo1[[#This Row],[CONTA]],BaseContasDRE[#All],4,FALSE)),"Fora do DRE",VLOOKUP(Base_Periodo1[[#This Row],[CONTA]],BaseContasDRE[#All],4,FALSE))</f>
        <v>Fora do DRE</v>
      </c>
      <c r="T477" s="3" t="str">
        <f>IF(ISERROR(VLOOKUP(Base_Periodo1[[#This Row],[CONTA]],BaseContasDRE[#All],5,FALSE)),"Fora do DRE",VLOOKUP(Base_Periodo1[[#This Row],[CONTA]],BaseContasDRE[#All],6,FALSE))</f>
        <v>Fora do DRE</v>
      </c>
      <c r="U477" s="3" t="str">
        <f>IF(ISERROR(VLOOKUP(Base_Periodo1[[#This Row],[CONTA]],BaseContasDRE[#All],7,FALSE)),"Fora do DRE",VLOOKUP(Base_Periodo1[[#This Row],[CONTA]],BaseContasDRE[#All],7,FALSE))</f>
        <v>Fora do DRE</v>
      </c>
      <c r="V477" s="3" t="str">
        <f>IF(Base_Periodo1[[#This Row],[Tipo_Linha]]="Fora do DRE","Fora do DRE","( "&amp;Base_Periodo1[[#This Row],[Tipo_Linha]]&amp;" ) "&amp;Base_Periodo1[[#This Row],[Filtro]])</f>
        <v>Fora do DRE</v>
      </c>
      <c r="W477" s="3" t="str">
        <f>LEFT(Base_Periodo1[[#This Row],[CLASS]],3)</f>
        <v>1.1</v>
      </c>
    </row>
    <row r="478" spans="1:23" hidden="1">
      <c r="A478" s="3" t="str">
        <f t="shared" si="7"/>
        <v>Período 1</v>
      </c>
      <c r="B478">
        <v>48426</v>
      </c>
      <c r="C478" t="s">
        <v>503</v>
      </c>
      <c r="D478" t="s">
        <v>5150</v>
      </c>
      <c r="E478" s="3" t="str">
        <f>IF(LEN(Base_Periodo1[[#This Row],[CLASS]])&gt;=7,LEFT(Base_Periodo1[[#This Row],[CLASS]],7),"")</f>
        <v>1.1.2.1</v>
      </c>
      <c r="F478" s="3" t="str">
        <f>VLOOKUP(Base_Periodo1[[#This Row],[Aux]],Base_Contas_Balanco[#All],2,FALSE)</f>
        <v>Creditos com Cooperados</v>
      </c>
      <c r="G478" s="1">
        <v>42777</v>
      </c>
      <c r="H478" s="225">
        <v>612.00000000000728</v>
      </c>
      <c r="I478" s="225">
        <v>0</v>
      </c>
      <c r="J478" s="225">
        <v>0</v>
      </c>
      <c r="K478" s="225">
        <v>612.00000000000728</v>
      </c>
      <c r="L4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612</v>
      </c>
      <c r="M478" s="225">
        <f>ROUND(IF(AND(Base_Periodo1[[#This Row],[Tipo_Linha]]="-",Base_Periodo1[[#This Row],[TIPOSALDO]]="D"),Base_Periodo1[[#This Row],[SALDO_ATUAL]]*-1,Base_Periodo1[[#This Row],[SALDO_ATUAL]]),4)</f>
        <v>612</v>
      </c>
      <c r="N478" t="s">
        <v>116</v>
      </c>
      <c r="O478" t="s">
        <v>397</v>
      </c>
      <c r="P478" t="s">
        <v>397</v>
      </c>
      <c r="Q478">
        <v>7</v>
      </c>
      <c r="R478" s="225">
        <f>Base_Periodo1[[#This Row],[CREDITOS]]-Base_Periodo1[[#This Row],[DEBITOS]]</f>
        <v>0</v>
      </c>
      <c r="S478" s="3" t="str">
        <f>IF(ISERROR(VLOOKUP(Base_Periodo1[[#This Row],[CONTA]],BaseContasDRE[#All],4,FALSE)),"Fora do DRE",VLOOKUP(Base_Periodo1[[#This Row],[CONTA]],BaseContasDRE[#All],4,FALSE))</f>
        <v>Fora do DRE</v>
      </c>
      <c r="T478" s="3" t="str">
        <f>IF(ISERROR(VLOOKUP(Base_Periodo1[[#This Row],[CONTA]],BaseContasDRE[#All],5,FALSE)),"Fora do DRE",VLOOKUP(Base_Periodo1[[#This Row],[CONTA]],BaseContasDRE[#All],6,FALSE))</f>
        <v>Fora do DRE</v>
      </c>
      <c r="U478" s="3" t="str">
        <f>IF(ISERROR(VLOOKUP(Base_Periodo1[[#This Row],[CONTA]],BaseContasDRE[#All],7,FALSE)),"Fora do DRE",VLOOKUP(Base_Periodo1[[#This Row],[CONTA]],BaseContasDRE[#All],7,FALSE))</f>
        <v>Fora do DRE</v>
      </c>
      <c r="V478" s="3" t="str">
        <f>IF(Base_Periodo1[[#This Row],[Tipo_Linha]]="Fora do DRE","Fora do DRE","( "&amp;Base_Periodo1[[#This Row],[Tipo_Linha]]&amp;" ) "&amp;Base_Periodo1[[#This Row],[Filtro]])</f>
        <v>Fora do DRE</v>
      </c>
      <c r="W478" s="3" t="str">
        <f>LEFT(Base_Periodo1[[#This Row],[CLASS]],3)</f>
        <v>1.1</v>
      </c>
    </row>
    <row r="479" spans="1:23" hidden="1">
      <c r="A479" s="3" t="str">
        <f t="shared" si="7"/>
        <v>Período 1</v>
      </c>
      <c r="B479">
        <v>53103</v>
      </c>
      <c r="C479" t="s">
        <v>503</v>
      </c>
      <c r="D479" t="s">
        <v>4817</v>
      </c>
      <c r="E479" s="3" t="str">
        <f>IF(LEN(Base_Periodo1[[#This Row],[CLASS]])&gt;=7,LEFT(Base_Periodo1[[#This Row],[CLASS]],7),"")</f>
        <v>1.1.2.1</v>
      </c>
      <c r="F479" s="3" t="str">
        <f>VLOOKUP(Base_Periodo1[[#This Row],[Aux]],Base_Contas_Balanco[#All],2,FALSE)</f>
        <v>Creditos com Cooperados</v>
      </c>
      <c r="G479" s="1">
        <v>42864</v>
      </c>
      <c r="I479" s="225">
        <v>1949</v>
      </c>
      <c r="J479" s="225">
        <v>0</v>
      </c>
      <c r="K479" s="225">
        <v>1948.9999999999709</v>
      </c>
      <c r="L4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1949</v>
      </c>
      <c r="M479" s="225">
        <f>ROUND(IF(AND(Base_Periodo1[[#This Row],[Tipo_Linha]]="-",Base_Periodo1[[#This Row],[TIPOSALDO]]="D"),Base_Periodo1[[#This Row],[SALDO_ATUAL]]*-1,Base_Periodo1[[#This Row],[SALDO_ATUAL]]),4)</f>
        <v>1949</v>
      </c>
      <c r="N479" t="s">
        <v>116</v>
      </c>
      <c r="O479" t="s">
        <v>436</v>
      </c>
      <c r="P479" t="s">
        <v>397</v>
      </c>
      <c r="Q479">
        <v>7</v>
      </c>
      <c r="R479" s="225">
        <f>Base_Periodo1[[#This Row],[CREDITOS]]-Base_Periodo1[[#This Row],[DEBITOS]]</f>
        <v>-1949</v>
      </c>
      <c r="S479" s="3" t="str">
        <f>IF(ISERROR(VLOOKUP(Base_Periodo1[[#This Row],[CONTA]],BaseContasDRE[#All],4,FALSE)),"Fora do DRE",VLOOKUP(Base_Periodo1[[#This Row],[CONTA]],BaseContasDRE[#All],4,FALSE))</f>
        <v>Fora do DRE</v>
      </c>
      <c r="T479" s="3" t="str">
        <f>IF(ISERROR(VLOOKUP(Base_Periodo1[[#This Row],[CONTA]],BaseContasDRE[#All],5,FALSE)),"Fora do DRE",VLOOKUP(Base_Periodo1[[#This Row],[CONTA]],BaseContasDRE[#All],6,FALSE))</f>
        <v>Fora do DRE</v>
      </c>
      <c r="U479" s="3" t="str">
        <f>IF(ISERROR(VLOOKUP(Base_Periodo1[[#This Row],[CONTA]],BaseContasDRE[#All],7,FALSE)),"Fora do DRE",VLOOKUP(Base_Periodo1[[#This Row],[CONTA]],BaseContasDRE[#All],7,FALSE))</f>
        <v>Fora do DRE</v>
      </c>
      <c r="V479" s="3" t="str">
        <f>IF(Base_Periodo1[[#This Row],[Tipo_Linha]]="Fora do DRE","Fora do DRE","( "&amp;Base_Periodo1[[#This Row],[Tipo_Linha]]&amp;" ) "&amp;Base_Periodo1[[#This Row],[Filtro]])</f>
        <v>Fora do DRE</v>
      </c>
      <c r="W479" s="3" t="str">
        <f>LEFT(Base_Periodo1[[#This Row],[CLASS]],3)</f>
        <v>1.1</v>
      </c>
    </row>
    <row r="480" spans="1:23" hidden="1">
      <c r="A480" s="3" t="str">
        <f t="shared" si="7"/>
        <v>Período 1</v>
      </c>
      <c r="B480">
        <v>3500</v>
      </c>
      <c r="C480" t="s">
        <v>503</v>
      </c>
      <c r="D480" t="s">
        <v>737</v>
      </c>
      <c r="E480" s="3" t="str">
        <f>IF(LEN(Base_Periodo1[[#This Row],[CLASS]])&gt;=7,LEFT(Base_Periodo1[[#This Row],[CLASS]],7),"")</f>
        <v>1.1.2.1</v>
      </c>
      <c r="F480" s="3" t="str">
        <f>VLOOKUP(Base_Periodo1[[#This Row],[Aux]],Base_Contas_Balanco[#All],2,FALSE)</f>
        <v>Creditos com Cooperados</v>
      </c>
      <c r="G480" s="1">
        <v>42865</v>
      </c>
      <c r="H480" s="225">
        <v>1405643.6400000043</v>
      </c>
      <c r="I480" s="225">
        <v>191886.24</v>
      </c>
      <c r="J480" s="225">
        <v>365287.51000000007</v>
      </c>
      <c r="K480" s="225">
        <v>1232242.3700000043</v>
      </c>
      <c r="L4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1232242.3700000001</v>
      </c>
      <c r="M480" s="225">
        <f>ROUND(IF(AND(Base_Periodo1[[#This Row],[Tipo_Linha]]="-",Base_Periodo1[[#This Row],[TIPOSALDO]]="D"),Base_Periodo1[[#This Row],[SALDO_ATUAL]]*-1,Base_Periodo1[[#This Row],[SALDO_ATUAL]]),4)</f>
        <v>1232242.3700000001</v>
      </c>
      <c r="N480" t="s">
        <v>116</v>
      </c>
      <c r="O480" t="s">
        <v>397</v>
      </c>
      <c r="P480" t="s">
        <v>397</v>
      </c>
      <c r="Q480">
        <v>7</v>
      </c>
      <c r="R480" s="225">
        <f>Base_Periodo1[[#This Row],[CREDITOS]]-Base_Periodo1[[#This Row],[DEBITOS]]</f>
        <v>173401.27000000008</v>
      </c>
      <c r="S480" s="3" t="str">
        <f>IF(ISERROR(VLOOKUP(Base_Periodo1[[#This Row],[CONTA]],BaseContasDRE[#All],4,FALSE)),"Fora do DRE",VLOOKUP(Base_Periodo1[[#This Row],[CONTA]],BaseContasDRE[#All],4,FALSE))</f>
        <v>Fora do DRE</v>
      </c>
      <c r="T480" s="3" t="str">
        <f>IF(ISERROR(VLOOKUP(Base_Periodo1[[#This Row],[CONTA]],BaseContasDRE[#All],5,FALSE)),"Fora do DRE",VLOOKUP(Base_Periodo1[[#This Row],[CONTA]],BaseContasDRE[#All],6,FALSE))</f>
        <v>Fora do DRE</v>
      </c>
      <c r="U480" s="3" t="str">
        <f>IF(ISERROR(VLOOKUP(Base_Periodo1[[#This Row],[CONTA]],BaseContasDRE[#All],7,FALSE)),"Fora do DRE",VLOOKUP(Base_Periodo1[[#This Row],[CONTA]],BaseContasDRE[#All],7,FALSE))</f>
        <v>Fora do DRE</v>
      </c>
      <c r="V480" s="3" t="str">
        <f>IF(Base_Periodo1[[#This Row],[Tipo_Linha]]="Fora do DRE","Fora do DRE","( "&amp;Base_Periodo1[[#This Row],[Tipo_Linha]]&amp;" ) "&amp;Base_Periodo1[[#This Row],[Filtro]])</f>
        <v>Fora do DRE</v>
      </c>
      <c r="W480" s="3" t="str">
        <f>LEFT(Base_Periodo1[[#This Row],[CLASS]],3)</f>
        <v>1.1</v>
      </c>
    </row>
    <row r="481" spans="1:23" hidden="1">
      <c r="A481" s="3" t="str">
        <f t="shared" si="7"/>
        <v>Período 1</v>
      </c>
      <c r="B481">
        <v>33527</v>
      </c>
      <c r="C481" t="s">
        <v>503</v>
      </c>
      <c r="D481" t="s">
        <v>738</v>
      </c>
      <c r="E481" s="3" t="str">
        <f>IF(LEN(Base_Periodo1[[#This Row],[CLASS]])&gt;=7,LEFT(Base_Periodo1[[#This Row],[CLASS]],7),"")</f>
        <v>1.1.2.1</v>
      </c>
      <c r="F481" s="3" t="str">
        <f>VLOOKUP(Base_Periodo1[[#This Row],[Aux]],Base_Contas_Balanco[#All],2,FALSE)</f>
        <v>Creditos com Cooperados</v>
      </c>
      <c r="G481" s="1">
        <v>42864</v>
      </c>
      <c r="I481" s="225">
        <v>925.5</v>
      </c>
      <c r="J481" s="225">
        <v>0</v>
      </c>
      <c r="K481" s="225">
        <v>925.5</v>
      </c>
      <c r="L4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925.5</v>
      </c>
      <c r="M481" s="225">
        <f>ROUND(IF(AND(Base_Periodo1[[#This Row],[Tipo_Linha]]="-",Base_Periodo1[[#This Row],[TIPOSALDO]]="D"),Base_Periodo1[[#This Row],[SALDO_ATUAL]]*-1,Base_Periodo1[[#This Row],[SALDO_ATUAL]]),4)</f>
        <v>925.5</v>
      </c>
      <c r="N481" t="s">
        <v>116</v>
      </c>
      <c r="O481" t="s">
        <v>436</v>
      </c>
      <c r="P481" t="s">
        <v>397</v>
      </c>
      <c r="Q481">
        <v>7</v>
      </c>
      <c r="R481" s="225">
        <f>Base_Periodo1[[#This Row],[CREDITOS]]-Base_Periodo1[[#This Row],[DEBITOS]]</f>
        <v>-925.5</v>
      </c>
      <c r="S481" s="3" t="str">
        <f>IF(ISERROR(VLOOKUP(Base_Periodo1[[#This Row],[CONTA]],BaseContasDRE[#All],4,FALSE)),"Fora do DRE",VLOOKUP(Base_Periodo1[[#This Row],[CONTA]],BaseContasDRE[#All],4,FALSE))</f>
        <v>Fora do DRE</v>
      </c>
      <c r="T481" s="3" t="str">
        <f>IF(ISERROR(VLOOKUP(Base_Periodo1[[#This Row],[CONTA]],BaseContasDRE[#All],5,FALSE)),"Fora do DRE",VLOOKUP(Base_Periodo1[[#This Row],[CONTA]],BaseContasDRE[#All],6,FALSE))</f>
        <v>Fora do DRE</v>
      </c>
      <c r="U481" s="3" t="str">
        <f>IF(ISERROR(VLOOKUP(Base_Periodo1[[#This Row],[CONTA]],BaseContasDRE[#All],7,FALSE)),"Fora do DRE",VLOOKUP(Base_Periodo1[[#This Row],[CONTA]],BaseContasDRE[#All],7,FALSE))</f>
        <v>Fora do DRE</v>
      </c>
      <c r="V481" s="3" t="str">
        <f>IF(Base_Periodo1[[#This Row],[Tipo_Linha]]="Fora do DRE","Fora do DRE","( "&amp;Base_Periodo1[[#This Row],[Tipo_Linha]]&amp;" ) "&amp;Base_Periodo1[[#This Row],[Filtro]])</f>
        <v>Fora do DRE</v>
      </c>
      <c r="W481" s="3" t="str">
        <f>LEFT(Base_Periodo1[[#This Row],[CLASS]],3)</f>
        <v>1.1</v>
      </c>
    </row>
    <row r="482" spans="1:23" hidden="1">
      <c r="A482" s="3" t="str">
        <f t="shared" si="7"/>
        <v>Período 1</v>
      </c>
      <c r="B482">
        <v>52589</v>
      </c>
      <c r="C482" t="s">
        <v>503</v>
      </c>
      <c r="D482" t="s">
        <v>4907</v>
      </c>
      <c r="E482" s="3" t="str">
        <f>IF(LEN(Base_Periodo1[[#This Row],[CLASS]])&gt;=7,LEFT(Base_Periodo1[[#This Row],[CLASS]],7),"")</f>
        <v>1.1.2.1</v>
      </c>
      <c r="F482" s="3" t="str">
        <f>VLOOKUP(Base_Periodo1[[#This Row],[Aux]],Base_Contas_Balanco[#All],2,FALSE)</f>
        <v>Creditos com Cooperados</v>
      </c>
      <c r="G482" s="1">
        <v>42873</v>
      </c>
      <c r="H482" s="225">
        <v>85775.700000000012</v>
      </c>
      <c r="I482" s="225">
        <v>2365</v>
      </c>
      <c r="J482" s="225">
        <v>0</v>
      </c>
      <c r="K482" s="225">
        <v>88140.700000000012</v>
      </c>
      <c r="L4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88140.7</v>
      </c>
      <c r="M482" s="225">
        <f>ROUND(IF(AND(Base_Periodo1[[#This Row],[Tipo_Linha]]="-",Base_Periodo1[[#This Row],[TIPOSALDO]]="D"),Base_Periodo1[[#This Row],[SALDO_ATUAL]]*-1,Base_Periodo1[[#This Row],[SALDO_ATUAL]]),4)</f>
        <v>88140.7</v>
      </c>
      <c r="N482" t="s">
        <v>116</v>
      </c>
      <c r="O482" t="s">
        <v>397</v>
      </c>
      <c r="P482" t="s">
        <v>397</v>
      </c>
      <c r="Q482">
        <v>7</v>
      </c>
      <c r="R482" s="225">
        <f>Base_Periodo1[[#This Row],[CREDITOS]]-Base_Periodo1[[#This Row],[DEBITOS]]</f>
        <v>-2365</v>
      </c>
      <c r="S482" s="3" t="str">
        <f>IF(ISERROR(VLOOKUP(Base_Periodo1[[#This Row],[CONTA]],BaseContasDRE[#All],4,FALSE)),"Fora do DRE",VLOOKUP(Base_Periodo1[[#This Row],[CONTA]],BaseContasDRE[#All],4,FALSE))</f>
        <v>Fora do DRE</v>
      </c>
      <c r="T482" s="3" t="str">
        <f>IF(ISERROR(VLOOKUP(Base_Periodo1[[#This Row],[CONTA]],BaseContasDRE[#All],5,FALSE)),"Fora do DRE",VLOOKUP(Base_Periodo1[[#This Row],[CONTA]],BaseContasDRE[#All],6,FALSE))</f>
        <v>Fora do DRE</v>
      </c>
      <c r="U482" s="3" t="str">
        <f>IF(ISERROR(VLOOKUP(Base_Periodo1[[#This Row],[CONTA]],BaseContasDRE[#All],7,FALSE)),"Fora do DRE",VLOOKUP(Base_Periodo1[[#This Row],[CONTA]],BaseContasDRE[#All],7,FALSE))</f>
        <v>Fora do DRE</v>
      </c>
      <c r="V482" s="3" t="str">
        <f>IF(Base_Periodo1[[#This Row],[Tipo_Linha]]="Fora do DRE","Fora do DRE","( "&amp;Base_Periodo1[[#This Row],[Tipo_Linha]]&amp;" ) "&amp;Base_Periodo1[[#This Row],[Filtro]])</f>
        <v>Fora do DRE</v>
      </c>
      <c r="W482" s="3" t="str">
        <f>LEFT(Base_Periodo1[[#This Row],[CLASS]],3)</f>
        <v>1.1</v>
      </c>
    </row>
    <row r="483" spans="1:23" hidden="1">
      <c r="A483" s="3" t="str">
        <f t="shared" si="7"/>
        <v>Período 1</v>
      </c>
      <c r="B483">
        <v>3080</v>
      </c>
      <c r="C483" t="s">
        <v>503</v>
      </c>
      <c r="D483" t="s">
        <v>739</v>
      </c>
      <c r="E483" s="3" t="str">
        <f>IF(LEN(Base_Periodo1[[#This Row],[CLASS]])&gt;=7,LEFT(Base_Periodo1[[#This Row],[CLASS]],7),"")</f>
        <v>1.1.2.1</v>
      </c>
      <c r="F483" s="3" t="str">
        <f>VLOOKUP(Base_Periodo1[[#This Row],[Aux]],Base_Contas_Balanco[#All],2,FALSE)</f>
        <v>Creditos com Cooperados</v>
      </c>
      <c r="G483" s="1">
        <v>42881</v>
      </c>
      <c r="H483" s="225">
        <v>26268.949999999953</v>
      </c>
      <c r="I483" s="225">
        <v>570</v>
      </c>
      <c r="J483" s="225">
        <v>0</v>
      </c>
      <c r="K483" s="225">
        <v>26838.949999999953</v>
      </c>
      <c r="L4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26838.95</v>
      </c>
      <c r="M483" s="225">
        <f>ROUND(IF(AND(Base_Periodo1[[#This Row],[Tipo_Linha]]="-",Base_Periodo1[[#This Row],[TIPOSALDO]]="D"),Base_Periodo1[[#This Row],[SALDO_ATUAL]]*-1,Base_Periodo1[[#This Row],[SALDO_ATUAL]]),4)</f>
        <v>26838.95</v>
      </c>
      <c r="N483" t="s">
        <v>116</v>
      </c>
      <c r="O483" t="s">
        <v>397</v>
      </c>
      <c r="P483" t="s">
        <v>397</v>
      </c>
      <c r="Q483">
        <v>7</v>
      </c>
      <c r="R483" s="225">
        <f>Base_Periodo1[[#This Row],[CREDITOS]]-Base_Periodo1[[#This Row],[DEBITOS]]</f>
        <v>-570</v>
      </c>
      <c r="S483" s="3" t="str">
        <f>IF(ISERROR(VLOOKUP(Base_Periodo1[[#This Row],[CONTA]],BaseContasDRE[#All],4,FALSE)),"Fora do DRE",VLOOKUP(Base_Periodo1[[#This Row],[CONTA]],BaseContasDRE[#All],4,FALSE))</f>
        <v>Fora do DRE</v>
      </c>
      <c r="T483" s="3" t="str">
        <f>IF(ISERROR(VLOOKUP(Base_Periodo1[[#This Row],[CONTA]],BaseContasDRE[#All],5,FALSE)),"Fora do DRE",VLOOKUP(Base_Periodo1[[#This Row],[CONTA]],BaseContasDRE[#All],6,FALSE))</f>
        <v>Fora do DRE</v>
      </c>
      <c r="U483" s="3" t="str">
        <f>IF(ISERROR(VLOOKUP(Base_Periodo1[[#This Row],[CONTA]],BaseContasDRE[#All],7,FALSE)),"Fora do DRE",VLOOKUP(Base_Periodo1[[#This Row],[CONTA]],BaseContasDRE[#All],7,FALSE))</f>
        <v>Fora do DRE</v>
      </c>
      <c r="V483" s="3" t="str">
        <f>IF(Base_Periodo1[[#This Row],[Tipo_Linha]]="Fora do DRE","Fora do DRE","( "&amp;Base_Periodo1[[#This Row],[Tipo_Linha]]&amp;" ) "&amp;Base_Periodo1[[#This Row],[Filtro]])</f>
        <v>Fora do DRE</v>
      </c>
      <c r="W483" s="3" t="str">
        <f>LEFT(Base_Periodo1[[#This Row],[CLASS]],3)</f>
        <v>1.1</v>
      </c>
    </row>
    <row r="484" spans="1:23" hidden="1">
      <c r="A484" s="3" t="str">
        <f t="shared" si="7"/>
        <v>Período 1</v>
      </c>
      <c r="B484">
        <v>5256</v>
      </c>
      <c r="C484" t="s">
        <v>503</v>
      </c>
      <c r="D484" t="s">
        <v>740</v>
      </c>
      <c r="E484" s="3" t="str">
        <f>IF(LEN(Base_Periodo1[[#This Row],[CLASS]])&gt;=7,LEFT(Base_Periodo1[[#This Row],[CLASS]],7),"")</f>
        <v>1.1.2.1</v>
      </c>
      <c r="F484" s="3" t="str">
        <f>VLOOKUP(Base_Periodo1[[#This Row],[Aux]],Base_Contas_Balanco[#All],2,FALSE)</f>
        <v>Creditos com Cooperados</v>
      </c>
      <c r="G484" s="1">
        <v>42864</v>
      </c>
      <c r="H484" s="225">
        <v>18619.580000000016</v>
      </c>
      <c r="I484" s="225">
        <v>0</v>
      </c>
      <c r="J484" s="225">
        <v>80</v>
      </c>
      <c r="K484" s="225">
        <v>18539.580000000016</v>
      </c>
      <c r="L4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18539.580000000002</v>
      </c>
      <c r="M484" s="225">
        <f>ROUND(IF(AND(Base_Periodo1[[#This Row],[Tipo_Linha]]="-",Base_Periodo1[[#This Row],[TIPOSALDO]]="D"),Base_Periodo1[[#This Row],[SALDO_ATUAL]]*-1,Base_Periodo1[[#This Row],[SALDO_ATUAL]]),4)</f>
        <v>18539.580000000002</v>
      </c>
      <c r="N484" t="s">
        <v>116</v>
      </c>
      <c r="O484" t="s">
        <v>397</v>
      </c>
      <c r="P484" t="s">
        <v>397</v>
      </c>
      <c r="Q484">
        <v>7</v>
      </c>
      <c r="R484" s="225">
        <f>Base_Periodo1[[#This Row],[CREDITOS]]-Base_Periodo1[[#This Row],[DEBITOS]]</f>
        <v>80</v>
      </c>
      <c r="S484" s="3" t="str">
        <f>IF(ISERROR(VLOOKUP(Base_Periodo1[[#This Row],[CONTA]],BaseContasDRE[#All],4,FALSE)),"Fora do DRE",VLOOKUP(Base_Periodo1[[#This Row],[CONTA]],BaseContasDRE[#All],4,FALSE))</f>
        <v>Fora do DRE</v>
      </c>
      <c r="T484" s="3" t="str">
        <f>IF(ISERROR(VLOOKUP(Base_Periodo1[[#This Row],[CONTA]],BaseContasDRE[#All],5,FALSE)),"Fora do DRE",VLOOKUP(Base_Periodo1[[#This Row],[CONTA]],BaseContasDRE[#All],6,FALSE))</f>
        <v>Fora do DRE</v>
      </c>
      <c r="U484" s="3" t="str">
        <f>IF(ISERROR(VLOOKUP(Base_Periodo1[[#This Row],[CONTA]],BaseContasDRE[#All],7,FALSE)),"Fora do DRE",VLOOKUP(Base_Periodo1[[#This Row],[CONTA]],BaseContasDRE[#All],7,FALSE))</f>
        <v>Fora do DRE</v>
      </c>
      <c r="V484" s="3" t="str">
        <f>IF(Base_Periodo1[[#This Row],[Tipo_Linha]]="Fora do DRE","Fora do DRE","( "&amp;Base_Periodo1[[#This Row],[Tipo_Linha]]&amp;" ) "&amp;Base_Periodo1[[#This Row],[Filtro]])</f>
        <v>Fora do DRE</v>
      </c>
      <c r="W484" s="3" t="str">
        <f>LEFT(Base_Periodo1[[#This Row],[CLASS]],3)</f>
        <v>1.1</v>
      </c>
    </row>
    <row r="485" spans="1:23" hidden="1">
      <c r="A485" s="3" t="str">
        <f t="shared" si="7"/>
        <v>Período 1</v>
      </c>
      <c r="B485">
        <v>4160</v>
      </c>
      <c r="C485" t="s">
        <v>503</v>
      </c>
      <c r="D485" t="s">
        <v>741</v>
      </c>
      <c r="E485" s="3" t="str">
        <f>IF(LEN(Base_Periodo1[[#This Row],[CLASS]])&gt;=7,LEFT(Base_Periodo1[[#This Row],[CLASS]],7),"")</f>
        <v>1.1.2.1</v>
      </c>
      <c r="F485" s="3" t="str">
        <f>VLOOKUP(Base_Periodo1[[#This Row],[Aux]],Base_Contas_Balanco[#All],2,FALSE)</f>
        <v>Creditos com Cooperados</v>
      </c>
      <c r="G485" s="1">
        <v>42886</v>
      </c>
      <c r="H485" s="225">
        <v>85860.800000000221</v>
      </c>
      <c r="I485" s="225">
        <v>0</v>
      </c>
      <c r="J485" s="225">
        <v>85860.800000000003</v>
      </c>
      <c r="K485" s="225">
        <v>2.1827872842550278E-10</v>
      </c>
      <c r="L4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85" s="225">
        <f>ROUND(IF(AND(Base_Periodo1[[#This Row],[Tipo_Linha]]="-",Base_Periodo1[[#This Row],[TIPOSALDO]]="D"),Base_Periodo1[[#This Row],[SALDO_ATUAL]]*-1,Base_Periodo1[[#This Row],[SALDO_ATUAL]]),4)</f>
        <v>0</v>
      </c>
      <c r="N485" t="s">
        <v>116</v>
      </c>
      <c r="O485" t="s">
        <v>397</v>
      </c>
      <c r="P485" t="s">
        <v>436</v>
      </c>
      <c r="Q485">
        <v>7</v>
      </c>
      <c r="R485" s="225">
        <f>Base_Periodo1[[#This Row],[CREDITOS]]-Base_Periodo1[[#This Row],[DEBITOS]]</f>
        <v>85860.800000000003</v>
      </c>
      <c r="S485" s="3" t="str">
        <f>IF(ISERROR(VLOOKUP(Base_Periodo1[[#This Row],[CONTA]],BaseContasDRE[#All],4,FALSE)),"Fora do DRE",VLOOKUP(Base_Periodo1[[#This Row],[CONTA]],BaseContasDRE[#All],4,FALSE))</f>
        <v>Fora do DRE</v>
      </c>
      <c r="T485" s="3" t="str">
        <f>IF(ISERROR(VLOOKUP(Base_Periodo1[[#This Row],[CONTA]],BaseContasDRE[#All],5,FALSE)),"Fora do DRE",VLOOKUP(Base_Periodo1[[#This Row],[CONTA]],BaseContasDRE[#All],6,FALSE))</f>
        <v>Fora do DRE</v>
      </c>
      <c r="U485" s="3" t="str">
        <f>IF(ISERROR(VLOOKUP(Base_Periodo1[[#This Row],[CONTA]],BaseContasDRE[#All],7,FALSE)),"Fora do DRE",VLOOKUP(Base_Periodo1[[#This Row],[CONTA]],BaseContasDRE[#All],7,FALSE))</f>
        <v>Fora do DRE</v>
      </c>
      <c r="V485" s="3" t="str">
        <f>IF(Base_Periodo1[[#This Row],[Tipo_Linha]]="Fora do DRE","Fora do DRE","( "&amp;Base_Periodo1[[#This Row],[Tipo_Linha]]&amp;" ) "&amp;Base_Periodo1[[#This Row],[Filtro]])</f>
        <v>Fora do DRE</v>
      </c>
      <c r="W485" s="3" t="str">
        <f>LEFT(Base_Periodo1[[#This Row],[CLASS]],3)</f>
        <v>1.1</v>
      </c>
    </row>
    <row r="486" spans="1:23" hidden="1">
      <c r="A486" s="3" t="str">
        <f t="shared" si="7"/>
        <v>Período 1</v>
      </c>
      <c r="B486">
        <v>4196</v>
      </c>
      <c r="C486" t="s">
        <v>503</v>
      </c>
      <c r="D486" t="s">
        <v>5152</v>
      </c>
      <c r="E486" s="3" t="str">
        <f>IF(LEN(Base_Periodo1[[#This Row],[CLASS]])&gt;=7,LEFT(Base_Periodo1[[#This Row],[CLASS]],7),"")</f>
        <v>1.1.2.1</v>
      </c>
      <c r="F486" s="3" t="str">
        <f>VLOOKUP(Base_Periodo1[[#This Row],[Aux]],Base_Contas_Balanco[#All],2,FALSE)</f>
        <v>Creditos com Cooperados</v>
      </c>
      <c r="G486" s="1">
        <v>42853</v>
      </c>
      <c r="H486" s="225">
        <v>24748.250000000015</v>
      </c>
      <c r="I486" s="225">
        <v>0</v>
      </c>
      <c r="J486" s="225">
        <v>0</v>
      </c>
      <c r="K486" s="225">
        <v>24748.250000000015</v>
      </c>
      <c r="L4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24748.25</v>
      </c>
      <c r="M486" s="225">
        <f>ROUND(IF(AND(Base_Periodo1[[#This Row],[Tipo_Linha]]="-",Base_Periodo1[[#This Row],[TIPOSALDO]]="D"),Base_Periodo1[[#This Row],[SALDO_ATUAL]]*-1,Base_Periodo1[[#This Row],[SALDO_ATUAL]]),4)</f>
        <v>24748.25</v>
      </c>
      <c r="N486" t="s">
        <v>116</v>
      </c>
      <c r="O486" t="s">
        <v>397</v>
      </c>
      <c r="P486" t="s">
        <v>397</v>
      </c>
      <c r="Q486">
        <v>7</v>
      </c>
      <c r="R486" s="225">
        <f>Base_Periodo1[[#This Row],[CREDITOS]]-Base_Periodo1[[#This Row],[DEBITOS]]</f>
        <v>0</v>
      </c>
      <c r="S486" s="3" t="str">
        <f>IF(ISERROR(VLOOKUP(Base_Periodo1[[#This Row],[CONTA]],BaseContasDRE[#All],4,FALSE)),"Fora do DRE",VLOOKUP(Base_Periodo1[[#This Row],[CONTA]],BaseContasDRE[#All],4,FALSE))</f>
        <v>Fora do DRE</v>
      </c>
      <c r="T486" s="3" t="str">
        <f>IF(ISERROR(VLOOKUP(Base_Periodo1[[#This Row],[CONTA]],BaseContasDRE[#All],5,FALSE)),"Fora do DRE",VLOOKUP(Base_Periodo1[[#This Row],[CONTA]],BaseContasDRE[#All],6,FALSE))</f>
        <v>Fora do DRE</v>
      </c>
      <c r="U486" s="3" t="str">
        <f>IF(ISERROR(VLOOKUP(Base_Periodo1[[#This Row],[CONTA]],BaseContasDRE[#All],7,FALSE)),"Fora do DRE",VLOOKUP(Base_Periodo1[[#This Row],[CONTA]],BaseContasDRE[#All],7,FALSE))</f>
        <v>Fora do DRE</v>
      </c>
      <c r="V486" s="3" t="str">
        <f>IF(Base_Periodo1[[#This Row],[Tipo_Linha]]="Fora do DRE","Fora do DRE","( "&amp;Base_Periodo1[[#This Row],[Tipo_Linha]]&amp;" ) "&amp;Base_Periodo1[[#This Row],[Filtro]])</f>
        <v>Fora do DRE</v>
      </c>
      <c r="W486" s="3" t="str">
        <f>LEFT(Base_Periodo1[[#This Row],[CLASS]],3)</f>
        <v>1.1</v>
      </c>
    </row>
    <row r="487" spans="1:23" hidden="1">
      <c r="A487" s="3" t="str">
        <f t="shared" si="7"/>
        <v>Período 1</v>
      </c>
      <c r="B487">
        <v>18351</v>
      </c>
      <c r="C487" t="s">
        <v>503</v>
      </c>
      <c r="D487" t="s">
        <v>4670</v>
      </c>
      <c r="E487" s="3" t="str">
        <f>IF(LEN(Base_Periodo1[[#This Row],[CLASS]])&gt;=7,LEFT(Base_Periodo1[[#This Row],[CLASS]],7),"")</f>
        <v>1.1.2.1</v>
      </c>
      <c r="F487" s="3" t="str">
        <f>VLOOKUP(Base_Periodo1[[#This Row],[Aux]],Base_Contas_Balanco[#All],2,FALSE)</f>
        <v>Creditos com Cooperados</v>
      </c>
      <c r="G487" s="1">
        <v>42877</v>
      </c>
      <c r="H487" s="225">
        <v>2554.5000000000582</v>
      </c>
      <c r="I487" s="225">
        <v>485</v>
      </c>
      <c r="J487" s="225">
        <v>3039.5</v>
      </c>
      <c r="K487" s="225">
        <v>5.8207660913467407E-11</v>
      </c>
      <c r="L4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87" s="225">
        <f>ROUND(IF(AND(Base_Periodo1[[#This Row],[Tipo_Linha]]="-",Base_Periodo1[[#This Row],[TIPOSALDO]]="D"),Base_Periodo1[[#This Row],[SALDO_ATUAL]]*-1,Base_Periodo1[[#This Row],[SALDO_ATUAL]]),4)</f>
        <v>0</v>
      </c>
      <c r="N487" t="s">
        <v>116</v>
      </c>
      <c r="O487" t="s">
        <v>397</v>
      </c>
      <c r="P487" t="s">
        <v>436</v>
      </c>
      <c r="Q487">
        <v>7</v>
      </c>
      <c r="R487" s="225">
        <f>Base_Periodo1[[#This Row],[CREDITOS]]-Base_Periodo1[[#This Row],[DEBITOS]]</f>
        <v>2554.5</v>
      </c>
      <c r="S487" s="3" t="str">
        <f>IF(ISERROR(VLOOKUP(Base_Periodo1[[#This Row],[CONTA]],BaseContasDRE[#All],4,FALSE)),"Fora do DRE",VLOOKUP(Base_Periodo1[[#This Row],[CONTA]],BaseContasDRE[#All],4,FALSE))</f>
        <v>Fora do DRE</v>
      </c>
      <c r="T487" s="3" t="str">
        <f>IF(ISERROR(VLOOKUP(Base_Periodo1[[#This Row],[CONTA]],BaseContasDRE[#All],5,FALSE)),"Fora do DRE",VLOOKUP(Base_Periodo1[[#This Row],[CONTA]],BaseContasDRE[#All],6,FALSE))</f>
        <v>Fora do DRE</v>
      </c>
      <c r="U487" s="3" t="str">
        <f>IF(ISERROR(VLOOKUP(Base_Periodo1[[#This Row],[CONTA]],BaseContasDRE[#All],7,FALSE)),"Fora do DRE",VLOOKUP(Base_Periodo1[[#This Row],[CONTA]],BaseContasDRE[#All],7,FALSE))</f>
        <v>Fora do DRE</v>
      </c>
      <c r="V487" s="3" t="str">
        <f>IF(Base_Periodo1[[#This Row],[Tipo_Linha]]="Fora do DRE","Fora do DRE","( "&amp;Base_Periodo1[[#This Row],[Tipo_Linha]]&amp;" ) "&amp;Base_Periodo1[[#This Row],[Filtro]])</f>
        <v>Fora do DRE</v>
      </c>
      <c r="W487" s="3" t="str">
        <f>LEFT(Base_Periodo1[[#This Row],[CLASS]],3)</f>
        <v>1.1</v>
      </c>
    </row>
    <row r="488" spans="1:23" hidden="1">
      <c r="A488" s="3" t="str">
        <f t="shared" si="7"/>
        <v>Período 1</v>
      </c>
      <c r="B488">
        <v>2432</v>
      </c>
      <c r="C488" t="s">
        <v>503</v>
      </c>
      <c r="D488" t="s">
        <v>6719</v>
      </c>
      <c r="E488" s="3" t="str">
        <f>IF(LEN(Base_Periodo1[[#This Row],[CLASS]])&gt;=7,LEFT(Base_Periodo1[[#This Row],[CLASS]],7),"")</f>
        <v>1.1.2.1</v>
      </c>
      <c r="F488" s="3" t="str">
        <f>VLOOKUP(Base_Periodo1[[#This Row],[Aux]],Base_Contas_Balanco[#All],2,FALSE)</f>
        <v>Creditos com Cooperados</v>
      </c>
      <c r="G488" s="1">
        <v>42884</v>
      </c>
      <c r="I488" s="225">
        <v>62483.82</v>
      </c>
      <c r="J488" s="225">
        <v>62483.82</v>
      </c>
      <c r="K488" s="225">
        <v>-5.8207660913467407E-11</v>
      </c>
      <c r="L4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88" s="225">
        <f>ROUND(IF(AND(Base_Periodo1[[#This Row],[Tipo_Linha]]="-",Base_Periodo1[[#This Row],[TIPOSALDO]]="D"),Base_Periodo1[[#This Row],[SALDO_ATUAL]]*-1,Base_Periodo1[[#This Row],[SALDO_ATUAL]]),4)</f>
        <v>0</v>
      </c>
      <c r="N488" t="s">
        <v>116</v>
      </c>
      <c r="O488" t="s">
        <v>436</v>
      </c>
      <c r="P488" t="s">
        <v>436</v>
      </c>
      <c r="Q488">
        <v>7</v>
      </c>
      <c r="R488" s="225">
        <f>Base_Periodo1[[#This Row],[CREDITOS]]-Base_Periodo1[[#This Row],[DEBITOS]]</f>
        <v>0</v>
      </c>
      <c r="S488" s="3" t="str">
        <f>IF(ISERROR(VLOOKUP(Base_Periodo1[[#This Row],[CONTA]],BaseContasDRE[#All],4,FALSE)),"Fora do DRE",VLOOKUP(Base_Periodo1[[#This Row],[CONTA]],BaseContasDRE[#All],4,FALSE))</f>
        <v>Fora do DRE</v>
      </c>
      <c r="T488" s="3" t="str">
        <f>IF(ISERROR(VLOOKUP(Base_Periodo1[[#This Row],[CONTA]],BaseContasDRE[#All],5,FALSE)),"Fora do DRE",VLOOKUP(Base_Periodo1[[#This Row],[CONTA]],BaseContasDRE[#All],6,FALSE))</f>
        <v>Fora do DRE</v>
      </c>
      <c r="U488" s="3" t="str">
        <f>IF(ISERROR(VLOOKUP(Base_Periodo1[[#This Row],[CONTA]],BaseContasDRE[#All],7,FALSE)),"Fora do DRE",VLOOKUP(Base_Periodo1[[#This Row],[CONTA]],BaseContasDRE[#All],7,FALSE))</f>
        <v>Fora do DRE</v>
      </c>
      <c r="V488" s="3" t="str">
        <f>IF(Base_Periodo1[[#This Row],[Tipo_Linha]]="Fora do DRE","Fora do DRE","( "&amp;Base_Periodo1[[#This Row],[Tipo_Linha]]&amp;" ) "&amp;Base_Periodo1[[#This Row],[Filtro]])</f>
        <v>Fora do DRE</v>
      </c>
      <c r="W488" s="3" t="str">
        <f>LEFT(Base_Periodo1[[#This Row],[CLASS]],3)</f>
        <v>1.1</v>
      </c>
    </row>
    <row r="489" spans="1:23" hidden="1">
      <c r="A489" s="3" t="str">
        <f t="shared" si="7"/>
        <v>Período 1</v>
      </c>
      <c r="B489">
        <v>54036</v>
      </c>
      <c r="C489" t="s">
        <v>503</v>
      </c>
      <c r="D489" t="s">
        <v>4921</v>
      </c>
      <c r="E489" s="3" t="str">
        <f>IF(LEN(Base_Periodo1[[#This Row],[CLASS]])&gt;=7,LEFT(Base_Periodo1[[#This Row],[CLASS]],7),"")</f>
        <v>1.1.2.1</v>
      </c>
      <c r="F489" s="3" t="str">
        <f>VLOOKUP(Base_Periodo1[[#This Row],[Aux]],Base_Contas_Balanco[#All],2,FALSE)</f>
        <v>Creditos com Cooperados</v>
      </c>
      <c r="G489" s="1">
        <v>42884</v>
      </c>
      <c r="H489" s="225">
        <v>5246.9500000000116</v>
      </c>
      <c r="I489" s="225">
        <v>24758.45</v>
      </c>
      <c r="J489" s="225">
        <v>17001.190000000002</v>
      </c>
      <c r="K489" s="225">
        <v>13004.21000000001</v>
      </c>
      <c r="L4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13004.21</v>
      </c>
      <c r="M489" s="225">
        <f>ROUND(IF(AND(Base_Periodo1[[#This Row],[Tipo_Linha]]="-",Base_Periodo1[[#This Row],[TIPOSALDO]]="D"),Base_Periodo1[[#This Row],[SALDO_ATUAL]]*-1,Base_Periodo1[[#This Row],[SALDO_ATUAL]]),4)</f>
        <v>13004.21</v>
      </c>
      <c r="N489" t="s">
        <v>116</v>
      </c>
      <c r="O489" t="s">
        <v>397</v>
      </c>
      <c r="P489" t="s">
        <v>397</v>
      </c>
      <c r="Q489">
        <v>7</v>
      </c>
      <c r="R489" s="225">
        <f>Base_Periodo1[[#This Row],[CREDITOS]]-Base_Periodo1[[#This Row],[DEBITOS]]</f>
        <v>-7757.2599999999984</v>
      </c>
      <c r="S489" s="3" t="str">
        <f>IF(ISERROR(VLOOKUP(Base_Periodo1[[#This Row],[CONTA]],BaseContasDRE[#All],4,FALSE)),"Fora do DRE",VLOOKUP(Base_Periodo1[[#This Row],[CONTA]],BaseContasDRE[#All],4,FALSE))</f>
        <v>Fora do DRE</v>
      </c>
      <c r="T489" s="3" t="str">
        <f>IF(ISERROR(VLOOKUP(Base_Periodo1[[#This Row],[CONTA]],BaseContasDRE[#All],5,FALSE)),"Fora do DRE",VLOOKUP(Base_Periodo1[[#This Row],[CONTA]],BaseContasDRE[#All],6,FALSE))</f>
        <v>Fora do DRE</v>
      </c>
      <c r="U489" s="3" t="str">
        <f>IF(ISERROR(VLOOKUP(Base_Periodo1[[#This Row],[CONTA]],BaseContasDRE[#All],7,FALSE)),"Fora do DRE",VLOOKUP(Base_Periodo1[[#This Row],[CONTA]],BaseContasDRE[#All],7,FALSE))</f>
        <v>Fora do DRE</v>
      </c>
      <c r="V489" s="3" t="str">
        <f>IF(Base_Periodo1[[#This Row],[Tipo_Linha]]="Fora do DRE","Fora do DRE","( "&amp;Base_Periodo1[[#This Row],[Tipo_Linha]]&amp;" ) "&amp;Base_Periodo1[[#This Row],[Filtro]])</f>
        <v>Fora do DRE</v>
      </c>
      <c r="W489" s="3" t="str">
        <f>LEFT(Base_Periodo1[[#This Row],[CLASS]],3)</f>
        <v>1.1</v>
      </c>
    </row>
    <row r="490" spans="1:23" hidden="1">
      <c r="A490" s="3" t="str">
        <f t="shared" si="7"/>
        <v>Período 1</v>
      </c>
      <c r="B490">
        <v>53244</v>
      </c>
      <c r="C490" t="s">
        <v>503</v>
      </c>
      <c r="D490" t="s">
        <v>4818</v>
      </c>
      <c r="E490" s="3" t="str">
        <f>IF(LEN(Base_Periodo1[[#This Row],[CLASS]])&gt;=7,LEFT(Base_Periodo1[[#This Row],[CLASS]],7),"")</f>
        <v>1.1.2.1</v>
      </c>
      <c r="F490" s="3" t="str">
        <f>VLOOKUP(Base_Periodo1[[#This Row],[Aux]],Base_Contas_Balanco[#All],2,FALSE)</f>
        <v>Creditos com Cooperados</v>
      </c>
      <c r="G490" s="1">
        <v>42853</v>
      </c>
      <c r="H490" s="225">
        <v>1279783.3399999999</v>
      </c>
      <c r="I490" s="225">
        <v>0</v>
      </c>
      <c r="J490" s="225">
        <v>0</v>
      </c>
      <c r="K490" s="225">
        <v>1279783.3399999999</v>
      </c>
      <c r="L4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1279783.3400000001</v>
      </c>
      <c r="M490" s="225">
        <f>ROUND(IF(AND(Base_Periodo1[[#This Row],[Tipo_Linha]]="-",Base_Periodo1[[#This Row],[TIPOSALDO]]="D"),Base_Periodo1[[#This Row],[SALDO_ATUAL]]*-1,Base_Periodo1[[#This Row],[SALDO_ATUAL]]),4)</f>
        <v>1279783.3400000001</v>
      </c>
      <c r="N490" t="s">
        <v>116</v>
      </c>
      <c r="O490" t="s">
        <v>397</v>
      </c>
      <c r="P490" t="s">
        <v>397</v>
      </c>
      <c r="Q490">
        <v>7</v>
      </c>
      <c r="R490" s="225">
        <f>Base_Periodo1[[#This Row],[CREDITOS]]-Base_Periodo1[[#This Row],[DEBITOS]]</f>
        <v>0</v>
      </c>
      <c r="S490" s="3" t="str">
        <f>IF(ISERROR(VLOOKUP(Base_Periodo1[[#This Row],[CONTA]],BaseContasDRE[#All],4,FALSE)),"Fora do DRE",VLOOKUP(Base_Periodo1[[#This Row],[CONTA]],BaseContasDRE[#All],4,FALSE))</f>
        <v>Fora do DRE</v>
      </c>
      <c r="T490" s="3" t="str">
        <f>IF(ISERROR(VLOOKUP(Base_Periodo1[[#This Row],[CONTA]],BaseContasDRE[#All],5,FALSE)),"Fora do DRE",VLOOKUP(Base_Periodo1[[#This Row],[CONTA]],BaseContasDRE[#All],6,FALSE))</f>
        <v>Fora do DRE</v>
      </c>
      <c r="U490" s="3" t="str">
        <f>IF(ISERROR(VLOOKUP(Base_Periodo1[[#This Row],[CONTA]],BaseContasDRE[#All],7,FALSE)),"Fora do DRE",VLOOKUP(Base_Periodo1[[#This Row],[CONTA]],BaseContasDRE[#All],7,FALSE))</f>
        <v>Fora do DRE</v>
      </c>
      <c r="V490" s="3" t="str">
        <f>IF(Base_Periodo1[[#This Row],[Tipo_Linha]]="Fora do DRE","Fora do DRE","( "&amp;Base_Periodo1[[#This Row],[Tipo_Linha]]&amp;" ) "&amp;Base_Periodo1[[#This Row],[Filtro]])</f>
        <v>Fora do DRE</v>
      </c>
      <c r="W490" s="3" t="str">
        <f>LEFT(Base_Periodo1[[#This Row],[CLASS]],3)</f>
        <v>1.1</v>
      </c>
    </row>
    <row r="491" spans="1:23" hidden="1">
      <c r="A491" s="3" t="str">
        <f t="shared" si="7"/>
        <v>Período 1</v>
      </c>
      <c r="B491">
        <v>48548</v>
      </c>
      <c r="C491" t="s">
        <v>503</v>
      </c>
      <c r="D491" t="s">
        <v>961</v>
      </c>
      <c r="E491" s="3" t="str">
        <f>IF(LEN(Base_Periodo1[[#This Row],[CLASS]])&gt;=7,LEFT(Base_Periodo1[[#This Row],[CLASS]],7),"")</f>
        <v>1.1.2.1</v>
      </c>
      <c r="F491" s="3" t="str">
        <f>VLOOKUP(Base_Periodo1[[#This Row],[Aux]],Base_Contas_Balanco[#All],2,FALSE)</f>
        <v>Creditos com Cooperados</v>
      </c>
      <c r="G491" s="1">
        <v>42884</v>
      </c>
      <c r="H491" s="225">
        <v>667.59999999999854</v>
      </c>
      <c r="I491" s="225">
        <v>0</v>
      </c>
      <c r="J491" s="225">
        <v>667.6</v>
      </c>
      <c r="K491" s="225">
        <v>-1.4779288903810084E-12</v>
      </c>
      <c r="L4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91" s="225">
        <f>ROUND(IF(AND(Base_Periodo1[[#This Row],[Tipo_Linha]]="-",Base_Periodo1[[#This Row],[TIPOSALDO]]="D"),Base_Periodo1[[#This Row],[SALDO_ATUAL]]*-1,Base_Periodo1[[#This Row],[SALDO_ATUAL]]),4)</f>
        <v>0</v>
      </c>
      <c r="N491" t="s">
        <v>116</v>
      </c>
      <c r="O491" t="s">
        <v>397</v>
      </c>
      <c r="P491" t="s">
        <v>436</v>
      </c>
      <c r="Q491">
        <v>7</v>
      </c>
      <c r="R491" s="225">
        <f>Base_Periodo1[[#This Row],[CREDITOS]]-Base_Periodo1[[#This Row],[DEBITOS]]</f>
        <v>667.6</v>
      </c>
      <c r="S491" s="3" t="str">
        <f>IF(ISERROR(VLOOKUP(Base_Periodo1[[#This Row],[CONTA]],BaseContasDRE[#All],4,FALSE)),"Fora do DRE",VLOOKUP(Base_Periodo1[[#This Row],[CONTA]],BaseContasDRE[#All],4,FALSE))</f>
        <v>Fora do DRE</v>
      </c>
      <c r="T491" s="3" t="str">
        <f>IF(ISERROR(VLOOKUP(Base_Periodo1[[#This Row],[CONTA]],BaseContasDRE[#All],5,FALSE)),"Fora do DRE",VLOOKUP(Base_Periodo1[[#This Row],[CONTA]],BaseContasDRE[#All],6,FALSE))</f>
        <v>Fora do DRE</v>
      </c>
      <c r="U491" s="3" t="str">
        <f>IF(ISERROR(VLOOKUP(Base_Periodo1[[#This Row],[CONTA]],BaseContasDRE[#All],7,FALSE)),"Fora do DRE",VLOOKUP(Base_Periodo1[[#This Row],[CONTA]],BaseContasDRE[#All],7,FALSE))</f>
        <v>Fora do DRE</v>
      </c>
      <c r="V491" s="3" t="str">
        <f>IF(Base_Periodo1[[#This Row],[Tipo_Linha]]="Fora do DRE","Fora do DRE","( "&amp;Base_Periodo1[[#This Row],[Tipo_Linha]]&amp;" ) "&amp;Base_Periodo1[[#This Row],[Filtro]])</f>
        <v>Fora do DRE</v>
      </c>
      <c r="W491" s="3" t="str">
        <f>LEFT(Base_Periodo1[[#This Row],[CLASS]],3)</f>
        <v>1.1</v>
      </c>
    </row>
    <row r="492" spans="1:23" hidden="1">
      <c r="A492" s="3" t="str">
        <f t="shared" si="7"/>
        <v>Período 1</v>
      </c>
      <c r="B492">
        <v>20650</v>
      </c>
      <c r="C492" t="s">
        <v>503</v>
      </c>
      <c r="D492" t="s">
        <v>5947</v>
      </c>
      <c r="E492" s="3" t="str">
        <f>IF(LEN(Base_Periodo1[[#This Row],[CLASS]])&gt;=7,LEFT(Base_Periodo1[[#This Row],[CLASS]],7),"")</f>
        <v>1.1.2.1</v>
      </c>
      <c r="F492" s="3" t="str">
        <f>VLOOKUP(Base_Periodo1[[#This Row],[Aux]],Base_Contas_Balanco[#All],2,FALSE)</f>
        <v>Creditos com Cooperados</v>
      </c>
      <c r="G492" s="1">
        <v>42845</v>
      </c>
      <c r="H492" s="225">
        <v>1314.6499999999994</v>
      </c>
      <c r="I492" s="225">
        <v>0</v>
      </c>
      <c r="J492" s="225">
        <v>0</v>
      </c>
      <c r="K492" s="225">
        <v>1314.6499999999994</v>
      </c>
      <c r="L4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1314.65</v>
      </c>
      <c r="M492" s="225">
        <f>ROUND(IF(AND(Base_Periodo1[[#This Row],[Tipo_Linha]]="-",Base_Periodo1[[#This Row],[TIPOSALDO]]="D"),Base_Periodo1[[#This Row],[SALDO_ATUAL]]*-1,Base_Periodo1[[#This Row],[SALDO_ATUAL]]),4)</f>
        <v>1314.65</v>
      </c>
      <c r="N492" t="s">
        <v>116</v>
      </c>
      <c r="O492" t="s">
        <v>397</v>
      </c>
      <c r="P492" t="s">
        <v>397</v>
      </c>
      <c r="Q492">
        <v>7</v>
      </c>
      <c r="R492" s="225">
        <f>Base_Periodo1[[#This Row],[CREDITOS]]-Base_Periodo1[[#This Row],[DEBITOS]]</f>
        <v>0</v>
      </c>
      <c r="S492" s="3" t="str">
        <f>IF(ISERROR(VLOOKUP(Base_Periodo1[[#This Row],[CONTA]],BaseContasDRE[#All],4,FALSE)),"Fora do DRE",VLOOKUP(Base_Periodo1[[#This Row],[CONTA]],BaseContasDRE[#All],4,FALSE))</f>
        <v>Fora do DRE</v>
      </c>
      <c r="T492" s="3" t="str">
        <f>IF(ISERROR(VLOOKUP(Base_Periodo1[[#This Row],[CONTA]],BaseContasDRE[#All],5,FALSE)),"Fora do DRE",VLOOKUP(Base_Periodo1[[#This Row],[CONTA]],BaseContasDRE[#All],6,FALSE))</f>
        <v>Fora do DRE</v>
      </c>
      <c r="U492" s="3" t="str">
        <f>IF(ISERROR(VLOOKUP(Base_Periodo1[[#This Row],[CONTA]],BaseContasDRE[#All],7,FALSE)),"Fora do DRE",VLOOKUP(Base_Periodo1[[#This Row],[CONTA]],BaseContasDRE[#All],7,FALSE))</f>
        <v>Fora do DRE</v>
      </c>
      <c r="V492" s="3" t="str">
        <f>IF(Base_Periodo1[[#This Row],[Tipo_Linha]]="Fora do DRE","Fora do DRE","( "&amp;Base_Periodo1[[#This Row],[Tipo_Linha]]&amp;" ) "&amp;Base_Periodo1[[#This Row],[Filtro]])</f>
        <v>Fora do DRE</v>
      </c>
      <c r="W492" s="3" t="str">
        <f>LEFT(Base_Periodo1[[#This Row],[CLASS]],3)</f>
        <v>1.1</v>
      </c>
    </row>
    <row r="493" spans="1:23" hidden="1">
      <c r="A493" s="3" t="str">
        <f t="shared" si="7"/>
        <v>Período 1</v>
      </c>
      <c r="B493">
        <v>7197</v>
      </c>
      <c r="C493" t="s">
        <v>503</v>
      </c>
      <c r="D493" t="s">
        <v>5153</v>
      </c>
      <c r="E493" s="3" t="str">
        <f>IF(LEN(Base_Periodo1[[#This Row],[CLASS]])&gt;=7,LEFT(Base_Periodo1[[#This Row],[CLASS]],7),"")</f>
        <v>1.1.2.1</v>
      </c>
      <c r="F493" s="3" t="str">
        <f>VLOOKUP(Base_Periodo1[[#This Row],[Aux]],Base_Contas_Balanco[#All],2,FALSE)</f>
        <v>Creditos com Cooperados</v>
      </c>
      <c r="G493" s="1">
        <v>42867</v>
      </c>
      <c r="H493" s="225">
        <v>41891.72</v>
      </c>
      <c r="I493" s="225">
        <v>32068.34</v>
      </c>
      <c r="J493" s="225">
        <v>49153.180000000008</v>
      </c>
      <c r="K493" s="225">
        <v>24806.87999999999</v>
      </c>
      <c r="L4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24806.880000000001</v>
      </c>
      <c r="M493" s="225">
        <f>ROUND(IF(AND(Base_Periodo1[[#This Row],[Tipo_Linha]]="-",Base_Periodo1[[#This Row],[TIPOSALDO]]="D"),Base_Periodo1[[#This Row],[SALDO_ATUAL]]*-1,Base_Periodo1[[#This Row],[SALDO_ATUAL]]),4)</f>
        <v>24806.880000000001</v>
      </c>
      <c r="N493" t="s">
        <v>116</v>
      </c>
      <c r="O493" t="s">
        <v>397</v>
      </c>
      <c r="P493" t="s">
        <v>397</v>
      </c>
      <c r="Q493">
        <v>7</v>
      </c>
      <c r="R493" s="225">
        <f>Base_Periodo1[[#This Row],[CREDITOS]]-Base_Periodo1[[#This Row],[DEBITOS]]</f>
        <v>17084.840000000007</v>
      </c>
      <c r="S493" s="3" t="str">
        <f>IF(ISERROR(VLOOKUP(Base_Periodo1[[#This Row],[CONTA]],BaseContasDRE[#All],4,FALSE)),"Fora do DRE",VLOOKUP(Base_Periodo1[[#This Row],[CONTA]],BaseContasDRE[#All],4,FALSE))</f>
        <v>Fora do DRE</v>
      </c>
      <c r="T493" s="3" t="str">
        <f>IF(ISERROR(VLOOKUP(Base_Periodo1[[#This Row],[CONTA]],BaseContasDRE[#All],5,FALSE)),"Fora do DRE",VLOOKUP(Base_Periodo1[[#This Row],[CONTA]],BaseContasDRE[#All],6,FALSE))</f>
        <v>Fora do DRE</v>
      </c>
      <c r="U493" s="3" t="str">
        <f>IF(ISERROR(VLOOKUP(Base_Periodo1[[#This Row],[CONTA]],BaseContasDRE[#All],7,FALSE)),"Fora do DRE",VLOOKUP(Base_Periodo1[[#This Row],[CONTA]],BaseContasDRE[#All],7,FALSE))</f>
        <v>Fora do DRE</v>
      </c>
      <c r="V493" s="3" t="str">
        <f>IF(Base_Periodo1[[#This Row],[Tipo_Linha]]="Fora do DRE","Fora do DRE","( "&amp;Base_Periodo1[[#This Row],[Tipo_Linha]]&amp;" ) "&amp;Base_Periodo1[[#This Row],[Filtro]])</f>
        <v>Fora do DRE</v>
      </c>
      <c r="W493" s="3" t="str">
        <f>LEFT(Base_Periodo1[[#This Row],[CLASS]],3)</f>
        <v>1.1</v>
      </c>
    </row>
    <row r="494" spans="1:23" hidden="1">
      <c r="A494" s="3" t="str">
        <f t="shared" si="7"/>
        <v>Período 1</v>
      </c>
      <c r="B494">
        <v>3832</v>
      </c>
      <c r="C494" t="s">
        <v>503</v>
      </c>
      <c r="D494" t="s">
        <v>744</v>
      </c>
      <c r="E494" s="3" t="str">
        <f>IF(LEN(Base_Periodo1[[#This Row],[CLASS]])&gt;=7,LEFT(Base_Periodo1[[#This Row],[CLASS]],7),"")</f>
        <v>1.1.2.1</v>
      </c>
      <c r="F494" s="3" t="str">
        <f>VLOOKUP(Base_Periodo1[[#This Row],[Aux]],Base_Contas_Balanco[#All],2,FALSE)</f>
        <v>Creditos com Cooperados</v>
      </c>
      <c r="G494" s="1">
        <v>42870</v>
      </c>
      <c r="H494" s="225">
        <v>88279.370000000345</v>
      </c>
      <c r="I494" s="225">
        <v>371917.5</v>
      </c>
      <c r="J494" s="225">
        <v>0</v>
      </c>
      <c r="K494" s="225">
        <v>460196.87000000034</v>
      </c>
      <c r="L4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460196.87</v>
      </c>
      <c r="M494" s="225">
        <f>ROUND(IF(AND(Base_Periodo1[[#This Row],[Tipo_Linha]]="-",Base_Periodo1[[#This Row],[TIPOSALDO]]="D"),Base_Periodo1[[#This Row],[SALDO_ATUAL]]*-1,Base_Periodo1[[#This Row],[SALDO_ATUAL]]),4)</f>
        <v>460196.87</v>
      </c>
      <c r="N494" t="s">
        <v>116</v>
      </c>
      <c r="O494" t="s">
        <v>397</v>
      </c>
      <c r="P494" t="s">
        <v>397</v>
      </c>
      <c r="Q494">
        <v>7</v>
      </c>
      <c r="R494" s="225">
        <f>Base_Periodo1[[#This Row],[CREDITOS]]-Base_Periodo1[[#This Row],[DEBITOS]]</f>
        <v>-371917.5</v>
      </c>
      <c r="S494" s="3" t="str">
        <f>IF(ISERROR(VLOOKUP(Base_Periodo1[[#This Row],[CONTA]],BaseContasDRE[#All],4,FALSE)),"Fora do DRE",VLOOKUP(Base_Periodo1[[#This Row],[CONTA]],BaseContasDRE[#All],4,FALSE))</f>
        <v>Fora do DRE</v>
      </c>
      <c r="T494" s="3" t="str">
        <f>IF(ISERROR(VLOOKUP(Base_Periodo1[[#This Row],[CONTA]],BaseContasDRE[#All],5,FALSE)),"Fora do DRE",VLOOKUP(Base_Periodo1[[#This Row],[CONTA]],BaseContasDRE[#All],6,FALSE))</f>
        <v>Fora do DRE</v>
      </c>
      <c r="U494" s="3" t="str">
        <f>IF(ISERROR(VLOOKUP(Base_Periodo1[[#This Row],[CONTA]],BaseContasDRE[#All],7,FALSE)),"Fora do DRE",VLOOKUP(Base_Periodo1[[#This Row],[CONTA]],BaseContasDRE[#All],7,FALSE))</f>
        <v>Fora do DRE</v>
      </c>
      <c r="V494" s="3" t="str">
        <f>IF(Base_Periodo1[[#This Row],[Tipo_Linha]]="Fora do DRE","Fora do DRE","( "&amp;Base_Periodo1[[#This Row],[Tipo_Linha]]&amp;" ) "&amp;Base_Periodo1[[#This Row],[Filtro]])</f>
        <v>Fora do DRE</v>
      </c>
      <c r="W494" s="3" t="str">
        <f>LEFT(Base_Periodo1[[#This Row],[CLASS]],3)</f>
        <v>1.1</v>
      </c>
    </row>
    <row r="495" spans="1:23" hidden="1">
      <c r="A495" s="3" t="str">
        <f t="shared" si="7"/>
        <v>Período 1</v>
      </c>
      <c r="B495">
        <v>54161</v>
      </c>
      <c r="C495" t="s">
        <v>503</v>
      </c>
      <c r="D495" t="s">
        <v>5001</v>
      </c>
      <c r="E495" s="3" t="str">
        <f>IF(LEN(Base_Periodo1[[#This Row],[CLASS]])&gt;=7,LEFT(Base_Periodo1[[#This Row],[CLASS]],7),"")</f>
        <v>1.1.2.1</v>
      </c>
      <c r="F495" s="3" t="str">
        <f>VLOOKUP(Base_Periodo1[[#This Row],[Aux]],Base_Contas_Balanco[#All],2,FALSE)</f>
        <v>Creditos com Cooperados</v>
      </c>
      <c r="G495" s="1">
        <v>42878</v>
      </c>
      <c r="H495" s="225">
        <v>28976.199999999983</v>
      </c>
      <c r="I495" s="225">
        <v>1105</v>
      </c>
      <c r="J495" s="225">
        <v>0</v>
      </c>
      <c r="K495" s="225">
        <v>30081.199999999983</v>
      </c>
      <c r="L4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30081.200000000001</v>
      </c>
      <c r="M495" s="225">
        <f>ROUND(IF(AND(Base_Periodo1[[#This Row],[Tipo_Linha]]="-",Base_Periodo1[[#This Row],[TIPOSALDO]]="D"),Base_Periodo1[[#This Row],[SALDO_ATUAL]]*-1,Base_Periodo1[[#This Row],[SALDO_ATUAL]]),4)</f>
        <v>30081.200000000001</v>
      </c>
      <c r="N495" t="s">
        <v>116</v>
      </c>
      <c r="O495" t="s">
        <v>397</v>
      </c>
      <c r="P495" t="s">
        <v>397</v>
      </c>
      <c r="Q495">
        <v>7</v>
      </c>
      <c r="R495" s="225">
        <f>Base_Periodo1[[#This Row],[CREDITOS]]-Base_Periodo1[[#This Row],[DEBITOS]]</f>
        <v>-1105</v>
      </c>
      <c r="S495" s="3" t="str">
        <f>IF(ISERROR(VLOOKUP(Base_Periodo1[[#This Row],[CONTA]],BaseContasDRE[#All],4,FALSE)),"Fora do DRE",VLOOKUP(Base_Periodo1[[#This Row],[CONTA]],BaseContasDRE[#All],4,FALSE))</f>
        <v>Fora do DRE</v>
      </c>
      <c r="T495" s="3" t="str">
        <f>IF(ISERROR(VLOOKUP(Base_Periodo1[[#This Row],[CONTA]],BaseContasDRE[#All],5,FALSE)),"Fora do DRE",VLOOKUP(Base_Periodo1[[#This Row],[CONTA]],BaseContasDRE[#All],6,FALSE))</f>
        <v>Fora do DRE</v>
      </c>
      <c r="U495" s="3" t="str">
        <f>IF(ISERROR(VLOOKUP(Base_Periodo1[[#This Row],[CONTA]],BaseContasDRE[#All],7,FALSE)),"Fora do DRE",VLOOKUP(Base_Periodo1[[#This Row],[CONTA]],BaseContasDRE[#All],7,FALSE))</f>
        <v>Fora do DRE</v>
      </c>
      <c r="V495" s="3" t="str">
        <f>IF(Base_Periodo1[[#This Row],[Tipo_Linha]]="Fora do DRE","Fora do DRE","( "&amp;Base_Periodo1[[#This Row],[Tipo_Linha]]&amp;" ) "&amp;Base_Periodo1[[#This Row],[Filtro]])</f>
        <v>Fora do DRE</v>
      </c>
      <c r="W495" s="3" t="str">
        <f>LEFT(Base_Periodo1[[#This Row],[CLASS]],3)</f>
        <v>1.1</v>
      </c>
    </row>
    <row r="496" spans="1:23" hidden="1">
      <c r="A496" s="3" t="str">
        <f t="shared" si="7"/>
        <v>Período 1</v>
      </c>
      <c r="B496">
        <v>2360</v>
      </c>
      <c r="C496" t="s">
        <v>503</v>
      </c>
      <c r="D496" t="s">
        <v>5002</v>
      </c>
      <c r="E496" s="3" t="str">
        <f>IF(LEN(Base_Periodo1[[#This Row],[CLASS]])&gt;=7,LEFT(Base_Periodo1[[#This Row],[CLASS]],7),"")</f>
        <v>1.1.2.1</v>
      </c>
      <c r="F496" s="3" t="str">
        <f>VLOOKUP(Base_Periodo1[[#This Row],[Aux]],Base_Contas_Balanco[#All],2,FALSE)</f>
        <v>Creditos com Cooperados</v>
      </c>
      <c r="G496" s="1">
        <v>42843</v>
      </c>
      <c r="H496" s="225">
        <v>1044.9999999999563</v>
      </c>
      <c r="I496" s="225">
        <v>0</v>
      </c>
      <c r="J496" s="225">
        <v>0</v>
      </c>
      <c r="K496" s="225">
        <v>1044.9999999999563</v>
      </c>
      <c r="L4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1045</v>
      </c>
      <c r="M496" s="225">
        <f>ROUND(IF(AND(Base_Periodo1[[#This Row],[Tipo_Linha]]="-",Base_Periodo1[[#This Row],[TIPOSALDO]]="D"),Base_Periodo1[[#This Row],[SALDO_ATUAL]]*-1,Base_Periodo1[[#This Row],[SALDO_ATUAL]]),4)</f>
        <v>1045</v>
      </c>
      <c r="N496" t="s">
        <v>116</v>
      </c>
      <c r="O496" t="s">
        <v>397</v>
      </c>
      <c r="P496" t="s">
        <v>397</v>
      </c>
      <c r="Q496">
        <v>7</v>
      </c>
      <c r="R496" s="225">
        <f>Base_Periodo1[[#This Row],[CREDITOS]]-Base_Periodo1[[#This Row],[DEBITOS]]</f>
        <v>0</v>
      </c>
      <c r="S496" s="3" t="str">
        <f>IF(ISERROR(VLOOKUP(Base_Periodo1[[#This Row],[CONTA]],BaseContasDRE[#All],4,FALSE)),"Fora do DRE",VLOOKUP(Base_Periodo1[[#This Row],[CONTA]],BaseContasDRE[#All],4,FALSE))</f>
        <v>Fora do DRE</v>
      </c>
      <c r="T496" s="3" t="str">
        <f>IF(ISERROR(VLOOKUP(Base_Periodo1[[#This Row],[CONTA]],BaseContasDRE[#All],5,FALSE)),"Fora do DRE",VLOOKUP(Base_Periodo1[[#This Row],[CONTA]],BaseContasDRE[#All],6,FALSE))</f>
        <v>Fora do DRE</v>
      </c>
      <c r="U496" s="3" t="str">
        <f>IF(ISERROR(VLOOKUP(Base_Periodo1[[#This Row],[CONTA]],BaseContasDRE[#All],7,FALSE)),"Fora do DRE",VLOOKUP(Base_Periodo1[[#This Row],[CONTA]],BaseContasDRE[#All],7,FALSE))</f>
        <v>Fora do DRE</v>
      </c>
      <c r="V496" s="3" t="str">
        <f>IF(Base_Periodo1[[#This Row],[Tipo_Linha]]="Fora do DRE","Fora do DRE","( "&amp;Base_Periodo1[[#This Row],[Tipo_Linha]]&amp;" ) "&amp;Base_Periodo1[[#This Row],[Filtro]])</f>
        <v>Fora do DRE</v>
      </c>
      <c r="W496" s="3" t="str">
        <f>LEFT(Base_Periodo1[[#This Row],[CLASS]],3)</f>
        <v>1.1</v>
      </c>
    </row>
    <row r="497" spans="1:23" hidden="1">
      <c r="A497" s="3" t="str">
        <f t="shared" si="7"/>
        <v>Período 1</v>
      </c>
      <c r="B497">
        <v>2160</v>
      </c>
      <c r="C497" t="s">
        <v>503</v>
      </c>
      <c r="D497" t="s">
        <v>745</v>
      </c>
      <c r="E497" s="3" t="str">
        <f>IF(LEN(Base_Periodo1[[#This Row],[CLASS]])&gt;=7,LEFT(Base_Periodo1[[#This Row],[CLASS]],7),"")</f>
        <v>1.1.2.1</v>
      </c>
      <c r="F497" s="3" t="str">
        <f>VLOOKUP(Base_Periodo1[[#This Row],[Aux]],Base_Contas_Balanco[#All],2,FALSE)</f>
        <v>Creditos com Cooperados</v>
      </c>
      <c r="G497" s="1">
        <v>42878</v>
      </c>
      <c r="H497" s="225">
        <v>197071.4600000158</v>
      </c>
      <c r="I497" s="225">
        <v>186435.1</v>
      </c>
      <c r="J497" s="225">
        <v>6136.0999999999995</v>
      </c>
      <c r="K497" s="225">
        <v>377370.4600000158</v>
      </c>
      <c r="L4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377370.46</v>
      </c>
      <c r="M497" s="225">
        <f>ROUND(IF(AND(Base_Periodo1[[#This Row],[Tipo_Linha]]="-",Base_Periodo1[[#This Row],[TIPOSALDO]]="D"),Base_Periodo1[[#This Row],[SALDO_ATUAL]]*-1,Base_Periodo1[[#This Row],[SALDO_ATUAL]]),4)</f>
        <v>377370.46</v>
      </c>
      <c r="N497" t="s">
        <v>116</v>
      </c>
      <c r="O497" t="s">
        <v>397</v>
      </c>
      <c r="P497" t="s">
        <v>397</v>
      </c>
      <c r="Q497">
        <v>7</v>
      </c>
      <c r="R497" s="225">
        <f>Base_Periodo1[[#This Row],[CREDITOS]]-Base_Periodo1[[#This Row],[DEBITOS]]</f>
        <v>-180299</v>
      </c>
      <c r="S497" s="3" t="str">
        <f>IF(ISERROR(VLOOKUP(Base_Periodo1[[#This Row],[CONTA]],BaseContasDRE[#All],4,FALSE)),"Fora do DRE",VLOOKUP(Base_Periodo1[[#This Row],[CONTA]],BaseContasDRE[#All],4,FALSE))</f>
        <v>Fora do DRE</v>
      </c>
      <c r="T497" s="3" t="str">
        <f>IF(ISERROR(VLOOKUP(Base_Periodo1[[#This Row],[CONTA]],BaseContasDRE[#All],5,FALSE)),"Fora do DRE",VLOOKUP(Base_Periodo1[[#This Row],[CONTA]],BaseContasDRE[#All],6,FALSE))</f>
        <v>Fora do DRE</v>
      </c>
      <c r="U497" s="3" t="str">
        <f>IF(ISERROR(VLOOKUP(Base_Periodo1[[#This Row],[CONTA]],BaseContasDRE[#All],7,FALSE)),"Fora do DRE",VLOOKUP(Base_Periodo1[[#This Row],[CONTA]],BaseContasDRE[#All],7,FALSE))</f>
        <v>Fora do DRE</v>
      </c>
      <c r="V497" s="3" t="str">
        <f>IF(Base_Periodo1[[#This Row],[Tipo_Linha]]="Fora do DRE","Fora do DRE","( "&amp;Base_Periodo1[[#This Row],[Tipo_Linha]]&amp;" ) "&amp;Base_Periodo1[[#This Row],[Filtro]])</f>
        <v>Fora do DRE</v>
      </c>
      <c r="W497" s="3" t="str">
        <f>LEFT(Base_Periodo1[[#This Row],[CLASS]],3)</f>
        <v>1.1</v>
      </c>
    </row>
    <row r="498" spans="1:23" hidden="1">
      <c r="A498" s="3" t="str">
        <f t="shared" si="7"/>
        <v>Período 1</v>
      </c>
      <c r="B498">
        <v>4756</v>
      </c>
      <c r="C498" t="s">
        <v>503</v>
      </c>
      <c r="D498" t="s">
        <v>5003</v>
      </c>
      <c r="E498" s="3" t="str">
        <f>IF(LEN(Base_Periodo1[[#This Row],[CLASS]])&gt;=7,LEFT(Base_Periodo1[[#This Row],[CLASS]],7),"")</f>
        <v>1.1.2.1</v>
      </c>
      <c r="F498" s="3" t="str">
        <f>VLOOKUP(Base_Periodo1[[#This Row],[Aux]],Base_Contas_Balanco[#All],2,FALSE)</f>
        <v>Creditos com Cooperados</v>
      </c>
      <c r="G498" s="1">
        <v>42865</v>
      </c>
      <c r="H498" s="225">
        <v>557490.33999999939</v>
      </c>
      <c r="I498" s="225">
        <v>892</v>
      </c>
      <c r="J498" s="225">
        <v>0</v>
      </c>
      <c r="K498" s="225">
        <v>558382.33999999939</v>
      </c>
      <c r="L4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558382.34</v>
      </c>
      <c r="M498" s="225">
        <f>ROUND(IF(AND(Base_Periodo1[[#This Row],[Tipo_Linha]]="-",Base_Periodo1[[#This Row],[TIPOSALDO]]="D"),Base_Periodo1[[#This Row],[SALDO_ATUAL]]*-1,Base_Periodo1[[#This Row],[SALDO_ATUAL]]),4)</f>
        <v>558382.34</v>
      </c>
      <c r="N498" t="s">
        <v>116</v>
      </c>
      <c r="O498" t="s">
        <v>397</v>
      </c>
      <c r="P498" t="s">
        <v>397</v>
      </c>
      <c r="Q498">
        <v>7</v>
      </c>
      <c r="R498" s="225">
        <f>Base_Periodo1[[#This Row],[CREDITOS]]-Base_Periodo1[[#This Row],[DEBITOS]]</f>
        <v>-892</v>
      </c>
      <c r="S498" s="3" t="str">
        <f>IF(ISERROR(VLOOKUP(Base_Periodo1[[#This Row],[CONTA]],BaseContasDRE[#All],4,FALSE)),"Fora do DRE",VLOOKUP(Base_Periodo1[[#This Row],[CONTA]],BaseContasDRE[#All],4,FALSE))</f>
        <v>Fora do DRE</v>
      </c>
      <c r="T498" s="3" t="str">
        <f>IF(ISERROR(VLOOKUP(Base_Periodo1[[#This Row],[CONTA]],BaseContasDRE[#All],5,FALSE)),"Fora do DRE",VLOOKUP(Base_Periodo1[[#This Row],[CONTA]],BaseContasDRE[#All],6,FALSE))</f>
        <v>Fora do DRE</v>
      </c>
      <c r="U498" s="3" t="str">
        <f>IF(ISERROR(VLOOKUP(Base_Periodo1[[#This Row],[CONTA]],BaseContasDRE[#All],7,FALSE)),"Fora do DRE",VLOOKUP(Base_Periodo1[[#This Row],[CONTA]],BaseContasDRE[#All],7,FALSE))</f>
        <v>Fora do DRE</v>
      </c>
      <c r="V498" s="3" t="str">
        <f>IF(Base_Periodo1[[#This Row],[Tipo_Linha]]="Fora do DRE","Fora do DRE","( "&amp;Base_Periodo1[[#This Row],[Tipo_Linha]]&amp;" ) "&amp;Base_Periodo1[[#This Row],[Filtro]])</f>
        <v>Fora do DRE</v>
      </c>
      <c r="W498" s="3" t="str">
        <f>LEFT(Base_Periodo1[[#This Row],[CLASS]],3)</f>
        <v>1.1</v>
      </c>
    </row>
    <row r="499" spans="1:23" hidden="1">
      <c r="A499" s="3" t="str">
        <f t="shared" si="7"/>
        <v>Período 1</v>
      </c>
      <c r="B499">
        <v>53634</v>
      </c>
      <c r="C499" t="s">
        <v>503</v>
      </c>
      <c r="D499" t="s">
        <v>4908</v>
      </c>
      <c r="E499" s="3" t="str">
        <f>IF(LEN(Base_Periodo1[[#This Row],[CLASS]])&gt;=7,LEFT(Base_Periodo1[[#This Row],[CLASS]],7),"")</f>
        <v>1.1.2.1</v>
      </c>
      <c r="F499" s="3" t="str">
        <f>VLOOKUP(Base_Periodo1[[#This Row],[Aux]],Base_Contas_Balanco[#All],2,FALSE)</f>
        <v>Creditos com Cooperados</v>
      </c>
      <c r="G499" s="1">
        <v>42878</v>
      </c>
      <c r="H499" s="225">
        <v>740845.17000000179</v>
      </c>
      <c r="I499" s="225">
        <v>13750.810000000001</v>
      </c>
      <c r="J499" s="225">
        <v>612030.73000000021</v>
      </c>
      <c r="K499" s="225">
        <v>142565.25000000163</v>
      </c>
      <c r="L4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142565.25</v>
      </c>
      <c r="M499" s="225">
        <f>ROUND(IF(AND(Base_Periodo1[[#This Row],[Tipo_Linha]]="-",Base_Periodo1[[#This Row],[TIPOSALDO]]="D"),Base_Periodo1[[#This Row],[SALDO_ATUAL]]*-1,Base_Periodo1[[#This Row],[SALDO_ATUAL]]),4)</f>
        <v>142565.25</v>
      </c>
      <c r="N499" t="s">
        <v>116</v>
      </c>
      <c r="O499" t="s">
        <v>397</v>
      </c>
      <c r="P499" t="s">
        <v>397</v>
      </c>
      <c r="Q499">
        <v>7</v>
      </c>
      <c r="R499" s="225">
        <f>Base_Periodo1[[#This Row],[CREDITOS]]-Base_Periodo1[[#This Row],[DEBITOS]]</f>
        <v>598279.92000000016</v>
      </c>
      <c r="S499" s="3" t="str">
        <f>IF(ISERROR(VLOOKUP(Base_Periodo1[[#This Row],[CONTA]],BaseContasDRE[#All],4,FALSE)),"Fora do DRE",VLOOKUP(Base_Periodo1[[#This Row],[CONTA]],BaseContasDRE[#All],4,FALSE))</f>
        <v>Fora do DRE</v>
      </c>
      <c r="T499" s="3" t="str">
        <f>IF(ISERROR(VLOOKUP(Base_Periodo1[[#This Row],[CONTA]],BaseContasDRE[#All],5,FALSE)),"Fora do DRE",VLOOKUP(Base_Periodo1[[#This Row],[CONTA]],BaseContasDRE[#All],6,FALSE))</f>
        <v>Fora do DRE</v>
      </c>
      <c r="U499" s="3" t="str">
        <f>IF(ISERROR(VLOOKUP(Base_Periodo1[[#This Row],[CONTA]],BaseContasDRE[#All],7,FALSE)),"Fora do DRE",VLOOKUP(Base_Periodo1[[#This Row],[CONTA]],BaseContasDRE[#All],7,FALSE))</f>
        <v>Fora do DRE</v>
      </c>
      <c r="V499" s="3" t="str">
        <f>IF(Base_Periodo1[[#This Row],[Tipo_Linha]]="Fora do DRE","Fora do DRE","( "&amp;Base_Periodo1[[#This Row],[Tipo_Linha]]&amp;" ) "&amp;Base_Periodo1[[#This Row],[Filtro]])</f>
        <v>Fora do DRE</v>
      </c>
      <c r="W499" s="3" t="str">
        <f>LEFT(Base_Periodo1[[#This Row],[CLASS]],3)</f>
        <v>1.1</v>
      </c>
    </row>
    <row r="500" spans="1:23" hidden="1">
      <c r="A500" s="3" t="str">
        <f t="shared" si="7"/>
        <v>Período 1</v>
      </c>
      <c r="B500">
        <v>2864</v>
      </c>
      <c r="C500" t="s">
        <v>503</v>
      </c>
      <c r="D500" t="s">
        <v>746</v>
      </c>
      <c r="E500" s="3" t="str">
        <f>IF(LEN(Base_Periodo1[[#This Row],[CLASS]])&gt;=7,LEFT(Base_Periodo1[[#This Row],[CLASS]],7),"")</f>
        <v>1.1.2.1</v>
      </c>
      <c r="F500" s="3" t="str">
        <f>VLOOKUP(Base_Periodo1[[#This Row],[Aux]],Base_Contas_Balanco[#All],2,FALSE)</f>
        <v>Creditos com Cooperados</v>
      </c>
      <c r="G500" s="1">
        <v>42850</v>
      </c>
      <c r="H500" s="225">
        <v>2.3399999998509884</v>
      </c>
      <c r="I500" s="225">
        <v>0</v>
      </c>
      <c r="J500" s="225">
        <v>0</v>
      </c>
      <c r="K500" s="225">
        <v>2.3399999998509884</v>
      </c>
      <c r="L5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-2.34</v>
      </c>
      <c r="M500" s="225">
        <f>ROUND(IF(AND(Base_Periodo1[[#This Row],[Tipo_Linha]]="-",Base_Periodo1[[#This Row],[TIPOSALDO]]="D"),Base_Periodo1[[#This Row],[SALDO_ATUAL]]*-1,Base_Periodo1[[#This Row],[SALDO_ATUAL]]),4)</f>
        <v>2.34</v>
      </c>
      <c r="N500" t="s">
        <v>116</v>
      </c>
      <c r="O500" t="s">
        <v>459</v>
      </c>
      <c r="P500" t="s">
        <v>459</v>
      </c>
      <c r="Q500">
        <v>7</v>
      </c>
      <c r="R500" s="225">
        <f>Base_Periodo1[[#This Row],[CREDITOS]]-Base_Periodo1[[#This Row],[DEBITOS]]</f>
        <v>0</v>
      </c>
      <c r="S500" s="3" t="str">
        <f>IF(ISERROR(VLOOKUP(Base_Periodo1[[#This Row],[CONTA]],BaseContasDRE[#All],4,FALSE)),"Fora do DRE",VLOOKUP(Base_Periodo1[[#This Row],[CONTA]],BaseContasDRE[#All],4,FALSE))</f>
        <v>Fora do DRE</v>
      </c>
      <c r="T500" s="3" t="str">
        <f>IF(ISERROR(VLOOKUP(Base_Periodo1[[#This Row],[CONTA]],BaseContasDRE[#All],5,FALSE)),"Fora do DRE",VLOOKUP(Base_Periodo1[[#This Row],[CONTA]],BaseContasDRE[#All],6,FALSE))</f>
        <v>Fora do DRE</v>
      </c>
      <c r="U500" s="3" t="str">
        <f>IF(ISERROR(VLOOKUP(Base_Periodo1[[#This Row],[CONTA]],BaseContasDRE[#All],7,FALSE)),"Fora do DRE",VLOOKUP(Base_Periodo1[[#This Row],[CONTA]],BaseContasDRE[#All],7,FALSE))</f>
        <v>Fora do DRE</v>
      </c>
      <c r="V500" s="3" t="str">
        <f>IF(Base_Periodo1[[#This Row],[Tipo_Linha]]="Fora do DRE","Fora do DRE","( "&amp;Base_Periodo1[[#This Row],[Tipo_Linha]]&amp;" ) "&amp;Base_Periodo1[[#This Row],[Filtro]])</f>
        <v>Fora do DRE</v>
      </c>
      <c r="W500" s="3" t="str">
        <f>LEFT(Base_Periodo1[[#This Row],[CLASS]],3)</f>
        <v>1.1</v>
      </c>
    </row>
    <row r="501" spans="1:23" hidden="1">
      <c r="A501" s="3" t="str">
        <f t="shared" si="7"/>
        <v>Período 1</v>
      </c>
      <c r="B501">
        <v>3952</v>
      </c>
      <c r="C501" t="s">
        <v>503</v>
      </c>
      <c r="D501" t="s">
        <v>747</v>
      </c>
      <c r="E501" s="3" t="str">
        <f>IF(LEN(Base_Periodo1[[#This Row],[CLASS]])&gt;=7,LEFT(Base_Periodo1[[#This Row],[CLASS]],7),"")</f>
        <v>1.1.2.1</v>
      </c>
      <c r="F501" s="3" t="str">
        <f>VLOOKUP(Base_Periodo1[[#This Row],[Aux]],Base_Contas_Balanco[#All],2,FALSE)</f>
        <v>Creditos com Cooperados</v>
      </c>
      <c r="G501" s="1">
        <v>42881</v>
      </c>
      <c r="H501" s="225">
        <v>3251.1499999989755</v>
      </c>
      <c r="I501" s="225">
        <v>6384.64</v>
      </c>
      <c r="J501" s="225">
        <v>68.290000000000006</v>
      </c>
      <c r="K501" s="225">
        <v>9567.4999999989741</v>
      </c>
      <c r="L5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9567.5</v>
      </c>
      <c r="M501" s="225">
        <f>ROUND(IF(AND(Base_Periodo1[[#This Row],[Tipo_Linha]]="-",Base_Periodo1[[#This Row],[TIPOSALDO]]="D"),Base_Periodo1[[#This Row],[SALDO_ATUAL]]*-1,Base_Periodo1[[#This Row],[SALDO_ATUAL]]),4)</f>
        <v>9567.5</v>
      </c>
      <c r="N501" t="s">
        <v>116</v>
      </c>
      <c r="O501" t="s">
        <v>397</v>
      </c>
      <c r="P501" t="s">
        <v>397</v>
      </c>
      <c r="Q501">
        <v>7</v>
      </c>
      <c r="R501" s="225">
        <f>Base_Periodo1[[#This Row],[CREDITOS]]-Base_Periodo1[[#This Row],[DEBITOS]]</f>
        <v>-6316.35</v>
      </c>
      <c r="S501" s="3" t="str">
        <f>IF(ISERROR(VLOOKUP(Base_Periodo1[[#This Row],[CONTA]],BaseContasDRE[#All],4,FALSE)),"Fora do DRE",VLOOKUP(Base_Periodo1[[#This Row],[CONTA]],BaseContasDRE[#All],4,FALSE))</f>
        <v>Fora do DRE</v>
      </c>
      <c r="T501" s="3" t="str">
        <f>IF(ISERROR(VLOOKUP(Base_Periodo1[[#This Row],[CONTA]],BaseContasDRE[#All],5,FALSE)),"Fora do DRE",VLOOKUP(Base_Periodo1[[#This Row],[CONTA]],BaseContasDRE[#All],6,FALSE))</f>
        <v>Fora do DRE</v>
      </c>
      <c r="U501" s="3" t="str">
        <f>IF(ISERROR(VLOOKUP(Base_Periodo1[[#This Row],[CONTA]],BaseContasDRE[#All],7,FALSE)),"Fora do DRE",VLOOKUP(Base_Periodo1[[#This Row],[CONTA]],BaseContasDRE[#All],7,FALSE))</f>
        <v>Fora do DRE</v>
      </c>
      <c r="V501" s="3" t="str">
        <f>IF(Base_Periodo1[[#This Row],[Tipo_Linha]]="Fora do DRE","Fora do DRE","( "&amp;Base_Periodo1[[#This Row],[Tipo_Linha]]&amp;" ) "&amp;Base_Periodo1[[#This Row],[Filtro]])</f>
        <v>Fora do DRE</v>
      </c>
      <c r="W501" s="3" t="str">
        <f>LEFT(Base_Periodo1[[#This Row],[CLASS]],3)</f>
        <v>1.1</v>
      </c>
    </row>
    <row r="502" spans="1:23" hidden="1">
      <c r="A502" s="3" t="str">
        <f t="shared" si="7"/>
        <v>Período 1</v>
      </c>
      <c r="B502">
        <v>7417</v>
      </c>
      <c r="C502" t="s">
        <v>503</v>
      </c>
      <c r="D502" t="s">
        <v>748</v>
      </c>
      <c r="E502" s="3" t="str">
        <f>IF(LEN(Base_Periodo1[[#This Row],[CLASS]])&gt;=7,LEFT(Base_Periodo1[[#This Row],[CLASS]],7),"")</f>
        <v>1.1.2.1</v>
      </c>
      <c r="F502" s="3" t="str">
        <f>VLOOKUP(Base_Periodo1[[#This Row],[Aux]],Base_Contas_Balanco[#All],2,FALSE)</f>
        <v>Creditos com Cooperados</v>
      </c>
      <c r="G502" s="1">
        <v>42885</v>
      </c>
      <c r="H502" s="225">
        <v>39380.899999999936</v>
      </c>
      <c r="I502" s="225">
        <v>540</v>
      </c>
      <c r="J502" s="225">
        <v>39920.9</v>
      </c>
      <c r="K502" s="225">
        <v>-6.5483618527650833E-11</v>
      </c>
      <c r="L5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02" s="225">
        <f>ROUND(IF(AND(Base_Periodo1[[#This Row],[Tipo_Linha]]="-",Base_Periodo1[[#This Row],[TIPOSALDO]]="D"),Base_Periodo1[[#This Row],[SALDO_ATUAL]]*-1,Base_Periodo1[[#This Row],[SALDO_ATUAL]]),4)</f>
        <v>0</v>
      </c>
      <c r="N502" t="s">
        <v>116</v>
      </c>
      <c r="O502" t="s">
        <v>397</v>
      </c>
      <c r="P502" t="s">
        <v>436</v>
      </c>
      <c r="Q502">
        <v>7</v>
      </c>
      <c r="R502" s="225">
        <f>Base_Periodo1[[#This Row],[CREDITOS]]-Base_Periodo1[[#This Row],[DEBITOS]]</f>
        <v>39380.9</v>
      </c>
      <c r="S502" s="3" t="str">
        <f>IF(ISERROR(VLOOKUP(Base_Periodo1[[#This Row],[CONTA]],BaseContasDRE[#All],4,FALSE)),"Fora do DRE",VLOOKUP(Base_Periodo1[[#This Row],[CONTA]],BaseContasDRE[#All],4,FALSE))</f>
        <v>Fora do DRE</v>
      </c>
      <c r="T502" s="3" t="str">
        <f>IF(ISERROR(VLOOKUP(Base_Periodo1[[#This Row],[CONTA]],BaseContasDRE[#All],5,FALSE)),"Fora do DRE",VLOOKUP(Base_Periodo1[[#This Row],[CONTA]],BaseContasDRE[#All],6,FALSE))</f>
        <v>Fora do DRE</v>
      </c>
      <c r="U502" s="3" t="str">
        <f>IF(ISERROR(VLOOKUP(Base_Periodo1[[#This Row],[CONTA]],BaseContasDRE[#All],7,FALSE)),"Fora do DRE",VLOOKUP(Base_Periodo1[[#This Row],[CONTA]],BaseContasDRE[#All],7,FALSE))</f>
        <v>Fora do DRE</v>
      </c>
      <c r="V502" s="3" t="str">
        <f>IF(Base_Periodo1[[#This Row],[Tipo_Linha]]="Fora do DRE","Fora do DRE","( "&amp;Base_Periodo1[[#This Row],[Tipo_Linha]]&amp;" ) "&amp;Base_Periodo1[[#This Row],[Filtro]])</f>
        <v>Fora do DRE</v>
      </c>
      <c r="W502" s="3" t="str">
        <f>LEFT(Base_Periodo1[[#This Row],[CLASS]],3)</f>
        <v>1.1</v>
      </c>
    </row>
    <row r="503" spans="1:23" hidden="1">
      <c r="A503" s="3" t="str">
        <f t="shared" si="7"/>
        <v>Período 1</v>
      </c>
      <c r="B503">
        <v>17863</v>
      </c>
      <c r="C503" t="s">
        <v>503</v>
      </c>
      <c r="D503" t="s">
        <v>4272</v>
      </c>
      <c r="E503" s="3" t="str">
        <f>IF(LEN(Base_Periodo1[[#This Row],[CLASS]])&gt;=7,LEFT(Base_Periodo1[[#This Row],[CLASS]],7),"")</f>
        <v>1.1.2.1</v>
      </c>
      <c r="F503" s="3" t="str">
        <f>VLOOKUP(Base_Periodo1[[#This Row],[Aux]],Base_Contas_Balanco[#All],2,FALSE)</f>
        <v>Creditos com Cooperados</v>
      </c>
      <c r="G503" s="1">
        <v>42881</v>
      </c>
      <c r="I503" s="225">
        <v>2205</v>
      </c>
      <c r="J503" s="225">
        <v>0</v>
      </c>
      <c r="K503" s="225">
        <v>2205</v>
      </c>
      <c r="L5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2205</v>
      </c>
      <c r="M503" s="225">
        <f>ROUND(IF(AND(Base_Periodo1[[#This Row],[Tipo_Linha]]="-",Base_Periodo1[[#This Row],[TIPOSALDO]]="D"),Base_Periodo1[[#This Row],[SALDO_ATUAL]]*-1,Base_Periodo1[[#This Row],[SALDO_ATUAL]]),4)</f>
        <v>2205</v>
      </c>
      <c r="N503" t="s">
        <v>116</v>
      </c>
      <c r="O503" t="s">
        <v>436</v>
      </c>
      <c r="P503" t="s">
        <v>397</v>
      </c>
      <c r="Q503">
        <v>7</v>
      </c>
      <c r="R503" s="225">
        <f>Base_Periodo1[[#This Row],[CREDITOS]]-Base_Periodo1[[#This Row],[DEBITOS]]</f>
        <v>-2205</v>
      </c>
      <c r="S503" s="3" t="str">
        <f>IF(ISERROR(VLOOKUP(Base_Periodo1[[#This Row],[CONTA]],BaseContasDRE[#All],4,FALSE)),"Fora do DRE",VLOOKUP(Base_Periodo1[[#This Row],[CONTA]],BaseContasDRE[#All],4,FALSE))</f>
        <v>Fora do DRE</v>
      </c>
      <c r="T503" s="3" t="str">
        <f>IF(ISERROR(VLOOKUP(Base_Periodo1[[#This Row],[CONTA]],BaseContasDRE[#All],5,FALSE)),"Fora do DRE",VLOOKUP(Base_Periodo1[[#This Row],[CONTA]],BaseContasDRE[#All],6,FALSE))</f>
        <v>Fora do DRE</v>
      </c>
      <c r="U503" s="3" t="str">
        <f>IF(ISERROR(VLOOKUP(Base_Periodo1[[#This Row],[CONTA]],BaseContasDRE[#All],7,FALSE)),"Fora do DRE",VLOOKUP(Base_Periodo1[[#This Row],[CONTA]],BaseContasDRE[#All],7,FALSE))</f>
        <v>Fora do DRE</v>
      </c>
      <c r="V503" s="3" t="str">
        <f>IF(Base_Periodo1[[#This Row],[Tipo_Linha]]="Fora do DRE","Fora do DRE","( "&amp;Base_Periodo1[[#This Row],[Tipo_Linha]]&amp;" ) "&amp;Base_Periodo1[[#This Row],[Filtro]])</f>
        <v>Fora do DRE</v>
      </c>
      <c r="W503" s="3" t="str">
        <f>LEFT(Base_Periodo1[[#This Row],[CLASS]],3)</f>
        <v>1.1</v>
      </c>
    </row>
    <row r="504" spans="1:23" hidden="1">
      <c r="A504" s="3" t="str">
        <f t="shared" si="7"/>
        <v>Período 1</v>
      </c>
      <c r="B504">
        <v>52579</v>
      </c>
      <c r="C504" t="s">
        <v>503</v>
      </c>
      <c r="D504" t="s">
        <v>6130</v>
      </c>
      <c r="E504" s="3" t="str">
        <f>IF(LEN(Base_Periodo1[[#This Row],[CLASS]])&gt;=7,LEFT(Base_Periodo1[[#This Row],[CLASS]],7),"")</f>
        <v>1.1.2.1</v>
      </c>
      <c r="F504" s="3" t="str">
        <f>VLOOKUP(Base_Periodo1[[#This Row],[Aux]],Base_Contas_Balanco[#All],2,FALSE)</f>
        <v>Creditos com Cooperados</v>
      </c>
      <c r="G504" s="1">
        <v>42881</v>
      </c>
      <c r="I504" s="225">
        <v>10546.47</v>
      </c>
      <c r="J504" s="225">
        <v>9906.4700000000012</v>
      </c>
      <c r="K504" s="225">
        <v>639.99999999999818</v>
      </c>
      <c r="L5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640</v>
      </c>
      <c r="M504" s="225">
        <f>ROUND(IF(AND(Base_Periodo1[[#This Row],[Tipo_Linha]]="-",Base_Periodo1[[#This Row],[TIPOSALDO]]="D"),Base_Periodo1[[#This Row],[SALDO_ATUAL]]*-1,Base_Periodo1[[#This Row],[SALDO_ATUAL]]),4)</f>
        <v>640</v>
      </c>
      <c r="N504" t="s">
        <v>116</v>
      </c>
      <c r="O504" t="s">
        <v>436</v>
      </c>
      <c r="P504" t="s">
        <v>397</v>
      </c>
      <c r="Q504">
        <v>7</v>
      </c>
      <c r="R504" s="225">
        <f>Base_Periodo1[[#This Row],[CREDITOS]]-Base_Periodo1[[#This Row],[DEBITOS]]</f>
        <v>-639.99999999999818</v>
      </c>
      <c r="S504" s="3" t="str">
        <f>IF(ISERROR(VLOOKUP(Base_Periodo1[[#This Row],[CONTA]],BaseContasDRE[#All],4,FALSE)),"Fora do DRE",VLOOKUP(Base_Periodo1[[#This Row],[CONTA]],BaseContasDRE[#All],4,FALSE))</f>
        <v>Fora do DRE</v>
      </c>
      <c r="T504" s="3" t="str">
        <f>IF(ISERROR(VLOOKUP(Base_Periodo1[[#This Row],[CONTA]],BaseContasDRE[#All],5,FALSE)),"Fora do DRE",VLOOKUP(Base_Periodo1[[#This Row],[CONTA]],BaseContasDRE[#All],6,FALSE))</f>
        <v>Fora do DRE</v>
      </c>
      <c r="U504" s="3" t="str">
        <f>IF(ISERROR(VLOOKUP(Base_Periodo1[[#This Row],[CONTA]],BaseContasDRE[#All],7,FALSE)),"Fora do DRE",VLOOKUP(Base_Periodo1[[#This Row],[CONTA]],BaseContasDRE[#All],7,FALSE))</f>
        <v>Fora do DRE</v>
      </c>
      <c r="V504" s="3" t="str">
        <f>IF(Base_Periodo1[[#This Row],[Tipo_Linha]]="Fora do DRE","Fora do DRE","( "&amp;Base_Periodo1[[#This Row],[Tipo_Linha]]&amp;" ) "&amp;Base_Periodo1[[#This Row],[Filtro]])</f>
        <v>Fora do DRE</v>
      </c>
      <c r="W504" s="3" t="str">
        <f>LEFT(Base_Periodo1[[#This Row],[CLASS]],3)</f>
        <v>1.1</v>
      </c>
    </row>
    <row r="505" spans="1:23" hidden="1">
      <c r="A505" s="3" t="str">
        <f t="shared" si="7"/>
        <v>Período 1</v>
      </c>
      <c r="B505">
        <v>2440</v>
      </c>
      <c r="C505" t="s">
        <v>503</v>
      </c>
      <c r="D505" t="s">
        <v>5389</v>
      </c>
      <c r="E505" s="3" t="str">
        <f>IF(LEN(Base_Periodo1[[#This Row],[CLASS]])&gt;=7,LEFT(Base_Periodo1[[#This Row],[CLASS]],7),"")</f>
        <v>1.1.2.1</v>
      </c>
      <c r="F505" s="3" t="str">
        <f>VLOOKUP(Base_Periodo1[[#This Row],[Aux]],Base_Contas_Balanco[#All],2,FALSE)</f>
        <v>Creditos com Cooperados</v>
      </c>
      <c r="G505" s="1">
        <v>42878</v>
      </c>
      <c r="H505" s="225">
        <v>11359.399999999994</v>
      </c>
      <c r="I505" s="225">
        <v>985.35</v>
      </c>
      <c r="J505" s="225">
        <v>0</v>
      </c>
      <c r="K505" s="225">
        <v>12344.749999999995</v>
      </c>
      <c r="L5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12344.75</v>
      </c>
      <c r="M505" s="225">
        <f>ROUND(IF(AND(Base_Periodo1[[#This Row],[Tipo_Linha]]="-",Base_Periodo1[[#This Row],[TIPOSALDO]]="D"),Base_Periodo1[[#This Row],[SALDO_ATUAL]]*-1,Base_Periodo1[[#This Row],[SALDO_ATUAL]]),4)</f>
        <v>12344.75</v>
      </c>
      <c r="N505" t="s">
        <v>116</v>
      </c>
      <c r="O505" t="s">
        <v>397</v>
      </c>
      <c r="P505" t="s">
        <v>397</v>
      </c>
      <c r="Q505">
        <v>7</v>
      </c>
      <c r="R505" s="225">
        <f>Base_Periodo1[[#This Row],[CREDITOS]]-Base_Periodo1[[#This Row],[DEBITOS]]</f>
        <v>-985.35</v>
      </c>
      <c r="S505" s="3" t="str">
        <f>IF(ISERROR(VLOOKUP(Base_Periodo1[[#This Row],[CONTA]],BaseContasDRE[#All],4,FALSE)),"Fora do DRE",VLOOKUP(Base_Periodo1[[#This Row],[CONTA]],BaseContasDRE[#All],4,FALSE))</f>
        <v>Fora do DRE</v>
      </c>
      <c r="T505" s="3" t="str">
        <f>IF(ISERROR(VLOOKUP(Base_Periodo1[[#This Row],[CONTA]],BaseContasDRE[#All],5,FALSE)),"Fora do DRE",VLOOKUP(Base_Periodo1[[#This Row],[CONTA]],BaseContasDRE[#All],6,FALSE))</f>
        <v>Fora do DRE</v>
      </c>
      <c r="U505" s="3" t="str">
        <f>IF(ISERROR(VLOOKUP(Base_Periodo1[[#This Row],[CONTA]],BaseContasDRE[#All],7,FALSE)),"Fora do DRE",VLOOKUP(Base_Periodo1[[#This Row],[CONTA]],BaseContasDRE[#All],7,FALSE))</f>
        <v>Fora do DRE</v>
      </c>
      <c r="V505" s="3" t="str">
        <f>IF(Base_Periodo1[[#This Row],[Tipo_Linha]]="Fora do DRE","Fora do DRE","( "&amp;Base_Periodo1[[#This Row],[Tipo_Linha]]&amp;" ) "&amp;Base_Periodo1[[#This Row],[Filtro]])</f>
        <v>Fora do DRE</v>
      </c>
      <c r="W505" s="3" t="str">
        <f>LEFT(Base_Periodo1[[#This Row],[CLASS]],3)</f>
        <v>1.1</v>
      </c>
    </row>
    <row r="506" spans="1:23" hidden="1">
      <c r="A506" s="3" t="str">
        <f t="shared" si="7"/>
        <v>Período 1</v>
      </c>
      <c r="B506">
        <v>50710</v>
      </c>
      <c r="C506" t="s">
        <v>503</v>
      </c>
      <c r="D506" t="s">
        <v>4343</v>
      </c>
      <c r="E506" s="3" t="str">
        <f>IF(LEN(Base_Periodo1[[#This Row],[CLASS]])&gt;=7,LEFT(Base_Periodo1[[#This Row],[CLASS]],7),"")</f>
        <v>1.1.2.1</v>
      </c>
      <c r="F506" s="3" t="str">
        <f>VLOOKUP(Base_Periodo1[[#This Row],[Aux]],Base_Contas_Balanco[#All],2,FALSE)</f>
        <v>Creditos com Cooperados</v>
      </c>
      <c r="G506" s="1">
        <v>42885</v>
      </c>
      <c r="H506" s="225">
        <v>16100</v>
      </c>
      <c r="I506" s="225">
        <v>0</v>
      </c>
      <c r="J506" s="225">
        <v>16100</v>
      </c>
      <c r="K506" s="225">
        <v>0</v>
      </c>
      <c r="L5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06" s="225">
        <f>ROUND(IF(AND(Base_Periodo1[[#This Row],[Tipo_Linha]]="-",Base_Periodo1[[#This Row],[TIPOSALDO]]="D"),Base_Periodo1[[#This Row],[SALDO_ATUAL]]*-1,Base_Periodo1[[#This Row],[SALDO_ATUAL]]),4)</f>
        <v>0</v>
      </c>
      <c r="N506" t="s">
        <v>116</v>
      </c>
      <c r="O506" t="s">
        <v>397</v>
      </c>
      <c r="P506" t="s">
        <v>436</v>
      </c>
      <c r="Q506">
        <v>7</v>
      </c>
      <c r="R506" s="225">
        <f>Base_Periodo1[[#This Row],[CREDITOS]]-Base_Periodo1[[#This Row],[DEBITOS]]</f>
        <v>16100</v>
      </c>
      <c r="S506" s="3" t="str">
        <f>IF(ISERROR(VLOOKUP(Base_Periodo1[[#This Row],[CONTA]],BaseContasDRE[#All],4,FALSE)),"Fora do DRE",VLOOKUP(Base_Periodo1[[#This Row],[CONTA]],BaseContasDRE[#All],4,FALSE))</f>
        <v>Fora do DRE</v>
      </c>
      <c r="T506" s="3" t="str">
        <f>IF(ISERROR(VLOOKUP(Base_Periodo1[[#This Row],[CONTA]],BaseContasDRE[#All],5,FALSE)),"Fora do DRE",VLOOKUP(Base_Periodo1[[#This Row],[CONTA]],BaseContasDRE[#All],6,FALSE))</f>
        <v>Fora do DRE</v>
      </c>
      <c r="U506" s="3" t="str">
        <f>IF(ISERROR(VLOOKUP(Base_Periodo1[[#This Row],[CONTA]],BaseContasDRE[#All],7,FALSE)),"Fora do DRE",VLOOKUP(Base_Periodo1[[#This Row],[CONTA]],BaseContasDRE[#All],7,FALSE))</f>
        <v>Fora do DRE</v>
      </c>
      <c r="V506" s="3" t="str">
        <f>IF(Base_Periodo1[[#This Row],[Tipo_Linha]]="Fora do DRE","Fora do DRE","( "&amp;Base_Periodo1[[#This Row],[Tipo_Linha]]&amp;" ) "&amp;Base_Periodo1[[#This Row],[Filtro]])</f>
        <v>Fora do DRE</v>
      </c>
      <c r="W506" s="3" t="str">
        <f>LEFT(Base_Periodo1[[#This Row],[CLASS]],3)</f>
        <v>1.1</v>
      </c>
    </row>
    <row r="507" spans="1:23" hidden="1">
      <c r="A507" s="3" t="str">
        <f t="shared" si="7"/>
        <v>Período 1</v>
      </c>
      <c r="B507">
        <v>12915</v>
      </c>
      <c r="C507" t="s">
        <v>503</v>
      </c>
      <c r="D507" t="s">
        <v>750</v>
      </c>
      <c r="E507" s="3" t="str">
        <f>IF(LEN(Base_Periodo1[[#This Row],[CLASS]])&gt;=7,LEFT(Base_Periodo1[[#This Row],[CLASS]],7),"")</f>
        <v>1.1.2.1</v>
      </c>
      <c r="F507" s="3" t="str">
        <f>VLOOKUP(Base_Periodo1[[#This Row],[Aux]],Base_Contas_Balanco[#All],2,FALSE)</f>
        <v>Creditos com Cooperados</v>
      </c>
      <c r="G507" s="1">
        <v>42880</v>
      </c>
      <c r="H507" s="225">
        <v>2325.3600000000006</v>
      </c>
      <c r="I507" s="225">
        <v>7.44</v>
      </c>
      <c r="J507" s="225">
        <v>2333.2399999999998</v>
      </c>
      <c r="K507" s="225">
        <v>0.43999999999914507</v>
      </c>
      <c r="L5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-0.44</v>
      </c>
      <c r="M507" s="225">
        <f>ROUND(IF(AND(Base_Periodo1[[#This Row],[Tipo_Linha]]="-",Base_Periodo1[[#This Row],[TIPOSALDO]]="D"),Base_Periodo1[[#This Row],[SALDO_ATUAL]]*-1,Base_Periodo1[[#This Row],[SALDO_ATUAL]]),4)</f>
        <v>0.44</v>
      </c>
      <c r="N507" t="s">
        <v>116</v>
      </c>
      <c r="O507" t="s">
        <v>397</v>
      </c>
      <c r="P507" t="s">
        <v>459</v>
      </c>
      <c r="Q507">
        <v>7</v>
      </c>
      <c r="R507" s="225">
        <f>Base_Periodo1[[#This Row],[CREDITOS]]-Base_Periodo1[[#This Row],[DEBITOS]]</f>
        <v>2325.7999999999997</v>
      </c>
      <c r="S507" s="3" t="str">
        <f>IF(ISERROR(VLOOKUP(Base_Periodo1[[#This Row],[CONTA]],BaseContasDRE[#All],4,FALSE)),"Fora do DRE",VLOOKUP(Base_Periodo1[[#This Row],[CONTA]],BaseContasDRE[#All],4,FALSE))</f>
        <v>Fora do DRE</v>
      </c>
      <c r="T507" s="3" t="str">
        <f>IF(ISERROR(VLOOKUP(Base_Periodo1[[#This Row],[CONTA]],BaseContasDRE[#All],5,FALSE)),"Fora do DRE",VLOOKUP(Base_Periodo1[[#This Row],[CONTA]],BaseContasDRE[#All],6,FALSE))</f>
        <v>Fora do DRE</v>
      </c>
      <c r="U507" s="3" t="str">
        <f>IF(ISERROR(VLOOKUP(Base_Periodo1[[#This Row],[CONTA]],BaseContasDRE[#All],7,FALSE)),"Fora do DRE",VLOOKUP(Base_Periodo1[[#This Row],[CONTA]],BaseContasDRE[#All],7,FALSE))</f>
        <v>Fora do DRE</v>
      </c>
      <c r="V507" s="3" t="str">
        <f>IF(Base_Periodo1[[#This Row],[Tipo_Linha]]="Fora do DRE","Fora do DRE","( "&amp;Base_Periodo1[[#This Row],[Tipo_Linha]]&amp;" ) "&amp;Base_Periodo1[[#This Row],[Filtro]])</f>
        <v>Fora do DRE</v>
      </c>
      <c r="W507" s="3" t="str">
        <f>LEFT(Base_Periodo1[[#This Row],[CLASS]],3)</f>
        <v>1.1</v>
      </c>
    </row>
    <row r="508" spans="1:23" hidden="1">
      <c r="A508" s="3" t="str">
        <f t="shared" si="7"/>
        <v>Período 1</v>
      </c>
      <c r="B508">
        <v>32691</v>
      </c>
      <c r="C508" t="s">
        <v>503</v>
      </c>
      <c r="D508" t="s">
        <v>5005</v>
      </c>
      <c r="E508" s="3" t="str">
        <f>IF(LEN(Base_Periodo1[[#This Row],[CLASS]])&gt;=7,LEFT(Base_Periodo1[[#This Row],[CLASS]],7),"")</f>
        <v>1.1.2.1</v>
      </c>
      <c r="F508" s="3" t="str">
        <f>VLOOKUP(Base_Periodo1[[#This Row],[Aux]],Base_Contas_Balanco[#All],2,FALSE)</f>
        <v>Creditos com Cooperados</v>
      </c>
      <c r="G508" s="1">
        <v>42870</v>
      </c>
      <c r="H508" s="225">
        <v>22024.000000000007</v>
      </c>
      <c r="I508" s="225">
        <v>2510</v>
      </c>
      <c r="J508" s="225">
        <v>0</v>
      </c>
      <c r="K508" s="225">
        <v>24534.000000000007</v>
      </c>
      <c r="L5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24534</v>
      </c>
      <c r="M508" s="225">
        <f>ROUND(IF(AND(Base_Periodo1[[#This Row],[Tipo_Linha]]="-",Base_Periodo1[[#This Row],[TIPOSALDO]]="D"),Base_Periodo1[[#This Row],[SALDO_ATUAL]]*-1,Base_Periodo1[[#This Row],[SALDO_ATUAL]]),4)</f>
        <v>24534</v>
      </c>
      <c r="N508" t="s">
        <v>116</v>
      </c>
      <c r="O508" t="s">
        <v>397</v>
      </c>
      <c r="P508" t="s">
        <v>397</v>
      </c>
      <c r="Q508">
        <v>7</v>
      </c>
      <c r="R508" s="225">
        <f>Base_Periodo1[[#This Row],[CREDITOS]]-Base_Periodo1[[#This Row],[DEBITOS]]</f>
        <v>-2510</v>
      </c>
      <c r="S508" s="3" t="str">
        <f>IF(ISERROR(VLOOKUP(Base_Periodo1[[#This Row],[CONTA]],BaseContasDRE[#All],4,FALSE)),"Fora do DRE",VLOOKUP(Base_Periodo1[[#This Row],[CONTA]],BaseContasDRE[#All],4,FALSE))</f>
        <v>Fora do DRE</v>
      </c>
      <c r="T508" s="3" t="str">
        <f>IF(ISERROR(VLOOKUP(Base_Periodo1[[#This Row],[CONTA]],BaseContasDRE[#All],5,FALSE)),"Fora do DRE",VLOOKUP(Base_Periodo1[[#This Row],[CONTA]],BaseContasDRE[#All],6,FALSE))</f>
        <v>Fora do DRE</v>
      </c>
      <c r="U508" s="3" t="str">
        <f>IF(ISERROR(VLOOKUP(Base_Periodo1[[#This Row],[CONTA]],BaseContasDRE[#All],7,FALSE)),"Fora do DRE",VLOOKUP(Base_Periodo1[[#This Row],[CONTA]],BaseContasDRE[#All],7,FALSE))</f>
        <v>Fora do DRE</v>
      </c>
      <c r="V508" s="3" t="str">
        <f>IF(Base_Periodo1[[#This Row],[Tipo_Linha]]="Fora do DRE","Fora do DRE","( "&amp;Base_Periodo1[[#This Row],[Tipo_Linha]]&amp;" ) "&amp;Base_Periodo1[[#This Row],[Filtro]])</f>
        <v>Fora do DRE</v>
      </c>
      <c r="W508" s="3" t="str">
        <f>LEFT(Base_Periodo1[[#This Row],[CLASS]],3)</f>
        <v>1.1</v>
      </c>
    </row>
    <row r="509" spans="1:23" hidden="1">
      <c r="A509" s="3" t="str">
        <f t="shared" si="7"/>
        <v>Período 1</v>
      </c>
      <c r="B509">
        <v>53554</v>
      </c>
      <c r="C509" t="s">
        <v>503</v>
      </c>
      <c r="D509" t="s">
        <v>5641</v>
      </c>
      <c r="E509" s="3" t="str">
        <f>IF(LEN(Base_Periodo1[[#This Row],[CLASS]])&gt;=7,LEFT(Base_Periodo1[[#This Row],[CLASS]],7),"")</f>
        <v>1.1.2.1</v>
      </c>
      <c r="F509" s="3" t="str">
        <f>VLOOKUP(Base_Periodo1[[#This Row],[Aux]],Base_Contas_Balanco[#All],2,FALSE)</f>
        <v>Creditos com Cooperados</v>
      </c>
      <c r="G509" s="1">
        <v>42877</v>
      </c>
      <c r="H509" s="225">
        <v>2308</v>
      </c>
      <c r="I509" s="225">
        <v>0</v>
      </c>
      <c r="J509" s="225">
        <v>2308</v>
      </c>
      <c r="K509" s="225">
        <v>0</v>
      </c>
      <c r="L5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09" s="225">
        <f>ROUND(IF(AND(Base_Periodo1[[#This Row],[Tipo_Linha]]="-",Base_Periodo1[[#This Row],[TIPOSALDO]]="D"),Base_Periodo1[[#This Row],[SALDO_ATUAL]]*-1,Base_Periodo1[[#This Row],[SALDO_ATUAL]]),4)</f>
        <v>0</v>
      </c>
      <c r="N509" t="s">
        <v>116</v>
      </c>
      <c r="O509" t="s">
        <v>397</v>
      </c>
      <c r="P509" t="s">
        <v>436</v>
      </c>
      <c r="Q509">
        <v>7</v>
      </c>
      <c r="R509" s="225">
        <f>Base_Periodo1[[#This Row],[CREDITOS]]-Base_Periodo1[[#This Row],[DEBITOS]]</f>
        <v>2308</v>
      </c>
      <c r="S509" s="3" t="str">
        <f>IF(ISERROR(VLOOKUP(Base_Periodo1[[#This Row],[CONTA]],BaseContasDRE[#All],4,FALSE)),"Fora do DRE",VLOOKUP(Base_Periodo1[[#This Row],[CONTA]],BaseContasDRE[#All],4,FALSE))</f>
        <v>Fora do DRE</v>
      </c>
      <c r="T509" s="3" t="str">
        <f>IF(ISERROR(VLOOKUP(Base_Periodo1[[#This Row],[CONTA]],BaseContasDRE[#All],5,FALSE)),"Fora do DRE",VLOOKUP(Base_Periodo1[[#This Row],[CONTA]],BaseContasDRE[#All],6,FALSE))</f>
        <v>Fora do DRE</v>
      </c>
      <c r="U509" s="3" t="str">
        <f>IF(ISERROR(VLOOKUP(Base_Periodo1[[#This Row],[CONTA]],BaseContasDRE[#All],7,FALSE)),"Fora do DRE",VLOOKUP(Base_Periodo1[[#This Row],[CONTA]],BaseContasDRE[#All],7,FALSE))</f>
        <v>Fora do DRE</v>
      </c>
      <c r="V509" s="3" t="str">
        <f>IF(Base_Periodo1[[#This Row],[Tipo_Linha]]="Fora do DRE","Fora do DRE","( "&amp;Base_Periodo1[[#This Row],[Tipo_Linha]]&amp;" ) "&amp;Base_Periodo1[[#This Row],[Filtro]])</f>
        <v>Fora do DRE</v>
      </c>
      <c r="W509" s="3" t="str">
        <f>LEFT(Base_Periodo1[[#This Row],[CLASS]],3)</f>
        <v>1.1</v>
      </c>
    </row>
    <row r="510" spans="1:23" hidden="1">
      <c r="A510" s="3" t="str">
        <f t="shared" si="7"/>
        <v>Período 1</v>
      </c>
      <c r="B510">
        <v>18167</v>
      </c>
      <c r="C510" t="s">
        <v>503</v>
      </c>
      <c r="D510" t="s">
        <v>5154</v>
      </c>
      <c r="E510" s="3" t="str">
        <f>IF(LEN(Base_Periodo1[[#This Row],[CLASS]])&gt;=7,LEFT(Base_Periodo1[[#This Row],[CLASS]],7),"")</f>
        <v>1.1.2.1</v>
      </c>
      <c r="F510" s="3" t="str">
        <f>VLOOKUP(Base_Periodo1[[#This Row],[Aux]],Base_Contas_Balanco[#All],2,FALSE)</f>
        <v>Creditos com Cooperados</v>
      </c>
      <c r="G510" s="1">
        <v>42853</v>
      </c>
      <c r="H510" s="225">
        <v>10197</v>
      </c>
      <c r="I510" s="225">
        <v>0</v>
      </c>
      <c r="J510" s="225">
        <v>0</v>
      </c>
      <c r="K510" s="225">
        <v>10197</v>
      </c>
      <c r="L5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10197</v>
      </c>
      <c r="M510" s="225">
        <f>ROUND(IF(AND(Base_Periodo1[[#This Row],[Tipo_Linha]]="-",Base_Periodo1[[#This Row],[TIPOSALDO]]="D"),Base_Periodo1[[#This Row],[SALDO_ATUAL]]*-1,Base_Periodo1[[#This Row],[SALDO_ATUAL]]),4)</f>
        <v>10197</v>
      </c>
      <c r="N510" t="s">
        <v>116</v>
      </c>
      <c r="O510" t="s">
        <v>397</v>
      </c>
      <c r="P510" t="s">
        <v>397</v>
      </c>
      <c r="Q510">
        <v>7</v>
      </c>
      <c r="R510" s="225">
        <f>Base_Periodo1[[#This Row],[CREDITOS]]-Base_Periodo1[[#This Row],[DEBITOS]]</f>
        <v>0</v>
      </c>
      <c r="S510" s="3" t="str">
        <f>IF(ISERROR(VLOOKUP(Base_Periodo1[[#This Row],[CONTA]],BaseContasDRE[#All],4,FALSE)),"Fora do DRE",VLOOKUP(Base_Periodo1[[#This Row],[CONTA]],BaseContasDRE[#All],4,FALSE))</f>
        <v>Fora do DRE</v>
      </c>
      <c r="T510" s="3" t="str">
        <f>IF(ISERROR(VLOOKUP(Base_Periodo1[[#This Row],[CONTA]],BaseContasDRE[#All],5,FALSE)),"Fora do DRE",VLOOKUP(Base_Periodo1[[#This Row],[CONTA]],BaseContasDRE[#All],6,FALSE))</f>
        <v>Fora do DRE</v>
      </c>
      <c r="U510" s="3" t="str">
        <f>IF(ISERROR(VLOOKUP(Base_Periodo1[[#This Row],[CONTA]],BaseContasDRE[#All],7,FALSE)),"Fora do DRE",VLOOKUP(Base_Periodo1[[#This Row],[CONTA]],BaseContasDRE[#All],7,FALSE))</f>
        <v>Fora do DRE</v>
      </c>
      <c r="V510" s="3" t="str">
        <f>IF(Base_Periodo1[[#This Row],[Tipo_Linha]]="Fora do DRE","Fora do DRE","( "&amp;Base_Periodo1[[#This Row],[Tipo_Linha]]&amp;" ) "&amp;Base_Periodo1[[#This Row],[Filtro]])</f>
        <v>Fora do DRE</v>
      </c>
      <c r="W510" s="3" t="str">
        <f>LEFT(Base_Periodo1[[#This Row],[CLASS]],3)</f>
        <v>1.1</v>
      </c>
    </row>
    <row r="511" spans="1:23" hidden="1">
      <c r="A511" s="3" t="str">
        <f t="shared" si="7"/>
        <v>Período 1</v>
      </c>
      <c r="B511">
        <v>46882</v>
      </c>
      <c r="C511" t="s">
        <v>503</v>
      </c>
      <c r="D511" t="s">
        <v>751</v>
      </c>
      <c r="E511" s="3" t="str">
        <f>IF(LEN(Base_Periodo1[[#This Row],[CLASS]])&gt;=7,LEFT(Base_Periodo1[[#This Row],[CLASS]],7),"")</f>
        <v>1.1.2.1</v>
      </c>
      <c r="F511" s="3" t="str">
        <f>VLOOKUP(Base_Periodo1[[#This Row],[Aux]],Base_Contas_Balanco[#All],2,FALSE)</f>
        <v>Creditos com Cooperados</v>
      </c>
      <c r="G511" s="1">
        <v>42884</v>
      </c>
      <c r="H511" s="225">
        <v>6250</v>
      </c>
      <c r="I511" s="225">
        <v>27226.15</v>
      </c>
      <c r="J511" s="225">
        <v>30531.16</v>
      </c>
      <c r="K511" s="225">
        <v>2944.9900000000016</v>
      </c>
      <c r="L5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2944.99</v>
      </c>
      <c r="M511" s="225">
        <f>ROUND(IF(AND(Base_Periodo1[[#This Row],[Tipo_Linha]]="-",Base_Periodo1[[#This Row],[TIPOSALDO]]="D"),Base_Periodo1[[#This Row],[SALDO_ATUAL]]*-1,Base_Periodo1[[#This Row],[SALDO_ATUAL]]),4)</f>
        <v>2944.99</v>
      </c>
      <c r="N511" t="s">
        <v>116</v>
      </c>
      <c r="O511" t="s">
        <v>397</v>
      </c>
      <c r="P511" t="s">
        <v>397</v>
      </c>
      <c r="Q511">
        <v>7</v>
      </c>
      <c r="R511" s="225">
        <f>Base_Periodo1[[#This Row],[CREDITOS]]-Base_Periodo1[[#This Row],[DEBITOS]]</f>
        <v>3305.0099999999984</v>
      </c>
      <c r="S511" s="3" t="str">
        <f>IF(ISERROR(VLOOKUP(Base_Periodo1[[#This Row],[CONTA]],BaseContasDRE[#All],4,FALSE)),"Fora do DRE",VLOOKUP(Base_Periodo1[[#This Row],[CONTA]],BaseContasDRE[#All],4,FALSE))</f>
        <v>Fora do DRE</v>
      </c>
      <c r="T511" s="3" t="str">
        <f>IF(ISERROR(VLOOKUP(Base_Periodo1[[#This Row],[CONTA]],BaseContasDRE[#All],5,FALSE)),"Fora do DRE",VLOOKUP(Base_Periodo1[[#This Row],[CONTA]],BaseContasDRE[#All],6,FALSE))</f>
        <v>Fora do DRE</v>
      </c>
      <c r="U511" s="3" t="str">
        <f>IF(ISERROR(VLOOKUP(Base_Periodo1[[#This Row],[CONTA]],BaseContasDRE[#All],7,FALSE)),"Fora do DRE",VLOOKUP(Base_Periodo1[[#This Row],[CONTA]],BaseContasDRE[#All],7,FALSE))</f>
        <v>Fora do DRE</v>
      </c>
      <c r="V511" s="3" t="str">
        <f>IF(Base_Periodo1[[#This Row],[Tipo_Linha]]="Fora do DRE","Fora do DRE","( "&amp;Base_Periodo1[[#This Row],[Tipo_Linha]]&amp;" ) "&amp;Base_Periodo1[[#This Row],[Filtro]])</f>
        <v>Fora do DRE</v>
      </c>
      <c r="W511" s="3" t="str">
        <f>LEFT(Base_Periodo1[[#This Row],[CLASS]],3)</f>
        <v>1.1</v>
      </c>
    </row>
    <row r="512" spans="1:23" hidden="1">
      <c r="A512" s="3" t="str">
        <f t="shared" si="7"/>
        <v>Período 1</v>
      </c>
      <c r="B512">
        <v>4868</v>
      </c>
      <c r="C512" t="s">
        <v>503</v>
      </c>
      <c r="D512" t="s">
        <v>752</v>
      </c>
      <c r="E512" s="3" t="str">
        <f>IF(LEN(Base_Periodo1[[#This Row],[CLASS]])&gt;=7,LEFT(Base_Periodo1[[#This Row],[CLASS]],7),"")</f>
        <v>1.1.2.1</v>
      </c>
      <c r="F512" s="3" t="str">
        <f>VLOOKUP(Base_Periodo1[[#This Row],[Aux]],Base_Contas_Balanco[#All],2,FALSE)</f>
        <v>Creditos com Cooperados</v>
      </c>
      <c r="G512" s="1">
        <v>42530</v>
      </c>
      <c r="H512" s="225">
        <v>116160</v>
      </c>
      <c r="I512" s="225">
        <v>0</v>
      </c>
      <c r="J512" s="225">
        <v>0</v>
      </c>
      <c r="K512" s="225">
        <v>116160</v>
      </c>
      <c r="L5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116160</v>
      </c>
      <c r="M512" s="225">
        <f>ROUND(IF(AND(Base_Periodo1[[#This Row],[Tipo_Linha]]="-",Base_Periodo1[[#This Row],[TIPOSALDO]]="D"),Base_Periodo1[[#This Row],[SALDO_ATUAL]]*-1,Base_Periodo1[[#This Row],[SALDO_ATUAL]]),4)</f>
        <v>116160</v>
      </c>
      <c r="N512" t="s">
        <v>116</v>
      </c>
      <c r="O512" t="s">
        <v>397</v>
      </c>
      <c r="P512" t="s">
        <v>397</v>
      </c>
      <c r="Q512">
        <v>7</v>
      </c>
      <c r="R512" s="225">
        <f>Base_Periodo1[[#This Row],[CREDITOS]]-Base_Periodo1[[#This Row],[DEBITOS]]</f>
        <v>0</v>
      </c>
      <c r="S512" s="3" t="str">
        <f>IF(ISERROR(VLOOKUP(Base_Periodo1[[#This Row],[CONTA]],BaseContasDRE[#All],4,FALSE)),"Fora do DRE",VLOOKUP(Base_Periodo1[[#This Row],[CONTA]],BaseContasDRE[#All],4,FALSE))</f>
        <v>Fora do DRE</v>
      </c>
      <c r="T512" s="3" t="str">
        <f>IF(ISERROR(VLOOKUP(Base_Periodo1[[#This Row],[CONTA]],BaseContasDRE[#All],5,FALSE)),"Fora do DRE",VLOOKUP(Base_Periodo1[[#This Row],[CONTA]],BaseContasDRE[#All],6,FALSE))</f>
        <v>Fora do DRE</v>
      </c>
      <c r="U512" s="3" t="str">
        <f>IF(ISERROR(VLOOKUP(Base_Periodo1[[#This Row],[CONTA]],BaseContasDRE[#All],7,FALSE)),"Fora do DRE",VLOOKUP(Base_Periodo1[[#This Row],[CONTA]],BaseContasDRE[#All],7,FALSE))</f>
        <v>Fora do DRE</v>
      </c>
      <c r="V512" s="3" t="str">
        <f>IF(Base_Periodo1[[#This Row],[Tipo_Linha]]="Fora do DRE","Fora do DRE","( "&amp;Base_Periodo1[[#This Row],[Tipo_Linha]]&amp;" ) "&amp;Base_Periodo1[[#This Row],[Filtro]])</f>
        <v>Fora do DRE</v>
      </c>
      <c r="W512" s="3" t="str">
        <f>LEFT(Base_Periodo1[[#This Row],[CLASS]],3)</f>
        <v>1.1</v>
      </c>
    </row>
    <row r="513" spans="1:23" hidden="1">
      <c r="A513" s="3" t="str">
        <f t="shared" si="7"/>
        <v>Período 1</v>
      </c>
      <c r="B513">
        <v>35117</v>
      </c>
      <c r="C513" t="s">
        <v>503</v>
      </c>
      <c r="D513" t="s">
        <v>5155</v>
      </c>
      <c r="E513" s="3" t="str">
        <f>IF(LEN(Base_Periodo1[[#This Row],[CLASS]])&gt;=7,LEFT(Base_Periodo1[[#This Row],[CLASS]],7),"")</f>
        <v>1.1.2.1</v>
      </c>
      <c r="F513" s="3" t="str">
        <f>VLOOKUP(Base_Periodo1[[#This Row],[Aux]],Base_Contas_Balanco[#All],2,FALSE)</f>
        <v>Creditos com Cooperados</v>
      </c>
      <c r="G513" s="1">
        <v>42866</v>
      </c>
      <c r="H513" s="225">
        <v>3987.6000000000204</v>
      </c>
      <c r="I513" s="225">
        <v>700.8</v>
      </c>
      <c r="J513" s="225">
        <v>0</v>
      </c>
      <c r="K513" s="225">
        <v>4688.4000000000206</v>
      </c>
      <c r="L5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4688.3999999999996</v>
      </c>
      <c r="M513" s="225">
        <f>ROUND(IF(AND(Base_Periodo1[[#This Row],[Tipo_Linha]]="-",Base_Periodo1[[#This Row],[TIPOSALDO]]="D"),Base_Periodo1[[#This Row],[SALDO_ATUAL]]*-1,Base_Periodo1[[#This Row],[SALDO_ATUAL]]),4)</f>
        <v>4688.3999999999996</v>
      </c>
      <c r="N513" t="s">
        <v>116</v>
      </c>
      <c r="O513" t="s">
        <v>397</v>
      </c>
      <c r="P513" t="s">
        <v>397</v>
      </c>
      <c r="Q513">
        <v>7</v>
      </c>
      <c r="R513" s="225">
        <f>Base_Periodo1[[#This Row],[CREDITOS]]-Base_Periodo1[[#This Row],[DEBITOS]]</f>
        <v>-700.8</v>
      </c>
      <c r="S513" s="3" t="str">
        <f>IF(ISERROR(VLOOKUP(Base_Periodo1[[#This Row],[CONTA]],BaseContasDRE[#All],4,FALSE)),"Fora do DRE",VLOOKUP(Base_Periodo1[[#This Row],[CONTA]],BaseContasDRE[#All],4,FALSE))</f>
        <v>Fora do DRE</v>
      </c>
      <c r="T513" s="3" t="str">
        <f>IF(ISERROR(VLOOKUP(Base_Periodo1[[#This Row],[CONTA]],BaseContasDRE[#All],5,FALSE)),"Fora do DRE",VLOOKUP(Base_Periodo1[[#This Row],[CONTA]],BaseContasDRE[#All],6,FALSE))</f>
        <v>Fora do DRE</v>
      </c>
      <c r="U513" s="3" t="str">
        <f>IF(ISERROR(VLOOKUP(Base_Periodo1[[#This Row],[CONTA]],BaseContasDRE[#All],7,FALSE)),"Fora do DRE",VLOOKUP(Base_Periodo1[[#This Row],[CONTA]],BaseContasDRE[#All],7,FALSE))</f>
        <v>Fora do DRE</v>
      </c>
      <c r="V513" s="3" t="str">
        <f>IF(Base_Periodo1[[#This Row],[Tipo_Linha]]="Fora do DRE","Fora do DRE","( "&amp;Base_Periodo1[[#This Row],[Tipo_Linha]]&amp;" ) "&amp;Base_Periodo1[[#This Row],[Filtro]])</f>
        <v>Fora do DRE</v>
      </c>
      <c r="W513" s="3" t="str">
        <f>LEFT(Base_Periodo1[[#This Row],[CLASS]],3)</f>
        <v>1.1</v>
      </c>
    </row>
    <row r="514" spans="1:23" hidden="1">
      <c r="A514" s="3" t="str">
        <f t="shared" si="7"/>
        <v>Período 1</v>
      </c>
      <c r="B514">
        <v>8730</v>
      </c>
      <c r="C514" t="s">
        <v>503</v>
      </c>
      <c r="D514" t="s">
        <v>753</v>
      </c>
      <c r="E514" s="3" t="str">
        <f>IF(LEN(Base_Periodo1[[#This Row],[CLASS]])&gt;=7,LEFT(Base_Periodo1[[#This Row],[CLASS]],7),"")</f>
        <v>1.1.2.1</v>
      </c>
      <c r="F514" s="3" t="str">
        <f>VLOOKUP(Base_Periodo1[[#This Row],[Aux]],Base_Contas_Balanco[#All],2,FALSE)</f>
        <v>Creditos com Cooperados</v>
      </c>
      <c r="G514" s="1">
        <v>41941</v>
      </c>
      <c r="H514" s="225">
        <v>1282.0300000000279</v>
      </c>
      <c r="I514" s="225">
        <v>0</v>
      </c>
      <c r="J514" s="225">
        <v>0</v>
      </c>
      <c r="K514" s="225">
        <v>1282.0300000000279</v>
      </c>
      <c r="L5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1282.03</v>
      </c>
      <c r="M514" s="225">
        <f>ROUND(IF(AND(Base_Periodo1[[#This Row],[Tipo_Linha]]="-",Base_Periodo1[[#This Row],[TIPOSALDO]]="D"),Base_Periodo1[[#This Row],[SALDO_ATUAL]]*-1,Base_Periodo1[[#This Row],[SALDO_ATUAL]]),4)</f>
        <v>1282.03</v>
      </c>
      <c r="N514" t="s">
        <v>116</v>
      </c>
      <c r="O514" t="s">
        <v>397</v>
      </c>
      <c r="P514" t="s">
        <v>397</v>
      </c>
      <c r="Q514">
        <v>7</v>
      </c>
      <c r="R514" s="225">
        <f>Base_Periodo1[[#This Row],[CREDITOS]]-Base_Periodo1[[#This Row],[DEBITOS]]</f>
        <v>0</v>
      </c>
      <c r="S514" s="3" t="str">
        <f>IF(ISERROR(VLOOKUP(Base_Periodo1[[#This Row],[CONTA]],BaseContasDRE[#All],4,FALSE)),"Fora do DRE",VLOOKUP(Base_Periodo1[[#This Row],[CONTA]],BaseContasDRE[#All],4,FALSE))</f>
        <v>Fora do DRE</v>
      </c>
      <c r="T514" s="3" t="str">
        <f>IF(ISERROR(VLOOKUP(Base_Periodo1[[#This Row],[CONTA]],BaseContasDRE[#All],5,FALSE)),"Fora do DRE",VLOOKUP(Base_Periodo1[[#This Row],[CONTA]],BaseContasDRE[#All],6,FALSE))</f>
        <v>Fora do DRE</v>
      </c>
      <c r="U514" s="3" t="str">
        <f>IF(ISERROR(VLOOKUP(Base_Periodo1[[#This Row],[CONTA]],BaseContasDRE[#All],7,FALSE)),"Fora do DRE",VLOOKUP(Base_Periodo1[[#This Row],[CONTA]],BaseContasDRE[#All],7,FALSE))</f>
        <v>Fora do DRE</v>
      </c>
      <c r="V514" s="3" t="str">
        <f>IF(Base_Periodo1[[#This Row],[Tipo_Linha]]="Fora do DRE","Fora do DRE","( "&amp;Base_Periodo1[[#This Row],[Tipo_Linha]]&amp;" ) "&amp;Base_Periodo1[[#This Row],[Filtro]])</f>
        <v>Fora do DRE</v>
      </c>
      <c r="W514" s="3" t="str">
        <f>LEFT(Base_Periodo1[[#This Row],[CLASS]],3)</f>
        <v>1.1</v>
      </c>
    </row>
    <row r="515" spans="1:23" hidden="1">
      <c r="A515" s="3" t="str">
        <f t="shared" si="7"/>
        <v>Período 1</v>
      </c>
      <c r="B515">
        <v>22186</v>
      </c>
      <c r="C515" t="s">
        <v>503</v>
      </c>
      <c r="D515" t="s">
        <v>5948</v>
      </c>
      <c r="E515" s="3" t="str">
        <f>IF(LEN(Base_Periodo1[[#This Row],[CLASS]])&gt;=7,LEFT(Base_Periodo1[[#This Row],[CLASS]],7),"")</f>
        <v>1.1.2.1</v>
      </c>
      <c r="F515" s="3" t="str">
        <f>VLOOKUP(Base_Periodo1[[#This Row],[Aux]],Base_Contas_Balanco[#All],2,FALSE)</f>
        <v>Creditos com Cooperados</v>
      </c>
      <c r="G515" s="1">
        <v>42865</v>
      </c>
      <c r="I515" s="225">
        <v>4285.4399999999996</v>
      </c>
      <c r="J515" s="225">
        <v>0</v>
      </c>
      <c r="K515" s="225">
        <v>4285.4399999999996</v>
      </c>
      <c r="L5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4285.4399999999996</v>
      </c>
      <c r="M515" s="225">
        <f>ROUND(IF(AND(Base_Periodo1[[#This Row],[Tipo_Linha]]="-",Base_Periodo1[[#This Row],[TIPOSALDO]]="D"),Base_Periodo1[[#This Row],[SALDO_ATUAL]]*-1,Base_Periodo1[[#This Row],[SALDO_ATUAL]]),4)</f>
        <v>4285.4399999999996</v>
      </c>
      <c r="N515" t="s">
        <v>116</v>
      </c>
      <c r="O515" t="s">
        <v>436</v>
      </c>
      <c r="P515" t="s">
        <v>397</v>
      </c>
      <c r="Q515">
        <v>7</v>
      </c>
      <c r="R515" s="225">
        <f>Base_Periodo1[[#This Row],[CREDITOS]]-Base_Periodo1[[#This Row],[DEBITOS]]</f>
        <v>-4285.4399999999996</v>
      </c>
      <c r="S515" s="3" t="str">
        <f>IF(ISERROR(VLOOKUP(Base_Periodo1[[#This Row],[CONTA]],BaseContasDRE[#All],4,FALSE)),"Fora do DRE",VLOOKUP(Base_Periodo1[[#This Row],[CONTA]],BaseContasDRE[#All],4,FALSE))</f>
        <v>Fora do DRE</v>
      </c>
      <c r="T515" s="3" t="str">
        <f>IF(ISERROR(VLOOKUP(Base_Periodo1[[#This Row],[CONTA]],BaseContasDRE[#All],5,FALSE)),"Fora do DRE",VLOOKUP(Base_Periodo1[[#This Row],[CONTA]],BaseContasDRE[#All],6,FALSE))</f>
        <v>Fora do DRE</v>
      </c>
      <c r="U515" s="3" t="str">
        <f>IF(ISERROR(VLOOKUP(Base_Periodo1[[#This Row],[CONTA]],BaseContasDRE[#All],7,FALSE)),"Fora do DRE",VLOOKUP(Base_Periodo1[[#This Row],[CONTA]],BaseContasDRE[#All],7,FALSE))</f>
        <v>Fora do DRE</v>
      </c>
      <c r="V515" s="3" t="str">
        <f>IF(Base_Periodo1[[#This Row],[Tipo_Linha]]="Fora do DRE","Fora do DRE","( "&amp;Base_Periodo1[[#This Row],[Tipo_Linha]]&amp;" ) "&amp;Base_Periodo1[[#This Row],[Filtro]])</f>
        <v>Fora do DRE</v>
      </c>
      <c r="W515" s="3" t="str">
        <f>LEFT(Base_Periodo1[[#This Row],[CLASS]],3)</f>
        <v>1.1</v>
      </c>
    </row>
    <row r="516" spans="1:23" hidden="1">
      <c r="A516" s="3" t="str">
        <f t="shared" si="7"/>
        <v>Período 1</v>
      </c>
      <c r="B516">
        <v>17467</v>
      </c>
      <c r="C516" t="s">
        <v>503</v>
      </c>
      <c r="D516" t="s">
        <v>754</v>
      </c>
      <c r="E516" s="3" t="str">
        <f>IF(LEN(Base_Periodo1[[#This Row],[CLASS]])&gt;=7,LEFT(Base_Periodo1[[#This Row],[CLASS]],7),"")</f>
        <v>1.1.2.1</v>
      </c>
      <c r="F516" s="3" t="str">
        <f>VLOOKUP(Base_Periodo1[[#This Row],[Aux]],Base_Contas_Balanco[#All],2,FALSE)</f>
        <v>Creditos com Cooperados</v>
      </c>
      <c r="G516" s="1">
        <v>42585</v>
      </c>
      <c r="H516" s="225">
        <v>279.99999999953434</v>
      </c>
      <c r="I516" s="225">
        <v>0</v>
      </c>
      <c r="J516" s="225">
        <v>0</v>
      </c>
      <c r="K516" s="225">
        <v>279.99999999953434</v>
      </c>
      <c r="L5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280</v>
      </c>
      <c r="M516" s="225">
        <f>ROUND(IF(AND(Base_Periodo1[[#This Row],[Tipo_Linha]]="-",Base_Periodo1[[#This Row],[TIPOSALDO]]="D"),Base_Periodo1[[#This Row],[SALDO_ATUAL]]*-1,Base_Periodo1[[#This Row],[SALDO_ATUAL]]),4)</f>
        <v>280</v>
      </c>
      <c r="N516" t="s">
        <v>116</v>
      </c>
      <c r="O516" t="s">
        <v>397</v>
      </c>
      <c r="P516" t="s">
        <v>397</v>
      </c>
      <c r="Q516">
        <v>7</v>
      </c>
      <c r="R516" s="225">
        <f>Base_Periodo1[[#This Row],[CREDITOS]]-Base_Periodo1[[#This Row],[DEBITOS]]</f>
        <v>0</v>
      </c>
      <c r="S516" s="3" t="str">
        <f>IF(ISERROR(VLOOKUP(Base_Periodo1[[#This Row],[CONTA]],BaseContasDRE[#All],4,FALSE)),"Fora do DRE",VLOOKUP(Base_Periodo1[[#This Row],[CONTA]],BaseContasDRE[#All],4,FALSE))</f>
        <v>Fora do DRE</v>
      </c>
      <c r="T516" s="3" t="str">
        <f>IF(ISERROR(VLOOKUP(Base_Periodo1[[#This Row],[CONTA]],BaseContasDRE[#All],5,FALSE)),"Fora do DRE",VLOOKUP(Base_Periodo1[[#This Row],[CONTA]],BaseContasDRE[#All],6,FALSE))</f>
        <v>Fora do DRE</v>
      </c>
      <c r="U516" s="3" t="str">
        <f>IF(ISERROR(VLOOKUP(Base_Periodo1[[#This Row],[CONTA]],BaseContasDRE[#All],7,FALSE)),"Fora do DRE",VLOOKUP(Base_Periodo1[[#This Row],[CONTA]],BaseContasDRE[#All],7,FALSE))</f>
        <v>Fora do DRE</v>
      </c>
      <c r="V516" s="3" t="str">
        <f>IF(Base_Periodo1[[#This Row],[Tipo_Linha]]="Fora do DRE","Fora do DRE","( "&amp;Base_Periodo1[[#This Row],[Tipo_Linha]]&amp;" ) "&amp;Base_Periodo1[[#This Row],[Filtro]])</f>
        <v>Fora do DRE</v>
      </c>
      <c r="W516" s="3" t="str">
        <f>LEFT(Base_Periodo1[[#This Row],[CLASS]],3)</f>
        <v>1.1</v>
      </c>
    </row>
    <row r="517" spans="1:23" hidden="1">
      <c r="A517" s="3" t="str">
        <f t="shared" si="7"/>
        <v>Período 1</v>
      </c>
      <c r="B517">
        <v>7049</v>
      </c>
      <c r="C517" t="s">
        <v>503</v>
      </c>
      <c r="D517" t="s">
        <v>755</v>
      </c>
      <c r="E517" s="3" t="str">
        <f>IF(LEN(Base_Periodo1[[#This Row],[CLASS]])&gt;=7,LEFT(Base_Periodo1[[#This Row],[CLASS]],7),"")</f>
        <v>1.1.2.1</v>
      </c>
      <c r="F517" s="3" t="str">
        <f>VLOOKUP(Base_Periodo1[[#This Row],[Aux]],Base_Contas_Balanco[#All],2,FALSE)</f>
        <v>Creditos com Cooperados</v>
      </c>
      <c r="G517" s="1">
        <v>42884</v>
      </c>
      <c r="H517" s="225">
        <v>114621.85000000102</v>
      </c>
      <c r="I517" s="225">
        <v>17646.22</v>
      </c>
      <c r="J517" s="225">
        <v>65703.319999999992</v>
      </c>
      <c r="K517" s="225">
        <v>66564.750000001033</v>
      </c>
      <c r="L5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66564.75</v>
      </c>
      <c r="M517" s="225">
        <f>ROUND(IF(AND(Base_Periodo1[[#This Row],[Tipo_Linha]]="-",Base_Periodo1[[#This Row],[TIPOSALDO]]="D"),Base_Periodo1[[#This Row],[SALDO_ATUAL]]*-1,Base_Periodo1[[#This Row],[SALDO_ATUAL]]),4)</f>
        <v>66564.75</v>
      </c>
      <c r="N517" t="s">
        <v>116</v>
      </c>
      <c r="O517" t="s">
        <v>397</v>
      </c>
      <c r="P517" t="s">
        <v>397</v>
      </c>
      <c r="Q517">
        <v>7</v>
      </c>
      <c r="R517" s="225">
        <f>Base_Periodo1[[#This Row],[CREDITOS]]-Base_Periodo1[[#This Row],[DEBITOS]]</f>
        <v>48057.099999999991</v>
      </c>
      <c r="S517" s="3" t="str">
        <f>IF(ISERROR(VLOOKUP(Base_Periodo1[[#This Row],[CONTA]],BaseContasDRE[#All],4,FALSE)),"Fora do DRE",VLOOKUP(Base_Periodo1[[#This Row],[CONTA]],BaseContasDRE[#All],4,FALSE))</f>
        <v>Fora do DRE</v>
      </c>
      <c r="T517" s="3" t="str">
        <f>IF(ISERROR(VLOOKUP(Base_Periodo1[[#This Row],[CONTA]],BaseContasDRE[#All],5,FALSE)),"Fora do DRE",VLOOKUP(Base_Periodo1[[#This Row],[CONTA]],BaseContasDRE[#All],6,FALSE))</f>
        <v>Fora do DRE</v>
      </c>
      <c r="U517" s="3" t="str">
        <f>IF(ISERROR(VLOOKUP(Base_Periodo1[[#This Row],[CONTA]],BaseContasDRE[#All],7,FALSE)),"Fora do DRE",VLOOKUP(Base_Periodo1[[#This Row],[CONTA]],BaseContasDRE[#All],7,FALSE))</f>
        <v>Fora do DRE</v>
      </c>
      <c r="V517" s="3" t="str">
        <f>IF(Base_Periodo1[[#This Row],[Tipo_Linha]]="Fora do DRE","Fora do DRE","( "&amp;Base_Periodo1[[#This Row],[Tipo_Linha]]&amp;" ) "&amp;Base_Periodo1[[#This Row],[Filtro]])</f>
        <v>Fora do DRE</v>
      </c>
      <c r="W517" s="3" t="str">
        <f>LEFT(Base_Periodo1[[#This Row],[CLASS]],3)</f>
        <v>1.1</v>
      </c>
    </row>
    <row r="518" spans="1:23" hidden="1">
      <c r="A518" s="3" t="str">
        <f t="shared" ref="A518:A581" si="8">"Período 1"</f>
        <v>Período 1</v>
      </c>
      <c r="B518">
        <v>12022</v>
      </c>
      <c r="C518" t="s">
        <v>503</v>
      </c>
      <c r="D518" t="s">
        <v>757</v>
      </c>
      <c r="E518" s="3" t="str">
        <f>IF(LEN(Base_Periodo1[[#This Row],[CLASS]])&gt;=7,LEFT(Base_Periodo1[[#This Row],[CLASS]],7),"")</f>
        <v>1.1.2.1</v>
      </c>
      <c r="F518" s="3" t="str">
        <f>VLOOKUP(Base_Periodo1[[#This Row],[Aux]],Base_Contas_Balanco[#All],2,FALSE)</f>
        <v>Creditos com Cooperados</v>
      </c>
      <c r="G518" s="1">
        <v>42878</v>
      </c>
      <c r="H518" s="225">
        <v>637.89000000036322</v>
      </c>
      <c r="I518" s="225">
        <v>5943.55</v>
      </c>
      <c r="J518" s="225">
        <v>6580.5500000000011</v>
      </c>
      <c r="K518" s="225">
        <v>0.89000000036230631</v>
      </c>
      <c r="L5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0.89</v>
      </c>
      <c r="M518" s="225">
        <f>ROUND(IF(AND(Base_Periodo1[[#This Row],[Tipo_Linha]]="-",Base_Periodo1[[#This Row],[TIPOSALDO]]="D"),Base_Periodo1[[#This Row],[SALDO_ATUAL]]*-1,Base_Periodo1[[#This Row],[SALDO_ATUAL]]),4)</f>
        <v>0.89</v>
      </c>
      <c r="N518" t="s">
        <v>116</v>
      </c>
      <c r="O518" t="s">
        <v>397</v>
      </c>
      <c r="P518" t="s">
        <v>397</v>
      </c>
      <c r="Q518">
        <v>7</v>
      </c>
      <c r="R518" s="225">
        <f>Base_Periodo1[[#This Row],[CREDITOS]]-Base_Periodo1[[#This Row],[DEBITOS]]</f>
        <v>637.00000000000091</v>
      </c>
      <c r="S518" s="3" t="str">
        <f>IF(ISERROR(VLOOKUP(Base_Periodo1[[#This Row],[CONTA]],BaseContasDRE[#All],4,FALSE)),"Fora do DRE",VLOOKUP(Base_Periodo1[[#This Row],[CONTA]],BaseContasDRE[#All],4,FALSE))</f>
        <v>Fora do DRE</v>
      </c>
      <c r="T518" s="3" t="str">
        <f>IF(ISERROR(VLOOKUP(Base_Periodo1[[#This Row],[CONTA]],BaseContasDRE[#All],5,FALSE)),"Fora do DRE",VLOOKUP(Base_Periodo1[[#This Row],[CONTA]],BaseContasDRE[#All],6,FALSE))</f>
        <v>Fora do DRE</v>
      </c>
      <c r="U518" s="3" t="str">
        <f>IF(ISERROR(VLOOKUP(Base_Periodo1[[#This Row],[CONTA]],BaseContasDRE[#All],7,FALSE)),"Fora do DRE",VLOOKUP(Base_Periodo1[[#This Row],[CONTA]],BaseContasDRE[#All],7,FALSE))</f>
        <v>Fora do DRE</v>
      </c>
      <c r="V518" s="3" t="str">
        <f>IF(Base_Periodo1[[#This Row],[Tipo_Linha]]="Fora do DRE","Fora do DRE","( "&amp;Base_Periodo1[[#This Row],[Tipo_Linha]]&amp;" ) "&amp;Base_Periodo1[[#This Row],[Filtro]])</f>
        <v>Fora do DRE</v>
      </c>
      <c r="W518" s="3" t="str">
        <f>LEFT(Base_Periodo1[[#This Row],[CLASS]],3)</f>
        <v>1.1</v>
      </c>
    </row>
    <row r="519" spans="1:23" hidden="1">
      <c r="A519" s="3" t="str">
        <f t="shared" si="8"/>
        <v>Período 1</v>
      </c>
      <c r="B519">
        <v>48923</v>
      </c>
      <c r="C519" t="s">
        <v>503</v>
      </c>
      <c r="D519" t="s">
        <v>5156</v>
      </c>
      <c r="E519" s="3" t="str">
        <f>IF(LEN(Base_Periodo1[[#This Row],[CLASS]])&gt;=7,LEFT(Base_Periodo1[[#This Row],[CLASS]],7),"")</f>
        <v>1.1.2.1</v>
      </c>
      <c r="F519" s="3" t="str">
        <f>VLOOKUP(Base_Periodo1[[#This Row],[Aux]],Base_Contas_Balanco[#All],2,FALSE)</f>
        <v>Creditos com Cooperados</v>
      </c>
      <c r="G519" s="1">
        <v>42825</v>
      </c>
      <c r="H519" s="225">
        <v>20474.999999999971</v>
      </c>
      <c r="I519" s="225">
        <v>0</v>
      </c>
      <c r="J519" s="225">
        <v>0</v>
      </c>
      <c r="K519" s="225">
        <v>20474.999999999971</v>
      </c>
      <c r="L5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20475</v>
      </c>
      <c r="M519" s="225">
        <f>ROUND(IF(AND(Base_Periodo1[[#This Row],[Tipo_Linha]]="-",Base_Periodo1[[#This Row],[TIPOSALDO]]="D"),Base_Periodo1[[#This Row],[SALDO_ATUAL]]*-1,Base_Periodo1[[#This Row],[SALDO_ATUAL]]),4)</f>
        <v>20475</v>
      </c>
      <c r="N519" t="s">
        <v>116</v>
      </c>
      <c r="O519" t="s">
        <v>397</v>
      </c>
      <c r="P519" t="s">
        <v>397</v>
      </c>
      <c r="Q519">
        <v>7</v>
      </c>
      <c r="R519" s="225">
        <f>Base_Periodo1[[#This Row],[CREDITOS]]-Base_Periodo1[[#This Row],[DEBITOS]]</f>
        <v>0</v>
      </c>
      <c r="S519" s="3" t="str">
        <f>IF(ISERROR(VLOOKUP(Base_Periodo1[[#This Row],[CONTA]],BaseContasDRE[#All],4,FALSE)),"Fora do DRE",VLOOKUP(Base_Periodo1[[#This Row],[CONTA]],BaseContasDRE[#All],4,FALSE))</f>
        <v>Fora do DRE</v>
      </c>
      <c r="T519" s="3" t="str">
        <f>IF(ISERROR(VLOOKUP(Base_Periodo1[[#This Row],[CONTA]],BaseContasDRE[#All],5,FALSE)),"Fora do DRE",VLOOKUP(Base_Periodo1[[#This Row],[CONTA]],BaseContasDRE[#All],6,FALSE))</f>
        <v>Fora do DRE</v>
      </c>
      <c r="U519" s="3" t="str">
        <f>IF(ISERROR(VLOOKUP(Base_Periodo1[[#This Row],[CONTA]],BaseContasDRE[#All],7,FALSE)),"Fora do DRE",VLOOKUP(Base_Periodo1[[#This Row],[CONTA]],BaseContasDRE[#All],7,FALSE))</f>
        <v>Fora do DRE</v>
      </c>
      <c r="V519" s="3" t="str">
        <f>IF(Base_Periodo1[[#This Row],[Tipo_Linha]]="Fora do DRE","Fora do DRE","( "&amp;Base_Periodo1[[#This Row],[Tipo_Linha]]&amp;" ) "&amp;Base_Periodo1[[#This Row],[Filtro]])</f>
        <v>Fora do DRE</v>
      </c>
      <c r="W519" s="3" t="str">
        <f>LEFT(Base_Periodo1[[#This Row],[CLASS]],3)</f>
        <v>1.1</v>
      </c>
    </row>
    <row r="520" spans="1:23" hidden="1">
      <c r="A520" s="3" t="str">
        <f t="shared" si="8"/>
        <v>Período 1</v>
      </c>
      <c r="B520">
        <v>38879</v>
      </c>
      <c r="C520" t="s">
        <v>503</v>
      </c>
      <c r="D520" t="s">
        <v>758</v>
      </c>
      <c r="E520" s="3" t="str">
        <f>IF(LEN(Base_Periodo1[[#This Row],[CLASS]])&gt;=7,LEFT(Base_Periodo1[[#This Row],[CLASS]],7),"")</f>
        <v>1.1.2.1</v>
      </c>
      <c r="F520" s="3" t="str">
        <f>VLOOKUP(Base_Periodo1[[#This Row],[Aux]],Base_Contas_Balanco[#All],2,FALSE)</f>
        <v>Creditos com Cooperados</v>
      </c>
      <c r="G520" s="1">
        <v>42881</v>
      </c>
      <c r="H520" s="225">
        <v>20224.999999999942</v>
      </c>
      <c r="I520" s="225">
        <v>16319.39</v>
      </c>
      <c r="J520" s="225">
        <v>13163.39</v>
      </c>
      <c r="K520" s="225">
        <v>23380.999999999942</v>
      </c>
      <c r="L5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23381</v>
      </c>
      <c r="M520" s="225">
        <f>ROUND(IF(AND(Base_Periodo1[[#This Row],[Tipo_Linha]]="-",Base_Periodo1[[#This Row],[TIPOSALDO]]="D"),Base_Periodo1[[#This Row],[SALDO_ATUAL]]*-1,Base_Periodo1[[#This Row],[SALDO_ATUAL]]),4)</f>
        <v>23381</v>
      </c>
      <c r="N520" t="s">
        <v>116</v>
      </c>
      <c r="O520" t="s">
        <v>397</v>
      </c>
      <c r="P520" t="s">
        <v>397</v>
      </c>
      <c r="Q520">
        <v>7</v>
      </c>
      <c r="R520" s="225">
        <f>Base_Periodo1[[#This Row],[CREDITOS]]-Base_Periodo1[[#This Row],[DEBITOS]]</f>
        <v>-3156</v>
      </c>
      <c r="S520" s="3" t="str">
        <f>IF(ISERROR(VLOOKUP(Base_Periodo1[[#This Row],[CONTA]],BaseContasDRE[#All],4,FALSE)),"Fora do DRE",VLOOKUP(Base_Periodo1[[#This Row],[CONTA]],BaseContasDRE[#All],4,FALSE))</f>
        <v>Fora do DRE</v>
      </c>
      <c r="T520" s="3" t="str">
        <f>IF(ISERROR(VLOOKUP(Base_Periodo1[[#This Row],[CONTA]],BaseContasDRE[#All],5,FALSE)),"Fora do DRE",VLOOKUP(Base_Periodo1[[#This Row],[CONTA]],BaseContasDRE[#All],6,FALSE))</f>
        <v>Fora do DRE</v>
      </c>
      <c r="U520" s="3" t="str">
        <f>IF(ISERROR(VLOOKUP(Base_Periodo1[[#This Row],[CONTA]],BaseContasDRE[#All],7,FALSE)),"Fora do DRE",VLOOKUP(Base_Periodo1[[#This Row],[CONTA]],BaseContasDRE[#All],7,FALSE))</f>
        <v>Fora do DRE</v>
      </c>
      <c r="V520" s="3" t="str">
        <f>IF(Base_Periodo1[[#This Row],[Tipo_Linha]]="Fora do DRE","Fora do DRE","( "&amp;Base_Periodo1[[#This Row],[Tipo_Linha]]&amp;" ) "&amp;Base_Periodo1[[#This Row],[Filtro]])</f>
        <v>Fora do DRE</v>
      </c>
      <c r="W520" s="3" t="str">
        <f>LEFT(Base_Periodo1[[#This Row],[CLASS]],3)</f>
        <v>1.1</v>
      </c>
    </row>
    <row r="521" spans="1:23" hidden="1">
      <c r="A521" s="3" t="str">
        <f t="shared" si="8"/>
        <v>Período 1</v>
      </c>
      <c r="B521">
        <v>2264</v>
      </c>
      <c r="C521" t="s">
        <v>503</v>
      </c>
      <c r="D521" t="s">
        <v>759</v>
      </c>
      <c r="E521" s="3" t="str">
        <f>IF(LEN(Base_Periodo1[[#This Row],[CLASS]])&gt;=7,LEFT(Base_Periodo1[[#This Row],[CLASS]],7),"")</f>
        <v>1.1.2.1</v>
      </c>
      <c r="F521" s="3" t="str">
        <f>VLOOKUP(Base_Periodo1[[#This Row],[Aux]],Base_Contas_Balanco[#All],2,FALSE)</f>
        <v>Creditos com Cooperados</v>
      </c>
      <c r="G521" s="1">
        <v>42884</v>
      </c>
      <c r="H521" s="225">
        <v>1095.7700000000768</v>
      </c>
      <c r="I521" s="225">
        <v>79.8</v>
      </c>
      <c r="J521" s="225">
        <v>0</v>
      </c>
      <c r="K521" s="225">
        <v>1175.5700000000768</v>
      </c>
      <c r="L5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1175.57</v>
      </c>
      <c r="M521" s="225">
        <f>ROUND(IF(AND(Base_Periodo1[[#This Row],[Tipo_Linha]]="-",Base_Periodo1[[#This Row],[TIPOSALDO]]="D"),Base_Periodo1[[#This Row],[SALDO_ATUAL]]*-1,Base_Periodo1[[#This Row],[SALDO_ATUAL]]),4)</f>
        <v>1175.57</v>
      </c>
      <c r="N521" t="s">
        <v>116</v>
      </c>
      <c r="O521" t="s">
        <v>397</v>
      </c>
      <c r="P521" t="s">
        <v>397</v>
      </c>
      <c r="Q521">
        <v>7</v>
      </c>
      <c r="R521" s="225">
        <f>Base_Periodo1[[#This Row],[CREDITOS]]-Base_Periodo1[[#This Row],[DEBITOS]]</f>
        <v>-79.8</v>
      </c>
      <c r="S521" s="3" t="str">
        <f>IF(ISERROR(VLOOKUP(Base_Periodo1[[#This Row],[CONTA]],BaseContasDRE[#All],4,FALSE)),"Fora do DRE",VLOOKUP(Base_Periodo1[[#This Row],[CONTA]],BaseContasDRE[#All],4,FALSE))</f>
        <v>Fora do DRE</v>
      </c>
      <c r="T521" s="3" t="str">
        <f>IF(ISERROR(VLOOKUP(Base_Periodo1[[#This Row],[CONTA]],BaseContasDRE[#All],5,FALSE)),"Fora do DRE",VLOOKUP(Base_Periodo1[[#This Row],[CONTA]],BaseContasDRE[#All],6,FALSE))</f>
        <v>Fora do DRE</v>
      </c>
      <c r="U521" s="3" t="str">
        <f>IF(ISERROR(VLOOKUP(Base_Periodo1[[#This Row],[CONTA]],BaseContasDRE[#All],7,FALSE)),"Fora do DRE",VLOOKUP(Base_Periodo1[[#This Row],[CONTA]],BaseContasDRE[#All],7,FALSE))</f>
        <v>Fora do DRE</v>
      </c>
      <c r="V521" s="3" t="str">
        <f>IF(Base_Periodo1[[#This Row],[Tipo_Linha]]="Fora do DRE","Fora do DRE","( "&amp;Base_Periodo1[[#This Row],[Tipo_Linha]]&amp;" ) "&amp;Base_Periodo1[[#This Row],[Filtro]])</f>
        <v>Fora do DRE</v>
      </c>
      <c r="W521" s="3" t="str">
        <f>LEFT(Base_Periodo1[[#This Row],[CLASS]],3)</f>
        <v>1.1</v>
      </c>
    </row>
    <row r="522" spans="1:23" hidden="1">
      <c r="A522" s="3" t="str">
        <f t="shared" si="8"/>
        <v>Período 1</v>
      </c>
      <c r="B522">
        <v>2220</v>
      </c>
      <c r="C522" t="s">
        <v>503</v>
      </c>
      <c r="D522" t="s">
        <v>4936</v>
      </c>
      <c r="E522" s="3" t="str">
        <f>IF(LEN(Base_Periodo1[[#This Row],[CLASS]])&gt;=7,LEFT(Base_Periodo1[[#This Row],[CLASS]],7),"")</f>
        <v>1.1.2.1</v>
      </c>
      <c r="F522" s="3" t="str">
        <f>VLOOKUP(Base_Periodo1[[#This Row],[Aux]],Base_Contas_Balanco[#All],2,FALSE)</f>
        <v>Creditos com Cooperados</v>
      </c>
      <c r="G522" s="1">
        <v>42881</v>
      </c>
      <c r="H522" s="225">
        <v>6784</v>
      </c>
      <c r="I522" s="225">
        <v>20798</v>
      </c>
      <c r="J522" s="225">
        <v>0</v>
      </c>
      <c r="K522" s="225">
        <v>27582</v>
      </c>
      <c r="L5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27582</v>
      </c>
      <c r="M522" s="225">
        <f>ROUND(IF(AND(Base_Periodo1[[#This Row],[Tipo_Linha]]="-",Base_Periodo1[[#This Row],[TIPOSALDO]]="D"),Base_Periodo1[[#This Row],[SALDO_ATUAL]]*-1,Base_Periodo1[[#This Row],[SALDO_ATUAL]]),4)</f>
        <v>27582</v>
      </c>
      <c r="N522" t="s">
        <v>116</v>
      </c>
      <c r="O522" t="s">
        <v>397</v>
      </c>
      <c r="P522" t="s">
        <v>397</v>
      </c>
      <c r="Q522">
        <v>7</v>
      </c>
      <c r="R522" s="225">
        <f>Base_Periodo1[[#This Row],[CREDITOS]]-Base_Periodo1[[#This Row],[DEBITOS]]</f>
        <v>-20798</v>
      </c>
      <c r="S522" s="3" t="str">
        <f>IF(ISERROR(VLOOKUP(Base_Periodo1[[#This Row],[CONTA]],BaseContasDRE[#All],4,FALSE)),"Fora do DRE",VLOOKUP(Base_Periodo1[[#This Row],[CONTA]],BaseContasDRE[#All],4,FALSE))</f>
        <v>Fora do DRE</v>
      </c>
      <c r="T522" s="3" t="str">
        <f>IF(ISERROR(VLOOKUP(Base_Periodo1[[#This Row],[CONTA]],BaseContasDRE[#All],5,FALSE)),"Fora do DRE",VLOOKUP(Base_Periodo1[[#This Row],[CONTA]],BaseContasDRE[#All],6,FALSE))</f>
        <v>Fora do DRE</v>
      </c>
      <c r="U522" s="3" t="str">
        <f>IF(ISERROR(VLOOKUP(Base_Periodo1[[#This Row],[CONTA]],BaseContasDRE[#All],7,FALSE)),"Fora do DRE",VLOOKUP(Base_Periodo1[[#This Row],[CONTA]],BaseContasDRE[#All],7,FALSE))</f>
        <v>Fora do DRE</v>
      </c>
      <c r="V522" s="3" t="str">
        <f>IF(Base_Periodo1[[#This Row],[Tipo_Linha]]="Fora do DRE","Fora do DRE","( "&amp;Base_Periodo1[[#This Row],[Tipo_Linha]]&amp;" ) "&amp;Base_Periodo1[[#This Row],[Filtro]])</f>
        <v>Fora do DRE</v>
      </c>
      <c r="W522" s="3" t="str">
        <f>LEFT(Base_Periodo1[[#This Row],[CLASS]],3)</f>
        <v>1.1</v>
      </c>
    </row>
    <row r="523" spans="1:23" hidden="1">
      <c r="A523" s="3" t="str">
        <f t="shared" si="8"/>
        <v>Período 1</v>
      </c>
      <c r="B523">
        <v>3672</v>
      </c>
      <c r="C523" t="s">
        <v>503</v>
      </c>
      <c r="D523" t="s">
        <v>5275</v>
      </c>
      <c r="E523" s="3" t="str">
        <f>IF(LEN(Base_Periodo1[[#This Row],[CLASS]])&gt;=7,LEFT(Base_Periodo1[[#This Row],[CLASS]],7),"")</f>
        <v>1.1.2.1</v>
      </c>
      <c r="F523" s="3" t="str">
        <f>VLOOKUP(Base_Periodo1[[#This Row],[Aux]],Base_Contas_Balanco[#All],2,FALSE)</f>
        <v>Creditos com Cooperados</v>
      </c>
      <c r="G523" s="1">
        <v>42872</v>
      </c>
      <c r="H523" s="225">
        <v>457.74999999999636</v>
      </c>
      <c r="I523" s="225">
        <v>0</v>
      </c>
      <c r="J523" s="225">
        <v>457.75</v>
      </c>
      <c r="K523" s="225">
        <v>-3.637978807091713E-12</v>
      </c>
      <c r="L5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23" s="225">
        <f>ROUND(IF(AND(Base_Periodo1[[#This Row],[Tipo_Linha]]="-",Base_Periodo1[[#This Row],[TIPOSALDO]]="D"),Base_Periodo1[[#This Row],[SALDO_ATUAL]]*-1,Base_Periodo1[[#This Row],[SALDO_ATUAL]]),4)</f>
        <v>0</v>
      </c>
      <c r="N523" t="s">
        <v>116</v>
      </c>
      <c r="O523" t="s">
        <v>397</v>
      </c>
      <c r="P523" t="s">
        <v>436</v>
      </c>
      <c r="Q523">
        <v>7</v>
      </c>
      <c r="R523" s="225">
        <f>Base_Periodo1[[#This Row],[CREDITOS]]-Base_Periodo1[[#This Row],[DEBITOS]]</f>
        <v>457.75</v>
      </c>
      <c r="S523" s="3" t="str">
        <f>IF(ISERROR(VLOOKUP(Base_Periodo1[[#This Row],[CONTA]],BaseContasDRE[#All],4,FALSE)),"Fora do DRE",VLOOKUP(Base_Periodo1[[#This Row],[CONTA]],BaseContasDRE[#All],4,FALSE))</f>
        <v>Fora do DRE</v>
      </c>
      <c r="T523" s="3" t="str">
        <f>IF(ISERROR(VLOOKUP(Base_Periodo1[[#This Row],[CONTA]],BaseContasDRE[#All],5,FALSE)),"Fora do DRE",VLOOKUP(Base_Periodo1[[#This Row],[CONTA]],BaseContasDRE[#All],6,FALSE))</f>
        <v>Fora do DRE</v>
      </c>
      <c r="U523" s="3" t="str">
        <f>IF(ISERROR(VLOOKUP(Base_Periodo1[[#This Row],[CONTA]],BaseContasDRE[#All],7,FALSE)),"Fora do DRE",VLOOKUP(Base_Periodo1[[#This Row],[CONTA]],BaseContasDRE[#All],7,FALSE))</f>
        <v>Fora do DRE</v>
      </c>
      <c r="V523" s="3" t="str">
        <f>IF(Base_Periodo1[[#This Row],[Tipo_Linha]]="Fora do DRE","Fora do DRE","( "&amp;Base_Periodo1[[#This Row],[Tipo_Linha]]&amp;" ) "&amp;Base_Periodo1[[#This Row],[Filtro]])</f>
        <v>Fora do DRE</v>
      </c>
      <c r="W523" s="3" t="str">
        <f>LEFT(Base_Periodo1[[#This Row],[CLASS]],3)</f>
        <v>1.1</v>
      </c>
    </row>
    <row r="524" spans="1:23" hidden="1">
      <c r="A524" s="3" t="str">
        <f t="shared" si="8"/>
        <v>Período 1</v>
      </c>
      <c r="B524">
        <v>12623</v>
      </c>
      <c r="C524" t="s">
        <v>503</v>
      </c>
      <c r="D524" t="s">
        <v>760</v>
      </c>
      <c r="E524" s="3" t="str">
        <f>IF(LEN(Base_Periodo1[[#This Row],[CLASS]])&gt;=7,LEFT(Base_Periodo1[[#This Row],[CLASS]],7),"")</f>
        <v>1.1.2.1</v>
      </c>
      <c r="F524" s="3" t="str">
        <f>VLOOKUP(Base_Periodo1[[#This Row],[Aux]],Base_Contas_Balanco[#All],2,FALSE)</f>
        <v>Creditos com Cooperados</v>
      </c>
      <c r="G524" s="1">
        <v>42866</v>
      </c>
      <c r="H524" s="225">
        <v>313.40000000002328</v>
      </c>
      <c r="I524" s="225">
        <v>0</v>
      </c>
      <c r="J524" s="225">
        <v>313.39999999999998</v>
      </c>
      <c r="K524" s="225">
        <v>2.3305801732931286E-11</v>
      </c>
      <c r="L5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24" s="225">
        <f>ROUND(IF(AND(Base_Periodo1[[#This Row],[Tipo_Linha]]="-",Base_Periodo1[[#This Row],[TIPOSALDO]]="D"),Base_Periodo1[[#This Row],[SALDO_ATUAL]]*-1,Base_Periodo1[[#This Row],[SALDO_ATUAL]]),4)</f>
        <v>0</v>
      </c>
      <c r="N524" t="s">
        <v>116</v>
      </c>
      <c r="O524" t="s">
        <v>397</v>
      </c>
      <c r="P524" t="s">
        <v>436</v>
      </c>
      <c r="Q524">
        <v>7</v>
      </c>
      <c r="R524" s="225">
        <f>Base_Periodo1[[#This Row],[CREDITOS]]-Base_Periodo1[[#This Row],[DEBITOS]]</f>
        <v>313.39999999999998</v>
      </c>
      <c r="S524" s="3" t="str">
        <f>IF(ISERROR(VLOOKUP(Base_Periodo1[[#This Row],[CONTA]],BaseContasDRE[#All],4,FALSE)),"Fora do DRE",VLOOKUP(Base_Periodo1[[#This Row],[CONTA]],BaseContasDRE[#All],4,FALSE))</f>
        <v>Fora do DRE</v>
      </c>
      <c r="T524" s="3" t="str">
        <f>IF(ISERROR(VLOOKUP(Base_Periodo1[[#This Row],[CONTA]],BaseContasDRE[#All],5,FALSE)),"Fora do DRE",VLOOKUP(Base_Periodo1[[#This Row],[CONTA]],BaseContasDRE[#All],6,FALSE))</f>
        <v>Fora do DRE</v>
      </c>
      <c r="U524" s="3" t="str">
        <f>IF(ISERROR(VLOOKUP(Base_Periodo1[[#This Row],[CONTA]],BaseContasDRE[#All],7,FALSE)),"Fora do DRE",VLOOKUP(Base_Periodo1[[#This Row],[CONTA]],BaseContasDRE[#All],7,FALSE))</f>
        <v>Fora do DRE</v>
      </c>
      <c r="V524" s="3" t="str">
        <f>IF(Base_Periodo1[[#This Row],[Tipo_Linha]]="Fora do DRE","Fora do DRE","( "&amp;Base_Periodo1[[#This Row],[Tipo_Linha]]&amp;" ) "&amp;Base_Periodo1[[#This Row],[Filtro]])</f>
        <v>Fora do DRE</v>
      </c>
      <c r="W524" s="3" t="str">
        <f>LEFT(Base_Periodo1[[#This Row],[CLASS]],3)</f>
        <v>1.1</v>
      </c>
    </row>
    <row r="525" spans="1:23" hidden="1">
      <c r="A525" s="3" t="str">
        <f t="shared" si="8"/>
        <v>Período 1</v>
      </c>
      <c r="B525">
        <v>8135</v>
      </c>
      <c r="C525" t="s">
        <v>503</v>
      </c>
      <c r="D525" t="s">
        <v>761</v>
      </c>
      <c r="E525" s="3" t="str">
        <f>IF(LEN(Base_Periodo1[[#This Row],[CLASS]])&gt;=7,LEFT(Base_Periodo1[[#This Row],[CLASS]],7),"")</f>
        <v>1.1.2.1</v>
      </c>
      <c r="F525" s="3" t="str">
        <f>VLOOKUP(Base_Periodo1[[#This Row],[Aux]],Base_Contas_Balanco[#All],2,FALSE)</f>
        <v>Creditos com Cooperados</v>
      </c>
      <c r="G525" s="1">
        <v>42885</v>
      </c>
      <c r="H525" s="225">
        <v>462524.93000000063</v>
      </c>
      <c r="I525" s="225">
        <v>150552.86000000002</v>
      </c>
      <c r="J525" s="225">
        <v>359511.54999999993</v>
      </c>
      <c r="K525" s="225">
        <v>253566.24000000069</v>
      </c>
      <c r="L5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253566.24</v>
      </c>
      <c r="M525" s="225">
        <f>ROUND(IF(AND(Base_Periodo1[[#This Row],[Tipo_Linha]]="-",Base_Periodo1[[#This Row],[TIPOSALDO]]="D"),Base_Periodo1[[#This Row],[SALDO_ATUAL]]*-1,Base_Periodo1[[#This Row],[SALDO_ATUAL]]),4)</f>
        <v>253566.24</v>
      </c>
      <c r="N525" t="s">
        <v>116</v>
      </c>
      <c r="O525" t="s">
        <v>397</v>
      </c>
      <c r="P525" t="s">
        <v>397</v>
      </c>
      <c r="Q525">
        <v>7</v>
      </c>
      <c r="R525" s="225">
        <f>Base_Periodo1[[#This Row],[CREDITOS]]-Base_Periodo1[[#This Row],[DEBITOS]]</f>
        <v>208958.68999999992</v>
      </c>
      <c r="S525" s="3" t="str">
        <f>IF(ISERROR(VLOOKUP(Base_Periodo1[[#This Row],[CONTA]],BaseContasDRE[#All],4,FALSE)),"Fora do DRE",VLOOKUP(Base_Periodo1[[#This Row],[CONTA]],BaseContasDRE[#All],4,FALSE))</f>
        <v>Fora do DRE</v>
      </c>
      <c r="T525" s="3" t="str">
        <f>IF(ISERROR(VLOOKUP(Base_Periodo1[[#This Row],[CONTA]],BaseContasDRE[#All],5,FALSE)),"Fora do DRE",VLOOKUP(Base_Periodo1[[#This Row],[CONTA]],BaseContasDRE[#All],6,FALSE))</f>
        <v>Fora do DRE</v>
      </c>
      <c r="U525" s="3" t="str">
        <f>IF(ISERROR(VLOOKUP(Base_Periodo1[[#This Row],[CONTA]],BaseContasDRE[#All],7,FALSE)),"Fora do DRE",VLOOKUP(Base_Periodo1[[#This Row],[CONTA]],BaseContasDRE[#All],7,FALSE))</f>
        <v>Fora do DRE</v>
      </c>
      <c r="V525" s="3" t="str">
        <f>IF(Base_Periodo1[[#This Row],[Tipo_Linha]]="Fora do DRE","Fora do DRE","( "&amp;Base_Periodo1[[#This Row],[Tipo_Linha]]&amp;" ) "&amp;Base_Periodo1[[#This Row],[Filtro]])</f>
        <v>Fora do DRE</v>
      </c>
      <c r="W525" s="3" t="str">
        <f>LEFT(Base_Periodo1[[#This Row],[CLASS]],3)</f>
        <v>1.1</v>
      </c>
    </row>
    <row r="526" spans="1:23" hidden="1">
      <c r="A526" s="3" t="str">
        <f t="shared" si="8"/>
        <v>Período 1</v>
      </c>
      <c r="B526">
        <v>47240</v>
      </c>
      <c r="C526" t="s">
        <v>503</v>
      </c>
      <c r="D526" t="s">
        <v>6720</v>
      </c>
      <c r="E526" s="3" t="str">
        <f>IF(LEN(Base_Periodo1[[#This Row],[CLASS]])&gt;=7,LEFT(Base_Periodo1[[#This Row],[CLASS]],7),"")</f>
        <v>1.1.2.1</v>
      </c>
      <c r="F526" s="3" t="str">
        <f>VLOOKUP(Base_Periodo1[[#This Row],[Aux]],Base_Contas_Balanco[#All],2,FALSE)</f>
        <v>Creditos com Cooperados</v>
      </c>
      <c r="G526" s="1">
        <v>42884</v>
      </c>
      <c r="I526" s="225">
        <v>225</v>
      </c>
      <c r="J526" s="225">
        <v>225</v>
      </c>
      <c r="K526" s="225">
        <v>0</v>
      </c>
      <c r="L5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26" s="225">
        <f>ROUND(IF(AND(Base_Periodo1[[#This Row],[Tipo_Linha]]="-",Base_Periodo1[[#This Row],[TIPOSALDO]]="D"),Base_Periodo1[[#This Row],[SALDO_ATUAL]]*-1,Base_Periodo1[[#This Row],[SALDO_ATUAL]]),4)</f>
        <v>0</v>
      </c>
      <c r="N526" t="s">
        <v>116</v>
      </c>
      <c r="O526" t="s">
        <v>436</v>
      </c>
      <c r="P526" t="s">
        <v>436</v>
      </c>
      <c r="Q526">
        <v>7</v>
      </c>
      <c r="R526" s="225">
        <f>Base_Periodo1[[#This Row],[CREDITOS]]-Base_Periodo1[[#This Row],[DEBITOS]]</f>
        <v>0</v>
      </c>
      <c r="S526" s="3" t="str">
        <f>IF(ISERROR(VLOOKUP(Base_Periodo1[[#This Row],[CONTA]],BaseContasDRE[#All],4,FALSE)),"Fora do DRE",VLOOKUP(Base_Periodo1[[#This Row],[CONTA]],BaseContasDRE[#All],4,FALSE))</f>
        <v>Fora do DRE</v>
      </c>
      <c r="T526" s="3" t="str">
        <f>IF(ISERROR(VLOOKUP(Base_Periodo1[[#This Row],[CONTA]],BaseContasDRE[#All],5,FALSE)),"Fora do DRE",VLOOKUP(Base_Periodo1[[#This Row],[CONTA]],BaseContasDRE[#All],6,FALSE))</f>
        <v>Fora do DRE</v>
      </c>
      <c r="U526" s="3" t="str">
        <f>IF(ISERROR(VLOOKUP(Base_Periodo1[[#This Row],[CONTA]],BaseContasDRE[#All],7,FALSE)),"Fora do DRE",VLOOKUP(Base_Periodo1[[#This Row],[CONTA]],BaseContasDRE[#All],7,FALSE))</f>
        <v>Fora do DRE</v>
      </c>
      <c r="V526" s="3" t="str">
        <f>IF(Base_Periodo1[[#This Row],[Tipo_Linha]]="Fora do DRE","Fora do DRE","( "&amp;Base_Periodo1[[#This Row],[Tipo_Linha]]&amp;" ) "&amp;Base_Periodo1[[#This Row],[Filtro]])</f>
        <v>Fora do DRE</v>
      </c>
      <c r="W526" s="3" t="str">
        <f>LEFT(Base_Periodo1[[#This Row],[CLASS]],3)</f>
        <v>1.1</v>
      </c>
    </row>
    <row r="527" spans="1:23" hidden="1">
      <c r="A527" s="3" t="str">
        <f t="shared" si="8"/>
        <v>Período 1</v>
      </c>
      <c r="B527">
        <v>46930</v>
      </c>
      <c r="C527" t="s">
        <v>503</v>
      </c>
      <c r="D527" t="s">
        <v>5055</v>
      </c>
      <c r="E527" s="3" t="str">
        <f>IF(LEN(Base_Periodo1[[#This Row],[CLASS]])&gt;=7,LEFT(Base_Periodo1[[#This Row],[CLASS]],7),"")</f>
        <v>1.1.2.1</v>
      </c>
      <c r="F527" s="3" t="str">
        <f>VLOOKUP(Base_Periodo1[[#This Row],[Aux]],Base_Contas_Balanco[#All],2,FALSE)</f>
        <v>Creditos com Cooperados</v>
      </c>
      <c r="G527" s="1">
        <v>42879</v>
      </c>
      <c r="H527" s="225">
        <v>10560.319999999992</v>
      </c>
      <c r="I527" s="225">
        <v>50.370000000000005</v>
      </c>
      <c r="J527" s="225">
        <v>2714.49</v>
      </c>
      <c r="K527" s="225">
        <v>7896.1999999999935</v>
      </c>
      <c r="L5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7896.2</v>
      </c>
      <c r="M527" s="225">
        <f>ROUND(IF(AND(Base_Periodo1[[#This Row],[Tipo_Linha]]="-",Base_Periodo1[[#This Row],[TIPOSALDO]]="D"),Base_Periodo1[[#This Row],[SALDO_ATUAL]]*-1,Base_Periodo1[[#This Row],[SALDO_ATUAL]]),4)</f>
        <v>7896.2</v>
      </c>
      <c r="N527" t="s">
        <v>116</v>
      </c>
      <c r="O527" t="s">
        <v>397</v>
      </c>
      <c r="P527" t="s">
        <v>397</v>
      </c>
      <c r="Q527">
        <v>7</v>
      </c>
      <c r="R527" s="225">
        <f>Base_Periodo1[[#This Row],[CREDITOS]]-Base_Periodo1[[#This Row],[DEBITOS]]</f>
        <v>2664.12</v>
      </c>
      <c r="S527" s="3" t="str">
        <f>IF(ISERROR(VLOOKUP(Base_Periodo1[[#This Row],[CONTA]],BaseContasDRE[#All],4,FALSE)),"Fora do DRE",VLOOKUP(Base_Periodo1[[#This Row],[CONTA]],BaseContasDRE[#All],4,FALSE))</f>
        <v>Fora do DRE</v>
      </c>
      <c r="T527" s="3" t="str">
        <f>IF(ISERROR(VLOOKUP(Base_Periodo1[[#This Row],[CONTA]],BaseContasDRE[#All],5,FALSE)),"Fora do DRE",VLOOKUP(Base_Periodo1[[#This Row],[CONTA]],BaseContasDRE[#All],6,FALSE))</f>
        <v>Fora do DRE</v>
      </c>
      <c r="U527" s="3" t="str">
        <f>IF(ISERROR(VLOOKUP(Base_Periodo1[[#This Row],[CONTA]],BaseContasDRE[#All],7,FALSE)),"Fora do DRE",VLOOKUP(Base_Periodo1[[#This Row],[CONTA]],BaseContasDRE[#All],7,FALSE))</f>
        <v>Fora do DRE</v>
      </c>
      <c r="V527" s="3" t="str">
        <f>IF(Base_Periodo1[[#This Row],[Tipo_Linha]]="Fora do DRE","Fora do DRE","( "&amp;Base_Periodo1[[#This Row],[Tipo_Linha]]&amp;" ) "&amp;Base_Periodo1[[#This Row],[Filtro]])</f>
        <v>Fora do DRE</v>
      </c>
      <c r="W527" s="3" t="str">
        <f>LEFT(Base_Periodo1[[#This Row],[CLASS]],3)</f>
        <v>1.1</v>
      </c>
    </row>
    <row r="528" spans="1:23" hidden="1">
      <c r="A528" s="3" t="str">
        <f t="shared" si="8"/>
        <v>Período 1</v>
      </c>
      <c r="B528">
        <v>48117</v>
      </c>
      <c r="C528" t="s">
        <v>503</v>
      </c>
      <c r="D528" t="s">
        <v>6721</v>
      </c>
      <c r="E528" s="3" t="str">
        <f>IF(LEN(Base_Periodo1[[#This Row],[CLASS]])&gt;=7,LEFT(Base_Periodo1[[#This Row],[CLASS]],7),"")</f>
        <v>1.1.2.1</v>
      </c>
      <c r="F528" s="3" t="str">
        <f>VLOOKUP(Base_Periodo1[[#This Row],[Aux]],Base_Contas_Balanco[#All],2,FALSE)</f>
        <v>Creditos com Cooperados</v>
      </c>
      <c r="G528" s="1">
        <v>42884</v>
      </c>
      <c r="I528" s="225">
        <v>260</v>
      </c>
      <c r="J528" s="225">
        <v>260</v>
      </c>
      <c r="K528" s="225">
        <v>0</v>
      </c>
      <c r="L5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28" s="225">
        <f>ROUND(IF(AND(Base_Periodo1[[#This Row],[Tipo_Linha]]="-",Base_Periodo1[[#This Row],[TIPOSALDO]]="D"),Base_Periodo1[[#This Row],[SALDO_ATUAL]]*-1,Base_Periodo1[[#This Row],[SALDO_ATUAL]]),4)</f>
        <v>0</v>
      </c>
      <c r="N528" t="s">
        <v>116</v>
      </c>
      <c r="O528" t="s">
        <v>436</v>
      </c>
      <c r="P528" t="s">
        <v>436</v>
      </c>
      <c r="Q528">
        <v>7</v>
      </c>
      <c r="R528" s="225">
        <f>Base_Periodo1[[#This Row],[CREDITOS]]-Base_Periodo1[[#This Row],[DEBITOS]]</f>
        <v>0</v>
      </c>
      <c r="S528" s="3" t="str">
        <f>IF(ISERROR(VLOOKUP(Base_Periodo1[[#This Row],[CONTA]],BaseContasDRE[#All],4,FALSE)),"Fora do DRE",VLOOKUP(Base_Periodo1[[#This Row],[CONTA]],BaseContasDRE[#All],4,FALSE))</f>
        <v>Fora do DRE</v>
      </c>
      <c r="T528" s="3" t="str">
        <f>IF(ISERROR(VLOOKUP(Base_Periodo1[[#This Row],[CONTA]],BaseContasDRE[#All],5,FALSE)),"Fora do DRE",VLOOKUP(Base_Periodo1[[#This Row],[CONTA]],BaseContasDRE[#All],6,FALSE))</f>
        <v>Fora do DRE</v>
      </c>
      <c r="U528" s="3" t="str">
        <f>IF(ISERROR(VLOOKUP(Base_Periodo1[[#This Row],[CONTA]],BaseContasDRE[#All],7,FALSE)),"Fora do DRE",VLOOKUP(Base_Periodo1[[#This Row],[CONTA]],BaseContasDRE[#All],7,FALSE))</f>
        <v>Fora do DRE</v>
      </c>
      <c r="V528" s="3" t="str">
        <f>IF(Base_Periodo1[[#This Row],[Tipo_Linha]]="Fora do DRE","Fora do DRE","( "&amp;Base_Periodo1[[#This Row],[Tipo_Linha]]&amp;" ) "&amp;Base_Periodo1[[#This Row],[Filtro]])</f>
        <v>Fora do DRE</v>
      </c>
      <c r="W528" s="3" t="str">
        <f>LEFT(Base_Periodo1[[#This Row],[CLASS]],3)</f>
        <v>1.1</v>
      </c>
    </row>
    <row r="529" spans="1:23" hidden="1">
      <c r="A529" s="3" t="str">
        <f t="shared" si="8"/>
        <v>Período 1</v>
      </c>
      <c r="B529">
        <v>3380</v>
      </c>
      <c r="C529" t="s">
        <v>503</v>
      </c>
      <c r="D529" t="s">
        <v>762</v>
      </c>
      <c r="E529" s="3" t="str">
        <f>IF(LEN(Base_Periodo1[[#This Row],[CLASS]])&gt;=7,LEFT(Base_Periodo1[[#This Row],[CLASS]],7),"")</f>
        <v>1.1.2.1</v>
      </c>
      <c r="F529" s="3" t="str">
        <f>VLOOKUP(Base_Periodo1[[#This Row],[Aux]],Base_Contas_Balanco[#All],2,FALSE)</f>
        <v>Creditos com Cooperados</v>
      </c>
      <c r="G529" s="1">
        <v>42884</v>
      </c>
      <c r="H529" s="225">
        <v>130225.37000000104</v>
      </c>
      <c r="I529" s="225">
        <v>1682</v>
      </c>
      <c r="J529" s="225">
        <v>0</v>
      </c>
      <c r="K529" s="225">
        <v>131907.37000000104</v>
      </c>
      <c r="L5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131907.37</v>
      </c>
      <c r="M529" s="225">
        <f>ROUND(IF(AND(Base_Periodo1[[#This Row],[Tipo_Linha]]="-",Base_Periodo1[[#This Row],[TIPOSALDO]]="D"),Base_Periodo1[[#This Row],[SALDO_ATUAL]]*-1,Base_Periodo1[[#This Row],[SALDO_ATUAL]]),4)</f>
        <v>131907.37</v>
      </c>
      <c r="N529" t="s">
        <v>116</v>
      </c>
      <c r="O529" t="s">
        <v>397</v>
      </c>
      <c r="P529" t="s">
        <v>397</v>
      </c>
      <c r="Q529">
        <v>7</v>
      </c>
      <c r="R529" s="225">
        <f>Base_Periodo1[[#This Row],[CREDITOS]]-Base_Periodo1[[#This Row],[DEBITOS]]</f>
        <v>-1682</v>
      </c>
      <c r="S529" s="3" t="str">
        <f>IF(ISERROR(VLOOKUP(Base_Periodo1[[#This Row],[CONTA]],BaseContasDRE[#All],4,FALSE)),"Fora do DRE",VLOOKUP(Base_Periodo1[[#This Row],[CONTA]],BaseContasDRE[#All],4,FALSE))</f>
        <v>Fora do DRE</v>
      </c>
      <c r="T529" s="3" t="str">
        <f>IF(ISERROR(VLOOKUP(Base_Periodo1[[#This Row],[CONTA]],BaseContasDRE[#All],5,FALSE)),"Fora do DRE",VLOOKUP(Base_Periodo1[[#This Row],[CONTA]],BaseContasDRE[#All],6,FALSE))</f>
        <v>Fora do DRE</v>
      </c>
      <c r="U529" s="3" t="str">
        <f>IF(ISERROR(VLOOKUP(Base_Periodo1[[#This Row],[CONTA]],BaseContasDRE[#All],7,FALSE)),"Fora do DRE",VLOOKUP(Base_Periodo1[[#This Row],[CONTA]],BaseContasDRE[#All],7,FALSE))</f>
        <v>Fora do DRE</v>
      </c>
      <c r="V529" s="3" t="str">
        <f>IF(Base_Periodo1[[#This Row],[Tipo_Linha]]="Fora do DRE","Fora do DRE","( "&amp;Base_Periodo1[[#This Row],[Tipo_Linha]]&amp;" ) "&amp;Base_Periodo1[[#This Row],[Filtro]])</f>
        <v>Fora do DRE</v>
      </c>
      <c r="W529" s="3" t="str">
        <f>LEFT(Base_Periodo1[[#This Row],[CLASS]],3)</f>
        <v>1.1</v>
      </c>
    </row>
    <row r="530" spans="1:23" hidden="1">
      <c r="A530" s="3" t="str">
        <f t="shared" si="8"/>
        <v>Período 1</v>
      </c>
      <c r="B530">
        <v>2600</v>
      </c>
      <c r="C530" t="s">
        <v>503</v>
      </c>
      <c r="D530" t="s">
        <v>763</v>
      </c>
      <c r="E530" s="3" t="str">
        <f>IF(LEN(Base_Periodo1[[#This Row],[CLASS]])&gt;=7,LEFT(Base_Periodo1[[#This Row],[CLASS]],7),"")</f>
        <v>1.1.2.1</v>
      </c>
      <c r="F530" s="3" t="str">
        <f>VLOOKUP(Base_Periodo1[[#This Row],[Aux]],Base_Contas_Balanco[#All],2,FALSE)</f>
        <v>Creditos com Cooperados</v>
      </c>
      <c r="G530" s="1">
        <v>42853</v>
      </c>
      <c r="H530" s="225">
        <v>21149.120000000054</v>
      </c>
      <c r="I530" s="225">
        <v>0</v>
      </c>
      <c r="J530" s="225">
        <v>0</v>
      </c>
      <c r="K530" s="225">
        <v>21149.120000000054</v>
      </c>
      <c r="L5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21149.119999999999</v>
      </c>
      <c r="M530" s="225">
        <f>ROUND(IF(AND(Base_Periodo1[[#This Row],[Tipo_Linha]]="-",Base_Periodo1[[#This Row],[TIPOSALDO]]="D"),Base_Periodo1[[#This Row],[SALDO_ATUAL]]*-1,Base_Periodo1[[#This Row],[SALDO_ATUAL]]),4)</f>
        <v>21149.119999999999</v>
      </c>
      <c r="N530" t="s">
        <v>116</v>
      </c>
      <c r="O530" t="s">
        <v>397</v>
      </c>
      <c r="P530" t="s">
        <v>397</v>
      </c>
      <c r="Q530">
        <v>7</v>
      </c>
      <c r="R530" s="225">
        <f>Base_Periodo1[[#This Row],[CREDITOS]]-Base_Periodo1[[#This Row],[DEBITOS]]</f>
        <v>0</v>
      </c>
      <c r="S530" s="3" t="str">
        <f>IF(ISERROR(VLOOKUP(Base_Periodo1[[#This Row],[CONTA]],BaseContasDRE[#All],4,FALSE)),"Fora do DRE",VLOOKUP(Base_Periodo1[[#This Row],[CONTA]],BaseContasDRE[#All],4,FALSE))</f>
        <v>Fora do DRE</v>
      </c>
      <c r="T530" s="3" t="str">
        <f>IF(ISERROR(VLOOKUP(Base_Periodo1[[#This Row],[CONTA]],BaseContasDRE[#All],5,FALSE)),"Fora do DRE",VLOOKUP(Base_Periodo1[[#This Row],[CONTA]],BaseContasDRE[#All],6,FALSE))</f>
        <v>Fora do DRE</v>
      </c>
      <c r="U530" s="3" t="str">
        <f>IF(ISERROR(VLOOKUP(Base_Periodo1[[#This Row],[CONTA]],BaseContasDRE[#All],7,FALSE)),"Fora do DRE",VLOOKUP(Base_Periodo1[[#This Row],[CONTA]],BaseContasDRE[#All],7,FALSE))</f>
        <v>Fora do DRE</v>
      </c>
      <c r="V530" s="3" t="str">
        <f>IF(Base_Periodo1[[#This Row],[Tipo_Linha]]="Fora do DRE","Fora do DRE","( "&amp;Base_Periodo1[[#This Row],[Tipo_Linha]]&amp;" ) "&amp;Base_Periodo1[[#This Row],[Filtro]])</f>
        <v>Fora do DRE</v>
      </c>
      <c r="W530" s="3" t="str">
        <f>LEFT(Base_Periodo1[[#This Row],[CLASS]],3)</f>
        <v>1.1</v>
      </c>
    </row>
    <row r="531" spans="1:23" hidden="1">
      <c r="A531" s="3" t="str">
        <f t="shared" si="8"/>
        <v>Período 1</v>
      </c>
      <c r="B531">
        <v>54045</v>
      </c>
      <c r="C531" t="s">
        <v>503</v>
      </c>
      <c r="D531" t="s">
        <v>5007</v>
      </c>
      <c r="E531" s="3" t="str">
        <f>IF(LEN(Base_Periodo1[[#This Row],[CLASS]])&gt;=7,LEFT(Base_Periodo1[[#This Row],[CLASS]],7),"")</f>
        <v>1.1.2.1</v>
      </c>
      <c r="F531" s="3" t="str">
        <f>VLOOKUP(Base_Periodo1[[#This Row],[Aux]],Base_Contas_Balanco[#All],2,FALSE)</f>
        <v>Creditos com Cooperados</v>
      </c>
      <c r="G531" s="1">
        <v>42884</v>
      </c>
      <c r="H531" s="225">
        <v>436095.18000000005</v>
      </c>
      <c r="I531" s="225">
        <v>25185</v>
      </c>
      <c r="J531" s="225">
        <v>0</v>
      </c>
      <c r="K531" s="225">
        <v>461280.18000000005</v>
      </c>
      <c r="L5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461280.18</v>
      </c>
      <c r="M531" s="225">
        <f>ROUND(IF(AND(Base_Periodo1[[#This Row],[Tipo_Linha]]="-",Base_Periodo1[[#This Row],[TIPOSALDO]]="D"),Base_Periodo1[[#This Row],[SALDO_ATUAL]]*-1,Base_Periodo1[[#This Row],[SALDO_ATUAL]]),4)</f>
        <v>461280.18</v>
      </c>
      <c r="N531" t="s">
        <v>116</v>
      </c>
      <c r="O531" t="s">
        <v>397</v>
      </c>
      <c r="P531" t="s">
        <v>397</v>
      </c>
      <c r="Q531">
        <v>7</v>
      </c>
      <c r="R531" s="225">
        <f>Base_Periodo1[[#This Row],[CREDITOS]]-Base_Periodo1[[#This Row],[DEBITOS]]</f>
        <v>-25185</v>
      </c>
      <c r="S531" s="3" t="str">
        <f>IF(ISERROR(VLOOKUP(Base_Periodo1[[#This Row],[CONTA]],BaseContasDRE[#All],4,FALSE)),"Fora do DRE",VLOOKUP(Base_Periodo1[[#This Row],[CONTA]],BaseContasDRE[#All],4,FALSE))</f>
        <v>Fora do DRE</v>
      </c>
      <c r="T531" s="3" t="str">
        <f>IF(ISERROR(VLOOKUP(Base_Periodo1[[#This Row],[CONTA]],BaseContasDRE[#All],5,FALSE)),"Fora do DRE",VLOOKUP(Base_Periodo1[[#This Row],[CONTA]],BaseContasDRE[#All],6,FALSE))</f>
        <v>Fora do DRE</v>
      </c>
      <c r="U531" s="3" t="str">
        <f>IF(ISERROR(VLOOKUP(Base_Periodo1[[#This Row],[CONTA]],BaseContasDRE[#All],7,FALSE)),"Fora do DRE",VLOOKUP(Base_Periodo1[[#This Row],[CONTA]],BaseContasDRE[#All],7,FALSE))</f>
        <v>Fora do DRE</v>
      </c>
      <c r="V531" s="3" t="str">
        <f>IF(Base_Periodo1[[#This Row],[Tipo_Linha]]="Fora do DRE","Fora do DRE","( "&amp;Base_Periodo1[[#This Row],[Tipo_Linha]]&amp;" ) "&amp;Base_Periodo1[[#This Row],[Filtro]])</f>
        <v>Fora do DRE</v>
      </c>
      <c r="W531" s="3" t="str">
        <f>LEFT(Base_Periodo1[[#This Row],[CLASS]],3)</f>
        <v>1.1</v>
      </c>
    </row>
    <row r="532" spans="1:23" hidden="1">
      <c r="A532" s="3" t="str">
        <f t="shared" si="8"/>
        <v>Período 1</v>
      </c>
      <c r="B532">
        <v>3916</v>
      </c>
      <c r="C532" t="s">
        <v>503</v>
      </c>
      <c r="D532" t="s">
        <v>764</v>
      </c>
      <c r="E532" s="3" t="str">
        <f>IF(LEN(Base_Periodo1[[#This Row],[CLASS]])&gt;=7,LEFT(Base_Periodo1[[#This Row],[CLASS]],7),"")</f>
        <v>1.1.2.1</v>
      </c>
      <c r="F532" s="3" t="str">
        <f>VLOOKUP(Base_Periodo1[[#This Row],[Aux]],Base_Contas_Balanco[#All],2,FALSE)</f>
        <v>Creditos com Cooperados</v>
      </c>
      <c r="G532" s="1">
        <v>42094</v>
      </c>
      <c r="H532" s="225">
        <v>69427.040000000154</v>
      </c>
      <c r="I532" s="225">
        <v>0</v>
      </c>
      <c r="J532" s="225">
        <v>0</v>
      </c>
      <c r="K532" s="225">
        <v>69427.040000000154</v>
      </c>
      <c r="L5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69427.039999999994</v>
      </c>
      <c r="M532" s="225">
        <f>ROUND(IF(AND(Base_Periodo1[[#This Row],[Tipo_Linha]]="-",Base_Periodo1[[#This Row],[TIPOSALDO]]="D"),Base_Periodo1[[#This Row],[SALDO_ATUAL]]*-1,Base_Periodo1[[#This Row],[SALDO_ATUAL]]),4)</f>
        <v>69427.039999999994</v>
      </c>
      <c r="N532" t="s">
        <v>116</v>
      </c>
      <c r="O532" t="s">
        <v>397</v>
      </c>
      <c r="P532" t="s">
        <v>397</v>
      </c>
      <c r="Q532">
        <v>7</v>
      </c>
      <c r="R532" s="225">
        <f>Base_Periodo1[[#This Row],[CREDITOS]]-Base_Periodo1[[#This Row],[DEBITOS]]</f>
        <v>0</v>
      </c>
      <c r="S532" s="3" t="str">
        <f>IF(ISERROR(VLOOKUP(Base_Periodo1[[#This Row],[CONTA]],BaseContasDRE[#All],4,FALSE)),"Fora do DRE",VLOOKUP(Base_Periodo1[[#This Row],[CONTA]],BaseContasDRE[#All],4,FALSE))</f>
        <v>Fora do DRE</v>
      </c>
      <c r="T532" s="3" t="str">
        <f>IF(ISERROR(VLOOKUP(Base_Periodo1[[#This Row],[CONTA]],BaseContasDRE[#All],5,FALSE)),"Fora do DRE",VLOOKUP(Base_Periodo1[[#This Row],[CONTA]],BaseContasDRE[#All],6,FALSE))</f>
        <v>Fora do DRE</v>
      </c>
      <c r="U532" s="3" t="str">
        <f>IF(ISERROR(VLOOKUP(Base_Periodo1[[#This Row],[CONTA]],BaseContasDRE[#All],7,FALSE)),"Fora do DRE",VLOOKUP(Base_Periodo1[[#This Row],[CONTA]],BaseContasDRE[#All],7,FALSE))</f>
        <v>Fora do DRE</v>
      </c>
      <c r="V532" s="3" t="str">
        <f>IF(Base_Periodo1[[#This Row],[Tipo_Linha]]="Fora do DRE","Fora do DRE","( "&amp;Base_Periodo1[[#This Row],[Tipo_Linha]]&amp;" ) "&amp;Base_Periodo1[[#This Row],[Filtro]])</f>
        <v>Fora do DRE</v>
      </c>
      <c r="W532" s="3" t="str">
        <f>LEFT(Base_Periodo1[[#This Row],[CLASS]],3)</f>
        <v>1.1</v>
      </c>
    </row>
    <row r="533" spans="1:23" hidden="1">
      <c r="A533" s="3" t="str">
        <f t="shared" si="8"/>
        <v>Período 1</v>
      </c>
      <c r="B533">
        <v>2528</v>
      </c>
      <c r="C533" t="s">
        <v>503</v>
      </c>
      <c r="D533" t="s">
        <v>765</v>
      </c>
      <c r="E533" s="3" t="str">
        <f>IF(LEN(Base_Periodo1[[#This Row],[CLASS]])&gt;=7,LEFT(Base_Periodo1[[#This Row],[CLASS]],7),"")</f>
        <v>1.1.2.1</v>
      </c>
      <c r="F533" s="3" t="str">
        <f>VLOOKUP(Base_Periodo1[[#This Row],[Aux]],Base_Contas_Balanco[#All],2,FALSE)</f>
        <v>Creditos com Cooperados</v>
      </c>
      <c r="G533" s="1">
        <v>42129</v>
      </c>
      <c r="H533" s="225">
        <v>2390.0000000001164</v>
      </c>
      <c r="I533" s="225">
        <v>0</v>
      </c>
      <c r="J533" s="225">
        <v>0</v>
      </c>
      <c r="K533" s="225">
        <v>2390.0000000001164</v>
      </c>
      <c r="L5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2390</v>
      </c>
      <c r="M533" s="225">
        <f>ROUND(IF(AND(Base_Periodo1[[#This Row],[Tipo_Linha]]="-",Base_Periodo1[[#This Row],[TIPOSALDO]]="D"),Base_Periodo1[[#This Row],[SALDO_ATUAL]]*-1,Base_Periodo1[[#This Row],[SALDO_ATUAL]]),4)</f>
        <v>2390</v>
      </c>
      <c r="N533" t="s">
        <v>116</v>
      </c>
      <c r="O533" t="s">
        <v>397</v>
      </c>
      <c r="P533" t="s">
        <v>397</v>
      </c>
      <c r="Q533">
        <v>7</v>
      </c>
      <c r="R533" s="225">
        <f>Base_Periodo1[[#This Row],[CREDITOS]]-Base_Periodo1[[#This Row],[DEBITOS]]</f>
        <v>0</v>
      </c>
      <c r="S533" s="3" t="str">
        <f>IF(ISERROR(VLOOKUP(Base_Periodo1[[#This Row],[CONTA]],BaseContasDRE[#All],4,FALSE)),"Fora do DRE",VLOOKUP(Base_Periodo1[[#This Row],[CONTA]],BaseContasDRE[#All],4,FALSE))</f>
        <v>Fora do DRE</v>
      </c>
      <c r="T533" s="3" t="str">
        <f>IF(ISERROR(VLOOKUP(Base_Periodo1[[#This Row],[CONTA]],BaseContasDRE[#All],5,FALSE)),"Fora do DRE",VLOOKUP(Base_Periodo1[[#This Row],[CONTA]],BaseContasDRE[#All],6,FALSE))</f>
        <v>Fora do DRE</v>
      </c>
      <c r="U533" s="3" t="str">
        <f>IF(ISERROR(VLOOKUP(Base_Periodo1[[#This Row],[CONTA]],BaseContasDRE[#All],7,FALSE)),"Fora do DRE",VLOOKUP(Base_Periodo1[[#This Row],[CONTA]],BaseContasDRE[#All],7,FALSE))</f>
        <v>Fora do DRE</v>
      </c>
      <c r="V533" s="3" t="str">
        <f>IF(Base_Periodo1[[#This Row],[Tipo_Linha]]="Fora do DRE","Fora do DRE","( "&amp;Base_Periodo1[[#This Row],[Tipo_Linha]]&amp;" ) "&amp;Base_Periodo1[[#This Row],[Filtro]])</f>
        <v>Fora do DRE</v>
      </c>
      <c r="W533" s="3" t="str">
        <f>LEFT(Base_Periodo1[[#This Row],[CLASS]],3)</f>
        <v>1.1</v>
      </c>
    </row>
    <row r="534" spans="1:23" hidden="1">
      <c r="A534" s="3" t="str">
        <f t="shared" si="8"/>
        <v>Período 1</v>
      </c>
      <c r="B534">
        <v>25464</v>
      </c>
      <c r="C534" t="s">
        <v>503</v>
      </c>
      <c r="D534" t="s">
        <v>766</v>
      </c>
      <c r="E534" s="3" t="str">
        <f>IF(LEN(Base_Periodo1[[#This Row],[CLASS]])&gt;=7,LEFT(Base_Periodo1[[#This Row],[CLASS]],7),"")</f>
        <v>1.1.2.1</v>
      </c>
      <c r="F534" s="3" t="str">
        <f>VLOOKUP(Base_Periodo1[[#This Row],[Aux]],Base_Contas_Balanco[#All],2,FALSE)</f>
        <v>Creditos com Cooperados</v>
      </c>
      <c r="G534" s="1">
        <v>42836</v>
      </c>
      <c r="H534" s="225">
        <v>37035.110000000015</v>
      </c>
      <c r="I534" s="225">
        <v>0</v>
      </c>
      <c r="J534" s="225">
        <v>0</v>
      </c>
      <c r="K534" s="225">
        <v>37035.110000000015</v>
      </c>
      <c r="L5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37035.11</v>
      </c>
      <c r="M534" s="225">
        <f>ROUND(IF(AND(Base_Periodo1[[#This Row],[Tipo_Linha]]="-",Base_Periodo1[[#This Row],[TIPOSALDO]]="D"),Base_Periodo1[[#This Row],[SALDO_ATUAL]]*-1,Base_Periodo1[[#This Row],[SALDO_ATUAL]]),4)</f>
        <v>37035.11</v>
      </c>
      <c r="N534" t="s">
        <v>116</v>
      </c>
      <c r="O534" t="s">
        <v>397</v>
      </c>
      <c r="P534" t="s">
        <v>397</v>
      </c>
      <c r="Q534">
        <v>7</v>
      </c>
      <c r="R534" s="225">
        <f>Base_Periodo1[[#This Row],[CREDITOS]]-Base_Periodo1[[#This Row],[DEBITOS]]</f>
        <v>0</v>
      </c>
      <c r="S534" s="3" t="str">
        <f>IF(ISERROR(VLOOKUP(Base_Periodo1[[#This Row],[CONTA]],BaseContasDRE[#All],4,FALSE)),"Fora do DRE",VLOOKUP(Base_Periodo1[[#This Row],[CONTA]],BaseContasDRE[#All],4,FALSE))</f>
        <v>Fora do DRE</v>
      </c>
      <c r="T534" s="3" t="str">
        <f>IF(ISERROR(VLOOKUP(Base_Periodo1[[#This Row],[CONTA]],BaseContasDRE[#All],5,FALSE)),"Fora do DRE",VLOOKUP(Base_Periodo1[[#This Row],[CONTA]],BaseContasDRE[#All],6,FALSE))</f>
        <v>Fora do DRE</v>
      </c>
      <c r="U534" s="3" t="str">
        <f>IF(ISERROR(VLOOKUP(Base_Periodo1[[#This Row],[CONTA]],BaseContasDRE[#All],7,FALSE)),"Fora do DRE",VLOOKUP(Base_Periodo1[[#This Row],[CONTA]],BaseContasDRE[#All],7,FALSE))</f>
        <v>Fora do DRE</v>
      </c>
      <c r="V534" s="3" t="str">
        <f>IF(Base_Periodo1[[#This Row],[Tipo_Linha]]="Fora do DRE","Fora do DRE","( "&amp;Base_Periodo1[[#This Row],[Tipo_Linha]]&amp;" ) "&amp;Base_Periodo1[[#This Row],[Filtro]])</f>
        <v>Fora do DRE</v>
      </c>
      <c r="W534" s="3" t="str">
        <f>LEFT(Base_Periodo1[[#This Row],[CLASS]],3)</f>
        <v>1.1</v>
      </c>
    </row>
    <row r="535" spans="1:23" hidden="1">
      <c r="A535" s="3" t="str">
        <f t="shared" si="8"/>
        <v>Período 1</v>
      </c>
      <c r="B535">
        <v>46551</v>
      </c>
      <c r="C535" t="s">
        <v>503</v>
      </c>
      <c r="D535" t="s">
        <v>4735</v>
      </c>
      <c r="E535" s="3" t="str">
        <f>IF(LEN(Base_Periodo1[[#This Row],[CLASS]])&gt;=7,LEFT(Base_Periodo1[[#This Row],[CLASS]],7),"")</f>
        <v>1.1.2.1</v>
      </c>
      <c r="F535" s="3" t="str">
        <f>VLOOKUP(Base_Periodo1[[#This Row],[Aux]],Base_Contas_Balanco[#All],2,FALSE)</f>
        <v>Creditos com Cooperados</v>
      </c>
      <c r="G535" s="1">
        <v>42865</v>
      </c>
      <c r="H535" s="225">
        <v>174303.17999999982</v>
      </c>
      <c r="I535" s="225">
        <v>6814.8</v>
      </c>
      <c r="J535" s="225">
        <v>4526.2800000000007</v>
      </c>
      <c r="K535" s="225">
        <v>176591.69999999981</v>
      </c>
      <c r="L5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176591.7</v>
      </c>
      <c r="M535" s="225">
        <f>ROUND(IF(AND(Base_Periodo1[[#This Row],[Tipo_Linha]]="-",Base_Periodo1[[#This Row],[TIPOSALDO]]="D"),Base_Periodo1[[#This Row],[SALDO_ATUAL]]*-1,Base_Periodo1[[#This Row],[SALDO_ATUAL]]),4)</f>
        <v>176591.7</v>
      </c>
      <c r="N535" t="s">
        <v>116</v>
      </c>
      <c r="O535" t="s">
        <v>397</v>
      </c>
      <c r="P535" t="s">
        <v>397</v>
      </c>
      <c r="Q535">
        <v>7</v>
      </c>
      <c r="R535" s="225">
        <f>Base_Periodo1[[#This Row],[CREDITOS]]-Base_Periodo1[[#This Row],[DEBITOS]]</f>
        <v>-2288.5199999999995</v>
      </c>
      <c r="S535" s="3" t="str">
        <f>IF(ISERROR(VLOOKUP(Base_Periodo1[[#This Row],[CONTA]],BaseContasDRE[#All],4,FALSE)),"Fora do DRE",VLOOKUP(Base_Periodo1[[#This Row],[CONTA]],BaseContasDRE[#All],4,FALSE))</f>
        <v>Fora do DRE</v>
      </c>
      <c r="T535" s="3" t="str">
        <f>IF(ISERROR(VLOOKUP(Base_Periodo1[[#This Row],[CONTA]],BaseContasDRE[#All],5,FALSE)),"Fora do DRE",VLOOKUP(Base_Periodo1[[#This Row],[CONTA]],BaseContasDRE[#All],6,FALSE))</f>
        <v>Fora do DRE</v>
      </c>
      <c r="U535" s="3" t="str">
        <f>IF(ISERROR(VLOOKUP(Base_Periodo1[[#This Row],[CONTA]],BaseContasDRE[#All],7,FALSE)),"Fora do DRE",VLOOKUP(Base_Periodo1[[#This Row],[CONTA]],BaseContasDRE[#All],7,FALSE))</f>
        <v>Fora do DRE</v>
      </c>
      <c r="V535" s="3" t="str">
        <f>IF(Base_Periodo1[[#This Row],[Tipo_Linha]]="Fora do DRE","Fora do DRE","( "&amp;Base_Periodo1[[#This Row],[Tipo_Linha]]&amp;" ) "&amp;Base_Periodo1[[#This Row],[Filtro]])</f>
        <v>Fora do DRE</v>
      </c>
      <c r="W535" s="3" t="str">
        <f>LEFT(Base_Periodo1[[#This Row],[CLASS]],3)</f>
        <v>1.1</v>
      </c>
    </row>
    <row r="536" spans="1:23" hidden="1">
      <c r="A536" s="3" t="str">
        <f t="shared" si="8"/>
        <v>Período 1</v>
      </c>
      <c r="B536">
        <v>6909</v>
      </c>
      <c r="C536" t="s">
        <v>503</v>
      </c>
      <c r="D536" t="s">
        <v>767</v>
      </c>
      <c r="E536" s="3" t="str">
        <f>IF(LEN(Base_Periodo1[[#This Row],[CLASS]])&gt;=7,LEFT(Base_Periodo1[[#This Row],[CLASS]],7),"")</f>
        <v>1.1.2.1</v>
      </c>
      <c r="F536" s="3" t="str">
        <f>VLOOKUP(Base_Periodo1[[#This Row],[Aux]],Base_Contas_Balanco[#All],2,FALSE)</f>
        <v>Creditos com Cooperados</v>
      </c>
      <c r="G536" s="1">
        <v>42865</v>
      </c>
      <c r="H536" s="225">
        <v>19.720000001369044</v>
      </c>
      <c r="I536" s="225">
        <v>0</v>
      </c>
      <c r="J536" s="225">
        <v>9.86</v>
      </c>
      <c r="K536" s="225">
        <v>9.8600000013690448</v>
      </c>
      <c r="L5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9.86</v>
      </c>
      <c r="M536" s="225">
        <f>ROUND(IF(AND(Base_Periodo1[[#This Row],[Tipo_Linha]]="-",Base_Periodo1[[#This Row],[TIPOSALDO]]="D"),Base_Periodo1[[#This Row],[SALDO_ATUAL]]*-1,Base_Periodo1[[#This Row],[SALDO_ATUAL]]),4)</f>
        <v>9.86</v>
      </c>
      <c r="N536" t="s">
        <v>116</v>
      </c>
      <c r="O536" t="s">
        <v>397</v>
      </c>
      <c r="P536" t="s">
        <v>397</v>
      </c>
      <c r="Q536">
        <v>7</v>
      </c>
      <c r="R536" s="225">
        <f>Base_Periodo1[[#This Row],[CREDITOS]]-Base_Periodo1[[#This Row],[DEBITOS]]</f>
        <v>9.86</v>
      </c>
      <c r="S536" s="3" t="str">
        <f>IF(ISERROR(VLOOKUP(Base_Periodo1[[#This Row],[CONTA]],BaseContasDRE[#All],4,FALSE)),"Fora do DRE",VLOOKUP(Base_Periodo1[[#This Row],[CONTA]],BaseContasDRE[#All],4,FALSE))</f>
        <v>Fora do DRE</v>
      </c>
      <c r="T536" s="3" t="str">
        <f>IF(ISERROR(VLOOKUP(Base_Periodo1[[#This Row],[CONTA]],BaseContasDRE[#All],5,FALSE)),"Fora do DRE",VLOOKUP(Base_Periodo1[[#This Row],[CONTA]],BaseContasDRE[#All],6,FALSE))</f>
        <v>Fora do DRE</v>
      </c>
      <c r="U536" s="3" t="str">
        <f>IF(ISERROR(VLOOKUP(Base_Periodo1[[#This Row],[CONTA]],BaseContasDRE[#All],7,FALSE)),"Fora do DRE",VLOOKUP(Base_Periodo1[[#This Row],[CONTA]],BaseContasDRE[#All],7,FALSE))</f>
        <v>Fora do DRE</v>
      </c>
      <c r="V536" s="3" t="str">
        <f>IF(Base_Periodo1[[#This Row],[Tipo_Linha]]="Fora do DRE","Fora do DRE","( "&amp;Base_Periodo1[[#This Row],[Tipo_Linha]]&amp;" ) "&amp;Base_Periodo1[[#This Row],[Filtro]])</f>
        <v>Fora do DRE</v>
      </c>
      <c r="W536" s="3" t="str">
        <f>LEFT(Base_Periodo1[[#This Row],[CLASS]],3)</f>
        <v>1.1</v>
      </c>
    </row>
    <row r="537" spans="1:23" hidden="1">
      <c r="A537" s="3" t="str">
        <f t="shared" si="8"/>
        <v>Período 1</v>
      </c>
      <c r="B537">
        <v>55086</v>
      </c>
      <c r="C537" t="s">
        <v>503</v>
      </c>
      <c r="D537" t="s">
        <v>5081</v>
      </c>
      <c r="E537" s="3" t="str">
        <f>IF(LEN(Base_Periodo1[[#This Row],[CLASS]])&gt;=7,LEFT(Base_Periodo1[[#This Row],[CLASS]],7),"")</f>
        <v>1.1.2.1</v>
      </c>
      <c r="F537" s="3" t="str">
        <f>VLOOKUP(Base_Periodo1[[#This Row],[Aux]],Base_Contas_Balanco[#All],2,FALSE)</f>
        <v>Creditos com Cooperados</v>
      </c>
      <c r="G537" s="1">
        <v>42871</v>
      </c>
      <c r="H537" s="225">
        <v>73698.31</v>
      </c>
      <c r="I537" s="225">
        <v>0</v>
      </c>
      <c r="J537" s="225">
        <v>40545.910000000003</v>
      </c>
      <c r="K537" s="225">
        <v>33152.399999999994</v>
      </c>
      <c r="L5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33152.400000000001</v>
      </c>
      <c r="M537" s="225">
        <f>ROUND(IF(AND(Base_Periodo1[[#This Row],[Tipo_Linha]]="-",Base_Periodo1[[#This Row],[TIPOSALDO]]="D"),Base_Periodo1[[#This Row],[SALDO_ATUAL]]*-1,Base_Periodo1[[#This Row],[SALDO_ATUAL]]),4)</f>
        <v>33152.400000000001</v>
      </c>
      <c r="N537" t="s">
        <v>116</v>
      </c>
      <c r="O537" t="s">
        <v>397</v>
      </c>
      <c r="P537" t="s">
        <v>397</v>
      </c>
      <c r="Q537">
        <v>7</v>
      </c>
      <c r="R537" s="225">
        <f>Base_Periodo1[[#This Row],[CREDITOS]]-Base_Periodo1[[#This Row],[DEBITOS]]</f>
        <v>40545.910000000003</v>
      </c>
      <c r="S537" s="3" t="str">
        <f>IF(ISERROR(VLOOKUP(Base_Periodo1[[#This Row],[CONTA]],BaseContasDRE[#All],4,FALSE)),"Fora do DRE",VLOOKUP(Base_Periodo1[[#This Row],[CONTA]],BaseContasDRE[#All],4,FALSE))</f>
        <v>Fora do DRE</v>
      </c>
      <c r="T537" s="3" t="str">
        <f>IF(ISERROR(VLOOKUP(Base_Periodo1[[#This Row],[CONTA]],BaseContasDRE[#All],5,FALSE)),"Fora do DRE",VLOOKUP(Base_Periodo1[[#This Row],[CONTA]],BaseContasDRE[#All],6,FALSE))</f>
        <v>Fora do DRE</v>
      </c>
      <c r="U537" s="3" t="str">
        <f>IF(ISERROR(VLOOKUP(Base_Periodo1[[#This Row],[CONTA]],BaseContasDRE[#All],7,FALSE)),"Fora do DRE",VLOOKUP(Base_Periodo1[[#This Row],[CONTA]],BaseContasDRE[#All],7,FALSE))</f>
        <v>Fora do DRE</v>
      </c>
      <c r="V537" s="3" t="str">
        <f>IF(Base_Periodo1[[#This Row],[Tipo_Linha]]="Fora do DRE","Fora do DRE","( "&amp;Base_Periodo1[[#This Row],[Tipo_Linha]]&amp;" ) "&amp;Base_Periodo1[[#This Row],[Filtro]])</f>
        <v>Fora do DRE</v>
      </c>
      <c r="W537" s="3" t="str">
        <f>LEFT(Base_Periodo1[[#This Row],[CLASS]],3)</f>
        <v>1.1</v>
      </c>
    </row>
    <row r="538" spans="1:23" hidden="1">
      <c r="A538" s="3" t="str">
        <f t="shared" si="8"/>
        <v>Período 1</v>
      </c>
      <c r="B538">
        <v>24879</v>
      </c>
      <c r="C538" t="s">
        <v>503</v>
      </c>
      <c r="D538" t="s">
        <v>4341</v>
      </c>
      <c r="E538" s="3" t="str">
        <f>IF(LEN(Base_Periodo1[[#This Row],[CLASS]])&gt;=7,LEFT(Base_Periodo1[[#This Row],[CLASS]],7),"")</f>
        <v>1.1.2.1</v>
      </c>
      <c r="F538" s="3" t="str">
        <f>VLOOKUP(Base_Periodo1[[#This Row],[Aux]],Base_Contas_Balanco[#All],2,FALSE)</f>
        <v>Creditos com Cooperados</v>
      </c>
      <c r="G538" s="1">
        <v>42885</v>
      </c>
      <c r="H538" s="225">
        <v>16439.25</v>
      </c>
      <c r="I538" s="225">
        <v>16439.25</v>
      </c>
      <c r="J538" s="225">
        <v>16439.25</v>
      </c>
      <c r="K538" s="225">
        <v>16439.25</v>
      </c>
      <c r="L5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16439.25</v>
      </c>
      <c r="M538" s="225">
        <f>ROUND(IF(AND(Base_Periodo1[[#This Row],[Tipo_Linha]]="-",Base_Periodo1[[#This Row],[TIPOSALDO]]="D"),Base_Periodo1[[#This Row],[SALDO_ATUAL]]*-1,Base_Periodo1[[#This Row],[SALDO_ATUAL]]),4)</f>
        <v>16439.25</v>
      </c>
      <c r="N538" t="s">
        <v>116</v>
      </c>
      <c r="O538" t="s">
        <v>397</v>
      </c>
      <c r="P538" t="s">
        <v>397</v>
      </c>
      <c r="Q538">
        <v>7</v>
      </c>
      <c r="R538" s="225">
        <f>Base_Periodo1[[#This Row],[CREDITOS]]-Base_Periodo1[[#This Row],[DEBITOS]]</f>
        <v>0</v>
      </c>
      <c r="S538" s="3" t="str">
        <f>IF(ISERROR(VLOOKUP(Base_Periodo1[[#This Row],[CONTA]],BaseContasDRE[#All],4,FALSE)),"Fora do DRE",VLOOKUP(Base_Periodo1[[#This Row],[CONTA]],BaseContasDRE[#All],4,FALSE))</f>
        <v>Fora do DRE</v>
      </c>
      <c r="T538" s="3" t="str">
        <f>IF(ISERROR(VLOOKUP(Base_Periodo1[[#This Row],[CONTA]],BaseContasDRE[#All],5,FALSE)),"Fora do DRE",VLOOKUP(Base_Periodo1[[#This Row],[CONTA]],BaseContasDRE[#All],6,FALSE))</f>
        <v>Fora do DRE</v>
      </c>
      <c r="U538" s="3" t="str">
        <f>IF(ISERROR(VLOOKUP(Base_Periodo1[[#This Row],[CONTA]],BaseContasDRE[#All],7,FALSE)),"Fora do DRE",VLOOKUP(Base_Periodo1[[#This Row],[CONTA]],BaseContasDRE[#All],7,FALSE))</f>
        <v>Fora do DRE</v>
      </c>
      <c r="V538" s="3" t="str">
        <f>IF(Base_Periodo1[[#This Row],[Tipo_Linha]]="Fora do DRE","Fora do DRE","( "&amp;Base_Periodo1[[#This Row],[Tipo_Linha]]&amp;" ) "&amp;Base_Periodo1[[#This Row],[Filtro]])</f>
        <v>Fora do DRE</v>
      </c>
      <c r="W538" s="3" t="str">
        <f>LEFT(Base_Periodo1[[#This Row],[CLASS]],3)</f>
        <v>1.1</v>
      </c>
    </row>
    <row r="539" spans="1:23" hidden="1">
      <c r="A539" s="3" t="str">
        <f t="shared" si="8"/>
        <v>Período 1</v>
      </c>
      <c r="B539">
        <v>55101</v>
      </c>
      <c r="C539" t="s">
        <v>503</v>
      </c>
      <c r="D539" t="s">
        <v>5276</v>
      </c>
      <c r="E539" s="3" t="str">
        <f>IF(LEN(Base_Periodo1[[#This Row],[CLASS]])&gt;=7,LEFT(Base_Periodo1[[#This Row],[CLASS]],7),"")</f>
        <v>1.1.2.1</v>
      </c>
      <c r="F539" s="3" t="str">
        <f>VLOOKUP(Base_Periodo1[[#This Row],[Aux]],Base_Contas_Balanco[#All],2,FALSE)</f>
        <v>Creditos com Cooperados</v>
      </c>
      <c r="G539" s="1">
        <v>42852</v>
      </c>
      <c r="H539" s="225">
        <v>12899.999999999942</v>
      </c>
      <c r="I539" s="225">
        <v>0</v>
      </c>
      <c r="J539" s="225">
        <v>0</v>
      </c>
      <c r="K539" s="225">
        <v>12899.999999999942</v>
      </c>
      <c r="L5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12900</v>
      </c>
      <c r="M539" s="225">
        <f>ROUND(IF(AND(Base_Periodo1[[#This Row],[Tipo_Linha]]="-",Base_Periodo1[[#This Row],[TIPOSALDO]]="D"),Base_Periodo1[[#This Row],[SALDO_ATUAL]]*-1,Base_Periodo1[[#This Row],[SALDO_ATUAL]]),4)</f>
        <v>12900</v>
      </c>
      <c r="N539" t="s">
        <v>116</v>
      </c>
      <c r="O539" t="s">
        <v>397</v>
      </c>
      <c r="P539" t="s">
        <v>397</v>
      </c>
      <c r="Q539">
        <v>7</v>
      </c>
      <c r="R539" s="225">
        <f>Base_Periodo1[[#This Row],[CREDITOS]]-Base_Periodo1[[#This Row],[DEBITOS]]</f>
        <v>0</v>
      </c>
      <c r="S539" s="3" t="str">
        <f>IF(ISERROR(VLOOKUP(Base_Periodo1[[#This Row],[CONTA]],BaseContasDRE[#All],4,FALSE)),"Fora do DRE",VLOOKUP(Base_Periodo1[[#This Row],[CONTA]],BaseContasDRE[#All],4,FALSE))</f>
        <v>Fora do DRE</v>
      </c>
      <c r="T539" s="3" t="str">
        <f>IF(ISERROR(VLOOKUP(Base_Periodo1[[#This Row],[CONTA]],BaseContasDRE[#All],5,FALSE)),"Fora do DRE",VLOOKUP(Base_Periodo1[[#This Row],[CONTA]],BaseContasDRE[#All],6,FALSE))</f>
        <v>Fora do DRE</v>
      </c>
      <c r="U539" s="3" t="str">
        <f>IF(ISERROR(VLOOKUP(Base_Periodo1[[#This Row],[CONTA]],BaseContasDRE[#All],7,FALSE)),"Fora do DRE",VLOOKUP(Base_Periodo1[[#This Row],[CONTA]],BaseContasDRE[#All],7,FALSE))</f>
        <v>Fora do DRE</v>
      </c>
      <c r="V539" s="3" t="str">
        <f>IF(Base_Periodo1[[#This Row],[Tipo_Linha]]="Fora do DRE","Fora do DRE","( "&amp;Base_Periodo1[[#This Row],[Tipo_Linha]]&amp;" ) "&amp;Base_Periodo1[[#This Row],[Filtro]])</f>
        <v>Fora do DRE</v>
      </c>
      <c r="W539" s="3" t="str">
        <f>LEFT(Base_Periodo1[[#This Row],[CLASS]],3)</f>
        <v>1.1</v>
      </c>
    </row>
    <row r="540" spans="1:23" hidden="1">
      <c r="A540" s="3" t="str">
        <f t="shared" si="8"/>
        <v>Período 1</v>
      </c>
      <c r="B540">
        <v>46960</v>
      </c>
      <c r="C540" t="s">
        <v>503</v>
      </c>
      <c r="D540" t="s">
        <v>1736</v>
      </c>
      <c r="E540" s="3" t="str">
        <f>IF(LEN(Base_Periodo1[[#This Row],[CLASS]])&gt;=7,LEFT(Base_Periodo1[[#This Row],[CLASS]],7),"")</f>
        <v>1.1.2.1</v>
      </c>
      <c r="F540" s="3" t="str">
        <f>VLOOKUP(Base_Periodo1[[#This Row],[Aux]],Base_Contas_Balanco[#All],2,FALSE)</f>
        <v>Creditos com Cooperados</v>
      </c>
      <c r="G540" s="1">
        <v>42881</v>
      </c>
      <c r="I540" s="225">
        <v>25998</v>
      </c>
      <c r="J540" s="225">
        <v>0</v>
      </c>
      <c r="K540" s="225">
        <v>25998</v>
      </c>
      <c r="L5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25998</v>
      </c>
      <c r="M540" s="225">
        <f>ROUND(IF(AND(Base_Periodo1[[#This Row],[Tipo_Linha]]="-",Base_Periodo1[[#This Row],[TIPOSALDO]]="D"),Base_Periodo1[[#This Row],[SALDO_ATUAL]]*-1,Base_Periodo1[[#This Row],[SALDO_ATUAL]]),4)</f>
        <v>25998</v>
      </c>
      <c r="N540" t="s">
        <v>116</v>
      </c>
      <c r="O540" t="s">
        <v>436</v>
      </c>
      <c r="P540" t="s">
        <v>397</v>
      </c>
      <c r="Q540">
        <v>7</v>
      </c>
      <c r="R540" s="225">
        <f>Base_Periodo1[[#This Row],[CREDITOS]]-Base_Periodo1[[#This Row],[DEBITOS]]</f>
        <v>-25998</v>
      </c>
      <c r="S540" s="3" t="str">
        <f>IF(ISERROR(VLOOKUP(Base_Periodo1[[#This Row],[CONTA]],BaseContasDRE[#All],4,FALSE)),"Fora do DRE",VLOOKUP(Base_Periodo1[[#This Row],[CONTA]],BaseContasDRE[#All],4,FALSE))</f>
        <v>Fora do DRE</v>
      </c>
      <c r="T540" s="3" t="str">
        <f>IF(ISERROR(VLOOKUP(Base_Periodo1[[#This Row],[CONTA]],BaseContasDRE[#All],5,FALSE)),"Fora do DRE",VLOOKUP(Base_Periodo1[[#This Row],[CONTA]],BaseContasDRE[#All],6,FALSE))</f>
        <v>Fora do DRE</v>
      </c>
      <c r="U540" s="3" t="str">
        <f>IF(ISERROR(VLOOKUP(Base_Periodo1[[#This Row],[CONTA]],BaseContasDRE[#All],7,FALSE)),"Fora do DRE",VLOOKUP(Base_Periodo1[[#This Row],[CONTA]],BaseContasDRE[#All],7,FALSE))</f>
        <v>Fora do DRE</v>
      </c>
      <c r="V540" s="3" t="str">
        <f>IF(Base_Periodo1[[#This Row],[Tipo_Linha]]="Fora do DRE","Fora do DRE","( "&amp;Base_Periodo1[[#This Row],[Tipo_Linha]]&amp;" ) "&amp;Base_Periodo1[[#This Row],[Filtro]])</f>
        <v>Fora do DRE</v>
      </c>
      <c r="W540" s="3" t="str">
        <f>LEFT(Base_Periodo1[[#This Row],[CLASS]],3)</f>
        <v>1.1</v>
      </c>
    </row>
    <row r="541" spans="1:23" hidden="1">
      <c r="A541" s="3" t="str">
        <f t="shared" si="8"/>
        <v>Período 1</v>
      </c>
      <c r="B541">
        <v>4544</v>
      </c>
      <c r="C541" t="s">
        <v>503</v>
      </c>
      <c r="D541" t="s">
        <v>768</v>
      </c>
      <c r="E541" s="3" t="str">
        <f>IF(LEN(Base_Periodo1[[#This Row],[CLASS]])&gt;=7,LEFT(Base_Periodo1[[#This Row],[CLASS]],7),"")</f>
        <v>1.1.2.1</v>
      </c>
      <c r="F541" s="3" t="str">
        <f>VLOOKUP(Base_Periodo1[[#This Row],[Aux]],Base_Contas_Balanco[#All],2,FALSE)</f>
        <v>Creditos com Cooperados</v>
      </c>
      <c r="G541" s="1">
        <v>42828</v>
      </c>
      <c r="H541" s="225">
        <v>11993.829999996349</v>
      </c>
      <c r="I541" s="225">
        <v>0</v>
      </c>
      <c r="J541" s="225">
        <v>0</v>
      </c>
      <c r="K541" s="225">
        <v>11993.829999996349</v>
      </c>
      <c r="L5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11993.83</v>
      </c>
      <c r="M541" s="225">
        <f>ROUND(IF(AND(Base_Periodo1[[#This Row],[Tipo_Linha]]="-",Base_Periodo1[[#This Row],[TIPOSALDO]]="D"),Base_Periodo1[[#This Row],[SALDO_ATUAL]]*-1,Base_Periodo1[[#This Row],[SALDO_ATUAL]]),4)</f>
        <v>11993.83</v>
      </c>
      <c r="N541" t="s">
        <v>116</v>
      </c>
      <c r="O541" t="s">
        <v>397</v>
      </c>
      <c r="P541" t="s">
        <v>397</v>
      </c>
      <c r="Q541">
        <v>7</v>
      </c>
      <c r="R541" s="225">
        <f>Base_Periodo1[[#This Row],[CREDITOS]]-Base_Periodo1[[#This Row],[DEBITOS]]</f>
        <v>0</v>
      </c>
      <c r="S541" s="3" t="str">
        <f>IF(ISERROR(VLOOKUP(Base_Periodo1[[#This Row],[CONTA]],BaseContasDRE[#All],4,FALSE)),"Fora do DRE",VLOOKUP(Base_Periodo1[[#This Row],[CONTA]],BaseContasDRE[#All],4,FALSE))</f>
        <v>Fora do DRE</v>
      </c>
      <c r="T541" s="3" t="str">
        <f>IF(ISERROR(VLOOKUP(Base_Periodo1[[#This Row],[CONTA]],BaseContasDRE[#All],5,FALSE)),"Fora do DRE",VLOOKUP(Base_Periodo1[[#This Row],[CONTA]],BaseContasDRE[#All],6,FALSE))</f>
        <v>Fora do DRE</v>
      </c>
      <c r="U541" s="3" t="str">
        <f>IF(ISERROR(VLOOKUP(Base_Periodo1[[#This Row],[CONTA]],BaseContasDRE[#All],7,FALSE)),"Fora do DRE",VLOOKUP(Base_Periodo1[[#This Row],[CONTA]],BaseContasDRE[#All],7,FALSE))</f>
        <v>Fora do DRE</v>
      </c>
      <c r="V541" s="3" t="str">
        <f>IF(Base_Periodo1[[#This Row],[Tipo_Linha]]="Fora do DRE","Fora do DRE","( "&amp;Base_Periodo1[[#This Row],[Tipo_Linha]]&amp;" ) "&amp;Base_Periodo1[[#This Row],[Filtro]])</f>
        <v>Fora do DRE</v>
      </c>
      <c r="W541" s="3" t="str">
        <f>LEFT(Base_Periodo1[[#This Row],[CLASS]],3)</f>
        <v>1.1</v>
      </c>
    </row>
    <row r="542" spans="1:23" hidden="1">
      <c r="A542" s="3" t="str">
        <f t="shared" si="8"/>
        <v>Período 1</v>
      </c>
      <c r="B542">
        <v>55091</v>
      </c>
      <c r="C542" t="s">
        <v>503</v>
      </c>
      <c r="D542" t="s">
        <v>5186</v>
      </c>
      <c r="E542" s="3" t="str">
        <f>IF(LEN(Base_Periodo1[[#This Row],[CLASS]])&gt;=7,LEFT(Base_Periodo1[[#This Row],[CLASS]],7),"")</f>
        <v>1.1.2.1</v>
      </c>
      <c r="F542" s="3" t="str">
        <f>VLOOKUP(Base_Periodo1[[#This Row],[Aux]],Base_Contas_Balanco[#All],2,FALSE)</f>
        <v>Creditos com Cooperados</v>
      </c>
      <c r="G542" s="1">
        <v>42786</v>
      </c>
      <c r="H542" s="225">
        <v>42812.86</v>
      </c>
      <c r="I542" s="225">
        <v>0</v>
      </c>
      <c r="J542" s="225">
        <v>0</v>
      </c>
      <c r="K542" s="225">
        <v>42812.86</v>
      </c>
      <c r="L5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42812.86</v>
      </c>
      <c r="M542" s="225">
        <f>ROUND(IF(AND(Base_Periodo1[[#This Row],[Tipo_Linha]]="-",Base_Periodo1[[#This Row],[TIPOSALDO]]="D"),Base_Periodo1[[#This Row],[SALDO_ATUAL]]*-1,Base_Periodo1[[#This Row],[SALDO_ATUAL]]),4)</f>
        <v>42812.86</v>
      </c>
      <c r="N542" t="s">
        <v>116</v>
      </c>
      <c r="O542" t="s">
        <v>397</v>
      </c>
      <c r="P542" t="s">
        <v>397</v>
      </c>
      <c r="Q542">
        <v>7</v>
      </c>
      <c r="R542" s="225">
        <f>Base_Periodo1[[#This Row],[CREDITOS]]-Base_Periodo1[[#This Row],[DEBITOS]]</f>
        <v>0</v>
      </c>
      <c r="S542" s="3" t="str">
        <f>IF(ISERROR(VLOOKUP(Base_Periodo1[[#This Row],[CONTA]],BaseContasDRE[#All],4,FALSE)),"Fora do DRE",VLOOKUP(Base_Periodo1[[#This Row],[CONTA]],BaseContasDRE[#All],4,FALSE))</f>
        <v>Fora do DRE</v>
      </c>
      <c r="T542" s="3" t="str">
        <f>IF(ISERROR(VLOOKUP(Base_Periodo1[[#This Row],[CONTA]],BaseContasDRE[#All],5,FALSE)),"Fora do DRE",VLOOKUP(Base_Periodo1[[#This Row],[CONTA]],BaseContasDRE[#All],6,FALSE))</f>
        <v>Fora do DRE</v>
      </c>
      <c r="U542" s="3" t="str">
        <f>IF(ISERROR(VLOOKUP(Base_Periodo1[[#This Row],[CONTA]],BaseContasDRE[#All],7,FALSE)),"Fora do DRE",VLOOKUP(Base_Periodo1[[#This Row],[CONTA]],BaseContasDRE[#All],7,FALSE))</f>
        <v>Fora do DRE</v>
      </c>
      <c r="V542" s="3" t="str">
        <f>IF(Base_Periodo1[[#This Row],[Tipo_Linha]]="Fora do DRE","Fora do DRE","( "&amp;Base_Periodo1[[#This Row],[Tipo_Linha]]&amp;" ) "&amp;Base_Periodo1[[#This Row],[Filtro]])</f>
        <v>Fora do DRE</v>
      </c>
      <c r="W542" s="3" t="str">
        <f>LEFT(Base_Periodo1[[#This Row],[CLASS]],3)</f>
        <v>1.1</v>
      </c>
    </row>
    <row r="543" spans="1:23" hidden="1">
      <c r="A543" s="3" t="str">
        <f t="shared" si="8"/>
        <v>Período 1</v>
      </c>
      <c r="B543">
        <v>57866</v>
      </c>
      <c r="C543" t="s">
        <v>503</v>
      </c>
      <c r="D543" t="s">
        <v>6722</v>
      </c>
      <c r="E543" s="3" t="str">
        <f>IF(LEN(Base_Periodo1[[#This Row],[CLASS]])&gt;=7,LEFT(Base_Periodo1[[#This Row],[CLASS]],7),"")</f>
        <v>1.1.2.1</v>
      </c>
      <c r="F543" s="3" t="str">
        <f>VLOOKUP(Base_Periodo1[[#This Row],[Aux]],Base_Contas_Balanco[#All],2,FALSE)</f>
        <v>Creditos com Cooperados</v>
      </c>
      <c r="G543" s="1">
        <v>42881</v>
      </c>
      <c r="I543" s="225">
        <v>270</v>
      </c>
      <c r="J543" s="225">
        <v>270</v>
      </c>
      <c r="K543" s="225">
        <v>0</v>
      </c>
      <c r="L5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43" s="225">
        <f>ROUND(IF(AND(Base_Periodo1[[#This Row],[Tipo_Linha]]="-",Base_Periodo1[[#This Row],[TIPOSALDO]]="D"),Base_Periodo1[[#This Row],[SALDO_ATUAL]]*-1,Base_Periodo1[[#This Row],[SALDO_ATUAL]]),4)</f>
        <v>0</v>
      </c>
      <c r="N543" t="s">
        <v>116</v>
      </c>
      <c r="O543" t="s">
        <v>436</v>
      </c>
      <c r="P543" t="s">
        <v>436</v>
      </c>
      <c r="Q543">
        <v>7</v>
      </c>
      <c r="R543" s="225">
        <f>Base_Periodo1[[#This Row],[CREDITOS]]-Base_Periodo1[[#This Row],[DEBITOS]]</f>
        <v>0</v>
      </c>
      <c r="S543" s="3" t="str">
        <f>IF(ISERROR(VLOOKUP(Base_Periodo1[[#This Row],[CONTA]],BaseContasDRE[#All],4,FALSE)),"Fora do DRE",VLOOKUP(Base_Periodo1[[#This Row],[CONTA]],BaseContasDRE[#All],4,FALSE))</f>
        <v>Fora do DRE</v>
      </c>
      <c r="T543" s="3" t="str">
        <f>IF(ISERROR(VLOOKUP(Base_Periodo1[[#This Row],[CONTA]],BaseContasDRE[#All],5,FALSE)),"Fora do DRE",VLOOKUP(Base_Periodo1[[#This Row],[CONTA]],BaseContasDRE[#All],6,FALSE))</f>
        <v>Fora do DRE</v>
      </c>
      <c r="U543" s="3" t="str">
        <f>IF(ISERROR(VLOOKUP(Base_Periodo1[[#This Row],[CONTA]],BaseContasDRE[#All],7,FALSE)),"Fora do DRE",VLOOKUP(Base_Periodo1[[#This Row],[CONTA]],BaseContasDRE[#All],7,FALSE))</f>
        <v>Fora do DRE</v>
      </c>
      <c r="V543" s="3" t="str">
        <f>IF(Base_Periodo1[[#This Row],[Tipo_Linha]]="Fora do DRE","Fora do DRE","( "&amp;Base_Periodo1[[#This Row],[Tipo_Linha]]&amp;" ) "&amp;Base_Periodo1[[#This Row],[Filtro]])</f>
        <v>Fora do DRE</v>
      </c>
      <c r="W543" s="3" t="str">
        <f>LEFT(Base_Periodo1[[#This Row],[CLASS]],3)</f>
        <v>1.1</v>
      </c>
    </row>
    <row r="544" spans="1:23" hidden="1">
      <c r="A544" s="3" t="str">
        <f t="shared" si="8"/>
        <v>Período 1</v>
      </c>
      <c r="B544">
        <v>53949</v>
      </c>
      <c r="C544" t="s">
        <v>503</v>
      </c>
      <c r="D544" t="s">
        <v>5157</v>
      </c>
      <c r="E544" s="3" t="str">
        <f>IF(LEN(Base_Periodo1[[#This Row],[CLASS]])&gt;=7,LEFT(Base_Periodo1[[#This Row],[CLASS]],7),"")</f>
        <v>1.1.2.1</v>
      </c>
      <c r="F544" s="3" t="str">
        <f>VLOOKUP(Base_Periodo1[[#This Row],[Aux]],Base_Contas_Balanco[#All],2,FALSE)</f>
        <v>Creditos com Cooperados</v>
      </c>
      <c r="G544" s="1">
        <v>42873</v>
      </c>
      <c r="H544" s="225">
        <v>14320.739999999998</v>
      </c>
      <c r="I544" s="225">
        <v>809.0100000000001</v>
      </c>
      <c r="J544" s="225">
        <v>15129.75</v>
      </c>
      <c r="K544" s="225">
        <v>-1.8189894035458565E-12</v>
      </c>
      <c r="L5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44" s="225">
        <f>ROUND(IF(AND(Base_Periodo1[[#This Row],[Tipo_Linha]]="-",Base_Periodo1[[#This Row],[TIPOSALDO]]="D"),Base_Periodo1[[#This Row],[SALDO_ATUAL]]*-1,Base_Periodo1[[#This Row],[SALDO_ATUAL]]),4)</f>
        <v>0</v>
      </c>
      <c r="N544" t="s">
        <v>116</v>
      </c>
      <c r="O544" t="s">
        <v>397</v>
      </c>
      <c r="P544" t="s">
        <v>436</v>
      </c>
      <c r="Q544">
        <v>7</v>
      </c>
      <c r="R544" s="225">
        <f>Base_Periodo1[[#This Row],[CREDITOS]]-Base_Periodo1[[#This Row],[DEBITOS]]</f>
        <v>14320.74</v>
      </c>
      <c r="S544" s="3" t="str">
        <f>IF(ISERROR(VLOOKUP(Base_Periodo1[[#This Row],[CONTA]],BaseContasDRE[#All],4,FALSE)),"Fora do DRE",VLOOKUP(Base_Periodo1[[#This Row],[CONTA]],BaseContasDRE[#All],4,FALSE))</f>
        <v>Fora do DRE</v>
      </c>
      <c r="T544" s="3" t="str">
        <f>IF(ISERROR(VLOOKUP(Base_Periodo1[[#This Row],[CONTA]],BaseContasDRE[#All],5,FALSE)),"Fora do DRE",VLOOKUP(Base_Periodo1[[#This Row],[CONTA]],BaseContasDRE[#All],6,FALSE))</f>
        <v>Fora do DRE</v>
      </c>
      <c r="U544" s="3" t="str">
        <f>IF(ISERROR(VLOOKUP(Base_Periodo1[[#This Row],[CONTA]],BaseContasDRE[#All],7,FALSE)),"Fora do DRE",VLOOKUP(Base_Periodo1[[#This Row],[CONTA]],BaseContasDRE[#All],7,FALSE))</f>
        <v>Fora do DRE</v>
      </c>
      <c r="V544" s="3" t="str">
        <f>IF(Base_Periodo1[[#This Row],[Tipo_Linha]]="Fora do DRE","Fora do DRE","( "&amp;Base_Periodo1[[#This Row],[Tipo_Linha]]&amp;" ) "&amp;Base_Periodo1[[#This Row],[Filtro]])</f>
        <v>Fora do DRE</v>
      </c>
      <c r="W544" s="3" t="str">
        <f>LEFT(Base_Periodo1[[#This Row],[CLASS]],3)</f>
        <v>1.1</v>
      </c>
    </row>
    <row r="545" spans="1:23" hidden="1">
      <c r="A545" s="3" t="str">
        <f t="shared" si="8"/>
        <v>Período 1</v>
      </c>
      <c r="B545">
        <v>2496</v>
      </c>
      <c r="C545" t="s">
        <v>503</v>
      </c>
      <c r="D545" t="s">
        <v>5008</v>
      </c>
      <c r="E545" s="3" t="str">
        <f>IF(LEN(Base_Periodo1[[#This Row],[CLASS]])&gt;=7,LEFT(Base_Periodo1[[#This Row],[CLASS]],7),"")</f>
        <v>1.1.2.1</v>
      </c>
      <c r="F545" s="3" t="str">
        <f>VLOOKUP(Base_Periodo1[[#This Row],[Aux]],Base_Contas_Balanco[#All],2,FALSE)</f>
        <v>Creditos com Cooperados</v>
      </c>
      <c r="G545" s="1">
        <v>42874</v>
      </c>
      <c r="H545" s="225">
        <v>13119.999999999913</v>
      </c>
      <c r="I545" s="225">
        <v>3429</v>
      </c>
      <c r="J545" s="225">
        <v>0</v>
      </c>
      <c r="K545" s="225">
        <v>16548.999999999913</v>
      </c>
      <c r="L5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16549</v>
      </c>
      <c r="M545" s="225">
        <f>ROUND(IF(AND(Base_Periodo1[[#This Row],[Tipo_Linha]]="-",Base_Periodo1[[#This Row],[TIPOSALDO]]="D"),Base_Periodo1[[#This Row],[SALDO_ATUAL]]*-1,Base_Periodo1[[#This Row],[SALDO_ATUAL]]),4)</f>
        <v>16549</v>
      </c>
      <c r="N545" t="s">
        <v>116</v>
      </c>
      <c r="O545" t="s">
        <v>397</v>
      </c>
      <c r="P545" t="s">
        <v>397</v>
      </c>
      <c r="Q545">
        <v>7</v>
      </c>
      <c r="R545" s="225">
        <f>Base_Periodo1[[#This Row],[CREDITOS]]-Base_Periodo1[[#This Row],[DEBITOS]]</f>
        <v>-3429</v>
      </c>
      <c r="S545" s="3" t="str">
        <f>IF(ISERROR(VLOOKUP(Base_Periodo1[[#This Row],[CONTA]],BaseContasDRE[#All],4,FALSE)),"Fora do DRE",VLOOKUP(Base_Periodo1[[#This Row],[CONTA]],BaseContasDRE[#All],4,FALSE))</f>
        <v>Fora do DRE</v>
      </c>
      <c r="T545" s="3" t="str">
        <f>IF(ISERROR(VLOOKUP(Base_Periodo1[[#This Row],[CONTA]],BaseContasDRE[#All],5,FALSE)),"Fora do DRE",VLOOKUP(Base_Periodo1[[#This Row],[CONTA]],BaseContasDRE[#All],6,FALSE))</f>
        <v>Fora do DRE</v>
      </c>
      <c r="U545" s="3" t="str">
        <f>IF(ISERROR(VLOOKUP(Base_Periodo1[[#This Row],[CONTA]],BaseContasDRE[#All],7,FALSE)),"Fora do DRE",VLOOKUP(Base_Periodo1[[#This Row],[CONTA]],BaseContasDRE[#All],7,FALSE))</f>
        <v>Fora do DRE</v>
      </c>
      <c r="V545" s="3" t="str">
        <f>IF(Base_Periodo1[[#This Row],[Tipo_Linha]]="Fora do DRE","Fora do DRE","( "&amp;Base_Periodo1[[#This Row],[Tipo_Linha]]&amp;" ) "&amp;Base_Periodo1[[#This Row],[Filtro]])</f>
        <v>Fora do DRE</v>
      </c>
      <c r="W545" s="3" t="str">
        <f>LEFT(Base_Periodo1[[#This Row],[CLASS]],3)</f>
        <v>1.1</v>
      </c>
    </row>
    <row r="546" spans="1:23" hidden="1">
      <c r="A546" s="3" t="str">
        <f t="shared" si="8"/>
        <v>Período 1</v>
      </c>
      <c r="B546">
        <v>17259</v>
      </c>
      <c r="C546" t="s">
        <v>503</v>
      </c>
      <c r="D546" t="s">
        <v>769</v>
      </c>
      <c r="E546" s="3" t="str">
        <f>IF(LEN(Base_Periodo1[[#This Row],[CLASS]])&gt;=7,LEFT(Base_Periodo1[[#This Row],[CLASS]],7),"")</f>
        <v>1.1.2.1</v>
      </c>
      <c r="F546" s="3" t="str">
        <f>VLOOKUP(Base_Periodo1[[#This Row],[Aux]],Base_Contas_Balanco[#All],2,FALSE)</f>
        <v>Creditos com Cooperados</v>
      </c>
      <c r="G546" s="1">
        <v>42601</v>
      </c>
      <c r="H546" s="225">
        <v>1576.1800000000076</v>
      </c>
      <c r="I546" s="225">
        <v>0</v>
      </c>
      <c r="J546" s="225">
        <v>0</v>
      </c>
      <c r="K546" s="225">
        <v>1576.1800000000076</v>
      </c>
      <c r="L5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1576.18</v>
      </c>
      <c r="M546" s="225">
        <f>ROUND(IF(AND(Base_Periodo1[[#This Row],[Tipo_Linha]]="-",Base_Periodo1[[#This Row],[TIPOSALDO]]="D"),Base_Periodo1[[#This Row],[SALDO_ATUAL]]*-1,Base_Periodo1[[#This Row],[SALDO_ATUAL]]),4)</f>
        <v>1576.18</v>
      </c>
      <c r="N546" t="s">
        <v>116</v>
      </c>
      <c r="O546" t="s">
        <v>397</v>
      </c>
      <c r="P546" t="s">
        <v>397</v>
      </c>
      <c r="Q546">
        <v>7</v>
      </c>
      <c r="R546" s="225">
        <f>Base_Periodo1[[#This Row],[CREDITOS]]-Base_Periodo1[[#This Row],[DEBITOS]]</f>
        <v>0</v>
      </c>
      <c r="S546" s="3" t="str">
        <f>IF(ISERROR(VLOOKUP(Base_Periodo1[[#This Row],[CONTA]],BaseContasDRE[#All],4,FALSE)),"Fora do DRE",VLOOKUP(Base_Periodo1[[#This Row],[CONTA]],BaseContasDRE[#All],4,FALSE))</f>
        <v>Fora do DRE</v>
      </c>
      <c r="T546" s="3" t="str">
        <f>IF(ISERROR(VLOOKUP(Base_Periodo1[[#This Row],[CONTA]],BaseContasDRE[#All],5,FALSE)),"Fora do DRE",VLOOKUP(Base_Periodo1[[#This Row],[CONTA]],BaseContasDRE[#All],6,FALSE))</f>
        <v>Fora do DRE</v>
      </c>
      <c r="U546" s="3" t="str">
        <f>IF(ISERROR(VLOOKUP(Base_Periodo1[[#This Row],[CONTA]],BaseContasDRE[#All],7,FALSE)),"Fora do DRE",VLOOKUP(Base_Periodo1[[#This Row],[CONTA]],BaseContasDRE[#All],7,FALSE))</f>
        <v>Fora do DRE</v>
      </c>
      <c r="V546" s="3" t="str">
        <f>IF(Base_Periodo1[[#This Row],[Tipo_Linha]]="Fora do DRE","Fora do DRE","( "&amp;Base_Periodo1[[#This Row],[Tipo_Linha]]&amp;" ) "&amp;Base_Periodo1[[#This Row],[Filtro]])</f>
        <v>Fora do DRE</v>
      </c>
      <c r="W546" s="3" t="str">
        <f>LEFT(Base_Periodo1[[#This Row],[CLASS]],3)</f>
        <v>1.1</v>
      </c>
    </row>
    <row r="547" spans="1:23" hidden="1">
      <c r="A547" s="3" t="str">
        <f t="shared" si="8"/>
        <v>Período 1</v>
      </c>
      <c r="B547">
        <v>54255</v>
      </c>
      <c r="C547" t="s">
        <v>503</v>
      </c>
      <c r="D547" t="s">
        <v>967</v>
      </c>
      <c r="E547" s="3" t="str">
        <f>IF(LEN(Base_Periodo1[[#This Row],[CLASS]])&gt;=7,LEFT(Base_Periodo1[[#This Row],[CLASS]],7),"")</f>
        <v>1.1.2.1</v>
      </c>
      <c r="F547" s="3" t="str">
        <f>VLOOKUP(Base_Periodo1[[#This Row],[Aux]],Base_Contas_Balanco[#All],2,FALSE)</f>
        <v>Creditos com Cooperados</v>
      </c>
      <c r="G547" s="1">
        <v>42880</v>
      </c>
      <c r="I547" s="225">
        <v>111.07</v>
      </c>
      <c r="J547" s="225">
        <v>111.07</v>
      </c>
      <c r="K547" s="225">
        <v>1.4551915228366852E-11</v>
      </c>
      <c r="L5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47" s="225">
        <f>ROUND(IF(AND(Base_Periodo1[[#This Row],[Tipo_Linha]]="-",Base_Periodo1[[#This Row],[TIPOSALDO]]="D"),Base_Periodo1[[#This Row],[SALDO_ATUAL]]*-1,Base_Periodo1[[#This Row],[SALDO_ATUAL]]),4)</f>
        <v>0</v>
      </c>
      <c r="N547" t="s">
        <v>116</v>
      </c>
      <c r="O547" t="s">
        <v>436</v>
      </c>
      <c r="P547" t="s">
        <v>436</v>
      </c>
      <c r="Q547">
        <v>7</v>
      </c>
      <c r="R547" s="225">
        <f>Base_Periodo1[[#This Row],[CREDITOS]]-Base_Periodo1[[#This Row],[DEBITOS]]</f>
        <v>0</v>
      </c>
      <c r="S547" s="3" t="str">
        <f>IF(ISERROR(VLOOKUP(Base_Periodo1[[#This Row],[CONTA]],BaseContasDRE[#All],4,FALSE)),"Fora do DRE",VLOOKUP(Base_Periodo1[[#This Row],[CONTA]],BaseContasDRE[#All],4,FALSE))</f>
        <v>Fora do DRE</v>
      </c>
      <c r="T547" s="3" t="str">
        <f>IF(ISERROR(VLOOKUP(Base_Periodo1[[#This Row],[CONTA]],BaseContasDRE[#All],5,FALSE)),"Fora do DRE",VLOOKUP(Base_Periodo1[[#This Row],[CONTA]],BaseContasDRE[#All],6,FALSE))</f>
        <v>Fora do DRE</v>
      </c>
      <c r="U547" s="3" t="str">
        <f>IF(ISERROR(VLOOKUP(Base_Periodo1[[#This Row],[CONTA]],BaseContasDRE[#All],7,FALSE)),"Fora do DRE",VLOOKUP(Base_Periodo1[[#This Row],[CONTA]],BaseContasDRE[#All],7,FALSE))</f>
        <v>Fora do DRE</v>
      </c>
      <c r="V547" s="3" t="str">
        <f>IF(Base_Periodo1[[#This Row],[Tipo_Linha]]="Fora do DRE","Fora do DRE","( "&amp;Base_Periodo1[[#This Row],[Tipo_Linha]]&amp;" ) "&amp;Base_Periodo1[[#This Row],[Filtro]])</f>
        <v>Fora do DRE</v>
      </c>
      <c r="W547" s="3" t="str">
        <f>LEFT(Base_Periodo1[[#This Row],[CLASS]],3)</f>
        <v>1.1</v>
      </c>
    </row>
    <row r="548" spans="1:23" hidden="1">
      <c r="A548" s="3" t="str">
        <f t="shared" si="8"/>
        <v>Período 1</v>
      </c>
      <c r="B548">
        <v>3648</v>
      </c>
      <c r="C548" t="s">
        <v>503</v>
      </c>
      <c r="D548" t="s">
        <v>5277</v>
      </c>
      <c r="E548" s="3" t="str">
        <f>IF(LEN(Base_Periodo1[[#This Row],[CLASS]])&gt;=7,LEFT(Base_Periodo1[[#This Row],[CLASS]],7),"")</f>
        <v>1.1.2.1</v>
      </c>
      <c r="F548" s="3" t="str">
        <f>VLOOKUP(Base_Periodo1[[#This Row],[Aux]],Base_Contas_Balanco[#All],2,FALSE)</f>
        <v>Creditos com Cooperados</v>
      </c>
      <c r="G548" s="1">
        <v>42832</v>
      </c>
      <c r="H548" s="225">
        <v>0.13999999999941792</v>
      </c>
      <c r="I548" s="225">
        <v>0</v>
      </c>
      <c r="J548" s="225">
        <v>0</v>
      </c>
      <c r="K548" s="225">
        <v>0.13999999999941792</v>
      </c>
      <c r="L5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-0.14000000000000001</v>
      </c>
      <c r="M548" s="225">
        <f>ROUND(IF(AND(Base_Periodo1[[#This Row],[Tipo_Linha]]="-",Base_Periodo1[[#This Row],[TIPOSALDO]]="D"),Base_Periodo1[[#This Row],[SALDO_ATUAL]]*-1,Base_Periodo1[[#This Row],[SALDO_ATUAL]]),4)</f>
        <v>0.14000000000000001</v>
      </c>
      <c r="N548" t="s">
        <v>116</v>
      </c>
      <c r="O548" t="s">
        <v>459</v>
      </c>
      <c r="P548" t="s">
        <v>459</v>
      </c>
      <c r="Q548">
        <v>7</v>
      </c>
      <c r="R548" s="225">
        <f>Base_Periodo1[[#This Row],[CREDITOS]]-Base_Periodo1[[#This Row],[DEBITOS]]</f>
        <v>0</v>
      </c>
      <c r="S548" s="3" t="str">
        <f>IF(ISERROR(VLOOKUP(Base_Periodo1[[#This Row],[CONTA]],BaseContasDRE[#All],4,FALSE)),"Fora do DRE",VLOOKUP(Base_Periodo1[[#This Row],[CONTA]],BaseContasDRE[#All],4,FALSE))</f>
        <v>Fora do DRE</v>
      </c>
      <c r="T548" s="3" t="str">
        <f>IF(ISERROR(VLOOKUP(Base_Periodo1[[#This Row],[CONTA]],BaseContasDRE[#All],5,FALSE)),"Fora do DRE",VLOOKUP(Base_Periodo1[[#This Row],[CONTA]],BaseContasDRE[#All],6,FALSE))</f>
        <v>Fora do DRE</v>
      </c>
      <c r="U548" s="3" t="str">
        <f>IF(ISERROR(VLOOKUP(Base_Periodo1[[#This Row],[CONTA]],BaseContasDRE[#All],7,FALSE)),"Fora do DRE",VLOOKUP(Base_Periodo1[[#This Row],[CONTA]],BaseContasDRE[#All],7,FALSE))</f>
        <v>Fora do DRE</v>
      </c>
      <c r="V548" s="3" t="str">
        <f>IF(Base_Periodo1[[#This Row],[Tipo_Linha]]="Fora do DRE","Fora do DRE","( "&amp;Base_Periodo1[[#This Row],[Tipo_Linha]]&amp;" ) "&amp;Base_Periodo1[[#This Row],[Filtro]])</f>
        <v>Fora do DRE</v>
      </c>
      <c r="W548" s="3" t="str">
        <f>LEFT(Base_Periodo1[[#This Row],[CLASS]],3)</f>
        <v>1.1</v>
      </c>
    </row>
    <row r="549" spans="1:23" hidden="1">
      <c r="A549" s="3" t="str">
        <f t="shared" si="8"/>
        <v>Período 1</v>
      </c>
      <c r="B549">
        <v>4200</v>
      </c>
      <c r="C549" t="s">
        <v>503</v>
      </c>
      <c r="D549" t="s">
        <v>770</v>
      </c>
      <c r="E549" s="3" t="str">
        <f>IF(LEN(Base_Periodo1[[#This Row],[CLASS]])&gt;=7,LEFT(Base_Periodo1[[#This Row],[CLASS]],7),"")</f>
        <v>1.1.2.1</v>
      </c>
      <c r="F549" s="3" t="str">
        <f>VLOOKUP(Base_Periodo1[[#This Row],[Aux]],Base_Contas_Balanco[#All],2,FALSE)</f>
        <v>Creditos com Cooperados</v>
      </c>
      <c r="G549" s="1">
        <v>42881</v>
      </c>
      <c r="H549" s="225">
        <v>8571.2499999996508</v>
      </c>
      <c r="I549" s="225">
        <v>314.45</v>
      </c>
      <c r="J549" s="225">
        <v>0</v>
      </c>
      <c r="K549" s="225">
        <v>8885.6999999996515</v>
      </c>
      <c r="L5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8885.7000000000007</v>
      </c>
      <c r="M549" s="225">
        <f>ROUND(IF(AND(Base_Periodo1[[#This Row],[Tipo_Linha]]="-",Base_Periodo1[[#This Row],[TIPOSALDO]]="D"),Base_Periodo1[[#This Row],[SALDO_ATUAL]]*-1,Base_Periodo1[[#This Row],[SALDO_ATUAL]]),4)</f>
        <v>8885.7000000000007</v>
      </c>
      <c r="N549" t="s">
        <v>116</v>
      </c>
      <c r="O549" t="s">
        <v>397</v>
      </c>
      <c r="P549" t="s">
        <v>397</v>
      </c>
      <c r="Q549">
        <v>7</v>
      </c>
      <c r="R549" s="225">
        <f>Base_Periodo1[[#This Row],[CREDITOS]]-Base_Periodo1[[#This Row],[DEBITOS]]</f>
        <v>-314.45</v>
      </c>
      <c r="S549" s="3" t="str">
        <f>IF(ISERROR(VLOOKUP(Base_Periodo1[[#This Row],[CONTA]],BaseContasDRE[#All],4,FALSE)),"Fora do DRE",VLOOKUP(Base_Periodo1[[#This Row],[CONTA]],BaseContasDRE[#All],4,FALSE))</f>
        <v>Fora do DRE</v>
      </c>
      <c r="T549" s="3" t="str">
        <f>IF(ISERROR(VLOOKUP(Base_Periodo1[[#This Row],[CONTA]],BaseContasDRE[#All],5,FALSE)),"Fora do DRE",VLOOKUP(Base_Periodo1[[#This Row],[CONTA]],BaseContasDRE[#All],6,FALSE))</f>
        <v>Fora do DRE</v>
      </c>
      <c r="U549" s="3" t="str">
        <f>IF(ISERROR(VLOOKUP(Base_Periodo1[[#This Row],[CONTA]],BaseContasDRE[#All],7,FALSE)),"Fora do DRE",VLOOKUP(Base_Periodo1[[#This Row],[CONTA]],BaseContasDRE[#All],7,FALSE))</f>
        <v>Fora do DRE</v>
      </c>
      <c r="V549" s="3" t="str">
        <f>IF(Base_Periodo1[[#This Row],[Tipo_Linha]]="Fora do DRE","Fora do DRE","( "&amp;Base_Periodo1[[#This Row],[Tipo_Linha]]&amp;" ) "&amp;Base_Periodo1[[#This Row],[Filtro]])</f>
        <v>Fora do DRE</v>
      </c>
      <c r="W549" s="3" t="str">
        <f>LEFT(Base_Periodo1[[#This Row],[CLASS]],3)</f>
        <v>1.1</v>
      </c>
    </row>
    <row r="550" spans="1:23" hidden="1">
      <c r="A550" s="3" t="str">
        <f t="shared" si="8"/>
        <v>Período 1</v>
      </c>
      <c r="B550">
        <v>3896</v>
      </c>
      <c r="C550" t="s">
        <v>503</v>
      </c>
      <c r="D550" t="s">
        <v>4819</v>
      </c>
      <c r="E550" s="3" t="str">
        <f>IF(LEN(Base_Periodo1[[#This Row],[CLASS]])&gt;=7,LEFT(Base_Periodo1[[#This Row],[CLASS]],7),"")</f>
        <v>1.1.2.1</v>
      </c>
      <c r="F550" s="3" t="str">
        <f>VLOOKUP(Base_Periodo1[[#This Row],[Aux]],Base_Contas_Balanco[#All],2,FALSE)</f>
        <v>Creditos com Cooperados</v>
      </c>
      <c r="G550" s="1">
        <v>42879</v>
      </c>
      <c r="I550" s="225">
        <v>31502</v>
      </c>
      <c r="J550" s="225">
        <v>31502.000000000004</v>
      </c>
      <c r="K550" s="225">
        <v>-2.3646862246096134E-10</v>
      </c>
      <c r="L5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50" s="225">
        <f>ROUND(IF(AND(Base_Periodo1[[#This Row],[Tipo_Linha]]="-",Base_Periodo1[[#This Row],[TIPOSALDO]]="D"),Base_Periodo1[[#This Row],[SALDO_ATUAL]]*-1,Base_Periodo1[[#This Row],[SALDO_ATUAL]]),4)</f>
        <v>0</v>
      </c>
      <c r="N550" t="s">
        <v>116</v>
      </c>
      <c r="O550" t="s">
        <v>436</v>
      </c>
      <c r="P550" t="s">
        <v>436</v>
      </c>
      <c r="Q550">
        <v>7</v>
      </c>
      <c r="R550" s="225">
        <f>Base_Periodo1[[#This Row],[CREDITOS]]-Base_Periodo1[[#This Row],[DEBITOS]]</f>
        <v>0</v>
      </c>
      <c r="S550" s="3" t="str">
        <f>IF(ISERROR(VLOOKUP(Base_Periodo1[[#This Row],[CONTA]],BaseContasDRE[#All],4,FALSE)),"Fora do DRE",VLOOKUP(Base_Periodo1[[#This Row],[CONTA]],BaseContasDRE[#All],4,FALSE))</f>
        <v>Fora do DRE</v>
      </c>
      <c r="T550" s="3" t="str">
        <f>IF(ISERROR(VLOOKUP(Base_Periodo1[[#This Row],[CONTA]],BaseContasDRE[#All],5,FALSE)),"Fora do DRE",VLOOKUP(Base_Periodo1[[#This Row],[CONTA]],BaseContasDRE[#All],6,FALSE))</f>
        <v>Fora do DRE</v>
      </c>
      <c r="U550" s="3" t="str">
        <f>IF(ISERROR(VLOOKUP(Base_Periodo1[[#This Row],[CONTA]],BaseContasDRE[#All],7,FALSE)),"Fora do DRE",VLOOKUP(Base_Periodo1[[#This Row],[CONTA]],BaseContasDRE[#All],7,FALSE))</f>
        <v>Fora do DRE</v>
      </c>
      <c r="V550" s="3" t="str">
        <f>IF(Base_Periodo1[[#This Row],[Tipo_Linha]]="Fora do DRE","Fora do DRE","( "&amp;Base_Periodo1[[#This Row],[Tipo_Linha]]&amp;" ) "&amp;Base_Periodo1[[#This Row],[Filtro]])</f>
        <v>Fora do DRE</v>
      </c>
      <c r="W550" s="3" t="str">
        <f>LEFT(Base_Periodo1[[#This Row],[CLASS]],3)</f>
        <v>1.1</v>
      </c>
    </row>
    <row r="551" spans="1:23" hidden="1">
      <c r="A551" s="3" t="str">
        <f t="shared" si="8"/>
        <v>Período 1</v>
      </c>
      <c r="B551">
        <v>2608</v>
      </c>
      <c r="C551" t="s">
        <v>503</v>
      </c>
      <c r="D551" t="s">
        <v>771</v>
      </c>
      <c r="E551" s="3" t="str">
        <f>IF(LEN(Base_Periodo1[[#This Row],[CLASS]])&gt;=7,LEFT(Base_Periodo1[[#This Row],[CLASS]],7),"")</f>
        <v>1.1.2.1</v>
      </c>
      <c r="F551" s="3" t="str">
        <f>VLOOKUP(Base_Periodo1[[#This Row],[Aux]],Base_Contas_Balanco[#All],2,FALSE)</f>
        <v>Creditos com Cooperados</v>
      </c>
      <c r="G551" s="1">
        <v>42871</v>
      </c>
      <c r="H551" s="225">
        <v>5281.0000000001164</v>
      </c>
      <c r="I551" s="225">
        <v>1354</v>
      </c>
      <c r="J551" s="225">
        <v>249</v>
      </c>
      <c r="K551" s="225">
        <v>6386.0000000001164</v>
      </c>
      <c r="L5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6386</v>
      </c>
      <c r="M551" s="225">
        <f>ROUND(IF(AND(Base_Periodo1[[#This Row],[Tipo_Linha]]="-",Base_Periodo1[[#This Row],[TIPOSALDO]]="D"),Base_Periodo1[[#This Row],[SALDO_ATUAL]]*-1,Base_Periodo1[[#This Row],[SALDO_ATUAL]]),4)</f>
        <v>6386</v>
      </c>
      <c r="N551" t="s">
        <v>116</v>
      </c>
      <c r="O551" t="s">
        <v>397</v>
      </c>
      <c r="P551" t="s">
        <v>397</v>
      </c>
      <c r="Q551">
        <v>7</v>
      </c>
      <c r="R551" s="225">
        <f>Base_Periodo1[[#This Row],[CREDITOS]]-Base_Periodo1[[#This Row],[DEBITOS]]</f>
        <v>-1105</v>
      </c>
      <c r="S551" s="3" t="str">
        <f>IF(ISERROR(VLOOKUP(Base_Periodo1[[#This Row],[CONTA]],BaseContasDRE[#All],4,FALSE)),"Fora do DRE",VLOOKUP(Base_Periodo1[[#This Row],[CONTA]],BaseContasDRE[#All],4,FALSE))</f>
        <v>Fora do DRE</v>
      </c>
      <c r="T551" s="3" t="str">
        <f>IF(ISERROR(VLOOKUP(Base_Periodo1[[#This Row],[CONTA]],BaseContasDRE[#All],5,FALSE)),"Fora do DRE",VLOOKUP(Base_Periodo1[[#This Row],[CONTA]],BaseContasDRE[#All],6,FALSE))</f>
        <v>Fora do DRE</v>
      </c>
      <c r="U551" s="3" t="str">
        <f>IF(ISERROR(VLOOKUP(Base_Periodo1[[#This Row],[CONTA]],BaseContasDRE[#All],7,FALSE)),"Fora do DRE",VLOOKUP(Base_Periodo1[[#This Row],[CONTA]],BaseContasDRE[#All],7,FALSE))</f>
        <v>Fora do DRE</v>
      </c>
      <c r="V551" s="3" t="str">
        <f>IF(Base_Periodo1[[#This Row],[Tipo_Linha]]="Fora do DRE","Fora do DRE","( "&amp;Base_Periodo1[[#This Row],[Tipo_Linha]]&amp;" ) "&amp;Base_Periodo1[[#This Row],[Filtro]])</f>
        <v>Fora do DRE</v>
      </c>
      <c r="W551" s="3" t="str">
        <f>LEFT(Base_Periodo1[[#This Row],[CLASS]],3)</f>
        <v>1.1</v>
      </c>
    </row>
    <row r="552" spans="1:23" hidden="1">
      <c r="A552" s="3" t="str">
        <f t="shared" si="8"/>
        <v>Período 1</v>
      </c>
      <c r="B552">
        <v>2920</v>
      </c>
      <c r="C552" t="s">
        <v>503</v>
      </c>
      <c r="D552" t="s">
        <v>772</v>
      </c>
      <c r="E552" s="3" t="str">
        <f>IF(LEN(Base_Periodo1[[#This Row],[CLASS]])&gt;=7,LEFT(Base_Periodo1[[#This Row],[CLASS]],7),"")</f>
        <v>1.1.2.1</v>
      </c>
      <c r="F552" s="3" t="str">
        <f>VLOOKUP(Base_Periodo1[[#This Row],[Aux]],Base_Contas_Balanco[#All],2,FALSE)</f>
        <v>Creditos com Cooperados</v>
      </c>
      <c r="G552" s="1">
        <v>42867</v>
      </c>
      <c r="H552" s="225">
        <v>19048.519999999844</v>
      </c>
      <c r="I552" s="225">
        <v>13583.73</v>
      </c>
      <c r="J552" s="225">
        <v>19661.73</v>
      </c>
      <c r="K552" s="225">
        <v>12970.519999999844</v>
      </c>
      <c r="L5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12970.52</v>
      </c>
      <c r="M552" s="225">
        <f>ROUND(IF(AND(Base_Periodo1[[#This Row],[Tipo_Linha]]="-",Base_Periodo1[[#This Row],[TIPOSALDO]]="D"),Base_Periodo1[[#This Row],[SALDO_ATUAL]]*-1,Base_Periodo1[[#This Row],[SALDO_ATUAL]]),4)</f>
        <v>12970.52</v>
      </c>
      <c r="N552" t="s">
        <v>116</v>
      </c>
      <c r="O552" t="s">
        <v>397</v>
      </c>
      <c r="P552" t="s">
        <v>397</v>
      </c>
      <c r="Q552">
        <v>7</v>
      </c>
      <c r="R552" s="225">
        <f>Base_Periodo1[[#This Row],[CREDITOS]]-Base_Periodo1[[#This Row],[DEBITOS]]</f>
        <v>6078</v>
      </c>
      <c r="S552" s="3" t="str">
        <f>IF(ISERROR(VLOOKUP(Base_Periodo1[[#This Row],[CONTA]],BaseContasDRE[#All],4,FALSE)),"Fora do DRE",VLOOKUP(Base_Periodo1[[#This Row],[CONTA]],BaseContasDRE[#All],4,FALSE))</f>
        <v>Fora do DRE</v>
      </c>
      <c r="T552" s="3" t="str">
        <f>IF(ISERROR(VLOOKUP(Base_Periodo1[[#This Row],[CONTA]],BaseContasDRE[#All],5,FALSE)),"Fora do DRE",VLOOKUP(Base_Periodo1[[#This Row],[CONTA]],BaseContasDRE[#All],6,FALSE))</f>
        <v>Fora do DRE</v>
      </c>
      <c r="U552" s="3" t="str">
        <f>IF(ISERROR(VLOOKUP(Base_Periodo1[[#This Row],[CONTA]],BaseContasDRE[#All],7,FALSE)),"Fora do DRE",VLOOKUP(Base_Periodo1[[#This Row],[CONTA]],BaseContasDRE[#All],7,FALSE))</f>
        <v>Fora do DRE</v>
      </c>
      <c r="V552" s="3" t="str">
        <f>IF(Base_Periodo1[[#This Row],[Tipo_Linha]]="Fora do DRE","Fora do DRE","( "&amp;Base_Periodo1[[#This Row],[Tipo_Linha]]&amp;" ) "&amp;Base_Periodo1[[#This Row],[Filtro]])</f>
        <v>Fora do DRE</v>
      </c>
      <c r="W552" s="3" t="str">
        <f>LEFT(Base_Periodo1[[#This Row],[CLASS]],3)</f>
        <v>1.1</v>
      </c>
    </row>
    <row r="553" spans="1:23" hidden="1">
      <c r="A553" s="3" t="str">
        <f t="shared" si="8"/>
        <v>Período 1</v>
      </c>
      <c r="B553">
        <v>6913</v>
      </c>
      <c r="C553" t="s">
        <v>503</v>
      </c>
      <c r="D553" t="s">
        <v>773</v>
      </c>
      <c r="E553" s="3" t="str">
        <f>IF(LEN(Base_Periodo1[[#This Row],[CLASS]])&gt;=7,LEFT(Base_Periodo1[[#This Row],[CLASS]],7),"")</f>
        <v>1.1.2.1</v>
      </c>
      <c r="F553" s="3" t="str">
        <f>VLOOKUP(Base_Periodo1[[#This Row],[Aux]],Base_Contas_Balanco[#All],2,FALSE)</f>
        <v>Creditos com Cooperados</v>
      </c>
      <c r="G553" s="1">
        <v>42875</v>
      </c>
      <c r="H553" s="225">
        <v>38305.299999999348</v>
      </c>
      <c r="I553" s="225">
        <v>21218</v>
      </c>
      <c r="J553" s="225">
        <v>0</v>
      </c>
      <c r="K553" s="225">
        <v>59523.299999999348</v>
      </c>
      <c r="L5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59523.3</v>
      </c>
      <c r="M553" s="225">
        <f>ROUND(IF(AND(Base_Periodo1[[#This Row],[Tipo_Linha]]="-",Base_Periodo1[[#This Row],[TIPOSALDO]]="D"),Base_Periodo1[[#This Row],[SALDO_ATUAL]]*-1,Base_Periodo1[[#This Row],[SALDO_ATUAL]]),4)</f>
        <v>59523.3</v>
      </c>
      <c r="N553" t="s">
        <v>116</v>
      </c>
      <c r="O553" t="s">
        <v>397</v>
      </c>
      <c r="P553" t="s">
        <v>397</v>
      </c>
      <c r="Q553">
        <v>7</v>
      </c>
      <c r="R553" s="225">
        <f>Base_Periodo1[[#This Row],[CREDITOS]]-Base_Periodo1[[#This Row],[DEBITOS]]</f>
        <v>-21218</v>
      </c>
      <c r="S553" s="3" t="str">
        <f>IF(ISERROR(VLOOKUP(Base_Periodo1[[#This Row],[CONTA]],BaseContasDRE[#All],4,FALSE)),"Fora do DRE",VLOOKUP(Base_Periodo1[[#This Row],[CONTA]],BaseContasDRE[#All],4,FALSE))</f>
        <v>Fora do DRE</v>
      </c>
      <c r="T553" s="3" t="str">
        <f>IF(ISERROR(VLOOKUP(Base_Periodo1[[#This Row],[CONTA]],BaseContasDRE[#All],5,FALSE)),"Fora do DRE",VLOOKUP(Base_Periodo1[[#This Row],[CONTA]],BaseContasDRE[#All],6,FALSE))</f>
        <v>Fora do DRE</v>
      </c>
      <c r="U553" s="3" t="str">
        <f>IF(ISERROR(VLOOKUP(Base_Periodo1[[#This Row],[CONTA]],BaseContasDRE[#All],7,FALSE)),"Fora do DRE",VLOOKUP(Base_Periodo1[[#This Row],[CONTA]],BaseContasDRE[#All],7,FALSE))</f>
        <v>Fora do DRE</v>
      </c>
      <c r="V553" s="3" t="str">
        <f>IF(Base_Periodo1[[#This Row],[Tipo_Linha]]="Fora do DRE","Fora do DRE","( "&amp;Base_Periodo1[[#This Row],[Tipo_Linha]]&amp;" ) "&amp;Base_Periodo1[[#This Row],[Filtro]])</f>
        <v>Fora do DRE</v>
      </c>
      <c r="W553" s="3" t="str">
        <f>LEFT(Base_Periodo1[[#This Row],[CLASS]],3)</f>
        <v>1.1</v>
      </c>
    </row>
    <row r="554" spans="1:23" hidden="1">
      <c r="A554" s="3" t="str">
        <f t="shared" si="8"/>
        <v>Período 1</v>
      </c>
      <c r="B554">
        <v>2460</v>
      </c>
      <c r="C554" t="s">
        <v>503</v>
      </c>
      <c r="D554" t="s">
        <v>774</v>
      </c>
      <c r="E554" s="3" t="str">
        <f>IF(LEN(Base_Periodo1[[#This Row],[CLASS]])&gt;=7,LEFT(Base_Periodo1[[#This Row],[CLASS]],7),"")</f>
        <v>1.1.2.1</v>
      </c>
      <c r="F554" s="3" t="str">
        <f>VLOOKUP(Base_Periodo1[[#This Row],[Aux]],Base_Contas_Balanco[#All],2,FALSE)</f>
        <v>Creditos com Cooperados</v>
      </c>
      <c r="G554" s="1">
        <v>42880</v>
      </c>
      <c r="I554" s="225">
        <v>159664.80000000002</v>
      </c>
      <c r="J554" s="225">
        <v>110524.61</v>
      </c>
      <c r="K554" s="225">
        <v>49140.190000000483</v>
      </c>
      <c r="L5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49140.19</v>
      </c>
      <c r="M554" s="225">
        <f>ROUND(IF(AND(Base_Periodo1[[#This Row],[Tipo_Linha]]="-",Base_Periodo1[[#This Row],[TIPOSALDO]]="D"),Base_Periodo1[[#This Row],[SALDO_ATUAL]]*-1,Base_Periodo1[[#This Row],[SALDO_ATUAL]]),4)</f>
        <v>49140.19</v>
      </c>
      <c r="N554" t="s">
        <v>116</v>
      </c>
      <c r="O554" t="s">
        <v>436</v>
      </c>
      <c r="P554" t="s">
        <v>397</v>
      </c>
      <c r="Q554">
        <v>7</v>
      </c>
      <c r="R554" s="225">
        <f>Base_Periodo1[[#This Row],[CREDITOS]]-Base_Periodo1[[#This Row],[DEBITOS]]</f>
        <v>-49140.190000000017</v>
      </c>
      <c r="S554" s="3" t="str">
        <f>IF(ISERROR(VLOOKUP(Base_Periodo1[[#This Row],[CONTA]],BaseContasDRE[#All],4,FALSE)),"Fora do DRE",VLOOKUP(Base_Periodo1[[#This Row],[CONTA]],BaseContasDRE[#All],4,FALSE))</f>
        <v>Fora do DRE</v>
      </c>
      <c r="T554" s="3" t="str">
        <f>IF(ISERROR(VLOOKUP(Base_Periodo1[[#This Row],[CONTA]],BaseContasDRE[#All],5,FALSE)),"Fora do DRE",VLOOKUP(Base_Periodo1[[#This Row],[CONTA]],BaseContasDRE[#All],6,FALSE))</f>
        <v>Fora do DRE</v>
      </c>
      <c r="U554" s="3" t="str">
        <f>IF(ISERROR(VLOOKUP(Base_Periodo1[[#This Row],[CONTA]],BaseContasDRE[#All],7,FALSE)),"Fora do DRE",VLOOKUP(Base_Periodo1[[#This Row],[CONTA]],BaseContasDRE[#All],7,FALSE))</f>
        <v>Fora do DRE</v>
      </c>
      <c r="V554" s="3" t="str">
        <f>IF(Base_Periodo1[[#This Row],[Tipo_Linha]]="Fora do DRE","Fora do DRE","( "&amp;Base_Periodo1[[#This Row],[Tipo_Linha]]&amp;" ) "&amp;Base_Periodo1[[#This Row],[Filtro]])</f>
        <v>Fora do DRE</v>
      </c>
      <c r="W554" s="3" t="str">
        <f>LEFT(Base_Periodo1[[#This Row],[CLASS]],3)</f>
        <v>1.1</v>
      </c>
    </row>
    <row r="555" spans="1:23" hidden="1">
      <c r="A555" s="3" t="str">
        <f t="shared" si="8"/>
        <v>Período 1</v>
      </c>
      <c r="B555">
        <v>49674</v>
      </c>
      <c r="C555" t="s">
        <v>503</v>
      </c>
      <c r="D555" t="s">
        <v>4937</v>
      </c>
      <c r="E555" s="3" t="str">
        <f>IF(LEN(Base_Periodo1[[#This Row],[CLASS]])&gt;=7,LEFT(Base_Periodo1[[#This Row],[CLASS]],7),"")</f>
        <v>1.1.2.1</v>
      </c>
      <c r="F555" s="3" t="str">
        <f>VLOOKUP(Base_Periodo1[[#This Row],[Aux]],Base_Contas_Balanco[#All],2,FALSE)</f>
        <v>Creditos com Cooperados</v>
      </c>
      <c r="G555" s="1">
        <v>42886</v>
      </c>
      <c r="H555" s="225">
        <v>53184.189999999988</v>
      </c>
      <c r="I555" s="225">
        <v>3887.5</v>
      </c>
      <c r="J555" s="225">
        <v>57.1</v>
      </c>
      <c r="K555" s="225">
        <v>57014.589999999989</v>
      </c>
      <c r="L5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57014.59</v>
      </c>
      <c r="M555" s="225">
        <f>ROUND(IF(AND(Base_Periodo1[[#This Row],[Tipo_Linha]]="-",Base_Periodo1[[#This Row],[TIPOSALDO]]="D"),Base_Periodo1[[#This Row],[SALDO_ATUAL]]*-1,Base_Periodo1[[#This Row],[SALDO_ATUAL]]),4)</f>
        <v>57014.59</v>
      </c>
      <c r="N555" t="s">
        <v>116</v>
      </c>
      <c r="O555" t="s">
        <v>397</v>
      </c>
      <c r="P555" t="s">
        <v>397</v>
      </c>
      <c r="Q555">
        <v>7</v>
      </c>
      <c r="R555" s="225">
        <f>Base_Periodo1[[#This Row],[CREDITOS]]-Base_Periodo1[[#This Row],[DEBITOS]]</f>
        <v>-3830.4</v>
      </c>
      <c r="S555" s="3" t="str">
        <f>IF(ISERROR(VLOOKUP(Base_Periodo1[[#This Row],[CONTA]],BaseContasDRE[#All],4,FALSE)),"Fora do DRE",VLOOKUP(Base_Periodo1[[#This Row],[CONTA]],BaseContasDRE[#All],4,FALSE))</f>
        <v>Fora do DRE</v>
      </c>
      <c r="T555" s="3" t="str">
        <f>IF(ISERROR(VLOOKUP(Base_Periodo1[[#This Row],[CONTA]],BaseContasDRE[#All],5,FALSE)),"Fora do DRE",VLOOKUP(Base_Periodo1[[#This Row],[CONTA]],BaseContasDRE[#All],6,FALSE))</f>
        <v>Fora do DRE</v>
      </c>
      <c r="U555" s="3" t="str">
        <f>IF(ISERROR(VLOOKUP(Base_Periodo1[[#This Row],[CONTA]],BaseContasDRE[#All],7,FALSE)),"Fora do DRE",VLOOKUP(Base_Periodo1[[#This Row],[CONTA]],BaseContasDRE[#All],7,FALSE))</f>
        <v>Fora do DRE</v>
      </c>
      <c r="V555" s="3" t="str">
        <f>IF(Base_Periodo1[[#This Row],[Tipo_Linha]]="Fora do DRE","Fora do DRE","( "&amp;Base_Periodo1[[#This Row],[Tipo_Linha]]&amp;" ) "&amp;Base_Periodo1[[#This Row],[Filtro]])</f>
        <v>Fora do DRE</v>
      </c>
      <c r="W555" s="3" t="str">
        <f>LEFT(Base_Periodo1[[#This Row],[CLASS]],3)</f>
        <v>1.1</v>
      </c>
    </row>
    <row r="556" spans="1:23" hidden="1">
      <c r="A556" s="3" t="str">
        <f t="shared" si="8"/>
        <v>Período 1</v>
      </c>
      <c r="B556">
        <v>17809</v>
      </c>
      <c r="C556" t="s">
        <v>503</v>
      </c>
      <c r="D556" t="s">
        <v>5009</v>
      </c>
      <c r="E556" s="3" t="str">
        <f>IF(LEN(Base_Periodo1[[#This Row],[CLASS]])&gt;=7,LEFT(Base_Periodo1[[#This Row],[CLASS]],7),"")</f>
        <v>1.1.2.1</v>
      </c>
      <c r="F556" s="3" t="str">
        <f>VLOOKUP(Base_Periodo1[[#This Row],[Aux]],Base_Contas_Balanco[#All],2,FALSE)</f>
        <v>Creditos com Cooperados</v>
      </c>
      <c r="G556" s="1">
        <v>42884</v>
      </c>
      <c r="H556" s="225">
        <v>337.49999999999272</v>
      </c>
      <c r="I556" s="225">
        <v>0</v>
      </c>
      <c r="J556" s="225">
        <v>337.5</v>
      </c>
      <c r="K556" s="225">
        <v>-7.2759576141834259E-12</v>
      </c>
      <c r="L5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56" s="225">
        <f>ROUND(IF(AND(Base_Periodo1[[#This Row],[Tipo_Linha]]="-",Base_Periodo1[[#This Row],[TIPOSALDO]]="D"),Base_Periodo1[[#This Row],[SALDO_ATUAL]]*-1,Base_Periodo1[[#This Row],[SALDO_ATUAL]]),4)</f>
        <v>0</v>
      </c>
      <c r="N556" t="s">
        <v>116</v>
      </c>
      <c r="O556" t="s">
        <v>397</v>
      </c>
      <c r="P556" t="s">
        <v>436</v>
      </c>
      <c r="Q556">
        <v>7</v>
      </c>
      <c r="R556" s="225">
        <f>Base_Periodo1[[#This Row],[CREDITOS]]-Base_Periodo1[[#This Row],[DEBITOS]]</f>
        <v>337.5</v>
      </c>
      <c r="S556" s="3" t="str">
        <f>IF(ISERROR(VLOOKUP(Base_Periodo1[[#This Row],[CONTA]],BaseContasDRE[#All],4,FALSE)),"Fora do DRE",VLOOKUP(Base_Periodo1[[#This Row],[CONTA]],BaseContasDRE[#All],4,FALSE))</f>
        <v>Fora do DRE</v>
      </c>
      <c r="T556" s="3" t="str">
        <f>IF(ISERROR(VLOOKUP(Base_Periodo1[[#This Row],[CONTA]],BaseContasDRE[#All],5,FALSE)),"Fora do DRE",VLOOKUP(Base_Periodo1[[#This Row],[CONTA]],BaseContasDRE[#All],6,FALSE))</f>
        <v>Fora do DRE</v>
      </c>
      <c r="U556" s="3" t="str">
        <f>IF(ISERROR(VLOOKUP(Base_Periodo1[[#This Row],[CONTA]],BaseContasDRE[#All],7,FALSE)),"Fora do DRE",VLOOKUP(Base_Periodo1[[#This Row],[CONTA]],BaseContasDRE[#All],7,FALSE))</f>
        <v>Fora do DRE</v>
      </c>
      <c r="V556" s="3" t="str">
        <f>IF(Base_Periodo1[[#This Row],[Tipo_Linha]]="Fora do DRE","Fora do DRE","( "&amp;Base_Periodo1[[#This Row],[Tipo_Linha]]&amp;" ) "&amp;Base_Periodo1[[#This Row],[Filtro]])</f>
        <v>Fora do DRE</v>
      </c>
      <c r="W556" s="3" t="str">
        <f>LEFT(Base_Periodo1[[#This Row],[CLASS]],3)</f>
        <v>1.1</v>
      </c>
    </row>
    <row r="557" spans="1:23" hidden="1">
      <c r="A557" s="3" t="str">
        <f t="shared" si="8"/>
        <v>Período 1</v>
      </c>
      <c r="B557">
        <v>2312</v>
      </c>
      <c r="C557" t="s">
        <v>503</v>
      </c>
      <c r="D557" t="s">
        <v>775</v>
      </c>
      <c r="E557" s="3" t="str">
        <f>IF(LEN(Base_Periodo1[[#This Row],[CLASS]])&gt;=7,LEFT(Base_Periodo1[[#This Row],[CLASS]],7),"")</f>
        <v>1.1.2.1</v>
      </c>
      <c r="F557" s="3" t="str">
        <f>VLOOKUP(Base_Periodo1[[#This Row],[Aux]],Base_Contas_Balanco[#All],2,FALSE)</f>
        <v>Creditos com Cooperados</v>
      </c>
      <c r="G557" s="1">
        <v>42863</v>
      </c>
      <c r="H557" s="225">
        <v>3373.0000000000582</v>
      </c>
      <c r="I557" s="225">
        <v>1117.8</v>
      </c>
      <c r="J557" s="225">
        <v>3373</v>
      </c>
      <c r="K557" s="225">
        <v>1117.8000000000584</v>
      </c>
      <c r="L5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1117.8</v>
      </c>
      <c r="M557" s="225">
        <f>ROUND(IF(AND(Base_Periodo1[[#This Row],[Tipo_Linha]]="-",Base_Periodo1[[#This Row],[TIPOSALDO]]="D"),Base_Periodo1[[#This Row],[SALDO_ATUAL]]*-1,Base_Periodo1[[#This Row],[SALDO_ATUAL]]),4)</f>
        <v>1117.8</v>
      </c>
      <c r="N557" t="s">
        <v>116</v>
      </c>
      <c r="O557" t="s">
        <v>397</v>
      </c>
      <c r="P557" t="s">
        <v>397</v>
      </c>
      <c r="Q557">
        <v>7</v>
      </c>
      <c r="R557" s="225">
        <f>Base_Periodo1[[#This Row],[CREDITOS]]-Base_Periodo1[[#This Row],[DEBITOS]]</f>
        <v>2255.1999999999998</v>
      </c>
      <c r="S557" s="3" t="str">
        <f>IF(ISERROR(VLOOKUP(Base_Periodo1[[#This Row],[CONTA]],BaseContasDRE[#All],4,FALSE)),"Fora do DRE",VLOOKUP(Base_Periodo1[[#This Row],[CONTA]],BaseContasDRE[#All],4,FALSE))</f>
        <v>Fora do DRE</v>
      </c>
      <c r="T557" s="3" t="str">
        <f>IF(ISERROR(VLOOKUP(Base_Periodo1[[#This Row],[CONTA]],BaseContasDRE[#All],5,FALSE)),"Fora do DRE",VLOOKUP(Base_Periodo1[[#This Row],[CONTA]],BaseContasDRE[#All],6,FALSE))</f>
        <v>Fora do DRE</v>
      </c>
      <c r="U557" s="3" t="str">
        <f>IF(ISERROR(VLOOKUP(Base_Periodo1[[#This Row],[CONTA]],BaseContasDRE[#All],7,FALSE)),"Fora do DRE",VLOOKUP(Base_Periodo1[[#This Row],[CONTA]],BaseContasDRE[#All],7,FALSE))</f>
        <v>Fora do DRE</v>
      </c>
      <c r="V557" s="3" t="str">
        <f>IF(Base_Periodo1[[#This Row],[Tipo_Linha]]="Fora do DRE","Fora do DRE","( "&amp;Base_Periodo1[[#This Row],[Tipo_Linha]]&amp;" ) "&amp;Base_Periodo1[[#This Row],[Filtro]])</f>
        <v>Fora do DRE</v>
      </c>
      <c r="W557" s="3" t="str">
        <f>LEFT(Base_Periodo1[[#This Row],[CLASS]],3)</f>
        <v>1.1</v>
      </c>
    </row>
    <row r="558" spans="1:23" hidden="1">
      <c r="A558" s="3" t="str">
        <f t="shared" si="8"/>
        <v>Período 1</v>
      </c>
      <c r="B558">
        <v>48421</v>
      </c>
      <c r="C558" t="s">
        <v>503</v>
      </c>
      <c r="D558" t="s">
        <v>776</v>
      </c>
      <c r="E558" s="3" t="str">
        <f>IF(LEN(Base_Periodo1[[#This Row],[CLASS]])&gt;=7,LEFT(Base_Periodo1[[#This Row],[CLASS]],7),"")</f>
        <v>1.1.2.1</v>
      </c>
      <c r="F558" s="3" t="str">
        <f>VLOOKUP(Base_Periodo1[[#This Row],[Aux]],Base_Contas_Balanco[#All],2,FALSE)</f>
        <v>Creditos com Cooperados</v>
      </c>
      <c r="G558" s="1">
        <v>42877</v>
      </c>
      <c r="H558" s="225">
        <v>23196.849999999991</v>
      </c>
      <c r="I558" s="225">
        <v>90.99</v>
      </c>
      <c r="J558" s="225">
        <v>7000</v>
      </c>
      <c r="K558" s="225">
        <v>16287.839999999993</v>
      </c>
      <c r="L5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16287.84</v>
      </c>
      <c r="M558" s="225">
        <f>ROUND(IF(AND(Base_Periodo1[[#This Row],[Tipo_Linha]]="-",Base_Periodo1[[#This Row],[TIPOSALDO]]="D"),Base_Periodo1[[#This Row],[SALDO_ATUAL]]*-1,Base_Periodo1[[#This Row],[SALDO_ATUAL]]),4)</f>
        <v>16287.84</v>
      </c>
      <c r="N558" t="s">
        <v>116</v>
      </c>
      <c r="O558" t="s">
        <v>397</v>
      </c>
      <c r="P558" t="s">
        <v>397</v>
      </c>
      <c r="Q558">
        <v>7</v>
      </c>
      <c r="R558" s="225">
        <f>Base_Periodo1[[#This Row],[CREDITOS]]-Base_Periodo1[[#This Row],[DEBITOS]]</f>
        <v>6909.01</v>
      </c>
      <c r="S558" s="3" t="str">
        <f>IF(ISERROR(VLOOKUP(Base_Periodo1[[#This Row],[CONTA]],BaseContasDRE[#All],4,FALSE)),"Fora do DRE",VLOOKUP(Base_Periodo1[[#This Row],[CONTA]],BaseContasDRE[#All],4,FALSE))</f>
        <v>Fora do DRE</v>
      </c>
      <c r="T558" s="3" t="str">
        <f>IF(ISERROR(VLOOKUP(Base_Periodo1[[#This Row],[CONTA]],BaseContasDRE[#All],5,FALSE)),"Fora do DRE",VLOOKUP(Base_Periodo1[[#This Row],[CONTA]],BaseContasDRE[#All],6,FALSE))</f>
        <v>Fora do DRE</v>
      </c>
      <c r="U558" s="3" t="str">
        <f>IF(ISERROR(VLOOKUP(Base_Periodo1[[#This Row],[CONTA]],BaseContasDRE[#All],7,FALSE)),"Fora do DRE",VLOOKUP(Base_Periodo1[[#This Row],[CONTA]],BaseContasDRE[#All],7,FALSE))</f>
        <v>Fora do DRE</v>
      </c>
      <c r="V558" s="3" t="str">
        <f>IF(Base_Periodo1[[#This Row],[Tipo_Linha]]="Fora do DRE","Fora do DRE","( "&amp;Base_Periodo1[[#This Row],[Tipo_Linha]]&amp;" ) "&amp;Base_Periodo1[[#This Row],[Filtro]])</f>
        <v>Fora do DRE</v>
      </c>
      <c r="W558" s="3" t="str">
        <f>LEFT(Base_Periodo1[[#This Row],[CLASS]],3)</f>
        <v>1.1</v>
      </c>
    </row>
    <row r="559" spans="1:23" hidden="1">
      <c r="A559" s="3" t="str">
        <f t="shared" si="8"/>
        <v>Período 1</v>
      </c>
      <c r="B559">
        <v>47250</v>
      </c>
      <c r="C559" t="s">
        <v>503</v>
      </c>
      <c r="D559" t="s">
        <v>5390</v>
      </c>
      <c r="E559" s="3" t="str">
        <f>IF(LEN(Base_Periodo1[[#This Row],[CLASS]])&gt;=7,LEFT(Base_Periodo1[[#This Row],[CLASS]],7),"")</f>
        <v>1.1.2.1</v>
      </c>
      <c r="F559" s="3" t="str">
        <f>VLOOKUP(Base_Periodo1[[#This Row],[Aux]],Base_Contas_Balanco[#All],2,FALSE)</f>
        <v>Creditos com Cooperados</v>
      </c>
      <c r="G559" s="1">
        <v>42844</v>
      </c>
      <c r="H559" s="225">
        <v>10544.199999999997</v>
      </c>
      <c r="I559" s="225">
        <v>0</v>
      </c>
      <c r="J559" s="225">
        <v>0</v>
      </c>
      <c r="K559" s="225">
        <v>10544.199999999997</v>
      </c>
      <c r="L5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10544.2</v>
      </c>
      <c r="M559" s="225">
        <f>ROUND(IF(AND(Base_Periodo1[[#This Row],[Tipo_Linha]]="-",Base_Periodo1[[#This Row],[TIPOSALDO]]="D"),Base_Periodo1[[#This Row],[SALDO_ATUAL]]*-1,Base_Periodo1[[#This Row],[SALDO_ATUAL]]),4)</f>
        <v>10544.2</v>
      </c>
      <c r="N559" t="s">
        <v>116</v>
      </c>
      <c r="O559" t="s">
        <v>397</v>
      </c>
      <c r="P559" t="s">
        <v>397</v>
      </c>
      <c r="Q559">
        <v>7</v>
      </c>
      <c r="R559" s="225">
        <f>Base_Periodo1[[#This Row],[CREDITOS]]-Base_Periodo1[[#This Row],[DEBITOS]]</f>
        <v>0</v>
      </c>
      <c r="S559" s="3" t="str">
        <f>IF(ISERROR(VLOOKUP(Base_Periodo1[[#This Row],[CONTA]],BaseContasDRE[#All],4,FALSE)),"Fora do DRE",VLOOKUP(Base_Periodo1[[#This Row],[CONTA]],BaseContasDRE[#All],4,FALSE))</f>
        <v>Fora do DRE</v>
      </c>
      <c r="T559" s="3" t="str">
        <f>IF(ISERROR(VLOOKUP(Base_Periodo1[[#This Row],[CONTA]],BaseContasDRE[#All],5,FALSE)),"Fora do DRE",VLOOKUP(Base_Periodo1[[#This Row],[CONTA]],BaseContasDRE[#All],6,FALSE))</f>
        <v>Fora do DRE</v>
      </c>
      <c r="U559" s="3" t="str">
        <f>IF(ISERROR(VLOOKUP(Base_Periodo1[[#This Row],[CONTA]],BaseContasDRE[#All],7,FALSE)),"Fora do DRE",VLOOKUP(Base_Periodo1[[#This Row],[CONTA]],BaseContasDRE[#All],7,FALSE))</f>
        <v>Fora do DRE</v>
      </c>
      <c r="V559" s="3" t="str">
        <f>IF(Base_Periodo1[[#This Row],[Tipo_Linha]]="Fora do DRE","Fora do DRE","( "&amp;Base_Periodo1[[#This Row],[Tipo_Linha]]&amp;" ) "&amp;Base_Periodo1[[#This Row],[Filtro]])</f>
        <v>Fora do DRE</v>
      </c>
      <c r="W559" s="3" t="str">
        <f>LEFT(Base_Periodo1[[#This Row],[CLASS]],3)</f>
        <v>1.1</v>
      </c>
    </row>
    <row r="560" spans="1:23" hidden="1">
      <c r="A560" s="3" t="str">
        <f t="shared" si="8"/>
        <v>Período 1</v>
      </c>
      <c r="B560">
        <v>48292</v>
      </c>
      <c r="C560" t="s">
        <v>503</v>
      </c>
      <c r="D560" t="s">
        <v>5213</v>
      </c>
      <c r="E560" s="3" t="str">
        <f>IF(LEN(Base_Periodo1[[#This Row],[CLASS]])&gt;=7,LEFT(Base_Periodo1[[#This Row],[CLASS]],7),"")</f>
        <v>1.1.2.1</v>
      </c>
      <c r="F560" s="3" t="str">
        <f>VLOOKUP(Base_Periodo1[[#This Row],[Aux]],Base_Contas_Balanco[#All],2,FALSE)</f>
        <v>Creditos com Cooperados</v>
      </c>
      <c r="G560" s="1">
        <v>42844</v>
      </c>
      <c r="H560" s="225">
        <v>390.0000000000291</v>
      </c>
      <c r="I560" s="225">
        <v>0</v>
      </c>
      <c r="J560" s="225">
        <v>0</v>
      </c>
      <c r="K560" s="225">
        <v>390.0000000000291</v>
      </c>
      <c r="L5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390</v>
      </c>
      <c r="M560" s="225">
        <f>ROUND(IF(AND(Base_Periodo1[[#This Row],[Tipo_Linha]]="-",Base_Periodo1[[#This Row],[TIPOSALDO]]="D"),Base_Periodo1[[#This Row],[SALDO_ATUAL]]*-1,Base_Periodo1[[#This Row],[SALDO_ATUAL]]),4)</f>
        <v>390</v>
      </c>
      <c r="N560" t="s">
        <v>116</v>
      </c>
      <c r="O560" t="s">
        <v>397</v>
      </c>
      <c r="P560" t="s">
        <v>397</v>
      </c>
      <c r="Q560">
        <v>7</v>
      </c>
      <c r="R560" s="225">
        <f>Base_Periodo1[[#This Row],[CREDITOS]]-Base_Periodo1[[#This Row],[DEBITOS]]</f>
        <v>0</v>
      </c>
      <c r="S560" s="3" t="str">
        <f>IF(ISERROR(VLOOKUP(Base_Periodo1[[#This Row],[CONTA]],BaseContasDRE[#All],4,FALSE)),"Fora do DRE",VLOOKUP(Base_Periodo1[[#This Row],[CONTA]],BaseContasDRE[#All],4,FALSE))</f>
        <v>Fora do DRE</v>
      </c>
      <c r="T560" s="3" t="str">
        <f>IF(ISERROR(VLOOKUP(Base_Periodo1[[#This Row],[CONTA]],BaseContasDRE[#All],5,FALSE)),"Fora do DRE",VLOOKUP(Base_Periodo1[[#This Row],[CONTA]],BaseContasDRE[#All],6,FALSE))</f>
        <v>Fora do DRE</v>
      </c>
      <c r="U560" s="3" t="str">
        <f>IF(ISERROR(VLOOKUP(Base_Periodo1[[#This Row],[CONTA]],BaseContasDRE[#All],7,FALSE)),"Fora do DRE",VLOOKUP(Base_Periodo1[[#This Row],[CONTA]],BaseContasDRE[#All],7,FALSE))</f>
        <v>Fora do DRE</v>
      </c>
      <c r="V560" s="3" t="str">
        <f>IF(Base_Periodo1[[#This Row],[Tipo_Linha]]="Fora do DRE","Fora do DRE","( "&amp;Base_Periodo1[[#This Row],[Tipo_Linha]]&amp;" ) "&amp;Base_Periodo1[[#This Row],[Filtro]])</f>
        <v>Fora do DRE</v>
      </c>
      <c r="W560" s="3" t="str">
        <f>LEFT(Base_Periodo1[[#This Row],[CLASS]],3)</f>
        <v>1.1</v>
      </c>
    </row>
    <row r="561" spans="1:23" hidden="1">
      <c r="A561" s="3" t="str">
        <f t="shared" si="8"/>
        <v>Período 1</v>
      </c>
      <c r="B561">
        <v>52864</v>
      </c>
      <c r="C561" t="s">
        <v>503</v>
      </c>
      <c r="D561" t="s">
        <v>5278</v>
      </c>
      <c r="E561" s="3" t="str">
        <f>IF(LEN(Base_Periodo1[[#This Row],[CLASS]])&gt;=7,LEFT(Base_Periodo1[[#This Row],[CLASS]],7),"")</f>
        <v>1.1.2.1</v>
      </c>
      <c r="F561" s="3" t="str">
        <f>VLOOKUP(Base_Periodo1[[#This Row],[Aux]],Base_Contas_Balanco[#All],2,FALSE)</f>
        <v>Creditos com Cooperados</v>
      </c>
      <c r="G561" s="1">
        <v>42838</v>
      </c>
      <c r="H561" s="225">
        <v>468.97000000000844</v>
      </c>
      <c r="I561" s="225">
        <v>0</v>
      </c>
      <c r="J561" s="225">
        <v>0</v>
      </c>
      <c r="K561" s="225">
        <v>468.97000000000844</v>
      </c>
      <c r="L5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468.97</v>
      </c>
      <c r="M561" s="225">
        <f>ROUND(IF(AND(Base_Periodo1[[#This Row],[Tipo_Linha]]="-",Base_Periodo1[[#This Row],[TIPOSALDO]]="D"),Base_Periodo1[[#This Row],[SALDO_ATUAL]]*-1,Base_Periodo1[[#This Row],[SALDO_ATUAL]]),4)</f>
        <v>468.97</v>
      </c>
      <c r="N561" t="s">
        <v>116</v>
      </c>
      <c r="O561" t="s">
        <v>397</v>
      </c>
      <c r="P561" t="s">
        <v>397</v>
      </c>
      <c r="Q561">
        <v>7</v>
      </c>
      <c r="R561" s="225">
        <f>Base_Periodo1[[#This Row],[CREDITOS]]-Base_Periodo1[[#This Row],[DEBITOS]]</f>
        <v>0</v>
      </c>
      <c r="S561" s="3" t="str">
        <f>IF(ISERROR(VLOOKUP(Base_Periodo1[[#This Row],[CONTA]],BaseContasDRE[#All],4,FALSE)),"Fora do DRE",VLOOKUP(Base_Periodo1[[#This Row],[CONTA]],BaseContasDRE[#All],4,FALSE))</f>
        <v>Fora do DRE</v>
      </c>
      <c r="T561" s="3" t="str">
        <f>IF(ISERROR(VLOOKUP(Base_Periodo1[[#This Row],[CONTA]],BaseContasDRE[#All],5,FALSE)),"Fora do DRE",VLOOKUP(Base_Periodo1[[#This Row],[CONTA]],BaseContasDRE[#All],6,FALSE))</f>
        <v>Fora do DRE</v>
      </c>
      <c r="U561" s="3" t="str">
        <f>IF(ISERROR(VLOOKUP(Base_Periodo1[[#This Row],[CONTA]],BaseContasDRE[#All],7,FALSE)),"Fora do DRE",VLOOKUP(Base_Periodo1[[#This Row],[CONTA]],BaseContasDRE[#All],7,FALSE))</f>
        <v>Fora do DRE</v>
      </c>
      <c r="V561" s="3" t="str">
        <f>IF(Base_Periodo1[[#This Row],[Tipo_Linha]]="Fora do DRE","Fora do DRE","( "&amp;Base_Periodo1[[#This Row],[Tipo_Linha]]&amp;" ) "&amp;Base_Periodo1[[#This Row],[Filtro]])</f>
        <v>Fora do DRE</v>
      </c>
      <c r="W561" s="3" t="str">
        <f>LEFT(Base_Periodo1[[#This Row],[CLASS]],3)</f>
        <v>1.1</v>
      </c>
    </row>
    <row r="562" spans="1:23" hidden="1">
      <c r="A562" s="3" t="str">
        <f t="shared" si="8"/>
        <v>Período 1</v>
      </c>
      <c r="B562">
        <v>57911</v>
      </c>
      <c r="C562" t="s">
        <v>503</v>
      </c>
      <c r="D562" t="s">
        <v>5870</v>
      </c>
      <c r="E562" s="3" t="str">
        <f>IF(LEN(Base_Periodo1[[#This Row],[CLASS]])&gt;=7,LEFT(Base_Periodo1[[#This Row],[CLASS]],7),"")</f>
        <v>1.1.2.1</v>
      </c>
      <c r="F562" s="3" t="str">
        <f>VLOOKUP(Base_Periodo1[[#This Row],[Aux]],Base_Contas_Balanco[#All],2,FALSE)</f>
        <v>Creditos com Cooperados</v>
      </c>
      <c r="G562" s="1">
        <v>42824</v>
      </c>
      <c r="H562" s="225">
        <v>1218.5</v>
      </c>
      <c r="I562" s="225">
        <v>0</v>
      </c>
      <c r="J562" s="225">
        <v>0</v>
      </c>
      <c r="K562" s="225">
        <v>1218.5</v>
      </c>
      <c r="L5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1218.5</v>
      </c>
      <c r="M562" s="225">
        <f>ROUND(IF(AND(Base_Periodo1[[#This Row],[Tipo_Linha]]="-",Base_Periodo1[[#This Row],[TIPOSALDO]]="D"),Base_Periodo1[[#This Row],[SALDO_ATUAL]]*-1,Base_Periodo1[[#This Row],[SALDO_ATUAL]]),4)</f>
        <v>1218.5</v>
      </c>
      <c r="N562" t="s">
        <v>116</v>
      </c>
      <c r="O562" t="s">
        <v>397</v>
      </c>
      <c r="P562" t="s">
        <v>397</v>
      </c>
      <c r="Q562">
        <v>7</v>
      </c>
      <c r="R562" s="225">
        <f>Base_Periodo1[[#This Row],[CREDITOS]]-Base_Periodo1[[#This Row],[DEBITOS]]</f>
        <v>0</v>
      </c>
      <c r="S562" s="3" t="str">
        <f>IF(ISERROR(VLOOKUP(Base_Periodo1[[#This Row],[CONTA]],BaseContasDRE[#All],4,FALSE)),"Fora do DRE",VLOOKUP(Base_Periodo1[[#This Row],[CONTA]],BaseContasDRE[#All],4,FALSE))</f>
        <v>Fora do DRE</v>
      </c>
      <c r="T562" s="3" t="str">
        <f>IF(ISERROR(VLOOKUP(Base_Periodo1[[#This Row],[CONTA]],BaseContasDRE[#All],5,FALSE)),"Fora do DRE",VLOOKUP(Base_Periodo1[[#This Row],[CONTA]],BaseContasDRE[#All],6,FALSE))</f>
        <v>Fora do DRE</v>
      </c>
      <c r="U562" s="3" t="str">
        <f>IF(ISERROR(VLOOKUP(Base_Periodo1[[#This Row],[CONTA]],BaseContasDRE[#All],7,FALSE)),"Fora do DRE",VLOOKUP(Base_Periodo1[[#This Row],[CONTA]],BaseContasDRE[#All],7,FALSE))</f>
        <v>Fora do DRE</v>
      </c>
      <c r="V562" s="3" t="str">
        <f>IF(Base_Periodo1[[#This Row],[Tipo_Linha]]="Fora do DRE","Fora do DRE","( "&amp;Base_Periodo1[[#This Row],[Tipo_Linha]]&amp;" ) "&amp;Base_Periodo1[[#This Row],[Filtro]])</f>
        <v>Fora do DRE</v>
      </c>
      <c r="W562" s="3" t="str">
        <f>LEFT(Base_Periodo1[[#This Row],[CLASS]],3)</f>
        <v>1.1</v>
      </c>
    </row>
    <row r="563" spans="1:23" hidden="1">
      <c r="A563" s="3" t="str">
        <f t="shared" si="8"/>
        <v>Período 1</v>
      </c>
      <c r="B563">
        <v>55864</v>
      </c>
      <c r="C563" t="s">
        <v>503</v>
      </c>
      <c r="D563" t="s">
        <v>5187</v>
      </c>
      <c r="E563" s="3" t="str">
        <f>IF(LEN(Base_Periodo1[[#This Row],[CLASS]])&gt;=7,LEFT(Base_Periodo1[[#This Row],[CLASS]],7),"")</f>
        <v>1.1.2.1</v>
      </c>
      <c r="F563" s="3" t="str">
        <f>VLOOKUP(Base_Periodo1[[#This Row],[Aux]],Base_Contas_Balanco[#All],2,FALSE)</f>
        <v>Creditos com Cooperados</v>
      </c>
      <c r="G563" s="1">
        <v>42836</v>
      </c>
      <c r="H563" s="225">
        <v>9205.8999999999978</v>
      </c>
      <c r="I563" s="225">
        <v>0</v>
      </c>
      <c r="J563" s="225">
        <v>0</v>
      </c>
      <c r="K563" s="225">
        <v>9205.8999999999978</v>
      </c>
      <c r="L5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9205.9</v>
      </c>
      <c r="M563" s="225">
        <f>ROUND(IF(AND(Base_Periodo1[[#This Row],[Tipo_Linha]]="-",Base_Periodo1[[#This Row],[TIPOSALDO]]="D"),Base_Periodo1[[#This Row],[SALDO_ATUAL]]*-1,Base_Periodo1[[#This Row],[SALDO_ATUAL]]),4)</f>
        <v>9205.9</v>
      </c>
      <c r="N563" t="s">
        <v>116</v>
      </c>
      <c r="O563" t="s">
        <v>397</v>
      </c>
      <c r="P563" t="s">
        <v>397</v>
      </c>
      <c r="Q563">
        <v>7</v>
      </c>
      <c r="R563" s="225">
        <f>Base_Periodo1[[#This Row],[CREDITOS]]-Base_Periodo1[[#This Row],[DEBITOS]]</f>
        <v>0</v>
      </c>
      <c r="S563" s="3" t="str">
        <f>IF(ISERROR(VLOOKUP(Base_Periodo1[[#This Row],[CONTA]],BaseContasDRE[#All],4,FALSE)),"Fora do DRE",VLOOKUP(Base_Periodo1[[#This Row],[CONTA]],BaseContasDRE[#All],4,FALSE))</f>
        <v>Fora do DRE</v>
      </c>
      <c r="T563" s="3" t="str">
        <f>IF(ISERROR(VLOOKUP(Base_Periodo1[[#This Row],[CONTA]],BaseContasDRE[#All],5,FALSE)),"Fora do DRE",VLOOKUP(Base_Periodo1[[#This Row],[CONTA]],BaseContasDRE[#All],6,FALSE))</f>
        <v>Fora do DRE</v>
      </c>
      <c r="U563" s="3" t="str">
        <f>IF(ISERROR(VLOOKUP(Base_Periodo1[[#This Row],[CONTA]],BaseContasDRE[#All],7,FALSE)),"Fora do DRE",VLOOKUP(Base_Periodo1[[#This Row],[CONTA]],BaseContasDRE[#All],7,FALSE))</f>
        <v>Fora do DRE</v>
      </c>
      <c r="V563" s="3" t="str">
        <f>IF(Base_Periodo1[[#This Row],[Tipo_Linha]]="Fora do DRE","Fora do DRE","( "&amp;Base_Periodo1[[#This Row],[Tipo_Linha]]&amp;" ) "&amp;Base_Periodo1[[#This Row],[Filtro]])</f>
        <v>Fora do DRE</v>
      </c>
      <c r="W563" s="3" t="str">
        <f>LEFT(Base_Periodo1[[#This Row],[CLASS]],3)</f>
        <v>1.1</v>
      </c>
    </row>
    <row r="564" spans="1:23" hidden="1">
      <c r="A564" s="3" t="str">
        <f t="shared" si="8"/>
        <v>Período 1</v>
      </c>
      <c r="B564">
        <v>35092</v>
      </c>
      <c r="C564" t="s">
        <v>503</v>
      </c>
      <c r="D564" t="s">
        <v>777</v>
      </c>
      <c r="E564" s="3" t="str">
        <f>IF(LEN(Base_Periodo1[[#This Row],[CLASS]])&gt;=7,LEFT(Base_Periodo1[[#This Row],[CLASS]],7),"")</f>
        <v>1.1.2.1</v>
      </c>
      <c r="F564" s="3" t="str">
        <f>VLOOKUP(Base_Periodo1[[#This Row],[Aux]],Base_Contas_Balanco[#All],2,FALSE)</f>
        <v>Creditos com Cooperados</v>
      </c>
      <c r="G564" s="1">
        <v>42339</v>
      </c>
      <c r="H564" s="225">
        <v>4890.5599999999104</v>
      </c>
      <c r="I564" s="225">
        <v>0</v>
      </c>
      <c r="J564" s="225">
        <v>0</v>
      </c>
      <c r="K564" s="225">
        <v>4890.5599999999104</v>
      </c>
      <c r="L5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4890.5600000000004</v>
      </c>
      <c r="M564" s="225">
        <f>ROUND(IF(AND(Base_Periodo1[[#This Row],[Tipo_Linha]]="-",Base_Periodo1[[#This Row],[TIPOSALDO]]="D"),Base_Periodo1[[#This Row],[SALDO_ATUAL]]*-1,Base_Periodo1[[#This Row],[SALDO_ATUAL]]),4)</f>
        <v>4890.5600000000004</v>
      </c>
      <c r="N564" t="s">
        <v>116</v>
      </c>
      <c r="O564" t="s">
        <v>397</v>
      </c>
      <c r="P564" t="s">
        <v>397</v>
      </c>
      <c r="Q564">
        <v>7</v>
      </c>
      <c r="R564" s="225">
        <f>Base_Periodo1[[#This Row],[CREDITOS]]-Base_Periodo1[[#This Row],[DEBITOS]]</f>
        <v>0</v>
      </c>
      <c r="S564" s="3" t="str">
        <f>IF(ISERROR(VLOOKUP(Base_Periodo1[[#This Row],[CONTA]],BaseContasDRE[#All],4,FALSE)),"Fora do DRE",VLOOKUP(Base_Periodo1[[#This Row],[CONTA]],BaseContasDRE[#All],4,FALSE))</f>
        <v>Fora do DRE</v>
      </c>
      <c r="T564" s="3" t="str">
        <f>IF(ISERROR(VLOOKUP(Base_Periodo1[[#This Row],[CONTA]],BaseContasDRE[#All],5,FALSE)),"Fora do DRE",VLOOKUP(Base_Periodo1[[#This Row],[CONTA]],BaseContasDRE[#All],6,FALSE))</f>
        <v>Fora do DRE</v>
      </c>
      <c r="U564" s="3" t="str">
        <f>IF(ISERROR(VLOOKUP(Base_Periodo1[[#This Row],[CONTA]],BaseContasDRE[#All],7,FALSE)),"Fora do DRE",VLOOKUP(Base_Periodo1[[#This Row],[CONTA]],BaseContasDRE[#All],7,FALSE))</f>
        <v>Fora do DRE</v>
      </c>
      <c r="V564" s="3" t="str">
        <f>IF(Base_Periodo1[[#This Row],[Tipo_Linha]]="Fora do DRE","Fora do DRE","( "&amp;Base_Periodo1[[#This Row],[Tipo_Linha]]&amp;" ) "&amp;Base_Periodo1[[#This Row],[Filtro]])</f>
        <v>Fora do DRE</v>
      </c>
      <c r="W564" s="3" t="str">
        <f>LEFT(Base_Periodo1[[#This Row],[CLASS]],3)</f>
        <v>1.1</v>
      </c>
    </row>
    <row r="565" spans="1:23" hidden="1">
      <c r="A565" s="3" t="str">
        <f t="shared" si="8"/>
        <v>Período 1</v>
      </c>
      <c r="B565">
        <v>49579</v>
      </c>
      <c r="C565" t="s">
        <v>503</v>
      </c>
      <c r="D565" t="s">
        <v>5158</v>
      </c>
      <c r="E565" s="3" t="str">
        <f>IF(LEN(Base_Periodo1[[#This Row],[CLASS]])&gt;=7,LEFT(Base_Periodo1[[#This Row],[CLASS]],7),"")</f>
        <v>1.1.2.1</v>
      </c>
      <c r="F565" s="3" t="str">
        <f>VLOOKUP(Base_Periodo1[[#This Row],[Aux]],Base_Contas_Balanco[#All],2,FALSE)</f>
        <v>Creditos com Cooperados</v>
      </c>
      <c r="G565" s="1">
        <v>42845</v>
      </c>
      <c r="H565" s="225">
        <v>19369.190000000017</v>
      </c>
      <c r="I565" s="225">
        <v>0</v>
      </c>
      <c r="J565" s="225">
        <v>0</v>
      </c>
      <c r="K565" s="225">
        <v>19369.190000000017</v>
      </c>
      <c r="L5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19369.189999999999</v>
      </c>
      <c r="M565" s="225">
        <f>ROUND(IF(AND(Base_Periodo1[[#This Row],[Tipo_Linha]]="-",Base_Periodo1[[#This Row],[TIPOSALDO]]="D"),Base_Periodo1[[#This Row],[SALDO_ATUAL]]*-1,Base_Periodo1[[#This Row],[SALDO_ATUAL]]),4)</f>
        <v>19369.189999999999</v>
      </c>
      <c r="N565" t="s">
        <v>116</v>
      </c>
      <c r="O565" t="s">
        <v>397</v>
      </c>
      <c r="P565" t="s">
        <v>397</v>
      </c>
      <c r="Q565">
        <v>7</v>
      </c>
      <c r="R565" s="225">
        <f>Base_Periodo1[[#This Row],[CREDITOS]]-Base_Periodo1[[#This Row],[DEBITOS]]</f>
        <v>0</v>
      </c>
      <c r="S565" s="3" t="str">
        <f>IF(ISERROR(VLOOKUP(Base_Periodo1[[#This Row],[CONTA]],BaseContasDRE[#All],4,FALSE)),"Fora do DRE",VLOOKUP(Base_Periodo1[[#This Row],[CONTA]],BaseContasDRE[#All],4,FALSE))</f>
        <v>Fora do DRE</v>
      </c>
      <c r="T565" s="3" t="str">
        <f>IF(ISERROR(VLOOKUP(Base_Periodo1[[#This Row],[CONTA]],BaseContasDRE[#All],5,FALSE)),"Fora do DRE",VLOOKUP(Base_Periodo1[[#This Row],[CONTA]],BaseContasDRE[#All],6,FALSE))</f>
        <v>Fora do DRE</v>
      </c>
      <c r="U565" s="3" t="str">
        <f>IF(ISERROR(VLOOKUP(Base_Periodo1[[#This Row],[CONTA]],BaseContasDRE[#All],7,FALSE)),"Fora do DRE",VLOOKUP(Base_Periodo1[[#This Row],[CONTA]],BaseContasDRE[#All],7,FALSE))</f>
        <v>Fora do DRE</v>
      </c>
      <c r="V565" s="3" t="str">
        <f>IF(Base_Periodo1[[#This Row],[Tipo_Linha]]="Fora do DRE","Fora do DRE","( "&amp;Base_Periodo1[[#This Row],[Tipo_Linha]]&amp;" ) "&amp;Base_Periodo1[[#This Row],[Filtro]])</f>
        <v>Fora do DRE</v>
      </c>
      <c r="W565" s="3" t="str">
        <f>LEFT(Base_Periodo1[[#This Row],[CLASS]],3)</f>
        <v>1.1</v>
      </c>
    </row>
    <row r="566" spans="1:23" hidden="1">
      <c r="A566" s="3" t="str">
        <f t="shared" si="8"/>
        <v>Período 1</v>
      </c>
      <c r="B566">
        <v>28669</v>
      </c>
      <c r="C566" t="s">
        <v>503</v>
      </c>
      <c r="D566" t="s">
        <v>5279</v>
      </c>
      <c r="E566" s="3" t="str">
        <f>IF(LEN(Base_Periodo1[[#This Row],[CLASS]])&gt;=7,LEFT(Base_Periodo1[[#This Row],[CLASS]],7),"")</f>
        <v>1.1.2.1</v>
      </c>
      <c r="F566" s="3" t="str">
        <f>VLOOKUP(Base_Periodo1[[#This Row],[Aux]],Base_Contas_Balanco[#All],2,FALSE)</f>
        <v>Creditos com Cooperados</v>
      </c>
      <c r="G566" s="1">
        <v>42863</v>
      </c>
      <c r="H566" s="225">
        <v>105416.91000000027</v>
      </c>
      <c r="I566" s="225">
        <v>0</v>
      </c>
      <c r="J566" s="225">
        <v>105416.91</v>
      </c>
      <c r="K566" s="225">
        <v>2.6193447411060333E-10</v>
      </c>
      <c r="L5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66" s="225">
        <f>ROUND(IF(AND(Base_Periodo1[[#This Row],[Tipo_Linha]]="-",Base_Periodo1[[#This Row],[TIPOSALDO]]="D"),Base_Periodo1[[#This Row],[SALDO_ATUAL]]*-1,Base_Periodo1[[#This Row],[SALDO_ATUAL]]),4)</f>
        <v>0</v>
      </c>
      <c r="N566" t="s">
        <v>116</v>
      </c>
      <c r="O566" t="s">
        <v>397</v>
      </c>
      <c r="P566" t="s">
        <v>436</v>
      </c>
      <c r="Q566">
        <v>7</v>
      </c>
      <c r="R566" s="225">
        <f>Base_Periodo1[[#This Row],[CREDITOS]]-Base_Periodo1[[#This Row],[DEBITOS]]</f>
        <v>105416.91</v>
      </c>
      <c r="S566" s="3" t="str">
        <f>IF(ISERROR(VLOOKUP(Base_Periodo1[[#This Row],[CONTA]],BaseContasDRE[#All],4,FALSE)),"Fora do DRE",VLOOKUP(Base_Periodo1[[#This Row],[CONTA]],BaseContasDRE[#All],4,FALSE))</f>
        <v>Fora do DRE</v>
      </c>
      <c r="T566" s="3" t="str">
        <f>IF(ISERROR(VLOOKUP(Base_Periodo1[[#This Row],[CONTA]],BaseContasDRE[#All],5,FALSE)),"Fora do DRE",VLOOKUP(Base_Periodo1[[#This Row],[CONTA]],BaseContasDRE[#All],6,FALSE))</f>
        <v>Fora do DRE</v>
      </c>
      <c r="U566" s="3" t="str">
        <f>IF(ISERROR(VLOOKUP(Base_Periodo1[[#This Row],[CONTA]],BaseContasDRE[#All],7,FALSE)),"Fora do DRE",VLOOKUP(Base_Periodo1[[#This Row],[CONTA]],BaseContasDRE[#All],7,FALSE))</f>
        <v>Fora do DRE</v>
      </c>
      <c r="V566" s="3" t="str">
        <f>IF(Base_Periodo1[[#This Row],[Tipo_Linha]]="Fora do DRE","Fora do DRE","( "&amp;Base_Periodo1[[#This Row],[Tipo_Linha]]&amp;" ) "&amp;Base_Periodo1[[#This Row],[Filtro]])</f>
        <v>Fora do DRE</v>
      </c>
      <c r="W566" s="3" t="str">
        <f>LEFT(Base_Periodo1[[#This Row],[CLASS]],3)</f>
        <v>1.1</v>
      </c>
    </row>
    <row r="567" spans="1:23" hidden="1">
      <c r="A567" s="3" t="str">
        <f t="shared" si="8"/>
        <v>Período 1</v>
      </c>
      <c r="B567">
        <v>48112</v>
      </c>
      <c r="C567" t="s">
        <v>503</v>
      </c>
      <c r="D567" t="s">
        <v>778</v>
      </c>
      <c r="E567" s="3" t="str">
        <f>IF(LEN(Base_Periodo1[[#This Row],[CLASS]])&gt;=7,LEFT(Base_Periodo1[[#This Row],[CLASS]],7),"")</f>
        <v>1.1.2.1</v>
      </c>
      <c r="F567" s="3" t="str">
        <f>VLOOKUP(Base_Periodo1[[#This Row],[Aux]],Base_Contas_Balanco[#All],2,FALSE)</f>
        <v>Creditos com Cooperados</v>
      </c>
      <c r="G567" s="1">
        <v>42842</v>
      </c>
      <c r="H567" s="225">
        <v>5491.1200000000099</v>
      </c>
      <c r="I567" s="225">
        <v>0</v>
      </c>
      <c r="J567" s="225">
        <v>0</v>
      </c>
      <c r="K567" s="225">
        <v>5491.1200000000099</v>
      </c>
      <c r="L5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5491.12</v>
      </c>
      <c r="M567" s="225">
        <f>ROUND(IF(AND(Base_Periodo1[[#This Row],[Tipo_Linha]]="-",Base_Periodo1[[#This Row],[TIPOSALDO]]="D"),Base_Periodo1[[#This Row],[SALDO_ATUAL]]*-1,Base_Periodo1[[#This Row],[SALDO_ATUAL]]),4)</f>
        <v>5491.12</v>
      </c>
      <c r="N567" t="s">
        <v>116</v>
      </c>
      <c r="O567" t="s">
        <v>397</v>
      </c>
      <c r="P567" t="s">
        <v>397</v>
      </c>
      <c r="Q567">
        <v>7</v>
      </c>
      <c r="R567" s="225">
        <f>Base_Periodo1[[#This Row],[CREDITOS]]-Base_Periodo1[[#This Row],[DEBITOS]]</f>
        <v>0</v>
      </c>
      <c r="S567" s="3" t="str">
        <f>IF(ISERROR(VLOOKUP(Base_Periodo1[[#This Row],[CONTA]],BaseContasDRE[#All],4,FALSE)),"Fora do DRE",VLOOKUP(Base_Periodo1[[#This Row],[CONTA]],BaseContasDRE[#All],4,FALSE))</f>
        <v>Fora do DRE</v>
      </c>
      <c r="T567" s="3" t="str">
        <f>IF(ISERROR(VLOOKUP(Base_Periodo1[[#This Row],[CONTA]],BaseContasDRE[#All],5,FALSE)),"Fora do DRE",VLOOKUP(Base_Periodo1[[#This Row],[CONTA]],BaseContasDRE[#All],6,FALSE))</f>
        <v>Fora do DRE</v>
      </c>
      <c r="U567" s="3" t="str">
        <f>IF(ISERROR(VLOOKUP(Base_Periodo1[[#This Row],[CONTA]],BaseContasDRE[#All],7,FALSE)),"Fora do DRE",VLOOKUP(Base_Periodo1[[#This Row],[CONTA]],BaseContasDRE[#All],7,FALSE))</f>
        <v>Fora do DRE</v>
      </c>
      <c r="V567" s="3" t="str">
        <f>IF(Base_Periodo1[[#This Row],[Tipo_Linha]]="Fora do DRE","Fora do DRE","( "&amp;Base_Periodo1[[#This Row],[Tipo_Linha]]&amp;" ) "&amp;Base_Periodo1[[#This Row],[Filtro]])</f>
        <v>Fora do DRE</v>
      </c>
      <c r="W567" s="3" t="str">
        <f>LEFT(Base_Periodo1[[#This Row],[CLASS]],3)</f>
        <v>1.1</v>
      </c>
    </row>
    <row r="568" spans="1:23" hidden="1">
      <c r="A568" s="3" t="str">
        <f t="shared" si="8"/>
        <v>Período 1</v>
      </c>
      <c r="B568">
        <v>2320</v>
      </c>
      <c r="C568" t="s">
        <v>503</v>
      </c>
      <c r="D568" t="s">
        <v>6131</v>
      </c>
      <c r="E568" s="3" t="str">
        <f>IF(LEN(Base_Periodo1[[#This Row],[CLASS]])&gt;=7,LEFT(Base_Periodo1[[#This Row],[CLASS]],7),"")</f>
        <v>1.1.2.1</v>
      </c>
      <c r="F568" s="3" t="str">
        <f>VLOOKUP(Base_Periodo1[[#This Row],[Aux]],Base_Contas_Balanco[#All],2,FALSE)</f>
        <v>Creditos com Cooperados</v>
      </c>
      <c r="G568" s="1">
        <v>42870</v>
      </c>
      <c r="I568" s="225">
        <v>973.5</v>
      </c>
      <c r="J568" s="225">
        <v>523.5</v>
      </c>
      <c r="K568" s="225">
        <v>450.0000000000291</v>
      </c>
      <c r="L5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450</v>
      </c>
      <c r="M568" s="225">
        <f>ROUND(IF(AND(Base_Periodo1[[#This Row],[Tipo_Linha]]="-",Base_Periodo1[[#This Row],[TIPOSALDO]]="D"),Base_Periodo1[[#This Row],[SALDO_ATUAL]]*-1,Base_Periodo1[[#This Row],[SALDO_ATUAL]]),4)</f>
        <v>450</v>
      </c>
      <c r="N568" t="s">
        <v>116</v>
      </c>
      <c r="O568" t="s">
        <v>436</v>
      </c>
      <c r="P568" t="s">
        <v>397</v>
      </c>
      <c r="Q568">
        <v>7</v>
      </c>
      <c r="R568" s="225">
        <f>Base_Periodo1[[#This Row],[CREDITOS]]-Base_Periodo1[[#This Row],[DEBITOS]]</f>
        <v>-450</v>
      </c>
      <c r="S568" s="3" t="str">
        <f>IF(ISERROR(VLOOKUP(Base_Periodo1[[#This Row],[CONTA]],BaseContasDRE[#All],4,FALSE)),"Fora do DRE",VLOOKUP(Base_Periodo1[[#This Row],[CONTA]],BaseContasDRE[#All],4,FALSE))</f>
        <v>Fora do DRE</v>
      </c>
      <c r="T568" s="3" t="str">
        <f>IF(ISERROR(VLOOKUP(Base_Periodo1[[#This Row],[CONTA]],BaseContasDRE[#All],5,FALSE)),"Fora do DRE",VLOOKUP(Base_Periodo1[[#This Row],[CONTA]],BaseContasDRE[#All],6,FALSE))</f>
        <v>Fora do DRE</v>
      </c>
      <c r="U568" s="3" t="str">
        <f>IF(ISERROR(VLOOKUP(Base_Periodo1[[#This Row],[CONTA]],BaseContasDRE[#All],7,FALSE)),"Fora do DRE",VLOOKUP(Base_Periodo1[[#This Row],[CONTA]],BaseContasDRE[#All],7,FALSE))</f>
        <v>Fora do DRE</v>
      </c>
      <c r="V568" s="3" t="str">
        <f>IF(Base_Periodo1[[#This Row],[Tipo_Linha]]="Fora do DRE","Fora do DRE","( "&amp;Base_Periodo1[[#This Row],[Tipo_Linha]]&amp;" ) "&amp;Base_Periodo1[[#This Row],[Filtro]])</f>
        <v>Fora do DRE</v>
      </c>
      <c r="W568" s="3" t="str">
        <f>LEFT(Base_Periodo1[[#This Row],[CLASS]],3)</f>
        <v>1.1</v>
      </c>
    </row>
    <row r="569" spans="1:23" hidden="1">
      <c r="A569" s="3" t="str">
        <f t="shared" si="8"/>
        <v>Período 1</v>
      </c>
      <c r="B569">
        <v>7225</v>
      </c>
      <c r="C569" t="s">
        <v>503</v>
      </c>
      <c r="D569" t="s">
        <v>779</v>
      </c>
      <c r="E569" s="3" t="str">
        <f>IF(LEN(Base_Periodo1[[#This Row],[CLASS]])&gt;=7,LEFT(Base_Periodo1[[#This Row],[CLASS]],7),"")</f>
        <v>1.1.2.1</v>
      </c>
      <c r="F569" s="3" t="str">
        <f>VLOOKUP(Base_Periodo1[[#This Row],[Aux]],Base_Contas_Balanco[#All],2,FALSE)</f>
        <v>Creditos com Cooperados</v>
      </c>
      <c r="G569" s="1">
        <v>42759</v>
      </c>
      <c r="H569" s="225">
        <v>155.15999999999985</v>
      </c>
      <c r="I569" s="225">
        <v>0</v>
      </c>
      <c r="J569" s="225">
        <v>0</v>
      </c>
      <c r="K569" s="225">
        <v>155.15999999999985</v>
      </c>
      <c r="L5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155.16</v>
      </c>
      <c r="M569" s="225">
        <f>ROUND(IF(AND(Base_Periodo1[[#This Row],[Tipo_Linha]]="-",Base_Periodo1[[#This Row],[TIPOSALDO]]="D"),Base_Periodo1[[#This Row],[SALDO_ATUAL]]*-1,Base_Periodo1[[#This Row],[SALDO_ATUAL]]),4)</f>
        <v>155.16</v>
      </c>
      <c r="N569" t="s">
        <v>116</v>
      </c>
      <c r="O569" t="s">
        <v>397</v>
      </c>
      <c r="P569" t="s">
        <v>397</v>
      </c>
      <c r="Q569">
        <v>7</v>
      </c>
      <c r="R569" s="225">
        <f>Base_Periodo1[[#This Row],[CREDITOS]]-Base_Periodo1[[#This Row],[DEBITOS]]</f>
        <v>0</v>
      </c>
      <c r="S569" s="3" t="str">
        <f>IF(ISERROR(VLOOKUP(Base_Periodo1[[#This Row],[CONTA]],BaseContasDRE[#All],4,FALSE)),"Fora do DRE",VLOOKUP(Base_Periodo1[[#This Row],[CONTA]],BaseContasDRE[#All],4,FALSE))</f>
        <v>Fora do DRE</v>
      </c>
      <c r="T569" s="3" t="str">
        <f>IF(ISERROR(VLOOKUP(Base_Periodo1[[#This Row],[CONTA]],BaseContasDRE[#All],5,FALSE)),"Fora do DRE",VLOOKUP(Base_Periodo1[[#This Row],[CONTA]],BaseContasDRE[#All],6,FALSE))</f>
        <v>Fora do DRE</v>
      </c>
      <c r="U569" s="3" t="str">
        <f>IF(ISERROR(VLOOKUP(Base_Periodo1[[#This Row],[CONTA]],BaseContasDRE[#All],7,FALSE)),"Fora do DRE",VLOOKUP(Base_Periodo1[[#This Row],[CONTA]],BaseContasDRE[#All],7,FALSE))</f>
        <v>Fora do DRE</v>
      </c>
      <c r="V569" s="3" t="str">
        <f>IF(Base_Periodo1[[#This Row],[Tipo_Linha]]="Fora do DRE","Fora do DRE","( "&amp;Base_Periodo1[[#This Row],[Tipo_Linha]]&amp;" ) "&amp;Base_Periodo1[[#This Row],[Filtro]])</f>
        <v>Fora do DRE</v>
      </c>
      <c r="W569" s="3" t="str">
        <f>LEFT(Base_Periodo1[[#This Row],[CLASS]],3)</f>
        <v>1.1</v>
      </c>
    </row>
    <row r="570" spans="1:23" hidden="1">
      <c r="A570" s="3" t="str">
        <f t="shared" si="8"/>
        <v>Período 1</v>
      </c>
      <c r="B570">
        <v>23973</v>
      </c>
      <c r="C570" t="s">
        <v>503</v>
      </c>
      <c r="D570" t="s">
        <v>780</v>
      </c>
      <c r="E570" s="3" t="str">
        <f>IF(LEN(Base_Periodo1[[#This Row],[CLASS]])&gt;=7,LEFT(Base_Periodo1[[#This Row],[CLASS]],7),"")</f>
        <v>1.1.2.1</v>
      </c>
      <c r="F570" s="3" t="str">
        <f>VLOOKUP(Base_Periodo1[[#This Row],[Aux]],Base_Contas_Balanco[#All],2,FALSE)</f>
        <v>Creditos com Cooperados</v>
      </c>
      <c r="G570" s="1">
        <v>42760</v>
      </c>
      <c r="H570" s="225">
        <v>0.20000000012805685</v>
      </c>
      <c r="I570" s="225">
        <v>0</v>
      </c>
      <c r="J570" s="225">
        <v>0</v>
      </c>
      <c r="K570" s="225">
        <v>0.20000000012805685</v>
      </c>
      <c r="L5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0.2</v>
      </c>
      <c r="M570" s="225">
        <f>ROUND(IF(AND(Base_Periodo1[[#This Row],[Tipo_Linha]]="-",Base_Periodo1[[#This Row],[TIPOSALDO]]="D"),Base_Periodo1[[#This Row],[SALDO_ATUAL]]*-1,Base_Periodo1[[#This Row],[SALDO_ATUAL]]),4)</f>
        <v>0.2</v>
      </c>
      <c r="N570" t="s">
        <v>116</v>
      </c>
      <c r="O570" t="s">
        <v>397</v>
      </c>
      <c r="P570" t="s">
        <v>397</v>
      </c>
      <c r="Q570">
        <v>7</v>
      </c>
      <c r="R570" s="225">
        <f>Base_Periodo1[[#This Row],[CREDITOS]]-Base_Periodo1[[#This Row],[DEBITOS]]</f>
        <v>0</v>
      </c>
      <c r="S570" s="3" t="str">
        <f>IF(ISERROR(VLOOKUP(Base_Periodo1[[#This Row],[CONTA]],BaseContasDRE[#All],4,FALSE)),"Fora do DRE",VLOOKUP(Base_Periodo1[[#This Row],[CONTA]],BaseContasDRE[#All],4,FALSE))</f>
        <v>Fora do DRE</v>
      </c>
      <c r="T570" s="3" t="str">
        <f>IF(ISERROR(VLOOKUP(Base_Periodo1[[#This Row],[CONTA]],BaseContasDRE[#All],5,FALSE)),"Fora do DRE",VLOOKUP(Base_Periodo1[[#This Row],[CONTA]],BaseContasDRE[#All],6,FALSE))</f>
        <v>Fora do DRE</v>
      </c>
      <c r="U570" s="3" t="str">
        <f>IF(ISERROR(VLOOKUP(Base_Periodo1[[#This Row],[CONTA]],BaseContasDRE[#All],7,FALSE)),"Fora do DRE",VLOOKUP(Base_Periodo1[[#This Row],[CONTA]],BaseContasDRE[#All],7,FALSE))</f>
        <v>Fora do DRE</v>
      </c>
      <c r="V570" s="3" t="str">
        <f>IF(Base_Periodo1[[#This Row],[Tipo_Linha]]="Fora do DRE","Fora do DRE","( "&amp;Base_Periodo1[[#This Row],[Tipo_Linha]]&amp;" ) "&amp;Base_Periodo1[[#This Row],[Filtro]])</f>
        <v>Fora do DRE</v>
      </c>
      <c r="W570" s="3" t="str">
        <f>LEFT(Base_Periodo1[[#This Row],[CLASS]],3)</f>
        <v>1.1</v>
      </c>
    </row>
    <row r="571" spans="1:23" hidden="1">
      <c r="A571" s="3" t="str">
        <f t="shared" si="8"/>
        <v>Período 1</v>
      </c>
      <c r="B571">
        <v>2840</v>
      </c>
      <c r="C571" t="s">
        <v>503</v>
      </c>
      <c r="D571" t="s">
        <v>4191</v>
      </c>
      <c r="E571" s="3" t="str">
        <f>IF(LEN(Base_Periodo1[[#This Row],[CLASS]])&gt;=7,LEFT(Base_Periodo1[[#This Row],[CLASS]],7),"")</f>
        <v>1.1.2.1</v>
      </c>
      <c r="F571" s="3" t="str">
        <f>VLOOKUP(Base_Periodo1[[#This Row],[Aux]],Base_Contas_Balanco[#All],2,FALSE)</f>
        <v>Creditos com Cooperados</v>
      </c>
      <c r="G571" s="1">
        <v>42885</v>
      </c>
      <c r="H571" s="225">
        <v>40243.139999999985</v>
      </c>
      <c r="I571" s="225">
        <v>34086.619999999995</v>
      </c>
      <c r="J571" s="225">
        <v>56851.619999999995</v>
      </c>
      <c r="K571" s="225">
        <v>17478.139999999985</v>
      </c>
      <c r="L5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17478.14</v>
      </c>
      <c r="M571" s="225">
        <f>ROUND(IF(AND(Base_Periodo1[[#This Row],[Tipo_Linha]]="-",Base_Periodo1[[#This Row],[TIPOSALDO]]="D"),Base_Periodo1[[#This Row],[SALDO_ATUAL]]*-1,Base_Periodo1[[#This Row],[SALDO_ATUAL]]),4)</f>
        <v>17478.14</v>
      </c>
      <c r="N571" t="s">
        <v>116</v>
      </c>
      <c r="O571" t="s">
        <v>397</v>
      </c>
      <c r="P571" t="s">
        <v>397</v>
      </c>
      <c r="Q571">
        <v>7</v>
      </c>
      <c r="R571" s="225">
        <f>Base_Periodo1[[#This Row],[CREDITOS]]-Base_Periodo1[[#This Row],[DEBITOS]]</f>
        <v>22765</v>
      </c>
      <c r="S571" s="3" t="str">
        <f>IF(ISERROR(VLOOKUP(Base_Periodo1[[#This Row],[CONTA]],BaseContasDRE[#All],4,FALSE)),"Fora do DRE",VLOOKUP(Base_Periodo1[[#This Row],[CONTA]],BaseContasDRE[#All],4,FALSE))</f>
        <v>Fora do DRE</v>
      </c>
      <c r="T571" s="3" t="str">
        <f>IF(ISERROR(VLOOKUP(Base_Periodo1[[#This Row],[CONTA]],BaseContasDRE[#All],5,FALSE)),"Fora do DRE",VLOOKUP(Base_Periodo1[[#This Row],[CONTA]],BaseContasDRE[#All],6,FALSE))</f>
        <v>Fora do DRE</v>
      </c>
      <c r="U571" s="3" t="str">
        <f>IF(ISERROR(VLOOKUP(Base_Periodo1[[#This Row],[CONTA]],BaseContasDRE[#All],7,FALSE)),"Fora do DRE",VLOOKUP(Base_Periodo1[[#This Row],[CONTA]],BaseContasDRE[#All],7,FALSE))</f>
        <v>Fora do DRE</v>
      </c>
      <c r="V571" s="3" t="str">
        <f>IF(Base_Periodo1[[#This Row],[Tipo_Linha]]="Fora do DRE","Fora do DRE","( "&amp;Base_Periodo1[[#This Row],[Tipo_Linha]]&amp;" ) "&amp;Base_Periodo1[[#This Row],[Filtro]])</f>
        <v>Fora do DRE</v>
      </c>
      <c r="W571" s="3" t="str">
        <f>LEFT(Base_Periodo1[[#This Row],[CLASS]],3)</f>
        <v>1.1</v>
      </c>
    </row>
    <row r="572" spans="1:23" hidden="1">
      <c r="A572" s="3" t="str">
        <f t="shared" si="8"/>
        <v>Período 1</v>
      </c>
      <c r="B572">
        <v>16516</v>
      </c>
      <c r="C572" t="s">
        <v>503</v>
      </c>
      <c r="D572" t="s">
        <v>5280</v>
      </c>
      <c r="E572" s="3" t="str">
        <f>IF(LEN(Base_Periodo1[[#This Row],[CLASS]])&gt;=7,LEFT(Base_Periodo1[[#This Row],[CLASS]],7),"")</f>
        <v>1.1.2.1</v>
      </c>
      <c r="F572" s="3" t="str">
        <f>VLOOKUP(Base_Periodo1[[#This Row],[Aux]],Base_Contas_Balanco[#All],2,FALSE)</f>
        <v>Creditos com Cooperados</v>
      </c>
      <c r="G572" s="1">
        <v>42879</v>
      </c>
      <c r="H572" s="225">
        <v>41561.620000000054</v>
      </c>
      <c r="I572" s="225">
        <v>8276.35</v>
      </c>
      <c r="J572" s="225">
        <v>49837.97</v>
      </c>
      <c r="K572" s="225">
        <v>5.0931703299283981E-11</v>
      </c>
      <c r="L5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72" s="225">
        <f>ROUND(IF(AND(Base_Periodo1[[#This Row],[Tipo_Linha]]="-",Base_Periodo1[[#This Row],[TIPOSALDO]]="D"),Base_Periodo1[[#This Row],[SALDO_ATUAL]]*-1,Base_Periodo1[[#This Row],[SALDO_ATUAL]]),4)</f>
        <v>0</v>
      </c>
      <c r="N572" t="s">
        <v>116</v>
      </c>
      <c r="O572" t="s">
        <v>397</v>
      </c>
      <c r="P572" t="s">
        <v>436</v>
      </c>
      <c r="Q572">
        <v>7</v>
      </c>
      <c r="R572" s="225">
        <f>Base_Periodo1[[#This Row],[CREDITOS]]-Base_Periodo1[[#This Row],[DEBITOS]]</f>
        <v>41561.620000000003</v>
      </c>
      <c r="S572" s="3" t="str">
        <f>IF(ISERROR(VLOOKUP(Base_Periodo1[[#This Row],[CONTA]],BaseContasDRE[#All],4,FALSE)),"Fora do DRE",VLOOKUP(Base_Periodo1[[#This Row],[CONTA]],BaseContasDRE[#All],4,FALSE))</f>
        <v>Fora do DRE</v>
      </c>
      <c r="T572" s="3" t="str">
        <f>IF(ISERROR(VLOOKUP(Base_Periodo1[[#This Row],[CONTA]],BaseContasDRE[#All],5,FALSE)),"Fora do DRE",VLOOKUP(Base_Periodo1[[#This Row],[CONTA]],BaseContasDRE[#All],6,FALSE))</f>
        <v>Fora do DRE</v>
      </c>
      <c r="U572" s="3" t="str">
        <f>IF(ISERROR(VLOOKUP(Base_Periodo1[[#This Row],[CONTA]],BaseContasDRE[#All],7,FALSE)),"Fora do DRE",VLOOKUP(Base_Periodo1[[#This Row],[CONTA]],BaseContasDRE[#All],7,FALSE))</f>
        <v>Fora do DRE</v>
      </c>
      <c r="V572" s="3" t="str">
        <f>IF(Base_Periodo1[[#This Row],[Tipo_Linha]]="Fora do DRE","Fora do DRE","( "&amp;Base_Periodo1[[#This Row],[Tipo_Linha]]&amp;" ) "&amp;Base_Periodo1[[#This Row],[Filtro]])</f>
        <v>Fora do DRE</v>
      </c>
      <c r="W572" s="3" t="str">
        <f>LEFT(Base_Periodo1[[#This Row],[CLASS]],3)</f>
        <v>1.1</v>
      </c>
    </row>
    <row r="573" spans="1:23" hidden="1">
      <c r="A573" s="3" t="str">
        <f t="shared" si="8"/>
        <v>Período 1</v>
      </c>
      <c r="B573">
        <v>7769</v>
      </c>
      <c r="C573" t="s">
        <v>503</v>
      </c>
      <c r="D573" t="s">
        <v>781</v>
      </c>
      <c r="E573" s="3" t="str">
        <f>IF(LEN(Base_Periodo1[[#This Row],[CLASS]])&gt;=7,LEFT(Base_Periodo1[[#This Row],[CLASS]],7),"")</f>
        <v>1.1.2.1</v>
      </c>
      <c r="F573" s="3" t="str">
        <f>VLOOKUP(Base_Periodo1[[#This Row],[Aux]],Base_Contas_Balanco[#All],2,FALSE)</f>
        <v>Creditos com Cooperados</v>
      </c>
      <c r="G573" s="1">
        <v>42865</v>
      </c>
      <c r="H573" s="225">
        <v>8.9999999909196049E-2</v>
      </c>
      <c r="I573" s="225">
        <v>6128.4699999999993</v>
      </c>
      <c r="J573" s="225">
        <v>3798.47</v>
      </c>
      <c r="K573" s="225">
        <v>2330.0899999999087</v>
      </c>
      <c r="L5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2330.09</v>
      </c>
      <c r="M573" s="225">
        <f>ROUND(IF(AND(Base_Periodo1[[#This Row],[Tipo_Linha]]="-",Base_Periodo1[[#This Row],[TIPOSALDO]]="D"),Base_Periodo1[[#This Row],[SALDO_ATUAL]]*-1,Base_Periodo1[[#This Row],[SALDO_ATUAL]]),4)</f>
        <v>2330.09</v>
      </c>
      <c r="N573" t="s">
        <v>116</v>
      </c>
      <c r="O573" t="s">
        <v>397</v>
      </c>
      <c r="P573" t="s">
        <v>397</v>
      </c>
      <c r="Q573">
        <v>7</v>
      </c>
      <c r="R573" s="225">
        <f>Base_Periodo1[[#This Row],[CREDITOS]]-Base_Periodo1[[#This Row],[DEBITOS]]</f>
        <v>-2329.9999999999995</v>
      </c>
      <c r="S573" s="3" t="str">
        <f>IF(ISERROR(VLOOKUP(Base_Periodo1[[#This Row],[CONTA]],BaseContasDRE[#All],4,FALSE)),"Fora do DRE",VLOOKUP(Base_Periodo1[[#This Row],[CONTA]],BaseContasDRE[#All],4,FALSE))</f>
        <v>Fora do DRE</v>
      </c>
      <c r="T573" s="3" t="str">
        <f>IF(ISERROR(VLOOKUP(Base_Periodo1[[#This Row],[CONTA]],BaseContasDRE[#All],5,FALSE)),"Fora do DRE",VLOOKUP(Base_Periodo1[[#This Row],[CONTA]],BaseContasDRE[#All],6,FALSE))</f>
        <v>Fora do DRE</v>
      </c>
      <c r="U573" s="3" t="str">
        <f>IF(ISERROR(VLOOKUP(Base_Periodo1[[#This Row],[CONTA]],BaseContasDRE[#All],7,FALSE)),"Fora do DRE",VLOOKUP(Base_Periodo1[[#This Row],[CONTA]],BaseContasDRE[#All],7,FALSE))</f>
        <v>Fora do DRE</v>
      </c>
      <c r="V573" s="3" t="str">
        <f>IF(Base_Periodo1[[#This Row],[Tipo_Linha]]="Fora do DRE","Fora do DRE","( "&amp;Base_Periodo1[[#This Row],[Tipo_Linha]]&amp;" ) "&amp;Base_Periodo1[[#This Row],[Filtro]])</f>
        <v>Fora do DRE</v>
      </c>
      <c r="W573" s="3" t="str">
        <f>LEFT(Base_Periodo1[[#This Row],[CLASS]],3)</f>
        <v>1.1</v>
      </c>
    </row>
    <row r="574" spans="1:23" hidden="1">
      <c r="A574" s="3" t="str">
        <f t="shared" si="8"/>
        <v>Período 1</v>
      </c>
      <c r="B574">
        <v>53939</v>
      </c>
      <c r="C574" t="s">
        <v>503</v>
      </c>
      <c r="D574" t="s">
        <v>4774</v>
      </c>
      <c r="E574" s="3" t="str">
        <f>IF(LEN(Base_Periodo1[[#This Row],[CLASS]])&gt;=7,LEFT(Base_Periodo1[[#This Row],[CLASS]],7),"")</f>
        <v>1.1.2.1</v>
      </c>
      <c r="F574" s="3" t="str">
        <f>VLOOKUP(Base_Periodo1[[#This Row],[Aux]],Base_Contas_Balanco[#All],2,FALSE)</f>
        <v>Creditos com Cooperados</v>
      </c>
      <c r="G574" s="1">
        <v>42865</v>
      </c>
      <c r="H574" s="225">
        <v>19906.680000000022</v>
      </c>
      <c r="I574" s="225">
        <v>1122.9000000000001</v>
      </c>
      <c r="J574" s="225">
        <v>0</v>
      </c>
      <c r="K574" s="225">
        <v>21029.580000000024</v>
      </c>
      <c r="L5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21029.58</v>
      </c>
      <c r="M574" s="225">
        <f>ROUND(IF(AND(Base_Periodo1[[#This Row],[Tipo_Linha]]="-",Base_Periodo1[[#This Row],[TIPOSALDO]]="D"),Base_Periodo1[[#This Row],[SALDO_ATUAL]]*-1,Base_Periodo1[[#This Row],[SALDO_ATUAL]]),4)</f>
        <v>21029.58</v>
      </c>
      <c r="N574" t="s">
        <v>116</v>
      </c>
      <c r="O574" t="s">
        <v>397</v>
      </c>
      <c r="P574" t="s">
        <v>397</v>
      </c>
      <c r="Q574">
        <v>7</v>
      </c>
      <c r="R574" s="225">
        <f>Base_Periodo1[[#This Row],[CREDITOS]]-Base_Periodo1[[#This Row],[DEBITOS]]</f>
        <v>-1122.9000000000001</v>
      </c>
      <c r="S574" s="3" t="str">
        <f>IF(ISERROR(VLOOKUP(Base_Periodo1[[#This Row],[CONTA]],BaseContasDRE[#All],4,FALSE)),"Fora do DRE",VLOOKUP(Base_Periodo1[[#This Row],[CONTA]],BaseContasDRE[#All],4,FALSE))</f>
        <v>Fora do DRE</v>
      </c>
      <c r="T574" s="3" t="str">
        <f>IF(ISERROR(VLOOKUP(Base_Periodo1[[#This Row],[CONTA]],BaseContasDRE[#All],5,FALSE)),"Fora do DRE",VLOOKUP(Base_Periodo1[[#This Row],[CONTA]],BaseContasDRE[#All],6,FALSE))</f>
        <v>Fora do DRE</v>
      </c>
      <c r="U574" s="3" t="str">
        <f>IF(ISERROR(VLOOKUP(Base_Periodo1[[#This Row],[CONTA]],BaseContasDRE[#All],7,FALSE)),"Fora do DRE",VLOOKUP(Base_Periodo1[[#This Row],[CONTA]],BaseContasDRE[#All],7,FALSE))</f>
        <v>Fora do DRE</v>
      </c>
      <c r="V574" s="3" t="str">
        <f>IF(Base_Periodo1[[#This Row],[Tipo_Linha]]="Fora do DRE","Fora do DRE","( "&amp;Base_Periodo1[[#This Row],[Tipo_Linha]]&amp;" ) "&amp;Base_Periodo1[[#This Row],[Filtro]])</f>
        <v>Fora do DRE</v>
      </c>
      <c r="W574" s="3" t="str">
        <f>LEFT(Base_Periodo1[[#This Row],[CLASS]],3)</f>
        <v>1.1</v>
      </c>
    </row>
    <row r="575" spans="1:23" hidden="1">
      <c r="A575" s="3" t="str">
        <f t="shared" si="8"/>
        <v>Período 1</v>
      </c>
      <c r="B575">
        <v>40081</v>
      </c>
      <c r="C575" t="s">
        <v>503</v>
      </c>
      <c r="D575" t="s">
        <v>782</v>
      </c>
      <c r="E575" s="3" t="str">
        <f>IF(LEN(Base_Periodo1[[#This Row],[CLASS]])&gt;=7,LEFT(Base_Periodo1[[#This Row],[CLASS]],7),"")</f>
        <v>1.1.2.1</v>
      </c>
      <c r="F575" s="3" t="str">
        <f>VLOOKUP(Base_Periodo1[[#This Row],[Aux]],Base_Contas_Balanco[#All],2,FALSE)</f>
        <v>Creditos com Cooperados</v>
      </c>
      <c r="G575" s="1">
        <v>42880</v>
      </c>
      <c r="H575" s="225">
        <v>12589.750000000116</v>
      </c>
      <c r="I575" s="225">
        <v>668</v>
      </c>
      <c r="J575" s="225">
        <v>0</v>
      </c>
      <c r="K575" s="225">
        <v>13257.750000000116</v>
      </c>
      <c r="L5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13257.75</v>
      </c>
      <c r="M575" s="225">
        <f>ROUND(IF(AND(Base_Periodo1[[#This Row],[Tipo_Linha]]="-",Base_Periodo1[[#This Row],[TIPOSALDO]]="D"),Base_Periodo1[[#This Row],[SALDO_ATUAL]]*-1,Base_Periodo1[[#This Row],[SALDO_ATUAL]]),4)</f>
        <v>13257.75</v>
      </c>
      <c r="N575" t="s">
        <v>116</v>
      </c>
      <c r="O575" t="s">
        <v>397</v>
      </c>
      <c r="P575" t="s">
        <v>397</v>
      </c>
      <c r="Q575">
        <v>7</v>
      </c>
      <c r="R575" s="225">
        <f>Base_Periodo1[[#This Row],[CREDITOS]]-Base_Periodo1[[#This Row],[DEBITOS]]</f>
        <v>-668</v>
      </c>
      <c r="S575" s="3" t="str">
        <f>IF(ISERROR(VLOOKUP(Base_Periodo1[[#This Row],[CONTA]],BaseContasDRE[#All],4,FALSE)),"Fora do DRE",VLOOKUP(Base_Periodo1[[#This Row],[CONTA]],BaseContasDRE[#All],4,FALSE))</f>
        <v>Fora do DRE</v>
      </c>
      <c r="T575" s="3" t="str">
        <f>IF(ISERROR(VLOOKUP(Base_Periodo1[[#This Row],[CONTA]],BaseContasDRE[#All],5,FALSE)),"Fora do DRE",VLOOKUP(Base_Periodo1[[#This Row],[CONTA]],BaseContasDRE[#All],6,FALSE))</f>
        <v>Fora do DRE</v>
      </c>
      <c r="U575" s="3" t="str">
        <f>IF(ISERROR(VLOOKUP(Base_Periodo1[[#This Row],[CONTA]],BaseContasDRE[#All],7,FALSE)),"Fora do DRE",VLOOKUP(Base_Periodo1[[#This Row],[CONTA]],BaseContasDRE[#All],7,FALSE))</f>
        <v>Fora do DRE</v>
      </c>
      <c r="V575" s="3" t="str">
        <f>IF(Base_Periodo1[[#This Row],[Tipo_Linha]]="Fora do DRE","Fora do DRE","( "&amp;Base_Periodo1[[#This Row],[Tipo_Linha]]&amp;" ) "&amp;Base_Periodo1[[#This Row],[Filtro]])</f>
        <v>Fora do DRE</v>
      </c>
      <c r="W575" s="3" t="str">
        <f>LEFT(Base_Periodo1[[#This Row],[CLASS]],3)</f>
        <v>1.1</v>
      </c>
    </row>
    <row r="576" spans="1:23" hidden="1">
      <c r="A576" s="3" t="str">
        <f t="shared" si="8"/>
        <v>Período 1</v>
      </c>
      <c r="B576">
        <v>3764</v>
      </c>
      <c r="C576" t="s">
        <v>503</v>
      </c>
      <c r="D576" t="s">
        <v>783</v>
      </c>
      <c r="E576" s="3" t="str">
        <f>IF(LEN(Base_Periodo1[[#This Row],[CLASS]])&gt;=7,LEFT(Base_Periodo1[[#This Row],[CLASS]],7),"")</f>
        <v>1.1.2.1</v>
      </c>
      <c r="F576" s="3" t="str">
        <f>VLOOKUP(Base_Periodo1[[#This Row],[Aux]],Base_Contas_Balanco[#All],2,FALSE)</f>
        <v>Creditos com Cooperados</v>
      </c>
      <c r="G576" s="1">
        <v>42853</v>
      </c>
      <c r="H576" s="225">
        <v>3123.0699999975041</v>
      </c>
      <c r="I576" s="225">
        <v>0</v>
      </c>
      <c r="J576" s="225">
        <v>0</v>
      </c>
      <c r="K576" s="225">
        <v>3123.0699999975041</v>
      </c>
      <c r="L5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3123.07</v>
      </c>
      <c r="M576" s="225">
        <f>ROUND(IF(AND(Base_Periodo1[[#This Row],[Tipo_Linha]]="-",Base_Periodo1[[#This Row],[TIPOSALDO]]="D"),Base_Periodo1[[#This Row],[SALDO_ATUAL]]*-1,Base_Periodo1[[#This Row],[SALDO_ATUAL]]),4)</f>
        <v>3123.07</v>
      </c>
      <c r="N576" t="s">
        <v>116</v>
      </c>
      <c r="O576" t="s">
        <v>397</v>
      </c>
      <c r="P576" t="s">
        <v>397</v>
      </c>
      <c r="Q576">
        <v>7</v>
      </c>
      <c r="R576" s="225">
        <f>Base_Periodo1[[#This Row],[CREDITOS]]-Base_Periodo1[[#This Row],[DEBITOS]]</f>
        <v>0</v>
      </c>
      <c r="S576" s="3" t="str">
        <f>IF(ISERROR(VLOOKUP(Base_Periodo1[[#This Row],[CONTA]],BaseContasDRE[#All],4,FALSE)),"Fora do DRE",VLOOKUP(Base_Periodo1[[#This Row],[CONTA]],BaseContasDRE[#All],4,FALSE))</f>
        <v>Fora do DRE</v>
      </c>
      <c r="T576" s="3" t="str">
        <f>IF(ISERROR(VLOOKUP(Base_Periodo1[[#This Row],[CONTA]],BaseContasDRE[#All],5,FALSE)),"Fora do DRE",VLOOKUP(Base_Periodo1[[#This Row],[CONTA]],BaseContasDRE[#All],6,FALSE))</f>
        <v>Fora do DRE</v>
      </c>
      <c r="U576" s="3" t="str">
        <f>IF(ISERROR(VLOOKUP(Base_Periodo1[[#This Row],[CONTA]],BaseContasDRE[#All],7,FALSE)),"Fora do DRE",VLOOKUP(Base_Periodo1[[#This Row],[CONTA]],BaseContasDRE[#All],7,FALSE))</f>
        <v>Fora do DRE</v>
      </c>
      <c r="V576" s="3" t="str">
        <f>IF(Base_Periodo1[[#This Row],[Tipo_Linha]]="Fora do DRE","Fora do DRE","( "&amp;Base_Periodo1[[#This Row],[Tipo_Linha]]&amp;" ) "&amp;Base_Periodo1[[#This Row],[Filtro]])</f>
        <v>Fora do DRE</v>
      </c>
      <c r="W576" s="3" t="str">
        <f>LEFT(Base_Periodo1[[#This Row],[CLASS]],3)</f>
        <v>1.1</v>
      </c>
    </row>
    <row r="577" spans="1:23" hidden="1">
      <c r="A577" s="3" t="str">
        <f t="shared" si="8"/>
        <v>Período 1</v>
      </c>
      <c r="B577">
        <v>52569</v>
      </c>
      <c r="C577" t="s">
        <v>503</v>
      </c>
      <c r="D577" t="s">
        <v>6723</v>
      </c>
      <c r="E577" s="3" t="str">
        <f>IF(LEN(Base_Periodo1[[#This Row],[CLASS]])&gt;=7,LEFT(Base_Periodo1[[#This Row],[CLASS]],7),"")</f>
        <v>1.1.2.1</v>
      </c>
      <c r="F577" s="3" t="str">
        <f>VLOOKUP(Base_Periodo1[[#This Row],[Aux]],Base_Contas_Balanco[#All],2,FALSE)</f>
        <v>Creditos com Cooperados</v>
      </c>
      <c r="G577" s="1">
        <v>42881</v>
      </c>
      <c r="I577" s="225">
        <v>3266.6</v>
      </c>
      <c r="J577" s="225">
        <v>938.6</v>
      </c>
      <c r="K577" s="225">
        <v>2328.0000000000073</v>
      </c>
      <c r="L5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2328</v>
      </c>
      <c r="M577" s="225">
        <f>ROUND(IF(AND(Base_Periodo1[[#This Row],[Tipo_Linha]]="-",Base_Periodo1[[#This Row],[TIPOSALDO]]="D"),Base_Periodo1[[#This Row],[SALDO_ATUAL]]*-1,Base_Periodo1[[#This Row],[SALDO_ATUAL]]),4)</f>
        <v>2328</v>
      </c>
      <c r="N577" t="s">
        <v>116</v>
      </c>
      <c r="O577" t="s">
        <v>436</v>
      </c>
      <c r="P577" t="s">
        <v>397</v>
      </c>
      <c r="Q577">
        <v>7</v>
      </c>
      <c r="R577" s="225">
        <f>Base_Periodo1[[#This Row],[CREDITOS]]-Base_Periodo1[[#This Row],[DEBITOS]]</f>
        <v>-2328</v>
      </c>
      <c r="S577" s="3" t="str">
        <f>IF(ISERROR(VLOOKUP(Base_Periodo1[[#This Row],[CONTA]],BaseContasDRE[#All],4,FALSE)),"Fora do DRE",VLOOKUP(Base_Periodo1[[#This Row],[CONTA]],BaseContasDRE[#All],4,FALSE))</f>
        <v>Fora do DRE</v>
      </c>
      <c r="T577" s="3" t="str">
        <f>IF(ISERROR(VLOOKUP(Base_Periodo1[[#This Row],[CONTA]],BaseContasDRE[#All],5,FALSE)),"Fora do DRE",VLOOKUP(Base_Periodo1[[#This Row],[CONTA]],BaseContasDRE[#All],6,FALSE))</f>
        <v>Fora do DRE</v>
      </c>
      <c r="U577" s="3" t="str">
        <f>IF(ISERROR(VLOOKUP(Base_Periodo1[[#This Row],[CONTA]],BaseContasDRE[#All],7,FALSE)),"Fora do DRE",VLOOKUP(Base_Periodo1[[#This Row],[CONTA]],BaseContasDRE[#All],7,FALSE))</f>
        <v>Fora do DRE</v>
      </c>
      <c r="V577" s="3" t="str">
        <f>IF(Base_Periodo1[[#This Row],[Tipo_Linha]]="Fora do DRE","Fora do DRE","( "&amp;Base_Periodo1[[#This Row],[Tipo_Linha]]&amp;" ) "&amp;Base_Periodo1[[#This Row],[Filtro]])</f>
        <v>Fora do DRE</v>
      </c>
      <c r="W577" s="3" t="str">
        <f>LEFT(Base_Periodo1[[#This Row],[CLASS]],3)</f>
        <v>1.1</v>
      </c>
    </row>
    <row r="578" spans="1:23" hidden="1">
      <c r="A578" s="3" t="str">
        <f t="shared" si="8"/>
        <v>Período 1</v>
      </c>
      <c r="B578">
        <v>39004</v>
      </c>
      <c r="C578" t="s">
        <v>503</v>
      </c>
      <c r="D578" t="s">
        <v>784</v>
      </c>
      <c r="E578" s="3" t="str">
        <f>IF(LEN(Base_Periodo1[[#This Row],[CLASS]])&gt;=7,LEFT(Base_Periodo1[[#This Row],[CLASS]],7),"")</f>
        <v>1.1.2.1</v>
      </c>
      <c r="F578" s="3" t="str">
        <f>VLOOKUP(Base_Periodo1[[#This Row],[Aux]],Base_Contas_Balanco[#All],2,FALSE)</f>
        <v>Creditos com Cooperados</v>
      </c>
      <c r="G578" s="1">
        <v>42873</v>
      </c>
      <c r="H578" s="225">
        <v>48658.199999999953</v>
      </c>
      <c r="I578" s="225">
        <v>470</v>
      </c>
      <c r="J578" s="225">
        <v>0</v>
      </c>
      <c r="K578" s="225">
        <v>49128.199999999953</v>
      </c>
      <c r="L5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49128.2</v>
      </c>
      <c r="M578" s="225">
        <f>ROUND(IF(AND(Base_Periodo1[[#This Row],[Tipo_Linha]]="-",Base_Periodo1[[#This Row],[TIPOSALDO]]="D"),Base_Periodo1[[#This Row],[SALDO_ATUAL]]*-1,Base_Periodo1[[#This Row],[SALDO_ATUAL]]),4)</f>
        <v>49128.2</v>
      </c>
      <c r="N578" t="s">
        <v>116</v>
      </c>
      <c r="O578" t="s">
        <v>397</v>
      </c>
      <c r="P578" t="s">
        <v>397</v>
      </c>
      <c r="Q578">
        <v>7</v>
      </c>
      <c r="R578" s="225">
        <f>Base_Periodo1[[#This Row],[CREDITOS]]-Base_Periodo1[[#This Row],[DEBITOS]]</f>
        <v>-470</v>
      </c>
      <c r="S578" s="3" t="str">
        <f>IF(ISERROR(VLOOKUP(Base_Periodo1[[#This Row],[CONTA]],BaseContasDRE[#All],4,FALSE)),"Fora do DRE",VLOOKUP(Base_Periodo1[[#This Row],[CONTA]],BaseContasDRE[#All],4,FALSE))</f>
        <v>Fora do DRE</v>
      </c>
      <c r="T578" s="3" t="str">
        <f>IF(ISERROR(VLOOKUP(Base_Periodo1[[#This Row],[CONTA]],BaseContasDRE[#All],5,FALSE)),"Fora do DRE",VLOOKUP(Base_Periodo1[[#This Row],[CONTA]],BaseContasDRE[#All],6,FALSE))</f>
        <v>Fora do DRE</v>
      </c>
      <c r="U578" s="3" t="str">
        <f>IF(ISERROR(VLOOKUP(Base_Periodo1[[#This Row],[CONTA]],BaseContasDRE[#All],7,FALSE)),"Fora do DRE",VLOOKUP(Base_Periodo1[[#This Row],[CONTA]],BaseContasDRE[#All],7,FALSE))</f>
        <v>Fora do DRE</v>
      </c>
      <c r="V578" s="3" t="str">
        <f>IF(Base_Periodo1[[#This Row],[Tipo_Linha]]="Fora do DRE","Fora do DRE","( "&amp;Base_Periodo1[[#This Row],[Tipo_Linha]]&amp;" ) "&amp;Base_Periodo1[[#This Row],[Filtro]])</f>
        <v>Fora do DRE</v>
      </c>
      <c r="W578" s="3" t="str">
        <f>LEFT(Base_Periodo1[[#This Row],[CLASS]],3)</f>
        <v>1.1</v>
      </c>
    </row>
    <row r="579" spans="1:23" hidden="1">
      <c r="A579" s="3" t="str">
        <f t="shared" si="8"/>
        <v>Período 1</v>
      </c>
      <c r="B579">
        <v>2872</v>
      </c>
      <c r="C579" t="s">
        <v>503</v>
      </c>
      <c r="D579" t="s">
        <v>785</v>
      </c>
      <c r="E579" s="3" t="str">
        <f>IF(LEN(Base_Periodo1[[#This Row],[CLASS]])&gt;=7,LEFT(Base_Periodo1[[#This Row],[CLASS]],7),"")</f>
        <v>1.1.2.1</v>
      </c>
      <c r="F579" s="3" t="str">
        <f>VLOOKUP(Base_Periodo1[[#This Row],[Aux]],Base_Contas_Balanco[#All],2,FALSE)</f>
        <v>Creditos com Cooperados</v>
      </c>
      <c r="G579" s="1">
        <v>42870</v>
      </c>
      <c r="I579" s="225">
        <v>540</v>
      </c>
      <c r="J579" s="225">
        <v>539.99999999999989</v>
      </c>
      <c r="K579" s="225">
        <v>-1.4438228390645236E-11</v>
      </c>
      <c r="L5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79" s="225">
        <f>ROUND(IF(AND(Base_Periodo1[[#This Row],[Tipo_Linha]]="-",Base_Periodo1[[#This Row],[TIPOSALDO]]="D"),Base_Periodo1[[#This Row],[SALDO_ATUAL]]*-1,Base_Periodo1[[#This Row],[SALDO_ATUAL]]),4)</f>
        <v>0</v>
      </c>
      <c r="N579" t="s">
        <v>116</v>
      </c>
      <c r="O579" t="s">
        <v>436</v>
      </c>
      <c r="P579" t="s">
        <v>436</v>
      </c>
      <c r="Q579">
        <v>7</v>
      </c>
      <c r="R579" s="225">
        <f>Base_Periodo1[[#This Row],[CREDITOS]]-Base_Periodo1[[#This Row],[DEBITOS]]</f>
        <v>0</v>
      </c>
      <c r="S579" s="3" t="str">
        <f>IF(ISERROR(VLOOKUP(Base_Periodo1[[#This Row],[CONTA]],BaseContasDRE[#All],4,FALSE)),"Fora do DRE",VLOOKUP(Base_Periodo1[[#This Row],[CONTA]],BaseContasDRE[#All],4,FALSE))</f>
        <v>Fora do DRE</v>
      </c>
      <c r="T579" s="3" t="str">
        <f>IF(ISERROR(VLOOKUP(Base_Periodo1[[#This Row],[CONTA]],BaseContasDRE[#All],5,FALSE)),"Fora do DRE",VLOOKUP(Base_Periodo1[[#This Row],[CONTA]],BaseContasDRE[#All],6,FALSE))</f>
        <v>Fora do DRE</v>
      </c>
      <c r="U579" s="3" t="str">
        <f>IF(ISERROR(VLOOKUP(Base_Periodo1[[#This Row],[CONTA]],BaseContasDRE[#All],7,FALSE)),"Fora do DRE",VLOOKUP(Base_Periodo1[[#This Row],[CONTA]],BaseContasDRE[#All],7,FALSE))</f>
        <v>Fora do DRE</v>
      </c>
      <c r="V579" s="3" t="str">
        <f>IF(Base_Periodo1[[#This Row],[Tipo_Linha]]="Fora do DRE","Fora do DRE","( "&amp;Base_Periodo1[[#This Row],[Tipo_Linha]]&amp;" ) "&amp;Base_Periodo1[[#This Row],[Filtro]])</f>
        <v>Fora do DRE</v>
      </c>
      <c r="W579" s="3" t="str">
        <f>LEFT(Base_Periodo1[[#This Row],[CLASS]],3)</f>
        <v>1.1</v>
      </c>
    </row>
    <row r="580" spans="1:23" hidden="1">
      <c r="A580" s="3" t="str">
        <f t="shared" si="8"/>
        <v>Período 1</v>
      </c>
      <c r="B580">
        <v>2832</v>
      </c>
      <c r="C580" t="s">
        <v>503</v>
      </c>
      <c r="D580" t="s">
        <v>786</v>
      </c>
      <c r="E580" s="3" t="str">
        <f>IF(LEN(Base_Periodo1[[#This Row],[CLASS]])&gt;=7,LEFT(Base_Periodo1[[#This Row],[CLASS]],7),"")</f>
        <v>1.1.2.1</v>
      </c>
      <c r="F580" s="3" t="str">
        <f>VLOOKUP(Base_Periodo1[[#This Row],[Aux]],Base_Contas_Balanco[#All],2,FALSE)</f>
        <v>Creditos com Cooperados</v>
      </c>
      <c r="G580" s="1">
        <v>42872</v>
      </c>
      <c r="H580" s="225">
        <v>7336.9099999999162</v>
      </c>
      <c r="I580" s="225">
        <v>2447.69</v>
      </c>
      <c r="J580" s="225">
        <v>5717.26</v>
      </c>
      <c r="K580" s="225">
        <v>4067.3399999999165</v>
      </c>
      <c r="L5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4067.34</v>
      </c>
      <c r="M580" s="225">
        <f>ROUND(IF(AND(Base_Periodo1[[#This Row],[Tipo_Linha]]="-",Base_Periodo1[[#This Row],[TIPOSALDO]]="D"),Base_Periodo1[[#This Row],[SALDO_ATUAL]]*-1,Base_Periodo1[[#This Row],[SALDO_ATUAL]]),4)</f>
        <v>4067.34</v>
      </c>
      <c r="N580" t="s">
        <v>116</v>
      </c>
      <c r="O580" t="s">
        <v>397</v>
      </c>
      <c r="P580" t="s">
        <v>397</v>
      </c>
      <c r="Q580">
        <v>7</v>
      </c>
      <c r="R580" s="225">
        <f>Base_Periodo1[[#This Row],[CREDITOS]]-Base_Periodo1[[#This Row],[DEBITOS]]</f>
        <v>3269.57</v>
      </c>
      <c r="S580" s="3" t="str">
        <f>IF(ISERROR(VLOOKUP(Base_Periodo1[[#This Row],[CONTA]],BaseContasDRE[#All],4,FALSE)),"Fora do DRE",VLOOKUP(Base_Periodo1[[#This Row],[CONTA]],BaseContasDRE[#All],4,FALSE))</f>
        <v>Fora do DRE</v>
      </c>
      <c r="T580" s="3" t="str">
        <f>IF(ISERROR(VLOOKUP(Base_Periodo1[[#This Row],[CONTA]],BaseContasDRE[#All],5,FALSE)),"Fora do DRE",VLOOKUP(Base_Periodo1[[#This Row],[CONTA]],BaseContasDRE[#All],6,FALSE))</f>
        <v>Fora do DRE</v>
      </c>
      <c r="U580" s="3" t="str">
        <f>IF(ISERROR(VLOOKUP(Base_Periodo1[[#This Row],[CONTA]],BaseContasDRE[#All],7,FALSE)),"Fora do DRE",VLOOKUP(Base_Periodo1[[#This Row],[CONTA]],BaseContasDRE[#All],7,FALSE))</f>
        <v>Fora do DRE</v>
      </c>
      <c r="V580" s="3" t="str">
        <f>IF(Base_Periodo1[[#This Row],[Tipo_Linha]]="Fora do DRE","Fora do DRE","( "&amp;Base_Periodo1[[#This Row],[Tipo_Linha]]&amp;" ) "&amp;Base_Periodo1[[#This Row],[Filtro]])</f>
        <v>Fora do DRE</v>
      </c>
      <c r="W580" s="3" t="str">
        <f>LEFT(Base_Periodo1[[#This Row],[CLASS]],3)</f>
        <v>1.1</v>
      </c>
    </row>
    <row r="581" spans="1:23" hidden="1">
      <c r="A581" s="3" t="str">
        <f t="shared" si="8"/>
        <v>Período 1</v>
      </c>
      <c r="B581">
        <v>3268</v>
      </c>
      <c r="C581" t="s">
        <v>503</v>
      </c>
      <c r="D581" t="s">
        <v>787</v>
      </c>
      <c r="E581" s="3" t="str">
        <f>IF(LEN(Base_Periodo1[[#This Row],[CLASS]])&gt;=7,LEFT(Base_Periodo1[[#This Row],[CLASS]],7),"")</f>
        <v>1.1.2.1</v>
      </c>
      <c r="F581" s="3" t="str">
        <f>VLOOKUP(Base_Periodo1[[#This Row],[Aux]],Base_Contas_Balanco[#All],2,FALSE)</f>
        <v>Creditos com Cooperados</v>
      </c>
      <c r="G581" s="1">
        <v>42886</v>
      </c>
      <c r="H581" s="225">
        <v>966079.65000000596</v>
      </c>
      <c r="I581" s="225">
        <v>898090.52</v>
      </c>
      <c r="J581" s="225">
        <v>1117173.22</v>
      </c>
      <c r="K581" s="225">
        <v>746996.95000000601</v>
      </c>
      <c r="L5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746996.95</v>
      </c>
      <c r="M581" s="225">
        <f>ROUND(IF(AND(Base_Periodo1[[#This Row],[Tipo_Linha]]="-",Base_Periodo1[[#This Row],[TIPOSALDO]]="D"),Base_Periodo1[[#This Row],[SALDO_ATUAL]]*-1,Base_Periodo1[[#This Row],[SALDO_ATUAL]]),4)</f>
        <v>746996.95</v>
      </c>
      <c r="N581" t="s">
        <v>116</v>
      </c>
      <c r="O581" t="s">
        <v>397</v>
      </c>
      <c r="P581" t="s">
        <v>397</v>
      </c>
      <c r="Q581">
        <v>7</v>
      </c>
      <c r="R581" s="225">
        <f>Base_Periodo1[[#This Row],[CREDITOS]]-Base_Periodo1[[#This Row],[DEBITOS]]</f>
        <v>219082.69999999995</v>
      </c>
      <c r="S581" s="3" t="str">
        <f>IF(ISERROR(VLOOKUP(Base_Periodo1[[#This Row],[CONTA]],BaseContasDRE[#All],4,FALSE)),"Fora do DRE",VLOOKUP(Base_Periodo1[[#This Row],[CONTA]],BaseContasDRE[#All],4,FALSE))</f>
        <v>Fora do DRE</v>
      </c>
      <c r="T581" s="3" t="str">
        <f>IF(ISERROR(VLOOKUP(Base_Periodo1[[#This Row],[CONTA]],BaseContasDRE[#All],5,FALSE)),"Fora do DRE",VLOOKUP(Base_Periodo1[[#This Row],[CONTA]],BaseContasDRE[#All],6,FALSE))</f>
        <v>Fora do DRE</v>
      </c>
      <c r="U581" s="3" t="str">
        <f>IF(ISERROR(VLOOKUP(Base_Periodo1[[#This Row],[CONTA]],BaseContasDRE[#All],7,FALSE)),"Fora do DRE",VLOOKUP(Base_Periodo1[[#This Row],[CONTA]],BaseContasDRE[#All],7,FALSE))</f>
        <v>Fora do DRE</v>
      </c>
      <c r="V581" s="3" t="str">
        <f>IF(Base_Periodo1[[#This Row],[Tipo_Linha]]="Fora do DRE","Fora do DRE","( "&amp;Base_Periodo1[[#This Row],[Tipo_Linha]]&amp;" ) "&amp;Base_Periodo1[[#This Row],[Filtro]])</f>
        <v>Fora do DRE</v>
      </c>
      <c r="W581" s="3" t="str">
        <f>LEFT(Base_Periodo1[[#This Row],[CLASS]],3)</f>
        <v>1.1</v>
      </c>
    </row>
    <row r="582" spans="1:23" hidden="1">
      <c r="A582" s="3" t="str">
        <f t="shared" ref="A582:A645" si="9">"Período 1"</f>
        <v>Período 1</v>
      </c>
      <c r="B582">
        <v>6929</v>
      </c>
      <c r="C582" t="s">
        <v>503</v>
      </c>
      <c r="D582" t="s">
        <v>788</v>
      </c>
      <c r="E582" s="3" t="str">
        <f>IF(LEN(Base_Periodo1[[#This Row],[CLASS]])&gt;=7,LEFT(Base_Periodo1[[#This Row],[CLASS]],7),"")</f>
        <v>1.1.2.1</v>
      </c>
      <c r="F582" s="3" t="str">
        <f>VLOOKUP(Base_Periodo1[[#This Row],[Aux]],Base_Contas_Balanco[#All],2,FALSE)</f>
        <v>Creditos com Cooperados</v>
      </c>
      <c r="G582" s="1">
        <v>42828</v>
      </c>
      <c r="H582" s="225">
        <v>77.999999999970896</v>
      </c>
      <c r="I582" s="225">
        <v>0</v>
      </c>
      <c r="J582" s="225">
        <v>0</v>
      </c>
      <c r="K582" s="225">
        <v>77.999999999970896</v>
      </c>
      <c r="L5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</v>
      </c>
      <c r="M582" s="225">
        <f>ROUND(IF(AND(Base_Periodo1[[#This Row],[Tipo_Linha]]="-",Base_Periodo1[[#This Row],[TIPOSALDO]]="D"),Base_Periodo1[[#This Row],[SALDO_ATUAL]]*-1,Base_Periodo1[[#This Row],[SALDO_ATUAL]]),4)</f>
        <v>78</v>
      </c>
      <c r="N582" t="s">
        <v>116</v>
      </c>
      <c r="O582" t="s">
        <v>397</v>
      </c>
      <c r="P582" t="s">
        <v>397</v>
      </c>
      <c r="Q582">
        <v>7</v>
      </c>
      <c r="R582" s="225">
        <f>Base_Periodo1[[#This Row],[CREDITOS]]-Base_Periodo1[[#This Row],[DEBITOS]]</f>
        <v>0</v>
      </c>
      <c r="S582" s="3" t="str">
        <f>IF(ISERROR(VLOOKUP(Base_Periodo1[[#This Row],[CONTA]],BaseContasDRE[#All],4,FALSE)),"Fora do DRE",VLOOKUP(Base_Periodo1[[#This Row],[CONTA]],BaseContasDRE[#All],4,FALSE))</f>
        <v>Fora do DRE</v>
      </c>
      <c r="T582" s="3" t="str">
        <f>IF(ISERROR(VLOOKUP(Base_Periodo1[[#This Row],[CONTA]],BaseContasDRE[#All],5,FALSE)),"Fora do DRE",VLOOKUP(Base_Periodo1[[#This Row],[CONTA]],BaseContasDRE[#All],6,FALSE))</f>
        <v>Fora do DRE</v>
      </c>
      <c r="U582" s="3" t="str">
        <f>IF(ISERROR(VLOOKUP(Base_Periodo1[[#This Row],[CONTA]],BaseContasDRE[#All],7,FALSE)),"Fora do DRE",VLOOKUP(Base_Periodo1[[#This Row],[CONTA]],BaseContasDRE[#All],7,FALSE))</f>
        <v>Fora do DRE</v>
      </c>
      <c r="V582" s="3" t="str">
        <f>IF(Base_Periodo1[[#This Row],[Tipo_Linha]]="Fora do DRE","Fora do DRE","( "&amp;Base_Periodo1[[#This Row],[Tipo_Linha]]&amp;" ) "&amp;Base_Periodo1[[#This Row],[Filtro]])</f>
        <v>Fora do DRE</v>
      </c>
      <c r="W582" s="3" t="str">
        <f>LEFT(Base_Periodo1[[#This Row],[CLASS]],3)</f>
        <v>1.1</v>
      </c>
    </row>
    <row r="583" spans="1:23" hidden="1">
      <c r="A583" s="3" t="str">
        <f t="shared" si="9"/>
        <v>Período 1</v>
      </c>
      <c r="B583">
        <v>47757</v>
      </c>
      <c r="C583" t="s">
        <v>503</v>
      </c>
      <c r="D583" t="s">
        <v>789</v>
      </c>
      <c r="E583" s="3" t="str">
        <f>IF(LEN(Base_Periodo1[[#This Row],[CLASS]])&gt;=7,LEFT(Base_Periodo1[[#This Row],[CLASS]],7),"")</f>
        <v>1.1.2.1</v>
      </c>
      <c r="F583" s="3" t="str">
        <f>VLOOKUP(Base_Periodo1[[#This Row],[Aux]],Base_Contas_Balanco[#All],2,FALSE)</f>
        <v>Creditos com Cooperados</v>
      </c>
      <c r="G583" s="1">
        <v>42884</v>
      </c>
      <c r="I583" s="225">
        <v>55</v>
      </c>
      <c r="J583" s="225">
        <v>55</v>
      </c>
      <c r="K583" s="225">
        <v>5.8207660913467407E-11</v>
      </c>
      <c r="L5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83" s="225">
        <f>ROUND(IF(AND(Base_Periodo1[[#This Row],[Tipo_Linha]]="-",Base_Periodo1[[#This Row],[TIPOSALDO]]="D"),Base_Periodo1[[#This Row],[SALDO_ATUAL]]*-1,Base_Periodo1[[#This Row],[SALDO_ATUAL]]),4)</f>
        <v>0</v>
      </c>
      <c r="N583" t="s">
        <v>116</v>
      </c>
      <c r="O583" t="s">
        <v>436</v>
      </c>
      <c r="P583" t="s">
        <v>436</v>
      </c>
      <c r="Q583">
        <v>7</v>
      </c>
      <c r="R583" s="225">
        <f>Base_Periodo1[[#This Row],[CREDITOS]]-Base_Periodo1[[#This Row],[DEBITOS]]</f>
        <v>0</v>
      </c>
      <c r="S583" s="3" t="str">
        <f>IF(ISERROR(VLOOKUP(Base_Periodo1[[#This Row],[CONTA]],BaseContasDRE[#All],4,FALSE)),"Fora do DRE",VLOOKUP(Base_Periodo1[[#This Row],[CONTA]],BaseContasDRE[#All],4,FALSE))</f>
        <v>Fora do DRE</v>
      </c>
      <c r="T583" s="3" t="str">
        <f>IF(ISERROR(VLOOKUP(Base_Periodo1[[#This Row],[CONTA]],BaseContasDRE[#All],5,FALSE)),"Fora do DRE",VLOOKUP(Base_Periodo1[[#This Row],[CONTA]],BaseContasDRE[#All],6,FALSE))</f>
        <v>Fora do DRE</v>
      </c>
      <c r="U583" s="3" t="str">
        <f>IF(ISERROR(VLOOKUP(Base_Periodo1[[#This Row],[CONTA]],BaseContasDRE[#All],7,FALSE)),"Fora do DRE",VLOOKUP(Base_Periodo1[[#This Row],[CONTA]],BaseContasDRE[#All],7,FALSE))</f>
        <v>Fora do DRE</v>
      </c>
      <c r="V583" s="3" t="str">
        <f>IF(Base_Periodo1[[#This Row],[Tipo_Linha]]="Fora do DRE","Fora do DRE","( "&amp;Base_Periodo1[[#This Row],[Tipo_Linha]]&amp;" ) "&amp;Base_Periodo1[[#This Row],[Filtro]])</f>
        <v>Fora do DRE</v>
      </c>
      <c r="W583" s="3" t="str">
        <f>LEFT(Base_Periodo1[[#This Row],[CLASS]],3)</f>
        <v>1.1</v>
      </c>
    </row>
    <row r="584" spans="1:23" hidden="1">
      <c r="A584" s="3" t="str">
        <f t="shared" si="9"/>
        <v>Período 1</v>
      </c>
      <c r="B584">
        <v>48784</v>
      </c>
      <c r="C584" t="s">
        <v>503</v>
      </c>
      <c r="D584" t="s">
        <v>5391</v>
      </c>
      <c r="E584" s="3" t="str">
        <f>IF(LEN(Base_Periodo1[[#This Row],[CLASS]])&gt;=7,LEFT(Base_Periodo1[[#This Row],[CLASS]],7),"")</f>
        <v>1.1.2.1</v>
      </c>
      <c r="F584" s="3" t="str">
        <f>VLOOKUP(Base_Periodo1[[#This Row],[Aux]],Base_Contas_Balanco[#All],2,FALSE)</f>
        <v>Creditos com Cooperados</v>
      </c>
      <c r="G584" s="1">
        <v>42857</v>
      </c>
      <c r="H584" s="225">
        <v>3230</v>
      </c>
      <c r="I584" s="225">
        <v>0</v>
      </c>
      <c r="J584" s="225">
        <v>3230</v>
      </c>
      <c r="K584" s="225">
        <v>0</v>
      </c>
      <c r="L5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84" s="225">
        <f>ROUND(IF(AND(Base_Periodo1[[#This Row],[Tipo_Linha]]="-",Base_Periodo1[[#This Row],[TIPOSALDO]]="D"),Base_Periodo1[[#This Row],[SALDO_ATUAL]]*-1,Base_Periodo1[[#This Row],[SALDO_ATUAL]]),4)</f>
        <v>0</v>
      </c>
      <c r="N584" t="s">
        <v>116</v>
      </c>
      <c r="O584" t="s">
        <v>397</v>
      </c>
      <c r="P584" t="s">
        <v>436</v>
      </c>
      <c r="Q584">
        <v>7</v>
      </c>
      <c r="R584" s="225">
        <f>Base_Periodo1[[#This Row],[CREDITOS]]-Base_Periodo1[[#This Row],[DEBITOS]]</f>
        <v>3230</v>
      </c>
      <c r="S584" s="3" t="str">
        <f>IF(ISERROR(VLOOKUP(Base_Periodo1[[#This Row],[CONTA]],BaseContasDRE[#All],4,FALSE)),"Fora do DRE",VLOOKUP(Base_Periodo1[[#This Row],[CONTA]],BaseContasDRE[#All],4,FALSE))</f>
        <v>Fora do DRE</v>
      </c>
      <c r="T584" s="3" t="str">
        <f>IF(ISERROR(VLOOKUP(Base_Periodo1[[#This Row],[CONTA]],BaseContasDRE[#All],5,FALSE)),"Fora do DRE",VLOOKUP(Base_Periodo1[[#This Row],[CONTA]],BaseContasDRE[#All],6,FALSE))</f>
        <v>Fora do DRE</v>
      </c>
      <c r="U584" s="3" t="str">
        <f>IF(ISERROR(VLOOKUP(Base_Periodo1[[#This Row],[CONTA]],BaseContasDRE[#All],7,FALSE)),"Fora do DRE",VLOOKUP(Base_Periodo1[[#This Row],[CONTA]],BaseContasDRE[#All],7,FALSE))</f>
        <v>Fora do DRE</v>
      </c>
      <c r="V584" s="3" t="str">
        <f>IF(Base_Periodo1[[#This Row],[Tipo_Linha]]="Fora do DRE","Fora do DRE","( "&amp;Base_Periodo1[[#This Row],[Tipo_Linha]]&amp;" ) "&amp;Base_Periodo1[[#This Row],[Filtro]])</f>
        <v>Fora do DRE</v>
      </c>
      <c r="W584" s="3" t="str">
        <f>LEFT(Base_Periodo1[[#This Row],[CLASS]],3)</f>
        <v>1.1</v>
      </c>
    </row>
    <row r="585" spans="1:23" hidden="1">
      <c r="A585" s="3" t="str">
        <f t="shared" si="9"/>
        <v>Período 1</v>
      </c>
      <c r="B585">
        <v>49983</v>
      </c>
      <c r="C585" t="s">
        <v>503</v>
      </c>
      <c r="D585" t="s">
        <v>4820</v>
      </c>
      <c r="E585" s="3" t="str">
        <f>IF(LEN(Base_Periodo1[[#This Row],[CLASS]])&gt;=7,LEFT(Base_Periodo1[[#This Row],[CLASS]],7),"")</f>
        <v>1.1.2.1</v>
      </c>
      <c r="F585" s="3" t="str">
        <f>VLOOKUP(Base_Periodo1[[#This Row],[Aux]],Base_Contas_Balanco[#All],2,FALSE)</f>
        <v>Creditos com Cooperados</v>
      </c>
      <c r="G585" s="1">
        <v>42870</v>
      </c>
      <c r="I585" s="225">
        <v>3389</v>
      </c>
      <c r="J585" s="225">
        <v>0</v>
      </c>
      <c r="K585" s="225">
        <v>3388.9999999999709</v>
      </c>
      <c r="L5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3389</v>
      </c>
      <c r="M585" s="225">
        <f>ROUND(IF(AND(Base_Periodo1[[#This Row],[Tipo_Linha]]="-",Base_Periodo1[[#This Row],[TIPOSALDO]]="D"),Base_Periodo1[[#This Row],[SALDO_ATUAL]]*-1,Base_Periodo1[[#This Row],[SALDO_ATUAL]]),4)</f>
        <v>3389</v>
      </c>
      <c r="N585" t="s">
        <v>116</v>
      </c>
      <c r="O585" t="s">
        <v>436</v>
      </c>
      <c r="P585" t="s">
        <v>397</v>
      </c>
      <c r="Q585">
        <v>7</v>
      </c>
      <c r="R585" s="225">
        <f>Base_Periodo1[[#This Row],[CREDITOS]]-Base_Periodo1[[#This Row],[DEBITOS]]</f>
        <v>-3389</v>
      </c>
      <c r="S585" s="3" t="str">
        <f>IF(ISERROR(VLOOKUP(Base_Periodo1[[#This Row],[CONTA]],BaseContasDRE[#All],4,FALSE)),"Fora do DRE",VLOOKUP(Base_Periodo1[[#This Row],[CONTA]],BaseContasDRE[#All],4,FALSE))</f>
        <v>Fora do DRE</v>
      </c>
      <c r="T585" s="3" t="str">
        <f>IF(ISERROR(VLOOKUP(Base_Periodo1[[#This Row],[CONTA]],BaseContasDRE[#All],5,FALSE)),"Fora do DRE",VLOOKUP(Base_Periodo1[[#This Row],[CONTA]],BaseContasDRE[#All],6,FALSE))</f>
        <v>Fora do DRE</v>
      </c>
      <c r="U585" s="3" t="str">
        <f>IF(ISERROR(VLOOKUP(Base_Periodo1[[#This Row],[CONTA]],BaseContasDRE[#All],7,FALSE)),"Fora do DRE",VLOOKUP(Base_Periodo1[[#This Row],[CONTA]],BaseContasDRE[#All],7,FALSE))</f>
        <v>Fora do DRE</v>
      </c>
      <c r="V585" s="3" t="str">
        <f>IF(Base_Periodo1[[#This Row],[Tipo_Linha]]="Fora do DRE","Fora do DRE","( "&amp;Base_Periodo1[[#This Row],[Tipo_Linha]]&amp;" ) "&amp;Base_Periodo1[[#This Row],[Filtro]])</f>
        <v>Fora do DRE</v>
      </c>
      <c r="W585" s="3" t="str">
        <f>LEFT(Base_Periodo1[[#This Row],[CLASS]],3)</f>
        <v>1.1</v>
      </c>
    </row>
    <row r="586" spans="1:23" hidden="1">
      <c r="A586" s="3" t="str">
        <f t="shared" si="9"/>
        <v>Período 1</v>
      </c>
      <c r="B586">
        <v>52538</v>
      </c>
      <c r="C586" t="s">
        <v>503</v>
      </c>
      <c r="D586" t="s">
        <v>4736</v>
      </c>
      <c r="E586" s="3" t="str">
        <f>IF(LEN(Base_Periodo1[[#This Row],[CLASS]])&gt;=7,LEFT(Base_Periodo1[[#This Row],[CLASS]],7),"")</f>
        <v>1.1.2.1</v>
      </c>
      <c r="F586" s="3" t="str">
        <f>VLOOKUP(Base_Periodo1[[#This Row],[Aux]],Base_Contas_Balanco[#All],2,FALSE)</f>
        <v>Creditos com Cooperados</v>
      </c>
      <c r="G586" s="1">
        <v>42885</v>
      </c>
      <c r="H586" s="225">
        <v>1072893.3499999996</v>
      </c>
      <c r="I586" s="225">
        <v>110326</v>
      </c>
      <c r="J586" s="225">
        <v>112646.90999999997</v>
      </c>
      <c r="K586" s="225">
        <v>1070572.4399999997</v>
      </c>
      <c r="L5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1070572.44</v>
      </c>
      <c r="M586" s="225">
        <f>ROUND(IF(AND(Base_Periodo1[[#This Row],[Tipo_Linha]]="-",Base_Periodo1[[#This Row],[TIPOSALDO]]="D"),Base_Periodo1[[#This Row],[SALDO_ATUAL]]*-1,Base_Periodo1[[#This Row],[SALDO_ATUAL]]),4)</f>
        <v>1070572.44</v>
      </c>
      <c r="N586" t="s">
        <v>116</v>
      </c>
      <c r="O586" t="s">
        <v>397</v>
      </c>
      <c r="P586" t="s">
        <v>397</v>
      </c>
      <c r="Q586">
        <v>7</v>
      </c>
      <c r="R586" s="225">
        <f>Base_Periodo1[[#This Row],[CREDITOS]]-Base_Periodo1[[#This Row],[DEBITOS]]</f>
        <v>2320.9099999999744</v>
      </c>
      <c r="S586" s="3" t="str">
        <f>IF(ISERROR(VLOOKUP(Base_Periodo1[[#This Row],[CONTA]],BaseContasDRE[#All],4,FALSE)),"Fora do DRE",VLOOKUP(Base_Periodo1[[#This Row],[CONTA]],BaseContasDRE[#All],4,FALSE))</f>
        <v>Fora do DRE</v>
      </c>
      <c r="T586" s="3" t="str">
        <f>IF(ISERROR(VLOOKUP(Base_Periodo1[[#This Row],[CONTA]],BaseContasDRE[#All],5,FALSE)),"Fora do DRE",VLOOKUP(Base_Periodo1[[#This Row],[CONTA]],BaseContasDRE[#All],6,FALSE))</f>
        <v>Fora do DRE</v>
      </c>
      <c r="U586" s="3" t="str">
        <f>IF(ISERROR(VLOOKUP(Base_Periodo1[[#This Row],[CONTA]],BaseContasDRE[#All],7,FALSE)),"Fora do DRE",VLOOKUP(Base_Periodo1[[#This Row],[CONTA]],BaseContasDRE[#All],7,FALSE))</f>
        <v>Fora do DRE</v>
      </c>
      <c r="V586" s="3" t="str">
        <f>IF(Base_Periodo1[[#This Row],[Tipo_Linha]]="Fora do DRE","Fora do DRE","( "&amp;Base_Periodo1[[#This Row],[Tipo_Linha]]&amp;" ) "&amp;Base_Periodo1[[#This Row],[Filtro]])</f>
        <v>Fora do DRE</v>
      </c>
      <c r="W586" s="3" t="str">
        <f>LEFT(Base_Periodo1[[#This Row],[CLASS]],3)</f>
        <v>1.1</v>
      </c>
    </row>
    <row r="587" spans="1:23" hidden="1">
      <c r="A587" s="3" t="str">
        <f t="shared" si="9"/>
        <v>Período 1</v>
      </c>
      <c r="B587">
        <v>52584</v>
      </c>
      <c r="C587" t="s">
        <v>503</v>
      </c>
      <c r="D587" t="s">
        <v>6724</v>
      </c>
      <c r="E587" s="3" t="str">
        <f>IF(LEN(Base_Periodo1[[#This Row],[CLASS]])&gt;=7,LEFT(Base_Periodo1[[#This Row],[CLASS]],7),"")</f>
        <v>1.1.2.1</v>
      </c>
      <c r="F587" s="3" t="str">
        <f>VLOOKUP(Base_Periodo1[[#This Row],[Aux]],Base_Contas_Balanco[#All],2,FALSE)</f>
        <v>Creditos com Cooperados</v>
      </c>
      <c r="G587" s="1">
        <v>42885</v>
      </c>
      <c r="I587" s="225">
        <v>8902</v>
      </c>
      <c r="J587" s="225">
        <v>0</v>
      </c>
      <c r="K587" s="225">
        <v>8902</v>
      </c>
      <c r="L5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8902</v>
      </c>
      <c r="M587" s="225">
        <f>ROUND(IF(AND(Base_Periodo1[[#This Row],[Tipo_Linha]]="-",Base_Periodo1[[#This Row],[TIPOSALDO]]="D"),Base_Periodo1[[#This Row],[SALDO_ATUAL]]*-1,Base_Periodo1[[#This Row],[SALDO_ATUAL]]),4)</f>
        <v>8902</v>
      </c>
      <c r="N587" t="s">
        <v>116</v>
      </c>
      <c r="O587" t="s">
        <v>436</v>
      </c>
      <c r="P587" t="s">
        <v>397</v>
      </c>
      <c r="Q587">
        <v>7</v>
      </c>
      <c r="R587" s="225">
        <f>Base_Periodo1[[#This Row],[CREDITOS]]-Base_Periodo1[[#This Row],[DEBITOS]]</f>
        <v>-8902</v>
      </c>
      <c r="S587" s="3" t="str">
        <f>IF(ISERROR(VLOOKUP(Base_Periodo1[[#This Row],[CONTA]],BaseContasDRE[#All],4,FALSE)),"Fora do DRE",VLOOKUP(Base_Periodo1[[#This Row],[CONTA]],BaseContasDRE[#All],4,FALSE))</f>
        <v>Fora do DRE</v>
      </c>
      <c r="T587" s="3" t="str">
        <f>IF(ISERROR(VLOOKUP(Base_Periodo1[[#This Row],[CONTA]],BaseContasDRE[#All],5,FALSE)),"Fora do DRE",VLOOKUP(Base_Periodo1[[#This Row],[CONTA]],BaseContasDRE[#All],6,FALSE))</f>
        <v>Fora do DRE</v>
      </c>
      <c r="U587" s="3" t="str">
        <f>IF(ISERROR(VLOOKUP(Base_Periodo1[[#This Row],[CONTA]],BaseContasDRE[#All],7,FALSE)),"Fora do DRE",VLOOKUP(Base_Periodo1[[#This Row],[CONTA]],BaseContasDRE[#All],7,FALSE))</f>
        <v>Fora do DRE</v>
      </c>
      <c r="V587" s="3" t="str">
        <f>IF(Base_Periodo1[[#This Row],[Tipo_Linha]]="Fora do DRE","Fora do DRE","( "&amp;Base_Periodo1[[#This Row],[Tipo_Linha]]&amp;" ) "&amp;Base_Periodo1[[#This Row],[Filtro]])</f>
        <v>Fora do DRE</v>
      </c>
      <c r="W587" s="3" t="str">
        <f>LEFT(Base_Periodo1[[#This Row],[CLASS]],3)</f>
        <v>1.1</v>
      </c>
    </row>
    <row r="588" spans="1:23" hidden="1">
      <c r="A588" s="3" t="str">
        <f t="shared" si="9"/>
        <v>Período 1</v>
      </c>
      <c r="B588">
        <v>54669</v>
      </c>
      <c r="C588" t="s">
        <v>503</v>
      </c>
      <c r="D588" t="s">
        <v>972</v>
      </c>
      <c r="E588" s="3" t="str">
        <f>IF(LEN(Base_Periodo1[[#This Row],[CLASS]])&gt;=7,LEFT(Base_Periodo1[[#This Row],[CLASS]],7),"")</f>
        <v>1.1.2.1</v>
      </c>
      <c r="F588" s="3" t="str">
        <f>VLOOKUP(Base_Periodo1[[#This Row],[Aux]],Base_Contas_Balanco[#All],2,FALSE)</f>
        <v>Creditos com Cooperados</v>
      </c>
      <c r="G588" s="1">
        <v>42884</v>
      </c>
      <c r="H588" s="225">
        <v>33717.009999999987</v>
      </c>
      <c r="I588" s="225">
        <v>3.74</v>
      </c>
      <c r="J588" s="225">
        <v>3378.74</v>
      </c>
      <c r="K588" s="225">
        <v>30342.009999999987</v>
      </c>
      <c r="L5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30342.01</v>
      </c>
      <c r="M588" s="225">
        <f>ROUND(IF(AND(Base_Periodo1[[#This Row],[Tipo_Linha]]="-",Base_Periodo1[[#This Row],[TIPOSALDO]]="D"),Base_Periodo1[[#This Row],[SALDO_ATUAL]]*-1,Base_Periodo1[[#This Row],[SALDO_ATUAL]]),4)</f>
        <v>30342.01</v>
      </c>
      <c r="N588" t="s">
        <v>116</v>
      </c>
      <c r="O588" t="s">
        <v>397</v>
      </c>
      <c r="P588" t="s">
        <v>397</v>
      </c>
      <c r="Q588">
        <v>7</v>
      </c>
      <c r="R588" s="225">
        <f>Base_Periodo1[[#This Row],[CREDITOS]]-Base_Periodo1[[#This Row],[DEBITOS]]</f>
        <v>3375</v>
      </c>
      <c r="S588" s="3" t="str">
        <f>IF(ISERROR(VLOOKUP(Base_Periodo1[[#This Row],[CONTA]],BaseContasDRE[#All],4,FALSE)),"Fora do DRE",VLOOKUP(Base_Periodo1[[#This Row],[CONTA]],BaseContasDRE[#All],4,FALSE))</f>
        <v>Fora do DRE</v>
      </c>
      <c r="T588" s="3" t="str">
        <f>IF(ISERROR(VLOOKUP(Base_Periodo1[[#This Row],[CONTA]],BaseContasDRE[#All],5,FALSE)),"Fora do DRE",VLOOKUP(Base_Periodo1[[#This Row],[CONTA]],BaseContasDRE[#All],6,FALSE))</f>
        <v>Fora do DRE</v>
      </c>
      <c r="U588" s="3" t="str">
        <f>IF(ISERROR(VLOOKUP(Base_Periodo1[[#This Row],[CONTA]],BaseContasDRE[#All],7,FALSE)),"Fora do DRE",VLOOKUP(Base_Periodo1[[#This Row],[CONTA]],BaseContasDRE[#All],7,FALSE))</f>
        <v>Fora do DRE</v>
      </c>
      <c r="V588" s="3" t="str">
        <f>IF(Base_Periodo1[[#This Row],[Tipo_Linha]]="Fora do DRE","Fora do DRE","( "&amp;Base_Periodo1[[#This Row],[Tipo_Linha]]&amp;" ) "&amp;Base_Periodo1[[#This Row],[Filtro]])</f>
        <v>Fora do DRE</v>
      </c>
      <c r="W588" s="3" t="str">
        <f>LEFT(Base_Periodo1[[#This Row],[CLASS]],3)</f>
        <v>1.1</v>
      </c>
    </row>
    <row r="589" spans="1:23" hidden="1">
      <c r="A589" s="3" t="str">
        <f t="shared" si="9"/>
        <v>Período 1</v>
      </c>
      <c r="B589">
        <v>22845</v>
      </c>
      <c r="C589" t="s">
        <v>503</v>
      </c>
      <c r="D589" t="s">
        <v>790</v>
      </c>
      <c r="E589" s="3" t="str">
        <f>IF(LEN(Base_Periodo1[[#This Row],[CLASS]])&gt;=7,LEFT(Base_Periodo1[[#This Row],[CLASS]],7),"")</f>
        <v>1.1.2.1</v>
      </c>
      <c r="F589" s="3" t="str">
        <f>VLOOKUP(Base_Periodo1[[#This Row],[Aux]],Base_Contas_Balanco[#All],2,FALSE)</f>
        <v>Creditos com Cooperados</v>
      </c>
      <c r="G589" s="1">
        <v>42884</v>
      </c>
      <c r="H589" s="225">
        <v>25000.159999999916</v>
      </c>
      <c r="I589" s="225">
        <v>3933.84</v>
      </c>
      <c r="J589" s="225">
        <v>28934</v>
      </c>
      <c r="K589" s="225">
        <v>-8.3673512563109398E-11</v>
      </c>
      <c r="L5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89" s="225">
        <f>ROUND(IF(AND(Base_Periodo1[[#This Row],[Tipo_Linha]]="-",Base_Periodo1[[#This Row],[TIPOSALDO]]="D"),Base_Periodo1[[#This Row],[SALDO_ATUAL]]*-1,Base_Periodo1[[#This Row],[SALDO_ATUAL]]),4)</f>
        <v>0</v>
      </c>
      <c r="N589" t="s">
        <v>116</v>
      </c>
      <c r="O589" t="s">
        <v>397</v>
      </c>
      <c r="P589" t="s">
        <v>436</v>
      </c>
      <c r="Q589">
        <v>7</v>
      </c>
      <c r="R589" s="225">
        <f>Base_Periodo1[[#This Row],[CREDITOS]]-Base_Periodo1[[#This Row],[DEBITOS]]</f>
        <v>25000.16</v>
      </c>
      <c r="S589" s="3" t="str">
        <f>IF(ISERROR(VLOOKUP(Base_Periodo1[[#This Row],[CONTA]],BaseContasDRE[#All],4,FALSE)),"Fora do DRE",VLOOKUP(Base_Periodo1[[#This Row],[CONTA]],BaseContasDRE[#All],4,FALSE))</f>
        <v>Fora do DRE</v>
      </c>
      <c r="T589" s="3" t="str">
        <f>IF(ISERROR(VLOOKUP(Base_Periodo1[[#This Row],[CONTA]],BaseContasDRE[#All],5,FALSE)),"Fora do DRE",VLOOKUP(Base_Periodo1[[#This Row],[CONTA]],BaseContasDRE[#All],6,FALSE))</f>
        <v>Fora do DRE</v>
      </c>
      <c r="U589" s="3" t="str">
        <f>IF(ISERROR(VLOOKUP(Base_Periodo1[[#This Row],[CONTA]],BaseContasDRE[#All],7,FALSE)),"Fora do DRE",VLOOKUP(Base_Periodo1[[#This Row],[CONTA]],BaseContasDRE[#All],7,FALSE))</f>
        <v>Fora do DRE</v>
      </c>
      <c r="V589" s="3" t="str">
        <f>IF(Base_Periodo1[[#This Row],[Tipo_Linha]]="Fora do DRE","Fora do DRE","( "&amp;Base_Periodo1[[#This Row],[Tipo_Linha]]&amp;" ) "&amp;Base_Periodo1[[#This Row],[Filtro]])</f>
        <v>Fora do DRE</v>
      </c>
      <c r="W589" s="3" t="str">
        <f>LEFT(Base_Periodo1[[#This Row],[CLASS]],3)</f>
        <v>1.1</v>
      </c>
    </row>
    <row r="590" spans="1:23" hidden="1">
      <c r="A590" s="3" t="str">
        <f t="shared" si="9"/>
        <v>Período 1</v>
      </c>
      <c r="B590">
        <v>2972</v>
      </c>
      <c r="C590" t="s">
        <v>503</v>
      </c>
      <c r="D590" t="s">
        <v>791</v>
      </c>
      <c r="E590" s="3" t="str">
        <f>IF(LEN(Base_Periodo1[[#This Row],[CLASS]])&gt;=7,LEFT(Base_Periodo1[[#This Row],[CLASS]],7),"")</f>
        <v>1.1.2.1</v>
      </c>
      <c r="F590" s="3" t="str">
        <f>VLOOKUP(Base_Periodo1[[#This Row],[Aux]],Base_Contas_Balanco[#All],2,FALSE)</f>
        <v>Creditos com Cooperados</v>
      </c>
      <c r="G590" s="1">
        <v>42814</v>
      </c>
      <c r="H590" s="225">
        <v>615</v>
      </c>
      <c r="I590" s="225">
        <v>0</v>
      </c>
      <c r="J590" s="225">
        <v>0</v>
      </c>
      <c r="K590" s="225">
        <v>615</v>
      </c>
      <c r="L5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615</v>
      </c>
      <c r="M590" s="225">
        <f>ROUND(IF(AND(Base_Periodo1[[#This Row],[Tipo_Linha]]="-",Base_Periodo1[[#This Row],[TIPOSALDO]]="D"),Base_Periodo1[[#This Row],[SALDO_ATUAL]]*-1,Base_Periodo1[[#This Row],[SALDO_ATUAL]]),4)</f>
        <v>615</v>
      </c>
      <c r="N590" t="s">
        <v>116</v>
      </c>
      <c r="O590" t="s">
        <v>397</v>
      </c>
      <c r="P590" t="s">
        <v>397</v>
      </c>
      <c r="Q590">
        <v>7</v>
      </c>
      <c r="R590" s="225">
        <f>Base_Periodo1[[#This Row],[CREDITOS]]-Base_Periodo1[[#This Row],[DEBITOS]]</f>
        <v>0</v>
      </c>
      <c r="S590" s="3" t="str">
        <f>IF(ISERROR(VLOOKUP(Base_Periodo1[[#This Row],[CONTA]],BaseContasDRE[#All],4,FALSE)),"Fora do DRE",VLOOKUP(Base_Periodo1[[#This Row],[CONTA]],BaseContasDRE[#All],4,FALSE))</f>
        <v>Fora do DRE</v>
      </c>
      <c r="T590" s="3" t="str">
        <f>IF(ISERROR(VLOOKUP(Base_Periodo1[[#This Row],[CONTA]],BaseContasDRE[#All],5,FALSE)),"Fora do DRE",VLOOKUP(Base_Periodo1[[#This Row],[CONTA]],BaseContasDRE[#All],6,FALSE))</f>
        <v>Fora do DRE</v>
      </c>
      <c r="U590" s="3" t="str">
        <f>IF(ISERROR(VLOOKUP(Base_Periodo1[[#This Row],[CONTA]],BaseContasDRE[#All],7,FALSE)),"Fora do DRE",VLOOKUP(Base_Periodo1[[#This Row],[CONTA]],BaseContasDRE[#All],7,FALSE))</f>
        <v>Fora do DRE</v>
      </c>
      <c r="V590" s="3" t="str">
        <f>IF(Base_Periodo1[[#This Row],[Tipo_Linha]]="Fora do DRE","Fora do DRE","( "&amp;Base_Periodo1[[#This Row],[Tipo_Linha]]&amp;" ) "&amp;Base_Periodo1[[#This Row],[Filtro]])</f>
        <v>Fora do DRE</v>
      </c>
      <c r="W590" s="3" t="str">
        <f>LEFT(Base_Periodo1[[#This Row],[CLASS]],3)</f>
        <v>1.1</v>
      </c>
    </row>
    <row r="591" spans="1:23" hidden="1">
      <c r="A591" s="3" t="str">
        <f t="shared" si="9"/>
        <v>Período 1</v>
      </c>
      <c r="B591">
        <v>3264</v>
      </c>
      <c r="C591" t="s">
        <v>503</v>
      </c>
      <c r="D591" t="s">
        <v>792</v>
      </c>
      <c r="E591" s="3" t="str">
        <f>IF(LEN(Base_Periodo1[[#This Row],[CLASS]])&gt;=7,LEFT(Base_Periodo1[[#This Row],[CLASS]],7),"")</f>
        <v>1.1.2.1</v>
      </c>
      <c r="F591" s="3" t="str">
        <f>VLOOKUP(Base_Periodo1[[#This Row],[Aux]],Base_Contas_Balanco[#All],2,FALSE)</f>
        <v>Creditos com Cooperados</v>
      </c>
      <c r="G591" s="1">
        <v>42123</v>
      </c>
      <c r="H591" s="225">
        <v>22274.779999999992</v>
      </c>
      <c r="I591" s="225">
        <v>0</v>
      </c>
      <c r="J591" s="225">
        <v>0</v>
      </c>
      <c r="K591" s="225">
        <v>22274.779999999992</v>
      </c>
      <c r="L5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22274.78</v>
      </c>
      <c r="M591" s="225">
        <f>ROUND(IF(AND(Base_Periodo1[[#This Row],[Tipo_Linha]]="-",Base_Periodo1[[#This Row],[TIPOSALDO]]="D"),Base_Periodo1[[#This Row],[SALDO_ATUAL]]*-1,Base_Periodo1[[#This Row],[SALDO_ATUAL]]),4)</f>
        <v>22274.78</v>
      </c>
      <c r="N591" t="s">
        <v>116</v>
      </c>
      <c r="O591" t="s">
        <v>397</v>
      </c>
      <c r="P591" t="s">
        <v>397</v>
      </c>
      <c r="Q591">
        <v>7</v>
      </c>
      <c r="R591" s="225">
        <f>Base_Periodo1[[#This Row],[CREDITOS]]-Base_Periodo1[[#This Row],[DEBITOS]]</f>
        <v>0</v>
      </c>
      <c r="S591" s="3" t="str">
        <f>IF(ISERROR(VLOOKUP(Base_Periodo1[[#This Row],[CONTA]],BaseContasDRE[#All],4,FALSE)),"Fora do DRE",VLOOKUP(Base_Periodo1[[#This Row],[CONTA]],BaseContasDRE[#All],4,FALSE))</f>
        <v>Fora do DRE</v>
      </c>
      <c r="T591" s="3" t="str">
        <f>IF(ISERROR(VLOOKUP(Base_Periodo1[[#This Row],[CONTA]],BaseContasDRE[#All],5,FALSE)),"Fora do DRE",VLOOKUP(Base_Periodo1[[#This Row],[CONTA]],BaseContasDRE[#All],6,FALSE))</f>
        <v>Fora do DRE</v>
      </c>
      <c r="U591" s="3" t="str">
        <f>IF(ISERROR(VLOOKUP(Base_Periodo1[[#This Row],[CONTA]],BaseContasDRE[#All],7,FALSE)),"Fora do DRE",VLOOKUP(Base_Periodo1[[#This Row],[CONTA]],BaseContasDRE[#All],7,FALSE))</f>
        <v>Fora do DRE</v>
      </c>
      <c r="V591" s="3" t="str">
        <f>IF(Base_Periodo1[[#This Row],[Tipo_Linha]]="Fora do DRE","Fora do DRE","( "&amp;Base_Periodo1[[#This Row],[Tipo_Linha]]&amp;" ) "&amp;Base_Periodo1[[#This Row],[Filtro]])</f>
        <v>Fora do DRE</v>
      </c>
      <c r="W591" s="3" t="str">
        <f>LEFT(Base_Periodo1[[#This Row],[CLASS]],3)</f>
        <v>1.1</v>
      </c>
    </row>
    <row r="592" spans="1:23" hidden="1">
      <c r="A592" s="3" t="str">
        <f t="shared" si="9"/>
        <v>Período 1</v>
      </c>
      <c r="B592">
        <v>47581</v>
      </c>
      <c r="C592" t="s">
        <v>503</v>
      </c>
      <c r="D592" t="s">
        <v>5159</v>
      </c>
      <c r="E592" s="3" t="str">
        <f>IF(LEN(Base_Periodo1[[#This Row],[CLASS]])&gt;=7,LEFT(Base_Periodo1[[#This Row],[CLASS]],7),"")</f>
        <v>1.1.2.1</v>
      </c>
      <c r="F592" s="3" t="str">
        <f>VLOOKUP(Base_Periodo1[[#This Row],[Aux]],Base_Contas_Balanco[#All],2,FALSE)</f>
        <v>Creditos com Cooperados</v>
      </c>
      <c r="G592" s="1">
        <v>42828</v>
      </c>
      <c r="H592" s="225">
        <v>310</v>
      </c>
      <c r="I592" s="225">
        <v>0</v>
      </c>
      <c r="J592" s="225">
        <v>0</v>
      </c>
      <c r="K592" s="225">
        <v>310</v>
      </c>
      <c r="L5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310</v>
      </c>
      <c r="M592" s="225">
        <f>ROUND(IF(AND(Base_Periodo1[[#This Row],[Tipo_Linha]]="-",Base_Periodo1[[#This Row],[TIPOSALDO]]="D"),Base_Periodo1[[#This Row],[SALDO_ATUAL]]*-1,Base_Periodo1[[#This Row],[SALDO_ATUAL]]),4)</f>
        <v>310</v>
      </c>
      <c r="N592" t="s">
        <v>116</v>
      </c>
      <c r="O592" t="s">
        <v>397</v>
      </c>
      <c r="P592" t="s">
        <v>397</v>
      </c>
      <c r="Q592">
        <v>7</v>
      </c>
      <c r="R592" s="225">
        <f>Base_Periodo1[[#This Row],[CREDITOS]]-Base_Periodo1[[#This Row],[DEBITOS]]</f>
        <v>0</v>
      </c>
      <c r="S592" s="3" t="str">
        <f>IF(ISERROR(VLOOKUP(Base_Periodo1[[#This Row],[CONTA]],BaseContasDRE[#All],4,FALSE)),"Fora do DRE",VLOOKUP(Base_Periodo1[[#This Row],[CONTA]],BaseContasDRE[#All],4,FALSE))</f>
        <v>Fora do DRE</v>
      </c>
      <c r="T592" s="3" t="str">
        <f>IF(ISERROR(VLOOKUP(Base_Periodo1[[#This Row],[CONTA]],BaseContasDRE[#All],5,FALSE)),"Fora do DRE",VLOOKUP(Base_Periodo1[[#This Row],[CONTA]],BaseContasDRE[#All],6,FALSE))</f>
        <v>Fora do DRE</v>
      </c>
      <c r="U592" s="3" t="str">
        <f>IF(ISERROR(VLOOKUP(Base_Periodo1[[#This Row],[CONTA]],BaseContasDRE[#All],7,FALSE)),"Fora do DRE",VLOOKUP(Base_Periodo1[[#This Row],[CONTA]],BaseContasDRE[#All],7,FALSE))</f>
        <v>Fora do DRE</v>
      </c>
      <c r="V592" s="3" t="str">
        <f>IF(Base_Periodo1[[#This Row],[Tipo_Linha]]="Fora do DRE","Fora do DRE","( "&amp;Base_Periodo1[[#This Row],[Tipo_Linha]]&amp;" ) "&amp;Base_Periodo1[[#This Row],[Filtro]])</f>
        <v>Fora do DRE</v>
      </c>
      <c r="W592" s="3" t="str">
        <f>LEFT(Base_Periodo1[[#This Row],[CLASS]],3)</f>
        <v>1.1</v>
      </c>
    </row>
    <row r="593" spans="1:23" hidden="1">
      <c r="A593" s="3" t="str">
        <f t="shared" si="9"/>
        <v>Período 1</v>
      </c>
      <c r="B593">
        <v>22353</v>
      </c>
      <c r="C593" t="s">
        <v>503</v>
      </c>
      <c r="D593" t="s">
        <v>793</v>
      </c>
      <c r="E593" s="3" t="str">
        <f>IF(LEN(Base_Periodo1[[#This Row],[CLASS]])&gt;=7,LEFT(Base_Periodo1[[#This Row],[CLASS]],7),"")</f>
        <v>1.1.2.1</v>
      </c>
      <c r="F593" s="3" t="str">
        <f>VLOOKUP(Base_Periodo1[[#This Row],[Aux]],Base_Contas_Balanco[#All],2,FALSE)</f>
        <v>Creditos com Cooperados</v>
      </c>
      <c r="G593" s="1">
        <v>42885</v>
      </c>
      <c r="H593" s="225">
        <v>26067.020000000077</v>
      </c>
      <c r="I593" s="225">
        <v>38707.279999999999</v>
      </c>
      <c r="J593" s="225">
        <v>25638.54</v>
      </c>
      <c r="K593" s="225">
        <v>39135.760000000075</v>
      </c>
      <c r="L5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39135.760000000002</v>
      </c>
      <c r="M593" s="225">
        <f>ROUND(IF(AND(Base_Periodo1[[#This Row],[Tipo_Linha]]="-",Base_Periodo1[[#This Row],[TIPOSALDO]]="D"),Base_Periodo1[[#This Row],[SALDO_ATUAL]]*-1,Base_Periodo1[[#This Row],[SALDO_ATUAL]]),4)</f>
        <v>39135.760000000002</v>
      </c>
      <c r="N593" t="s">
        <v>116</v>
      </c>
      <c r="O593" t="s">
        <v>397</v>
      </c>
      <c r="P593" t="s">
        <v>397</v>
      </c>
      <c r="Q593">
        <v>7</v>
      </c>
      <c r="R593" s="225">
        <f>Base_Periodo1[[#This Row],[CREDITOS]]-Base_Periodo1[[#This Row],[DEBITOS]]</f>
        <v>-13068.739999999998</v>
      </c>
      <c r="S593" s="3" t="str">
        <f>IF(ISERROR(VLOOKUP(Base_Periodo1[[#This Row],[CONTA]],BaseContasDRE[#All],4,FALSE)),"Fora do DRE",VLOOKUP(Base_Periodo1[[#This Row],[CONTA]],BaseContasDRE[#All],4,FALSE))</f>
        <v>Fora do DRE</v>
      </c>
      <c r="T593" s="3" t="str">
        <f>IF(ISERROR(VLOOKUP(Base_Periodo1[[#This Row],[CONTA]],BaseContasDRE[#All],5,FALSE)),"Fora do DRE",VLOOKUP(Base_Periodo1[[#This Row],[CONTA]],BaseContasDRE[#All],6,FALSE))</f>
        <v>Fora do DRE</v>
      </c>
      <c r="U593" s="3" t="str">
        <f>IF(ISERROR(VLOOKUP(Base_Periodo1[[#This Row],[CONTA]],BaseContasDRE[#All],7,FALSE)),"Fora do DRE",VLOOKUP(Base_Periodo1[[#This Row],[CONTA]],BaseContasDRE[#All],7,FALSE))</f>
        <v>Fora do DRE</v>
      </c>
      <c r="V593" s="3" t="str">
        <f>IF(Base_Periodo1[[#This Row],[Tipo_Linha]]="Fora do DRE","Fora do DRE","( "&amp;Base_Periodo1[[#This Row],[Tipo_Linha]]&amp;" ) "&amp;Base_Periodo1[[#This Row],[Filtro]])</f>
        <v>Fora do DRE</v>
      </c>
      <c r="W593" s="3" t="str">
        <f>LEFT(Base_Periodo1[[#This Row],[CLASS]],3)</f>
        <v>1.1</v>
      </c>
    </row>
    <row r="594" spans="1:23" hidden="1">
      <c r="A594" s="3" t="str">
        <f t="shared" si="9"/>
        <v>Período 1</v>
      </c>
      <c r="B594">
        <v>3332</v>
      </c>
      <c r="C594" t="s">
        <v>503</v>
      </c>
      <c r="D594" t="s">
        <v>794</v>
      </c>
      <c r="E594" s="3" t="str">
        <f>IF(LEN(Base_Periodo1[[#This Row],[CLASS]])&gt;=7,LEFT(Base_Periodo1[[#This Row],[CLASS]],7),"")</f>
        <v>1.1.2.1</v>
      </c>
      <c r="F594" s="3" t="str">
        <f>VLOOKUP(Base_Periodo1[[#This Row],[Aux]],Base_Contas_Balanco[#All],2,FALSE)</f>
        <v>Creditos com Cooperados</v>
      </c>
      <c r="G594" s="1">
        <v>42885</v>
      </c>
      <c r="H594" s="225">
        <v>236294.35000000335</v>
      </c>
      <c r="I594" s="225">
        <v>22678.38</v>
      </c>
      <c r="J594" s="225">
        <v>255803.96999999997</v>
      </c>
      <c r="K594" s="225">
        <v>3168.7600000033854</v>
      </c>
      <c r="L5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3168.76</v>
      </c>
      <c r="M594" s="225">
        <f>ROUND(IF(AND(Base_Periodo1[[#This Row],[Tipo_Linha]]="-",Base_Periodo1[[#This Row],[TIPOSALDO]]="D"),Base_Periodo1[[#This Row],[SALDO_ATUAL]]*-1,Base_Periodo1[[#This Row],[SALDO_ATUAL]]),4)</f>
        <v>3168.76</v>
      </c>
      <c r="N594" t="s">
        <v>116</v>
      </c>
      <c r="O594" t="s">
        <v>397</v>
      </c>
      <c r="P594" t="s">
        <v>397</v>
      </c>
      <c r="Q594">
        <v>7</v>
      </c>
      <c r="R594" s="225">
        <f>Base_Periodo1[[#This Row],[CREDITOS]]-Base_Periodo1[[#This Row],[DEBITOS]]</f>
        <v>233125.58999999997</v>
      </c>
      <c r="S594" s="3" t="str">
        <f>IF(ISERROR(VLOOKUP(Base_Periodo1[[#This Row],[CONTA]],BaseContasDRE[#All],4,FALSE)),"Fora do DRE",VLOOKUP(Base_Periodo1[[#This Row],[CONTA]],BaseContasDRE[#All],4,FALSE))</f>
        <v>Fora do DRE</v>
      </c>
      <c r="T594" s="3" t="str">
        <f>IF(ISERROR(VLOOKUP(Base_Periodo1[[#This Row],[CONTA]],BaseContasDRE[#All],5,FALSE)),"Fora do DRE",VLOOKUP(Base_Periodo1[[#This Row],[CONTA]],BaseContasDRE[#All],6,FALSE))</f>
        <v>Fora do DRE</v>
      </c>
      <c r="U594" s="3" t="str">
        <f>IF(ISERROR(VLOOKUP(Base_Periodo1[[#This Row],[CONTA]],BaseContasDRE[#All],7,FALSE)),"Fora do DRE",VLOOKUP(Base_Periodo1[[#This Row],[CONTA]],BaseContasDRE[#All],7,FALSE))</f>
        <v>Fora do DRE</v>
      </c>
      <c r="V594" s="3" t="str">
        <f>IF(Base_Periodo1[[#This Row],[Tipo_Linha]]="Fora do DRE","Fora do DRE","( "&amp;Base_Periodo1[[#This Row],[Tipo_Linha]]&amp;" ) "&amp;Base_Periodo1[[#This Row],[Filtro]])</f>
        <v>Fora do DRE</v>
      </c>
      <c r="W594" s="3" t="str">
        <f>LEFT(Base_Periodo1[[#This Row],[CLASS]],3)</f>
        <v>1.1</v>
      </c>
    </row>
    <row r="595" spans="1:23" hidden="1">
      <c r="A595" s="3" t="str">
        <f t="shared" si="9"/>
        <v>Período 1</v>
      </c>
      <c r="B595">
        <v>13004</v>
      </c>
      <c r="C595" t="s">
        <v>503</v>
      </c>
      <c r="D595" t="s">
        <v>6132</v>
      </c>
      <c r="E595" s="3" t="str">
        <f>IF(LEN(Base_Periodo1[[#This Row],[CLASS]])&gt;=7,LEFT(Base_Periodo1[[#This Row],[CLASS]],7),"")</f>
        <v>1.1.2.1</v>
      </c>
      <c r="F595" s="3" t="str">
        <f>VLOOKUP(Base_Periodo1[[#This Row],[Aux]],Base_Contas_Balanco[#All],2,FALSE)</f>
        <v>Creditos com Cooperados</v>
      </c>
      <c r="G595" s="1">
        <v>42860</v>
      </c>
      <c r="I595" s="225">
        <v>1727.5</v>
      </c>
      <c r="J595" s="225">
        <v>0</v>
      </c>
      <c r="K595" s="225">
        <v>1727.4999999996508</v>
      </c>
      <c r="L5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1727.5</v>
      </c>
      <c r="M595" s="225">
        <f>ROUND(IF(AND(Base_Periodo1[[#This Row],[Tipo_Linha]]="-",Base_Periodo1[[#This Row],[TIPOSALDO]]="D"),Base_Periodo1[[#This Row],[SALDO_ATUAL]]*-1,Base_Periodo1[[#This Row],[SALDO_ATUAL]]),4)</f>
        <v>1727.5</v>
      </c>
      <c r="N595" t="s">
        <v>116</v>
      </c>
      <c r="O595" t="s">
        <v>436</v>
      </c>
      <c r="P595" t="s">
        <v>397</v>
      </c>
      <c r="Q595">
        <v>7</v>
      </c>
      <c r="R595" s="225">
        <f>Base_Periodo1[[#This Row],[CREDITOS]]-Base_Periodo1[[#This Row],[DEBITOS]]</f>
        <v>-1727.5</v>
      </c>
      <c r="S595" s="3" t="str">
        <f>IF(ISERROR(VLOOKUP(Base_Periodo1[[#This Row],[CONTA]],BaseContasDRE[#All],4,FALSE)),"Fora do DRE",VLOOKUP(Base_Periodo1[[#This Row],[CONTA]],BaseContasDRE[#All],4,FALSE))</f>
        <v>Fora do DRE</v>
      </c>
      <c r="T595" s="3" t="str">
        <f>IF(ISERROR(VLOOKUP(Base_Periodo1[[#This Row],[CONTA]],BaseContasDRE[#All],5,FALSE)),"Fora do DRE",VLOOKUP(Base_Periodo1[[#This Row],[CONTA]],BaseContasDRE[#All],6,FALSE))</f>
        <v>Fora do DRE</v>
      </c>
      <c r="U595" s="3" t="str">
        <f>IF(ISERROR(VLOOKUP(Base_Periodo1[[#This Row],[CONTA]],BaseContasDRE[#All],7,FALSE)),"Fora do DRE",VLOOKUP(Base_Periodo1[[#This Row],[CONTA]],BaseContasDRE[#All],7,FALSE))</f>
        <v>Fora do DRE</v>
      </c>
      <c r="V595" s="3" t="str">
        <f>IF(Base_Periodo1[[#This Row],[Tipo_Linha]]="Fora do DRE","Fora do DRE","( "&amp;Base_Periodo1[[#This Row],[Tipo_Linha]]&amp;" ) "&amp;Base_Periodo1[[#This Row],[Filtro]])</f>
        <v>Fora do DRE</v>
      </c>
      <c r="W595" s="3" t="str">
        <f>LEFT(Base_Periodo1[[#This Row],[CLASS]],3)</f>
        <v>1.1</v>
      </c>
    </row>
    <row r="596" spans="1:23" hidden="1">
      <c r="A596" s="3" t="str">
        <f t="shared" si="9"/>
        <v>Período 1</v>
      </c>
      <c r="B596">
        <v>39268</v>
      </c>
      <c r="C596" t="s">
        <v>503</v>
      </c>
      <c r="D596" t="s">
        <v>795</v>
      </c>
      <c r="E596" s="3" t="str">
        <f>IF(LEN(Base_Periodo1[[#This Row],[CLASS]])&gt;=7,LEFT(Base_Periodo1[[#This Row],[CLASS]],7),"")</f>
        <v>1.1.2.1</v>
      </c>
      <c r="F596" s="3" t="str">
        <f>VLOOKUP(Base_Periodo1[[#This Row],[Aux]],Base_Contas_Balanco[#All],2,FALSE)</f>
        <v>Creditos com Cooperados</v>
      </c>
      <c r="G596" s="1">
        <v>42881</v>
      </c>
      <c r="H596" s="225">
        <v>32946.710000000196</v>
      </c>
      <c r="I596" s="225">
        <v>2276.8000000000002</v>
      </c>
      <c r="J596" s="225">
        <v>33104.339999999997</v>
      </c>
      <c r="K596" s="225">
        <v>2119.170000000202</v>
      </c>
      <c r="L5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2119.17</v>
      </c>
      <c r="M596" s="225">
        <f>ROUND(IF(AND(Base_Periodo1[[#This Row],[Tipo_Linha]]="-",Base_Periodo1[[#This Row],[TIPOSALDO]]="D"),Base_Periodo1[[#This Row],[SALDO_ATUAL]]*-1,Base_Periodo1[[#This Row],[SALDO_ATUAL]]),4)</f>
        <v>2119.17</v>
      </c>
      <c r="N596" t="s">
        <v>116</v>
      </c>
      <c r="O596" t="s">
        <v>397</v>
      </c>
      <c r="P596" t="s">
        <v>397</v>
      </c>
      <c r="Q596">
        <v>7</v>
      </c>
      <c r="R596" s="225">
        <f>Base_Periodo1[[#This Row],[CREDITOS]]-Base_Periodo1[[#This Row],[DEBITOS]]</f>
        <v>30827.539999999997</v>
      </c>
      <c r="S596" s="3" t="str">
        <f>IF(ISERROR(VLOOKUP(Base_Periodo1[[#This Row],[CONTA]],BaseContasDRE[#All],4,FALSE)),"Fora do DRE",VLOOKUP(Base_Periodo1[[#This Row],[CONTA]],BaseContasDRE[#All],4,FALSE))</f>
        <v>Fora do DRE</v>
      </c>
      <c r="T596" s="3" t="str">
        <f>IF(ISERROR(VLOOKUP(Base_Periodo1[[#This Row],[CONTA]],BaseContasDRE[#All],5,FALSE)),"Fora do DRE",VLOOKUP(Base_Periodo1[[#This Row],[CONTA]],BaseContasDRE[#All],6,FALSE))</f>
        <v>Fora do DRE</v>
      </c>
      <c r="U596" s="3" t="str">
        <f>IF(ISERROR(VLOOKUP(Base_Periodo1[[#This Row],[CONTA]],BaseContasDRE[#All],7,FALSE)),"Fora do DRE",VLOOKUP(Base_Periodo1[[#This Row],[CONTA]],BaseContasDRE[#All],7,FALSE))</f>
        <v>Fora do DRE</v>
      </c>
      <c r="V596" s="3" t="str">
        <f>IF(Base_Periodo1[[#This Row],[Tipo_Linha]]="Fora do DRE","Fora do DRE","( "&amp;Base_Periodo1[[#This Row],[Tipo_Linha]]&amp;" ) "&amp;Base_Periodo1[[#This Row],[Filtro]])</f>
        <v>Fora do DRE</v>
      </c>
      <c r="W596" s="3" t="str">
        <f>LEFT(Base_Periodo1[[#This Row],[CLASS]],3)</f>
        <v>1.1</v>
      </c>
    </row>
    <row r="597" spans="1:23" hidden="1">
      <c r="A597" s="3" t="str">
        <f t="shared" si="9"/>
        <v>Período 1</v>
      </c>
      <c r="B597">
        <v>28131</v>
      </c>
      <c r="C597" t="s">
        <v>503</v>
      </c>
      <c r="D597" t="s">
        <v>6133</v>
      </c>
      <c r="E597" s="3" t="str">
        <f>IF(LEN(Base_Periodo1[[#This Row],[CLASS]])&gt;=7,LEFT(Base_Periodo1[[#This Row],[CLASS]],7),"")</f>
        <v>1.1.2.1</v>
      </c>
      <c r="F597" s="3" t="str">
        <f>VLOOKUP(Base_Periodo1[[#This Row],[Aux]],Base_Contas_Balanco[#All],2,FALSE)</f>
        <v>Creditos com Cooperados</v>
      </c>
      <c r="G597" s="1">
        <v>42836</v>
      </c>
      <c r="H597" s="225">
        <v>1285</v>
      </c>
      <c r="I597" s="225">
        <v>0</v>
      </c>
      <c r="J597" s="225">
        <v>0</v>
      </c>
      <c r="K597" s="225">
        <v>1285</v>
      </c>
      <c r="L5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1285</v>
      </c>
      <c r="M597" s="225">
        <f>ROUND(IF(AND(Base_Periodo1[[#This Row],[Tipo_Linha]]="-",Base_Periodo1[[#This Row],[TIPOSALDO]]="D"),Base_Periodo1[[#This Row],[SALDO_ATUAL]]*-1,Base_Periodo1[[#This Row],[SALDO_ATUAL]]),4)</f>
        <v>1285</v>
      </c>
      <c r="N597" t="s">
        <v>116</v>
      </c>
      <c r="O597" t="s">
        <v>397</v>
      </c>
      <c r="P597" t="s">
        <v>397</v>
      </c>
      <c r="Q597">
        <v>7</v>
      </c>
      <c r="R597" s="225">
        <f>Base_Periodo1[[#This Row],[CREDITOS]]-Base_Periodo1[[#This Row],[DEBITOS]]</f>
        <v>0</v>
      </c>
      <c r="S597" s="3" t="str">
        <f>IF(ISERROR(VLOOKUP(Base_Periodo1[[#This Row],[CONTA]],BaseContasDRE[#All],4,FALSE)),"Fora do DRE",VLOOKUP(Base_Periodo1[[#This Row],[CONTA]],BaseContasDRE[#All],4,FALSE))</f>
        <v>Fora do DRE</v>
      </c>
      <c r="T597" s="3" t="str">
        <f>IF(ISERROR(VLOOKUP(Base_Periodo1[[#This Row],[CONTA]],BaseContasDRE[#All],5,FALSE)),"Fora do DRE",VLOOKUP(Base_Periodo1[[#This Row],[CONTA]],BaseContasDRE[#All],6,FALSE))</f>
        <v>Fora do DRE</v>
      </c>
      <c r="U597" s="3" t="str">
        <f>IF(ISERROR(VLOOKUP(Base_Periodo1[[#This Row],[CONTA]],BaseContasDRE[#All],7,FALSE)),"Fora do DRE",VLOOKUP(Base_Periodo1[[#This Row],[CONTA]],BaseContasDRE[#All],7,FALSE))</f>
        <v>Fora do DRE</v>
      </c>
      <c r="V597" s="3" t="str">
        <f>IF(Base_Periodo1[[#This Row],[Tipo_Linha]]="Fora do DRE","Fora do DRE","( "&amp;Base_Periodo1[[#This Row],[Tipo_Linha]]&amp;" ) "&amp;Base_Periodo1[[#This Row],[Filtro]])</f>
        <v>Fora do DRE</v>
      </c>
      <c r="W597" s="3" t="str">
        <f>LEFT(Base_Periodo1[[#This Row],[CLASS]],3)</f>
        <v>1.1</v>
      </c>
    </row>
    <row r="598" spans="1:23" hidden="1">
      <c r="A598" s="3" t="str">
        <f t="shared" si="9"/>
        <v>Período 1</v>
      </c>
      <c r="B598">
        <v>11842</v>
      </c>
      <c r="C598" t="s">
        <v>503</v>
      </c>
      <c r="D598" t="s">
        <v>796</v>
      </c>
      <c r="E598" s="3" t="str">
        <f>IF(LEN(Base_Periodo1[[#This Row],[CLASS]])&gt;=7,LEFT(Base_Periodo1[[#This Row],[CLASS]],7),"")</f>
        <v>1.1.2.1</v>
      </c>
      <c r="F598" s="3" t="str">
        <f>VLOOKUP(Base_Periodo1[[#This Row],[Aux]],Base_Contas_Balanco[#All],2,FALSE)</f>
        <v>Creditos com Cooperados</v>
      </c>
      <c r="G598" s="1">
        <v>42824</v>
      </c>
      <c r="H598" s="225">
        <v>3.4899999999906868</v>
      </c>
      <c r="I598" s="225">
        <v>0</v>
      </c>
      <c r="J598" s="225">
        <v>0</v>
      </c>
      <c r="K598" s="225">
        <v>3.4899999999906868</v>
      </c>
      <c r="L5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-3.49</v>
      </c>
      <c r="M598" s="225">
        <f>ROUND(IF(AND(Base_Periodo1[[#This Row],[Tipo_Linha]]="-",Base_Periodo1[[#This Row],[TIPOSALDO]]="D"),Base_Periodo1[[#This Row],[SALDO_ATUAL]]*-1,Base_Periodo1[[#This Row],[SALDO_ATUAL]]),4)</f>
        <v>3.49</v>
      </c>
      <c r="N598" t="s">
        <v>116</v>
      </c>
      <c r="O598" t="s">
        <v>459</v>
      </c>
      <c r="P598" t="s">
        <v>459</v>
      </c>
      <c r="Q598">
        <v>7</v>
      </c>
      <c r="R598" s="225">
        <f>Base_Periodo1[[#This Row],[CREDITOS]]-Base_Periodo1[[#This Row],[DEBITOS]]</f>
        <v>0</v>
      </c>
      <c r="S598" s="3" t="str">
        <f>IF(ISERROR(VLOOKUP(Base_Periodo1[[#This Row],[CONTA]],BaseContasDRE[#All],4,FALSE)),"Fora do DRE",VLOOKUP(Base_Periodo1[[#This Row],[CONTA]],BaseContasDRE[#All],4,FALSE))</f>
        <v>Fora do DRE</v>
      </c>
      <c r="T598" s="3" t="str">
        <f>IF(ISERROR(VLOOKUP(Base_Periodo1[[#This Row],[CONTA]],BaseContasDRE[#All],5,FALSE)),"Fora do DRE",VLOOKUP(Base_Periodo1[[#This Row],[CONTA]],BaseContasDRE[#All],6,FALSE))</f>
        <v>Fora do DRE</v>
      </c>
      <c r="U598" s="3" t="str">
        <f>IF(ISERROR(VLOOKUP(Base_Periodo1[[#This Row],[CONTA]],BaseContasDRE[#All],7,FALSE)),"Fora do DRE",VLOOKUP(Base_Periodo1[[#This Row],[CONTA]],BaseContasDRE[#All],7,FALSE))</f>
        <v>Fora do DRE</v>
      </c>
      <c r="V598" s="3" t="str">
        <f>IF(Base_Periodo1[[#This Row],[Tipo_Linha]]="Fora do DRE","Fora do DRE","( "&amp;Base_Periodo1[[#This Row],[Tipo_Linha]]&amp;" ) "&amp;Base_Periodo1[[#This Row],[Filtro]])</f>
        <v>Fora do DRE</v>
      </c>
      <c r="W598" s="3" t="str">
        <f>LEFT(Base_Periodo1[[#This Row],[CLASS]],3)</f>
        <v>1.1</v>
      </c>
    </row>
    <row r="599" spans="1:23" hidden="1">
      <c r="A599" s="3" t="str">
        <f t="shared" si="9"/>
        <v>Período 1</v>
      </c>
      <c r="B599">
        <v>2736</v>
      </c>
      <c r="C599" t="s">
        <v>503</v>
      </c>
      <c r="D599" t="s">
        <v>5854</v>
      </c>
      <c r="E599" s="3" t="str">
        <f>IF(LEN(Base_Periodo1[[#This Row],[CLASS]])&gt;=7,LEFT(Base_Periodo1[[#This Row],[CLASS]],7),"")</f>
        <v>1.1.2.1</v>
      </c>
      <c r="F599" s="3" t="str">
        <f>VLOOKUP(Base_Periodo1[[#This Row],[Aux]],Base_Contas_Balanco[#All],2,FALSE)</f>
        <v>Creditos com Cooperados</v>
      </c>
      <c r="G599" s="1">
        <v>42863</v>
      </c>
      <c r="H599" s="225">
        <v>18806.000000000007</v>
      </c>
      <c r="I599" s="225">
        <v>3225</v>
      </c>
      <c r="J599" s="225">
        <v>0</v>
      </c>
      <c r="K599" s="225">
        <v>22031.000000000007</v>
      </c>
      <c r="L5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22031</v>
      </c>
      <c r="M599" s="225">
        <f>ROUND(IF(AND(Base_Periodo1[[#This Row],[Tipo_Linha]]="-",Base_Periodo1[[#This Row],[TIPOSALDO]]="D"),Base_Periodo1[[#This Row],[SALDO_ATUAL]]*-1,Base_Periodo1[[#This Row],[SALDO_ATUAL]]),4)</f>
        <v>22031</v>
      </c>
      <c r="N599" t="s">
        <v>116</v>
      </c>
      <c r="O599" t="s">
        <v>397</v>
      </c>
      <c r="P599" t="s">
        <v>397</v>
      </c>
      <c r="Q599">
        <v>7</v>
      </c>
      <c r="R599" s="225">
        <f>Base_Periodo1[[#This Row],[CREDITOS]]-Base_Periodo1[[#This Row],[DEBITOS]]</f>
        <v>-3225</v>
      </c>
      <c r="S599" s="3" t="str">
        <f>IF(ISERROR(VLOOKUP(Base_Periodo1[[#This Row],[CONTA]],BaseContasDRE[#All],4,FALSE)),"Fora do DRE",VLOOKUP(Base_Periodo1[[#This Row],[CONTA]],BaseContasDRE[#All],4,FALSE))</f>
        <v>Fora do DRE</v>
      </c>
      <c r="T599" s="3" t="str">
        <f>IF(ISERROR(VLOOKUP(Base_Periodo1[[#This Row],[CONTA]],BaseContasDRE[#All],5,FALSE)),"Fora do DRE",VLOOKUP(Base_Periodo1[[#This Row],[CONTA]],BaseContasDRE[#All],6,FALSE))</f>
        <v>Fora do DRE</v>
      </c>
      <c r="U599" s="3" t="str">
        <f>IF(ISERROR(VLOOKUP(Base_Periodo1[[#This Row],[CONTA]],BaseContasDRE[#All],7,FALSE)),"Fora do DRE",VLOOKUP(Base_Periodo1[[#This Row],[CONTA]],BaseContasDRE[#All],7,FALSE))</f>
        <v>Fora do DRE</v>
      </c>
      <c r="V599" s="3" t="str">
        <f>IF(Base_Periodo1[[#This Row],[Tipo_Linha]]="Fora do DRE","Fora do DRE","( "&amp;Base_Periodo1[[#This Row],[Tipo_Linha]]&amp;" ) "&amp;Base_Periodo1[[#This Row],[Filtro]])</f>
        <v>Fora do DRE</v>
      </c>
      <c r="W599" s="3" t="str">
        <f>LEFT(Base_Periodo1[[#This Row],[CLASS]],3)</f>
        <v>1.1</v>
      </c>
    </row>
    <row r="600" spans="1:23" hidden="1">
      <c r="A600" s="3" t="str">
        <f t="shared" si="9"/>
        <v>Período 1</v>
      </c>
      <c r="B600">
        <v>39759</v>
      </c>
      <c r="C600" t="s">
        <v>503</v>
      </c>
      <c r="D600" t="s">
        <v>5010</v>
      </c>
      <c r="E600" s="3" t="str">
        <f>IF(LEN(Base_Periodo1[[#This Row],[CLASS]])&gt;=7,LEFT(Base_Periodo1[[#This Row],[CLASS]],7),"")</f>
        <v>1.1.2.1</v>
      </c>
      <c r="F600" s="3" t="str">
        <f>VLOOKUP(Base_Periodo1[[#This Row],[Aux]],Base_Contas_Balanco[#All],2,FALSE)</f>
        <v>Creditos com Cooperados</v>
      </c>
      <c r="G600" s="1">
        <v>42863</v>
      </c>
      <c r="H600" s="225">
        <v>596</v>
      </c>
      <c r="I600" s="225">
        <v>0</v>
      </c>
      <c r="J600" s="225">
        <v>596.00000000000011</v>
      </c>
      <c r="K600" s="225">
        <v>-1.1368683772161603E-13</v>
      </c>
      <c r="L6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00" s="225">
        <f>ROUND(IF(AND(Base_Periodo1[[#This Row],[Tipo_Linha]]="-",Base_Periodo1[[#This Row],[TIPOSALDO]]="D"),Base_Periodo1[[#This Row],[SALDO_ATUAL]]*-1,Base_Periodo1[[#This Row],[SALDO_ATUAL]]),4)</f>
        <v>0</v>
      </c>
      <c r="N600" t="s">
        <v>116</v>
      </c>
      <c r="O600" t="s">
        <v>397</v>
      </c>
      <c r="P600" t="s">
        <v>436</v>
      </c>
      <c r="Q600">
        <v>7</v>
      </c>
      <c r="R600" s="225">
        <f>Base_Periodo1[[#This Row],[CREDITOS]]-Base_Periodo1[[#This Row],[DEBITOS]]</f>
        <v>596.00000000000011</v>
      </c>
      <c r="S600" s="3" t="str">
        <f>IF(ISERROR(VLOOKUP(Base_Periodo1[[#This Row],[CONTA]],BaseContasDRE[#All],4,FALSE)),"Fora do DRE",VLOOKUP(Base_Periodo1[[#This Row],[CONTA]],BaseContasDRE[#All],4,FALSE))</f>
        <v>Fora do DRE</v>
      </c>
      <c r="T600" s="3" t="str">
        <f>IF(ISERROR(VLOOKUP(Base_Periodo1[[#This Row],[CONTA]],BaseContasDRE[#All],5,FALSE)),"Fora do DRE",VLOOKUP(Base_Periodo1[[#This Row],[CONTA]],BaseContasDRE[#All],6,FALSE))</f>
        <v>Fora do DRE</v>
      </c>
      <c r="U600" s="3" t="str">
        <f>IF(ISERROR(VLOOKUP(Base_Periodo1[[#This Row],[CONTA]],BaseContasDRE[#All],7,FALSE)),"Fora do DRE",VLOOKUP(Base_Periodo1[[#This Row],[CONTA]],BaseContasDRE[#All],7,FALSE))</f>
        <v>Fora do DRE</v>
      </c>
      <c r="V600" s="3" t="str">
        <f>IF(Base_Periodo1[[#This Row],[Tipo_Linha]]="Fora do DRE","Fora do DRE","( "&amp;Base_Periodo1[[#This Row],[Tipo_Linha]]&amp;" ) "&amp;Base_Periodo1[[#This Row],[Filtro]])</f>
        <v>Fora do DRE</v>
      </c>
      <c r="W600" s="3" t="str">
        <f>LEFT(Base_Periodo1[[#This Row],[CLASS]],3)</f>
        <v>1.1</v>
      </c>
    </row>
    <row r="601" spans="1:23" hidden="1">
      <c r="A601" s="3" t="str">
        <f t="shared" si="9"/>
        <v>Período 1</v>
      </c>
      <c r="B601">
        <v>39819</v>
      </c>
      <c r="C601" t="s">
        <v>503</v>
      </c>
      <c r="D601" t="s">
        <v>5011</v>
      </c>
      <c r="E601" s="3" t="str">
        <f>IF(LEN(Base_Periodo1[[#This Row],[CLASS]])&gt;=7,LEFT(Base_Periodo1[[#This Row],[CLASS]],7),"")</f>
        <v>1.1.2.1</v>
      </c>
      <c r="F601" s="3" t="str">
        <f>VLOOKUP(Base_Periodo1[[#This Row],[Aux]],Base_Contas_Balanco[#All],2,FALSE)</f>
        <v>Creditos com Cooperados</v>
      </c>
      <c r="G601" s="1">
        <v>42818</v>
      </c>
      <c r="H601" s="225">
        <v>506.21999999998661</v>
      </c>
      <c r="I601" s="225">
        <v>0</v>
      </c>
      <c r="J601" s="225">
        <v>0</v>
      </c>
      <c r="K601" s="225">
        <v>506.21999999998661</v>
      </c>
      <c r="L6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506.22</v>
      </c>
      <c r="M601" s="225">
        <f>ROUND(IF(AND(Base_Periodo1[[#This Row],[Tipo_Linha]]="-",Base_Periodo1[[#This Row],[TIPOSALDO]]="D"),Base_Periodo1[[#This Row],[SALDO_ATUAL]]*-1,Base_Periodo1[[#This Row],[SALDO_ATUAL]]),4)</f>
        <v>506.22</v>
      </c>
      <c r="N601" t="s">
        <v>116</v>
      </c>
      <c r="O601" t="s">
        <v>397</v>
      </c>
      <c r="P601" t="s">
        <v>397</v>
      </c>
      <c r="Q601">
        <v>7</v>
      </c>
      <c r="R601" s="225">
        <f>Base_Periodo1[[#This Row],[CREDITOS]]-Base_Periodo1[[#This Row],[DEBITOS]]</f>
        <v>0</v>
      </c>
      <c r="S601" s="3" t="str">
        <f>IF(ISERROR(VLOOKUP(Base_Periodo1[[#This Row],[CONTA]],BaseContasDRE[#All],4,FALSE)),"Fora do DRE",VLOOKUP(Base_Periodo1[[#This Row],[CONTA]],BaseContasDRE[#All],4,FALSE))</f>
        <v>Fora do DRE</v>
      </c>
      <c r="T601" s="3" t="str">
        <f>IF(ISERROR(VLOOKUP(Base_Periodo1[[#This Row],[CONTA]],BaseContasDRE[#All],5,FALSE)),"Fora do DRE",VLOOKUP(Base_Periodo1[[#This Row],[CONTA]],BaseContasDRE[#All],6,FALSE))</f>
        <v>Fora do DRE</v>
      </c>
      <c r="U601" s="3" t="str">
        <f>IF(ISERROR(VLOOKUP(Base_Periodo1[[#This Row],[CONTA]],BaseContasDRE[#All],7,FALSE)),"Fora do DRE",VLOOKUP(Base_Periodo1[[#This Row],[CONTA]],BaseContasDRE[#All],7,FALSE))</f>
        <v>Fora do DRE</v>
      </c>
      <c r="V601" s="3" t="str">
        <f>IF(Base_Periodo1[[#This Row],[Tipo_Linha]]="Fora do DRE","Fora do DRE","( "&amp;Base_Periodo1[[#This Row],[Tipo_Linha]]&amp;" ) "&amp;Base_Periodo1[[#This Row],[Filtro]])</f>
        <v>Fora do DRE</v>
      </c>
      <c r="W601" s="3" t="str">
        <f>LEFT(Base_Periodo1[[#This Row],[CLASS]],3)</f>
        <v>1.1</v>
      </c>
    </row>
    <row r="602" spans="1:23" hidden="1">
      <c r="A602" s="3" t="str">
        <f t="shared" si="9"/>
        <v>Período 1</v>
      </c>
      <c r="B602">
        <v>49656</v>
      </c>
      <c r="C602" t="s">
        <v>503</v>
      </c>
      <c r="D602" t="s">
        <v>4909</v>
      </c>
      <c r="E602" s="3" t="str">
        <f>IF(LEN(Base_Periodo1[[#This Row],[CLASS]])&gt;=7,LEFT(Base_Periodo1[[#This Row],[CLASS]],7),"")</f>
        <v>1.1.2.1</v>
      </c>
      <c r="F602" s="3" t="str">
        <f>VLOOKUP(Base_Periodo1[[#This Row],[Aux]],Base_Contas_Balanco[#All],2,FALSE)</f>
        <v>Creditos com Cooperados</v>
      </c>
      <c r="G602" s="1">
        <v>42865</v>
      </c>
      <c r="H602" s="225">
        <v>434.40000000000055</v>
      </c>
      <c r="I602" s="225">
        <v>2.6</v>
      </c>
      <c r="J602" s="225">
        <v>437</v>
      </c>
      <c r="K602" s="225">
        <v>5.6843418860808015E-13</v>
      </c>
      <c r="L6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02" s="225">
        <f>ROUND(IF(AND(Base_Periodo1[[#This Row],[Tipo_Linha]]="-",Base_Periodo1[[#This Row],[TIPOSALDO]]="D"),Base_Periodo1[[#This Row],[SALDO_ATUAL]]*-1,Base_Periodo1[[#This Row],[SALDO_ATUAL]]),4)</f>
        <v>0</v>
      </c>
      <c r="N602" t="s">
        <v>116</v>
      </c>
      <c r="O602" t="s">
        <v>397</v>
      </c>
      <c r="P602" t="s">
        <v>436</v>
      </c>
      <c r="Q602">
        <v>7</v>
      </c>
      <c r="R602" s="225">
        <f>Base_Periodo1[[#This Row],[CREDITOS]]-Base_Periodo1[[#This Row],[DEBITOS]]</f>
        <v>434.4</v>
      </c>
      <c r="S602" s="3" t="str">
        <f>IF(ISERROR(VLOOKUP(Base_Periodo1[[#This Row],[CONTA]],BaseContasDRE[#All],4,FALSE)),"Fora do DRE",VLOOKUP(Base_Periodo1[[#This Row],[CONTA]],BaseContasDRE[#All],4,FALSE))</f>
        <v>Fora do DRE</v>
      </c>
      <c r="T602" s="3" t="str">
        <f>IF(ISERROR(VLOOKUP(Base_Periodo1[[#This Row],[CONTA]],BaseContasDRE[#All],5,FALSE)),"Fora do DRE",VLOOKUP(Base_Periodo1[[#This Row],[CONTA]],BaseContasDRE[#All],6,FALSE))</f>
        <v>Fora do DRE</v>
      </c>
      <c r="U602" s="3" t="str">
        <f>IF(ISERROR(VLOOKUP(Base_Periodo1[[#This Row],[CONTA]],BaseContasDRE[#All],7,FALSE)),"Fora do DRE",VLOOKUP(Base_Periodo1[[#This Row],[CONTA]],BaseContasDRE[#All],7,FALSE))</f>
        <v>Fora do DRE</v>
      </c>
      <c r="V602" s="3" t="str">
        <f>IF(Base_Periodo1[[#This Row],[Tipo_Linha]]="Fora do DRE","Fora do DRE","( "&amp;Base_Periodo1[[#This Row],[Tipo_Linha]]&amp;" ) "&amp;Base_Periodo1[[#This Row],[Filtro]])</f>
        <v>Fora do DRE</v>
      </c>
      <c r="W602" s="3" t="str">
        <f>LEFT(Base_Periodo1[[#This Row],[CLASS]],3)</f>
        <v>1.1</v>
      </c>
    </row>
    <row r="603" spans="1:23" hidden="1">
      <c r="A603" s="3" t="str">
        <f t="shared" si="9"/>
        <v>Período 1</v>
      </c>
      <c r="B603">
        <v>22853</v>
      </c>
      <c r="C603" t="s">
        <v>503</v>
      </c>
      <c r="D603" t="s">
        <v>797</v>
      </c>
      <c r="E603" s="3" t="str">
        <f>IF(LEN(Base_Periodo1[[#This Row],[CLASS]])&gt;=7,LEFT(Base_Periodo1[[#This Row],[CLASS]],7),"")</f>
        <v>1.1.2.1</v>
      </c>
      <c r="F603" s="3" t="str">
        <f>VLOOKUP(Base_Periodo1[[#This Row],[Aux]],Base_Contas_Balanco[#All],2,FALSE)</f>
        <v>Creditos com Cooperados</v>
      </c>
      <c r="G603" s="1">
        <v>42877</v>
      </c>
      <c r="H603" s="225">
        <v>2680.0000000000036</v>
      </c>
      <c r="I603" s="225">
        <v>0</v>
      </c>
      <c r="J603" s="225">
        <v>1340</v>
      </c>
      <c r="K603" s="225">
        <v>1340.0000000000036</v>
      </c>
      <c r="L6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1340</v>
      </c>
      <c r="M603" s="225">
        <f>ROUND(IF(AND(Base_Periodo1[[#This Row],[Tipo_Linha]]="-",Base_Periodo1[[#This Row],[TIPOSALDO]]="D"),Base_Periodo1[[#This Row],[SALDO_ATUAL]]*-1,Base_Periodo1[[#This Row],[SALDO_ATUAL]]),4)</f>
        <v>1340</v>
      </c>
      <c r="N603" t="s">
        <v>116</v>
      </c>
      <c r="O603" t="s">
        <v>397</v>
      </c>
      <c r="P603" t="s">
        <v>397</v>
      </c>
      <c r="Q603">
        <v>7</v>
      </c>
      <c r="R603" s="225">
        <f>Base_Periodo1[[#This Row],[CREDITOS]]-Base_Periodo1[[#This Row],[DEBITOS]]</f>
        <v>1340</v>
      </c>
      <c r="S603" s="3" t="str">
        <f>IF(ISERROR(VLOOKUP(Base_Periodo1[[#This Row],[CONTA]],BaseContasDRE[#All],4,FALSE)),"Fora do DRE",VLOOKUP(Base_Periodo1[[#This Row],[CONTA]],BaseContasDRE[#All],4,FALSE))</f>
        <v>Fora do DRE</v>
      </c>
      <c r="T603" s="3" t="str">
        <f>IF(ISERROR(VLOOKUP(Base_Periodo1[[#This Row],[CONTA]],BaseContasDRE[#All],5,FALSE)),"Fora do DRE",VLOOKUP(Base_Periodo1[[#This Row],[CONTA]],BaseContasDRE[#All],6,FALSE))</f>
        <v>Fora do DRE</v>
      </c>
      <c r="U603" s="3" t="str">
        <f>IF(ISERROR(VLOOKUP(Base_Periodo1[[#This Row],[CONTA]],BaseContasDRE[#All],7,FALSE)),"Fora do DRE",VLOOKUP(Base_Periodo1[[#This Row],[CONTA]],BaseContasDRE[#All],7,FALSE))</f>
        <v>Fora do DRE</v>
      </c>
      <c r="V603" s="3" t="str">
        <f>IF(Base_Periodo1[[#This Row],[Tipo_Linha]]="Fora do DRE","Fora do DRE","( "&amp;Base_Periodo1[[#This Row],[Tipo_Linha]]&amp;" ) "&amp;Base_Periodo1[[#This Row],[Filtro]])</f>
        <v>Fora do DRE</v>
      </c>
      <c r="W603" s="3" t="str">
        <f>LEFT(Base_Periodo1[[#This Row],[CLASS]],3)</f>
        <v>1.1</v>
      </c>
    </row>
    <row r="604" spans="1:23" hidden="1">
      <c r="A604" s="3" t="str">
        <f t="shared" si="9"/>
        <v>Período 1</v>
      </c>
      <c r="B604">
        <v>30118</v>
      </c>
      <c r="C604" t="s">
        <v>503</v>
      </c>
      <c r="D604" t="s">
        <v>798</v>
      </c>
      <c r="E604" s="3" t="str">
        <f>IF(LEN(Base_Periodo1[[#This Row],[CLASS]])&gt;=7,LEFT(Base_Periodo1[[#This Row],[CLASS]],7),"")</f>
        <v>1.1.2.1</v>
      </c>
      <c r="F604" s="3" t="str">
        <f>VLOOKUP(Base_Periodo1[[#This Row],[Aux]],Base_Contas_Balanco[#All],2,FALSE)</f>
        <v>Creditos com Cooperados</v>
      </c>
      <c r="G604" s="1">
        <v>42886</v>
      </c>
      <c r="H604" s="225">
        <v>495689.92000000109</v>
      </c>
      <c r="I604" s="225">
        <v>168738.53999999998</v>
      </c>
      <c r="J604" s="225">
        <v>168142.19999999998</v>
      </c>
      <c r="K604" s="225">
        <v>496286.26000000117</v>
      </c>
      <c r="L6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496286.26</v>
      </c>
      <c r="M604" s="225">
        <f>ROUND(IF(AND(Base_Periodo1[[#This Row],[Tipo_Linha]]="-",Base_Periodo1[[#This Row],[TIPOSALDO]]="D"),Base_Periodo1[[#This Row],[SALDO_ATUAL]]*-1,Base_Periodo1[[#This Row],[SALDO_ATUAL]]),4)</f>
        <v>496286.26</v>
      </c>
      <c r="N604" t="s">
        <v>116</v>
      </c>
      <c r="O604" t="s">
        <v>397</v>
      </c>
      <c r="P604" t="s">
        <v>397</v>
      </c>
      <c r="Q604">
        <v>7</v>
      </c>
      <c r="R604" s="225">
        <f>Base_Periodo1[[#This Row],[CREDITOS]]-Base_Periodo1[[#This Row],[DEBITOS]]</f>
        <v>-596.33999999999651</v>
      </c>
      <c r="S604" s="3" t="str">
        <f>IF(ISERROR(VLOOKUP(Base_Periodo1[[#This Row],[CONTA]],BaseContasDRE[#All],4,FALSE)),"Fora do DRE",VLOOKUP(Base_Periodo1[[#This Row],[CONTA]],BaseContasDRE[#All],4,FALSE))</f>
        <v>Fora do DRE</v>
      </c>
      <c r="T604" s="3" t="str">
        <f>IF(ISERROR(VLOOKUP(Base_Periodo1[[#This Row],[CONTA]],BaseContasDRE[#All],5,FALSE)),"Fora do DRE",VLOOKUP(Base_Periodo1[[#This Row],[CONTA]],BaseContasDRE[#All],6,FALSE))</f>
        <v>Fora do DRE</v>
      </c>
      <c r="U604" s="3" t="str">
        <f>IF(ISERROR(VLOOKUP(Base_Periodo1[[#This Row],[CONTA]],BaseContasDRE[#All],7,FALSE)),"Fora do DRE",VLOOKUP(Base_Periodo1[[#This Row],[CONTA]],BaseContasDRE[#All],7,FALSE))</f>
        <v>Fora do DRE</v>
      </c>
      <c r="V604" s="3" t="str">
        <f>IF(Base_Periodo1[[#This Row],[Tipo_Linha]]="Fora do DRE","Fora do DRE","( "&amp;Base_Periodo1[[#This Row],[Tipo_Linha]]&amp;" ) "&amp;Base_Periodo1[[#This Row],[Filtro]])</f>
        <v>Fora do DRE</v>
      </c>
      <c r="W604" s="3" t="str">
        <f>LEFT(Base_Periodo1[[#This Row],[CLASS]],3)</f>
        <v>1.1</v>
      </c>
    </row>
    <row r="605" spans="1:23" hidden="1">
      <c r="A605" s="3" t="str">
        <f t="shared" si="9"/>
        <v>Período 1</v>
      </c>
      <c r="B605">
        <v>7177</v>
      </c>
      <c r="C605" t="s">
        <v>503</v>
      </c>
      <c r="D605" t="s">
        <v>799</v>
      </c>
      <c r="E605" s="3" t="str">
        <f>IF(LEN(Base_Periodo1[[#This Row],[CLASS]])&gt;=7,LEFT(Base_Periodo1[[#This Row],[CLASS]],7),"")</f>
        <v>1.1.2.1</v>
      </c>
      <c r="F605" s="3" t="str">
        <f>VLOOKUP(Base_Periodo1[[#This Row],[Aux]],Base_Contas_Balanco[#All],2,FALSE)</f>
        <v>Creditos com Cooperados</v>
      </c>
      <c r="G605" s="1">
        <v>42885</v>
      </c>
      <c r="H605" s="225">
        <v>1595.4999999999964</v>
      </c>
      <c r="I605" s="225">
        <v>63.82</v>
      </c>
      <c r="J605" s="225">
        <v>1659.32</v>
      </c>
      <c r="K605" s="225">
        <v>-3.637978807091713E-12</v>
      </c>
      <c r="L6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05" s="225">
        <f>ROUND(IF(AND(Base_Periodo1[[#This Row],[Tipo_Linha]]="-",Base_Periodo1[[#This Row],[TIPOSALDO]]="D"),Base_Periodo1[[#This Row],[SALDO_ATUAL]]*-1,Base_Periodo1[[#This Row],[SALDO_ATUAL]]),4)</f>
        <v>0</v>
      </c>
      <c r="N605" t="s">
        <v>116</v>
      </c>
      <c r="O605" t="s">
        <v>397</v>
      </c>
      <c r="P605" t="s">
        <v>436</v>
      </c>
      <c r="Q605">
        <v>7</v>
      </c>
      <c r="R605" s="225">
        <f>Base_Periodo1[[#This Row],[CREDITOS]]-Base_Periodo1[[#This Row],[DEBITOS]]</f>
        <v>1595.5</v>
      </c>
      <c r="S605" s="3" t="str">
        <f>IF(ISERROR(VLOOKUP(Base_Periodo1[[#This Row],[CONTA]],BaseContasDRE[#All],4,FALSE)),"Fora do DRE",VLOOKUP(Base_Periodo1[[#This Row],[CONTA]],BaseContasDRE[#All],4,FALSE))</f>
        <v>Fora do DRE</v>
      </c>
      <c r="T605" s="3" t="str">
        <f>IF(ISERROR(VLOOKUP(Base_Periodo1[[#This Row],[CONTA]],BaseContasDRE[#All],5,FALSE)),"Fora do DRE",VLOOKUP(Base_Periodo1[[#This Row],[CONTA]],BaseContasDRE[#All],6,FALSE))</f>
        <v>Fora do DRE</v>
      </c>
      <c r="U605" s="3" t="str">
        <f>IF(ISERROR(VLOOKUP(Base_Periodo1[[#This Row],[CONTA]],BaseContasDRE[#All],7,FALSE)),"Fora do DRE",VLOOKUP(Base_Periodo1[[#This Row],[CONTA]],BaseContasDRE[#All],7,FALSE))</f>
        <v>Fora do DRE</v>
      </c>
      <c r="V605" s="3" t="str">
        <f>IF(Base_Periodo1[[#This Row],[Tipo_Linha]]="Fora do DRE","Fora do DRE","( "&amp;Base_Periodo1[[#This Row],[Tipo_Linha]]&amp;" ) "&amp;Base_Periodo1[[#This Row],[Filtro]])</f>
        <v>Fora do DRE</v>
      </c>
      <c r="W605" s="3" t="str">
        <f>LEFT(Base_Periodo1[[#This Row],[CLASS]],3)</f>
        <v>1.1</v>
      </c>
    </row>
    <row r="606" spans="1:23" hidden="1">
      <c r="A606" s="3" t="str">
        <f t="shared" si="9"/>
        <v>Período 1</v>
      </c>
      <c r="B606">
        <v>46935</v>
      </c>
      <c r="C606" t="s">
        <v>503</v>
      </c>
      <c r="D606" t="s">
        <v>5160</v>
      </c>
      <c r="E606" s="3" t="str">
        <f>IF(LEN(Base_Periodo1[[#This Row],[CLASS]])&gt;=7,LEFT(Base_Periodo1[[#This Row],[CLASS]],7),"")</f>
        <v>1.1.2.1</v>
      </c>
      <c r="F606" s="3" t="str">
        <f>VLOOKUP(Base_Periodo1[[#This Row],[Aux]],Base_Contas_Balanco[#All],2,FALSE)</f>
        <v>Creditos com Cooperados</v>
      </c>
      <c r="G606" s="1">
        <v>42870</v>
      </c>
      <c r="H606" s="225">
        <v>1740</v>
      </c>
      <c r="I606" s="225">
        <v>49</v>
      </c>
      <c r="J606" s="225">
        <v>49</v>
      </c>
      <c r="K606" s="225">
        <v>1740</v>
      </c>
      <c r="L6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1740</v>
      </c>
      <c r="M606" s="225">
        <f>ROUND(IF(AND(Base_Periodo1[[#This Row],[Tipo_Linha]]="-",Base_Periodo1[[#This Row],[TIPOSALDO]]="D"),Base_Periodo1[[#This Row],[SALDO_ATUAL]]*-1,Base_Periodo1[[#This Row],[SALDO_ATUAL]]),4)</f>
        <v>1740</v>
      </c>
      <c r="N606" t="s">
        <v>116</v>
      </c>
      <c r="O606" t="s">
        <v>397</v>
      </c>
      <c r="P606" t="s">
        <v>397</v>
      </c>
      <c r="Q606">
        <v>7</v>
      </c>
      <c r="R606" s="225">
        <f>Base_Periodo1[[#This Row],[CREDITOS]]-Base_Periodo1[[#This Row],[DEBITOS]]</f>
        <v>0</v>
      </c>
      <c r="S606" s="3" t="str">
        <f>IF(ISERROR(VLOOKUP(Base_Periodo1[[#This Row],[CONTA]],BaseContasDRE[#All],4,FALSE)),"Fora do DRE",VLOOKUP(Base_Periodo1[[#This Row],[CONTA]],BaseContasDRE[#All],4,FALSE))</f>
        <v>Fora do DRE</v>
      </c>
      <c r="T606" s="3" t="str">
        <f>IF(ISERROR(VLOOKUP(Base_Periodo1[[#This Row],[CONTA]],BaseContasDRE[#All],5,FALSE)),"Fora do DRE",VLOOKUP(Base_Periodo1[[#This Row],[CONTA]],BaseContasDRE[#All],6,FALSE))</f>
        <v>Fora do DRE</v>
      </c>
      <c r="U606" s="3" t="str">
        <f>IF(ISERROR(VLOOKUP(Base_Periodo1[[#This Row],[CONTA]],BaseContasDRE[#All],7,FALSE)),"Fora do DRE",VLOOKUP(Base_Periodo1[[#This Row],[CONTA]],BaseContasDRE[#All],7,FALSE))</f>
        <v>Fora do DRE</v>
      </c>
      <c r="V606" s="3" t="str">
        <f>IF(Base_Periodo1[[#This Row],[Tipo_Linha]]="Fora do DRE","Fora do DRE","( "&amp;Base_Periodo1[[#This Row],[Tipo_Linha]]&amp;" ) "&amp;Base_Periodo1[[#This Row],[Filtro]])</f>
        <v>Fora do DRE</v>
      </c>
      <c r="W606" s="3" t="str">
        <f>LEFT(Base_Periodo1[[#This Row],[CLASS]],3)</f>
        <v>1.1</v>
      </c>
    </row>
    <row r="607" spans="1:23" hidden="1">
      <c r="A607" s="3" t="str">
        <f t="shared" si="9"/>
        <v>Período 1</v>
      </c>
      <c r="B607">
        <v>49346</v>
      </c>
      <c r="C607" t="s">
        <v>503</v>
      </c>
      <c r="D607" t="s">
        <v>6725</v>
      </c>
      <c r="E607" s="3" t="str">
        <f>IF(LEN(Base_Periodo1[[#This Row],[CLASS]])&gt;=7,LEFT(Base_Periodo1[[#This Row],[CLASS]],7),"")</f>
        <v>1.1.2.1</v>
      </c>
      <c r="F607" s="3" t="str">
        <f>VLOOKUP(Base_Periodo1[[#This Row],[Aux]],Base_Contas_Balanco[#All],2,FALSE)</f>
        <v>Creditos com Cooperados</v>
      </c>
      <c r="G607" s="1">
        <v>42878</v>
      </c>
      <c r="I607" s="225">
        <v>106.65</v>
      </c>
      <c r="J607" s="225">
        <v>0</v>
      </c>
      <c r="K607" s="225">
        <v>106.65</v>
      </c>
      <c r="L6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106.65</v>
      </c>
      <c r="M607" s="225">
        <f>ROUND(IF(AND(Base_Periodo1[[#This Row],[Tipo_Linha]]="-",Base_Periodo1[[#This Row],[TIPOSALDO]]="D"),Base_Periodo1[[#This Row],[SALDO_ATUAL]]*-1,Base_Periodo1[[#This Row],[SALDO_ATUAL]]),4)</f>
        <v>106.65</v>
      </c>
      <c r="N607" t="s">
        <v>116</v>
      </c>
      <c r="O607" t="s">
        <v>436</v>
      </c>
      <c r="P607" t="s">
        <v>397</v>
      </c>
      <c r="Q607">
        <v>7</v>
      </c>
      <c r="R607" s="225">
        <f>Base_Periodo1[[#This Row],[CREDITOS]]-Base_Periodo1[[#This Row],[DEBITOS]]</f>
        <v>-106.65</v>
      </c>
      <c r="S607" s="3" t="str">
        <f>IF(ISERROR(VLOOKUP(Base_Periodo1[[#This Row],[CONTA]],BaseContasDRE[#All],4,FALSE)),"Fora do DRE",VLOOKUP(Base_Periodo1[[#This Row],[CONTA]],BaseContasDRE[#All],4,FALSE))</f>
        <v>Fora do DRE</v>
      </c>
      <c r="T607" s="3" t="str">
        <f>IF(ISERROR(VLOOKUP(Base_Periodo1[[#This Row],[CONTA]],BaseContasDRE[#All],5,FALSE)),"Fora do DRE",VLOOKUP(Base_Periodo1[[#This Row],[CONTA]],BaseContasDRE[#All],6,FALSE))</f>
        <v>Fora do DRE</v>
      </c>
      <c r="U607" s="3" t="str">
        <f>IF(ISERROR(VLOOKUP(Base_Periodo1[[#This Row],[CONTA]],BaseContasDRE[#All],7,FALSE)),"Fora do DRE",VLOOKUP(Base_Periodo1[[#This Row],[CONTA]],BaseContasDRE[#All],7,FALSE))</f>
        <v>Fora do DRE</v>
      </c>
      <c r="V607" s="3" t="str">
        <f>IF(Base_Periodo1[[#This Row],[Tipo_Linha]]="Fora do DRE","Fora do DRE","( "&amp;Base_Periodo1[[#This Row],[Tipo_Linha]]&amp;" ) "&amp;Base_Periodo1[[#This Row],[Filtro]])</f>
        <v>Fora do DRE</v>
      </c>
      <c r="W607" s="3" t="str">
        <f>LEFT(Base_Periodo1[[#This Row],[CLASS]],3)</f>
        <v>1.1</v>
      </c>
    </row>
    <row r="608" spans="1:23" hidden="1">
      <c r="A608" s="3" t="str">
        <f t="shared" si="9"/>
        <v>Período 1</v>
      </c>
      <c r="B608">
        <v>13812</v>
      </c>
      <c r="C608" t="s">
        <v>503</v>
      </c>
      <c r="D608" t="s">
        <v>800</v>
      </c>
      <c r="E608" s="3" t="str">
        <f>IF(LEN(Base_Periodo1[[#This Row],[CLASS]])&gt;=7,LEFT(Base_Periodo1[[#This Row],[CLASS]],7),"")</f>
        <v>1.1.2.1</v>
      </c>
      <c r="F608" s="3" t="str">
        <f>VLOOKUP(Base_Periodo1[[#This Row],[Aux]],Base_Contas_Balanco[#All],2,FALSE)</f>
        <v>Creditos com Cooperados</v>
      </c>
      <c r="G608" s="1">
        <v>42881</v>
      </c>
      <c r="I608" s="225">
        <v>99</v>
      </c>
      <c r="J608" s="225">
        <v>89</v>
      </c>
      <c r="K608" s="225">
        <v>10.000000000014552</v>
      </c>
      <c r="L6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</v>
      </c>
      <c r="M608" s="225">
        <f>ROUND(IF(AND(Base_Periodo1[[#This Row],[Tipo_Linha]]="-",Base_Periodo1[[#This Row],[TIPOSALDO]]="D"),Base_Periodo1[[#This Row],[SALDO_ATUAL]]*-1,Base_Periodo1[[#This Row],[SALDO_ATUAL]]),4)</f>
        <v>10</v>
      </c>
      <c r="N608" t="s">
        <v>116</v>
      </c>
      <c r="O608" t="s">
        <v>436</v>
      </c>
      <c r="P608" t="s">
        <v>397</v>
      </c>
      <c r="Q608">
        <v>7</v>
      </c>
      <c r="R608" s="225">
        <f>Base_Periodo1[[#This Row],[CREDITOS]]-Base_Periodo1[[#This Row],[DEBITOS]]</f>
        <v>-10</v>
      </c>
      <c r="S608" s="3" t="str">
        <f>IF(ISERROR(VLOOKUP(Base_Periodo1[[#This Row],[CONTA]],BaseContasDRE[#All],4,FALSE)),"Fora do DRE",VLOOKUP(Base_Periodo1[[#This Row],[CONTA]],BaseContasDRE[#All],4,FALSE))</f>
        <v>Fora do DRE</v>
      </c>
      <c r="T608" s="3" t="str">
        <f>IF(ISERROR(VLOOKUP(Base_Periodo1[[#This Row],[CONTA]],BaseContasDRE[#All],5,FALSE)),"Fora do DRE",VLOOKUP(Base_Periodo1[[#This Row],[CONTA]],BaseContasDRE[#All],6,FALSE))</f>
        <v>Fora do DRE</v>
      </c>
      <c r="U608" s="3" t="str">
        <f>IF(ISERROR(VLOOKUP(Base_Periodo1[[#This Row],[CONTA]],BaseContasDRE[#All],7,FALSE)),"Fora do DRE",VLOOKUP(Base_Periodo1[[#This Row],[CONTA]],BaseContasDRE[#All],7,FALSE))</f>
        <v>Fora do DRE</v>
      </c>
      <c r="V608" s="3" t="str">
        <f>IF(Base_Periodo1[[#This Row],[Tipo_Linha]]="Fora do DRE","Fora do DRE","( "&amp;Base_Periodo1[[#This Row],[Tipo_Linha]]&amp;" ) "&amp;Base_Periodo1[[#This Row],[Filtro]])</f>
        <v>Fora do DRE</v>
      </c>
      <c r="W608" s="3" t="str">
        <f>LEFT(Base_Periodo1[[#This Row],[CLASS]],3)</f>
        <v>1.1</v>
      </c>
    </row>
    <row r="609" spans="1:23" hidden="1">
      <c r="A609" s="3" t="str">
        <f t="shared" si="9"/>
        <v>Período 1</v>
      </c>
      <c r="B609">
        <v>53964</v>
      </c>
      <c r="C609" t="s">
        <v>503</v>
      </c>
      <c r="D609" t="s">
        <v>5642</v>
      </c>
      <c r="E609" s="3" t="str">
        <f>IF(LEN(Base_Periodo1[[#This Row],[CLASS]])&gt;=7,LEFT(Base_Periodo1[[#This Row],[CLASS]],7),"")</f>
        <v>1.1.2.1</v>
      </c>
      <c r="F609" s="3" t="str">
        <f>VLOOKUP(Base_Periodo1[[#This Row],[Aux]],Base_Contas_Balanco[#All],2,FALSE)</f>
        <v>Creditos com Cooperados</v>
      </c>
      <c r="G609" s="1">
        <v>42886</v>
      </c>
      <c r="H609" s="225">
        <v>163.84000000000015</v>
      </c>
      <c r="I609" s="225">
        <v>67.5</v>
      </c>
      <c r="J609" s="225">
        <v>163.84</v>
      </c>
      <c r="K609" s="225">
        <v>67.500000000000142</v>
      </c>
      <c r="L6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67.5</v>
      </c>
      <c r="M609" s="225">
        <f>ROUND(IF(AND(Base_Periodo1[[#This Row],[Tipo_Linha]]="-",Base_Periodo1[[#This Row],[TIPOSALDO]]="D"),Base_Periodo1[[#This Row],[SALDO_ATUAL]]*-1,Base_Periodo1[[#This Row],[SALDO_ATUAL]]),4)</f>
        <v>67.5</v>
      </c>
      <c r="N609" t="s">
        <v>116</v>
      </c>
      <c r="O609" t="s">
        <v>397</v>
      </c>
      <c r="P609" t="s">
        <v>397</v>
      </c>
      <c r="Q609">
        <v>7</v>
      </c>
      <c r="R609" s="225">
        <f>Base_Periodo1[[#This Row],[CREDITOS]]-Base_Periodo1[[#This Row],[DEBITOS]]</f>
        <v>96.34</v>
      </c>
      <c r="S609" s="3" t="str">
        <f>IF(ISERROR(VLOOKUP(Base_Periodo1[[#This Row],[CONTA]],BaseContasDRE[#All],4,FALSE)),"Fora do DRE",VLOOKUP(Base_Periodo1[[#This Row],[CONTA]],BaseContasDRE[#All],4,FALSE))</f>
        <v>Fora do DRE</v>
      </c>
      <c r="T609" s="3" t="str">
        <f>IF(ISERROR(VLOOKUP(Base_Periodo1[[#This Row],[CONTA]],BaseContasDRE[#All],5,FALSE)),"Fora do DRE",VLOOKUP(Base_Periodo1[[#This Row],[CONTA]],BaseContasDRE[#All],6,FALSE))</f>
        <v>Fora do DRE</v>
      </c>
      <c r="U609" s="3" t="str">
        <f>IF(ISERROR(VLOOKUP(Base_Periodo1[[#This Row],[CONTA]],BaseContasDRE[#All],7,FALSE)),"Fora do DRE",VLOOKUP(Base_Periodo1[[#This Row],[CONTA]],BaseContasDRE[#All],7,FALSE))</f>
        <v>Fora do DRE</v>
      </c>
      <c r="V609" s="3" t="str">
        <f>IF(Base_Periodo1[[#This Row],[Tipo_Linha]]="Fora do DRE","Fora do DRE","( "&amp;Base_Periodo1[[#This Row],[Tipo_Linha]]&amp;" ) "&amp;Base_Periodo1[[#This Row],[Filtro]])</f>
        <v>Fora do DRE</v>
      </c>
      <c r="W609" s="3" t="str">
        <f>LEFT(Base_Periodo1[[#This Row],[CLASS]],3)</f>
        <v>1.1</v>
      </c>
    </row>
    <row r="610" spans="1:23" hidden="1">
      <c r="A610" s="3" t="str">
        <f t="shared" si="9"/>
        <v>Período 1</v>
      </c>
      <c r="B610">
        <v>2292</v>
      </c>
      <c r="C610" t="s">
        <v>503</v>
      </c>
      <c r="D610" t="s">
        <v>801</v>
      </c>
      <c r="E610" s="3" t="str">
        <f>IF(LEN(Base_Periodo1[[#This Row],[CLASS]])&gt;=7,LEFT(Base_Periodo1[[#This Row],[CLASS]],7),"")</f>
        <v>1.1.2.1</v>
      </c>
      <c r="F610" s="3" t="str">
        <f>VLOOKUP(Base_Periodo1[[#This Row],[Aux]],Base_Contas_Balanco[#All],2,FALSE)</f>
        <v>Creditos com Cooperados</v>
      </c>
      <c r="G610" s="1">
        <v>42880</v>
      </c>
      <c r="H610" s="225">
        <v>31779.939999999944</v>
      </c>
      <c r="I610" s="225">
        <v>17366.72</v>
      </c>
      <c r="J610" s="225">
        <v>17392.36</v>
      </c>
      <c r="K610" s="225">
        <v>31754.299999999945</v>
      </c>
      <c r="L6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31754.3</v>
      </c>
      <c r="M610" s="225">
        <f>ROUND(IF(AND(Base_Periodo1[[#This Row],[Tipo_Linha]]="-",Base_Periodo1[[#This Row],[TIPOSALDO]]="D"),Base_Periodo1[[#This Row],[SALDO_ATUAL]]*-1,Base_Periodo1[[#This Row],[SALDO_ATUAL]]),4)</f>
        <v>31754.3</v>
      </c>
      <c r="N610" t="s">
        <v>116</v>
      </c>
      <c r="O610" t="s">
        <v>397</v>
      </c>
      <c r="P610" t="s">
        <v>397</v>
      </c>
      <c r="Q610">
        <v>7</v>
      </c>
      <c r="R610" s="225">
        <f>Base_Periodo1[[#This Row],[CREDITOS]]-Base_Periodo1[[#This Row],[DEBITOS]]</f>
        <v>25.639999999999418</v>
      </c>
      <c r="S610" s="3" t="str">
        <f>IF(ISERROR(VLOOKUP(Base_Periodo1[[#This Row],[CONTA]],BaseContasDRE[#All],4,FALSE)),"Fora do DRE",VLOOKUP(Base_Periodo1[[#This Row],[CONTA]],BaseContasDRE[#All],4,FALSE))</f>
        <v>Fora do DRE</v>
      </c>
      <c r="T610" s="3" t="str">
        <f>IF(ISERROR(VLOOKUP(Base_Periodo1[[#This Row],[CONTA]],BaseContasDRE[#All],5,FALSE)),"Fora do DRE",VLOOKUP(Base_Periodo1[[#This Row],[CONTA]],BaseContasDRE[#All],6,FALSE))</f>
        <v>Fora do DRE</v>
      </c>
      <c r="U610" s="3" t="str">
        <f>IF(ISERROR(VLOOKUP(Base_Periodo1[[#This Row],[CONTA]],BaseContasDRE[#All],7,FALSE)),"Fora do DRE",VLOOKUP(Base_Periodo1[[#This Row],[CONTA]],BaseContasDRE[#All],7,FALSE))</f>
        <v>Fora do DRE</v>
      </c>
      <c r="V610" s="3" t="str">
        <f>IF(Base_Periodo1[[#This Row],[Tipo_Linha]]="Fora do DRE","Fora do DRE","( "&amp;Base_Periodo1[[#This Row],[Tipo_Linha]]&amp;" ) "&amp;Base_Periodo1[[#This Row],[Filtro]])</f>
        <v>Fora do DRE</v>
      </c>
      <c r="W610" s="3" t="str">
        <f>LEFT(Base_Periodo1[[#This Row],[CLASS]],3)</f>
        <v>1.1</v>
      </c>
    </row>
    <row r="611" spans="1:23" hidden="1">
      <c r="A611" s="3" t="str">
        <f t="shared" si="9"/>
        <v>Período 1</v>
      </c>
      <c r="B611">
        <v>25099</v>
      </c>
      <c r="C611" t="s">
        <v>503</v>
      </c>
      <c r="D611" t="s">
        <v>6726</v>
      </c>
      <c r="E611" s="3" t="str">
        <f>IF(LEN(Base_Periodo1[[#This Row],[CLASS]])&gt;=7,LEFT(Base_Periodo1[[#This Row],[CLASS]],7),"")</f>
        <v>1.1.2.1</v>
      </c>
      <c r="F611" s="3" t="str">
        <f>VLOOKUP(Base_Periodo1[[#This Row],[Aux]],Base_Contas_Balanco[#All],2,FALSE)</f>
        <v>Creditos com Cooperados</v>
      </c>
      <c r="G611" s="1">
        <v>42879</v>
      </c>
      <c r="I611" s="225">
        <v>16944.599999999999</v>
      </c>
      <c r="J611" s="225">
        <v>0</v>
      </c>
      <c r="K611" s="225">
        <v>16944.599999999969</v>
      </c>
      <c r="L6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16944.599999999999</v>
      </c>
      <c r="M611" s="225">
        <f>ROUND(IF(AND(Base_Periodo1[[#This Row],[Tipo_Linha]]="-",Base_Periodo1[[#This Row],[TIPOSALDO]]="D"),Base_Periodo1[[#This Row],[SALDO_ATUAL]]*-1,Base_Periodo1[[#This Row],[SALDO_ATUAL]]),4)</f>
        <v>16944.599999999999</v>
      </c>
      <c r="N611" t="s">
        <v>116</v>
      </c>
      <c r="O611" t="s">
        <v>436</v>
      </c>
      <c r="P611" t="s">
        <v>397</v>
      </c>
      <c r="Q611">
        <v>7</v>
      </c>
      <c r="R611" s="225">
        <f>Base_Periodo1[[#This Row],[CREDITOS]]-Base_Periodo1[[#This Row],[DEBITOS]]</f>
        <v>-16944.599999999999</v>
      </c>
      <c r="S611" s="3" t="str">
        <f>IF(ISERROR(VLOOKUP(Base_Periodo1[[#This Row],[CONTA]],BaseContasDRE[#All],4,FALSE)),"Fora do DRE",VLOOKUP(Base_Periodo1[[#This Row],[CONTA]],BaseContasDRE[#All],4,FALSE))</f>
        <v>Fora do DRE</v>
      </c>
      <c r="T611" s="3" t="str">
        <f>IF(ISERROR(VLOOKUP(Base_Periodo1[[#This Row],[CONTA]],BaseContasDRE[#All],5,FALSE)),"Fora do DRE",VLOOKUP(Base_Periodo1[[#This Row],[CONTA]],BaseContasDRE[#All],6,FALSE))</f>
        <v>Fora do DRE</v>
      </c>
      <c r="U611" s="3" t="str">
        <f>IF(ISERROR(VLOOKUP(Base_Periodo1[[#This Row],[CONTA]],BaseContasDRE[#All],7,FALSE)),"Fora do DRE",VLOOKUP(Base_Periodo1[[#This Row],[CONTA]],BaseContasDRE[#All],7,FALSE))</f>
        <v>Fora do DRE</v>
      </c>
      <c r="V611" s="3" t="str">
        <f>IF(Base_Periodo1[[#This Row],[Tipo_Linha]]="Fora do DRE","Fora do DRE","( "&amp;Base_Periodo1[[#This Row],[Tipo_Linha]]&amp;" ) "&amp;Base_Periodo1[[#This Row],[Filtro]])</f>
        <v>Fora do DRE</v>
      </c>
      <c r="W611" s="3" t="str">
        <f>LEFT(Base_Periodo1[[#This Row],[CLASS]],3)</f>
        <v>1.1</v>
      </c>
    </row>
    <row r="612" spans="1:23" hidden="1">
      <c r="A612" s="3" t="str">
        <f t="shared" si="9"/>
        <v>Período 1</v>
      </c>
      <c r="B612">
        <v>55611</v>
      </c>
      <c r="C612" t="s">
        <v>503</v>
      </c>
      <c r="D612" t="s">
        <v>5024</v>
      </c>
      <c r="E612" s="3" t="str">
        <f>IF(LEN(Base_Periodo1[[#This Row],[CLASS]])&gt;=7,LEFT(Base_Periodo1[[#This Row],[CLASS]],7),"")</f>
        <v>1.1.2.1</v>
      </c>
      <c r="F612" s="3" t="str">
        <f>VLOOKUP(Base_Periodo1[[#This Row],[Aux]],Base_Contas_Balanco[#All],2,FALSE)</f>
        <v>Creditos com Cooperados</v>
      </c>
      <c r="G612" s="1">
        <v>42697</v>
      </c>
      <c r="H612" s="225">
        <v>149852</v>
      </c>
      <c r="I612" s="225">
        <v>0</v>
      </c>
      <c r="J612" s="225">
        <v>0</v>
      </c>
      <c r="K612" s="225">
        <v>149852</v>
      </c>
      <c r="L6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149852</v>
      </c>
      <c r="M612" s="225">
        <f>ROUND(IF(AND(Base_Periodo1[[#This Row],[Tipo_Linha]]="-",Base_Periodo1[[#This Row],[TIPOSALDO]]="D"),Base_Periodo1[[#This Row],[SALDO_ATUAL]]*-1,Base_Periodo1[[#This Row],[SALDO_ATUAL]]),4)</f>
        <v>149852</v>
      </c>
      <c r="N612" t="s">
        <v>116</v>
      </c>
      <c r="O612" t="s">
        <v>397</v>
      </c>
      <c r="P612" t="s">
        <v>397</v>
      </c>
      <c r="Q612">
        <v>7</v>
      </c>
      <c r="R612" s="225">
        <f>Base_Periodo1[[#This Row],[CREDITOS]]-Base_Periodo1[[#This Row],[DEBITOS]]</f>
        <v>0</v>
      </c>
      <c r="S612" s="3" t="str">
        <f>IF(ISERROR(VLOOKUP(Base_Periodo1[[#This Row],[CONTA]],BaseContasDRE[#All],4,FALSE)),"Fora do DRE",VLOOKUP(Base_Periodo1[[#This Row],[CONTA]],BaseContasDRE[#All],4,FALSE))</f>
        <v>Fora do DRE</v>
      </c>
      <c r="T612" s="3" t="str">
        <f>IF(ISERROR(VLOOKUP(Base_Periodo1[[#This Row],[CONTA]],BaseContasDRE[#All],5,FALSE)),"Fora do DRE",VLOOKUP(Base_Periodo1[[#This Row],[CONTA]],BaseContasDRE[#All],6,FALSE))</f>
        <v>Fora do DRE</v>
      </c>
      <c r="U612" s="3" t="str">
        <f>IF(ISERROR(VLOOKUP(Base_Periodo1[[#This Row],[CONTA]],BaseContasDRE[#All],7,FALSE)),"Fora do DRE",VLOOKUP(Base_Periodo1[[#This Row],[CONTA]],BaseContasDRE[#All],7,FALSE))</f>
        <v>Fora do DRE</v>
      </c>
      <c r="V612" s="3" t="str">
        <f>IF(Base_Periodo1[[#This Row],[Tipo_Linha]]="Fora do DRE","Fora do DRE","( "&amp;Base_Periodo1[[#This Row],[Tipo_Linha]]&amp;" ) "&amp;Base_Periodo1[[#This Row],[Filtro]])</f>
        <v>Fora do DRE</v>
      </c>
      <c r="W612" s="3" t="str">
        <f>LEFT(Base_Periodo1[[#This Row],[CLASS]],3)</f>
        <v>1.1</v>
      </c>
    </row>
    <row r="613" spans="1:23" hidden="1">
      <c r="A613" s="3" t="str">
        <f t="shared" si="9"/>
        <v>Período 1</v>
      </c>
      <c r="B613">
        <v>24494</v>
      </c>
      <c r="C613" t="s">
        <v>503</v>
      </c>
      <c r="D613" t="s">
        <v>802</v>
      </c>
      <c r="E613" s="3" t="str">
        <f>IF(LEN(Base_Periodo1[[#This Row],[CLASS]])&gt;=7,LEFT(Base_Periodo1[[#This Row],[CLASS]],7),"")</f>
        <v>1.1.2.1</v>
      </c>
      <c r="F613" s="3" t="str">
        <f>VLOOKUP(Base_Periodo1[[#This Row],[Aux]],Base_Contas_Balanco[#All],2,FALSE)</f>
        <v>Creditos com Cooperados</v>
      </c>
      <c r="G613" s="1">
        <v>42865</v>
      </c>
      <c r="H613" s="225">
        <v>2840.1300000008196</v>
      </c>
      <c r="I613" s="225">
        <v>0</v>
      </c>
      <c r="J613" s="225">
        <v>9.86</v>
      </c>
      <c r="K613" s="225">
        <v>2849.9900000008197</v>
      </c>
      <c r="L6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-2849.99</v>
      </c>
      <c r="M613" s="225">
        <f>ROUND(IF(AND(Base_Periodo1[[#This Row],[Tipo_Linha]]="-",Base_Periodo1[[#This Row],[TIPOSALDO]]="D"),Base_Periodo1[[#This Row],[SALDO_ATUAL]]*-1,Base_Periodo1[[#This Row],[SALDO_ATUAL]]),4)</f>
        <v>2849.99</v>
      </c>
      <c r="N613" t="s">
        <v>116</v>
      </c>
      <c r="O613" t="s">
        <v>459</v>
      </c>
      <c r="P613" t="s">
        <v>459</v>
      </c>
      <c r="Q613">
        <v>7</v>
      </c>
      <c r="R613" s="225">
        <f>Base_Periodo1[[#This Row],[CREDITOS]]-Base_Periodo1[[#This Row],[DEBITOS]]</f>
        <v>9.86</v>
      </c>
      <c r="S613" s="3" t="str">
        <f>IF(ISERROR(VLOOKUP(Base_Periodo1[[#This Row],[CONTA]],BaseContasDRE[#All],4,FALSE)),"Fora do DRE",VLOOKUP(Base_Periodo1[[#This Row],[CONTA]],BaseContasDRE[#All],4,FALSE))</f>
        <v>Fora do DRE</v>
      </c>
      <c r="T613" s="3" t="str">
        <f>IF(ISERROR(VLOOKUP(Base_Periodo1[[#This Row],[CONTA]],BaseContasDRE[#All],5,FALSE)),"Fora do DRE",VLOOKUP(Base_Periodo1[[#This Row],[CONTA]],BaseContasDRE[#All],6,FALSE))</f>
        <v>Fora do DRE</v>
      </c>
      <c r="U613" s="3" t="str">
        <f>IF(ISERROR(VLOOKUP(Base_Periodo1[[#This Row],[CONTA]],BaseContasDRE[#All],7,FALSE)),"Fora do DRE",VLOOKUP(Base_Periodo1[[#This Row],[CONTA]],BaseContasDRE[#All],7,FALSE))</f>
        <v>Fora do DRE</v>
      </c>
      <c r="V613" s="3" t="str">
        <f>IF(Base_Periodo1[[#This Row],[Tipo_Linha]]="Fora do DRE","Fora do DRE","( "&amp;Base_Periodo1[[#This Row],[Tipo_Linha]]&amp;" ) "&amp;Base_Periodo1[[#This Row],[Filtro]])</f>
        <v>Fora do DRE</v>
      </c>
      <c r="W613" s="3" t="str">
        <f>LEFT(Base_Periodo1[[#This Row],[CLASS]],3)</f>
        <v>1.1</v>
      </c>
    </row>
    <row r="614" spans="1:23" hidden="1">
      <c r="A614" s="3" t="str">
        <f t="shared" si="9"/>
        <v>Período 1</v>
      </c>
      <c r="B614">
        <v>22833</v>
      </c>
      <c r="C614" t="s">
        <v>503</v>
      </c>
      <c r="D614" t="s">
        <v>803</v>
      </c>
      <c r="E614" s="3" t="str">
        <f>IF(LEN(Base_Periodo1[[#This Row],[CLASS]])&gt;=7,LEFT(Base_Periodo1[[#This Row],[CLASS]],7),"")</f>
        <v>1.1.2.1</v>
      </c>
      <c r="F614" s="3" t="str">
        <f>VLOOKUP(Base_Periodo1[[#This Row],[Aux]],Base_Contas_Balanco[#All],2,FALSE)</f>
        <v>Creditos com Cooperados</v>
      </c>
      <c r="G614" s="1">
        <v>42874</v>
      </c>
      <c r="H614" s="225">
        <v>485.57000000003609</v>
      </c>
      <c r="I614" s="225">
        <v>8407.15</v>
      </c>
      <c r="J614" s="225">
        <v>0</v>
      </c>
      <c r="K614" s="225">
        <v>8892.7200000000357</v>
      </c>
      <c r="L6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8892.7199999999993</v>
      </c>
      <c r="M614" s="225">
        <f>ROUND(IF(AND(Base_Periodo1[[#This Row],[Tipo_Linha]]="-",Base_Periodo1[[#This Row],[TIPOSALDO]]="D"),Base_Periodo1[[#This Row],[SALDO_ATUAL]]*-1,Base_Periodo1[[#This Row],[SALDO_ATUAL]]),4)</f>
        <v>8892.7199999999993</v>
      </c>
      <c r="N614" t="s">
        <v>116</v>
      </c>
      <c r="O614" t="s">
        <v>397</v>
      </c>
      <c r="P614" t="s">
        <v>397</v>
      </c>
      <c r="Q614">
        <v>7</v>
      </c>
      <c r="R614" s="225">
        <f>Base_Periodo1[[#This Row],[CREDITOS]]-Base_Periodo1[[#This Row],[DEBITOS]]</f>
        <v>-8407.15</v>
      </c>
      <c r="S614" s="3" t="str">
        <f>IF(ISERROR(VLOOKUP(Base_Periodo1[[#This Row],[CONTA]],BaseContasDRE[#All],4,FALSE)),"Fora do DRE",VLOOKUP(Base_Periodo1[[#This Row],[CONTA]],BaseContasDRE[#All],4,FALSE))</f>
        <v>Fora do DRE</v>
      </c>
      <c r="T614" s="3" t="str">
        <f>IF(ISERROR(VLOOKUP(Base_Periodo1[[#This Row],[CONTA]],BaseContasDRE[#All],5,FALSE)),"Fora do DRE",VLOOKUP(Base_Periodo1[[#This Row],[CONTA]],BaseContasDRE[#All],6,FALSE))</f>
        <v>Fora do DRE</v>
      </c>
      <c r="U614" s="3" t="str">
        <f>IF(ISERROR(VLOOKUP(Base_Periodo1[[#This Row],[CONTA]],BaseContasDRE[#All],7,FALSE)),"Fora do DRE",VLOOKUP(Base_Periodo1[[#This Row],[CONTA]],BaseContasDRE[#All],7,FALSE))</f>
        <v>Fora do DRE</v>
      </c>
      <c r="V614" s="3" t="str">
        <f>IF(Base_Periodo1[[#This Row],[Tipo_Linha]]="Fora do DRE","Fora do DRE","( "&amp;Base_Periodo1[[#This Row],[Tipo_Linha]]&amp;" ) "&amp;Base_Periodo1[[#This Row],[Filtro]])</f>
        <v>Fora do DRE</v>
      </c>
      <c r="W614" s="3" t="str">
        <f>LEFT(Base_Periodo1[[#This Row],[CLASS]],3)</f>
        <v>1.1</v>
      </c>
    </row>
    <row r="615" spans="1:23" hidden="1">
      <c r="A615" s="3" t="str">
        <f t="shared" si="9"/>
        <v>Período 1</v>
      </c>
      <c r="B615">
        <v>13492</v>
      </c>
      <c r="C615" t="s">
        <v>503</v>
      </c>
      <c r="D615" t="s">
        <v>804</v>
      </c>
      <c r="E615" s="3" t="str">
        <f>IF(LEN(Base_Periodo1[[#This Row],[CLASS]])&gt;=7,LEFT(Base_Periodo1[[#This Row],[CLASS]],7),"")</f>
        <v>1.1.2.1</v>
      </c>
      <c r="F615" s="3" t="str">
        <f>VLOOKUP(Base_Periodo1[[#This Row],[Aux]],Base_Contas_Balanco[#All],2,FALSE)</f>
        <v>Creditos com Cooperados</v>
      </c>
      <c r="G615" s="1">
        <v>42867</v>
      </c>
      <c r="H615" s="225">
        <v>52332.279999999446</v>
      </c>
      <c r="I615" s="225">
        <v>1912.8</v>
      </c>
      <c r="J615" s="225">
        <v>0</v>
      </c>
      <c r="K615" s="225">
        <v>54245.079999999449</v>
      </c>
      <c r="L6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54245.08</v>
      </c>
      <c r="M615" s="225">
        <f>ROUND(IF(AND(Base_Periodo1[[#This Row],[Tipo_Linha]]="-",Base_Periodo1[[#This Row],[TIPOSALDO]]="D"),Base_Periodo1[[#This Row],[SALDO_ATUAL]]*-1,Base_Periodo1[[#This Row],[SALDO_ATUAL]]),4)</f>
        <v>54245.08</v>
      </c>
      <c r="N615" t="s">
        <v>116</v>
      </c>
      <c r="O615" t="s">
        <v>397</v>
      </c>
      <c r="P615" t="s">
        <v>397</v>
      </c>
      <c r="Q615">
        <v>7</v>
      </c>
      <c r="R615" s="225">
        <f>Base_Periodo1[[#This Row],[CREDITOS]]-Base_Periodo1[[#This Row],[DEBITOS]]</f>
        <v>-1912.8</v>
      </c>
      <c r="S615" s="3" t="str">
        <f>IF(ISERROR(VLOOKUP(Base_Periodo1[[#This Row],[CONTA]],BaseContasDRE[#All],4,FALSE)),"Fora do DRE",VLOOKUP(Base_Periodo1[[#This Row],[CONTA]],BaseContasDRE[#All],4,FALSE))</f>
        <v>Fora do DRE</v>
      </c>
      <c r="T615" s="3" t="str">
        <f>IF(ISERROR(VLOOKUP(Base_Periodo1[[#This Row],[CONTA]],BaseContasDRE[#All],5,FALSE)),"Fora do DRE",VLOOKUP(Base_Periodo1[[#This Row],[CONTA]],BaseContasDRE[#All],6,FALSE))</f>
        <v>Fora do DRE</v>
      </c>
      <c r="U615" s="3" t="str">
        <f>IF(ISERROR(VLOOKUP(Base_Periodo1[[#This Row],[CONTA]],BaseContasDRE[#All],7,FALSE)),"Fora do DRE",VLOOKUP(Base_Periodo1[[#This Row],[CONTA]],BaseContasDRE[#All],7,FALSE))</f>
        <v>Fora do DRE</v>
      </c>
      <c r="V615" s="3" t="str">
        <f>IF(Base_Periodo1[[#This Row],[Tipo_Linha]]="Fora do DRE","Fora do DRE","( "&amp;Base_Periodo1[[#This Row],[Tipo_Linha]]&amp;" ) "&amp;Base_Periodo1[[#This Row],[Filtro]])</f>
        <v>Fora do DRE</v>
      </c>
      <c r="W615" s="3" t="str">
        <f>LEFT(Base_Periodo1[[#This Row],[CLASS]],3)</f>
        <v>1.1</v>
      </c>
    </row>
    <row r="616" spans="1:23" hidden="1">
      <c r="A616" s="3" t="str">
        <f t="shared" si="9"/>
        <v>Período 1</v>
      </c>
      <c r="B616">
        <v>13656</v>
      </c>
      <c r="C616" t="s">
        <v>503</v>
      </c>
      <c r="D616" t="s">
        <v>805</v>
      </c>
      <c r="E616" s="3" t="str">
        <f>IF(LEN(Base_Periodo1[[#This Row],[CLASS]])&gt;=7,LEFT(Base_Periodo1[[#This Row],[CLASS]],7),"")</f>
        <v>1.1.2.1</v>
      </c>
      <c r="F616" s="3" t="str">
        <f>VLOOKUP(Base_Periodo1[[#This Row],[Aux]],Base_Contas_Balanco[#All],2,FALSE)</f>
        <v>Creditos com Cooperados</v>
      </c>
      <c r="G616" s="1">
        <v>42879</v>
      </c>
      <c r="H616" s="225">
        <v>26940.340000000084</v>
      </c>
      <c r="I616" s="225">
        <v>0.09</v>
      </c>
      <c r="J616" s="225">
        <v>835.35</v>
      </c>
      <c r="K616" s="225">
        <v>26105.080000000085</v>
      </c>
      <c r="L6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26105.08</v>
      </c>
      <c r="M616" s="225">
        <f>ROUND(IF(AND(Base_Periodo1[[#This Row],[Tipo_Linha]]="-",Base_Periodo1[[#This Row],[TIPOSALDO]]="D"),Base_Periodo1[[#This Row],[SALDO_ATUAL]]*-1,Base_Periodo1[[#This Row],[SALDO_ATUAL]]),4)</f>
        <v>26105.08</v>
      </c>
      <c r="N616" t="s">
        <v>116</v>
      </c>
      <c r="O616" t="s">
        <v>397</v>
      </c>
      <c r="P616" t="s">
        <v>397</v>
      </c>
      <c r="Q616">
        <v>7</v>
      </c>
      <c r="R616" s="225">
        <f>Base_Periodo1[[#This Row],[CREDITOS]]-Base_Periodo1[[#This Row],[DEBITOS]]</f>
        <v>835.26</v>
      </c>
      <c r="S616" s="3" t="str">
        <f>IF(ISERROR(VLOOKUP(Base_Periodo1[[#This Row],[CONTA]],BaseContasDRE[#All],4,FALSE)),"Fora do DRE",VLOOKUP(Base_Periodo1[[#This Row],[CONTA]],BaseContasDRE[#All],4,FALSE))</f>
        <v>Fora do DRE</v>
      </c>
      <c r="T616" s="3" t="str">
        <f>IF(ISERROR(VLOOKUP(Base_Periodo1[[#This Row],[CONTA]],BaseContasDRE[#All],5,FALSE)),"Fora do DRE",VLOOKUP(Base_Periodo1[[#This Row],[CONTA]],BaseContasDRE[#All],6,FALSE))</f>
        <v>Fora do DRE</v>
      </c>
      <c r="U616" s="3" t="str">
        <f>IF(ISERROR(VLOOKUP(Base_Periodo1[[#This Row],[CONTA]],BaseContasDRE[#All],7,FALSE)),"Fora do DRE",VLOOKUP(Base_Periodo1[[#This Row],[CONTA]],BaseContasDRE[#All],7,FALSE))</f>
        <v>Fora do DRE</v>
      </c>
      <c r="V616" s="3" t="str">
        <f>IF(Base_Periodo1[[#This Row],[Tipo_Linha]]="Fora do DRE","Fora do DRE","( "&amp;Base_Periodo1[[#This Row],[Tipo_Linha]]&amp;" ) "&amp;Base_Periodo1[[#This Row],[Filtro]])</f>
        <v>Fora do DRE</v>
      </c>
      <c r="W616" s="3" t="str">
        <f>LEFT(Base_Periodo1[[#This Row],[CLASS]],3)</f>
        <v>1.1</v>
      </c>
    </row>
    <row r="617" spans="1:23" hidden="1">
      <c r="A617" s="3" t="str">
        <f t="shared" si="9"/>
        <v>Período 1</v>
      </c>
      <c r="B617">
        <v>3900</v>
      </c>
      <c r="C617" t="s">
        <v>503</v>
      </c>
      <c r="D617" t="s">
        <v>806</v>
      </c>
      <c r="E617" s="3" t="str">
        <f>IF(LEN(Base_Periodo1[[#This Row],[CLASS]])&gt;=7,LEFT(Base_Periodo1[[#This Row],[CLASS]],7),"")</f>
        <v>1.1.2.1</v>
      </c>
      <c r="F617" s="3" t="str">
        <f>VLOOKUP(Base_Periodo1[[#This Row],[Aux]],Base_Contas_Balanco[#All],2,FALSE)</f>
        <v>Creditos com Cooperados</v>
      </c>
      <c r="G617" s="1">
        <v>42860</v>
      </c>
      <c r="H617" s="225">
        <v>45827.569999999803</v>
      </c>
      <c r="I617" s="225">
        <v>699.93</v>
      </c>
      <c r="J617" s="225">
        <v>0</v>
      </c>
      <c r="K617" s="225">
        <v>46527.499999999804</v>
      </c>
      <c r="L6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46527.5</v>
      </c>
      <c r="M617" s="225">
        <f>ROUND(IF(AND(Base_Periodo1[[#This Row],[Tipo_Linha]]="-",Base_Periodo1[[#This Row],[TIPOSALDO]]="D"),Base_Periodo1[[#This Row],[SALDO_ATUAL]]*-1,Base_Periodo1[[#This Row],[SALDO_ATUAL]]),4)</f>
        <v>46527.5</v>
      </c>
      <c r="N617" t="s">
        <v>116</v>
      </c>
      <c r="O617" t="s">
        <v>397</v>
      </c>
      <c r="P617" t="s">
        <v>397</v>
      </c>
      <c r="Q617">
        <v>7</v>
      </c>
      <c r="R617" s="225">
        <f>Base_Periodo1[[#This Row],[CREDITOS]]-Base_Periodo1[[#This Row],[DEBITOS]]</f>
        <v>-699.93</v>
      </c>
      <c r="S617" s="3" t="str">
        <f>IF(ISERROR(VLOOKUP(Base_Periodo1[[#This Row],[CONTA]],BaseContasDRE[#All],4,FALSE)),"Fora do DRE",VLOOKUP(Base_Periodo1[[#This Row],[CONTA]],BaseContasDRE[#All],4,FALSE))</f>
        <v>Fora do DRE</v>
      </c>
      <c r="T617" s="3" t="str">
        <f>IF(ISERROR(VLOOKUP(Base_Periodo1[[#This Row],[CONTA]],BaseContasDRE[#All],5,FALSE)),"Fora do DRE",VLOOKUP(Base_Periodo1[[#This Row],[CONTA]],BaseContasDRE[#All],6,FALSE))</f>
        <v>Fora do DRE</v>
      </c>
      <c r="U617" s="3" t="str">
        <f>IF(ISERROR(VLOOKUP(Base_Periodo1[[#This Row],[CONTA]],BaseContasDRE[#All],7,FALSE)),"Fora do DRE",VLOOKUP(Base_Periodo1[[#This Row],[CONTA]],BaseContasDRE[#All],7,FALSE))</f>
        <v>Fora do DRE</v>
      </c>
      <c r="V617" s="3" t="str">
        <f>IF(Base_Periodo1[[#This Row],[Tipo_Linha]]="Fora do DRE","Fora do DRE","( "&amp;Base_Periodo1[[#This Row],[Tipo_Linha]]&amp;" ) "&amp;Base_Periodo1[[#This Row],[Filtro]])</f>
        <v>Fora do DRE</v>
      </c>
      <c r="W617" s="3" t="str">
        <f>LEFT(Base_Periodo1[[#This Row],[CLASS]],3)</f>
        <v>1.1</v>
      </c>
    </row>
    <row r="618" spans="1:23" hidden="1">
      <c r="A618" s="3" t="str">
        <f t="shared" si="9"/>
        <v>Período 1</v>
      </c>
      <c r="B618">
        <v>2816</v>
      </c>
      <c r="C618" t="s">
        <v>503</v>
      </c>
      <c r="D618" t="s">
        <v>4910</v>
      </c>
      <c r="E618" s="3" t="str">
        <f>IF(LEN(Base_Periodo1[[#This Row],[CLASS]])&gt;=7,LEFT(Base_Periodo1[[#This Row],[CLASS]],7),"")</f>
        <v>1.1.2.1</v>
      </c>
      <c r="F618" s="3" t="str">
        <f>VLOOKUP(Base_Periodo1[[#This Row],[Aux]],Base_Contas_Balanco[#All],2,FALSE)</f>
        <v>Creditos com Cooperados</v>
      </c>
      <c r="G618" s="1">
        <v>42822</v>
      </c>
      <c r="H618" s="225">
        <v>1375.609999999986</v>
      </c>
      <c r="I618" s="225">
        <v>0</v>
      </c>
      <c r="J618" s="225">
        <v>0</v>
      </c>
      <c r="K618" s="225">
        <v>1375.609999999986</v>
      </c>
      <c r="L6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1375.61</v>
      </c>
      <c r="M618" s="225">
        <f>ROUND(IF(AND(Base_Periodo1[[#This Row],[Tipo_Linha]]="-",Base_Periodo1[[#This Row],[TIPOSALDO]]="D"),Base_Periodo1[[#This Row],[SALDO_ATUAL]]*-1,Base_Periodo1[[#This Row],[SALDO_ATUAL]]),4)</f>
        <v>1375.61</v>
      </c>
      <c r="N618" t="s">
        <v>116</v>
      </c>
      <c r="O618" t="s">
        <v>397</v>
      </c>
      <c r="P618" t="s">
        <v>397</v>
      </c>
      <c r="Q618">
        <v>7</v>
      </c>
      <c r="R618" s="225">
        <f>Base_Periodo1[[#This Row],[CREDITOS]]-Base_Periodo1[[#This Row],[DEBITOS]]</f>
        <v>0</v>
      </c>
      <c r="S618" s="3" t="str">
        <f>IF(ISERROR(VLOOKUP(Base_Periodo1[[#This Row],[CONTA]],BaseContasDRE[#All],4,FALSE)),"Fora do DRE",VLOOKUP(Base_Periodo1[[#This Row],[CONTA]],BaseContasDRE[#All],4,FALSE))</f>
        <v>Fora do DRE</v>
      </c>
      <c r="T618" s="3" t="str">
        <f>IF(ISERROR(VLOOKUP(Base_Periodo1[[#This Row],[CONTA]],BaseContasDRE[#All],5,FALSE)),"Fora do DRE",VLOOKUP(Base_Periodo1[[#This Row],[CONTA]],BaseContasDRE[#All],6,FALSE))</f>
        <v>Fora do DRE</v>
      </c>
      <c r="U618" s="3" t="str">
        <f>IF(ISERROR(VLOOKUP(Base_Periodo1[[#This Row],[CONTA]],BaseContasDRE[#All],7,FALSE)),"Fora do DRE",VLOOKUP(Base_Periodo1[[#This Row],[CONTA]],BaseContasDRE[#All],7,FALSE))</f>
        <v>Fora do DRE</v>
      </c>
      <c r="V618" s="3" t="str">
        <f>IF(Base_Periodo1[[#This Row],[Tipo_Linha]]="Fora do DRE","Fora do DRE","( "&amp;Base_Periodo1[[#This Row],[Tipo_Linha]]&amp;" ) "&amp;Base_Periodo1[[#This Row],[Filtro]])</f>
        <v>Fora do DRE</v>
      </c>
      <c r="W618" s="3" t="str">
        <f>LEFT(Base_Periodo1[[#This Row],[CLASS]],3)</f>
        <v>1.1</v>
      </c>
    </row>
    <row r="619" spans="1:23" hidden="1">
      <c r="A619" s="3" t="str">
        <f t="shared" si="9"/>
        <v>Período 1</v>
      </c>
      <c r="B619">
        <v>2696</v>
      </c>
      <c r="C619" t="s">
        <v>503</v>
      </c>
      <c r="D619" t="s">
        <v>5392</v>
      </c>
      <c r="E619" s="3" t="str">
        <f>IF(LEN(Base_Periodo1[[#This Row],[CLASS]])&gt;=7,LEFT(Base_Periodo1[[#This Row],[CLASS]],7),"")</f>
        <v>1.1.2.1</v>
      </c>
      <c r="F619" s="3" t="str">
        <f>VLOOKUP(Base_Periodo1[[#This Row],[Aux]],Base_Contas_Balanco[#All],2,FALSE)</f>
        <v>Creditos com Cooperados</v>
      </c>
      <c r="G619" s="1">
        <v>42881</v>
      </c>
      <c r="H619" s="225">
        <v>6754.2599999998638</v>
      </c>
      <c r="I619" s="225">
        <v>773.33</v>
      </c>
      <c r="J619" s="225">
        <v>7527.5899999999992</v>
      </c>
      <c r="K619" s="225">
        <v>-1.3551471056416631E-10</v>
      </c>
      <c r="L6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19" s="225">
        <f>ROUND(IF(AND(Base_Periodo1[[#This Row],[Tipo_Linha]]="-",Base_Periodo1[[#This Row],[TIPOSALDO]]="D"),Base_Periodo1[[#This Row],[SALDO_ATUAL]]*-1,Base_Periodo1[[#This Row],[SALDO_ATUAL]]),4)</f>
        <v>0</v>
      </c>
      <c r="N619" t="s">
        <v>116</v>
      </c>
      <c r="O619" t="s">
        <v>397</v>
      </c>
      <c r="P619" t="s">
        <v>436</v>
      </c>
      <c r="Q619">
        <v>7</v>
      </c>
      <c r="R619" s="225">
        <f>Base_Periodo1[[#This Row],[CREDITOS]]-Base_Periodo1[[#This Row],[DEBITOS]]</f>
        <v>6754.2599999999993</v>
      </c>
      <c r="S619" s="3" t="str">
        <f>IF(ISERROR(VLOOKUP(Base_Periodo1[[#This Row],[CONTA]],BaseContasDRE[#All],4,FALSE)),"Fora do DRE",VLOOKUP(Base_Periodo1[[#This Row],[CONTA]],BaseContasDRE[#All],4,FALSE))</f>
        <v>Fora do DRE</v>
      </c>
      <c r="T619" s="3" t="str">
        <f>IF(ISERROR(VLOOKUP(Base_Periodo1[[#This Row],[CONTA]],BaseContasDRE[#All],5,FALSE)),"Fora do DRE",VLOOKUP(Base_Periodo1[[#This Row],[CONTA]],BaseContasDRE[#All],6,FALSE))</f>
        <v>Fora do DRE</v>
      </c>
      <c r="U619" s="3" t="str">
        <f>IF(ISERROR(VLOOKUP(Base_Periodo1[[#This Row],[CONTA]],BaseContasDRE[#All],7,FALSE)),"Fora do DRE",VLOOKUP(Base_Periodo1[[#This Row],[CONTA]],BaseContasDRE[#All],7,FALSE))</f>
        <v>Fora do DRE</v>
      </c>
      <c r="V619" s="3" t="str">
        <f>IF(Base_Periodo1[[#This Row],[Tipo_Linha]]="Fora do DRE","Fora do DRE","( "&amp;Base_Periodo1[[#This Row],[Tipo_Linha]]&amp;" ) "&amp;Base_Periodo1[[#This Row],[Filtro]])</f>
        <v>Fora do DRE</v>
      </c>
      <c r="W619" s="3" t="str">
        <f>LEFT(Base_Periodo1[[#This Row],[CLASS]],3)</f>
        <v>1.1</v>
      </c>
    </row>
    <row r="620" spans="1:23" hidden="1">
      <c r="A620" s="3" t="str">
        <f t="shared" si="9"/>
        <v>Período 1</v>
      </c>
      <c r="B620">
        <v>9014</v>
      </c>
      <c r="C620" t="s">
        <v>503</v>
      </c>
      <c r="D620" t="s">
        <v>807</v>
      </c>
      <c r="E620" s="3" t="str">
        <f>IF(LEN(Base_Periodo1[[#This Row],[CLASS]])&gt;=7,LEFT(Base_Periodo1[[#This Row],[CLASS]],7),"")</f>
        <v>1.1.2.1</v>
      </c>
      <c r="F620" s="3" t="str">
        <f>VLOOKUP(Base_Periodo1[[#This Row],[Aux]],Base_Contas_Balanco[#All],2,FALSE)</f>
        <v>Creditos com Cooperados</v>
      </c>
      <c r="G620" s="1">
        <v>42873</v>
      </c>
      <c r="H620" s="225">
        <v>41530.790000000386</v>
      </c>
      <c r="I620" s="225">
        <v>567.55000000000007</v>
      </c>
      <c r="J620" s="225">
        <v>42098.34</v>
      </c>
      <c r="K620" s="225">
        <v>3.92901711165905E-10</v>
      </c>
      <c r="L6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20" s="225">
        <f>ROUND(IF(AND(Base_Periodo1[[#This Row],[Tipo_Linha]]="-",Base_Periodo1[[#This Row],[TIPOSALDO]]="D"),Base_Periodo1[[#This Row],[SALDO_ATUAL]]*-1,Base_Periodo1[[#This Row],[SALDO_ATUAL]]),4)</f>
        <v>0</v>
      </c>
      <c r="N620" t="s">
        <v>116</v>
      </c>
      <c r="O620" t="s">
        <v>397</v>
      </c>
      <c r="P620" t="s">
        <v>436</v>
      </c>
      <c r="Q620">
        <v>7</v>
      </c>
      <c r="R620" s="225">
        <f>Base_Periodo1[[#This Row],[CREDITOS]]-Base_Periodo1[[#This Row],[DEBITOS]]</f>
        <v>41530.789999999994</v>
      </c>
      <c r="S620" s="3" t="str">
        <f>IF(ISERROR(VLOOKUP(Base_Periodo1[[#This Row],[CONTA]],BaseContasDRE[#All],4,FALSE)),"Fora do DRE",VLOOKUP(Base_Periodo1[[#This Row],[CONTA]],BaseContasDRE[#All],4,FALSE))</f>
        <v>Fora do DRE</v>
      </c>
      <c r="T620" s="3" t="str">
        <f>IF(ISERROR(VLOOKUP(Base_Periodo1[[#This Row],[CONTA]],BaseContasDRE[#All],5,FALSE)),"Fora do DRE",VLOOKUP(Base_Periodo1[[#This Row],[CONTA]],BaseContasDRE[#All],6,FALSE))</f>
        <v>Fora do DRE</v>
      </c>
      <c r="U620" s="3" t="str">
        <f>IF(ISERROR(VLOOKUP(Base_Periodo1[[#This Row],[CONTA]],BaseContasDRE[#All],7,FALSE)),"Fora do DRE",VLOOKUP(Base_Periodo1[[#This Row],[CONTA]],BaseContasDRE[#All],7,FALSE))</f>
        <v>Fora do DRE</v>
      </c>
      <c r="V620" s="3" t="str">
        <f>IF(Base_Periodo1[[#This Row],[Tipo_Linha]]="Fora do DRE","Fora do DRE","( "&amp;Base_Periodo1[[#This Row],[Tipo_Linha]]&amp;" ) "&amp;Base_Periodo1[[#This Row],[Filtro]])</f>
        <v>Fora do DRE</v>
      </c>
      <c r="W620" s="3" t="str">
        <f>LEFT(Base_Periodo1[[#This Row],[CLASS]],3)</f>
        <v>1.1</v>
      </c>
    </row>
    <row r="621" spans="1:23" hidden="1">
      <c r="A621" s="3" t="str">
        <f t="shared" si="9"/>
        <v>Período 1</v>
      </c>
      <c r="B621">
        <v>2328</v>
      </c>
      <c r="C621" t="s">
        <v>503</v>
      </c>
      <c r="D621" t="s">
        <v>808</v>
      </c>
      <c r="E621" s="3" t="str">
        <f>IF(LEN(Base_Periodo1[[#This Row],[CLASS]])&gt;=7,LEFT(Base_Periodo1[[#This Row],[CLASS]],7),"")</f>
        <v>1.1.2.1</v>
      </c>
      <c r="F621" s="3" t="str">
        <f>VLOOKUP(Base_Periodo1[[#This Row],[Aux]],Base_Contas_Balanco[#All],2,FALSE)</f>
        <v>Creditos com Cooperados</v>
      </c>
      <c r="G621" s="1">
        <v>42885</v>
      </c>
      <c r="H621" s="225">
        <v>62372.700000000652</v>
      </c>
      <c r="I621" s="225">
        <v>24518.539999999997</v>
      </c>
      <c r="J621" s="225">
        <v>23286.87</v>
      </c>
      <c r="K621" s="225">
        <v>63604.37000000065</v>
      </c>
      <c r="L6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63604.37</v>
      </c>
      <c r="M621" s="225">
        <f>ROUND(IF(AND(Base_Periodo1[[#This Row],[Tipo_Linha]]="-",Base_Periodo1[[#This Row],[TIPOSALDO]]="D"),Base_Periodo1[[#This Row],[SALDO_ATUAL]]*-1,Base_Periodo1[[#This Row],[SALDO_ATUAL]]),4)</f>
        <v>63604.37</v>
      </c>
      <c r="N621" t="s">
        <v>116</v>
      </c>
      <c r="O621" t="s">
        <v>397</v>
      </c>
      <c r="P621" t="s">
        <v>397</v>
      </c>
      <c r="Q621">
        <v>7</v>
      </c>
      <c r="R621" s="225">
        <f>Base_Periodo1[[#This Row],[CREDITOS]]-Base_Periodo1[[#This Row],[DEBITOS]]</f>
        <v>-1231.6699999999983</v>
      </c>
      <c r="S621" s="3" t="str">
        <f>IF(ISERROR(VLOOKUP(Base_Periodo1[[#This Row],[CONTA]],BaseContasDRE[#All],4,FALSE)),"Fora do DRE",VLOOKUP(Base_Periodo1[[#This Row],[CONTA]],BaseContasDRE[#All],4,FALSE))</f>
        <v>Fora do DRE</v>
      </c>
      <c r="T621" s="3" t="str">
        <f>IF(ISERROR(VLOOKUP(Base_Periodo1[[#This Row],[CONTA]],BaseContasDRE[#All],5,FALSE)),"Fora do DRE",VLOOKUP(Base_Periodo1[[#This Row],[CONTA]],BaseContasDRE[#All],6,FALSE))</f>
        <v>Fora do DRE</v>
      </c>
      <c r="U621" s="3" t="str">
        <f>IF(ISERROR(VLOOKUP(Base_Periodo1[[#This Row],[CONTA]],BaseContasDRE[#All],7,FALSE)),"Fora do DRE",VLOOKUP(Base_Periodo1[[#This Row],[CONTA]],BaseContasDRE[#All],7,FALSE))</f>
        <v>Fora do DRE</v>
      </c>
      <c r="V621" s="3" t="str">
        <f>IF(Base_Periodo1[[#This Row],[Tipo_Linha]]="Fora do DRE","Fora do DRE","( "&amp;Base_Periodo1[[#This Row],[Tipo_Linha]]&amp;" ) "&amp;Base_Periodo1[[#This Row],[Filtro]])</f>
        <v>Fora do DRE</v>
      </c>
      <c r="W621" s="3" t="str">
        <f>LEFT(Base_Periodo1[[#This Row],[CLASS]],3)</f>
        <v>1.1</v>
      </c>
    </row>
    <row r="622" spans="1:23" hidden="1">
      <c r="A622" s="3" t="str">
        <f t="shared" si="9"/>
        <v>Período 1</v>
      </c>
      <c r="B622">
        <v>19652</v>
      </c>
      <c r="C622" t="s">
        <v>503</v>
      </c>
      <c r="D622" t="s">
        <v>5281</v>
      </c>
      <c r="E622" s="3" t="str">
        <f>IF(LEN(Base_Periodo1[[#This Row],[CLASS]])&gt;=7,LEFT(Base_Periodo1[[#This Row],[CLASS]],7),"")</f>
        <v>1.1.2.1</v>
      </c>
      <c r="F622" s="3" t="str">
        <f>VLOOKUP(Base_Periodo1[[#This Row],[Aux]],Base_Contas_Balanco[#All],2,FALSE)</f>
        <v>Creditos com Cooperados</v>
      </c>
      <c r="G622" s="1">
        <v>42859</v>
      </c>
      <c r="I622" s="225">
        <v>2800</v>
      </c>
      <c r="J622" s="225">
        <v>0</v>
      </c>
      <c r="K622" s="225">
        <v>2799.9999999998545</v>
      </c>
      <c r="L6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2800</v>
      </c>
      <c r="M622" s="225">
        <f>ROUND(IF(AND(Base_Periodo1[[#This Row],[Tipo_Linha]]="-",Base_Periodo1[[#This Row],[TIPOSALDO]]="D"),Base_Periodo1[[#This Row],[SALDO_ATUAL]]*-1,Base_Periodo1[[#This Row],[SALDO_ATUAL]]),4)</f>
        <v>2800</v>
      </c>
      <c r="N622" t="s">
        <v>116</v>
      </c>
      <c r="O622" t="s">
        <v>436</v>
      </c>
      <c r="P622" t="s">
        <v>397</v>
      </c>
      <c r="Q622">
        <v>7</v>
      </c>
      <c r="R622" s="225">
        <f>Base_Periodo1[[#This Row],[CREDITOS]]-Base_Periodo1[[#This Row],[DEBITOS]]</f>
        <v>-2800</v>
      </c>
      <c r="S622" s="3" t="str">
        <f>IF(ISERROR(VLOOKUP(Base_Periodo1[[#This Row],[CONTA]],BaseContasDRE[#All],4,FALSE)),"Fora do DRE",VLOOKUP(Base_Periodo1[[#This Row],[CONTA]],BaseContasDRE[#All],4,FALSE))</f>
        <v>Fora do DRE</v>
      </c>
      <c r="T622" s="3" t="str">
        <f>IF(ISERROR(VLOOKUP(Base_Periodo1[[#This Row],[CONTA]],BaseContasDRE[#All],5,FALSE)),"Fora do DRE",VLOOKUP(Base_Periodo1[[#This Row],[CONTA]],BaseContasDRE[#All],6,FALSE))</f>
        <v>Fora do DRE</v>
      </c>
      <c r="U622" s="3" t="str">
        <f>IF(ISERROR(VLOOKUP(Base_Periodo1[[#This Row],[CONTA]],BaseContasDRE[#All],7,FALSE)),"Fora do DRE",VLOOKUP(Base_Periodo1[[#This Row],[CONTA]],BaseContasDRE[#All],7,FALSE))</f>
        <v>Fora do DRE</v>
      </c>
      <c r="V622" s="3" t="str">
        <f>IF(Base_Periodo1[[#This Row],[Tipo_Linha]]="Fora do DRE","Fora do DRE","( "&amp;Base_Periodo1[[#This Row],[Tipo_Linha]]&amp;" ) "&amp;Base_Periodo1[[#This Row],[Filtro]])</f>
        <v>Fora do DRE</v>
      </c>
      <c r="W622" s="3" t="str">
        <f>LEFT(Base_Periodo1[[#This Row],[CLASS]],3)</f>
        <v>1.1</v>
      </c>
    </row>
    <row r="623" spans="1:23" hidden="1">
      <c r="A623" s="3" t="str">
        <f t="shared" si="9"/>
        <v>Período 1</v>
      </c>
      <c r="B623">
        <v>47269</v>
      </c>
      <c r="C623" t="s">
        <v>503</v>
      </c>
      <c r="D623" t="s">
        <v>809</v>
      </c>
      <c r="E623" s="3" t="str">
        <f>IF(LEN(Base_Periodo1[[#This Row],[CLASS]])&gt;=7,LEFT(Base_Periodo1[[#This Row],[CLASS]],7),"")</f>
        <v>1.1.2.1</v>
      </c>
      <c r="F623" s="3" t="str">
        <f>VLOOKUP(Base_Periodo1[[#This Row],[Aux]],Base_Contas_Balanco[#All],2,FALSE)</f>
        <v>Creditos com Cooperados</v>
      </c>
      <c r="G623" s="1">
        <v>42878</v>
      </c>
      <c r="H623" s="225">
        <v>11265.749999999985</v>
      </c>
      <c r="I623" s="225">
        <v>316.60000000000002</v>
      </c>
      <c r="J623" s="225">
        <v>0</v>
      </c>
      <c r="K623" s="225">
        <v>11582.349999999986</v>
      </c>
      <c r="L6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11582.35</v>
      </c>
      <c r="M623" s="225">
        <f>ROUND(IF(AND(Base_Periodo1[[#This Row],[Tipo_Linha]]="-",Base_Periodo1[[#This Row],[TIPOSALDO]]="D"),Base_Periodo1[[#This Row],[SALDO_ATUAL]]*-1,Base_Periodo1[[#This Row],[SALDO_ATUAL]]),4)</f>
        <v>11582.35</v>
      </c>
      <c r="N623" t="s">
        <v>116</v>
      </c>
      <c r="O623" t="s">
        <v>397</v>
      </c>
      <c r="P623" t="s">
        <v>397</v>
      </c>
      <c r="Q623">
        <v>7</v>
      </c>
      <c r="R623" s="225">
        <f>Base_Periodo1[[#This Row],[CREDITOS]]-Base_Periodo1[[#This Row],[DEBITOS]]</f>
        <v>-316.60000000000002</v>
      </c>
      <c r="S623" s="3" t="str">
        <f>IF(ISERROR(VLOOKUP(Base_Periodo1[[#This Row],[CONTA]],BaseContasDRE[#All],4,FALSE)),"Fora do DRE",VLOOKUP(Base_Periodo1[[#This Row],[CONTA]],BaseContasDRE[#All],4,FALSE))</f>
        <v>Fora do DRE</v>
      </c>
      <c r="T623" s="3" t="str">
        <f>IF(ISERROR(VLOOKUP(Base_Periodo1[[#This Row],[CONTA]],BaseContasDRE[#All],5,FALSE)),"Fora do DRE",VLOOKUP(Base_Periodo1[[#This Row],[CONTA]],BaseContasDRE[#All],6,FALSE))</f>
        <v>Fora do DRE</v>
      </c>
      <c r="U623" s="3" t="str">
        <f>IF(ISERROR(VLOOKUP(Base_Periodo1[[#This Row],[CONTA]],BaseContasDRE[#All],7,FALSE)),"Fora do DRE",VLOOKUP(Base_Periodo1[[#This Row],[CONTA]],BaseContasDRE[#All],7,FALSE))</f>
        <v>Fora do DRE</v>
      </c>
      <c r="V623" s="3" t="str">
        <f>IF(Base_Periodo1[[#This Row],[Tipo_Linha]]="Fora do DRE","Fora do DRE","( "&amp;Base_Periodo1[[#This Row],[Tipo_Linha]]&amp;" ) "&amp;Base_Periodo1[[#This Row],[Filtro]])</f>
        <v>Fora do DRE</v>
      </c>
      <c r="W623" s="3" t="str">
        <f>LEFT(Base_Periodo1[[#This Row],[CLASS]],3)</f>
        <v>1.1</v>
      </c>
    </row>
    <row r="624" spans="1:23" hidden="1">
      <c r="A624" s="3" t="str">
        <f t="shared" si="9"/>
        <v>Período 1</v>
      </c>
      <c r="B624">
        <v>49110</v>
      </c>
      <c r="C624" t="s">
        <v>503</v>
      </c>
      <c r="D624" t="s">
        <v>5282</v>
      </c>
      <c r="E624" s="3" t="str">
        <f>IF(LEN(Base_Periodo1[[#This Row],[CLASS]])&gt;=7,LEFT(Base_Periodo1[[#This Row],[CLASS]],7),"")</f>
        <v>1.1.2.1</v>
      </c>
      <c r="F624" s="3" t="str">
        <f>VLOOKUP(Base_Periodo1[[#This Row],[Aux]],Base_Contas_Balanco[#All],2,FALSE)</f>
        <v>Creditos com Cooperados</v>
      </c>
      <c r="G624" s="1">
        <v>42814</v>
      </c>
      <c r="H624" s="225">
        <v>14408.71</v>
      </c>
      <c r="I624" s="225">
        <v>0</v>
      </c>
      <c r="J624" s="225">
        <v>0</v>
      </c>
      <c r="K624" s="225">
        <v>14408.71</v>
      </c>
      <c r="L6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14408.71</v>
      </c>
      <c r="M624" s="225">
        <f>ROUND(IF(AND(Base_Periodo1[[#This Row],[Tipo_Linha]]="-",Base_Periodo1[[#This Row],[TIPOSALDO]]="D"),Base_Periodo1[[#This Row],[SALDO_ATUAL]]*-1,Base_Periodo1[[#This Row],[SALDO_ATUAL]]),4)</f>
        <v>14408.71</v>
      </c>
      <c r="N624" t="s">
        <v>116</v>
      </c>
      <c r="O624" t="s">
        <v>397</v>
      </c>
      <c r="P624" t="s">
        <v>397</v>
      </c>
      <c r="Q624">
        <v>7</v>
      </c>
      <c r="R624" s="225">
        <f>Base_Periodo1[[#This Row],[CREDITOS]]-Base_Periodo1[[#This Row],[DEBITOS]]</f>
        <v>0</v>
      </c>
      <c r="S624" s="3" t="str">
        <f>IF(ISERROR(VLOOKUP(Base_Periodo1[[#This Row],[CONTA]],BaseContasDRE[#All],4,FALSE)),"Fora do DRE",VLOOKUP(Base_Periodo1[[#This Row],[CONTA]],BaseContasDRE[#All],4,FALSE))</f>
        <v>Fora do DRE</v>
      </c>
      <c r="T624" s="3" t="str">
        <f>IF(ISERROR(VLOOKUP(Base_Periodo1[[#This Row],[CONTA]],BaseContasDRE[#All],5,FALSE)),"Fora do DRE",VLOOKUP(Base_Periodo1[[#This Row],[CONTA]],BaseContasDRE[#All],6,FALSE))</f>
        <v>Fora do DRE</v>
      </c>
      <c r="U624" s="3" t="str">
        <f>IF(ISERROR(VLOOKUP(Base_Periodo1[[#This Row],[CONTA]],BaseContasDRE[#All],7,FALSE)),"Fora do DRE",VLOOKUP(Base_Periodo1[[#This Row],[CONTA]],BaseContasDRE[#All],7,FALSE))</f>
        <v>Fora do DRE</v>
      </c>
      <c r="V624" s="3" t="str">
        <f>IF(Base_Periodo1[[#This Row],[Tipo_Linha]]="Fora do DRE","Fora do DRE","( "&amp;Base_Periodo1[[#This Row],[Tipo_Linha]]&amp;" ) "&amp;Base_Periodo1[[#This Row],[Filtro]])</f>
        <v>Fora do DRE</v>
      </c>
      <c r="W624" s="3" t="str">
        <f>LEFT(Base_Periodo1[[#This Row],[CLASS]],3)</f>
        <v>1.1</v>
      </c>
    </row>
    <row r="625" spans="1:23" hidden="1">
      <c r="A625" s="3" t="str">
        <f t="shared" si="9"/>
        <v>Período 1</v>
      </c>
      <c r="B625">
        <v>11027</v>
      </c>
      <c r="C625" t="s">
        <v>503</v>
      </c>
      <c r="D625" t="s">
        <v>810</v>
      </c>
      <c r="E625" s="3" t="str">
        <f>IF(LEN(Base_Periodo1[[#This Row],[CLASS]])&gt;=7,LEFT(Base_Periodo1[[#This Row],[CLASS]],7),"")</f>
        <v>1.1.2.1</v>
      </c>
      <c r="F625" s="3" t="str">
        <f>VLOOKUP(Base_Periodo1[[#This Row],[Aux]],Base_Contas_Balanco[#All],2,FALSE)</f>
        <v>Creditos com Cooperados</v>
      </c>
      <c r="G625" s="1">
        <v>42829</v>
      </c>
      <c r="H625" s="225">
        <v>9.9999999947613105E-3</v>
      </c>
      <c r="I625" s="225">
        <v>0</v>
      </c>
      <c r="J625" s="225">
        <v>0</v>
      </c>
      <c r="K625" s="225">
        <v>9.9999999947613105E-3</v>
      </c>
      <c r="L6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625" s="225">
        <f>ROUND(IF(AND(Base_Periodo1[[#This Row],[Tipo_Linha]]="-",Base_Periodo1[[#This Row],[TIPOSALDO]]="D"),Base_Periodo1[[#This Row],[SALDO_ATUAL]]*-1,Base_Periodo1[[#This Row],[SALDO_ATUAL]]),4)</f>
        <v>0.01</v>
      </c>
      <c r="N625" t="s">
        <v>116</v>
      </c>
      <c r="O625" t="s">
        <v>397</v>
      </c>
      <c r="P625" t="s">
        <v>397</v>
      </c>
      <c r="Q625">
        <v>7</v>
      </c>
      <c r="R625" s="225">
        <f>Base_Periodo1[[#This Row],[CREDITOS]]-Base_Periodo1[[#This Row],[DEBITOS]]</f>
        <v>0</v>
      </c>
      <c r="S625" s="3" t="str">
        <f>IF(ISERROR(VLOOKUP(Base_Periodo1[[#This Row],[CONTA]],BaseContasDRE[#All],4,FALSE)),"Fora do DRE",VLOOKUP(Base_Periodo1[[#This Row],[CONTA]],BaseContasDRE[#All],4,FALSE))</f>
        <v>Fora do DRE</v>
      </c>
      <c r="T625" s="3" t="str">
        <f>IF(ISERROR(VLOOKUP(Base_Periodo1[[#This Row],[CONTA]],BaseContasDRE[#All],5,FALSE)),"Fora do DRE",VLOOKUP(Base_Periodo1[[#This Row],[CONTA]],BaseContasDRE[#All],6,FALSE))</f>
        <v>Fora do DRE</v>
      </c>
      <c r="U625" s="3" t="str">
        <f>IF(ISERROR(VLOOKUP(Base_Periodo1[[#This Row],[CONTA]],BaseContasDRE[#All],7,FALSE)),"Fora do DRE",VLOOKUP(Base_Periodo1[[#This Row],[CONTA]],BaseContasDRE[#All],7,FALSE))</f>
        <v>Fora do DRE</v>
      </c>
      <c r="V625" s="3" t="str">
        <f>IF(Base_Periodo1[[#This Row],[Tipo_Linha]]="Fora do DRE","Fora do DRE","( "&amp;Base_Periodo1[[#This Row],[Tipo_Linha]]&amp;" ) "&amp;Base_Periodo1[[#This Row],[Filtro]])</f>
        <v>Fora do DRE</v>
      </c>
      <c r="W625" s="3" t="str">
        <f>LEFT(Base_Periodo1[[#This Row],[CLASS]],3)</f>
        <v>1.1</v>
      </c>
    </row>
    <row r="626" spans="1:23" hidden="1">
      <c r="A626" s="3" t="str">
        <f t="shared" si="9"/>
        <v>Período 1</v>
      </c>
      <c r="B626">
        <v>4272</v>
      </c>
      <c r="C626" t="s">
        <v>503</v>
      </c>
      <c r="D626" t="s">
        <v>5393</v>
      </c>
      <c r="E626" s="3" t="str">
        <f>IF(LEN(Base_Periodo1[[#This Row],[CLASS]])&gt;=7,LEFT(Base_Periodo1[[#This Row],[CLASS]],7),"")</f>
        <v>1.1.2.1</v>
      </c>
      <c r="F626" s="3" t="str">
        <f>VLOOKUP(Base_Periodo1[[#This Row],[Aux]],Base_Contas_Balanco[#All],2,FALSE)</f>
        <v>Creditos com Cooperados</v>
      </c>
      <c r="G626" s="1">
        <v>42699</v>
      </c>
      <c r="H626" s="225">
        <v>128.30999999999767</v>
      </c>
      <c r="I626" s="225">
        <v>0</v>
      </c>
      <c r="J626" s="225">
        <v>0</v>
      </c>
      <c r="K626" s="225">
        <v>128.30999999999767</v>
      </c>
      <c r="L6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128.31</v>
      </c>
      <c r="M626" s="225">
        <f>ROUND(IF(AND(Base_Periodo1[[#This Row],[Tipo_Linha]]="-",Base_Periodo1[[#This Row],[TIPOSALDO]]="D"),Base_Periodo1[[#This Row],[SALDO_ATUAL]]*-1,Base_Periodo1[[#This Row],[SALDO_ATUAL]]),4)</f>
        <v>128.31</v>
      </c>
      <c r="N626" t="s">
        <v>116</v>
      </c>
      <c r="O626" t="s">
        <v>397</v>
      </c>
      <c r="P626" t="s">
        <v>397</v>
      </c>
      <c r="Q626">
        <v>7</v>
      </c>
      <c r="R626" s="225">
        <f>Base_Periodo1[[#This Row],[CREDITOS]]-Base_Periodo1[[#This Row],[DEBITOS]]</f>
        <v>0</v>
      </c>
      <c r="S626" s="3" t="str">
        <f>IF(ISERROR(VLOOKUP(Base_Periodo1[[#This Row],[CONTA]],BaseContasDRE[#All],4,FALSE)),"Fora do DRE",VLOOKUP(Base_Periodo1[[#This Row],[CONTA]],BaseContasDRE[#All],4,FALSE))</f>
        <v>Fora do DRE</v>
      </c>
      <c r="T626" s="3" t="str">
        <f>IF(ISERROR(VLOOKUP(Base_Periodo1[[#This Row],[CONTA]],BaseContasDRE[#All],5,FALSE)),"Fora do DRE",VLOOKUP(Base_Periodo1[[#This Row],[CONTA]],BaseContasDRE[#All],6,FALSE))</f>
        <v>Fora do DRE</v>
      </c>
      <c r="U626" s="3" t="str">
        <f>IF(ISERROR(VLOOKUP(Base_Periodo1[[#This Row],[CONTA]],BaseContasDRE[#All],7,FALSE)),"Fora do DRE",VLOOKUP(Base_Periodo1[[#This Row],[CONTA]],BaseContasDRE[#All],7,FALSE))</f>
        <v>Fora do DRE</v>
      </c>
      <c r="V626" s="3" t="str">
        <f>IF(Base_Periodo1[[#This Row],[Tipo_Linha]]="Fora do DRE","Fora do DRE","( "&amp;Base_Periodo1[[#This Row],[Tipo_Linha]]&amp;" ) "&amp;Base_Periodo1[[#This Row],[Filtro]])</f>
        <v>Fora do DRE</v>
      </c>
      <c r="W626" s="3" t="str">
        <f>LEFT(Base_Periodo1[[#This Row],[CLASS]],3)</f>
        <v>1.1</v>
      </c>
    </row>
    <row r="627" spans="1:23" hidden="1">
      <c r="A627" s="3" t="str">
        <f t="shared" si="9"/>
        <v>Período 1</v>
      </c>
      <c r="B627">
        <v>7013</v>
      </c>
      <c r="C627" t="s">
        <v>503</v>
      </c>
      <c r="D627" t="s">
        <v>811</v>
      </c>
      <c r="E627" s="3" t="str">
        <f>IF(LEN(Base_Periodo1[[#This Row],[CLASS]])&gt;=7,LEFT(Base_Periodo1[[#This Row],[CLASS]],7),"")</f>
        <v>1.1.2.1</v>
      </c>
      <c r="F627" s="3" t="str">
        <f>VLOOKUP(Base_Periodo1[[#This Row],[Aux]],Base_Contas_Balanco[#All],2,FALSE)</f>
        <v>Creditos com Cooperados</v>
      </c>
      <c r="G627" s="1">
        <v>42857</v>
      </c>
      <c r="H627" s="225">
        <v>3851.5400000000664</v>
      </c>
      <c r="I627" s="225">
        <v>0</v>
      </c>
      <c r="J627" s="225">
        <v>2601.54</v>
      </c>
      <c r="K627" s="225">
        <v>1250.0000000000664</v>
      </c>
      <c r="L6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1250</v>
      </c>
      <c r="M627" s="225">
        <f>ROUND(IF(AND(Base_Periodo1[[#This Row],[Tipo_Linha]]="-",Base_Periodo1[[#This Row],[TIPOSALDO]]="D"),Base_Periodo1[[#This Row],[SALDO_ATUAL]]*-1,Base_Periodo1[[#This Row],[SALDO_ATUAL]]),4)</f>
        <v>1250</v>
      </c>
      <c r="N627" t="s">
        <v>116</v>
      </c>
      <c r="O627" t="s">
        <v>397</v>
      </c>
      <c r="P627" t="s">
        <v>397</v>
      </c>
      <c r="Q627">
        <v>7</v>
      </c>
      <c r="R627" s="225">
        <f>Base_Periodo1[[#This Row],[CREDITOS]]-Base_Periodo1[[#This Row],[DEBITOS]]</f>
        <v>2601.54</v>
      </c>
      <c r="S627" s="3" t="str">
        <f>IF(ISERROR(VLOOKUP(Base_Periodo1[[#This Row],[CONTA]],BaseContasDRE[#All],4,FALSE)),"Fora do DRE",VLOOKUP(Base_Periodo1[[#This Row],[CONTA]],BaseContasDRE[#All],4,FALSE))</f>
        <v>Fora do DRE</v>
      </c>
      <c r="T627" s="3" t="str">
        <f>IF(ISERROR(VLOOKUP(Base_Periodo1[[#This Row],[CONTA]],BaseContasDRE[#All],5,FALSE)),"Fora do DRE",VLOOKUP(Base_Periodo1[[#This Row],[CONTA]],BaseContasDRE[#All],6,FALSE))</f>
        <v>Fora do DRE</v>
      </c>
      <c r="U627" s="3" t="str">
        <f>IF(ISERROR(VLOOKUP(Base_Periodo1[[#This Row],[CONTA]],BaseContasDRE[#All],7,FALSE)),"Fora do DRE",VLOOKUP(Base_Periodo1[[#This Row],[CONTA]],BaseContasDRE[#All],7,FALSE))</f>
        <v>Fora do DRE</v>
      </c>
      <c r="V627" s="3" t="str">
        <f>IF(Base_Periodo1[[#This Row],[Tipo_Linha]]="Fora do DRE","Fora do DRE","( "&amp;Base_Periodo1[[#This Row],[Tipo_Linha]]&amp;" ) "&amp;Base_Periodo1[[#This Row],[Filtro]])</f>
        <v>Fora do DRE</v>
      </c>
      <c r="W627" s="3" t="str">
        <f>LEFT(Base_Periodo1[[#This Row],[CLASS]],3)</f>
        <v>1.1</v>
      </c>
    </row>
    <row r="628" spans="1:23" hidden="1">
      <c r="A628" s="3" t="str">
        <f t="shared" si="9"/>
        <v>Período 1</v>
      </c>
      <c r="B628">
        <v>9238</v>
      </c>
      <c r="C628" t="s">
        <v>503</v>
      </c>
      <c r="D628" t="s">
        <v>5283</v>
      </c>
      <c r="E628" s="3" t="str">
        <f>IF(LEN(Base_Periodo1[[#This Row],[CLASS]])&gt;=7,LEFT(Base_Periodo1[[#This Row],[CLASS]],7),"")</f>
        <v>1.1.2.1</v>
      </c>
      <c r="F628" s="3" t="str">
        <f>VLOOKUP(Base_Periodo1[[#This Row],[Aux]],Base_Contas_Balanco[#All],2,FALSE)</f>
        <v>Creditos com Cooperados</v>
      </c>
      <c r="G628" s="1">
        <v>42866</v>
      </c>
      <c r="H628" s="225">
        <v>4060.5500000000029</v>
      </c>
      <c r="I628" s="225">
        <v>0</v>
      </c>
      <c r="J628" s="225">
        <v>4060.5499999999997</v>
      </c>
      <c r="K628" s="225">
        <v>3.1832314562052488E-12</v>
      </c>
      <c r="L6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28" s="225">
        <f>ROUND(IF(AND(Base_Periodo1[[#This Row],[Tipo_Linha]]="-",Base_Periodo1[[#This Row],[TIPOSALDO]]="D"),Base_Periodo1[[#This Row],[SALDO_ATUAL]]*-1,Base_Periodo1[[#This Row],[SALDO_ATUAL]]),4)</f>
        <v>0</v>
      </c>
      <c r="N628" t="s">
        <v>116</v>
      </c>
      <c r="O628" t="s">
        <v>397</v>
      </c>
      <c r="P628" t="s">
        <v>436</v>
      </c>
      <c r="Q628">
        <v>7</v>
      </c>
      <c r="R628" s="225">
        <f>Base_Periodo1[[#This Row],[CREDITOS]]-Base_Periodo1[[#This Row],[DEBITOS]]</f>
        <v>4060.5499999999997</v>
      </c>
      <c r="S628" s="3" t="str">
        <f>IF(ISERROR(VLOOKUP(Base_Periodo1[[#This Row],[CONTA]],BaseContasDRE[#All],4,FALSE)),"Fora do DRE",VLOOKUP(Base_Periodo1[[#This Row],[CONTA]],BaseContasDRE[#All],4,FALSE))</f>
        <v>Fora do DRE</v>
      </c>
      <c r="T628" s="3" t="str">
        <f>IF(ISERROR(VLOOKUP(Base_Periodo1[[#This Row],[CONTA]],BaseContasDRE[#All],5,FALSE)),"Fora do DRE",VLOOKUP(Base_Periodo1[[#This Row],[CONTA]],BaseContasDRE[#All],6,FALSE))</f>
        <v>Fora do DRE</v>
      </c>
      <c r="U628" s="3" t="str">
        <f>IF(ISERROR(VLOOKUP(Base_Periodo1[[#This Row],[CONTA]],BaseContasDRE[#All],7,FALSE)),"Fora do DRE",VLOOKUP(Base_Periodo1[[#This Row],[CONTA]],BaseContasDRE[#All],7,FALSE))</f>
        <v>Fora do DRE</v>
      </c>
      <c r="V628" s="3" t="str">
        <f>IF(Base_Periodo1[[#This Row],[Tipo_Linha]]="Fora do DRE","Fora do DRE","( "&amp;Base_Periodo1[[#This Row],[Tipo_Linha]]&amp;" ) "&amp;Base_Periodo1[[#This Row],[Filtro]])</f>
        <v>Fora do DRE</v>
      </c>
      <c r="W628" s="3" t="str">
        <f>LEFT(Base_Periodo1[[#This Row],[CLASS]],3)</f>
        <v>1.1</v>
      </c>
    </row>
    <row r="629" spans="1:23" hidden="1">
      <c r="A629" s="3" t="str">
        <f t="shared" si="9"/>
        <v>Período 1</v>
      </c>
      <c r="B629">
        <v>12887</v>
      </c>
      <c r="C629" t="s">
        <v>503</v>
      </c>
      <c r="D629" t="s">
        <v>812</v>
      </c>
      <c r="E629" s="3" t="str">
        <f>IF(LEN(Base_Periodo1[[#This Row],[CLASS]])&gt;=7,LEFT(Base_Periodo1[[#This Row],[CLASS]],7),"")</f>
        <v>1.1.2.1</v>
      </c>
      <c r="F629" s="3" t="str">
        <f>VLOOKUP(Base_Periodo1[[#This Row],[Aux]],Base_Contas_Balanco[#All],2,FALSE)</f>
        <v>Creditos com Cooperados</v>
      </c>
      <c r="G629" s="1">
        <v>42872</v>
      </c>
      <c r="H629" s="225">
        <v>25116.779999999941</v>
      </c>
      <c r="I629" s="225">
        <v>3160</v>
      </c>
      <c r="J629" s="225">
        <v>2190</v>
      </c>
      <c r="K629" s="225">
        <v>26086.779999999941</v>
      </c>
      <c r="L6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26086.78</v>
      </c>
      <c r="M629" s="225">
        <f>ROUND(IF(AND(Base_Periodo1[[#This Row],[Tipo_Linha]]="-",Base_Periodo1[[#This Row],[TIPOSALDO]]="D"),Base_Periodo1[[#This Row],[SALDO_ATUAL]]*-1,Base_Periodo1[[#This Row],[SALDO_ATUAL]]),4)</f>
        <v>26086.78</v>
      </c>
      <c r="N629" t="s">
        <v>116</v>
      </c>
      <c r="O629" t="s">
        <v>397</v>
      </c>
      <c r="P629" t="s">
        <v>397</v>
      </c>
      <c r="Q629">
        <v>7</v>
      </c>
      <c r="R629" s="225">
        <f>Base_Periodo1[[#This Row],[CREDITOS]]-Base_Periodo1[[#This Row],[DEBITOS]]</f>
        <v>-970</v>
      </c>
      <c r="S629" s="3" t="str">
        <f>IF(ISERROR(VLOOKUP(Base_Periodo1[[#This Row],[CONTA]],BaseContasDRE[#All],4,FALSE)),"Fora do DRE",VLOOKUP(Base_Periodo1[[#This Row],[CONTA]],BaseContasDRE[#All],4,FALSE))</f>
        <v>Fora do DRE</v>
      </c>
      <c r="T629" s="3" t="str">
        <f>IF(ISERROR(VLOOKUP(Base_Periodo1[[#This Row],[CONTA]],BaseContasDRE[#All],5,FALSE)),"Fora do DRE",VLOOKUP(Base_Periodo1[[#This Row],[CONTA]],BaseContasDRE[#All],6,FALSE))</f>
        <v>Fora do DRE</v>
      </c>
      <c r="U629" s="3" t="str">
        <f>IF(ISERROR(VLOOKUP(Base_Periodo1[[#This Row],[CONTA]],BaseContasDRE[#All],7,FALSE)),"Fora do DRE",VLOOKUP(Base_Periodo1[[#This Row],[CONTA]],BaseContasDRE[#All],7,FALSE))</f>
        <v>Fora do DRE</v>
      </c>
      <c r="V629" s="3" t="str">
        <f>IF(Base_Periodo1[[#This Row],[Tipo_Linha]]="Fora do DRE","Fora do DRE","( "&amp;Base_Periodo1[[#This Row],[Tipo_Linha]]&amp;" ) "&amp;Base_Periodo1[[#This Row],[Filtro]])</f>
        <v>Fora do DRE</v>
      </c>
      <c r="W629" s="3" t="str">
        <f>LEFT(Base_Periodo1[[#This Row],[CLASS]],3)</f>
        <v>1.1</v>
      </c>
    </row>
    <row r="630" spans="1:23" hidden="1">
      <c r="A630" s="3" t="str">
        <f t="shared" si="9"/>
        <v>Período 1</v>
      </c>
      <c r="B630">
        <v>50912</v>
      </c>
      <c r="C630" t="s">
        <v>503</v>
      </c>
      <c r="D630" t="s">
        <v>4576</v>
      </c>
      <c r="E630" s="3" t="str">
        <f>IF(LEN(Base_Periodo1[[#This Row],[CLASS]])&gt;=7,LEFT(Base_Periodo1[[#This Row],[CLASS]],7),"")</f>
        <v>1.1.2.1</v>
      </c>
      <c r="F630" s="3" t="str">
        <f>VLOOKUP(Base_Periodo1[[#This Row],[Aux]],Base_Contas_Balanco[#All],2,FALSE)</f>
        <v>Creditos com Cooperados</v>
      </c>
      <c r="G630" s="1">
        <v>42864</v>
      </c>
      <c r="H630" s="225">
        <v>2218.7900000000009</v>
      </c>
      <c r="I630" s="225">
        <v>10967</v>
      </c>
      <c r="J630" s="225">
        <v>0</v>
      </c>
      <c r="K630" s="225">
        <v>13185.79</v>
      </c>
      <c r="L6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13185.79</v>
      </c>
      <c r="M630" s="225">
        <f>ROUND(IF(AND(Base_Periodo1[[#This Row],[Tipo_Linha]]="-",Base_Periodo1[[#This Row],[TIPOSALDO]]="D"),Base_Periodo1[[#This Row],[SALDO_ATUAL]]*-1,Base_Periodo1[[#This Row],[SALDO_ATUAL]]),4)</f>
        <v>13185.79</v>
      </c>
      <c r="N630" t="s">
        <v>116</v>
      </c>
      <c r="O630" t="s">
        <v>397</v>
      </c>
      <c r="P630" t="s">
        <v>397</v>
      </c>
      <c r="Q630">
        <v>7</v>
      </c>
      <c r="R630" s="225">
        <f>Base_Periodo1[[#This Row],[CREDITOS]]-Base_Periodo1[[#This Row],[DEBITOS]]</f>
        <v>-10967</v>
      </c>
      <c r="S630" s="3" t="str">
        <f>IF(ISERROR(VLOOKUP(Base_Periodo1[[#This Row],[CONTA]],BaseContasDRE[#All],4,FALSE)),"Fora do DRE",VLOOKUP(Base_Periodo1[[#This Row],[CONTA]],BaseContasDRE[#All],4,FALSE))</f>
        <v>Fora do DRE</v>
      </c>
      <c r="T630" s="3" t="str">
        <f>IF(ISERROR(VLOOKUP(Base_Periodo1[[#This Row],[CONTA]],BaseContasDRE[#All],5,FALSE)),"Fora do DRE",VLOOKUP(Base_Periodo1[[#This Row],[CONTA]],BaseContasDRE[#All],6,FALSE))</f>
        <v>Fora do DRE</v>
      </c>
      <c r="U630" s="3" t="str">
        <f>IF(ISERROR(VLOOKUP(Base_Periodo1[[#This Row],[CONTA]],BaseContasDRE[#All],7,FALSE)),"Fora do DRE",VLOOKUP(Base_Periodo1[[#This Row],[CONTA]],BaseContasDRE[#All],7,FALSE))</f>
        <v>Fora do DRE</v>
      </c>
      <c r="V630" s="3" t="str">
        <f>IF(Base_Periodo1[[#This Row],[Tipo_Linha]]="Fora do DRE","Fora do DRE","( "&amp;Base_Periodo1[[#This Row],[Tipo_Linha]]&amp;" ) "&amp;Base_Periodo1[[#This Row],[Filtro]])</f>
        <v>Fora do DRE</v>
      </c>
      <c r="W630" s="3" t="str">
        <f>LEFT(Base_Periodo1[[#This Row],[CLASS]],3)</f>
        <v>1.1</v>
      </c>
    </row>
    <row r="631" spans="1:23" hidden="1">
      <c r="A631" s="3" t="str">
        <f t="shared" si="9"/>
        <v>Período 1</v>
      </c>
      <c r="B631">
        <v>3640</v>
      </c>
      <c r="C631" t="s">
        <v>503</v>
      </c>
      <c r="D631" t="s">
        <v>813</v>
      </c>
      <c r="E631" s="3" t="str">
        <f>IF(LEN(Base_Periodo1[[#This Row],[CLASS]])&gt;=7,LEFT(Base_Periodo1[[#This Row],[CLASS]],7),"")</f>
        <v>1.1.2.1</v>
      </c>
      <c r="F631" s="3" t="str">
        <f>VLOOKUP(Base_Periodo1[[#This Row],[Aux]],Base_Contas_Balanco[#All],2,FALSE)</f>
        <v>Creditos com Cooperados</v>
      </c>
      <c r="G631" s="1">
        <v>42827</v>
      </c>
      <c r="H631" s="225">
        <v>0.86000000000058208</v>
      </c>
      <c r="I631" s="225">
        <v>0</v>
      </c>
      <c r="J631" s="225">
        <v>0</v>
      </c>
      <c r="K631" s="225">
        <v>0.86000000000058208</v>
      </c>
      <c r="L6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0.86</v>
      </c>
      <c r="M631" s="225">
        <f>ROUND(IF(AND(Base_Periodo1[[#This Row],[Tipo_Linha]]="-",Base_Periodo1[[#This Row],[TIPOSALDO]]="D"),Base_Periodo1[[#This Row],[SALDO_ATUAL]]*-1,Base_Periodo1[[#This Row],[SALDO_ATUAL]]),4)</f>
        <v>0.86</v>
      </c>
      <c r="N631" t="s">
        <v>116</v>
      </c>
      <c r="O631" t="s">
        <v>397</v>
      </c>
      <c r="P631" t="s">
        <v>397</v>
      </c>
      <c r="Q631">
        <v>7</v>
      </c>
      <c r="R631" s="225">
        <f>Base_Periodo1[[#This Row],[CREDITOS]]-Base_Periodo1[[#This Row],[DEBITOS]]</f>
        <v>0</v>
      </c>
      <c r="S631" s="3" t="str">
        <f>IF(ISERROR(VLOOKUP(Base_Periodo1[[#This Row],[CONTA]],BaseContasDRE[#All],4,FALSE)),"Fora do DRE",VLOOKUP(Base_Periodo1[[#This Row],[CONTA]],BaseContasDRE[#All],4,FALSE))</f>
        <v>Fora do DRE</v>
      </c>
      <c r="T631" s="3" t="str">
        <f>IF(ISERROR(VLOOKUP(Base_Periodo1[[#This Row],[CONTA]],BaseContasDRE[#All],5,FALSE)),"Fora do DRE",VLOOKUP(Base_Periodo1[[#This Row],[CONTA]],BaseContasDRE[#All],6,FALSE))</f>
        <v>Fora do DRE</v>
      </c>
      <c r="U631" s="3" t="str">
        <f>IF(ISERROR(VLOOKUP(Base_Periodo1[[#This Row],[CONTA]],BaseContasDRE[#All],7,FALSE)),"Fora do DRE",VLOOKUP(Base_Periodo1[[#This Row],[CONTA]],BaseContasDRE[#All],7,FALSE))</f>
        <v>Fora do DRE</v>
      </c>
      <c r="V631" s="3" t="str">
        <f>IF(Base_Periodo1[[#This Row],[Tipo_Linha]]="Fora do DRE","Fora do DRE","( "&amp;Base_Periodo1[[#This Row],[Tipo_Linha]]&amp;" ) "&amp;Base_Periodo1[[#This Row],[Filtro]])</f>
        <v>Fora do DRE</v>
      </c>
      <c r="W631" s="3" t="str">
        <f>LEFT(Base_Periodo1[[#This Row],[CLASS]],3)</f>
        <v>1.1</v>
      </c>
    </row>
    <row r="632" spans="1:23" hidden="1">
      <c r="A632" s="3" t="str">
        <f t="shared" si="9"/>
        <v>Período 1</v>
      </c>
      <c r="B632">
        <v>3624</v>
      </c>
      <c r="C632" t="s">
        <v>503</v>
      </c>
      <c r="D632" t="s">
        <v>814</v>
      </c>
      <c r="E632" s="3" t="str">
        <f>IF(LEN(Base_Periodo1[[#This Row],[CLASS]])&gt;=7,LEFT(Base_Periodo1[[#This Row],[CLASS]],7),"")</f>
        <v>1.1.2.1</v>
      </c>
      <c r="F632" s="3" t="str">
        <f>VLOOKUP(Base_Periodo1[[#This Row],[Aux]],Base_Contas_Balanco[#All],2,FALSE)</f>
        <v>Creditos com Cooperados</v>
      </c>
      <c r="G632" s="1">
        <v>42872</v>
      </c>
      <c r="H632" s="225">
        <v>5040</v>
      </c>
      <c r="I632" s="225">
        <v>0</v>
      </c>
      <c r="J632" s="225">
        <v>462.6</v>
      </c>
      <c r="K632" s="225">
        <v>4577.3999999999996</v>
      </c>
      <c r="L6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4577.3999999999996</v>
      </c>
      <c r="M632" s="225">
        <f>ROUND(IF(AND(Base_Periodo1[[#This Row],[Tipo_Linha]]="-",Base_Periodo1[[#This Row],[TIPOSALDO]]="D"),Base_Periodo1[[#This Row],[SALDO_ATUAL]]*-1,Base_Periodo1[[#This Row],[SALDO_ATUAL]]),4)</f>
        <v>4577.3999999999996</v>
      </c>
      <c r="N632" t="s">
        <v>116</v>
      </c>
      <c r="O632" t="s">
        <v>397</v>
      </c>
      <c r="P632" t="s">
        <v>397</v>
      </c>
      <c r="Q632">
        <v>7</v>
      </c>
      <c r="R632" s="225">
        <f>Base_Periodo1[[#This Row],[CREDITOS]]-Base_Periodo1[[#This Row],[DEBITOS]]</f>
        <v>462.6</v>
      </c>
      <c r="S632" s="3" t="str">
        <f>IF(ISERROR(VLOOKUP(Base_Periodo1[[#This Row],[CONTA]],BaseContasDRE[#All],4,FALSE)),"Fora do DRE",VLOOKUP(Base_Periodo1[[#This Row],[CONTA]],BaseContasDRE[#All],4,FALSE))</f>
        <v>Fora do DRE</v>
      </c>
      <c r="T632" s="3" t="str">
        <f>IF(ISERROR(VLOOKUP(Base_Periodo1[[#This Row],[CONTA]],BaseContasDRE[#All],5,FALSE)),"Fora do DRE",VLOOKUP(Base_Periodo1[[#This Row],[CONTA]],BaseContasDRE[#All],6,FALSE))</f>
        <v>Fora do DRE</v>
      </c>
      <c r="U632" s="3" t="str">
        <f>IF(ISERROR(VLOOKUP(Base_Periodo1[[#This Row],[CONTA]],BaseContasDRE[#All],7,FALSE)),"Fora do DRE",VLOOKUP(Base_Periodo1[[#This Row],[CONTA]],BaseContasDRE[#All],7,FALSE))</f>
        <v>Fora do DRE</v>
      </c>
      <c r="V632" s="3" t="str">
        <f>IF(Base_Periodo1[[#This Row],[Tipo_Linha]]="Fora do DRE","Fora do DRE","( "&amp;Base_Periodo1[[#This Row],[Tipo_Linha]]&amp;" ) "&amp;Base_Periodo1[[#This Row],[Filtro]])</f>
        <v>Fora do DRE</v>
      </c>
      <c r="W632" s="3" t="str">
        <f>LEFT(Base_Periodo1[[#This Row],[CLASS]],3)</f>
        <v>1.1</v>
      </c>
    </row>
    <row r="633" spans="1:23" hidden="1">
      <c r="A633" s="3" t="str">
        <f t="shared" si="9"/>
        <v>Período 1</v>
      </c>
      <c r="B633">
        <v>3196</v>
      </c>
      <c r="C633" t="s">
        <v>503</v>
      </c>
      <c r="D633" t="s">
        <v>815</v>
      </c>
      <c r="E633" s="3" t="str">
        <f>IF(LEN(Base_Periodo1[[#This Row],[CLASS]])&gt;=7,LEFT(Base_Periodo1[[#This Row],[CLASS]],7),"")</f>
        <v>1.1.2.1</v>
      </c>
      <c r="F633" s="3" t="str">
        <f>VLOOKUP(Base_Periodo1[[#This Row],[Aux]],Base_Contas_Balanco[#All],2,FALSE)</f>
        <v>Creditos com Cooperados</v>
      </c>
      <c r="G633" s="1">
        <v>42865</v>
      </c>
      <c r="H633" s="225">
        <v>4969.9999999981374</v>
      </c>
      <c r="I633" s="225">
        <v>0</v>
      </c>
      <c r="J633" s="225">
        <v>4969.9999999999991</v>
      </c>
      <c r="K633" s="225">
        <v>-1.8617356545291841E-9</v>
      </c>
      <c r="L6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33" s="225">
        <f>ROUND(IF(AND(Base_Periodo1[[#This Row],[Tipo_Linha]]="-",Base_Periodo1[[#This Row],[TIPOSALDO]]="D"),Base_Periodo1[[#This Row],[SALDO_ATUAL]]*-1,Base_Periodo1[[#This Row],[SALDO_ATUAL]]),4)</f>
        <v>0</v>
      </c>
      <c r="N633" t="s">
        <v>116</v>
      </c>
      <c r="O633" t="s">
        <v>397</v>
      </c>
      <c r="P633" t="s">
        <v>436</v>
      </c>
      <c r="Q633">
        <v>7</v>
      </c>
      <c r="R633" s="225">
        <f>Base_Periodo1[[#This Row],[CREDITOS]]-Base_Periodo1[[#This Row],[DEBITOS]]</f>
        <v>4969.9999999999991</v>
      </c>
      <c r="S633" s="3" t="str">
        <f>IF(ISERROR(VLOOKUP(Base_Periodo1[[#This Row],[CONTA]],BaseContasDRE[#All],4,FALSE)),"Fora do DRE",VLOOKUP(Base_Periodo1[[#This Row],[CONTA]],BaseContasDRE[#All],4,FALSE))</f>
        <v>Fora do DRE</v>
      </c>
      <c r="T633" s="3" t="str">
        <f>IF(ISERROR(VLOOKUP(Base_Periodo1[[#This Row],[CONTA]],BaseContasDRE[#All],5,FALSE)),"Fora do DRE",VLOOKUP(Base_Periodo1[[#This Row],[CONTA]],BaseContasDRE[#All],6,FALSE))</f>
        <v>Fora do DRE</v>
      </c>
      <c r="U633" s="3" t="str">
        <f>IF(ISERROR(VLOOKUP(Base_Periodo1[[#This Row],[CONTA]],BaseContasDRE[#All],7,FALSE)),"Fora do DRE",VLOOKUP(Base_Periodo1[[#This Row],[CONTA]],BaseContasDRE[#All],7,FALSE))</f>
        <v>Fora do DRE</v>
      </c>
      <c r="V633" s="3" t="str">
        <f>IF(Base_Periodo1[[#This Row],[Tipo_Linha]]="Fora do DRE","Fora do DRE","( "&amp;Base_Periodo1[[#This Row],[Tipo_Linha]]&amp;" ) "&amp;Base_Periodo1[[#This Row],[Filtro]])</f>
        <v>Fora do DRE</v>
      </c>
      <c r="W633" s="3" t="str">
        <f>LEFT(Base_Periodo1[[#This Row],[CLASS]],3)</f>
        <v>1.1</v>
      </c>
    </row>
    <row r="634" spans="1:23" hidden="1">
      <c r="A634" s="3" t="str">
        <f t="shared" si="9"/>
        <v>Período 1</v>
      </c>
      <c r="B634">
        <v>23961</v>
      </c>
      <c r="C634" t="s">
        <v>503</v>
      </c>
      <c r="D634" t="s">
        <v>816</v>
      </c>
      <c r="E634" s="3" t="str">
        <f>IF(LEN(Base_Periodo1[[#This Row],[CLASS]])&gt;=7,LEFT(Base_Periodo1[[#This Row],[CLASS]],7),"")</f>
        <v>1.1.2.1</v>
      </c>
      <c r="F634" s="3" t="str">
        <f>VLOOKUP(Base_Periodo1[[#This Row],[Aux]],Base_Contas_Balanco[#All],2,FALSE)</f>
        <v>Creditos com Cooperados</v>
      </c>
      <c r="G634" s="1">
        <v>42877</v>
      </c>
      <c r="H634" s="225">
        <v>1199.5499999999811</v>
      </c>
      <c r="I634" s="225">
        <v>19</v>
      </c>
      <c r="J634" s="225">
        <v>914.55</v>
      </c>
      <c r="K634" s="225">
        <v>303.99999999998113</v>
      </c>
      <c r="L6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304</v>
      </c>
      <c r="M634" s="225">
        <f>ROUND(IF(AND(Base_Periodo1[[#This Row],[Tipo_Linha]]="-",Base_Periodo1[[#This Row],[TIPOSALDO]]="D"),Base_Periodo1[[#This Row],[SALDO_ATUAL]]*-1,Base_Periodo1[[#This Row],[SALDO_ATUAL]]),4)</f>
        <v>304</v>
      </c>
      <c r="N634" t="s">
        <v>116</v>
      </c>
      <c r="O634" t="s">
        <v>397</v>
      </c>
      <c r="P634" t="s">
        <v>397</v>
      </c>
      <c r="Q634">
        <v>7</v>
      </c>
      <c r="R634" s="225">
        <f>Base_Periodo1[[#This Row],[CREDITOS]]-Base_Periodo1[[#This Row],[DEBITOS]]</f>
        <v>895.55</v>
      </c>
      <c r="S634" s="3" t="str">
        <f>IF(ISERROR(VLOOKUP(Base_Periodo1[[#This Row],[CONTA]],BaseContasDRE[#All],4,FALSE)),"Fora do DRE",VLOOKUP(Base_Periodo1[[#This Row],[CONTA]],BaseContasDRE[#All],4,FALSE))</f>
        <v>Fora do DRE</v>
      </c>
      <c r="T634" s="3" t="str">
        <f>IF(ISERROR(VLOOKUP(Base_Periodo1[[#This Row],[CONTA]],BaseContasDRE[#All],5,FALSE)),"Fora do DRE",VLOOKUP(Base_Periodo1[[#This Row],[CONTA]],BaseContasDRE[#All],6,FALSE))</f>
        <v>Fora do DRE</v>
      </c>
      <c r="U634" s="3" t="str">
        <f>IF(ISERROR(VLOOKUP(Base_Periodo1[[#This Row],[CONTA]],BaseContasDRE[#All],7,FALSE)),"Fora do DRE",VLOOKUP(Base_Periodo1[[#This Row],[CONTA]],BaseContasDRE[#All],7,FALSE))</f>
        <v>Fora do DRE</v>
      </c>
      <c r="V634" s="3" t="str">
        <f>IF(Base_Periodo1[[#This Row],[Tipo_Linha]]="Fora do DRE","Fora do DRE","( "&amp;Base_Periodo1[[#This Row],[Tipo_Linha]]&amp;" ) "&amp;Base_Periodo1[[#This Row],[Filtro]])</f>
        <v>Fora do DRE</v>
      </c>
      <c r="W634" s="3" t="str">
        <f>LEFT(Base_Periodo1[[#This Row],[CLASS]],3)</f>
        <v>1.1</v>
      </c>
    </row>
    <row r="635" spans="1:23" hidden="1">
      <c r="A635" s="3" t="str">
        <f t="shared" si="9"/>
        <v>Período 1</v>
      </c>
      <c r="B635">
        <v>36585</v>
      </c>
      <c r="C635" t="s">
        <v>503</v>
      </c>
      <c r="D635" t="s">
        <v>4821</v>
      </c>
      <c r="E635" s="3" t="str">
        <f>IF(LEN(Base_Periodo1[[#This Row],[CLASS]])&gt;=7,LEFT(Base_Periodo1[[#This Row],[CLASS]],7),"")</f>
        <v>1.1.2.1</v>
      </c>
      <c r="F635" s="3" t="str">
        <f>VLOOKUP(Base_Periodo1[[#This Row],[Aux]],Base_Contas_Balanco[#All],2,FALSE)</f>
        <v>Creditos com Cooperados</v>
      </c>
      <c r="G635" s="1">
        <v>42880</v>
      </c>
      <c r="H635" s="225">
        <v>98130.620000000345</v>
      </c>
      <c r="I635" s="225">
        <v>28767.13</v>
      </c>
      <c r="J635" s="225">
        <v>122597.75000000001</v>
      </c>
      <c r="K635" s="225">
        <v>4300.0000000003347</v>
      </c>
      <c r="L6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4300</v>
      </c>
      <c r="M635" s="225">
        <f>ROUND(IF(AND(Base_Periodo1[[#This Row],[Tipo_Linha]]="-",Base_Periodo1[[#This Row],[TIPOSALDO]]="D"),Base_Periodo1[[#This Row],[SALDO_ATUAL]]*-1,Base_Periodo1[[#This Row],[SALDO_ATUAL]]),4)</f>
        <v>4300</v>
      </c>
      <c r="N635" t="s">
        <v>116</v>
      </c>
      <c r="O635" t="s">
        <v>397</v>
      </c>
      <c r="P635" t="s">
        <v>397</v>
      </c>
      <c r="Q635">
        <v>7</v>
      </c>
      <c r="R635" s="225">
        <f>Base_Periodo1[[#This Row],[CREDITOS]]-Base_Periodo1[[#This Row],[DEBITOS]]</f>
        <v>93830.62000000001</v>
      </c>
      <c r="S635" s="3" t="str">
        <f>IF(ISERROR(VLOOKUP(Base_Periodo1[[#This Row],[CONTA]],BaseContasDRE[#All],4,FALSE)),"Fora do DRE",VLOOKUP(Base_Periodo1[[#This Row],[CONTA]],BaseContasDRE[#All],4,FALSE))</f>
        <v>Fora do DRE</v>
      </c>
      <c r="T635" s="3" t="str">
        <f>IF(ISERROR(VLOOKUP(Base_Periodo1[[#This Row],[CONTA]],BaseContasDRE[#All],5,FALSE)),"Fora do DRE",VLOOKUP(Base_Periodo1[[#This Row],[CONTA]],BaseContasDRE[#All],6,FALSE))</f>
        <v>Fora do DRE</v>
      </c>
      <c r="U635" s="3" t="str">
        <f>IF(ISERROR(VLOOKUP(Base_Periodo1[[#This Row],[CONTA]],BaseContasDRE[#All],7,FALSE)),"Fora do DRE",VLOOKUP(Base_Periodo1[[#This Row],[CONTA]],BaseContasDRE[#All],7,FALSE))</f>
        <v>Fora do DRE</v>
      </c>
      <c r="V635" s="3" t="str">
        <f>IF(Base_Periodo1[[#This Row],[Tipo_Linha]]="Fora do DRE","Fora do DRE","( "&amp;Base_Periodo1[[#This Row],[Tipo_Linha]]&amp;" ) "&amp;Base_Periodo1[[#This Row],[Filtro]])</f>
        <v>Fora do DRE</v>
      </c>
      <c r="W635" s="3" t="str">
        <f>LEFT(Base_Periodo1[[#This Row],[CLASS]],3)</f>
        <v>1.1</v>
      </c>
    </row>
    <row r="636" spans="1:23" hidden="1">
      <c r="A636" s="3" t="str">
        <f t="shared" si="9"/>
        <v>Período 1</v>
      </c>
      <c r="B636">
        <v>2364</v>
      </c>
      <c r="C636" t="s">
        <v>503</v>
      </c>
      <c r="D636" t="s">
        <v>817</v>
      </c>
      <c r="E636" s="3" t="str">
        <f>IF(LEN(Base_Periodo1[[#This Row],[CLASS]])&gt;=7,LEFT(Base_Periodo1[[#This Row],[CLASS]],7),"")</f>
        <v>1.1.2.1</v>
      </c>
      <c r="F636" s="3" t="str">
        <f>VLOOKUP(Base_Periodo1[[#This Row],[Aux]],Base_Contas_Balanco[#All],2,FALSE)</f>
        <v>Creditos com Cooperados</v>
      </c>
      <c r="G636" s="1">
        <v>42864</v>
      </c>
      <c r="H636" s="225">
        <v>2484.6100000005681</v>
      </c>
      <c r="I636" s="225">
        <v>2200</v>
      </c>
      <c r="J636" s="225">
        <v>2200</v>
      </c>
      <c r="K636" s="225">
        <v>2484.6100000005681</v>
      </c>
      <c r="L6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2484.61</v>
      </c>
      <c r="M636" s="225">
        <f>ROUND(IF(AND(Base_Periodo1[[#This Row],[Tipo_Linha]]="-",Base_Periodo1[[#This Row],[TIPOSALDO]]="D"),Base_Periodo1[[#This Row],[SALDO_ATUAL]]*-1,Base_Periodo1[[#This Row],[SALDO_ATUAL]]),4)</f>
        <v>2484.61</v>
      </c>
      <c r="N636" t="s">
        <v>116</v>
      </c>
      <c r="O636" t="s">
        <v>397</v>
      </c>
      <c r="P636" t="s">
        <v>397</v>
      </c>
      <c r="Q636">
        <v>7</v>
      </c>
      <c r="R636" s="225">
        <f>Base_Periodo1[[#This Row],[CREDITOS]]-Base_Periodo1[[#This Row],[DEBITOS]]</f>
        <v>0</v>
      </c>
      <c r="S636" s="3" t="str">
        <f>IF(ISERROR(VLOOKUP(Base_Periodo1[[#This Row],[CONTA]],BaseContasDRE[#All],4,FALSE)),"Fora do DRE",VLOOKUP(Base_Periodo1[[#This Row],[CONTA]],BaseContasDRE[#All],4,FALSE))</f>
        <v>Fora do DRE</v>
      </c>
      <c r="T636" s="3" t="str">
        <f>IF(ISERROR(VLOOKUP(Base_Periodo1[[#This Row],[CONTA]],BaseContasDRE[#All],5,FALSE)),"Fora do DRE",VLOOKUP(Base_Periodo1[[#This Row],[CONTA]],BaseContasDRE[#All],6,FALSE))</f>
        <v>Fora do DRE</v>
      </c>
      <c r="U636" s="3" t="str">
        <f>IF(ISERROR(VLOOKUP(Base_Periodo1[[#This Row],[CONTA]],BaseContasDRE[#All],7,FALSE)),"Fora do DRE",VLOOKUP(Base_Periodo1[[#This Row],[CONTA]],BaseContasDRE[#All],7,FALSE))</f>
        <v>Fora do DRE</v>
      </c>
      <c r="V636" s="3" t="str">
        <f>IF(Base_Periodo1[[#This Row],[Tipo_Linha]]="Fora do DRE","Fora do DRE","( "&amp;Base_Periodo1[[#This Row],[Tipo_Linha]]&amp;" ) "&amp;Base_Periodo1[[#This Row],[Filtro]])</f>
        <v>Fora do DRE</v>
      </c>
      <c r="W636" s="3" t="str">
        <f>LEFT(Base_Periodo1[[#This Row],[CLASS]],3)</f>
        <v>1.1</v>
      </c>
    </row>
    <row r="637" spans="1:23" hidden="1">
      <c r="A637" s="3" t="str">
        <f t="shared" si="9"/>
        <v>Período 1</v>
      </c>
      <c r="B637">
        <v>2340</v>
      </c>
      <c r="C637" t="s">
        <v>503</v>
      </c>
      <c r="D637" t="s">
        <v>5161</v>
      </c>
      <c r="E637" s="3" t="str">
        <f>IF(LEN(Base_Periodo1[[#This Row],[CLASS]])&gt;=7,LEFT(Base_Periodo1[[#This Row],[CLASS]],7),"")</f>
        <v>1.1.2.1</v>
      </c>
      <c r="F637" s="3" t="str">
        <f>VLOOKUP(Base_Periodo1[[#This Row],[Aux]],Base_Contas_Balanco[#All],2,FALSE)</f>
        <v>Creditos com Cooperados</v>
      </c>
      <c r="G637" s="1">
        <v>42867</v>
      </c>
      <c r="H637" s="225">
        <v>4133.3799999996554</v>
      </c>
      <c r="I637" s="225">
        <v>2.17</v>
      </c>
      <c r="J637" s="225">
        <v>4135.55</v>
      </c>
      <c r="K637" s="225">
        <v>-3.446984919719398E-10</v>
      </c>
      <c r="L6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37" s="225">
        <f>ROUND(IF(AND(Base_Periodo1[[#This Row],[Tipo_Linha]]="-",Base_Periodo1[[#This Row],[TIPOSALDO]]="D"),Base_Periodo1[[#This Row],[SALDO_ATUAL]]*-1,Base_Periodo1[[#This Row],[SALDO_ATUAL]]),4)</f>
        <v>0</v>
      </c>
      <c r="N637" t="s">
        <v>116</v>
      </c>
      <c r="O637" t="s">
        <v>397</v>
      </c>
      <c r="P637" t="s">
        <v>436</v>
      </c>
      <c r="Q637">
        <v>7</v>
      </c>
      <c r="R637" s="225">
        <f>Base_Periodo1[[#This Row],[CREDITOS]]-Base_Periodo1[[#This Row],[DEBITOS]]</f>
        <v>4133.38</v>
      </c>
      <c r="S637" s="3" t="str">
        <f>IF(ISERROR(VLOOKUP(Base_Periodo1[[#This Row],[CONTA]],BaseContasDRE[#All],4,FALSE)),"Fora do DRE",VLOOKUP(Base_Periodo1[[#This Row],[CONTA]],BaseContasDRE[#All],4,FALSE))</f>
        <v>Fora do DRE</v>
      </c>
      <c r="T637" s="3" t="str">
        <f>IF(ISERROR(VLOOKUP(Base_Periodo1[[#This Row],[CONTA]],BaseContasDRE[#All],5,FALSE)),"Fora do DRE",VLOOKUP(Base_Periodo1[[#This Row],[CONTA]],BaseContasDRE[#All],6,FALSE))</f>
        <v>Fora do DRE</v>
      </c>
      <c r="U637" s="3" t="str">
        <f>IF(ISERROR(VLOOKUP(Base_Periodo1[[#This Row],[CONTA]],BaseContasDRE[#All],7,FALSE)),"Fora do DRE",VLOOKUP(Base_Periodo1[[#This Row],[CONTA]],BaseContasDRE[#All],7,FALSE))</f>
        <v>Fora do DRE</v>
      </c>
      <c r="V637" s="3" t="str">
        <f>IF(Base_Periodo1[[#This Row],[Tipo_Linha]]="Fora do DRE","Fora do DRE","( "&amp;Base_Periodo1[[#This Row],[Tipo_Linha]]&amp;" ) "&amp;Base_Periodo1[[#This Row],[Filtro]])</f>
        <v>Fora do DRE</v>
      </c>
      <c r="W637" s="3" t="str">
        <f>LEFT(Base_Periodo1[[#This Row],[CLASS]],3)</f>
        <v>1.1</v>
      </c>
    </row>
    <row r="638" spans="1:23" hidden="1">
      <c r="A638" s="3" t="str">
        <f t="shared" si="9"/>
        <v>Período 1</v>
      </c>
      <c r="B638">
        <v>4008</v>
      </c>
      <c r="C638" t="s">
        <v>503</v>
      </c>
      <c r="D638" t="s">
        <v>818</v>
      </c>
      <c r="E638" s="3" t="str">
        <f>IF(LEN(Base_Periodo1[[#This Row],[CLASS]])&gt;=7,LEFT(Base_Periodo1[[#This Row],[CLASS]],7),"")</f>
        <v>1.1.2.1</v>
      </c>
      <c r="F638" s="3" t="str">
        <f>VLOOKUP(Base_Periodo1[[#This Row],[Aux]],Base_Contas_Balanco[#All],2,FALSE)</f>
        <v>Creditos com Cooperados</v>
      </c>
      <c r="G638" s="1">
        <v>42852</v>
      </c>
      <c r="H638" s="225">
        <v>0.28000000002793968</v>
      </c>
      <c r="I638" s="225">
        <v>0</v>
      </c>
      <c r="J638" s="225">
        <v>0</v>
      </c>
      <c r="K638" s="225">
        <v>0.28000000002793968</v>
      </c>
      <c r="L6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0.28000000000000003</v>
      </c>
      <c r="M638" s="225">
        <f>ROUND(IF(AND(Base_Periodo1[[#This Row],[Tipo_Linha]]="-",Base_Periodo1[[#This Row],[TIPOSALDO]]="D"),Base_Periodo1[[#This Row],[SALDO_ATUAL]]*-1,Base_Periodo1[[#This Row],[SALDO_ATUAL]]),4)</f>
        <v>0.28000000000000003</v>
      </c>
      <c r="N638" t="s">
        <v>116</v>
      </c>
      <c r="O638" t="s">
        <v>397</v>
      </c>
      <c r="P638" t="s">
        <v>397</v>
      </c>
      <c r="Q638">
        <v>7</v>
      </c>
      <c r="R638" s="225">
        <f>Base_Periodo1[[#This Row],[CREDITOS]]-Base_Periodo1[[#This Row],[DEBITOS]]</f>
        <v>0</v>
      </c>
      <c r="S638" s="3" t="str">
        <f>IF(ISERROR(VLOOKUP(Base_Periodo1[[#This Row],[CONTA]],BaseContasDRE[#All],4,FALSE)),"Fora do DRE",VLOOKUP(Base_Periodo1[[#This Row],[CONTA]],BaseContasDRE[#All],4,FALSE))</f>
        <v>Fora do DRE</v>
      </c>
      <c r="T638" s="3" t="str">
        <f>IF(ISERROR(VLOOKUP(Base_Periodo1[[#This Row],[CONTA]],BaseContasDRE[#All],5,FALSE)),"Fora do DRE",VLOOKUP(Base_Periodo1[[#This Row],[CONTA]],BaseContasDRE[#All],6,FALSE))</f>
        <v>Fora do DRE</v>
      </c>
      <c r="U638" s="3" t="str">
        <f>IF(ISERROR(VLOOKUP(Base_Periodo1[[#This Row],[CONTA]],BaseContasDRE[#All],7,FALSE)),"Fora do DRE",VLOOKUP(Base_Periodo1[[#This Row],[CONTA]],BaseContasDRE[#All],7,FALSE))</f>
        <v>Fora do DRE</v>
      </c>
      <c r="V638" s="3" t="str">
        <f>IF(Base_Periodo1[[#This Row],[Tipo_Linha]]="Fora do DRE","Fora do DRE","( "&amp;Base_Periodo1[[#This Row],[Tipo_Linha]]&amp;" ) "&amp;Base_Periodo1[[#This Row],[Filtro]])</f>
        <v>Fora do DRE</v>
      </c>
      <c r="W638" s="3" t="str">
        <f>LEFT(Base_Periodo1[[#This Row],[CLASS]],3)</f>
        <v>1.1</v>
      </c>
    </row>
    <row r="639" spans="1:23" hidden="1">
      <c r="A639" s="3" t="str">
        <f t="shared" si="9"/>
        <v>Período 1</v>
      </c>
      <c r="B639">
        <v>3168</v>
      </c>
      <c r="C639" t="s">
        <v>503</v>
      </c>
      <c r="D639" t="s">
        <v>819</v>
      </c>
      <c r="E639" s="3" t="str">
        <f>IF(LEN(Base_Periodo1[[#This Row],[CLASS]])&gt;=7,LEFT(Base_Periodo1[[#This Row],[CLASS]],7),"")</f>
        <v>1.1.2.1</v>
      </c>
      <c r="F639" s="3" t="str">
        <f>VLOOKUP(Base_Periodo1[[#This Row],[Aux]],Base_Contas_Balanco[#All],2,FALSE)</f>
        <v>Creditos com Cooperados</v>
      </c>
      <c r="G639" s="1">
        <v>42878</v>
      </c>
      <c r="H639" s="225">
        <v>3012.6999999990221</v>
      </c>
      <c r="I639" s="225">
        <v>7425.7</v>
      </c>
      <c r="J639" s="225">
        <v>3835.7</v>
      </c>
      <c r="K639" s="225">
        <v>6602.699999999023</v>
      </c>
      <c r="L6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6602.7</v>
      </c>
      <c r="M639" s="225">
        <f>ROUND(IF(AND(Base_Periodo1[[#This Row],[Tipo_Linha]]="-",Base_Periodo1[[#This Row],[TIPOSALDO]]="D"),Base_Periodo1[[#This Row],[SALDO_ATUAL]]*-1,Base_Periodo1[[#This Row],[SALDO_ATUAL]]),4)</f>
        <v>6602.7</v>
      </c>
      <c r="N639" t="s">
        <v>116</v>
      </c>
      <c r="O639" t="s">
        <v>397</v>
      </c>
      <c r="P639" t="s">
        <v>397</v>
      </c>
      <c r="Q639">
        <v>7</v>
      </c>
      <c r="R639" s="225">
        <f>Base_Periodo1[[#This Row],[CREDITOS]]-Base_Periodo1[[#This Row],[DEBITOS]]</f>
        <v>-3590</v>
      </c>
      <c r="S639" s="3" t="str">
        <f>IF(ISERROR(VLOOKUP(Base_Periodo1[[#This Row],[CONTA]],BaseContasDRE[#All],4,FALSE)),"Fora do DRE",VLOOKUP(Base_Periodo1[[#This Row],[CONTA]],BaseContasDRE[#All],4,FALSE))</f>
        <v>Fora do DRE</v>
      </c>
      <c r="T639" s="3" t="str">
        <f>IF(ISERROR(VLOOKUP(Base_Periodo1[[#This Row],[CONTA]],BaseContasDRE[#All],5,FALSE)),"Fora do DRE",VLOOKUP(Base_Periodo1[[#This Row],[CONTA]],BaseContasDRE[#All],6,FALSE))</f>
        <v>Fora do DRE</v>
      </c>
      <c r="U639" s="3" t="str">
        <f>IF(ISERROR(VLOOKUP(Base_Periodo1[[#This Row],[CONTA]],BaseContasDRE[#All],7,FALSE)),"Fora do DRE",VLOOKUP(Base_Periodo1[[#This Row],[CONTA]],BaseContasDRE[#All],7,FALSE))</f>
        <v>Fora do DRE</v>
      </c>
      <c r="V639" s="3" t="str">
        <f>IF(Base_Periodo1[[#This Row],[Tipo_Linha]]="Fora do DRE","Fora do DRE","( "&amp;Base_Periodo1[[#This Row],[Tipo_Linha]]&amp;" ) "&amp;Base_Periodo1[[#This Row],[Filtro]])</f>
        <v>Fora do DRE</v>
      </c>
      <c r="W639" s="3" t="str">
        <f>LEFT(Base_Periodo1[[#This Row],[CLASS]],3)</f>
        <v>1.1</v>
      </c>
    </row>
    <row r="640" spans="1:23" hidden="1">
      <c r="A640" s="3" t="str">
        <f t="shared" si="9"/>
        <v>Período 1</v>
      </c>
      <c r="B640">
        <v>11858</v>
      </c>
      <c r="C640" t="s">
        <v>503</v>
      </c>
      <c r="D640" t="s">
        <v>820</v>
      </c>
      <c r="E640" s="3" t="str">
        <f>IF(LEN(Base_Periodo1[[#This Row],[CLASS]])&gt;=7,LEFT(Base_Periodo1[[#This Row],[CLASS]],7),"")</f>
        <v>1.1.2.1</v>
      </c>
      <c r="F640" s="3" t="str">
        <f>VLOOKUP(Base_Periodo1[[#This Row],[Aux]],Base_Contas_Balanco[#All],2,FALSE)</f>
        <v>Creditos com Cooperados</v>
      </c>
      <c r="G640" s="1">
        <v>42886</v>
      </c>
      <c r="H640" s="225">
        <v>36227.45000000007</v>
      </c>
      <c r="I640" s="225">
        <v>24081.42</v>
      </c>
      <c r="J640" s="225">
        <v>37128.200000000004</v>
      </c>
      <c r="K640" s="225">
        <v>23180.670000000064</v>
      </c>
      <c r="L6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23180.67</v>
      </c>
      <c r="M640" s="225">
        <f>ROUND(IF(AND(Base_Periodo1[[#This Row],[Tipo_Linha]]="-",Base_Periodo1[[#This Row],[TIPOSALDO]]="D"),Base_Periodo1[[#This Row],[SALDO_ATUAL]]*-1,Base_Periodo1[[#This Row],[SALDO_ATUAL]]),4)</f>
        <v>23180.67</v>
      </c>
      <c r="N640" t="s">
        <v>116</v>
      </c>
      <c r="O640" t="s">
        <v>397</v>
      </c>
      <c r="P640" t="s">
        <v>397</v>
      </c>
      <c r="Q640">
        <v>7</v>
      </c>
      <c r="R640" s="225">
        <f>Base_Periodo1[[#This Row],[CREDITOS]]-Base_Periodo1[[#This Row],[DEBITOS]]</f>
        <v>13046.780000000006</v>
      </c>
      <c r="S640" s="3" t="str">
        <f>IF(ISERROR(VLOOKUP(Base_Periodo1[[#This Row],[CONTA]],BaseContasDRE[#All],4,FALSE)),"Fora do DRE",VLOOKUP(Base_Periodo1[[#This Row],[CONTA]],BaseContasDRE[#All],4,FALSE))</f>
        <v>Fora do DRE</v>
      </c>
      <c r="T640" s="3" t="str">
        <f>IF(ISERROR(VLOOKUP(Base_Periodo1[[#This Row],[CONTA]],BaseContasDRE[#All],5,FALSE)),"Fora do DRE",VLOOKUP(Base_Periodo1[[#This Row],[CONTA]],BaseContasDRE[#All],6,FALSE))</f>
        <v>Fora do DRE</v>
      </c>
      <c r="U640" s="3" t="str">
        <f>IF(ISERROR(VLOOKUP(Base_Periodo1[[#This Row],[CONTA]],BaseContasDRE[#All],7,FALSE)),"Fora do DRE",VLOOKUP(Base_Periodo1[[#This Row],[CONTA]],BaseContasDRE[#All],7,FALSE))</f>
        <v>Fora do DRE</v>
      </c>
      <c r="V640" s="3" t="str">
        <f>IF(Base_Periodo1[[#This Row],[Tipo_Linha]]="Fora do DRE","Fora do DRE","( "&amp;Base_Periodo1[[#This Row],[Tipo_Linha]]&amp;" ) "&amp;Base_Periodo1[[#This Row],[Filtro]])</f>
        <v>Fora do DRE</v>
      </c>
      <c r="W640" s="3" t="str">
        <f>LEFT(Base_Periodo1[[#This Row],[CLASS]],3)</f>
        <v>1.1</v>
      </c>
    </row>
    <row r="641" spans="1:23" hidden="1">
      <c r="A641" s="3" t="str">
        <f t="shared" si="9"/>
        <v>Período 1</v>
      </c>
      <c r="B641">
        <v>33031</v>
      </c>
      <c r="C641" t="s">
        <v>503</v>
      </c>
      <c r="D641" t="s">
        <v>821</v>
      </c>
      <c r="E641" s="3" t="str">
        <f>IF(LEN(Base_Periodo1[[#This Row],[CLASS]])&gt;=7,LEFT(Base_Periodo1[[#This Row],[CLASS]],7),"")</f>
        <v>1.1.2.1</v>
      </c>
      <c r="F641" s="3" t="str">
        <f>VLOOKUP(Base_Periodo1[[#This Row],[Aux]],Base_Contas_Balanco[#All],2,FALSE)</f>
        <v>Creditos com Cooperados</v>
      </c>
      <c r="G641" s="1">
        <v>42859</v>
      </c>
      <c r="H641" s="225">
        <v>21779.999999999913</v>
      </c>
      <c r="I641" s="225">
        <v>635.28</v>
      </c>
      <c r="J641" s="225">
        <v>22415.159999999996</v>
      </c>
      <c r="K641" s="225">
        <v>0.11999999991530785</v>
      </c>
      <c r="L6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0.12</v>
      </c>
      <c r="M641" s="225">
        <f>ROUND(IF(AND(Base_Periodo1[[#This Row],[Tipo_Linha]]="-",Base_Periodo1[[#This Row],[TIPOSALDO]]="D"),Base_Periodo1[[#This Row],[SALDO_ATUAL]]*-1,Base_Periodo1[[#This Row],[SALDO_ATUAL]]),4)</f>
        <v>0.12</v>
      </c>
      <c r="N641" t="s">
        <v>116</v>
      </c>
      <c r="O641" t="s">
        <v>397</v>
      </c>
      <c r="P641" t="s">
        <v>397</v>
      </c>
      <c r="Q641">
        <v>7</v>
      </c>
      <c r="R641" s="225">
        <f>Base_Periodo1[[#This Row],[CREDITOS]]-Base_Periodo1[[#This Row],[DEBITOS]]</f>
        <v>21779.879999999997</v>
      </c>
      <c r="S641" s="3" t="str">
        <f>IF(ISERROR(VLOOKUP(Base_Periodo1[[#This Row],[CONTA]],BaseContasDRE[#All],4,FALSE)),"Fora do DRE",VLOOKUP(Base_Periodo1[[#This Row],[CONTA]],BaseContasDRE[#All],4,FALSE))</f>
        <v>Fora do DRE</v>
      </c>
      <c r="T641" s="3" t="str">
        <f>IF(ISERROR(VLOOKUP(Base_Periodo1[[#This Row],[CONTA]],BaseContasDRE[#All],5,FALSE)),"Fora do DRE",VLOOKUP(Base_Periodo1[[#This Row],[CONTA]],BaseContasDRE[#All],6,FALSE))</f>
        <v>Fora do DRE</v>
      </c>
      <c r="U641" s="3" t="str">
        <f>IF(ISERROR(VLOOKUP(Base_Periodo1[[#This Row],[CONTA]],BaseContasDRE[#All],7,FALSE)),"Fora do DRE",VLOOKUP(Base_Periodo1[[#This Row],[CONTA]],BaseContasDRE[#All],7,FALSE))</f>
        <v>Fora do DRE</v>
      </c>
      <c r="V641" s="3" t="str">
        <f>IF(Base_Periodo1[[#This Row],[Tipo_Linha]]="Fora do DRE","Fora do DRE","( "&amp;Base_Periodo1[[#This Row],[Tipo_Linha]]&amp;" ) "&amp;Base_Periodo1[[#This Row],[Filtro]])</f>
        <v>Fora do DRE</v>
      </c>
      <c r="W641" s="3" t="str">
        <f>LEFT(Base_Periodo1[[#This Row],[CLASS]],3)</f>
        <v>1.1</v>
      </c>
    </row>
    <row r="642" spans="1:23" hidden="1">
      <c r="A642" s="3" t="str">
        <f t="shared" si="9"/>
        <v>Período 1</v>
      </c>
      <c r="B642">
        <v>3336</v>
      </c>
      <c r="C642" t="s">
        <v>503</v>
      </c>
      <c r="D642" t="s">
        <v>822</v>
      </c>
      <c r="E642" s="3" t="str">
        <f>IF(LEN(Base_Periodo1[[#This Row],[CLASS]])&gt;=7,LEFT(Base_Periodo1[[#This Row],[CLASS]],7),"")</f>
        <v>1.1.2.1</v>
      </c>
      <c r="F642" s="3" t="str">
        <f>VLOOKUP(Base_Periodo1[[#This Row],[Aux]],Base_Contas_Balanco[#All],2,FALSE)</f>
        <v>Creditos com Cooperados</v>
      </c>
      <c r="G642" s="1">
        <v>41761</v>
      </c>
      <c r="H642" s="225">
        <v>3156.8599999975413</v>
      </c>
      <c r="I642" s="225">
        <v>0</v>
      </c>
      <c r="J642" s="225">
        <v>0</v>
      </c>
      <c r="K642" s="225">
        <v>3156.8599999975413</v>
      </c>
      <c r="L6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3156.86</v>
      </c>
      <c r="M642" s="225">
        <f>ROUND(IF(AND(Base_Periodo1[[#This Row],[Tipo_Linha]]="-",Base_Periodo1[[#This Row],[TIPOSALDO]]="D"),Base_Periodo1[[#This Row],[SALDO_ATUAL]]*-1,Base_Periodo1[[#This Row],[SALDO_ATUAL]]),4)</f>
        <v>3156.86</v>
      </c>
      <c r="N642" t="s">
        <v>116</v>
      </c>
      <c r="O642" t="s">
        <v>397</v>
      </c>
      <c r="P642" t="s">
        <v>397</v>
      </c>
      <c r="Q642">
        <v>7</v>
      </c>
      <c r="R642" s="225">
        <f>Base_Periodo1[[#This Row],[CREDITOS]]-Base_Periodo1[[#This Row],[DEBITOS]]</f>
        <v>0</v>
      </c>
      <c r="S642" s="3" t="str">
        <f>IF(ISERROR(VLOOKUP(Base_Periodo1[[#This Row],[CONTA]],BaseContasDRE[#All],4,FALSE)),"Fora do DRE",VLOOKUP(Base_Periodo1[[#This Row],[CONTA]],BaseContasDRE[#All],4,FALSE))</f>
        <v>Fora do DRE</v>
      </c>
      <c r="T642" s="3" t="str">
        <f>IF(ISERROR(VLOOKUP(Base_Periodo1[[#This Row],[CONTA]],BaseContasDRE[#All],5,FALSE)),"Fora do DRE",VLOOKUP(Base_Periodo1[[#This Row],[CONTA]],BaseContasDRE[#All],6,FALSE))</f>
        <v>Fora do DRE</v>
      </c>
      <c r="U642" s="3" t="str">
        <f>IF(ISERROR(VLOOKUP(Base_Periodo1[[#This Row],[CONTA]],BaseContasDRE[#All],7,FALSE)),"Fora do DRE",VLOOKUP(Base_Periodo1[[#This Row],[CONTA]],BaseContasDRE[#All],7,FALSE))</f>
        <v>Fora do DRE</v>
      </c>
      <c r="V642" s="3" t="str">
        <f>IF(Base_Periodo1[[#This Row],[Tipo_Linha]]="Fora do DRE","Fora do DRE","( "&amp;Base_Periodo1[[#This Row],[Tipo_Linha]]&amp;" ) "&amp;Base_Periodo1[[#This Row],[Filtro]])</f>
        <v>Fora do DRE</v>
      </c>
      <c r="W642" s="3" t="str">
        <f>LEFT(Base_Periodo1[[#This Row],[CLASS]],3)</f>
        <v>1.1</v>
      </c>
    </row>
    <row r="643" spans="1:23" hidden="1">
      <c r="A643" s="3" t="str">
        <f t="shared" si="9"/>
        <v>Período 1</v>
      </c>
      <c r="B643">
        <v>55534</v>
      </c>
      <c r="C643" t="s">
        <v>503</v>
      </c>
      <c r="D643" t="s">
        <v>5509</v>
      </c>
      <c r="E643" s="3" t="str">
        <f>IF(LEN(Base_Periodo1[[#This Row],[CLASS]])&gt;=7,LEFT(Base_Periodo1[[#This Row],[CLASS]],7),"")</f>
        <v>1.1.2.1</v>
      </c>
      <c r="F643" s="3" t="str">
        <f>VLOOKUP(Base_Periodo1[[#This Row],[Aux]],Base_Contas_Balanco[#All],2,FALSE)</f>
        <v>Creditos com Cooperados</v>
      </c>
      <c r="G643" s="1">
        <v>42859</v>
      </c>
      <c r="I643" s="225">
        <v>248</v>
      </c>
      <c r="J643" s="225">
        <v>0</v>
      </c>
      <c r="K643" s="225">
        <v>248</v>
      </c>
      <c r="L6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248</v>
      </c>
      <c r="M643" s="225">
        <f>ROUND(IF(AND(Base_Periodo1[[#This Row],[Tipo_Linha]]="-",Base_Periodo1[[#This Row],[TIPOSALDO]]="D"),Base_Periodo1[[#This Row],[SALDO_ATUAL]]*-1,Base_Periodo1[[#This Row],[SALDO_ATUAL]]),4)</f>
        <v>248</v>
      </c>
      <c r="N643" t="s">
        <v>116</v>
      </c>
      <c r="O643" t="s">
        <v>436</v>
      </c>
      <c r="P643" t="s">
        <v>397</v>
      </c>
      <c r="Q643">
        <v>7</v>
      </c>
      <c r="R643" s="225">
        <f>Base_Periodo1[[#This Row],[CREDITOS]]-Base_Periodo1[[#This Row],[DEBITOS]]</f>
        <v>-248</v>
      </c>
      <c r="S643" s="3" t="str">
        <f>IF(ISERROR(VLOOKUP(Base_Periodo1[[#This Row],[CONTA]],BaseContasDRE[#All],4,FALSE)),"Fora do DRE",VLOOKUP(Base_Periodo1[[#This Row],[CONTA]],BaseContasDRE[#All],4,FALSE))</f>
        <v>Fora do DRE</v>
      </c>
      <c r="T643" s="3" t="str">
        <f>IF(ISERROR(VLOOKUP(Base_Periodo1[[#This Row],[CONTA]],BaseContasDRE[#All],5,FALSE)),"Fora do DRE",VLOOKUP(Base_Periodo1[[#This Row],[CONTA]],BaseContasDRE[#All],6,FALSE))</f>
        <v>Fora do DRE</v>
      </c>
      <c r="U643" s="3" t="str">
        <f>IF(ISERROR(VLOOKUP(Base_Periodo1[[#This Row],[CONTA]],BaseContasDRE[#All],7,FALSE)),"Fora do DRE",VLOOKUP(Base_Periodo1[[#This Row],[CONTA]],BaseContasDRE[#All],7,FALSE))</f>
        <v>Fora do DRE</v>
      </c>
      <c r="V643" s="3" t="str">
        <f>IF(Base_Periodo1[[#This Row],[Tipo_Linha]]="Fora do DRE","Fora do DRE","( "&amp;Base_Periodo1[[#This Row],[Tipo_Linha]]&amp;" ) "&amp;Base_Periodo1[[#This Row],[Filtro]])</f>
        <v>Fora do DRE</v>
      </c>
      <c r="W643" s="3" t="str">
        <f>LEFT(Base_Periodo1[[#This Row],[CLASS]],3)</f>
        <v>1.1</v>
      </c>
    </row>
    <row r="644" spans="1:23" hidden="1">
      <c r="A644" s="3" t="str">
        <f t="shared" si="9"/>
        <v>Período 1</v>
      </c>
      <c r="B644">
        <v>59330</v>
      </c>
      <c r="C644" t="s">
        <v>503</v>
      </c>
      <c r="D644" t="s">
        <v>5874</v>
      </c>
      <c r="E644" s="3" t="str">
        <f>IF(LEN(Base_Periodo1[[#This Row],[CLASS]])&gt;=7,LEFT(Base_Periodo1[[#This Row],[CLASS]],7),"")</f>
        <v>1.1.2.1</v>
      </c>
      <c r="F644" s="3" t="str">
        <f>VLOOKUP(Base_Periodo1[[#This Row],[Aux]],Base_Contas_Balanco[#All],2,FALSE)</f>
        <v>Creditos com Cooperados</v>
      </c>
      <c r="G644" s="1">
        <v>42885</v>
      </c>
      <c r="I644" s="225">
        <v>70480.149999999994</v>
      </c>
      <c r="J644" s="225">
        <v>0</v>
      </c>
      <c r="K644" s="225">
        <v>70480.149999999994</v>
      </c>
      <c r="L6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70480.149999999994</v>
      </c>
      <c r="M644" s="225">
        <f>ROUND(IF(AND(Base_Periodo1[[#This Row],[Tipo_Linha]]="-",Base_Periodo1[[#This Row],[TIPOSALDO]]="D"),Base_Periodo1[[#This Row],[SALDO_ATUAL]]*-1,Base_Periodo1[[#This Row],[SALDO_ATUAL]]),4)</f>
        <v>70480.149999999994</v>
      </c>
      <c r="N644" t="s">
        <v>116</v>
      </c>
      <c r="O644" t="s">
        <v>436</v>
      </c>
      <c r="P644" t="s">
        <v>397</v>
      </c>
      <c r="Q644">
        <v>7</v>
      </c>
      <c r="R644" s="225">
        <f>Base_Periodo1[[#This Row],[CREDITOS]]-Base_Periodo1[[#This Row],[DEBITOS]]</f>
        <v>-70480.149999999994</v>
      </c>
      <c r="S644" s="3" t="str">
        <f>IF(ISERROR(VLOOKUP(Base_Periodo1[[#This Row],[CONTA]],BaseContasDRE[#All],4,FALSE)),"Fora do DRE",VLOOKUP(Base_Periodo1[[#This Row],[CONTA]],BaseContasDRE[#All],4,FALSE))</f>
        <v>Fora do DRE</v>
      </c>
      <c r="T644" s="3" t="str">
        <f>IF(ISERROR(VLOOKUP(Base_Periodo1[[#This Row],[CONTA]],BaseContasDRE[#All],5,FALSE)),"Fora do DRE",VLOOKUP(Base_Periodo1[[#This Row],[CONTA]],BaseContasDRE[#All],6,FALSE))</f>
        <v>Fora do DRE</v>
      </c>
      <c r="U644" s="3" t="str">
        <f>IF(ISERROR(VLOOKUP(Base_Periodo1[[#This Row],[CONTA]],BaseContasDRE[#All],7,FALSE)),"Fora do DRE",VLOOKUP(Base_Periodo1[[#This Row],[CONTA]],BaseContasDRE[#All],7,FALSE))</f>
        <v>Fora do DRE</v>
      </c>
      <c r="V644" s="3" t="str">
        <f>IF(Base_Periodo1[[#This Row],[Tipo_Linha]]="Fora do DRE","Fora do DRE","( "&amp;Base_Periodo1[[#This Row],[Tipo_Linha]]&amp;" ) "&amp;Base_Periodo1[[#This Row],[Filtro]])</f>
        <v>Fora do DRE</v>
      </c>
      <c r="W644" s="3" t="str">
        <f>LEFT(Base_Periodo1[[#This Row],[CLASS]],3)</f>
        <v>1.1</v>
      </c>
    </row>
    <row r="645" spans="1:23" hidden="1">
      <c r="A645" s="3" t="str">
        <f t="shared" si="9"/>
        <v>Período 1</v>
      </c>
      <c r="B645">
        <v>48201</v>
      </c>
      <c r="C645" t="s">
        <v>503</v>
      </c>
      <c r="D645" t="s">
        <v>823</v>
      </c>
      <c r="E645" s="3" t="str">
        <f>IF(LEN(Base_Periodo1[[#This Row],[CLASS]])&gt;=7,LEFT(Base_Periodo1[[#This Row],[CLASS]],7),"")</f>
        <v>1.1.2.1</v>
      </c>
      <c r="F645" s="3" t="str">
        <f>VLOOKUP(Base_Periodo1[[#This Row],[Aux]],Base_Contas_Balanco[#All],2,FALSE)</f>
        <v>Creditos com Cooperados</v>
      </c>
      <c r="G645" s="1">
        <v>42881</v>
      </c>
      <c r="H645" s="225">
        <v>3603</v>
      </c>
      <c r="I645" s="225">
        <v>9534.91</v>
      </c>
      <c r="J645" s="225">
        <v>7664.91</v>
      </c>
      <c r="K645" s="225">
        <v>5473</v>
      </c>
      <c r="L6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5473</v>
      </c>
      <c r="M645" s="225">
        <f>ROUND(IF(AND(Base_Periodo1[[#This Row],[Tipo_Linha]]="-",Base_Periodo1[[#This Row],[TIPOSALDO]]="D"),Base_Periodo1[[#This Row],[SALDO_ATUAL]]*-1,Base_Periodo1[[#This Row],[SALDO_ATUAL]]),4)</f>
        <v>5473</v>
      </c>
      <c r="N645" t="s">
        <v>116</v>
      </c>
      <c r="O645" t="s">
        <v>397</v>
      </c>
      <c r="P645" t="s">
        <v>397</v>
      </c>
      <c r="Q645">
        <v>7</v>
      </c>
      <c r="R645" s="225">
        <f>Base_Periodo1[[#This Row],[CREDITOS]]-Base_Periodo1[[#This Row],[DEBITOS]]</f>
        <v>-1870</v>
      </c>
      <c r="S645" s="3" t="str">
        <f>IF(ISERROR(VLOOKUP(Base_Periodo1[[#This Row],[CONTA]],BaseContasDRE[#All],4,FALSE)),"Fora do DRE",VLOOKUP(Base_Periodo1[[#This Row],[CONTA]],BaseContasDRE[#All],4,FALSE))</f>
        <v>Fora do DRE</v>
      </c>
      <c r="T645" s="3" t="str">
        <f>IF(ISERROR(VLOOKUP(Base_Periodo1[[#This Row],[CONTA]],BaseContasDRE[#All],5,FALSE)),"Fora do DRE",VLOOKUP(Base_Periodo1[[#This Row],[CONTA]],BaseContasDRE[#All],6,FALSE))</f>
        <v>Fora do DRE</v>
      </c>
      <c r="U645" s="3" t="str">
        <f>IF(ISERROR(VLOOKUP(Base_Periodo1[[#This Row],[CONTA]],BaseContasDRE[#All],7,FALSE)),"Fora do DRE",VLOOKUP(Base_Periodo1[[#This Row],[CONTA]],BaseContasDRE[#All],7,FALSE))</f>
        <v>Fora do DRE</v>
      </c>
      <c r="V645" s="3" t="str">
        <f>IF(Base_Periodo1[[#This Row],[Tipo_Linha]]="Fora do DRE","Fora do DRE","( "&amp;Base_Periodo1[[#This Row],[Tipo_Linha]]&amp;" ) "&amp;Base_Periodo1[[#This Row],[Filtro]])</f>
        <v>Fora do DRE</v>
      </c>
      <c r="W645" s="3" t="str">
        <f>LEFT(Base_Periodo1[[#This Row],[CLASS]],3)</f>
        <v>1.1</v>
      </c>
    </row>
    <row r="646" spans="1:23" hidden="1">
      <c r="A646" s="3" t="str">
        <f t="shared" ref="A646:A709" si="10">"Período 1"</f>
        <v>Período 1</v>
      </c>
      <c r="B646">
        <v>50802</v>
      </c>
      <c r="C646" t="s">
        <v>503</v>
      </c>
      <c r="D646" t="s">
        <v>5013</v>
      </c>
      <c r="E646" s="3" t="str">
        <f>IF(LEN(Base_Periodo1[[#This Row],[CLASS]])&gt;=7,LEFT(Base_Periodo1[[#This Row],[CLASS]],7),"")</f>
        <v>1.1.2.1</v>
      </c>
      <c r="F646" s="3" t="str">
        <f>VLOOKUP(Base_Periodo1[[#This Row],[Aux]],Base_Contas_Balanco[#All],2,FALSE)</f>
        <v>Creditos com Cooperados</v>
      </c>
      <c r="G646" s="1">
        <v>42881</v>
      </c>
      <c r="I646" s="225">
        <v>13700.41</v>
      </c>
      <c r="J646" s="225">
        <v>3183.61</v>
      </c>
      <c r="K646" s="225">
        <v>10516.800000000028</v>
      </c>
      <c r="L6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10516.8</v>
      </c>
      <c r="M646" s="225">
        <f>ROUND(IF(AND(Base_Periodo1[[#This Row],[Tipo_Linha]]="-",Base_Periodo1[[#This Row],[TIPOSALDO]]="D"),Base_Periodo1[[#This Row],[SALDO_ATUAL]]*-1,Base_Periodo1[[#This Row],[SALDO_ATUAL]]),4)</f>
        <v>10516.8</v>
      </c>
      <c r="N646" t="s">
        <v>116</v>
      </c>
      <c r="O646" t="s">
        <v>436</v>
      </c>
      <c r="P646" t="s">
        <v>397</v>
      </c>
      <c r="Q646">
        <v>7</v>
      </c>
      <c r="R646" s="225">
        <f>Base_Periodo1[[#This Row],[CREDITOS]]-Base_Periodo1[[#This Row],[DEBITOS]]</f>
        <v>-10516.8</v>
      </c>
      <c r="S646" s="3" t="str">
        <f>IF(ISERROR(VLOOKUP(Base_Periodo1[[#This Row],[CONTA]],BaseContasDRE[#All],4,FALSE)),"Fora do DRE",VLOOKUP(Base_Periodo1[[#This Row],[CONTA]],BaseContasDRE[#All],4,FALSE))</f>
        <v>Fora do DRE</v>
      </c>
      <c r="T646" s="3" t="str">
        <f>IF(ISERROR(VLOOKUP(Base_Periodo1[[#This Row],[CONTA]],BaseContasDRE[#All],5,FALSE)),"Fora do DRE",VLOOKUP(Base_Periodo1[[#This Row],[CONTA]],BaseContasDRE[#All],6,FALSE))</f>
        <v>Fora do DRE</v>
      </c>
      <c r="U646" s="3" t="str">
        <f>IF(ISERROR(VLOOKUP(Base_Periodo1[[#This Row],[CONTA]],BaseContasDRE[#All],7,FALSE)),"Fora do DRE",VLOOKUP(Base_Periodo1[[#This Row],[CONTA]],BaseContasDRE[#All],7,FALSE))</f>
        <v>Fora do DRE</v>
      </c>
      <c r="V646" s="3" t="str">
        <f>IF(Base_Periodo1[[#This Row],[Tipo_Linha]]="Fora do DRE","Fora do DRE","( "&amp;Base_Periodo1[[#This Row],[Tipo_Linha]]&amp;" ) "&amp;Base_Periodo1[[#This Row],[Filtro]])</f>
        <v>Fora do DRE</v>
      </c>
      <c r="W646" s="3" t="str">
        <f>LEFT(Base_Periodo1[[#This Row],[CLASS]],3)</f>
        <v>1.1</v>
      </c>
    </row>
    <row r="647" spans="1:23" hidden="1">
      <c r="A647" s="3" t="str">
        <f t="shared" si="10"/>
        <v>Período 1</v>
      </c>
      <c r="B647">
        <v>2988</v>
      </c>
      <c r="C647" t="s">
        <v>503</v>
      </c>
      <c r="D647" t="s">
        <v>5162</v>
      </c>
      <c r="E647" s="3" t="str">
        <f>IF(LEN(Base_Periodo1[[#This Row],[CLASS]])&gt;=7,LEFT(Base_Periodo1[[#This Row],[CLASS]],7),"")</f>
        <v>1.1.2.1</v>
      </c>
      <c r="F647" s="3" t="str">
        <f>VLOOKUP(Base_Periodo1[[#This Row],[Aux]],Base_Contas_Balanco[#All],2,FALSE)</f>
        <v>Creditos com Cooperados</v>
      </c>
      <c r="G647" s="1">
        <v>42830</v>
      </c>
      <c r="H647" s="225">
        <v>848.4000000001397</v>
      </c>
      <c r="I647" s="225">
        <v>0</v>
      </c>
      <c r="J647" s="225">
        <v>0</v>
      </c>
      <c r="K647" s="225">
        <v>848.4000000001397</v>
      </c>
      <c r="L6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848.4</v>
      </c>
      <c r="M647" s="225">
        <f>ROUND(IF(AND(Base_Periodo1[[#This Row],[Tipo_Linha]]="-",Base_Periodo1[[#This Row],[TIPOSALDO]]="D"),Base_Periodo1[[#This Row],[SALDO_ATUAL]]*-1,Base_Periodo1[[#This Row],[SALDO_ATUAL]]),4)</f>
        <v>848.4</v>
      </c>
      <c r="N647" t="s">
        <v>116</v>
      </c>
      <c r="O647" t="s">
        <v>397</v>
      </c>
      <c r="P647" t="s">
        <v>397</v>
      </c>
      <c r="Q647">
        <v>7</v>
      </c>
      <c r="R647" s="225">
        <f>Base_Periodo1[[#This Row],[CREDITOS]]-Base_Periodo1[[#This Row],[DEBITOS]]</f>
        <v>0</v>
      </c>
      <c r="S647" s="3" t="str">
        <f>IF(ISERROR(VLOOKUP(Base_Periodo1[[#This Row],[CONTA]],BaseContasDRE[#All],4,FALSE)),"Fora do DRE",VLOOKUP(Base_Periodo1[[#This Row],[CONTA]],BaseContasDRE[#All],4,FALSE))</f>
        <v>Fora do DRE</v>
      </c>
      <c r="T647" s="3" t="str">
        <f>IF(ISERROR(VLOOKUP(Base_Periodo1[[#This Row],[CONTA]],BaseContasDRE[#All],5,FALSE)),"Fora do DRE",VLOOKUP(Base_Periodo1[[#This Row],[CONTA]],BaseContasDRE[#All],6,FALSE))</f>
        <v>Fora do DRE</v>
      </c>
      <c r="U647" s="3" t="str">
        <f>IF(ISERROR(VLOOKUP(Base_Periodo1[[#This Row],[CONTA]],BaseContasDRE[#All],7,FALSE)),"Fora do DRE",VLOOKUP(Base_Periodo1[[#This Row],[CONTA]],BaseContasDRE[#All],7,FALSE))</f>
        <v>Fora do DRE</v>
      </c>
      <c r="V647" s="3" t="str">
        <f>IF(Base_Periodo1[[#This Row],[Tipo_Linha]]="Fora do DRE","Fora do DRE","( "&amp;Base_Periodo1[[#This Row],[Tipo_Linha]]&amp;" ) "&amp;Base_Periodo1[[#This Row],[Filtro]])</f>
        <v>Fora do DRE</v>
      </c>
      <c r="W647" s="3" t="str">
        <f>LEFT(Base_Periodo1[[#This Row],[CLASS]],3)</f>
        <v>1.1</v>
      </c>
    </row>
    <row r="648" spans="1:23" hidden="1">
      <c r="A648" s="3" t="str">
        <f t="shared" si="10"/>
        <v>Período 1</v>
      </c>
      <c r="B648">
        <v>5044</v>
      </c>
      <c r="C648" t="s">
        <v>503</v>
      </c>
      <c r="D648" t="s">
        <v>824</v>
      </c>
      <c r="E648" s="3" t="str">
        <f>IF(LEN(Base_Periodo1[[#This Row],[CLASS]])&gt;=7,LEFT(Base_Periodo1[[#This Row],[CLASS]],7),"")</f>
        <v>1.1.2.1</v>
      </c>
      <c r="F648" s="3" t="str">
        <f>VLOOKUP(Base_Periodo1[[#This Row],[Aux]],Base_Contas_Balanco[#All],2,FALSE)</f>
        <v>Creditos com Cooperados</v>
      </c>
      <c r="G648" s="1">
        <v>42853</v>
      </c>
      <c r="H648" s="225">
        <v>726.2800000035204</v>
      </c>
      <c r="I648" s="225">
        <v>0</v>
      </c>
      <c r="J648" s="225">
        <v>0</v>
      </c>
      <c r="K648" s="225">
        <v>726.2800000035204</v>
      </c>
      <c r="L6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726.28</v>
      </c>
      <c r="M648" s="225">
        <f>ROUND(IF(AND(Base_Periodo1[[#This Row],[Tipo_Linha]]="-",Base_Periodo1[[#This Row],[TIPOSALDO]]="D"),Base_Periodo1[[#This Row],[SALDO_ATUAL]]*-1,Base_Periodo1[[#This Row],[SALDO_ATUAL]]),4)</f>
        <v>726.28</v>
      </c>
      <c r="N648" t="s">
        <v>116</v>
      </c>
      <c r="O648" t="s">
        <v>397</v>
      </c>
      <c r="P648" t="s">
        <v>397</v>
      </c>
      <c r="Q648">
        <v>7</v>
      </c>
      <c r="R648" s="225">
        <f>Base_Periodo1[[#This Row],[CREDITOS]]-Base_Periodo1[[#This Row],[DEBITOS]]</f>
        <v>0</v>
      </c>
      <c r="S648" s="3" t="str">
        <f>IF(ISERROR(VLOOKUP(Base_Periodo1[[#This Row],[CONTA]],BaseContasDRE[#All],4,FALSE)),"Fora do DRE",VLOOKUP(Base_Periodo1[[#This Row],[CONTA]],BaseContasDRE[#All],4,FALSE))</f>
        <v>Fora do DRE</v>
      </c>
      <c r="T648" s="3" t="str">
        <f>IF(ISERROR(VLOOKUP(Base_Periodo1[[#This Row],[CONTA]],BaseContasDRE[#All],5,FALSE)),"Fora do DRE",VLOOKUP(Base_Periodo1[[#This Row],[CONTA]],BaseContasDRE[#All],6,FALSE))</f>
        <v>Fora do DRE</v>
      </c>
      <c r="U648" s="3" t="str">
        <f>IF(ISERROR(VLOOKUP(Base_Periodo1[[#This Row],[CONTA]],BaseContasDRE[#All],7,FALSE)),"Fora do DRE",VLOOKUP(Base_Periodo1[[#This Row],[CONTA]],BaseContasDRE[#All],7,FALSE))</f>
        <v>Fora do DRE</v>
      </c>
      <c r="V648" s="3" t="str">
        <f>IF(Base_Periodo1[[#This Row],[Tipo_Linha]]="Fora do DRE","Fora do DRE","( "&amp;Base_Periodo1[[#This Row],[Tipo_Linha]]&amp;" ) "&amp;Base_Periodo1[[#This Row],[Filtro]])</f>
        <v>Fora do DRE</v>
      </c>
      <c r="W648" s="3" t="str">
        <f>LEFT(Base_Periodo1[[#This Row],[CLASS]],3)</f>
        <v>1.1</v>
      </c>
    </row>
    <row r="649" spans="1:23" hidden="1">
      <c r="A649" s="3" t="str">
        <f t="shared" si="10"/>
        <v>Período 1</v>
      </c>
      <c r="B649">
        <v>27174</v>
      </c>
      <c r="C649" t="s">
        <v>503</v>
      </c>
      <c r="D649" t="s">
        <v>825</v>
      </c>
      <c r="E649" s="3" t="str">
        <f>IF(LEN(Base_Periodo1[[#This Row],[CLASS]])&gt;=7,LEFT(Base_Periodo1[[#This Row],[CLASS]],7),"")</f>
        <v>1.1.2.1</v>
      </c>
      <c r="F649" s="3" t="str">
        <f>VLOOKUP(Base_Periodo1[[#This Row],[Aux]],Base_Contas_Balanco[#All],2,FALSE)</f>
        <v>Creditos com Cooperados</v>
      </c>
      <c r="G649" s="1">
        <v>42873</v>
      </c>
      <c r="H649" s="225">
        <v>1.6400000000139698</v>
      </c>
      <c r="I649" s="225">
        <v>20426.940000000002</v>
      </c>
      <c r="J649" s="225">
        <v>10213.469999999999</v>
      </c>
      <c r="K649" s="225">
        <v>10215.110000000017</v>
      </c>
      <c r="L6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10215.11</v>
      </c>
      <c r="M649" s="225">
        <f>ROUND(IF(AND(Base_Periodo1[[#This Row],[Tipo_Linha]]="-",Base_Periodo1[[#This Row],[TIPOSALDO]]="D"),Base_Periodo1[[#This Row],[SALDO_ATUAL]]*-1,Base_Periodo1[[#This Row],[SALDO_ATUAL]]),4)</f>
        <v>10215.11</v>
      </c>
      <c r="N649" t="s">
        <v>116</v>
      </c>
      <c r="O649" t="s">
        <v>397</v>
      </c>
      <c r="P649" t="s">
        <v>397</v>
      </c>
      <c r="Q649">
        <v>7</v>
      </c>
      <c r="R649" s="225">
        <f>Base_Periodo1[[#This Row],[CREDITOS]]-Base_Periodo1[[#This Row],[DEBITOS]]</f>
        <v>-10213.470000000003</v>
      </c>
      <c r="S649" s="3" t="str">
        <f>IF(ISERROR(VLOOKUP(Base_Periodo1[[#This Row],[CONTA]],BaseContasDRE[#All],4,FALSE)),"Fora do DRE",VLOOKUP(Base_Periodo1[[#This Row],[CONTA]],BaseContasDRE[#All],4,FALSE))</f>
        <v>Fora do DRE</v>
      </c>
      <c r="T649" s="3" t="str">
        <f>IF(ISERROR(VLOOKUP(Base_Periodo1[[#This Row],[CONTA]],BaseContasDRE[#All],5,FALSE)),"Fora do DRE",VLOOKUP(Base_Periodo1[[#This Row],[CONTA]],BaseContasDRE[#All],6,FALSE))</f>
        <v>Fora do DRE</v>
      </c>
      <c r="U649" s="3" t="str">
        <f>IF(ISERROR(VLOOKUP(Base_Periodo1[[#This Row],[CONTA]],BaseContasDRE[#All],7,FALSE)),"Fora do DRE",VLOOKUP(Base_Periodo1[[#This Row],[CONTA]],BaseContasDRE[#All],7,FALSE))</f>
        <v>Fora do DRE</v>
      </c>
      <c r="V649" s="3" t="str">
        <f>IF(Base_Periodo1[[#This Row],[Tipo_Linha]]="Fora do DRE","Fora do DRE","( "&amp;Base_Periodo1[[#This Row],[Tipo_Linha]]&amp;" ) "&amp;Base_Periodo1[[#This Row],[Filtro]])</f>
        <v>Fora do DRE</v>
      </c>
      <c r="W649" s="3" t="str">
        <f>LEFT(Base_Periodo1[[#This Row],[CLASS]],3)</f>
        <v>1.1</v>
      </c>
    </row>
    <row r="650" spans="1:23" hidden="1">
      <c r="A650" s="3" t="str">
        <f t="shared" si="10"/>
        <v>Período 1</v>
      </c>
      <c r="B650">
        <v>3232</v>
      </c>
      <c r="C650" t="s">
        <v>503</v>
      </c>
      <c r="D650" t="s">
        <v>6727</v>
      </c>
      <c r="E650" s="3" t="str">
        <f>IF(LEN(Base_Periodo1[[#This Row],[CLASS]])&gt;=7,LEFT(Base_Periodo1[[#This Row],[CLASS]],7),"")</f>
        <v>1.1.2.1</v>
      </c>
      <c r="F650" s="3" t="str">
        <f>VLOOKUP(Base_Periodo1[[#This Row],[Aux]],Base_Contas_Balanco[#All],2,FALSE)</f>
        <v>Creditos com Cooperados</v>
      </c>
      <c r="G650" s="1">
        <v>42884</v>
      </c>
      <c r="I650" s="225">
        <v>88245.52</v>
      </c>
      <c r="J650" s="225">
        <v>88245.52</v>
      </c>
      <c r="K650" s="225">
        <v>2.9103830456733704E-11</v>
      </c>
      <c r="L6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0" s="225">
        <f>ROUND(IF(AND(Base_Periodo1[[#This Row],[Tipo_Linha]]="-",Base_Periodo1[[#This Row],[TIPOSALDO]]="D"),Base_Periodo1[[#This Row],[SALDO_ATUAL]]*-1,Base_Periodo1[[#This Row],[SALDO_ATUAL]]),4)</f>
        <v>0</v>
      </c>
      <c r="N650" t="s">
        <v>116</v>
      </c>
      <c r="O650" t="s">
        <v>436</v>
      </c>
      <c r="P650" t="s">
        <v>436</v>
      </c>
      <c r="Q650">
        <v>7</v>
      </c>
      <c r="R650" s="225">
        <f>Base_Periodo1[[#This Row],[CREDITOS]]-Base_Periodo1[[#This Row],[DEBITOS]]</f>
        <v>0</v>
      </c>
      <c r="S650" s="3" t="str">
        <f>IF(ISERROR(VLOOKUP(Base_Periodo1[[#This Row],[CONTA]],BaseContasDRE[#All],4,FALSE)),"Fora do DRE",VLOOKUP(Base_Periodo1[[#This Row],[CONTA]],BaseContasDRE[#All],4,FALSE))</f>
        <v>Fora do DRE</v>
      </c>
      <c r="T650" s="3" t="str">
        <f>IF(ISERROR(VLOOKUP(Base_Periodo1[[#This Row],[CONTA]],BaseContasDRE[#All],5,FALSE)),"Fora do DRE",VLOOKUP(Base_Periodo1[[#This Row],[CONTA]],BaseContasDRE[#All],6,FALSE))</f>
        <v>Fora do DRE</v>
      </c>
      <c r="U650" s="3" t="str">
        <f>IF(ISERROR(VLOOKUP(Base_Periodo1[[#This Row],[CONTA]],BaseContasDRE[#All],7,FALSE)),"Fora do DRE",VLOOKUP(Base_Periodo1[[#This Row],[CONTA]],BaseContasDRE[#All],7,FALSE))</f>
        <v>Fora do DRE</v>
      </c>
      <c r="V650" s="3" t="str">
        <f>IF(Base_Periodo1[[#This Row],[Tipo_Linha]]="Fora do DRE","Fora do DRE","( "&amp;Base_Periodo1[[#This Row],[Tipo_Linha]]&amp;" ) "&amp;Base_Periodo1[[#This Row],[Filtro]])</f>
        <v>Fora do DRE</v>
      </c>
      <c r="W650" s="3" t="str">
        <f>LEFT(Base_Periodo1[[#This Row],[CLASS]],3)</f>
        <v>1.1</v>
      </c>
    </row>
    <row r="651" spans="1:23" hidden="1">
      <c r="A651" s="3" t="str">
        <f t="shared" si="10"/>
        <v>Período 1</v>
      </c>
      <c r="B651">
        <v>7105</v>
      </c>
      <c r="C651" t="s">
        <v>503</v>
      </c>
      <c r="D651" t="s">
        <v>6134</v>
      </c>
      <c r="E651" s="3" t="str">
        <f>IF(LEN(Base_Periodo1[[#This Row],[CLASS]])&gt;=7,LEFT(Base_Periodo1[[#This Row],[CLASS]],7),"")</f>
        <v>1.1.2.1</v>
      </c>
      <c r="F651" s="3" t="str">
        <f>VLOOKUP(Base_Periodo1[[#This Row],[Aux]],Base_Contas_Balanco[#All],2,FALSE)</f>
        <v>Creditos com Cooperados</v>
      </c>
      <c r="G651" s="1">
        <v>42866</v>
      </c>
      <c r="I651" s="225">
        <v>1840</v>
      </c>
      <c r="J651" s="225">
        <v>0</v>
      </c>
      <c r="K651" s="225">
        <v>1840.0000000001164</v>
      </c>
      <c r="L6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1840</v>
      </c>
      <c r="M651" s="225">
        <f>ROUND(IF(AND(Base_Periodo1[[#This Row],[Tipo_Linha]]="-",Base_Periodo1[[#This Row],[TIPOSALDO]]="D"),Base_Periodo1[[#This Row],[SALDO_ATUAL]]*-1,Base_Periodo1[[#This Row],[SALDO_ATUAL]]),4)</f>
        <v>1840</v>
      </c>
      <c r="N651" t="s">
        <v>116</v>
      </c>
      <c r="O651" t="s">
        <v>436</v>
      </c>
      <c r="P651" t="s">
        <v>397</v>
      </c>
      <c r="Q651">
        <v>7</v>
      </c>
      <c r="R651" s="225">
        <f>Base_Periodo1[[#This Row],[CREDITOS]]-Base_Periodo1[[#This Row],[DEBITOS]]</f>
        <v>-1840</v>
      </c>
      <c r="S651" s="3" t="str">
        <f>IF(ISERROR(VLOOKUP(Base_Periodo1[[#This Row],[CONTA]],BaseContasDRE[#All],4,FALSE)),"Fora do DRE",VLOOKUP(Base_Periodo1[[#This Row],[CONTA]],BaseContasDRE[#All],4,FALSE))</f>
        <v>Fora do DRE</v>
      </c>
      <c r="T651" s="3" t="str">
        <f>IF(ISERROR(VLOOKUP(Base_Periodo1[[#This Row],[CONTA]],BaseContasDRE[#All],5,FALSE)),"Fora do DRE",VLOOKUP(Base_Periodo1[[#This Row],[CONTA]],BaseContasDRE[#All],6,FALSE))</f>
        <v>Fora do DRE</v>
      </c>
      <c r="U651" s="3" t="str">
        <f>IF(ISERROR(VLOOKUP(Base_Periodo1[[#This Row],[CONTA]],BaseContasDRE[#All],7,FALSE)),"Fora do DRE",VLOOKUP(Base_Periodo1[[#This Row],[CONTA]],BaseContasDRE[#All],7,FALSE))</f>
        <v>Fora do DRE</v>
      </c>
      <c r="V651" s="3" t="str">
        <f>IF(Base_Periodo1[[#This Row],[Tipo_Linha]]="Fora do DRE","Fora do DRE","( "&amp;Base_Periodo1[[#This Row],[Tipo_Linha]]&amp;" ) "&amp;Base_Periodo1[[#This Row],[Filtro]])</f>
        <v>Fora do DRE</v>
      </c>
      <c r="W651" s="3" t="str">
        <f>LEFT(Base_Periodo1[[#This Row],[CLASS]],3)</f>
        <v>1.1</v>
      </c>
    </row>
    <row r="652" spans="1:23" hidden="1">
      <c r="A652" s="3" t="str">
        <f t="shared" si="10"/>
        <v>Período 1</v>
      </c>
      <c r="B652">
        <v>4116</v>
      </c>
      <c r="C652" t="s">
        <v>503</v>
      </c>
      <c r="D652" t="s">
        <v>826</v>
      </c>
      <c r="E652" s="3" t="str">
        <f>IF(LEN(Base_Periodo1[[#This Row],[CLASS]])&gt;=7,LEFT(Base_Periodo1[[#This Row],[CLASS]],7),"")</f>
        <v>1.1.2.1</v>
      </c>
      <c r="F652" s="3" t="str">
        <f>VLOOKUP(Base_Periodo1[[#This Row],[Aux]],Base_Contas_Balanco[#All],2,FALSE)</f>
        <v>Creditos com Cooperados</v>
      </c>
      <c r="G652" s="1">
        <v>42885</v>
      </c>
      <c r="H652" s="225">
        <v>0.58999999990919605</v>
      </c>
      <c r="I652" s="225">
        <v>785</v>
      </c>
      <c r="J652" s="225">
        <v>0</v>
      </c>
      <c r="K652" s="225">
        <v>784.4100000000908</v>
      </c>
      <c r="L6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784.41</v>
      </c>
      <c r="M652" s="225">
        <f>ROUND(IF(AND(Base_Periodo1[[#This Row],[Tipo_Linha]]="-",Base_Periodo1[[#This Row],[TIPOSALDO]]="D"),Base_Periodo1[[#This Row],[SALDO_ATUAL]]*-1,Base_Periodo1[[#This Row],[SALDO_ATUAL]]),4)</f>
        <v>784.41</v>
      </c>
      <c r="N652" t="s">
        <v>116</v>
      </c>
      <c r="O652" t="s">
        <v>459</v>
      </c>
      <c r="P652" t="s">
        <v>397</v>
      </c>
      <c r="Q652">
        <v>7</v>
      </c>
      <c r="R652" s="225">
        <f>Base_Periodo1[[#This Row],[CREDITOS]]-Base_Periodo1[[#This Row],[DEBITOS]]</f>
        <v>-785</v>
      </c>
      <c r="S652" s="3" t="str">
        <f>IF(ISERROR(VLOOKUP(Base_Periodo1[[#This Row],[CONTA]],BaseContasDRE[#All],4,FALSE)),"Fora do DRE",VLOOKUP(Base_Periodo1[[#This Row],[CONTA]],BaseContasDRE[#All],4,FALSE))</f>
        <v>Fora do DRE</v>
      </c>
      <c r="T652" s="3" t="str">
        <f>IF(ISERROR(VLOOKUP(Base_Periodo1[[#This Row],[CONTA]],BaseContasDRE[#All],5,FALSE)),"Fora do DRE",VLOOKUP(Base_Periodo1[[#This Row],[CONTA]],BaseContasDRE[#All],6,FALSE))</f>
        <v>Fora do DRE</v>
      </c>
      <c r="U652" s="3" t="str">
        <f>IF(ISERROR(VLOOKUP(Base_Periodo1[[#This Row],[CONTA]],BaseContasDRE[#All],7,FALSE)),"Fora do DRE",VLOOKUP(Base_Periodo1[[#This Row],[CONTA]],BaseContasDRE[#All],7,FALSE))</f>
        <v>Fora do DRE</v>
      </c>
      <c r="V652" s="3" t="str">
        <f>IF(Base_Periodo1[[#This Row],[Tipo_Linha]]="Fora do DRE","Fora do DRE","( "&amp;Base_Periodo1[[#This Row],[Tipo_Linha]]&amp;" ) "&amp;Base_Periodo1[[#This Row],[Filtro]])</f>
        <v>Fora do DRE</v>
      </c>
      <c r="W652" s="3" t="str">
        <f>LEFT(Base_Periodo1[[#This Row],[CLASS]],3)</f>
        <v>1.1</v>
      </c>
    </row>
    <row r="653" spans="1:23" hidden="1">
      <c r="A653" s="3" t="str">
        <f t="shared" si="10"/>
        <v>Período 1</v>
      </c>
      <c r="B653">
        <v>47500</v>
      </c>
      <c r="C653" t="s">
        <v>503</v>
      </c>
      <c r="D653" t="s">
        <v>827</v>
      </c>
      <c r="E653" s="3" t="str">
        <f>IF(LEN(Base_Periodo1[[#This Row],[CLASS]])&gt;=7,LEFT(Base_Periodo1[[#This Row],[CLASS]],7),"")</f>
        <v>1.1.2.1</v>
      </c>
      <c r="F653" s="3" t="str">
        <f>VLOOKUP(Base_Periodo1[[#This Row],[Aux]],Base_Contas_Balanco[#All],2,FALSE)</f>
        <v>Creditos com Cooperados</v>
      </c>
      <c r="G653" s="1">
        <v>42873</v>
      </c>
      <c r="H653" s="225">
        <v>14999.999999999985</v>
      </c>
      <c r="I653" s="225">
        <v>1410</v>
      </c>
      <c r="J653" s="225">
        <v>0</v>
      </c>
      <c r="K653" s="225">
        <v>16409.999999999985</v>
      </c>
      <c r="L6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16410</v>
      </c>
      <c r="M653" s="225">
        <f>ROUND(IF(AND(Base_Periodo1[[#This Row],[Tipo_Linha]]="-",Base_Periodo1[[#This Row],[TIPOSALDO]]="D"),Base_Periodo1[[#This Row],[SALDO_ATUAL]]*-1,Base_Periodo1[[#This Row],[SALDO_ATUAL]]),4)</f>
        <v>16410</v>
      </c>
      <c r="N653" t="s">
        <v>116</v>
      </c>
      <c r="O653" t="s">
        <v>397</v>
      </c>
      <c r="P653" t="s">
        <v>397</v>
      </c>
      <c r="Q653">
        <v>7</v>
      </c>
      <c r="R653" s="225">
        <f>Base_Periodo1[[#This Row],[CREDITOS]]-Base_Periodo1[[#This Row],[DEBITOS]]</f>
        <v>-1410</v>
      </c>
      <c r="S653" s="3" t="str">
        <f>IF(ISERROR(VLOOKUP(Base_Periodo1[[#This Row],[CONTA]],BaseContasDRE[#All],4,FALSE)),"Fora do DRE",VLOOKUP(Base_Periodo1[[#This Row],[CONTA]],BaseContasDRE[#All],4,FALSE))</f>
        <v>Fora do DRE</v>
      </c>
      <c r="T653" s="3" t="str">
        <f>IF(ISERROR(VLOOKUP(Base_Periodo1[[#This Row],[CONTA]],BaseContasDRE[#All],5,FALSE)),"Fora do DRE",VLOOKUP(Base_Periodo1[[#This Row],[CONTA]],BaseContasDRE[#All],6,FALSE))</f>
        <v>Fora do DRE</v>
      </c>
      <c r="U653" s="3" t="str">
        <f>IF(ISERROR(VLOOKUP(Base_Periodo1[[#This Row],[CONTA]],BaseContasDRE[#All],7,FALSE)),"Fora do DRE",VLOOKUP(Base_Periodo1[[#This Row],[CONTA]],BaseContasDRE[#All],7,FALSE))</f>
        <v>Fora do DRE</v>
      </c>
      <c r="V653" s="3" t="str">
        <f>IF(Base_Periodo1[[#This Row],[Tipo_Linha]]="Fora do DRE","Fora do DRE","( "&amp;Base_Periodo1[[#This Row],[Tipo_Linha]]&amp;" ) "&amp;Base_Periodo1[[#This Row],[Filtro]])</f>
        <v>Fora do DRE</v>
      </c>
      <c r="W653" s="3" t="str">
        <f>LEFT(Base_Periodo1[[#This Row],[CLASS]],3)</f>
        <v>1.1</v>
      </c>
    </row>
    <row r="654" spans="1:23" hidden="1">
      <c r="A654" s="3" t="str">
        <f t="shared" si="10"/>
        <v>Período 1</v>
      </c>
      <c r="B654">
        <v>4812</v>
      </c>
      <c r="C654" t="s">
        <v>503</v>
      </c>
      <c r="D654" t="s">
        <v>828</v>
      </c>
      <c r="E654" s="3" t="str">
        <f>IF(LEN(Base_Periodo1[[#This Row],[CLASS]])&gt;=7,LEFT(Base_Periodo1[[#This Row],[CLASS]],7),"")</f>
        <v>1.1.2.1</v>
      </c>
      <c r="F654" s="3" t="str">
        <f>VLOOKUP(Base_Periodo1[[#This Row],[Aux]],Base_Contas_Balanco[#All],2,FALSE)</f>
        <v>Creditos com Cooperados</v>
      </c>
      <c r="G654" s="1">
        <v>42717</v>
      </c>
      <c r="H654" s="225">
        <v>26.809999999706633</v>
      </c>
      <c r="I654" s="225">
        <v>0</v>
      </c>
      <c r="J654" s="225">
        <v>0</v>
      </c>
      <c r="K654" s="225">
        <v>26.809999999706633</v>
      </c>
      <c r="L6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26.81</v>
      </c>
      <c r="M654" s="225">
        <f>ROUND(IF(AND(Base_Periodo1[[#This Row],[Tipo_Linha]]="-",Base_Periodo1[[#This Row],[TIPOSALDO]]="D"),Base_Periodo1[[#This Row],[SALDO_ATUAL]]*-1,Base_Periodo1[[#This Row],[SALDO_ATUAL]]),4)</f>
        <v>26.81</v>
      </c>
      <c r="N654" t="s">
        <v>116</v>
      </c>
      <c r="O654" t="s">
        <v>397</v>
      </c>
      <c r="P654" t="s">
        <v>397</v>
      </c>
      <c r="Q654">
        <v>7</v>
      </c>
      <c r="R654" s="225">
        <f>Base_Periodo1[[#This Row],[CREDITOS]]-Base_Periodo1[[#This Row],[DEBITOS]]</f>
        <v>0</v>
      </c>
      <c r="S654" s="3" t="str">
        <f>IF(ISERROR(VLOOKUP(Base_Periodo1[[#This Row],[CONTA]],BaseContasDRE[#All],4,FALSE)),"Fora do DRE",VLOOKUP(Base_Periodo1[[#This Row],[CONTA]],BaseContasDRE[#All],4,FALSE))</f>
        <v>Fora do DRE</v>
      </c>
      <c r="T654" s="3" t="str">
        <f>IF(ISERROR(VLOOKUP(Base_Periodo1[[#This Row],[CONTA]],BaseContasDRE[#All],5,FALSE)),"Fora do DRE",VLOOKUP(Base_Periodo1[[#This Row],[CONTA]],BaseContasDRE[#All],6,FALSE))</f>
        <v>Fora do DRE</v>
      </c>
      <c r="U654" s="3" t="str">
        <f>IF(ISERROR(VLOOKUP(Base_Periodo1[[#This Row],[CONTA]],BaseContasDRE[#All],7,FALSE)),"Fora do DRE",VLOOKUP(Base_Periodo1[[#This Row],[CONTA]],BaseContasDRE[#All],7,FALSE))</f>
        <v>Fora do DRE</v>
      </c>
      <c r="V654" s="3" t="str">
        <f>IF(Base_Periodo1[[#This Row],[Tipo_Linha]]="Fora do DRE","Fora do DRE","( "&amp;Base_Periodo1[[#This Row],[Tipo_Linha]]&amp;" ) "&amp;Base_Periodo1[[#This Row],[Filtro]])</f>
        <v>Fora do DRE</v>
      </c>
      <c r="W654" s="3" t="str">
        <f>LEFT(Base_Periodo1[[#This Row],[CLASS]],3)</f>
        <v>1.1</v>
      </c>
    </row>
    <row r="655" spans="1:23" hidden="1">
      <c r="A655" s="3" t="str">
        <f t="shared" si="10"/>
        <v>Período 1</v>
      </c>
      <c r="B655">
        <v>2400</v>
      </c>
      <c r="C655" t="s">
        <v>503</v>
      </c>
      <c r="D655" t="s">
        <v>829</v>
      </c>
      <c r="E655" s="3" t="str">
        <f>IF(LEN(Base_Periodo1[[#This Row],[CLASS]])&gt;=7,LEFT(Base_Periodo1[[#This Row],[CLASS]],7),"")</f>
        <v>1.1.2.1</v>
      </c>
      <c r="F655" s="3" t="str">
        <f>VLOOKUP(Base_Periodo1[[#This Row],[Aux]],Base_Contas_Balanco[#All],2,FALSE)</f>
        <v>Creditos com Cooperados</v>
      </c>
      <c r="G655" s="1">
        <v>42881</v>
      </c>
      <c r="H655" s="225">
        <v>368.99999999994179</v>
      </c>
      <c r="I655" s="225">
        <v>3020.12</v>
      </c>
      <c r="J655" s="225">
        <v>0</v>
      </c>
      <c r="K655" s="225">
        <v>3389.1199999999417</v>
      </c>
      <c r="L6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3389.12</v>
      </c>
      <c r="M655" s="225">
        <f>ROUND(IF(AND(Base_Periodo1[[#This Row],[Tipo_Linha]]="-",Base_Periodo1[[#This Row],[TIPOSALDO]]="D"),Base_Periodo1[[#This Row],[SALDO_ATUAL]]*-1,Base_Periodo1[[#This Row],[SALDO_ATUAL]]),4)</f>
        <v>3389.12</v>
      </c>
      <c r="N655" t="s">
        <v>116</v>
      </c>
      <c r="O655" t="s">
        <v>397</v>
      </c>
      <c r="P655" t="s">
        <v>397</v>
      </c>
      <c r="Q655">
        <v>7</v>
      </c>
      <c r="R655" s="225">
        <f>Base_Periodo1[[#This Row],[CREDITOS]]-Base_Periodo1[[#This Row],[DEBITOS]]</f>
        <v>-3020.12</v>
      </c>
      <c r="S655" s="3" t="str">
        <f>IF(ISERROR(VLOOKUP(Base_Periodo1[[#This Row],[CONTA]],BaseContasDRE[#All],4,FALSE)),"Fora do DRE",VLOOKUP(Base_Periodo1[[#This Row],[CONTA]],BaseContasDRE[#All],4,FALSE))</f>
        <v>Fora do DRE</v>
      </c>
      <c r="T655" s="3" t="str">
        <f>IF(ISERROR(VLOOKUP(Base_Periodo1[[#This Row],[CONTA]],BaseContasDRE[#All],5,FALSE)),"Fora do DRE",VLOOKUP(Base_Periodo1[[#This Row],[CONTA]],BaseContasDRE[#All],6,FALSE))</f>
        <v>Fora do DRE</v>
      </c>
      <c r="U655" s="3" t="str">
        <f>IF(ISERROR(VLOOKUP(Base_Periodo1[[#This Row],[CONTA]],BaseContasDRE[#All],7,FALSE)),"Fora do DRE",VLOOKUP(Base_Periodo1[[#This Row],[CONTA]],BaseContasDRE[#All],7,FALSE))</f>
        <v>Fora do DRE</v>
      </c>
      <c r="V655" s="3" t="str">
        <f>IF(Base_Periodo1[[#This Row],[Tipo_Linha]]="Fora do DRE","Fora do DRE","( "&amp;Base_Periodo1[[#This Row],[Tipo_Linha]]&amp;" ) "&amp;Base_Periodo1[[#This Row],[Filtro]])</f>
        <v>Fora do DRE</v>
      </c>
      <c r="W655" s="3" t="str">
        <f>LEFT(Base_Periodo1[[#This Row],[CLASS]],3)</f>
        <v>1.1</v>
      </c>
    </row>
    <row r="656" spans="1:23" hidden="1">
      <c r="A656" s="3" t="str">
        <f t="shared" si="10"/>
        <v>Período 1</v>
      </c>
      <c r="B656">
        <v>7293</v>
      </c>
      <c r="C656" t="s">
        <v>503</v>
      </c>
      <c r="D656" t="s">
        <v>5856</v>
      </c>
      <c r="E656" s="3" t="str">
        <f>IF(LEN(Base_Periodo1[[#This Row],[CLASS]])&gt;=7,LEFT(Base_Periodo1[[#This Row],[CLASS]],7),"")</f>
        <v>1.1.2.1</v>
      </c>
      <c r="F656" s="3" t="str">
        <f>VLOOKUP(Base_Periodo1[[#This Row],[Aux]],Base_Contas_Balanco[#All],2,FALSE)</f>
        <v>Creditos com Cooperados</v>
      </c>
      <c r="G656" s="1">
        <v>42886</v>
      </c>
      <c r="H656" s="225">
        <v>15241.670000000042</v>
      </c>
      <c r="I656" s="225">
        <v>6301.2000000000007</v>
      </c>
      <c r="J656" s="225">
        <v>12871.2</v>
      </c>
      <c r="K656" s="225">
        <v>8671.6700000000419</v>
      </c>
      <c r="L6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8671.67</v>
      </c>
      <c r="M656" s="225">
        <f>ROUND(IF(AND(Base_Periodo1[[#This Row],[Tipo_Linha]]="-",Base_Periodo1[[#This Row],[TIPOSALDO]]="D"),Base_Periodo1[[#This Row],[SALDO_ATUAL]]*-1,Base_Periodo1[[#This Row],[SALDO_ATUAL]]),4)</f>
        <v>8671.67</v>
      </c>
      <c r="N656" t="s">
        <v>116</v>
      </c>
      <c r="O656" t="s">
        <v>397</v>
      </c>
      <c r="P656" t="s">
        <v>397</v>
      </c>
      <c r="Q656">
        <v>7</v>
      </c>
      <c r="R656" s="225">
        <f>Base_Periodo1[[#This Row],[CREDITOS]]-Base_Periodo1[[#This Row],[DEBITOS]]</f>
        <v>6570</v>
      </c>
      <c r="S656" s="3" t="str">
        <f>IF(ISERROR(VLOOKUP(Base_Periodo1[[#This Row],[CONTA]],BaseContasDRE[#All],4,FALSE)),"Fora do DRE",VLOOKUP(Base_Periodo1[[#This Row],[CONTA]],BaseContasDRE[#All],4,FALSE))</f>
        <v>Fora do DRE</v>
      </c>
      <c r="T656" s="3" t="str">
        <f>IF(ISERROR(VLOOKUP(Base_Periodo1[[#This Row],[CONTA]],BaseContasDRE[#All],5,FALSE)),"Fora do DRE",VLOOKUP(Base_Periodo1[[#This Row],[CONTA]],BaseContasDRE[#All],6,FALSE))</f>
        <v>Fora do DRE</v>
      </c>
      <c r="U656" s="3" t="str">
        <f>IF(ISERROR(VLOOKUP(Base_Periodo1[[#This Row],[CONTA]],BaseContasDRE[#All],7,FALSE)),"Fora do DRE",VLOOKUP(Base_Periodo1[[#This Row],[CONTA]],BaseContasDRE[#All],7,FALSE))</f>
        <v>Fora do DRE</v>
      </c>
      <c r="V656" s="3" t="str">
        <f>IF(Base_Periodo1[[#This Row],[Tipo_Linha]]="Fora do DRE","Fora do DRE","( "&amp;Base_Periodo1[[#This Row],[Tipo_Linha]]&amp;" ) "&amp;Base_Periodo1[[#This Row],[Filtro]])</f>
        <v>Fora do DRE</v>
      </c>
      <c r="W656" s="3" t="str">
        <f>LEFT(Base_Periodo1[[#This Row],[CLASS]],3)</f>
        <v>1.1</v>
      </c>
    </row>
    <row r="657" spans="1:23" hidden="1">
      <c r="A657" s="3" t="str">
        <f t="shared" si="10"/>
        <v>Período 1</v>
      </c>
      <c r="B657">
        <v>3352</v>
      </c>
      <c r="C657" t="s">
        <v>503</v>
      </c>
      <c r="D657" t="s">
        <v>5163</v>
      </c>
      <c r="E657" s="3" t="str">
        <f>IF(LEN(Base_Periodo1[[#This Row],[CLASS]])&gt;=7,LEFT(Base_Periodo1[[#This Row],[CLASS]],7),"")</f>
        <v>1.1.2.1</v>
      </c>
      <c r="F657" s="3" t="str">
        <f>VLOOKUP(Base_Periodo1[[#This Row],[Aux]],Base_Contas_Balanco[#All],2,FALSE)</f>
        <v>Creditos com Cooperados</v>
      </c>
      <c r="G657" s="1">
        <v>42866</v>
      </c>
      <c r="H657" s="225">
        <v>1276.7999999993481</v>
      </c>
      <c r="I657" s="225">
        <v>11430.99</v>
      </c>
      <c r="J657" s="225">
        <v>12707.789999999999</v>
      </c>
      <c r="K657" s="225">
        <v>-6.5119820646941662E-10</v>
      </c>
      <c r="L6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7" s="225">
        <f>ROUND(IF(AND(Base_Periodo1[[#This Row],[Tipo_Linha]]="-",Base_Periodo1[[#This Row],[TIPOSALDO]]="D"),Base_Periodo1[[#This Row],[SALDO_ATUAL]]*-1,Base_Periodo1[[#This Row],[SALDO_ATUAL]]),4)</f>
        <v>0</v>
      </c>
      <c r="N657" t="s">
        <v>116</v>
      </c>
      <c r="O657" t="s">
        <v>397</v>
      </c>
      <c r="P657" t="s">
        <v>436</v>
      </c>
      <c r="Q657">
        <v>7</v>
      </c>
      <c r="R657" s="225">
        <f>Base_Periodo1[[#This Row],[CREDITOS]]-Base_Periodo1[[#This Row],[DEBITOS]]</f>
        <v>1276.7999999999993</v>
      </c>
      <c r="S657" s="3" t="str">
        <f>IF(ISERROR(VLOOKUP(Base_Periodo1[[#This Row],[CONTA]],BaseContasDRE[#All],4,FALSE)),"Fora do DRE",VLOOKUP(Base_Periodo1[[#This Row],[CONTA]],BaseContasDRE[#All],4,FALSE))</f>
        <v>Fora do DRE</v>
      </c>
      <c r="T657" s="3" t="str">
        <f>IF(ISERROR(VLOOKUP(Base_Periodo1[[#This Row],[CONTA]],BaseContasDRE[#All],5,FALSE)),"Fora do DRE",VLOOKUP(Base_Periodo1[[#This Row],[CONTA]],BaseContasDRE[#All],6,FALSE))</f>
        <v>Fora do DRE</v>
      </c>
      <c r="U657" s="3" t="str">
        <f>IF(ISERROR(VLOOKUP(Base_Periodo1[[#This Row],[CONTA]],BaseContasDRE[#All],7,FALSE)),"Fora do DRE",VLOOKUP(Base_Periodo1[[#This Row],[CONTA]],BaseContasDRE[#All],7,FALSE))</f>
        <v>Fora do DRE</v>
      </c>
      <c r="V657" s="3" t="str">
        <f>IF(Base_Periodo1[[#This Row],[Tipo_Linha]]="Fora do DRE","Fora do DRE","( "&amp;Base_Periodo1[[#This Row],[Tipo_Linha]]&amp;" ) "&amp;Base_Periodo1[[#This Row],[Filtro]])</f>
        <v>Fora do DRE</v>
      </c>
      <c r="W657" s="3" t="str">
        <f>LEFT(Base_Periodo1[[#This Row],[CLASS]],3)</f>
        <v>1.1</v>
      </c>
    </row>
    <row r="658" spans="1:23" hidden="1">
      <c r="A658" s="3" t="str">
        <f t="shared" si="10"/>
        <v>Período 1</v>
      </c>
      <c r="B658">
        <v>22709</v>
      </c>
      <c r="C658" t="s">
        <v>503</v>
      </c>
      <c r="D658" t="s">
        <v>830</v>
      </c>
      <c r="E658" s="3" t="str">
        <f>IF(LEN(Base_Periodo1[[#This Row],[CLASS]])&gt;=7,LEFT(Base_Periodo1[[#This Row],[CLASS]],7),"")</f>
        <v>1.1.2.1</v>
      </c>
      <c r="F658" s="3" t="str">
        <f>VLOOKUP(Base_Periodo1[[#This Row],[Aux]],Base_Contas_Balanco[#All],2,FALSE)</f>
        <v>Creditos com Cooperados</v>
      </c>
      <c r="G658" s="1">
        <v>42559</v>
      </c>
      <c r="H658" s="225">
        <v>14.929999999585561</v>
      </c>
      <c r="I658" s="225">
        <v>0</v>
      </c>
      <c r="J658" s="225">
        <v>0</v>
      </c>
      <c r="K658" s="225">
        <v>14.929999999585561</v>
      </c>
      <c r="L6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14.93</v>
      </c>
      <c r="M658" s="225">
        <f>ROUND(IF(AND(Base_Periodo1[[#This Row],[Tipo_Linha]]="-",Base_Periodo1[[#This Row],[TIPOSALDO]]="D"),Base_Periodo1[[#This Row],[SALDO_ATUAL]]*-1,Base_Periodo1[[#This Row],[SALDO_ATUAL]]),4)</f>
        <v>14.93</v>
      </c>
      <c r="N658" t="s">
        <v>116</v>
      </c>
      <c r="O658" t="s">
        <v>397</v>
      </c>
      <c r="P658" t="s">
        <v>397</v>
      </c>
      <c r="Q658">
        <v>7</v>
      </c>
      <c r="R658" s="225">
        <f>Base_Periodo1[[#This Row],[CREDITOS]]-Base_Periodo1[[#This Row],[DEBITOS]]</f>
        <v>0</v>
      </c>
      <c r="S658" s="3" t="str">
        <f>IF(ISERROR(VLOOKUP(Base_Periodo1[[#This Row],[CONTA]],BaseContasDRE[#All],4,FALSE)),"Fora do DRE",VLOOKUP(Base_Periodo1[[#This Row],[CONTA]],BaseContasDRE[#All],4,FALSE))</f>
        <v>Fora do DRE</v>
      </c>
      <c r="T658" s="3" t="str">
        <f>IF(ISERROR(VLOOKUP(Base_Periodo1[[#This Row],[CONTA]],BaseContasDRE[#All],5,FALSE)),"Fora do DRE",VLOOKUP(Base_Periodo1[[#This Row],[CONTA]],BaseContasDRE[#All],6,FALSE))</f>
        <v>Fora do DRE</v>
      </c>
      <c r="U658" s="3" t="str">
        <f>IF(ISERROR(VLOOKUP(Base_Periodo1[[#This Row],[CONTA]],BaseContasDRE[#All],7,FALSE)),"Fora do DRE",VLOOKUP(Base_Periodo1[[#This Row],[CONTA]],BaseContasDRE[#All],7,FALSE))</f>
        <v>Fora do DRE</v>
      </c>
      <c r="V658" s="3" t="str">
        <f>IF(Base_Periodo1[[#This Row],[Tipo_Linha]]="Fora do DRE","Fora do DRE","( "&amp;Base_Periodo1[[#This Row],[Tipo_Linha]]&amp;" ) "&amp;Base_Periodo1[[#This Row],[Filtro]])</f>
        <v>Fora do DRE</v>
      </c>
      <c r="W658" s="3" t="str">
        <f>LEFT(Base_Periodo1[[#This Row],[CLASS]],3)</f>
        <v>1.1</v>
      </c>
    </row>
    <row r="659" spans="1:23" hidden="1">
      <c r="A659" s="3" t="str">
        <f t="shared" si="10"/>
        <v>Período 1</v>
      </c>
      <c r="B659">
        <v>3400</v>
      </c>
      <c r="C659" t="s">
        <v>503</v>
      </c>
      <c r="D659" t="s">
        <v>831</v>
      </c>
      <c r="E659" s="3" t="str">
        <f>IF(LEN(Base_Periodo1[[#This Row],[CLASS]])&gt;=7,LEFT(Base_Periodo1[[#This Row],[CLASS]],7),"")</f>
        <v>1.1.2.1</v>
      </c>
      <c r="F659" s="3" t="str">
        <f>VLOOKUP(Base_Periodo1[[#This Row],[Aux]],Base_Contas_Balanco[#All],2,FALSE)</f>
        <v>Creditos com Cooperados</v>
      </c>
      <c r="G659" s="1">
        <v>42737</v>
      </c>
      <c r="H659" s="225">
        <v>6794.9399999999441</v>
      </c>
      <c r="I659" s="225">
        <v>0</v>
      </c>
      <c r="J659" s="225">
        <v>0</v>
      </c>
      <c r="K659" s="225">
        <v>6794.9399999999441</v>
      </c>
      <c r="L6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6794.94</v>
      </c>
      <c r="M659" s="225">
        <f>ROUND(IF(AND(Base_Periodo1[[#This Row],[Tipo_Linha]]="-",Base_Periodo1[[#This Row],[TIPOSALDO]]="D"),Base_Periodo1[[#This Row],[SALDO_ATUAL]]*-1,Base_Periodo1[[#This Row],[SALDO_ATUAL]]),4)</f>
        <v>6794.94</v>
      </c>
      <c r="N659" t="s">
        <v>116</v>
      </c>
      <c r="O659" t="s">
        <v>397</v>
      </c>
      <c r="P659" t="s">
        <v>397</v>
      </c>
      <c r="Q659">
        <v>7</v>
      </c>
      <c r="R659" s="225">
        <f>Base_Periodo1[[#This Row],[CREDITOS]]-Base_Periodo1[[#This Row],[DEBITOS]]</f>
        <v>0</v>
      </c>
      <c r="S659" s="3" t="str">
        <f>IF(ISERROR(VLOOKUP(Base_Periodo1[[#This Row],[CONTA]],BaseContasDRE[#All],4,FALSE)),"Fora do DRE",VLOOKUP(Base_Periodo1[[#This Row],[CONTA]],BaseContasDRE[#All],4,FALSE))</f>
        <v>Fora do DRE</v>
      </c>
      <c r="T659" s="3" t="str">
        <f>IF(ISERROR(VLOOKUP(Base_Periodo1[[#This Row],[CONTA]],BaseContasDRE[#All],5,FALSE)),"Fora do DRE",VLOOKUP(Base_Periodo1[[#This Row],[CONTA]],BaseContasDRE[#All],6,FALSE))</f>
        <v>Fora do DRE</v>
      </c>
      <c r="U659" s="3" t="str">
        <f>IF(ISERROR(VLOOKUP(Base_Periodo1[[#This Row],[CONTA]],BaseContasDRE[#All],7,FALSE)),"Fora do DRE",VLOOKUP(Base_Periodo1[[#This Row],[CONTA]],BaseContasDRE[#All],7,FALSE))</f>
        <v>Fora do DRE</v>
      </c>
      <c r="V659" s="3" t="str">
        <f>IF(Base_Periodo1[[#This Row],[Tipo_Linha]]="Fora do DRE","Fora do DRE","( "&amp;Base_Periodo1[[#This Row],[Tipo_Linha]]&amp;" ) "&amp;Base_Periodo1[[#This Row],[Filtro]])</f>
        <v>Fora do DRE</v>
      </c>
      <c r="W659" s="3" t="str">
        <f>LEFT(Base_Periodo1[[#This Row],[CLASS]],3)</f>
        <v>1.1</v>
      </c>
    </row>
    <row r="660" spans="1:23" hidden="1">
      <c r="A660" s="3" t="str">
        <f t="shared" si="10"/>
        <v>Período 1</v>
      </c>
      <c r="B660">
        <v>13260</v>
      </c>
      <c r="C660" t="s">
        <v>503</v>
      </c>
      <c r="D660" t="s">
        <v>832</v>
      </c>
      <c r="E660" s="3" t="str">
        <f>IF(LEN(Base_Periodo1[[#This Row],[CLASS]])&gt;=7,LEFT(Base_Periodo1[[#This Row],[CLASS]],7),"")</f>
        <v>1.1.2.1</v>
      </c>
      <c r="F660" s="3" t="str">
        <f>VLOOKUP(Base_Periodo1[[#This Row],[Aux]],Base_Contas_Balanco[#All],2,FALSE)</f>
        <v>Creditos com Cooperados</v>
      </c>
      <c r="G660" s="1">
        <v>41507</v>
      </c>
      <c r="H660" s="225">
        <v>3332.1300000000047</v>
      </c>
      <c r="I660" s="225">
        <v>0</v>
      </c>
      <c r="J660" s="225">
        <v>0</v>
      </c>
      <c r="K660" s="225">
        <v>3332.1300000000047</v>
      </c>
      <c r="L6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3332.13</v>
      </c>
      <c r="M660" s="225">
        <f>ROUND(IF(AND(Base_Periodo1[[#This Row],[Tipo_Linha]]="-",Base_Periodo1[[#This Row],[TIPOSALDO]]="D"),Base_Periodo1[[#This Row],[SALDO_ATUAL]]*-1,Base_Periodo1[[#This Row],[SALDO_ATUAL]]),4)</f>
        <v>3332.13</v>
      </c>
      <c r="N660" t="s">
        <v>116</v>
      </c>
      <c r="O660" t="s">
        <v>397</v>
      </c>
      <c r="P660" t="s">
        <v>397</v>
      </c>
      <c r="Q660">
        <v>7</v>
      </c>
      <c r="R660" s="225">
        <f>Base_Periodo1[[#This Row],[CREDITOS]]-Base_Periodo1[[#This Row],[DEBITOS]]</f>
        <v>0</v>
      </c>
      <c r="S660" s="3" t="str">
        <f>IF(ISERROR(VLOOKUP(Base_Periodo1[[#This Row],[CONTA]],BaseContasDRE[#All],4,FALSE)),"Fora do DRE",VLOOKUP(Base_Periodo1[[#This Row],[CONTA]],BaseContasDRE[#All],4,FALSE))</f>
        <v>Fora do DRE</v>
      </c>
      <c r="T660" s="3" t="str">
        <f>IF(ISERROR(VLOOKUP(Base_Periodo1[[#This Row],[CONTA]],BaseContasDRE[#All],5,FALSE)),"Fora do DRE",VLOOKUP(Base_Periodo1[[#This Row],[CONTA]],BaseContasDRE[#All],6,FALSE))</f>
        <v>Fora do DRE</v>
      </c>
      <c r="U660" s="3" t="str">
        <f>IF(ISERROR(VLOOKUP(Base_Periodo1[[#This Row],[CONTA]],BaseContasDRE[#All],7,FALSE)),"Fora do DRE",VLOOKUP(Base_Periodo1[[#This Row],[CONTA]],BaseContasDRE[#All],7,FALSE))</f>
        <v>Fora do DRE</v>
      </c>
      <c r="V660" s="3" t="str">
        <f>IF(Base_Periodo1[[#This Row],[Tipo_Linha]]="Fora do DRE","Fora do DRE","( "&amp;Base_Periodo1[[#This Row],[Tipo_Linha]]&amp;" ) "&amp;Base_Periodo1[[#This Row],[Filtro]])</f>
        <v>Fora do DRE</v>
      </c>
      <c r="W660" s="3" t="str">
        <f>LEFT(Base_Periodo1[[#This Row],[CLASS]],3)</f>
        <v>1.1</v>
      </c>
    </row>
    <row r="661" spans="1:23" hidden="1">
      <c r="A661" s="3" t="str">
        <f t="shared" si="10"/>
        <v>Período 1</v>
      </c>
      <c r="B661">
        <v>49626</v>
      </c>
      <c r="C661" t="s">
        <v>503</v>
      </c>
      <c r="D661" t="s">
        <v>4911</v>
      </c>
      <c r="E661" s="3" t="str">
        <f>IF(LEN(Base_Periodo1[[#This Row],[CLASS]])&gt;=7,LEFT(Base_Periodo1[[#This Row],[CLASS]],7),"")</f>
        <v>1.1.2.1</v>
      </c>
      <c r="F661" s="3" t="str">
        <f>VLOOKUP(Base_Periodo1[[#This Row],[Aux]],Base_Contas_Balanco[#All],2,FALSE)</f>
        <v>Creditos com Cooperados</v>
      </c>
      <c r="G661" s="1">
        <v>42857</v>
      </c>
      <c r="H661" s="225">
        <v>250872.50000000006</v>
      </c>
      <c r="I661" s="225">
        <v>0</v>
      </c>
      <c r="J661" s="225">
        <v>250872.5</v>
      </c>
      <c r="K661" s="225">
        <v>5.8207660913467407E-11</v>
      </c>
      <c r="L6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61" s="225">
        <f>ROUND(IF(AND(Base_Periodo1[[#This Row],[Tipo_Linha]]="-",Base_Periodo1[[#This Row],[TIPOSALDO]]="D"),Base_Periodo1[[#This Row],[SALDO_ATUAL]]*-1,Base_Periodo1[[#This Row],[SALDO_ATUAL]]),4)</f>
        <v>0</v>
      </c>
      <c r="N661" t="s">
        <v>116</v>
      </c>
      <c r="O661" t="s">
        <v>397</v>
      </c>
      <c r="P661" t="s">
        <v>436</v>
      </c>
      <c r="Q661">
        <v>7</v>
      </c>
      <c r="R661" s="225">
        <f>Base_Periodo1[[#This Row],[CREDITOS]]-Base_Periodo1[[#This Row],[DEBITOS]]</f>
        <v>250872.5</v>
      </c>
      <c r="S661" s="3" t="str">
        <f>IF(ISERROR(VLOOKUP(Base_Periodo1[[#This Row],[CONTA]],BaseContasDRE[#All],4,FALSE)),"Fora do DRE",VLOOKUP(Base_Periodo1[[#This Row],[CONTA]],BaseContasDRE[#All],4,FALSE))</f>
        <v>Fora do DRE</v>
      </c>
      <c r="T661" s="3" t="str">
        <f>IF(ISERROR(VLOOKUP(Base_Periodo1[[#This Row],[CONTA]],BaseContasDRE[#All],5,FALSE)),"Fora do DRE",VLOOKUP(Base_Periodo1[[#This Row],[CONTA]],BaseContasDRE[#All],6,FALSE))</f>
        <v>Fora do DRE</v>
      </c>
      <c r="U661" s="3" t="str">
        <f>IF(ISERROR(VLOOKUP(Base_Periodo1[[#This Row],[CONTA]],BaseContasDRE[#All],7,FALSE)),"Fora do DRE",VLOOKUP(Base_Periodo1[[#This Row],[CONTA]],BaseContasDRE[#All],7,FALSE))</f>
        <v>Fora do DRE</v>
      </c>
      <c r="V661" s="3" t="str">
        <f>IF(Base_Periodo1[[#This Row],[Tipo_Linha]]="Fora do DRE","Fora do DRE","( "&amp;Base_Periodo1[[#This Row],[Tipo_Linha]]&amp;" ) "&amp;Base_Periodo1[[#This Row],[Filtro]])</f>
        <v>Fora do DRE</v>
      </c>
      <c r="W661" s="3" t="str">
        <f>LEFT(Base_Periodo1[[#This Row],[CLASS]],3)</f>
        <v>1.1</v>
      </c>
    </row>
    <row r="662" spans="1:23" hidden="1">
      <c r="A662" s="3" t="str">
        <f t="shared" si="10"/>
        <v>Período 1</v>
      </c>
      <c r="B662">
        <v>3496</v>
      </c>
      <c r="C662" t="s">
        <v>503</v>
      </c>
      <c r="D662" t="s">
        <v>833</v>
      </c>
      <c r="E662" s="3" t="str">
        <f>IF(LEN(Base_Periodo1[[#This Row],[CLASS]])&gt;=7,LEFT(Base_Periodo1[[#This Row],[CLASS]],7),"")</f>
        <v>1.1.2.1</v>
      </c>
      <c r="F662" s="3" t="str">
        <f>VLOOKUP(Base_Periodo1[[#This Row],[Aux]],Base_Contas_Balanco[#All],2,FALSE)</f>
        <v>Creditos com Cooperados</v>
      </c>
      <c r="G662" s="1">
        <v>42884</v>
      </c>
      <c r="H662" s="225">
        <v>385063.92000000179</v>
      </c>
      <c r="I662" s="225">
        <v>130454.45000000001</v>
      </c>
      <c r="J662" s="225">
        <v>58620</v>
      </c>
      <c r="K662" s="225">
        <v>456898.3700000018</v>
      </c>
      <c r="L6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456898.37</v>
      </c>
      <c r="M662" s="225">
        <f>ROUND(IF(AND(Base_Periodo1[[#This Row],[Tipo_Linha]]="-",Base_Periodo1[[#This Row],[TIPOSALDO]]="D"),Base_Periodo1[[#This Row],[SALDO_ATUAL]]*-1,Base_Periodo1[[#This Row],[SALDO_ATUAL]]),4)</f>
        <v>456898.37</v>
      </c>
      <c r="N662" t="s">
        <v>116</v>
      </c>
      <c r="O662" t="s">
        <v>397</v>
      </c>
      <c r="P662" t="s">
        <v>397</v>
      </c>
      <c r="Q662">
        <v>7</v>
      </c>
      <c r="R662" s="225">
        <f>Base_Periodo1[[#This Row],[CREDITOS]]-Base_Periodo1[[#This Row],[DEBITOS]]</f>
        <v>-71834.450000000012</v>
      </c>
      <c r="S662" s="3" t="str">
        <f>IF(ISERROR(VLOOKUP(Base_Periodo1[[#This Row],[CONTA]],BaseContasDRE[#All],4,FALSE)),"Fora do DRE",VLOOKUP(Base_Periodo1[[#This Row],[CONTA]],BaseContasDRE[#All],4,FALSE))</f>
        <v>Fora do DRE</v>
      </c>
      <c r="T662" s="3" t="str">
        <f>IF(ISERROR(VLOOKUP(Base_Periodo1[[#This Row],[CONTA]],BaseContasDRE[#All],5,FALSE)),"Fora do DRE",VLOOKUP(Base_Periodo1[[#This Row],[CONTA]],BaseContasDRE[#All],6,FALSE))</f>
        <v>Fora do DRE</v>
      </c>
      <c r="U662" s="3" t="str">
        <f>IF(ISERROR(VLOOKUP(Base_Periodo1[[#This Row],[CONTA]],BaseContasDRE[#All],7,FALSE)),"Fora do DRE",VLOOKUP(Base_Periodo1[[#This Row],[CONTA]],BaseContasDRE[#All],7,FALSE))</f>
        <v>Fora do DRE</v>
      </c>
      <c r="V662" s="3" t="str">
        <f>IF(Base_Periodo1[[#This Row],[Tipo_Linha]]="Fora do DRE","Fora do DRE","( "&amp;Base_Periodo1[[#This Row],[Tipo_Linha]]&amp;" ) "&amp;Base_Periodo1[[#This Row],[Filtro]])</f>
        <v>Fora do DRE</v>
      </c>
      <c r="W662" s="3" t="str">
        <f>LEFT(Base_Periodo1[[#This Row],[CLASS]],3)</f>
        <v>1.1</v>
      </c>
    </row>
    <row r="663" spans="1:23" hidden="1">
      <c r="A663" s="3" t="str">
        <f t="shared" si="10"/>
        <v>Período 1</v>
      </c>
      <c r="B663">
        <v>2908</v>
      </c>
      <c r="C663" t="s">
        <v>503</v>
      </c>
      <c r="D663" t="s">
        <v>5643</v>
      </c>
      <c r="E663" s="3" t="str">
        <f>IF(LEN(Base_Periodo1[[#This Row],[CLASS]])&gt;=7,LEFT(Base_Periodo1[[#This Row],[CLASS]],7),"")</f>
        <v>1.1.2.1</v>
      </c>
      <c r="F663" s="3" t="str">
        <f>VLOOKUP(Base_Periodo1[[#This Row],[Aux]],Base_Contas_Balanco[#All],2,FALSE)</f>
        <v>Creditos com Cooperados</v>
      </c>
      <c r="G663" s="1">
        <v>42874</v>
      </c>
      <c r="I663" s="225">
        <v>232</v>
      </c>
      <c r="J663" s="225">
        <v>0</v>
      </c>
      <c r="K663" s="225">
        <v>232</v>
      </c>
      <c r="L6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232</v>
      </c>
      <c r="M663" s="225">
        <f>ROUND(IF(AND(Base_Periodo1[[#This Row],[Tipo_Linha]]="-",Base_Periodo1[[#This Row],[TIPOSALDO]]="D"),Base_Periodo1[[#This Row],[SALDO_ATUAL]]*-1,Base_Periodo1[[#This Row],[SALDO_ATUAL]]),4)</f>
        <v>232</v>
      </c>
      <c r="N663" t="s">
        <v>116</v>
      </c>
      <c r="O663" t="s">
        <v>436</v>
      </c>
      <c r="P663" t="s">
        <v>397</v>
      </c>
      <c r="Q663">
        <v>7</v>
      </c>
      <c r="R663" s="225">
        <f>Base_Periodo1[[#This Row],[CREDITOS]]-Base_Periodo1[[#This Row],[DEBITOS]]</f>
        <v>-232</v>
      </c>
      <c r="S663" s="3" t="str">
        <f>IF(ISERROR(VLOOKUP(Base_Periodo1[[#This Row],[CONTA]],BaseContasDRE[#All],4,FALSE)),"Fora do DRE",VLOOKUP(Base_Periodo1[[#This Row],[CONTA]],BaseContasDRE[#All],4,FALSE))</f>
        <v>Fora do DRE</v>
      </c>
      <c r="T663" s="3" t="str">
        <f>IF(ISERROR(VLOOKUP(Base_Periodo1[[#This Row],[CONTA]],BaseContasDRE[#All],5,FALSE)),"Fora do DRE",VLOOKUP(Base_Periodo1[[#This Row],[CONTA]],BaseContasDRE[#All],6,FALSE))</f>
        <v>Fora do DRE</v>
      </c>
      <c r="U663" s="3" t="str">
        <f>IF(ISERROR(VLOOKUP(Base_Periodo1[[#This Row],[CONTA]],BaseContasDRE[#All],7,FALSE)),"Fora do DRE",VLOOKUP(Base_Periodo1[[#This Row],[CONTA]],BaseContasDRE[#All],7,FALSE))</f>
        <v>Fora do DRE</v>
      </c>
      <c r="V663" s="3" t="str">
        <f>IF(Base_Periodo1[[#This Row],[Tipo_Linha]]="Fora do DRE","Fora do DRE","( "&amp;Base_Periodo1[[#This Row],[Tipo_Linha]]&amp;" ) "&amp;Base_Periodo1[[#This Row],[Filtro]])</f>
        <v>Fora do DRE</v>
      </c>
      <c r="W663" s="3" t="str">
        <f>LEFT(Base_Periodo1[[#This Row],[CLASS]],3)</f>
        <v>1.1</v>
      </c>
    </row>
    <row r="664" spans="1:23" hidden="1">
      <c r="A664" s="3" t="str">
        <f t="shared" si="10"/>
        <v>Período 1</v>
      </c>
      <c r="B664">
        <v>39016</v>
      </c>
      <c r="C664" t="s">
        <v>503</v>
      </c>
      <c r="D664" t="s">
        <v>5486</v>
      </c>
      <c r="E664" s="3" t="str">
        <f>IF(LEN(Base_Periodo1[[#This Row],[CLASS]])&gt;=7,LEFT(Base_Periodo1[[#This Row],[CLASS]],7),"")</f>
        <v>1.1.2.1</v>
      </c>
      <c r="F664" s="3" t="str">
        <f>VLOOKUP(Base_Periodo1[[#This Row],[Aux]],Base_Contas_Balanco[#All],2,FALSE)</f>
        <v>Creditos com Cooperados</v>
      </c>
      <c r="G664" s="1">
        <v>42864</v>
      </c>
      <c r="I664" s="225">
        <v>626</v>
      </c>
      <c r="J664" s="225">
        <v>0</v>
      </c>
      <c r="K664" s="225">
        <v>626</v>
      </c>
      <c r="L6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626</v>
      </c>
      <c r="M664" s="225">
        <f>ROUND(IF(AND(Base_Periodo1[[#This Row],[Tipo_Linha]]="-",Base_Periodo1[[#This Row],[TIPOSALDO]]="D"),Base_Periodo1[[#This Row],[SALDO_ATUAL]]*-1,Base_Periodo1[[#This Row],[SALDO_ATUAL]]),4)</f>
        <v>626</v>
      </c>
      <c r="N664" t="s">
        <v>116</v>
      </c>
      <c r="O664" t="s">
        <v>436</v>
      </c>
      <c r="P664" t="s">
        <v>397</v>
      </c>
      <c r="Q664">
        <v>7</v>
      </c>
      <c r="R664" s="225">
        <f>Base_Periodo1[[#This Row],[CREDITOS]]-Base_Periodo1[[#This Row],[DEBITOS]]</f>
        <v>-626</v>
      </c>
      <c r="S664" s="3" t="str">
        <f>IF(ISERROR(VLOOKUP(Base_Periodo1[[#This Row],[CONTA]],BaseContasDRE[#All],4,FALSE)),"Fora do DRE",VLOOKUP(Base_Periodo1[[#This Row],[CONTA]],BaseContasDRE[#All],4,FALSE))</f>
        <v>Fora do DRE</v>
      </c>
      <c r="T664" s="3" t="str">
        <f>IF(ISERROR(VLOOKUP(Base_Periodo1[[#This Row],[CONTA]],BaseContasDRE[#All],5,FALSE)),"Fora do DRE",VLOOKUP(Base_Periodo1[[#This Row],[CONTA]],BaseContasDRE[#All],6,FALSE))</f>
        <v>Fora do DRE</v>
      </c>
      <c r="U664" s="3" t="str">
        <f>IF(ISERROR(VLOOKUP(Base_Periodo1[[#This Row],[CONTA]],BaseContasDRE[#All],7,FALSE)),"Fora do DRE",VLOOKUP(Base_Periodo1[[#This Row],[CONTA]],BaseContasDRE[#All],7,FALSE))</f>
        <v>Fora do DRE</v>
      </c>
      <c r="V664" s="3" t="str">
        <f>IF(Base_Periodo1[[#This Row],[Tipo_Linha]]="Fora do DRE","Fora do DRE","( "&amp;Base_Periodo1[[#This Row],[Tipo_Linha]]&amp;" ) "&amp;Base_Periodo1[[#This Row],[Filtro]])</f>
        <v>Fora do DRE</v>
      </c>
      <c r="W664" s="3" t="str">
        <f>LEFT(Base_Periodo1[[#This Row],[CLASS]],3)</f>
        <v>1.1</v>
      </c>
    </row>
    <row r="665" spans="1:23" hidden="1">
      <c r="A665" s="3" t="str">
        <f t="shared" si="10"/>
        <v>Período 1</v>
      </c>
      <c r="B665">
        <v>39100</v>
      </c>
      <c r="C665" t="s">
        <v>503</v>
      </c>
      <c r="D665" t="s">
        <v>834</v>
      </c>
      <c r="E665" s="3" t="str">
        <f>IF(LEN(Base_Periodo1[[#This Row],[CLASS]])&gt;=7,LEFT(Base_Periodo1[[#This Row],[CLASS]],7),"")</f>
        <v>1.1.2.1</v>
      </c>
      <c r="F665" s="3" t="str">
        <f>VLOOKUP(Base_Periodo1[[#This Row],[Aux]],Base_Contas_Balanco[#All],2,FALSE)</f>
        <v>Creditos com Cooperados</v>
      </c>
      <c r="G665" s="1">
        <v>42851</v>
      </c>
      <c r="H665" s="225">
        <v>1434.1999999999971</v>
      </c>
      <c r="I665" s="225">
        <v>0</v>
      </c>
      <c r="J665" s="225">
        <v>0</v>
      </c>
      <c r="K665" s="225">
        <v>1434.1999999999971</v>
      </c>
      <c r="L6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1434.2</v>
      </c>
      <c r="M665" s="225">
        <f>ROUND(IF(AND(Base_Periodo1[[#This Row],[Tipo_Linha]]="-",Base_Periodo1[[#This Row],[TIPOSALDO]]="D"),Base_Periodo1[[#This Row],[SALDO_ATUAL]]*-1,Base_Periodo1[[#This Row],[SALDO_ATUAL]]),4)</f>
        <v>1434.2</v>
      </c>
      <c r="N665" t="s">
        <v>116</v>
      </c>
      <c r="O665" t="s">
        <v>397</v>
      </c>
      <c r="P665" t="s">
        <v>397</v>
      </c>
      <c r="Q665">
        <v>7</v>
      </c>
      <c r="R665" s="225">
        <f>Base_Periodo1[[#This Row],[CREDITOS]]-Base_Periodo1[[#This Row],[DEBITOS]]</f>
        <v>0</v>
      </c>
      <c r="S665" s="3" t="str">
        <f>IF(ISERROR(VLOOKUP(Base_Periodo1[[#This Row],[CONTA]],BaseContasDRE[#All],4,FALSE)),"Fora do DRE",VLOOKUP(Base_Periodo1[[#This Row],[CONTA]],BaseContasDRE[#All],4,FALSE))</f>
        <v>Fora do DRE</v>
      </c>
      <c r="T665" s="3" t="str">
        <f>IF(ISERROR(VLOOKUP(Base_Periodo1[[#This Row],[CONTA]],BaseContasDRE[#All],5,FALSE)),"Fora do DRE",VLOOKUP(Base_Periodo1[[#This Row],[CONTA]],BaseContasDRE[#All],6,FALSE))</f>
        <v>Fora do DRE</v>
      </c>
      <c r="U665" s="3" t="str">
        <f>IF(ISERROR(VLOOKUP(Base_Periodo1[[#This Row],[CONTA]],BaseContasDRE[#All],7,FALSE)),"Fora do DRE",VLOOKUP(Base_Periodo1[[#This Row],[CONTA]],BaseContasDRE[#All],7,FALSE))</f>
        <v>Fora do DRE</v>
      </c>
      <c r="V665" s="3" t="str">
        <f>IF(Base_Periodo1[[#This Row],[Tipo_Linha]]="Fora do DRE","Fora do DRE","( "&amp;Base_Periodo1[[#This Row],[Tipo_Linha]]&amp;" ) "&amp;Base_Periodo1[[#This Row],[Filtro]])</f>
        <v>Fora do DRE</v>
      </c>
      <c r="W665" s="3" t="str">
        <f>LEFT(Base_Periodo1[[#This Row],[CLASS]],3)</f>
        <v>1.1</v>
      </c>
    </row>
    <row r="666" spans="1:23" hidden="1">
      <c r="A666" s="3" t="str">
        <f t="shared" si="10"/>
        <v>Período 1</v>
      </c>
      <c r="B666">
        <v>3724</v>
      </c>
      <c r="C666" t="s">
        <v>503</v>
      </c>
      <c r="D666" t="s">
        <v>835</v>
      </c>
      <c r="E666" s="3" t="str">
        <f>IF(LEN(Base_Periodo1[[#This Row],[CLASS]])&gt;=7,LEFT(Base_Periodo1[[#This Row],[CLASS]],7),"")</f>
        <v>1.1.2.1</v>
      </c>
      <c r="F666" s="3" t="str">
        <f>VLOOKUP(Base_Periodo1[[#This Row],[Aux]],Base_Contas_Balanco[#All],2,FALSE)</f>
        <v>Creditos com Cooperados</v>
      </c>
      <c r="G666" s="1">
        <v>42880</v>
      </c>
      <c r="H666" s="225">
        <v>33864.620000000577</v>
      </c>
      <c r="I666" s="225">
        <v>25676.1</v>
      </c>
      <c r="J666" s="225">
        <v>22325.599999999999</v>
      </c>
      <c r="K666" s="225">
        <v>37215.120000000577</v>
      </c>
      <c r="L6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37215.120000000003</v>
      </c>
      <c r="M666" s="225">
        <f>ROUND(IF(AND(Base_Periodo1[[#This Row],[Tipo_Linha]]="-",Base_Periodo1[[#This Row],[TIPOSALDO]]="D"),Base_Periodo1[[#This Row],[SALDO_ATUAL]]*-1,Base_Periodo1[[#This Row],[SALDO_ATUAL]]),4)</f>
        <v>37215.120000000003</v>
      </c>
      <c r="N666" t="s">
        <v>116</v>
      </c>
      <c r="O666" t="s">
        <v>397</v>
      </c>
      <c r="P666" t="s">
        <v>397</v>
      </c>
      <c r="Q666">
        <v>7</v>
      </c>
      <c r="R666" s="225">
        <f>Base_Periodo1[[#This Row],[CREDITOS]]-Base_Periodo1[[#This Row],[DEBITOS]]</f>
        <v>-3350.5</v>
      </c>
      <c r="S666" s="3" t="str">
        <f>IF(ISERROR(VLOOKUP(Base_Periodo1[[#This Row],[CONTA]],BaseContasDRE[#All],4,FALSE)),"Fora do DRE",VLOOKUP(Base_Periodo1[[#This Row],[CONTA]],BaseContasDRE[#All],4,FALSE))</f>
        <v>Fora do DRE</v>
      </c>
      <c r="T666" s="3" t="str">
        <f>IF(ISERROR(VLOOKUP(Base_Periodo1[[#This Row],[CONTA]],BaseContasDRE[#All],5,FALSE)),"Fora do DRE",VLOOKUP(Base_Periodo1[[#This Row],[CONTA]],BaseContasDRE[#All],6,FALSE))</f>
        <v>Fora do DRE</v>
      </c>
      <c r="U666" s="3" t="str">
        <f>IF(ISERROR(VLOOKUP(Base_Periodo1[[#This Row],[CONTA]],BaseContasDRE[#All],7,FALSE)),"Fora do DRE",VLOOKUP(Base_Periodo1[[#This Row],[CONTA]],BaseContasDRE[#All],7,FALSE))</f>
        <v>Fora do DRE</v>
      </c>
      <c r="V666" s="3" t="str">
        <f>IF(Base_Periodo1[[#This Row],[Tipo_Linha]]="Fora do DRE","Fora do DRE","( "&amp;Base_Periodo1[[#This Row],[Tipo_Linha]]&amp;" ) "&amp;Base_Periodo1[[#This Row],[Filtro]])</f>
        <v>Fora do DRE</v>
      </c>
      <c r="W666" s="3" t="str">
        <f>LEFT(Base_Periodo1[[#This Row],[CLASS]],3)</f>
        <v>1.1</v>
      </c>
    </row>
    <row r="667" spans="1:23" hidden="1">
      <c r="A667" s="3" t="str">
        <f t="shared" si="10"/>
        <v>Período 1</v>
      </c>
      <c r="B667">
        <v>24336</v>
      </c>
      <c r="C667" t="s">
        <v>503</v>
      </c>
      <c r="D667" t="s">
        <v>836</v>
      </c>
      <c r="E667" s="3" t="str">
        <f>IF(LEN(Base_Periodo1[[#This Row],[CLASS]])&gt;=7,LEFT(Base_Periodo1[[#This Row],[CLASS]],7),"")</f>
        <v>1.1.2.1</v>
      </c>
      <c r="F667" s="3" t="str">
        <f>VLOOKUP(Base_Periodo1[[#This Row],[Aux]],Base_Contas_Balanco[#All],2,FALSE)</f>
        <v>Creditos com Cooperados</v>
      </c>
      <c r="G667" s="1">
        <v>41519</v>
      </c>
      <c r="H667" s="225">
        <v>16663.999999999989</v>
      </c>
      <c r="I667" s="225">
        <v>0</v>
      </c>
      <c r="J667" s="225">
        <v>0</v>
      </c>
      <c r="K667" s="225">
        <v>16663.999999999989</v>
      </c>
      <c r="L6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16664</v>
      </c>
      <c r="M667" s="225">
        <f>ROUND(IF(AND(Base_Periodo1[[#This Row],[Tipo_Linha]]="-",Base_Periodo1[[#This Row],[TIPOSALDO]]="D"),Base_Periodo1[[#This Row],[SALDO_ATUAL]]*-1,Base_Periodo1[[#This Row],[SALDO_ATUAL]]),4)</f>
        <v>16664</v>
      </c>
      <c r="N667" t="s">
        <v>116</v>
      </c>
      <c r="O667" t="s">
        <v>397</v>
      </c>
      <c r="P667" t="s">
        <v>397</v>
      </c>
      <c r="Q667">
        <v>7</v>
      </c>
      <c r="R667" s="225">
        <f>Base_Periodo1[[#This Row],[CREDITOS]]-Base_Periodo1[[#This Row],[DEBITOS]]</f>
        <v>0</v>
      </c>
      <c r="S667" s="3" t="str">
        <f>IF(ISERROR(VLOOKUP(Base_Periodo1[[#This Row],[CONTA]],BaseContasDRE[#All],4,FALSE)),"Fora do DRE",VLOOKUP(Base_Periodo1[[#This Row],[CONTA]],BaseContasDRE[#All],4,FALSE))</f>
        <v>Fora do DRE</v>
      </c>
      <c r="T667" s="3" t="str">
        <f>IF(ISERROR(VLOOKUP(Base_Periodo1[[#This Row],[CONTA]],BaseContasDRE[#All],5,FALSE)),"Fora do DRE",VLOOKUP(Base_Periodo1[[#This Row],[CONTA]],BaseContasDRE[#All],6,FALSE))</f>
        <v>Fora do DRE</v>
      </c>
      <c r="U667" s="3" t="str">
        <f>IF(ISERROR(VLOOKUP(Base_Periodo1[[#This Row],[CONTA]],BaseContasDRE[#All],7,FALSE)),"Fora do DRE",VLOOKUP(Base_Periodo1[[#This Row],[CONTA]],BaseContasDRE[#All],7,FALSE))</f>
        <v>Fora do DRE</v>
      </c>
      <c r="V667" s="3" t="str">
        <f>IF(Base_Periodo1[[#This Row],[Tipo_Linha]]="Fora do DRE","Fora do DRE","( "&amp;Base_Periodo1[[#This Row],[Tipo_Linha]]&amp;" ) "&amp;Base_Periodo1[[#This Row],[Filtro]])</f>
        <v>Fora do DRE</v>
      </c>
      <c r="W667" s="3" t="str">
        <f>LEFT(Base_Periodo1[[#This Row],[CLASS]],3)</f>
        <v>1.1</v>
      </c>
    </row>
    <row r="668" spans="1:23" hidden="1">
      <c r="A668" s="3" t="str">
        <f t="shared" si="10"/>
        <v>Período 1</v>
      </c>
      <c r="B668">
        <v>54778</v>
      </c>
      <c r="C668" t="s">
        <v>503</v>
      </c>
      <c r="D668" t="s">
        <v>5164</v>
      </c>
      <c r="E668" s="3" t="str">
        <f>IF(LEN(Base_Periodo1[[#This Row],[CLASS]])&gt;=7,LEFT(Base_Periodo1[[#This Row],[CLASS]],7),"")</f>
        <v>1.1.2.1</v>
      </c>
      <c r="F668" s="3" t="str">
        <f>VLOOKUP(Base_Periodo1[[#This Row],[Aux]],Base_Contas_Balanco[#All],2,FALSE)</f>
        <v>Creditos com Cooperados</v>
      </c>
      <c r="G668" s="1">
        <v>42850</v>
      </c>
      <c r="H668" s="225">
        <v>6807.9999999999709</v>
      </c>
      <c r="I668" s="225">
        <v>0</v>
      </c>
      <c r="J668" s="225">
        <v>0</v>
      </c>
      <c r="K668" s="225">
        <v>6807.9999999999709</v>
      </c>
      <c r="L6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6808</v>
      </c>
      <c r="M668" s="225">
        <f>ROUND(IF(AND(Base_Periodo1[[#This Row],[Tipo_Linha]]="-",Base_Periodo1[[#This Row],[TIPOSALDO]]="D"),Base_Periodo1[[#This Row],[SALDO_ATUAL]]*-1,Base_Periodo1[[#This Row],[SALDO_ATUAL]]),4)</f>
        <v>6808</v>
      </c>
      <c r="N668" t="s">
        <v>116</v>
      </c>
      <c r="O668" t="s">
        <v>397</v>
      </c>
      <c r="P668" t="s">
        <v>397</v>
      </c>
      <c r="Q668">
        <v>7</v>
      </c>
      <c r="R668" s="225">
        <f>Base_Periodo1[[#This Row],[CREDITOS]]-Base_Periodo1[[#This Row],[DEBITOS]]</f>
        <v>0</v>
      </c>
      <c r="S668" s="3" t="str">
        <f>IF(ISERROR(VLOOKUP(Base_Periodo1[[#This Row],[CONTA]],BaseContasDRE[#All],4,FALSE)),"Fora do DRE",VLOOKUP(Base_Periodo1[[#This Row],[CONTA]],BaseContasDRE[#All],4,FALSE))</f>
        <v>Fora do DRE</v>
      </c>
      <c r="T668" s="3" t="str">
        <f>IF(ISERROR(VLOOKUP(Base_Periodo1[[#This Row],[CONTA]],BaseContasDRE[#All],5,FALSE)),"Fora do DRE",VLOOKUP(Base_Periodo1[[#This Row],[CONTA]],BaseContasDRE[#All],6,FALSE))</f>
        <v>Fora do DRE</v>
      </c>
      <c r="U668" s="3" t="str">
        <f>IF(ISERROR(VLOOKUP(Base_Periodo1[[#This Row],[CONTA]],BaseContasDRE[#All],7,FALSE)),"Fora do DRE",VLOOKUP(Base_Periodo1[[#This Row],[CONTA]],BaseContasDRE[#All],7,FALSE))</f>
        <v>Fora do DRE</v>
      </c>
      <c r="V668" s="3" t="str">
        <f>IF(Base_Periodo1[[#This Row],[Tipo_Linha]]="Fora do DRE","Fora do DRE","( "&amp;Base_Periodo1[[#This Row],[Tipo_Linha]]&amp;" ) "&amp;Base_Periodo1[[#This Row],[Filtro]])</f>
        <v>Fora do DRE</v>
      </c>
      <c r="W668" s="3" t="str">
        <f>LEFT(Base_Periodo1[[#This Row],[CLASS]],3)</f>
        <v>1.1</v>
      </c>
    </row>
    <row r="669" spans="1:23" hidden="1">
      <c r="A669" s="3" t="str">
        <f t="shared" si="10"/>
        <v>Período 1</v>
      </c>
      <c r="B669">
        <v>3084</v>
      </c>
      <c r="C669" t="s">
        <v>503</v>
      </c>
      <c r="D669" t="s">
        <v>6728</v>
      </c>
      <c r="E669" s="3" t="str">
        <f>IF(LEN(Base_Periodo1[[#This Row],[CLASS]])&gt;=7,LEFT(Base_Periodo1[[#This Row],[CLASS]],7),"")</f>
        <v>1.1.2.1</v>
      </c>
      <c r="F669" s="3" t="str">
        <f>VLOOKUP(Base_Periodo1[[#This Row],[Aux]],Base_Contas_Balanco[#All],2,FALSE)</f>
        <v>Creditos com Cooperados</v>
      </c>
      <c r="G669" s="1">
        <v>42858</v>
      </c>
      <c r="I669" s="225">
        <v>1125</v>
      </c>
      <c r="J669" s="225">
        <v>0</v>
      </c>
      <c r="K669" s="225">
        <v>1125.0000000001746</v>
      </c>
      <c r="L6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1125</v>
      </c>
      <c r="M669" s="225">
        <f>ROUND(IF(AND(Base_Periodo1[[#This Row],[Tipo_Linha]]="-",Base_Periodo1[[#This Row],[TIPOSALDO]]="D"),Base_Periodo1[[#This Row],[SALDO_ATUAL]]*-1,Base_Periodo1[[#This Row],[SALDO_ATUAL]]),4)</f>
        <v>1125</v>
      </c>
      <c r="N669" t="s">
        <v>116</v>
      </c>
      <c r="O669" t="s">
        <v>436</v>
      </c>
      <c r="P669" t="s">
        <v>397</v>
      </c>
      <c r="Q669">
        <v>7</v>
      </c>
      <c r="R669" s="225">
        <f>Base_Periodo1[[#This Row],[CREDITOS]]-Base_Periodo1[[#This Row],[DEBITOS]]</f>
        <v>-1125</v>
      </c>
      <c r="S669" s="3" t="str">
        <f>IF(ISERROR(VLOOKUP(Base_Periodo1[[#This Row],[CONTA]],BaseContasDRE[#All],4,FALSE)),"Fora do DRE",VLOOKUP(Base_Periodo1[[#This Row],[CONTA]],BaseContasDRE[#All],4,FALSE))</f>
        <v>Fora do DRE</v>
      </c>
      <c r="T669" s="3" t="str">
        <f>IF(ISERROR(VLOOKUP(Base_Periodo1[[#This Row],[CONTA]],BaseContasDRE[#All],5,FALSE)),"Fora do DRE",VLOOKUP(Base_Periodo1[[#This Row],[CONTA]],BaseContasDRE[#All],6,FALSE))</f>
        <v>Fora do DRE</v>
      </c>
      <c r="U669" s="3" t="str">
        <f>IF(ISERROR(VLOOKUP(Base_Periodo1[[#This Row],[CONTA]],BaseContasDRE[#All],7,FALSE)),"Fora do DRE",VLOOKUP(Base_Periodo1[[#This Row],[CONTA]],BaseContasDRE[#All],7,FALSE))</f>
        <v>Fora do DRE</v>
      </c>
      <c r="V669" s="3" t="str">
        <f>IF(Base_Periodo1[[#This Row],[Tipo_Linha]]="Fora do DRE","Fora do DRE","( "&amp;Base_Periodo1[[#This Row],[Tipo_Linha]]&amp;" ) "&amp;Base_Periodo1[[#This Row],[Filtro]])</f>
        <v>Fora do DRE</v>
      </c>
      <c r="W669" s="3" t="str">
        <f>LEFT(Base_Periodo1[[#This Row],[CLASS]],3)</f>
        <v>1.1</v>
      </c>
    </row>
    <row r="670" spans="1:23" hidden="1">
      <c r="A670" s="3" t="str">
        <f t="shared" si="10"/>
        <v>Período 1</v>
      </c>
      <c r="B670">
        <v>3788</v>
      </c>
      <c r="C670" t="s">
        <v>503</v>
      </c>
      <c r="D670" t="s">
        <v>837</v>
      </c>
      <c r="E670" s="3" t="str">
        <f>IF(LEN(Base_Periodo1[[#This Row],[CLASS]])&gt;=7,LEFT(Base_Periodo1[[#This Row],[CLASS]],7),"")</f>
        <v>1.1.2.1</v>
      </c>
      <c r="F670" s="3" t="str">
        <f>VLOOKUP(Base_Periodo1[[#This Row],[Aux]],Base_Contas_Balanco[#All],2,FALSE)</f>
        <v>Creditos com Cooperados</v>
      </c>
      <c r="G670" s="1">
        <v>42879</v>
      </c>
      <c r="H670" s="225">
        <v>39580.999999998137</v>
      </c>
      <c r="I670" s="225">
        <v>14539</v>
      </c>
      <c r="J670" s="225">
        <v>0</v>
      </c>
      <c r="K670" s="225">
        <v>54119.999999998137</v>
      </c>
      <c r="L6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54120</v>
      </c>
      <c r="M670" s="225">
        <f>ROUND(IF(AND(Base_Periodo1[[#This Row],[Tipo_Linha]]="-",Base_Periodo1[[#This Row],[TIPOSALDO]]="D"),Base_Periodo1[[#This Row],[SALDO_ATUAL]]*-1,Base_Periodo1[[#This Row],[SALDO_ATUAL]]),4)</f>
        <v>54120</v>
      </c>
      <c r="N670" t="s">
        <v>116</v>
      </c>
      <c r="O670" t="s">
        <v>397</v>
      </c>
      <c r="P670" t="s">
        <v>397</v>
      </c>
      <c r="Q670">
        <v>7</v>
      </c>
      <c r="R670" s="225">
        <f>Base_Periodo1[[#This Row],[CREDITOS]]-Base_Periodo1[[#This Row],[DEBITOS]]</f>
        <v>-14539</v>
      </c>
      <c r="S670" s="3" t="str">
        <f>IF(ISERROR(VLOOKUP(Base_Periodo1[[#This Row],[CONTA]],BaseContasDRE[#All],4,FALSE)),"Fora do DRE",VLOOKUP(Base_Periodo1[[#This Row],[CONTA]],BaseContasDRE[#All],4,FALSE))</f>
        <v>Fora do DRE</v>
      </c>
      <c r="T670" s="3" t="str">
        <f>IF(ISERROR(VLOOKUP(Base_Periodo1[[#This Row],[CONTA]],BaseContasDRE[#All],5,FALSE)),"Fora do DRE",VLOOKUP(Base_Periodo1[[#This Row],[CONTA]],BaseContasDRE[#All],6,FALSE))</f>
        <v>Fora do DRE</v>
      </c>
      <c r="U670" s="3" t="str">
        <f>IF(ISERROR(VLOOKUP(Base_Periodo1[[#This Row],[CONTA]],BaseContasDRE[#All],7,FALSE)),"Fora do DRE",VLOOKUP(Base_Periodo1[[#This Row],[CONTA]],BaseContasDRE[#All],7,FALSE))</f>
        <v>Fora do DRE</v>
      </c>
      <c r="V670" s="3" t="str">
        <f>IF(Base_Periodo1[[#This Row],[Tipo_Linha]]="Fora do DRE","Fora do DRE","( "&amp;Base_Periodo1[[#This Row],[Tipo_Linha]]&amp;" ) "&amp;Base_Periodo1[[#This Row],[Filtro]])</f>
        <v>Fora do DRE</v>
      </c>
      <c r="W670" s="3" t="str">
        <f>LEFT(Base_Periodo1[[#This Row],[CLASS]],3)</f>
        <v>1.1</v>
      </c>
    </row>
    <row r="671" spans="1:23" hidden="1">
      <c r="A671" s="3" t="str">
        <f t="shared" si="10"/>
        <v>Período 1</v>
      </c>
      <c r="B671">
        <v>2956</v>
      </c>
      <c r="C671" t="s">
        <v>503</v>
      </c>
      <c r="D671" t="s">
        <v>838</v>
      </c>
      <c r="E671" s="3" t="str">
        <f>IF(LEN(Base_Periodo1[[#This Row],[CLASS]])&gt;=7,LEFT(Base_Periodo1[[#This Row],[CLASS]],7),"")</f>
        <v>1.1.2.1</v>
      </c>
      <c r="F671" s="3" t="str">
        <f>VLOOKUP(Base_Periodo1[[#This Row],[Aux]],Base_Contas_Balanco[#All],2,FALSE)</f>
        <v>Creditos com Cooperados</v>
      </c>
      <c r="G671" s="1">
        <v>42885</v>
      </c>
      <c r="H671" s="225">
        <v>447848.95000000764</v>
      </c>
      <c r="I671" s="225">
        <v>130539.78</v>
      </c>
      <c r="J671" s="225">
        <v>490998.84</v>
      </c>
      <c r="K671" s="225">
        <v>87389.890000007639</v>
      </c>
      <c r="L6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87389.89</v>
      </c>
      <c r="M671" s="225">
        <f>ROUND(IF(AND(Base_Periodo1[[#This Row],[Tipo_Linha]]="-",Base_Periodo1[[#This Row],[TIPOSALDO]]="D"),Base_Periodo1[[#This Row],[SALDO_ATUAL]]*-1,Base_Periodo1[[#This Row],[SALDO_ATUAL]]),4)</f>
        <v>87389.89</v>
      </c>
      <c r="N671" t="s">
        <v>116</v>
      </c>
      <c r="O671" t="s">
        <v>397</v>
      </c>
      <c r="P671" t="s">
        <v>397</v>
      </c>
      <c r="Q671">
        <v>7</v>
      </c>
      <c r="R671" s="225">
        <f>Base_Periodo1[[#This Row],[CREDITOS]]-Base_Periodo1[[#This Row],[DEBITOS]]</f>
        <v>360459.06000000006</v>
      </c>
      <c r="S671" s="3" t="str">
        <f>IF(ISERROR(VLOOKUP(Base_Periodo1[[#This Row],[CONTA]],BaseContasDRE[#All],4,FALSE)),"Fora do DRE",VLOOKUP(Base_Periodo1[[#This Row],[CONTA]],BaseContasDRE[#All],4,FALSE))</f>
        <v>Fora do DRE</v>
      </c>
      <c r="T671" s="3" t="str">
        <f>IF(ISERROR(VLOOKUP(Base_Periodo1[[#This Row],[CONTA]],BaseContasDRE[#All],5,FALSE)),"Fora do DRE",VLOOKUP(Base_Periodo1[[#This Row],[CONTA]],BaseContasDRE[#All],6,FALSE))</f>
        <v>Fora do DRE</v>
      </c>
      <c r="U671" s="3" t="str">
        <f>IF(ISERROR(VLOOKUP(Base_Periodo1[[#This Row],[CONTA]],BaseContasDRE[#All],7,FALSE)),"Fora do DRE",VLOOKUP(Base_Periodo1[[#This Row],[CONTA]],BaseContasDRE[#All],7,FALSE))</f>
        <v>Fora do DRE</v>
      </c>
      <c r="V671" s="3" t="str">
        <f>IF(Base_Periodo1[[#This Row],[Tipo_Linha]]="Fora do DRE","Fora do DRE","( "&amp;Base_Periodo1[[#This Row],[Tipo_Linha]]&amp;" ) "&amp;Base_Periodo1[[#This Row],[Filtro]])</f>
        <v>Fora do DRE</v>
      </c>
      <c r="W671" s="3" t="str">
        <f>LEFT(Base_Periodo1[[#This Row],[CLASS]],3)</f>
        <v>1.1</v>
      </c>
    </row>
    <row r="672" spans="1:23" hidden="1">
      <c r="A672" s="3" t="str">
        <f t="shared" si="10"/>
        <v>Período 1</v>
      </c>
      <c r="B672">
        <v>47259</v>
      </c>
      <c r="C672" t="s">
        <v>503</v>
      </c>
      <c r="D672" t="s">
        <v>839</v>
      </c>
      <c r="E672" s="3" t="str">
        <f>IF(LEN(Base_Periodo1[[#This Row],[CLASS]])&gt;=7,LEFT(Base_Periodo1[[#This Row],[CLASS]],7),"")</f>
        <v>1.1.2.1</v>
      </c>
      <c r="F672" s="3" t="str">
        <f>VLOOKUP(Base_Periodo1[[#This Row],[Aux]],Base_Contas_Balanco[#All],2,FALSE)</f>
        <v>Creditos com Cooperados</v>
      </c>
      <c r="G672" s="1">
        <v>42878</v>
      </c>
      <c r="H672" s="225">
        <v>63207.61999999918</v>
      </c>
      <c r="I672" s="225">
        <v>38928.700000000004</v>
      </c>
      <c r="J672" s="225">
        <v>33098.92</v>
      </c>
      <c r="K672" s="225">
        <v>69037.399999999194</v>
      </c>
      <c r="L6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69037.399999999994</v>
      </c>
      <c r="M672" s="225">
        <f>ROUND(IF(AND(Base_Periodo1[[#This Row],[Tipo_Linha]]="-",Base_Periodo1[[#This Row],[TIPOSALDO]]="D"),Base_Periodo1[[#This Row],[SALDO_ATUAL]]*-1,Base_Periodo1[[#This Row],[SALDO_ATUAL]]),4)</f>
        <v>69037.399999999994</v>
      </c>
      <c r="N672" t="s">
        <v>116</v>
      </c>
      <c r="O672" t="s">
        <v>397</v>
      </c>
      <c r="P672" t="s">
        <v>397</v>
      </c>
      <c r="Q672">
        <v>7</v>
      </c>
      <c r="R672" s="225">
        <f>Base_Periodo1[[#This Row],[CREDITOS]]-Base_Periodo1[[#This Row],[DEBITOS]]</f>
        <v>-5829.7800000000061</v>
      </c>
      <c r="S672" s="3" t="str">
        <f>IF(ISERROR(VLOOKUP(Base_Periodo1[[#This Row],[CONTA]],BaseContasDRE[#All],4,FALSE)),"Fora do DRE",VLOOKUP(Base_Periodo1[[#This Row],[CONTA]],BaseContasDRE[#All],4,FALSE))</f>
        <v>Fora do DRE</v>
      </c>
      <c r="T672" s="3" t="str">
        <f>IF(ISERROR(VLOOKUP(Base_Periodo1[[#This Row],[CONTA]],BaseContasDRE[#All],5,FALSE)),"Fora do DRE",VLOOKUP(Base_Periodo1[[#This Row],[CONTA]],BaseContasDRE[#All],6,FALSE))</f>
        <v>Fora do DRE</v>
      </c>
      <c r="U672" s="3" t="str">
        <f>IF(ISERROR(VLOOKUP(Base_Periodo1[[#This Row],[CONTA]],BaseContasDRE[#All],7,FALSE)),"Fora do DRE",VLOOKUP(Base_Periodo1[[#This Row],[CONTA]],BaseContasDRE[#All],7,FALSE))</f>
        <v>Fora do DRE</v>
      </c>
      <c r="V672" s="3" t="str">
        <f>IF(Base_Periodo1[[#This Row],[Tipo_Linha]]="Fora do DRE","Fora do DRE","( "&amp;Base_Periodo1[[#This Row],[Tipo_Linha]]&amp;" ) "&amp;Base_Periodo1[[#This Row],[Filtro]])</f>
        <v>Fora do DRE</v>
      </c>
      <c r="W672" s="3" t="str">
        <f>LEFT(Base_Periodo1[[#This Row],[CLASS]],3)</f>
        <v>1.1</v>
      </c>
    </row>
    <row r="673" spans="1:23" hidden="1">
      <c r="A673" s="3" t="str">
        <f t="shared" si="10"/>
        <v>Período 1</v>
      </c>
      <c r="B673">
        <v>38722</v>
      </c>
      <c r="C673" t="s">
        <v>503</v>
      </c>
      <c r="D673" t="s">
        <v>840</v>
      </c>
      <c r="E673" s="3" t="str">
        <f>IF(LEN(Base_Periodo1[[#This Row],[CLASS]])&gt;=7,LEFT(Base_Periodo1[[#This Row],[CLASS]],7),"")</f>
        <v>1.1.2.1</v>
      </c>
      <c r="F673" s="3" t="str">
        <f>VLOOKUP(Base_Periodo1[[#This Row],[Aux]],Base_Contas_Balanco[#All],2,FALSE)</f>
        <v>Creditos com Cooperados</v>
      </c>
      <c r="G673" s="1">
        <v>42885</v>
      </c>
      <c r="H673" s="225">
        <v>260272.00000000012</v>
      </c>
      <c r="I673" s="225">
        <v>9790</v>
      </c>
      <c r="J673" s="225">
        <v>113531.00000000003</v>
      </c>
      <c r="K673" s="225">
        <v>156531.00000000009</v>
      </c>
      <c r="L6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156531</v>
      </c>
      <c r="M673" s="225">
        <f>ROUND(IF(AND(Base_Periodo1[[#This Row],[Tipo_Linha]]="-",Base_Periodo1[[#This Row],[TIPOSALDO]]="D"),Base_Periodo1[[#This Row],[SALDO_ATUAL]]*-1,Base_Periodo1[[#This Row],[SALDO_ATUAL]]),4)</f>
        <v>156531</v>
      </c>
      <c r="N673" t="s">
        <v>116</v>
      </c>
      <c r="O673" t="s">
        <v>397</v>
      </c>
      <c r="P673" t="s">
        <v>397</v>
      </c>
      <c r="Q673">
        <v>7</v>
      </c>
      <c r="R673" s="225">
        <f>Base_Periodo1[[#This Row],[CREDITOS]]-Base_Periodo1[[#This Row],[DEBITOS]]</f>
        <v>103741.00000000003</v>
      </c>
      <c r="S673" s="3" t="str">
        <f>IF(ISERROR(VLOOKUP(Base_Periodo1[[#This Row],[CONTA]],BaseContasDRE[#All],4,FALSE)),"Fora do DRE",VLOOKUP(Base_Periodo1[[#This Row],[CONTA]],BaseContasDRE[#All],4,FALSE))</f>
        <v>Fora do DRE</v>
      </c>
      <c r="T673" s="3" t="str">
        <f>IF(ISERROR(VLOOKUP(Base_Periodo1[[#This Row],[CONTA]],BaseContasDRE[#All],5,FALSE)),"Fora do DRE",VLOOKUP(Base_Periodo1[[#This Row],[CONTA]],BaseContasDRE[#All],6,FALSE))</f>
        <v>Fora do DRE</v>
      </c>
      <c r="U673" s="3" t="str">
        <f>IF(ISERROR(VLOOKUP(Base_Periodo1[[#This Row],[CONTA]],BaseContasDRE[#All],7,FALSE)),"Fora do DRE",VLOOKUP(Base_Periodo1[[#This Row],[CONTA]],BaseContasDRE[#All],7,FALSE))</f>
        <v>Fora do DRE</v>
      </c>
      <c r="V673" s="3" t="str">
        <f>IF(Base_Periodo1[[#This Row],[Tipo_Linha]]="Fora do DRE","Fora do DRE","( "&amp;Base_Periodo1[[#This Row],[Tipo_Linha]]&amp;" ) "&amp;Base_Periodo1[[#This Row],[Filtro]])</f>
        <v>Fora do DRE</v>
      </c>
      <c r="W673" s="3" t="str">
        <f>LEFT(Base_Periodo1[[#This Row],[CLASS]],3)</f>
        <v>1.1</v>
      </c>
    </row>
    <row r="674" spans="1:23" hidden="1">
      <c r="A674" s="3" t="str">
        <f t="shared" si="10"/>
        <v>Período 1</v>
      </c>
      <c r="B674">
        <v>3288</v>
      </c>
      <c r="C674" t="s">
        <v>503</v>
      </c>
      <c r="D674" t="s">
        <v>5487</v>
      </c>
      <c r="E674" s="3" t="str">
        <f>IF(LEN(Base_Periodo1[[#This Row],[CLASS]])&gt;=7,LEFT(Base_Periodo1[[#This Row],[CLASS]],7),"")</f>
        <v>1.1.2.1</v>
      </c>
      <c r="F674" s="3" t="str">
        <f>VLOOKUP(Base_Periodo1[[#This Row],[Aux]],Base_Contas_Balanco[#All],2,FALSE)</f>
        <v>Creditos com Cooperados</v>
      </c>
      <c r="G674" s="1">
        <v>42735</v>
      </c>
      <c r="H674" s="225">
        <v>9234.570000000298</v>
      </c>
      <c r="I674" s="225">
        <v>0</v>
      </c>
      <c r="J674" s="225">
        <v>0</v>
      </c>
      <c r="K674" s="225">
        <v>9234.570000000298</v>
      </c>
      <c r="L6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9234.57</v>
      </c>
      <c r="M674" s="225">
        <f>ROUND(IF(AND(Base_Periodo1[[#This Row],[Tipo_Linha]]="-",Base_Periodo1[[#This Row],[TIPOSALDO]]="D"),Base_Periodo1[[#This Row],[SALDO_ATUAL]]*-1,Base_Periodo1[[#This Row],[SALDO_ATUAL]]),4)</f>
        <v>9234.57</v>
      </c>
      <c r="N674" t="s">
        <v>116</v>
      </c>
      <c r="O674" t="s">
        <v>397</v>
      </c>
      <c r="P674" t="s">
        <v>397</v>
      </c>
      <c r="Q674">
        <v>7</v>
      </c>
      <c r="R674" s="225">
        <f>Base_Periodo1[[#This Row],[CREDITOS]]-Base_Periodo1[[#This Row],[DEBITOS]]</f>
        <v>0</v>
      </c>
      <c r="S674" s="3" t="str">
        <f>IF(ISERROR(VLOOKUP(Base_Periodo1[[#This Row],[CONTA]],BaseContasDRE[#All],4,FALSE)),"Fora do DRE",VLOOKUP(Base_Periodo1[[#This Row],[CONTA]],BaseContasDRE[#All],4,FALSE))</f>
        <v>Fora do DRE</v>
      </c>
      <c r="T674" s="3" t="str">
        <f>IF(ISERROR(VLOOKUP(Base_Periodo1[[#This Row],[CONTA]],BaseContasDRE[#All],5,FALSE)),"Fora do DRE",VLOOKUP(Base_Periodo1[[#This Row],[CONTA]],BaseContasDRE[#All],6,FALSE))</f>
        <v>Fora do DRE</v>
      </c>
      <c r="U674" s="3" t="str">
        <f>IF(ISERROR(VLOOKUP(Base_Periodo1[[#This Row],[CONTA]],BaseContasDRE[#All],7,FALSE)),"Fora do DRE",VLOOKUP(Base_Periodo1[[#This Row],[CONTA]],BaseContasDRE[#All],7,FALSE))</f>
        <v>Fora do DRE</v>
      </c>
      <c r="V674" s="3" t="str">
        <f>IF(Base_Periodo1[[#This Row],[Tipo_Linha]]="Fora do DRE","Fora do DRE","( "&amp;Base_Periodo1[[#This Row],[Tipo_Linha]]&amp;" ) "&amp;Base_Periodo1[[#This Row],[Filtro]])</f>
        <v>Fora do DRE</v>
      </c>
      <c r="W674" s="3" t="str">
        <f>LEFT(Base_Periodo1[[#This Row],[CLASS]],3)</f>
        <v>1.1</v>
      </c>
    </row>
    <row r="675" spans="1:23" hidden="1">
      <c r="A675" s="3" t="str">
        <f t="shared" si="10"/>
        <v>Período 1</v>
      </c>
      <c r="B675">
        <v>2392</v>
      </c>
      <c r="C675" t="s">
        <v>503</v>
      </c>
      <c r="D675" t="s">
        <v>841</v>
      </c>
      <c r="E675" s="3" t="str">
        <f>IF(LEN(Base_Periodo1[[#This Row],[CLASS]])&gt;=7,LEFT(Base_Periodo1[[#This Row],[CLASS]],7),"")</f>
        <v>1.1.2.1</v>
      </c>
      <c r="F675" s="3" t="str">
        <f>VLOOKUP(Base_Periodo1[[#This Row],[Aux]],Base_Contas_Balanco[#All],2,FALSE)</f>
        <v>Creditos com Cooperados</v>
      </c>
      <c r="G675" s="1">
        <v>42879</v>
      </c>
      <c r="H675" s="225">
        <v>13466.440000000061</v>
      </c>
      <c r="I675" s="225">
        <v>6856.22</v>
      </c>
      <c r="J675" s="225">
        <v>3106.5</v>
      </c>
      <c r="K675" s="225">
        <v>17216.160000000062</v>
      </c>
      <c r="L6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17216.16</v>
      </c>
      <c r="M675" s="225">
        <f>ROUND(IF(AND(Base_Periodo1[[#This Row],[Tipo_Linha]]="-",Base_Periodo1[[#This Row],[TIPOSALDO]]="D"),Base_Periodo1[[#This Row],[SALDO_ATUAL]]*-1,Base_Periodo1[[#This Row],[SALDO_ATUAL]]),4)</f>
        <v>17216.16</v>
      </c>
      <c r="N675" t="s">
        <v>116</v>
      </c>
      <c r="O675" t="s">
        <v>397</v>
      </c>
      <c r="P675" t="s">
        <v>397</v>
      </c>
      <c r="Q675">
        <v>7</v>
      </c>
      <c r="R675" s="225">
        <f>Base_Periodo1[[#This Row],[CREDITOS]]-Base_Periodo1[[#This Row],[DEBITOS]]</f>
        <v>-3749.7200000000003</v>
      </c>
      <c r="S675" s="3" t="str">
        <f>IF(ISERROR(VLOOKUP(Base_Periodo1[[#This Row],[CONTA]],BaseContasDRE[#All],4,FALSE)),"Fora do DRE",VLOOKUP(Base_Periodo1[[#This Row],[CONTA]],BaseContasDRE[#All],4,FALSE))</f>
        <v>Fora do DRE</v>
      </c>
      <c r="T675" s="3" t="str">
        <f>IF(ISERROR(VLOOKUP(Base_Periodo1[[#This Row],[CONTA]],BaseContasDRE[#All],5,FALSE)),"Fora do DRE",VLOOKUP(Base_Periodo1[[#This Row],[CONTA]],BaseContasDRE[#All],6,FALSE))</f>
        <v>Fora do DRE</v>
      </c>
      <c r="U675" s="3" t="str">
        <f>IF(ISERROR(VLOOKUP(Base_Periodo1[[#This Row],[CONTA]],BaseContasDRE[#All],7,FALSE)),"Fora do DRE",VLOOKUP(Base_Periodo1[[#This Row],[CONTA]],BaseContasDRE[#All],7,FALSE))</f>
        <v>Fora do DRE</v>
      </c>
      <c r="V675" s="3" t="str">
        <f>IF(Base_Periodo1[[#This Row],[Tipo_Linha]]="Fora do DRE","Fora do DRE","( "&amp;Base_Periodo1[[#This Row],[Tipo_Linha]]&amp;" ) "&amp;Base_Periodo1[[#This Row],[Filtro]])</f>
        <v>Fora do DRE</v>
      </c>
      <c r="W675" s="3" t="str">
        <f>LEFT(Base_Periodo1[[#This Row],[CLASS]],3)</f>
        <v>1.1</v>
      </c>
    </row>
    <row r="676" spans="1:23" hidden="1">
      <c r="A676" s="3" t="str">
        <f t="shared" si="10"/>
        <v>Período 1</v>
      </c>
      <c r="B676">
        <v>40069</v>
      </c>
      <c r="C676" t="s">
        <v>503</v>
      </c>
      <c r="D676" t="s">
        <v>5644</v>
      </c>
      <c r="E676" s="3" t="str">
        <f>IF(LEN(Base_Periodo1[[#This Row],[CLASS]])&gt;=7,LEFT(Base_Periodo1[[#This Row],[CLASS]],7),"")</f>
        <v>1.1.2.1</v>
      </c>
      <c r="F676" s="3" t="str">
        <f>VLOOKUP(Base_Periodo1[[#This Row],[Aux]],Base_Contas_Balanco[#All],2,FALSE)</f>
        <v>Creditos com Cooperados</v>
      </c>
      <c r="G676" s="1">
        <v>42858</v>
      </c>
      <c r="H676" s="225">
        <v>20984</v>
      </c>
      <c r="I676" s="225">
        <v>0</v>
      </c>
      <c r="J676" s="225">
        <v>20984</v>
      </c>
      <c r="K676" s="225">
        <v>0</v>
      </c>
      <c r="L6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76" s="225">
        <f>ROUND(IF(AND(Base_Periodo1[[#This Row],[Tipo_Linha]]="-",Base_Periodo1[[#This Row],[TIPOSALDO]]="D"),Base_Periodo1[[#This Row],[SALDO_ATUAL]]*-1,Base_Periodo1[[#This Row],[SALDO_ATUAL]]),4)</f>
        <v>0</v>
      </c>
      <c r="N676" t="s">
        <v>116</v>
      </c>
      <c r="O676" t="s">
        <v>397</v>
      </c>
      <c r="P676" t="s">
        <v>436</v>
      </c>
      <c r="Q676">
        <v>7</v>
      </c>
      <c r="R676" s="225">
        <f>Base_Periodo1[[#This Row],[CREDITOS]]-Base_Periodo1[[#This Row],[DEBITOS]]</f>
        <v>20984</v>
      </c>
      <c r="S676" s="3" t="str">
        <f>IF(ISERROR(VLOOKUP(Base_Periodo1[[#This Row],[CONTA]],BaseContasDRE[#All],4,FALSE)),"Fora do DRE",VLOOKUP(Base_Periodo1[[#This Row],[CONTA]],BaseContasDRE[#All],4,FALSE))</f>
        <v>Fora do DRE</v>
      </c>
      <c r="T676" s="3" t="str">
        <f>IF(ISERROR(VLOOKUP(Base_Periodo1[[#This Row],[CONTA]],BaseContasDRE[#All],5,FALSE)),"Fora do DRE",VLOOKUP(Base_Periodo1[[#This Row],[CONTA]],BaseContasDRE[#All],6,FALSE))</f>
        <v>Fora do DRE</v>
      </c>
      <c r="U676" s="3" t="str">
        <f>IF(ISERROR(VLOOKUP(Base_Periodo1[[#This Row],[CONTA]],BaseContasDRE[#All],7,FALSE)),"Fora do DRE",VLOOKUP(Base_Periodo1[[#This Row],[CONTA]],BaseContasDRE[#All],7,FALSE))</f>
        <v>Fora do DRE</v>
      </c>
      <c r="V676" s="3" t="str">
        <f>IF(Base_Periodo1[[#This Row],[Tipo_Linha]]="Fora do DRE","Fora do DRE","( "&amp;Base_Periodo1[[#This Row],[Tipo_Linha]]&amp;" ) "&amp;Base_Periodo1[[#This Row],[Filtro]])</f>
        <v>Fora do DRE</v>
      </c>
      <c r="W676" s="3" t="str">
        <f>LEFT(Base_Periodo1[[#This Row],[CLASS]],3)</f>
        <v>1.1</v>
      </c>
    </row>
    <row r="677" spans="1:23" hidden="1">
      <c r="A677" s="3" t="str">
        <f t="shared" si="10"/>
        <v>Período 1</v>
      </c>
      <c r="B677">
        <v>38948</v>
      </c>
      <c r="C677" t="s">
        <v>503</v>
      </c>
      <c r="D677" t="s">
        <v>842</v>
      </c>
      <c r="E677" s="3" t="str">
        <f>IF(LEN(Base_Periodo1[[#This Row],[CLASS]])&gt;=7,LEFT(Base_Periodo1[[#This Row],[CLASS]],7),"")</f>
        <v>1.1.2.1</v>
      </c>
      <c r="F677" s="3" t="str">
        <f>VLOOKUP(Base_Periodo1[[#This Row],[Aux]],Base_Contas_Balanco[#All],2,FALSE)</f>
        <v>Creditos com Cooperados</v>
      </c>
      <c r="G677" s="1">
        <v>42884</v>
      </c>
      <c r="H677" s="225">
        <v>39203.049999999988</v>
      </c>
      <c r="I677" s="225">
        <v>18100</v>
      </c>
      <c r="J677" s="225">
        <v>3763</v>
      </c>
      <c r="K677" s="225">
        <v>53540.049999999988</v>
      </c>
      <c r="L6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53540.05</v>
      </c>
      <c r="M677" s="225">
        <f>ROUND(IF(AND(Base_Periodo1[[#This Row],[Tipo_Linha]]="-",Base_Periodo1[[#This Row],[TIPOSALDO]]="D"),Base_Periodo1[[#This Row],[SALDO_ATUAL]]*-1,Base_Periodo1[[#This Row],[SALDO_ATUAL]]),4)</f>
        <v>53540.05</v>
      </c>
      <c r="N677" t="s">
        <v>116</v>
      </c>
      <c r="O677" t="s">
        <v>397</v>
      </c>
      <c r="P677" t="s">
        <v>397</v>
      </c>
      <c r="Q677">
        <v>7</v>
      </c>
      <c r="R677" s="225">
        <f>Base_Periodo1[[#This Row],[CREDITOS]]-Base_Periodo1[[#This Row],[DEBITOS]]</f>
        <v>-14337</v>
      </c>
      <c r="S677" s="3" t="str">
        <f>IF(ISERROR(VLOOKUP(Base_Periodo1[[#This Row],[CONTA]],BaseContasDRE[#All],4,FALSE)),"Fora do DRE",VLOOKUP(Base_Periodo1[[#This Row],[CONTA]],BaseContasDRE[#All],4,FALSE))</f>
        <v>Fora do DRE</v>
      </c>
      <c r="T677" s="3" t="str">
        <f>IF(ISERROR(VLOOKUP(Base_Periodo1[[#This Row],[CONTA]],BaseContasDRE[#All],5,FALSE)),"Fora do DRE",VLOOKUP(Base_Periodo1[[#This Row],[CONTA]],BaseContasDRE[#All],6,FALSE))</f>
        <v>Fora do DRE</v>
      </c>
      <c r="U677" s="3" t="str">
        <f>IF(ISERROR(VLOOKUP(Base_Periodo1[[#This Row],[CONTA]],BaseContasDRE[#All],7,FALSE)),"Fora do DRE",VLOOKUP(Base_Periodo1[[#This Row],[CONTA]],BaseContasDRE[#All],7,FALSE))</f>
        <v>Fora do DRE</v>
      </c>
      <c r="V677" s="3" t="str">
        <f>IF(Base_Periodo1[[#This Row],[Tipo_Linha]]="Fora do DRE","Fora do DRE","( "&amp;Base_Periodo1[[#This Row],[Tipo_Linha]]&amp;" ) "&amp;Base_Periodo1[[#This Row],[Filtro]])</f>
        <v>Fora do DRE</v>
      </c>
      <c r="W677" s="3" t="str">
        <f>LEFT(Base_Periodo1[[#This Row],[CLASS]],3)</f>
        <v>1.1</v>
      </c>
    </row>
    <row r="678" spans="1:23" hidden="1">
      <c r="A678" s="3" t="str">
        <f t="shared" si="10"/>
        <v>Período 1</v>
      </c>
      <c r="B678">
        <v>3660</v>
      </c>
      <c r="C678" t="s">
        <v>503</v>
      </c>
      <c r="D678" t="s">
        <v>843</v>
      </c>
      <c r="E678" s="3" t="str">
        <f>IF(LEN(Base_Periodo1[[#This Row],[CLASS]])&gt;=7,LEFT(Base_Periodo1[[#This Row],[CLASS]],7),"")</f>
        <v>1.1.2.1</v>
      </c>
      <c r="F678" s="3" t="str">
        <f>VLOOKUP(Base_Periodo1[[#This Row],[Aux]],Base_Contas_Balanco[#All],2,FALSE)</f>
        <v>Creditos com Cooperados</v>
      </c>
      <c r="G678" s="1">
        <v>42885</v>
      </c>
      <c r="H678" s="225">
        <v>99176.679999996908</v>
      </c>
      <c r="I678" s="225">
        <v>6511</v>
      </c>
      <c r="J678" s="225">
        <v>42402.000000000007</v>
      </c>
      <c r="K678" s="225">
        <v>63285.679999996901</v>
      </c>
      <c r="L6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63285.68</v>
      </c>
      <c r="M678" s="225">
        <f>ROUND(IF(AND(Base_Periodo1[[#This Row],[Tipo_Linha]]="-",Base_Periodo1[[#This Row],[TIPOSALDO]]="D"),Base_Periodo1[[#This Row],[SALDO_ATUAL]]*-1,Base_Periodo1[[#This Row],[SALDO_ATUAL]]),4)</f>
        <v>63285.68</v>
      </c>
      <c r="N678" t="s">
        <v>116</v>
      </c>
      <c r="O678" t="s">
        <v>397</v>
      </c>
      <c r="P678" t="s">
        <v>397</v>
      </c>
      <c r="Q678">
        <v>7</v>
      </c>
      <c r="R678" s="225">
        <f>Base_Periodo1[[#This Row],[CREDITOS]]-Base_Periodo1[[#This Row],[DEBITOS]]</f>
        <v>35891.000000000007</v>
      </c>
      <c r="S678" s="3" t="str">
        <f>IF(ISERROR(VLOOKUP(Base_Periodo1[[#This Row],[CONTA]],BaseContasDRE[#All],4,FALSE)),"Fora do DRE",VLOOKUP(Base_Periodo1[[#This Row],[CONTA]],BaseContasDRE[#All],4,FALSE))</f>
        <v>Fora do DRE</v>
      </c>
      <c r="T678" s="3" t="str">
        <f>IF(ISERROR(VLOOKUP(Base_Periodo1[[#This Row],[CONTA]],BaseContasDRE[#All],5,FALSE)),"Fora do DRE",VLOOKUP(Base_Periodo1[[#This Row],[CONTA]],BaseContasDRE[#All],6,FALSE))</f>
        <v>Fora do DRE</v>
      </c>
      <c r="U678" s="3" t="str">
        <f>IF(ISERROR(VLOOKUP(Base_Periodo1[[#This Row],[CONTA]],BaseContasDRE[#All],7,FALSE)),"Fora do DRE",VLOOKUP(Base_Periodo1[[#This Row],[CONTA]],BaseContasDRE[#All],7,FALSE))</f>
        <v>Fora do DRE</v>
      </c>
      <c r="V678" s="3" t="str">
        <f>IF(Base_Periodo1[[#This Row],[Tipo_Linha]]="Fora do DRE","Fora do DRE","( "&amp;Base_Periodo1[[#This Row],[Tipo_Linha]]&amp;" ) "&amp;Base_Periodo1[[#This Row],[Filtro]])</f>
        <v>Fora do DRE</v>
      </c>
      <c r="W678" s="3" t="str">
        <f>LEFT(Base_Periodo1[[#This Row],[CLASS]],3)</f>
        <v>1.1</v>
      </c>
    </row>
    <row r="679" spans="1:23" hidden="1">
      <c r="A679" s="3" t="str">
        <f t="shared" si="10"/>
        <v>Período 1</v>
      </c>
      <c r="B679">
        <v>6981</v>
      </c>
      <c r="C679" t="s">
        <v>503</v>
      </c>
      <c r="D679" t="s">
        <v>844</v>
      </c>
      <c r="E679" s="3" t="str">
        <f>IF(LEN(Base_Periodo1[[#This Row],[CLASS]])&gt;=7,LEFT(Base_Periodo1[[#This Row],[CLASS]],7),"")</f>
        <v>1.1.2.1</v>
      </c>
      <c r="F679" s="3" t="str">
        <f>VLOOKUP(Base_Periodo1[[#This Row],[Aux]],Base_Contas_Balanco[#All],2,FALSE)</f>
        <v>Creditos com Cooperados</v>
      </c>
      <c r="G679" s="1">
        <v>42851</v>
      </c>
      <c r="H679" s="225">
        <v>7.7899999998044223</v>
      </c>
      <c r="I679" s="225">
        <v>0</v>
      </c>
      <c r="J679" s="225">
        <v>0</v>
      </c>
      <c r="K679" s="225">
        <v>7.7899999998044223</v>
      </c>
      <c r="L6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7.79</v>
      </c>
      <c r="M679" s="225">
        <f>ROUND(IF(AND(Base_Periodo1[[#This Row],[Tipo_Linha]]="-",Base_Periodo1[[#This Row],[TIPOSALDO]]="D"),Base_Periodo1[[#This Row],[SALDO_ATUAL]]*-1,Base_Periodo1[[#This Row],[SALDO_ATUAL]]),4)</f>
        <v>7.79</v>
      </c>
      <c r="N679" t="s">
        <v>116</v>
      </c>
      <c r="O679" t="s">
        <v>397</v>
      </c>
      <c r="P679" t="s">
        <v>397</v>
      </c>
      <c r="Q679">
        <v>7</v>
      </c>
      <c r="R679" s="225">
        <f>Base_Periodo1[[#This Row],[CREDITOS]]-Base_Periodo1[[#This Row],[DEBITOS]]</f>
        <v>0</v>
      </c>
      <c r="S679" s="3" t="str">
        <f>IF(ISERROR(VLOOKUP(Base_Periodo1[[#This Row],[CONTA]],BaseContasDRE[#All],4,FALSE)),"Fora do DRE",VLOOKUP(Base_Periodo1[[#This Row],[CONTA]],BaseContasDRE[#All],4,FALSE))</f>
        <v>Fora do DRE</v>
      </c>
      <c r="T679" s="3" t="str">
        <f>IF(ISERROR(VLOOKUP(Base_Periodo1[[#This Row],[CONTA]],BaseContasDRE[#All],5,FALSE)),"Fora do DRE",VLOOKUP(Base_Periodo1[[#This Row],[CONTA]],BaseContasDRE[#All],6,FALSE))</f>
        <v>Fora do DRE</v>
      </c>
      <c r="U679" s="3" t="str">
        <f>IF(ISERROR(VLOOKUP(Base_Periodo1[[#This Row],[CONTA]],BaseContasDRE[#All],7,FALSE)),"Fora do DRE",VLOOKUP(Base_Periodo1[[#This Row],[CONTA]],BaseContasDRE[#All],7,FALSE))</f>
        <v>Fora do DRE</v>
      </c>
      <c r="V679" s="3" t="str">
        <f>IF(Base_Periodo1[[#This Row],[Tipo_Linha]]="Fora do DRE","Fora do DRE","( "&amp;Base_Periodo1[[#This Row],[Tipo_Linha]]&amp;" ) "&amp;Base_Periodo1[[#This Row],[Filtro]])</f>
        <v>Fora do DRE</v>
      </c>
      <c r="W679" s="3" t="str">
        <f>LEFT(Base_Periodo1[[#This Row],[CLASS]],3)</f>
        <v>1.1</v>
      </c>
    </row>
    <row r="680" spans="1:23" hidden="1">
      <c r="A680" s="3" t="str">
        <f t="shared" si="10"/>
        <v>Período 1</v>
      </c>
      <c r="B680">
        <v>37084</v>
      </c>
      <c r="C680" t="s">
        <v>503</v>
      </c>
      <c r="D680" t="s">
        <v>4600</v>
      </c>
      <c r="E680" s="3" t="str">
        <f>IF(LEN(Base_Periodo1[[#This Row],[CLASS]])&gt;=7,LEFT(Base_Periodo1[[#This Row],[CLASS]],7),"")</f>
        <v>1.1.2.1</v>
      </c>
      <c r="F680" s="3" t="str">
        <f>VLOOKUP(Base_Periodo1[[#This Row],[Aux]],Base_Contas_Balanco[#All],2,FALSE)</f>
        <v>Creditos com Cooperados</v>
      </c>
      <c r="G680" s="1">
        <v>42877</v>
      </c>
      <c r="H680" s="225">
        <v>22180.110000000008</v>
      </c>
      <c r="I680" s="225">
        <v>1550</v>
      </c>
      <c r="J680" s="225">
        <v>0</v>
      </c>
      <c r="K680" s="225">
        <v>23730.110000000008</v>
      </c>
      <c r="L6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23730.11</v>
      </c>
      <c r="M680" s="225">
        <f>ROUND(IF(AND(Base_Periodo1[[#This Row],[Tipo_Linha]]="-",Base_Periodo1[[#This Row],[TIPOSALDO]]="D"),Base_Periodo1[[#This Row],[SALDO_ATUAL]]*-1,Base_Periodo1[[#This Row],[SALDO_ATUAL]]),4)</f>
        <v>23730.11</v>
      </c>
      <c r="N680" t="s">
        <v>116</v>
      </c>
      <c r="O680" t="s">
        <v>397</v>
      </c>
      <c r="P680" t="s">
        <v>397</v>
      </c>
      <c r="Q680">
        <v>7</v>
      </c>
      <c r="R680" s="225">
        <f>Base_Periodo1[[#This Row],[CREDITOS]]-Base_Periodo1[[#This Row],[DEBITOS]]</f>
        <v>-1550</v>
      </c>
      <c r="S680" s="3" t="str">
        <f>IF(ISERROR(VLOOKUP(Base_Periodo1[[#This Row],[CONTA]],BaseContasDRE[#All],4,FALSE)),"Fora do DRE",VLOOKUP(Base_Periodo1[[#This Row],[CONTA]],BaseContasDRE[#All],4,FALSE))</f>
        <v>Fora do DRE</v>
      </c>
      <c r="T680" s="3" t="str">
        <f>IF(ISERROR(VLOOKUP(Base_Periodo1[[#This Row],[CONTA]],BaseContasDRE[#All],5,FALSE)),"Fora do DRE",VLOOKUP(Base_Periodo1[[#This Row],[CONTA]],BaseContasDRE[#All],6,FALSE))</f>
        <v>Fora do DRE</v>
      </c>
      <c r="U680" s="3" t="str">
        <f>IF(ISERROR(VLOOKUP(Base_Periodo1[[#This Row],[CONTA]],BaseContasDRE[#All],7,FALSE)),"Fora do DRE",VLOOKUP(Base_Periodo1[[#This Row],[CONTA]],BaseContasDRE[#All],7,FALSE))</f>
        <v>Fora do DRE</v>
      </c>
      <c r="V680" s="3" t="str">
        <f>IF(Base_Periodo1[[#This Row],[Tipo_Linha]]="Fora do DRE","Fora do DRE","( "&amp;Base_Periodo1[[#This Row],[Tipo_Linha]]&amp;" ) "&amp;Base_Periodo1[[#This Row],[Filtro]])</f>
        <v>Fora do DRE</v>
      </c>
      <c r="W680" s="3" t="str">
        <f>LEFT(Base_Periodo1[[#This Row],[CLASS]],3)</f>
        <v>1.1</v>
      </c>
    </row>
    <row r="681" spans="1:23" hidden="1">
      <c r="A681" s="3" t="str">
        <f t="shared" si="10"/>
        <v>Período 1</v>
      </c>
      <c r="B681">
        <v>52980</v>
      </c>
      <c r="C681" t="s">
        <v>503</v>
      </c>
      <c r="D681" t="s">
        <v>4822</v>
      </c>
      <c r="E681" s="3" t="str">
        <f>IF(LEN(Base_Periodo1[[#This Row],[CLASS]])&gt;=7,LEFT(Base_Periodo1[[#This Row],[CLASS]],7),"")</f>
        <v>1.1.2.1</v>
      </c>
      <c r="F681" s="3" t="str">
        <f>VLOOKUP(Base_Periodo1[[#This Row],[Aux]],Base_Contas_Balanco[#All],2,FALSE)</f>
        <v>Creditos com Cooperados</v>
      </c>
      <c r="G681" s="1">
        <v>42863</v>
      </c>
      <c r="H681" s="225">
        <v>226109.89999999997</v>
      </c>
      <c r="I681" s="225">
        <v>2671.21</v>
      </c>
      <c r="J681" s="225">
        <v>36050.239999999998</v>
      </c>
      <c r="K681" s="225">
        <v>192730.86999999997</v>
      </c>
      <c r="L6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192730.87</v>
      </c>
      <c r="M681" s="225">
        <f>ROUND(IF(AND(Base_Periodo1[[#This Row],[Tipo_Linha]]="-",Base_Periodo1[[#This Row],[TIPOSALDO]]="D"),Base_Periodo1[[#This Row],[SALDO_ATUAL]]*-1,Base_Periodo1[[#This Row],[SALDO_ATUAL]]),4)</f>
        <v>192730.87</v>
      </c>
      <c r="N681" t="s">
        <v>116</v>
      </c>
      <c r="O681" t="s">
        <v>397</v>
      </c>
      <c r="P681" t="s">
        <v>397</v>
      </c>
      <c r="Q681">
        <v>7</v>
      </c>
      <c r="R681" s="225">
        <f>Base_Periodo1[[#This Row],[CREDITOS]]-Base_Periodo1[[#This Row],[DEBITOS]]</f>
        <v>33379.03</v>
      </c>
      <c r="S681" s="3" t="str">
        <f>IF(ISERROR(VLOOKUP(Base_Periodo1[[#This Row],[CONTA]],BaseContasDRE[#All],4,FALSE)),"Fora do DRE",VLOOKUP(Base_Periodo1[[#This Row],[CONTA]],BaseContasDRE[#All],4,FALSE))</f>
        <v>Fora do DRE</v>
      </c>
      <c r="T681" s="3" t="str">
        <f>IF(ISERROR(VLOOKUP(Base_Periodo1[[#This Row],[CONTA]],BaseContasDRE[#All],5,FALSE)),"Fora do DRE",VLOOKUP(Base_Periodo1[[#This Row],[CONTA]],BaseContasDRE[#All],6,FALSE))</f>
        <v>Fora do DRE</v>
      </c>
      <c r="U681" s="3" t="str">
        <f>IF(ISERROR(VLOOKUP(Base_Periodo1[[#This Row],[CONTA]],BaseContasDRE[#All],7,FALSE)),"Fora do DRE",VLOOKUP(Base_Periodo1[[#This Row],[CONTA]],BaseContasDRE[#All],7,FALSE))</f>
        <v>Fora do DRE</v>
      </c>
      <c r="V681" s="3" t="str">
        <f>IF(Base_Periodo1[[#This Row],[Tipo_Linha]]="Fora do DRE","Fora do DRE","( "&amp;Base_Periodo1[[#This Row],[Tipo_Linha]]&amp;" ) "&amp;Base_Periodo1[[#This Row],[Filtro]])</f>
        <v>Fora do DRE</v>
      </c>
      <c r="W681" s="3" t="str">
        <f>LEFT(Base_Periodo1[[#This Row],[CLASS]],3)</f>
        <v>1.1</v>
      </c>
    </row>
    <row r="682" spans="1:23" hidden="1">
      <c r="A682" s="3" t="str">
        <f t="shared" si="10"/>
        <v>Período 1</v>
      </c>
      <c r="B682">
        <v>15090</v>
      </c>
      <c r="C682" t="s">
        <v>503</v>
      </c>
      <c r="D682" t="s">
        <v>845</v>
      </c>
      <c r="E682" s="3" t="str">
        <f>IF(LEN(Base_Periodo1[[#This Row],[CLASS]])&gt;=7,LEFT(Base_Periodo1[[#This Row],[CLASS]],7),"")</f>
        <v>1.1.2.1</v>
      </c>
      <c r="F682" s="3" t="str">
        <f>VLOOKUP(Base_Periodo1[[#This Row],[Aux]],Base_Contas_Balanco[#All],2,FALSE)</f>
        <v>Creditos com Cooperados</v>
      </c>
      <c r="G682" s="1">
        <v>42885</v>
      </c>
      <c r="H682" s="225">
        <v>129103.68999999994</v>
      </c>
      <c r="I682" s="225">
        <v>60802.31</v>
      </c>
      <c r="J682" s="225">
        <v>45904.31</v>
      </c>
      <c r="K682" s="225">
        <v>144001.68999999994</v>
      </c>
      <c r="L6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144001.69</v>
      </c>
      <c r="M682" s="225">
        <f>ROUND(IF(AND(Base_Periodo1[[#This Row],[Tipo_Linha]]="-",Base_Periodo1[[#This Row],[TIPOSALDO]]="D"),Base_Periodo1[[#This Row],[SALDO_ATUAL]]*-1,Base_Periodo1[[#This Row],[SALDO_ATUAL]]),4)</f>
        <v>144001.69</v>
      </c>
      <c r="N682" t="s">
        <v>116</v>
      </c>
      <c r="O682" t="s">
        <v>397</v>
      </c>
      <c r="P682" t="s">
        <v>397</v>
      </c>
      <c r="Q682">
        <v>7</v>
      </c>
      <c r="R682" s="225">
        <f>Base_Periodo1[[#This Row],[CREDITOS]]-Base_Periodo1[[#This Row],[DEBITOS]]</f>
        <v>-14898</v>
      </c>
      <c r="S682" s="3" t="str">
        <f>IF(ISERROR(VLOOKUP(Base_Periodo1[[#This Row],[CONTA]],BaseContasDRE[#All],4,FALSE)),"Fora do DRE",VLOOKUP(Base_Periodo1[[#This Row],[CONTA]],BaseContasDRE[#All],4,FALSE))</f>
        <v>Fora do DRE</v>
      </c>
      <c r="T682" s="3" t="str">
        <f>IF(ISERROR(VLOOKUP(Base_Periodo1[[#This Row],[CONTA]],BaseContasDRE[#All],5,FALSE)),"Fora do DRE",VLOOKUP(Base_Periodo1[[#This Row],[CONTA]],BaseContasDRE[#All],6,FALSE))</f>
        <v>Fora do DRE</v>
      </c>
      <c r="U682" s="3" t="str">
        <f>IF(ISERROR(VLOOKUP(Base_Periodo1[[#This Row],[CONTA]],BaseContasDRE[#All],7,FALSE)),"Fora do DRE",VLOOKUP(Base_Periodo1[[#This Row],[CONTA]],BaseContasDRE[#All],7,FALSE))</f>
        <v>Fora do DRE</v>
      </c>
      <c r="V682" s="3" t="str">
        <f>IF(Base_Periodo1[[#This Row],[Tipo_Linha]]="Fora do DRE","Fora do DRE","( "&amp;Base_Periodo1[[#This Row],[Tipo_Linha]]&amp;" ) "&amp;Base_Periodo1[[#This Row],[Filtro]])</f>
        <v>Fora do DRE</v>
      </c>
      <c r="W682" s="3" t="str">
        <f>LEFT(Base_Periodo1[[#This Row],[CLASS]],3)</f>
        <v>1.1</v>
      </c>
    </row>
    <row r="683" spans="1:23" hidden="1">
      <c r="A683" s="3" t="str">
        <f t="shared" si="10"/>
        <v>Período 1</v>
      </c>
      <c r="B683">
        <v>35088</v>
      </c>
      <c r="C683" t="s">
        <v>503</v>
      </c>
      <c r="D683" t="s">
        <v>5286</v>
      </c>
      <c r="E683" s="3" t="str">
        <f>IF(LEN(Base_Periodo1[[#This Row],[CLASS]])&gt;=7,LEFT(Base_Periodo1[[#This Row],[CLASS]],7),"")</f>
        <v>1.1.2.1</v>
      </c>
      <c r="F683" s="3" t="str">
        <f>VLOOKUP(Base_Periodo1[[#This Row],[Aux]],Base_Contas_Balanco[#All],2,FALSE)</f>
        <v>Creditos com Cooperados</v>
      </c>
      <c r="G683" s="1">
        <v>42860</v>
      </c>
      <c r="H683" s="225">
        <v>16040.310000000012</v>
      </c>
      <c r="I683" s="225">
        <v>1474.2200000000003</v>
      </c>
      <c r="J683" s="225">
        <v>11207.67</v>
      </c>
      <c r="K683" s="225">
        <v>6306.8600000000133</v>
      </c>
      <c r="L6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6306.86</v>
      </c>
      <c r="M683" s="225">
        <f>ROUND(IF(AND(Base_Periodo1[[#This Row],[Tipo_Linha]]="-",Base_Periodo1[[#This Row],[TIPOSALDO]]="D"),Base_Periodo1[[#This Row],[SALDO_ATUAL]]*-1,Base_Periodo1[[#This Row],[SALDO_ATUAL]]),4)</f>
        <v>6306.86</v>
      </c>
      <c r="N683" t="s">
        <v>116</v>
      </c>
      <c r="O683" t="s">
        <v>397</v>
      </c>
      <c r="P683" t="s">
        <v>397</v>
      </c>
      <c r="Q683">
        <v>7</v>
      </c>
      <c r="R683" s="225">
        <f>Base_Periodo1[[#This Row],[CREDITOS]]-Base_Periodo1[[#This Row],[DEBITOS]]</f>
        <v>9733.4500000000007</v>
      </c>
      <c r="S683" s="3" t="str">
        <f>IF(ISERROR(VLOOKUP(Base_Periodo1[[#This Row],[CONTA]],BaseContasDRE[#All],4,FALSE)),"Fora do DRE",VLOOKUP(Base_Periodo1[[#This Row],[CONTA]],BaseContasDRE[#All],4,FALSE))</f>
        <v>Fora do DRE</v>
      </c>
      <c r="T683" s="3" t="str">
        <f>IF(ISERROR(VLOOKUP(Base_Periodo1[[#This Row],[CONTA]],BaseContasDRE[#All],5,FALSE)),"Fora do DRE",VLOOKUP(Base_Periodo1[[#This Row],[CONTA]],BaseContasDRE[#All],6,FALSE))</f>
        <v>Fora do DRE</v>
      </c>
      <c r="U683" s="3" t="str">
        <f>IF(ISERROR(VLOOKUP(Base_Periodo1[[#This Row],[CONTA]],BaseContasDRE[#All],7,FALSE)),"Fora do DRE",VLOOKUP(Base_Periodo1[[#This Row],[CONTA]],BaseContasDRE[#All],7,FALSE))</f>
        <v>Fora do DRE</v>
      </c>
      <c r="V683" s="3" t="str">
        <f>IF(Base_Periodo1[[#This Row],[Tipo_Linha]]="Fora do DRE","Fora do DRE","( "&amp;Base_Periodo1[[#This Row],[Tipo_Linha]]&amp;" ) "&amp;Base_Periodo1[[#This Row],[Filtro]])</f>
        <v>Fora do DRE</v>
      </c>
      <c r="W683" s="3" t="str">
        <f>LEFT(Base_Periodo1[[#This Row],[CLASS]],3)</f>
        <v>1.1</v>
      </c>
    </row>
    <row r="684" spans="1:23" hidden="1">
      <c r="A684" s="3" t="str">
        <f t="shared" si="10"/>
        <v>Período 1</v>
      </c>
      <c r="B684">
        <v>6885</v>
      </c>
      <c r="C684" t="s">
        <v>503</v>
      </c>
      <c r="D684" t="s">
        <v>846</v>
      </c>
      <c r="E684" s="3" t="str">
        <f>IF(LEN(Base_Periodo1[[#This Row],[CLASS]])&gt;=7,LEFT(Base_Periodo1[[#This Row],[CLASS]],7),"")</f>
        <v>1.1.2.1</v>
      </c>
      <c r="F684" s="3" t="str">
        <f>VLOOKUP(Base_Periodo1[[#This Row],[Aux]],Base_Contas_Balanco[#All],2,FALSE)</f>
        <v>Creditos com Cooperados</v>
      </c>
      <c r="G684" s="1">
        <v>42761</v>
      </c>
      <c r="H684" s="225">
        <v>3164.0000000000582</v>
      </c>
      <c r="I684" s="225">
        <v>0</v>
      </c>
      <c r="J684" s="225">
        <v>0</v>
      </c>
      <c r="K684" s="225">
        <v>3164.0000000000582</v>
      </c>
      <c r="L6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3164</v>
      </c>
      <c r="M684" s="225">
        <f>ROUND(IF(AND(Base_Periodo1[[#This Row],[Tipo_Linha]]="-",Base_Periodo1[[#This Row],[TIPOSALDO]]="D"),Base_Periodo1[[#This Row],[SALDO_ATUAL]]*-1,Base_Periodo1[[#This Row],[SALDO_ATUAL]]),4)</f>
        <v>3164</v>
      </c>
      <c r="N684" t="s">
        <v>116</v>
      </c>
      <c r="O684" t="s">
        <v>397</v>
      </c>
      <c r="P684" t="s">
        <v>397</v>
      </c>
      <c r="Q684">
        <v>7</v>
      </c>
      <c r="R684" s="225">
        <f>Base_Periodo1[[#This Row],[CREDITOS]]-Base_Periodo1[[#This Row],[DEBITOS]]</f>
        <v>0</v>
      </c>
      <c r="S684" s="3" t="str">
        <f>IF(ISERROR(VLOOKUP(Base_Periodo1[[#This Row],[CONTA]],BaseContasDRE[#All],4,FALSE)),"Fora do DRE",VLOOKUP(Base_Periodo1[[#This Row],[CONTA]],BaseContasDRE[#All],4,FALSE))</f>
        <v>Fora do DRE</v>
      </c>
      <c r="T684" s="3" t="str">
        <f>IF(ISERROR(VLOOKUP(Base_Periodo1[[#This Row],[CONTA]],BaseContasDRE[#All],5,FALSE)),"Fora do DRE",VLOOKUP(Base_Periodo1[[#This Row],[CONTA]],BaseContasDRE[#All],6,FALSE))</f>
        <v>Fora do DRE</v>
      </c>
      <c r="U684" s="3" t="str">
        <f>IF(ISERROR(VLOOKUP(Base_Periodo1[[#This Row],[CONTA]],BaseContasDRE[#All],7,FALSE)),"Fora do DRE",VLOOKUP(Base_Periodo1[[#This Row],[CONTA]],BaseContasDRE[#All],7,FALSE))</f>
        <v>Fora do DRE</v>
      </c>
      <c r="V684" s="3" t="str">
        <f>IF(Base_Periodo1[[#This Row],[Tipo_Linha]]="Fora do DRE","Fora do DRE","( "&amp;Base_Periodo1[[#This Row],[Tipo_Linha]]&amp;" ) "&amp;Base_Periodo1[[#This Row],[Filtro]])</f>
        <v>Fora do DRE</v>
      </c>
      <c r="W684" s="3" t="str">
        <f>LEFT(Base_Periodo1[[#This Row],[CLASS]],3)</f>
        <v>1.1</v>
      </c>
    </row>
    <row r="685" spans="1:23" hidden="1">
      <c r="A685" s="3" t="str">
        <f t="shared" si="10"/>
        <v>Período 1</v>
      </c>
      <c r="B685">
        <v>3384</v>
      </c>
      <c r="C685" t="s">
        <v>503</v>
      </c>
      <c r="D685" t="s">
        <v>6135</v>
      </c>
      <c r="E685" s="3" t="str">
        <f>IF(LEN(Base_Periodo1[[#This Row],[CLASS]])&gt;=7,LEFT(Base_Periodo1[[#This Row],[CLASS]],7),"")</f>
        <v>1.1.2.1</v>
      </c>
      <c r="F685" s="3" t="str">
        <f>VLOOKUP(Base_Periodo1[[#This Row],[Aux]],Base_Contas_Balanco[#All],2,FALSE)</f>
        <v>Creditos com Cooperados</v>
      </c>
      <c r="G685" s="1">
        <v>42865</v>
      </c>
      <c r="H685" s="225">
        <v>4140.0000000001164</v>
      </c>
      <c r="I685" s="225">
        <v>0</v>
      </c>
      <c r="J685" s="225">
        <v>4140</v>
      </c>
      <c r="K685" s="225">
        <v>1.1641532182693481E-10</v>
      </c>
      <c r="L6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85" s="225">
        <f>ROUND(IF(AND(Base_Periodo1[[#This Row],[Tipo_Linha]]="-",Base_Periodo1[[#This Row],[TIPOSALDO]]="D"),Base_Periodo1[[#This Row],[SALDO_ATUAL]]*-1,Base_Periodo1[[#This Row],[SALDO_ATUAL]]),4)</f>
        <v>0</v>
      </c>
      <c r="N685" t="s">
        <v>116</v>
      </c>
      <c r="O685" t="s">
        <v>397</v>
      </c>
      <c r="P685" t="s">
        <v>436</v>
      </c>
      <c r="Q685">
        <v>7</v>
      </c>
      <c r="R685" s="225">
        <f>Base_Periodo1[[#This Row],[CREDITOS]]-Base_Periodo1[[#This Row],[DEBITOS]]</f>
        <v>4140</v>
      </c>
      <c r="S685" s="3" t="str">
        <f>IF(ISERROR(VLOOKUP(Base_Periodo1[[#This Row],[CONTA]],BaseContasDRE[#All],4,FALSE)),"Fora do DRE",VLOOKUP(Base_Periodo1[[#This Row],[CONTA]],BaseContasDRE[#All],4,FALSE))</f>
        <v>Fora do DRE</v>
      </c>
      <c r="T685" s="3" t="str">
        <f>IF(ISERROR(VLOOKUP(Base_Periodo1[[#This Row],[CONTA]],BaseContasDRE[#All],5,FALSE)),"Fora do DRE",VLOOKUP(Base_Periodo1[[#This Row],[CONTA]],BaseContasDRE[#All],6,FALSE))</f>
        <v>Fora do DRE</v>
      </c>
      <c r="U685" s="3" t="str">
        <f>IF(ISERROR(VLOOKUP(Base_Periodo1[[#This Row],[CONTA]],BaseContasDRE[#All],7,FALSE)),"Fora do DRE",VLOOKUP(Base_Periodo1[[#This Row],[CONTA]],BaseContasDRE[#All],7,FALSE))</f>
        <v>Fora do DRE</v>
      </c>
      <c r="V685" s="3" t="str">
        <f>IF(Base_Periodo1[[#This Row],[Tipo_Linha]]="Fora do DRE","Fora do DRE","( "&amp;Base_Periodo1[[#This Row],[Tipo_Linha]]&amp;" ) "&amp;Base_Periodo1[[#This Row],[Filtro]])</f>
        <v>Fora do DRE</v>
      </c>
      <c r="W685" s="3" t="str">
        <f>LEFT(Base_Periodo1[[#This Row],[CLASS]],3)</f>
        <v>1.1</v>
      </c>
    </row>
    <row r="686" spans="1:23" hidden="1">
      <c r="A686" s="3" t="str">
        <f t="shared" si="10"/>
        <v>Período 1</v>
      </c>
      <c r="B686">
        <v>2880</v>
      </c>
      <c r="C686" t="s">
        <v>503</v>
      </c>
      <c r="D686" t="s">
        <v>6729</v>
      </c>
      <c r="E686" s="3" t="str">
        <f>IF(LEN(Base_Periodo1[[#This Row],[CLASS]])&gt;=7,LEFT(Base_Periodo1[[#This Row],[CLASS]],7),"")</f>
        <v>1.1.2.1</v>
      </c>
      <c r="F686" s="3" t="str">
        <f>VLOOKUP(Base_Periodo1[[#This Row],[Aux]],Base_Contas_Balanco[#All],2,FALSE)</f>
        <v>Creditos com Cooperados</v>
      </c>
      <c r="G686" s="1">
        <v>42885</v>
      </c>
      <c r="I686" s="225">
        <v>26357.72</v>
      </c>
      <c r="J686" s="225">
        <v>26357.72</v>
      </c>
      <c r="K686" s="225">
        <v>1.4551915228366852E-11</v>
      </c>
      <c r="L6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86" s="225">
        <f>ROUND(IF(AND(Base_Periodo1[[#This Row],[Tipo_Linha]]="-",Base_Periodo1[[#This Row],[TIPOSALDO]]="D"),Base_Periodo1[[#This Row],[SALDO_ATUAL]]*-1,Base_Periodo1[[#This Row],[SALDO_ATUAL]]),4)</f>
        <v>0</v>
      </c>
      <c r="N686" t="s">
        <v>116</v>
      </c>
      <c r="O686" t="s">
        <v>436</v>
      </c>
      <c r="P686" t="s">
        <v>436</v>
      </c>
      <c r="Q686">
        <v>7</v>
      </c>
      <c r="R686" s="225">
        <f>Base_Periodo1[[#This Row],[CREDITOS]]-Base_Periodo1[[#This Row],[DEBITOS]]</f>
        <v>0</v>
      </c>
      <c r="S686" s="3" t="str">
        <f>IF(ISERROR(VLOOKUP(Base_Periodo1[[#This Row],[CONTA]],BaseContasDRE[#All],4,FALSE)),"Fora do DRE",VLOOKUP(Base_Periodo1[[#This Row],[CONTA]],BaseContasDRE[#All],4,FALSE))</f>
        <v>Fora do DRE</v>
      </c>
      <c r="T686" s="3" t="str">
        <f>IF(ISERROR(VLOOKUP(Base_Periodo1[[#This Row],[CONTA]],BaseContasDRE[#All],5,FALSE)),"Fora do DRE",VLOOKUP(Base_Periodo1[[#This Row],[CONTA]],BaseContasDRE[#All],6,FALSE))</f>
        <v>Fora do DRE</v>
      </c>
      <c r="U686" s="3" t="str">
        <f>IF(ISERROR(VLOOKUP(Base_Periodo1[[#This Row],[CONTA]],BaseContasDRE[#All],7,FALSE)),"Fora do DRE",VLOOKUP(Base_Periodo1[[#This Row],[CONTA]],BaseContasDRE[#All],7,FALSE))</f>
        <v>Fora do DRE</v>
      </c>
      <c r="V686" s="3" t="str">
        <f>IF(Base_Periodo1[[#This Row],[Tipo_Linha]]="Fora do DRE","Fora do DRE","( "&amp;Base_Periodo1[[#This Row],[Tipo_Linha]]&amp;" ) "&amp;Base_Periodo1[[#This Row],[Filtro]])</f>
        <v>Fora do DRE</v>
      </c>
      <c r="W686" s="3" t="str">
        <f>LEFT(Base_Periodo1[[#This Row],[CLASS]],3)</f>
        <v>1.1</v>
      </c>
    </row>
    <row r="687" spans="1:23" hidden="1">
      <c r="A687" s="3" t="str">
        <f t="shared" si="10"/>
        <v>Período 1</v>
      </c>
      <c r="B687">
        <v>4632</v>
      </c>
      <c r="C687" t="s">
        <v>503</v>
      </c>
      <c r="D687" t="s">
        <v>848</v>
      </c>
      <c r="E687" s="3" t="str">
        <f>IF(LEN(Base_Periodo1[[#This Row],[CLASS]])&gt;=7,LEFT(Base_Periodo1[[#This Row],[CLASS]],7),"")</f>
        <v>1.1.2.1</v>
      </c>
      <c r="F687" s="3" t="str">
        <f>VLOOKUP(Base_Periodo1[[#This Row],[Aux]],Base_Contas_Balanco[#All],2,FALSE)</f>
        <v>Creditos com Cooperados</v>
      </c>
      <c r="G687" s="1">
        <v>42872</v>
      </c>
      <c r="H687" s="225">
        <v>1701.5499999998719</v>
      </c>
      <c r="I687" s="225">
        <v>18.84</v>
      </c>
      <c r="J687" s="225">
        <v>1725.98</v>
      </c>
      <c r="K687" s="225">
        <v>5.5900000001281569</v>
      </c>
      <c r="L6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-5.59</v>
      </c>
      <c r="M687" s="225">
        <f>ROUND(IF(AND(Base_Periodo1[[#This Row],[Tipo_Linha]]="-",Base_Periodo1[[#This Row],[TIPOSALDO]]="D"),Base_Periodo1[[#This Row],[SALDO_ATUAL]]*-1,Base_Periodo1[[#This Row],[SALDO_ATUAL]]),4)</f>
        <v>5.59</v>
      </c>
      <c r="N687" t="s">
        <v>116</v>
      </c>
      <c r="O687" t="s">
        <v>397</v>
      </c>
      <c r="P687" t="s">
        <v>459</v>
      </c>
      <c r="Q687">
        <v>7</v>
      </c>
      <c r="R687" s="225">
        <f>Base_Periodo1[[#This Row],[CREDITOS]]-Base_Periodo1[[#This Row],[DEBITOS]]</f>
        <v>1707.14</v>
      </c>
      <c r="S687" s="3" t="str">
        <f>IF(ISERROR(VLOOKUP(Base_Periodo1[[#This Row],[CONTA]],BaseContasDRE[#All],4,FALSE)),"Fora do DRE",VLOOKUP(Base_Periodo1[[#This Row],[CONTA]],BaseContasDRE[#All],4,FALSE))</f>
        <v>Fora do DRE</v>
      </c>
      <c r="T687" s="3" t="str">
        <f>IF(ISERROR(VLOOKUP(Base_Periodo1[[#This Row],[CONTA]],BaseContasDRE[#All],5,FALSE)),"Fora do DRE",VLOOKUP(Base_Periodo1[[#This Row],[CONTA]],BaseContasDRE[#All],6,FALSE))</f>
        <v>Fora do DRE</v>
      </c>
      <c r="U687" s="3" t="str">
        <f>IF(ISERROR(VLOOKUP(Base_Periodo1[[#This Row],[CONTA]],BaseContasDRE[#All],7,FALSE)),"Fora do DRE",VLOOKUP(Base_Periodo1[[#This Row],[CONTA]],BaseContasDRE[#All],7,FALSE))</f>
        <v>Fora do DRE</v>
      </c>
      <c r="V687" s="3" t="str">
        <f>IF(Base_Periodo1[[#This Row],[Tipo_Linha]]="Fora do DRE","Fora do DRE","( "&amp;Base_Periodo1[[#This Row],[Tipo_Linha]]&amp;" ) "&amp;Base_Periodo1[[#This Row],[Filtro]])</f>
        <v>Fora do DRE</v>
      </c>
      <c r="W687" s="3" t="str">
        <f>LEFT(Base_Periodo1[[#This Row],[CLASS]],3)</f>
        <v>1.1</v>
      </c>
    </row>
    <row r="688" spans="1:23" hidden="1">
      <c r="A688" s="3" t="str">
        <f t="shared" si="10"/>
        <v>Período 1</v>
      </c>
      <c r="B688">
        <v>15680</v>
      </c>
      <c r="C688" t="s">
        <v>503</v>
      </c>
      <c r="D688" t="s">
        <v>4823</v>
      </c>
      <c r="E688" s="3" t="str">
        <f>IF(LEN(Base_Periodo1[[#This Row],[CLASS]])&gt;=7,LEFT(Base_Periodo1[[#This Row],[CLASS]],7),"")</f>
        <v>1.1.2.1</v>
      </c>
      <c r="F688" s="3" t="str">
        <f>VLOOKUP(Base_Periodo1[[#This Row],[Aux]],Base_Contas_Balanco[#All],2,FALSE)</f>
        <v>Creditos com Cooperados</v>
      </c>
      <c r="G688" s="1">
        <v>42828</v>
      </c>
      <c r="H688" s="225">
        <v>1630</v>
      </c>
      <c r="I688" s="225">
        <v>0</v>
      </c>
      <c r="J688" s="225">
        <v>0</v>
      </c>
      <c r="K688" s="225">
        <v>1630</v>
      </c>
      <c r="L6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1630</v>
      </c>
      <c r="M688" s="225">
        <f>ROUND(IF(AND(Base_Periodo1[[#This Row],[Tipo_Linha]]="-",Base_Periodo1[[#This Row],[TIPOSALDO]]="D"),Base_Periodo1[[#This Row],[SALDO_ATUAL]]*-1,Base_Periodo1[[#This Row],[SALDO_ATUAL]]),4)</f>
        <v>1630</v>
      </c>
      <c r="N688" t="s">
        <v>116</v>
      </c>
      <c r="O688" t="s">
        <v>397</v>
      </c>
      <c r="P688" t="s">
        <v>397</v>
      </c>
      <c r="Q688">
        <v>7</v>
      </c>
      <c r="R688" s="225">
        <f>Base_Periodo1[[#This Row],[CREDITOS]]-Base_Periodo1[[#This Row],[DEBITOS]]</f>
        <v>0</v>
      </c>
      <c r="S688" s="3" t="str">
        <f>IF(ISERROR(VLOOKUP(Base_Periodo1[[#This Row],[CONTA]],BaseContasDRE[#All],4,FALSE)),"Fora do DRE",VLOOKUP(Base_Periodo1[[#This Row],[CONTA]],BaseContasDRE[#All],4,FALSE))</f>
        <v>Fora do DRE</v>
      </c>
      <c r="T688" s="3" t="str">
        <f>IF(ISERROR(VLOOKUP(Base_Periodo1[[#This Row],[CONTA]],BaseContasDRE[#All],5,FALSE)),"Fora do DRE",VLOOKUP(Base_Periodo1[[#This Row],[CONTA]],BaseContasDRE[#All],6,FALSE))</f>
        <v>Fora do DRE</v>
      </c>
      <c r="U688" s="3" t="str">
        <f>IF(ISERROR(VLOOKUP(Base_Periodo1[[#This Row],[CONTA]],BaseContasDRE[#All],7,FALSE)),"Fora do DRE",VLOOKUP(Base_Periodo1[[#This Row],[CONTA]],BaseContasDRE[#All],7,FALSE))</f>
        <v>Fora do DRE</v>
      </c>
      <c r="V688" s="3" t="str">
        <f>IF(Base_Periodo1[[#This Row],[Tipo_Linha]]="Fora do DRE","Fora do DRE","( "&amp;Base_Periodo1[[#This Row],[Tipo_Linha]]&amp;" ) "&amp;Base_Periodo1[[#This Row],[Filtro]])</f>
        <v>Fora do DRE</v>
      </c>
      <c r="W688" s="3" t="str">
        <f>LEFT(Base_Periodo1[[#This Row],[CLASS]],3)</f>
        <v>1.1</v>
      </c>
    </row>
    <row r="689" spans="1:23" hidden="1">
      <c r="A689" s="3" t="str">
        <f t="shared" si="10"/>
        <v>Período 1</v>
      </c>
      <c r="B689">
        <v>3664</v>
      </c>
      <c r="C689" t="s">
        <v>503</v>
      </c>
      <c r="D689" t="s">
        <v>849</v>
      </c>
      <c r="E689" s="3" t="str">
        <f>IF(LEN(Base_Periodo1[[#This Row],[CLASS]])&gt;=7,LEFT(Base_Periodo1[[#This Row],[CLASS]],7),"")</f>
        <v>1.1.2.1</v>
      </c>
      <c r="F689" s="3" t="str">
        <f>VLOOKUP(Base_Periodo1[[#This Row],[Aux]],Base_Contas_Balanco[#All],2,FALSE)</f>
        <v>Creditos com Cooperados</v>
      </c>
      <c r="G689" s="1">
        <v>42885</v>
      </c>
      <c r="H689" s="225">
        <v>118951.08999999985</v>
      </c>
      <c r="I689" s="225">
        <v>125044</v>
      </c>
      <c r="J689" s="225">
        <v>213965.09000000003</v>
      </c>
      <c r="K689" s="225">
        <v>30029.999999999825</v>
      </c>
      <c r="L6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30030</v>
      </c>
      <c r="M689" s="225">
        <f>ROUND(IF(AND(Base_Periodo1[[#This Row],[Tipo_Linha]]="-",Base_Periodo1[[#This Row],[TIPOSALDO]]="D"),Base_Periodo1[[#This Row],[SALDO_ATUAL]]*-1,Base_Periodo1[[#This Row],[SALDO_ATUAL]]),4)</f>
        <v>30030</v>
      </c>
      <c r="N689" t="s">
        <v>116</v>
      </c>
      <c r="O689" t="s">
        <v>397</v>
      </c>
      <c r="P689" t="s">
        <v>397</v>
      </c>
      <c r="Q689">
        <v>7</v>
      </c>
      <c r="R689" s="225">
        <f>Base_Periodo1[[#This Row],[CREDITOS]]-Base_Periodo1[[#This Row],[DEBITOS]]</f>
        <v>88921.090000000026</v>
      </c>
      <c r="S689" s="3" t="str">
        <f>IF(ISERROR(VLOOKUP(Base_Periodo1[[#This Row],[CONTA]],BaseContasDRE[#All],4,FALSE)),"Fora do DRE",VLOOKUP(Base_Periodo1[[#This Row],[CONTA]],BaseContasDRE[#All],4,FALSE))</f>
        <v>Fora do DRE</v>
      </c>
      <c r="T689" s="3" t="str">
        <f>IF(ISERROR(VLOOKUP(Base_Periodo1[[#This Row],[CONTA]],BaseContasDRE[#All],5,FALSE)),"Fora do DRE",VLOOKUP(Base_Periodo1[[#This Row],[CONTA]],BaseContasDRE[#All],6,FALSE))</f>
        <v>Fora do DRE</v>
      </c>
      <c r="U689" s="3" t="str">
        <f>IF(ISERROR(VLOOKUP(Base_Periodo1[[#This Row],[CONTA]],BaseContasDRE[#All],7,FALSE)),"Fora do DRE",VLOOKUP(Base_Periodo1[[#This Row],[CONTA]],BaseContasDRE[#All],7,FALSE))</f>
        <v>Fora do DRE</v>
      </c>
      <c r="V689" s="3" t="str">
        <f>IF(Base_Periodo1[[#This Row],[Tipo_Linha]]="Fora do DRE","Fora do DRE","( "&amp;Base_Periodo1[[#This Row],[Tipo_Linha]]&amp;" ) "&amp;Base_Periodo1[[#This Row],[Filtro]])</f>
        <v>Fora do DRE</v>
      </c>
      <c r="W689" s="3" t="str">
        <f>LEFT(Base_Periodo1[[#This Row],[CLASS]],3)</f>
        <v>1.1</v>
      </c>
    </row>
    <row r="690" spans="1:23" hidden="1">
      <c r="A690" s="3" t="str">
        <f t="shared" si="10"/>
        <v>Período 1</v>
      </c>
      <c r="B690">
        <v>12963</v>
      </c>
      <c r="C690" t="s">
        <v>503</v>
      </c>
      <c r="D690" t="s">
        <v>5857</v>
      </c>
      <c r="E690" s="3" t="str">
        <f>IF(LEN(Base_Periodo1[[#This Row],[CLASS]])&gt;=7,LEFT(Base_Periodo1[[#This Row],[CLASS]],7),"")</f>
        <v>1.1.2.1</v>
      </c>
      <c r="F690" s="3" t="str">
        <f>VLOOKUP(Base_Periodo1[[#This Row],[Aux]],Base_Contas_Balanco[#All],2,FALSE)</f>
        <v>Creditos com Cooperados</v>
      </c>
      <c r="G690" s="1">
        <v>42865</v>
      </c>
      <c r="H690" s="225">
        <v>180</v>
      </c>
      <c r="I690" s="225">
        <v>2</v>
      </c>
      <c r="J690" s="225">
        <v>182</v>
      </c>
      <c r="K690" s="225">
        <v>0</v>
      </c>
      <c r="L6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90" s="225">
        <f>ROUND(IF(AND(Base_Periodo1[[#This Row],[Tipo_Linha]]="-",Base_Periodo1[[#This Row],[TIPOSALDO]]="D"),Base_Periodo1[[#This Row],[SALDO_ATUAL]]*-1,Base_Periodo1[[#This Row],[SALDO_ATUAL]]),4)</f>
        <v>0</v>
      </c>
      <c r="N690" t="s">
        <v>116</v>
      </c>
      <c r="O690" t="s">
        <v>397</v>
      </c>
      <c r="P690" t="s">
        <v>436</v>
      </c>
      <c r="Q690">
        <v>7</v>
      </c>
      <c r="R690" s="225">
        <f>Base_Periodo1[[#This Row],[CREDITOS]]-Base_Periodo1[[#This Row],[DEBITOS]]</f>
        <v>180</v>
      </c>
      <c r="S690" s="3" t="str">
        <f>IF(ISERROR(VLOOKUP(Base_Periodo1[[#This Row],[CONTA]],BaseContasDRE[#All],4,FALSE)),"Fora do DRE",VLOOKUP(Base_Periodo1[[#This Row],[CONTA]],BaseContasDRE[#All],4,FALSE))</f>
        <v>Fora do DRE</v>
      </c>
      <c r="T690" s="3" t="str">
        <f>IF(ISERROR(VLOOKUP(Base_Periodo1[[#This Row],[CONTA]],BaseContasDRE[#All],5,FALSE)),"Fora do DRE",VLOOKUP(Base_Periodo1[[#This Row],[CONTA]],BaseContasDRE[#All],6,FALSE))</f>
        <v>Fora do DRE</v>
      </c>
      <c r="U690" s="3" t="str">
        <f>IF(ISERROR(VLOOKUP(Base_Periodo1[[#This Row],[CONTA]],BaseContasDRE[#All],7,FALSE)),"Fora do DRE",VLOOKUP(Base_Periodo1[[#This Row],[CONTA]],BaseContasDRE[#All],7,FALSE))</f>
        <v>Fora do DRE</v>
      </c>
      <c r="V690" s="3" t="str">
        <f>IF(Base_Periodo1[[#This Row],[Tipo_Linha]]="Fora do DRE","Fora do DRE","( "&amp;Base_Periodo1[[#This Row],[Tipo_Linha]]&amp;" ) "&amp;Base_Periodo1[[#This Row],[Filtro]])</f>
        <v>Fora do DRE</v>
      </c>
      <c r="W690" s="3" t="str">
        <f>LEFT(Base_Periodo1[[#This Row],[CLASS]],3)</f>
        <v>1.1</v>
      </c>
    </row>
    <row r="691" spans="1:23" hidden="1">
      <c r="A691" s="3" t="str">
        <f t="shared" si="10"/>
        <v>Período 1</v>
      </c>
      <c r="B691">
        <v>13084</v>
      </c>
      <c r="C691" t="s">
        <v>503</v>
      </c>
      <c r="D691" t="s">
        <v>850</v>
      </c>
      <c r="E691" s="3" t="str">
        <f>IF(LEN(Base_Periodo1[[#This Row],[CLASS]])&gt;=7,LEFT(Base_Periodo1[[#This Row],[CLASS]],7),"")</f>
        <v>1.1.2.1</v>
      </c>
      <c r="F691" s="3" t="str">
        <f>VLOOKUP(Base_Periodo1[[#This Row],[Aux]],Base_Contas_Balanco[#All],2,FALSE)</f>
        <v>Creditos com Cooperados</v>
      </c>
      <c r="G691" s="1">
        <v>42877</v>
      </c>
      <c r="H691" s="225">
        <v>0.33999999999650754</v>
      </c>
      <c r="I691" s="225">
        <v>5026.4500000000007</v>
      </c>
      <c r="J691" s="225">
        <v>0</v>
      </c>
      <c r="K691" s="225">
        <v>5026.1100000000042</v>
      </c>
      <c r="L6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5026.1099999999997</v>
      </c>
      <c r="M691" s="225">
        <f>ROUND(IF(AND(Base_Periodo1[[#This Row],[Tipo_Linha]]="-",Base_Periodo1[[#This Row],[TIPOSALDO]]="D"),Base_Periodo1[[#This Row],[SALDO_ATUAL]]*-1,Base_Periodo1[[#This Row],[SALDO_ATUAL]]),4)</f>
        <v>5026.1099999999997</v>
      </c>
      <c r="N691" t="s">
        <v>116</v>
      </c>
      <c r="O691" t="s">
        <v>459</v>
      </c>
      <c r="P691" t="s">
        <v>397</v>
      </c>
      <c r="Q691">
        <v>7</v>
      </c>
      <c r="R691" s="225">
        <f>Base_Periodo1[[#This Row],[CREDITOS]]-Base_Periodo1[[#This Row],[DEBITOS]]</f>
        <v>-5026.4500000000007</v>
      </c>
      <c r="S691" s="3" t="str">
        <f>IF(ISERROR(VLOOKUP(Base_Periodo1[[#This Row],[CONTA]],BaseContasDRE[#All],4,FALSE)),"Fora do DRE",VLOOKUP(Base_Periodo1[[#This Row],[CONTA]],BaseContasDRE[#All],4,FALSE))</f>
        <v>Fora do DRE</v>
      </c>
      <c r="T691" s="3" t="str">
        <f>IF(ISERROR(VLOOKUP(Base_Periodo1[[#This Row],[CONTA]],BaseContasDRE[#All],5,FALSE)),"Fora do DRE",VLOOKUP(Base_Periodo1[[#This Row],[CONTA]],BaseContasDRE[#All],6,FALSE))</f>
        <v>Fora do DRE</v>
      </c>
      <c r="U691" s="3" t="str">
        <f>IF(ISERROR(VLOOKUP(Base_Periodo1[[#This Row],[CONTA]],BaseContasDRE[#All],7,FALSE)),"Fora do DRE",VLOOKUP(Base_Periodo1[[#This Row],[CONTA]],BaseContasDRE[#All],7,FALSE))</f>
        <v>Fora do DRE</v>
      </c>
      <c r="V691" s="3" t="str">
        <f>IF(Base_Periodo1[[#This Row],[Tipo_Linha]]="Fora do DRE","Fora do DRE","( "&amp;Base_Periodo1[[#This Row],[Tipo_Linha]]&amp;" ) "&amp;Base_Periodo1[[#This Row],[Filtro]])</f>
        <v>Fora do DRE</v>
      </c>
      <c r="W691" s="3" t="str">
        <f>LEFT(Base_Periodo1[[#This Row],[CLASS]],3)</f>
        <v>1.1</v>
      </c>
    </row>
    <row r="692" spans="1:23" hidden="1">
      <c r="A692" s="3" t="str">
        <f t="shared" si="10"/>
        <v>Período 1</v>
      </c>
      <c r="B692">
        <v>53249</v>
      </c>
      <c r="C692" t="s">
        <v>503</v>
      </c>
      <c r="D692" t="s">
        <v>4824</v>
      </c>
      <c r="E692" s="3" t="str">
        <f>IF(LEN(Base_Periodo1[[#This Row],[CLASS]])&gt;=7,LEFT(Base_Periodo1[[#This Row],[CLASS]],7),"")</f>
        <v>1.1.2.1</v>
      </c>
      <c r="F692" s="3" t="str">
        <f>VLOOKUP(Base_Periodo1[[#This Row],[Aux]],Base_Contas_Balanco[#All],2,FALSE)</f>
        <v>Creditos com Cooperados</v>
      </c>
      <c r="G692" s="1">
        <v>42810</v>
      </c>
      <c r="H692" s="225">
        <v>11684.570000000298</v>
      </c>
      <c r="I692" s="225">
        <v>0</v>
      </c>
      <c r="J692" s="225">
        <v>0</v>
      </c>
      <c r="K692" s="225">
        <v>11684.570000000298</v>
      </c>
      <c r="L6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11684.57</v>
      </c>
      <c r="M692" s="225">
        <f>ROUND(IF(AND(Base_Periodo1[[#This Row],[Tipo_Linha]]="-",Base_Periodo1[[#This Row],[TIPOSALDO]]="D"),Base_Periodo1[[#This Row],[SALDO_ATUAL]]*-1,Base_Periodo1[[#This Row],[SALDO_ATUAL]]),4)</f>
        <v>11684.57</v>
      </c>
      <c r="N692" t="s">
        <v>116</v>
      </c>
      <c r="O692" t="s">
        <v>397</v>
      </c>
      <c r="P692" t="s">
        <v>397</v>
      </c>
      <c r="Q692">
        <v>7</v>
      </c>
      <c r="R692" s="225">
        <f>Base_Periodo1[[#This Row],[CREDITOS]]-Base_Periodo1[[#This Row],[DEBITOS]]</f>
        <v>0</v>
      </c>
      <c r="S692" s="3" t="str">
        <f>IF(ISERROR(VLOOKUP(Base_Periodo1[[#This Row],[CONTA]],BaseContasDRE[#All],4,FALSE)),"Fora do DRE",VLOOKUP(Base_Periodo1[[#This Row],[CONTA]],BaseContasDRE[#All],4,FALSE))</f>
        <v>Fora do DRE</v>
      </c>
      <c r="T692" s="3" t="str">
        <f>IF(ISERROR(VLOOKUP(Base_Periodo1[[#This Row],[CONTA]],BaseContasDRE[#All],5,FALSE)),"Fora do DRE",VLOOKUP(Base_Periodo1[[#This Row],[CONTA]],BaseContasDRE[#All],6,FALSE))</f>
        <v>Fora do DRE</v>
      </c>
      <c r="U692" s="3" t="str">
        <f>IF(ISERROR(VLOOKUP(Base_Periodo1[[#This Row],[CONTA]],BaseContasDRE[#All],7,FALSE)),"Fora do DRE",VLOOKUP(Base_Periodo1[[#This Row],[CONTA]],BaseContasDRE[#All],7,FALSE))</f>
        <v>Fora do DRE</v>
      </c>
      <c r="V692" s="3" t="str">
        <f>IF(Base_Periodo1[[#This Row],[Tipo_Linha]]="Fora do DRE","Fora do DRE","( "&amp;Base_Periodo1[[#This Row],[Tipo_Linha]]&amp;" ) "&amp;Base_Periodo1[[#This Row],[Filtro]])</f>
        <v>Fora do DRE</v>
      </c>
      <c r="W692" s="3" t="str">
        <f>LEFT(Base_Periodo1[[#This Row],[CLASS]],3)</f>
        <v>1.1</v>
      </c>
    </row>
    <row r="693" spans="1:23" hidden="1">
      <c r="A693" s="3" t="str">
        <f t="shared" si="10"/>
        <v>Período 1</v>
      </c>
      <c r="B693">
        <v>16989</v>
      </c>
      <c r="C693" t="s">
        <v>503</v>
      </c>
      <c r="D693" t="s">
        <v>6730</v>
      </c>
      <c r="E693" s="3" t="str">
        <f>IF(LEN(Base_Periodo1[[#This Row],[CLASS]])&gt;=7,LEFT(Base_Periodo1[[#This Row],[CLASS]],7),"")</f>
        <v>1.1.2.1</v>
      </c>
      <c r="F693" s="3" t="str">
        <f>VLOOKUP(Base_Periodo1[[#This Row],[Aux]],Base_Contas_Balanco[#All],2,FALSE)</f>
        <v>Creditos com Cooperados</v>
      </c>
      <c r="G693" s="1">
        <v>42884</v>
      </c>
      <c r="I693" s="225">
        <v>4281.8100000000004</v>
      </c>
      <c r="J693" s="225">
        <v>4281.8100000000004</v>
      </c>
      <c r="K693" s="225">
        <v>0</v>
      </c>
      <c r="L6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93" s="225">
        <f>ROUND(IF(AND(Base_Periodo1[[#This Row],[Tipo_Linha]]="-",Base_Periodo1[[#This Row],[TIPOSALDO]]="D"),Base_Periodo1[[#This Row],[SALDO_ATUAL]]*-1,Base_Periodo1[[#This Row],[SALDO_ATUAL]]),4)</f>
        <v>0</v>
      </c>
      <c r="N693" t="s">
        <v>116</v>
      </c>
      <c r="O693" t="s">
        <v>436</v>
      </c>
      <c r="P693" t="s">
        <v>436</v>
      </c>
      <c r="Q693">
        <v>7</v>
      </c>
      <c r="R693" s="225">
        <f>Base_Periodo1[[#This Row],[CREDITOS]]-Base_Periodo1[[#This Row],[DEBITOS]]</f>
        <v>0</v>
      </c>
      <c r="S693" s="3" t="str">
        <f>IF(ISERROR(VLOOKUP(Base_Periodo1[[#This Row],[CONTA]],BaseContasDRE[#All],4,FALSE)),"Fora do DRE",VLOOKUP(Base_Periodo1[[#This Row],[CONTA]],BaseContasDRE[#All],4,FALSE))</f>
        <v>Fora do DRE</v>
      </c>
      <c r="T693" s="3" t="str">
        <f>IF(ISERROR(VLOOKUP(Base_Periodo1[[#This Row],[CONTA]],BaseContasDRE[#All],5,FALSE)),"Fora do DRE",VLOOKUP(Base_Periodo1[[#This Row],[CONTA]],BaseContasDRE[#All],6,FALSE))</f>
        <v>Fora do DRE</v>
      </c>
      <c r="U693" s="3" t="str">
        <f>IF(ISERROR(VLOOKUP(Base_Periodo1[[#This Row],[CONTA]],BaseContasDRE[#All],7,FALSE)),"Fora do DRE",VLOOKUP(Base_Periodo1[[#This Row],[CONTA]],BaseContasDRE[#All],7,FALSE))</f>
        <v>Fora do DRE</v>
      </c>
      <c r="V693" s="3" t="str">
        <f>IF(Base_Periodo1[[#This Row],[Tipo_Linha]]="Fora do DRE","Fora do DRE","( "&amp;Base_Periodo1[[#This Row],[Tipo_Linha]]&amp;" ) "&amp;Base_Periodo1[[#This Row],[Filtro]])</f>
        <v>Fora do DRE</v>
      </c>
      <c r="W693" s="3" t="str">
        <f>LEFT(Base_Periodo1[[#This Row],[CLASS]],3)</f>
        <v>1.1</v>
      </c>
    </row>
    <row r="694" spans="1:23" hidden="1">
      <c r="A694" s="3" t="str">
        <f t="shared" si="10"/>
        <v>Período 1</v>
      </c>
      <c r="B694">
        <v>40286</v>
      </c>
      <c r="C694" t="s">
        <v>503</v>
      </c>
      <c r="D694" t="s">
        <v>6731</v>
      </c>
      <c r="E694" s="3" t="str">
        <f>IF(LEN(Base_Periodo1[[#This Row],[CLASS]])&gt;=7,LEFT(Base_Periodo1[[#This Row],[CLASS]],7),"")</f>
        <v>1.1.2.1</v>
      </c>
      <c r="F694" s="3" t="str">
        <f>VLOOKUP(Base_Periodo1[[#This Row],[Aux]],Base_Contas_Balanco[#All],2,FALSE)</f>
        <v>Creditos com Cooperados</v>
      </c>
      <c r="G694" s="1">
        <v>42879</v>
      </c>
      <c r="I694" s="225">
        <v>2160</v>
      </c>
      <c r="J694" s="225">
        <v>0</v>
      </c>
      <c r="K694" s="225">
        <v>2159.9999999999927</v>
      </c>
      <c r="L6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2160</v>
      </c>
      <c r="M694" s="225">
        <f>ROUND(IF(AND(Base_Periodo1[[#This Row],[Tipo_Linha]]="-",Base_Periodo1[[#This Row],[TIPOSALDO]]="D"),Base_Periodo1[[#This Row],[SALDO_ATUAL]]*-1,Base_Periodo1[[#This Row],[SALDO_ATUAL]]),4)</f>
        <v>2160</v>
      </c>
      <c r="N694" t="s">
        <v>116</v>
      </c>
      <c r="O694" t="s">
        <v>436</v>
      </c>
      <c r="P694" t="s">
        <v>397</v>
      </c>
      <c r="Q694">
        <v>7</v>
      </c>
      <c r="R694" s="225">
        <f>Base_Periodo1[[#This Row],[CREDITOS]]-Base_Periodo1[[#This Row],[DEBITOS]]</f>
        <v>-2160</v>
      </c>
      <c r="S694" s="3" t="str">
        <f>IF(ISERROR(VLOOKUP(Base_Periodo1[[#This Row],[CONTA]],BaseContasDRE[#All],4,FALSE)),"Fora do DRE",VLOOKUP(Base_Periodo1[[#This Row],[CONTA]],BaseContasDRE[#All],4,FALSE))</f>
        <v>Fora do DRE</v>
      </c>
      <c r="T694" s="3" t="str">
        <f>IF(ISERROR(VLOOKUP(Base_Periodo1[[#This Row],[CONTA]],BaseContasDRE[#All],5,FALSE)),"Fora do DRE",VLOOKUP(Base_Periodo1[[#This Row],[CONTA]],BaseContasDRE[#All],6,FALSE))</f>
        <v>Fora do DRE</v>
      </c>
      <c r="U694" s="3" t="str">
        <f>IF(ISERROR(VLOOKUP(Base_Periodo1[[#This Row],[CONTA]],BaseContasDRE[#All],7,FALSE)),"Fora do DRE",VLOOKUP(Base_Periodo1[[#This Row],[CONTA]],BaseContasDRE[#All],7,FALSE))</f>
        <v>Fora do DRE</v>
      </c>
      <c r="V694" s="3" t="str">
        <f>IF(Base_Periodo1[[#This Row],[Tipo_Linha]]="Fora do DRE","Fora do DRE","( "&amp;Base_Periodo1[[#This Row],[Tipo_Linha]]&amp;" ) "&amp;Base_Periodo1[[#This Row],[Filtro]])</f>
        <v>Fora do DRE</v>
      </c>
      <c r="W694" s="3" t="str">
        <f>LEFT(Base_Periodo1[[#This Row],[CLASS]],3)</f>
        <v>1.1</v>
      </c>
    </row>
    <row r="695" spans="1:23" hidden="1">
      <c r="A695" s="3" t="str">
        <f t="shared" si="10"/>
        <v>Período 1</v>
      </c>
      <c r="B695">
        <v>47279</v>
      </c>
      <c r="C695" t="s">
        <v>503</v>
      </c>
      <c r="D695" t="s">
        <v>851</v>
      </c>
      <c r="E695" s="3" t="str">
        <f>IF(LEN(Base_Periodo1[[#This Row],[CLASS]])&gt;=7,LEFT(Base_Periodo1[[#This Row],[CLASS]],7),"")</f>
        <v>1.1.2.1</v>
      </c>
      <c r="F695" s="3" t="str">
        <f>VLOOKUP(Base_Periodo1[[#This Row],[Aux]],Base_Contas_Balanco[#All],2,FALSE)</f>
        <v>Creditos com Cooperados</v>
      </c>
      <c r="G695" s="1">
        <v>42880</v>
      </c>
      <c r="H695" s="225">
        <v>6976.7999999999884</v>
      </c>
      <c r="I695" s="225">
        <v>550.78</v>
      </c>
      <c r="J695" s="225">
        <v>2995.7799999999997</v>
      </c>
      <c r="K695" s="225">
        <v>4531.7999999999884</v>
      </c>
      <c r="L6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4531.8</v>
      </c>
      <c r="M695" s="225">
        <f>ROUND(IF(AND(Base_Periodo1[[#This Row],[Tipo_Linha]]="-",Base_Periodo1[[#This Row],[TIPOSALDO]]="D"),Base_Periodo1[[#This Row],[SALDO_ATUAL]]*-1,Base_Periodo1[[#This Row],[SALDO_ATUAL]]),4)</f>
        <v>4531.8</v>
      </c>
      <c r="N695" t="s">
        <v>116</v>
      </c>
      <c r="O695" t="s">
        <v>397</v>
      </c>
      <c r="P695" t="s">
        <v>397</v>
      </c>
      <c r="Q695">
        <v>7</v>
      </c>
      <c r="R695" s="225">
        <f>Base_Periodo1[[#This Row],[CREDITOS]]-Base_Periodo1[[#This Row],[DEBITOS]]</f>
        <v>2445</v>
      </c>
      <c r="S695" s="3" t="str">
        <f>IF(ISERROR(VLOOKUP(Base_Periodo1[[#This Row],[CONTA]],BaseContasDRE[#All],4,FALSE)),"Fora do DRE",VLOOKUP(Base_Periodo1[[#This Row],[CONTA]],BaseContasDRE[#All],4,FALSE))</f>
        <v>Fora do DRE</v>
      </c>
      <c r="T695" s="3" t="str">
        <f>IF(ISERROR(VLOOKUP(Base_Periodo1[[#This Row],[CONTA]],BaseContasDRE[#All],5,FALSE)),"Fora do DRE",VLOOKUP(Base_Periodo1[[#This Row],[CONTA]],BaseContasDRE[#All],6,FALSE))</f>
        <v>Fora do DRE</v>
      </c>
      <c r="U695" s="3" t="str">
        <f>IF(ISERROR(VLOOKUP(Base_Periodo1[[#This Row],[CONTA]],BaseContasDRE[#All],7,FALSE)),"Fora do DRE",VLOOKUP(Base_Periodo1[[#This Row],[CONTA]],BaseContasDRE[#All],7,FALSE))</f>
        <v>Fora do DRE</v>
      </c>
      <c r="V695" s="3" t="str">
        <f>IF(Base_Periodo1[[#This Row],[Tipo_Linha]]="Fora do DRE","Fora do DRE","( "&amp;Base_Periodo1[[#This Row],[Tipo_Linha]]&amp;" ) "&amp;Base_Periodo1[[#This Row],[Filtro]])</f>
        <v>Fora do DRE</v>
      </c>
      <c r="W695" s="3" t="str">
        <f>LEFT(Base_Periodo1[[#This Row],[CLASS]],3)</f>
        <v>1.1</v>
      </c>
    </row>
    <row r="696" spans="1:23" hidden="1">
      <c r="A696" s="3" t="str">
        <f t="shared" si="10"/>
        <v>Período 1</v>
      </c>
      <c r="B696">
        <v>53571</v>
      </c>
      <c r="C696" t="s">
        <v>503</v>
      </c>
      <c r="D696" t="s">
        <v>4775</v>
      </c>
      <c r="E696" s="3" t="str">
        <f>IF(LEN(Base_Periodo1[[#This Row],[CLASS]])&gt;=7,LEFT(Base_Periodo1[[#This Row],[CLASS]],7),"")</f>
        <v>1.1.2.1</v>
      </c>
      <c r="F696" s="3" t="str">
        <f>VLOOKUP(Base_Periodo1[[#This Row],[Aux]],Base_Contas_Balanco[#All],2,FALSE)</f>
        <v>Creditos com Cooperados</v>
      </c>
      <c r="G696" s="1">
        <v>42881</v>
      </c>
      <c r="I696" s="225">
        <v>577.4</v>
      </c>
      <c r="J696" s="225">
        <v>0</v>
      </c>
      <c r="K696" s="225">
        <v>577.4</v>
      </c>
      <c r="L6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577.4</v>
      </c>
      <c r="M696" s="225">
        <f>ROUND(IF(AND(Base_Periodo1[[#This Row],[Tipo_Linha]]="-",Base_Periodo1[[#This Row],[TIPOSALDO]]="D"),Base_Periodo1[[#This Row],[SALDO_ATUAL]]*-1,Base_Periodo1[[#This Row],[SALDO_ATUAL]]),4)</f>
        <v>577.4</v>
      </c>
      <c r="N696" t="s">
        <v>116</v>
      </c>
      <c r="O696" t="s">
        <v>436</v>
      </c>
      <c r="P696" t="s">
        <v>397</v>
      </c>
      <c r="Q696">
        <v>7</v>
      </c>
      <c r="R696" s="225">
        <f>Base_Periodo1[[#This Row],[CREDITOS]]-Base_Periodo1[[#This Row],[DEBITOS]]</f>
        <v>-577.4</v>
      </c>
      <c r="S696" s="3" t="str">
        <f>IF(ISERROR(VLOOKUP(Base_Periodo1[[#This Row],[CONTA]],BaseContasDRE[#All],4,FALSE)),"Fora do DRE",VLOOKUP(Base_Periodo1[[#This Row],[CONTA]],BaseContasDRE[#All],4,FALSE))</f>
        <v>Fora do DRE</v>
      </c>
      <c r="T696" s="3" t="str">
        <f>IF(ISERROR(VLOOKUP(Base_Periodo1[[#This Row],[CONTA]],BaseContasDRE[#All],5,FALSE)),"Fora do DRE",VLOOKUP(Base_Periodo1[[#This Row],[CONTA]],BaseContasDRE[#All],6,FALSE))</f>
        <v>Fora do DRE</v>
      </c>
      <c r="U696" s="3" t="str">
        <f>IF(ISERROR(VLOOKUP(Base_Periodo1[[#This Row],[CONTA]],BaseContasDRE[#All],7,FALSE)),"Fora do DRE",VLOOKUP(Base_Periodo1[[#This Row],[CONTA]],BaseContasDRE[#All],7,FALSE))</f>
        <v>Fora do DRE</v>
      </c>
      <c r="V696" s="3" t="str">
        <f>IF(Base_Periodo1[[#This Row],[Tipo_Linha]]="Fora do DRE","Fora do DRE","( "&amp;Base_Periodo1[[#This Row],[Tipo_Linha]]&amp;" ) "&amp;Base_Periodo1[[#This Row],[Filtro]])</f>
        <v>Fora do DRE</v>
      </c>
      <c r="W696" s="3" t="str">
        <f>LEFT(Base_Periodo1[[#This Row],[CLASS]],3)</f>
        <v>1.1</v>
      </c>
    </row>
    <row r="697" spans="1:23" hidden="1">
      <c r="A697" s="3" t="str">
        <f t="shared" si="10"/>
        <v>Período 1</v>
      </c>
      <c r="B697">
        <v>13708</v>
      </c>
      <c r="C697" t="s">
        <v>503</v>
      </c>
      <c r="D697" t="s">
        <v>852</v>
      </c>
      <c r="E697" s="3" t="str">
        <f>IF(LEN(Base_Periodo1[[#This Row],[CLASS]])&gt;=7,LEFT(Base_Periodo1[[#This Row],[CLASS]],7),"")</f>
        <v>1.1.2.1</v>
      </c>
      <c r="F697" s="3" t="str">
        <f>VLOOKUP(Base_Periodo1[[#This Row],[Aux]],Base_Contas_Balanco[#All],2,FALSE)</f>
        <v>Creditos com Cooperados</v>
      </c>
      <c r="G697" s="1">
        <v>42867</v>
      </c>
      <c r="H697" s="225">
        <v>857.5</v>
      </c>
      <c r="I697" s="225">
        <v>0</v>
      </c>
      <c r="J697" s="225">
        <v>857.5</v>
      </c>
      <c r="K697" s="225">
        <v>0</v>
      </c>
      <c r="L6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97" s="225">
        <f>ROUND(IF(AND(Base_Periodo1[[#This Row],[Tipo_Linha]]="-",Base_Periodo1[[#This Row],[TIPOSALDO]]="D"),Base_Periodo1[[#This Row],[SALDO_ATUAL]]*-1,Base_Periodo1[[#This Row],[SALDO_ATUAL]]),4)</f>
        <v>0</v>
      </c>
      <c r="N697" t="s">
        <v>116</v>
      </c>
      <c r="O697" t="s">
        <v>397</v>
      </c>
      <c r="P697" t="s">
        <v>436</v>
      </c>
      <c r="Q697">
        <v>7</v>
      </c>
      <c r="R697" s="225">
        <f>Base_Periodo1[[#This Row],[CREDITOS]]-Base_Periodo1[[#This Row],[DEBITOS]]</f>
        <v>857.5</v>
      </c>
      <c r="S697" s="3" t="str">
        <f>IF(ISERROR(VLOOKUP(Base_Periodo1[[#This Row],[CONTA]],BaseContasDRE[#All],4,FALSE)),"Fora do DRE",VLOOKUP(Base_Periodo1[[#This Row],[CONTA]],BaseContasDRE[#All],4,FALSE))</f>
        <v>Fora do DRE</v>
      </c>
      <c r="T697" s="3" t="str">
        <f>IF(ISERROR(VLOOKUP(Base_Periodo1[[#This Row],[CONTA]],BaseContasDRE[#All],5,FALSE)),"Fora do DRE",VLOOKUP(Base_Periodo1[[#This Row],[CONTA]],BaseContasDRE[#All],6,FALSE))</f>
        <v>Fora do DRE</v>
      </c>
      <c r="U697" s="3" t="str">
        <f>IF(ISERROR(VLOOKUP(Base_Periodo1[[#This Row],[CONTA]],BaseContasDRE[#All],7,FALSE)),"Fora do DRE",VLOOKUP(Base_Periodo1[[#This Row],[CONTA]],BaseContasDRE[#All],7,FALSE))</f>
        <v>Fora do DRE</v>
      </c>
      <c r="V697" s="3" t="str">
        <f>IF(Base_Periodo1[[#This Row],[Tipo_Linha]]="Fora do DRE","Fora do DRE","( "&amp;Base_Periodo1[[#This Row],[Tipo_Linha]]&amp;" ) "&amp;Base_Periodo1[[#This Row],[Filtro]])</f>
        <v>Fora do DRE</v>
      </c>
      <c r="W697" s="3" t="str">
        <f>LEFT(Base_Periodo1[[#This Row],[CLASS]],3)</f>
        <v>1.1</v>
      </c>
    </row>
    <row r="698" spans="1:23" hidden="1">
      <c r="A698" s="3" t="str">
        <f t="shared" si="10"/>
        <v>Período 1</v>
      </c>
      <c r="B698">
        <v>2464</v>
      </c>
      <c r="C698" t="s">
        <v>503</v>
      </c>
      <c r="D698" t="s">
        <v>853</v>
      </c>
      <c r="E698" s="3" t="str">
        <f>IF(LEN(Base_Periodo1[[#This Row],[CLASS]])&gt;=7,LEFT(Base_Periodo1[[#This Row],[CLASS]],7),"")</f>
        <v>1.1.2.1</v>
      </c>
      <c r="F698" s="3" t="str">
        <f>VLOOKUP(Base_Periodo1[[#This Row],[Aux]],Base_Contas_Balanco[#All],2,FALSE)</f>
        <v>Creditos com Cooperados</v>
      </c>
      <c r="G698" s="1">
        <v>42857</v>
      </c>
      <c r="H698" s="225">
        <v>35943.299999999581</v>
      </c>
      <c r="I698" s="225">
        <v>0</v>
      </c>
      <c r="J698" s="225">
        <v>35917</v>
      </c>
      <c r="K698" s="225">
        <v>26.299999999580905</v>
      </c>
      <c r="L6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26.3</v>
      </c>
      <c r="M698" s="225">
        <f>ROUND(IF(AND(Base_Periodo1[[#This Row],[Tipo_Linha]]="-",Base_Periodo1[[#This Row],[TIPOSALDO]]="D"),Base_Periodo1[[#This Row],[SALDO_ATUAL]]*-1,Base_Periodo1[[#This Row],[SALDO_ATUAL]]),4)</f>
        <v>26.3</v>
      </c>
      <c r="N698" t="s">
        <v>116</v>
      </c>
      <c r="O698" t="s">
        <v>397</v>
      </c>
      <c r="P698" t="s">
        <v>397</v>
      </c>
      <c r="Q698">
        <v>7</v>
      </c>
      <c r="R698" s="225">
        <f>Base_Periodo1[[#This Row],[CREDITOS]]-Base_Periodo1[[#This Row],[DEBITOS]]</f>
        <v>35917</v>
      </c>
      <c r="S698" s="3" t="str">
        <f>IF(ISERROR(VLOOKUP(Base_Periodo1[[#This Row],[CONTA]],BaseContasDRE[#All],4,FALSE)),"Fora do DRE",VLOOKUP(Base_Periodo1[[#This Row],[CONTA]],BaseContasDRE[#All],4,FALSE))</f>
        <v>Fora do DRE</v>
      </c>
      <c r="T698" s="3" t="str">
        <f>IF(ISERROR(VLOOKUP(Base_Periodo1[[#This Row],[CONTA]],BaseContasDRE[#All],5,FALSE)),"Fora do DRE",VLOOKUP(Base_Periodo1[[#This Row],[CONTA]],BaseContasDRE[#All],6,FALSE))</f>
        <v>Fora do DRE</v>
      </c>
      <c r="U698" s="3" t="str">
        <f>IF(ISERROR(VLOOKUP(Base_Periodo1[[#This Row],[CONTA]],BaseContasDRE[#All],7,FALSE)),"Fora do DRE",VLOOKUP(Base_Periodo1[[#This Row],[CONTA]],BaseContasDRE[#All],7,FALSE))</f>
        <v>Fora do DRE</v>
      </c>
      <c r="V698" s="3" t="str">
        <f>IF(Base_Periodo1[[#This Row],[Tipo_Linha]]="Fora do DRE","Fora do DRE","( "&amp;Base_Periodo1[[#This Row],[Tipo_Linha]]&amp;" ) "&amp;Base_Periodo1[[#This Row],[Filtro]])</f>
        <v>Fora do DRE</v>
      </c>
      <c r="W698" s="3" t="str">
        <f>LEFT(Base_Periodo1[[#This Row],[CLASS]],3)</f>
        <v>1.1</v>
      </c>
    </row>
    <row r="699" spans="1:23" hidden="1">
      <c r="A699" s="3" t="str">
        <f t="shared" si="10"/>
        <v>Período 1</v>
      </c>
      <c r="B699">
        <v>39445</v>
      </c>
      <c r="C699" t="s">
        <v>503</v>
      </c>
      <c r="D699" t="s">
        <v>5287</v>
      </c>
      <c r="E699" s="3" t="str">
        <f>IF(LEN(Base_Periodo1[[#This Row],[CLASS]])&gt;=7,LEFT(Base_Periodo1[[#This Row],[CLASS]],7),"")</f>
        <v>1.1.2.1</v>
      </c>
      <c r="F699" s="3" t="str">
        <f>VLOOKUP(Base_Periodo1[[#This Row],[Aux]],Base_Contas_Balanco[#All],2,FALSE)</f>
        <v>Creditos com Cooperados</v>
      </c>
      <c r="G699" s="1">
        <v>42879</v>
      </c>
      <c r="H699" s="225">
        <v>2940.0000000000437</v>
      </c>
      <c r="I699" s="225">
        <v>1219.8</v>
      </c>
      <c r="J699" s="225">
        <v>2940</v>
      </c>
      <c r="K699" s="225">
        <v>1219.8000000000438</v>
      </c>
      <c r="L6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1219.8</v>
      </c>
      <c r="M699" s="225">
        <f>ROUND(IF(AND(Base_Periodo1[[#This Row],[Tipo_Linha]]="-",Base_Periodo1[[#This Row],[TIPOSALDO]]="D"),Base_Periodo1[[#This Row],[SALDO_ATUAL]]*-1,Base_Periodo1[[#This Row],[SALDO_ATUAL]]),4)</f>
        <v>1219.8</v>
      </c>
      <c r="N699" t="s">
        <v>116</v>
      </c>
      <c r="O699" t="s">
        <v>397</v>
      </c>
      <c r="P699" t="s">
        <v>397</v>
      </c>
      <c r="Q699">
        <v>7</v>
      </c>
      <c r="R699" s="225">
        <f>Base_Periodo1[[#This Row],[CREDITOS]]-Base_Periodo1[[#This Row],[DEBITOS]]</f>
        <v>1720.2</v>
      </c>
      <c r="S699" s="3" t="str">
        <f>IF(ISERROR(VLOOKUP(Base_Periodo1[[#This Row],[CONTA]],BaseContasDRE[#All],4,FALSE)),"Fora do DRE",VLOOKUP(Base_Periodo1[[#This Row],[CONTA]],BaseContasDRE[#All],4,FALSE))</f>
        <v>Fora do DRE</v>
      </c>
      <c r="T699" s="3" t="str">
        <f>IF(ISERROR(VLOOKUP(Base_Periodo1[[#This Row],[CONTA]],BaseContasDRE[#All],5,FALSE)),"Fora do DRE",VLOOKUP(Base_Periodo1[[#This Row],[CONTA]],BaseContasDRE[#All],6,FALSE))</f>
        <v>Fora do DRE</v>
      </c>
      <c r="U699" s="3" t="str">
        <f>IF(ISERROR(VLOOKUP(Base_Periodo1[[#This Row],[CONTA]],BaseContasDRE[#All],7,FALSE)),"Fora do DRE",VLOOKUP(Base_Periodo1[[#This Row],[CONTA]],BaseContasDRE[#All],7,FALSE))</f>
        <v>Fora do DRE</v>
      </c>
      <c r="V699" s="3" t="str">
        <f>IF(Base_Periodo1[[#This Row],[Tipo_Linha]]="Fora do DRE","Fora do DRE","( "&amp;Base_Periodo1[[#This Row],[Tipo_Linha]]&amp;" ) "&amp;Base_Periodo1[[#This Row],[Filtro]])</f>
        <v>Fora do DRE</v>
      </c>
      <c r="W699" s="3" t="str">
        <f>LEFT(Base_Periodo1[[#This Row],[CLASS]],3)</f>
        <v>1.1</v>
      </c>
    </row>
    <row r="700" spans="1:23" hidden="1">
      <c r="A700" s="3" t="str">
        <f t="shared" si="10"/>
        <v>Período 1</v>
      </c>
      <c r="B700">
        <v>5112</v>
      </c>
      <c r="C700" t="s">
        <v>503</v>
      </c>
      <c r="D700" t="s">
        <v>4825</v>
      </c>
      <c r="E700" s="3" t="str">
        <f>IF(LEN(Base_Periodo1[[#This Row],[CLASS]])&gt;=7,LEFT(Base_Periodo1[[#This Row],[CLASS]],7),"")</f>
        <v>1.1.2.1</v>
      </c>
      <c r="F700" s="3" t="str">
        <f>VLOOKUP(Base_Periodo1[[#This Row],[Aux]],Base_Contas_Balanco[#All],2,FALSE)</f>
        <v>Creditos com Cooperados</v>
      </c>
      <c r="G700" s="1">
        <v>42877</v>
      </c>
      <c r="H700" s="225">
        <v>41.510000000023865</v>
      </c>
      <c r="I700" s="225">
        <v>150.57</v>
      </c>
      <c r="J700" s="225">
        <v>0</v>
      </c>
      <c r="K700" s="225">
        <v>192.08000000002386</v>
      </c>
      <c r="L7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192.08</v>
      </c>
      <c r="M700" s="225">
        <f>ROUND(IF(AND(Base_Periodo1[[#This Row],[Tipo_Linha]]="-",Base_Periodo1[[#This Row],[TIPOSALDO]]="D"),Base_Periodo1[[#This Row],[SALDO_ATUAL]]*-1,Base_Periodo1[[#This Row],[SALDO_ATUAL]]),4)</f>
        <v>192.08</v>
      </c>
      <c r="N700" t="s">
        <v>116</v>
      </c>
      <c r="O700" t="s">
        <v>397</v>
      </c>
      <c r="P700" t="s">
        <v>397</v>
      </c>
      <c r="Q700">
        <v>7</v>
      </c>
      <c r="R700" s="225">
        <f>Base_Periodo1[[#This Row],[CREDITOS]]-Base_Periodo1[[#This Row],[DEBITOS]]</f>
        <v>-150.57</v>
      </c>
      <c r="S700" s="3" t="str">
        <f>IF(ISERROR(VLOOKUP(Base_Periodo1[[#This Row],[CONTA]],BaseContasDRE[#All],4,FALSE)),"Fora do DRE",VLOOKUP(Base_Periodo1[[#This Row],[CONTA]],BaseContasDRE[#All],4,FALSE))</f>
        <v>Fora do DRE</v>
      </c>
      <c r="T700" s="3" t="str">
        <f>IF(ISERROR(VLOOKUP(Base_Periodo1[[#This Row],[CONTA]],BaseContasDRE[#All],5,FALSE)),"Fora do DRE",VLOOKUP(Base_Periodo1[[#This Row],[CONTA]],BaseContasDRE[#All],6,FALSE))</f>
        <v>Fora do DRE</v>
      </c>
      <c r="U700" s="3" t="str">
        <f>IF(ISERROR(VLOOKUP(Base_Periodo1[[#This Row],[CONTA]],BaseContasDRE[#All],7,FALSE)),"Fora do DRE",VLOOKUP(Base_Periodo1[[#This Row],[CONTA]],BaseContasDRE[#All],7,FALSE))</f>
        <v>Fora do DRE</v>
      </c>
      <c r="V700" s="3" t="str">
        <f>IF(Base_Periodo1[[#This Row],[Tipo_Linha]]="Fora do DRE","Fora do DRE","( "&amp;Base_Periodo1[[#This Row],[Tipo_Linha]]&amp;" ) "&amp;Base_Periodo1[[#This Row],[Filtro]])</f>
        <v>Fora do DRE</v>
      </c>
      <c r="W700" s="3" t="str">
        <f>LEFT(Base_Periodo1[[#This Row],[CLASS]],3)</f>
        <v>1.1</v>
      </c>
    </row>
    <row r="701" spans="1:23" hidden="1">
      <c r="A701" s="3" t="str">
        <f t="shared" si="10"/>
        <v>Período 1</v>
      </c>
      <c r="B701">
        <v>40065</v>
      </c>
      <c r="C701" t="s">
        <v>503</v>
      </c>
      <c r="D701" t="s">
        <v>5014</v>
      </c>
      <c r="E701" s="3" t="str">
        <f>IF(LEN(Base_Periodo1[[#This Row],[CLASS]])&gt;=7,LEFT(Base_Periodo1[[#This Row],[CLASS]],7),"")</f>
        <v>1.1.2.1</v>
      </c>
      <c r="F701" s="3" t="str">
        <f>VLOOKUP(Base_Periodo1[[#This Row],[Aux]],Base_Contas_Balanco[#All],2,FALSE)</f>
        <v>Creditos com Cooperados</v>
      </c>
      <c r="G701" s="1">
        <v>42852</v>
      </c>
      <c r="H701" s="225">
        <v>2992</v>
      </c>
      <c r="I701" s="225">
        <v>0</v>
      </c>
      <c r="J701" s="225">
        <v>0</v>
      </c>
      <c r="K701" s="225">
        <v>2992</v>
      </c>
      <c r="L7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2992</v>
      </c>
      <c r="M701" s="225">
        <f>ROUND(IF(AND(Base_Periodo1[[#This Row],[Tipo_Linha]]="-",Base_Periodo1[[#This Row],[TIPOSALDO]]="D"),Base_Periodo1[[#This Row],[SALDO_ATUAL]]*-1,Base_Periodo1[[#This Row],[SALDO_ATUAL]]),4)</f>
        <v>2992</v>
      </c>
      <c r="N701" t="s">
        <v>116</v>
      </c>
      <c r="O701" t="s">
        <v>397</v>
      </c>
      <c r="P701" t="s">
        <v>397</v>
      </c>
      <c r="Q701">
        <v>7</v>
      </c>
      <c r="R701" s="225">
        <f>Base_Periodo1[[#This Row],[CREDITOS]]-Base_Periodo1[[#This Row],[DEBITOS]]</f>
        <v>0</v>
      </c>
      <c r="S701" s="3" t="str">
        <f>IF(ISERROR(VLOOKUP(Base_Periodo1[[#This Row],[CONTA]],BaseContasDRE[#All],4,FALSE)),"Fora do DRE",VLOOKUP(Base_Periodo1[[#This Row],[CONTA]],BaseContasDRE[#All],4,FALSE))</f>
        <v>Fora do DRE</v>
      </c>
      <c r="T701" s="3" t="str">
        <f>IF(ISERROR(VLOOKUP(Base_Periodo1[[#This Row],[CONTA]],BaseContasDRE[#All],5,FALSE)),"Fora do DRE",VLOOKUP(Base_Periodo1[[#This Row],[CONTA]],BaseContasDRE[#All],6,FALSE))</f>
        <v>Fora do DRE</v>
      </c>
      <c r="U701" s="3" t="str">
        <f>IF(ISERROR(VLOOKUP(Base_Periodo1[[#This Row],[CONTA]],BaseContasDRE[#All],7,FALSE)),"Fora do DRE",VLOOKUP(Base_Periodo1[[#This Row],[CONTA]],BaseContasDRE[#All],7,FALSE))</f>
        <v>Fora do DRE</v>
      </c>
      <c r="V701" s="3" t="str">
        <f>IF(Base_Periodo1[[#This Row],[Tipo_Linha]]="Fora do DRE","Fora do DRE","( "&amp;Base_Periodo1[[#This Row],[Tipo_Linha]]&amp;" ) "&amp;Base_Periodo1[[#This Row],[Filtro]])</f>
        <v>Fora do DRE</v>
      </c>
      <c r="W701" s="3" t="str">
        <f>LEFT(Base_Periodo1[[#This Row],[CLASS]],3)</f>
        <v>1.1</v>
      </c>
    </row>
    <row r="702" spans="1:23" hidden="1">
      <c r="A702" s="3" t="str">
        <f t="shared" si="10"/>
        <v>Período 1</v>
      </c>
      <c r="B702">
        <v>32176</v>
      </c>
      <c r="C702" t="s">
        <v>503</v>
      </c>
      <c r="D702" t="s">
        <v>854</v>
      </c>
      <c r="E702" s="3" t="str">
        <f>IF(LEN(Base_Periodo1[[#This Row],[CLASS]])&gt;=7,LEFT(Base_Periodo1[[#This Row],[CLASS]],7),"")</f>
        <v>1.1.2.1</v>
      </c>
      <c r="F702" s="3" t="str">
        <f>VLOOKUP(Base_Periodo1[[#This Row],[Aux]],Base_Contas_Balanco[#All],2,FALSE)</f>
        <v>Creditos com Cooperados</v>
      </c>
      <c r="G702" s="1">
        <v>42845</v>
      </c>
      <c r="H702" s="225">
        <v>3998.6000000000058</v>
      </c>
      <c r="I702" s="225">
        <v>0</v>
      </c>
      <c r="J702" s="225">
        <v>0</v>
      </c>
      <c r="K702" s="225">
        <v>3998.6000000000058</v>
      </c>
      <c r="L7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3998.6</v>
      </c>
      <c r="M702" s="225">
        <f>ROUND(IF(AND(Base_Periodo1[[#This Row],[Tipo_Linha]]="-",Base_Periodo1[[#This Row],[TIPOSALDO]]="D"),Base_Periodo1[[#This Row],[SALDO_ATUAL]]*-1,Base_Periodo1[[#This Row],[SALDO_ATUAL]]),4)</f>
        <v>3998.6</v>
      </c>
      <c r="N702" t="s">
        <v>116</v>
      </c>
      <c r="O702" t="s">
        <v>397</v>
      </c>
      <c r="P702" t="s">
        <v>397</v>
      </c>
      <c r="Q702">
        <v>7</v>
      </c>
      <c r="R702" s="225">
        <f>Base_Periodo1[[#This Row],[CREDITOS]]-Base_Periodo1[[#This Row],[DEBITOS]]</f>
        <v>0</v>
      </c>
      <c r="S702" s="3" t="str">
        <f>IF(ISERROR(VLOOKUP(Base_Periodo1[[#This Row],[CONTA]],BaseContasDRE[#All],4,FALSE)),"Fora do DRE",VLOOKUP(Base_Periodo1[[#This Row],[CONTA]],BaseContasDRE[#All],4,FALSE))</f>
        <v>Fora do DRE</v>
      </c>
      <c r="T702" s="3" t="str">
        <f>IF(ISERROR(VLOOKUP(Base_Periodo1[[#This Row],[CONTA]],BaseContasDRE[#All],5,FALSE)),"Fora do DRE",VLOOKUP(Base_Periodo1[[#This Row],[CONTA]],BaseContasDRE[#All],6,FALSE))</f>
        <v>Fora do DRE</v>
      </c>
      <c r="U702" s="3" t="str">
        <f>IF(ISERROR(VLOOKUP(Base_Periodo1[[#This Row],[CONTA]],BaseContasDRE[#All],7,FALSE)),"Fora do DRE",VLOOKUP(Base_Periodo1[[#This Row],[CONTA]],BaseContasDRE[#All],7,FALSE))</f>
        <v>Fora do DRE</v>
      </c>
      <c r="V702" s="3" t="str">
        <f>IF(Base_Periodo1[[#This Row],[Tipo_Linha]]="Fora do DRE","Fora do DRE","( "&amp;Base_Periodo1[[#This Row],[Tipo_Linha]]&amp;" ) "&amp;Base_Periodo1[[#This Row],[Filtro]])</f>
        <v>Fora do DRE</v>
      </c>
      <c r="W702" s="3" t="str">
        <f>LEFT(Base_Periodo1[[#This Row],[CLASS]],3)</f>
        <v>1.1</v>
      </c>
    </row>
    <row r="703" spans="1:23" hidden="1">
      <c r="A703" s="3" t="str">
        <f t="shared" si="10"/>
        <v>Período 1</v>
      </c>
      <c r="B703">
        <v>8444</v>
      </c>
      <c r="C703" t="s">
        <v>503</v>
      </c>
      <c r="D703" t="s">
        <v>855</v>
      </c>
      <c r="E703" s="3" t="str">
        <f>IF(LEN(Base_Periodo1[[#This Row],[CLASS]])&gt;=7,LEFT(Base_Periodo1[[#This Row],[CLASS]],7),"")</f>
        <v>1.1.2.1</v>
      </c>
      <c r="F703" s="3" t="str">
        <f>VLOOKUP(Base_Periodo1[[#This Row],[Aux]],Base_Contas_Balanco[#All],2,FALSE)</f>
        <v>Creditos com Cooperados</v>
      </c>
      <c r="G703" s="1">
        <v>42852</v>
      </c>
      <c r="H703" s="225">
        <v>26898</v>
      </c>
      <c r="I703" s="225">
        <v>0</v>
      </c>
      <c r="J703" s="225">
        <v>0</v>
      </c>
      <c r="K703" s="225">
        <v>26898</v>
      </c>
      <c r="L7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26898</v>
      </c>
      <c r="M703" s="225">
        <f>ROUND(IF(AND(Base_Periodo1[[#This Row],[Tipo_Linha]]="-",Base_Periodo1[[#This Row],[TIPOSALDO]]="D"),Base_Periodo1[[#This Row],[SALDO_ATUAL]]*-1,Base_Periodo1[[#This Row],[SALDO_ATUAL]]),4)</f>
        <v>26898</v>
      </c>
      <c r="N703" t="s">
        <v>116</v>
      </c>
      <c r="O703" t="s">
        <v>397</v>
      </c>
      <c r="P703" t="s">
        <v>397</v>
      </c>
      <c r="Q703">
        <v>7</v>
      </c>
      <c r="R703" s="225">
        <f>Base_Periodo1[[#This Row],[CREDITOS]]-Base_Periodo1[[#This Row],[DEBITOS]]</f>
        <v>0</v>
      </c>
      <c r="S703" s="3" t="str">
        <f>IF(ISERROR(VLOOKUP(Base_Periodo1[[#This Row],[CONTA]],BaseContasDRE[#All],4,FALSE)),"Fora do DRE",VLOOKUP(Base_Periodo1[[#This Row],[CONTA]],BaseContasDRE[#All],4,FALSE))</f>
        <v>Fora do DRE</v>
      </c>
      <c r="T703" s="3" t="str">
        <f>IF(ISERROR(VLOOKUP(Base_Periodo1[[#This Row],[CONTA]],BaseContasDRE[#All],5,FALSE)),"Fora do DRE",VLOOKUP(Base_Periodo1[[#This Row],[CONTA]],BaseContasDRE[#All],6,FALSE))</f>
        <v>Fora do DRE</v>
      </c>
      <c r="U703" s="3" t="str">
        <f>IF(ISERROR(VLOOKUP(Base_Periodo1[[#This Row],[CONTA]],BaseContasDRE[#All],7,FALSE)),"Fora do DRE",VLOOKUP(Base_Periodo1[[#This Row],[CONTA]],BaseContasDRE[#All],7,FALSE))</f>
        <v>Fora do DRE</v>
      </c>
      <c r="V703" s="3" t="str">
        <f>IF(Base_Periodo1[[#This Row],[Tipo_Linha]]="Fora do DRE","Fora do DRE","( "&amp;Base_Periodo1[[#This Row],[Tipo_Linha]]&amp;" ) "&amp;Base_Periodo1[[#This Row],[Filtro]])</f>
        <v>Fora do DRE</v>
      </c>
      <c r="W703" s="3" t="str">
        <f>LEFT(Base_Periodo1[[#This Row],[CLASS]],3)</f>
        <v>1.1</v>
      </c>
    </row>
    <row r="704" spans="1:23" hidden="1">
      <c r="A704" s="3" t="str">
        <f t="shared" si="10"/>
        <v>Período 1</v>
      </c>
      <c r="B704">
        <v>7297</v>
      </c>
      <c r="C704" t="s">
        <v>503</v>
      </c>
      <c r="D704" t="s">
        <v>4913</v>
      </c>
      <c r="E704" s="3" t="str">
        <f>IF(LEN(Base_Periodo1[[#This Row],[CLASS]])&gt;=7,LEFT(Base_Periodo1[[#This Row],[CLASS]],7),"")</f>
        <v>1.1.2.1</v>
      </c>
      <c r="F704" s="3" t="str">
        <f>VLOOKUP(Base_Periodo1[[#This Row],[Aux]],Base_Contas_Balanco[#All],2,FALSE)</f>
        <v>Creditos com Cooperados</v>
      </c>
      <c r="G704" s="1">
        <v>42881</v>
      </c>
      <c r="H704" s="225">
        <v>9295.0200000042096</v>
      </c>
      <c r="I704" s="225">
        <v>85490</v>
      </c>
      <c r="J704" s="225">
        <v>12815</v>
      </c>
      <c r="K704" s="225">
        <v>81970.02000000421</v>
      </c>
      <c r="L7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81970.02</v>
      </c>
      <c r="M704" s="225">
        <f>ROUND(IF(AND(Base_Periodo1[[#This Row],[Tipo_Linha]]="-",Base_Periodo1[[#This Row],[TIPOSALDO]]="D"),Base_Periodo1[[#This Row],[SALDO_ATUAL]]*-1,Base_Periodo1[[#This Row],[SALDO_ATUAL]]),4)</f>
        <v>81970.02</v>
      </c>
      <c r="N704" t="s">
        <v>116</v>
      </c>
      <c r="O704" t="s">
        <v>397</v>
      </c>
      <c r="P704" t="s">
        <v>397</v>
      </c>
      <c r="Q704">
        <v>7</v>
      </c>
      <c r="R704" s="225">
        <f>Base_Periodo1[[#This Row],[CREDITOS]]-Base_Periodo1[[#This Row],[DEBITOS]]</f>
        <v>-72675</v>
      </c>
      <c r="S704" s="3" t="str">
        <f>IF(ISERROR(VLOOKUP(Base_Periodo1[[#This Row],[CONTA]],BaseContasDRE[#All],4,FALSE)),"Fora do DRE",VLOOKUP(Base_Periodo1[[#This Row],[CONTA]],BaseContasDRE[#All],4,FALSE))</f>
        <v>Fora do DRE</v>
      </c>
      <c r="T704" s="3" t="str">
        <f>IF(ISERROR(VLOOKUP(Base_Periodo1[[#This Row],[CONTA]],BaseContasDRE[#All],5,FALSE)),"Fora do DRE",VLOOKUP(Base_Periodo1[[#This Row],[CONTA]],BaseContasDRE[#All],6,FALSE))</f>
        <v>Fora do DRE</v>
      </c>
      <c r="U704" s="3" t="str">
        <f>IF(ISERROR(VLOOKUP(Base_Periodo1[[#This Row],[CONTA]],BaseContasDRE[#All],7,FALSE)),"Fora do DRE",VLOOKUP(Base_Periodo1[[#This Row],[CONTA]],BaseContasDRE[#All],7,FALSE))</f>
        <v>Fora do DRE</v>
      </c>
      <c r="V704" s="3" t="str">
        <f>IF(Base_Periodo1[[#This Row],[Tipo_Linha]]="Fora do DRE","Fora do DRE","( "&amp;Base_Periodo1[[#This Row],[Tipo_Linha]]&amp;" ) "&amp;Base_Periodo1[[#This Row],[Filtro]])</f>
        <v>Fora do DRE</v>
      </c>
      <c r="W704" s="3" t="str">
        <f>LEFT(Base_Periodo1[[#This Row],[CLASS]],3)</f>
        <v>1.1</v>
      </c>
    </row>
    <row r="705" spans="1:23" hidden="1">
      <c r="A705" s="3" t="str">
        <f t="shared" si="10"/>
        <v>Período 1</v>
      </c>
      <c r="B705">
        <v>12611</v>
      </c>
      <c r="C705" t="s">
        <v>503</v>
      </c>
      <c r="D705" t="s">
        <v>6732</v>
      </c>
      <c r="E705" s="3" t="str">
        <f>IF(LEN(Base_Periodo1[[#This Row],[CLASS]])&gt;=7,LEFT(Base_Periodo1[[#This Row],[CLASS]],7),"")</f>
        <v>1.1.2.1</v>
      </c>
      <c r="F705" s="3" t="str">
        <f>VLOOKUP(Base_Periodo1[[#This Row],[Aux]],Base_Contas_Balanco[#All],2,FALSE)</f>
        <v>Creditos com Cooperados</v>
      </c>
      <c r="G705" s="1">
        <v>42881</v>
      </c>
      <c r="I705" s="225">
        <v>375</v>
      </c>
      <c r="J705" s="225">
        <v>0</v>
      </c>
      <c r="K705" s="225">
        <v>375</v>
      </c>
      <c r="L7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375</v>
      </c>
      <c r="M705" s="225">
        <f>ROUND(IF(AND(Base_Periodo1[[#This Row],[Tipo_Linha]]="-",Base_Periodo1[[#This Row],[TIPOSALDO]]="D"),Base_Periodo1[[#This Row],[SALDO_ATUAL]]*-1,Base_Periodo1[[#This Row],[SALDO_ATUAL]]),4)</f>
        <v>375</v>
      </c>
      <c r="N705" t="s">
        <v>116</v>
      </c>
      <c r="O705" t="s">
        <v>436</v>
      </c>
      <c r="P705" t="s">
        <v>397</v>
      </c>
      <c r="Q705">
        <v>7</v>
      </c>
      <c r="R705" s="225">
        <f>Base_Periodo1[[#This Row],[CREDITOS]]-Base_Periodo1[[#This Row],[DEBITOS]]</f>
        <v>-375</v>
      </c>
      <c r="S705" s="3" t="str">
        <f>IF(ISERROR(VLOOKUP(Base_Periodo1[[#This Row],[CONTA]],BaseContasDRE[#All],4,FALSE)),"Fora do DRE",VLOOKUP(Base_Periodo1[[#This Row],[CONTA]],BaseContasDRE[#All],4,FALSE))</f>
        <v>Fora do DRE</v>
      </c>
      <c r="T705" s="3" t="str">
        <f>IF(ISERROR(VLOOKUP(Base_Periodo1[[#This Row],[CONTA]],BaseContasDRE[#All],5,FALSE)),"Fora do DRE",VLOOKUP(Base_Periodo1[[#This Row],[CONTA]],BaseContasDRE[#All],6,FALSE))</f>
        <v>Fora do DRE</v>
      </c>
      <c r="U705" s="3" t="str">
        <f>IF(ISERROR(VLOOKUP(Base_Periodo1[[#This Row],[CONTA]],BaseContasDRE[#All],7,FALSE)),"Fora do DRE",VLOOKUP(Base_Periodo1[[#This Row],[CONTA]],BaseContasDRE[#All],7,FALSE))</f>
        <v>Fora do DRE</v>
      </c>
      <c r="V705" s="3" t="str">
        <f>IF(Base_Periodo1[[#This Row],[Tipo_Linha]]="Fora do DRE","Fora do DRE","( "&amp;Base_Periodo1[[#This Row],[Tipo_Linha]]&amp;" ) "&amp;Base_Periodo1[[#This Row],[Filtro]])</f>
        <v>Fora do DRE</v>
      </c>
      <c r="W705" s="3" t="str">
        <f>LEFT(Base_Periodo1[[#This Row],[CLASS]],3)</f>
        <v>1.1</v>
      </c>
    </row>
    <row r="706" spans="1:23" hidden="1">
      <c r="A706" s="3" t="str">
        <f t="shared" si="10"/>
        <v>Período 1</v>
      </c>
      <c r="B706">
        <v>2276</v>
      </c>
      <c r="C706" t="s">
        <v>503</v>
      </c>
      <c r="D706" t="s">
        <v>856</v>
      </c>
      <c r="E706" s="3" t="str">
        <f>IF(LEN(Base_Periodo1[[#This Row],[CLASS]])&gt;=7,LEFT(Base_Periodo1[[#This Row],[CLASS]],7),"")</f>
        <v>1.1.2.1</v>
      </c>
      <c r="F706" s="3" t="str">
        <f>VLOOKUP(Base_Periodo1[[#This Row],[Aux]],Base_Contas_Balanco[#All],2,FALSE)</f>
        <v>Creditos com Cooperados</v>
      </c>
      <c r="G706" s="1">
        <v>42863</v>
      </c>
      <c r="H706" s="225">
        <v>12771.550000000047</v>
      </c>
      <c r="I706" s="225">
        <v>42.730000000000004</v>
      </c>
      <c r="J706" s="225">
        <v>2184.7300000000005</v>
      </c>
      <c r="K706" s="225">
        <v>10629.550000000047</v>
      </c>
      <c r="L7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10629.55</v>
      </c>
      <c r="M706" s="225">
        <f>ROUND(IF(AND(Base_Periodo1[[#This Row],[Tipo_Linha]]="-",Base_Periodo1[[#This Row],[TIPOSALDO]]="D"),Base_Periodo1[[#This Row],[SALDO_ATUAL]]*-1,Base_Periodo1[[#This Row],[SALDO_ATUAL]]),4)</f>
        <v>10629.55</v>
      </c>
      <c r="N706" t="s">
        <v>116</v>
      </c>
      <c r="O706" t="s">
        <v>397</v>
      </c>
      <c r="P706" t="s">
        <v>397</v>
      </c>
      <c r="Q706">
        <v>7</v>
      </c>
      <c r="R706" s="225">
        <f>Base_Periodo1[[#This Row],[CREDITOS]]-Base_Periodo1[[#This Row],[DEBITOS]]</f>
        <v>2142.0000000000005</v>
      </c>
      <c r="S706" s="3" t="str">
        <f>IF(ISERROR(VLOOKUP(Base_Periodo1[[#This Row],[CONTA]],BaseContasDRE[#All],4,FALSE)),"Fora do DRE",VLOOKUP(Base_Periodo1[[#This Row],[CONTA]],BaseContasDRE[#All],4,FALSE))</f>
        <v>Fora do DRE</v>
      </c>
      <c r="T706" s="3" t="str">
        <f>IF(ISERROR(VLOOKUP(Base_Periodo1[[#This Row],[CONTA]],BaseContasDRE[#All],5,FALSE)),"Fora do DRE",VLOOKUP(Base_Periodo1[[#This Row],[CONTA]],BaseContasDRE[#All],6,FALSE))</f>
        <v>Fora do DRE</v>
      </c>
      <c r="U706" s="3" t="str">
        <f>IF(ISERROR(VLOOKUP(Base_Periodo1[[#This Row],[CONTA]],BaseContasDRE[#All],7,FALSE)),"Fora do DRE",VLOOKUP(Base_Periodo1[[#This Row],[CONTA]],BaseContasDRE[#All],7,FALSE))</f>
        <v>Fora do DRE</v>
      </c>
      <c r="V706" s="3" t="str">
        <f>IF(Base_Periodo1[[#This Row],[Tipo_Linha]]="Fora do DRE","Fora do DRE","( "&amp;Base_Periodo1[[#This Row],[Tipo_Linha]]&amp;" ) "&amp;Base_Periodo1[[#This Row],[Filtro]])</f>
        <v>Fora do DRE</v>
      </c>
      <c r="W706" s="3" t="str">
        <f>LEFT(Base_Periodo1[[#This Row],[CLASS]],3)</f>
        <v>1.1</v>
      </c>
    </row>
    <row r="707" spans="1:23" hidden="1">
      <c r="A707" s="3" t="str">
        <f t="shared" si="10"/>
        <v>Período 1</v>
      </c>
      <c r="B707">
        <v>50961</v>
      </c>
      <c r="C707" t="s">
        <v>503</v>
      </c>
      <c r="D707" t="s">
        <v>4641</v>
      </c>
      <c r="E707" s="3" t="str">
        <f>IF(LEN(Base_Periodo1[[#This Row],[CLASS]])&gt;=7,LEFT(Base_Periodo1[[#This Row],[CLASS]],7),"")</f>
        <v>1.1.2.1</v>
      </c>
      <c r="F707" s="3" t="str">
        <f>VLOOKUP(Base_Periodo1[[#This Row],[Aux]],Base_Contas_Balanco[#All],2,FALSE)</f>
        <v>Creditos com Cooperados</v>
      </c>
      <c r="G707" s="1">
        <v>42884</v>
      </c>
      <c r="H707" s="225">
        <v>398.80000000001746</v>
      </c>
      <c r="I707" s="225">
        <v>27240.5</v>
      </c>
      <c r="J707" s="225">
        <v>0</v>
      </c>
      <c r="K707" s="225">
        <v>27639.300000000017</v>
      </c>
      <c r="L7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27639.3</v>
      </c>
      <c r="M707" s="225">
        <f>ROUND(IF(AND(Base_Periodo1[[#This Row],[Tipo_Linha]]="-",Base_Periodo1[[#This Row],[TIPOSALDO]]="D"),Base_Periodo1[[#This Row],[SALDO_ATUAL]]*-1,Base_Periodo1[[#This Row],[SALDO_ATUAL]]),4)</f>
        <v>27639.3</v>
      </c>
      <c r="N707" t="s">
        <v>116</v>
      </c>
      <c r="O707" t="s">
        <v>397</v>
      </c>
      <c r="P707" t="s">
        <v>397</v>
      </c>
      <c r="Q707">
        <v>7</v>
      </c>
      <c r="R707" s="225">
        <f>Base_Periodo1[[#This Row],[CREDITOS]]-Base_Periodo1[[#This Row],[DEBITOS]]</f>
        <v>-27240.5</v>
      </c>
      <c r="S707" s="3" t="str">
        <f>IF(ISERROR(VLOOKUP(Base_Periodo1[[#This Row],[CONTA]],BaseContasDRE[#All],4,FALSE)),"Fora do DRE",VLOOKUP(Base_Periodo1[[#This Row],[CONTA]],BaseContasDRE[#All],4,FALSE))</f>
        <v>Fora do DRE</v>
      </c>
      <c r="T707" s="3" t="str">
        <f>IF(ISERROR(VLOOKUP(Base_Periodo1[[#This Row],[CONTA]],BaseContasDRE[#All],5,FALSE)),"Fora do DRE",VLOOKUP(Base_Periodo1[[#This Row],[CONTA]],BaseContasDRE[#All],6,FALSE))</f>
        <v>Fora do DRE</v>
      </c>
      <c r="U707" s="3" t="str">
        <f>IF(ISERROR(VLOOKUP(Base_Periodo1[[#This Row],[CONTA]],BaseContasDRE[#All],7,FALSE)),"Fora do DRE",VLOOKUP(Base_Periodo1[[#This Row],[CONTA]],BaseContasDRE[#All],7,FALSE))</f>
        <v>Fora do DRE</v>
      </c>
      <c r="V707" s="3" t="str">
        <f>IF(Base_Periodo1[[#This Row],[Tipo_Linha]]="Fora do DRE","Fora do DRE","( "&amp;Base_Periodo1[[#This Row],[Tipo_Linha]]&amp;" ) "&amp;Base_Periodo1[[#This Row],[Filtro]])</f>
        <v>Fora do DRE</v>
      </c>
      <c r="W707" s="3" t="str">
        <f>LEFT(Base_Periodo1[[#This Row],[CLASS]],3)</f>
        <v>1.1</v>
      </c>
    </row>
    <row r="708" spans="1:23" hidden="1">
      <c r="A708" s="3" t="str">
        <f t="shared" si="10"/>
        <v>Período 1</v>
      </c>
      <c r="B708">
        <v>9516</v>
      </c>
      <c r="C708" t="s">
        <v>503</v>
      </c>
      <c r="D708" t="s">
        <v>5510</v>
      </c>
      <c r="E708" s="3" t="str">
        <f>IF(LEN(Base_Periodo1[[#This Row],[CLASS]])&gt;=7,LEFT(Base_Periodo1[[#This Row],[CLASS]],7),"")</f>
        <v>1.1.2.1</v>
      </c>
      <c r="F708" s="3" t="str">
        <f>VLOOKUP(Base_Periodo1[[#This Row],[Aux]],Base_Contas_Balanco[#All],2,FALSE)</f>
        <v>Creditos com Cooperados</v>
      </c>
      <c r="G708" s="1">
        <v>42885</v>
      </c>
      <c r="H708" s="225">
        <v>6944.0000000000291</v>
      </c>
      <c r="I708" s="225">
        <v>600</v>
      </c>
      <c r="J708" s="225">
        <v>7543.9999999999991</v>
      </c>
      <c r="K708" s="225">
        <v>3.0013325158506632E-11</v>
      </c>
      <c r="L7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08" s="225">
        <f>ROUND(IF(AND(Base_Periodo1[[#This Row],[Tipo_Linha]]="-",Base_Periodo1[[#This Row],[TIPOSALDO]]="D"),Base_Periodo1[[#This Row],[SALDO_ATUAL]]*-1,Base_Periodo1[[#This Row],[SALDO_ATUAL]]),4)</f>
        <v>0</v>
      </c>
      <c r="N708" t="s">
        <v>116</v>
      </c>
      <c r="O708" t="s">
        <v>397</v>
      </c>
      <c r="P708" t="s">
        <v>436</v>
      </c>
      <c r="Q708">
        <v>7</v>
      </c>
      <c r="R708" s="225">
        <f>Base_Periodo1[[#This Row],[CREDITOS]]-Base_Periodo1[[#This Row],[DEBITOS]]</f>
        <v>6943.9999999999991</v>
      </c>
      <c r="S708" s="3" t="str">
        <f>IF(ISERROR(VLOOKUP(Base_Periodo1[[#This Row],[CONTA]],BaseContasDRE[#All],4,FALSE)),"Fora do DRE",VLOOKUP(Base_Periodo1[[#This Row],[CONTA]],BaseContasDRE[#All],4,FALSE))</f>
        <v>Fora do DRE</v>
      </c>
      <c r="T708" s="3" t="str">
        <f>IF(ISERROR(VLOOKUP(Base_Periodo1[[#This Row],[CONTA]],BaseContasDRE[#All],5,FALSE)),"Fora do DRE",VLOOKUP(Base_Periodo1[[#This Row],[CONTA]],BaseContasDRE[#All],6,FALSE))</f>
        <v>Fora do DRE</v>
      </c>
      <c r="U708" s="3" t="str">
        <f>IF(ISERROR(VLOOKUP(Base_Periodo1[[#This Row],[CONTA]],BaseContasDRE[#All],7,FALSE)),"Fora do DRE",VLOOKUP(Base_Periodo1[[#This Row],[CONTA]],BaseContasDRE[#All],7,FALSE))</f>
        <v>Fora do DRE</v>
      </c>
      <c r="V708" s="3" t="str">
        <f>IF(Base_Periodo1[[#This Row],[Tipo_Linha]]="Fora do DRE","Fora do DRE","( "&amp;Base_Periodo1[[#This Row],[Tipo_Linha]]&amp;" ) "&amp;Base_Periodo1[[#This Row],[Filtro]])</f>
        <v>Fora do DRE</v>
      </c>
      <c r="W708" s="3" t="str">
        <f>LEFT(Base_Periodo1[[#This Row],[CLASS]],3)</f>
        <v>1.1</v>
      </c>
    </row>
    <row r="709" spans="1:23" hidden="1">
      <c r="A709" s="3" t="str">
        <f t="shared" si="10"/>
        <v>Período 1</v>
      </c>
      <c r="B709">
        <v>36216</v>
      </c>
      <c r="C709" t="s">
        <v>503</v>
      </c>
      <c r="D709" t="s">
        <v>5288</v>
      </c>
      <c r="E709" s="3" t="str">
        <f>IF(LEN(Base_Periodo1[[#This Row],[CLASS]])&gt;=7,LEFT(Base_Periodo1[[#This Row],[CLASS]],7),"")</f>
        <v>1.1.2.1</v>
      </c>
      <c r="F709" s="3" t="str">
        <f>VLOOKUP(Base_Periodo1[[#This Row],[Aux]],Base_Contas_Balanco[#All],2,FALSE)</f>
        <v>Creditos com Cooperados</v>
      </c>
      <c r="G709" s="1">
        <v>42866</v>
      </c>
      <c r="H709" s="225">
        <v>18060.000000000004</v>
      </c>
      <c r="I709" s="225">
        <v>423.74</v>
      </c>
      <c r="J709" s="225">
        <v>18483.739999999998</v>
      </c>
      <c r="K709" s="225">
        <v>7.2759576141834259E-12</v>
      </c>
      <c r="L7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09" s="225">
        <f>ROUND(IF(AND(Base_Periodo1[[#This Row],[Tipo_Linha]]="-",Base_Periodo1[[#This Row],[TIPOSALDO]]="D"),Base_Periodo1[[#This Row],[SALDO_ATUAL]]*-1,Base_Periodo1[[#This Row],[SALDO_ATUAL]]),4)</f>
        <v>0</v>
      </c>
      <c r="N709" t="s">
        <v>116</v>
      </c>
      <c r="O709" t="s">
        <v>397</v>
      </c>
      <c r="P709" t="s">
        <v>436</v>
      </c>
      <c r="Q709">
        <v>7</v>
      </c>
      <c r="R709" s="225">
        <f>Base_Periodo1[[#This Row],[CREDITOS]]-Base_Periodo1[[#This Row],[DEBITOS]]</f>
        <v>18059.999999999996</v>
      </c>
      <c r="S709" s="3" t="str">
        <f>IF(ISERROR(VLOOKUP(Base_Periodo1[[#This Row],[CONTA]],BaseContasDRE[#All],4,FALSE)),"Fora do DRE",VLOOKUP(Base_Periodo1[[#This Row],[CONTA]],BaseContasDRE[#All],4,FALSE))</f>
        <v>Fora do DRE</v>
      </c>
      <c r="T709" s="3" t="str">
        <f>IF(ISERROR(VLOOKUP(Base_Periodo1[[#This Row],[CONTA]],BaseContasDRE[#All],5,FALSE)),"Fora do DRE",VLOOKUP(Base_Periodo1[[#This Row],[CONTA]],BaseContasDRE[#All],6,FALSE))</f>
        <v>Fora do DRE</v>
      </c>
      <c r="U709" s="3" t="str">
        <f>IF(ISERROR(VLOOKUP(Base_Periodo1[[#This Row],[CONTA]],BaseContasDRE[#All],7,FALSE)),"Fora do DRE",VLOOKUP(Base_Periodo1[[#This Row],[CONTA]],BaseContasDRE[#All],7,FALSE))</f>
        <v>Fora do DRE</v>
      </c>
      <c r="V709" s="3" t="str">
        <f>IF(Base_Periodo1[[#This Row],[Tipo_Linha]]="Fora do DRE","Fora do DRE","( "&amp;Base_Periodo1[[#This Row],[Tipo_Linha]]&amp;" ) "&amp;Base_Periodo1[[#This Row],[Filtro]])</f>
        <v>Fora do DRE</v>
      </c>
      <c r="W709" s="3" t="str">
        <f>LEFT(Base_Periodo1[[#This Row],[CLASS]],3)</f>
        <v>1.1</v>
      </c>
    </row>
    <row r="710" spans="1:23" hidden="1">
      <c r="A710" s="3" t="str">
        <f t="shared" ref="A710:A773" si="11">"Período 1"</f>
        <v>Período 1</v>
      </c>
      <c r="B710">
        <v>13688</v>
      </c>
      <c r="C710" t="s">
        <v>503</v>
      </c>
      <c r="D710" t="s">
        <v>5165</v>
      </c>
      <c r="E710" s="3" t="str">
        <f>IF(LEN(Base_Periodo1[[#This Row],[CLASS]])&gt;=7,LEFT(Base_Periodo1[[#This Row],[CLASS]],7),"")</f>
        <v>1.1.2.1</v>
      </c>
      <c r="F710" s="3" t="str">
        <f>VLOOKUP(Base_Periodo1[[#This Row],[Aux]],Base_Contas_Balanco[#All],2,FALSE)</f>
        <v>Creditos com Cooperados</v>
      </c>
      <c r="G710" s="1">
        <v>42867</v>
      </c>
      <c r="H710" s="225">
        <v>4976.9999999999927</v>
      </c>
      <c r="I710" s="225">
        <v>0</v>
      </c>
      <c r="J710" s="225">
        <v>2679.55</v>
      </c>
      <c r="K710" s="225">
        <v>2297.4499999999925</v>
      </c>
      <c r="L7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2297.4499999999998</v>
      </c>
      <c r="M710" s="225">
        <f>ROUND(IF(AND(Base_Periodo1[[#This Row],[Tipo_Linha]]="-",Base_Periodo1[[#This Row],[TIPOSALDO]]="D"),Base_Periodo1[[#This Row],[SALDO_ATUAL]]*-1,Base_Periodo1[[#This Row],[SALDO_ATUAL]]),4)</f>
        <v>2297.4499999999998</v>
      </c>
      <c r="N710" t="s">
        <v>116</v>
      </c>
      <c r="O710" t="s">
        <v>397</v>
      </c>
      <c r="P710" t="s">
        <v>397</v>
      </c>
      <c r="Q710">
        <v>7</v>
      </c>
      <c r="R710" s="225">
        <f>Base_Periodo1[[#This Row],[CREDITOS]]-Base_Periodo1[[#This Row],[DEBITOS]]</f>
        <v>2679.55</v>
      </c>
      <c r="S710" s="3" t="str">
        <f>IF(ISERROR(VLOOKUP(Base_Periodo1[[#This Row],[CONTA]],BaseContasDRE[#All],4,FALSE)),"Fora do DRE",VLOOKUP(Base_Periodo1[[#This Row],[CONTA]],BaseContasDRE[#All],4,FALSE))</f>
        <v>Fora do DRE</v>
      </c>
      <c r="T710" s="3" t="str">
        <f>IF(ISERROR(VLOOKUP(Base_Periodo1[[#This Row],[CONTA]],BaseContasDRE[#All],5,FALSE)),"Fora do DRE",VLOOKUP(Base_Periodo1[[#This Row],[CONTA]],BaseContasDRE[#All],6,FALSE))</f>
        <v>Fora do DRE</v>
      </c>
      <c r="U710" s="3" t="str">
        <f>IF(ISERROR(VLOOKUP(Base_Periodo1[[#This Row],[CONTA]],BaseContasDRE[#All],7,FALSE)),"Fora do DRE",VLOOKUP(Base_Periodo1[[#This Row],[CONTA]],BaseContasDRE[#All],7,FALSE))</f>
        <v>Fora do DRE</v>
      </c>
      <c r="V710" s="3" t="str">
        <f>IF(Base_Periodo1[[#This Row],[Tipo_Linha]]="Fora do DRE","Fora do DRE","( "&amp;Base_Periodo1[[#This Row],[Tipo_Linha]]&amp;" ) "&amp;Base_Periodo1[[#This Row],[Filtro]])</f>
        <v>Fora do DRE</v>
      </c>
      <c r="W710" s="3" t="str">
        <f>LEFT(Base_Periodo1[[#This Row],[CLASS]],3)</f>
        <v>1.1</v>
      </c>
    </row>
    <row r="711" spans="1:23" hidden="1">
      <c r="A711" s="3" t="str">
        <f t="shared" si="11"/>
        <v>Período 1</v>
      </c>
      <c r="B711">
        <v>3856</v>
      </c>
      <c r="C711" t="s">
        <v>503</v>
      </c>
      <c r="D711" t="s">
        <v>857</v>
      </c>
      <c r="E711" s="3" t="str">
        <f>IF(LEN(Base_Periodo1[[#This Row],[CLASS]])&gt;=7,LEFT(Base_Periodo1[[#This Row],[CLASS]],7),"")</f>
        <v>1.1.2.1</v>
      </c>
      <c r="F711" s="3" t="str">
        <f>VLOOKUP(Base_Periodo1[[#This Row],[Aux]],Base_Contas_Balanco[#All],2,FALSE)</f>
        <v>Creditos com Cooperados</v>
      </c>
      <c r="G711" s="1">
        <v>42843</v>
      </c>
      <c r="H711" s="225">
        <v>1.4299999994691461</v>
      </c>
      <c r="I711" s="225">
        <v>0</v>
      </c>
      <c r="J711" s="225">
        <v>0</v>
      </c>
      <c r="K711" s="225">
        <v>1.4299999994691461</v>
      </c>
      <c r="L7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1.43</v>
      </c>
      <c r="M711" s="225">
        <f>ROUND(IF(AND(Base_Periodo1[[#This Row],[Tipo_Linha]]="-",Base_Periodo1[[#This Row],[TIPOSALDO]]="D"),Base_Periodo1[[#This Row],[SALDO_ATUAL]]*-1,Base_Periodo1[[#This Row],[SALDO_ATUAL]]),4)</f>
        <v>1.43</v>
      </c>
      <c r="N711" t="s">
        <v>116</v>
      </c>
      <c r="O711" t="s">
        <v>397</v>
      </c>
      <c r="P711" t="s">
        <v>397</v>
      </c>
      <c r="Q711">
        <v>7</v>
      </c>
      <c r="R711" s="225">
        <f>Base_Periodo1[[#This Row],[CREDITOS]]-Base_Periodo1[[#This Row],[DEBITOS]]</f>
        <v>0</v>
      </c>
      <c r="S711" s="3" t="str">
        <f>IF(ISERROR(VLOOKUP(Base_Periodo1[[#This Row],[CONTA]],BaseContasDRE[#All],4,FALSE)),"Fora do DRE",VLOOKUP(Base_Periodo1[[#This Row],[CONTA]],BaseContasDRE[#All],4,FALSE))</f>
        <v>Fora do DRE</v>
      </c>
      <c r="T711" s="3" t="str">
        <f>IF(ISERROR(VLOOKUP(Base_Periodo1[[#This Row],[CONTA]],BaseContasDRE[#All],5,FALSE)),"Fora do DRE",VLOOKUP(Base_Periodo1[[#This Row],[CONTA]],BaseContasDRE[#All],6,FALSE))</f>
        <v>Fora do DRE</v>
      </c>
      <c r="U711" s="3" t="str">
        <f>IF(ISERROR(VLOOKUP(Base_Periodo1[[#This Row],[CONTA]],BaseContasDRE[#All],7,FALSE)),"Fora do DRE",VLOOKUP(Base_Periodo1[[#This Row],[CONTA]],BaseContasDRE[#All],7,FALSE))</f>
        <v>Fora do DRE</v>
      </c>
      <c r="V711" s="3" t="str">
        <f>IF(Base_Periodo1[[#This Row],[Tipo_Linha]]="Fora do DRE","Fora do DRE","( "&amp;Base_Periodo1[[#This Row],[Tipo_Linha]]&amp;" ) "&amp;Base_Periodo1[[#This Row],[Filtro]])</f>
        <v>Fora do DRE</v>
      </c>
      <c r="W711" s="3" t="str">
        <f>LEFT(Base_Periodo1[[#This Row],[CLASS]],3)</f>
        <v>1.1</v>
      </c>
    </row>
    <row r="712" spans="1:23" hidden="1">
      <c r="A712" s="3" t="str">
        <f t="shared" si="11"/>
        <v>Período 1</v>
      </c>
      <c r="B712">
        <v>8452</v>
      </c>
      <c r="C712" t="s">
        <v>503</v>
      </c>
      <c r="D712" t="s">
        <v>5166</v>
      </c>
      <c r="E712" s="3" t="str">
        <f>IF(LEN(Base_Periodo1[[#This Row],[CLASS]])&gt;=7,LEFT(Base_Periodo1[[#This Row],[CLASS]],7),"")</f>
        <v>1.1.2.1</v>
      </c>
      <c r="F712" s="3" t="str">
        <f>VLOOKUP(Base_Periodo1[[#This Row],[Aux]],Base_Contas_Balanco[#All],2,FALSE)</f>
        <v>Creditos com Cooperados</v>
      </c>
      <c r="G712" s="1">
        <v>42859</v>
      </c>
      <c r="H712" s="225">
        <v>88911.110000000015</v>
      </c>
      <c r="I712" s="225">
        <v>2615.9</v>
      </c>
      <c r="J712" s="225">
        <v>77832.009999999995</v>
      </c>
      <c r="K712" s="225">
        <v>13695.000000000015</v>
      </c>
      <c r="L7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13695</v>
      </c>
      <c r="M712" s="225">
        <f>ROUND(IF(AND(Base_Periodo1[[#This Row],[Tipo_Linha]]="-",Base_Periodo1[[#This Row],[TIPOSALDO]]="D"),Base_Periodo1[[#This Row],[SALDO_ATUAL]]*-1,Base_Periodo1[[#This Row],[SALDO_ATUAL]]),4)</f>
        <v>13695</v>
      </c>
      <c r="N712" t="s">
        <v>116</v>
      </c>
      <c r="O712" t="s">
        <v>397</v>
      </c>
      <c r="P712" t="s">
        <v>397</v>
      </c>
      <c r="Q712">
        <v>7</v>
      </c>
      <c r="R712" s="225">
        <f>Base_Periodo1[[#This Row],[CREDITOS]]-Base_Periodo1[[#This Row],[DEBITOS]]</f>
        <v>75216.11</v>
      </c>
      <c r="S712" s="3" t="str">
        <f>IF(ISERROR(VLOOKUP(Base_Periodo1[[#This Row],[CONTA]],BaseContasDRE[#All],4,FALSE)),"Fora do DRE",VLOOKUP(Base_Periodo1[[#This Row],[CONTA]],BaseContasDRE[#All],4,FALSE))</f>
        <v>Fora do DRE</v>
      </c>
      <c r="T712" s="3" t="str">
        <f>IF(ISERROR(VLOOKUP(Base_Periodo1[[#This Row],[CONTA]],BaseContasDRE[#All],5,FALSE)),"Fora do DRE",VLOOKUP(Base_Periodo1[[#This Row],[CONTA]],BaseContasDRE[#All],6,FALSE))</f>
        <v>Fora do DRE</v>
      </c>
      <c r="U712" s="3" t="str">
        <f>IF(ISERROR(VLOOKUP(Base_Periodo1[[#This Row],[CONTA]],BaseContasDRE[#All],7,FALSE)),"Fora do DRE",VLOOKUP(Base_Periodo1[[#This Row],[CONTA]],BaseContasDRE[#All],7,FALSE))</f>
        <v>Fora do DRE</v>
      </c>
      <c r="V712" s="3" t="str">
        <f>IF(Base_Periodo1[[#This Row],[Tipo_Linha]]="Fora do DRE","Fora do DRE","( "&amp;Base_Periodo1[[#This Row],[Tipo_Linha]]&amp;" ) "&amp;Base_Periodo1[[#This Row],[Filtro]])</f>
        <v>Fora do DRE</v>
      </c>
      <c r="W712" s="3" t="str">
        <f>LEFT(Base_Periodo1[[#This Row],[CLASS]],3)</f>
        <v>1.1</v>
      </c>
    </row>
    <row r="713" spans="1:23" hidden="1">
      <c r="A713" s="3" t="str">
        <f t="shared" si="11"/>
        <v>Período 1</v>
      </c>
      <c r="B713">
        <v>47490</v>
      </c>
      <c r="C713" t="s">
        <v>503</v>
      </c>
      <c r="D713" t="s">
        <v>5395</v>
      </c>
      <c r="E713" s="3" t="str">
        <f>IF(LEN(Base_Periodo1[[#This Row],[CLASS]])&gt;=7,LEFT(Base_Periodo1[[#This Row],[CLASS]],7),"")</f>
        <v>1.1.2.1</v>
      </c>
      <c r="F713" s="3" t="str">
        <f>VLOOKUP(Base_Periodo1[[#This Row],[Aux]],Base_Contas_Balanco[#All],2,FALSE)</f>
        <v>Creditos com Cooperados</v>
      </c>
      <c r="G713" s="1">
        <v>42872</v>
      </c>
      <c r="H713" s="225">
        <v>350</v>
      </c>
      <c r="I713" s="225">
        <v>11664.2</v>
      </c>
      <c r="J713" s="225">
        <v>0</v>
      </c>
      <c r="K713" s="225">
        <v>12014.2</v>
      </c>
      <c r="L7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12014.2</v>
      </c>
      <c r="M713" s="225">
        <f>ROUND(IF(AND(Base_Periodo1[[#This Row],[Tipo_Linha]]="-",Base_Periodo1[[#This Row],[TIPOSALDO]]="D"),Base_Periodo1[[#This Row],[SALDO_ATUAL]]*-1,Base_Periodo1[[#This Row],[SALDO_ATUAL]]),4)</f>
        <v>12014.2</v>
      </c>
      <c r="N713" t="s">
        <v>116</v>
      </c>
      <c r="O713" t="s">
        <v>397</v>
      </c>
      <c r="P713" t="s">
        <v>397</v>
      </c>
      <c r="Q713">
        <v>7</v>
      </c>
      <c r="R713" s="225">
        <f>Base_Periodo1[[#This Row],[CREDITOS]]-Base_Periodo1[[#This Row],[DEBITOS]]</f>
        <v>-11664.2</v>
      </c>
      <c r="S713" s="3" t="str">
        <f>IF(ISERROR(VLOOKUP(Base_Periodo1[[#This Row],[CONTA]],BaseContasDRE[#All],4,FALSE)),"Fora do DRE",VLOOKUP(Base_Periodo1[[#This Row],[CONTA]],BaseContasDRE[#All],4,FALSE))</f>
        <v>Fora do DRE</v>
      </c>
      <c r="T713" s="3" t="str">
        <f>IF(ISERROR(VLOOKUP(Base_Periodo1[[#This Row],[CONTA]],BaseContasDRE[#All],5,FALSE)),"Fora do DRE",VLOOKUP(Base_Periodo1[[#This Row],[CONTA]],BaseContasDRE[#All],6,FALSE))</f>
        <v>Fora do DRE</v>
      </c>
      <c r="U713" s="3" t="str">
        <f>IF(ISERROR(VLOOKUP(Base_Periodo1[[#This Row],[CONTA]],BaseContasDRE[#All],7,FALSE)),"Fora do DRE",VLOOKUP(Base_Periodo1[[#This Row],[CONTA]],BaseContasDRE[#All],7,FALSE))</f>
        <v>Fora do DRE</v>
      </c>
      <c r="V713" s="3" t="str">
        <f>IF(Base_Periodo1[[#This Row],[Tipo_Linha]]="Fora do DRE","Fora do DRE","( "&amp;Base_Periodo1[[#This Row],[Tipo_Linha]]&amp;" ) "&amp;Base_Periodo1[[#This Row],[Filtro]])</f>
        <v>Fora do DRE</v>
      </c>
      <c r="W713" s="3" t="str">
        <f>LEFT(Base_Periodo1[[#This Row],[CLASS]],3)</f>
        <v>1.1</v>
      </c>
    </row>
    <row r="714" spans="1:23" hidden="1">
      <c r="A714" s="3" t="str">
        <f t="shared" si="11"/>
        <v>Período 1</v>
      </c>
      <c r="B714">
        <v>55076</v>
      </c>
      <c r="C714" t="s">
        <v>503</v>
      </c>
      <c r="D714" t="s">
        <v>6733</v>
      </c>
      <c r="E714" s="3" t="str">
        <f>IF(LEN(Base_Periodo1[[#This Row],[CLASS]])&gt;=7,LEFT(Base_Periodo1[[#This Row],[CLASS]],7),"")</f>
        <v>1.1.2.1</v>
      </c>
      <c r="F714" s="3" t="str">
        <f>VLOOKUP(Base_Periodo1[[#This Row],[Aux]],Base_Contas_Balanco[#All],2,FALSE)</f>
        <v>Creditos com Cooperados</v>
      </c>
      <c r="G714" s="1">
        <v>42863</v>
      </c>
      <c r="I714" s="225">
        <v>370</v>
      </c>
      <c r="J714" s="225">
        <v>0</v>
      </c>
      <c r="K714" s="225">
        <v>370</v>
      </c>
      <c r="L7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370</v>
      </c>
      <c r="M714" s="225">
        <f>ROUND(IF(AND(Base_Periodo1[[#This Row],[Tipo_Linha]]="-",Base_Periodo1[[#This Row],[TIPOSALDO]]="D"),Base_Periodo1[[#This Row],[SALDO_ATUAL]]*-1,Base_Periodo1[[#This Row],[SALDO_ATUAL]]),4)</f>
        <v>370</v>
      </c>
      <c r="N714" t="s">
        <v>116</v>
      </c>
      <c r="O714" t="s">
        <v>436</v>
      </c>
      <c r="P714" t="s">
        <v>397</v>
      </c>
      <c r="Q714">
        <v>7</v>
      </c>
      <c r="R714" s="225">
        <f>Base_Periodo1[[#This Row],[CREDITOS]]-Base_Periodo1[[#This Row],[DEBITOS]]</f>
        <v>-370</v>
      </c>
      <c r="S714" s="3" t="str">
        <f>IF(ISERROR(VLOOKUP(Base_Periodo1[[#This Row],[CONTA]],BaseContasDRE[#All],4,FALSE)),"Fora do DRE",VLOOKUP(Base_Periodo1[[#This Row],[CONTA]],BaseContasDRE[#All],4,FALSE))</f>
        <v>Fora do DRE</v>
      </c>
      <c r="T714" s="3" t="str">
        <f>IF(ISERROR(VLOOKUP(Base_Periodo1[[#This Row],[CONTA]],BaseContasDRE[#All],5,FALSE)),"Fora do DRE",VLOOKUP(Base_Periodo1[[#This Row],[CONTA]],BaseContasDRE[#All],6,FALSE))</f>
        <v>Fora do DRE</v>
      </c>
      <c r="U714" s="3" t="str">
        <f>IF(ISERROR(VLOOKUP(Base_Periodo1[[#This Row],[CONTA]],BaseContasDRE[#All],7,FALSE)),"Fora do DRE",VLOOKUP(Base_Periodo1[[#This Row],[CONTA]],BaseContasDRE[#All],7,FALSE))</f>
        <v>Fora do DRE</v>
      </c>
      <c r="V714" s="3" t="str">
        <f>IF(Base_Periodo1[[#This Row],[Tipo_Linha]]="Fora do DRE","Fora do DRE","( "&amp;Base_Periodo1[[#This Row],[Tipo_Linha]]&amp;" ) "&amp;Base_Periodo1[[#This Row],[Filtro]])</f>
        <v>Fora do DRE</v>
      </c>
      <c r="W714" s="3" t="str">
        <f>LEFT(Base_Periodo1[[#This Row],[CLASS]],3)</f>
        <v>1.1</v>
      </c>
    </row>
    <row r="715" spans="1:23" hidden="1">
      <c r="A715" s="3" t="str">
        <f t="shared" si="11"/>
        <v>Período 1</v>
      </c>
      <c r="B715">
        <v>4952</v>
      </c>
      <c r="C715" t="s">
        <v>503</v>
      </c>
      <c r="D715" t="s">
        <v>858</v>
      </c>
      <c r="E715" s="3" t="str">
        <f>IF(LEN(Base_Periodo1[[#This Row],[CLASS]])&gt;=7,LEFT(Base_Periodo1[[#This Row],[CLASS]],7),"")</f>
        <v>1.1.2.1</v>
      </c>
      <c r="F715" s="3" t="str">
        <f>VLOOKUP(Base_Periodo1[[#This Row],[Aux]],Base_Contas_Balanco[#All],2,FALSE)</f>
        <v>Creditos com Cooperados</v>
      </c>
      <c r="G715" s="1">
        <v>42753</v>
      </c>
      <c r="H715" s="225">
        <v>159.02999999979511</v>
      </c>
      <c r="I715" s="225">
        <v>0</v>
      </c>
      <c r="J715" s="225">
        <v>0</v>
      </c>
      <c r="K715" s="225">
        <v>159.02999999979511</v>
      </c>
      <c r="L7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159.03</v>
      </c>
      <c r="M715" s="225">
        <f>ROUND(IF(AND(Base_Periodo1[[#This Row],[Tipo_Linha]]="-",Base_Periodo1[[#This Row],[TIPOSALDO]]="D"),Base_Periodo1[[#This Row],[SALDO_ATUAL]]*-1,Base_Periodo1[[#This Row],[SALDO_ATUAL]]),4)</f>
        <v>159.03</v>
      </c>
      <c r="N715" t="s">
        <v>116</v>
      </c>
      <c r="O715" t="s">
        <v>397</v>
      </c>
      <c r="P715" t="s">
        <v>397</v>
      </c>
      <c r="Q715">
        <v>7</v>
      </c>
      <c r="R715" s="225">
        <f>Base_Periodo1[[#This Row],[CREDITOS]]-Base_Periodo1[[#This Row],[DEBITOS]]</f>
        <v>0</v>
      </c>
      <c r="S715" s="3" t="str">
        <f>IF(ISERROR(VLOOKUP(Base_Periodo1[[#This Row],[CONTA]],BaseContasDRE[#All],4,FALSE)),"Fora do DRE",VLOOKUP(Base_Periodo1[[#This Row],[CONTA]],BaseContasDRE[#All],4,FALSE))</f>
        <v>Fora do DRE</v>
      </c>
      <c r="T715" s="3" t="str">
        <f>IF(ISERROR(VLOOKUP(Base_Periodo1[[#This Row],[CONTA]],BaseContasDRE[#All],5,FALSE)),"Fora do DRE",VLOOKUP(Base_Periodo1[[#This Row],[CONTA]],BaseContasDRE[#All],6,FALSE))</f>
        <v>Fora do DRE</v>
      </c>
      <c r="U715" s="3" t="str">
        <f>IF(ISERROR(VLOOKUP(Base_Periodo1[[#This Row],[CONTA]],BaseContasDRE[#All],7,FALSE)),"Fora do DRE",VLOOKUP(Base_Periodo1[[#This Row],[CONTA]],BaseContasDRE[#All],7,FALSE))</f>
        <v>Fora do DRE</v>
      </c>
      <c r="V715" s="3" t="str">
        <f>IF(Base_Periodo1[[#This Row],[Tipo_Linha]]="Fora do DRE","Fora do DRE","( "&amp;Base_Periodo1[[#This Row],[Tipo_Linha]]&amp;" ) "&amp;Base_Periodo1[[#This Row],[Filtro]])</f>
        <v>Fora do DRE</v>
      </c>
      <c r="W715" s="3" t="str">
        <f>LEFT(Base_Periodo1[[#This Row],[CLASS]],3)</f>
        <v>1.1</v>
      </c>
    </row>
    <row r="716" spans="1:23" hidden="1">
      <c r="A716" s="3" t="str">
        <f t="shared" si="11"/>
        <v>Período 1</v>
      </c>
      <c r="B716">
        <v>2632</v>
      </c>
      <c r="C716" t="s">
        <v>503</v>
      </c>
      <c r="D716" t="s">
        <v>859</v>
      </c>
      <c r="E716" s="3" t="str">
        <f>IF(LEN(Base_Periodo1[[#This Row],[CLASS]])&gt;=7,LEFT(Base_Periodo1[[#This Row],[CLASS]],7),"")</f>
        <v>1.1.2.1</v>
      </c>
      <c r="F716" s="3" t="str">
        <f>VLOOKUP(Base_Periodo1[[#This Row],[Aux]],Base_Contas_Balanco[#All],2,FALSE)</f>
        <v>Creditos com Cooperados</v>
      </c>
      <c r="G716" s="1">
        <v>41480</v>
      </c>
      <c r="H716" s="225">
        <v>8137.0000000001164</v>
      </c>
      <c r="I716" s="225">
        <v>0</v>
      </c>
      <c r="J716" s="225">
        <v>0</v>
      </c>
      <c r="K716" s="225">
        <v>8137.0000000001164</v>
      </c>
      <c r="L7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8137</v>
      </c>
      <c r="M716" s="225">
        <f>ROUND(IF(AND(Base_Periodo1[[#This Row],[Tipo_Linha]]="-",Base_Periodo1[[#This Row],[TIPOSALDO]]="D"),Base_Periodo1[[#This Row],[SALDO_ATUAL]]*-1,Base_Periodo1[[#This Row],[SALDO_ATUAL]]),4)</f>
        <v>8137</v>
      </c>
      <c r="N716" t="s">
        <v>116</v>
      </c>
      <c r="O716" t="s">
        <v>397</v>
      </c>
      <c r="P716" t="s">
        <v>397</v>
      </c>
      <c r="Q716">
        <v>7</v>
      </c>
      <c r="R716" s="225">
        <f>Base_Periodo1[[#This Row],[CREDITOS]]-Base_Periodo1[[#This Row],[DEBITOS]]</f>
        <v>0</v>
      </c>
      <c r="S716" s="3" t="str">
        <f>IF(ISERROR(VLOOKUP(Base_Periodo1[[#This Row],[CONTA]],BaseContasDRE[#All],4,FALSE)),"Fora do DRE",VLOOKUP(Base_Periodo1[[#This Row],[CONTA]],BaseContasDRE[#All],4,FALSE))</f>
        <v>Fora do DRE</v>
      </c>
      <c r="T716" s="3" t="str">
        <f>IF(ISERROR(VLOOKUP(Base_Periodo1[[#This Row],[CONTA]],BaseContasDRE[#All],5,FALSE)),"Fora do DRE",VLOOKUP(Base_Periodo1[[#This Row],[CONTA]],BaseContasDRE[#All],6,FALSE))</f>
        <v>Fora do DRE</v>
      </c>
      <c r="U716" s="3" t="str">
        <f>IF(ISERROR(VLOOKUP(Base_Periodo1[[#This Row],[CONTA]],BaseContasDRE[#All],7,FALSE)),"Fora do DRE",VLOOKUP(Base_Periodo1[[#This Row],[CONTA]],BaseContasDRE[#All],7,FALSE))</f>
        <v>Fora do DRE</v>
      </c>
      <c r="V716" s="3" t="str">
        <f>IF(Base_Periodo1[[#This Row],[Tipo_Linha]]="Fora do DRE","Fora do DRE","( "&amp;Base_Periodo1[[#This Row],[Tipo_Linha]]&amp;" ) "&amp;Base_Periodo1[[#This Row],[Filtro]])</f>
        <v>Fora do DRE</v>
      </c>
      <c r="W716" s="3" t="str">
        <f>LEFT(Base_Periodo1[[#This Row],[CLASS]],3)</f>
        <v>1.1</v>
      </c>
    </row>
    <row r="717" spans="1:23" hidden="1">
      <c r="A717" s="3" t="str">
        <f t="shared" si="11"/>
        <v>Período 1</v>
      </c>
      <c r="B717">
        <v>25322</v>
      </c>
      <c r="C717" t="s">
        <v>503</v>
      </c>
      <c r="D717" t="s">
        <v>5396</v>
      </c>
      <c r="E717" s="3" t="str">
        <f>IF(LEN(Base_Periodo1[[#This Row],[CLASS]])&gt;=7,LEFT(Base_Periodo1[[#This Row],[CLASS]],7),"")</f>
        <v>1.1.2.1</v>
      </c>
      <c r="F717" s="3" t="str">
        <f>VLOOKUP(Base_Periodo1[[#This Row],[Aux]],Base_Contas_Balanco[#All],2,FALSE)</f>
        <v>Creditos com Cooperados</v>
      </c>
      <c r="G717" s="1">
        <v>42886</v>
      </c>
      <c r="H717" s="225">
        <v>3191.7500000000036</v>
      </c>
      <c r="I717" s="225">
        <v>0</v>
      </c>
      <c r="J717" s="225">
        <v>3191.75</v>
      </c>
      <c r="K717" s="225">
        <v>3.637978807091713E-12</v>
      </c>
      <c r="L7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17" s="225">
        <f>ROUND(IF(AND(Base_Periodo1[[#This Row],[Tipo_Linha]]="-",Base_Periodo1[[#This Row],[TIPOSALDO]]="D"),Base_Periodo1[[#This Row],[SALDO_ATUAL]]*-1,Base_Periodo1[[#This Row],[SALDO_ATUAL]]),4)</f>
        <v>0</v>
      </c>
      <c r="N717" t="s">
        <v>116</v>
      </c>
      <c r="O717" t="s">
        <v>397</v>
      </c>
      <c r="P717" t="s">
        <v>436</v>
      </c>
      <c r="Q717">
        <v>7</v>
      </c>
      <c r="R717" s="225">
        <f>Base_Periodo1[[#This Row],[CREDITOS]]-Base_Periodo1[[#This Row],[DEBITOS]]</f>
        <v>3191.75</v>
      </c>
      <c r="S717" s="3" t="str">
        <f>IF(ISERROR(VLOOKUP(Base_Periodo1[[#This Row],[CONTA]],BaseContasDRE[#All],4,FALSE)),"Fora do DRE",VLOOKUP(Base_Periodo1[[#This Row],[CONTA]],BaseContasDRE[#All],4,FALSE))</f>
        <v>Fora do DRE</v>
      </c>
      <c r="T717" s="3" t="str">
        <f>IF(ISERROR(VLOOKUP(Base_Periodo1[[#This Row],[CONTA]],BaseContasDRE[#All],5,FALSE)),"Fora do DRE",VLOOKUP(Base_Periodo1[[#This Row],[CONTA]],BaseContasDRE[#All],6,FALSE))</f>
        <v>Fora do DRE</v>
      </c>
      <c r="U717" s="3" t="str">
        <f>IF(ISERROR(VLOOKUP(Base_Periodo1[[#This Row],[CONTA]],BaseContasDRE[#All],7,FALSE)),"Fora do DRE",VLOOKUP(Base_Periodo1[[#This Row],[CONTA]],BaseContasDRE[#All],7,FALSE))</f>
        <v>Fora do DRE</v>
      </c>
      <c r="V717" s="3" t="str">
        <f>IF(Base_Periodo1[[#This Row],[Tipo_Linha]]="Fora do DRE","Fora do DRE","( "&amp;Base_Periodo1[[#This Row],[Tipo_Linha]]&amp;" ) "&amp;Base_Periodo1[[#This Row],[Filtro]])</f>
        <v>Fora do DRE</v>
      </c>
      <c r="W717" s="3" t="str">
        <f>LEFT(Base_Periodo1[[#This Row],[CLASS]],3)</f>
        <v>1.1</v>
      </c>
    </row>
    <row r="718" spans="1:23" hidden="1">
      <c r="A718" s="3" t="str">
        <f t="shared" si="11"/>
        <v>Período 1</v>
      </c>
      <c r="B718">
        <v>2508</v>
      </c>
      <c r="C718" t="s">
        <v>503</v>
      </c>
      <c r="D718" t="s">
        <v>4914</v>
      </c>
      <c r="E718" s="3" t="str">
        <f>IF(LEN(Base_Periodo1[[#This Row],[CLASS]])&gt;=7,LEFT(Base_Periodo1[[#This Row],[CLASS]],7),"")</f>
        <v>1.1.2.1</v>
      </c>
      <c r="F718" s="3" t="str">
        <f>VLOOKUP(Base_Periodo1[[#This Row],[Aux]],Base_Contas_Balanco[#All],2,FALSE)</f>
        <v>Creditos com Cooperados</v>
      </c>
      <c r="G718" s="1">
        <v>42857</v>
      </c>
      <c r="H718" s="225">
        <v>141273.46999999997</v>
      </c>
      <c r="I718" s="225">
        <v>0</v>
      </c>
      <c r="J718" s="225">
        <v>141273.47</v>
      </c>
      <c r="K718" s="225">
        <v>-2.9103830456733704E-11</v>
      </c>
      <c r="L7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18" s="225">
        <f>ROUND(IF(AND(Base_Periodo1[[#This Row],[Tipo_Linha]]="-",Base_Periodo1[[#This Row],[TIPOSALDO]]="D"),Base_Periodo1[[#This Row],[SALDO_ATUAL]]*-1,Base_Periodo1[[#This Row],[SALDO_ATUAL]]),4)</f>
        <v>0</v>
      </c>
      <c r="N718" t="s">
        <v>116</v>
      </c>
      <c r="O718" t="s">
        <v>397</v>
      </c>
      <c r="P718" t="s">
        <v>436</v>
      </c>
      <c r="Q718">
        <v>7</v>
      </c>
      <c r="R718" s="225">
        <f>Base_Periodo1[[#This Row],[CREDITOS]]-Base_Periodo1[[#This Row],[DEBITOS]]</f>
        <v>141273.47</v>
      </c>
      <c r="S718" s="3" t="str">
        <f>IF(ISERROR(VLOOKUP(Base_Periodo1[[#This Row],[CONTA]],BaseContasDRE[#All],4,FALSE)),"Fora do DRE",VLOOKUP(Base_Periodo1[[#This Row],[CONTA]],BaseContasDRE[#All],4,FALSE))</f>
        <v>Fora do DRE</v>
      </c>
      <c r="T718" s="3" t="str">
        <f>IF(ISERROR(VLOOKUP(Base_Periodo1[[#This Row],[CONTA]],BaseContasDRE[#All],5,FALSE)),"Fora do DRE",VLOOKUP(Base_Periodo1[[#This Row],[CONTA]],BaseContasDRE[#All],6,FALSE))</f>
        <v>Fora do DRE</v>
      </c>
      <c r="U718" s="3" t="str">
        <f>IF(ISERROR(VLOOKUP(Base_Periodo1[[#This Row],[CONTA]],BaseContasDRE[#All],7,FALSE)),"Fora do DRE",VLOOKUP(Base_Periodo1[[#This Row],[CONTA]],BaseContasDRE[#All],7,FALSE))</f>
        <v>Fora do DRE</v>
      </c>
      <c r="V718" s="3" t="str">
        <f>IF(Base_Periodo1[[#This Row],[Tipo_Linha]]="Fora do DRE","Fora do DRE","( "&amp;Base_Periodo1[[#This Row],[Tipo_Linha]]&amp;" ) "&amp;Base_Periodo1[[#This Row],[Filtro]])</f>
        <v>Fora do DRE</v>
      </c>
      <c r="W718" s="3" t="str">
        <f>LEFT(Base_Periodo1[[#This Row],[CLASS]],3)</f>
        <v>1.1</v>
      </c>
    </row>
    <row r="719" spans="1:23" hidden="1">
      <c r="A719" s="3" t="str">
        <f t="shared" si="11"/>
        <v>Período 1</v>
      </c>
      <c r="B719">
        <v>3932</v>
      </c>
      <c r="C719" t="s">
        <v>503</v>
      </c>
      <c r="D719" t="s">
        <v>6136</v>
      </c>
      <c r="E719" s="3" t="str">
        <f>IF(LEN(Base_Periodo1[[#This Row],[CLASS]])&gt;=7,LEFT(Base_Periodo1[[#This Row],[CLASS]],7),"")</f>
        <v>1.1.2.1</v>
      </c>
      <c r="F719" s="3" t="str">
        <f>VLOOKUP(Base_Periodo1[[#This Row],[Aux]],Base_Contas_Balanco[#All],2,FALSE)</f>
        <v>Creditos com Cooperados</v>
      </c>
      <c r="G719" s="1">
        <v>42857</v>
      </c>
      <c r="H719" s="225">
        <v>1946.9999999999418</v>
      </c>
      <c r="I719" s="225">
        <v>0</v>
      </c>
      <c r="J719" s="225">
        <v>1947</v>
      </c>
      <c r="K719" s="225">
        <v>-5.8207660913467407E-11</v>
      </c>
      <c r="L7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19" s="225">
        <f>ROUND(IF(AND(Base_Periodo1[[#This Row],[Tipo_Linha]]="-",Base_Periodo1[[#This Row],[TIPOSALDO]]="D"),Base_Periodo1[[#This Row],[SALDO_ATUAL]]*-1,Base_Periodo1[[#This Row],[SALDO_ATUAL]]),4)</f>
        <v>0</v>
      </c>
      <c r="N719" t="s">
        <v>116</v>
      </c>
      <c r="O719" t="s">
        <v>397</v>
      </c>
      <c r="P719" t="s">
        <v>436</v>
      </c>
      <c r="Q719">
        <v>7</v>
      </c>
      <c r="R719" s="225">
        <f>Base_Periodo1[[#This Row],[CREDITOS]]-Base_Periodo1[[#This Row],[DEBITOS]]</f>
        <v>1947</v>
      </c>
      <c r="S719" s="3" t="str">
        <f>IF(ISERROR(VLOOKUP(Base_Periodo1[[#This Row],[CONTA]],BaseContasDRE[#All],4,FALSE)),"Fora do DRE",VLOOKUP(Base_Periodo1[[#This Row],[CONTA]],BaseContasDRE[#All],4,FALSE))</f>
        <v>Fora do DRE</v>
      </c>
      <c r="T719" s="3" t="str">
        <f>IF(ISERROR(VLOOKUP(Base_Periodo1[[#This Row],[CONTA]],BaseContasDRE[#All],5,FALSE)),"Fora do DRE",VLOOKUP(Base_Periodo1[[#This Row],[CONTA]],BaseContasDRE[#All],6,FALSE))</f>
        <v>Fora do DRE</v>
      </c>
      <c r="U719" s="3" t="str">
        <f>IF(ISERROR(VLOOKUP(Base_Periodo1[[#This Row],[CONTA]],BaseContasDRE[#All],7,FALSE)),"Fora do DRE",VLOOKUP(Base_Periodo1[[#This Row],[CONTA]],BaseContasDRE[#All],7,FALSE))</f>
        <v>Fora do DRE</v>
      </c>
      <c r="V719" s="3" t="str">
        <f>IF(Base_Periodo1[[#This Row],[Tipo_Linha]]="Fora do DRE","Fora do DRE","( "&amp;Base_Periodo1[[#This Row],[Tipo_Linha]]&amp;" ) "&amp;Base_Periodo1[[#This Row],[Filtro]])</f>
        <v>Fora do DRE</v>
      </c>
      <c r="W719" s="3" t="str">
        <f>LEFT(Base_Periodo1[[#This Row],[CLASS]],3)</f>
        <v>1.1</v>
      </c>
    </row>
    <row r="720" spans="1:23" hidden="1">
      <c r="A720" s="3" t="str">
        <f t="shared" si="11"/>
        <v>Período 1</v>
      </c>
      <c r="B720">
        <v>2236</v>
      </c>
      <c r="C720" t="s">
        <v>503</v>
      </c>
      <c r="D720" t="s">
        <v>860</v>
      </c>
      <c r="E720" s="3" t="str">
        <f>IF(LEN(Base_Periodo1[[#This Row],[CLASS]])&gt;=7,LEFT(Base_Periodo1[[#This Row],[CLASS]],7),"")</f>
        <v>1.1.2.1</v>
      </c>
      <c r="F720" s="3" t="str">
        <f>VLOOKUP(Base_Periodo1[[#This Row],[Aux]],Base_Contas_Balanco[#All],2,FALSE)</f>
        <v>Creditos com Cooperados</v>
      </c>
      <c r="G720" s="1">
        <v>42877</v>
      </c>
      <c r="H720" s="225">
        <v>27805.000000000116</v>
      </c>
      <c r="I720" s="225">
        <v>19208.400000000005</v>
      </c>
      <c r="J720" s="225">
        <v>38618.400000000001</v>
      </c>
      <c r="K720" s="225">
        <v>8395.0000000001237</v>
      </c>
      <c r="L7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8395</v>
      </c>
      <c r="M720" s="225">
        <f>ROUND(IF(AND(Base_Periodo1[[#This Row],[Tipo_Linha]]="-",Base_Periodo1[[#This Row],[TIPOSALDO]]="D"),Base_Periodo1[[#This Row],[SALDO_ATUAL]]*-1,Base_Periodo1[[#This Row],[SALDO_ATUAL]]),4)</f>
        <v>8395</v>
      </c>
      <c r="N720" t="s">
        <v>116</v>
      </c>
      <c r="O720" t="s">
        <v>397</v>
      </c>
      <c r="P720" t="s">
        <v>397</v>
      </c>
      <c r="Q720">
        <v>7</v>
      </c>
      <c r="R720" s="225">
        <f>Base_Periodo1[[#This Row],[CREDITOS]]-Base_Periodo1[[#This Row],[DEBITOS]]</f>
        <v>19409.999999999996</v>
      </c>
      <c r="S720" s="3" t="str">
        <f>IF(ISERROR(VLOOKUP(Base_Periodo1[[#This Row],[CONTA]],BaseContasDRE[#All],4,FALSE)),"Fora do DRE",VLOOKUP(Base_Periodo1[[#This Row],[CONTA]],BaseContasDRE[#All],4,FALSE))</f>
        <v>Fora do DRE</v>
      </c>
      <c r="T720" s="3" t="str">
        <f>IF(ISERROR(VLOOKUP(Base_Periodo1[[#This Row],[CONTA]],BaseContasDRE[#All],5,FALSE)),"Fora do DRE",VLOOKUP(Base_Periodo1[[#This Row],[CONTA]],BaseContasDRE[#All],6,FALSE))</f>
        <v>Fora do DRE</v>
      </c>
      <c r="U720" s="3" t="str">
        <f>IF(ISERROR(VLOOKUP(Base_Periodo1[[#This Row],[CONTA]],BaseContasDRE[#All],7,FALSE)),"Fora do DRE",VLOOKUP(Base_Periodo1[[#This Row],[CONTA]],BaseContasDRE[#All],7,FALSE))</f>
        <v>Fora do DRE</v>
      </c>
      <c r="V720" s="3" t="str">
        <f>IF(Base_Periodo1[[#This Row],[Tipo_Linha]]="Fora do DRE","Fora do DRE","( "&amp;Base_Periodo1[[#This Row],[Tipo_Linha]]&amp;" ) "&amp;Base_Periodo1[[#This Row],[Filtro]])</f>
        <v>Fora do DRE</v>
      </c>
      <c r="W720" s="3" t="str">
        <f>LEFT(Base_Periodo1[[#This Row],[CLASS]],3)</f>
        <v>1.1</v>
      </c>
    </row>
    <row r="721" spans="1:23" hidden="1">
      <c r="A721" s="3" t="str">
        <f t="shared" si="11"/>
        <v>Período 1</v>
      </c>
      <c r="B721">
        <v>51387</v>
      </c>
      <c r="C721" t="s">
        <v>503</v>
      </c>
      <c r="D721" t="s">
        <v>4915</v>
      </c>
      <c r="E721" s="3" t="str">
        <f>IF(LEN(Base_Periodo1[[#This Row],[CLASS]])&gt;=7,LEFT(Base_Periodo1[[#This Row],[CLASS]],7),"")</f>
        <v>1.1.2.1</v>
      </c>
      <c r="F721" s="3" t="str">
        <f>VLOOKUP(Base_Periodo1[[#This Row],[Aux]],Base_Contas_Balanco[#All],2,FALSE)</f>
        <v>Creditos com Cooperados</v>
      </c>
      <c r="G721" s="1">
        <v>42843</v>
      </c>
      <c r="H721" s="225">
        <v>15298.110000000008</v>
      </c>
      <c r="I721" s="225">
        <v>0</v>
      </c>
      <c r="J721" s="225">
        <v>0</v>
      </c>
      <c r="K721" s="225">
        <v>15298.110000000008</v>
      </c>
      <c r="L7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15298.11</v>
      </c>
      <c r="M721" s="225">
        <f>ROUND(IF(AND(Base_Periodo1[[#This Row],[Tipo_Linha]]="-",Base_Periodo1[[#This Row],[TIPOSALDO]]="D"),Base_Periodo1[[#This Row],[SALDO_ATUAL]]*-1,Base_Periodo1[[#This Row],[SALDO_ATUAL]]),4)</f>
        <v>15298.11</v>
      </c>
      <c r="N721" t="s">
        <v>116</v>
      </c>
      <c r="O721" t="s">
        <v>397</v>
      </c>
      <c r="P721" t="s">
        <v>397</v>
      </c>
      <c r="Q721">
        <v>7</v>
      </c>
      <c r="R721" s="225">
        <f>Base_Periodo1[[#This Row],[CREDITOS]]-Base_Periodo1[[#This Row],[DEBITOS]]</f>
        <v>0</v>
      </c>
      <c r="S721" s="3" t="str">
        <f>IF(ISERROR(VLOOKUP(Base_Periodo1[[#This Row],[CONTA]],BaseContasDRE[#All],4,FALSE)),"Fora do DRE",VLOOKUP(Base_Periodo1[[#This Row],[CONTA]],BaseContasDRE[#All],4,FALSE))</f>
        <v>Fora do DRE</v>
      </c>
      <c r="T721" s="3" t="str">
        <f>IF(ISERROR(VLOOKUP(Base_Periodo1[[#This Row],[CONTA]],BaseContasDRE[#All],5,FALSE)),"Fora do DRE",VLOOKUP(Base_Periodo1[[#This Row],[CONTA]],BaseContasDRE[#All],6,FALSE))</f>
        <v>Fora do DRE</v>
      </c>
      <c r="U721" s="3" t="str">
        <f>IF(ISERROR(VLOOKUP(Base_Periodo1[[#This Row],[CONTA]],BaseContasDRE[#All],7,FALSE)),"Fora do DRE",VLOOKUP(Base_Periodo1[[#This Row],[CONTA]],BaseContasDRE[#All],7,FALSE))</f>
        <v>Fora do DRE</v>
      </c>
      <c r="V721" s="3" t="str">
        <f>IF(Base_Periodo1[[#This Row],[Tipo_Linha]]="Fora do DRE","Fora do DRE","( "&amp;Base_Periodo1[[#This Row],[Tipo_Linha]]&amp;" ) "&amp;Base_Periodo1[[#This Row],[Filtro]])</f>
        <v>Fora do DRE</v>
      </c>
      <c r="W721" s="3" t="str">
        <f>LEFT(Base_Periodo1[[#This Row],[CLASS]],3)</f>
        <v>1.1</v>
      </c>
    </row>
    <row r="722" spans="1:23" hidden="1">
      <c r="A722" s="3" t="str">
        <f t="shared" si="11"/>
        <v>Período 1</v>
      </c>
      <c r="B722">
        <v>29597</v>
      </c>
      <c r="C722" t="s">
        <v>503</v>
      </c>
      <c r="D722" t="s">
        <v>861</v>
      </c>
      <c r="E722" s="3" t="str">
        <f>IF(LEN(Base_Periodo1[[#This Row],[CLASS]])&gt;=7,LEFT(Base_Periodo1[[#This Row],[CLASS]],7),"")</f>
        <v>1.1.2.1</v>
      </c>
      <c r="F722" s="3" t="str">
        <f>VLOOKUP(Base_Periodo1[[#This Row],[Aux]],Base_Contas_Balanco[#All],2,FALSE)</f>
        <v>Creditos com Cooperados</v>
      </c>
      <c r="G722" s="1">
        <v>42873</v>
      </c>
      <c r="H722" s="225">
        <v>7682.4000000000233</v>
      </c>
      <c r="I722" s="225">
        <v>2903</v>
      </c>
      <c r="J722" s="225">
        <v>7280.9999999999991</v>
      </c>
      <c r="K722" s="225">
        <v>3304.4000000000242</v>
      </c>
      <c r="L7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3304.4</v>
      </c>
      <c r="M722" s="225">
        <f>ROUND(IF(AND(Base_Periodo1[[#This Row],[Tipo_Linha]]="-",Base_Periodo1[[#This Row],[TIPOSALDO]]="D"),Base_Periodo1[[#This Row],[SALDO_ATUAL]]*-1,Base_Periodo1[[#This Row],[SALDO_ATUAL]]),4)</f>
        <v>3304.4</v>
      </c>
      <c r="N722" t="s">
        <v>116</v>
      </c>
      <c r="O722" t="s">
        <v>397</v>
      </c>
      <c r="P722" t="s">
        <v>397</v>
      </c>
      <c r="Q722">
        <v>7</v>
      </c>
      <c r="R722" s="225">
        <f>Base_Periodo1[[#This Row],[CREDITOS]]-Base_Periodo1[[#This Row],[DEBITOS]]</f>
        <v>4377.9999999999991</v>
      </c>
      <c r="S722" s="3" t="str">
        <f>IF(ISERROR(VLOOKUP(Base_Periodo1[[#This Row],[CONTA]],BaseContasDRE[#All],4,FALSE)),"Fora do DRE",VLOOKUP(Base_Periodo1[[#This Row],[CONTA]],BaseContasDRE[#All],4,FALSE))</f>
        <v>Fora do DRE</v>
      </c>
      <c r="T722" s="3" t="str">
        <f>IF(ISERROR(VLOOKUP(Base_Periodo1[[#This Row],[CONTA]],BaseContasDRE[#All],5,FALSE)),"Fora do DRE",VLOOKUP(Base_Periodo1[[#This Row],[CONTA]],BaseContasDRE[#All],6,FALSE))</f>
        <v>Fora do DRE</v>
      </c>
      <c r="U722" s="3" t="str">
        <f>IF(ISERROR(VLOOKUP(Base_Periodo1[[#This Row],[CONTA]],BaseContasDRE[#All],7,FALSE)),"Fora do DRE",VLOOKUP(Base_Periodo1[[#This Row],[CONTA]],BaseContasDRE[#All],7,FALSE))</f>
        <v>Fora do DRE</v>
      </c>
      <c r="V722" s="3" t="str">
        <f>IF(Base_Periodo1[[#This Row],[Tipo_Linha]]="Fora do DRE","Fora do DRE","( "&amp;Base_Periodo1[[#This Row],[Tipo_Linha]]&amp;" ) "&amp;Base_Periodo1[[#This Row],[Filtro]])</f>
        <v>Fora do DRE</v>
      </c>
      <c r="W722" s="3" t="str">
        <f>LEFT(Base_Periodo1[[#This Row],[CLASS]],3)</f>
        <v>1.1</v>
      </c>
    </row>
    <row r="723" spans="1:23" hidden="1">
      <c r="A723" s="3" t="str">
        <f t="shared" si="11"/>
        <v>Período 1</v>
      </c>
      <c r="B723">
        <v>49661</v>
      </c>
      <c r="C723" t="s">
        <v>503</v>
      </c>
      <c r="D723" t="s">
        <v>4916</v>
      </c>
      <c r="E723" s="3" t="str">
        <f>IF(LEN(Base_Periodo1[[#This Row],[CLASS]])&gt;=7,LEFT(Base_Periodo1[[#This Row],[CLASS]],7),"")</f>
        <v>1.1.2.1</v>
      </c>
      <c r="F723" s="3" t="str">
        <f>VLOOKUP(Base_Periodo1[[#This Row],[Aux]],Base_Contas_Balanco[#All],2,FALSE)</f>
        <v>Creditos com Cooperados</v>
      </c>
      <c r="G723" s="1">
        <v>42859</v>
      </c>
      <c r="H723" s="225">
        <v>70202.310000000056</v>
      </c>
      <c r="I723" s="225">
        <v>460</v>
      </c>
      <c r="J723" s="225">
        <v>0</v>
      </c>
      <c r="K723" s="225">
        <v>70662.310000000056</v>
      </c>
      <c r="L7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70662.31</v>
      </c>
      <c r="M723" s="225">
        <f>ROUND(IF(AND(Base_Periodo1[[#This Row],[Tipo_Linha]]="-",Base_Periodo1[[#This Row],[TIPOSALDO]]="D"),Base_Periodo1[[#This Row],[SALDO_ATUAL]]*-1,Base_Periodo1[[#This Row],[SALDO_ATUAL]]),4)</f>
        <v>70662.31</v>
      </c>
      <c r="N723" t="s">
        <v>116</v>
      </c>
      <c r="O723" t="s">
        <v>397</v>
      </c>
      <c r="P723" t="s">
        <v>397</v>
      </c>
      <c r="Q723">
        <v>7</v>
      </c>
      <c r="R723" s="225">
        <f>Base_Periodo1[[#This Row],[CREDITOS]]-Base_Periodo1[[#This Row],[DEBITOS]]</f>
        <v>-460</v>
      </c>
      <c r="S723" s="3" t="str">
        <f>IF(ISERROR(VLOOKUP(Base_Periodo1[[#This Row],[CONTA]],BaseContasDRE[#All],4,FALSE)),"Fora do DRE",VLOOKUP(Base_Periodo1[[#This Row],[CONTA]],BaseContasDRE[#All],4,FALSE))</f>
        <v>Fora do DRE</v>
      </c>
      <c r="T723" s="3" t="str">
        <f>IF(ISERROR(VLOOKUP(Base_Periodo1[[#This Row],[CONTA]],BaseContasDRE[#All],5,FALSE)),"Fora do DRE",VLOOKUP(Base_Periodo1[[#This Row],[CONTA]],BaseContasDRE[#All],6,FALSE))</f>
        <v>Fora do DRE</v>
      </c>
      <c r="U723" s="3" t="str">
        <f>IF(ISERROR(VLOOKUP(Base_Periodo1[[#This Row],[CONTA]],BaseContasDRE[#All],7,FALSE)),"Fora do DRE",VLOOKUP(Base_Periodo1[[#This Row],[CONTA]],BaseContasDRE[#All],7,FALSE))</f>
        <v>Fora do DRE</v>
      </c>
      <c r="V723" s="3" t="str">
        <f>IF(Base_Periodo1[[#This Row],[Tipo_Linha]]="Fora do DRE","Fora do DRE","( "&amp;Base_Periodo1[[#This Row],[Tipo_Linha]]&amp;" ) "&amp;Base_Periodo1[[#This Row],[Filtro]])</f>
        <v>Fora do DRE</v>
      </c>
      <c r="W723" s="3" t="str">
        <f>LEFT(Base_Periodo1[[#This Row],[CLASS]],3)</f>
        <v>1.1</v>
      </c>
    </row>
    <row r="724" spans="1:23" hidden="1">
      <c r="A724" s="3" t="str">
        <f t="shared" si="11"/>
        <v>Período 1</v>
      </c>
      <c r="B724">
        <v>12739</v>
      </c>
      <c r="C724" t="s">
        <v>503</v>
      </c>
      <c r="D724" t="s">
        <v>6734</v>
      </c>
      <c r="E724" s="3" t="str">
        <f>IF(LEN(Base_Periodo1[[#This Row],[CLASS]])&gt;=7,LEFT(Base_Periodo1[[#This Row],[CLASS]],7),"")</f>
        <v>1.1.2.1</v>
      </c>
      <c r="F724" s="3" t="str">
        <f>VLOOKUP(Base_Periodo1[[#This Row],[Aux]],Base_Contas_Balanco[#All],2,FALSE)</f>
        <v>Creditos com Cooperados</v>
      </c>
      <c r="G724" s="1">
        <v>42881</v>
      </c>
      <c r="I724" s="225">
        <v>150</v>
      </c>
      <c r="J724" s="225">
        <v>150</v>
      </c>
      <c r="K724" s="225">
        <v>0</v>
      </c>
      <c r="L7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24" s="225">
        <f>ROUND(IF(AND(Base_Periodo1[[#This Row],[Tipo_Linha]]="-",Base_Periodo1[[#This Row],[TIPOSALDO]]="D"),Base_Periodo1[[#This Row],[SALDO_ATUAL]]*-1,Base_Periodo1[[#This Row],[SALDO_ATUAL]]),4)</f>
        <v>0</v>
      </c>
      <c r="N724" t="s">
        <v>116</v>
      </c>
      <c r="O724" t="s">
        <v>436</v>
      </c>
      <c r="P724" t="s">
        <v>436</v>
      </c>
      <c r="Q724">
        <v>7</v>
      </c>
      <c r="R724" s="225">
        <f>Base_Periodo1[[#This Row],[CREDITOS]]-Base_Periodo1[[#This Row],[DEBITOS]]</f>
        <v>0</v>
      </c>
      <c r="S724" s="3" t="str">
        <f>IF(ISERROR(VLOOKUP(Base_Periodo1[[#This Row],[CONTA]],BaseContasDRE[#All],4,FALSE)),"Fora do DRE",VLOOKUP(Base_Periodo1[[#This Row],[CONTA]],BaseContasDRE[#All],4,FALSE))</f>
        <v>Fora do DRE</v>
      </c>
      <c r="T724" s="3" t="str">
        <f>IF(ISERROR(VLOOKUP(Base_Periodo1[[#This Row],[CONTA]],BaseContasDRE[#All],5,FALSE)),"Fora do DRE",VLOOKUP(Base_Periodo1[[#This Row],[CONTA]],BaseContasDRE[#All],6,FALSE))</f>
        <v>Fora do DRE</v>
      </c>
      <c r="U724" s="3" t="str">
        <f>IF(ISERROR(VLOOKUP(Base_Periodo1[[#This Row],[CONTA]],BaseContasDRE[#All],7,FALSE)),"Fora do DRE",VLOOKUP(Base_Periodo1[[#This Row],[CONTA]],BaseContasDRE[#All],7,FALSE))</f>
        <v>Fora do DRE</v>
      </c>
      <c r="V724" s="3" t="str">
        <f>IF(Base_Periodo1[[#This Row],[Tipo_Linha]]="Fora do DRE","Fora do DRE","( "&amp;Base_Periodo1[[#This Row],[Tipo_Linha]]&amp;" ) "&amp;Base_Periodo1[[#This Row],[Filtro]])</f>
        <v>Fora do DRE</v>
      </c>
      <c r="W724" s="3" t="str">
        <f>LEFT(Base_Periodo1[[#This Row],[CLASS]],3)</f>
        <v>1.1</v>
      </c>
    </row>
    <row r="725" spans="1:23" hidden="1">
      <c r="A725" s="3" t="str">
        <f t="shared" si="11"/>
        <v>Período 1</v>
      </c>
      <c r="B725">
        <v>53934</v>
      </c>
      <c r="C725" t="s">
        <v>503</v>
      </c>
      <c r="D725" t="s">
        <v>4830</v>
      </c>
      <c r="E725" s="3" t="str">
        <f>IF(LEN(Base_Periodo1[[#This Row],[CLASS]])&gt;=7,LEFT(Base_Periodo1[[#This Row],[CLASS]],7),"")</f>
        <v>1.1.2.1</v>
      </c>
      <c r="F725" s="3" t="str">
        <f>VLOOKUP(Base_Periodo1[[#This Row],[Aux]],Base_Contas_Balanco[#All],2,FALSE)</f>
        <v>Creditos com Cooperados</v>
      </c>
      <c r="G725" s="1">
        <v>42886</v>
      </c>
      <c r="H725" s="225">
        <v>571.64999999999964</v>
      </c>
      <c r="I725" s="225">
        <v>10.35</v>
      </c>
      <c r="J725" s="225">
        <v>582</v>
      </c>
      <c r="K725" s="225">
        <v>-3.4106051316484809E-13</v>
      </c>
      <c r="L7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25" s="225">
        <f>ROUND(IF(AND(Base_Periodo1[[#This Row],[Tipo_Linha]]="-",Base_Periodo1[[#This Row],[TIPOSALDO]]="D"),Base_Periodo1[[#This Row],[SALDO_ATUAL]]*-1,Base_Periodo1[[#This Row],[SALDO_ATUAL]]),4)</f>
        <v>0</v>
      </c>
      <c r="N725" t="s">
        <v>116</v>
      </c>
      <c r="O725" t="s">
        <v>397</v>
      </c>
      <c r="P725" t="s">
        <v>436</v>
      </c>
      <c r="Q725">
        <v>7</v>
      </c>
      <c r="R725" s="225">
        <f>Base_Periodo1[[#This Row],[CREDITOS]]-Base_Periodo1[[#This Row],[DEBITOS]]</f>
        <v>571.65</v>
      </c>
      <c r="S725" s="3" t="str">
        <f>IF(ISERROR(VLOOKUP(Base_Periodo1[[#This Row],[CONTA]],BaseContasDRE[#All],4,FALSE)),"Fora do DRE",VLOOKUP(Base_Periodo1[[#This Row],[CONTA]],BaseContasDRE[#All],4,FALSE))</f>
        <v>Fora do DRE</v>
      </c>
      <c r="T725" s="3" t="str">
        <f>IF(ISERROR(VLOOKUP(Base_Periodo1[[#This Row],[CONTA]],BaseContasDRE[#All],5,FALSE)),"Fora do DRE",VLOOKUP(Base_Periodo1[[#This Row],[CONTA]],BaseContasDRE[#All],6,FALSE))</f>
        <v>Fora do DRE</v>
      </c>
      <c r="U725" s="3" t="str">
        <f>IF(ISERROR(VLOOKUP(Base_Periodo1[[#This Row],[CONTA]],BaseContasDRE[#All],7,FALSE)),"Fora do DRE",VLOOKUP(Base_Periodo1[[#This Row],[CONTA]],BaseContasDRE[#All],7,FALSE))</f>
        <v>Fora do DRE</v>
      </c>
      <c r="V725" s="3" t="str">
        <f>IF(Base_Periodo1[[#This Row],[Tipo_Linha]]="Fora do DRE","Fora do DRE","( "&amp;Base_Periodo1[[#This Row],[Tipo_Linha]]&amp;" ) "&amp;Base_Periodo1[[#This Row],[Filtro]])</f>
        <v>Fora do DRE</v>
      </c>
      <c r="W725" s="3" t="str">
        <f>LEFT(Base_Periodo1[[#This Row],[CLASS]],3)</f>
        <v>1.1</v>
      </c>
    </row>
    <row r="726" spans="1:23" hidden="1">
      <c r="A726" s="3" t="str">
        <f t="shared" si="11"/>
        <v>Período 1</v>
      </c>
      <c r="B726">
        <v>4900</v>
      </c>
      <c r="C726" t="s">
        <v>503</v>
      </c>
      <c r="D726" t="s">
        <v>862</v>
      </c>
      <c r="E726" s="3" t="str">
        <f>IF(LEN(Base_Periodo1[[#This Row],[CLASS]])&gt;=7,LEFT(Base_Periodo1[[#This Row],[CLASS]],7),"")</f>
        <v>1.1.2.1</v>
      </c>
      <c r="F726" s="3" t="str">
        <f>VLOOKUP(Base_Periodo1[[#This Row],[Aux]],Base_Contas_Balanco[#All],2,FALSE)</f>
        <v>Creditos com Cooperados</v>
      </c>
      <c r="G726" s="1">
        <v>42717</v>
      </c>
      <c r="H726" s="225">
        <v>0.63999999995576218</v>
      </c>
      <c r="I726" s="225">
        <v>0</v>
      </c>
      <c r="J726" s="225">
        <v>0</v>
      </c>
      <c r="K726" s="225">
        <v>0.63999999995576218</v>
      </c>
      <c r="L7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0.64</v>
      </c>
      <c r="M726" s="225">
        <f>ROUND(IF(AND(Base_Periodo1[[#This Row],[Tipo_Linha]]="-",Base_Periodo1[[#This Row],[TIPOSALDO]]="D"),Base_Periodo1[[#This Row],[SALDO_ATUAL]]*-1,Base_Periodo1[[#This Row],[SALDO_ATUAL]]),4)</f>
        <v>0.64</v>
      </c>
      <c r="N726" t="s">
        <v>116</v>
      </c>
      <c r="O726" t="s">
        <v>397</v>
      </c>
      <c r="P726" t="s">
        <v>397</v>
      </c>
      <c r="Q726">
        <v>7</v>
      </c>
      <c r="R726" s="225">
        <f>Base_Periodo1[[#This Row],[CREDITOS]]-Base_Periodo1[[#This Row],[DEBITOS]]</f>
        <v>0</v>
      </c>
      <c r="S726" s="3" t="str">
        <f>IF(ISERROR(VLOOKUP(Base_Periodo1[[#This Row],[CONTA]],BaseContasDRE[#All],4,FALSE)),"Fora do DRE",VLOOKUP(Base_Periodo1[[#This Row],[CONTA]],BaseContasDRE[#All],4,FALSE))</f>
        <v>Fora do DRE</v>
      </c>
      <c r="T726" s="3" t="str">
        <f>IF(ISERROR(VLOOKUP(Base_Periodo1[[#This Row],[CONTA]],BaseContasDRE[#All],5,FALSE)),"Fora do DRE",VLOOKUP(Base_Periodo1[[#This Row],[CONTA]],BaseContasDRE[#All],6,FALSE))</f>
        <v>Fora do DRE</v>
      </c>
      <c r="U726" s="3" t="str">
        <f>IF(ISERROR(VLOOKUP(Base_Periodo1[[#This Row],[CONTA]],BaseContasDRE[#All],7,FALSE)),"Fora do DRE",VLOOKUP(Base_Periodo1[[#This Row],[CONTA]],BaseContasDRE[#All],7,FALSE))</f>
        <v>Fora do DRE</v>
      </c>
      <c r="V726" s="3" t="str">
        <f>IF(Base_Periodo1[[#This Row],[Tipo_Linha]]="Fora do DRE","Fora do DRE","( "&amp;Base_Periodo1[[#This Row],[Tipo_Linha]]&amp;" ) "&amp;Base_Periodo1[[#This Row],[Filtro]])</f>
        <v>Fora do DRE</v>
      </c>
      <c r="W726" s="3" t="str">
        <f>LEFT(Base_Periodo1[[#This Row],[CLASS]],3)</f>
        <v>1.1</v>
      </c>
    </row>
    <row r="727" spans="1:23" hidden="1">
      <c r="A727" s="3" t="str">
        <f t="shared" si="11"/>
        <v>Período 1</v>
      </c>
      <c r="B727">
        <v>2616</v>
      </c>
      <c r="C727" t="s">
        <v>503</v>
      </c>
      <c r="D727" t="s">
        <v>863</v>
      </c>
      <c r="E727" s="3" t="str">
        <f>IF(LEN(Base_Periodo1[[#This Row],[CLASS]])&gt;=7,LEFT(Base_Periodo1[[#This Row],[CLASS]],7),"")</f>
        <v>1.1.2.1</v>
      </c>
      <c r="F727" s="3" t="str">
        <f>VLOOKUP(Base_Periodo1[[#This Row],[Aux]],Base_Contas_Balanco[#All],2,FALSE)</f>
        <v>Creditos com Cooperados</v>
      </c>
      <c r="G727" s="1">
        <v>42551</v>
      </c>
      <c r="H727" s="225">
        <v>1604179.1300000101</v>
      </c>
      <c r="I727" s="225">
        <v>0</v>
      </c>
      <c r="J727" s="225">
        <v>0</v>
      </c>
      <c r="K727" s="225">
        <v>1604179.1300000101</v>
      </c>
      <c r="L7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1604179.13</v>
      </c>
      <c r="M727" s="225">
        <f>ROUND(IF(AND(Base_Periodo1[[#This Row],[Tipo_Linha]]="-",Base_Periodo1[[#This Row],[TIPOSALDO]]="D"),Base_Periodo1[[#This Row],[SALDO_ATUAL]]*-1,Base_Periodo1[[#This Row],[SALDO_ATUAL]]),4)</f>
        <v>1604179.13</v>
      </c>
      <c r="N727" t="s">
        <v>116</v>
      </c>
      <c r="O727" t="s">
        <v>397</v>
      </c>
      <c r="P727" t="s">
        <v>397</v>
      </c>
      <c r="Q727">
        <v>7</v>
      </c>
      <c r="R727" s="225">
        <f>Base_Periodo1[[#This Row],[CREDITOS]]-Base_Periodo1[[#This Row],[DEBITOS]]</f>
        <v>0</v>
      </c>
      <c r="S727" s="3" t="str">
        <f>IF(ISERROR(VLOOKUP(Base_Periodo1[[#This Row],[CONTA]],BaseContasDRE[#All],4,FALSE)),"Fora do DRE",VLOOKUP(Base_Periodo1[[#This Row],[CONTA]],BaseContasDRE[#All],4,FALSE))</f>
        <v>Fora do DRE</v>
      </c>
      <c r="T727" s="3" t="str">
        <f>IF(ISERROR(VLOOKUP(Base_Periodo1[[#This Row],[CONTA]],BaseContasDRE[#All],5,FALSE)),"Fora do DRE",VLOOKUP(Base_Periodo1[[#This Row],[CONTA]],BaseContasDRE[#All],6,FALSE))</f>
        <v>Fora do DRE</v>
      </c>
      <c r="U727" s="3" t="str">
        <f>IF(ISERROR(VLOOKUP(Base_Periodo1[[#This Row],[CONTA]],BaseContasDRE[#All],7,FALSE)),"Fora do DRE",VLOOKUP(Base_Periodo1[[#This Row],[CONTA]],BaseContasDRE[#All],7,FALSE))</f>
        <v>Fora do DRE</v>
      </c>
      <c r="V727" s="3" t="str">
        <f>IF(Base_Periodo1[[#This Row],[Tipo_Linha]]="Fora do DRE","Fora do DRE","( "&amp;Base_Periodo1[[#This Row],[Tipo_Linha]]&amp;" ) "&amp;Base_Periodo1[[#This Row],[Filtro]])</f>
        <v>Fora do DRE</v>
      </c>
      <c r="W727" s="3" t="str">
        <f>LEFT(Base_Periodo1[[#This Row],[CLASS]],3)</f>
        <v>1.1</v>
      </c>
    </row>
    <row r="728" spans="1:23" hidden="1">
      <c r="A728" s="3" t="str">
        <f t="shared" si="11"/>
        <v>Período 1</v>
      </c>
      <c r="B728">
        <v>55125</v>
      </c>
      <c r="C728" t="s">
        <v>503</v>
      </c>
      <c r="D728" t="s">
        <v>5858</v>
      </c>
      <c r="E728" s="3" t="str">
        <f>IF(LEN(Base_Periodo1[[#This Row],[CLASS]])&gt;=7,LEFT(Base_Periodo1[[#This Row],[CLASS]],7),"")</f>
        <v>1.1.2.1</v>
      </c>
      <c r="F728" s="3" t="str">
        <f>VLOOKUP(Base_Periodo1[[#This Row],[Aux]],Base_Contas_Balanco[#All],2,FALSE)</f>
        <v>Creditos com Cooperados</v>
      </c>
      <c r="G728" s="1">
        <v>42849</v>
      </c>
      <c r="H728" s="225">
        <v>83.999999999999091</v>
      </c>
      <c r="I728" s="225">
        <v>0</v>
      </c>
      <c r="J728" s="225">
        <v>0</v>
      </c>
      <c r="K728" s="225">
        <v>83.999999999999091</v>
      </c>
      <c r="L7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</v>
      </c>
      <c r="M728" s="225">
        <f>ROUND(IF(AND(Base_Periodo1[[#This Row],[Tipo_Linha]]="-",Base_Periodo1[[#This Row],[TIPOSALDO]]="D"),Base_Periodo1[[#This Row],[SALDO_ATUAL]]*-1,Base_Periodo1[[#This Row],[SALDO_ATUAL]]),4)</f>
        <v>84</v>
      </c>
      <c r="N728" t="s">
        <v>116</v>
      </c>
      <c r="O728" t="s">
        <v>397</v>
      </c>
      <c r="P728" t="s">
        <v>397</v>
      </c>
      <c r="Q728">
        <v>7</v>
      </c>
      <c r="R728" s="225">
        <f>Base_Periodo1[[#This Row],[CREDITOS]]-Base_Periodo1[[#This Row],[DEBITOS]]</f>
        <v>0</v>
      </c>
      <c r="S728" s="3" t="str">
        <f>IF(ISERROR(VLOOKUP(Base_Periodo1[[#This Row],[CONTA]],BaseContasDRE[#All],4,FALSE)),"Fora do DRE",VLOOKUP(Base_Periodo1[[#This Row],[CONTA]],BaseContasDRE[#All],4,FALSE))</f>
        <v>Fora do DRE</v>
      </c>
      <c r="T728" s="3" t="str">
        <f>IF(ISERROR(VLOOKUP(Base_Periodo1[[#This Row],[CONTA]],BaseContasDRE[#All],5,FALSE)),"Fora do DRE",VLOOKUP(Base_Periodo1[[#This Row],[CONTA]],BaseContasDRE[#All],6,FALSE))</f>
        <v>Fora do DRE</v>
      </c>
      <c r="U728" s="3" t="str">
        <f>IF(ISERROR(VLOOKUP(Base_Periodo1[[#This Row],[CONTA]],BaseContasDRE[#All],7,FALSE)),"Fora do DRE",VLOOKUP(Base_Periodo1[[#This Row],[CONTA]],BaseContasDRE[#All],7,FALSE))</f>
        <v>Fora do DRE</v>
      </c>
      <c r="V728" s="3" t="str">
        <f>IF(Base_Periodo1[[#This Row],[Tipo_Linha]]="Fora do DRE","Fora do DRE","( "&amp;Base_Periodo1[[#This Row],[Tipo_Linha]]&amp;" ) "&amp;Base_Periodo1[[#This Row],[Filtro]])</f>
        <v>Fora do DRE</v>
      </c>
      <c r="W728" s="3" t="str">
        <f>LEFT(Base_Periodo1[[#This Row],[CLASS]],3)</f>
        <v>1.1</v>
      </c>
    </row>
    <row r="729" spans="1:23" hidden="1">
      <c r="A729" s="3" t="str">
        <f t="shared" si="11"/>
        <v>Período 1</v>
      </c>
      <c r="B729">
        <v>20696</v>
      </c>
      <c r="C729" t="s">
        <v>503</v>
      </c>
      <c r="D729" t="s">
        <v>864</v>
      </c>
      <c r="E729" s="3" t="str">
        <f>IF(LEN(Base_Periodo1[[#This Row],[CLASS]])&gt;=7,LEFT(Base_Periodo1[[#This Row],[CLASS]],7),"")</f>
        <v>1.1.2.1</v>
      </c>
      <c r="F729" s="3" t="str">
        <f>VLOOKUP(Base_Periodo1[[#This Row],[Aux]],Base_Contas_Balanco[#All],2,FALSE)</f>
        <v>Creditos com Cooperados</v>
      </c>
      <c r="G729" s="1">
        <v>42880</v>
      </c>
      <c r="H729" s="225">
        <v>594.99999999994179</v>
      </c>
      <c r="I729" s="225">
        <v>3896</v>
      </c>
      <c r="J729" s="225">
        <v>0</v>
      </c>
      <c r="K729" s="225">
        <v>4490.9999999999418</v>
      </c>
      <c r="L7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4491</v>
      </c>
      <c r="M729" s="225">
        <f>ROUND(IF(AND(Base_Periodo1[[#This Row],[Tipo_Linha]]="-",Base_Periodo1[[#This Row],[TIPOSALDO]]="D"),Base_Periodo1[[#This Row],[SALDO_ATUAL]]*-1,Base_Periodo1[[#This Row],[SALDO_ATUAL]]),4)</f>
        <v>4491</v>
      </c>
      <c r="N729" t="s">
        <v>116</v>
      </c>
      <c r="O729" t="s">
        <v>397</v>
      </c>
      <c r="P729" t="s">
        <v>397</v>
      </c>
      <c r="Q729">
        <v>7</v>
      </c>
      <c r="R729" s="225">
        <f>Base_Periodo1[[#This Row],[CREDITOS]]-Base_Periodo1[[#This Row],[DEBITOS]]</f>
        <v>-3896</v>
      </c>
      <c r="S729" s="3" t="str">
        <f>IF(ISERROR(VLOOKUP(Base_Periodo1[[#This Row],[CONTA]],BaseContasDRE[#All],4,FALSE)),"Fora do DRE",VLOOKUP(Base_Periodo1[[#This Row],[CONTA]],BaseContasDRE[#All],4,FALSE))</f>
        <v>Fora do DRE</v>
      </c>
      <c r="T729" s="3" t="str">
        <f>IF(ISERROR(VLOOKUP(Base_Periodo1[[#This Row],[CONTA]],BaseContasDRE[#All],5,FALSE)),"Fora do DRE",VLOOKUP(Base_Periodo1[[#This Row],[CONTA]],BaseContasDRE[#All],6,FALSE))</f>
        <v>Fora do DRE</v>
      </c>
      <c r="U729" s="3" t="str">
        <f>IF(ISERROR(VLOOKUP(Base_Periodo1[[#This Row],[CONTA]],BaseContasDRE[#All],7,FALSE)),"Fora do DRE",VLOOKUP(Base_Periodo1[[#This Row],[CONTA]],BaseContasDRE[#All],7,FALSE))</f>
        <v>Fora do DRE</v>
      </c>
      <c r="V729" s="3" t="str">
        <f>IF(Base_Periodo1[[#This Row],[Tipo_Linha]]="Fora do DRE","Fora do DRE","( "&amp;Base_Periodo1[[#This Row],[Tipo_Linha]]&amp;" ) "&amp;Base_Periodo1[[#This Row],[Filtro]])</f>
        <v>Fora do DRE</v>
      </c>
      <c r="W729" s="3" t="str">
        <f>LEFT(Base_Periodo1[[#This Row],[CLASS]],3)</f>
        <v>1.1</v>
      </c>
    </row>
    <row r="730" spans="1:23" hidden="1">
      <c r="A730" s="3" t="str">
        <f t="shared" si="11"/>
        <v>Período 1</v>
      </c>
      <c r="B730">
        <v>8754</v>
      </c>
      <c r="C730" t="s">
        <v>503</v>
      </c>
      <c r="D730" t="s">
        <v>865</v>
      </c>
      <c r="E730" s="3" t="str">
        <f>IF(LEN(Base_Periodo1[[#This Row],[CLASS]])&gt;=7,LEFT(Base_Periodo1[[#This Row],[CLASS]],7),"")</f>
        <v>1.1.2.1</v>
      </c>
      <c r="F730" s="3" t="str">
        <f>VLOOKUP(Base_Periodo1[[#This Row],[Aux]],Base_Contas_Balanco[#All],2,FALSE)</f>
        <v>Creditos com Cooperados</v>
      </c>
      <c r="G730" s="1">
        <v>42867</v>
      </c>
      <c r="H730" s="225">
        <v>11160</v>
      </c>
      <c r="I730" s="225">
        <v>0</v>
      </c>
      <c r="J730" s="225">
        <v>11160</v>
      </c>
      <c r="K730" s="225">
        <v>0</v>
      </c>
      <c r="L7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30" s="225">
        <f>ROUND(IF(AND(Base_Periodo1[[#This Row],[Tipo_Linha]]="-",Base_Periodo1[[#This Row],[TIPOSALDO]]="D"),Base_Periodo1[[#This Row],[SALDO_ATUAL]]*-1,Base_Periodo1[[#This Row],[SALDO_ATUAL]]),4)</f>
        <v>0</v>
      </c>
      <c r="N730" t="s">
        <v>116</v>
      </c>
      <c r="O730" t="s">
        <v>397</v>
      </c>
      <c r="P730" t="s">
        <v>436</v>
      </c>
      <c r="Q730">
        <v>7</v>
      </c>
      <c r="R730" s="225">
        <f>Base_Periodo1[[#This Row],[CREDITOS]]-Base_Periodo1[[#This Row],[DEBITOS]]</f>
        <v>11160</v>
      </c>
      <c r="S730" s="3" t="str">
        <f>IF(ISERROR(VLOOKUP(Base_Periodo1[[#This Row],[CONTA]],BaseContasDRE[#All],4,FALSE)),"Fora do DRE",VLOOKUP(Base_Periodo1[[#This Row],[CONTA]],BaseContasDRE[#All],4,FALSE))</f>
        <v>Fora do DRE</v>
      </c>
      <c r="T730" s="3" t="str">
        <f>IF(ISERROR(VLOOKUP(Base_Periodo1[[#This Row],[CONTA]],BaseContasDRE[#All],5,FALSE)),"Fora do DRE",VLOOKUP(Base_Periodo1[[#This Row],[CONTA]],BaseContasDRE[#All],6,FALSE))</f>
        <v>Fora do DRE</v>
      </c>
      <c r="U730" s="3" t="str">
        <f>IF(ISERROR(VLOOKUP(Base_Periodo1[[#This Row],[CONTA]],BaseContasDRE[#All],7,FALSE)),"Fora do DRE",VLOOKUP(Base_Periodo1[[#This Row],[CONTA]],BaseContasDRE[#All],7,FALSE))</f>
        <v>Fora do DRE</v>
      </c>
      <c r="V730" s="3" t="str">
        <f>IF(Base_Periodo1[[#This Row],[Tipo_Linha]]="Fora do DRE","Fora do DRE","( "&amp;Base_Periodo1[[#This Row],[Tipo_Linha]]&amp;" ) "&amp;Base_Periodo1[[#This Row],[Filtro]])</f>
        <v>Fora do DRE</v>
      </c>
      <c r="W730" s="3" t="str">
        <f>LEFT(Base_Periodo1[[#This Row],[CLASS]],3)</f>
        <v>1.1</v>
      </c>
    </row>
    <row r="731" spans="1:23" hidden="1">
      <c r="A731" s="3" t="str">
        <f t="shared" si="11"/>
        <v>Período 1</v>
      </c>
      <c r="B731">
        <v>7041</v>
      </c>
      <c r="C731" t="s">
        <v>503</v>
      </c>
      <c r="D731" t="s">
        <v>866</v>
      </c>
      <c r="E731" s="3" t="str">
        <f>IF(LEN(Base_Periodo1[[#This Row],[CLASS]])&gt;=7,LEFT(Base_Periodo1[[#This Row],[CLASS]],7),"")</f>
        <v>1.1.2.1</v>
      </c>
      <c r="F731" s="3" t="str">
        <f>VLOOKUP(Base_Periodo1[[#This Row],[Aux]],Base_Contas_Balanco[#All],2,FALSE)</f>
        <v>Creditos com Cooperados</v>
      </c>
      <c r="G731" s="1">
        <v>42852</v>
      </c>
      <c r="H731" s="225">
        <v>116677.46999999974</v>
      </c>
      <c r="I731" s="225">
        <v>0</v>
      </c>
      <c r="J731" s="225">
        <v>0</v>
      </c>
      <c r="K731" s="225">
        <v>116677.46999999974</v>
      </c>
      <c r="L7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116677.47</v>
      </c>
      <c r="M731" s="225">
        <f>ROUND(IF(AND(Base_Periodo1[[#This Row],[Tipo_Linha]]="-",Base_Periodo1[[#This Row],[TIPOSALDO]]="D"),Base_Periodo1[[#This Row],[SALDO_ATUAL]]*-1,Base_Periodo1[[#This Row],[SALDO_ATUAL]]),4)</f>
        <v>116677.47</v>
      </c>
      <c r="N731" t="s">
        <v>116</v>
      </c>
      <c r="O731" t="s">
        <v>397</v>
      </c>
      <c r="P731" t="s">
        <v>397</v>
      </c>
      <c r="Q731">
        <v>7</v>
      </c>
      <c r="R731" s="225">
        <f>Base_Periodo1[[#This Row],[CREDITOS]]-Base_Periodo1[[#This Row],[DEBITOS]]</f>
        <v>0</v>
      </c>
      <c r="S731" s="3" t="str">
        <f>IF(ISERROR(VLOOKUP(Base_Periodo1[[#This Row],[CONTA]],BaseContasDRE[#All],4,FALSE)),"Fora do DRE",VLOOKUP(Base_Periodo1[[#This Row],[CONTA]],BaseContasDRE[#All],4,FALSE))</f>
        <v>Fora do DRE</v>
      </c>
      <c r="T731" s="3" t="str">
        <f>IF(ISERROR(VLOOKUP(Base_Periodo1[[#This Row],[CONTA]],BaseContasDRE[#All],5,FALSE)),"Fora do DRE",VLOOKUP(Base_Periodo1[[#This Row],[CONTA]],BaseContasDRE[#All],6,FALSE))</f>
        <v>Fora do DRE</v>
      </c>
      <c r="U731" s="3" t="str">
        <f>IF(ISERROR(VLOOKUP(Base_Periodo1[[#This Row],[CONTA]],BaseContasDRE[#All],7,FALSE)),"Fora do DRE",VLOOKUP(Base_Periodo1[[#This Row],[CONTA]],BaseContasDRE[#All],7,FALSE))</f>
        <v>Fora do DRE</v>
      </c>
      <c r="V731" s="3" t="str">
        <f>IF(Base_Periodo1[[#This Row],[Tipo_Linha]]="Fora do DRE","Fora do DRE","( "&amp;Base_Periodo1[[#This Row],[Tipo_Linha]]&amp;" ) "&amp;Base_Periodo1[[#This Row],[Filtro]])</f>
        <v>Fora do DRE</v>
      </c>
      <c r="W731" s="3" t="str">
        <f>LEFT(Base_Periodo1[[#This Row],[CLASS]],3)</f>
        <v>1.1</v>
      </c>
    </row>
    <row r="732" spans="1:23" hidden="1">
      <c r="A732" s="3" t="str">
        <f t="shared" si="11"/>
        <v>Período 1</v>
      </c>
      <c r="B732">
        <v>55859</v>
      </c>
      <c r="C732" t="s">
        <v>503</v>
      </c>
      <c r="D732" t="s">
        <v>5193</v>
      </c>
      <c r="E732" s="3" t="str">
        <f>IF(LEN(Base_Periodo1[[#This Row],[CLASS]])&gt;=7,LEFT(Base_Periodo1[[#This Row],[CLASS]],7),"")</f>
        <v>1.1.2.1</v>
      </c>
      <c r="F732" s="3" t="str">
        <f>VLOOKUP(Base_Periodo1[[#This Row],[Aux]],Base_Contas_Balanco[#All],2,FALSE)</f>
        <v>Creditos com Cooperados</v>
      </c>
      <c r="G732" s="1">
        <v>42850</v>
      </c>
      <c r="H732" s="225">
        <v>380.00000000000091</v>
      </c>
      <c r="I732" s="225">
        <v>0</v>
      </c>
      <c r="J732" s="225">
        <v>0</v>
      </c>
      <c r="K732" s="225">
        <v>380.00000000000091</v>
      </c>
      <c r="L7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380</v>
      </c>
      <c r="M732" s="225">
        <f>ROUND(IF(AND(Base_Periodo1[[#This Row],[Tipo_Linha]]="-",Base_Periodo1[[#This Row],[TIPOSALDO]]="D"),Base_Periodo1[[#This Row],[SALDO_ATUAL]]*-1,Base_Periodo1[[#This Row],[SALDO_ATUAL]]),4)</f>
        <v>380</v>
      </c>
      <c r="N732" t="s">
        <v>116</v>
      </c>
      <c r="O732" t="s">
        <v>397</v>
      </c>
      <c r="P732" t="s">
        <v>397</v>
      </c>
      <c r="Q732">
        <v>7</v>
      </c>
      <c r="R732" s="225">
        <f>Base_Periodo1[[#This Row],[CREDITOS]]-Base_Periodo1[[#This Row],[DEBITOS]]</f>
        <v>0</v>
      </c>
      <c r="S732" s="3" t="str">
        <f>IF(ISERROR(VLOOKUP(Base_Periodo1[[#This Row],[CONTA]],BaseContasDRE[#All],4,FALSE)),"Fora do DRE",VLOOKUP(Base_Periodo1[[#This Row],[CONTA]],BaseContasDRE[#All],4,FALSE))</f>
        <v>Fora do DRE</v>
      </c>
      <c r="T732" s="3" t="str">
        <f>IF(ISERROR(VLOOKUP(Base_Periodo1[[#This Row],[CONTA]],BaseContasDRE[#All],5,FALSE)),"Fora do DRE",VLOOKUP(Base_Periodo1[[#This Row],[CONTA]],BaseContasDRE[#All],6,FALSE))</f>
        <v>Fora do DRE</v>
      </c>
      <c r="U732" s="3" t="str">
        <f>IF(ISERROR(VLOOKUP(Base_Periodo1[[#This Row],[CONTA]],BaseContasDRE[#All],7,FALSE)),"Fora do DRE",VLOOKUP(Base_Periodo1[[#This Row],[CONTA]],BaseContasDRE[#All],7,FALSE))</f>
        <v>Fora do DRE</v>
      </c>
      <c r="V732" s="3" t="str">
        <f>IF(Base_Periodo1[[#This Row],[Tipo_Linha]]="Fora do DRE","Fora do DRE","( "&amp;Base_Periodo1[[#This Row],[Tipo_Linha]]&amp;" ) "&amp;Base_Periodo1[[#This Row],[Filtro]])</f>
        <v>Fora do DRE</v>
      </c>
      <c r="W732" s="3" t="str">
        <f>LEFT(Base_Periodo1[[#This Row],[CLASS]],3)</f>
        <v>1.1</v>
      </c>
    </row>
    <row r="733" spans="1:23" hidden="1">
      <c r="A733" s="3" t="str">
        <f t="shared" si="11"/>
        <v>Período 1</v>
      </c>
      <c r="B733">
        <v>50705</v>
      </c>
      <c r="C733" t="s">
        <v>503</v>
      </c>
      <c r="D733" t="s">
        <v>981</v>
      </c>
      <c r="E733" s="3" t="str">
        <f>IF(LEN(Base_Periodo1[[#This Row],[CLASS]])&gt;=7,LEFT(Base_Periodo1[[#This Row],[CLASS]],7),"")</f>
        <v>1.1.2.1</v>
      </c>
      <c r="F733" s="3" t="str">
        <f>VLOOKUP(Base_Periodo1[[#This Row],[Aux]],Base_Contas_Balanco[#All],2,FALSE)</f>
        <v>Creditos com Cooperados</v>
      </c>
      <c r="G733" s="1">
        <v>42874</v>
      </c>
      <c r="H733" s="225">
        <v>21958.150000000023</v>
      </c>
      <c r="I733" s="225">
        <v>1350</v>
      </c>
      <c r="J733" s="225">
        <v>0</v>
      </c>
      <c r="K733" s="225">
        <v>23308.150000000023</v>
      </c>
      <c r="L7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23308.15</v>
      </c>
      <c r="M733" s="225">
        <f>ROUND(IF(AND(Base_Periodo1[[#This Row],[Tipo_Linha]]="-",Base_Periodo1[[#This Row],[TIPOSALDO]]="D"),Base_Periodo1[[#This Row],[SALDO_ATUAL]]*-1,Base_Periodo1[[#This Row],[SALDO_ATUAL]]),4)</f>
        <v>23308.15</v>
      </c>
      <c r="N733" t="s">
        <v>116</v>
      </c>
      <c r="O733" t="s">
        <v>397</v>
      </c>
      <c r="P733" t="s">
        <v>397</v>
      </c>
      <c r="Q733">
        <v>7</v>
      </c>
      <c r="R733" s="225">
        <f>Base_Periodo1[[#This Row],[CREDITOS]]-Base_Periodo1[[#This Row],[DEBITOS]]</f>
        <v>-1350</v>
      </c>
      <c r="S733" s="3" t="str">
        <f>IF(ISERROR(VLOOKUP(Base_Periodo1[[#This Row],[CONTA]],BaseContasDRE[#All],4,FALSE)),"Fora do DRE",VLOOKUP(Base_Periodo1[[#This Row],[CONTA]],BaseContasDRE[#All],4,FALSE))</f>
        <v>Fora do DRE</v>
      </c>
      <c r="T733" s="3" t="str">
        <f>IF(ISERROR(VLOOKUP(Base_Periodo1[[#This Row],[CONTA]],BaseContasDRE[#All],5,FALSE)),"Fora do DRE",VLOOKUP(Base_Periodo1[[#This Row],[CONTA]],BaseContasDRE[#All],6,FALSE))</f>
        <v>Fora do DRE</v>
      </c>
      <c r="U733" s="3" t="str">
        <f>IF(ISERROR(VLOOKUP(Base_Periodo1[[#This Row],[CONTA]],BaseContasDRE[#All],7,FALSE)),"Fora do DRE",VLOOKUP(Base_Periodo1[[#This Row],[CONTA]],BaseContasDRE[#All],7,FALSE))</f>
        <v>Fora do DRE</v>
      </c>
      <c r="V733" s="3" t="str">
        <f>IF(Base_Periodo1[[#This Row],[Tipo_Linha]]="Fora do DRE","Fora do DRE","( "&amp;Base_Periodo1[[#This Row],[Tipo_Linha]]&amp;" ) "&amp;Base_Periodo1[[#This Row],[Filtro]])</f>
        <v>Fora do DRE</v>
      </c>
      <c r="W733" s="3" t="str">
        <f>LEFT(Base_Periodo1[[#This Row],[CLASS]],3)</f>
        <v>1.1</v>
      </c>
    </row>
    <row r="734" spans="1:23" hidden="1">
      <c r="A734" s="3" t="str">
        <f t="shared" si="11"/>
        <v>Período 1</v>
      </c>
      <c r="B734">
        <v>56470</v>
      </c>
      <c r="C734" t="s">
        <v>503</v>
      </c>
      <c r="D734" t="s">
        <v>5501</v>
      </c>
      <c r="E734" s="3" t="str">
        <f>IF(LEN(Base_Periodo1[[#This Row],[CLASS]])&gt;=7,LEFT(Base_Periodo1[[#This Row],[CLASS]],7),"")</f>
        <v>1.1.2.1</v>
      </c>
      <c r="F734" s="3" t="str">
        <f>VLOOKUP(Base_Periodo1[[#This Row],[Aux]],Base_Contas_Balanco[#All],2,FALSE)</f>
        <v>Creditos com Cooperados</v>
      </c>
      <c r="G734" s="1">
        <v>42878</v>
      </c>
      <c r="H734" s="225">
        <v>8930.17</v>
      </c>
      <c r="I734" s="225">
        <v>0</v>
      </c>
      <c r="J734" s="225">
        <v>1044.1200000000001</v>
      </c>
      <c r="K734" s="225">
        <v>7886.05</v>
      </c>
      <c r="L7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7886.05</v>
      </c>
      <c r="M734" s="225">
        <f>ROUND(IF(AND(Base_Periodo1[[#This Row],[Tipo_Linha]]="-",Base_Periodo1[[#This Row],[TIPOSALDO]]="D"),Base_Periodo1[[#This Row],[SALDO_ATUAL]]*-1,Base_Periodo1[[#This Row],[SALDO_ATUAL]]),4)</f>
        <v>7886.05</v>
      </c>
      <c r="N734" t="s">
        <v>116</v>
      </c>
      <c r="O734" t="s">
        <v>397</v>
      </c>
      <c r="P734" t="s">
        <v>397</v>
      </c>
      <c r="Q734">
        <v>7</v>
      </c>
      <c r="R734" s="225">
        <f>Base_Periodo1[[#This Row],[CREDITOS]]-Base_Periodo1[[#This Row],[DEBITOS]]</f>
        <v>1044.1200000000001</v>
      </c>
      <c r="S734" s="3" t="str">
        <f>IF(ISERROR(VLOOKUP(Base_Periodo1[[#This Row],[CONTA]],BaseContasDRE[#All],4,FALSE)),"Fora do DRE",VLOOKUP(Base_Periodo1[[#This Row],[CONTA]],BaseContasDRE[#All],4,FALSE))</f>
        <v>Fora do DRE</v>
      </c>
      <c r="T734" s="3" t="str">
        <f>IF(ISERROR(VLOOKUP(Base_Periodo1[[#This Row],[CONTA]],BaseContasDRE[#All],5,FALSE)),"Fora do DRE",VLOOKUP(Base_Periodo1[[#This Row],[CONTA]],BaseContasDRE[#All],6,FALSE))</f>
        <v>Fora do DRE</v>
      </c>
      <c r="U734" s="3" t="str">
        <f>IF(ISERROR(VLOOKUP(Base_Periodo1[[#This Row],[CONTA]],BaseContasDRE[#All],7,FALSE)),"Fora do DRE",VLOOKUP(Base_Periodo1[[#This Row],[CONTA]],BaseContasDRE[#All],7,FALSE))</f>
        <v>Fora do DRE</v>
      </c>
      <c r="V734" s="3" t="str">
        <f>IF(Base_Periodo1[[#This Row],[Tipo_Linha]]="Fora do DRE","Fora do DRE","( "&amp;Base_Periodo1[[#This Row],[Tipo_Linha]]&amp;" ) "&amp;Base_Periodo1[[#This Row],[Filtro]])</f>
        <v>Fora do DRE</v>
      </c>
      <c r="W734" s="3" t="str">
        <f>LEFT(Base_Periodo1[[#This Row],[CLASS]],3)</f>
        <v>1.1</v>
      </c>
    </row>
    <row r="735" spans="1:23" hidden="1">
      <c r="A735" s="3" t="str">
        <f t="shared" si="11"/>
        <v>Período 1</v>
      </c>
      <c r="B735">
        <v>19029</v>
      </c>
      <c r="C735" t="s">
        <v>503</v>
      </c>
      <c r="D735" t="s">
        <v>4847</v>
      </c>
      <c r="E735" s="3" t="str">
        <f>IF(LEN(Base_Periodo1[[#This Row],[CLASS]])&gt;=7,LEFT(Base_Periodo1[[#This Row],[CLASS]],7),"")</f>
        <v>1.1.2.1</v>
      </c>
      <c r="F735" s="3" t="str">
        <f>VLOOKUP(Base_Periodo1[[#This Row],[Aux]],Base_Contas_Balanco[#All],2,FALSE)</f>
        <v>Creditos com Cooperados</v>
      </c>
      <c r="G735" s="1">
        <v>42860</v>
      </c>
      <c r="H735" s="225">
        <v>4179.9999999999418</v>
      </c>
      <c r="I735" s="225">
        <v>612.5</v>
      </c>
      <c r="J735" s="225">
        <v>0</v>
      </c>
      <c r="K735" s="225">
        <v>4792.4999999999418</v>
      </c>
      <c r="L7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4792.5</v>
      </c>
      <c r="M735" s="225">
        <f>ROUND(IF(AND(Base_Periodo1[[#This Row],[Tipo_Linha]]="-",Base_Periodo1[[#This Row],[TIPOSALDO]]="D"),Base_Periodo1[[#This Row],[SALDO_ATUAL]]*-1,Base_Periodo1[[#This Row],[SALDO_ATUAL]]),4)</f>
        <v>4792.5</v>
      </c>
      <c r="N735" t="s">
        <v>116</v>
      </c>
      <c r="O735" t="s">
        <v>397</v>
      </c>
      <c r="P735" t="s">
        <v>397</v>
      </c>
      <c r="Q735">
        <v>7</v>
      </c>
      <c r="R735" s="225">
        <f>Base_Periodo1[[#This Row],[CREDITOS]]-Base_Periodo1[[#This Row],[DEBITOS]]</f>
        <v>-612.5</v>
      </c>
      <c r="S735" s="3" t="str">
        <f>IF(ISERROR(VLOOKUP(Base_Periodo1[[#This Row],[CONTA]],BaseContasDRE[#All],4,FALSE)),"Fora do DRE",VLOOKUP(Base_Periodo1[[#This Row],[CONTA]],BaseContasDRE[#All],4,FALSE))</f>
        <v>Fora do DRE</v>
      </c>
      <c r="T735" s="3" t="str">
        <f>IF(ISERROR(VLOOKUP(Base_Periodo1[[#This Row],[CONTA]],BaseContasDRE[#All],5,FALSE)),"Fora do DRE",VLOOKUP(Base_Periodo1[[#This Row],[CONTA]],BaseContasDRE[#All],6,FALSE))</f>
        <v>Fora do DRE</v>
      </c>
      <c r="U735" s="3" t="str">
        <f>IF(ISERROR(VLOOKUP(Base_Periodo1[[#This Row],[CONTA]],BaseContasDRE[#All],7,FALSE)),"Fora do DRE",VLOOKUP(Base_Periodo1[[#This Row],[CONTA]],BaseContasDRE[#All],7,FALSE))</f>
        <v>Fora do DRE</v>
      </c>
      <c r="V735" s="3" t="str">
        <f>IF(Base_Periodo1[[#This Row],[Tipo_Linha]]="Fora do DRE","Fora do DRE","( "&amp;Base_Periodo1[[#This Row],[Tipo_Linha]]&amp;" ) "&amp;Base_Periodo1[[#This Row],[Filtro]])</f>
        <v>Fora do DRE</v>
      </c>
      <c r="W735" s="3" t="str">
        <f>LEFT(Base_Periodo1[[#This Row],[CLASS]],3)</f>
        <v>1.1</v>
      </c>
    </row>
    <row r="736" spans="1:23" hidden="1">
      <c r="A736" s="3" t="str">
        <f t="shared" si="11"/>
        <v>Período 1</v>
      </c>
      <c r="B736">
        <v>19817</v>
      </c>
      <c r="C736" t="s">
        <v>503</v>
      </c>
      <c r="D736" t="s">
        <v>867</v>
      </c>
      <c r="E736" s="3" t="str">
        <f>IF(LEN(Base_Periodo1[[#This Row],[CLASS]])&gt;=7,LEFT(Base_Periodo1[[#This Row],[CLASS]],7),"")</f>
        <v>1.1.2.1</v>
      </c>
      <c r="F736" s="3" t="str">
        <f>VLOOKUP(Base_Periodo1[[#This Row],[Aux]],Base_Contas_Balanco[#All],2,FALSE)</f>
        <v>Creditos com Cooperados</v>
      </c>
      <c r="G736" s="1">
        <v>42877</v>
      </c>
      <c r="H736" s="225">
        <v>43647.900000000023</v>
      </c>
      <c r="I736" s="225">
        <v>14276.750000000002</v>
      </c>
      <c r="J736" s="225">
        <v>27083.120000000003</v>
      </c>
      <c r="K736" s="225">
        <v>30841.530000000021</v>
      </c>
      <c r="L7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30841.53</v>
      </c>
      <c r="M736" s="225">
        <f>ROUND(IF(AND(Base_Periodo1[[#This Row],[Tipo_Linha]]="-",Base_Periodo1[[#This Row],[TIPOSALDO]]="D"),Base_Periodo1[[#This Row],[SALDO_ATUAL]]*-1,Base_Periodo1[[#This Row],[SALDO_ATUAL]]),4)</f>
        <v>30841.53</v>
      </c>
      <c r="N736" t="s">
        <v>116</v>
      </c>
      <c r="O736" t="s">
        <v>397</v>
      </c>
      <c r="P736" t="s">
        <v>397</v>
      </c>
      <c r="Q736">
        <v>7</v>
      </c>
      <c r="R736" s="225">
        <f>Base_Periodo1[[#This Row],[CREDITOS]]-Base_Periodo1[[#This Row],[DEBITOS]]</f>
        <v>12806.37</v>
      </c>
      <c r="S736" s="3" t="str">
        <f>IF(ISERROR(VLOOKUP(Base_Periodo1[[#This Row],[CONTA]],BaseContasDRE[#All],4,FALSE)),"Fora do DRE",VLOOKUP(Base_Periodo1[[#This Row],[CONTA]],BaseContasDRE[#All],4,FALSE))</f>
        <v>Fora do DRE</v>
      </c>
      <c r="T736" s="3" t="str">
        <f>IF(ISERROR(VLOOKUP(Base_Periodo1[[#This Row],[CONTA]],BaseContasDRE[#All],5,FALSE)),"Fora do DRE",VLOOKUP(Base_Periodo1[[#This Row],[CONTA]],BaseContasDRE[#All],6,FALSE))</f>
        <v>Fora do DRE</v>
      </c>
      <c r="U736" s="3" t="str">
        <f>IF(ISERROR(VLOOKUP(Base_Periodo1[[#This Row],[CONTA]],BaseContasDRE[#All],7,FALSE)),"Fora do DRE",VLOOKUP(Base_Periodo1[[#This Row],[CONTA]],BaseContasDRE[#All],7,FALSE))</f>
        <v>Fora do DRE</v>
      </c>
      <c r="V736" s="3" t="str">
        <f>IF(Base_Periodo1[[#This Row],[Tipo_Linha]]="Fora do DRE","Fora do DRE","( "&amp;Base_Periodo1[[#This Row],[Tipo_Linha]]&amp;" ) "&amp;Base_Periodo1[[#This Row],[Filtro]])</f>
        <v>Fora do DRE</v>
      </c>
      <c r="W736" s="3" t="str">
        <f>LEFT(Base_Periodo1[[#This Row],[CLASS]],3)</f>
        <v>1.1</v>
      </c>
    </row>
    <row r="737" spans="1:23" hidden="1">
      <c r="A737" s="3" t="str">
        <f t="shared" si="11"/>
        <v>Período 1</v>
      </c>
      <c r="B737">
        <v>3016</v>
      </c>
      <c r="C737" t="s">
        <v>503</v>
      </c>
      <c r="D737" t="s">
        <v>869</v>
      </c>
      <c r="E737" s="3" t="str">
        <f>IF(LEN(Base_Periodo1[[#This Row],[CLASS]])&gt;=7,LEFT(Base_Periodo1[[#This Row],[CLASS]],7),"")</f>
        <v>1.1.2.1</v>
      </c>
      <c r="F737" s="3" t="str">
        <f>VLOOKUP(Base_Periodo1[[#This Row],[Aux]],Base_Contas_Balanco[#All],2,FALSE)</f>
        <v>Creditos com Cooperados</v>
      </c>
      <c r="G737" s="1">
        <v>42872</v>
      </c>
      <c r="H737" s="225">
        <v>1980.0000000002328</v>
      </c>
      <c r="I737" s="225">
        <v>1102.42</v>
      </c>
      <c r="J737" s="225">
        <v>937.82</v>
      </c>
      <c r="K737" s="225">
        <v>2144.6000000002327</v>
      </c>
      <c r="L7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2144.6</v>
      </c>
      <c r="M737" s="225">
        <f>ROUND(IF(AND(Base_Periodo1[[#This Row],[Tipo_Linha]]="-",Base_Periodo1[[#This Row],[TIPOSALDO]]="D"),Base_Periodo1[[#This Row],[SALDO_ATUAL]]*-1,Base_Periodo1[[#This Row],[SALDO_ATUAL]]),4)</f>
        <v>2144.6</v>
      </c>
      <c r="N737" t="s">
        <v>116</v>
      </c>
      <c r="O737" t="s">
        <v>397</v>
      </c>
      <c r="P737" t="s">
        <v>397</v>
      </c>
      <c r="Q737">
        <v>7</v>
      </c>
      <c r="R737" s="225">
        <f>Base_Periodo1[[#This Row],[CREDITOS]]-Base_Periodo1[[#This Row],[DEBITOS]]</f>
        <v>-164.60000000000002</v>
      </c>
      <c r="S737" s="3" t="str">
        <f>IF(ISERROR(VLOOKUP(Base_Periodo1[[#This Row],[CONTA]],BaseContasDRE[#All],4,FALSE)),"Fora do DRE",VLOOKUP(Base_Periodo1[[#This Row],[CONTA]],BaseContasDRE[#All],4,FALSE))</f>
        <v>Fora do DRE</v>
      </c>
      <c r="T737" s="3" t="str">
        <f>IF(ISERROR(VLOOKUP(Base_Periodo1[[#This Row],[CONTA]],BaseContasDRE[#All],5,FALSE)),"Fora do DRE",VLOOKUP(Base_Periodo1[[#This Row],[CONTA]],BaseContasDRE[#All],6,FALSE))</f>
        <v>Fora do DRE</v>
      </c>
      <c r="U737" s="3" t="str">
        <f>IF(ISERROR(VLOOKUP(Base_Periodo1[[#This Row],[CONTA]],BaseContasDRE[#All],7,FALSE)),"Fora do DRE",VLOOKUP(Base_Periodo1[[#This Row],[CONTA]],BaseContasDRE[#All],7,FALSE))</f>
        <v>Fora do DRE</v>
      </c>
      <c r="V737" s="3" t="str">
        <f>IF(Base_Periodo1[[#This Row],[Tipo_Linha]]="Fora do DRE","Fora do DRE","( "&amp;Base_Periodo1[[#This Row],[Tipo_Linha]]&amp;" ) "&amp;Base_Periodo1[[#This Row],[Filtro]])</f>
        <v>Fora do DRE</v>
      </c>
      <c r="W737" s="3" t="str">
        <f>LEFT(Base_Periodo1[[#This Row],[CLASS]],3)</f>
        <v>1.1</v>
      </c>
    </row>
    <row r="738" spans="1:23" hidden="1">
      <c r="A738" s="3" t="str">
        <f t="shared" si="11"/>
        <v>Período 1</v>
      </c>
      <c r="B738">
        <v>3676</v>
      </c>
      <c r="C738" t="s">
        <v>503</v>
      </c>
      <c r="D738" t="s">
        <v>870</v>
      </c>
      <c r="E738" s="3" t="str">
        <f>IF(LEN(Base_Periodo1[[#This Row],[CLASS]])&gt;=7,LEFT(Base_Periodo1[[#This Row],[CLASS]],7),"")</f>
        <v>1.1.2.1</v>
      </c>
      <c r="F738" s="3" t="str">
        <f>VLOOKUP(Base_Periodo1[[#This Row],[Aux]],Base_Contas_Balanco[#All],2,FALSE)</f>
        <v>Creditos com Cooperados</v>
      </c>
      <c r="G738" s="1">
        <v>42877</v>
      </c>
      <c r="H738" s="225">
        <v>946.4400000005262</v>
      </c>
      <c r="I738" s="225">
        <v>1149.28</v>
      </c>
      <c r="J738" s="225">
        <v>40</v>
      </c>
      <c r="K738" s="225">
        <v>2055.7200000005259</v>
      </c>
      <c r="L7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2055.7199999999998</v>
      </c>
      <c r="M738" s="225">
        <f>ROUND(IF(AND(Base_Periodo1[[#This Row],[Tipo_Linha]]="-",Base_Periodo1[[#This Row],[TIPOSALDO]]="D"),Base_Periodo1[[#This Row],[SALDO_ATUAL]]*-1,Base_Periodo1[[#This Row],[SALDO_ATUAL]]),4)</f>
        <v>2055.7199999999998</v>
      </c>
      <c r="N738" t="s">
        <v>116</v>
      </c>
      <c r="O738" t="s">
        <v>397</v>
      </c>
      <c r="P738" t="s">
        <v>397</v>
      </c>
      <c r="Q738">
        <v>7</v>
      </c>
      <c r="R738" s="225">
        <f>Base_Periodo1[[#This Row],[CREDITOS]]-Base_Periodo1[[#This Row],[DEBITOS]]</f>
        <v>-1109.28</v>
      </c>
      <c r="S738" s="3" t="str">
        <f>IF(ISERROR(VLOOKUP(Base_Periodo1[[#This Row],[CONTA]],BaseContasDRE[#All],4,FALSE)),"Fora do DRE",VLOOKUP(Base_Periodo1[[#This Row],[CONTA]],BaseContasDRE[#All],4,FALSE))</f>
        <v>Fora do DRE</v>
      </c>
      <c r="T738" s="3" t="str">
        <f>IF(ISERROR(VLOOKUP(Base_Periodo1[[#This Row],[CONTA]],BaseContasDRE[#All],5,FALSE)),"Fora do DRE",VLOOKUP(Base_Periodo1[[#This Row],[CONTA]],BaseContasDRE[#All],6,FALSE))</f>
        <v>Fora do DRE</v>
      </c>
      <c r="U738" s="3" t="str">
        <f>IF(ISERROR(VLOOKUP(Base_Periodo1[[#This Row],[CONTA]],BaseContasDRE[#All],7,FALSE)),"Fora do DRE",VLOOKUP(Base_Periodo1[[#This Row],[CONTA]],BaseContasDRE[#All],7,FALSE))</f>
        <v>Fora do DRE</v>
      </c>
      <c r="V738" s="3" t="str">
        <f>IF(Base_Periodo1[[#This Row],[Tipo_Linha]]="Fora do DRE","Fora do DRE","( "&amp;Base_Periodo1[[#This Row],[Tipo_Linha]]&amp;" ) "&amp;Base_Periodo1[[#This Row],[Filtro]])</f>
        <v>Fora do DRE</v>
      </c>
      <c r="W738" s="3" t="str">
        <f>LEFT(Base_Periodo1[[#This Row],[CLASS]],3)</f>
        <v>1.1</v>
      </c>
    </row>
    <row r="739" spans="1:23" hidden="1">
      <c r="A739" s="3" t="str">
        <f t="shared" si="11"/>
        <v>Período 1</v>
      </c>
      <c r="B739">
        <v>3432</v>
      </c>
      <c r="C739" t="s">
        <v>503</v>
      </c>
      <c r="D739" t="s">
        <v>4200</v>
      </c>
      <c r="E739" s="3" t="str">
        <f>IF(LEN(Base_Periodo1[[#This Row],[CLASS]])&gt;=7,LEFT(Base_Periodo1[[#This Row],[CLASS]],7),"")</f>
        <v>1.1.2.1</v>
      </c>
      <c r="F739" s="3" t="str">
        <f>VLOOKUP(Base_Periodo1[[#This Row],[Aux]],Base_Contas_Balanco[#All],2,FALSE)</f>
        <v>Creditos com Cooperados</v>
      </c>
      <c r="G739" s="1">
        <v>42879</v>
      </c>
      <c r="H739" s="225">
        <v>0.41999999998370185</v>
      </c>
      <c r="I739" s="225">
        <v>31502</v>
      </c>
      <c r="J739" s="225">
        <v>31502</v>
      </c>
      <c r="K739" s="225">
        <v>0.41999999998370185</v>
      </c>
      <c r="L7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-0.42</v>
      </c>
      <c r="M739" s="225">
        <f>ROUND(IF(AND(Base_Periodo1[[#This Row],[Tipo_Linha]]="-",Base_Periodo1[[#This Row],[TIPOSALDO]]="D"),Base_Periodo1[[#This Row],[SALDO_ATUAL]]*-1,Base_Periodo1[[#This Row],[SALDO_ATUAL]]),4)</f>
        <v>0.42</v>
      </c>
      <c r="N739" t="s">
        <v>116</v>
      </c>
      <c r="O739" t="s">
        <v>459</v>
      </c>
      <c r="P739" t="s">
        <v>459</v>
      </c>
      <c r="Q739">
        <v>7</v>
      </c>
      <c r="R739" s="225">
        <f>Base_Periodo1[[#This Row],[CREDITOS]]-Base_Periodo1[[#This Row],[DEBITOS]]</f>
        <v>0</v>
      </c>
      <c r="S739" s="3" t="str">
        <f>IF(ISERROR(VLOOKUP(Base_Periodo1[[#This Row],[CONTA]],BaseContasDRE[#All],4,FALSE)),"Fora do DRE",VLOOKUP(Base_Periodo1[[#This Row],[CONTA]],BaseContasDRE[#All],4,FALSE))</f>
        <v>Fora do DRE</v>
      </c>
      <c r="T739" s="3" t="str">
        <f>IF(ISERROR(VLOOKUP(Base_Periodo1[[#This Row],[CONTA]],BaseContasDRE[#All],5,FALSE)),"Fora do DRE",VLOOKUP(Base_Periodo1[[#This Row],[CONTA]],BaseContasDRE[#All],6,FALSE))</f>
        <v>Fora do DRE</v>
      </c>
      <c r="U739" s="3" t="str">
        <f>IF(ISERROR(VLOOKUP(Base_Periodo1[[#This Row],[CONTA]],BaseContasDRE[#All],7,FALSE)),"Fora do DRE",VLOOKUP(Base_Periodo1[[#This Row],[CONTA]],BaseContasDRE[#All],7,FALSE))</f>
        <v>Fora do DRE</v>
      </c>
      <c r="V739" s="3" t="str">
        <f>IF(Base_Periodo1[[#This Row],[Tipo_Linha]]="Fora do DRE","Fora do DRE","( "&amp;Base_Periodo1[[#This Row],[Tipo_Linha]]&amp;" ) "&amp;Base_Periodo1[[#This Row],[Filtro]])</f>
        <v>Fora do DRE</v>
      </c>
      <c r="W739" s="3" t="str">
        <f>LEFT(Base_Periodo1[[#This Row],[CLASS]],3)</f>
        <v>1.1</v>
      </c>
    </row>
    <row r="740" spans="1:23" hidden="1">
      <c r="A740" s="3" t="str">
        <f t="shared" si="11"/>
        <v>Período 1</v>
      </c>
      <c r="B740">
        <v>48132</v>
      </c>
      <c r="C740" t="s">
        <v>503</v>
      </c>
      <c r="D740" t="s">
        <v>4192</v>
      </c>
      <c r="E740" s="3" t="str">
        <f>IF(LEN(Base_Periodo1[[#This Row],[CLASS]])&gt;=7,LEFT(Base_Periodo1[[#This Row],[CLASS]],7),"")</f>
        <v>1.1.2.1</v>
      </c>
      <c r="F740" s="3" t="str">
        <f>VLOOKUP(Base_Periodo1[[#This Row],[Aux]],Base_Contas_Balanco[#All],2,FALSE)</f>
        <v>Creditos com Cooperados</v>
      </c>
      <c r="G740" s="1">
        <v>42863</v>
      </c>
      <c r="H740" s="225">
        <v>9277.4800000000105</v>
      </c>
      <c r="I740" s="225">
        <v>13636</v>
      </c>
      <c r="J740" s="225">
        <v>0</v>
      </c>
      <c r="K740" s="225">
        <v>22913.48000000001</v>
      </c>
      <c r="L7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22913.48</v>
      </c>
      <c r="M740" s="225">
        <f>ROUND(IF(AND(Base_Periodo1[[#This Row],[Tipo_Linha]]="-",Base_Periodo1[[#This Row],[TIPOSALDO]]="D"),Base_Periodo1[[#This Row],[SALDO_ATUAL]]*-1,Base_Periodo1[[#This Row],[SALDO_ATUAL]]),4)</f>
        <v>22913.48</v>
      </c>
      <c r="N740" t="s">
        <v>116</v>
      </c>
      <c r="O740" t="s">
        <v>397</v>
      </c>
      <c r="P740" t="s">
        <v>397</v>
      </c>
      <c r="Q740">
        <v>7</v>
      </c>
      <c r="R740" s="225">
        <f>Base_Periodo1[[#This Row],[CREDITOS]]-Base_Periodo1[[#This Row],[DEBITOS]]</f>
        <v>-13636</v>
      </c>
      <c r="S740" s="3" t="str">
        <f>IF(ISERROR(VLOOKUP(Base_Periodo1[[#This Row],[CONTA]],BaseContasDRE[#All],4,FALSE)),"Fora do DRE",VLOOKUP(Base_Periodo1[[#This Row],[CONTA]],BaseContasDRE[#All],4,FALSE))</f>
        <v>Fora do DRE</v>
      </c>
      <c r="T740" s="3" t="str">
        <f>IF(ISERROR(VLOOKUP(Base_Periodo1[[#This Row],[CONTA]],BaseContasDRE[#All],5,FALSE)),"Fora do DRE",VLOOKUP(Base_Periodo1[[#This Row],[CONTA]],BaseContasDRE[#All],6,FALSE))</f>
        <v>Fora do DRE</v>
      </c>
      <c r="U740" s="3" t="str">
        <f>IF(ISERROR(VLOOKUP(Base_Periodo1[[#This Row],[CONTA]],BaseContasDRE[#All],7,FALSE)),"Fora do DRE",VLOOKUP(Base_Periodo1[[#This Row],[CONTA]],BaseContasDRE[#All],7,FALSE))</f>
        <v>Fora do DRE</v>
      </c>
      <c r="V740" s="3" t="str">
        <f>IF(Base_Periodo1[[#This Row],[Tipo_Linha]]="Fora do DRE","Fora do DRE","( "&amp;Base_Periodo1[[#This Row],[Tipo_Linha]]&amp;" ) "&amp;Base_Periodo1[[#This Row],[Filtro]])</f>
        <v>Fora do DRE</v>
      </c>
      <c r="W740" s="3" t="str">
        <f>LEFT(Base_Periodo1[[#This Row],[CLASS]],3)</f>
        <v>1.1</v>
      </c>
    </row>
    <row r="741" spans="1:23" hidden="1">
      <c r="A741" s="3" t="str">
        <f t="shared" si="11"/>
        <v>Período 1</v>
      </c>
      <c r="B741">
        <v>4428</v>
      </c>
      <c r="C741" t="s">
        <v>503</v>
      </c>
      <c r="D741" t="s">
        <v>871</v>
      </c>
      <c r="E741" s="3" t="str">
        <f>IF(LEN(Base_Periodo1[[#This Row],[CLASS]])&gt;=7,LEFT(Base_Periodo1[[#This Row],[CLASS]],7),"")</f>
        <v>1.1.2.1</v>
      </c>
      <c r="F741" s="3" t="str">
        <f>VLOOKUP(Base_Periodo1[[#This Row],[Aux]],Base_Contas_Balanco[#All],2,FALSE)</f>
        <v>Creditos com Cooperados</v>
      </c>
      <c r="G741" s="1">
        <v>42886</v>
      </c>
      <c r="H741" s="225">
        <v>4232.6600000002072</v>
      </c>
      <c r="I741" s="225">
        <v>917.25</v>
      </c>
      <c r="J741" s="225">
        <v>5147.41</v>
      </c>
      <c r="K741" s="225">
        <v>2.5000000002073648</v>
      </c>
      <c r="L7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2.5</v>
      </c>
      <c r="M741" s="225">
        <f>ROUND(IF(AND(Base_Periodo1[[#This Row],[Tipo_Linha]]="-",Base_Periodo1[[#This Row],[TIPOSALDO]]="D"),Base_Periodo1[[#This Row],[SALDO_ATUAL]]*-1,Base_Periodo1[[#This Row],[SALDO_ATUAL]]),4)</f>
        <v>2.5</v>
      </c>
      <c r="N741" t="s">
        <v>116</v>
      </c>
      <c r="O741" t="s">
        <v>397</v>
      </c>
      <c r="P741" t="s">
        <v>397</v>
      </c>
      <c r="Q741">
        <v>7</v>
      </c>
      <c r="R741" s="225">
        <f>Base_Periodo1[[#This Row],[CREDITOS]]-Base_Periodo1[[#This Row],[DEBITOS]]</f>
        <v>4230.16</v>
      </c>
      <c r="S741" s="3" t="str">
        <f>IF(ISERROR(VLOOKUP(Base_Periodo1[[#This Row],[CONTA]],BaseContasDRE[#All],4,FALSE)),"Fora do DRE",VLOOKUP(Base_Periodo1[[#This Row],[CONTA]],BaseContasDRE[#All],4,FALSE))</f>
        <v>Fora do DRE</v>
      </c>
      <c r="T741" s="3" t="str">
        <f>IF(ISERROR(VLOOKUP(Base_Periodo1[[#This Row],[CONTA]],BaseContasDRE[#All],5,FALSE)),"Fora do DRE",VLOOKUP(Base_Periodo1[[#This Row],[CONTA]],BaseContasDRE[#All],6,FALSE))</f>
        <v>Fora do DRE</v>
      </c>
      <c r="U741" s="3" t="str">
        <f>IF(ISERROR(VLOOKUP(Base_Periodo1[[#This Row],[CONTA]],BaseContasDRE[#All],7,FALSE)),"Fora do DRE",VLOOKUP(Base_Periodo1[[#This Row],[CONTA]],BaseContasDRE[#All],7,FALSE))</f>
        <v>Fora do DRE</v>
      </c>
      <c r="V741" s="3" t="str">
        <f>IF(Base_Periodo1[[#This Row],[Tipo_Linha]]="Fora do DRE","Fora do DRE","( "&amp;Base_Periodo1[[#This Row],[Tipo_Linha]]&amp;" ) "&amp;Base_Periodo1[[#This Row],[Filtro]])</f>
        <v>Fora do DRE</v>
      </c>
      <c r="W741" s="3" t="str">
        <f>LEFT(Base_Periodo1[[#This Row],[CLASS]],3)</f>
        <v>1.1</v>
      </c>
    </row>
    <row r="742" spans="1:23" hidden="1">
      <c r="A742" s="3" t="str">
        <f t="shared" si="11"/>
        <v>Período 1</v>
      </c>
      <c r="B742">
        <v>21107</v>
      </c>
      <c r="C742" t="s">
        <v>503</v>
      </c>
      <c r="D742" t="s">
        <v>6137</v>
      </c>
      <c r="E742" s="3" t="str">
        <f>IF(LEN(Base_Periodo1[[#This Row],[CLASS]])&gt;=7,LEFT(Base_Periodo1[[#This Row],[CLASS]],7),"")</f>
        <v>1.1.2.1</v>
      </c>
      <c r="F742" s="3" t="str">
        <f>VLOOKUP(Base_Periodo1[[#This Row],[Aux]],Base_Contas_Balanco[#All],2,FALSE)</f>
        <v>Creditos com Cooperados</v>
      </c>
      <c r="G742" s="1">
        <v>42842</v>
      </c>
      <c r="H742" s="225">
        <v>1425</v>
      </c>
      <c r="I742" s="225">
        <v>0</v>
      </c>
      <c r="J742" s="225">
        <v>0</v>
      </c>
      <c r="K742" s="225">
        <v>1425</v>
      </c>
      <c r="L7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1425</v>
      </c>
      <c r="M742" s="225">
        <f>ROUND(IF(AND(Base_Periodo1[[#This Row],[Tipo_Linha]]="-",Base_Periodo1[[#This Row],[TIPOSALDO]]="D"),Base_Periodo1[[#This Row],[SALDO_ATUAL]]*-1,Base_Periodo1[[#This Row],[SALDO_ATUAL]]),4)</f>
        <v>1425</v>
      </c>
      <c r="N742" t="s">
        <v>116</v>
      </c>
      <c r="O742" t="s">
        <v>397</v>
      </c>
      <c r="P742" t="s">
        <v>397</v>
      </c>
      <c r="Q742">
        <v>7</v>
      </c>
      <c r="R742" s="225">
        <f>Base_Periodo1[[#This Row],[CREDITOS]]-Base_Periodo1[[#This Row],[DEBITOS]]</f>
        <v>0</v>
      </c>
      <c r="S742" s="3" t="str">
        <f>IF(ISERROR(VLOOKUP(Base_Periodo1[[#This Row],[CONTA]],BaseContasDRE[#All],4,FALSE)),"Fora do DRE",VLOOKUP(Base_Periodo1[[#This Row],[CONTA]],BaseContasDRE[#All],4,FALSE))</f>
        <v>Fora do DRE</v>
      </c>
      <c r="T742" s="3" t="str">
        <f>IF(ISERROR(VLOOKUP(Base_Periodo1[[#This Row],[CONTA]],BaseContasDRE[#All],5,FALSE)),"Fora do DRE",VLOOKUP(Base_Periodo1[[#This Row],[CONTA]],BaseContasDRE[#All],6,FALSE))</f>
        <v>Fora do DRE</v>
      </c>
      <c r="U742" s="3" t="str">
        <f>IF(ISERROR(VLOOKUP(Base_Periodo1[[#This Row],[CONTA]],BaseContasDRE[#All],7,FALSE)),"Fora do DRE",VLOOKUP(Base_Periodo1[[#This Row],[CONTA]],BaseContasDRE[#All],7,FALSE))</f>
        <v>Fora do DRE</v>
      </c>
      <c r="V742" s="3" t="str">
        <f>IF(Base_Periodo1[[#This Row],[Tipo_Linha]]="Fora do DRE","Fora do DRE","( "&amp;Base_Periodo1[[#This Row],[Tipo_Linha]]&amp;" ) "&amp;Base_Periodo1[[#This Row],[Filtro]])</f>
        <v>Fora do DRE</v>
      </c>
      <c r="W742" s="3" t="str">
        <f>LEFT(Base_Periodo1[[#This Row],[CLASS]],3)</f>
        <v>1.1</v>
      </c>
    </row>
    <row r="743" spans="1:23" hidden="1">
      <c r="A743" s="3" t="str">
        <f t="shared" si="11"/>
        <v>Período 1</v>
      </c>
      <c r="B743">
        <v>2648</v>
      </c>
      <c r="C743" t="s">
        <v>503</v>
      </c>
      <c r="D743" t="s">
        <v>872</v>
      </c>
      <c r="E743" s="3" t="str">
        <f>IF(LEN(Base_Periodo1[[#This Row],[CLASS]])&gt;=7,LEFT(Base_Periodo1[[#This Row],[CLASS]],7),"")</f>
        <v>1.1.2.1</v>
      </c>
      <c r="F743" s="3" t="str">
        <f>VLOOKUP(Base_Periodo1[[#This Row],[Aux]],Base_Contas_Balanco[#All],2,FALSE)</f>
        <v>Creditos com Cooperados</v>
      </c>
      <c r="G743" s="1">
        <v>42867</v>
      </c>
      <c r="H743" s="225">
        <v>126311.66000000108</v>
      </c>
      <c r="I743" s="225">
        <v>0</v>
      </c>
      <c r="J743" s="225">
        <v>99316.739999999991</v>
      </c>
      <c r="K743" s="225">
        <v>26994.92000000109</v>
      </c>
      <c r="L7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26994.92</v>
      </c>
      <c r="M743" s="225">
        <f>ROUND(IF(AND(Base_Periodo1[[#This Row],[Tipo_Linha]]="-",Base_Periodo1[[#This Row],[TIPOSALDO]]="D"),Base_Periodo1[[#This Row],[SALDO_ATUAL]]*-1,Base_Periodo1[[#This Row],[SALDO_ATUAL]]),4)</f>
        <v>26994.92</v>
      </c>
      <c r="N743" t="s">
        <v>116</v>
      </c>
      <c r="O743" t="s">
        <v>397</v>
      </c>
      <c r="P743" t="s">
        <v>397</v>
      </c>
      <c r="Q743">
        <v>7</v>
      </c>
      <c r="R743" s="225">
        <f>Base_Periodo1[[#This Row],[CREDITOS]]-Base_Periodo1[[#This Row],[DEBITOS]]</f>
        <v>99316.739999999991</v>
      </c>
      <c r="S743" s="3" t="str">
        <f>IF(ISERROR(VLOOKUP(Base_Periodo1[[#This Row],[CONTA]],BaseContasDRE[#All],4,FALSE)),"Fora do DRE",VLOOKUP(Base_Periodo1[[#This Row],[CONTA]],BaseContasDRE[#All],4,FALSE))</f>
        <v>Fora do DRE</v>
      </c>
      <c r="T743" s="3" t="str">
        <f>IF(ISERROR(VLOOKUP(Base_Periodo1[[#This Row],[CONTA]],BaseContasDRE[#All],5,FALSE)),"Fora do DRE",VLOOKUP(Base_Periodo1[[#This Row],[CONTA]],BaseContasDRE[#All],6,FALSE))</f>
        <v>Fora do DRE</v>
      </c>
      <c r="U743" s="3" t="str">
        <f>IF(ISERROR(VLOOKUP(Base_Periodo1[[#This Row],[CONTA]],BaseContasDRE[#All],7,FALSE)),"Fora do DRE",VLOOKUP(Base_Periodo1[[#This Row],[CONTA]],BaseContasDRE[#All],7,FALSE))</f>
        <v>Fora do DRE</v>
      </c>
      <c r="V743" s="3" t="str">
        <f>IF(Base_Periodo1[[#This Row],[Tipo_Linha]]="Fora do DRE","Fora do DRE","( "&amp;Base_Periodo1[[#This Row],[Tipo_Linha]]&amp;" ) "&amp;Base_Periodo1[[#This Row],[Filtro]])</f>
        <v>Fora do DRE</v>
      </c>
      <c r="W743" s="3" t="str">
        <f>LEFT(Base_Periodo1[[#This Row],[CLASS]],3)</f>
        <v>1.1</v>
      </c>
    </row>
    <row r="744" spans="1:23" hidden="1">
      <c r="A744" s="3" t="str">
        <f t="shared" si="11"/>
        <v>Período 1</v>
      </c>
      <c r="B744">
        <v>2252</v>
      </c>
      <c r="C744" t="s">
        <v>503</v>
      </c>
      <c r="D744" t="s">
        <v>873</v>
      </c>
      <c r="E744" s="3" t="str">
        <f>IF(LEN(Base_Periodo1[[#This Row],[CLASS]])&gt;=7,LEFT(Base_Periodo1[[#This Row],[CLASS]],7),"")</f>
        <v>1.1.2.1</v>
      </c>
      <c r="F744" s="3" t="str">
        <f>VLOOKUP(Base_Periodo1[[#This Row],[Aux]],Base_Contas_Balanco[#All],2,FALSE)</f>
        <v>Creditos com Cooperados</v>
      </c>
      <c r="G744" s="1">
        <v>42881</v>
      </c>
      <c r="H744" s="225">
        <v>16529.959999999497</v>
      </c>
      <c r="I744" s="225">
        <v>20907.46</v>
      </c>
      <c r="J744" s="225">
        <v>20562.46</v>
      </c>
      <c r="K744" s="225">
        <v>16874.959999999497</v>
      </c>
      <c r="L7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16874.96</v>
      </c>
      <c r="M744" s="225">
        <f>ROUND(IF(AND(Base_Periodo1[[#This Row],[Tipo_Linha]]="-",Base_Periodo1[[#This Row],[TIPOSALDO]]="D"),Base_Periodo1[[#This Row],[SALDO_ATUAL]]*-1,Base_Periodo1[[#This Row],[SALDO_ATUAL]]),4)</f>
        <v>16874.96</v>
      </c>
      <c r="N744" t="s">
        <v>116</v>
      </c>
      <c r="O744" t="s">
        <v>397</v>
      </c>
      <c r="P744" t="s">
        <v>397</v>
      </c>
      <c r="Q744">
        <v>7</v>
      </c>
      <c r="R744" s="225">
        <f>Base_Periodo1[[#This Row],[CREDITOS]]-Base_Periodo1[[#This Row],[DEBITOS]]</f>
        <v>-345</v>
      </c>
      <c r="S744" s="3" t="str">
        <f>IF(ISERROR(VLOOKUP(Base_Periodo1[[#This Row],[CONTA]],BaseContasDRE[#All],4,FALSE)),"Fora do DRE",VLOOKUP(Base_Periodo1[[#This Row],[CONTA]],BaseContasDRE[#All],4,FALSE))</f>
        <v>Fora do DRE</v>
      </c>
      <c r="T744" s="3" t="str">
        <f>IF(ISERROR(VLOOKUP(Base_Periodo1[[#This Row],[CONTA]],BaseContasDRE[#All],5,FALSE)),"Fora do DRE",VLOOKUP(Base_Periodo1[[#This Row],[CONTA]],BaseContasDRE[#All],6,FALSE))</f>
        <v>Fora do DRE</v>
      </c>
      <c r="U744" s="3" t="str">
        <f>IF(ISERROR(VLOOKUP(Base_Periodo1[[#This Row],[CONTA]],BaseContasDRE[#All],7,FALSE)),"Fora do DRE",VLOOKUP(Base_Periodo1[[#This Row],[CONTA]],BaseContasDRE[#All],7,FALSE))</f>
        <v>Fora do DRE</v>
      </c>
      <c r="V744" s="3" t="str">
        <f>IF(Base_Periodo1[[#This Row],[Tipo_Linha]]="Fora do DRE","Fora do DRE","( "&amp;Base_Periodo1[[#This Row],[Tipo_Linha]]&amp;" ) "&amp;Base_Periodo1[[#This Row],[Filtro]])</f>
        <v>Fora do DRE</v>
      </c>
      <c r="W744" s="3" t="str">
        <f>LEFT(Base_Periodo1[[#This Row],[CLASS]],3)</f>
        <v>1.1</v>
      </c>
    </row>
    <row r="745" spans="1:23" hidden="1">
      <c r="A745" s="3" t="str">
        <f t="shared" si="11"/>
        <v>Período 1</v>
      </c>
      <c r="B745">
        <v>3372</v>
      </c>
      <c r="C745" t="s">
        <v>503</v>
      </c>
      <c r="D745" t="s">
        <v>874</v>
      </c>
      <c r="E745" s="3" t="str">
        <f>IF(LEN(Base_Periodo1[[#This Row],[CLASS]])&gt;=7,LEFT(Base_Periodo1[[#This Row],[CLASS]],7),"")</f>
        <v>1.1.2.1</v>
      </c>
      <c r="F745" s="3" t="str">
        <f>VLOOKUP(Base_Periodo1[[#This Row],[Aux]],Base_Contas_Balanco[#All],2,FALSE)</f>
        <v>Creditos com Cooperados</v>
      </c>
      <c r="G745" s="1">
        <v>42885</v>
      </c>
      <c r="H745" s="225">
        <v>2289.5000000000291</v>
      </c>
      <c r="I745" s="225">
        <v>18.28</v>
      </c>
      <c r="J745" s="225">
        <v>2307.7800000000002</v>
      </c>
      <c r="K745" s="225">
        <v>2.9103830456733704E-11</v>
      </c>
      <c r="L7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45" s="225">
        <f>ROUND(IF(AND(Base_Periodo1[[#This Row],[Tipo_Linha]]="-",Base_Periodo1[[#This Row],[TIPOSALDO]]="D"),Base_Periodo1[[#This Row],[SALDO_ATUAL]]*-1,Base_Periodo1[[#This Row],[SALDO_ATUAL]]),4)</f>
        <v>0</v>
      </c>
      <c r="N745" t="s">
        <v>116</v>
      </c>
      <c r="O745" t="s">
        <v>397</v>
      </c>
      <c r="P745" t="s">
        <v>436</v>
      </c>
      <c r="Q745">
        <v>7</v>
      </c>
      <c r="R745" s="225">
        <f>Base_Periodo1[[#This Row],[CREDITOS]]-Base_Periodo1[[#This Row],[DEBITOS]]</f>
        <v>2289.5</v>
      </c>
      <c r="S745" s="3" t="str">
        <f>IF(ISERROR(VLOOKUP(Base_Periodo1[[#This Row],[CONTA]],BaseContasDRE[#All],4,FALSE)),"Fora do DRE",VLOOKUP(Base_Periodo1[[#This Row],[CONTA]],BaseContasDRE[#All],4,FALSE))</f>
        <v>Fora do DRE</v>
      </c>
      <c r="T745" s="3" t="str">
        <f>IF(ISERROR(VLOOKUP(Base_Periodo1[[#This Row],[CONTA]],BaseContasDRE[#All],5,FALSE)),"Fora do DRE",VLOOKUP(Base_Periodo1[[#This Row],[CONTA]],BaseContasDRE[#All],6,FALSE))</f>
        <v>Fora do DRE</v>
      </c>
      <c r="U745" s="3" t="str">
        <f>IF(ISERROR(VLOOKUP(Base_Periodo1[[#This Row],[CONTA]],BaseContasDRE[#All],7,FALSE)),"Fora do DRE",VLOOKUP(Base_Periodo1[[#This Row],[CONTA]],BaseContasDRE[#All],7,FALSE))</f>
        <v>Fora do DRE</v>
      </c>
      <c r="V745" s="3" t="str">
        <f>IF(Base_Periodo1[[#This Row],[Tipo_Linha]]="Fora do DRE","Fora do DRE","( "&amp;Base_Periodo1[[#This Row],[Tipo_Linha]]&amp;" ) "&amp;Base_Periodo1[[#This Row],[Filtro]])</f>
        <v>Fora do DRE</v>
      </c>
      <c r="W745" s="3" t="str">
        <f>LEFT(Base_Periodo1[[#This Row],[CLASS]],3)</f>
        <v>1.1</v>
      </c>
    </row>
    <row r="746" spans="1:23" hidden="1">
      <c r="A746" s="3" t="str">
        <f t="shared" si="11"/>
        <v>Período 1</v>
      </c>
      <c r="B746">
        <v>2888</v>
      </c>
      <c r="C746" t="s">
        <v>503</v>
      </c>
      <c r="D746" t="s">
        <v>875</v>
      </c>
      <c r="E746" s="3" t="str">
        <f>IF(LEN(Base_Periodo1[[#This Row],[CLASS]])&gt;=7,LEFT(Base_Periodo1[[#This Row],[CLASS]],7),"")</f>
        <v>1.1.2.1</v>
      </c>
      <c r="F746" s="3" t="str">
        <f>VLOOKUP(Base_Periodo1[[#This Row],[Aux]],Base_Contas_Balanco[#All],2,FALSE)</f>
        <v>Creditos com Cooperados</v>
      </c>
      <c r="G746" s="1">
        <v>42880</v>
      </c>
      <c r="H746" s="225">
        <v>8038.1999999999243</v>
      </c>
      <c r="I746" s="225">
        <v>4644</v>
      </c>
      <c r="J746" s="225">
        <v>8998.2000000000007</v>
      </c>
      <c r="K746" s="225">
        <v>3683.9999999999236</v>
      </c>
      <c r="L7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3684</v>
      </c>
      <c r="M746" s="225">
        <f>ROUND(IF(AND(Base_Periodo1[[#This Row],[Tipo_Linha]]="-",Base_Periodo1[[#This Row],[TIPOSALDO]]="D"),Base_Periodo1[[#This Row],[SALDO_ATUAL]]*-1,Base_Periodo1[[#This Row],[SALDO_ATUAL]]),4)</f>
        <v>3684</v>
      </c>
      <c r="N746" t="s">
        <v>116</v>
      </c>
      <c r="O746" t="s">
        <v>397</v>
      </c>
      <c r="P746" t="s">
        <v>397</v>
      </c>
      <c r="Q746">
        <v>7</v>
      </c>
      <c r="R746" s="225">
        <f>Base_Periodo1[[#This Row],[CREDITOS]]-Base_Periodo1[[#This Row],[DEBITOS]]</f>
        <v>4354.2000000000007</v>
      </c>
      <c r="S746" s="3" t="str">
        <f>IF(ISERROR(VLOOKUP(Base_Periodo1[[#This Row],[CONTA]],BaseContasDRE[#All],4,FALSE)),"Fora do DRE",VLOOKUP(Base_Periodo1[[#This Row],[CONTA]],BaseContasDRE[#All],4,FALSE))</f>
        <v>Fora do DRE</v>
      </c>
      <c r="T746" s="3" t="str">
        <f>IF(ISERROR(VLOOKUP(Base_Periodo1[[#This Row],[CONTA]],BaseContasDRE[#All],5,FALSE)),"Fora do DRE",VLOOKUP(Base_Periodo1[[#This Row],[CONTA]],BaseContasDRE[#All],6,FALSE))</f>
        <v>Fora do DRE</v>
      </c>
      <c r="U746" s="3" t="str">
        <f>IF(ISERROR(VLOOKUP(Base_Periodo1[[#This Row],[CONTA]],BaseContasDRE[#All],7,FALSE)),"Fora do DRE",VLOOKUP(Base_Periodo1[[#This Row],[CONTA]],BaseContasDRE[#All],7,FALSE))</f>
        <v>Fora do DRE</v>
      </c>
      <c r="V746" s="3" t="str">
        <f>IF(Base_Periodo1[[#This Row],[Tipo_Linha]]="Fora do DRE","Fora do DRE","( "&amp;Base_Periodo1[[#This Row],[Tipo_Linha]]&amp;" ) "&amp;Base_Periodo1[[#This Row],[Filtro]])</f>
        <v>Fora do DRE</v>
      </c>
      <c r="W746" s="3" t="str">
        <f>LEFT(Base_Periodo1[[#This Row],[CLASS]],3)</f>
        <v>1.1</v>
      </c>
    </row>
    <row r="747" spans="1:23" hidden="1">
      <c r="A747" s="3" t="str">
        <f t="shared" si="11"/>
        <v>Período 1</v>
      </c>
      <c r="B747">
        <v>47912</v>
      </c>
      <c r="C747" t="s">
        <v>503</v>
      </c>
      <c r="D747" t="s">
        <v>876</v>
      </c>
      <c r="E747" s="3" t="str">
        <f>IF(LEN(Base_Periodo1[[#This Row],[CLASS]])&gt;=7,LEFT(Base_Periodo1[[#This Row],[CLASS]],7),"")</f>
        <v>1.1.2.1</v>
      </c>
      <c r="F747" s="3" t="str">
        <f>VLOOKUP(Base_Periodo1[[#This Row],[Aux]],Base_Contas_Balanco[#All],2,FALSE)</f>
        <v>Creditos com Cooperados</v>
      </c>
      <c r="G747" s="1">
        <v>42881</v>
      </c>
      <c r="H747" s="225">
        <v>12435.000000000058</v>
      </c>
      <c r="I747" s="225">
        <v>70087.509999999995</v>
      </c>
      <c r="J747" s="225">
        <v>523.51</v>
      </c>
      <c r="K747" s="225">
        <v>81999.000000000058</v>
      </c>
      <c r="L7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81999</v>
      </c>
      <c r="M747" s="225">
        <f>ROUND(IF(AND(Base_Periodo1[[#This Row],[Tipo_Linha]]="-",Base_Periodo1[[#This Row],[TIPOSALDO]]="D"),Base_Periodo1[[#This Row],[SALDO_ATUAL]]*-1,Base_Periodo1[[#This Row],[SALDO_ATUAL]]),4)</f>
        <v>81999</v>
      </c>
      <c r="N747" t="s">
        <v>116</v>
      </c>
      <c r="O747" t="s">
        <v>397</v>
      </c>
      <c r="P747" t="s">
        <v>397</v>
      </c>
      <c r="Q747">
        <v>7</v>
      </c>
      <c r="R747" s="225">
        <f>Base_Periodo1[[#This Row],[CREDITOS]]-Base_Periodo1[[#This Row],[DEBITOS]]</f>
        <v>-69564</v>
      </c>
      <c r="S747" s="3" t="str">
        <f>IF(ISERROR(VLOOKUP(Base_Periodo1[[#This Row],[CONTA]],BaseContasDRE[#All],4,FALSE)),"Fora do DRE",VLOOKUP(Base_Periodo1[[#This Row],[CONTA]],BaseContasDRE[#All],4,FALSE))</f>
        <v>Fora do DRE</v>
      </c>
      <c r="T747" s="3" t="str">
        <f>IF(ISERROR(VLOOKUP(Base_Periodo1[[#This Row],[CONTA]],BaseContasDRE[#All],5,FALSE)),"Fora do DRE",VLOOKUP(Base_Periodo1[[#This Row],[CONTA]],BaseContasDRE[#All],6,FALSE))</f>
        <v>Fora do DRE</v>
      </c>
      <c r="U747" s="3" t="str">
        <f>IF(ISERROR(VLOOKUP(Base_Periodo1[[#This Row],[CONTA]],BaseContasDRE[#All],7,FALSE)),"Fora do DRE",VLOOKUP(Base_Periodo1[[#This Row],[CONTA]],BaseContasDRE[#All],7,FALSE))</f>
        <v>Fora do DRE</v>
      </c>
      <c r="V747" s="3" t="str">
        <f>IF(Base_Periodo1[[#This Row],[Tipo_Linha]]="Fora do DRE","Fora do DRE","( "&amp;Base_Periodo1[[#This Row],[Tipo_Linha]]&amp;" ) "&amp;Base_Periodo1[[#This Row],[Filtro]])</f>
        <v>Fora do DRE</v>
      </c>
      <c r="W747" s="3" t="str">
        <f>LEFT(Base_Periodo1[[#This Row],[CLASS]],3)</f>
        <v>1.1</v>
      </c>
    </row>
    <row r="748" spans="1:23" hidden="1">
      <c r="A748" s="3" t="str">
        <f t="shared" si="11"/>
        <v>Período 1</v>
      </c>
      <c r="B748">
        <v>16675</v>
      </c>
      <c r="C748" t="s">
        <v>503</v>
      </c>
      <c r="D748" t="s">
        <v>4917</v>
      </c>
      <c r="E748" s="3" t="str">
        <f>IF(LEN(Base_Periodo1[[#This Row],[CLASS]])&gt;=7,LEFT(Base_Periodo1[[#This Row],[CLASS]],7),"")</f>
        <v>1.1.2.1</v>
      </c>
      <c r="F748" s="3" t="str">
        <f>VLOOKUP(Base_Periodo1[[#This Row],[Aux]],Base_Contas_Balanco[#All],2,FALSE)</f>
        <v>Creditos com Cooperados</v>
      </c>
      <c r="G748" s="1">
        <v>42866</v>
      </c>
      <c r="H748" s="225">
        <v>13757.000000000007</v>
      </c>
      <c r="I748" s="225">
        <v>527.5</v>
      </c>
      <c r="J748" s="225">
        <v>0</v>
      </c>
      <c r="K748" s="225">
        <v>14284.500000000007</v>
      </c>
      <c r="L7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14284.5</v>
      </c>
      <c r="M748" s="225">
        <f>ROUND(IF(AND(Base_Periodo1[[#This Row],[Tipo_Linha]]="-",Base_Periodo1[[#This Row],[TIPOSALDO]]="D"),Base_Periodo1[[#This Row],[SALDO_ATUAL]]*-1,Base_Periodo1[[#This Row],[SALDO_ATUAL]]),4)</f>
        <v>14284.5</v>
      </c>
      <c r="N748" t="s">
        <v>116</v>
      </c>
      <c r="O748" t="s">
        <v>397</v>
      </c>
      <c r="P748" t="s">
        <v>397</v>
      </c>
      <c r="Q748">
        <v>7</v>
      </c>
      <c r="R748" s="225">
        <f>Base_Periodo1[[#This Row],[CREDITOS]]-Base_Periodo1[[#This Row],[DEBITOS]]</f>
        <v>-527.5</v>
      </c>
      <c r="S748" s="3" t="str">
        <f>IF(ISERROR(VLOOKUP(Base_Periodo1[[#This Row],[CONTA]],BaseContasDRE[#All],4,FALSE)),"Fora do DRE",VLOOKUP(Base_Periodo1[[#This Row],[CONTA]],BaseContasDRE[#All],4,FALSE))</f>
        <v>Fora do DRE</v>
      </c>
      <c r="T748" s="3" t="str">
        <f>IF(ISERROR(VLOOKUP(Base_Periodo1[[#This Row],[CONTA]],BaseContasDRE[#All],5,FALSE)),"Fora do DRE",VLOOKUP(Base_Periodo1[[#This Row],[CONTA]],BaseContasDRE[#All],6,FALSE))</f>
        <v>Fora do DRE</v>
      </c>
      <c r="U748" s="3" t="str">
        <f>IF(ISERROR(VLOOKUP(Base_Periodo1[[#This Row],[CONTA]],BaseContasDRE[#All],7,FALSE)),"Fora do DRE",VLOOKUP(Base_Periodo1[[#This Row],[CONTA]],BaseContasDRE[#All],7,FALSE))</f>
        <v>Fora do DRE</v>
      </c>
      <c r="V748" s="3" t="str">
        <f>IF(Base_Periodo1[[#This Row],[Tipo_Linha]]="Fora do DRE","Fora do DRE","( "&amp;Base_Periodo1[[#This Row],[Tipo_Linha]]&amp;" ) "&amp;Base_Periodo1[[#This Row],[Filtro]])</f>
        <v>Fora do DRE</v>
      </c>
      <c r="W748" s="3" t="str">
        <f>LEFT(Base_Periodo1[[#This Row],[CLASS]],3)</f>
        <v>1.1</v>
      </c>
    </row>
    <row r="749" spans="1:23" hidden="1">
      <c r="A749" s="3" t="str">
        <f t="shared" si="11"/>
        <v>Período 1</v>
      </c>
      <c r="B749">
        <v>38259</v>
      </c>
      <c r="C749" t="s">
        <v>503</v>
      </c>
      <c r="D749" t="s">
        <v>877</v>
      </c>
      <c r="E749" s="3" t="str">
        <f>IF(LEN(Base_Periodo1[[#This Row],[CLASS]])&gt;=7,LEFT(Base_Periodo1[[#This Row],[CLASS]],7),"")</f>
        <v>1.1.2.1</v>
      </c>
      <c r="F749" s="3" t="str">
        <f>VLOOKUP(Base_Periodo1[[#This Row],[Aux]],Base_Contas_Balanco[#All],2,FALSE)</f>
        <v>Creditos com Cooperados</v>
      </c>
      <c r="G749" s="1">
        <v>42881</v>
      </c>
      <c r="H749" s="225">
        <v>0.37999999997555278</v>
      </c>
      <c r="I749" s="225">
        <v>13463.76</v>
      </c>
      <c r="J749" s="225">
        <v>13463.76</v>
      </c>
      <c r="K749" s="225">
        <v>0.37999999997555278</v>
      </c>
      <c r="L7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0.38</v>
      </c>
      <c r="M749" s="225">
        <f>ROUND(IF(AND(Base_Periodo1[[#This Row],[Tipo_Linha]]="-",Base_Periodo1[[#This Row],[TIPOSALDO]]="D"),Base_Periodo1[[#This Row],[SALDO_ATUAL]]*-1,Base_Periodo1[[#This Row],[SALDO_ATUAL]]),4)</f>
        <v>0.38</v>
      </c>
      <c r="N749" t="s">
        <v>116</v>
      </c>
      <c r="O749" t="s">
        <v>397</v>
      </c>
      <c r="P749" t="s">
        <v>397</v>
      </c>
      <c r="Q749">
        <v>7</v>
      </c>
      <c r="R749" s="225">
        <f>Base_Periodo1[[#This Row],[CREDITOS]]-Base_Periodo1[[#This Row],[DEBITOS]]</f>
        <v>0</v>
      </c>
      <c r="S749" s="3" t="str">
        <f>IF(ISERROR(VLOOKUP(Base_Periodo1[[#This Row],[CONTA]],BaseContasDRE[#All],4,FALSE)),"Fora do DRE",VLOOKUP(Base_Periodo1[[#This Row],[CONTA]],BaseContasDRE[#All],4,FALSE))</f>
        <v>Fora do DRE</v>
      </c>
      <c r="T749" s="3" t="str">
        <f>IF(ISERROR(VLOOKUP(Base_Periodo1[[#This Row],[CONTA]],BaseContasDRE[#All],5,FALSE)),"Fora do DRE",VLOOKUP(Base_Periodo1[[#This Row],[CONTA]],BaseContasDRE[#All],6,FALSE))</f>
        <v>Fora do DRE</v>
      </c>
      <c r="U749" s="3" t="str">
        <f>IF(ISERROR(VLOOKUP(Base_Periodo1[[#This Row],[CONTA]],BaseContasDRE[#All],7,FALSE)),"Fora do DRE",VLOOKUP(Base_Periodo1[[#This Row],[CONTA]],BaseContasDRE[#All],7,FALSE))</f>
        <v>Fora do DRE</v>
      </c>
      <c r="V749" s="3" t="str">
        <f>IF(Base_Periodo1[[#This Row],[Tipo_Linha]]="Fora do DRE","Fora do DRE","( "&amp;Base_Periodo1[[#This Row],[Tipo_Linha]]&amp;" ) "&amp;Base_Periodo1[[#This Row],[Filtro]])</f>
        <v>Fora do DRE</v>
      </c>
      <c r="W749" s="3" t="str">
        <f>LEFT(Base_Periodo1[[#This Row],[CLASS]],3)</f>
        <v>1.1</v>
      </c>
    </row>
    <row r="750" spans="1:23" hidden="1">
      <c r="A750" s="3" t="str">
        <f t="shared" si="11"/>
        <v>Período 1</v>
      </c>
      <c r="B750">
        <v>3964</v>
      </c>
      <c r="C750" t="s">
        <v>503</v>
      </c>
      <c r="D750" t="s">
        <v>878</v>
      </c>
      <c r="E750" s="3" t="str">
        <f>IF(LEN(Base_Periodo1[[#This Row],[CLASS]])&gt;=7,LEFT(Base_Periodo1[[#This Row],[CLASS]],7),"")</f>
        <v>1.1.2.1</v>
      </c>
      <c r="F750" s="3" t="str">
        <f>VLOOKUP(Base_Periodo1[[#This Row],[Aux]],Base_Contas_Balanco[#All],2,FALSE)</f>
        <v>Creditos com Cooperados</v>
      </c>
      <c r="G750" s="1">
        <v>42879</v>
      </c>
      <c r="H750" s="225">
        <v>7046.8400000000838</v>
      </c>
      <c r="I750" s="225">
        <v>35768.410000000003</v>
      </c>
      <c r="J750" s="225">
        <v>1674</v>
      </c>
      <c r="K750" s="225">
        <v>41141.250000000087</v>
      </c>
      <c r="L7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41141.25</v>
      </c>
      <c r="M750" s="225">
        <f>ROUND(IF(AND(Base_Periodo1[[#This Row],[Tipo_Linha]]="-",Base_Periodo1[[#This Row],[TIPOSALDO]]="D"),Base_Periodo1[[#This Row],[SALDO_ATUAL]]*-1,Base_Periodo1[[#This Row],[SALDO_ATUAL]]),4)</f>
        <v>41141.25</v>
      </c>
      <c r="N750" t="s">
        <v>116</v>
      </c>
      <c r="O750" t="s">
        <v>397</v>
      </c>
      <c r="P750" t="s">
        <v>397</v>
      </c>
      <c r="Q750">
        <v>7</v>
      </c>
      <c r="R750" s="225">
        <f>Base_Periodo1[[#This Row],[CREDITOS]]-Base_Periodo1[[#This Row],[DEBITOS]]</f>
        <v>-34094.410000000003</v>
      </c>
      <c r="S750" s="3" t="str">
        <f>IF(ISERROR(VLOOKUP(Base_Periodo1[[#This Row],[CONTA]],BaseContasDRE[#All],4,FALSE)),"Fora do DRE",VLOOKUP(Base_Periodo1[[#This Row],[CONTA]],BaseContasDRE[#All],4,FALSE))</f>
        <v>Fora do DRE</v>
      </c>
      <c r="T750" s="3" t="str">
        <f>IF(ISERROR(VLOOKUP(Base_Periodo1[[#This Row],[CONTA]],BaseContasDRE[#All],5,FALSE)),"Fora do DRE",VLOOKUP(Base_Periodo1[[#This Row],[CONTA]],BaseContasDRE[#All],6,FALSE))</f>
        <v>Fora do DRE</v>
      </c>
      <c r="U750" s="3" t="str">
        <f>IF(ISERROR(VLOOKUP(Base_Periodo1[[#This Row],[CONTA]],BaseContasDRE[#All],7,FALSE)),"Fora do DRE",VLOOKUP(Base_Periodo1[[#This Row],[CONTA]],BaseContasDRE[#All],7,FALSE))</f>
        <v>Fora do DRE</v>
      </c>
      <c r="V750" s="3" t="str">
        <f>IF(Base_Periodo1[[#This Row],[Tipo_Linha]]="Fora do DRE","Fora do DRE","( "&amp;Base_Periodo1[[#This Row],[Tipo_Linha]]&amp;" ) "&amp;Base_Periodo1[[#This Row],[Filtro]])</f>
        <v>Fora do DRE</v>
      </c>
      <c r="W750" s="3" t="str">
        <f>LEFT(Base_Periodo1[[#This Row],[CLASS]],3)</f>
        <v>1.1</v>
      </c>
    </row>
    <row r="751" spans="1:23" hidden="1">
      <c r="A751" s="3" t="str">
        <f t="shared" si="11"/>
        <v>Período 1</v>
      </c>
      <c r="B751">
        <v>40105</v>
      </c>
      <c r="C751" t="s">
        <v>503</v>
      </c>
      <c r="D751" t="s">
        <v>4939</v>
      </c>
      <c r="E751" s="3" t="str">
        <f>IF(LEN(Base_Periodo1[[#This Row],[CLASS]])&gt;=7,LEFT(Base_Periodo1[[#This Row],[CLASS]],7),"")</f>
        <v>1.1.2.1</v>
      </c>
      <c r="F751" s="3" t="str">
        <f>VLOOKUP(Base_Periodo1[[#This Row],[Aux]],Base_Contas_Balanco[#All],2,FALSE)</f>
        <v>Creditos com Cooperados</v>
      </c>
      <c r="G751" s="1">
        <v>42877</v>
      </c>
      <c r="I751" s="225">
        <v>95</v>
      </c>
      <c r="J751" s="225">
        <v>95</v>
      </c>
      <c r="K751" s="225">
        <v>-3.637978807091713E-12</v>
      </c>
      <c r="L7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51" s="225">
        <f>ROUND(IF(AND(Base_Periodo1[[#This Row],[Tipo_Linha]]="-",Base_Periodo1[[#This Row],[TIPOSALDO]]="D"),Base_Periodo1[[#This Row],[SALDO_ATUAL]]*-1,Base_Periodo1[[#This Row],[SALDO_ATUAL]]),4)</f>
        <v>0</v>
      </c>
      <c r="N751" t="s">
        <v>116</v>
      </c>
      <c r="O751" t="s">
        <v>436</v>
      </c>
      <c r="P751" t="s">
        <v>436</v>
      </c>
      <c r="Q751">
        <v>7</v>
      </c>
      <c r="R751" s="225">
        <f>Base_Periodo1[[#This Row],[CREDITOS]]-Base_Periodo1[[#This Row],[DEBITOS]]</f>
        <v>0</v>
      </c>
      <c r="S751" s="3" t="str">
        <f>IF(ISERROR(VLOOKUP(Base_Periodo1[[#This Row],[CONTA]],BaseContasDRE[#All],4,FALSE)),"Fora do DRE",VLOOKUP(Base_Periodo1[[#This Row],[CONTA]],BaseContasDRE[#All],4,FALSE))</f>
        <v>Fora do DRE</v>
      </c>
      <c r="T751" s="3" t="str">
        <f>IF(ISERROR(VLOOKUP(Base_Periodo1[[#This Row],[CONTA]],BaseContasDRE[#All],5,FALSE)),"Fora do DRE",VLOOKUP(Base_Periodo1[[#This Row],[CONTA]],BaseContasDRE[#All],6,FALSE))</f>
        <v>Fora do DRE</v>
      </c>
      <c r="U751" s="3" t="str">
        <f>IF(ISERROR(VLOOKUP(Base_Periodo1[[#This Row],[CONTA]],BaseContasDRE[#All],7,FALSE)),"Fora do DRE",VLOOKUP(Base_Periodo1[[#This Row],[CONTA]],BaseContasDRE[#All],7,FALSE))</f>
        <v>Fora do DRE</v>
      </c>
      <c r="V751" s="3" t="str">
        <f>IF(Base_Periodo1[[#This Row],[Tipo_Linha]]="Fora do DRE","Fora do DRE","( "&amp;Base_Periodo1[[#This Row],[Tipo_Linha]]&amp;" ) "&amp;Base_Periodo1[[#This Row],[Filtro]])</f>
        <v>Fora do DRE</v>
      </c>
      <c r="W751" s="3" t="str">
        <f>LEFT(Base_Periodo1[[#This Row],[CLASS]],3)</f>
        <v>1.1</v>
      </c>
    </row>
    <row r="752" spans="1:23" hidden="1">
      <c r="A752" s="3" t="str">
        <f t="shared" si="11"/>
        <v>Período 1</v>
      </c>
      <c r="B752">
        <v>9540</v>
      </c>
      <c r="C752" t="s">
        <v>503</v>
      </c>
      <c r="D752" t="s">
        <v>5168</v>
      </c>
      <c r="E752" s="3" t="str">
        <f>IF(LEN(Base_Periodo1[[#This Row],[CLASS]])&gt;=7,LEFT(Base_Periodo1[[#This Row],[CLASS]],7),"")</f>
        <v>1.1.2.1</v>
      </c>
      <c r="F752" s="3" t="str">
        <f>VLOOKUP(Base_Periodo1[[#This Row],[Aux]],Base_Contas_Balanco[#All],2,FALSE)</f>
        <v>Creditos com Cooperados</v>
      </c>
      <c r="G752" s="1">
        <v>42844</v>
      </c>
      <c r="H752" s="225">
        <v>223</v>
      </c>
      <c r="I752" s="225">
        <v>0</v>
      </c>
      <c r="J752" s="225">
        <v>0</v>
      </c>
      <c r="K752" s="225">
        <v>223</v>
      </c>
      <c r="L7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223</v>
      </c>
      <c r="M752" s="225">
        <f>ROUND(IF(AND(Base_Periodo1[[#This Row],[Tipo_Linha]]="-",Base_Periodo1[[#This Row],[TIPOSALDO]]="D"),Base_Periodo1[[#This Row],[SALDO_ATUAL]]*-1,Base_Periodo1[[#This Row],[SALDO_ATUAL]]),4)</f>
        <v>223</v>
      </c>
      <c r="N752" t="s">
        <v>116</v>
      </c>
      <c r="O752" t="s">
        <v>397</v>
      </c>
      <c r="P752" t="s">
        <v>397</v>
      </c>
      <c r="Q752">
        <v>7</v>
      </c>
      <c r="R752" s="225">
        <f>Base_Periodo1[[#This Row],[CREDITOS]]-Base_Periodo1[[#This Row],[DEBITOS]]</f>
        <v>0</v>
      </c>
      <c r="S752" s="3" t="str">
        <f>IF(ISERROR(VLOOKUP(Base_Periodo1[[#This Row],[CONTA]],BaseContasDRE[#All],4,FALSE)),"Fora do DRE",VLOOKUP(Base_Periodo1[[#This Row],[CONTA]],BaseContasDRE[#All],4,FALSE))</f>
        <v>Fora do DRE</v>
      </c>
      <c r="T752" s="3" t="str">
        <f>IF(ISERROR(VLOOKUP(Base_Periodo1[[#This Row],[CONTA]],BaseContasDRE[#All],5,FALSE)),"Fora do DRE",VLOOKUP(Base_Periodo1[[#This Row],[CONTA]],BaseContasDRE[#All],6,FALSE))</f>
        <v>Fora do DRE</v>
      </c>
      <c r="U752" s="3" t="str">
        <f>IF(ISERROR(VLOOKUP(Base_Periodo1[[#This Row],[CONTA]],BaseContasDRE[#All],7,FALSE)),"Fora do DRE",VLOOKUP(Base_Periodo1[[#This Row],[CONTA]],BaseContasDRE[#All],7,FALSE))</f>
        <v>Fora do DRE</v>
      </c>
      <c r="V752" s="3" t="str">
        <f>IF(Base_Periodo1[[#This Row],[Tipo_Linha]]="Fora do DRE","Fora do DRE","( "&amp;Base_Periodo1[[#This Row],[Tipo_Linha]]&amp;" ) "&amp;Base_Periodo1[[#This Row],[Filtro]])</f>
        <v>Fora do DRE</v>
      </c>
      <c r="W752" s="3" t="str">
        <f>LEFT(Base_Periodo1[[#This Row],[CLASS]],3)</f>
        <v>1.1</v>
      </c>
    </row>
    <row r="753" spans="1:23" hidden="1">
      <c r="A753" s="3" t="str">
        <f t="shared" si="11"/>
        <v>Período 1</v>
      </c>
      <c r="B753">
        <v>39284</v>
      </c>
      <c r="C753" t="s">
        <v>503</v>
      </c>
      <c r="D753" t="s">
        <v>5289</v>
      </c>
      <c r="E753" s="3" t="str">
        <f>IF(LEN(Base_Periodo1[[#This Row],[CLASS]])&gt;=7,LEFT(Base_Periodo1[[#This Row],[CLASS]],7),"")</f>
        <v>1.1.2.1</v>
      </c>
      <c r="F753" s="3" t="str">
        <f>VLOOKUP(Base_Periodo1[[#This Row],[Aux]],Base_Contas_Balanco[#All],2,FALSE)</f>
        <v>Creditos com Cooperados</v>
      </c>
      <c r="G753" s="1">
        <v>42829</v>
      </c>
      <c r="H753" s="225">
        <v>1074.0599999999977</v>
      </c>
      <c r="I753" s="225">
        <v>0</v>
      </c>
      <c r="J753" s="225">
        <v>0</v>
      </c>
      <c r="K753" s="225">
        <v>1074.0599999999977</v>
      </c>
      <c r="L7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1074.06</v>
      </c>
      <c r="M753" s="225">
        <f>ROUND(IF(AND(Base_Periodo1[[#This Row],[Tipo_Linha]]="-",Base_Periodo1[[#This Row],[TIPOSALDO]]="D"),Base_Periodo1[[#This Row],[SALDO_ATUAL]]*-1,Base_Periodo1[[#This Row],[SALDO_ATUAL]]),4)</f>
        <v>1074.06</v>
      </c>
      <c r="N753" t="s">
        <v>116</v>
      </c>
      <c r="O753" t="s">
        <v>397</v>
      </c>
      <c r="P753" t="s">
        <v>397</v>
      </c>
      <c r="Q753">
        <v>7</v>
      </c>
      <c r="R753" s="225">
        <f>Base_Periodo1[[#This Row],[CREDITOS]]-Base_Periodo1[[#This Row],[DEBITOS]]</f>
        <v>0</v>
      </c>
      <c r="S753" s="3" t="str">
        <f>IF(ISERROR(VLOOKUP(Base_Periodo1[[#This Row],[CONTA]],BaseContasDRE[#All],4,FALSE)),"Fora do DRE",VLOOKUP(Base_Periodo1[[#This Row],[CONTA]],BaseContasDRE[#All],4,FALSE))</f>
        <v>Fora do DRE</v>
      </c>
      <c r="T753" s="3" t="str">
        <f>IF(ISERROR(VLOOKUP(Base_Periodo1[[#This Row],[CONTA]],BaseContasDRE[#All],5,FALSE)),"Fora do DRE",VLOOKUP(Base_Periodo1[[#This Row],[CONTA]],BaseContasDRE[#All],6,FALSE))</f>
        <v>Fora do DRE</v>
      </c>
      <c r="U753" s="3" t="str">
        <f>IF(ISERROR(VLOOKUP(Base_Periodo1[[#This Row],[CONTA]],BaseContasDRE[#All],7,FALSE)),"Fora do DRE",VLOOKUP(Base_Periodo1[[#This Row],[CONTA]],BaseContasDRE[#All],7,FALSE))</f>
        <v>Fora do DRE</v>
      </c>
      <c r="V753" s="3" t="str">
        <f>IF(Base_Periodo1[[#This Row],[Tipo_Linha]]="Fora do DRE","Fora do DRE","( "&amp;Base_Periodo1[[#This Row],[Tipo_Linha]]&amp;" ) "&amp;Base_Periodo1[[#This Row],[Filtro]])</f>
        <v>Fora do DRE</v>
      </c>
      <c r="W753" s="3" t="str">
        <f>LEFT(Base_Periodo1[[#This Row],[CLASS]],3)</f>
        <v>1.1</v>
      </c>
    </row>
    <row r="754" spans="1:23" hidden="1">
      <c r="A754" s="3" t="str">
        <f t="shared" si="11"/>
        <v>Período 1</v>
      </c>
      <c r="B754">
        <v>21440</v>
      </c>
      <c r="C754" t="s">
        <v>503</v>
      </c>
      <c r="D754" t="s">
        <v>4245</v>
      </c>
      <c r="E754" s="3" t="str">
        <f>IF(LEN(Base_Periodo1[[#This Row],[CLASS]])&gt;=7,LEFT(Base_Periodo1[[#This Row],[CLASS]],7),"")</f>
        <v>1.1.2.1</v>
      </c>
      <c r="F754" s="3" t="str">
        <f>VLOOKUP(Base_Periodo1[[#This Row],[Aux]],Base_Contas_Balanco[#All],2,FALSE)</f>
        <v>Creditos com Cooperados</v>
      </c>
      <c r="G754" s="1">
        <v>42808</v>
      </c>
      <c r="H754" s="225">
        <v>9.9999999983992893E-3</v>
      </c>
      <c r="I754" s="225">
        <v>0</v>
      </c>
      <c r="J754" s="225">
        <v>0</v>
      </c>
      <c r="K754" s="225">
        <v>9.9999999983992893E-3</v>
      </c>
      <c r="L7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-0.01</v>
      </c>
      <c r="M754" s="225">
        <f>ROUND(IF(AND(Base_Periodo1[[#This Row],[Tipo_Linha]]="-",Base_Periodo1[[#This Row],[TIPOSALDO]]="D"),Base_Periodo1[[#This Row],[SALDO_ATUAL]]*-1,Base_Periodo1[[#This Row],[SALDO_ATUAL]]),4)</f>
        <v>0.01</v>
      </c>
      <c r="N754" t="s">
        <v>116</v>
      </c>
      <c r="O754" t="s">
        <v>459</v>
      </c>
      <c r="P754" t="s">
        <v>459</v>
      </c>
      <c r="Q754">
        <v>7</v>
      </c>
      <c r="R754" s="225">
        <f>Base_Periodo1[[#This Row],[CREDITOS]]-Base_Periodo1[[#This Row],[DEBITOS]]</f>
        <v>0</v>
      </c>
      <c r="S754" s="3" t="str">
        <f>IF(ISERROR(VLOOKUP(Base_Periodo1[[#This Row],[CONTA]],BaseContasDRE[#All],4,FALSE)),"Fora do DRE",VLOOKUP(Base_Periodo1[[#This Row],[CONTA]],BaseContasDRE[#All],4,FALSE))</f>
        <v>Fora do DRE</v>
      </c>
      <c r="T754" s="3" t="str">
        <f>IF(ISERROR(VLOOKUP(Base_Periodo1[[#This Row],[CONTA]],BaseContasDRE[#All],5,FALSE)),"Fora do DRE",VLOOKUP(Base_Periodo1[[#This Row],[CONTA]],BaseContasDRE[#All],6,FALSE))</f>
        <v>Fora do DRE</v>
      </c>
      <c r="U754" s="3" t="str">
        <f>IF(ISERROR(VLOOKUP(Base_Periodo1[[#This Row],[CONTA]],BaseContasDRE[#All],7,FALSE)),"Fora do DRE",VLOOKUP(Base_Periodo1[[#This Row],[CONTA]],BaseContasDRE[#All],7,FALSE))</f>
        <v>Fora do DRE</v>
      </c>
      <c r="V754" s="3" t="str">
        <f>IF(Base_Periodo1[[#This Row],[Tipo_Linha]]="Fora do DRE","Fora do DRE","( "&amp;Base_Periodo1[[#This Row],[Tipo_Linha]]&amp;" ) "&amp;Base_Periodo1[[#This Row],[Filtro]])</f>
        <v>Fora do DRE</v>
      </c>
      <c r="W754" s="3" t="str">
        <f>LEFT(Base_Periodo1[[#This Row],[CLASS]],3)</f>
        <v>1.1</v>
      </c>
    </row>
    <row r="755" spans="1:23" hidden="1">
      <c r="A755" s="3" t="str">
        <f t="shared" si="11"/>
        <v>Período 1</v>
      </c>
      <c r="B755">
        <v>2560</v>
      </c>
      <c r="C755" t="s">
        <v>503</v>
      </c>
      <c r="D755" t="s">
        <v>879</v>
      </c>
      <c r="E755" s="3" t="str">
        <f>IF(LEN(Base_Periodo1[[#This Row],[CLASS]])&gt;=7,LEFT(Base_Periodo1[[#This Row],[CLASS]],7),"")</f>
        <v>1.1.2.1</v>
      </c>
      <c r="F755" s="3" t="str">
        <f>VLOOKUP(Base_Periodo1[[#This Row],[Aux]],Base_Contas_Balanco[#All],2,FALSE)</f>
        <v>Creditos com Cooperados</v>
      </c>
      <c r="G755" s="1">
        <v>42877</v>
      </c>
      <c r="H755" s="225">
        <v>96425.810000001919</v>
      </c>
      <c r="I755" s="225">
        <v>17575404.91</v>
      </c>
      <c r="J755" s="225">
        <v>9535620.7300000004</v>
      </c>
      <c r="K755" s="225">
        <v>8136209.9900000021</v>
      </c>
      <c r="L7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8136209.9900000002</v>
      </c>
      <c r="M755" s="225">
        <f>ROUND(IF(AND(Base_Periodo1[[#This Row],[Tipo_Linha]]="-",Base_Periodo1[[#This Row],[TIPOSALDO]]="D"),Base_Periodo1[[#This Row],[SALDO_ATUAL]]*-1,Base_Periodo1[[#This Row],[SALDO_ATUAL]]),4)</f>
        <v>8136209.9900000002</v>
      </c>
      <c r="N755" t="s">
        <v>116</v>
      </c>
      <c r="O755" t="s">
        <v>397</v>
      </c>
      <c r="P755" t="s">
        <v>397</v>
      </c>
      <c r="Q755">
        <v>7</v>
      </c>
      <c r="R755" s="225">
        <f>Base_Periodo1[[#This Row],[CREDITOS]]-Base_Periodo1[[#This Row],[DEBITOS]]</f>
        <v>-8039784.1799999997</v>
      </c>
      <c r="S755" s="3" t="str">
        <f>IF(ISERROR(VLOOKUP(Base_Periodo1[[#This Row],[CONTA]],BaseContasDRE[#All],4,FALSE)),"Fora do DRE",VLOOKUP(Base_Periodo1[[#This Row],[CONTA]],BaseContasDRE[#All],4,FALSE))</f>
        <v>Fora do DRE</v>
      </c>
      <c r="T755" s="3" t="str">
        <f>IF(ISERROR(VLOOKUP(Base_Periodo1[[#This Row],[CONTA]],BaseContasDRE[#All],5,FALSE)),"Fora do DRE",VLOOKUP(Base_Periodo1[[#This Row],[CONTA]],BaseContasDRE[#All],6,FALSE))</f>
        <v>Fora do DRE</v>
      </c>
      <c r="U755" s="3" t="str">
        <f>IF(ISERROR(VLOOKUP(Base_Periodo1[[#This Row],[CONTA]],BaseContasDRE[#All],7,FALSE)),"Fora do DRE",VLOOKUP(Base_Periodo1[[#This Row],[CONTA]],BaseContasDRE[#All],7,FALSE))</f>
        <v>Fora do DRE</v>
      </c>
      <c r="V755" s="3" t="str">
        <f>IF(Base_Periodo1[[#This Row],[Tipo_Linha]]="Fora do DRE","Fora do DRE","( "&amp;Base_Periodo1[[#This Row],[Tipo_Linha]]&amp;" ) "&amp;Base_Periodo1[[#This Row],[Filtro]])</f>
        <v>Fora do DRE</v>
      </c>
      <c r="W755" s="3" t="str">
        <f>LEFT(Base_Periodo1[[#This Row],[CLASS]],3)</f>
        <v>1.1</v>
      </c>
    </row>
    <row r="756" spans="1:23" hidden="1">
      <c r="A756" s="3" t="str">
        <f t="shared" si="11"/>
        <v>Período 1</v>
      </c>
      <c r="B756">
        <v>2348</v>
      </c>
      <c r="C756" t="s">
        <v>503</v>
      </c>
      <c r="D756" t="s">
        <v>4642</v>
      </c>
      <c r="E756" s="3" t="str">
        <f>IF(LEN(Base_Periodo1[[#This Row],[CLASS]])&gt;=7,LEFT(Base_Periodo1[[#This Row],[CLASS]],7),"")</f>
        <v>1.1.2.1</v>
      </c>
      <c r="F756" s="3" t="str">
        <f>VLOOKUP(Base_Periodo1[[#This Row],[Aux]],Base_Contas_Balanco[#All],2,FALSE)</f>
        <v>Creditos com Cooperados</v>
      </c>
      <c r="G756" s="1">
        <v>42884</v>
      </c>
      <c r="H756" s="225">
        <v>73979.699999999721</v>
      </c>
      <c r="I756" s="225">
        <v>99336.5</v>
      </c>
      <c r="J756" s="225">
        <v>83500</v>
      </c>
      <c r="K756" s="225">
        <v>89816.199999999721</v>
      </c>
      <c r="L7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89816.2</v>
      </c>
      <c r="M756" s="225">
        <f>ROUND(IF(AND(Base_Periodo1[[#This Row],[Tipo_Linha]]="-",Base_Periodo1[[#This Row],[TIPOSALDO]]="D"),Base_Periodo1[[#This Row],[SALDO_ATUAL]]*-1,Base_Periodo1[[#This Row],[SALDO_ATUAL]]),4)</f>
        <v>89816.2</v>
      </c>
      <c r="N756" t="s">
        <v>116</v>
      </c>
      <c r="O756" t="s">
        <v>397</v>
      </c>
      <c r="P756" t="s">
        <v>397</v>
      </c>
      <c r="Q756">
        <v>7</v>
      </c>
      <c r="R756" s="225">
        <f>Base_Periodo1[[#This Row],[CREDITOS]]-Base_Periodo1[[#This Row],[DEBITOS]]</f>
        <v>-15836.5</v>
      </c>
      <c r="S756" s="3" t="str">
        <f>IF(ISERROR(VLOOKUP(Base_Periodo1[[#This Row],[CONTA]],BaseContasDRE[#All],4,FALSE)),"Fora do DRE",VLOOKUP(Base_Periodo1[[#This Row],[CONTA]],BaseContasDRE[#All],4,FALSE))</f>
        <v>Fora do DRE</v>
      </c>
      <c r="T756" s="3" t="str">
        <f>IF(ISERROR(VLOOKUP(Base_Periodo1[[#This Row],[CONTA]],BaseContasDRE[#All],5,FALSE)),"Fora do DRE",VLOOKUP(Base_Periodo1[[#This Row],[CONTA]],BaseContasDRE[#All],6,FALSE))</f>
        <v>Fora do DRE</v>
      </c>
      <c r="U756" s="3" t="str">
        <f>IF(ISERROR(VLOOKUP(Base_Periodo1[[#This Row],[CONTA]],BaseContasDRE[#All],7,FALSE)),"Fora do DRE",VLOOKUP(Base_Periodo1[[#This Row],[CONTA]],BaseContasDRE[#All],7,FALSE))</f>
        <v>Fora do DRE</v>
      </c>
      <c r="V756" s="3" t="str">
        <f>IF(Base_Periodo1[[#This Row],[Tipo_Linha]]="Fora do DRE","Fora do DRE","( "&amp;Base_Periodo1[[#This Row],[Tipo_Linha]]&amp;" ) "&amp;Base_Periodo1[[#This Row],[Filtro]])</f>
        <v>Fora do DRE</v>
      </c>
      <c r="W756" s="3" t="str">
        <f>LEFT(Base_Periodo1[[#This Row],[CLASS]],3)</f>
        <v>1.1</v>
      </c>
    </row>
    <row r="757" spans="1:23" hidden="1">
      <c r="A757" s="3" t="str">
        <f t="shared" si="11"/>
        <v>Período 1</v>
      </c>
      <c r="B757">
        <v>2896</v>
      </c>
      <c r="C757" t="s">
        <v>503</v>
      </c>
      <c r="D757" t="s">
        <v>880</v>
      </c>
      <c r="E757" s="3" t="str">
        <f>IF(LEN(Base_Periodo1[[#This Row],[CLASS]])&gt;=7,LEFT(Base_Periodo1[[#This Row],[CLASS]],7),"")</f>
        <v>1.1.2.1</v>
      </c>
      <c r="F757" s="3" t="str">
        <f>VLOOKUP(Base_Periodo1[[#This Row],[Aux]],Base_Contas_Balanco[#All],2,FALSE)</f>
        <v>Creditos com Cooperados</v>
      </c>
      <c r="G757" s="1">
        <v>42874</v>
      </c>
      <c r="H757" s="225">
        <v>27502.400000000605</v>
      </c>
      <c r="I757" s="225">
        <v>27274.499999999996</v>
      </c>
      <c r="J757" s="225">
        <v>14428.52</v>
      </c>
      <c r="K757" s="225">
        <v>40348.380000000601</v>
      </c>
      <c r="L7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40348.379999999997</v>
      </c>
      <c r="M757" s="225">
        <f>ROUND(IF(AND(Base_Periodo1[[#This Row],[Tipo_Linha]]="-",Base_Periodo1[[#This Row],[TIPOSALDO]]="D"),Base_Periodo1[[#This Row],[SALDO_ATUAL]]*-1,Base_Periodo1[[#This Row],[SALDO_ATUAL]]),4)</f>
        <v>40348.379999999997</v>
      </c>
      <c r="N757" t="s">
        <v>116</v>
      </c>
      <c r="O757" t="s">
        <v>397</v>
      </c>
      <c r="P757" t="s">
        <v>397</v>
      </c>
      <c r="Q757">
        <v>7</v>
      </c>
      <c r="R757" s="225">
        <f>Base_Periodo1[[#This Row],[CREDITOS]]-Base_Periodo1[[#This Row],[DEBITOS]]</f>
        <v>-12845.979999999996</v>
      </c>
      <c r="S757" s="3" t="str">
        <f>IF(ISERROR(VLOOKUP(Base_Periodo1[[#This Row],[CONTA]],BaseContasDRE[#All],4,FALSE)),"Fora do DRE",VLOOKUP(Base_Periodo1[[#This Row],[CONTA]],BaseContasDRE[#All],4,FALSE))</f>
        <v>Fora do DRE</v>
      </c>
      <c r="T757" s="3" t="str">
        <f>IF(ISERROR(VLOOKUP(Base_Periodo1[[#This Row],[CONTA]],BaseContasDRE[#All],5,FALSE)),"Fora do DRE",VLOOKUP(Base_Periodo1[[#This Row],[CONTA]],BaseContasDRE[#All],6,FALSE))</f>
        <v>Fora do DRE</v>
      </c>
      <c r="U757" s="3" t="str">
        <f>IF(ISERROR(VLOOKUP(Base_Periodo1[[#This Row],[CONTA]],BaseContasDRE[#All],7,FALSE)),"Fora do DRE",VLOOKUP(Base_Periodo1[[#This Row],[CONTA]],BaseContasDRE[#All],7,FALSE))</f>
        <v>Fora do DRE</v>
      </c>
      <c r="V757" s="3" t="str">
        <f>IF(Base_Periodo1[[#This Row],[Tipo_Linha]]="Fora do DRE","Fora do DRE","( "&amp;Base_Periodo1[[#This Row],[Tipo_Linha]]&amp;" ) "&amp;Base_Periodo1[[#This Row],[Filtro]])</f>
        <v>Fora do DRE</v>
      </c>
      <c r="W757" s="3" t="str">
        <f>LEFT(Base_Periodo1[[#This Row],[CLASS]],3)</f>
        <v>1.1</v>
      </c>
    </row>
    <row r="758" spans="1:23" hidden="1">
      <c r="A758" s="3" t="str">
        <f t="shared" si="11"/>
        <v>Período 1</v>
      </c>
      <c r="B758">
        <v>7229</v>
      </c>
      <c r="C758" t="s">
        <v>503</v>
      </c>
      <c r="D758" t="s">
        <v>881</v>
      </c>
      <c r="E758" s="3" t="str">
        <f>IF(LEN(Base_Periodo1[[#This Row],[CLASS]])&gt;=7,LEFT(Base_Periodo1[[#This Row],[CLASS]],7),"")</f>
        <v>1.1.2.1</v>
      </c>
      <c r="F758" s="3" t="str">
        <f>VLOOKUP(Base_Periodo1[[#This Row],[Aux]],Base_Contas_Balanco[#All],2,FALSE)</f>
        <v>Creditos com Cooperados</v>
      </c>
      <c r="G758" s="1">
        <v>42885</v>
      </c>
      <c r="H758" s="225">
        <v>31548.599999999919</v>
      </c>
      <c r="I758" s="225">
        <v>6340</v>
      </c>
      <c r="J758" s="225">
        <v>10468.6</v>
      </c>
      <c r="K758" s="225">
        <v>27419.99999999992</v>
      </c>
      <c r="L7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27420</v>
      </c>
      <c r="M758" s="225">
        <f>ROUND(IF(AND(Base_Periodo1[[#This Row],[Tipo_Linha]]="-",Base_Periodo1[[#This Row],[TIPOSALDO]]="D"),Base_Periodo1[[#This Row],[SALDO_ATUAL]]*-1,Base_Periodo1[[#This Row],[SALDO_ATUAL]]),4)</f>
        <v>27420</v>
      </c>
      <c r="N758" t="s">
        <v>116</v>
      </c>
      <c r="O758" t="s">
        <v>397</v>
      </c>
      <c r="P758" t="s">
        <v>397</v>
      </c>
      <c r="Q758">
        <v>7</v>
      </c>
      <c r="R758" s="225">
        <f>Base_Periodo1[[#This Row],[CREDITOS]]-Base_Periodo1[[#This Row],[DEBITOS]]</f>
        <v>4128.6000000000004</v>
      </c>
      <c r="S758" s="3" t="str">
        <f>IF(ISERROR(VLOOKUP(Base_Periodo1[[#This Row],[CONTA]],BaseContasDRE[#All],4,FALSE)),"Fora do DRE",VLOOKUP(Base_Periodo1[[#This Row],[CONTA]],BaseContasDRE[#All],4,FALSE))</f>
        <v>Fora do DRE</v>
      </c>
      <c r="T758" s="3" t="str">
        <f>IF(ISERROR(VLOOKUP(Base_Periodo1[[#This Row],[CONTA]],BaseContasDRE[#All],5,FALSE)),"Fora do DRE",VLOOKUP(Base_Periodo1[[#This Row],[CONTA]],BaseContasDRE[#All],6,FALSE))</f>
        <v>Fora do DRE</v>
      </c>
      <c r="U758" s="3" t="str">
        <f>IF(ISERROR(VLOOKUP(Base_Periodo1[[#This Row],[CONTA]],BaseContasDRE[#All],7,FALSE)),"Fora do DRE",VLOOKUP(Base_Periodo1[[#This Row],[CONTA]],BaseContasDRE[#All],7,FALSE))</f>
        <v>Fora do DRE</v>
      </c>
      <c r="V758" s="3" t="str">
        <f>IF(Base_Periodo1[[#This Row],[Tipo_Linha]]="Fora do DRE","Fora do DRE","( "&amp;Base_Periodo1[[#This Row],[Tipo_Linha]]&amp;" ) "&amp;Base_Periodo1[[#This Row],[Filtro]])</f>
        <v>Fora do DRE</v>
      </c>
      <c r="W758" s="3" t="str">
        <f>LEFT(Base_Periodo1[[#This Row],[CLASS]],3)</f>
        <v>1.1</v>
      </c>
    </row>
    <row r="759" spans="1:23" hidden="1">
      <c r="A759" s="3" t="str">
        <f t="shared" si="11"/>
        <v>Período 1</v>
      </c>
      <c r="B759">
        <v>7169</v>
      </c>
      <c r="C759" t="s">
        <v>503</v>
      </c>
      <c r="D759" t="s">
        <v>5169</v>
      </c>
      <c r="E759" s="3" t="str">
        <f>IF(LEN(Base_Periodo1[[#This Row],[CLASS]])&gt;=7,LEFT(Base_Periodo1[[#This Row],[CLASS]],7),"")</f>
        <v>1.1.2.1</v>
      </c>
      <c r="F759" s="3" t="str">
        <f>VLOOKUP(Base_Periodo1[[#This Row],[Aux]],Base_Contas_Balanco[#All],2,FALSE)</f>
        <v>Creditos com Cooperados</v>
      </c>
      <c r="G759" s="1">
        <v>42870</v>
      </c>
      <c r="H759" s="225">
        <v>3394.9999999999272</v>
      </c>
      <c r="I759" s="225">
        <v>470</v>
      </c>
      <c r="J759" s="225">
        <v>0</v>
      </c>
      <c r="K759" s="225">
        <v>3864.9999999999272</v>
      </c>
      <c r="L7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3865</v>
      </c>
      <c r="M759" s="225">
        <f>ROUND(IF(AND(Base_Periodo1[[#This Row],[Tipo_Linha]]="-",Base_Periodo1[[#This Row],[TIPOSALDO]]="D"),Base_Periodo1[[#This Row],[SALDO_ATUAL]]*-1,Base_Periodo1[[#This Row],[SALDO_ATUAL]]),4)</f>
        <v>3865</v>
      </c>
      <c r="N759" t="s">
        <v>116</v>
      </c>
      <c r="O759" t="s">
        <v>397</v>
      </c>
      <c r="P759" t="s">
        <v>397</v>
      </c>
      <c r="Q759">
        <v>7</v>
      </c>
      <c r="R759" s="225">
        <f>Base_Periodo1[[#This Row],[CREDITOS]]-Base_Periodo1[[#This Row],[DEBITOS]]</f>
        <v>-470</v>
      </c>
      <c r="S759" s="3" t="str">
        <f>IF(ISERROR(VLOOKUP(Base_Periodo1[[#This Row],[CONTA]],BaseContasDRE[#All],4,FALSE)),"Fora do DRE",VLOOKUP(Base_Periodo1[[#This Row],[CONTA]],BaseContasDRE[#All],4,FALSE))</f>
        <v>Fora do DRE</v>
      </c>
      <c r="T759" s="3" t="str">
        <f>IF(ISERROR(VLOOKUP(Base_Periodo1[[#This Row],[CONTA]],BaseContasDRE[#All],5,FALSE)),"Fora do DRE",VLOOKUP(Base_Periodo1[[#This Row],[CONTA]],BaseContasDRE[#All],6,FALSE))</f>
        <v>Fora do DRE</v>
      </c>
      <c r="U759" s="3" t="str">
        <f>IF(ISERROR(VLOOKUP(Base_Periodo1[[#This Row],[CONTA]],BaseContasDRE[#All],7,FALSE)),"Fora do DRE",VLOOKUP(Base_Periodo1[[#This Row],[CONTA]],BaseContasDRE[#All],7,FALSE))</f>
        <v>Fora do DRE</v>
      </c>
      <c r="V759" s="3" t="str">
        <f>IF(Base_Periodo1[[#This Row],[Tipo_Linha]]="Fora do DRE","Fora do DRE","( "&amp;Base_Periodo1[[#This Row],[Tipo_Linha]]&amp;" ) "&amp;Base_Periodo1[[#This Row],[Filtro]])</f>
        <v>Fora do DRE</v>
      </c>
      <c r="W759" s="3" t="str">
        <f>LEFT(Base_Periodo1[[#This Row],[CLASS]],3)</f>
        <v>1.1</v>
      </c>
    </row>
    <row r="760" spans="1:23" hidden="1">
      <c r="A760" s="3" t="str">
        <f t="shared" si="11"/>
        <v>Período 1</v>
      </c>
      <c r="B760">
        <v>3452</v>
      </c>
      <c r="C760" t="s">
        <v>503</v>
      </c>
      <c r="D760" t="s">
        <v>6735</v>
      </c>
      <c r="E760" s="3" t="str">
        <f>IF(LEN(Base_Periodo1[[#This Row],[CLASS]])&gt;=7,LEFT(Base_Periodo1[[#This Row],[CLASS]],7),"")</f>
        <v>1.1.2.1</v>
      </c>
      <c r="F760" s="3" t="str">
        <f>VLOOKUP(Base_Periodo1[[#This Row],[Aux]],Base_Contas_Balanco[#All],2,FALSE)</f>
        <v>Creditos com Cooperados</v>
      </c>
      <c r="G760" s="1">
        <v>42877</v>
      </c>
      <c r="I760" s="225">
        <v>197.55</v>
      </c>
      <c r="J760" s="225">
        <v>0</v>
      </c>
      <c r="K760" s="225">
        <v>197.5499999999418</v>
      </c>
      <c r="L7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197.55</v>
      </c>
      <c r="M760" s="225">
        <f>ROUND(IF(AND(Base_Periodo1[[#This Row],[Tipo_Linha]]="-",Base_Periodo1[[#This Row],[TIPOSALDO]]="D"),Base_Periodo1[[#This Row],[SALDO_ATUAL]]*-1,Base_Periodo1[[#This Row],[SALDO_ATUAL]]),4)</f>
        <v>197.55</v>
      </c>
      <c r="N760" t="s">
        <v>116</v>
      </c>
      <c r="O760" t="s">
        <v>436</v>
      </c>
      <c r="P760" t="s">
        <v>397</v>
      </c>
      <c r="Q760">
        <v>7</v>
      </c>
      <c r="R760" s="225">
        <f>Base_Periodo1[[#This Row],[CREDITOS]]-Base_Periodo1[[#This Row],[DEBITOS]]</f>
        <v>-197.55</v>
      </c>
      <c r="S760" s="3" t="str">
        <f>IF(ISERROR(VLOOKUP(Base_Periodo1[[#This Row],[CONTA]],BaseContasDRE[#All],4,FALSE)),"Fora do DRE",VLOOKUP(Base_Periodo1[[#This Row],[CONTA]],BaseContasDRE[#All],4,FALSE))</f>
        <v>Fora do DRE</v>
      </c>
      <c r="T760" s="3" t="str">
        <f>IF(ISERROR(VLOOKUP(Base_Periodo1[[#This Row],[CONTA]],BaseContasDRE[#All],5,FALSE)),"Fora do DRE",VLOOKUP(Base_Periodo1[[#This Row],[CONTA]],BaseContasDRE[#All],6,FALSE))</f>
        <v>Fora do DRE</v>
      </c>
      <c r="U760" s="3" t="str">
        <f>IF(ISERROR(VLOOKUP(Base_Periodo1[[#This Row],[CONTA]],BaseContasDRE[#All],7,FALSE)),"Fora do DRE",VLOOKUP(Base_Periodo1[[#This Row],[CONTA]],BaseContasDRE[#All],7,FALSE))</f>
        <v>Fora do DRE</v>
      </c>
      <c r="V760" s="3" t="str">
        <f>IF(Base_Periodo1[[#This Row],[Tipo_Linha]]="Fora do DRE","Fora do DRE","( "&amp;Base_Periodo1[[#This Row],[Tipo_Linha]]&amp;" ) "&amp;Base_Periodo1[[#This Row],[Filtro]])</f>
        <v>Fora do DRE</v>
      </c>
      <c r="W760" s="3" t="str">
        <f>LEFT(Base_Periodo1[[#This Row],[CLASS]],3)</f>
        <v>1.1</v>
      </c>
    </row>
    <row r="761" spans="1:23" hidden="1">
      <c r="A761" s="3" t="str">
        <f t="shared" si="11"/>
        <v>Período 1</v>
      </c>
      <c r="B761">
        <v>24995</v>
      </c>
      <c r="C761" t="s">
        <v>503</v>
      </c>
      <c r="D761" t="s">
        <v>6736</v>
      </c>
      <c r="E761" s="3" t="str">
        <f>IF(LEN(Base_Periodo1[[#This Row],[CLASS]])&gt;=7,LEFT(Base_Periodo1[[#This Row],[CLASS]],7),"")</f>
        <v>1.1.2.1</v>
      </c>
      <c r="F761" s="3" t="str">
        <f>VLOOKUP(Base_Periodo1[[#This Row],[Aux]],Base_Contas_Balanco[#All],2,FALSE)</f>
        <v>Creditos com Cooperados</v>
      </c>
      <c r="G761" s="1">
        <v>42879</v>
      </c>
      <c r="I761" s="225">
        <v>17028.3</v>
      </c>
      <c r="J761" s="225">
        <v>0</v>
      </c>
      <c r="K761" s="225">
        <v>17028.29999999997</v>
      </c>
      <c r="L7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17028.3</v>
      </c>
      <c r="M761" s="225">
        <f>ROUND(IF(AND(Base_Periodo1[[#This Row],[Tipo_Linha]]="-",Base_Periodo1[[#This Row],[TIPOSALDO]]="D"),Base_Periodo1[[#This Row],[SALDO_ATUAL]]*-1,Base_Periodo1[[#This Row],[SALDO_ATUAL]]),4)</f>
        <v>17028.3</v>
      </c>
      <c r="N761" t="s">
        <v>116</v>
      </c>
      <c r="O761" t="s">
        <v>436</v>
      </c>
      <c r="P761" t="s">
        <v>397</v>
      </c>
      <c r="Q761">
        <v>7</v>
      </c>
      <c r="R761" s="225">
        <f>Base_Periodo1[[#This Row],[CREDITOS]]-Base_Periodo1[[#This Row],[DEBITOS]]</f>
        <v>-17028.3</v>
      </c>
      <c r="S761" s="3" t="str">
        <f>IF(ISERROR(VLOOKUP(Base_Periodo1[[#This Row],[CONTA]],BaseContasDRE[#All],4,FALSE)),"Fora do DRE",VLOOKUP(Base_Periodo1[[#This Row],[CONTA]],BaseContasDRE[#All],4,FALSE))</f>
        <v>Fora do DRE</v>
      </c>
      <c r="T761" s="3" t="str">
        <f>IF(ISERROR(VLOOKUP(Base_Periodo1[[#This Row],[CONTA]],BaseContasDRE[#All],5,FALSE)),"Fora do DRE",VLOOKUP(Base_Periodo1[[#This Row],[CONTA]],BaseContasDRE[#All],6,FALSE))</f>
        <v>Fora do DRE</v>
      </c>
      <c r="U761" s="3" t="str">
        <f>IF(ISERROR(VLOOKUP(Base_Periodo1[[#This Row],[CONTA]],BaseContasDRE[#All],7,FALSE)),"Fora do DRE",VLOOKUP(Base_Periodo1[[#This Row],[CONTA]],BaseContasDRE[#All],7,FALSE))</f>
        <v>Fora do DRE</v>
      </c>
      <c r="V761" s="3" t="str">
        <f>IF(Base_Periodo1[[#This Row],[Tipo_Linha]]="Fora do DRE","Fora do DRE","( "&amp;Base_Periodo1[[#This Row],[Tipo_Linha]]&amp;" ) "&amp;Base_Periodo1[[#This Row],[Filtro]])</f>
        <v>Fora do DRE</v>
      </c>
      <c r="W761" s="3" t="str">
        <f>LEFT(Base_Periodo1[[#This Row],[CLASS]],3)</f>
        <v>1.1</v>
      </c>
    </row>
    <row r="762" spans="1:23" hidden="1">
      <c r="A762" s="3" t="str">
        <f t="shared" si="11"/>
        <v>Período 1</v>
      </c>
      <c r="B762">
        <v>23151</v>
      </c>
      <c r="C762" t="s">
        <v>503</v>
      </c>
      <c r="D762" t="s">
        <v>6139</v>
      </c>
      <c r="E762" s="3" t="str">
        <f>IF(LEN(Base_Periodo1[[#This Row],[CLASS]])&gt;=7,LEFT(Base_Periodo1[[#This Row],[CLASS]],7),"")</f>
        <v>1.1.2.1</v>
      </c>
      <c r="F762" s="3" t="str">
        <f>VLOOKUP(Base_Periodo1[[#This Row],[Aux]],Base_Contas_Balanco[#All],2,FALSE)</f>
        <v>Creditos com Cooperados</v>
      </c>
      <c r="G762" s="1">
        <v>42842</v>
      </c>
      <c r="H762" s="225">
        <v>1030</v>
      </c>
      <c r="I762" s="225">
        <v>0</v>
      </c>
      <c r="J762" s="225">
        <v>0</v>
      </c>
      <c r="K762" s="225">
        <v>1030</v>
      </c>
      <c r="L7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1030</v>
      </c>
      <c r="M762" s="225">
        <f>ROUND(IF(AND(Base_Periodo1[[#This Row],[Tipo_Linha]]="-",Base_Periodo1[[#This Row],[TIPOSALDO]]="D"),Base_Periodo1[[#This Row],[SALDO_ATUAL]]*-1,Base_Periodo1[[#This Row],[SALDO_ATUAL]]),4)</f>
        <v>1030</v>
      </c>
      <c r="N762" t="s">
        <v>116</v>
      </c>
      <c r="O762" t="s">
        <v>397</v>
      </c>
      <c r="P762" t="s">
        <v>397</v>
      </c>
      <c r="Q762">
        <v>7</v>
      </c>
      <c r="R762" s="225">
        <f>Base_Periodo1[[#This Row],[CREDITOS]]-Base_Periodo1[[#This Row],[DEBITOS]]</f>
        <v>0</v>
      </c>
      <c r="S762" s="3" t="str">
        <f>IF(ISERROR(VLOOKUP(Base_Periodo1[[#This Row],[CONTA]],BaseContasDRE[#All],4,FALSE)),"Fora do DRE",VLOOKUP(Base_Periodo1[[#This Row],[CONTA]],BaseContasDRE[#All],4,FALSE))</f>
        <v>Fora do DRE</v>
      </c>
      <c r="T762" s="3" t="str">
        <f>IF(ISERROR(VLOOKUP(Base_Periodo1[[#This Row],[CONTA]],BaseContasDRE[#All],5,FALSE)),"Fora do DRE",VLOOKUP(Base_Periodo1[[#This Row],[CONTA]],BaseContasDRE[#All],6,FALSE))</f>
        <v>Fora do DRE</v>
      </c>
      <c r="U762" s="3" t="str">
        <f>IF(ISERROR(VLOOKUP(Base_Periodo1[[#This Row],[CONTA]],BaseContasDRE[#All],7,FALSE)),"Fora do DRE",VLOOKUP(Base_Periodo1[[#This Row],[CONTA]],BaseContasDRE[#All],7,FALSE))</f>
        <v>Fora do DRE</v>
      </c>
      <c r="V762" s="3" t="str">
        <f>IF(Base_Periodo1[[#This Row],[Tipo_Linha]]="Fora do DRE","Fora do DRE","( "&amp;Base_Periodo1[[#This Row],[Tipo_Linha]]&amp;" ) "&amp;Base_Periodo1[[#This Row],[Filtro]])</f>
        <v>Fora do DRE</v>
      </c>
      <c r="W762" s="3" t="str">
        <f>LEFT(Base_Periodo1[[#This Row],[CLASS]],3)</f>
        <v>1.1</v>
      </c>
    </row>
    <row r="763" spans="1:23" hidden="1">
      <c r="A763" s="3" t="str">
        <f t="shared" si="11"/>
        <v>Período 1</v>
      </c>
      <c r="B763">
        <v>26324</v>
      </c>
      <c r="C763" t="s">
        <v>503</v>
      </c>
      <c r="D763" t="s">
        <v>882</v>
      </c>
      <c r="E763" s="3" t="str">
        <f>IF(LEN(Base_Periodo1[[#This Row],[CLASS]])&gt;=7,LEFT(Base_Periodo1[[#This Row],[CLASS]],7),"")</f>
        <v>1.1.2.1</v>
      </c>
      <c r="F763" s="3" t="str">
        <f>VLOOKUP(Base_Periodo1[[#This Row],[Aux]],Base_Contas_Balanco[#All],2,FALSE)</f>
        <v>Creditos com Cooperados</v>
      </c>
      <c r="G763" s="1">
        <v>42874</v>
      </c>
      <c r="H763" s="225">
        <v>15844.610000000044</v>
      </c>
      <c r="I763" s="225">
        <v>960</v>
      </c>
      <c r="J763" s="225">
        <v>0</v>
      </c>
      <c r="K763" s="225">
        <v>16804.610000000044</v>
      </c>
      <c r="L7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16804.61</v>
      </c>
      <c r="M763" s="225">
        <f>ROUND(IF(AND(Base_Periodo1[[#This Row],[Tipo_Linha]]="-",Base_Periodo1[[#This Row],[TIPOSALDO]]="D"),Base_Periodo1[[#This Row],[SALDO_ATUAL]]*-1,Base_Periodo1[[#This Row],[SALDO_ATUAL]]),4)</f>
        <v>16804.61</v>
      </c>
      <c r="N763" t="s">
        <v>116</v>
      </c>
      <c r="O763" t="s">
        <v>397</v>
      </c>
      <c r="P763" t="s">
        <v>397</v>
      </c>
      <c r="Q763">
        <v>7</v>
      </c>
      <c r="R763" s="225">
        <f>Base_Periodo1[[#This Row],[CREDITOS]]-Base_Periodo1[[#This Row],[DEBITOS]]</f>
        <v>-960</v>
      </c>
      <c r="S763" s="3" t="str">
        <f>IF(ISERROR(VLOOKUP(Base_Periodo1[[#This Row],[CONTA]],BaseContasDRE[#All],4,FALSE)),"Fora do DRE",VLOOKUP(Base_Periodo1[[#This Row],[CONTA]],BaseContasDRE[#All],4,FALSE))</f>
        <v>Fora do DRE</v>
      </c>
      <c r="T763" s="3" t="str">
        <f>IF(ISERROR(VLOOKUP(Base_Periodo1[[#This Row],[CONTA]],BaseContasDRE[#All],5,FALSE)),"Fora do DRE",VLOOKUP(Base_Periodo1[[#This Row],[CONTA]],BaseContasDRE[#All],6,FALSE))</f>
        <v>Fora do DRE</v>
      </c>
      <c r="U763" s="3" t="str">
        <f>IF(ISERROR(VLOOKUP(Base_Periodo1[[#This Row],[CONTA]],BaseContasDRE[#All],7,FALSE)),"Fora do DRE",VLOOKUP(Base_Periodo1[[#This Row],[CONTA]],BaseContasDRE[#All],7,FALSE))</f>
        <v>Fora do DRE</v>
      </c>
      <c r="V763" s="3" t="str">
        <f>IF(Base_Periodo1[[#This Row],[Tipo_Linha]]="Fora do DRE","Fora do DRE","( "&amp;Base_Periodo1[[#This Row],[Tipo_Linha]]&amp;" ) "&amp;Base_Periodo1[[#This Row],[Filtro]])</f>
        <v>Fora do DRE</v>
      </c>
      <c r="W763" s="3" t="str">
        <f>LEFT(Base_Periodo1[[#This Row],[CLASS]],3)</f>
        <v>1.1</v>
      </c>
    </row>
    <row r="764" spans="1:23" hidden="1">
      <c r="A764" s="3" t="str">
        <f t="shared" si="11"/>
        <v>Período 1</v>
      </c>
      <c r="B764">
        <v>4028</v>
      </c>
      <c r="C764" t="s">
        <v>503</v>
      </c>
      <c r="D764" t="s">
        <v>5017</v>
      </c>
      <c r="E764" s="3" t="str">
        <f>IF(LEN(Base_Periodo1[[#This Row],[CLASS]])&gt;=7,LEFT(Base_Periodo1[[#This Row],[CLASS]],7),"")</f>
        <v>1.1.2.1</v>
      </c>
      <c r="F764" s="3" t="str">
        <f>VLOOKUP(Base_Periodo1[[#This Row],[Aux]],Base_Contas_Balanco[#All],2,FALSE)</f>
        <v>Creditos com Cooperados</v>
      </c>
      <c r="G764" s="1">
        <v>42870</v>
      </c>
      <c r="H764" s="225">
        <v>41026.999999999942</v>
      </c>
      <c r="I764" s="225">
        <v>592</v>
      </c>
      <c r="J764" s="225">
        <v>41027</v>
      </c>
      <c r="K764" s="225">
        <v>591.99999999994179</v>
      </c>
      <c r="L7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592</v>
      </c>
      <c r="M764" s="225">
        <f>ROUND(IF(AND(Base_Periodo1[[#This Row],[Tipo_Linha]]="-",Base_Periodo1[[#This Row],[TIPOSALDO]]="D"),Base_Periodo1[[#This Row],[SALDO_ATUAL]]*-1,Base_Periodo1[[#This Row],[SALDO_ATUAL]]),4)</f>
        <v>592</v>
      </c>
      <c r="N764" t="s">
        <v>116</v>
      </c>
      <c r="O764" t="s">
        <v>397</v>
      </c>
      <c r="P764" t="s">
        <v>397</v>
      </c>
      <c r="Q764">
        <v>7</v>
      </c>
      <c r="R764" s="225">
        <f>Base_Periodo1[[#This Row],[CREDITOS]]-Base_Periodo1[[#This Row],[DEBITOS]]</f>
        <v>40435</v>
      </c>
      <c r="S764" s="3" t="str">
        <f>IF(ISERROR(VLOOKUP(Base_Periodo1[[#This Row],[CONTA]],BaseContasDRE[#All],4,FALSE)),"Fora do DRE",VLOOKUP(Base_Periodo1[[#This Row],[CONTA]],BaseContasDRE[#All],4,FALSE))</f>
        <v>Fora do DRE</v>
      </c>
      <c r="T764" s="3" t="str">
        <f>IF(ISERROR(VLOOKUP(Base_Periodo1[[#This Row],[CONTA]],BaseContasDRE[#All],5,FALSE)),"Fora do DRE",VLOOKUP(Base_Periodo1[[#This Row],[CONTA]],BaseContasDRE[#All],6,FALSE))</f>
        <v>Fora do DRE</v>
      </c>
      <c r="U764" s="3" t="str">
        <f>IF(ISERROR(VLOOKUP(Base_Periodo1[[#This Row],[CONTA]],BaseContasDRE[#All],7,FALSE)),"Fora do DRE",VLOOKUP(Base_Periodo1[[#This Row],[CONTA]],BaseContasDRE[#All],7,FALSE))</f>
        <v>Fora do DRE</v>
      </c>
      <c r="V764" s="3" t="str">
        <f>IF(Base_Periodo1[[#This Row],[Tipo_Linha]]="Fora do DRE","Fora do DRE","( "&amp;Base_Periodo1[[#This Row],[Tipo_Linha]]&amp;" ) "&amp;Base_Periodo1[[#This Row],[Filtro]])</f>
        <v>Fora do DRE</v>
      </c>
      <c r="W764" s="3" t="str">
        <f>LEFT(Base_Periodo1[[#This Row],[CLASS]],3)</f>
        <v>1.1</v>
      </c>
    </row>
    <row r="765" spans="1:23" hidden="1">
      <c r="A765" s="3" t="str">
        <f t="shared" si="11"/>
        <v>Período 1</v>
      </c>
      <c r="B765">
        <v>39132</v>
      </c>
      <c r="C765" t="s">
        <v>503</v>
      </c>
      <c r="D765" t="s">
        <v>883</v>
      </c>
      <c r="E765" s="3" t="str">
        <f>IF(LEN(Base_Periodo1[[#This Row],[CLASS]])&gt;=7,LEFT(Base_Periodo1[[#This Row],[CLASS]],7),"")</f>
        <v>1.1.2.1</v>
      </c>
      <c r="F765" s="3" t="str">
        <f>VLOOKUP(Base_Periodo1[[#This Row],[Aux]],Base_Contas_Balanco[#All],2,FALSE)</f>
        <v>Creditos com Cooperados</v>
      </c>
      <c r="G765" s="1">
        <v>42880</v>
      </c>
      <c r="H765" s="225">
        <v>6338.5</v>
      </c>
      <c r="I765" s="225">
        <v>1186</v>
      </c>
      <c r="J765" s="225">
        <v>916</v>
      </c>
      <c r="K765" s="225">
        <v>6608.5</v>
      </c>
      <c r="L7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6608.5</v>
      </c>
      <c r="M765" s="225">
        <f>ROUND(IF(AND(Base_Periodo1[[#This Row],[Tipo_Linha]]="-",Base_Periodo1[[#This Row],[TIPOSALDO]]="D"),Base_Periodo1[[#This Row],[SALDO_ATUAL]]*-1,Base_Periodo1[[#This Row],[SALDO_ATUAL]]),4)</f>
        <v>6608.5</v>
      </c>
      <c r="N765" t="s">
        <v>116</v>
      </c>
      <c r="O765" t="s">
        <v>397</v>
      </c>
      <c r="P765" t="s">
        <v>397</v>
      </c>
      <c r="Q765">
        <v>7</v>
      </c>
      <c r="R765" s="225">
        <f>Base_Periodo1[[#This Row],[CREDITOS]]-Base_Periodo1[[#This Row],[DEBITOS]]</f>
        <v>-270</v>
      </c>
      <c r="S765" s="3" t="str">
        <f>IF(ISERROR(VLOOKUP(Base_Periodo1[[#This Row],[CONTA]],BaseContasDRE[#All],4,FALSE)),"Fora do DRE",VLOOKUP(Base_Periodo1[[#This Row],[CONTA]],BaseContasDRE[#All],4,FALSE))</f>
        <v>Fora do DRE</v>
      </c>
      <c r="T765" s="3" t="str">
        <f>IF(ISERROR(VLOOKUP(Base_Periodo1[[#This Row],[CONTA]],BaseContasDRE[#All],5,FALSE)),"Fora do DRE",VLOOKUP(Base_Periodo1[[#This Row],[CONTA]],BaseContasDRE[#All],6,FALSE))</f>
        <v>Fora do DRE</v>
      </c>
      <c r="U765" s="3" t="str">
        <f>IF(ISERROR(VLOOKUP(Base_Periodo1[[#This Row],[CONTA]],BaseContasDRE[#All],7,FALSE)),"Fora do DRE",VLOOKUP(Base_Periodo1[[#This Row],[CONTA]],BaseContasDRE[#All],7,FALSE))</f>
        <v>Fora do DRE</v>
      </c>
      <c r="V765" s="3" t="str">
        <f>IF(Base_Periodo1[[#This Row],[Tipo_Linha]]="Fora do DRE","Fora do DRE","( "&amp;Base_Periodo1[[#This Row],[Tipo_Linha]]&amp;" ) "&amp;Base_Periodo1[[#This Row],[Filtro]])</f>
        <v>Fora do DRE</v>
      </c>
      <c r="W765" s="3" t="str">
        <f>LEFT(Base_Periodo1[[#This Row],[CLASS]],3)</f>
        <v>1.1</v>
      </c>
    </row>
    <row r="766" spans="1:23" hidden="1">
      <c r="A766" s="3" t="str">
        <f t="shared" si="11"/>
        <v>Período 1</v>
      </c>
      <c r="B766">
        <v>17980</v>
      </c>
      <c r="C766" t="s">
        <v>503</v>
      </c>
      <c r="D766" t="s">
        <v>884</v>
      </c>
      <c r="E766" s="3" t="str">
        <f>IF(LEN(Base_Periodo1[[#This Row],[CLASS]])&gt;=7,LEFT(Base_Periodo1[[#This Row],[CLASS]],7),"")</f>
        <v>1.1.2.1</v>
      </c>
      <c r="F766" s="3" t="str">
        <f>VLOOKUP(Base_Periodo1[[#This Row],[Aux]],Base_Contas_Balanco[#All],2,FALSE)</f>
        <v>Creditos com Cooperados</v>
      </c>
      <c r="G766" s="1">
        <v>42886</v>
      </c>
      <c r="H766" s="225">
        <v>88807.680000000168</v>
      </c>
      <c r="I766" s="225">
        <v>73608.47</v>
      </c>
      <c r="J766" s="225">
        <v>65565.459999999992</v>
      </c>
      <c r="K766" s="225">
        <v>96850.690000000177</v>
      </c>
      <c r="L7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96850.69</v>
      </c>
      <c r="M766" s="225">
        <f>ROUND(IF(AND(Base_Periodo1[[#This Row],[Tipo_Linha]]="-",Base_Periodo1[[#This Row],[TIPOSALDO]]="D"),Base_Periodo1[[#This Row],[SALDO_ATUAL]]*-1,Base_Periodo1[[#This Row],[SALDO_ATUAL]]),4)</f>
        <v>96850.69</v>
      </c>
      <c r="N766" t="s">
        <v>116</v>
      </c>
      <c r="O766" t="s">
        <v>397</v>
      </c>
      <c r="P766" t="s">
        <v>397</v>
      </c>
      <c r="Q766">
        <v>7</v>
      </c>
      <c r="R766" s="225">
        <f>Base_Periodo1[[#This Row],[CREDITOS]]-Base_Periodo1[[#This Row],[DEBITOS]]</f>
        <v>-8043.0100000000093</v>
      </c>
      <c r="S766" s="3" t="str">
        <f>IF(ISERROR(VLOOKUP(Base_Periodo1[[#This Row],[CONTA]],BaseContasDRE[#All],4,FALSE)),"Fora do DRE",VLOOKUP(Base_Periodo1[[#This Row],[CONTA]],BaseContasDRE[#All],4,FALSE))</f>
        <v>Fora do DRE</v>
      </c>
      <c r="T766" s="3" t="str">
        <f>IF(ISERROR(VLOOKUP(Base_Periodo1[[#This Row],[CONTA]],BaseContasDRE[#All],5,FALSE)),"Fora do DRE",VLOOKUP(Base_Periodo1[[#This Row],[CONTA]],BaseContasDRE[#All],6,FALSE))</f>
        <v>Fora do DRE</v>
      </c>
      <c r="U766" s="3" t="str">
        <f>IF(ISERROR(VLOOKUP(Base_Periodo1[[#This Row],[CONTA]],BaseContasDRE[#All],7,FALSE)),"Fora do DRE",VLOOKUP(Base_Periodo1[[#This Row],[CONTA]],BaseContasDRE[#All],7,FALSE))</f>
        <v>Fora do DRE</v>
      </c>
      <c r="V766" s="3" t="str">
        <f>IF(Base_Periodo1[[#This Row],[Tipo_Linha]]="Fora do DRE","Fora do DRE","( "&amp;Base_Periodo1[[#This Row],[Tipo_Linha]]&amp;" ) "&amp;Base_Periodo1[[#This Row],[Filtro]])</f>
        <v>Fora do DRE</v>
      </c>
      <c r="W766" s="3" t="str">
        <f>LEFT(Base_Periodo1[[#This Row],[CLASS]],3)</f>
        <v>1.1</v>
      </c>
    </row>
    <row r="767" spans="1:23" hidden="1">
      <c r="A767" s="3" t="str">
        <f t="shared" si="11"/>
        <v>Período 1</v>
      </c>
      <c r="B767">
        <v>54250</v>
      </c>
      <c r="C767" t="s">
        <v>503</v>
      </c>
      <c r="D767" t="s">
        <v>984</v>
      </c>
      <c r="E767" s="3" t="str">
        <f>IF(LEN(Base_Periodo1[[#This Row],[CLASS]])&gt;=7,LEFT(Base_Periodo1[[#This Row],[CLASS]],7),"")</f>
        <v>1.1.2.1</v>
      </c>
      <c r="F767" s="3" t="str">
        <f>VLOOKUP(Base_Periodo1[[#This Row],[Aux]],Base_Contas_Balanco[#All],2,FALSE)</f>
        <v>Creditos com Cooperados</v>
      </c>
      <c r="G767" s="1">
        <v>42881</v>
      </c>
      <c r="H767" s="225">
        <v>6217.3099999999686</v>
      </c>
      <c r="I767" s="225">
        <v>28356.300000000003</v>
      </c>
      <c r="J767" s="225">
        <v>34573.61</v>
      </c>
      <c r="K767" s="225">
        <v>-2.9103830456733704E-11</v>
      </c>
      <c r="L7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67" s="225">
        <f>ROUND(IF(AND(Base_Periodo1[[#This Row],[Tipo_Linha]]="-",Base_Periodo1[[#This Row],[TIPOSALDO]]="D"),Base_Periodo1[[#This Row],[SALDO_ATUAL]]*-1,Base_Periodo1[[#This Row],[SALDO_ATUAL]]),4)</f>
        <v>0</v>
      </c>
      <c r="N767" t="s">
        <v>116</v>
      </c>
      <c r="O767" t="s">
        <v>397</v>
      </c>
      <c r="P767" t="s">
        <v>436</v>
      </c>
      <c r="Q767">
        <v>7</v>
      </c>
      <c r="R767" s="225">
        <f>Base_Periodo1[[#This Row],[CREDITOS]]-Base_Periodo1[[#This Row],[DEBITOS]]</f>
        <v>6217.3099999999977</v>
      </c>
      <c r="S767" s="3" t="str">
        <f>IF(ISERROR(VLOOKUP(Base_Periodo1[[#This Row],[CONTA]],BaseContasDRE[#All],4,FALSE)),"Fora do DRE",VLOOKUP(Base_Periodo1[[#This Row],[CONTA]],BaseContasDRE[#All],4,FALSE))</f>
        <v>Fora do DRE</v>
      </c>
      <c r="T767" s="3" t="str">
        <f>IF(ISERROR(VLOOKUP(Base_Periodo1[[#This Row],[CONTA]],BaseContasDRE[#All],5,FALSE)),"Fora do DRE",VLOOKUP(Base_Periodo1[[#This Row],[CONTA]],BaseContasDRE[#All],6,FALSE))</f>
        <v>Fora do DRE</v>
      </c>
      <c r="U767" s="3" t="str">
        <f>IF(ISERROR(VLOOKUP(Base_Periodo1[[#This Row],[CONTA]],BaseContasDRE[#All],7,FALSE)),"Fora do DRE",VLOOKUP(Base_Periodo1[[#This Row],[CONTA]],BaseContasDRE[#All],7,FALSE))</f>
        <v>Fora do DRE</v>
      </c>
      <c r="V767" s="3" t="str">
        <f>IF(Base_Periodo1[[#This Row],[Tipo_Linha]]="Fora do DRE","Fora do DRE","( "&amp;Base_Periodo1[[#This Row],[Tipo_Linha]]&amp;" ) "&amp;Base_Periodo1[[#This Row],[Filtro]])</f>
        <v>Fora do DRE</v>
      </c>
      <c r="W767" s="3" t="str">
        <f>LEFT(Base_Periodo1[[#This Row],[CLASS]],3)</f>
        <v>1.1</v>
      </c>
    </row>
    <row r="768" spans="1:23" hidden="1">
      <c r="A768" s="3" t="str">
        <f t="shared" si="11"/>
        <v>Período 1</v>
      </c>
      <c r="B768">
        <v>56480</v>
      </c>
      <c r="C768" t="s">
        <v>503</v>
      </c>
      <c r="D768" t="s">
        <v>6140</v>
      </c>
      <c r="E768" s="3" t="str">
        <f>IF(LEN(Base_Periodo1[[#This Row],[CLASS]])&gt;=7,LEFT(Base_Periodo1[[#This Row],[CLASS]],7),"")</f>
        <v>1.1.2.1</v>
      </c>
      <c r="F768" s="3" t="str">
        <f>VLOOKUP(Base_Periodo1[[#This Row],[Aux]],Base_Contas_Balanco[#All],2,FALSE)</f>
        <v>Creditos com Cooperados</v>
      </c>
      <c r="G768" s="1">
        <v>42880</v>
      </c>
      <c r="I768" s="225">
        <v>71925</v>
      </c>
      <c r="J768" s="225">
        <v>51000</v>
      </c>
      <c r="K768" s="225">
        <v>20925</v>
      </c>
      <c r="L7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20925</v>
      </c>
      <c r="M768" s="225">
        <f>ROUND(IF(AND(Base_Periodo1[[#This Row],[Tipo_Linha]]="-",Base_Periodo1[[#This Row],[TIPOSALDO]]="D"),Base_Periodo1[[#This Row],[SALDO_ATUAL]]*-1,Base_Periodo1[[#This Row],[SALDO_ATUAL]]),4)</f>
        <v>20925</v>
      </c>
      <c r="N768" t="s">
        <v>116</v>
      </c>
      <c r="O768" t="s">
        <v>436</v>
      </c>
      <c r="P768" t="s">
        <v>397</v>
      </c>
      <c r="Q768">
        <v>7</v>
      </c>
      <c r="R768" s="225">
        <f>Base_Periodo1[[#This Row],[CREDITOS]]-Base_Periodo1[[#This Row],[DEBITOS]]</f>
        <v>-20925</v>
      </c>
      <c r="S768" s="3" t="str">
        <f>IF(ISERROR(VLOOKUP(Base_Periodo1[[#This Row],[CONTA]],BaseContasDRE[#All],4,FALSE)),"Fora do DRE",VLOOKUP(Base_Periodo1[[#This Row],[CONTA]],BaseContasDRE[#All],4,FALSE))</f>
        <v>Fora do DRE</v>
      </c>
      <c r="T768" s="3" t="str">
        <f>IF(ISERROR(VLOOKUP(Base_Periodo1[[#This Row],[CONTA]],BaseContasDRE[#All],5,FALSE)),"Fora do DRE",VLOOKUP(Base_Periodo1[[#This Row],[CONTA]],BaseContasDRE[#All],6,FALSE))</f>
        <v>Fora do DRE</v>
      </c>
      <c r="U768" s="3" t="str">
        <f>IF(ISERROR(VLOOKUP(Base_Periodo1[[#This Row],[CONTA]],BaseContasDRE[#All],7,FALSE)),"Fora do DRE",VLOOKUP(Base_Periodo1[[#This Row],[CONTA]],BaseContasDRE[#All],7,FALSE))</f>
        <v>Fora do DRE</v>
      </c>
      <c r="V768" s="3" t="str">
        <f>IF(Base_Periodo1[[#This Row],[Tipo_Linha]]="Fora do DRE","Fora do DRE","( "&amp;Base_Periodo1[[#This Row],[Tipo_Linha]]&amp;" ) "&amp;Base_Periodo1[[#This Row],[Filtro]])</f>
        <v>Fora do DRE</v>
      </c>
      <c r="W768" s="3" t="str">
        <f>LEFT(Base_Periodo1[[#This Row],[CLASS]],3)</f>
        <v>1.1</v>
      </c>
    </row>
    <row r="769" spans="1:23" hidden="1">
      <c r="A769" s="3" t="str">
        <f t="shared" si="11"/>
        <v>Período 1</v>
      </c>
      <c r="B769">
        <v>20991</v>
      </c>
      <c r="C769" t="s">
        <v>503</v>
      </c>
      <c r="D769" t="s">
        <v>6141</v>
      </c>
      <c r="E769" s="3" t="str">
        <f>IF(LEN(Base_Periodo1[[#This Row],[CLASS]])&gt;=7,LEFT(Base_Periodo1[[#This Row],[CLASS]],7),"")</f>
        <v>1.1.2.1</v>
      </c>
      <c r="F769" s="3" t="str">
        <f>VLOOKUP(Base_Periodo1[[#This Row],[Aux]],Base_Contas_Balanco[#All],2,FALSE)</f>
        <v>Creditos com Cooperados</v>
      </c>
      <c r="G769" s="1">
        <v>42877</v>
      </c>
      <c r="I769" s="225">
        <v>210</v>
      </c>
      <c r="J769" s="225">
        <v>110</v>
      </c>
      <c r="K769" s="225">
        <v>100</v>
      </c>
      <c r="L7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</v>
      </c>
      <c r="M769" s="225">
        <f>ROUND(IF(AND(Base_Periodo1[[#This Row],[Tipo_Linha]]="-",Base_Periodo1[[#This Row],[TIPOSALDO]]="D"),Base_Periodo1[[#This Row],[SALDO_ATUAL]]*-1,Base_Periodo1[[#This Row],[SALDO_ATUAL]]),4)</f>
        <v>100</v>
      </c>
      <c r="N769" t="s">
        <v>116</v>
      </c>
      <c r="O769" t="s">
        <v>436</v>
      </c>
      <c r="P769" t="s">
        <v>397</v>
      </c>
      <c r="Q769">
        <v>7</v>
      </c>
      <c r="R769" s="225">
        <f>Base_Periodo1[[#This Row],[CREDITOS]]-Base_Periodo1[[#This Row],[DEBITOS]]</f>
        <v>-100</v>
      </c>
      <c r="S769" s="3" t="str">
        <f>IF(ISERROR(VLOOKUP(Base_Periodo1[[#This Row],[CONTA]],BaseContasDRE[#All],4,FALSE)),"Fora do DRE",VLOOKUP(Base_Periodo1[[#This Row],[CONTA]],BaseContasDRE[#All],4,FALSE))</f>
        <v>Fora do DRE</v>
      </c>
      <c r="T769" s="3" t="str">
        <f>IF(ISERROR(VLOOKUP(Base_Periodo1[[#This Row],[CONTA]],BaseContasDRE[#All],5,FALSE)),"Fora do DRE",VLOOKUP(Base_Periodo1[[#This Row],[CONTA]],BaseContasDRE[#All],6,FALSE))</f>
        <v>Fora do DRE</v>
      </c>
      <c r="U769" s="3" t="str">
        <f>IF(ISERROR(VLOOKUP(Base_Periodo1[[#This Row],[CONTA]],BaseContasDRE[#All],7,FALSE)),"Fora do DRE",VLOOKUP(Base_Periodo1[[#This Row],[CONTA]],BaseContasDRE[#All],7,FALSE))</f>
        <v>Fora do DRE</v>
      </c>
      <c r="V769" s="3" t="str">
        <f>IF(Base_Periodo1[[#This Row],[Tipo_Linha]]="Fora do DRE","Fora do DRE","( "&amp;Base_Periodo1[[#This Row],[Tipo_Linha]]&amp;" ) "&amp;Base_Periodo1[[#This Row],[Filtro]])</f>
        <v>Fora do DRE</v>
      </c>
      <c r="W769" s="3" t="str">
        <f>LEFT(Base_Periodo1[[#This Row],[CLASS]],3)</f>
        <v>1.1</v>
      </c>
    </row>
    <row r="770" spans="1:23" hidden="1">
      <c r="A770" s="3" t="str">
        <f t="shared" si="11"/>
        <v>Período 1</v>
      </c>
      <c r="B770">
        <v>39360</v>
      </c>
      <c r="C770" t="s">
        <v>503</v>
      </c>
      <c r="D770" t="s">
        <v>885</v>
      </c>
      <c r="E770" s="3" t="str">
        <f>IF(LEN(Base_Periodo1[[#This Row],[CLASS]])&gt;=7,LEFT(Base_Periodo1[[#This Row],[CLASS]],7),"")</f>
        <v>1.1.2.1</v>
      </c>
      <c r="F770" s="3" t="str">
        <f>VLOOKUP(Base_Periodo1[[#This Row],[Aux]],Base_Contas_Balanco[#All],2,FALSE)</f>
        <v>Creditos com Cooperados</v>
      </c>
      <c r="G770" s="1">
        <v>42864</v>
      </c>
      <c r="H770" s="225">
        <v>531.99999999976717</v>
      </c>
      <c r="I770" s="225">
        <v>2340.8000000000002</v>
      </c>
      <c r="J770" s="225">
        <v>532</v>
      </c>
      <c r="K770" s="225">
        <v>2340.7999999997674</v>
      </c>
      <c r="L7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2340.8000000000002</v>
      </c>
      <c r="M770" s="225">
        <f>ROUND(IF(AND(Base_Periodo1[[#This Row],[Tipo_Linha]]="-",Base_Periodo1[[#This Row],[TIPOSALDO]]="D"),Base_Periodo1[[#This Row],[SALDO_ATUAL]]*-1,Base_Periodo1[[#This Row],[SALDO_ATUAL]]),4)</f>
        <v>2340.8000000000002</v>
      </c>
      <c r="N770" t="s">
        <v>116</v>
      </c>
      <c r="O770" t="s">
        <v>397</v>
      </c>
      <c r="P770" t="s">
        <v>397</v>
      </c>
      <c r="Q770">
        <v>7</v>
      </c>
      <c r="R770" s="225">
        <f>Base_Periodo1[[#This Row],[CREDITOS]]-Base_Periodo1[[#This Row],[DEBITOS]]</f>
        <v>-1808.8000000000002</v>
      </c>
      <c r="S770" s="3" t="str">
        <f>IF(ISERROR(VLOOKUP(Base_Periodo1[[#This Row],[CONTA]],BaseContasDRE[#All],4,FALSE)),"Fora do DRE",VLOOKUP(Base_Periodo1[[#This Row],[CONTA]],BaseContasDRE[#All],4,FALSE))</f>
        <v>Fora do DRE</v>
      </c>
      <c r="T770" s="3" t="str">
        <f>IF(ISERROR(VLOOKUP(Base_Periodo1[[#This Row],[CONTA]],BaseContasDRE[#All],5,FALSE)),"Fora do DRE",VLOOKUP(Base_Periodo1[[#This Row],[CONTA]],BaseContasDRE[#All],6,FALSE))</f>
        <v>Fora do DRE</v>
      </c>
      <c r="U770" s="3" t="str">
        <f>IF(ISERROR(VLOOKUP(Base_Periodo1[[#This Row],[CONTA]],BaseContasDRE[#All],7,FALSE)),"Fora do DRE",VLOOKUP(Base_Periodo1[[#This Row],[CONTA]],BaseContasDRE[#All],7,FALSE))</f>
        <v>Fora do DRE</v>
      </c>
      <c r="V770" s="3" t="str">
        <f>IF(Base_Periodo1[[#This Row],[Tipo_Linha]]="Fora do DRE","Fora do DRE","( "&amp;Base_Periodo1[[#This Row],[Tipo_Linha]]&amp;" ) "&amp;Base_Periodo1[[#This Row],[Filtro]])</f>
        <v>Fora do DRE</v>
      </c>
      <c r="W770" s="3" t="str">
        <f>LEFT(Base_Periodo1[[#This Row],[CLASS]],3)</f>
        <v>1.1</v>
      </c>
    </row>
    <row r="771" spans="1:23" hidden="1">
      <c r="A771" s="3" t="str">
        <f t="shared" si="11"/>
        <v>Período 1</v>
      </c>
      <c r="B771">
        <v>2356</v>
      </c>
      <c r="C771" t="s">
        <v>503</v>
      </c>
      <c r="D771" t="s">
        <v>886</v>
      </c>
      <c r="E771" s="3" t="str">
        <f>IF(LEN(Base_Periodo1[[#This Row],[CLASS]])&gt;=7,LEFT(Base_Periodo1[[#This Row],[CLASS]],7),"")</f>
        <v>1.1.2.1</v>
      </c>
      <c r="F771" s="3" t="str">
        <f>VLOOKUP(Base_Periodo1[[#This Row],[Aux]],Base_Contas_Balanco[#All],2,FALSE)</f>
        <v>Creditos com Cooperados</v>
      </c>
      <c r="G771" s="1">
        <v>42874</v>
      </c>
      <c r="H771" s="225">
        <v>11456.599999999162</v>
      </c>
      <c r="I771" s="225">
        <v>9685.5</v>
      </c>
      <c r="J771" s="225">
        <v>6413.5999999999995</v>
      </c>
      <c r="K771" s="225">
        <v>14728.499999999163</v>
      </c>
      <c r="L7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14728.5</v>
      </c>
      <c r="M771" s="225">
        <f>ROUND(IF(AND(Base_Periodo1[[#This Row],[Tipo_Linha]]="-",Base_Periodo1[[#This Row],[TIPOSALDO]]="D"),Base_Periodo1[[#This Row],[SALDO_ATUAL]]*-1,Base_Periodo1[[#This Row],[SALDO_ATUAL]]),4)</f>
        <v>14728.5</v>
      </c>
      <c r="N771" t="s">
        <v>116</v>
      </c>
      <c r="O771" t="s">
        <v>397</v>
      </c>
      <c r="P771" t="s">
        <v>397</v>
      </c>
      <c r="Q771">
        <v>7</v>
      </c>
      <c r="R771" s="225">
        <f>Base_Periodo1[[#This Row],[CREDITOS]]-Base_Periodo1[[#This Row],[DEBITOS]]</f>
        <v>-3271.9000000000005</v>
      </c>
      <c r="S771" s="3" t="str">
        <f>IF(ISERROR(VLOOKUP(Base_Periodo1[[#This Row],[CONTA]],BaseContasDRE[#All],4,FALSE)),"Fora do DRE",VLOOKUP(Base_Periodo1[[#This Row],[CONTA]],BaseContasDRE[#All],4,FALSE))</f>
        <v>Fora do DRE</v>
      </c>
      <c r="T771" s="3" t="str">
        <f>IF(ISERROR(VLOOKUP(Base_Periodo1[[#This Row],[CONTA]],BaseContasDRE[#All],5,FALSE)),"Fora do DRE",VLOOKUP(Base_Periodo1[[#This Row],[CONTA]],BaseContasDRE[#All],6,FALSE))</f>
        <v>Fora do DRE</v>
      </c>
      <c r="U771" s="3" t="str">
        <f>IF(ISERROR(VLOOKUP(Base_Periodo1[[#This Row],[CONTA]],BaseContasDRE[#All],7,FALSE)),"Fora do DRE",VLOOKUP(Base_Periodo1[[#This Row],[CONTA]],BaseContasDRE[#All],7,FALSE))</f>
        <v>Fora do DRE</v>
      </c>
      <c r="V771" s="3" t="str">
        <f>IF(Base_Periodo1[[#This Row],[Tipo_Linha]]="Fora do DRE","Fora do DRE","( "&amp;Base_Periodo1[[#This Row],[Tipo_Linha]]&amp;" ) "&amp;Base_Periodo1[[#This Row],[Filtro]])</f>
        <v>Fora do DRE</v>
      </c>
      <c r="W771" s="3" t="str">
        <f>LEFT(Base_Periodo1[[#This Row],[CLASS]],3)</f>
        <v>1.1</v>
      </c>
    </row>
    <row r="772" spans="1:23" hidden="1">
      <c r="A772" s="3" t="str">
        <f t="shared" si="11"/>
        <v>Período 1</v>
      </c>
      <c r="B772">
        <v>5236</v>
      </c>
      <c r="C772" t="s">
        <v>503</v>
      </c>
      <c r="D772" t="s">
        <v>887</v>
      </c>
      <c r="E772" s="3" t="str">
        <f>IF(LEN(Base_Periodo1[[#This Row],[CLASS]])&gt;=7,LEFT(Base_Periodo1[[#This Row],[CLASS]],7),"")</f>
        <v>1.1.2.1</v>
      </c>
      <c r="F772" s="3" t="str">
        <f>VLOOKUP(Base_Periodo1[[#This Row],[Aux]],Base_Contas_Balanco[#All],2,FALSE)</f>
        <v>Creditos com Cooperados</v>
      </c>
      <c r="G772" s="1">
        <v>42874</v>
      </c>
      <c r="H772" s="225">
        <v>20039.499999999825</v>
      </c>
      <c r="I772" s="225">
        <v>7800</v>
      </c>
      <c r="J772" s="225">
        <v>10264</v>
      </c>
      <c r="K772" s="225">
        <v>17575.499999999825</v>
      </c>
      <c r="L7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17575.5</v>
      </c>
      <c r="M772" s="225">
        <f>ROUND(IF(AND(Base_Periodo1[[#This Row],[Tipo_Linha]]="-",Base_Periodo1[[#This Row],[TIPOSALDO]]="D"),Base_Periodo1[[#This Row],[SALDO_ATUAL]]*-1,Base_Periodo1[[#This Row],[SALDO_ATUAL]]),4)</f>
        <v>17575.5</v>
      </c>
      <c r="N772" t="s">
        <v>116</v>
      </c>
      <c r="O772" t="s">
        <v>397</v>
      </c>
      <c r="P772" t="s">
        <v>397</v>
      </c>
      <c r="Q772">
        <v>7</v>
      </c>
      <c r="R772" s="225">
        <f>Base_Periodo1[[#This Row],[CREDITOS]]-Base_Periodo1[[#This Row],[DEBITOS]]</f>
        <v>2464</v>
      </c>
      <c r="S772" s="3" t="str">
        <f>IF(ISERROR(VLOOKUP(Base_Periodo1[[#This Row],[CONTA]],BaseContasDRE[#All],4,FALSE)),"Fora do DRE",VLOOKUP(Base_Periodo1[[#This Row],[CONTA]],BaseContasDRE[#All],4,FALSE))</f>
        <v>Fora do DRE</v>
      </c>
      <c r="T772" s="3" t="str">
        <f>IF(ISERROR(VLOOKUP(Base_Periodo1[[#This Row],[CONTA]],BaseContasDRE[#All],5,FALSE)),"Fora do DRE",VLOOKUP(Base_Periodo1[[#This Row],[CONTA]],BaseContasDRE[#All],6,FALSE))</f>
        <v>Fora do DRE</v>
      </c>
      <c r="U772" s="3" t="str">
        <f>IF(ISERROR(VLOOKUP(Base_Periodo1[[#This Row],[CONTA]],BaseContasDRE[#All],7,FALSE)),"Fora do DRE",VLOOKUP(Base_Periodo1[[#This Row],[CONTA]],BaseContasDRE[#All],7,FALSE))</f>
        <v>Fora do DRE</v>
      </c>
      <c r="V772" s="3" t="str">
        <f>IF(Base_Periodo1[[#This Row],[Tipo_Linha]]="Fora do DRE","Fora do DRE","( "&amp;Base_Periodo1[[#This Row],[Tipo_Linha]]&amp;" ) "&amp;Base_Periodo1[[#This Row],[Filtro]])</f>
        <v>Fora do DRE</v>
      </c>
      <c r="W772" s="3" t="str">
        <f>LEFT(Base_Periodo1[[#This Row],[CLASS]],3)</f>
        <v>1.1</v>
      </c>
    </row>
    <row r="773" spans="1:23" hidden="1">
      <c r="A773" s="3" t="str">
        <f t="shared" si="11"/>
        <v>Período 1</v>
      </c>
      <c r="B773">
        <v>2212</v>
      </c>
      <c r="C773" t="s">
        <v>503</v>
      </c>
      <c r="D773" t="s">
        <v>888</v>
      </c>
      <c r="E773" s="3" t="str">
        <f>IF(LEN(Base_Periodo1[[#This Row],[CLASS]])&gt;=7,LEFT(Base_Periodo1[[#This Row],[CLASS]],7),"")</f>
        <v>1.1.2.1</v>
      </c>
      <c r="F773" s="3" t="str">
        <f>VLOOKUP(Base_Periodo1[[#This Row],[Aux]],Base_Contas_Balanco[#All],2,FALSE)</f>
        <v>Creditos com Cooperados</v>
      </c>
      <c r="G773" s="1">
        <v>42885</v>
      </c>
      <c r="H773" s="225">
        <v>5547.6599999997998</v>
      </c>
      <c r="I773" s="225">
        <v>438.80999999999995</v>
      </c>
      <c r="J773" s="225">
        <v>0</v>
      </c>
      <c r="K773" s="225">
        <v>5986.4699999997993</v>
      </c>
      <c r="L7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5986.47</v>
      </c>
      <c r="M773" s="225">
        <f>ROUND(IF(AND(Base_Periodo1[[#This Row],[Tipo_Linha]]="-",Base_Periodo1[[#This Row],[TIPOSALDO]]="D"),Base_Periodo1[[#This Row],[SALDO_ATUAL]]*-1,Base_Periodo1[[#This Row],[SALDO_ATUAL]]),4)</f>
        <v>5986.47</v>
      </c>
      <c r="N773" t="s">
        <v>116</v>
      </c>
      <c r="O773" t="s">
        <v>397</v>
      </c>
      <c r="P773" t="s">
        <v>397</v>
      </c>
      <c r="Q773">
        <v>7</v>
      </c>
      <c r="R773" s="225">
        <f>Base_Periodo1[[#This Row],[CREDITOS]]-Base_Periodo1[[#This Row],[DEBITOS]]</f>
        <v>-438.80999999999995</v>
      </c>
      <c r="S773" s="3" t="str">
        <f>IF(ISERROR(VLOOKUP(Base_Periodo1[[#This Row],[CONTA]],BaseContasDRE[#All],4,FALSE)),"Fora do DRE",VLOOKUP(Base_Periodo1[[#This Row],[CONTA]],BaseContasDRE[#All],4,FALSE))</f>
        <v>Fora do DRE</v>
      </c>
      <c r="T773" s="3" t="str">
        <f>IF(ISERROR(VLOOKUP(Base_Periodo1[[#This Row],[CONTA]],BaseContasDRE[#All],5,FALSE)),"Fora do DRE",VLOOKUP(Base_Periodo1[[#This Row],[CONTA]],BaseContasDRE[#All],6,FALSE))</f>
        <v>Fora do DRE</v>
      </c>
      <c r="U773" s="3" t="str">
        <f>IF(ISERROR(VLOOKUP(Base_Periodo1[[#This Row],[CONTA]],BaseContasDRE[#All],7,FALSE)),"Fora do DRE",VLOOKUP(Base_Periodo1[[#This Row],[CONTA]],BaseContasDRE[#All],7,FALSE))</f>
        <v>Fora do DRE</v>
      </c>
      <c r="V773" s="3" t="str">
        <f>IF(Base_Periodo1[[#This Row],[Tipo_Linha]]="Fora do DRE","Fora do DRE","( "&amp;Base_Periodo1[[#This Row],[Tipo_Linha]]&amp;" ) "&amp;Base_Periodo1[[#This Row],[Filtro]])</f>
        <v>Fora do DRE</v>
      </c>
      <c r="W773" s="3" t="str">
        <f>LEFT(Base_Periodo1[[#This Row],[CLASS]],3)</f>
        <v>1.1</v>
      </c>
    </row>
    <row r="774" spans="1:23" hidden="1">
      <c r="A774" s="3" t="str">
        <f t="shared" ref="A774:A837" si="12">"Período 1"</f>
        <v>Período 1</v>
      </c>
      <c r="B774">
        <v>5284</v>
      </c>
      <c r="C774" t="s">
        <v>503</v>
      </c>
      <c r="D774" t="s">
        <v>889</v>
      </c>
      <c r="E774" s="3" t="str">
        <f>IF(LEN(Base_Periodo1[[#This Row],[CLASS]])&gt;=7,LEFT(Base_Periodo1[[#This Row],[CLASS]],7),"")</f>
        <v>1.1.2.1</v>
      </c>
      <c r="F774" s="3" t="str">
        <f>VLOOKUP(Base_Periodo1[[#This Row],[Aux]],Base_Contas_Balanco[#All],2,FALSE)</f>
        <v>Creditos com Cooperados</v>
      </c>
      <c r="G774" s="1">
        <v>42885</v>
      </c>
      <c r="H774" s="225">
        <v>67284.999999998603</v>
      </c>
      <c r="I774" s="225">
        <v>6023.27</v>
      </c>
      <c r="J774" s="225">
        <v>12794.28</v>
      </c>
      <c r="K774" s="225">
        <v>60513.989999998608</v>
      </c>
      <c r="L7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60513.99</v>
      </c>
      <c r="M774" s="225">
        <f>ROUND(IF(AND(Base_Periodo1[[#This Row],[Tipo_Linha]]="-",Base_Periodo1[[#This Row],[TIPOSALDO]]="D"),Base_Periodo1[[#This Row],[SALDO_ATUAL]]*-1,Base_Periodo1[[#This Row],[SALDO_ATUAL]]),4)</f>
        <v>60513.99</v>
      </c>
      <c r="N774" t="s">
        <v>116</v>
      </c>
      <c r="O774" t="s">
        <v>397</v>
      </c>
      <c r="P774" t="s">
        <v>397</v>
      </c>
      <c r="Q774">
        <v>7</v>
      </c>
      <c r="R774" s="225">
        <f>Base_Periodo1[[#This Row],[CREDITOS]]-Base_Periodo1[[#This Row],[DEBITOS]]</f>
        <v>6771.01</v>
      </c>
      <c r="S774" s="3" t="str">
        <f>IF(ISERROR(VLOOKUP(Base_Periodo1[[#This Row],[CONTA]],BaseContasDRE[#All],4,FALSE)),"Fora do DRE",VLOOKUP(Base_Periodo1[[#This Row],[CONTA]],BaseContasDRE[#All],4,FALSE))</f>
        <v>Fora do DRE</v>
      </c>
      <c r="T774" s="3" t="str">
        <f>IF(ISERROR(VLOOKUP(Base_Periodo1[[#This Row],[CONTA]],BaseContasDRE[#All],5,FALSE)),"Fora do DRE",VLOOKUP(Base_Periodo1[[#This Row],[CONTA]],BaseContasDRE[#All],6,FALSE))</f>
        <v>Fora do DRE</v>
      </c>
      <c r="U774" s="3" t="str">
        <f>IF(ISERROR(VLOOKUP(Base_Periodo1[[#This Row],[CONTA]],BaseContasDRE[#All],7,FALSE)),"Fora do DRE",VLOOKUP(Base_Periodo1[[#This Row],[CONTA]],BaseContasDRE[#All],7,FALSE))</f>
        <v>Fora do DRE</v>
      </c>
      <c r="V774" s="3" t="str">
        <f>IF(Base_Periodo1[[#This Row],[Tipo_Linha]]="Fora do DRE","Fora do DRE","( "&amp;Base_Periodo1[[#This Row],[Tipo_Linha]]&amp;" ) "&amp;Base_Periodo1[[#This Row],[Filtro]])</f>
        <v>Fora do DRE</v>
      </c>
      <c r="W774" s="3" t="str">
        <f>LEFT(Base_Periodo1[[#This Row],[CLASS]],3)</f>
        <v>1.1</v>
      </c>
    </row>
    <row r="775" spans="1:23" hidden="1">
      <c r="A775" s="3" t="str">
        <f t="shared" si="12"/>
        <v>Período 1</v>
      </c>
      <c r="B775">
        <v>20760</v>
      </c>
      <c r="C775" t="s">
        <v>503</v>
      </c>
      <c r="D775" t="s">
        <v>890</v>
      </c>
      <c r="E775" s="3" t="str">
        <f>IF(LEN(Base_Periodo1[[#This Row],[CLASS]])&gt;=7,LEFT(Base_Periodo1[[#This Row],[CLASS]],7),"")</f>
        <v>1.1.2.1</v>
      </c>
      <c r="F775" s="3" t="str">
        <f>VLOOKUP(Base_Periodo1[[#This Row],[Aux]],Base_Contas_Balanco[#All],2,FALSE)</f>
        <v>Creditos com Cooperados</v>
      </c>
      <c r="G775" s="1">
        <v>42864</v>
      </c>
      <c r="H775" s="225">
        <v>9166.9700000000303</v>
      </c>
      <c r="I775" s="225">
        <v>4156</v>
      </c>
      <c r="J775" s="225">
        <v>8578</v>
      </c>
      <c r="K775" s="225">
        <v>4744.9700000000303</v>
      </c>
      <c r="L7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4744.97</v>
      </c>
      <c r="M775" s="225">
        <f>ROUND(IF(AND(Base_Periodo1[[#This Row],[Tipo_Linha]]="-",Base_Periodo1[[#This Row],[TIPOSALDO]]="D"),Base_Periodo1[[#This Row],[SALDO_ATUAL]]*-1,Base_Periodo1[[#This Row],[SALDO_ATUAL]]),4)</f>
        <v>4744.97</v>
      </c>
      <c r="N775" t="s">
        <v>116</v>
      </c>
      <c r="O775" t="s">
        <v>397</v>
      </c>
      <c r="P775" t="s">
        <v>397</v>
      </c>
      <c r="Q775">
        <v>7</v>
      </c>
      <c r="R775" s="225">
        <f>Base_Periodo1[[#This Row],[CREDITOS]]-Base_Periodo1[[#This Row],[DEBITOS]]</f>
        <v>4422</v>
      </c>
      <c r="S775" s="3" t="str">
        <f>IF(ISERROR(VLOOKUP(Base_Periodo1[[#This Row],[CONTA]],BaseContasDRE[#All],4,FALSE)),"Fora do DRE",VLOOKUP(Base_Periodo1[[#This Row],[CONTA]],BaseContasDRE[#All],4,FALSE))</f>
        <v>Fora do DRE</v>
      </c>
      <c r="T775" s="3" t="str">
        <f>IF(ISERROR(VLOOKUP(Base_Periodo1[[#This Row],[CONTA]],BaseContasDRE[#All],5,FALSE)),"Fora do DRE",VLOOKUP(Base_Periodo1[[#This Row],[CONTA]],BaseContasDRE[#All],6,FALSE))</f>
        <v>Fora do DRE</v>
      </c>
      <c r="U775" s="3" t="str">
        <f>IF(ISERROR(VLOOKUP(Base_Periodo1[[#This Row],[CONTA]],BaseContasDRE[#All],7,FALSE)),"Fora do DRE",VLOOKUP(Base_Periodo1[[#This Row],[CONTA]],BaseContasDRE[#All],7,FALSE))</f>
        <v>Fora do DRE</v>
      </c>
      <c r="V775" s="3" t="str">
        <f>IF(Base_Periodo1[[#This Row],[Tipo_Linha]]="Fora do DRE","Fora do DRE","( "&amp;Base_Periodo1[[#This Row],[Tipo_Linha]]&amp;" ) "&amp;Base_Periodo1[[#This Row],[Filtro]])</f>
        <v>Fora do DRE</v>
      </c>
      <c r="W775" s="3" t="str">
        <f>LEFT(Base_Periodo1[[#This Row],[CLASS]],3)</f>
        <v>1.1</v>
      </c>
    </row>
    <row r="776" spans="1:23" hidden="1">
      <c r="A776" s="3" t="str">
        <f t="shared" si="12"/>
        <v>Período 1</v>
      </c>
      <c r="B776">
        <v>2332</v>
      </c>
      <c r="C776" t="s">
        <v>503</v>
      </c>
      <c r="D776" t="s">
        <v>891</v>
      </c>
      <c r="E776" s="3" t="str">
        <f>IF(LEN(Base_Periodo1[[#This Row],[CLASS]])&gt;=7,LEFT(Base_Periodo1[[#This Row],[CLASS]],7),"")</f>
        <v>1.1.2.1</v>
      </c>
      <c r="F776" s="3" t="str">
        <f>VLOOKUP(Base_Periodo1[[#This Row],[Aux]],Base_Contas_Balanco[#All],2,FALSE)</f>
        <v>Creditos com Cooperados</v>
      </c>
      <c r="G776" s="1">
        <v>42871</v>
      </c>
      <c r="H776" s="225">
        <v>1251.100000000326</v>
      </c>
      <c r="I776" s="225">
        <v>5166.87</v>
      </c>
      <c r="J776" s="225">
        <v>6417.9699999999993</v>
      </c>
      <c r="K776" s="225">
        <v>3.2650859793648124E-10</v>
      </c>
      <c r="L7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76" s="225">
        <f>ROUND(IF(AND(Base_Periodo1[[#This Row],[Tipo_Linha]]="-",Base_Periodo1[[#This Row],[TIPOSALDO]]="D"),Base_Periodo1[[#This Row],[SALDO_ATUAL]]*-1,Base_Periodo1[[#This Row],[SALDO_ATUAL]]),4)</f>
        <v>0</v>
      </c>
      <c r="N776" t="s">
        <v>116</v>
      </c>
      <c r="O776" t="s">
        <v>397</v>
      </c>
      <c r="P776" t="s">
        <v>436</v>
      </c>
      <c r="Q776">
        <v>7</v>
      </c>
      <c r="R776" s="225">
        <f>Base_Periodo1[[#This Row],[CREDITOS]]-Base_Periodo1[[#This Row],[DEBITOS]]</f>
        <v>1251.0999999999995</v>
      </c>
      <c r="S776" s="3" t="str">
        <f>IF(ISERROR(VLOOKUP(Base_Periodo1[[#This Row],[CONTA]],BaseContasDRE[#All],4,FALSE)),"Fora do DRE",VLOOKUP(Base_Periodo1[[#This Row],[CONTA]],BaseContasDRE[#All],4,FALSE))</f>
        <v>Fora do DRE</v>
      </c>
      <c r="T776" s="3" t="str">
        <f>IF(ISERROR(VLOOKUP(Base_Periodo1[[#This Row],[CONTA]],BaseContasDRE[#All],5,FALSE)),"Fora do DRE",VLOOKUP(Base_Periodo1[[#This Row],[CONTA]],BaseContasDRE[#All],6,FALSE))</f>
        <v>Fora do DRE</v>
      </c>
      <c r="U776" s="3" t="str">
        <f>IF(ISERROR(VLOOKUP(Base_Periodo1[[#This Row],[CONTA]],BaseContasDRE[#All],7,FALSE)),"Fora do DRE",VLOOKUP(Base_Periodo1[[#This Row],[CONTA]],BaseContasDRE[#All],7,FALSE))</f>
        <v>Fora do DRE</v>
      </c>
      <c r="V776" s="3" t="str">
        <f>IF(Base_Periodo1[[#This Row],[Tipo_Linha]]="Fora do DRE","Fora do DRE","( "&amp;Base_Periodo1[[#This Row],[Tipo_Linha]]&amp;" ) "&amp;Base_Periodo1[[#This Row],[Filtro]])</f>
        <v>Fora do DRE</v>
      </c>
      <c r="W776" s="3" t="str">
        <f>LEFT(Base_Periodo1[[#This Row],[CLASS]],3)</f>
        <v>1.1</v>
      </c>
    </row>
    <row r="777" spans="1:23" hidden="1">
      <c r="A777" s="3" t="str">
        <f t="shared" si="12"/>
        <v>Período 1</v>
      </c>
      <c r="B777">
        <v>17667</v>
      </c>
      <c r="C777" t="s">
        <v>503</v>
      </c>
      <c r="D777" t="s">
        <v>892</v>
      </c>
      <c r="E777" s="3" t="str">
        <f>IF(LEN(Base_Periodo1[[#This Row],[CLASS]])&gt;=7,LEFT(Base_Periodo1[[#This Row],[CLASS]],7),"")</f>
        <v>1.1.2.1</v>
      </c>
      <c r="F777" s="3" t="str">
        <f>VLOOKUP(Base_Periodo1[[#This Row],[Aux]],Base_Contas_Balanco[#All],2,FALSE)</f>
        <v>Creditos com Cooperados</v>
      </c>
      <c r="G777" s="1">
        <v>42880</v>
      </c>
      <c r="H777" s="225">
        <v>3249.91</v>
      </c>
      <c r="I777" s="225">
        <v>4113.13</v>
      </c>
      <c r="J777" s="225">
        <v>3922.52</v>
      </c>
      <c r="K777" s="225">
        <v>3440.52</v>
      </c>
      <c r="L7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3440.52</v>
      </c>
      <c r="M777" s="225">
        <f>ROUND(IF(AND(Base_Periodo1[[#This Row],[Tipo_Linha]]="-",Base_Periodo1[[#This Row],[TIPOSALDO]]="D"),Base_Periodo1[[#This Row],[SALDO_ATUAL]]*-1,Base_Periodo1[[#This Row],[SALDO_ATUAL]]),4)</f>
        <v>3440.52</v>
      </c>
      <c r="N777" t="s">
        <v>116</v>
      </c>
      <c r="O777" t="s">
        <v>397</v>
      </c>
      <c r="P777" t="s">
        <v>397</v>
      </c>
      <c r="Q777">
        <v>7</v>
      </c>
      <c r="R777" s="225">
        <f>Base_Periodo1[[#This Row],[CREDITOS]]-Base_Periodo1[[#This Row],[DEBITOS]]</f>
        <v>-190.61000000000013</v>
      </c>
      <c r="S777" s="3" t="str">
        <f>IF(ISERROR(VLOOKUP(Base_Periodo1[[#This Row],[CONTA]],BaseContasDRE[#All],4,FALSE)),"Fora do DRE",VLOOKUP(Base_Periodo1[[#This Row],[CONTA]],BaseContasDRE[#All],4,FALSE))</f>
        <v>Fora do DRE</v>
      </c>
      <c r="T777" s="3" t="str">
        <f>IF(ISERROR(VLOOKUP(Base_Periodo1[[#This Row],[CONTA]],BaseContasDRE[#All],5,FALSE)),"Fora do DRE",VLOOKUP(Base_Periodo1[[#This Row],[CONTA]],BaseContasDRE[#All],6,FALSE))</f>
        <v>Fora do DRE</v>
      </c>
      <c r="U777" s="3" t="str">
        <f>IF(ISERROR(VLOOKUP(Base_Periodo1[[#This Row],[CONTA]],BaseContasDRE[#All],7,FALSE)),"Fora do DRE",VLOOKUP(Base_Periodo1[[#This Row],[CONTA]],BaseContasDRE[#All],7,FALSE))</f>
        <v>Fora do DRE</v>
      </c>
      <c r="V777" s="3" t="str">
        <f>IF(Base_Periodo1[[#This Row],[Tipo_Linha]]="Fora do DRE","Fora do DRE","( "&amp;Base_Periodo1[[#This Row],[Tipo_Linha]]&amp;" ) "&amp;Base_Periodo1[[#This Row],[Filtro]])</f>
        <v>Fora do DRE</v>
      </c>
      <c r="W777" s="3" t="str">
        <f>LEFT(Base_Periodo1[[#This Row],[CLASS]],3)</f>
        <v>1.1</v>
      </c>
    </row>
    <row r="778" spans="1:23" hidden="1">
      <c r="A778" s="3" t="str">
        <f t="shared" si="12"/>
        <v>Período 1</v>
      </c>
      <c r="B778">
        <v>55189</v>
      </c>
      <c r="C778" t="s">
        <v>503</v>
      </c>
      <c r="D778" t="s">
        <v>5397</v>
      </c>
      <c r="E778" s="3" t="str">
        <f>IF(LEN(Base_Periodo1[[#This Row],[CLASS]])&gt;=7,LEFT(Base_Periodo1[[#This Row],[CLASS]],7),"")</f>
        <v>1.1.2.1</v>
      </c>
      <c r="F778" s="3" t="str">
        <f>VLOOKUP(Base_Periodo1[[#This Row],[Aux]],Base_Contas_Balanco[#All],2,FALSE)</f>
        <v>Creditos com Cooperados</v>
      </c>
      <c r="G778" s="1">
        <v>42864</v>
      </c>
      <c r="H778" s="225">
        <v>51869</v>
      </c>
      <c r="I778" s="225">
        <v>15555</v>
      </c>
      <c r="J778" s="225">
        <v>0</v>
      </c>
      <c r="K778" s="225">
        <v>67424</v>
      </c>
      <c r="L7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67424</v>
      </c>
      <c r="M778" s="225">
        <f>ROUND(IF(AND(Base_Periodo1[[#This Row],[Tipo_Linha]]="-",Base_Periodo1[[#This Row],[TIPOSALDO]]="D"),Base_Periodo1[[#This Row],[SALDO_ATUAL]]*-1,Base_Periodo1[[#This Row],[SALDO_ATUAL]]),4)</f>
        <v>67424</v>
      </c>
      <c r="N778" t="s">
        <v>116</v>
      </c>
      <c r="O778" t="s">
        <v>397</v>
      </c>
      <c r="P778" t="s">
        <v>397</v>
      </c>
      <c r="Q778">
        <v>7</v>
      </c>
      <c r="R778" s="225">
        <f>Base_Periodo1[[#This Row],[CREDITOS]]-Base_Periodo1[[#This Row],[DEBITOS]]</f>
        <v>-15555</v>
      </c>
      <c r="S778" s="3" t="str">
        <f>IF(ISERROR(VLOOKUP(Base_Periodo1[[#This Row],[CONTA]],BaseContasDRE[#All],4,FALSE)),"Fora do DRE",VLOOKUP(Base_Periodo1[[#This Row],[CONTA]],BaseContasDRE[#All],4,FALSE))</f>
        <v>Fora do DRE</v>
      </c>
      <c r="T778" s="3" t="str">
        <f>IF(ISERROR(VLOOKUP(Base_Periodo1[[#This Row],[CONTA]],BaseContasDRE[#All],5,FALSE)),"Fora do DRE",VLOOKUP(Base_Periodo1[[#This Row],[CONTA]],BaseContasDRE[#All],6,FALSE))</f>
        <v>Fora do DRE</v>
      </c>
      <c r="U778" s="3" t="str">
        <f>IF(ISERROR(VLOOKUP(Base_Periodo1[[#This Row],[CONTA]],BaseContasDRE[#All],7,FALSE)),"Fora do DRE",VLOOKUP(Base_Periodo1[[#This Row],[CONTA]],BaseContasDRE[#All],7,FALSE))</f>
        <v>Fora do DRE</v>
      </c>
      <c r="V778" s="3" t="str">
        <f>IF(Base_Periodo1[[#This Row],[Tipo_Linha]]="Fora do DRE","Fora do DRE","( "&amp;Base_Periodo1[[#This Row],[Tipo_Linha]]&amp;" ) "&amp;Base_Periodo1[[#This Row],[Filtro]])</f>
        <v>Fora do DRE</v>
      </c>
      <c r="W778" s="3" t="str">
        <f>LEFT(Base_Periodo1[[#This Row],[CLASS]],3)</f>
        <v>1.1</v>
      </c>
    </row>
    <row r="779" spans="1:23" hidden="1">
      <c r="A779" s="3" t="str">
        <f t="shared" si="12"/>
        <v>Período 1</v>
      </c>
      <c r="B779">
        <v>46975</v>
      </c>
      <c r="C779" t="s">
        <v>503</v>
      </c>
      <c r="D779" t="s">
        <v>894</v>
      </c>
      <c r="E779" s="3" t="str">
        <f>IF(LEN(Base_Periodo1[[#This Row],[CLASS]])&gt;=7,LEFT(Base_Periodo1[[#This Row],[CLASS]],7),"")</f>
        <v>1.1.2.1</v>
      </c>
      <c r="F779" s="3" t="str">
        <f>VLOOKUP(Base_Periodo1[[#This Row],[Aux]],Base_Contas_Balanco[#All],2,FALSE)</f>
        <v>Creditos com Cooperados</v>
      </c>
      <c r="G779" s="1">
        <v>42865</v>
      </c>
      <c r="I779" s="225">
        <v>1818</v>
      </c>
      <c r="J779" s="225">
        <v>0</v>
      </c>
      <c r="K779" s="225">
        <v>1817.9999999999709</v>
      </c>
      <c r="L7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1818</v>
      </c>
      <c r="M779" s="225">
        <f>ROUND(IF(AND(Base_Periodo1[[#This Row],[Tipo_Linha]]="-",Base_Periodo1[[#This Row],[TIPOSALDO]]="D"),Base_Periodo1[[#This Row],[SALDO_ATUAL]]*-1,Base_Periodo1[[#This Row],[SALDO_ATUAL]]),4)</f>
        <v>1818</v>
      </c>
      <c r="N779" t="s">
        <v>116</v>
      </c>
      <c r="O779" t="s">
        <v>436</v>
      </c>
      <c r="P779" t="s">
        <v>397</v>
      </c>
      <c r="Q779">
        <v>7</v>
      </c>
      <c r="R779" s="225">
        <f>Base_Periodo1[[#This Row],[CREDITOS]]-Base_Periodo1[[#This Row],[DEBITOS]]</f>
        <v>-1818</v>
      </c>
      <c r="S779" s="3" t="str">
        <f>IF(ISERROR(VLOOKUP(Base_Periodo1[[#This Row],[CONTA]],BaseContasDRE[#All],4,FALSE)),"Fora do DRE",VLOOKUP(Base_Periodo1[[#This Row],[CONTA]],BaseContasDRE[#All],4,FALSE))</f>
        <v>Fora do DRE</v>
      </c>
      <c r="T779" s="3" t="str">
        <f>IF(ISERROR(VLOOKUP(Base_Periodo1[[#This Row],[CONTA]],BaseContasDRE[#All],5,FALSE)),"Fora do DRE",VLOOKUP(Base_Periodo1[[#This Row],[CONTA]],BaseContasDRE[#All],6,FALSE))</f>
        <v>Fora do DRE</v>
      </c>
      <c r="U779" s="3" t="str">
        <f>IF(ISERROR(VLOOKUP(Base_Periodo1[[#This Row],[CONTA]],BaseContasDRE[#All],7,FALSE)),"Fora do DRE",VLOOKUP(Base_Periodo1[[#This Row],[CONTA]],BaseContasDRE[#All],7,FALSE))</f>
        <v>Fora do DRE</v>
      </c>
      <c r="V779" s="3" t="str">
        <f>IF(Base_Periodo1[[#This Row],[Tipo_Linha]]="Fora do DRE","Fora do DRE","( "&amp;Base_Periodo1[[#This Row],[Tipo_Linha]]&amp;" ) "&amp;Base_Periodo1[[#This Row],[Filtro]])</f>
        <v>Fora do DRE</v>
      </c>
      <c r="W779" s="3" t="str">
        <f>LEFT(Base_Periodo1[[#This Row],[CLASS]],3)</f>
        <v>1.1</v>
      </c>
    </row>
    <row r="780" spans="1:23" hidden="1">
      <c r="A780" s="3" t="str">
        <f t="shared" si="12"/>
        <v>Período 1</v>
      </c>
      <c r="B780">
        <v>33550</v>
      </c>
      <c r="C780" t="s">
        <v>503</v>
      </c>
      <c r="D780" t="s">
        <v>895</v>
      </c>
      <c r="E780" s="3" t="str">
        <f>IF(LEN(Base_Periodo1[[#This Row],[CLASS]])&gt;=7,LEFT(Base_Periodo1[[#This Row],[CLASS]],7),"")</f>
        <v>1.1.2.1</v>
      </c>
      <c r="F780" s="3" t="str">
        <f>VLOOKUP(Base_Periodo1[[#This Row],[Aux]],Base_Contas_Balanco[#All],2,FALSE)</f>
        <v>Creditos com Cooperados</v>
      </c>
      <c r="G780" s="1">
        <v>42871</v>
      </c>
      <c r="H780" s="225">
        <v>346906.90999999957</v>
      </c>
      <c r="I780" s="225">
        <v>15001.81</v>
      </c>
      <c r="J780" s="225">
        <v>361596.72000000003</v>
      </c>
      <c r="K780" s="225">
        <v>311.99999999953434</v>
      </c>
      <c r="L7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312</v>
      </c>
      <c r="M780" s="225">
        <f>ROUND(IF(AND(Base_Periodo1[[#This Row],[Tipo_Linha]]="-",Base_Periodo1[[#This Row],[TIPOSALDO]]="D"),Base_Periodo1[[#This Row],[SALDO_ATUAL]]*-1,Base_Periodo1[[#This Row],[SALDO_ATUAL]]),4)</f>
        <v>312</v>
      </c>
      <c r="N780" t="s">
        <v>116</v>
      </c>
      <c r="O780" t="s">
        <v>397</v>
      </c>
      <c r="P780" t="s">
        <v>397</v>
      </c>
      <c r="Q780">
        <v>7</v>
      </c>
      <c r="R780" s="225">
        <f>Base_Periodo1[[#This Row],[CREDITOS]]-Base_Periodo1[[#This Row],[DEBITOS]]</f>
        <v>346594.91000000003</v>
      </c>
      <c r="S780" s="3" t="str">
        <f>IF(ISERROR(VLOOKUP(Base_Periodo1[[#This Row],[CONTA]],BaseContasDRE[#All],4,FALSE)),"Fora do DRE",VLOOKUP(Base_Periodo1[[#This Row],[CONTA]],BaseContasDRE[#All],4,FALSE))</f>
        <v>Fora do DRE</v>
      </c>
      <c r="T780" s="3" t="str">
        <f>IF(ISERROR(VLOOKUP(Base_Periodo1[[#This Row],[CONTA]],BaseContasDRE[#All],5,FALSE)),"Fora do DRE",VLOOKUP(Base_Periodo1[[#This Row],[CONTA]],BaseContasDRE[#All],6,FALSE))</f>
        <v>Fora do DRE</v>
      </c>
      <c r="U780" s="3" t="str">
        <f>IF(ISERROR(VLOOKUP(Base_Periodo1[[#This Row],[CONTA]],BaseContasDRE[#All],7,FALSE)),"Fora do DRE",VLOOKUP(Base_Periodo1[[#This Row],[CONTA]],BaseContasDRE[#All],7,FALSE))</f>
        <v>Fora do DRE</v>
      </c>
      <c r="V780" s="3" t="str">
        <f>IF(Base_Periodo1[[#This Row],[Tipo_Linha]]="Fora do DRE","Fora do DRE","( "&amp;Base_Periodo1[[#This Row],[Tipo_Linha]]&amp;" ) "&amp;Base_Periodo1[[#This Row],[Filtro]])</f>
        <v>Fora do DRE</v>
      </c>
      <c r="W780" s="3" t="str">
        <f>LEFT(Base_Periodo1[[#This Row],[CLASS]],3)</f>
        <v>1.1</v>
      </c>
    </row>
    <row r="781" spans="1:23" hidden="1">
      <c r="A781" s="3" t="str">
        <f t="shared" si="12"/>
        <v>Período 1</v>
      </c>
      <c r="B781">
        <v>3996</v>
      </c>
      <c r="C781" t="s">
        <v>503</v>
      </c>
      <c r="D781" t="s">
        <v>4940</v>
      </c>
      <c r="E781" s="3" t="str">
        <f>IF(LEN(Base_Periodo1[[#This Row],[CLASS]])&gt;=7,LEFT(Base_Periodo1[[#This Row],[CLASS]],7),"")</f>
        <v>1.1.2.1</v>
      </c>
      <c r="F781" s="3" t="str">
        <f>VLOOKUP(Base_Periodo1[[#This Row],[Aux]],Base_Contas_Balanco[#All],2,FALSE)</f>
        <v>Creditos com Cooperados</v>
      </c>
      <c r="G781" s="1">
        <v>42877</v>
      </c>
      <c r="H781" s="225">
        <v>543.99999999930151</v>
      </c>
      <c r="I781" s="225">
        <v>12350</v>
      </c>
      <c r="J781" s="225">
        <v>9994</v>
      </c>
      <c r="K781" s="225">
        <v>2899.9999999993015</v>
      </c>
      <c r="L7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2900</v>
      </c>
      <c r="M781" s="225">
        <f>ROUND(IF(AND(Base_Periodo1[[#This Row],[Tipo_Linha]]="-",Base_Periodo1[[#This Row],[TIPOSALDO]]="D"),Base_Periodo1[[#This Row],[SALDO_ATUAL]]*-1,Base_Periodo1[[#This Row],[SALDO_ATUAL]]),4)</f>
        <v>2900</v>
      </c>
      <c r="N781" t="s">
        <v>116</v>
      </c>
      <c r="O781" t="s">
        <v>397</v>
      </c>
      <c r="P781" t="s">
        <v>397</v>
      </c>
      <c r="Q781">
        <v>7</v>
      </c>
      <c r="R781" s="225">
        <f>Base_Periodo1[[#This Row],[CREDITOS]]-Base_Periodo1[[#This Row],[DEBITOS]]</f>
        <v>-2356</v>
      </c>
      <c r="S781" s="3" t="str">
        <f>IF(ISERROR(VLOOKUP(Base_Periodo1[[#This Row],[CONTA]],BaseContasDRE[#All],4,FALSE)),"Fora do DRE",VLOOKUP(Base_Periodo1[[#This Row],[CONTA]],BaseContasDRE[#All],4,FALSE))</f>
        <v>Fora do DRE</v>
      </c>
      <c r="T781" s="3" t="str">
        <f>IF(ISERROR(VLOOKUP(Base_Periodo1[[#This Row],[CONTA]],BaseContasDRE[#All],5,FALSE)),"Fora do DRE",VLOOKUP(Base_Periodo1[[#This Row],[CONTA]],BaseContasDRE[#All],6,FALSE))</f>
        <v>Fora do DRE</v>
      </c>
      <c r="U781" s="3" t="str">
        <f>IF(ISERROR(VLOOKUP(Base_Periodo1[[#This Row],[CONTA]],BaseContasDRE[#All],7,FALSE)),"Fora do DRE",VLOOKUP(Base_Periodo1[[#This Row],[CONTA]],BaseContasDRE[#All],7,FALSE))</f>
        <v>Fora do DRE</v>
      </c>
      <c r="V781" s="3" t="str">
        <f>IF(Base_Periodo1[[#This Row],[Tipo_Linha]]="Fora do DRE","Fora do DRE","( "&amp;Base_Periodo1[[#This Row],[Tipo_Linha]]&amp;" ) "&amp;Base_Periodo1[[#This Row],[Filtro]])</f>
        <v>Fora do DRE</v>
      </c>
      <c r="W781" s="3" t="str">
        <f>LEFT(Base_Periodo1[[#This Row],[CLASS]],3)</f>
        <v>1.1</v>
      </c>
    </row>
    <row r="782" spans="1:23" hidden="1">
      <c r="A782" s="3" t="str">
        <f t="shared" si="12"/>
        <v>Período 1</v>
      </c>
      <c r="B782">
        <v>7289</v>
      </c>
      <c r="C782" t="s">
        <v>503</v>
      </c>
      <c r="D782" t="s">
        <v>896</v>
      </c>
      <c r="E782" s="3" t="str">
        <f>IF(LEN(Base_Periodo1[[#This Row],[CLASS]])&gt;=7,LEFT(Base_Periodo1[[#This Row],[CLASS]],7),"")</f>
        <v>1.1.2.1</v>
      </c>
      <c r="F782" s="3" t="str">
        <f>VLOOKUP(Base_Periodo1[[#This Row],[Aux]],Base_Contas_Balanco[#All],2,FALSE)</f>
        <v>Creditos com Cooperados</v>
      </c>
      <c r="G782" s="1">
        <v>42865</v>
      </c>
      <c r="H782" s="225">
        <v>1597266.0699999966</v>
      </c>
      <c r="I782" s="225">
        <v>4566.7</v>
      </c>
      <c r="J782" s="225">
        <v>4566.7</v>
      </c>
      <c r="K782" s="225">
        <v>1597266.0699999966</v>
      </c>
      <c r="L7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1597266.07</v>
      </c>
      <c r="M782" s="225">
        <f>ROUND(IF(AND(Base_Periodo1[[#This Row],[Tipo_Linha]]="-",Base_Periodo1[[#This Row],[TIPOSALDO]]="D"),Base_Periodo1[[#This Row],[SALDO_ATUAL]]*-1,Base_Periodo1[[#This Row],[SALDO_ATUAL]]),4)</f>
        <v>1597266.07</v>
      </c>
      <c r="N782" t="s">
        <v>116</v>
      </c>
      <c r="O782" t="s">
        <v>397</v>
      </c>
      <c r="P782" t="s">
        <v>397</v>
      </c>
      <c r="Q782">
        <v>7</v>
      </c>
      <c r="R782" s="225">
        <f>Base_Periodo1[[#This Row],[CREDITOS]]-Base_Periodo1[[#This Row],[DEBITOS]]</f>
        <v>0</v>
      </c>
      <c r="S782" s="3" t="str">
        <f>IF(ISERROR(VLOOKUP(Base_Periodo1[[#This Row],[CONTA]],BaseContasDRE[#All],4,FALSE)),"Fora do DRE",VLOOKUP(Base_Periodo1[[#This Row],[CONTA]],BaseContasDRE[#All],4,FALSE))</f>
        <v>Fora do DRE</v>
      </c>
      <c r="T782" s="3" t="str">
        <f>IF(ISERROR(VLOOKUP(Base_Periodo1[[#This Row],[CONTA]],BaseContasDRE[#All],5,FALSE)),"Fora do DRE",VLOOKUP(Base_Periodo1[[#This Row],[CONTA]],BaseContasDRE[#All],6,FALSE))</f>
        <v>Fora do DRE</v>
      </c>
      <c r="U782" s="3" t="str">
        <f>IF(ISERROR(VLOOKUP(Base_Periodo1[[#This Row],[CONTA]],BaseContasDRE[#All],7,FALSE)),"Fora do DRE",VLOOKUP(Base_Periodo1[[#This Row],[CONTA]],BaseContasDRE[#All],7,FALSE))</f>
        <v>Fora do DRE</v>
      </c>
      <c r="V782" s="3" t="str">
        <f>IF(Base_Periodo1[[#This Row],[Tipo_Linha]]="Fora do DRE","Fora do DRE","( "&amp;Base_Periodo1[[#This Row],[Tipo_Linha]]&amp;" ) "&amp;Base_Periodo1[[#This Row],[Filtro]])</f>
        <v>Fora do DRE</v>
      </c>
      <c r="W782" s="3" t="str">
        <f>LEFT(Base_Periodo1[[#This Row],[CLASS]],3)</f>
        <v>1.1</v>
      </c>
    </row>
    <row r="783" spans="1:23" hidden="1">
      <c r="A783" s="3" t="str">
        <f t="shared" si="12"/>
        <v>Período 1</v>
      </c>
      <c r="B783">
        <v>7005</v>
      </c>
      <c r="C783" t="s">
        <v>503</v>
      </c>
      <c r="D783" t="s">
        <v>897</v>
      </c>
      <c r="E783" s="3" t="str">
        <f>IF(LEN(Base_Periodo1[[#This Row],[CLASS]])&gt;=7,LEFT(Base_Periodo1[[#This Row],[CLASS]],7),"")</f>
        <v>1.1.2.1</v>
      </c>
      <c r="F783" s="3" t="str">
        <f>VLOOKUP(Base_Periodo1[[#This Row],[Aux]],Base_Contas_Balanco[#All],2,FALSE)</f>
        <v>Creditos com Cooperados</v>
      </c>
      <c r="G783" s="1">
        <v>42871</v>
      </c>
      <c r="H783" s="225">
        <v>3263.549999999901</v>
      </c>
      <c r="I783" s="225">
        <v>0</v>
      </c>
      <c r="J783" s="225">
        <v>2460.38</v>
      </c>
      <c r="K783" s="225">
        <v>803.16999999990094</v>
      </c>
      <c r="L7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803.17</v>
      </c>
      <c r="M783" s="225">
        <f>ROUND(IF(AND(Base_Periodo1[[#This Row],[Tipo_Linha]]="-",Base_Periodo1[[#This Row],[TIPOSALDO]]="D"),Base_Periodo1[[#This Row],[SALDO_ATUAL]]*-1,Base_Periodo1[[#This Row],[SALDO_ATUAL]]),4)</f>
        <v>803.17</v>
      </c>
      <c r="N783" t="s">
        <v>116</v>
      </c>
      <c r="O783" t="s">
        <v>397</v>
      </c>
      <c r="P783" t="s">
        <v>397</v>
      </c>
      <c r="Q783">
        <v>7</v>
      </c>
      <c r="R783" s="225">
        <f>Base_Periodo1[[#This Row],[CREDITOS]]-Base_Periodo1[[#This Row],[DEBITOS]]</f>
        <v>2460.38</v>
      </c>
      <c r="S783" s="3" t="str">
        <f>IF(ISERROR(VLOOKUP(Base_Periodo1[[#This Row],[CONTA]],BaseContasDRE[#All],4,FALSE)),"Fora do DRE",VLOOKUP(Base_Periodo1[[#This Row],[CONTA]],BaseContasDRE[#All],4,FALSE))</f>
        <v>Fora do DRE</v>
      </c>
      <c r="T783" s="3" t="str">
        <f>IF(ISERROR(VLOOKUP(Base_Periodo1[[#This Row],[CONTA]],BaseContasDRE[#All],5,FALSE)),"Fora do DRE",VLOOKUP(Base_Periodo1[[#This Row],[CONTA]],BaseContasDRE[#All],6,FALSE))</f>
        <v>Fora do DRE</v>
      </c>
      <c r="U783" s="3" t="str">
        <f>IF(ISERROR(VLOOKUP(Base_Periodo1[[#This Row],[CONTA]],BaseContasDRE[#All],7,FALSE)),"Fora do DRE",VLOOKUP(Base_Periodo1[[#This Row],[CONTA]],BaseContasDRE[#All],7,FALSE))</f>
        <v>Fora do DRE</v>
      </c>
      <c r="V783" s="3" t="str">
        <f>IF(Base_Periodo1[[#This Row],[Tipo_Linha]]="Fora do DRE","Fora do DRE","( "&amp;Base_Periodo1[[#This Row],[Tipo_Linha]]&amp;" ) "&amp;Base_Periodo1[[#This Row],[Filtro]])</f>
        <v>Fora do DRE</v>
      </c>
      <c r="W783" s="3" t="str">
        <f>LEFT(Base_Periodo1[[#This Row],[CLASS]],3)</f>
        <v>1.1</v>
      </c>
    </row>
    <row r="784" spans="1:23" hidden="1">
      <c r="A784" s="3" t="str">
        <f t="shared" si="12"/>
        <v>Período 1</v>
      </c>
      <c r="B784">
        <v>3940</v>
      </c>
      <c r="C784" t="s">
        <v>503</v>
      </c>
      <c r="D784" t="s">
        <v>898</v>
      </c>
      <c r="E784" s="3" t="str">
        <f>IF(LEN(Base_Periodo1[[#This Row],[CLASS]])&gt;=7,LEFT(Base_Periodo1[[#This Row],[CLASS]],7),"")</f>
        <v>1.1.2.1</v>
      </c>
      <c r="F784" s="3" t="str">
        <f>VLOOKUP(Base_Periodo1[[#This Row],[Aux]],Base_Contas_Balanco[#All],2,FALSE)</f>
        <v>Creditos com Cooperados</v>
      </c>
      <c r="G784" s="1">
        <v>42877</v>
      </c>
      <c r="H784" s="225">
        <v>145118.90000000084</v>
      </c>
      <c r="I784" s="225">
        <v>39505.949999999997</v>
      </c>
      <c r="J784" s="225">
        <v>33633.270000000004</v>
      </c>
      <c r="K784" s="225">
        <v>150991.58000000083</v>
      </c>
      <c r="L7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150991.57999999999</v>
      </c>
      <c r="M784" s="225">
        <f>ROUND(IF(AND(Base_Periodo1[[#This Row],[Tipo_Linha]]="-",Base_Periodo1[[#This Row],[TIPOSALDO]]="D"),Base_Periodo1[[#This Row],[SALDO_ATUAL]]*-1,Base_Periodo1[[#This Row],[SALDO_ATUAL]]),4)</f>
        <v>150991.57999999999</v>
      </c>
      <c r="N784" t="s">
        <v>116</v>
      </c>
      <c r="O784" t="s">
        <v>397</v>
      </c>
      <c r="P784" t="s">
        <v>397</v>
      </c>
      <c r="Q784">
        <v>7</v>
      </c>
      <c r="R784" s="225">
        <f>Base_Periodo1[[#This Row],[CREDITOS]]-Base_Periodo1[[#This Row],[DEBITOS]]</f>
        <v>-5872.679999999993</v>
      </c>
      <c r="S784" s="3" t="str">
        <f>IF(ISERROR(VLOOKUP(Base_Periodo1[[#This Row],[CONTA]],BaseContasDRE[#All],4,FALSE)),"Fora do DRE",VLOOKUP(Base_Periodo1[[#This Row],[CONTA]],BaseContasDRE[#All],4,FALSE))</f>
        <v>Fora do DRE</v>
      </c>
      <c r="T784" s="3" t="str">
        <f>IF(ISERROR(VLOOKUP(Base_Periodo1[[#This Row],[CONTA]],BaseContasDRE[#All],5,FALSE)),"Fora do DRE",VLOOKUP(Base_Periodo1[[#This Row],[CONTA]],BaseContasDRE[#All],6,FALSE))</f>
        <v>Fora do DRE</v>
      </c>
      <c r="U784" s="3" t="str">
        <f>IF(ISERROR(VLOOKUP(Base_Periodo1[[#This Row],[CONTA]],BaseContasDRE[#All],7,FALSE)),"Fora do DRE",VLOOKUP(Base_Periodo1[[#This Row],[CONTA]],BaseContasDRE[#All],7,FALSE))</f>
        <v>Fora do DRE</v>
      </c>
      <c r="V784" s="3" t="str">
        <f>IF(Base_Periodo1[[#This Row],[Tipo_Linha]]="Fora do DRE","Fora do DRE","( "&amp;Base_Periodo1[[#This Row],[Tipo_Linha]]&amp;" ) "&amp;Base_Periodo1[[#This Row],[Filtro]])</f>
        <v>Fora do DRE</v>
      </c>
      <c r="W784" s="3" t="str">
        <f>LEFT(Base_Periodo1[[#This Row],[CLASS]],3)</f>
        <v>1.1</v>
      </c>
    </row>
    <row r="785" spans="1:23" hidden="1">
      <c r="A785" s="3" t="str">
        <f t="shared" si="12"/>
        <v>Período 1</v>
      </c>
      <c r="B785">
        <v>3884</v>
      </c>
      <c r="C785" t="s">
        <v>503</v>
      </c>
      <c r="D785" t="s">
        <v>4848</v>
      </c>
      <c r="E785" s="3" t="str">
        <f>IF(LEN(Base_Periodo1[[#This Row],[CLASS]])&gt;=7,LEFT(Base_Periodo1[[#This Row],[CLASS]],7),"")</f>
        <v>1.1.2.1</v>
      </c>
      <c r="F785" s="3" t="str">
        <f>VLOOKUP(Base_Periodo1[[#This Row],[Aux]],Base_Contas_Balanco[#All],2,FALSE)</f>
        <v>Creditos com Cooperados</v>
      </c>
      <c r="G785" s="1">
        <v>42863</v>
      </c>
      <c r="H785" s="225">
        <v>103667.81000000029</v>
      </c>
      <c r="I785" s="225">
        <v>86.18</v>
      </c>
      <c r="J785" s="225">
        <v>100885.78</v>
      </c>
      <c r="K785" s="225">
        <v>2868.2100000002829</v>
      </c>
      <c r="L7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2868.21</v>
      </c>
      <c r="M785" s="225">
        <f>ROUND(IF(AND(Base_Periodo1[[#This Row],[Tipo_Linha]]="-",Base_Periodo1[[#This Row],[TIPOSALDO]]="D"),Base_Periodo1[[#This Row],[SALDO_ATUAL]]*-1,Base_Periodo1[[#This Row],[SALDO_ATUAL]]),4)</f>
        <v>2868.21</v>
      </c>
      <c r="N785" t="s">
        <v>116</v>
      </c>
      <c r="O785" t="s">
        <v>397</v>
      </c>
      <c r="P785" t="s">
        <v>397</v>
      </c>
      <c r="Q785">
        <v>7</v>
      </c>
      <c r="R785" s="225">
        <f>Base_Periodo1[[#This Row],[CREDITOS]]-Base_Periodo1[[#This Row],[DEBITOS]]</f>
        <v>100799.6</v>
      </c>
      <c r="S785" s="3" t="str">
        <f>IF(ISERROR(VLOOKUP(Base_Periodo1[[#This Row],[CONTA]],BaseContasDRE[#All],4,FALSE)),"Fora do DRE",VLOOKUP(Base_Periodo1[[#This Row],[CONTA]],BaseContasDRE[#All],4,FALSE))</f>
        <v>Fora do DRE</v>
      </c>
      <c r="T785" s="3" t="str">
        <f>IF(ISERROR(VLOOKUP(Base_Periodo1[[#This Row],[CONTA]],BaseContasDRE[#All],5,FALSE)),"Fora do DRE",VLOOKUP(Base_Periodo1[[#This Row],[CONTA]],BaseContasDRE[#All],6,FALSE))</f>
        <v>Fora do DRE</v>
      </c>
      <c r="U785" s="3" t="str">
        <f>IF(ISERROR(VLOOKUP(Base_Periodo1[[#This Row],[CONTA]],BaseContasDRE[#All],7,FALSE)),"Fora do DRE",VLOOKUP(Base_Periodo1[[#This Row],[CONTA]],BaseContasDRE[#All],7,FALSE))</f>
        <v>Fora do DRE</v>
      </c>
      <c r="V785" s="3" t="str">
        <f>IF(Base_Periodo1[[#This Row],[Tipo_Linha]]="Fora do DRE","Fora do DRE","( "&amp;Base_Periodo1[[#This Row],[Tipo_Linha]]&amp;" ) "&amp;Base_Periodo1[[#This Row],[Filtro]])</f>
        <v>Fora do DRE</v>
      </c>
      <c r="W785" s="3" t="str">
        <f>LEFT(Base_Periodo1[[#This Row],[CLASS]],3)</f>
        <v>1.1</v>
      </c>
    </row>
    <row r="786" spans="1:23" hidden="1">
      <c r="A786" s="3" t="str">
        <f t="shared" si="12"/>
        <v>Período 1</v>
      </c>
      <c r="B786">
        <v>12763</v>
      </c>
      <c r="C786" t="s">
        <v>503</v>
      </c>
      <c r="D786" t="s">
        <v>899</v>
      </c>
      <c r="E786" s="3" t="str">
        <f>IF(LEN(Base_Periodo1[[#This Row],[CLASS]])&gt;=7,LEFT(Base_Periodo1[[#This Row],[CLASS]],7),"")</f>
        <v>1.1.2.1</v>
      </c>
      <c r="F786" s="3" t="str">
        <f>VLOOKUP(Base_Periodo1[[#This Row],[Aux]],Base_Contas_Balanco[#All],2,FALSE)</f>
        <v>Creditos com Cooperados</v>
      </c>
      <c r="G786" s="1">
        <v>42871</v>
      </c>
      <c r="H786" s="225">
        <v>45131.870000000054</v>
      </c>
      <c r="I786" s="225">
        <v>8400</v>
      </c>
      <c r="J786" s="225">
        <v>0</v>
      </c>
      <c r="K786" s="225">
        <v>53531.870000000054</v>
      </c>
      <c r="L7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53531.87</v>
      </c>
      <c r="M786" s="225">
        <f>ROUND(IF(AND(Base_Periodo1[[#This Row],[Tipo_Linha]]="-",Base_Periodo1[[#This Row],[TIPOSALDO]]="D"),Base_Periodo1[[#This Row],[SALDO_ATUAL]]*-1,Base_Periodo1[[#This Row],[SALDO_ATUAL]]),4)</f>
        <v>53531.87</v>
      </c>
      <c r="N786" t="s">
        <v>116</v>
      </c>
      <c r="O786" t="s">
        <v>397</v>
      </c>
      <c r="P786" t="s">
        <v>397</v>
      </c>
      <c r="Q786">
        <v>7</v>
      </c>
      <c r="R786" s="225">
        <f>Base_Periodo1[[#This Row],[CREDITOS]]-Base_Periodo1[[#This Row],[DEBITOS]]</f>
        <v>-8400</v>
      </c>
      <c r="S786" s="3" t="str">
        <f>IF(ISERROR(VLOOKUP(Base_Periodo1[[#This Row],[CONTA]],BaseContasDRE[#All],4,FALSE)),"Fora do DRE",VLOOKUP(Base_Periodo1[[#This Row],[CONTA]],BaseContasDRE[#All],4,FALSE))</f>
        <v>Fora do DRE</v>
      </c>
      <c r="T786" s="3" t="str">
        <f>IF(ISERROR(VLOOKUP(Base_Periodo1[[#This Row],[CONTA]],BaseContasDRE[#All],5,FALSE)),"Fora do DRE",VLOOKUP(Base_Periodo1[[#This Row],[CONTA]],BaseContasDRE[#All],6,FALSE))</f>
        <v>Fora do DRE</v>
      </c>
      <c r="U786" s="3" t="str">
        <f>IF(ISERROR(VLOOKUP(Base_Periodo1[[#This Row],[CONTA]],BaseContasDRE[#All],7,FALSE)),"Fora do DRE",VLOOKUP(Base_Periodo1[[#This Row],[CONTA]],BaseContasDRE[#All],7,FALSE))</f>
        <v>Fora do DRE</v>
      </c>
      <c r="V786" s="3" t="str">
        <f>IF(Base_Periodo1[[#This Row],[Tipo_Linha]]="Fora do DRE","Fora do DRE","( "&amp;Base_Periodo1[[#This Row],[Tipo_Linha]]&amp;" ) "&amp;Base_Periodo1[[#This Row],[Filtro]])</f>
        <v>Fora do DRE</v>
      </c>
      <c r="W786" s="3" t="str">
        <f>LEFT(Base_Periodo1[[#This Row],[CLASS]],3)</f>
        <v>1.1</v>
      </c>
    </row>
    <row r="787" spans="1:23" hidden="1">
      <c r="A787" s="3" t="str">
        <f t="shared" si="12"/>
        <v>Período 1</v>
      </c>
      <c r="B787">
        <v>21508</v>
      </c>
      <c r="C787" t="s">
        <v>503</v>
      </c>
      <c r="D787" t="s">
        <v>5489</v>
      </c>
      <c r="E787" s="3" t="str">
        <f>IF(LEN(Base_Periodo1[[#This Row],[CLASS]])&gt;=7,LEFT(Base_Periodo1[[#This Row],[CLASS]],7),"")</f>
        <v>1.1.2.1</v>
      </c>
      <c r="F787" s="3" t="str">
        <f>VLOOKUP(Base_Periodo1[[#This Row],[Aux]],Base_Contas_Balanco[#All],2,FALSE)</f>
        <v>Creditos com Cooperados</v>
      </c>
      <c r="G787" s="1">
        <v>42870</v>
      </c>
      <c r="H787" s="225">
        <v>2629.92</v>
      </c>
      <c r="I787" s="225">
        <v>1374</v>
      </c>
      <c r="J787" s="225">
        <v>0</v>
      </c>
      <c r="K787" s="225">
        <v>4003.92</v>
      </c>
      <c r="L7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4003.92</v>
      </c>
      <c r="M787" s="225">
        <f>ROUND(IF(AND(Base_Periodo1[[#This Row],[Tipo_Linha]]="-",Base_Periodo1[[#This Row],[TIPOSALDO]]="D"),Base_Periodo1[[#This Row],[SALDO_ATUAL]]*-1,Base_Periodo1[[#This Row],[SALDO_ATUAL]]),4)</f>
        <v>4003.92</v>
      </c>
      <c r="N787" t="s">
        <v>116</v>
      </c>
      <c r="O787" t="s">
        <v>397</v>
      </c>
      <c r="P787" t="s">
        <v>397</v>
      </c>
      <c r="Q787">
        <v>7</v>
      </c>
      <c r="R787" s="225">
        <f>Base_Periodo1[[#This Row],[CREDITOS]]-Base_Periodo1[[#This Row],[DEBITOS]]</f>
        <v>-1374</v>
      </c>
      <c r="S787" s="3" t="str">
        <f>IF(ISERROR(VLOOKUP(Base_Periodo1[[#This Row],[CONTA]],BaseContasDRE[#All],4,FALSE)),"Fora do DRE",VLOOKUP(Base_Periodo1[[#This Row],[CONTA]],BaseContasDRE[#All],4,FALSE))</f>
        <v>Fora do DRE</v>
      </c>
      <c r="T787" s="3" t="str">
        <f>IF(ISERROR(VLOOKUP(Base_Periodo1[[#This Row],[CONTA]],BaseContasDRE[#All],5,FALSE)),"Fora do DRE",VLOOKUP(Base_Periodo1[[#This Row],[CONTA]],BaseContasDRE[#All],6,FALSE))</f>
        <v>Fora do DRE</v>
      </c>
      <c r="U787" s="3" t="str">
        <f>IF(ISERROR(VLOOKUP(Base_Periodo1[[#This Row],[CONTA]],BaseContasDRE[#All],7,FALSE)),"Fora do DRE",VLOOKUP(Base_Periodo1[[#This Row],[CONTA]],BaseContasDRE[#All],7,FALSE))</f>
        <v>Fora do DRE</v>
      </c>
      <c r="V787" s="3" t="str">
        <f>IF(Base_Periodo1[[#This Row],[Tipo_Linha]]="Fora do DRE","Fora do DRE","( "&amp;Base_Periodo1[[#This Row],[Tipo_Linha]]&amp;" ) "&amp;Base_Periodo1[[#This Row],[Filtro]])</f>
        <v>Fora do DRE</v>
      </c>
      <c r="W787" s="3" t="str">
        <f>LEFT(Base_Periodo1[[#This Row],[CLASS]],3)</f>
        <v>1.1</v>
      </c>
    </row>
    <row r="788" spans="1:23" hidden="1">
      <c r="A788" s="3" t="str">
        <f t="shared" si="12"/>
        <v>Período 1</v>
      </c>
      <c r="B788">
        <v>20109</v>
      </c>
      <c r="C788" t="s">
        <v>503</v>
      </c>
      <c r="D788" t="s">
        <v>900</v>
      </c>
      <c r="E788" s="3" t="str">
        <f>IF(LEN(Base_Periodo1[[#This Row],[CLASS]])&gt;=7,LEFT(Base_Periodo1[[#This Row],[CLASS]],7),"")</f>
        <v>1.1.2.1</v>
      </c>
      <c r="F788" s="3" t="str">
        <f>VLOOKUP(Base_Periodo1[[#This Row],[Aux]],Base_Contas_Balanco[#All],2,FALSE)</f>
        <v>Creditos com Cooperados</v>
      </c>
      <c r="G788" s="1">
        <v>42807</v>
      </c>
      <c r="H788" s="225">
        <v>0.52999999991152436</v>
      </c>
      <c r="I788" s="225">
        <v>0</v>
      </c>
      <c r="J788" s="225">
        <v>0</v>
      </c>
      <c r="K788" s="225">
        <v>0.52999999991152436</v>
      </c>
      <c r="L7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0.53</v>
      </c>
      <c r="M788" s="225">
        <f>ROUND(IF(AND(Base_Periodo1[[#This Row],[Tipo_Linha]]="-",Base_Periodo1[[#This Row],[TIPOSALDO]]="D"),Base_Periodo1[[#This Row],[SALDO_ATUAL]]*-1,Base_Periodo1[[#This Row],[SALDO_ATUAL]]),4)</f>
        <v>0.53</v>
      </c>
      <c r="N788" t="s">
        <v>116</v>
      </c>
      <c r="O788" t="s">
        <v>397</v>
      </c>
      <c r="P788" t="s">
        <v>397</v>
      </c>
      <c r="Q788">
        <v>7</v>
      </c>
      <c r="R788" s="225">
        <f>Base_Periodo1[[#This Row],[CREDITOS]]-Base_Periodo1[[#This Row],[DEBITOS]]</f>
        <v>0</v>
      </c>
      <c r="S788" s="3" t="str">
        <f>IF(ISERROR(VLOOKUP(Base_Periodo1[[#This Row],[CONTA]],BaseContasDRE[#All],4,FALSE)),"Fora do DRE",VLOOKUP(Base_Periodo1[[#This Row],[CONTA]],BaseContasDRE[#All],4,FALSE))</f>
        <v>Fora do DRE</v>
      </c>
      <c r="T788" s="3" t="str">
        <f>IF(ISERROR(VLOOKUP(Base_Periodo1[[#This Row],[CONTA]],BaseContasDRE[#All],5,FALSE)),"Fora do DRE",VLOOKUP(Base_Periodo1[[#This Row],[CONTA]],BaseContasDRE[#All],6,FALSE))</f>
        <v>Fora do DRE</v>
      </c>
      <c r="U788" s="3" t="str">
        <f>IF(ISERROR(VLOOKUP(Base_Periodo1[[#This Row],[CONTA]],BaseContasDRE[#All],7,FALSE)),"Fora do DRE",VLOOKUP(Base_Periodo1[[#This Row],[CONTA]],BaseContasDRE[#All],7,FALSE))</f>
        <v>Fora do DRE</v>
      </c>
      <c r="V788" s="3" t="str">
        <f>IF(Base_Periodo1[[#This Row],[Tipo_Linha]]="Fora do DRE","Fora do DRE","( "&amp;Base_Periodo1[[#This Row],[Tipo_Linha]]&amp;" ) "&amp;Base_Periodo1[[#This Row],[Filtro]])</f>
        <v>Fora do DRE</v>
      </c>
      <c r="W788" s="3" t="str">
        <f>LEFT(Base_Periodo1[[#This Row],[CLASS]],3)</f>
        <v>1.1</v>
      </c>
    </row>
    <row r="789" spans="1:23" hidden="1">
      <c r="A789" s="3" t="str">
        <f t="shared" si="12"/>
        <v>Período 1</v>
      </c>
      <c r="B789">
        <v>4460</v>
      </c>
      <c r="C789" t="s">
        <v>503</v>
      </c>
      <c r="D789" t="s">
        <v>5490</v>
      </c>
      <c r="E789" s="3" t="str">
        <f>IF(LEN(Base_Periodo1[[#This Row],[CLASS]])&gt;=7,LEFT(Base_Periodo1[[#This Row],[CLASS]],7),"")</f>
        <v>1.1.2.1</v>
      </c>
      <c r="F789" s="3" t="str">
        <f>VLOOKUP(Base_Periodo1[[#This Row],[Aux]],Base_Contas_Balanco[#All],2,FALSE)</f>
        <v>Creditos com Cooperados</v>
      </c>
      <c r="G789" s="1">
        <v>42881</v>
      </c>
      <c r="H789" s="225">
        <v>81.670000001322478</v>
      </c>
      <c r="I789" s="225">
        <v>37064.720000000001</v>
      </c>
      <c r="J789" s="225">
        <v>36720</v>
      </c>
      <c r="K789" s="225">
        <v>426.39000000132364</v>
      </c>
      <c r="L7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426.39</v>
      </c>
      <c r="M789" s="225">
        <f>ROUND(IF(AND(Base_Periodo1[[#This Row],[Tipo_Linha]]="-",Base_Periodo1[[#This Row],[TIPOSALDO]]="D"),Base_Periodo1[[#This Row],[SALDO_ATUAL]]*-1,Base_Periodo1[[#This Row],[SALDO_ATUAL]]),4)</f>
        <v>426.39</v>
      </c>
      <c r="N789" t="s">
        <v>116</v>
      </c>
      <c r="O789" t="s">
        <v>397</v>
      </c>
      <c r="P789" t="s">
        <v>397</v>
      </c>
      <c r="Q789">
        <v>7</v>
      </c>
      <c r="R789" s="225">
        <f>Base_Periodo1[[#This Row],[CREDITOS]]-Base_Periodo1[[#This Row],[DEBITOS]]</f>
        <v>-344.72000000000116</v>
      </c>
      <c r="S789" s="3" t="str">
        <f>IF(ISERROR(VLOOKUP(Base_Periodo1[[#This Row],[CONTA]],BaseContasDRE[#All],4,FALSE)),"Fora do DRE",VLOOKUP(Base_Periodo1[[#This Row],[CONTA]],BaseContasDRE[#All],4,FALSE))</f>
        <v>Fora do DRE</v>
      </c>
      <c r="T789" s="3" t="str">
        <f>IF(ISERROR(VLOOKUP(Base_Periodo1[[#This Row],[CONTA]],BaseContasDRE[#All],5,FALSE)),"Fora do DRE",VLOOKUP(Base_Periodo1[[#This Row],[CONTA]],BaseContasDRE[#All],6,FALSE))</f>
        <v>Fora do DRE</v>
      </c>
      <c r="U789" s="3" t="str">
        <f>IF(ISERROR(VLOOKUP(Base_Periodo1[[#This Row],[CONTA]],BaseContasDRE[#All],7,FALSE)),"Fora do DRE",VLOOKUP(Base_Periodo1[[#This Row],[CONTA]],BaseContasDRE[#All],7,FALSE))</f>
        <v>Fora do DRE</v>
      </c>
      <c r="V789" s="3" t="str">
        <f>IF(Base_Periodo1[[#This Row],[Tipo_Linha]]="Fora do DRE","Fora do DRE","( "&amp;Base_Periodo1[[#This Row],[Tipo_Linha]]&amp;" ) "&amp;Base_Periodo1[[#This Row],[Filtro]])</f>
        <v>Fora do DRE</v>
      </c>
      <c r="W789" s="3" t="str">
        <f>LEFT(Base_Periodo1[[#This Row],[CLASS]],3)</f>
        <v>1.1</v>
      </c>
    </row>
    <row r="790" spans="1:23" hidden="1">
      <c r="A790" s="3" t="str">
        <f t="shared" si="12"/>
        <v>Período 1</v>
      </c>
      <c r="B790">
        <v>4060</v>
      </c>
      <c r="C790" t="s">
        <v>503</v>
      </c>
      <c r="D790" t="s">
        <v>901</v>
      </c>
      <c r="E790" s="3" t="str">
        <f>IF(LEN(Base_Periodo1[[#This Row],[CLASS]])&gt;=7,LEFT(Base_Periodo1[[#This Row],[CLASS]],7),"")</f>
        <v>1.1.2.1</v>
      </c>
      <c r="F790" s="3" t="str">
        <f>VLOOKUP(Base_Periodo1[[#This Row],[Aux]],Base_Contas_Balanco[#All],2,FALSE)</f>
        <v>Creditos com Cooperados</v>
      </c>
      <c r="G790" s="1">
        <v>42886</v>
      </c>
      <c r="H790" s="225">
        <v>530334.00000000093</v>
      </c>
      <c r="I790" s="225">
        <v>10400</v>
      </c>
      <c r="J790" s="225">
        <v>41000</v>
      </c>
      <c r="K790" s="225">
        <v>499734.00000000093</v>
      </c>
      <c r="L7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499734</v>
      </c>
      <c r="M790" s="225">
        <f>ROUND(IF(AND(Base_Periodo1[[#This Row],[Tipo_Linha]]="-",Base_Periodo1[[#This Row],[TIPOSALDO]]="D"),Base_Periodo1[[#This Row],[SALDO_ATUAL]]*-1,Base_Periodo1[[#This Row],[SALDO_ATUAL]]),4)</f>
        <v>499734</v>
      </c>
      <c r="N790" t="s">
        <v>116</v>
      </c>
      <c r="O790" t="s">
        <v>397</v>
      </c>
      <c r="P790" t="s">
        <v>397</v>
      </c>
      <c r="Q790">
        <v>7</v>
      </c>
      <c r="R790" s="225">
        <f>Base_Periodo1[[#This Row],[CREDITOS]]-Base_Periodo1[[#This Row],[DEBITOS]]</f>
        <v>30600</v>
      </c>
      <c r="S790" s="3" t="str">
        <f>IF(ISERROR(VLOOKUP(Base_Periodo1[[#This Row],[CONTA]],BaseContasDRE[#All],4,FALSE)),"Fora do DRE",VLOOKUP(Base_Periodo1[[#This Row],[CONTA]],BaseContasDRE[#All],4,FALSE))</f>
        <v>Fora do DRE</v>
      </c>
      <c r="T790" s="3" t="str">
        <f>IF(ISERROR(VLOOKUP(Base_Periodo1[[#This Row],[CONTA]],BaseContasDRE[#All],5,FALSE)),"Fora do DRE",VLOOKUP(Base_Periodo1[[#This Row],[CONTA]],BaseContasDRE[#All],6,FALSE))</f>
        <v>Fora do DRE</v>
      </c>
      <c r="U790" s="3" t="str">
        <f>IF(ISERROR(VLOOKUP(Base_Periodo1[[#This Row],[CONTA]],BaseContasDRE[#All],7,FALSE)),"Fora do DRE",VLOOKUP(Base_Periodo1[[#This Row],[CONTA]],BaseContasDRE[#All],7,FALSE))</f>
        <v>Fora do DRE</v>
      </c>
      <c r="V790" s="3" t="str">
        <f>IF(Base_Periodo1[[#This Row],[Tipo_Linha]]="Fora do DRE","Fora do DRE","( "&amp;Base_Periodo1[[#This Row],[Tipo_Linha]]&amp;" ) "&amp;Base_Periodo1[[#This Row],[Filtro]])</f>
        <v>Fora do DRE</v>
      </c>
      <c r="W790" s="3" t="str">
        <f>LEFT(Base_Periodo1[[#This Row],[CLASS]],3)</f>
        <v>1.1</v>
      </c>
    </row>
    <row r="791" spans="1:23" hidden="1">
      <c r="A791" s="3" t="str">
        <f t="shared" si="12"/>
        <v>Período 1</v>
      </c>
      <c r="B791">
        <v>47892</v>
      </c>
      <c r="C791" t="s">
        <v>503</v>
      </c>
      <c r="D791" t="s">
        <v>902</v>
      </c>
      <c r="E791" s="3" t="str">
        <f>IF(LEN(Base_Periodo1[[#This Row],[CLASS]])&gt;=7,LEFT(Base_Periodo1[[#This Row],[CLASS]],7),"")</f>
        <v>1.1.2.1</v>
      </c>
      <c r="F791" s="3" t="str">
        <f>VLOOKUP(Base_Periodo1[[#This Row],[Aux]],Base_Contas_Balanco[#All],2,FALSE)</f>
        <v>Creditos com Cooperados</v>
      </c>
      <c r="G791" s="1">
        <v>42884</v>
      </c>
      <c r="H791" s="225">
        <v>22643</v>
      </c>
      <c r="I791" s="225">
        <v>6984</v>
      </c>
      <c r="J791" s="225">
        <v>0</v>
      </c>
      <c r="K791" s="225">
        <v>29627</v>
      </c>
      <c r="L7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29627</v>
      </c>
      <c r="M791" s="225">
        <f>ROUND(IF(AND(Base_Periodo1[[#This Row],[Tipo_Linha]]="-",Base_Periodo1[[#This Row],[TIPOSALDO]]="D"),Base_Periodo1[[#This Row],[SALDO_ATUAL]]*-1,Base_Periodo1[[#This Row],[SALDO_ATUAL]]),4)</f>
        <v>29627</v>
      </c>
      <c r="N791" t="s">
        <v>116</v>
      </c>
      <c r="O791" t="s">
        <v>397</v>
      </c>
      <c r="P791" t="s">
        <v>397</v>
      </c>
      <c r="Q791">
        <v>7</v>
      </c>
      <c r="R791" s="225">
        <f>Base_Periodo1[[#This Row],[CREDITOS]]-Base_Periodo1[[#This Row],[DEBITOS]]</f>
        <v>-6984</v>
      </c>
      <c r="S791" s="3" t="str">
        <f>IF(ISERROR(VLOOKUP(Base_Periodo1[[#This Row],[CONTA]],BaseContasDRE[#All],4,FALSE)),"Fora do DRE",VLOOKUP(Base_Periodo1[[#This Row],[CONTA]],BaseContasDRE[#All],4,FALSE))</f>
        <v>Fora do DRE</v>
      </c>
      <c r="T791" s="3" t="str">
        <f>IF(ISERROR(VLOOKUP(Base_Periodo1[[#This Row],[CONTA]],BaseContasDRE[#All],5,FALSE)),"Fora do DRE",VLOOKUP(Base_Periodo1[[#This Row],[CONTA]],BaseContasDRE[#All],6,FALSE))</f>
        <v>Fora do DRE</v>
      </c>
      <c r="U791" s="3" t="str">
        <f>IF(ISERROR(VLOOKUP(Base_Periodo1[[#This Row],[CONTA]],BaseContasDRE[#All],7,FALSE)),"Fora do DRE",VLOOKUP(Base_Periodo1[[#This Row],[CONTA]],BaseContasDRE[#All],7,FALSE))</f>
        <v>Fora do DRE</v>
      </c>
      <c r="V791" s="3" t="str">
        <f>IF(Base_Periodo1[[#This Row],[Tipo_Linha]]="Fora do DRE","Fora do DRE","( "&amp;Base_Periodo1[[#This Row],[Tipo_Linha]]&amp;" ) "&amp;Base_Periodo1[[#This Row],[Filtro]])</f>
        <v>Fora do DRE</v>
      </c>
      <c r="W791" s="3" t="str">
        <f>LEFT(Base_Periodo1[[#This Row],[CLASS]],3)</f>
        <v>1.1</v>
      </c>
    </row>
    <row r="792" spans="1:23" hidden="1">
      <c r="A792" s="3" t="str">
        <f t="shared" si="12"/>
        <v>Período 1</v>
      </c>
      <c r="B792">
        <v>3708</v>
      </c>
      <c r="C792" t="s">
        <v>503</v>
      </c>
      <c r="D792" t="s">
        <v>5290</v>
      </c>
      <c r="E792" s="3" t="str">
        <f>IF(LEN(Base_Periodo1[[#This Row],[CLASS]])&gt;=7,LEFT(Base_Periodo1[[#This Row],[CLASS]],7),"")</f>
        <v>1.1.2.1</v>
      </c>
      <c r="F792" s="3" t="str">
        <f>VLOOKUP(Base_Periodo1[[#This Row],[Aux]],Base_Contas_Balanco[#All],2,FALSE)</f>
        <v>Creditos com Cooperados</v>
      </c>
      <c r="G792" s="1">
        <v>42867</v>
      </c>
      <c r="H792" s="225">
        <v>610.64999999999418</v>
      </c>
      <c r="I792" s="225">
        <v>0</v>
      </c>
      <c r="J792" s="225">
        <v>610.65</v>
      </c>
      <c r="K792" s="225">
        <v>-5.7980287238024175E-12</v>
      </c>
      <c r="L7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92" s="225">
        <f>ROUND(IF(AND(Base_Periodo1[[#This Row],[Tipo_Linha]]="-",Base_Periodo1[[#This Row],[TIPOSALDO]]="D"),Base_Periodo1[[#This Row],[SALDO_ATUAL]]*-1,Base_Periodo1[[#This Row],[SALDO_ATUAL]]),4)</f>
        <v>0</v>
      </c>
      <c r="N792" t="s">
        <v>116</v>
      </c>
      <c r="O792" t="s">
        <v>397</v>
      </c>
      <c r="P792" t="s">
        <v>436</v>
      </c>
      <c r="Q792">
        <v>7</v>
      </c>
      <c r="R792" s="225">
        <f>Base_Periodo1[[#This Row],[CREDITOS]]-Base_Periodo1[[#This Row],[DEBITOS]]</f>
        <v>610.65</v>
      </c>
      <c r="S792" s="3" t="str">
        <f>IF(ISERROR(VLOOKUP(Base_Periodo1[[#This Row],[CONTA]],BaseContasDRE[#All],4,FALSE)),"Fora do DRE",VLOOKUP(Base_Periodo1[[#This Row],[CONTA]],BaseContasDRE[#All],4,FALSE))</f>
        <v>Fora do DRE</v>
      </c>
      <c r="T792" s="3" t="str">
        <f>IF(ISERROR(VLOOKUP(Base_Periodo1[[#This Row],[CONTA]],BaseContasDRE[#All],5,FALSE)),"Fora do DRE",VLOOKUP(Base_Periodo1[[#This Row],[CONTA]],BaseContasDRE[#All],6,FALSE))</f>
        <v>Fora do DRE</v>
      </c>
      <c r="U792" s="3" t="str">
        <f>IF(ISERROR(VLOOKUP(Base_Periodo1[[#This Row],[CONTA]],BaseContasDRE[#All],7,FALSE)),"Fora do DRE",VLOOKUP(Base_Periodo1[[#This Row],[CONTA]],BaseContasDRE[#All],7,FALSE))</f>
        <v>Fora do DRE</v>
      </c>
      <c r="V792" s="3" t="str">
        <f>IF(Base_Periodo1[[#This Row],[Tipo_Linha]]="Fora do DRE","Fora do DRE","( "&amp;Base_Periodo1[[#This Row],[Tipo_Linha]]&amp;" ) "&amp;Base_Periodo1[[#This Row],[Filtro]])</f>
        <v>Fora do DRE</v>
      </c>
      <c r="W792" s="3" t="str">
        <f>LEFT(Base_Periodo1[[#This Row],[CLASS]],3)</f>
        <v>1.1</v>
      </c>
    </row>
    <row r="793" spans="1:23" hidden="1">
      <c r="A793" s="3" t="str">
        <f t="shared" si="12"/>
        <v>Período 1</v>
      </c>
      <c r="B793">
        <v>40149</v>
      </c>
      <c r="C793" t="s">
        <v>503</v>
      </c>
      <c r="D793" t="s">
        <v>903</v>
      </c>
      <c r="E793" s="3" t="str">
        <f>IF(LEN(Base_Periodo1[[#This Row],[CLASS]])&gt;=7,LEFT(Base_Periodo1[[#This Row],[CLASS]],7),"")</f>
        <v>1.1.2.1</v>
      </c>
      <c r="F793" s="3" t="str">
        <f>VLOOKUP(Base_Periodo1[[#This Row],[Aux]],Base_Contas_Balanco[#All],2,FALSE)</f>
        <v>Creditos com Cooperados</v>
      </c>
      <c r="G793" s="1">
        <v>42880</v>
      </c>
      <c r="H793" s="225">
        <v>440678.44000000018</v>
      </c>
      <c r="I793" s="225">
        <v>117897</v>
      </c>
      <c r="J793" s="225">
        <v>271483.94999999995</v>
      </c>
      <c r="K793" s="225">
        <v>287091.49000000022</v>
      </c>
      <c r="L7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287091.49</v>
      </c>
      <c r="M793" s="225">
        <f>ROUND(IF(AND(Base_Periodo1[[#This Row],[Tipo_Linha]]="-",Base_Periodo1[[#This Row],[TIPOSALDO]]="D"),Base_Periodo1[[#This Row],[SALDO_ATUAL]]*-1,Base_Periodo1[[#This Row],[SALDO_ATUAL]]),4)</f>
        <v>287091.49</v>
      </c>
      <c r="N793" t="s">
        <v>116</v>
      </c>
      <c r="O793" t="s">
        <v>397</v>
      </c>
      <c r="P793" t="s">
        <v>397</v>
      </c>
      <c r="Q793">
        <v>7</v>
      </c>
      <c r="R793" s="225">
        <f>Base_Periodo1[[#This Row],[CREDITOS]]-Base_Periodo1[[#This Row],[DEBITOS]]</f>
        <v>153586.94999999995</v>
      </c>
      <c r="S793" s="3" t="str">
        <f>IF(ISERROR(VLOOKUP(Base_Periodo1[[#This Row],[CONTA]],BaseContasDRE[#All],4,FALSE)),"Fora do DRE",VLOOKUP(Base_Periodo1[[#This Row],[CONTA]],BaseContasDRE[#All],4,FALSE))</f>
        <v>Fora do DRE</v>
      </c>
      <c r="T793" s="3" t="str">
        <f>IF(ISERROR(VLOOKUP(Base_Periodo1[[#This Row],[CONTA]],BaseContasDRE[#All],5,FALSE)),"Fora do DRE",VLOOKUP(Base_Periodo1[[#This Row],[CONTA]],BaseContasDRE[#All],6,FALSE))</f>
        <v>Fora do DRE</v>
      </c>
      <c r="U793" s="3" t="str">
        <f>IF(ISERROR(VLOOKUP(Base_Periodo1[[#This Row],[CONTA]],BaseContasDRE[#All],7,FALSE)),"Fora do DRE",VLOOKUP(Base_Periodo1[[#This Row],[CONTA]],BaseContasDRE[#All],7,FALSE))</f>
        <v>Fora do DRE</v>
      </c>
      <c r="V793" s="3" t="str">
        <f>IF(Base_Periodo1[[#This Row],[Tipo_Linha]]="Fora do DRE","Fora do DRE","( "&amp;Base_Periodo1[[#This Row],[Tipo_Linha]]&amp;" ) "&amp;Base_Periodo1[[#This Row],[Filtro]])</f>
        <v>Fora do DRE</v>
      </c>
      <c r="W793" s="3" t="str">
        <f>LEFT(Base_Periodo1[[#This Row],[CLASS]],3)</f>
        <v>1.1</v>
      </c>
    </row>
    <row r="794" spans="1:23" hidden="1">
      <c r="A794" s="3" t="str">
        <f t="shared" si="12"/>
        <v>Período 1</v>
      </c>
      <c r="B794">
        <v>5048</v>
      </c>
      <c r="C794" t="s">
        <v>503</v>
      </c>
      <c r="D794" t="s">
        <v>904</v>
      </c>
      <c r="E794" s="3" t="str">
        <f>IF(LEN(Base_Periodo1[[#This Row],[CLASS]])&gt;=7,LEFT(Base_Periodo1[[#This Row],[CLASS]],7),"")</f>
        <v>1.1.2.1</v>
      </c>
      <c r="F794" s="3" t="str">
        <f>VLOOKUP(Base_Periodo1[[#This Row],[Aux]],Base_Contas_Balanco[#All],2,FALSE)</f>
        <v>Creditos com Cooperados</v>
      </c>
      <c r="G794" s="1">
        <v>42843</v>
      </c>
      <c r="H794" s="225">
        <v>3.2099999999045394</v>
      </c>
      <c r="I794" s="225">
        <v>0</v>
      </c>
      <c r="J794" s="225">
        <v>0</v>
      </c>
      <c r="K794" s="225">
        <v>3.2099999999045394</v>
      </c>
      <c r="L7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-3.21</v>
      </c>
      <c r="M794" s="225">
        <f>ROUND(IF(AND(Base_Periodo1[[#This Row],[Tipo_Linha]]="-",Base_Periodo1[[#This Row],[TIPOSALDO]]="D"),Base_Periodo1[[#This Row],[SALDO_ATUAL]]*-1,Base_Periodo1[[#This Row],[SALDO_ATUAL]]),4)</f>
        <v>3.21</v>
      </c>
      <c r="N794" t="s">
        <v>116</v>
      </c>
      <c r="O794" t="s">
        <v>459</v>
      </c>
      <c r="P794" t="s">
        <v>459</v>
      </c>
      <c r="Q794">
        <v>7</v>
      </c>
      <c r="R794" s="225">
        <f>Base_Periodo1[[#This Row],[CREDITOS]]-Base_Periodo1[[#This Row],[DEBITOS]]</f>
        <v>0</v>
      </c>
      <c r="S794" s="3" t="str">
        <f>IF(ISERROR(VLOOKUP(Base_Periodo1[[#This Row],[CONTA]],BaseContasDRE[#All],4,FALSE)),"Fora do DRE",VLOOKUP(Base_Periodo1[[#This Row],[CONTA]],BaseContasDRE[#All],4,FALSE))</f>
        <v>Fora do DRE</v>
      </c>
      <c r="T794" s="3" t="str">
        <f>IF(ISERROR(VLOOKUP(Base_Periodo1[[#This Row],[CONTA]],BaseContasDRE[#All],5,FALSE)),"Fora do DRE",VLOOKUP(Base_Periodo1[[#This Row],[CONTA]],BaseContasDRE[#All],6,FALSE))</f>
        <v>Fora do DRE</v>
      </c>
      <c r="U794" s="3" t="str">
        <f>IF(ISERROR(VLOOKUP(Base_Periodo1[[#This Row],[CONTA]],BaseContasDRE[#All],7,FALSE)),"Fora do DRE",VLOOKUP(Base_Periodo1[[#This Row],[CONTA]],BaseContasDRE[#All],7,FALSE))</f>
        <v>Fora do DRE</v>
      </c>
      <c r="V794" s="3" t="str">
        <f>IF(Base_Periodo1[[#This Row],[Tipo_Linha]]="Fora do DRE","Fora do DRE","( "&amp;Base_Periodo1[[#This Row],[Tipo_Linha]]&amp;" ) "&amp;Base_Periodo1[[#This Row],[Filtro]])</f>
        <v>Fora do DRE</v>
      </c>
      <c r="W794" s="3" t="str">
        <f>LEFT(Base_Periodo1[[#This Row],[CLASS]],3)</f>
        <v>1.1</v>
      </c>
    </row>
    <row r="795" spans="1:23" hidden="1">
      <c r="A795" s="3" t="str">
        <f t="shared" si="12"/>
        <v>Período 1</v>
      </c>
      <c r="B795">
        <v>20967</v>
      </c>
      <c r="C795" t="s">
        <v>503</v>
      </c>
      <c r="D795" t="s">
        <v>5170</v>
      </c>
      <c r="E795" s="3" t="str">
        <f>IF(LEN(Base_Periodo1[[#This Row],[CLASS]])&gt;=7,LEFT(Base_Periodo1[[#This Row],[CLASS]],7),"")</f>
        <v>1.1.2.1</v>
      </c>
      <c r="F795" s="3" t="str">
        <f>VLOOKUP(Base_Periodo1[[#This Row],[Aux]],Base_Contas_Balanco[#All],2,FALSE)</f>
        <v>Creditos com Cooperados</v>
      </c>
      <c r="G795" s="1">
        <v>42864</v>
      </c>
      <c r="H795" s="225">
        <v>9711.5</v>
      </c>
      <c r="I795" s="225">
        <v>39.839999999999996</v>
      </c>
      <c r="J795" s="225">
        <v>9751.34</v>
      </c>
      <c r="K795" s="225">
        <v>0</v>
      </c>
      <c r="L7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95" s="225">
        <f>ROUND(IF(AND(Base_Periodo1[[#This Row],[Tipo_Linha]]="-",Base_Periodo1[[#This Row],[TIPOSALDO]]="D"),Base_Periodo1[[#This Row],[SALDO_ATUAL]]*-1,Base_Periodo1[[#This Row],[SALDO_ATUAL]]),4)</f>
        <v>0</v>
      </c>
      <c r="N795" t="s">
        <v>116</v>
      </c>
      <c r="O795" t="s">
        <v>397</v>
      </c>
      <c r="P795" t="s">
        <v>436</v>
      </c>
      <c r="Q795">
        <v>7</v>
      </c>
      <c r="R795" s="225">
        <f>Base_Periodo1[[#This Row],[CREDITOS]]-Base_Periodo1[[#This Row],[DEBITOS]]</f>
        <v>9711.5</v>
      </c>
      <c r="S795" s="3" t="str">
        <f>IF(ISERROR(VLOOKUP(Base_Periodo1[[#This Row],[CONTA]],BaseContasDRE[#All],4,FALSE)),"Fora do DRE",VLOOKUP(Base_Periodo1[[#This Row],[CONTA]],BaseContasDRE[#All],4,FALSE))</f>
        <v>Fora do DRE</v>
      </c>
      <c r="T795" s="3" t="str">
        <f>IF(ISERROR(VLOOKUP(Base_Periodo1[[#This Row],[CONTA]],BaseContasDRE[#All],5,FALSE)),"Fora do DRE",VLOOKUP(Base_Periodo1[[#This Row],[CONTA]],BaseContasDRE[#All],6,FALSE))</f>
        <v>Fora do DRE</v>
      </c>
      <c r="U795" s="3" t="str">
        <f>IF(ISERROR(VLOOKUP(Base_Periodo1[[#This Row],[CONTA]],BaseContasDRE[#All],7,FALSE)),"Fora do DRE",VLOOKUP(Base_Periodo1[[#This Row],[CONTA]],BaseContasDRE[#All],7,FALSE))</f>
        <v>Fora do DRE</v>
      </c>
      <c r="V795" s="3" t="str">
        <f>IF(Base_Periodo1[[#This Row],[Tipo_Linha]]="Fora do DRE","Fora do DRE","( "&amp;Base_Periodo1[[#This Row],[Tipo_Linha]]&amp;" ) "&amp;Base_Periodo1[[#This Row],[Filtro]])</f>
        <v>Fora do DRE</v>
      </c>
      <c r="W795" s="3" t="str">
        <f>LEFT(Base_Periodo1[[#This Row],[CLASS]],3)</f>
        <v>1.1</v>
      </c>
    </row>
    <row r="796" spans="1:23" hidden="1">
      <c r="A796" s="3" t="str">
        <f t="shared" si="12"/>
        <v>Período 1</v>
      </c>
      <c r="B796">
        <v>45815</v>
      </c>
      <c r="C796" t="s">
        <v>503</v>
      </c>
      <c r="D796" t="s">
        <v>4826</v>
      </c>
      <c r="E796" s="3" t="str">
        <f>IF(LEN(Base_Periodo1[[#This Row],[CLASS]])&gt;=7,LEFT(Base_Periodo1[[#This Row],[CLASS]],7),"")</f>
        <v>1.1.2.1</v>
      </c>
      <c r="F796" s="3" t="str">
        <f>VLOOKUP(Base_Periodo1[[#This Row],[Aux]],Base_Contas_Balanco[#All],2,FALSE)</f>
        <v>Creditos com Cooperados</v>
      </c>
      <c r="G796" s="1">
        <v>42849</v>
      </c>
      <c r="H796" s="225">
        <v>103854.59999999998</v>
      </c>
      <c r="I796" s="225">
        <v>0</v>
      </c>
      <c r="J796" s="225">
        <v>0</v>
      </c>
      <c r="K796" s="225">
        <v>103854.59999999998</v>
      </c>
      <c r="L7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103854.6</v>
      </c>
      <c r="M796" s="225">
        <f>ROUND(IF(AND(Base_Periodo1[[#This Row],[Tipo_Linha]]="-",Base_Periodo1[[#This Row],[TIPOSALDO]]="D"),Base_Periodo1[[#This Row],[SALDO_ATUAL]]*-1,Base_Periodo1[[#This Row],[SALDO_ATUAL]]),4)</f>
        <v>103854.6</v>
      </c>
      <c r="N796" t="s">
        <v>116</v>
      </c>
      <c r="O796" t="s">
        <v>397</v>
      </c>
      <c r="P796" t="s">
        <v>397</v>
      </c>
      <c r="Q796">
        <v>7</v>
      </c>
      <c r="R796" s="225">
        <f>Base_Periodo1[[#This Row],[CREDITOS]]-Base_Periodo1[[#This Row],[DEBITOS]]</f>
        <v>0</v>
      </c>
      <c r="S796" s="3" t="str">
        <f>IF(ISERROR(VLOOKUP(Base_Periodo1[[#This Row],[CONTA]],BaseContasDRE[#All],4,FALSE)),"Fora do DRE",VLOOKUP(Base_Periodo1[[#This Row],[CONTA]],BaseContasDRE[#All],4,FALSE))</f>
        <v>Fora do DRE</v>
      </c>
      <c r="T796" s="3" t="str">
        <f>IF(ISERROR(VLOOKUP(Base_Periodo1[[#This Row],[CONTA]],BaseContasDRE[#All],5,FALSE)),"Fora do DRE",VLOOKUP(Base_Periodo1[[#This Row],[CONTA]],BaseContasDRE[#All],6,FALSE))</f>
        <v>Fora do DRE</v>
      </c>
      <c r="U796" s="3" t="str">
        <f>IF(ISERROR(VLOOKUP(Base_Periodo1[[#This Row],[CONTA]],BaseContasDRE[#All],7,FALSE)),"Fora do DRE",VLOOKUP(Base_Periodo1[[#This Row],[CONTA]],BaseContasDRE[#All],7,FALSE))</f>
        <v>Fora do DRE</v>
      </c>
      <c r="V796" s="3" t="str">
        <f>IF(Base_Periodo1[[#This Row],[Tipo_Linha]]="Fora do DRE","Fora do DRE","( "&amp;Base_Periodo1[[#This Row],[Tipo_Linha]]&amp;" ) "&amp;Base_Periodo1[[#This Row],[Filtro]])</f>
        <v>Fora do DRE</v>
      </c>
      <c r="W796" s="3" t="str">
        <f>LEFT(Base_Periodo1[[#This Row],[CLASS]],3)</f>
        <v>1.1</v>
      </c>
    </row>
    <row r="797" spans="1:23" hidden="1">
      <c r="A797" s="3" t="str">
        <f t="shared" si="12"/>
        <v>Período 1</v>
      </c>
      <c r="B797">
        <v>39276</v>
      </c>
      <c r="C797" t="s">
        <v>503</v>
      </c>
      <c r="D797" t="s">
        <v>905</v>
      </c>
      <c r="E797" s="3" t="str">
        <f>IF(LEN(Base_Periodo1[[#This Row],[CLASS]])&gt;=7,LEFT(Base_Periodo1[[#This Row],[CLASS]],7),"")</f>
        <v>1.1.2.1</v>
      </c>
      <c r="F797" s="3" t="str">
        <f>VLOOKUP(Base_Periodo1[[#This Row],[Aux]],Base_Contas_Balanco[#All],2,FALSE)</f>
        <v>Creditos com Cooperados</v>
      </c>
      <c r="G797" s="1">
        <v>42871</v>
      </c>
      <c r="H797" s="225">
        <v>109631.47000000067</v>
      </c>
      <c r="I797" s="225">
        <v>3907</v>
      </c>
      <c r="J797" s="225">
        <v>0</v>
      </c>
      <c r="K797" s="225">
        <v>113538.47000000067</v>
      </c>
      <c r="L7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113538.47</v>
      </c>
      <c r="M797" s="225">
        <f>ROUND(IF(AND(Base_Periodo1[[#This Row],[Tipo_Linha]]="-",Base_Periodo1[[#This Row],[TIPOSALDO]]="D"),Base_Periodo1[[#This Row],[SALDO_ATUAL]]*-1,Base_Periodo1[[#This Row],[SALDO_ATUAL]]),4)</f>
        <v>113538.47</v>
      </c>
      <c r="N797" t="s">
        <v>116</v>
      </c>
      <c r="O797" t="s">
        <v>397</v>
      </c>
      <c r="P797" t="s">
        <v>397</v>
      </c>
      <c r="Q797">
        <v>7</v>
      </c>
      <c r="R797" s="225">
        <f>Base_Periodo1[[#This Row],[CREDITOS]]-Base_Periodo1[[#This Row],[DEBITOS]]</f>
        <v>-3907</v>
      </c>
      <c r="S797" s="3" t="str">
        <f>IF(ISERROR(VLOOKUP(Base_Periodo1[[#This Row],[CONTA]],BaseContasDRE[#All],4,FALSE)),"Fora do DRE",VLOOKUP(Base_Periodo1[[#This Row],[CONTA]],BaseContasDRE[#All],4,FALSE))</f>
        <v>Fora do DRE</v>
      </c>
      <c r="T797" s="3" t="str">
        <f>IF(ISERROR(VLOOKUP(Base_Periodo1[[#This Row],[CONTA]],BaseContasDRE[#All],5,FALSE)),"Fora do DRE",VLOOKUP(Base_Periodo1[[#This Row],[CONTA]],BaseContasDRE[#All],6,FALSE))</f>
        <v>Fora do DRE</v>
      </c>
      <c r="U797" s="3" t="str">
        <f>IF(ISERROR(VLOOKUP(Base_Periodo1[[#This Row],[CONTA]],BaseContasDRE[#All],7,FALSE)),"Fora do DRE",VLOOKUP(Base_Periodo1[[#This Row],[CONTA]],BaseContasDRE[#All],7,FALSE))</f>
        <v>Fora do DRE</v>
      </c>
      <c r="V797" s="3" t="str">
        <f>IF(Base_Periodo1[[#This Row],[Tipo_Linha]]="Fora do DRE","Fora do DRE","( "&amp;Base_Periodo1[[#This Row],[Tipo_Linha]]&amp;" ) "&amp;Base_Periodo1[[#This Row],[Filtro]])</f>
        <v>Fora do DRE</v>
      </c>
      <c r="W797" s="3" t="str">
        <f>LEFT(Base_Periodo1[[#This Row],[CLASS]],3)</f>
        <v>1.1</v>
      </c>
    </row>
    <row r="798" spans="1:23" hidden="1">
      <c r="A798" s="3" t="str">
        <f t="shared" si="12"/>
        <v>Período 1</v>
      </c>
      <c r="B798">
        <v>28757</v>
      </c>
      <c r="C798" t="s">
        <v>503</v>
      </c>
      <c r="D798" t="s">
        <v>906</v>
      </c>
      <c r="E798" s="3" t="str">
        <f>IF(LEN(Base_Periodo1[[#This Row],[CLASS]])&gt;=7,LEFT(Base_Periodo1[[#This Row],[CLASS]],7),"")</f>
        <v>1.1.2.1</v>
      </c>
      <c r="F798" s="3" t="str">
        <f>VLOOKUP(Base_Periodo1[[#This Row],[Aux]],Base_Contas_Balanco[#All],2,FALSE)</f>
        <v>Creditos com Cooperados</v>
      </c>
      <c r="G798" s="1">
        <v>42857</v>
      </c>
      <c r="H798" s="225">
        <v>219719.30999999959</v>
      </c>
      <c r="I798" s="225">
        <v>0</v>
      </c>
      <c r="J798" s="225">
        <v>219719.30999999991</v>
      </c>
      <c r="K798" s="225">
        <v>-3.2014213502407074E-10</v>
      </c>
      <c r="L7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798" s="225">
        <f>ROUND(IF(AND(Base_Periodo1[[#This Row],[Tipo_Linha]]="-",Base_Periodo1[[#This Row],[TIPOSALDO]]="D"),Base_Periodo1[[#This Row],[SALDO_ATUAL]]*-1,Base_Periodo1[[#This Row],[SALDO_ATUAL]]),4)</f>
        <v>0</v>
      </c>
      <c r="N798" t="s">
        <v>116</v>
      </c>
      <c r="O798" t="s">
        <v>397</v>
      </c>
      <c r="P798" t="s">
        <v>436</v>
      </c>
      <c r="Q798">
        <v>7</v>
      </c>
      <c r="R798" s="225">
        <f>Base_Periodo1[[#This Row],[CREDITOS]]-Base_Periodo1[[#This Row],[DEBITOS]]</f>
        <v>219719.30999999991</v>
      </c>
      <c r="S798" s="3" t="str">
        <f>IF(ISERROR(VLOOKUP(Base_Periodo1[[#This Row],[CONTA]],BaseContasDRE[#All],4,FALSE)),"Fora do DRE",VLOOKUP(Base_Periodo1[[#This Row],[CONTA]],BaseContasDRE[#All],4,FALSE))</f>
        <v>Fora do DRE</v>
      </c>
      <c r="T798" s="3" t="str">
        <f>IF(ISERROR(VLOOKUP(Base_Periodo1[[#This Row],[CONTA]],BaseContasDRE[#All],5,FALSE)),"Fora do DRE",VLOOKUP(Base_Periodo1[[#This Row],[CONTA]],BaseContasDRE[#All],6,FALSE))</f>
        <v>Fora do DRE</v>
      </c>
      <c r="U798" s="3" t="str">
        <f>IF(ISERROR(VLOOKUP(Base_Periodo1[[#This Row],[CONTA]],BaseContasDRE[#All],7,FALSE)),"Fora do DRE",VLOOKUP(Base_Periodo1[[#This Row],[CONTA]],BaseContasDRE[#All],7,FALSE))</f>
        <v>Fora do DRE</v>
      </c>
      <c r="V798" s="3" t="str">
        <f>IF(Base_Periodo1[[#This Row],[Tipo_Linha]]="Fora do DRE","Fora do DRE","( "&amp;Base_Periodo1[[#This Row],[Tipo_Linha]]&amp;" ) "&amp;Base_Periodo1[[#This Row],[Filtro]])</f>
        <v>Fora do DRE</v>
      </c>
      <c r="W798" s="3" t="str">
        <f>LEFT(Base_Periodo1[[#This Row],[CLASS]],3)</f>
        <v>1.1</v>
      </c>
    </row>
    <row r="799" spans="1:23" hidden="1">
      <c r="A799" s="3" t="str">
        <f t="shared" si="12"/>
        <v>Período 1</v>
      </c>
      <c r="B799">
        <v>3472</v>
      </c>
      <c r="C799" t="s">
        <v>503</v>
      </c>
      <c r="D799" t="s">
        <v>5018</v>
      </c>
      <c r="E799" s="3" t="str">
        <f>IF(LEN(Base_Periodo1[[#This Row],[CLASS]])&gt;=7,LEFT(Base_Periodo1[[#This Row],[CLASS]],7),"")</f>
        <v>1.1.2.1</v>
      </c>
      <c r="F799" s="3" t="str">
        <f>VLOOKUP(Base_Periodo1[[#This Row],[Aux]],Base_Contas_Balanco[#All],2,FALSE)</f>
        <v>Creditos com Cooperados</v>
      </c>
      <c r="G799" s="1">
        <v>42870</v>
      </c>
      <c r="H799" s="225">
        <v>50170</v>
      </c>
      <c r="I799" s="225">
        <v>4555</v>
      </c>
      <c r="J799" s="225">
        <v>51450</v>
      </c>
      <c r="K799" s="225">
        <v>3275</v>
      </c>
      <c r="L7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3275</v>
      </c>
      <c r="M799" s="225">
        <f>ROUND(IF(AND(Base_Periodo1[[#This Row],[Tipo_Linha]]="-",Base_Periodo1[[#This Row],[TIPOSALDO]]="D"),Base_Periodo1[[#This Row],[SALDO_ATUAL]]*-1,Base_Periodo1[[#This Row],[SALDO_ATUAL]]),4)</f>
        <v>3275</v>
      </c>
      <c r="N799" t="s">
        <v>116</v>
      </c>
      <c r="O799" t="s">
        <v>397</v>
      </c>
      <c r="P799" t="s">
        <v>397</v>
      </c>
      <c r="Q799">
        <v>7</v>
      </c>
      <c r="R799" s="225">
        <f>Base_Periodo1[[#This Row],[CREDITOS]]-Base_Periodo1[[#This Row],[DEBITOS]]</f>
        <v>46895</v>
      </c>
      <c r="S799" s="3" t="str">
        <f>IF(ISERROR(VLOOKUP(Base_Periodo1[[#This Row],[CONTA]],BaseContasDRE[#All],4,FALSE)),"Fora do DRE",VLOOKUP(Base_Periodo1[[#This Row],[CONTA]],BaseContasDRE[#All],4,FALSE))</f>
        <v>Fora do DRE</v>
      </c>
      <c r="T799" s="3" t="str">
        <f>IF(ISERROR(VLOOKUP(Base_Periodo1[[#This Row],[CONTA]],BaseContasDRE[#All],5,FALSE)),"Fora do DRE",VLOOKUP(Base_Periodo1[[#This Row],[CONTA]],BaseContasDRE[#All],6,FALSE))</f>
        <v>Fora do DRE</v>
      </c>
      <c r="U799" s="3" t="str">
        <f>IF(ISERROR(VLOOKUP(Base_Periodo1[[#This Row],[CONTA]],BaseContasDRE[#All],7,FALSE)),"Fora do DRE",VLOOKUP(Base_Periodo1[[#This Row],[CONTA]],BaseContasDRE[#All],7,FALSE))</f>
        <v>Fora do DRE</v>
      </c>
      <c r="V799" s="3" t="str">
        <f>IF(Base_Periodo1[[#This Row],[Tipo_Linha]]="Fora do DRE","Fora do DRE","( "&amp;Base_Periodo1[[#This Row],[Tipo_Linha]]&amp;" ) "&amp;Base_Periodo1[[#This Row],[Filtro]])</f>
        <v>Fora do DRE</v>
      </c>
      <c r="W799" s="3" t="str">
        <f>LEFT(Base_Periodo1[[#This Row],[CLASS]],3)</f>
        <v>1.1</v>
      </c>
    </row>
    <row r="800" spans="1:23" hidden="1">
      <c r="A800" s="3" t="str">
        <f t="shared" si="12"/>
        <v>Período 1</v>
      </c>
      <c r="B800">
        <v>19984</v>
      </c>
      <c r="C800" t="s">
        <v>907</v>
      </c>
      <c r="D800" t="s">
        <v>908</v>
      </c>
      <c r="E800" s="3" t="str">
        <f>IF(LEN(Base_Periodo1[[#This Row],[CLASS]])&gt;=7,LEFT(Base_Periodo1[[#This Row],[CLASS]],7),"")</f>
        <v>1.1.2.1</v>
      </c>
      <c r="F800" s="3" t="str">
        <f>VLOOKUP(Base_Periodo1[[#This Row],[Aux]],Base_Contas_Balanco[#All],2,FALSE)</f>
        <v>Creditos com Cooperados</v>
      </c>
      <c r="G800" s="1"/>
      <c r="H800" s="225">
        <v>222523.78000000073</v>
      </c>
      <c r="I800" s="225">
        <v>389817.54000000004</v>
      </c>
      <c r="J800" s="225">
        <v>375559.37</v>
      </c>
      <c r="K800" s="225">
        <v>236781.95000000077</v>
      </c>
      <c r="L8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236781.95</v>
      </c>
      <c r="M800" s="225">
        <f>ROUND(IF(AND(Base_Periodo1[[#This Row],[Tipo_Linha]]="-",Base_Periodo1[[#This Row],[TIPOSALDO]]="D"),Base_Periodo1[[#This Row],[SALDO_ATUAL]]*-1,Base_Periodo1[[#This Row],[SALDO_ATUAL]]),4)</f>
        <v>236781.95</v>
      </c>
      <c r="N800" t="s">
        <v>396</v>
      </c>
      <c r="O800" t="s">
        <v>397</v>
      </c>
      <c r="P800" t="s">
        <v>397</v>
      </c>
      <c r="Q800">
        <v>5</v>
      </c>
      <c r="R800" s="225">
        <f>Base_Periodo1[[#This Row],[CREDITOS]]-Base_Periodo1[[#This Row],[DEBITOS]]</f>
        <v>-14258.170000000042</v>
      </c>
      <c r="S800" s="3" t="str">
        <f>IF(ISERROR(VLOOKUP(Base_Periodo1[[#This Row],[CONTA]],BaseContasDRE[#All],4,FALSE)),"Fora do DRE",VLOOKUP(Base_Periodo1[[#This Row],[CONTA]],BaseContasDRE[#All],4,FALSE))</f>
        <v>Fora do DRE</v>
      </c>
      <c r="T800" s="3" t="str">
        <f>IF(ISERROR(VLOOKUP(Base_Periodo1[[#This Row],[CONTA]],BaseContasDRE[#All],5,FALSE)),"Fora do DRE",VLOOKUP(Base_Periodo1[[#This Row],[CONTA]],BaseContasDRE[#All],6,FALSE))</f>
        <v>Fora do DRE</v>
      </c>
      <c r="U800" s="3" t="str">
        <f>IF(ISERROR(VLOOKUP(Base_Periodo1[[#This Row],[CONTA]],BaseContasDRE[#All],7,FALSE)),"Fora do DRE",VLOOKUP(Base_Periodo1[[#This Row],[CONTA]],BaseContasDRE[#All],7,FALSE))</f>
        <v>Fora do DRE</v>
      </c>
      <c r="V800" s="3" t="str">
        <f>IF(Base_Periodo1[[#This Row],[Tipo_Linha]]="Fora do DRE","Fora do DRE","( "&amp;Base_Periodo1[[#This Row],[Tipo_Linha]]&amp;" ) "&amp;Base_Periodo1[[#This Row],[Filtro]])</f>
        <v>Fora do DRE</v>
      </c>
      <c r="W800" s="3" t="str">
        <f>LEFT(Base_Periodo1[[#This Row],[CLASS]],3)</f>
        <v>1.1</v>
      </c>
    </row>
    <row r="801" spans="1:23" hidden="1">
      <c r="A801" s="3" t="str">
        <f t="shared" si="12"/>
        <v>Período 1</v>
      </c>
      <c r="B801">
        <v>21</v>
      </c>
      <c r="C801" t="s">
        <v>909</v>
      </c>
      <c r="D801" t="s">
        <v>910</v>
      </c>
      <c r="E801" s="3" t="str">
        <f>IF(LEN(Base_Periodo1[[#This Row],[CLASS]])&gt;=7,LEFT(Base_Periodo1[[#This Row],[CLASS]],7),"")</f>
        <v>1.1.2.1</v>
      </c>
      <c r="F801" s="3" t="str">
        <f>VLOOKUP(Base_Periodo1[[#This Row],[Aux]],Base_Contas_Balanco[#All],2,FALSE)</f>
        <v>Creditos com Cooperados</v>
      </c>
      <c r="G801" s="1">
        <v>42886</v>
      </c>
      <c r="H801" s="225">
        <v>222523.78000000026</v>
      </c>
      <c r="I801" s="225">
        <v>300053.38</v>
      </c>
      <c r="J801" s="225">
        <v>288101.20999999996</v>
      </c>
      <c r="K801" s="225">
        <v>234475.9500000003</v>
      </c>
      <c r="L8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234475.95</v>
      </c>
      <c r="M801" s="225">
        <f>ROUND(IF(AND(Base_Periodo1[[#This Row],[Tipo_Linha]]="-",Base_Periodo1[[#This Row],[TIPOSALDO]]="D"),Base_Periodo1[[#This Row],[SALDO_ATUAL]]*-1,Base_Periodo1[[#This Row],[SALDO_ATUAL]]),4)</f>
        <v>234475.95</v>
      </c>
      <c r="N801" t="s">
        <v>116</v>
      </c>
      <c r="O801" t="s">
        <v>397</v>
      </c>
      <c r="P801" t="s">
        <v>397</v>
      </c>
      <c r="Q801">
        <v>6</v>
      </c>
      <c r="R801" s="225">
        <f>Base_Periodo1[[#This Row],[CREDITOS]]-Base_Periodo1[[#This Row],[DEBITOS]]</f>
        <v>-11952.170000000042</v>
      </c>
      <c r="S801" s="3" t="str">
        <f>IF(ISERROR(VLOOKUP(Base_Periodo1[[#This Row],[CONTA]],BaseContasDRE[#All],4,FALSE)),"Fora do DRE",VLOOKUP(Base_Periodo1[[#This Row],[CONTA]],BaseContasDRE[#All],4,FALSE))</f>
        <v>Fora do DRE</v>
      </c>
      <c r="T801" s="3" t="str">
        <f>IF(ISERROR(VLOOKUP(Base_Periodo1[[#This Row],[CONTA]],BaseContasDRE[#All],5,FALSE)),"Fora do DRE",VLOOKUP(Base_Periodo1[[#This Row],[CONTA]],BaseContasDRE[#All],6,FALSE))</f>
        <v>Fora do DRE</v>
      </c>
      <c r="U801" s="3" t="str">
        <f>IF(ISERROR(VLOOKUP(Base_Periodo1[[#This Row],[CONTA]],BaseContasDRE[#All],7,FALSE)),"Fora do DRE",VLOOKUP(Base_Periodo1[[#This Row],[CONTA]],BaseContasDRE[#All],7,FALSE))</f>
        <v>Fora do DRE</v>
      </c>
      <c r="V801" s="3" t="str">
        <f>IF(Base_Periodo1[[#This Row],[Tipo_Linha]]="Fora do DRE","Fora do DRE","( "&amp;Base_Periodo1[[#This Row],[Tipo_Linha]]&amp;" ) "&amp;Base_Periodo1[[#This Row],[Filtro]])</f>
        <v>Fora do DRE</v>
      </c>
      <c r="W801" s="3" t="str">
        <f>LEFT(Base_Periodo1[[#This Row],[CLASS]],3)</f>
        <v>1.1</v>
      </c>
    </row>
    <row r="802" spans="1:23" hidden="1">
      <c r="A802" s="3" t="str">
        <f t="shared" si="12"/>
        <v>Período 1</v>
      </c>
      <c r="B802">
        <v>23</v>
      </c>
      <c r="C802" t="s">
        <v>911</v>
      </c>
      <c r="D802" t="s">
        <v>912</v>
      </c>
      <c r="E802" s="3" t="str">
        <f>IF(LEN(Base_Periodo1[[#This Row],[CLASS]])&gt;=7,LEFT(Base_Periodo1[[#This Row],[CLASS]],7),"")</f>
        <v>1.1.2.1</v>
      </c>
      <c r="F802" s="3" t="str">
        <f>VLOOKUP(Base_Periodo1[[#This Row],[Aux]],Base_Contas_Balanco[#All],2,FALSE)</f>
        <v>Creditos com Cooperados</v>
      </c>
      <c r="G802" s="1">
        <v>42886</v>
      </c>
      <c r="I802" s="225">
        <v>89764.160000000003</v>
      </c>
      <c r="J802" s="225">
        <v>87458.16</v>
      </c>
      <c r="K802" s="225">
        <v>2306.0000000004657</v>
      </c>
      <c r="L8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2306</v>
      </c>
      <c r="M802" s="225">
        <f>ROUND(IF(AND(Base_Periodo1[[#This Row],[Tipo_Linha]]="-",Base_Periodo1[[#This Row],[TIPOSALDO]]="D"),Base_Periodo1[[#This Row],[SALDO_ATUAL]]*-1,Base_Periodo1[[#This Row],[SALDO_ATUAL]]),4)</f>
        <v>2306</v>
      </c>
      <c r="N802" t="s">
        <v>116</v>
      </c>
      <c r="O802" t="s">
        <v>436</v>
      </c>
      <c r="P802" t="s">
        <v>397</v>
      </c>
      <c r="Q802">
        <v>6</v>
      </c>
      <c r="R802" s="225">
        <f>Base_Periodo1[[#This Row],[CREDITOS]]-Base_Periodo1[[#This Row],[DEBITOS]]</f>
        <v>-2306</v>
      </c>
      <c r="S802" s="3" t="str">
        <f>IF(ISERROR(VLOOKUP(Base_Periodo1[[#This Row],[CONTA]],BaseContasDRE[#All],4,FALSE)),"Fora do DRE",VLOOKUP(Base_Periodo1[[#This Row],[CONTA]],BaseContasDRE[#All],4,FALSE))</f>
        <v>Fora do DRE</v>
      </c>
      <c r="T802" s="3" t="str">
        <f>IF(ISERROR(VLOOKUP(Base_Periodo1[[#This Row],[CONTA]],BaseContasDRE[#All],5,FALSE)),"Fora do DRE",VLOOKUP(Base_Periodo1[[#This Row],[CONTA]],BaseContasDRE[#All],6,FALSE))</f>
        <v>Fora do DRE</v>
      </c>
      <c r="U802" s="3" t="str">
        <f>IF(ISERROR(VLOOKUP(Base_Periodo1[[#This Row],[CONTA]],BaseContasDRE[#All],7,FALSE)),"Fora do DRE",VLOOKUP(Base_Periodo1[[#This Row],[CONTA]],BaseContasDRE[#All],7,FALSE))</f>
        <v>Fora do DRE</v>
      </c>
      <c r="V802" s="3" t="str">
        <f>IF(Base_Periodo1[[#This Row],[Tipo_Linha]]="Fora do DRE","Fora do DRE","( "&amp;Base_Periodo1[[#This Row],[Tipo_Linha]]&amp;" ) "&amp;Base_Periodo1[[#This Row],[Filtro]])</f>
        <v>Fora do DRE</v>
      </c>
      <c r="W802" s="3" t="str">
        <f>LEFT(Base_Periodo1[[#This Row],[CLASS]],3)</f>
        <v>1.1</v>
      </c>
    </row>
    <row r="803" spans="1:23" hidden="1">
      <c r="A803" s="3" t="str">
        <f t="shared" si="12"/>
        <v>Período 1</v>
      </c>
      <c r="B803">
        <v>31</v>
      </c>
      <c r="C803" t="s">
        <v>913</v>
      </c>
      <c r="D803" t="s">
        <v>914</v>
      </c>
      <c r="E803" s="3" t="str">
        <f>IF(LEN(Base_Periodo1[[#This Row],[CLASS]])&gt;=7,LEFT(Base_Periodo1[[#This Row],[CLASS]],7),"")</f>
        <v>1.1.2.1</v>
      </c>
      <c r="F803" s="3" t="str">
        <f>VLOOKUP(Base_Periodo1[[#This Row],[Aux]],Base_Contas_Balanco[#All],2,FALSE)</f>
        <v>Creditos com Cooperados</v>
      </c>
      <c r="G803" s="1"/>
      <c r="H803" s="225">
        <v>10103.910000000582</v>
      </c>
      <c r="I803" s="225">
        <v>12384</v>
      </c>
      <c r="J803" s="225">
        <v>0</v>
      </c>
      <c r="K803" s="225">
        <v>22487.910000000582</v>
      </c>
      <c r="L8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22487.91</v>
      </c>
      <c r="M803" s="225">
        <f>ROUND(IF(AND(Base_Periodo1[[#This Row],[Tipo_Linha]]="-",Base_Periodo1[[#This Row],[TIPOSALDO]]="D"),Base_Periodo1[[#This Row],[SALDO_ATUAL]]*-1,Base_Periodo1[[#This Row],[SALDO_ATUAL]]),4)</f>
        <v>22487.91</v>
      </c>
      <c r="N803" t="s">
        <v>396</v>
      </c>
      <c r="O803" t="s">
        <v>397</v>
      </c>
      <c r="P803" t="s">
        <v>397</v>
      </c>
      <c r="Q803">
        <v>5</v>
      </c>
      <c r="R803" s="225">
        <f>Base_Periodo1[[#This Row],[CREDITOS]]-Base_Periodo1[[#This Row],[DEBITOS]]</f>
        <v>-12384</v>
      </c>
      <c r="S803" s="3" t="str">
        <f>IF(ISERROR(VLOOKUP(Base_Periodo1[[#This Row],[CONTA]],BaseContasDRE[#All],4,FALSE)),"Fora do DRE",VLOOKUP(Base_Periodo1[[#This Row],[CONTA]],BaseContasDRE[#All],4,FALSE))</f>
        <v>Fora do DRE</v>
      </c>
      <c r="T803" s="3" t="str">
        <f>IF(ISERROR(VLOOKUP(Base_Periodo1[[#This Row],[CONTA]],BaseContasDRE[#All],5,FALSE)),"Fora do DRE",VLOOKUP(Base_Periodo1[[#This Row],[CONTA]],BaseContasDRE[#All],6,FALSE))</f>
        <v>Fora do DRE</v>
      </c>
      <c r="U803" s="3" t="str">
        <f>IF(ISERROR(VLOOKUP(Base_Periodo1[[#This Row],[CONTA]],BaseContasDRE[#All],7,FALSE)),"Fora do DRE",VLOOKUP(Base_Periodo1[[#This Row],[CONTA]],BaseContasDRE[#All],7,FALSE))</f>
        <v>Fora do DRE</v>
      </c>
      <c r="V803" s="3" t="str">
        <f>IF(Base_Periodo1[[#This Row],[Tipo_Linha]]="Fora do DRE","Fora do DRE","( "&amp;Base_Periodo1[[#This Row],[Tipo_Linha]]&amp;" ) "&amp;Base_Periodo1[[#This Row],[Filtro]])</f>
        <v>Fora do DRE</v>
      </c>
      <c r="W803" s="3" t="str">
        <f>LEFT(Base_Periodo1[[#This Row],[CLASS]],3)</f>
        <v>1.1</v>
      </c>
    </row>
    <row r="804" spans="1:23" hidden="1">
      <c r="A804" s="3" t="str">
        <f t="shared" si="12"/>
        <v>Período 1</v>
      </c>
      <c r="B804">
        <v>33</v>
      </c>
      <c r="C804" t="s">
        <v>915</v>
      </c>
      <c r="D804" t="s">
        <v>916</v>
      </c>
      <c r="E804" s="3" t="str">
        <f>IF(LEN(Base_Periodo1[[#This Row],[CLASS]])&gt;=7,LEFT(Base_Periodo1[[#This Row],[CLASS]],7),"")</f>
        <v>1.1.2.1</v>
      </c>
      <c r="F804" s="3" t="str">
        <f>VLOOKUP(Base_Periodo1[[#This Row],[Aux]],Base_Contas_Balanco[#All],2,FALSE)</f>
        <v>Creditos com Cooperados</v>
      </c>
      <c r="G804" s="1"/>
      <c r="H804" s="225">
        <v>10103.910000000582</v>
      </c>
      <c r="I804" s="225">
        <v>12384</v>
      </c>
      <c r="J804" s="225">
        <v>0</v>
      </c>
      <c r="K804" s="225">
        <v>22487.910000000582</v>
      </c>
      <c r="L8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22487.91</v>
      </c>
      <c r="M804" s="225">
        <f>ROUND(IF(AND(Base_Periodo1[[#This Row],[Tipo_Linha]]="-",Base_Periodo1[[#This Row],[TIPOSALDO]]="D"),Base_Periodo1[[#This Row],[SALDO_ATUAL]]*-1,Base_Periodo1[[#This Row],[SALDO_ATUAL]]),4)</f>
        <v>22487.91</v>
      </c>
      <c r="N804" t="s">
        <v>396</v>
      </c>
      <c r="O804" t="s">
        <v>397</v>
      </c>
      <c r="P804" t="s">
        <v>397</v>
      </c>
      <c r="Q804">
        <v>6</v>
      </c>
      <c r="R804" s="225">
        <f>Base_Periodo1[[#This Row],[CREDITOS]]-Base_Periodo1[[#This Row],[DEBITOS]]</f>
        <v>-12384</v>
      </c>
      <c r="S804" s="3" t="str">
        <f>IF(ISERROR(VLOOKUP(Base_Periodo1[[#This Row],[CONTA]],BaseContasDRE[#All],4,FALSE)),"Fora do DRE",VLOOKUP(Base_Periodo1[[#This Row],[CONTA]],BaseContasDRE[#All],4,FALSE))</f>
        <v>Fora do DRE</v>
      </c>
      <c r="T804" s="3" t="str">
        <f>IF(ISERROR(VLOOKUP(Base_Periodo1[[#This Row],[CONTA]],BaseContasDRE[#All],5,FALSE)),"Fora do DRE",VLOOKUP(Base_Periodo1[[#This Row],[CONTA]],BaseContasDRE[#All],6,FALSE))</f>
        <v>Fora do DRE</v>
      </c>
      <c r="U804" s="3" t="str">
        <f>IF(ISERROR(VLOOKUP(Base_Periodo1[[#This Row],[CONTA]],BaseContasDRE[#All],7,FALSE)),"Fora do DRE",VLOOKUP(Base_Periodo1[[#This Row],[CONTA]],BaseContasDRE[#All],7,FALSE))</f>
        <v>Fora do DRE</v>
      </c>
      <c r="V804" s="3" t="str">
        <f>IF(Base_Periodo1[[#This Row],[Tipo_Linha]]="Fora do DRE","Fora do DRE","( "&amp;Base_Periodo1[[#This Row],[Tipo_Linha]]&amp;" ) "&amp;Base_Periodo1[[#This Row],[Filtro]])</f>
        <v>Fora do DRE</v>
      </c>
      <c r="W804" s="3" t="str">
        <f>LEFT(Base_Periodo1[[#This Row],[CLASS]],3)</f>
        <v>1.1</v>
      </c>
    </row>
    <row r="805" spans="1:23" hidden="1">
      <c r="A805" s="3" t="str">
        <f t="shared" si="12"/>
        <v>Período 1</v>
      </c>
      <c r="B805">
        <v>3143</v>
      </c>
      <c r="C805" t="s">
        <v>917</v>
      </c>
      <c r="D805" t="s">
        <v>918</v>
      </c>
      <c r="E805" s="3" t="str">
        <f>IF(LEN(Base_Periodo1[[#This Row],[CLASS]])&gt;=7,LEFT(Base_Periodo1[[#This Row],[CLASS]],7),"")</f>
        <v>1.1.2.1</v>
      </c>
      <c r="F805" s="3" t="str">
        <f>VLOOKUP(Base_Periodo1[[#This Row],[Aux]],Base_Contas_Balanco[#All],2,FALSE)</f>
        <v>Creditos com Cooperados</v>
      </c>
      <c r="G805" s="1">
        <v>41982</v>
      </c>
      <c r="H805" s="225">
        <v>6198</v>
      </c>
      <c r="I805" s="225">
        <v>0</v>
      </c>
      <c r="J805" s="225">
        <v>0</v>
      </c>
      <c r="K805" s="225">
        <v>6198</v>
      </c>
      <c r="L8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6198</v>
      </c>
      <c r="M805" s="225">
        <f>ROUND(IF(AND(Base_Periodo1[[#This Row],[Tipo_Linha]]="-",Base_Periodo1[[#This Row],[TIPOSALDO]]="D"),Base_Periodo1[[#This Row],[SALDO_ATUAL]]*-1,Base_Periodo1[[#This Row],[SALDO_ATUAL]]),4)</f>
        <v>6198</v>
      </c>
      <c r="N805" t="s">
        <v>116</v>
      </c>
      <c r="O805" t="s">
        <v>397</v>
      </c>
      <c r="P805" t="s">
        <v>397</v>
      </c>
      <c r="Q805">
        <v>7</v>
      </c>
      <c r="R805" s="225">
        <f>Base_Periodo1[[#This Row],[CREDITOS]]-Base_Periodo1[[#This Row],[DEBITOS]]</f>
        <v>0</v>
      </c>
      <c r="S805" s="3" t="str">
        <f>IF(ISERROR(VLOOKUP(Base_Periodo1[[#This Row],[CONTA]],BaseContasDRE[#All],4,FALSE)),"Fora do DRE",VLOOKUP(Base_Periodo1[[#This Row],[CONTA]],BaseContasDRE[#All],4,FALSE))</f>
        <v>Fora do DRE</v>
      </c>
      <c r="T805" s="3" t="str">
        <f>IF(ISERROR(VLOOKUP(Base_Periodo1[[#This Row],[CONTA]],BaseContasDRE[#All],5,FALSE)),"Fora do DRE",VLOOKUP(Base_Periodo1[[#This Row],[CONTA]],BaseContasDRE[#All],6,FALSE))</f>
        <v>Fora do DRE</v>
      </c>
      <c r="U805" s="3" t="str">
        <f>IF(ISERROR(VLOOKUP(Base_Periodo1[[#This Row],[CONTA]],BaseContasDRE[#All],7,FALSE)),"Fora do DRE",VLOOKUP(Base_Periodo1[[#This Row],[CONTA]],BaseContasDRE[#All],7,FALSE))</f>
        <v>Fora do DRE</v>
      </c>
      <c r="V805" s="3" t="str">
        <f>IF(Base_Periodo1[[#This Row],[Tipo_Linha]]="Fora do DRE","Fora do DRE","( "&amp;Base_Periodo1[[#This Row],[Tipo_Linha]]&amp;" ) "&amp;Base_Periodo1[[#This Row],[Filtro]])</f>
        <v>Fora do DRE</v>
      </c>
      <c r="W805" s="3" t="str">
        <f>LEFT(Base_Periodo1[[#This Row],[CLASS]],3)</f>
        <v>1.1</v>
      </c>
    </row>
    <row r="806" spans="1:23" hidden="1">
      <c r="A806" s="3" t="str">
        <f t="shared" si="12"/>
        <v>Período 1</v>
      </c>
      <c r="B806">
        <v>50609</v>
      </c>
      <c r="C806" t="s">
        <v>917</v>
      </c>
      <c r="D806" t="s">
        <v>6737</v>
      </c>
      <c r="E806" s="3" t="str">
        <f>IF(LEN(Base_Periodo1[[#This Row],[CLASS]])&gt;=7,LEFT(Base_Periodo1[[#This Row],[CLASS]],7),"")</f>
        <v>1.1.2.1</v>
      </c>
      <c r="F806" s="3" t="str">
        <f>VLOOKUP(Base_Periodo1[[#This Row],[Aux]],Base_Contas_Balanco[#All],2,FALSE)</f>
        <v>Creditos com Cooperados</v>
      </c>
      <c r="G806" s="1">
        <v>42867</v>
      </c>
      <c r="I806" s="225">
        <v>12384</v>
      </c>
      <c r="J806" s="225">
        <v>0</v>
      </c>
      <c r="K806" s="225">
        <v>12384</v>
      </c>
      <c r="L8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12384</v>
      </c>
      <c r="M806" s="225">
        <f>ROUND(IF(AND(Base_Periodo1[[#This Row],[Tipo_Linha]]="-",Base_Periodo1[[#This Row],[TIPOSALDO]]="D"),Base_Periodo1[[#This Row],[SALDO_ATUAL]]*-1,Base_Periodo1[[#This Row],[SALDO_ATUAL]]),4)</f>
        <v>12384</v>
      </c>
      <c r="N806" t="s">
        <v>116</v>
      </c>
      <c r="O806" t="s">
        <v>436</v>
      </c>
      <c r="P806" t="s">
        <v>397</v>
      </c>
      <c r="Q806">
        <v>7</v>
      </c>
      <c r="R806" s="225">
        <f>Base_Periodo1[[#This Row],[CREDITOS]]-Base_Periodo1[[#This Row],[DEBITOS]]</f>
        <v>-12384</v>
      </c>
      <c r="S806" s="3" t="str">
        <f>IF(ISERROR(VLOOKUP(Base_Periodo1[[#This Row],[CONTA]],BaseContasDRE[#All],4,FALSE)),"Fora do DRE",VLOOKUP(Base_Periodo1[[#This Row],[CONTA]],BaseContasDRE[#All],4,FALSE))</f>
        <v>Fora do DRE</v>
      </c>
      <c r="T806" s="3" t="str">
        <f>IF(ISERROR(VLOOKUP(Base_Periodo1[[#This Row],[CONTA]],BaseContasDRE[#All],5,FALSE)),"Fora do DRE",VLOOKUP(Base_Periodo1[[#This Row],[CONTA]],BaseContasDRE[#All],6,FALSE))</f>
        <v>Fora do DRE</v>
      </c>
      <c r="U806" s="3" t="str">
        <f>IF(ISERROR(VLOOKUP(Base_Periodo1[[#This Row],[CONTA]],BaseContasDRE[#All],7,FALSE)),"Fora do DRE",VLOOKUP(Base_Periodo1[[#This Row],[CONTA]],BaseContasDRE[#All],7,FALSE))</f>
        <v>Fora do DRE</v>
      </c>
      <c r="V806" s="3" t="str">
        <f>IF(Base_Periodo1[[#This Row],[Tipo_Linha]]="Fora do DRE","Fora do DRE","( "&amp;Base_Periodo1[[#This Row],[Tipo_Linha]]&amp;" ) "&amp;Base_Periodo1[[#This Row],[Filtro]])</f>
        <v>Fora do DRE</v>
      </c>
      <c r="W806" s="3" t="str">
        <f>LEFT(Base_Periodo1[[#This Row],[CLASS]],3)</f>
        <v>1.1</v>
      </c>
    </row>
    <row r="807" spans="1:23" hidden="1">
      <c r="A807" s="3" t="str">
        <f t="shared" si="12"/>
        <v>Período 1</v>
      </c>
      <c r="B807">
        <v>7952</v>
      </c>
      <c r="C807" t="s">
        <v>917</v>
      </c>
      <c r="D807" t="s">
        <v>5019</v>
      </c>
      <c r="E807" s="3" t="str">
        <f>IF(LEN(Base_Periodo1[[#This Row],[CLASS]])&gt;=7,LEFT(Base_Periodo1[[#This Row],[CLASS]],7),"")</f>
        <v>1.1.2.1</v>
      </c>
      <c r="F807" s="3" t="str">
        <f>VLOOKUP(Base_Periodo1[[#This Row],[Aux]],Base_Contas_Balanco[#All],2,FALSE)</f>
        <v>Creditos com Cooperados</v>
      </c>
      <c r="G807" s="1">
        <v>42719</v>
      </c>
      <c r="H807" s="225">
        <v>3870</v>
      </c>
      <c r="I807" s="225">
        <v>0</v>
      </c>
      <c r="J807" s="225">
        <v>0</v>
      </c>
      <c r="K807" s="225">
        <v>3870</v>
      </c>
      <c r="L8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3870</v>
      </c>
      <c r="M807" s="225">
        <f>ROUND(IF(AND(Base_Periodo1[[#This Row],[Tipo_Linha]]="-",Base_Periodo1[[#This Row],[TIPOSALDO]]="D"),Base_Periodo1[[#This Row],[SALDO_ATUAL]]*-1,Base_Periodo1[[#This Row],[SALDO_ATUAL]]),4)</f>
        <v>3870</v>
      </c>
      <c r="N807" t="s">
        <v>116</v>
      </c>
      <c r="O807" t="s">
        <v>397</v>
      </c>
      <c r="P807" t="s">
        <v>397</v>
      </c>
      <c r="Q807">
        <v>7</v>
      </c>
      <c r="R807" s="225">
        <f>Base_Periodo1[[#This Row],[CREDITOS]]-Base_Periodo1[[#This Row],[DEBITOS]]</f>
        <v>0</v>
      </c>
      <c r="S807" s="3" t="str">
        <f>IF(ISERROR(VLOOKUP(Base_Periodo1[[#This Row],[CONTA]],BaseContasDRE[#All],4,FALSE)),"Fora do DRE",VLOOKUP(Base_Periodo1[[#This Row],[CONTA]],BaseContasDRE[#All],4,FALSE))</f>
        <v>Fora do DRE</v>
      </c>
      <c r="T807" s="3" t="str">
        <f>IF(ISERROR(VLOOKUP(Base_Periodo1[[#This Row],[CONTA]],BaseContasDRE[#All],5,FALSE)),"Fora do DRE",VLOOKUP(Base_Periodo1[[#This Row],[CONTA]],BaseContasDRE[#All],6,FALSE))</f>
        <v>Fora do DRE</v>
      </c>
      <c r="U807" s="3" t="str">
        <f>IF(ISERROR(VLOOKUP(Base_Periodo1[[#This Row],[CONTA]],BaseContasDRE[#All],7,FALSE)),"Fora do DRE",VLOOKUP(Base_Periodo1[[#This Row],[CONTA]],BaseContasDRE[#All],7,FALSE))</f>
        <v>Fora do DRE</v>
      </c>
      <c r="V807" s="3" t="str">
        <f>IF(Base_Periodo1[[#This Row],[Tipo_Linha]]="Fora do DRE","Fora do DRE","( "&amp;Base_Periodo1[[#This Row],[Tipo_Linha]]&amp;" ) "&amp;Base_Periodo1[[#This Row],[Filtro]])</f>
        <v>Fora do DRE</v>
      </c>
      <c r="W807" s="3" t="str">
        <f>LEFT(Base_Periodo1[[#This Row],[CLASS]],3)</f>
        <v>1.1</v>
      </c>
    </row>
    <row r="808" spans="1:23" hidden="1">
      <c r="A808" s="3" t="str">
        <f t="shared" si="12"/>
        <v>Período 1</v>
      </c>
      <c r="B808">
        <v>3179</v>
      </c>
      <c r="C808" t="s">
        <v>917</v>
      </c>
      <c r="D808" t="s">
        <v>919</v>
      </c>
      <c r="E808" s="3" t="str">
        <f>IF(LEN(Base_Periodo1[[#This Row],[CLASS]])&gt;=7,LEFT(Base_Periodo1[[#This Row],[CLASS]],7),"")</f>
        <v>1.1.2.1</v>
      </c>
      <c r="F808" s="3" t="str">
        <f>VLOOKUP(Base_Periodo1[[#This Row],[Aux]],Base_Contas_Balanco[#All],2,FALSE)</f>
        <v>Creditos com Cooperados</v>
      </c>
      <c r="G808" s="1">
        <v>42083</v>
      </c>
      <c r="H808" s="225">
        <v>35.909999999999997</v>
      </c>
      <c r="I808" s="225">
        <v>0</v>
      </c>
      <c r="J808" s="225">
        <v>0</v>
      </c>
      <c r="K808" s="225">
        <v>35.909999999999997</v>
      </c>
      <c r="L8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35.909999999999997</v>
      </c>
      <c r="M808" s="225">
        <f>ROUND(IF(AND(Base_Periodo1[[#This Row],[Tipo_Linha]]="-",Base_Periodo1[[#This Row],[TIPOSALDO]]="D"),Base_Periodo1[[#This Row],[SALDO_ATUAL]]*-1,Base_Periodo1[[#This Row],[SALDO_ATUAL]]),4)</f>
        <v>35.909999999999997</v>
      </c>
      <c r="N808" t="s">
        <v>116</v>
      </c>
      <c r="O808" t="s">
        <v>397</v>
      </c>
      <c r="P808" t="s">
        <v>397</v>
      </c>
      <c r="Q808">
        <v>7</v>
      </c>
      <c r="R808" s="225">
        <f>Base_Periodo1[[#This Row],[CREDITOS]]-Base_Periodo1[[#This Row],[DEBITOS]]</f>
        <v>0</v>
      </c>
      <c r="S808" s="3" t="str">
        <f>IF(ISERROR(VLOOKUP(Base_Periodo1[[#This Row],[CONTA]],BaseContasDRE[#All],4,FALSE)),"Fora do DRE",VLOOKUP(Base_Periodo1[[#This Row],[CONTA]],BaseContasDRE[#All],4,FALSE))</f>
        <v>Fora do DRE</v>
      </c>
      <c r="T808" s="3" t="str">
        <f>IF(ISERROR(VLOOKUP(Base_Periodo1[[#This Row],[CONTA]],BaseContasDRE[#All],5,FALSE)),"Fora do DRE",VLOOKUP(Base_Periodo1[[#This Row],[CONTA]],BaseContasDRE[#All],6,FALSE))</f>
        <v>Fora do DRE</v>
      </c>
      <c r="U808" s="3" t="str">
        <f>IF(ISERROR(VLOOKUP(Base_Periodo1[[#This Row],[CONTA]],BaseContasDRE[#All],7,FALSE)),"Fora do DRE",VLOOKUP(Base_Periodo1[[#This Row],[CONTA]],BaseContasDRE[#All],7,FALSE))</f>
        <v>Fora do DRE</v>
      </c>
      <c r="V808" s="3" t="str">
        <f>IF(Base_Periodo1[[#This Row],[Tipo_Linha]]="Fora do DRE","Fora do DRE","( "&amp;Base_Periodo1[[#This Row],[Tipo_Linha]]&amp;" ) "&amp;Base_Periodo1[[#This Row],[Filtro]])</f>
        <v>Fora do DRE</v>
      </c>
      <c r="W808" s="3" t="str">
        <f>LEFT(Base_Periodo1[[#This Row],[CLASS]],3)</f>
        <v>1.1</v>
      </c>
    </row>
    <row r="809" spans="1:23" hidden="1">
      <c r="A809" s="3" t="str">
        <f t="shared" si="12"/>
        <v>Período 1</v>
      </c>
      <c r="B809">
        <v>44</v>
      </c>
      <c r="C809" t="s">
        <v>12</v>
      </c>
      <c r="D809" t="s">
        <v>13</v>
      </c>
      <c r="E809" s="3" t="str">
        <f>IF(LEN(Base_Periodo1[[#This Row],[CLASS]])&gt;=7,LEFT(Base_Periodo1[[#This Row],[CLASS]],7),"")</f>
        <v>1.1.2.2</v>
      </c>
      <c r="F809" s="3" t="str">
        <f>VLOOKUP(Base_Periodo1[[#This Row],[Aux]],Base_Contas_Balanco[#All],2,FALSE)</f>
        <v>Creditos com não Cooperados</v>
      </c>
      <c r="G809" s="1"/>
      <c r="H809" s="225">
        <v>79484895.920000479</v>
      </c>
      <c r="I809" s="225">
        <v>37443865.409999996</v>
      </c>
      <c r="J809" s="225">
        <v>36116185.130000003</v>
      </c>
      <c r="K809" s="225">
        <v>80812576.200000465</v>
      </c>
      <c r="L8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80812576.200000003</v>
      </c>
      <c r="M809" s="225">
        <f>ROUND(IF(AND(Base_Periodo1[[#This Row],[Tipo_Linha]]="-",Base_Periodo1[[#This Row],[TIPOSALDO]]="D"),Base_Periodo1[[#This Row],[SALDO_ATUAL]]*-1,Base_Periodo1[[#This Row],[SALDO_ATUAL]]),4)</f>
        <v>80812576.200000003</v>
      </c>
      <c r="N809" t="s">
        <v>396</v>
      </c>
      <c r="O809" t="s">
        <v>397</v>
      </c>
      <c r="P809" t="s">
        <v>397</v>
      </c>
      <c r="Q809">
        <v>4</v>
      </c>
      <c r="R809" s="225">
        <f>Base_Periodo1[[#This Row],[CREDITOS]]-Base_Periodo1[[#This Row],[DEBITOS]]</f>
        <v>-1327680.2799999937</v>
      </c>
      <c r="S809" s="3" t="str">
        <f>IF(ISERROR(VLOOKUP(Base_Periodo1[[#This Row],[CONTA]],BaseContasDRE[#All],4,FALSE)),"Fora do DRE",VLOOKUP(Base_Periodo1[[#This Row],[CONTA]],BaseContasDRE[#All],4,FALSE))</f>
        <v>Fora do DRE</v>
      </c>
      <c r="T809" s="3" t="str">
        <f>IF(ISERROR(VLOOKUP(Base_Periodo1[[#This Row],[CONTA]],BaseContasDRE[#All],5,FALSE)),"Fora do DRE",VLOOKUP(Base_Periodo1[[#This Row],[CONTA]],BaseContasDRE[#All],6,FALSE))</f>
        <v>Fora do DRE</v>
      </c>
      <c r="U809" s="3" t="str">
        <f>IF(ISERROR(VLOOKUP(Base_Periodo1[[#This Row],[CONTA]],BaseContasDRE[#All],7,FALSE)),"Fora do DRE",VLOOKUP(Base_Periodo1[[#This Row],[CONTA]],BaseContasDRE[#All],7,FALSE))</f>
        <v>Fora do DRE</v>
      </c>
      <c r="V809" s="3" t="str">
        <f>IF(Base_Periodo1[[#This Row],[Tipo_Linha]]="Fora do DRE","Fora do DRE","( "&amp;Base_Periodo1[[#This Row],[Tipo_Linha]]&amp;" ) "&amp;Base_Periodo1[[#This Row],[Filtro]])</f>
        <v>Fora do DRE</v>
      </c>
      <c r="W809" s="3" t="str">
        <f>LEFT(Base_Periodo1[[#This Row],[CLASS]],3)</f>
        <v>1.1</v>
      </c>
    </row>
    <row r="810" spans="1:23" hidden="1">
      <c r="A810" s="3" t="str">
        <f t="shared" si="12"/>
        <v>Período 1</v>
      </c>
      <c r="B810">
        <v>50</v>
      </c>
      <c r="C810" t="s">
        <v>920</v>
      </c>
      <c r="D810" t="s">
        <v>13</v>
      </c>
      <c r="E810" s="3" t="str">
        <f>IF(LEN(Base_Periodo1[[#This Row],[CLASS]])&gt;=7,LEFT(Base_Periodo1[[#This Row],[CLASS]],7),"")</f>
        <v>1.1.2.2</v>
      </c>
      <c r="F810" s="3" t="str">
        <f>VLOOKUP(Base_Periodo1[[#This Row],[Aux]],Base_Contas_Balanco[#All],2,FALSE)</f>
        <v>Creditos com não Cooperados</v>
      </c>
      <c r="G810" s="1"/>
      <c r="H810" s="225">
        <v>59644926.110000178</v>
      </c>
      <c r="I810" s="225">
        <v>28509744.379999999</v>
      </c>
      <c r="J810" s="225">
        <v>30043550.269999992</v>
      </c>
      <c r="K810" s="225">
        <v>58111120.220000178</v>
      </c>
      <c r="L8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58111120.219999999</v>
      </c>
      <c r="M810" s="225">
        <f>ROUND(IF(AND(Base_Periodo1[[#This Row],[Tipo_Linha]]="-",Base_Periodo1[[#This Row],[TIPOSALDO]]="D"),Base_Periodo1[[#This Row],[SALDO_ATUAL]]*-1,Base_Periodo1[[#This Row],[SALDO_ATUAL]]),4)</f>
        <v>58111120.219999999</v>
      </c>
      <c r="N810" t="s">
        <v>396</v>
      </c>
      <c r="O810" t="s">
        <v>397</v>
      </c>
      <c r="P810" t="s">
        <v>397</v>
      </c>
      <c r="Q810">
        <v>5</v>
      </c>
      <c r="R810" s="225">
        <f>Base_Periodo1[[#This Row],[CREDITOS]]-Base_Periodo1[[#This Row],[DEBITOS]]</f>
        <v>1533805.8899999931</v>
      </c>
      <c r="S810" s="3" t="str">
        <f>IF(ISERROR(VLOOKUP(Base_Periodo1[[#This Row],[CONTA]],BaseContasDRE[#All],4,FALSE)),"Fora do DRE",VLOOKUP(Base_Periodo1[[#This Row],[CONTA]],BaseContasDRE[#All],4,FALSE))</f>
        <v>Fora do DRE</v>
      </c>
      <c r="T810" s="3" t="str">
        <f>IF(ISERROR(VLOOKUP(Base_Periodo1[[#This Row],[CONTA]],BaseContasDRE[#All],5,FALSE)),"Fora do DRE",VLOOKUP(Base_Periodo1[[#This Row],[CONTA]],BaseContasDRE[#All],6,FALSE))</f>
        <v>Fora do DRE</v>
      </c>
      <c r="U810" s="3" t="str">
        <f>IF(ISERROR(VLOOKUP(Base_Periodo1[[#This Row],[CONTA]],BaseContasDRE[#All],7,FALSE)),"Fora do DRE",VLOOKUP(Base_Periodo1[[#This Row],[CONTA]],BaseContasDRE[#All],7,FALSE))</f>
        <v>Fora do DRE</v>
      </c>
      <c r="V810" s="3" t="str">
        <f>IF(Base_Periodo1[[#This Row],[Tipo_Linha]]="Fora do DRE","Fora do DRE","( "&amp;Base_Periodo1[[#This Row],[Tipo_Linha]]&amp;" ) "&amp;Base_Periodo1[[#This Row],[Filtro]])</f>
        <v>Fora do DRE</v>
      </c>
      <c r="W810" s="3" t="str">
        <f>LEFT(Base_Periodo1[[#This Row],[CLASS]],3)</f>
        <v>1.1</v>
      </c>
    </row>
    <row r="811" spans="1:23" hidden="1">
      <c r="A811" s="3" t="str">
        <f t="shared" si="12"/>
        <v>Período 1</v>
      </c>
      <c r="B811">
        <v>51</v>
      </c>
      <c r="C811" t="s">
        <v>921</v>
      </c>
      <c r="D811" t="s">
        <v>160</v>
      </c>
      <c r="E811" s="3" t="str">
        <f>IF(LEN(Base_Periodo1[[#This Row],[CLASS]])&gt;=7,LEFT(Base_Periodo1[[#This Row],[CLASS]],7),"")</f>
        <v>1.1.2.2</v>
      </c>
      <c r="F811" s="3" t="str">
        <f>VLOOKUP(Base_Periodo1[[#This Row],[Aux]],Base_Contas_Balanco[#All],2,FALSE)</f>
        <v>Creditos com não Cooperados</v>
      </c>
      <c r="G811" s="1"/>
      <c r="H811" s="225">
        <v>59644926.110000178</v>
      </c>
      <c r="I811" s="225">
        <v>28509744.379999999</v>
      </c>
      <c r="J811" s="225">
        <v>30043550.269999992</v>
      </c>
      <c r="K811" s="225">
        <v>58111120.220000178</v>
      </c>
      <c r="L8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58111120.219999999</v>
      </c>
      <c r="M811" s="225">
        <f>ROUND(IF(AND(Base_Periodo1[[#This Row],[Tipo_Linha]]="-",Base_Periodo1[[#This Row],[TIPOSALDO]]="D"),Base_Periodo1[[#This Row],[SALDO_ATUAL]]*-1,Base_Periodo1[[#This Row],[SALDO_ATUAL]]),4)</f>
        <v>58111120.219999999</v>
      </c>
      <c r="N811" t="s">
        <v>396</v>
      </c>
      <c r="O811" t="s">
        <v>397</v>
      </c>
      <c r="P811" t="s">
        <v>397</v>
      </c>
      <c r="Q811">
        <v>6</v>
      </c>
      <c r="R811" s="225">
        <f>Base_Periodo1[[#This Row],[CREDITOS]]-Base_Periodo1[[#This Row],[DEBITOS]]</f>
        <v>1533805.8899999931</v>
      </c>
      <c r="S811" s="3" t="str">
        <f>IF(ISERROR(VLOOKUP(Base_Periodo1[[#This Row],[CONTA]],BaseContasDRE[#All],4,FALSE)),"Fora do DRE",VLOOKUP(Base_Periodo1[[#This Row],[CONTA]],BaseContasDRE[#All],4,FALSE))</f>
        <v>Fora do DRE</v>
      </c>
      <c r="T811" s="3" t="str">
        <f>IF(ISERROR(VLOOKUP(Base_Periodo1[[#This Row],[CONTA]],BaseContasDRE[#All],5,FALSE)),"Fora do DRE",VLOOKUP(Base_Periodo1[[#This Row],[CONTA]],BaseContasDRE[#All],6,FALSE))</f>
        <v>Fora do DRE</v>
      </c>
      <c r="U811" s="3" t="str">
        <f>IF(ISERROR(VLOOKUP(Base_Periodo1[[#This Row],[CONTA]],BaseContasDRE[#All],7,FALSE)),"Fora do DRE",VLOOKUP(Base_Periodo1[[#This Row],[CONTA]],BaseContasDRE[#All],7,FALSE))</f>
        <v>Fora do DRE</v>
      </c>
      <c r="V811" s="3" t="str">
        <f>IF(Base_Periodo1[[#This Row],[Tipo_Linha]]="Fora do DRE","Fora do DRE","( "&amp;Base_Periodo1[[#This Row],[Tipo_Linha]]&amp;" ) "&amp;Base_Periodo1[[#This Row],[Filtro]])</f>
        <v>Fora do DRE</v>
      </c>
      <c r="W811" s="3" t="str">
        <f>LEFT(Base_Periodo1[[#This Row],[CLASS]],3)</f>
        <v>1.1</v>
      </c>
    </row>
    <row r="812" spans="1:23" hidden="1">
      <c r="A812" s="3" t="str">
        <f t="shared" si="12"/>
        <v>Período 1</v>
      </c>
      <c r="B812">
        <v>53272</v>
      </c>
      <c r="C812" t="s">
        <v>922</v>
      </c>
      <c r="D812" t="s">
        <v>5645</v>
      </c>
      <c r="E812" s="3" t="str">
        <f>IF(LEN(Base_Periodo1[[#This Row],[CLASS]])&gt;=7,LEFT(Base_Periodo1[[#This Row],[CLASS]],7),"")</f>
        <v>1.1.2.2</v>
      </c>
      <c r="F812" s="3" t="str">
        <f>VLOOKUP(Base_Periodo1[[#This Row],[Aux]],Base_Contas_Balanco[#All],2,FALSE)</f>
        <v>Creditos com não Cooperados</v>
      </c>
      <c r="G812" s="1">
        <v>42865</v>
      </c>
      <c r="H812" s="225">
        <v>39300</v>
      </c>
      <c r="I812" s="225">
        <v>16800</v>
      </c>
      <c r="J812" s="225">
        <v>16800</v>
      </c>
      <c r="K812" s="225">
        <v>39300</v>
      </c>
      <c r="L8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39300</v>
      </c>
      <c r="M812" s="225">
        <f>ROUND(IF(AND(Base_Periodo1[[#This Row],[Tipo_Linha]]="-",Base_Periodo1[[#This Row],[TIPOSALDO]]="D"),Base_Periodo1[[#This Row],[SALDO_ATUAL]]*-1,Base_Periodo1[[#This Row],[SALDO_ATUAL]]),4)</f>
        <v>39300</v>
      </c>
      <c r="N812" t="s">
        <v>116</v>
      </c>
      <c r="O812" t="s">
        <v>397</v>
      </c>
      <c r="P812" t="s">
        <v>397</v>
      </c>
      <c r="Q812">
        <v>7</v>
      </c>
      <c r="R812" s="225">
        <f>Base_Periodo1[[#This Row],[CREDITOS]]-Base_Periodo1[[#This Row],[DEBITOS]]</f>
        <v>0</v>
      </c>
      <c r="S812" s="3" t="str">
        <f>IF(ISERROR(VLOOKUP(Base_Periodo1[[#This Row],[CONTA]],BaseContasDRE[#All],4,FALSE)),"Fora do DRE",VLOOKUP(Base_Periodo1[[#This Row],[CONTA]],BaseContasDRE[#All],4,FALSE))</f>
        <v>Fora do DRE</v>
      </c>
      <c r="T812" s="3" t="str">
        <f>IF(ISERROR(VLOOKUP(Base_Periodo1[[#This Row],[CONTA]],BaseContasDRE[#All],5,FALSE)),"Fora do DRE",VLOOKUP(Base_Periodo1[[#This Row],[CONTA]],BaseContasDRE[#All],6,FALSE))</f>
        <v>Fora do DRE</v>
      </c>
      <c r="U812" s="3" t="str">
        <f>IF(ISERROR(VLOOKUP(Base_Periodo1[[#This Row],[CONTA]],BaseContasDRE[#All],7,FALSE)),"Fora do DRE",VLOOKUP(Base_Periodo1[[#This Row],[CONTA]],BaseContasDRE[#All],7,FALSE))</f>
        <v>Fora do DRE</v>
      </c>
      <c r="V812" s="3" t="str">
        <f>IF(Base_Periodo1[[#This Row],[Tipo_Linha]]="Fora do DRE","Fora do DRE","( "&amp;Base_Periodo1[[#This Row],[Tipo_Linha]]&amp;" ) "&amp;Base_Periodo1[[#This Row],[Filtro]])</f>
        <v>Fora do DRE</v>
      </c>
      <c r="W812" s="3" t="str">
        <f>LEFT(Base_Periodo1[[#This Row],[CLASS]],3)</f>
        <v>1.1</v>
      </c>
    </row>
    <row r="813" spans="1:23" hidden="1">
      <c r="A813" s="3" t="str">
        <f t="shared" si="12"/>
        <v>Período 1</v>
      </c>
      <c r="B813">
        <v>29458</v>
      </c>
      <c r="C813" t="s">
        <v>922</v>
      </c>
      <c r="D813" t="s">
        <v>5859</v>
      </c>
      <c r="E813" s="3" t="str">
        <f>IF(LEN(Base_Periodo1[[#This Row],[CLASS]])&gt;=7,LEFT(Base_Periodo1[[#This Row],[CLASS]],7),"")</f>
        <v>1.1.2.2</v>
      </c>
      <c r="F813" s="3" t="str">
        <f>VLOOKUP(Base_Periodo1[[#This Row],[Aux]],Base_Contas_Balanco[#All],2,FALSE)</f>
        <v>Creditos com não Cooperados</v>
      </c>
      <c r="G813" s="1">
        <v>42885</v>
      </c>
      <c r="H813" s="225">
        <v>10283333.339999959</v>
      </c>
      <c r="I813" s="225">
        <v>8347612.9600000009</v>
      </c>
      <c r="J813" s="225">
        <v>4657612.959999999</v>
      </c>
      <c r="K813" s="225">
        <v>13973333.339999961</v>
      </c>
      <c r="L8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13973333.34</v>
      </c>
      <c r="M813" s="225">
        <f>ROUND(IF(AND(Base_Periodo1[[#This Row],[Tipo_Linha]]="-",Base_Periodo1[[#This Row],[TIPOSALDO]]="D"),Base_Periodo1[[#This Row],[SALDO_ATUAL]]*-1,Base_Periodo1[[#This Row],[SALDO_ATUAL]]),4)</f>
        <v>13973333.34</v>
      </c>
      <c r="N813" t="s">
        <v>116</v>
      </c>
      <c r="O813" t="s">
        <v>397</v>
      </c>
      <c r="P813" t="s">
        <v>397</v>
      </c>
      <c r="Q813">
        <v>7</v>
      </c>
      <c r="R813" s="225">
        <f>Base_Periodo1[[#This Row],[CREDITOS]]-Base_Periodo1[[#This Row],[DEBITOS]]</f>
        <v>-3690000.0000000019</v>
      </c>
      <c r="S813" s="3" t="str">
        <f>IF(ISERROR(VLOOKUP(Base_Periodo1[[#This Row],[CONTA]],BaseContasDRE[#All],4,FALSE)),"Fora do DRE",VLOOKUP(Base_Periodo1[[#This Row],[CONTA]],BaseContasDRE[#All],4,FALSE))</f>
        <v>Fora do DRE</v>
      </c>
      <c r="T813" s="3" t="str">
        <f>IF(ISERROR(VLOOKUP(Base_Periodo1[[#This Row],[CONTA]],BaseContasDRE[#All],5,FALSE)),"Fora do DRE",VLOOKUP(Base_Periodo1[[#This Row],[CONTA]],BaseContasDRE[#All],6,FALSE))</f>
        <v>Fora do DRE</v>
      </c>
      <c r="U813" s="3" t="str">
        <f>IF(ISERROR(VLOOKUP(Base_Periodo1[[#This Row],[CONTA]],BaseContasDRE[#All],7,FALSE)),"Fora do DRE",VLOOKUP(Base_Periodo1[[#This Row],[CONTA]],BaseContasDRE[#All],7,FALSE))</f>
        <v>Fora do DRE</v>
      </c>
      <c r="V813" s="3" t="str">
        <f>IF(Base_Periodo1[[#This Row],[Tipo_Linha]]="Fora do DRE","Fora do DRE","( "&amp;Base_Periodo1[[#This Row],[Tipo_Linha]]&amp;" ) "&amp;Base_Periodo1[[#This Row],[Filtro]])</f>
        <v>Fora do DRE</v>
      </c>
      <c r="W813" s="3" t="str">
        <f>LEFT(Base_Periodo1[[#This Row],[CLASS]],3)</f>
        <v>1.1</v>
      </c>
    </row>
    <row r="814" spans="1:23" hidden="1">
      <c r="A814" s="3" t="str">
        <f t="shared" si="12"/>
        <v>Período 1</v>
      </c>
      <c r="B814">
        <v>10630</v>
      </c>
      <c r="C814" t="s">
        <v>922</v>
      </c>
      <c r="D814" t="s">
        <v>5859</v>
      </c>
      <c r="E814" s="3" t="str">
        <f>IF(LEN(Base_Periodo1[[#This Row],[CLASS]])&gt;=7,LEFT(Base_Periodo1[[#This Row],[CLASS]],7),"")</f>
        <v>1.1.2.2</v>
      </c>
      <c r="F814" s="3" t="str">
        <f>VLOOKUP(Base_Periodo1[[#This Row],[Aux]],Base_Contas_Balanco[#All],2,FALSE)</f>
        <v>Creditos com não Cooperados</v>
      </c>
      <c r="G814" s="1">
        <v>42853</v>
      </c>
      <c r="H814" s="225">
        <v>10000000</v>
      </c>
      <c r="I814" s="225">
        <v>0</v>
      </c>
      <c r="J814" s="225">
        <v>0</v>
      </c>
      <c r="K814" s="225">
        <v>10000000</v>
      </c>
      <c r="L8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10000000</v>
      </c>
      <c r="M814" s="225">
        <f>ROUND(IF(AND(Base_Periodo1[[#This Row],[Tipo_Linha]]="-",Base_Periodo1[[#This Row],[TIPOSALDO]]="D"),Base_Periodo1[[#This Row],[SALDO_ATUAL]]*-1,Base_Periodo1[[#This Row],[SALDO_ATUAL]]),4)</f>
        <v>10000000</v>
      </c>
      <c r="N814" t="s">
        <v>116</v>
      </c>
      <c r="O814" t="s">
        <v>397</v>
      </c>
      <c r="P814" t="s">
        <v>397</v>
      </c>
      <c r="Q814">
        <v>7</v>
      </c>
      <c r="R814" s="225">
        <f>Base_Periodo1[[#This Row],[CREDITOS]]-Base_Periodo1[[#This Row],[DEBITOS]]</f>
        <v>0</v>
      </c>
      <c r="S814" s="3" t="str">
        <f>IF(ISERROR(VLOOKUP(Base_Periodo1[[#This Row],[CONTA]],BaseContasDRE[#All],4,FALSE)),"Fora do DRE",VLOOKUP(Base_Periodo1[[#This Row],[CONTA]],BaseContasDRE[#All],4,FALSE))</f>
        <v>Fora do DRE</v>
      </c>
      <c r="T814" s="3" t="str">
        <f>IF(ISERROR(VLOOKUP(Base_Periodo1[[#This Row],[CONTA]],BaseContasDRE[#All],5,FALSE)),"Fora do DRE",VLOOKUP(Base_Periodo1[[#This Row],[CONTA]],BaseContasDRE[#All],6,FALSE))</f>
        <v>Fora do DRE</v>
      </c>
      <c r="U814" s="3" t="str">
        <f>IF(ISERROR(VLOOKUP(Base_Periodo1[[#This Row],[CONTA]],BaseContasDRE[#All],7,FALSE)),"Fora do DRE",VLOOKUP(Base_Periodo1[[#This Row],[CONTA]],BaseContasDRE[#All],7,FALSE))</f>
        <v>Fora do DRE</v>
      </c>
      <c r="V814" s="3" t="str">
        <f>IF(Base_Periodo1[[#This Row],[Tipo_Linha]]="Fora do DRE","Fora do DRE","( "&amp;Base_Periodo1[[#This Row],[Tipo_Linha]]&amp;" ) "&amp;Base_Periodo1[[#This Row],[Filtro]])</f>
        <v>Fora do DRE</v>
      </c>
      <c r="W814" s="3" t="str">
        <f>LEFT(Base_Periodo1[[#This Row],[CLASS]],3)</f>
        <v>1.1</v>
      </c>
    </row>
    <row r="815" spans="1:23" hidden="1">
      <c r="A815" s="3" t="str">
        <f t="shared" si="12"/>
        <v>Período 1</v>
      </c>
      <c r="B815">
        <v>28689</v>
      </c>
      <c r="C815" t="s">
        <v>922</v>
      </c>
      <c r="D815" t="s">
        <v>2012</v>
      </c>
      <c r="E815" s="3" t="str">
        <f>IF(LEN(Base_Periodo1[[#This Row],[CLASS]])&gt;=7,LEFT(Base_Periodo1[[#This Row],[CLASS]],7),"")</f>
        <v>1.1.2.2</v>
      </c>
      <c r="F815" s="3" t="str">
        <f>VLOOKUP(Base_Periodo1[[#This Row],[Aux]],Base_Contas_Balanco[#All],2,FALSE)</f>
        <v>Creditos com não Cooperados</v>
      </c>
      <c r="G815" s="1">
        <v>42807</v>
      </c>
      <c r="H815" s="225">
        <v>2781.0000000000291</v>
      </c>
      <c r="I815" s="225">
        <v>0</v>
      </c>
      <c r="J815" s="225">
        <v>0</v>
      </c>
      <c r="K815" s="225">
        <v>2781.0000000000291</v>
      </c>
      <c r="L8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-2781</v>
      </c>
      <c r="M815" s="225">
        <f>ROUND(IF(AND(Base_Periodo1[[#This Row],[Tipo_Linha]]="-",Base_Periodo1[[#This Row],[TIPOSALDO]]="D"),Base_Periodo1[[#This Row],[SALDO_ATUAL]]*-1,Base_Periodo1[[#This Row],[SALDO_ATUAL]]),4)</f>
        <v>2781</v>
      </c>
      <c r="N815" t="s">
        <v>116</v>
      </c>
      <c r="O815" t="s">
        <v>459</v>
      </c>
      <c r="P815" t="s">
        <v>459</v>
      </c>
      <c r="Q815">
        <v>7</v>
      </c>
      <c r="R815" s="225">
        <f>Base_Periodo1[[#This Row],[CREDITOS]]-Base_Periodo1[[#This Row],[DEBITOS]]</f>
        <v>0</v>
      </c>
      <c r="S815" s="3" t="str">
        <f>IF(ISERROR(VLOOKUP(Base_Periodo1[[#This Row],[CONTA]],BaseContasDRE[#All],4,FALSE)),"Fora do DRE",VLOOKUP(Base_Periodo1[[#This Row],[CONTA]],BaseContasDRE[#All],4,FALSE))</f>
        <v>Fora do DRE</v>
      </c>
      <c r="T815" s="3" t="str">
        <f>IF(ISERROR(VLOOKUP(Base_Periodo1[[#This Row],[CONTA]],BaseContasDRE[#All],5,FALSE)),"Fora do DRE",VLOOKUP(Base_Periodo1[[#This Row],[CONTA]],BaseContasDRE[#All],6,FALSE))</f>
        <v>Fora do DRE</v>
      </c>
      <c r="U815" s="3" t="str">
        <f>IF(ISERROR(VLOOKUP(Base_Periodo1[[#This Row],[CONTA]],BaseContasDRE[#All],7,FALSE)),"Fora do DRE",VLOOKUP(Base_Periodo1[[#This Row],[CONTA]],BaseContasDRE[#All],7,FALSE))</f>
        <v>Fora do DRE</v>
      </c>
      <c r="V815" s="3" t="str">
        <f>IF(Base_Periodo1[[#This Row],[Tipo_Linha]]="Fora do DRE","Fora do DRE","( "&amp;Base_Periodo1[[#This Row],[Tipo_Linha]]&amp;" ) "&amp;Base_Periodo1[[#This Row],[Filtro]])</f>
        <v>Fora do DRE</v>
      </c>
      <c r="W815" s="3" t="str">
        <f>LEFT(Base_Periodo1[[#This Row],[CLASS]],3)</f>
        <v>1.1</v>
      </c>
    </row>
    <row r="816" spans="1:23" hidden="1">
      <c r="A816" s="3" t="str">
        <f t="shared" si="12"/>
        <v>Período 1</v>
      </c>
      <c r="B816">
        <v>52241</v>
      </c>
      <c r="C816" t="s">
        <v>922</v>
      </c>
      <c r="D816" t="s">
        <v>6738</v>
      </c>
      <c r="E816" s="3" t="str">
        <f>IF(LEN(Base_Periodo1[[#This Row],[CLASS]])&gt;=7,LEFT(Base_Periodo1[[#This Row],[CLASS]],7),"")</f>
        <v>1.1.2.2</v>
      </c>
      <c r="F816" s="3" t="str">
        <f>VLOOKUP(Base_Periodo1[[#This Row],[Aux]],Base_Contas_Balanco[#All],2,FALSE)</f>
        <v>Creditos com não Cooperados</v>
      </c>
      <c r="G816" s="1">
        <v>42874</v>
      </c>
      <c r="I816" s="225">
        <v>3546.4</v>
      </c>
      <c r="J816" s="225">
        <v>3546.4</v>
      </c>
      <c r="K816" s="225">
        <v>0</v>
      </c>
      <c r="L8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16" s="225">
        <f>ROUND(IF(AND(Base_Periodo1[[#This Row],[Tipo_Linha]]="-",Base_Periodo1[[#This Row],[TIPOSALDO]]="D"),Base_Periodo1[[#This Row],[SALDO_ATUAL]]*-1,Base_Periodo1[[#This Row],[SALDO_ATUAL]]),4)</f>
        <v>0</v>
      </c>
      <c r="N816" t="s">
        <v>116</v>
      </c>
      <c r="O816" t="s">
        <v>436</v>
      </c>
      <c r="P816" t="s">
        <v>436</v>
      </c>
      <c r="Q816">
        <v>7</v>
      </c>
      <c r="R816" s="225">
        <f>Base_Periodo1[[#This Row],[CREDITOS]]-Base_Periodo1[[#This Row],[DEBITOS]]</f>
        <v>0</v>
      </c>
      <c r="S816" s="3" t="str">
        <f>IF(ISERROR(VLOOKUP(Base_Periodo1[[#This Row],[CONTA]],BaseContasDRE[#All],4,FALSE)),"Fora do DRE",VLOOKUP(Base_Periodo1[[#This Row],[CONTA]],BaseContasDRE[#All],4,FALSE))</f>
        <v>Fora do DRE</v>
      </c>
      <c r="T816" s="3" t="str">
        <f>IF(ISERROR(VLOOKUP(Base_Periodo1[[#This Row],[CONTA]],BaseContasDRE[#All],5,FALSE)),"Fora do DRE",VLOOKUP(Base_Periodo1[[#This Row],[CONTA]],BaseContasDRE[#All],6,FALSE))</f>
        <v>Fora do DRE</v>
      </c>
      <c r="U816" s="3" t="str">
        <f>IF(ISERROR(VLOOKUP(Base_Periodo1[[#This Row],[CONTA]],BaseContasDRE[#All],7,FALSE)),"Fora do DRE",VLOOKUP(Base_Periodo1[[#This Row],[CONTA]],BaseContasDRE[#All],7,FALSE))</f>
        <v>Fora do DRE</v>
      </c>
      <c r="V816" s="3" t="str">
        <f>IF(Base_Periodo1[[#This Row],[Tipo_Linha]]="Fora do DRE","Fora do DRE","( "&amp;Base_Periodo1[[#This Row],[Tipo_Linha]]&amp;" ) "&amp;Base_Periodo1[[#This Row],[Filtro]])</f>
        <v>Fora do DRE</v>
      </c>
      <c r="W816" s="3" t="str">
        <f>LEFT(Base_Periodo1[[#This Row],[CLASS]],3)</f>
        <v>1.1</v>
      </c>
    </row>
    <row r="817" spans="1:23" hidden="1">
      <c r="A817" s="3" t="str">
        <f t="shared" si="12"/>
        <v>Período 1</v>
      </c>
      <c r="B817">
        <v>22413</v>
      </c>
      <c r="C817" t="s">
        <v>922</v>
      </c>
      <c r="D817" t="s">
        <v>6739</v>
      </c>
      <c r="E817" s="3" t="str">
        <f>IF(LEN(Base_Periodo1[[#This Row],[CLASS]])&gt;=7,LEFT(Base_Periodo1[[#This Row],[CLASS]],7),"")</f>
        <v>1.1.2.2</v>
      </c>
      <c r="F817" s="3" t="str">
        <f>VLOOKUP(Base_Periodo1[[#This Row],[Aux]],Base_Contas_Balanco[#All],2,FALSE)</f>
        <v>Creditos com não Cooperados</v>
      </c>
      <c r="G817" s="1">
        <v>42859</v>
      </c>
      <c r="I817" s="225">
        <v>300</v>
      </c>
      <c r="J817" s="225">
        <v>300</v>
      </c>
      <c r="K817" s="225">
        <v>0</v>
      </c>
      <c r="L8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17" s="225">
        <f>ROUND(IF(AND(Base_Periodo1[[#This Row],[Tipo_Linha]]="-",Base_Periodo1[[#This Row],[TIPOSALDO]]="D"),Base_Periodo1[[#This Row],[SALDO_ATUAL]]*-1,Base_Periodo1[[#This Row],[SALDO_ATUAL]]),4)</f>
        <v>0</v>
      </c>
      <c r="N817" t="s">
        <v>116</v>
      </c>
      <c r="O817" t="s">
        <v>436</v>
      </c>
      <c r="P817" t="s">
        <v>436</v>
      </c>
      <c r="Q817">
        <v>7</v>
      </c>
      <c r="R817" s="225">
        <f>Base_Periodo1[[#This Row],[CREDITOS]]-Base_Periodo1[[#This Row],[DEBITOS]]</f>
        <v>0</v>
      </c>
      <c r="S817" s="3" t="str">
        <f>IF(ISERROR(VLOOKUP(Base_Periodo1[[#This Row],[CONTA]],BaseContasDRE[#All],4,FALSE)),"Fora do DRE",VLOOKUP(Base_Periodo1[[#This Row],[CONTA]],BaseContasDRE[#All],4,FALSE))</f>
        <v>Fora do DRE</v>
      </c>
      <c r="T817" s="3" t="str">
        <f>IF(ISERROR(VLOOKUP(Base_Periodo1[[#This Row],[CONTA]],BaseContasDRE[#All],5,FALSE)),"Fora do DRE",VLOOKUP(Base_Periodo1[[#This Row],[CONTA]],BaseContasDRE[#All],6,FALSE))</f>
        <v>Fora do DRE</v>
      </c>
      <c r="U817" s="3" t="str">
        <f>IF(ISERROR(VLOOKUP(Base_Periodo1[[#This Row],[CONTA]],BaseContasDRE[#All],7,FALSE)),"Fora do DRE",VLOOKUP(Base_Periodo1[[#This Row],[CONTA]],BaseContasDRE[#All],7,FALSE))</f>
        <v>Fora do DRE</v>
      </c>
      <c r="V817" s="3" t="str">
        <f>IF(Base_Periodo1[[#This Row],[Tipo_Linha]]="Fora do DRE","Fora do DRE","( "&amp;Base_Periodo1[[#This Row],[Tipo_Linha]]&amp;" ) "&amp;Base_Periodo1[[#This Row],[Filtro]])</f>
        <v>Fora do DRE</v>
      </c>
      <c r="W817" s="3" t="str">
        <f>LEFT(Base_Periodo1[[#This Row],[CLASS]],3)</f>
        <v>1.1</v>
      </c>
    </row>
    <row r="818" spans="1:23" hidden="1">
      <c r="A818" s="3" t="str">
        <f t="shared" si="12"/>
        <v>Período 1</v>
      </c>
      <c r="B818">
        <v>8528</v>
      </c>
      <c r="C818" t="s">
        <v>922</v>
      </c>
      <c r="D818" t="s">
        <v>925</v>
      </c>
      <c r="E818" s="3" t="str">
        <f>IF(LEN(Base_Periodo1[[#This Row],[CLASS]])&gt;=7,LEFT(Base_Periodo1[[#This Row],[CLASS]],7),"")</f>
        <v>1.1.2.2</v>
      </c>
      <c r="F818" s="3" t="str">
        <f>VLOOKUP(Base_Periodo1[[#This Row],[Aux]],Base_Contas_Balanco[#All],2,FALSE)</f>
        <v>Creditos com não Cooperados</v>
      </c>
      <c r="G818" s="1">
        <v>42129</v>
      </c>
      <c r="H818" s="225">
        <v>2631.6500000000033</v>
      </c>
      <c r="I818" s="225">
        <v>0</v>
      </c>
      <c r="J818" s="225">
        <v>0</v>
      </c>
      <c r="K818" s="225">
        <v>2631.6500000000033</v>
      </c>
      <c r="L8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2631.65</v>
      </c>
      <c r="M818" s="225">
        <f>ROUND(IF(AND(Base_Periodo1[[#This Row],[Tipo_Linha]]="-",Base_Periodo1[[#This Row],[TIPOSALDO]]="D"),Base_Periodo1[[#This Row],[SALDO_ATUAL]]*-1,Base_Periodo1[[#This Row],[SALDO_ATUAL]]),4)</f>
        <v>2631.65</v>
      </c>
      <c r="N818" t="s">
        <v>116</v>
      </c>
      <c r="O818" t="s">
        <v>397</v>
      </c>
      <c r="P818" t="s">
        <v>397</v>
      </c>
      <c r="Q818">
        <v>7</v>
      </c>
      <c r="R818" s="225">
        <f>Base_Periodo1[[#This Row],[CREDITOS]]-Base_Periodo1[[#This Row],[DEBITOS]]</f>
        <v>0</v>
      </c>
      <c r="S818" s="3" t="str">
        <f>IF(ISERROR(VLOOKUP(Base_Periodo1[[#This Row],[CONTA]],BaseContasDRE[#All],4,FALSE)),"Fora do DRE",VLOOKUP(Base_Periodo1[[#This Row],[CONTA]],BaseContasDRE[#All],4,FALSE))</f>
        <v>Fora do DRE</v>
      </c>
      <c r="T818" s="3" t="str">
        <f>IF(ISERROR(VLOOKUP(Base_Periodo1[[#This Row],[CONTA]],BaseContasDRE[#All],5,FALSE)),"Fora do DRE",VLOOKUP(Base_Periodo1[[#This Row],[CONTA]],BaseContasDRE[#All],6,FALSE))</f>
        <v>Fora do DRE</v>
      </c>
      <c r="U818" s="3" t="str">
        <f>IF(ISERROR(VLOOKUP(Base_Periodo1[[#This Row],[CONTA]],BaseContasDRE[#All],7,FALSE)),"Fora do DRE",VLOOKUP(Base_Periodo1[[#This Row],[CONTA]],BaseContasDRE[#All],7,FALSE))</f>
        <v>Fora do DRE</v>
      </c>
      <c r="V818" s="3" t="str">
        <f>IF(Base_Periodo1[[#This Row],[Tipo_Linha]]="Fora do DRE","Fora do DRE","( "&amp;Base_Periodo1[[#This Row],[Tipo_Linha]]&amp;" ) "&amp;Base_Periodo1[[#This Row],[Filtro]])</f>
        <v>Fora do DRE</v>
      </c>
      <c r="W818" s="3" t="str">
        <f>LEFT(Base_Periodo1[[#This Row],[CLASS]],3)</f>
        <v>1.1</v>
      </c>
    </row>
    <row r="819" spans="1:23" hidden="1">
      <c r="A819" s="3" t="str">
        <f t="shared" si="12"/>
        <v>Período 1</v>
      </c>
      <c r="B819">
        <v>33895</v>
      </c>
      <c r="C819" t="s">
        <v>922</v>
      </c>
      <c r="D819" t="s">
        <v>5171</v>
      </c>
      <c r="E819" s="3" t="str">
        <f>IF(LEN(Base_Periodo1[[#This Row],[CLASS]])&gt;=7,LEFT(Base_Periodo1[[#This Row],[CLASS]],7),"")</f>
        <v>1.1.2.2</v>
      </c>
      <c r="F819" s="3" t="str">
        <f>VLOOKUP(Base_Periodo1[[#This Row],[Aux]],Base_Contas_Balanco[#All],2,FALSE)</f>
        <v>Creditos com não Cooperados</v>
      </c>
      <c r="G819" s="1">
        <v>42885</v>
      </c>
      <c r="H819" s="225">
        <v>37097</v>
      </c>
      <c r="I819" s="225">
        <v>0</v>
      </c>
      <c r="J819" s="225">
        <v>36637.49</v>
      </c>
      <c r="K819" s="225">
        <v>459.51000000000204</v>
      </c>
      <c r="L8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459.51</v>
      </c>
      <c r="M819" s="225">
        <f>ROUND(IF(AND(Base_Periodo1[[#This Row],[Tipo_Linha]]="-",Base_Periodo1[[#This Row],[TIPOSALDO]]="D"),Base_Periodo1[[#This Row],[SALDO_ATUAL]]*-1,Base_Periodo1[[#This Row],[SALDO_ATUAL]]),4)</f>
        <v>459.51</v>
      </c>
      <c r="N819" t="s">
        <v>116</v>
      </c>
      <c r="O819" t="s">
        <v>397</v>
      </c>
      <c r="P819" t="s">
        <v>397</v>
      </c>
      <c r="Q819">
        <v>7</v>
      </c>
      <c r="R819" s="225">
        <f>Base_Periodo1[[#This Row],[CREDITOS]]-Base_Periodo1[[#This Row],[DEBITOS]]</f>
        <v>36637.49</v>
      </c>
      <c r="S819" s="3" t="str">
        <f>IF(ISERROR(VLOOKUP(Base_Periodo1[[#This Row],[CONTA]],BaseContasDRE[#All],4,FALSE)),"Fora do DRE",VLOOKUP(Base_Periodo1[[#This Row],[CONTA]],BaseContasDRE[#All],4,FALSE))</f>
        <v>Fora do DRE</v>
      </c>
      <c r="T819" s="3" t="str">
        <f>IF(ISERROR(VLOOKUP(Base_Periodo1[[#This Row],[CONTA]],BaseContasDRE[#All],5,FALSE)),"Fora do DRE",VLOOKUP(Base_Periodo1[[#This Row],[CONTA]],BaseContasDRE[#All],6,FALSE))</f>
        <v>Fora do DRE</v>
      </c>
      <c r="U819" s="3" t="str">
        <f>IF(ISERROR(VLOOKUP(Base_Periodo1[[#This Row],[CONTA]],BaseContasDRE[#All],7,FALSE)),"Fora do DRE",VLOOKUP(Base_Periodo1[[#This Row],[CONTA]],BaseContasDRE[#All],7,FALSE))</f>
        <v>Fora do DRE</v>
      </c>
      <c r="V819" s="3" t="str">
        <f>IF(Base_Periodo1[[#This Row],[Tipo_Linha]]="Fora do DRE","Fora do DRE","( "&amp;Base_Periodo1[[#This Row],[Tipo_Linha]]&amp;" ) "&amp;Base_Periodo1[[#This Row],[Filtro]])</f>
        <v>Fora do DRE</v>
      </c>
      <c r="W819" s="3" t="str">
        <f>LEFT(Base_Periodo1[[#This Row],[CLASS]],3)</f>
        <v>1.1</v>
      </c>
    </row>
    <row r="820" spans="1:23" hidden="1">
      <c r="A820" s="3" t="str">
        <f t="shared" si="12"/>
        <v>Período 1</v>
      </c>
      <c r="B820">
        <v>57612</v>
      </c>
      <c r="C820" t="s">
        <v>922</v>
      </c>
      <c r="D820" t="s">
        <v>6740</v>
      </c>
      <c r="E820" s="3" t="str">
        <f>IF(LEN(Base_Periodo1[[#This Row],[CLASS]])&gt;=7,LEFT(Base_Periodo1[[#This Row],[CLASS]],7),"")</f>
        <v>1.1.2.2</v>
      </c>
      <c r="F820" s="3" t="str">
        <f>VLOOKUP(Base_Periodo1[[#This Row],[Aux]],Base_Contas_Balanco[#All],2,FALSE)</f>
        <v>Creditos com não Cooperados</v>
      </c>
      <c r="G820" s="1">
        <v>42870</v>
      </c>
      <c r="I820" s="225">
        <v>6840</v>
      </c>
      <c r="J820" s="225">
        <v>0</v>
      </c>
      <c r="K820" s="225">
        <v>6840</v>
      </c>
      <c r="L8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6840</v>
      </c>
      <c r="M820" s="225">
        <f>ROUND(IF(AND(Base_Periodo1[[#This Row],[Tipo_Linha]]="-",Base_Periodo1[[#This Row],[TIPOSALDO]]="D"),Base_Periodo1[[#This Row],[SALDO_ATUAL]]*-1,Base_Periodo1[[#This Row],[SALDO_ATUAL]]),4)</f>
        <v>6840</v>
      </c>
      <c r="N820" t="s">
        <v>116</v>
      </c>
      <c r="O820" t="s">
        <v>436</v>
      </c>
      <c r="P820" t="s">
        <v>397</v>
      </c>
      <c r="Q820">
        <v>7</v>
      </c>
      <c r="R820" s="225">
        <f>Base_Periodo1[[#This Row],[CREDITOS]]-Base_Periodo1[[#This Row],[DEBITOS]]</f>
        <v>-6840</v>
      </c>
      <c r="S820" s="3" t="str">
        <f>IF(ISERROR(VLOOKUP(Base_Periodo1[[#This Row],[CONTA]],BaseContasDRE[#All],4,FALSE)),"Fora do DRE",VLOOKUP(Base_Periodo1[[#This Row],[CONTA]],BaseContasDRE[#All],4,FALSE))</f>
        <v>Fora do DRE</v>
      </c>
      <c r="T820" s="3" t="str">
        <f>IF(ISERROR(VLOOKUP(Base_Periodo1[[#This Row],[CONTA]],BaseContasDRE[#All],5,FALSE)),"Fora do DRE",VLOOKUP(Base_Periodo1[[#This Row],[CONTA]],BaseContasDRE[#All],6,FALSE))</f>
        <v>Fora do DRE</v>
      </c>
      <c r="U820" s="3" t="str">
        <f>IF(ISERROR(VLOOKUP(Base_Periodo1[[#This Row],[CONTA]],BaseContasDRE[#All],7,FALSE)),"Fora do DRE",VLOOKUP(Base_Periodo1[[#This Row],[CONTA]],BaseContasDRE[#All],7,FALSE))</f>
        <v>Fora do DRE</v>
      </c>
      <c r="V820" s="3" t="str">
        <f>IF(Base_Periodo1[[#This Row],[Tipo_Linha]]="Fora do DRE","Fora do DRE","( "&amp;Base_Periodo1[[#This Row],[Tipo_Linha]]&amp;" ) "&amp;Base_Periodo1[[#This Row],[Filtro]])</f>
        <v>Fora do DRE</v>
      </c>
      <c r="W820" s="3" t="str">
        <f>LEFT(Base_Periodo1[[#This Row],[CLASS]],3)</f>
        <v>1.1</v>
      </c>
    </row>
    <row r="821" spans="1:23" hidden="1">
      <c r="A821" s="3" t="str">
        <f t="shared" si="12"/>
        <v>Período 1</v>
      </c>
      <c r="B821">
        <v>29889</v>
      </c>
      <c r="C821" t="s">
        <v>922</v>
      </c>
      <c r="D821" t="s">
        <v>926</v>
      </c>
      <c r="E821" s="3" t="str">
        <f>IF(LEN(Base_Periodo1[[#This Row],[CLASS]])&gt;=7,LEFT(Base_Periodo1[[#This Row],[CLASS]],7),"")</f>
        <v>1.1.2.2</v>
      </c>
      <c r="F821" s="3" t="str">
        <f>VLOOKUP(Base_Periodo1[[#This Row],[Aux]],Base_Contas_Balanco[#All],2,FALSE)</f>
        <v>Creditos com não Cooperados</v>
      </c>
      <c r="G821" s="1">
        <v>42852</v>
      </c>
      <c r="H821" s="225">
        <v>566297.19999999925</v>
      </c>
      <c r="I821" s="225">
        <v>0</v>
      </c>
      <c r="J821" s="225">
        <v>0</v>
      </c>
      <c r="K821" s="225">
        <v>566297.19999999925</v>
      </c>
      <c r="L8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566297.19999999995</v>
      </c>
      <c r="M821" s="225">
        <f>ROUND(IF(AND(Base_Periodo1[[#This Row],[Tipo_Linha]]="-",Base_Periodo1[[#This Row],[TIPOSALDO]]="D"),Base_Periodo1[[#This Row],[SALDO_ATUAL]]*-1,Base_Periodo1[[#This Row],[SALDO_ATUAL]]),4)</f>
        <v>566297.19999999995</v>
      </c>
      <c r="N821" t="s">
        <v>116</v>
      </c>
      <c r="O821" t="s">
        <v>397</v>
      </c>
      <c r="P821" t="s">
        <v>397</v>
      </c>
      <c r="Q821">
        <v>7</v>
      </c>
      <c r="R821" s="225">
        <f>Base_Periodo1[[#This Row],[CREDITOS]]-Base_Periodo1[[#This Row],[DEBITOS]]</f>
        <v>0</v>
      </c>
      <c r="S821" s="3" t="str">
        <f>IF(ISERROR(VLOOKUP(Base_Periodo1[[#This Row],[CONTA]],BaseContasDRE[#All],4,FALSE)),"Fora do DRE",VLOOKUP(Base_Periodo1[[#This Row],[CONTA]],BaseContasDRE[#All],4,FALSE))</f>
        <v>Fora do DRE</v>
      </c>
      <c r="T821" s="3" t="str">
        <f>IF(ISERROR(VLOOKUP(Base_Periodo1[[#This Row],[CONTA]],BaseContasDRE[#All],5,FALSE)),"Fora do DRE",VLOOKUP(Base_Periodo1[[#This Row],[CONTA]],BaseContasDRE[#All],6,FALSE))</f>
        <v>Fora do DRE</v>
      </c>
      <c r="U821" s="3" t="str">
        <f>IF(ISERROR(VLOOKUP(Base_Periodo1[[#This Row],[CONTA]],BaseContasDRE[#All],7,FALSE)),"Fora do DRE",VLOOKUP(Base_Periodo1[[#This Row],[CONTA]],BaseContasDRE[#All],7,FALSE))</f>
        <v>Fora do DRE</v>
      </c>
      <c r="V821" s="3" t="str">
        <f>IF(Base_Periodo1[[#This Row],[Tipo_Linha]]="Fora do DRE","Fora do DRE","( "&amp;Base_Periodo1[[#This Row],[Tipo_Linha]]&amp;" ) "&amp;Base_Periodo1[[#This Row],[Filtro]])</f>
        <v>Fora do DRE</v>
      </c>
      <c r="W821" s="3" t="str">
        <f>LEFT(Base_Periodo1[[#This Row],[CLASS]],3)</f>
        <v>1.1</v>
      </c>
    </row>
    <row r="822" spans="1:23" hidden="1">
      <c r="A822" s="3" t="str">
        <f t="shared" si="12"/>
        <v>Período 1</v>
      </c>
      <c r="B822">
        <v>38871</v>
      </c>
      <c r="C822" t="s">
        <v>922</v>
      </c>
      <c r="D822" t="s">
        <v>5172</v>
      </c>
      <c r="E822" s="3" t="str">
        <f>IF(LEN(Base_Periodo1[[#This Row],[CLASS]])&gt;=7,LEFT(Base_Periodo1[[#This Row],[CLASS]],7),"")</f>
        <v>1.1.2.2</v>
      </c>
      <c r="F822" s="3" t="str">
        <f>VLOOKUP(Base_Periodo1[[#This Row],[Aux]],Base_Contas_Balanco[#All],2,FALSE)</f>
        <v>Creditos com não Cooperados</v>
      </c>
      <c r="G822" s="1">
        <v>42865</v>
      </c>
      <c r="H822" s="225">
        <v>23204.999999999942</v>
      </c>
      <c r="I822" s="225">
        <v>3250.64</v>
      </c>
      <c r="J822" s="225">
        <v>22713.69</v>
      </c>
      <c r="K822" s="225">
        <v>3741.9499999999425</v>
      </c>
      <c r="L8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3741.95</v>
      </c>
      <c r="M822" s="225">
        <f>ROUND(IF(AND(Base_Periodo1[[#This Row],[Tipo_Linha]]="-",Base_Periodo1[[#This Row],[TIPOSALDO]]="D"),Base_Periodo1[[#This Row],[SALDO_ATUAL]]*-1,Base_Periodo1[[#This Row],[SALDO_ATUAL]]),4)</f>
        <v>3741.95</v>
      </c>
      <c r="N822" t="s">
        <v>116</v>
      </c>
      <c r="O822" t="s">
        <v>397</v>
      </c>
      <c r="P822" t="s">
        <v>397</v>
      </c>
      <c r="Q822">
        <v>7</v>
      </c>
      <c r="R822" s="225">
        <f>Base_Periodo1[[#This Row],[CREDITOS]]-Base_Periodo1[[#This Row],[DEBITOS]]</f>
        <v>19463.05</v>
      </c>
      <c r="S822" s="3" t="str">
        <f>IF(ISERROR(VLOOKUP(Base_Periodo1[[#This Row],[CONTA]],BaseContasDRE[#All],4,FALSE)),"Fora do DRE",VLOOKUP(Base_Periodo1[[#This Row],[CONTA]],BaseContasDRE[#All],4,FALSE))</f>
        <v>Fora do DRE</v>
      </c>
      <c r="T822" s="3" t="str">
        <f>IF(ISERROR(VLOOKUP(Base_Periodo1[[#This Row],[CONTA]],BaseContasDRE[#All],5,FALSE)),"Fora do DRE",VLOOKUP(Base_Periodo1[[#This Row],[CONTA]],BaseContasDRE[#All],6,FALSE))</f>
        <v>Fora do DRE</v>
      </c>
      <c r="U822" s="3" t="str">
        <f>IF(ISERROR(VLOOKUP(Base_Periodo1[[#This Row],[CONTA]],BaseContasDRE[#All],7,FALSE)),"Fora do DRE",VLOOKUP(Base_Periodo1[[#This Row],[CONTA]],BaseContasDRE[#All],7,FALSE))</f>
        <v>Fora do DRE</v>
      </c>
      <c r="V822" s="3" t="str">
        <f>IF(Base_Periodo1[[#This Row],[Tipo_Linha]]="Fora do DRE","Fora do DRE","( "&amp;Base_Periodo1[[#This Row],[Tipo_Linha]]&amp;" ) "&amp;Base_Periodo1[[#This Row],[Filtro]])</f>
        <v>Fora do DRE</v>
      </c>
      <c r="W822" s="3" t="str">
        <f>LEFT(Base_Periodo1[[#This Row],[CLASS]],3)</f>
        <v>1.1</v>
      </c>
    </row>
    <row r="823" spans="1:23" hidden="1">
      <c r="A823" s="3" t="str">
        <f t="shared" si="12"/>
        <v>Período 1</v>
      </c>
      <c r="B823">
        <v>57698</v>
      </c>
      <c r="C823" t="s">
        <v>922</v>
      </c>
      <c r="D823" t="s">
        <v>6142</v>
      </c>
      <c r="E823" s="3" t="str">
        <f>IF(LEN(Base_Periodo1[[#This Row],[CLASS]])&gt;=7,LEFT(Base_Periodo1[[#This Row],[CLASS]],7),"")</f>
        <v>1.1.2.2</v>
      </c>
      <c r="F823" s="3" t="str">
        <f>VLOOKUP(Base_Periodo1[[#This Row],[Aux]],Base_Contas_Balanco[#All],2,FALSE)</f>
        <v>Creditos com não Cooperados</v>
      </c>
      <c r="G823" s="1">
        <v>42844</v>
      </c>
      <c r="H823" s="225">
        <v>137768</v>
      </c>
      <c r="I823" s="225">
        <v>0</v>
      </c>
      <c r="J823" s="225">
        <v>0</v>
      </c>
      <c r="K823" s="225">
        <v>137768</v>
      </c>
      <c r="L8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137768</v>
      </c>
      <c r="M823" s="225">
        <f>ROUND(IF(AND(Base_Periodo1[[#This Row],[Tipo_Linha]]="-",Base_Periodo1[[#This Row],[TIPOSALDO]]="D"),Base_Periodo1[[#This Row],[SALDO_ATUAL]]*-1,Base_Periodo1[[#This Row],[SALDO_ATUAL]]),4)</f>
        <v>137768</v>
      </c>
      <c r="N823" t="s">
        <v>116</v>
      </c>
      <c r="O823" t="s">
        <v>397</v>
      </c>
      <c r="P823" t="s">
        <v>397</v>
      </c>
      <c r="Q823">
        <v>7</v>
      </c>
      <c r="R823" s="225">
        <f>Base_Periodo1[[#This Row],[CREDITOS]]-Base_Periodo1[[#This Row],[DEBITOS]]</f>
        <v>0</v>
      </c>
      <c r="S823" s="3" t="str">
        <f>IF(ISERROR(VLOOKUP(Base_Periodo1[[#This Row],[CONTA]],BaseContasDRE[#All],4,FALSE)),"Fora do DRE",VLOOKUP(Base_Periodo1[[#This Row],[CONTA]],BaseContasDRE[#All],4,FALSE))</f>
        <v>Fora do DRE</v>
      </c>
      <c r="T823" s="3" t="str">
        <f>IF(ISERROR(VLOOKUP(Base_Periodo1[[#This Row],[CONTA]],BaseContasDRE[#All],5,FALSE)),"Fora do DRE",VLOOKUP(Base_Periodo1[[#This Row],[CONTA]],BaseContasDRE[#All],6,FALSE))</f>
        <v>Fora do DRE</v>
      </c>
      <c r="U823" s="3" t="str">
        <f>IF(ISERROR(VLOOKUP(Base_Periodo1[[#This Row],[CONTA]],BaseContasDRE[#All],7,FALSE)),"Fora do DRE",VLOOKUP(Base_Periodo1[[#This Row],[CONTA]],BaseContasDRE[#All],7,FALSE))</f>
        <v>Fora do DRE</v>
      </c>
      <c r="V823" s="3" t="str">
        <f>IF(Base_Periodo1[[#This Row],[Tipo_Linha]]="Fora do DRE","Fora do DRE","( "&amp;Base_Periodo1[[#This Row],[Tipo_Linha]]&amp;" ) "&amp;Base_Periodo1[[#This Row],[Filtro]])</f>
        <v>Fora do DRE</v>
      </c>
      <c r="W823" s="3" t="str">
        <f>LEFT(Base_Periodo1[[#This Row],[CLASS]],3)</f>
        <v>1.1</v>
      </c>
    </row>
    <row r="824" spans="1:23" hidden="1">
      <c r="A824" s="3" t="str">
        <f t="shared" si="12"/>
        <v>Período 1</v>
      </c>
      <c r="B824">
        <v>8648</v>
      </c>
      <c r="C824" t="s">
        <v>922</v>
      </c>
      <c r="D824" t="s">
        <v>5173</v>
      </c>
      <c r="E824" s="3" t="str">
        <f>IF(LEN(Base_Periodo1[[#This Row],[CLASS]])&gt;=7,LEFT(Base_Periodo1[[#This Row],[CLASS]],7),"")</f>
        <v>1.1.2.2</v>
      </c>
      <c r="F824" s="3" t="str">
        <f>VLOOKUP(Base_Periodo1[[#This Row],[Aux]],Base_Contas_Balanco[#All],2,FALSE)</f>
        <v>Creditos com não Cooperados</v>
      </c>
      <c r="G824" s="1">
        <v>42859</v>
      </c>
      <c r="H824" s="225">
        <v>18260</v>
      </c>
      <c r="I824" s="225">
        <v>0</v>
      </c>
      <c r="J824" s="225">
        <v>18260</v>
      </c>
      <c r="K824" s="225">
        <v>0</v>
      </c>
      <c r="L8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24" s="225">
        <f>ROUND(IF(AND(Base_Periodo1[[#This Row],[Tipo_Linha]]="-",Base_Periodo1[[#This Row],[TIPOSALDO]]="D"),Base_Periodo1[[#This Row],[SALDO_ATUAL]]*-1,Base_Periodo1[[#This Row],[SALDO_ATUAL]]),4)</f>
        <v>0</v>
      </c>
      <c r="N824" t="s">
        <v>116</v>
      </c>
      <c r="O824" t="s">
        <v>397</v>
      </c>
      <c r="P824" t="s">
        <v>436</v>
      </c>
      <c r="Q824">
        <v>7</v>
      </c>
      <c r="R824" s="225">
        <f>Base_Periodo1[[#This Row],[CREDITOS]]-Base_Periodo1[[#This Row],[DEBITOS]]</f>
        <v>18260</v>
      </c>
      <c r="S824" s="3" t="str">
        <f>IF(ISERROR(VLOOKUP(Base_Periodo1[[#This Row],[CONTA]],BaseContasDRE[#All],4,FALSE)),"Fora do DRE",VLOOKUP(Base_Periodo1[[#This Row],[CONTA]],BaseContasDRE[#All],4,FALSE))</f>
        <v>Fora do DRE</v>
      </c>
      <c r="T824" s="3" t="str">
        <f>IF(ISERROR(VLOOKUP(Base_Periodo1[[#This Row],[CONTA]],BaseContasDRE[#All],5,FALSE)),"Fora do DRE",VLOOKUP(Base_Periodo1[[#This Row],[CONTA]],BaseContasDRE[#All],6,FALSE))</f>
        <v>Fora do DRE</v>
      </c>
      <c r="U824" s="3" t="str">
        <f>IF(ISERROR(VLOOKUP(Base_Periodo1[[#This Row],[CONTA]],BaseContasDRE[#All],7,FALSE)),"Fora do DRE",VLOOKUP(Base_Periodo1[[#This Row],[CONTA]],BaseContasDRE[#All],7,FALSE))</f>
        <v>Fora do DRE</v>
      </c>
      <c r="V824" s="3" t="str">
        <f>IF(Base_Periodo1[[#This Row],[Tipo_Linha]]="Fora do DRE","Fora do DRE","( "&amp;Base_Periodo1[[#This Row],[Tipo_Linha]]&amp;" ) "&amp;Base_Periodo1[[#This Row],[Filtro]])</f>
        <v>Fora do DRE</v>
      </c>
      <c r="W824" s="3" t="str">
        <f>LEFT(Base_Periodo1[[#This Row],[CLASS]],3)</f>
        <v>1.1</v>
      </c>
    </row>
    <row r="825" spans="1:23" hidden="1">
      <c r="A825" s="3" t="str">
        <f t="shared" si="12"/>
        <v>Período 1</v>
      </c>
      <c r="B825">
        <v>57778</v>
      </c>
      <c r="C825" t="s">
        <v>922</v>
      </c>
      <c r="D825" t="s">
        <v>6741</v>
      </c>
      <c r="E825" s="3" t="str">
        <f>IF(LEN(Base_Periodo1[[#This Row],[CLASS]])&gt;=7,LEFT(Base_Periodo1[[#This Row],[CLASS]],7),"")</f>
        <v>1.1.2.2</v>
      </c>
      <c r="F825" s="3" t="str">
        <f>VLOOKUP(Base_Periodo1[[#This Row],[Aux]],Base_Contas_Balanco[#All],2,FALSE)</f>
        <v>Creditos com não Cooperados</v>
      </c>
      <c r="G825" s="1">
        <v>42865</v>
      </c>
      <c r="I825" s="225">
        <v>60000</v>
      </c>
      <c r="J825" s="225">
        <v>30000</v>
      </c>
      <c r="K825" s="225">
        <v>30000</v>
      </c>
      <c r="L8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30000</v>
      </c>
      <c r="M825" s="225">
        <f>ROUND(IF(AND(Base_Periodo1[[#This Row],[Tipo_Linha]]="-",Base_Periodo1[[#This Row],[TIPOSALDO]]="D"),Base_Periodo1[[#This Row],[SALDO_ATUAL]]*-1,Base_Periodo1[[#This Row],[SALDO_ATUAL]]),4)</f>
        <v>30000</v>
      </c>
      <c r="N825" t="s">
        <v>116</v>
      </c>
      <c r="O825" t="s">
        <v>436</v>
      </c>
      <c r="P825" t="s">
        <v>397</v>
      </c>
      <c r="Q825">
        <v>7</v>
      </c>
      <c r="R825" s="225">
        <f>Base_Periodo1[[#This Row],[CREDITOS]]-Base_Periodo1[[#This Row],[DEBITOS]]</f>
        <v>-30000</v>
      </c>
      <c r="S825" s="3" t="str">
        <f>IF(ISERROR(VLOOKUP(Base_Periodo1[[#This Row],[CONTA]],BaseContasDRE[#All],4,FALSE)),"Fora do DRE",VLOOKUP(Base_Periodo1[[#This Row],[CONTA]],BaseContasDRE[#All],4,FALSE))</f>
        <v>Fora do DRE</v>
      </c>
      <c r="T825" s="3" t="str">
        <f>IF(ISERROR(VLOOKUP(Base_Periodo1[[#This Row],[CONTA]],BaseContasDRE[#All],5,FALSE)),"Fora do DRE",VLOOKUP(Base_Periodo1[[#This Row],[CONTA]],BaseContasDRE[#All],6,FALSE))</f>
        <v>Fora do DRE</v>
      </c>
      <c r="U825" s="3" t="str">
        <f>IF(ISERROR(VLOOKUP(Base_Periodo1[[#This Row],[CONTA]],BaseContasDRE[#All],7,FALSE)),"Fora do DRE",VLOOKUP(Base_Periodo1[[#This Row],[CONTA]],BaseContasDRE[#All],7,FALSE))</f>
        <v>Fora do DRE</v>
      </c>
      <c r="V825" s="3" t="str">
        <f>IF(Base_Periodo1[[#This Row],[Tipo_Linha]]="Fora do DRE","Fora do DRE","( "&amp;Base_Periodo1[[#This Row],[Tipo_Linha]]&amp;" ) "&amp;Base_Periodo1[[#This Row],[Filtro]])</f>
        <v>Fora do DRE</v>
      </c>
      <c r="W825" s="3" t="str">
        <f>LEFT(Base_Periodo1[[#This Row],[CLASS]],3)</f>
        <v>1.1</v>
      </c>
    </row>
    <row r="826" spans="1:23" hidden="1">
      <c r="A826" s="3" t="str">
        <f t="shared" si="12"/>
        <v>Período 1</v>
      </c>
      <c r="B826">
        <v>54222</v>
      </c>
      <c r="C826" t="s">
        <v>922</v>
      </c>
      <c r="D826" t="s">
        <v>5174</v>
      </c>
      <c r="E826" s="3" t="str">
        <f>IF(LEN(Base_Periodo1[[#This Row],[CLASS]])&gt;=7,LEFT(Base_Periodo1[[#This Row],[CLASS]],7),"")</f>
        <v>1.1.2.2</v>
      </c>
      <c r="F826" s="3" t="str">
        <f>VLOOKUP(Base_Periodo1[[#This Row],[Aux]],Base_Contas_Balanco[#All],2,FALSE)</f>
        <v>Creditos com não Cooperados</v>
      </c>
      <c r="G826" s="1">
        <v>42886</v>
      </c>
      <c r="H826" s="225">
        <v>19772</v>
      </c>
      <c r="I826" s="225">
        <v>11006.2</v>
      </c>
      <c r="J826" s="225">
        <v>16605</v>
      </c>
      <c r="K826" s="225">
        <v>14173.2</v>
      </c>
      <c r="L8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14173.2</v>
      </c>
      <c r="M826" s="225">
        <f>ROUND(IF(AND(Base_Periodo1[[#This Row],[Tipo_Linha]]="-",Base_Periodo1[[#This Row],[TIPOSALDO]]="D"),Base_Periodo1[[#This Row],[SALDO_ATUAL]]*-1,Base_Periodo1[[#This Row],[SALDO_ATUAL]]),4)</f>
        <v>14173.2</v>
      </c>
      <c r="N826" t="s">
        <v>116</v>
      </c>
      <c r="O826" t="s">
        <v>397</v>
      </c>
      <c r="P826" t="s">
        <v>397</v>
      </c>
      <c r="Q826">
        <v>7</v>
      </c>
      <c r="R826" s="225">
        <f>Base_Periodo1[[#This Row],[CREDITOS]]-Base_Periodo1[[#This Row],[DEBITOS]]</f>
        <v>5598.7999999999993</v>
      </c>
      <c r="S826" s="3" t="str">
        <f>IF(ISERROR(VLOOKUP(Base_Periodo1[[#This Row],[CONTA]],BaseContasDRE[#All],4,FALSE)),"Fora do DRE",VLOOKUP(Base_Periodo1[[#This Row],[CONTA]],BaseContasDRE[#All],4,FALSE))</f>
        <v>Fora do DRE</v>
      </c>
      <c r="T826" s="3" t="str">
        <f>IF(ISERROR(VLOOKUP(Base_Periodo1[[#This Row],[CONTA]],BaseContasDRE[#All],5,FALSE)),"Fora do DRE",VLOOKUP(Base_Periodo1[[#This Row],[CONTA]],BaseContasDRE[#All],6,FALSE))</f>
        <v>Fora do DRE</v>
      </c>
      <c r="U826" s="3" t="str">
        <f>IF(ISERROR(VLOOKUP(Base_Periodo1[[#This Row],[CONTA]],BaseContasDRE[#All],7,FALSE)),"Fora do DRE",VLOOKUP(Base_Periodo1[[#This Row],[CONTA]],BaseContasDRE[#All],7,FALSE))</f>
        <v>Fora do DRE</v>
      </c>
      <c r="V826" s="3" t="str">
        <f>IF(Base_Periodo1[[#This Row],[Tipo_Linha]]="Fora do DRE","Fora do DRE","( "&amp;Base_Periodo1[[#This Row],[Tipo_Linha]]&amp;" ) "&amp;Base_Periodo1[[#This Row],[Filtro]])</f>
        <v>Fora do DRE</v>
      </c>
      <c r="W826" s="3" t="str">
        <f>LEFT(Base_Periodo1[[#This Row],[CLASS]],3)</f>
        <v>1.1</v>
      </c>
    </row>
    <row r="827" spans="1:23" hidden="1">
      <c r="A827" s="3" t="str">
        <f t="shared" si="12"/>
        <v>Período 1</v>
      </c>
      <c r="B827">
        <v>19972</v>
      </c>
      <c r="C827" t="s">
        <v>922</v>
      </c>
      <c r="D827" t="s">
        <v>927</v>
      </c>
      <c r="E827" s="3" t="str">
        <f>IF(LEN(Base_Periodo1[[#This Row],[CLASS]])&gt;=7,LEFT(Base_Periodo1[[#This Row],[CLASS]],7),"")</f>
        <v>1.1.2.2</v>
      </c>
      <c r="F827" s="3" t="str">
        <f>VLOOKUP(Base_Periodo1[[#This Row],[Aux]],Base_Contas_Balanco[#All],2,FALSE)</f>
        <v>Creditos com não Cooperados</v>
      </c>
      <c r="G827" s="1">
        <v>42423</v>
      </c>
      <c r="H827" s="225">
        <v>19876.400000000001</v>
      </c>
      <c r="I827" s="225">
        <v>0</v>
      </c>
      <c r="J827" s="225">
        <v>0</v>
      </c>
      <c r="K827" s="225">
        <v>19876.400000000001</v>
      </c>
      <c r="L8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19876.400000000001</v>
      </c>
      <c r="M827" s="225">
        <f>ROUND(IF(AND(Base_Periodo1[[#This Row],[Tipo_Linha]]="-",Base_Periodo1[[#This Row],[TIPOSALDO]]="D"),Base_Periodo1[[#This Row],[SALDO_ATUAL]]*-1,Base_Periodo1[[#This Row],[SALDO_ATUAL]]),4)</f>
        <v>19876.400000000001</v>
      </c>
      <c r="N827" t="s">
        <v>116</v>
      </c>
      <c r="O827" t="s">
        <v>397</v>
      </c>
      <c r="P827" t="s">
        <v>397</v>
      </c>
      <c r="Q827">
        <v>7</v>
      </c>
      <c r="R827" s="225">
        <f>Base_Periodo1[[#This Row],[CREDITOS]]-Base_Periodo1[[#This Row],[DEBITOS]]</f>
        <v>0</v>
      </c>
      <c r="S827" s="3" t="str">
        <f>IF(ISERROR(VLOOKUP(Base_Periodo1[[#This Row],[CONTA]],BaseContasDRE[#All],4,FALSE)),"Fora do DRE",VLOOKUP(Base_Periodo1[[#This Row],[CONTA]],BaseContasDRE[#All],4,FALSE))</f>
        <v>Fora do DRE</v>
      </c>
      <c r="T827" s="3" t="str">
        <f>IF(ISERROR(VLOOKUP(Base_Periodo1[[#This Row],[CONTA]],BaseContasDRE[#All],5,FALSE)),"Fora do DRE",VLOOKUP(Base_Periodo1[[#This Row],[CONTA]],BaseContasDRE[#All],6,FALSE))</f>
        <v>Fora do DRE</v>
      </c>
      <c r="U827" s="3" t="str">
        <f>IF(ISERROR(VLOOKUP(Base_Periodo1[[#This Row],[CONTA]],BaseContasDRE[#All],7,FALSE)),"Fora do DRE",VLOOKUP(Base_Periodo1[[#This Row],[CONTA]],BaseContasDRE[#All],7,FALSE))</f>
        <v>Fora do DRE</v>
      </c>
      <c r="V827" s="3" t="str">
        <f>IF(Base_Periodo1[[#This Row],[Tipo_Linha]]="Fora do DRE","Fora do DRE","( "&amp;Base_Periodo1[[#This Row],[Tipo_Linha]]&amp;" ) "&amp;Base_Periodo1[[#This Row],[Filtro]])</f>
        <v>Fora do DRE</v>
      </c>
      <c r="W827" s="3" t="str">
        <f>LEFT(Base_Periodo1[[#This Row],[CLASS]],3)</f>
        <v>1.1</v>
      </c>
    </row>
    <row r="828" spans="1:23" hidden="1">
      <c r="A828" s="3" t="str">
        <f t="shared" si="12"/>
        <v>Período 1</v>
      </c>
      <c r="B828">
        <v>17359</v>
      </c>
      <c r="C828" t="s">
        <v>922</v>
      </c>
      <c r="D828" t="s">
        <v>6143</v>
      </c>
      <c r="E828" s="3" t="str">
        <f>IF(LEN(Base_Periodo1[[#This Row],[CLASS]])&gt;=7,LEFT(Base_Periodo1[[#This Row],[CLASS]],7),"")</f>
        <v>1.1.2.2</v>
      </c>
      <c r="F828" s="3" t="str">
        <f>VLOOKUP(Base_Periodo1[[#This Row],[Aux]],Base_Contas_Balanco[#All],2,FALSE)</f>
        <v>Creditos com não Cooperados</v>
      </c>
      <c r="G828" s="1">
        <v>42830</v>
      </c>
      <c r="H828" s="225">
        <v>9500</v>
      </c>
      <c r="I828" s="225">
        <v>0</v>
      </c>
      <c r="J828" s="225">
        <v>0</v>
      </c>
      <c r="K828" s="225">
        <v>9500</v>
      </c>
      <c r="L8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9500</v>
      </c>
      <c r="M828" s="225">
        <f>ROUND(IF(AND(Base_Periodo1[[#This Row],[Tipo_Linha]]="-",Base_Periodo1[[#This Row],[TIPOSALDO]]="D"),Base_Periodo1[[#This Row],[SALDO_ATUAL]]*-1,Base_Periodo1[[#This Row],[SALDO_ATUAL]]),4)</f>
        <v>9500</v>
      </c>
      <c r="N828" t="s">
        <v>116</v>
      </c>
      <c r="O828" t="s">
        <v>397</v>
      </c>
      <c r="P828" t="s">
        <v>397</v>
      </c>
      <c r="Q828">
        <v>7</v>
      </c>
      <c r="R828" s="225">
        <f>Base_Periodo1[[#This Row],[CREDITOS]]-Base_Periodo1[[#This Row],[DEBITOS]]</f>
        <v>0</v>
      </c>
      <c r="S828" s="3" t="str">
        <f>IF(ISERROR(VLOOKUP(Base_Periodo1[[#This Row],[CONTA]],BaseContasDRE[#All],4,FALSE)),"Fora do DRE",VLOOKUP(Base_Periodo1[[#This Row],[CONTA]],BaseContasDRE[#All],4,FALSE))</f>
        <v>Fora do DRE</v>
      </c>
      <c r="T828" s="3" t="str">
        <f>IF(ISERROR(VLOOKUP(Base_Periodo1[[#This Row],[CONTA]],BaseContasDRE[#All],5,FALSE)),"Fora do DRE",VLOOKUP(Base_Periodo1[[#This Row],[CONTA]],BaseContasDRE[#All],6,FALSE))</f>
        <v>Fora do DRE</v>
      </c>
      <c r="U828" s="3" t="str">
        <f>IF(ISERROR(VLOOKUP(Base_Periodo1[[#This Row],[CONTA]],BaseContasDRE[#All],7,FALSE)),"Fora do DRE",VLOOKUP(Base_Periodo1[[#This Row],[CONTA]],BaseContasDRE[#All],7,FALSE))</f>
        <v>Fora do DRE</v>
      </c>
      <c r="V828" s="3" t="str">
        <f>IF(Base_Periodo1[[#This Row],[Tipo_Linha]]="Fora do DRE","Fora do DRE","( "&amp;Base_Periodo1[[#This Row],[Tipo_Linha]]&amp;" ) "&amp;Base_Periodo1[[#This Row],[Filtro]])</f>
        <v>Fora do DRE</v>
      </c>
      <c r="W828" s="3" t="str">
        <f>LEFT(Base_Periodo1[[#This Row],[CLASS]],3)</f>
        <v>1.1</v>
      </c>
    </row>
    <row r="829" spans="1:23" hidden="1">
      <c r="A829" s="3" t="str">
        <f t="shared" si="12"/>
        <v>Período 1</v>
      </c>
      <c r="B829">
        <v>54463</v>
      </c>
      <c r="C829" t="s">
        <v>922</v>
      </c>
      <c r="D829" t="s">
        <v>5291</v>
      </c>
      <c r="E829" s="3" t="str">
        <f>IF(LEN(Base_Periodo1[[#This Row],[CLASS]])&gt;=7,LEFT(Base_Periodo1[[#This Row],[CLASS]],7),"")</f>
        <v>1.1.2.2</v>
      </c>
      <c r="F829" s="3" t="str">
        <f>VLOOKUP(Base_Periodo1[[#This Row],[Aux]],Base_Contas_Balanco[#All],2,FALSE)</f>
        <v>Creditos com não Cooperados</v>
      </c>
      <c r="G829" s="1">
        <v>42844</v>
      </c>
      <c r="H829" s="225">
        <v>4571.8800000000047</v>
      </c>
      <c r="I829" s="225">
        <v>0</v>
      </c>
      <c r="J829" s="225">
        <v>0</v>
      </c>
      <c r="K829" s="225">
        <v>4571.8800000000047</v>
      </c>
      <c r="L8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4571.88</v>
      </c>
      <c r="M829" s="225">
        <f>ROUND(IF(AND(Base_Periodo1[[#This Row],[Tipo_Linha]]="-",Base_Periodo1[[#This Row],[TIPOSALDO]]="D"),Base_Periodo1[[#This Row],[SALDO_ATUAL]]*-1,Base_Periodo1[[#This Row],[SALDO_ATUAL]]),4)</f>
        <v>4571.88</v>
      </c>
      <c r="N829" t="s">
        <v>116</v>
      </c>
      <c r="O829" t="s">
        <v>397</v>
      </c>
      <c r="P829" t="s">
        <v>397</v>
      </c>
      <c r="Q829">
        <v>7</v>
      </c>
      <c r="R829" s="225">
        <f>Base_Periodo1[[#This Row],[CREDITOS]]-Base_Periodo1[[#This Row],[DEBITOS]]</f>
        <v>0</v>
      </c>
      <c r="S829" s="3" t="str">
        <f>IF(ISERROR(VLOOKUP(Base_Periodo1[[#This Row],[CONTA]],BaseContasDRE[#All],4,FALSE)),"Fora do DRE",VLOOKUP(Base_Periodo1[[#This Row],[CONTA]],BaseContasDRE[#All],4,FALSE))</f>
        <v>Fora do DRE</v>
      </c>
      <c r="T829" s="3" t="str">
        <f>IF(ISERROR(VLOOKUP(Base_Periodo1[[#This Row],[CONTA]],BaseContasDRE[#All],5,FALSE)),"Fora do DRE",VLOOKUP(Base_Periodo1[[#This Row],[CONTA]],BaseContasDRE[#All],6,FALSE))</f>
        <v>Fora do DRE</v>
      </c>
      <c r="U829" s="3" t="str">
        <f>IF(ISERROR(VLOOKUP(Base_Periodo1[[#This Row],[CONTA]],BaseContasDRE[#All],7,FALSE)),"Fora do DRE",VLOOKUP(Base_Periodo1[[#This Row],[CONTA]],BaseContasDRE[#All],7,FALSE))</f>
        <v>Fora do DRE</v>
      </c>
      <c r="V829" s="3" t="str">
        <f>IF(Base_Periodo1[[#This Row],[Tipo_Linha]]="Fora do DRE","Fora do DRE","( "&amp;Base_Periodo1[[#This Row],[Tipo_Linha]]&amp;" ) "&amp;Base_Periodo1[[#This Row],[Filtro]])</f>
        <v>Fora do DRE</v>
      </c>
      <c r="W829" s="3" t="str">
        <f>LEFT(Base_Periodo1[[#This Row],[CLASS]],3)</f>
        <v>1.1</v>
      </c>
    </row>
    <row r="830" spans="1:23" hidden="1">
      <c r="A830" s="3" t="str">
        <f t="shared" si="12"/>
        <v>Período 1</v>
      </c>
      <c r="B830">
        <v>58107</v>
      </c>
      <c r="C830" t="s">
        <v>922</v>
      </c>
      <c r="D830" t="s">
        <v>6144</v>
      </c>
      <c r="E830" s="3" t="str">
        <f>IF(LEN(Base_Periodo1[[#This Row],[CLASS]])&gt;=7,LEFT(Base_Periodo1[[#This Row],[CLASS]],7),"")</f>
        <v>1.1.2.2</v>
      </c>
      <c r="F830" s="3" t="str">
        <f>VLOOKUP(Base_Periodo1[[#This Row],[Aux]],Base_Contas_Balanco[#All],2,FALSE)</f>
        <v>Creditos com não Cooperados</v>
      </c>
      <c r="G830" s="1">
        <v>42832</v>
      </c>
      <c r="H830" s="225">
        <v>1200</v>
      </c>
      <c r="I830" s="225">
        <v>0</v>
      </c>
      <c r="J830" s="225">
        <v>0</v>
      </c>
      <c r="K830" s="225">
        <v>1200</v>
      </c>
      <c r="L8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1200</v>
      </c>
      <c r="M830" s="225">
        <f>ROUND(IF(AND(Base_Periodo1[[#This Row],[Tipo_Linha]]="-",Base_Periodo1[[#This Row],[TIPOSALDO]]="D"),Base_Periodo1[[#This Row],[SALDO_ATUAL]]*-1,Base_Periodo1[[#This Row],[SALDO_ATUAL]]),4)</f>
        <v>1200</v>
      </c>
      <c r="N830" t="s">
        <v>116</v>
      </c>
      <c r="O830" t="s">
        <v>397</v>
      </c>
      <c r="P830" t="s">
        <v>397</v>
      </c>
      <c r="Q830">
        <v>7</v>
      </c>
      <c r="R830" s="225">
        <f>Base_Periodo1[[#This Row],[CREDITOS]]-Base_Periodo1[[#This Row],[DEBITOS]]</f>
        <v>0</v>
      </c>
      <c r="S830" s="3" t="str">
        <f>IF(ISERROR(VLOOKUP(Base_Periodo1[[#This Row],[CONTA]],BaseContasDRE[#All],4,FALSE)),"Fora do DRE",VLOOKUP(Base_Periodo1[[#This Row],[CONTA]],BaseContasDRE[#All],4,FALSE))</f>
        <v>Fora do DRE</v>
      </c>
      <c r="T830" s="3" t="str">
        <f>IF(ISERROR(VLOOKUP(Base_Periodo1[[#This Row],[CONTA]],BaseContasDRE[#All],5,FALSE)),"Fora do DRE",VLOOKUP(Base_Periodo1[[#This Row],[CONTA]],BaseContasDRE[#All],6,FALSE))</f>
        <v>Fora do DRE</v>
      </c>
      <c r="U830" s="3" t="str">
        <f>IF(ISERROR(VLOOKUP(Base_Periodo1[[#This Row],[CONTA]],BaseContasDRE[#All],7,FALSE)),"Fora do DRE",VLOOKUP(Base_Periodo1[[#This Row],[CONTA]],BaseContasDRE[#All],7,FALSE))</f>
        <v>Fora do DRE</v>
      </c>
      <c r="V830" s="3" t="str">
        <f>IF(Base_Periodo1[[#This Row],[Tipo_Linha]]="Fora do DRE","Fora do DRE","( "&amp;Base_Periodo1[[#This Row],[Tipo_Linha]]&amp;" ) "&amp;Base_Periodo1[[#This Row],[Filtro]])</f>
        <v>Fora do DRE</v>
      </c>
      <c r="W830" s="3" t="str">
        <f>LEFT(Base_Periodo1[[#This Row],[CLASS]],3)</f>
        <v>1.1</v>
      </c>
    </row>
    <row r="831" spans="1:23" hidden="1">
      <c r="A831" s="3" t="str">
        <f t="shared" si="12"/>
        <v>Período 1</v>
      </c>
      <c r="B831">
        <v>19644</v>
      </c>
      <c r="C831" t="s">
        <v>922</v>
      </c>
      <c r="D831" t="s">
        <v>5491</v>
      </c>
      <c r="E831" s="3" t="str">
        <f>IF(LEN(Base_Periodo1[[#This Row],[CLASS]])&gt;=7,LEFT(Base_Periodo1[[#This Row],[CLASS]],7),"")</f>
        <v>1.1.2.2</v>
      </c>
      <c r="F831" s="3" t="str">
        <f>VLOOKUP(Base_Periodo1[[#This Row],[Aux]],Base_Contas_Balanco[#All],2,FALSE)</f>
        <v>Creditos com não Cooperados</v>
      </c>
      <c r="G831" s="1">
        <v>42870</v>
      </c>
      <c r="H831" s="225">
        <v>13200</v>
      </c>
      <c r="I831" s="225">
        <v>13763.580000000002</v>
      </c>
      <c r="J831" s="225">
        <v>13481.79</v>
      </c>
      <c r="K831" s="225">
        <v>13481.79</v>
      </c>
      <c r="L8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13481.79</v>
      </c>
      <c r="M831" s="225">
        <f>ROUND(IF(AND(Base_Periodo1[[#This Row],[Tipo_Linha]]="-",Base_Periodo1[[#This Row],[TIPOSALDO]]="D"),Base_Periodo1[[#This Row],[SALDO_ATUAL]]*-1,Base_Periodo1[[#This Row],[SALDO_ATUAL]]),4)</f>
        <v>13481.79</v>
      </c>
      <c r="N831" t="s">
        <v>116</v>
      </c>
      <c r="O831" t="s">
        <v>397</v>
      </c>
      <c r="P831" t="s">
        <v>397</v>
      </c>
      <c r="Q831">
        <v>7</v>
      </c>
      <c r="R831" s="225">
        <f>Base_Periodo1[[#This Row],[CREDITOS]]-Base_Periodo1[[#This Row],[DEBITOS]]</f>
        <v>-281.79000000000087</v>
      </c>
      <c r="S831" s="3" t="str">
        <f>IF(ISERROR(VLOOKUP(Base_Periodo1[[#This Row],[CONTA]],BaseContasDRE[#All],4,FALSE)),"Fora do DRE",VLOOKUP(Base_Periodo1[[#This Row],[CONTA]],BaseContasDRE[#All],4,FALSE))</f>
        <v>Fora do DRE</v>
      </c>
      <c r="T831" s="3" t="str">
        <f>IF(ISERROR(VLOOKUP(Base_Periodo1[[#This Row],[CONTA]],BaseContasDRE[#All],5,FALSE)),"Fora do DRE",VLOOKUP(Base_Periodo1[[#This Row],[CONTA]],BaseContasDRE[#All],6,FALSE))</f>
        <v>Fora do DRE</v>
      </c>
      <c r="U831" s="3" t="str">
        <f>IF(ISERROR(VLOOKUP(Base_Periodo1[[#This Row],[CONTA]],BaseContasDRE[#All],7,FALSE)),"Fora do DRE",VLOOKUP(Base_Periodo1[[#This Row],[CONTA]],BaseContasDRE[#All],7,FALSE))</f>
        <v>Fora do DRE</v>
      </c>
      <c r="V831" s="3" t="str">
        <f>IF(Base_Periodo1[[#This Row],[Tipo_Linha]]="Fora do DRE","Fora do DRE","( "&amp;Base_Periodo1[[#This Row],[Tipo_Linha]]&amp;" ) "&amp;Base_Periodo1[[#This Row],[Filtro]])</f>
        <v>Fora do DRE</v>
      </c>
      <c r="W831" s="3" t="str">
        <f>LEFT(Base_Periodo1[[#This Row],[CLASS]],3)</f>
        <v>1.1</v>
      </c>
    </row>
    <row r="832" spans="1:23" hidden="1">
      <c r="A832" s="3" t="str">
        <f t="shared" si="12"/>
        <v>Período 1</v>
      </c>
      <c r="B832">
        <v>28343</v>
      </c>
      <c r="C832" t="s">
        <v>922</v>
      </c>
      <c r="D832" t="s">
        <v>5492</v>
      </c>
      <c r="E832" s="3" t="str">
        <f>IF(LEN(Base_Periodo1[[#This Row],[CLASS]])&gt;=7,LEFT(Base_Periodo1[[#This Row],[CLASS]],7),"")</f>
        <v>1.1.2.2</v>
      </c>
      <c r="F832" s="3" t="str">
        <f>VLOOKUP(Base_Periodo1[[#This Row],[Aux]],Base_Contas_Balanco[#All],2,FALSE)</f>
        <v>Creditos com não Cooperados</v>
      </c>
      <c r="G832" s="1">
        <v>42877</v>
      </c>
      <c r="H832" s="225">
        <v>1080</v>
      </c>
      <c r="I832" s="225">
        <v>1721</v>
      </c>
      <c r="J832" s="225">
        <v>1080</v>
      </c>
      <c r="K832" s="225">
        <v>1721</v>
      </c>
      <c r="L8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1721</v>
      </c>
      <c r="M832" s="225">
        <f>ROUND(IF(AND(Base_Periodo1[[#This Row],[Tipo_Linha]]="-",Base_Periodo1[[#This Row],[TIPOSALDO]]="D"),Base_Periodo1[[#This Row],[SALDO_ATUAL]]*-1,Base_Periodo1[[#This Row],[SALDO_ATUAL]]),4)</f>
        <v>1721</v>
      </c>
      <c r="N832" t="s">
        <v>116</v>
      </c>
      <c r="O832" t="s">
        <v>397</v>
      </c>
      <c r="P832" t="s">
        <v>397</v>
      </c>
      <c r="Q832">
        <v>7</v>
      </c>
      <c r="R832" s="225">
        <f>Base_Periodo1[[#This Row],[CREDITOS]]-Base_Periodo1[[#This Row],[DEBITOS]]</f>
        <v>-641</v>
      </c>
      <c r="S832" s="3" t="str">
        <f>IF(ISERROR(VLOOKUP(Base_Periodo1[[#This Row],[CONTA]],BaseContasDRE[#All],4,FALSE)),"Fora do DRE",VLOOKUP(Base_Periodo1[[#This Row],[CONTA]],BaseContasDRE[#All],4,FALSE))</f>
        <v>Fora do DRE</v>
      </c>
      <c r="T832" s="3" t="str">
        <f>IF(ISERROR(VLOOKUP(Base_Periodo1[[#This Row],[CONTA]],BaseContasDRE[#All],5,FALSE)),"Fora do DRE",VLOOKUP(Base_Periodo1[[#This Row],[CONTA]],BaseContasDRE[#All],6,FALSE))</f>
        <v>Fora do DRE</v>
      </c>
      <c r="U832" s="3" t="str">
        <f>IF(ISERROR(VLOOKUP(Base_Periodo1[[#This Row],[CONTA]],BaseContasDRE[#All],7,FALSE)),"Fora do DRE",VLOOKUP(Base_Periodo1[[#This Row],[CONTA]],BaseContasDRE[#All],7,FALSE))</f>
        <v>Fora do DRE</v>
      </c>
      <c r="V832" s="3" t="str">
        <f>IF(Base_Periodo1[[#This Row],[Tipo_Linha]]="Fora do DRE","Fora do DRE","( "&amp;Base_Periodo1[[#This Row],[Tipo_Linha]]&amp;" ) "&amp;Base_Periodo1[[#This Row],[Filtro]])</f>
        <v>Fora do DRE</v>
      </c>
      <c r="W832" s="3" t="str">
        <f>LEFT(Base_Periodo1[[#This Row],[CLASS]],3)</f>
        <v>1.1</v>
      </c>
    </row>
    <row r="833" spans="1:23" hidden="1">
      <c r="A833" s="3" t="str">
        <f t="shared" si="12"/>
        <v>Período 1</v>
      </c>
      <c r="B833">
        <v>39835</v>
      </c>
      <c r="C833" t="s">
        <v>922</v>
      </c>
      <c r="D833" t="s">
        <v>6145</v>
      </c>
      <c r="E833" s="3" t="str">
        <f>IF(LEN(Base_Periodo1[[#This Row],[CLASS]])&gt;=7,LEFT(Base_Periodo1[[#This Row],[CLASS]],7),"")</f>
        <v>1.1.2.2</v>
      </c>
      <c r="F833" s="3" t="str">
        <f>VLOOKUP(Base_Periodo1[[#This Row],[Aux]],Base_Contas_Balanco[#All],2,FALSE)</f>
        <v>Creditos com não Cooperados</v>
      </c>
      <c r="G833" s="1">
        <v>42864</v>
      </c>
      <c r="H833" s="225">
        <v>1390</v>
      </c>
      <c r="I833" s="225">
        <v>2780</v>
      </c>
      <c r="J833" s="225">
        <v>4170</v>
      </c>
      <c r="K833" s="225">
        <v>0</v>
      </c>
      <c r="L8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33" s="225">
        <f>ROUND(IF(AND(Base_Periodo1[[#This Row],[Tipo_Linha]]="-",Base_Periodo1[[#This Row],[TIPOSALDO]]="D"),Base_Periodo1[[#This Row],[SALDO_ATUAL]]*-1,Base_Periodo1[[#This Row],[SALDO_ATUAL]]),4)</f>
        <v>0</v>
      </c>
      <c r="N833" t="s">
        <v>116</v>
      </c>
      <c r="O833" t="s">
        <v>397</v>
      </c>
      <c r="P833" t="s">
        <v>436</v>
      </c>
      <c r="Q833">
        <v>7</v>
      </c>
      <c r="R833" s="225">
        <f>Base_Periodo1[[#This Row],[CREDITOS]]-Base_Periodo1[[#This Row],[DEBITOS]]</f>
        <v>1390</v>
      </c>
      <c r="S833" s="3" t="str">
        <f>IF(ISERROR(VLOOKUP(Base_Periodo1[[#This Row],[CONTA]],BaseContasDRE[#All],4,FALSE)),"Fora do DRE",VLOOKUP(Base_Periodo1[[#This Row],[CONTA]],BaseContasDRE[#All],4,FALSE))</f>
        <v>Fora do DRE</v>
      </c>
      <c r="T833" s="3" t="str">
        <f>IF(ISERROR(VLOOKUP(Base_Periodo1[[#This Row],[CONTA]],BaseContasDRE[#All],5,FALSE)),"Fora do DRE",VLOOKUP(Base_Periodo1[[#This Row],[CONTA]],BaseContasDRE[#All],6,FALSE))</f>
        <v>Fora do DRE</v>
      </c>
      <c r="U833" s="3" t="str">
        <f>IF(ISERROR(VLOOKUP(Base_Periodo1[[#This Row],[CONTA]],BaseContasDRE[#All],7,FALSE)),"Fora do DRE",VLOOKUP(Base_Periodo1[[#This Row],[CONTA]],BaseContasDRE[#All],7,FALSE))</f>
        <v>Fora do DRE</v>
      </c>
      <c r="V833" s="3" t="str">
        <f>IF(Base_Periodo1[[#This Row],[Tipo_Linha]]="Fora do DRE","Fora do DRE","( "&amp;Base_Periodo1[[#This Row],[Tipo_Linha]]&amp;" ) "&amp;Base_Periodo1[[#This Row],[Filtro]])</f>
        <v>Fora do DRE</v>
      </c>
      <c r="W833" s="3" t="str">
        <f>LEFT(Base_Periodo1[[#This Row],[CLASS]],3)</f>
        <v>1.1</v>
      </c>
    </row>
    <row r="834" spans="1:23" hidden="1">
      <c r="A834" s="3" t="str">
        <f t="shared" si="12"/>
        <v>Período 1</v>
      </c>
      <c r="B834">
        <v>50248</v>
      </c>
      <c r="C834" t="s">
        <v>922</v>
      </c>
      <c r="D834" t="s">
        <v>6146</v>
      </c>
      <c r="E834" s="3" t="str">
        <f>IF(LEN(Base_Periodo1[[#This Row],[CLASS]])&gt;=7,LEFT(Base_Periodo1[[#This Row],[CLASS]],7),"")</f>
        <v>1.1.2.2</v>
      </c>
      <c r="F834" s="3" t="str">
        <f>VLOOKUP(Base_Periodo1[[#This Row],[Aux]],Base_Contas_Balanco[#All],2,FALSE)</f>
        <v>Creditos com não Cooperados</v>
      </c>
      <c r="G834" s="1">
        <v>42884</v>
      </c>
      <c r="H834" s="225">
        <v>1936</v>
      </c>
      <c r="I834" s="225">
        <v>14247.2</v>
      </c>
      <c r="J834" s="225">
        <v>16183.199999999999</v>
      </c>
      <c r="K834" s="225">
        <v>1.8189894035458565E-12</v>
      </c>
      <c r="L8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34" s="225">
        <f>ROUND(IF(AND(Base_Periodo1[[#This Row],[Tipo_Linha]]="-",Base_Periodo1[[#This Row],[TIPOSALDO]]="D"),Base_Periodo1[[#This Row],[SALDO_ATUAL]]*-1,Base_Periodo1[[#This Row],[SALDO_ATUAL]]),4)</f>
        <v>0</v>
      </c>
      <c r="N834" t="s">
        <v>116</v>
      </c>
      <c r="O834" t="s">
        <v>397</v>
      </c>
      <c r="P834" t="s">
        <v>436</v>
      </c>
      <c r="Q834">
        <v>7</v>
      </c>
      <c r="R834" s="225">
        <f>Base_Periodo1[[#This Row],[CREDITOS]]-Base_Periodo1[[#This Row],[DEBITOS]]</f>
        <v>1935.9999999999982</v>
      </c>
      <c r="S834" s="3" t="str">
        <f>IF(ISERROR(VLOOKUP(Base_Periodo1[[#This Row],[CONTA]],BaseContasDRE[#All],4,FALSE)),"Fora do DRE",VLOOKUP(Base_Periodo1[[#This Row],[CONTA]],BaseContasDRE[#All],4,FALSE))</f>
        <v>Fora do DRE</v>
      </c>
      <c r="T834" s="3" t="str">
        <f>IF(ISERROR(VLOOKUP(Base_Periodo1[[#This Row],[CONTA]],BaseContasDRE[#All],5,FALSE)),"Fora do DRE",VLOOKUP(Base_Periodo1[[#This Row],[CONTA]],BaseContasDRE[#All],6,FALSE))</f>
        <v>Fora do DRE</v>
      </c>
      <c r="U834" s="3" t="str">
        <f>IF(ISERROR(VLOOKUP(Base_Periodo1[[#This Row],[CONTA]],BaseContasDRE[#All],7,FALSE)),"Fora do DRE",VLOOKUP(Base_Periodo1[[#This Row],[CONTA]],BaseContasDRE[#All],7,FALSE))</f>
        <v>Fora do DRE</v>
      </c>
      <c r="V834" s="3" t="str">
        <f>IF(Base_Periodo1[[#This Row],[Tipo_Linha]]="Fora do DRE","Fora do DRE","( "&amp;Base_Periodo1[[#This Row],[Tipo_Linha]]&amp;" ) "&amp;Base_Periodo1[[#This Row],[Filtro]])</f>
        <v>Fora do DRE</v>
      </c>
      <c r="W834" s="3" t="str">
        <f>LEFT(Base_Periodo1[[#This Row],[CLASS]],3)</f>
        <v>1.1</v>
      </c>
    </row>
    <row r="835" spans="1:23" hidden="1">
      <c r="A835" s="3" t="str">
        <f t="shared" si="12"/>
        <v>Período 1</v>
      </c>
      <c r="B835">
        <v>34149</v>
      </c>
      <c r="C835" t="s">
        <v>922</v>
      </c>
      <c r="D835" t="s">
        <v>5292</v>
      </c>
      <c r="E835" s="3" t="str">
        <f>IF(LEN(Base_Periodo1[[#This Row],[CLASS]])&gt;=7,LEFT(Base_Periodo1[[#This Row],[CLASS]],7),"")</f>
        <v>1.1.2.2</v>
      </c>
      <c r="F835" s="3" t="str">
        <f>VLOOKUP(Base_Periodo1[[#This Row],[Aux]],Base_Contas_Balanco[#All],2,FALSE)</f>
        <v>Creditos com não Cooperados</v>
      </c>
      <c r="G835" s="1">
        <v>42864</v>
      </c>
      <c r="I835" s="225">
        <v>0</v>
      </c>
      <c r="J835" s="225">
        <v>102180.95</v>
      </c>
      <c r="K835" s="225">
        <v>102180.95</v>
      </c>
      <c r="L8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-102180.95</v>
      </c>
      <c r="M835" s="225">
        <f>ROUND(IF(AND(Base_Periodo1[[#This Row],[Tipo_Linha]]="-",Base_Periodo1[[#This Row],[TIPOSALDO]]="D"),Base_Periodo1[[#This Row],[SALDO_ATUAL]]*-1,Base_Periodo1[[#This Row],[SALDO_ATUAL]]),4)</f>
        <v>102180.95</v>
      </c>
      <c r="N835" t="s">
        <v>116</v>
      </c>
      <c r="O835" t="s">
        <v>436</v>
      </c>
      <c r="P835" t="s">
        <v>459</v>
      </c>
      <c r="Q835">
        <v>7</v>
      </c>
      <c r="R835" s="225">
        <f>Base_Periodo1[[#This Row],[CREDITOS]]-Base_Periodo1[[#This Row],[DEBITOS]]</f>
        <v>102180.95</v>
      </c>
      <c r="S835" s="3" t="str">
        <f>IF(ISERROR(VLOOKUP(Base_Periodo1[[#This Row],[CONTA]],BaseContasDRE[#All],4,FALSE)),"Fora do DRE",VLOOKUP(Base_Periodo1[[#This Row],[CONTA]],BaseContasDRE[#All],4,FALSE))</f>
        <v>Fora do DRE</v>
      </c>
      <c r="T835" s="3" t="str">
        <f>IF(ISERROR(VLOOKUP(Base_Periodo1[[#This Row],[CONTA]],BaseContasDRE[#All],5,FALSE)),"Fora do DRE",VLOOKUP(Base_Periodo1[[#This Row],[CONTA]],BaseContasDRE[#All],6,FALSE))</f>
        <v>Fora do DRE</v>
      </c>
      <c r="U835" s="3" t="str">
        <f>IF(ISERROR(VLOOKUP(Base_Periodo1[[#This Row],[CONTA]],BaseContasDRE[#All],7,FALSE)),"Fora do DRE",VLOOKUP(Base_Periodo1[[#This Row],[CONTA]],BaseContasDRE[#All],7,FALSE))</f>
        <v>Fora do DRE</v>
      </c>
      <c r="V835" s="3" t="str">
        <f>IF(Base_Periodo1[[#This Row],[Tipo_Linha]]="Fora do DRE","Fora do DRE","( "&amp;Base_Periodo1[[#This Row],[Tipo_Linha]]&amp;" ) "&amp;Base_Periodo1[[#This Row],[Filtro]])</f>
        <v>Fora do DRE</v>
      </c>
      <c r="W835" s="3" t="str">
        <f>LEFT(Base_Periodo1[[#This Row],[CLASS]],3)</f>
        <v>1.1</v>
      </c>
    </row>
    <row r="836" spans="1:23" hidden="1">
      <c r="A836" s="3" t="str">
        <f t="shared" si="12"/>
        <v>Período 1</v>
      </c>
      <c r="B836">
        <v>44947</v>
      </c>
      <c r="C836" t="s">
        <v>922</v>
      </c>
      <c r="D836" t="s">
        <v>529</v>
      </c>
      <c r="E836" s="3" t="str">
        <f>IF(LEN(Base_Periodo1[[#This Row],[CLASS]])&gt;=7,LEFT(Base_Periodo1[[#This Row],[CLASS]],7),"")</f>
        <v>1.1.2.2</v>
      </c>
      <c r="F836" s="3" t="str">
        <f>VLOOKUP(Base_Periodo1[[#This Row],[Aux]],Base_Contas_Balanco[#All],2,FALSE)</f>
        <v>Creditos com não Cooperados</v>
      </c>
      <c r="G836" s="1">
        <v>42794</v>
      </c>
      <c r="H836" s="225">
        <v>900</v>
      </c>
      <c r="I836" s="225">
        <v>0</v>
      </c>
      <c r="J836" s="225">
        <v>0</v>
      </c>
      <c r="K836" s="225">
        <v>900</v>
      </c>
      <c r="L8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900</v>
      </c>
      <c r="M836" s="225">
        <f>ROUND(IF(AND(Base_Periodo1[[#This Row],[Tipo_Linha]]="-",Base_Periodo1[[#This Row],[TIPOSALDO]]="D"),Base_Periodo1[[#This Row],[SALDO_ATUAL]]*-1,Base_Periodo1[[#This Row],[SALDO_ATUAL]]),4)</f>
        <v>900</v>
      </c>
      <c r="N836" t="s">
        <v>116</v>
      </c>
      <c r="O836" t="s">
        <v>397</v>
      </c>
      <c r="P836" t="s">
        <v>397</v>
      </c>
      <c r="Q836">
        <v>7</v>
      </c>
      <c r="R836" s="225">
        <f>Base_Periodo1[[#This Row],[CREDITOS]]-Base_Periodo1[[#This Row],[DEBITOS]]</f>
        <v>0</v>
      </c>
      <c r="S836" s="3" t="str">
        <f>IF(ISERROR(VLOOKUP(Base_Periodo1[[#This Row],[CONTA]],BaseContasDRE[#All],4,FALSE)),"Fora do DRE",VLOOKUP(Base_Periodo1[[#This Row],[CONTA]],BaseContasDRE[#All],4,FALSE))</f>
        <v>Fora do DRE</v>
      </c>
      <c r="T836" s="3" t="str">
        <f>IF(ISERROR(VLOOKUP(Base_Periodo1[[#This Row],[CONTA]],BaseContasDRE[#All],5,FALSE)),"Fora do DRE",VLOOKUP(Base_Periodo1[[#This Row],[CONTA]],BaseContasDRE[#All],6,FALSE))</f>
        <v>Fora do DRE</v>
      </c>
      <c r="U836" s="3" t="str">
        <f>IF(ISERROR(VLOOKUP(Base_Periodo1[[#This Row],[CONTA]],BaseContasDRE[#All],7,FALSE)),"Fora do DRE",VLOOKUP(Base_Periodo1[[#This Row],[CONTA]],BaseContasDRE[#All],7,FALSE))</f>
        <v>Fora do DRE</v>
      </c>
      <c r="V836" s="3" t="str">
        <f>IF(Base_Periodo1[[#This Row],[Tipo_Linha]]="Fora do DRE","Fora do DRE","( "&amp;Base_Periodo1[[#This Row],[Tipo_Linha]]&amp;" ) "&amp;Base_Periodo1[[#This Row],[Filtro]])</f>
        <v>Fora do DRE</v>
      </c>
      <c r="W836" s="3" t="str">
        <f>LEFT(Base_Periodo1[[#This Row],[CLASS]],3)</f>
        <v>1.1</v>
      </c>
    </row>
    <row r="837" spans="1:23" hidden="1">
      <c r="A837" s="3" t="str">
        <f t="shared" si="12"/>
        <v>Período 1</v>
      </c>
      <c r="B837">
        <v>58798</v>
      </c>
      <c r="C837" t="s">
        <v>922</v>
      </c>
      <c r="D837" t="s">
        <v>6742</v>
      </c>
      <c r="E837" s="3" t="str">
        <f>IF(LEN(Base_Periodo1[[#This Row],[CLASS]])&gt;=7,LEFT(Base_Periodo1[[#This Row],[CLASS]],7),"")</f>
        <v>1.1.2.2</v>
      </c>
      <c r="F837" s="3" t="str">
        <f>VLOOKUP(Base_Periodo1[[#This Row],[Aux]],Base_Contas_Balanco[#All],2,FALSE)</f>
        <v>Creditos com não Cooperados</v>
      </c>
      <c r="G837" s="1">
        <v>42882</v>
      </c>
      <c r="I837" s="225">
        <v>1300000</v>
      </c>
      <c r="J837" s="225">
        <v>1300000</v>
      </c>
      <c r="K837" s="225">
        <v>0</v>
      </c>
      <c r="L8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37" s="225">
        <f>ROUND(IF(AND(Base_Periodo1[[#This Row],[Tipo_Linha]]="-",Base_Periodo1[[#This Row],[TIPOSALDO]]="D"),Base_Periodo1[[#This Row],[SALDO_ATUAL]]*-1,Base_Periodo1[[#This Row],[SALDO_ATUAL]]),4)</f>
        <v>0</v>
      </c>
      <c r="N837" t="s">
        <v>116</v>
      </c>
      <c r="O837" t="s">
        <v>436</v>
      </c>
      <c r="P837" t="s">
        <v>436</v>
      </c>
      <c r="Q837">
        <v>7</v>
      </c>
      <c r="R837" s="225">
        <f>Base_Periodo1[[#This Row],[CREDITOS]]-Base_Periodo1[[#This Row],[DEBITOS]]</f>
        <v>0</v>
      </c>
      <c r="S837" s="3" t="str">
        <f>IF(ISERROR(VLOOKUP(Base_Periodo1[[#This Row],[CONTA]],BaseContasDRE[#All],4,FALSE)),"Fora do DRE",VLOOKUP(Base_Periodo1[[#This Row],[CONTA]],BaseContasDRE[#All],4,FALSE))</f>
        <v>Fora do DRE</v>
      </c>
      <c r="T837" s="3" t="str">
        <f>IF(ISERROR(VLOOKUP(Base_Periodo1[[#This Row],[CONTA]],BaseContasDRE[#All],5,FALSE)),"Fora do DRE",VLOOKUP(Base_Periodo1[[#This Row],[CONTA]],BaseContasDRE[#All],6,FALSE))</f>
        <v>Fora do DRE</v>
      </c>
      <c r="U837" s="3" t="str">
        <f>IF(ISERROR(VLOOKUP(Base_Periodo1[[#This Row],[CONTA]],BaseContasDRE[#All],7,FALSE)),"Fora do DRE",VLOOKUP(Base_Periodo1[[#This Row],[CONTA]],BaseContasDRE[#All],7,FALSE))</f>
        <v>Fora do DRE</v>
      </c>
      <c r="V837" s="3" t="str">
        <f>IF(Base_Periodo1[[#This Row],[Tipo_Linha]]="Fora do DRE","Fora do DRE","( "&amp;Base_Periodo1[[#This Row],[Tipo_Linha]]&amp;" ) "&amp;Base_Periodo1[[#This Row],[Filtro]])</f>
        <v>Fora do DRE</v>
      </c>
      <c r="W837" s="3" t="str">
        <f>LEFT(Base_Periodo1[[#This Row],[CLASS]],3)</f>
        <v>1.1</v>
      </c>
    </row>
    <row r="838" spans="1:23" hidden="1">
      <c r="A838" s="3" t="str">
        <f t="shared" ref="A838:A901" si="13">"Período 1"</f>
        <v>Período 1</v>
      </c>
      <c r="B838">
        <v>53391</v>
      </c>
      <c r="C838" t="s">
        <v>922</v>
      </c>
      <c r="D838" t="s">
        <v>5175</v>
      </c>
      <c r="E838" s="3" t="str">
        <f>IF(LEN(Base_Periodo1[[#This Row],[CLASS]])&gt;=7,LEFT(Base_Periodo1[[#This Row],[CLASS]],7),"")</f>
        <v>1.1.2.2</v>
      </c>
      <c r="F838" s="3" t="str">
        <f>VLOOKUP(Base_Periodo1[[#This Row],[Aux]],Base_Contas_Balanco[#All],2,FALSE)</f>
        <v>Creditos com não Cooperados</v>
      </c>
      <c r="G838" s="1">
        <v>42805</v>
      </c>
      <c r="H838" s="225">
        <v>719.99999999998545</v>
      </c>
      <c r="I838" s="225">
        <v>0</v>
      </c>
      <c r="J838" s="225">
        <v>0</v>
      </c>
      <c r="K838" s="225">
        <v>719.99999999998545</v>
      </c>
      <c r="L8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720</v>
      </c>
      <c r="M838" s="225">
        <f>ROUND(IF(AND(Base_Periodo1[[#This Row],[Tipo_Linha]]="-",Base_Periodo1[[#This Row],[TIPOSALDO]]="D"),Base_Periodo1[[#This Row],[SALDO_ATUAL]]*-1,Base_Periodo1[[#This Row],[SALDO_ATUAL]]),4)</f>
        <v>720</v>
      </c>
      <c r="N838" t="s">
        <v>116</v>
      </c>
      <c r="O838" t="s">
        <v>397</v>
      </c>
      <c r="P838" t="s">
        <v>397</v>
      </c>
      <c r="Q838">
        <v>7</v>
      </c>
      <c r="R838" s="225">
        <f>Base_Periodo1[[#This Row],[CREDITOS]]-Base_Periodo1[[#This Row],[DEBITOS]]</f>
        <v>0</v>
      </c>
      <c r="S838" s="3" t="str">
        <f>IF(ISERROR(VLOOKUP(Base_Periodo1[[#This Row],[CONTA]],BaseContasDRE[#All],4,FALSE)),"Fora do DRE",VLOOKUP(Base_Periodo1[[#This Row],[CONTA]],BaseContasDRE[#All],4,FALSE))</f>
        <v>Fora do DRE</v>
      </c>
      <c r="T838" s="3" t="str">
        <f>IF(ISERROR(VLOOKUP(Base_Periodo1[[#This Row],[CONTA]],BaseContasDRE[#All],5,FALSE)),"Fora do DRE",VLOOKUP(Base_Periodo1[[#This Row],[CONTA]],BaseContasDRE[#All],6,FALSE))</f>
        <v>Fora do DRE</v>
      </c>
      <c r="U838" s="3" t="str">
        <f>IF(ISERROR(VLOOKUP(Base_Periodo1[[#This Row],[CONTA]],BaseContasDRE[#All],7,FALSE)),"Fora do DRE",VLOOKUP(Base_Periodo1[[#This Row],[CONTA]],BaseContasDRE[#All],7,FALSE))</f>
        <v>Fora do DRE</v>
      </c>
      <c r="V838" s="3" t="str">
        <f>IF(Base_Periodo1[[#This Row],[Tipo_Linha]]="Fora do DRE","Fora do DRE","( "&amp;Base_Periodo1[[#This Row],[Tipo_Linha]]&amp;" ) "&amp;Base_Periodo1[[#This Row],[Filtro]])</f>
        <v>Fora do DRE</v>
      </c>
      <c r="W838" s="3" t="str">
        <f>LEFT(Base_Periodo1[[#This Row],[CLASS]],3)</f>
        <v>1.1</v>
      </c>
    </row>
    <row r="839" spans="1:23" hidden="1">
      <c r="A839" s="3" t="str">
        <f t="shared" si="13"/>
        <v>Período 1</v>
      </c>
      <c r="B839">
        <v>59222</v>
      </c>
      <c r="C839" t="s">
        <v>922</v>
      </c>
      <c r="D839" t="s">
        <v>6743</v>
      </c>
      <c r="E839" s="3" t="str">
        <f>IF(LEN(Base_Periodo1[[#This Row],[CLASS]])&gt;=7,LEFT(Base_Periodo1[[#This Row],[CLASS]],7),"")</f>
        <v>1.1.2.2</v>
      </c>
      <c r="F839" s="3" t="str">
        <f>VLOOKUP(Base_Periodo1[[#This Row],[Aux]],Base_Contas_Balanco[#All],2,FALSE)</f>
        <v>Creditos com não Cooperados</v>
      </c>
      <c r="G839" s="1">
        <v>42880</v>
      </c>
      <c r="I839" s="225">
        <v>3597</v>
      </c>
      <c r="J839" s="225">
        <v>0</v>
      </c>
      <c r="K839" s="225">
        <v>3597</v>
      </c>
      <c r="L8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3597</v>
      </c>
      <c r="M839" s="225">
        <f>ROUND(IF(AND(Base_Periodo1[[#This Row],[Tipo_Linha]]="-",Base_Periodo1[[#This Row],[TIPOSALDO]]="D"),Base_Periodo1[[#This Row],[SALDO_ATUAL]]*-1,Base_Periodo1[[#This Row],[SALDO_ATUAL]]),4)</f>
        <v>3597</v>
      </c>
      <c r="N839" t="s">
        <v>116</v>
      </c>
      <c r="O839" t="s">
        <v>436</v>
      </c>
      <c r="P839" t="s">
        <v>397</v>
      </c>
      <c r="Q839">
        <v>7</v>
      </c>
      <c r="R839" s="225">
        <f>Base_Periodo1[[#This Row],[CREDITOS]]-Base_Periodo1[[#This Row],[DEBITOS]]</f>
        <v>-3597</v>
      </c>
      <c r="S839" s="3" t="str">
        <f>IF(ISERROR(VLOOKUP(Base_Periodo1[[#This Row],[CONTA]],BaseContasDRE[#All],4,FALSE)),"Fora do DRE",VLOOKUP(Base_Periodo1[[#This Row],[CONTA]],BaseContasDRE[#All],4,FALSE))</f>
        <v>Fora do DRE</v>
      </c>
      <c r="T839" s="3" t="str">
        <f>IF(ISERROR(VLOOKUP(Base_Periodo1[[#This Row],[CONTA]],BaseContasDRE[#All],5,FALSE)),"Fora do DRE",VLOOKUP(Base_Periodo1[[#This Row],[CONTA]],BaseContasDRE[#All],6,FALSE))</f>
        <v>Fora do DRE</v>
      </c>
      <c r="U839" s="3" t="str">
        <f>IF(ISERROR(VLOOKUP(Base_Periodo1[[#This Row],[CONTA]],BaseContasDRE[#All],7,FALSE)),"Fora do DRE",VLOOKUP(Base_Periodo1[[#This Row],[CONTA]],BaseContasDRE[#All],7,FALSE))</f>
        <v>Fora do DRE</v>
      </c>
      <c r="V839" s="3" t="str">
        <f>IF(Base_Periodo1[[#This Row],[Tipo_Linha]]="Fora do DRE","Fora do DRE","( "&amp;Base_Periodo1[[#This Row],[Tipo_Linha]]&amp;" ) "&amp;Base_Periodo1[[#This Row],[Filtro]])</f>
        <v>Fora do DRE</v>
      </c>
      <c r="W839" s="3" t="str">
        <f>LEFT(Base_Periodo1[[#This Row],[CLASS]],3)</f>
        <v>1.1</v>
      </c>
    </row>
    <row r="840" spans="1:23" hidden="1">
      <c r="A840" s="3" t="str">
        <f t="shared" si="13"/>
        <v>Período 1</v>
      </c>
      <c r="B840">
        <v>56826</v>
      </c>
      <c r="C840" t="s">
        <v>922</v>
      </c>
      <c r="D840" t="s">
        <v>6147</v>
      </c>
      <c r="E840" s="3" t="str">
        <f>IF(LEN(Base_Periodo1[[#This Row],[CLASS]])&gt;=7,LEFT(Base_Periodo1[[#This Row],[CLASS]],7),"")</f>
        <v>1.1.2.2</v>
      </c>
      <c r="F840" s="3" t="str">
        <f>VLOOKUP(Base_Periodo1[[#This Row],[Aux]],Base_Contas_Balanco[#All],2,FALSE)</f>
        <v>Creditos com não Cooperados</v>
      </c>
      <c r="G840" s="1">
        <v>42863</v>
      </c>
      <c r="H840" s="225">
        <v>32000</v>
      </c>
      <c r="I840" s="225">
        <v>32000</v>
      </c>
      <c r="J840" s="225">
        <v>64000</v>
      </c>
      <c r="K840" s="225">
        <v>0</v>
      </c>
      <c r="L8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40" s="225">
        <f>ROUND(IF(AND(Base_Periodo1[[#This Row],[Tipo_Linha]]="-",Base_Periodo1[[#This Row],[TIPOSALDO]]="D"),Base_Periodo1[[#This Row],[SALDO_ATUAL]]*-1,Base_Periodo1[[#This Row],[SALDO_ATUAL]]),4)</f>
        <v>0</v>
      </c>
      <c r="N840" t="s">
        <v>116</v>
      </c>
      <c r="O840" t="s">
        <v>397</v>
      </c>
      <c r="P840" t="s">
        <v>436</v>
      </c>
      <c r="Q840">
        <v>7</v>
      </c>
      <c r="R840" s="225">
        <f>Base_Periodo1[[#This Row],[CREDITOS]]-Base_Periodo1[[#This Row],[DEBITOS]]</f>
        <v>32000</v>
      </c>
      <c r="S840" s="3" t="str">
        <f>IF(ISERROR(VLOOKUP(Base_Periodo1[[#This Row],[CONTA]],BaseContasDRE[#All],4,FALSE)),"Fora do DRE",VLOOKUP(Base_Periodo1[[#This Row],[CONTA]],BaseContasDRE[#All],4,FALSE))</f>
        <v>Fora do DRE</v>
      </c>
      <c r="T840" s="3" t="str">
        <f>IF(ISERROR(VLOOKUP(Base_Periodo1[[#This Row],[CONTA]],BaseContasDRE[#All],5,FALSE)),"Fora do DRE",VLOOKUP(Base_Periodo1[[#This Row],[CONTA]],BaseContasDRE[#All],6,FALSE))</f>
        <v>Fora do DRE</v>
      </c>
      <c r="U840" s="3" t="str">
        <f>IF(ISERROR(VLOOKUP(Base_Periodo1[[#This Row],[CONTA]],BaseContasDRE[#All],7,FALSE)),"Fora do DRE",VLOOKUP(Base_Periodo1[[#This Row],[CONTA]],BaseContasDRE[#All],7,FALSE))</f>
        <v>Fora do DRE</v>
      </c>
      <c r="V840" s="3" t="str">
        <f>IF(Base_Periodo1[[#This Row],[Tipo_Linha]]="Fora do DRE","Fora do DRE","( "&amp;Base_Periodo1[[#This Row],[Tipo_Linha]]&amp;" ) "&amp;Base_Periodo1[[#This Row],[Filtro]])</f>
        <v>Fora do DRE</v>
      </c>
      <c r="W840" s="3" t="str">
        <f>LEFT(Base_Periodo1[[#This Row],[CLASS]],3)</f>
        <v>1.1</v>
      </c>
    </row>
    <row r="841" spans="1:23" hidden="1">
      <c r="A841" s="3" t="str">
        <f t="shared" si="13"/>
        <v>Período 1</v>
      </c>
      <c r="B841">
        <v>27743</v>
      </c>
      <c r="C841" t="s">
        <v>922</v>
      </c>
      <c r="D841" t="s">
        <v>2016</v>
      </c>
      <c r="E841" s="3" t="str">
        <f>IF(LEN(Base_Periodo1[[#This Row],[CLASS]])&gt;=7,LEFT(Base_Periodo1[[#This Row],[CLASS]],7),"")</f>
        <v>1.1.2.2</v>
      </c>
      <c r="F841" s="3" t="str">
        <f>VLOOKUP(Base_Periodo1[[#This Row],[Aux]],Base_Contas_Balanco[#All],2,FALSE)</f>
        <v>Creditos com não Cooperados</v>
      </c>
      <c r="G841" s="1">
        <v>42748</v>
      </c>
      <c r="H841" s="225">
        <v>500</v>
      </c>
      <c r="I841" s="225">
        <v>0</v>
      </c>
      <c r="J841" s="225">
        <v>0</v>
      </c>
      <c r="K841" s="225">
        <v>500</v>
      </c>
      <c r="L8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841" s="225">
        <f>ROUND(IF(AND(Base_Periodo1[[#This Row],[Tipo_Linha]]="-",Base_Periodo1[[#This Row],[TIPOSALDO]]="D"),Base_Periodo1[[#This Row],[SALDO_ATUAL]]*-1,Base_Periodo1[[#This Row],[SALDO_ATUAL]]),4)</f>
        <v>500</v>
      </c>
      <c r="N841" t="s">
        <v>116</v>
      </c>
      <c r="O841" t="s">
        <v>397</v>
      </c>
      <c r="P841" t="s">
        <v>397</v>
      </c>
      <c r="Q841">
        <v>7</v>
      </c>
      <c r="R841" s="225">
        <f>Base_Periodo1[[#This Row],[CREDITOS]]-Base_Periodo1[[#This Row],[DEBITOS]]</f>
        <v>0</v>
      </c>
      <c r="S841" s="3" t="str">
        <f>IF(ISERROR(VLOOKUP(Base_Periodo1[[#This Row],[CONTA]],BaseContasDRE[#All],4,FALSE)),"Fora do DRE",VLOOKUP(Base_Periodo1[[#This Row],[CONTA]],BaseContasDRE[#All],4,FALSE))</f>
        <v>Fora do DRE</v>
      </c>
      <c r="T841" s="3" t="str">
        <f>IF(ISERROR(VLOOKUP(Base_Periodo1[[#This Row],[CONTA]],BaseContasDRE[#All],5,FALSE)),"Fora do DRE",VLOOKUP(Base_Periodo1[[#This Row],[CONTA]],BaseContasDRE[#All],6,FALSE))</f>
        <v>Fora do DRE</v>
      </c>
      <c r="U841" s="3" t="str">
        <f>IF(ISERROR(VLOOKUP(Base_Periodo1[[#This Row],[CONTA]],BaseContasDRE[#All],7,FALSE)),"Fora do DRE",VLOOKUP(Base_Periodo1[[#This Row],[CONTA]],BaseContasDRE[#All],7,FALSE))</f>
        <v>Fora do DRE</v>
      </c>
      <c r="V841" s="3" t="str">
        <f>IF(Base_Periodo1[[#This Row],[Tipo_Linha]]="Fora do DRE","Fora do DRE","( "&amp;Base_Periodo1[[#This Row],[Tipo_Linha]]&amp;" ) "&amp;Base_Periodo1[[#This Row],[Filtro]])</f>
        <v>Fora do DRE</v>
      </c>
      <c r="W841" s="3" t="str">
        <f>LEFT(Base_Periodo1[[#This Row],[CLASS]],3)</f>
        <v>1.1</v>
      </c>
    </row>
    <row r="842" spans="1:23" hidden="1">
      <c r="A842" s="3" t="str">
        <f t="shared" si="13"/>
        <v>Período 1</v>
      </c>
      <c r="B842">
        <v>34757</v>
      </c>
      <c r="C842" t="s">
        <v>922</v>
      </c>
      <c r="D842" t="s">
        <v>4246</v>
      </c>
      <c r="E842" s="3" t="str">
        <f>IF(LEN(Base_Periodo1[[#This Row],[CLASS]])&gt;=7,LEFT(Base_Periodo1[[#This Row],[CLASS]],7),"")</f>
        <v>1.1.2.2</v>
      </c>
      <c r="F842" s="3" t="str">
        <f>VLOOKUP(Base_Periodo1[[#This Row],[Aux]],Base_Contas_Balanco[#All],2,FALSE)</f>
        <v>Creditos com não Cooperados</v>
      </c>
      <c r="G842" s="1">
        <v>42789</v>
      </c>
      <c r="H842" s="225">
        <v>800</v>
      </c>
      <c r="I842" s="225">
        <v>0</v>
      </c>
      <c r="J842" s="225">
        <v>0</v>
      </c>
      <c r="K842" s="225">
        <v>800</v>
      </c>
      <c r="L8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800</v>
      </c>
      <c r="M842" s="225">
        <f>ROUND(IF(AND(Base_Periodo1[[#This Row],[Tipo_Linha]]="-",Base_Periodo1[[#This Row],[TIPOSALDO]]="D"),Base_Periodo1[[#This Row],[SALDO_ATUAL]]*-1,Base_Periodo1[[#This Row],[SALDO_ATUAL]]),4)</f>
        <v>800</v>
      </c>
      <c r="N842" t="s">
        <v>116</v>
      </c>
      <c r="O842" t="s">
        <v>397</v>
      </c>
      <c r="P842" t="s">
        <v>397</v>
      </c>
      <c r="Q842">
        <v>7</v>
      </c>
      <c r="R842" s="225">
        <f>Base_Periodo1[[#This Row],[CREDITOS]]-Base_Periodo1[[#This Row],[DEBITOS]]</f>
        <v>0</v>
      </c>
      <c r="S842" s="3" t="str">
        <f>IF(ISERROR(VLOOKUP(Base_Periodo1[[#This Row],[CONTA]],BaseContasDRE[#All],4,FALSE)),"Fora do DRE",VLOOKUP(Base_Periodo1[[#This Row],[CONTA]],BaseContasDRE[#All],4,FALSE))</f>
        <v>Fora do DRE</v>
      </c>
      <c r="T842" s="3" t="str">
        <f>IF(ISERROR(VLOOKUP(Base_Periodo1[[#This Row],[CONTA]],BaseContasDRE[#All],5,FALSE)),"Fora do DRE",VLOOKUP(Base_Periodo1[[#This Row],[CONTA]],BaseContasDRE[#All],6,FALSE))</f>
        <v>Fora do DRE</v>
      </c>
      <c r="U842" s="3" t="str">
        <f>IF(ISERROR(VLOOKUP(Base_Periodo1[[#This Row],[CONTA]],BaseContasDRE[#All],7,FALSE)),"Fora do DRE",VLOOKUP(Base_Periodo1[[#This Row],[CONTA]],BaseContasDRE[#All],7,FALSE))</f>
        <v>Fora do DRE</v>
      </c>
      <c r="V842" s="3" t="str">
        <f>IF(Base_Periodo1[[#This Row],[Tipo_Linha]]="Fora do DRE","Fora do DRE","( "&amp;Base_Periodo1[[#This Row],[Tipo_Linha]]&amp;" ) "&amp;Base_Periodo1[[#This Row],[Filtro]])</f>
        <v>Fora do DRE</v>
      </c>
      <c r="W842" s="3" t="str">
        <f>LEFT(Base_Periodo1[[#This Row],[CLASS]],3)</f>
        <v>1.1</v>
      </c>
    </row>
    <row r="843" spans="1:23" hidden="1">
      <c r="A843" s="3" t="str">
        <f t="shared" si="13"/>
        <v>Período 1</v>
      </c>
      <c r="B843">
        <v>12567</v>
      </c>
      <c r="C843" t="s">
        <v>922</v>
      </c>
      <c r="D843" t="s">
        <v>5860</v>
      </c>
      <c r="E843" s="3" t="str">
        <f>IF(LEN(Base_Periodo1[[#This Row],[CLASS]])&gt;=7,LEFT(Base_Periodo1[[#This Row],[CLASS]],7),"")</f>
        <v>1.1.2.2</v>
      </c>
      <c r="F843" s="3" t="str">
        <f>VLOOKUP(Base_Periodo1[[#This Row],[Aux]],Base_Contas_Balanco[#All],2,FALSE)</f>
        <v>Creditos com não Cooperados</v>
      </c>
      <c r="G843" s="1">
        <v>42878</v>
      </c>
      <c r="H843" s="225">
        <v>3161273.4599999711</v>
      </c>
      <c r="I843" s="225">
        <v>1072059.9099999999</v>
      </c>
      <c r="J843" s="225">
        <v>4233333.3699999992</v>
      </c>
      <c r="K843" s="225">
        <v>-2.7939677238464355E-8</v>
      </c>
      <c r="L8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43" s="225">
        <f>ROUND(IF(AND(Base_Periodo1[[#This Row],[Tipo_Linha]]="-",Base_Periodo1[[#This Row],[TIPOSALDO]]="D"),Base_Periodo1[[#This Row],[SALDO_ATUAL]]*-1,Base_Periodo1[[#This Row],[SALDO_ATUAL]]),4)</f>
        <v>0</v>
      </c>
      <c r="N843" t="s">
        <v>116</v>
      </c>
      <c r="O843" t="s">
        <v>397</v>
      </c>
      <c r="P843" t="s">
        <v>436</v>
      </c>
      <c r="Q843">
        <v>7</v>
      </c>
      <c r="R843" s="225">
        <f>Base_Periodo1[[#This Row],[CREDITOS]]-Base_Periodo1[[#This Row],[DEBITOS]]</f>
        <v>3161273.459999999</v>
      </c>
      <c r="S843" s="3" t="str">
        <f>IF(ISERROR(VLOOKUP(Base_Periodo1[[#This Row],[CONTA]],BaseContasDRE[#All],4,FALSE)),"Fora do DRE",VLOOKUP(Base_Periodo1[[#This Row],[CONTA]],BaseContasDRE[#All],4,FALSE))</f>
        <v>Fora do DRE</v>
      </c>
      <c r="T843" s="3" t="str">
        <f>IF(ISERROR(VLOOKUP(Base_Periodo1[[#This Row],[CONTA]],BaseContasDRE[#All],5,FALSE)),"Fora do DRE",VLOOKUP(Base_Periodo1[[#This Row],[CONTA]],BaseContasDRE[#All],6,FALSE))</f>
        <v>Fora do DRE</v>
      </c>
      <c r="U843" s="3" t="str">
        <f>IF(ISERROR(VLOOKUP(Base_Periodo1[[#This Row],[CONTA]],BaseContasDRE[#All],7,FALSE)),"Fora do DRE",VLOOKUP(Base_Periodo1[[#This Row],[CONTA]],BaseContasDRE[#All],7,FALSE))</f>
        <v>Fora do DRE</v>
      </c>
      <c r="V843" s="3" t="str">
        <f>IF(Base_Periodo1[[#This Row],[Tipo_Linha]]="Fora do DRE","Fora do DRE","( "&amp;Base_Periodo1[[#This Row],[Tipo_Linha]]&amp;" ) "&amp;Base_Periodo1[[#This Row],[Filtro]])</f>
        <v>Fora do DRE</v>
      </c>
      <c r="W843" s="3" t="str">
        <f>LEFT(Base_Periodo1[[#This Row],[CLASS]],3)</f>
        <v>1.1</v>
      </c>
    </row>
    <row r="844" spans="1:23" hidden="1">
      <c r="A844" s="3" t="str">
        <f t="shared" si="13"/>
        <v>Período 1</v>
      </c>
      <c r="B844">
        <v>43887</v>
      </c>
      <c r="C844" t="s">
        <v>922</v>
      </c>
      <c r="D844" t="s">
        <v>4289</v>
      </c>
      <c r="E844" s="3" t="str">
        <f>IF(LEN(Base_Periodo1[[#This Row],[CLASS]])&gt;=7,LEFT(Base_Periodo1[[#This Row],[CLASS]],7),"")</f>
        <v>1.1.2.2</v>
      </c>
      <c r="F844" s="3" t="str">
        <f>VLOOKUP(Base_Periodo1[[#This Row],[Aux]],Base_Contas_Balanco[#All],2,FALSE)</f>
        <v>Creditos com não Cooperados</v>
      </c>
      <c r="G844" s="1">
        <v>42765</v>
      </c>
      <c r="H844" s="225">
        <v>9800</v>
      </c>
      <c r="I844" s="225">
        <v>0</v>
      </c>
      <c r="J844" s="225">
        <v>0</v>
      </c>
      <c r="K844" s="225">
        <v>9800</v>
      </c>
      <c r="L8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9800</v>
      </c>
      <c r="M844" s="225">
        <f>ROUND(IF(AND(Base_Periodo1[[#This Row],[Tipo_Linha]]="-",Base_Periodo1[[#This Row],[TIPOSALDO]]="D"),Base_Periodo1[[#This Row],[SALDO_ATUAL]]*-1,Base_Periodo1[[#This Row],[SALDO_ATUAL]]),4)</f>
        <v>9800</v>
      </c>
      <c r="N844" t="s">
        <v>116</v>
      </c>
      <c r="O844" t="s">
        <v>397</v>
      </c>
      <c r="P844" t="s">
        <v>397</v>
      </c>
      <c r="Q844">
        <v>7</v>
      </c>
      <c r="R844" s="225">
        <f>Base_Periodo1[[#This Row],[CREDITOS]]-Base_Periodo1[[#This Row],[DEBITOS]]</f>
        <v>0</v>
      </c>
      <c r="S844" s="3" t="str">
        <f>IF(ISERROR(VLOOKUP(Base_Periodo1[[#This Row],[CONTA]],BaseContasDRE[#All],4,FALSE)),"Fora do DRE",VLOOKUP(Base_Periodo1[[#This Row],[CONTA]],BaseContasDRE[#All],4,FALSE))</f>
        <v>Fora do DRE</v>
      </c>
      <c r="T844" s="3" t="str">
        <f>IF(ISERROR(VLOOKUP(Base_Periodo1[[#This Row],[CONTA]],BaseContasDRE[#All],5,FALSE)),"Fora do DRE",VLOOKUP(Base_Periodo1[[#This Row],[CONTA]],BaseContasDRE[#All],6,FALSE))</f>
        <v>Fora do DRE</v>
      </c>
      <c r="U844" s="3" t="str">
        <f>IF(ISERROR(VLOOKUP(Base_Periodo1[[#This Row],[CONTA]],BaseContasDRE[#All],7,FALSE)),"Fora do DRE",VLOOKUP(Base_Periodo1[[#This Row],[CONTA]],BaseContasDRE[#All],7,FALSE))</f>
        <v>Fora do DRE</v>
      </c>
      <c r="V844" s="3" t="str">
        <f>IF(Base_Periodo1[[#This Row],[Tipo_Linha]]="Fora do DRE","Fora do DRE","( "&amp;Base_Periodo1[[#This Row],[Tipo_Linha]]&amp;" ) "&amp;Base_Periodo1[[#This Row],[Filtro]])</f>
        <v>Fora do DRE</v>
      </c>
      <c r="W844" s="3" t="str">
        <f>LEFT(Base_Periodo1[[#This Row],[CLASS]],3)</f>
        <v>1.1</v>
      </c>
    </row>
    <row r="845" spans="1:23" hidden="1">
      <c r="A845" s="3" t="str">
        <f t="shared" si="13"/>
        <v>Período 1</v>
      </c>
      <c r="B845">
        <v>48417</v>
      </c>
      <c r="C845" t="s">
        <v>922</v>
      </c>
      <c r="D845" t="s">
        <v>5493</v>
      </c>
      <c r="E845" s="3" t="str">
        <f>IF(LEN(Base_Periodo1[[#This Row],[CLASS]])&gt;=7,LEFT(Base_Periodo1[[#This Row],[CLASS]],7),"")</f>
        <v>1.1.2.2</v>
      </c>
      <c r="F845" s="3" t="str">
        <f>VLOOKUP(Base_Periodo1[[#This Row],[Aux]],Base_Contas_Balanco[#All],2,FALSE)</f>
        <v>Creditos com não Cooperados</v>
      </c>
      <c r="G845" s="1">
        <v>42859</v>
      </c>
      <c r="H845" s="225">
        <v>370.78999999999996</v>
      </c>
      <c r="I845" s="225">
        <v>0</v>
      </c>
      <c r="J845" s="225">
        <v>370.79</v>
      </c>
      <c r="K845" s="225">
        <v>-5.6843418860808015E-14</v>
      </c>
      <c r="L8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45" s="225">
        <f>ROUND(IF(AND(Base_Periodo1[[#This Row],[Tipo_Linha]]="-",Base_Periodo1[[#This Row],[TIPOSALDO]]="D"),Base_Periodo1[[#This Row],[SALDO_ATUAL]]*-1,Base_Periodo1[[#This Row],[SALDO_ATUAL]]),4)</f>
        <v>0</v>
      </c>
      <c r="N845" t="s">
        <v>116</v>
      </c>
      <c r="O845" t="s">
        <v>397</v>
      </c>
      <c r="P845" t="s">
        <v>436</v>
      </c>
      <c r="Q845">
        <v>7</v>
      </c>
      <c r="R845" s="225">
        <f>Base_Periodo1[[#This Row],[CREDITOS]]-Base_Periodo1[[#This Row],[DEBITOS]]</f>
        <v>370.79</v>
      </c>
      <c r="S845" s="3" t="str">
        <f>IF(ISERROR(VLOOKUP(Base_Periodo1[[#This Row],[CONTA]],BaseContasDRE[#All],4,FALSE)),"Fora do DRE",VLOOKUP(Base_Periodo1[[#This Row],[CONTA]],BaseContasDRE[#All],4,FALSE))</f>
        <v>Fora do DRE</v>
      </c>
      <c r="T845" s="3" t="str">
        <f>IF(ISERROR(VLOOKUP(Base_Periodo1[[#This Row],[CONTA]],BaseContasDRE[#All],5,FALSE)),"Fora do DRE",VLOOKUP(Base_Periodo1[[#This Row],[CONTA]],BaseContasDRE[#All],6,FALSE))</f>
        <v>Fora do DRE</v>
      </c>
      <c r="U845" s="3" t="str">
        <f>IF(ISERROR(VLOOKUP(Base_Periodo1[[#This Row],[CONTA]],BaseContasDRE[#All],7,FALSE)),"Fora do DRE",VLOOKUP(Base_Periodo1[[#This Row],[CONTA]],BaseContasDRE[#All],7,FALSE))</f>
        <v>Fora do DRE</v>
      </c>
      <c r="V845" s="3" t="str">
        <f>IF(Base_Periodo1[[#This Row],[Tipo_Linha]]="Fora do DRE","Fora do DRE","( "&amp;Base_Periodo1[[#This Row],[Tipo_Linha]]&amp;" ) "&amp;Base_Periodo1[[#This Row],[Filtro]])</f>
        <v>Fora do DRE</v>
      </c>
      <c r="W845" s="3" t="str">
        <f>LEFT(Base_Periodo1[[#This Row],[CLASS]],3)</f>
        <v>1.1</v>
      </c>
    </row>
    <row r="846" spans="1:23" hidden="1">
      <c r="A846" s="3" t="str">
        <f t="shared" si="13"/>
        <v>Período 1</v>
      </c>
      <c r="B846">
        <v>4736</v>
      </c>
      <c r="C846" t="s">
        <v>922</v>
      </c>
      <c r="D846" t="s">
        <v>929</v>
      </c>
      <c r="E846" s="3" t="str">
        <f>IF(LEN(Base_Periodo1[[#This Row],[CLASS]])&gt;=7,LEFT(Base_Periodo1[[#This Row],[CLASS]],7),"")</f>
        <v>1.1.2.2</v>
      </c>
      <c r="F846" s="3" t="str">
        <f>VLOOKUP(Base_Periodo1[[#This Row],[Aux]],Base_Contas_Balanco[#All],2,FALSE)</f>
        <v>Creditos com não Cooperados</v>
      </c>
      <c r="G846" s="1">
        <v>41507</v>
      </c>
      <c r="H846" s="225">
        <v>3597.929999998305</v>
      </c>
      <c r="I846" s="225">
        <v>0</v>
      </c>
      <c r="J846" s="225">
        <v>0</v>
      </c>
      <c r="K846" s="225">
        <v>3597.929999998305</v>
      </c>
      <c r="L8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3597.93</v>
      </c>
      <c r="M846" s="225">
        <f>ROUND(IF(AND(Base_Periodo1[[#This Row],[Tipo_Linha]]="-",Base_Periodo1[[#This Row],[TIPOSALDO]]="D"),Base_Periodo1[[#This Row],[SALDO_ATUAL]]*-1,Base_Periodo1[[#This Row],[SALDO_ATUAL]]),4)</f>
        <v>3597.93</v>
      </c>
      <c r="N846" t="s">
        <v>116</v>
      </c>
      <c r="O846" t="s">
        <v>397</v>
      </c>
      <c r="P846" t="s">
        <v>397</v>
      </c>
      <c r="Q846">
        <v>7</v>
      </c>
      <c r="R846" s="225">
        <f>Base_Periodo1[[#This Row],[CREDITOS]]-Base_Periodo1[[#This Row],[DEBITOS]]</f>
        <v>0</v>
      </c>
      <c r="S846" s="3" t="str">
        <f>IF(ISERROR(VLOOKUP(Base_Periodo1[[#This Row],[CONTA]],BaseContasDRE[#All],4,FALSE)),"Fora do DRE",VLOOKUP(Base_Periodo1[[#This Row],[CONTA]],BaseContasDRE[#All],4,FALSE))</f>
        <v>Fora do DRE</v>
      </c>
      <c r="T846" s="3" t="str">
        <f>IF(ISERROR(VLOOKUP(Base_Periodo1[[#This Row],[CONTA]],BaseContasDRE[#All],5,FALSE)),"Fora do DRE",VLOOKUP(Base_Periodo1[[#This Row],[CONTA]],BaseContasDRE[#All],6,FALSE))</f>
        <v>Fora do DRE</v>
      </c>
      <c r="U846" s="3" t="str">
        <f>IF(ISERROR(VLOOKUP(Base_Periodo1[[#This Row],[CONTA]],BaseContasDRE[#All],7,FALSE)),"Fora do DRE",VLOOKUP(Base_Periodo1[[#This Row],[CONTA]],BaseContasDRE[#All],7,FALSE))</f>
        <v>Fora do DRE</v>
      </c>
      <c r="V846" s="3" t="str">
        <f>IF(Base_Periodo1[[#This Row],[Tipo_Linha]]="Fora do DRE","Fora do DRE","( "&amp;Base_Periodo1[[#This Row],[Tipo_Linha]]&amp;" ) "&amp;Base_Periodo1[[#This Row],[Filtro]])</f>
        <v>Fora do DRE</v>
      </c>
      <c r="W846" s="3" t="str">
        <f>LEFT(Base_Periodo1[[#This Row],[CLASS]],3)</f>
        <v>1.1</v>
      </c>
    </row>
    <row r="847" spans="1:23" hidden="1">
      <c r="A847" s="3" t="str">
        <f t="shared" si="13"/>
        <v>Período 1</v>
      </c>
      <c r="B847">
        <v>8548</v>
      </c>
      <c r="C847" t="s">
        <v>922</v>
      </c>
      <c r="D847" t="s">
        <v>930</v>
      </c>
      <c r="E847" s="3" t="str">
        <f>IF(LEN(Base_Periodo1[[#This Row],[CLASS]])&gt;=7,LEFT(Base_Periodo1[[#This Row],[CLASS]],7),"")</f>
        <v>1.1.2.2</v>
      </c>
      <c r="F847" s="3" t="str">
        <f>VLOOKUP(Base_Periodo1[[#This Row],[Aux]],Base_Contas_Balanco[#All],2,FALSE)</f>
        <v>Creditos com não Cooperados</v>
      </c>
      <c r="G847" s="1">
        <v>42074</v>
      </c>
      <c r="H847" s="225">
        <v>2444.9999999999891</v>
      </c>
      <c r="I847" s="225">
        <v>0</v>
      </c>
      <c r="J847" s="225">
        <v>0</v>
      </c>
      <c r="K847" s="225">
        <v>2444.9999999999891</v>
      </c>
      <c r="L8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2445</v>
      </c>
      <c r="M847" s="225">
        <f>ROUND(IF(AND(Base_Periodo1[[#This Row],[Tipo_Linha]]="-",Base_Periodo1[[#This Row],[TIPOSALDO]]="D"),Base_Periodo1[[#This Row],[SALDO_ATUAL]]*-1,Base_Periodo1[[#This Row],[SALDO_ATUAL]]),4)</f>
        <v>2445</v>
      </c>
      <c r="N847" t="s">
        <v>116</v>
      </c>
      <c r="O847" t="s">
        <v>397</v>
      </c>
      <c r="P847" t="s">
        <v>397</v>
      </c>
      <c r="Q847">
        <v>7</v>
      </c>
      <c r="R847" s="225">
        <f>Base_Periodo1[[#This Row],[CREDITOS]]-Base_Periodo1[[#This Row],[DEBITOS]]</f>
        <v>0</v>
      </c>
      <c r="S847" s="3" t="str">
        <f>IF(ISERROR(VLOOKUP(Base_Periodo1[[#This Row],[CONTA]],BaseContasDRE[#All],4,FALSE)),"Fora do DRE",VLOOKUP(Base_Periodo1[[#This Row],[CONTA]],BaseContasDRE[#All],4,FALSE))</f>
        <v>Fora do DRE</v>
      </c>
      <c r="T847" s="3" t="str">
        <f>IF(ISERROR(VLOOKUP(Base_Periodo1[[#This Row],[CONTA]],BaseContasDRE[#All],5,FALSE)),"Fora do DRE",VLOOKUP(Base_Periodo1[[#This Row],[CONTA]],BaseContasDRE[#All],6,FALSE))</f>
        <v>Fora do DRE</v>
      </c>
      <c r="U847" s="3" t="str">
        <f>IF(ISERROR(VLOOKUP(Base_Periodo1[[#This Row],[CONTA]],BaseContasDRE[#All],7,FALSE)),"Fora do DRE",VLOOKUP(Base_Periodo1[[#This Row],[CONTA]],BaseContasDRE[#All],7,FALSE))</f>
        <v>Fora do DRE</v>
      </c>
      <c r="V847" s="3" t="str">
        <f>IF(Base_Periodo1[[#This Row],[Tipo_Linha]]="Fora do DRE","Fora do DRE","( "&amp;Base_Periodo1[[#This Row],[Tipo_Linha]]&amp;" ) "&amp;Base_Periodo1[[#This Row],[Filtro]])</f>
        <v>Fora do DRE</v>
      </c>
      <c r="W847" s="3" t="str">
        <f>LEFT(Base_Periodo1[[#This Row],[CLASS]],3)</f>
        <v>1.1</v>
      </c>
    </row>
    <row r="848" spans="1:23" hidden="1">
      <c r="A848" s="3" t="str">
        <f t="shared" si="13"/>
        <v>Período 1</v>
      </c>
      <c r="B848">
        <v>51974</v>
      </c>
      <c r="C848" t="s">
        <v>922</v>
      </c>
      <c r="D848" t="s">
        <v>6744</v>
      </c>
      <c r="E848" s="3" t="str">
        <f>IF(LEN(Base_Periodo1[[#This Row],[CLASS]])&gt;=7,LEFT(Base_Periodo1[[#This Row],[CLASS]],7),"")</f>
        <v>1.1.2.2</v>
      </c>
      <c r="F848" s="3" t="str">
        <f>VLOOKUP(Base_Periodo1[[#This Row],[Aux]],Base_Contas_Balanco[#All],2,FALSE)</f>
        <v>Creditos com não Cooperados</v>
      </c>
      <c r="G848" s="1">
        <v>42858</v>
      </c>
      <c r="I848" s="225">
        <v>547.4</v>
      </c>
      <c r="J848" s="225">
        <v>547.4</v>
      </c>
      <c r="K848" s="225">
        <v>0</v>
      </c>
      <c r="L8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48" s="225">
        <f>ROUND(IF(AND(Base_Periodo1[[#This Row],[Tipo_Linha]]="-",Base_Periodo1[[#This Row],[TIPOSALDO]]="D"),Base_Periodo1[[#This Row],[SALDO_ATUAL]]*-1,Base_Periodo1[[#This Row],[SALDO_ATUAL]]),4)</f>
        <v>0</v>
      </c>
      <c r="N848" t="s">
        <v>116</v>
      </c>
      <c r="O848" t="s">
        <v>436</v>
      </c>
      <c r="P848" t="s">
        <v>436</v>
      </c>
      <c r="Q848">
        <v>7</v>
      </c>
      <c r="R848" s="225">
        <f>Base_Periodo1[[#This Row],[CREDITOS]]-Base_Periodo1[[#This Row],[DEBITOS]]</f>
        <v>0</v>
      </c>
      <c r="S848" s="3" t="str">
        <f>IF(ISERROR(VLOOKUP(Base_Periodo1[[#This Row],[CONTA]],BaseContasDRE[#All],4,FALSE)),"Fora do DRE",VLOOKUP(Base_Periodo1[[#This Row],[CONTA]],BaseContasDRE[#All],4,FALSE))</f>
        <v>Fora do DRE</v>
      </c>
      <c r="T848" s="3" t="str">
        <f>IF(ISERROR(VLOOKUP(Base_Periodo1[[#This Row],[CONTA]],BaseContasDRE[#All],5,FALSE)),"Fora do DRE",VLOOKUP(Base_Periodo1[[#This Row],[CONTA]],BaseContasDRE[#All],6,FALSE))</f>
        <v>Fora do DRE</v>
      </c>
      <c r="U848" s="3" t="str">
        <f>IF(ISERROR(VLOOKUP(Base_Periodo1[[#This Row],[CONTA]],BaseContasDRE[#All],7,FALSE)),"Fora do DRE",VLOOKUP(Base_Periodo1[[#This Row],[CONTA]],BaseContasDRE[#All],7,FALSE))</f>
        <v>Fora do DRE</v>
      </c>
      <c r="V848" s="3" t="str">
        <f>IF(Base_Periodo1[[#This Row],[Tipo_Linha]]="Fora do DRE","Fora do DRE","( "&amp;Base_Periodo1[[#This Row],[Tipo_Linha]]&amp;" ) "&amp;Base_Periodo1[[#This Row],[Filtro]])</f>
        <v>Fora do DRE</v>
      </c>
      <c r="W848" s="3" t="str">
        <f>LEFT(Base_Periodo1[[#This Row],[CLASS]],3)</f>
        <v>1.1</v>
      </c>
    </row>
    <row r="849" spans="1:23" hidden="1">
      <c r="A849" s="3" t="str">
        <f t="shared" si="13"/>
        <v>Período 1</v>
      </c>
      <c r="B849">
        <v>12743</v>
      </c>
      <c r="C849" t="s">
        <v>922</v>
      </c>
      <c r="D849" t="s">
        <v>5861</v>
      </c>
      <c r="E849" s="3" t="str">
        <f>IF(LEN(Base_Periodo1[[#This Row],[CLASS]])&gt;=7,LEFT(Base_Periodo1[[#This Row],[CLASS]],7),"")</f>
        <v>1.1.2.2</v>
      </c>
      <c r="F849" s="3" t="str">
        <f>VLOOKUP(Base_Periodo1[[#This Row],[Aux]],Base_Contas_Balanco[#All],2,FALSE)</f>
        <v>Creditos com não Cooperados</v>
      </c>
      <c r="G849" s="1">
        <v>42863</v>
      </c>
      <c r="H849" s="225">
        <v>1295</v>
      </c>
      <c r="I849" s="225">
        <v>0</v>
      </c>
      <c r="J849" s="225">
        <v>1295</v>
      </c>
      <c r="K849" s="225">
        <v>0</v>
      </c>
      <c r="L8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49" s="225">
        <f>ROUND(IF(AND(Base_Periodo1[[#This Row],[Tipo_Linha]]="-",Base_Periodo1[[#This Row],[TIPOSALDO]]="D"),Base_Periodo1[[#This Row],[SALDO_ATUAL]]*-1,Base_Periodo1[[#This Row],[SALDO_ATUAL]]),4)</f>
        <v>0</v>
      </c>
      <c r="N849" t="s">
        <v>116</v>
      </c>
      <c r="O849" t="s">
        <v>397</v>
      </c>
      <c r="P849" t="s">
        <v>436</v>
      </c>
      <c r="Q849">
        <v>7</v>
      </c>
      <c r="R849" s="225">
        <f>Base_Periodo1[[#This Row],[CREDITOS]]-Base_Periodo1[[#This Row],[DEBITOS]]</f>
        <v>1295</v>
      </c>
      <c r="S849" s="3" t="str">
        <f>IF(ISERROR(VLOOKUP(Base_Periodo1[[#This Row],[CONTA]],BaseContasDRE[#All],4,FALSE)),"Fora do DRE",VLOOKUP(Base_Periodo1[[#This Row],[CONTA]],BaseContasDRE[#All],4,FALSE))</f>
        <v>Fora do DRE</v>
      </c>
      <c r="T849" s="3" t="str">
        <f>IF(ISERROR(VLOOKUP(Base_Periodo1[[#This Row],[CONTA]],BaseContasDRE[#All],5,FALSE)),"Fora do DRE",VLOOKUP(Base_Periodo1[[#This Row],[CONTA]],BaseContasDRE[#All],6,FALSE))</f>
        <v>Fora do DRE</v>
      </c>
      <c r="U849" s="3" t="str">
        <f>IF(ISERROR(VLOOKUP(Base_Periodo1[[#This Row],[CONTA]],BaseContasDRE[#All],7,FALSE)),"Fora do DRE",VLOOKUP(Base_Periodo1[[#This Row],[CONTA]],BaseContasDRE[#All],7,FALSE))</f>
        <v>Fora do DRE</v>
      </c>
      <c r="V849" s="3" t="str">
        <f>IF(Base_Periodo1[[#This Row],[Tipo_Linha]]="Fora do DRE","Fora do DRE","( "&amp;Base_Periodo1[[#This Row],[Tipo_Linha]]&amp;" ) "&amp;Base_Periodo1[[#This Row],[Filtro]])</f>
        <v>Fora do DRE</v>
      </c>
      <c r="W849" s="3" t="str">
        <f>LEFT(Base_Periodo1[[#This Row],[CLASS]],3)</f>
        <v>1.1</v>
      </c>
    </row>
    <row r="850" spans="1:23" hidden="1">
      <c r="A850" s="3" t="str">
        <f t="shared" si="13"/>
        <v>Período 1</v>
      </c>
      <c r="B850">
        <v>12639</v>
      </c>
      <c r="C850" t="s">
        <v>922</v>
      </c>
      <c r="D850" t="s">
        <v>6745</v>
      </c>
      <c r="E850" s="3" t="str">
        <f>IF(LEN(Base_Periodo1[[#This Row],[CLASS]])&gt;=7,LEFT(Base_Periodo1[[#This Row],[CLASS]],7),"")</f>
        <v>1.1.2.2</v>
      </c>
      <c r="F850" s="3" t="str">
        <f>VLOOKUP(Base_Periodo1[[#This Row],[Aux]],Base_Contas_Balanco[#All],2,FALSE)</f>
        <v>Creditos com não Cooperados</v>
      </c>
      <c r="G850" s="1">
        <v>42879</v>
      </c>
      <c r="I850" s="225">
        <v>2539.8000000000002</v>
      </c>
      <c r="J850" s="225">
        <v>2539.8000000000002</v>
      </c>
      <c r="K850" s="225">
        <v>0</v>
      </c>
      <c r="L8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50" s="225">
        <f>ROUND(IF(AND(Base_Periodo1[[#This Row],[Tipo_Linha]]="-",Base_Periodo1[[#This Row],[TIPOSALDO]]="D"),Base_Periodo1[[#This Row],[SALDO_ATUAL]]*-1,Base_Periodo1[[#This Row],[SALDO_ATUAL]]),4)</f>
        <v>0</v>
      </c>
      <c r="N850" t="s">
        <v>116</v>
      </c>
      <c r="O850" t="s">
        <v>436</v>
      </c>
      <c r="P850" t="s">
        <v>436</v>
      </c>
      <c r="Q850">
        <v>7</v>
      </c>
      <c r="R850" s="225">
        <f>Base_Periodo1[[#This Row],[CREDITOS]]-Base_Periodo1[[#This Row],[DEBITOS]]</f>
        <v>0</v>
      </c>
      <c r="S850" s="3" t="str">
        <f>IF(ISERROR(VLOOKUP(Base_Periodo1[[#This Row],[CONTA]],BaseContasDRE[#All],4,FALSE)),"Fora do DRE",VLOOKUP(Base_Periodo1[[#This Row],[CONTA]],BaseContasDRE[#All],4,FALSE))</f>
        <v>Fora do DRE</v>
      </c>
      <c r="T850" s="3" t="str">
        <f>IF(ISERROR(VLOOKUP(Base_Periodo1[[#This Row],[CONTA]],BaseContasDRE[#All],5,FALSE)),"Fora do DRE",VLOOKUP(Base_Periodo1[[#This Row],[CONTA]],BaseContasDRE[#All],6,FALSE))</f>
        <v>Fora do DRE</v>
      </c>
      <c r="U850" s="3" t="str">
        <f>IF(ISERROR(VLOOKUP(Base_Periodo1[[#This Row],[CONTA]],BaseContasDRE[#All],7,FALSE)),"Fora do DRE",VLOOKUP(Base_Periodo1[[#This Row],[CONTA]],BaseContasDRE[#All],7,FALSE))</f>
        <v>Fora do DRE</v>
      </c>
      <c r="V850" s="3" t="str">
        <f>IF(Base_Periodo1[[#This Row],[Tipo_Linha]]="Fora do DRE","Fora do DRE","( "&amp;Base_Periodo1[[#This Row],[Tipo_Linha]]&amp;" ) "&amp;Base_Periodo1[[#This Row],[Filtro]])</f>
        <v>Fora do DRE</v>
      </c>
      <c r="W850" s="3" t="str">
        <f>LEFT(Base_Periodo1[[#This Row],[CLASS]],3)</f>
        <v>1.1</v>
      </c>
    </row>
    <row r="851" spans="1:23" hidden="1">
      <c r="A851" s="3" t="str">
        <f t="shared" si="13"/>
        <v>Período 1</v>
      </c>
      <c r="B851">
        <v>58533</v>
      </c>
      <c r="C851" t="s">
        <v>922</v>
      </c>
      <c r="D851" t="s">
        <v>5646</v>
      </c>
      <c r="E851" s="3" t="str">
        <f>IF(LEN(Base_Periodo1[[#This Row],[CLASS]])&gt;=7,LEFT(Base_Periodo1[[#This Row],[CLASS]],7),"")</f>
        <v>1.1.2.2</v>
      </c>
      <c r="F851" s="3" t="str">
        <f>VLOOKUP(Base_Periodo1[[#This Row],[Aux]],Base_Contas_Balanco[#All],2,FALSE)</f>
        <v>Creditos com não Cooperados</v>
      </c>
      <c r="G851" s="1">
        <v>42885</v>
      </c>
      <c r="H851" s="225">
        <v>144788.33000000002</v>
      </c>
      <c r="I851" s="225">
        <v>258600</v>
      </c>
      <c r="J851" s="225">
        <v>237188.33000000002</v>
      </c>
      <c r="K851" s="225">
        <v>166200</v>
      </c>
      <c r="L8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166200</v>
      </c>
      <c r="M851" s="225">
        <f>ROUND(IF(AND(Base_Periodo1[[#This Row],[Tipo_Linha]]="-",Base_Periodo1[[#This Row],[TIPOSALDO]]="D"),Base_Periodo1[[#This Row],[SALDO_ATUAL]]*-1,Base_Periodo1[[#This Row],[SALDO_ATUAL]]),4)</f>
        <v>166200</v>
      </c>
      <c r="N851" t="s">
        <v>116</v>
      </c>
      <c r="O851" t="s">
        <v>397</v>
      </c>
      <c r="P851" t="s">
        <v>397</v>
      </c>
      <c r="Q851">
        <v>7</v>
      </c>
      <c r="R851" s="225">
        <f>Base_Periodo1[[#This Row],[CREDITOS]]-Base_Periodo1[[#This Row],[DEBITOS]]</f>
        <v>-21411.669999999984</v>
      </c>
      <c r="S851" s="3" t="str">
        <f>IF(ISERROR(VLOOKUP(Base_Periodo1[[#This Row],[CONTA]],BaseContasDRE[#All],4,FALSE)),"Fora do DRE",VLOOKUP(Base_Periodo1[[#This Row],[CONTA]],BaseContasDRE[#All],4,FALSE))</f>
        <v>Fora do DRE</v>
      </c>
      <c r="T851" s="3" t="str">
        <f>IF(ISERROR(VLOOKUP(Base_Periodo1[[#This Row],[CONTA]],BaseContasDRE[#All],5,FALSE)),"Fora do DRE",VLOOKUP(Base_Periodo1[[#This Row],[CONTA]],BaseContasDRE[#All],6,FALSE))</f>
        <v>Fora do DRE</v>
      </c>
      <c r="U851" s="3" t="str">
        <f>IF(ISERROR(VLOOKUP(Base_Periodo1[[#This Row],[CONTA]],BaseContasDRE[#All],7,FALSE)),"Fora do DRE",VLOOKUP(Base_Periodo1[[#This Row],[CONTA]],BaseContasDRE[#All],7,FALSE))</f>
        <v>Fora do DRE</v>
      </c>
      <c r="V851" s="3" t="str">
        <f>IF(Base_Periodo1[[#This Row],[Tipo_Linha]]="Fora do DRE","Fora do DRE","( "&amp;Base_Periodo1[[#This Row],[Tipo_Linha]]&amp;" ) "&amp;Base_Periodo1[[#This Row],[Filtro]])</f>
        <v>Fora do DRE</v>
      </c>
      <c r="W851" s="3" t="str">
        <f>LEFT(Base_Periodo1[[#This Row],[CLASS]],3)</f>
        <v>1.1</v>
      </c>
    </row>
    <row r="852" spans="1:23" hidden="1">
      <c r="A852" s="3" t="str">
        <f t="shared" si="13"/>
        <v>Período 1</v>
      </c>
      <c r="B852">
        <v>24047</v>
      </c>
      <c r="C852" t="s">
        <v>922</v>
      </c>
      <c r="D852" t="s">
        <v>5646</v>
      </c>
      <c r="E852" s="3" t="str">
        <f>IF(LEN(Base_Periodo1[[#This Row],[CLASS]])&gt;=7,LEFT(Base_Periodo1[[#This Row],[CLASS]],7),"")</f>
        <v>1.1.2.2</v>
      </c>
      <c r="F852" s="3" t="str">
        <f>VLOOKUP(Base_Periodo1[[#This Row],[Aux]],Base_Contas_Balanco[#All],2,FALSE)</f>
        <v>Creditos com não Cooperados</v>
      </c>
      <c r="G852" s="1">
        <v>42844</v>
      </c>
      <c r="H852" s="225">
        <v>227.5</v>
      </c>
      <c r="I852" s="225">
        <v>0</v>
      </c>
      <c r="J852" s="225">
        <v>0</v>
      </c>
      <c r="K852" s="225">
        <v>227.5</v>
      </c>
      <c r="L8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227.5</v>
      </c>
      <c r="M852" s="225">
        <f>ROUND(IF(AND(Base_Periodo1[[#This Row],[Tipo_Linha]]="-",Base_Periodo1[[#This Row],[TIPOSALDO]]="D"),Base_Periodo1[[#This Row],[SALDO_ATUAL]]*-1,Base_Periodo1[[#This Row],[SALDO_ATUAL]]),4)</f>
        <v>227.5</v>
      </c>
      <c r="N852" t="s">
        <v>116</v>
      </c>
      <c r="O852" t="s">
        <v>397</v>
      </c>
      <c r="P852" t="s">
        <v>397</v>
      </c>
      <c r="Q852">
        <v>7</v>
      </c>
      <c r="R852" s="225">
        <f>Base_Periodo1[[#This Row],[CREDITOS]]-Base_Periodo1[[#This Row],[DEBITOS]]</f>
        <v>0</v>
      </c>
      <c r="S852" s="3" t="str">
        <f>IF(ISERROR(VLOOKUP(Base_Periodo1[[#This Row],[CONTA]],BaseContasDRE[#All],4,FALSE)),"Fora do DRE",VLOOKUP(Base_Periodo1[[#This Row],[CONTA]],BaseContasDRE[#All],4,FALSE))</f>
        <v>Fora do DRE</v>
      </c>
      <c r="T852" s="3" t="str">
        <f>IF(ISERROR(VLOOKUP(Base_Periodo1[[#This Row],[CONTA]],BaseContasDRE[#All],5,FALSE)),"Fora do DRE",VLOOKUP(Base_Periodo1[[#This Row],[CONTA]],BaseContasDRE[#All],6,FALSE))</f>
        <v>Fora do DRE</v>
      </c>
      <c r="U852" s="3" t="str">
        <f>IF(ISERROR(VLOOKUP(Base_Periodo1[[#This Row],[CONTA]],BaseContasDRE[#All],7,FALSE)),"Fora do DRE",VLOOKUP(Base_Periodo1[[#This Row],[CONTA]],BaseContasDRE[#All],7,FALSE))</f>
        <v>Fora do DRE</v>
      </c>
      <c r="V852" s="3" t="str">
        <f>IF(Base_Periodo1[[#This Row],[Tipo_Linha]]="Fora do DRE","Fora do DRE","( "&amp;Base_Periodo1[[#This Row],[Tipo_Linha]]&amp;" ) "&amp;Base_Periodo1[[#This Row],[Filtro]])</f>
        <v>Fora do DRE</v>
      </c>
      <c r="W852" s="3" t="str">
        <f>LEFT(Base_Periodo1[[#This Row],[CLASS]],3)</f>
        <v>1.1</v>
      </c>
    </row>
    <row r="853" spans="1:23" hidden="1">
      <c r="A853" s="3" t="str">
        <f t="shared" si="13"/>
        <v>Período 1</v>
      </c>
      <c r="B853">
        <v>40871</v>
      </c>
      <c r="C853" t="s">
        <v>922</v>
      </c>
      <c r="D853" t="s">
        <v>559</v>
      </c>
      <c r="E853" s="3" t="str">
        <f>IF(LEN(Base_Periodo1[[#This Row],[CLASS]])&gt;=7,LEFT(Base_Periodo1[[#This Row],[CLASS]],7),"")</f>
        <v>1.1.2.2</v>
      </c>
      <c r="F853" s="3" t="str">
        <f>VLOOKUP(Base_Periodo1[[#This Row],[Aux]],Base_Contas_Balanco[#All],2,FALSE)</f>
        <v>Creditos com não Cooperados</v>
      </c>
      <c r="G853" s="1">
        <v>42884</v>
      </c>
      <c r="I853" s="225">
        <v>1633.1499999999999</v>
      </c>
      <c r="J853" s="225">
        <v>1604.35</v>
      </c>
      <c r="K853" s="225">
        <v>28.799999999999955</v>
      </c>
      <c r="L8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28.8</v>
      </c>
      <c r="M853" s="225">
        <f>ROUND(IF(AND(Base_Periodo1[[#This Row],[Tipo_Linha]]="-",Base_Periodo1[[#This Row],[TIPOSALDO]]="D"),Base_Periodo1[[#This Row],[SALDO_ATUAL]]*-1,Base_Periodo1[[#This Row],[SALDO_ATUAL]]),4)</f>
        <v>28.8</v>
      </c>
      <c r="N853" t="s">
        <v>116</v>
      </c>
      <c r="O853" t="s">
        <v>436</v>
      </c>
      <c r="P853" t="s">
        <v>397</v>
      </c>
      <c r="Q853">
        <v>7</v>
      </c>
      <c r="R853" s="225">
        <f>Base_Periodo1[[#This Row],[CREDITOS]]-Base_Periodo1[[#This Row],[DEBITOS]]</f>
        <v>-28.799999999999955</v>
      </c>
      <c r="S853" s="3" t="str">
        <f>IF(ISERROR(VLOOKUP(Base_Periodo1[[#This Row],[CONTA]],BaseContasDRE[#All],4,FALSE)),"Fora do DRE",VLOOKUP(Base_Periodo1[[#This Row],[CONTA]],BaseContasDRE[#All],4,FALSE))</f>
        <v>Fora do DRE</v>
      </c>
      <c r="T853" s="3" t="str">
        <f>IF(ISERROR(VLOOKUP(Base_Periodo1[[#This Row],[CONTA]],BaseContasDRE[#All],5,FALSE)),"Fora do DRE",VLOOKUP(Base_Periodo1[[#This Row],[CONTA]],BaseContasDRE[#All],6,FALSE))</f>
        <v>Fora do DRE</v>
      </c>
      <c r="U853" s="3" t="str">
        <f>IF(ISERROR(VLOOKUP(Base_Periodo1[[#This Row],[CONTA]],BaseContasDRE[#All],7,FALSE)),"Fora do DRE",VLOOKUP(Base_Periodo1[[#This Row],[CONTA]],BaseContasDRE[#All],7,FALSE))</f>
        <v>Fora do DRE</v>
      </c>
      <c r="V853" s="3" t="str">
        <f>IF(Base_Periodo1[[#This Row],[Tipo_Linha]]="Fora do DRE","Fora do DRE","( "&amp;Base_Periodo1[[#This Row],[Tipo_Linha]]&amp;" ) "&amp;Base_Periodo1[[#This Row],[Filtro]])</f>
        <v>Fora do DRE</v>
      </c>
      <c r="W853" s="3" t="str">
        <f>LEFT(Base_Periodo1[[#This Row],[CLASS]],3)</f>
        <v>1.1</v>
      </c>
    </row>
    <row r="854" spans="1:23" hidden="1">
      <c r="A854" s="3" t="str">
        <f t="shared" si="13"/>
        <v>Período 1</v>
      </c>
      <c r="B854">
        <v>7205</v>
      </c>
      <c r="C854" t="s">
        <v>922</v>
      </c>
      <c r="D854" t="s">
        <v>6746</v>
      </c>
      <c r="E854" s="3" t="str">
        <f>IF(LEN(Base_Periodo1[[#This Row],[CLASS]])&gt;=7,LEFT(Base_Periodo1[[#This Row],[CLASS]],7),"")</f>
        <v>1.1.2.2</v>
      </c>
      <c r="F854" s="3" t="str">
        <f>VLOOKUP(Base_Periodo1[[#This Row],[Aux]],Base_Contas_Balanco[#All],2,FALSE)</f>
        <v>Creditos com não Cooperados</v>
      </c>
      <c r="G854" s="1">
        <v>42881</v>
      </c>
      <c r="I854" s="225">
        <v>750</v>
      </c>
      <c r="J854" s="225">
        <v>750</v>
      </c>
      <c r="K854" s="225">
        <v>0</v>
      </c>
      <c r="L8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54" s="225">
        <f>ROUND(IF(AND(Base_Periodo1[[#This Row],[Tipo_Linha]]="-",Base_Periodo1[[#This Row],[TIPOSALDO]]="D"),Base_Periodo1[[#This Row],[SALDO_ATUAL]]*-1,Base_Periodo1[[#This Row],[SALDO_ATUAL]]),4)</f>
        <v>0</v>
      </c>
      <c r="N854" t="s">
        <v>116</v>
      </c>
      <c r="O854" t="s">
        <v>436</v>
      </c>
      <c r="P854" t="s">
        <v>436</v>
      </c>
      <c r="Q854">
        <v>7</v>
      </c>
      <c r="R854" s="225">
        <f>Base_Periodo1[[#This Row],[CREDITOS]]-Base_Periodo1[[#This Row],[DEBITOS]]</f>
        <v>0</v>
      </c>
      <c r="S854" s="3" t="str">
        <f>IF(ISERROR(VLOOKUP(Base_Periodo1[[#This Row],[CONTA]],BaseContasDRE[#All],4,FALSE)),"Fora do DRE",VLOOKUP(Base_Periodo1[[#This Row],[CONTA]],BaseContasDRE[#All],4,FALSE))</f>
        <v>Fora do DRE</v>
      </c>
      <c r="T854" s="3" t="str">
        <f>IF(ISERROR(VLOOKUP(Base_Periodo1[[#This Row],[CONTA]],BaseContasDRE[#All],5,FALSE)),"Fora do DRE",VLOOKUP(Base_Periodo1[[#This Row],[CONTA]],BaseContasDRE[#All],6,FALSE))</f>
        <v>Fora do DRE</v>
      </c>
      <c r="U854" s="3" t="str">
        <f>IF(ISERROR(VLOOKUP(Base_Periodo1[[#This Row],[CONTA]],BaseContasDRE[#All],7,FALSE)),"Fora do DRE",VLOOKUP(Base_Periodo1[[#This Row],[CONTA]],BaseContasDRE[#All],7,FALSE))</f>
        <v>Fora do DRE</v>
      </c>
      <c r="V854" s="3" t="str">
        <f>IF(Base_Periodo1[[#This Row],[Tipo_Linha]]="Fora do DRE","Fora do DRE","( "&amp;Base_Periodo1[[#This Row],[Tipo_Linha]]&amp;" ) "&amp;Base_Periodo1[[#This Row],[Filtro]])</f>
        <v>Fora do DRE</v>
      </c>
      <c r="W854" s="3" t="str">
        <f>LEFT(Base_Periodo1[[#This Row],[CLASS]],3)</f>
        <v>1.1</v>
      </c>
    </row>
    <row r="855" spans="1:23" hidden="1">
      <c r="A855" s="3" t="str">
        <f t="shared" si="13"/>
        <v>Período 1</v>
      </c>
      <c r="B855">
        <v>48409</v>
      </c>
      <c r="C855" t="s">
        <v>922</v>
      </c>
      <c r="D855" t="s">
        <v>5293</v>
      </c>
      <c r="E855" s="3" t="str">
        <f>IF(LEN(Base_Periodo1[[#This Row],[CLASS]])&gt;=7,LEFT(Base_Periodo1[[#This Row],[CLASS]],7),"")</f>
        <v>1.1.2.2</v>
      </c>
      <c r="F855" s="3" t="str">
        <f>VLOOKUP(Base_Periodo1[[#This Row],[Aux]],Base_Contas_Balanco[#All],2,FALSE)</f>
        <v>Creditos com não Cooperados</v>
      </c>
      <c r="G855" s="1">
        <v>42838</v>
      </c>
      <c r="H855" s="225">
        <v>10367.799999999999</v>
      </c>
      <c r="I855" s="225">
        <v>0</v>
      </c>
      <c r="J855" s="225">
        <v>0</v>
      </c>
      <c r="K855" s="225">
        <v>10367.799999999999</v>
      </c>
      <c r="L8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-10367.799999999999</v>
      </c>
      <c r="M855" s="225">
        <f>ROUND(IF(AND(Base_Periodo1[[#This Row],[Tipo_Linha]]="-",Base_Periodo1[[#This Row],[TIPOSALDO]]="D"),Base_Periodo1[[#This Row],[SALDO_ATUAL]]*-1,Base_Periodo1[[#This Row],[SALDO_ATUAL]]),4)</f>
        <v>10367.799999999999</v>
      </c>
      <c r="N855" t="s">
        <v>116</v>
      </c>
      <c r="O855" t="s">
        <v>459</v>
      </c>
      <c r="P855" t="s">
        <v>459</v>
      </c>
      <c r="Q855">
        <v>7</v>
      </c>
      <c r="R855" s="225">
        <f>Base_Periodo1[[#This Row],[CREDITOS]]-Base_Periodo1[[#This Row],[DEBITOS]]</f>
        <v>0</v>
      </c>
      <c r="S855" s="3" t="str">
        <f>IF(ISERROR(VLOOKUP(Base_Periodo1[[#This Row],[CONTA]],BaseContasDRE[#All],4,FALSE)),"Fora do DRE",VLOOKUP(Base_Periodo1[[#This Row],[CONTA]],BaseContasDRE[#All],4,FALSE))</f>
        <v>Fora do DRE</v>
      </c>
      <c r="T855" s="3" t="str">
        <f>IF(ISERROR(VLOOKUP(Base_Periodo1[[#This Row],[CONTA]],BaseContasDRE[#All],5,FALSE)),"Fora do DRE",VLOOKUP(Base_Periodo1[[#This Row],[CONTA]],BaseContasDRE[#All],6,FALSE))</f>
        <v>Fora do DRE</v>
      </c>
      <c r="U855" s="3" t="str">
        <f>IF(ISERROR(VLOOKUP(Base_Periodo1[[#This Row],[CONTA]],BaseContasDRE[#All],7,FALSE)),"Fora do DRE",VLOOKUP(Base_Periodo1[[#This Row],[CONTA]],BaseContasDRE[#All],7,FALSE))</f>
        <v>Fora do DRE</v>
      </c>
      <c r="V855" s="3" t="str">
        <f>IF(Base_Periodo1[[#This Row],[Tipo_Linha]]="Fora do DRE","Fora do DRE","( "&amp;Base_Periodo1[[#This Row],[Tipo_Linha]]&amp;" ) "&amp;Base_Periodo1[[#This Row],[Filtro]])</f>
        <v>Fora do DRE</v>
      </c>
      <c r="W855" s="3" t="str">
        <f>LEFT(Base_Periodo1[[#This Row],[CLASS]],3)</f>
        <v>1.1</v>
      </c>
    </row>
    <row r="856" spans="1:23" hidden="1">
      <c r="A856" s="3" t="str">
        <f t="shared" si="13"/>
        <v>Período 1</v>
      </c>
      <c r="B856">
        <v>44347</v>
      </c>
      <c r="C856" t="s">
        <v>922</v>
      </c>
      <c r="D856" t="s">
        <v>5072</v>
      </c>
      <c r="E856" s="3" t="str">
        <f>IF(LEN(Base_Periodo1[[#This Row],[CLASS]])&gt;=7,LEFT(Base_Periodo1[[#This Row],[CLASS]],7),"")</f>
        <v>1.1.2.2</v>
      </c>
      <c r="F856" s="3" t="str">
        <f>VLOOKUP(Base_Periodo1[[#This Row],[Aux]],Base_Contas_Balanco[#All],2,FALSE)</f>
        <v>Creditos com não Cooperados</v>
      </c>
      <c r="G856" s="1">
        <v>42885</v>
      </c>
      <c r="H856" s="225">
        <v>4039.2</v>
      </c>
      <c r="I856" s="225">
        <v>0</v>
      </c>
      <c r="J856" s="225">
        <v>4039.2</v>
      </c>
      <c r="K856" s="225">
        <v>0</v>
      </c>
      <c r="L8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56" s="225">
        <f>ROUND(IF(AND(Base_Periodo1[[#This Row],[Tipo_Linha]]="-",Base_Periodo1[[#This Row],[TIPOSALDO]]="D"),Base_Periodo1[[#This Row],[SALDO_ATUAL]]*-1,Base_Periodo1[[#This Row],[SALDO_ATUAL]]),4)</f>
        <v>0</v>
      </c>
      <c r="N856" t="s">
        <v>116</v>
      </c>
      <c r="O856" t="s">
        <v>397</v>
      </c>
      <c r="P856" t="s">
        <v>436</v>
      </c>
      <c r="Q856">
        <v>7</v>
      </c>
      <c r="R856" s="225">
        <f>Base_Periodo1[[#This Row],[CREDITOS]]-Base_Periodo1[[#This Row],[DEBITOS]]</f>
        <v>4039.2</v>
      </c>
      <c r="S856" s="3" t="str">
        <f>IF(ISERROR(VLOOKUP(Base_Periodo1[[#This Row],[CONTA]],BaseContasDRE[#All],4,FALSE)),"Fora do DRE",VLOOKUP(Base_Periodo1[[#This Row],[CONTA]],BaseContasDRE[#All],4,FALSE))</f>
        <v>Fora do DRE</v>
      </c>
      <c r="T856" s="3" t="str">
        <f>IF(ISERROR(VLOOKUP(Base_Periodo1[[#This Row],[CONTA]],BaseContasDRE[#All],5,FALSE)),"Fora do DRE",VLOOKUP(Base_Periodo1[[#This Row],[CONTA]],BaseContasDRE[#All],6,FALSE))</f>
        <v>Fora do DRE</v>
      </c>
      <c r="U856" s="3" t="str">
        <f>IF(ISERROR(VLOOKUP(Base_Periodo1[[#This Row],[CONTA]],BaseContasDRE[#All],7,FALSE)),"Fora do DRE",VLOOKUP(Base_Periodo1[[#This Row],[CONTA]],BaseContasDRE[#All],7,FALSE))</f>
        <v>Fora do DRE</v>
      </c>
      <c r="V856" s="3" t="str">
        <f>IF(Base_Periodo1[[#This Row],[Tipo_Linha]]="Fora do DRE","Fora do DRE","( "&amp;Base_Periodo1[[#This Row],[Tipo_Linha]]&amp;" ) "&amp;Base_Periodo1[[#This Row],[Filtro]])</f>
        <v>Fora do DRE</v>
      </c>
      <c r="W856" s="3" t="str">
        <f>LEFT(Base_Periodo1[[#This Row],[CLASS]],3)</f>
        <v>1.1</v>
      </c>
    </row>
    <row r="857" spans="1:23" hidden="1">
      <c r="A857" s="3" t="str">
        <f t="shared" si="13"/>
        <v>Período 1</v>
      </c>
      <c r="B857">
        <v>16799</v>
      </c>
      <c r="C857" t="s">
        <v>922</v>
      </c>
      <c r="D857" t="s">
        <v>4247</v>
      </c>
      <c r="E857" s="3" t="str">
        <f>IF(LEN(Base_Periodo1[[#This Row],[CLASS]])&gt;=7,LEFT(Base_Periodo1[[#This Row],[CLASS]],7),"")</f>
        <v>1.1.2.2</v>
      </c>
      <c r="F857" s="3" t="str">
        <f>VLOOKUP(Base_Periodo1[[#This Row],[Aux]],Base_Contas_Balanco[#All],2,FALSE)</f>
        <v>Creditos com não Cooperados</v>
      </c>
      <c r="G857" s="1">
        <v>42859</v>
      </c>
      <c r="H857" s="225">
        <v>2140836.4600000042</v>
      </c>
      <c r="I857" s="225">
        <v>0</v>
      </c>
      <c r="J857" s="225">
        <v>2140836.4600000018</v>
      </c>
      <c r="K857" s="225">
        <v>2.3283064365386963E-9</v>
      </c>
      <c r="L8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57" s="225">
        <f>ROUND(IF(AND(Base_Periodo1[[#This Row],[Tipo_Linha]]="-",Base_Periodo1[[#This Row],[TIPOSALDO]]="D"),Base_Periodo1[[#This Row],[SALDO_ATUAL]]*-1,Base_Periodo1[[#This Row],[SALDO_ATUAL]]),4)</f>
        <v>0</v>
      </c>
      <c r="N857" t="s">
        <v>116</v>
      </c>
      <c r="O857" t="s">
        <v>397</v>
      </c>
      <c r="P857" t="s">
        <v>436</v>
      </c>
      <c r="Q857">
        <v>7</v>
      </c>
      <c r="R857" s="225">
        <f>Base_Periodo1[[#This Row],[CREDITOS]]-Base_Periodo1[[#This Row],[DEBITOS]]</f>
        <v>2140836.4600000018</v>
      </c>
      <c r="S857" s="3" t="str">
        <f>IF(ISERROR(VLOOKUP(Base_Periodo1[[#This Row],[CONTA]],BaseContasDRE[#All],4,FALSE)),"Fora do DRE",VLOOKUP(Base_Periodo1[[#This Row],[CONTA]],BaseContasDRE[#All],4,FALSE))</f>
        <v>Fora do DRE</v>
      </c>
      <c r="T857" s="3" t="str">
        <f>IF(ISERROR(VLOOKUP(Base_Periodo1[[#This Row],[CONTA]],BaseContasDRE[#All],5,FALSE)),"Fora do DRE",VLOOKUP(Base_Periodo1[[#This Row],[CONTA]],BaseContasDRE[#All],6,FALSE))</f>
        <v>Fora do DRE</v>
      </c>
      <c r="U857" s="3" t="str">
        <f>IF(ISERROR(VLOOKUP(Base_Periodo1[[#This Row],[CONTA]],BaseContasDRE[#All],7,FALSE)),"Fora do DRE",VLOOKUP(Base_Periodo1[[#This Row],[CONTA]],BaseContasDRE[#All],7,FALSE))</f>
        <v>Fora do DRE</v>
      </c>
      <c r="V857" s="3" t="str">
        <f>IF(Base_Periodo1[[#This Row],[Tipo_Linha]]="Fora do DRE","Fora do DRE","( "&amp;Base_Periodo1[[#This Row],[Tipo_Linha]]&amp;" ) "&amp;Base_Periodo1[[#This Row],[Filtro]])</f>
        <v>Fora do DRE</v>
      </c>
      <c r="W857" s="3" t="str">
        <f>LEFT(Base_Periodo1[[#This Row],[CLASS]],3)</f>
        <v>1.1</v>
      </c>
    </row>
    <row r="858" spans="1:23" hidden="1">
      <c r="A858" s="3" t="str">
        <f t="shared" si="13"/>
        <v>Período 1</v>
      </c>
      <c r="B858">
        <v>56549</v>
      </c>
      <c r="C858" t="s">
        <v>922</v>
      </c>
      <c r="D858" t="s">
        <v>5862</v>
      </c>
      <c r="E858" s="3" t="str">
        <f>IF(LEN(Base_Periodo1[[#This Row],[CLASS]])&gt;=7,LEFT(Base_Periodo1[[#This Row],[CLASS]],7),"")</f>
        <v>1.1.2.2</v>
      </c>
      <c r="F858" s="3" t="str">
        <f>VLOOKUP(Base_Periodo1[[#This Row],[Aux]],Base_Contas_Balanco[#All],2,FALSE)</f>
        <v>Creditos com não Cooperados</v>
      </c>
      <c r="G858" s="1">
        <v>42776</v>
      </c>
      <c r="H858" s="225">
        <v>345786.82</v>
      </c>
      <c r="I858" s="225">
        <v>0</v>
      </c>
      <c r="J858" s="225">
        <v>0</v>
      </c>
      <c r="K858" s="225">
        <v>345786.82</v>
      </c>
      <c r="L8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345786.82</v>
      </c>
      <c r="M858" s="225">
        <f>ROUND(IF(AND(Base_Periodo1[[#This Row],[Tipo_Linha]]="-",Base_Periodo1[[#This Row],[TIPOSALDO]]="D"),Base_Periodo1[[#This Row],[SALDO_ATUAL]]*-1,Base_Periodo1[[#This Row],[SALDO_ATUAL]]),4)</f>
        <v>345786.82</v>
      </c>
      <c r="N858" t="s">
        <v>116</v>
      </c>
      <c r="O858" t="s">
        <v>397</v>
      </c>
      <c r="P858" t="s">
        <v>397</v>
      </c>
      <c r="Q858">
        <v>7</v>
      </c>
      <c r="R858" s="225">
        <f>Base_Periodo1[[#This Row],[CREDITOS]]-Base_Periodo1[[#This Row],[DEBITOS]]</f>
        <v>0</v>
      </c>
      <c r="S858" s="3" t="str">
        <f>IF(ISERROR(VLOOKUP(Base_Periodo1[[#This Row],[CONTA]],BaseContasDRE[#All],4,FALSE)),"Fora do DRE",VLOOKUP(Base_Periodo1[[#This Row],[CONTA]],BaseContasDRE[#All],4,FALSE))</f>
        <v>Fora do DRE</v>
      </c>
      <c r="T858" s="3" t="str">
        <f>IF(ISERROR(VLOOKUP(Base_Periodo1[[#This Row],[CONTA]],BaseContasDRE[#All],5,FALSE)),"Fora do DRE",VLOOKUP(Base_Periodo1[[#This Row],[CONTA]],BaseContasDRE[#All],6,FALSE))</f>
        <v>Fora do DRE</v>
      </c>
      <c r="U858" s="3" t="str">
        <f>IF(ISERROR(VLOOKUP(Base_Periodo1[[#This Row],[CONTA]],BaseContasDRE[#All],7,FALSE)),"Fora do DRE",VLOOKUP(Base_Periodo1[[#This Row],[CONTA]],BaseContasDRE[#All],7,FALSE))</f>
        <v>Fora do DRE</v>
      </c>
      <c r="V858" s="3" t="str">
        <f>IF(Base_Periodo1[[#This Row],[Tipo_Linha]]="Fora do DRE","Fora do DRE","( "&amp;Base_Periodo1[[#This Row],[Tipo_Linha]]&amp;" ) "&amp;Base_Periodo1[[#This Row],[Filtro]])</f>
        <v>Fora do DRE</v>
      </c>
      <c r="W858" s="3" t="str">
        <f>LEFT(Base_Periodo1[[#This Row],[CLASS]],3)</f>
        <v>1.1</v>
      </c>
    </row>
    <row r="859" spans="1:23" hidden="1">
      <c r="A859" s="3" t="str">
        <f t="shared" si="13"/>
        <v>Período 1</v>
      </c>
      <c r="B859">
        <v>20017</v>
      </c>
      <c r="C859" t="s">
        <v>922</v>
      </c>
      <c r="D859" t="s">
        <v>6148</v>
      </c>
      <c r="E859" s="3" t="str">
        <f>IF(LEN(Base_Periodo1[[#This Row],[CLASS]])&gt;=7,LEFT(Base_Periodo1[[#This Row],[CLASS]],7),"")</f>
        <v>1.1.2.2</v>
      </c>
      <c r="F859" s="3" t="str">
        <f>VLOOKUP(Base_Periodo1[[#This Row],[Aux]],Base_Contas_Balanco[#All],2,FALSE)</f>
        <v>Creditos com não Cooperados</v>
      </c>
      <c r="G859" s="1">
        <v>42857</v>
      </c>
      <c r="H859" s="225">
        <v>604572.770000007</v>
      </c>
      <c r="I859" s="225">
        <v>0</v>
      </c>
      <c r="J859" s="225">
        <v>604572.77000000014</v>
      </c>
      <c r="K859" s="225">
        <v>6.8685039877891541E-9</v>
      </c>
      <c r="L8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59" s="225">
        <f>ROUND(IF(AND(Base_Periodo1[[#This Row],[Tipo_Linha]]="-",Base_Periodo1[[#This Row],[TIPOSALDO]]="D"),Base_Periodo1[[#This Row],[SALDO_ATUAL]]*-1,Base_Periodo1[[#This Row],[SALDO_ATUAL]]),4)</f>
        <v>0</v>
      </c>
      <c r="N859" t="s">
        <v>116</v>
      </c>
      <c r="O859" t="s">
        <v>397</v>
      </c>
      <c r="P859" t="s">
        <v>436</v>
      </c>
      <c r="Q859">
        <v>7</v>
      </c>
      <c r="R859" s="225">
        <f>Base_Periodo1[[#This Row],[CREDITOS]]-Base_Periodo1[[#This Row],[DEBITOS]]</f>
        <v>604572.77000000014</v>
      </c>
      <c r="S859" s="3" t="str">
        <f>IF(ISERROR(VLOOKUP(Base_Periodo1[[#This Row],[CONTA]],BaseContasDRE[#All],4,FALSE)),"Fora do DRE",VLOOKUP(Base_Periodo1[[#This Row],[CONTA]],BaseContasDRE[#All],4,FALSE))</f>
        <v>Fora do DRE</v>
      </c>
      <c r="T859" s="3" t="str">
        <f>IF(ISERROR(VLOOKUP(Base_Periodo1[[#This Row],[CONTA]],BaseContasDRE[#All],5,FALSE)),"Fora do DRE",VLOOKUP(Base_Periodo1[[#This Row],[CONTA]],BaseContasDRE[#All],6,FALSE))</f>
        <v>Fora do DRE</v>
      </c>
      <c r="U859" s="3" t="str">
        <f>IF(ISERROR(VLOOKUP(Base_Periodo1[[#This Row],[CONTA]],BaseContasDRE[#All],7,FALSE)),"Fora do DRE",VLOOKUP(Base_Periodo1[[#This Row],[CONTA]],BaseContasDRE[#All],7,FALSE))</f>
        <v>Fora do DRE</v>
      </c>
      <c r="V859" s="3" t="str">
        <f>IF(Base_Periodo1[[#This Row],[Tipo_Linha]]="Fora do DRE","Fora do DRE","( "&amp;Base_Periodo1[[#This Row],[Tipo_Linha]]&amp;" ) "&amp;Base_Periodo1[[#This Row],[Filtro]])</f>
        <v>Fora do DRE</v>
      </c>
      <c r="W859" s="3" t="str">
        <f>LEFT(Base_Periodo1[[#This Row],[CLASS]],3)</f>
        <v>1.1</v>
      </c>
    </row>
    <row r="860" spans="1:23" hidden="1">
      <c r="A860" s="3" t="str">
        <f t="shared" si="13"/>
        <v>Período 1</v>
      </c>
      <c r="B860">
        <v>17447</v>
      </c>
      <c r="C860" t="s">
        <v>922</v>
      </c>
      <c r="D860" t="s">
        <v>6148</v>
      </c>
      <c r="E860" s="3" t="str">
        <f>IF(LEN(Base_Periodo1[[#This Row],[CLASS]])&gt;=7,LEFT(Base_Periodo1[[#This Row],[CLASS]],7),"")</f>
        <v>1.1.2.2</v>
      </c>
      <c r="F860" s="3" t="str">
        <f>VLOOKUP(Base_Periodo1[[#This Row],[Aux]],Base_Contas_Balanco[#All],2,FALSE)</f>
        <v>Creditos com não Cooperados</v>
      </c>
      <c r="G860" s="1">
        <v>42886</v>
      </c>
      <c r="I860" s="225">
        <v>1015528.96</v>
      </c>
      <c r="J860" s="225">
        <v>0</v>
      </c>
      <c r="K860" s="225">
        <v>1015528.959999999</v>
      </c>
      <c r="L8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1015528.96</v>
      </c>
      <c r="M860" s="225">
        <f>ROUND(IF(AND(Base_Periodo1[[#This Row],[Tipo_Linha]]="-",Base_Periodo1[[#This Row],[TIPOSALDO]]="D"),Base_Periodo1[[#This Row],[SALDO_ATUAL]]*-1,Base_Periodo1[[#This Row],[SALDO_ATUAL]]),4)</f>
        <v>1015528.96</v>
      </c>
      <c r="N860" t="s">
        <v>116</v>
      </c>
      <c r="O860" t="s">
        <v>436</v>
      </c>
      <c r="P860" t="s">
        <v>397</v>
      </c>
      <c r="Q860">
        <v>7</v>
      </c>
      <c r="R860" s="225">
        <f>Base_Periodo1[[#This Row],[CREDITOS]]-Base_Periodo1[[#This Row],[DEBITOS]]</f>
        <v>-1015528.96</v>
      </c>
      <c r="S860" s="3" t="str">
        <f>IF(ISERROR(VLOOKUP(Base_Periodo1[[#This Row],[CONTA]],BaseContasDRE[#All],4,FALSE)),"Fora do DRE",VLOOKUP(Base_Periodo1[[#This Row],[CONTA]],BaseContasDRE[#All],4,FALSE))</f>
        <v>Fora do DRE</v>
      </c>
      <c r="T860" s="3" t="str">
        <f>IF(ISERROR(VLOOKUP(Base_Periodo1[[#This Row],[CONTA]],BaseContasDRE[#All],5,FALSE)),"Fora do DRE",VLOOKUP(Base_Periodo1[[#This Row],[CONTA]],BaseContasDRE[#All],6,FALSE))</f>
        <v>Fora do DRE</v>
      </c>
      <c r="U860" s="3" t="str">
        <f>IF(ISERROR(VLOOKUP(Base_Periodo1[[#This Row],[CONTA]],BaseContasDRE[#All],7,FALSE)),"Fora do DRE",VLOOKUP(Base_Periodo1[[#This Row],[CONTA]],BaseContasDRE[#All],7,FALSE))</f>
        <v>Fora do DRE</v>
      </c>
      <c r="V860" s="3" t="str">
        <f>IF(Base_Periodo1[[#This Row],[Tipo_Linha]]="Fora do DRE","Fora do DRE","( "&amp;Base_Periodo1[[#This Row],[Tipo_Linha]]&amp;" ) "&amp;Base_Periodo1[[#This Row],[Filtro]])</f>
        <v>Fora do DRE</v>
      </c>
      <c r="W860" s="3" t="str">
        <f>LEFT(Base_Periodo1[[#This Row],[CLASS]],3)</f>
        <v>1.1</v>
      </c>
    </row>
    <row r="861" spans="1:23" hidden="1">
      <c r="A861" s="3" t="str">
        <f t="shared" si="13"/>
        <v>Período 1</v>
      </c>
      <c r="B861">
        <v>27312</v>
      </c>
      <c r="C861" t="s">
        <v>922</v>
      </c>
      <c r="D861" t="s">
        <v>6747</v>
      </c>
      <c r="E861" s="3" t="str">
        <f>IF(LEN(Base_Periodo1[[#This Row],[CLASS]])&gt;=7,LEFT(Base_Periodo1[[#This Row],[CLASS]],7),"")</f>
        <v>1.1.2.2</v>
      </c>
      <c r="F861" s="3" t="str">
        <f>VLOOKUP(Base_Periodo1[[#This Row],[Aux]],Base_Contas_Balanco[#All],2,FALSE)</f>
        <v>Creditos com não Cooperados</v>
      </c>
      <c r="G861" s="1">
        <v>42859</v>
      </c>
      <c r="I861" s="225">
        <v>10000</v>
      </c>
      <c r="J861" s="225">
        <v>0</v>
      </c>
      <c r="K861" s="225">
        <v>10000</v>
      </c>
      <c r="L8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10000</v>
      </c>
      <c r="M861" s="225">
        <f>ROUND(IF(AND(Base_Periodo1[[#This Row],[Tipo_Linha]]="-",Base_Periodo1[[#This Row],[TIPOSALDO]]="D"),Base_Periodo1[[#This Row],[SALDO_ATUAL]]*-1,Base_Periodo1[[#This Row],[SALDO_ATUAL]]),4)</f>
        <v>10000</v>
      </c>
      <c r="N861" t="s">
        <v>116</v>
      </c>
      <c r="O861" t="s">
        <v>436</v>
      </c>
      <c r="P861" t="s">
        <v>397</v>
      </c>
      <c r="Q861">
        <v>7</v>
      </c>
      <c r="R861" s="225">
        <f>Base_Periodo1[[#This Row],[CREDITOS]]-Base_Periodo1[[#This Row],[DEBITOS]]</f>
        <v>-10000</v>
      </c>
      <c r="S861" s="3" t="str">
        <f>IF(ISERROR(VLOOKUP(Base_Periodo1[[#This Row],[CONTA]],BaseContasDRE[#All],4,FALSE)),"Fora do DRE",VLOOKUP(Base_Periodo1[[#This Row],[CONTA]],BaseContasDRE[#All],4,FALSE))</f>
        <v>Fora do DRE</v>
      </c>
      <c r="T861" s="3" t="str">
        <f>IF(ISERROR(VLOOKUP(Base_Periodo1[[#This Row],[CONTA]],BaseContasDRE[#All],5,FALSE)),"Fora do DRE",VLOOKUP(Base_Periodo1[[#This Row],[CONTA]],BaseContasDRE[#All],6,FALSE))</f>
        <v>Fora do DRE</v>
      </c>
      <c r="U861" s="3" t="str">
        <f>IF(ISERROR(VLOOKUP(Base_Periodo1[[#This Row],[CONTA]],BaseContasDRE[#All],7,FALSE)),"Fora do DRE",VLOOKUP(Base_Periodo1[[#This Row],[CONTA]],BaseContasDRE[#All],7,FALSE))</f>
        <v>Fora do DRE</v>
      </c>
      <c r="V861" s="3" t="str">
        <f>IF(Base_Periodo1[[#This Row],[Tipo_Linha]]="Fora do DRE","Fora do DRE","( "&amp;Base_Periodo1[[#This Row],[Tipo_Linha]]&amp;" ) "&amp;Base_Periodo1[[#This Row],[Filtro]])</f>
        <v>Fora do DRE</v>
      </c>
      <c r="W861" s="3" t="str">
        <f>LEFT(Base_Periodo1[[#This Row],[CLASS]],3)</f>
        <v>1.1</v>
      </c>
    </row>
    <row r="862" spans="1:23" hidden="1">
      <c r="A862" s="3" t="str">
        <f t="shared" si="13"/>
        <v>Período 1</v>
      </c>
      <c r="B862">
        <v>50639</v>
      </c>
      <c r="C862" t="s">
        <v>922</v>
      </c>
      <c r="D862" t="s">
        <v>4424</v>
      </c>
      <c r="E862" s="3" t="str">
        <f>IF(LEN(Base_Periodo1[[#This Row],[CLASS]])&gt;=7,LEFT(Base_Periodo1[[#This Row],[CLASS]],7),"")</f>
        <v>1.1.2.2</v>
      </c>
      <c r="F862" s="3" t="str">
        <f>VLOOKUP(Base_Periodo1[[#This Row],[Aux]],Base_Contas_Balanco[#All],2,FALSE)</f>
        <v>Creditos com não Cooperados</v>
      </c>
      <c r="G862" s="1">
        <v>42871</v>
      </c>
      <c r="H862" s="225">
        <v>7800</v>
      </c>
      <c r="I862" s="225">
        <v>0</v>
      </c>
      <c r="J862" s="225">
        <v>1300</v>
      </c>
      <c r="K862" s="225">
        <v>6500</v>
      </c>
      <c r="L8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6500</v>
      </c>
      <c r="M862" s="225">
        <f>ROUND(IF(AND(Base_Periodo1[[#This Row],[Tipo_Linha]]="-",Base_Periodo1[[#This Row],[TIPOSALDO]]="D"),Base_Periodo1[[#This Row],[SALDO_ATUAL]]*-1,Base_Periodo1[[#This Row],[SALDO_ATUAL]]),4)</f>
        <v>6500</v>
      </c>
      <c r="N862" t="s">
        <v>116</v>
      </c>
      <c r="O862" t="s">
        <v>397</v>
      </c>
      <c r="P862" t="s">
        <v>397</v>
      </c>
      <c r="Q862">
        <v>7</v>
      </c>
      <c r="R862" s="225">
        <f>Base_Periodo1[[#This Row],[CREDITOS]]-Base_Periodo1[[#This Row],[DEBITOS]]</f>
        <v>1300</v>
      </c>
      <c r="S862" s="3" t="str">
        <f>IF(ISERROR(VLOOKUP(Base_Periodo1[[#This Row],[CONTA]],BaseContasDRE[#All],4,FALSE)),"Fora do DRE",VLOOKUP(Base_Periodo1[[#This Row],[CONTA]],BaseContasDRE[#All],4,FALSE))</f>
        <v>Fora do DRE</v>
      </c>
      <c r="T862" s="3" t="str">
        <f>IF(ISERROR(VLOOKUP(Base_Periodo1[[#This Row],[CONTA]],BaseContasDRE[#All],5,FALSE)),"Fora do DRE",VLOOKUP(Base_Periodo1[[#This Row],[CONTA]],BaseContasDRE[#All],6,FALSE))</f>
        <v>Fora do DRE</v>
      </c>
      <c r="U862" s="3" t="str">
        <f>IF(ISERROR(VLOOKUP(Base_Periodo1[[#This Row],[CONTA]],BaseContasDRE[#All],7,FALSE)),"Fora do DRE",VLOOKUP(Base_Periodo1[[#This Row],[CONTA]],BaseContasDRE[#All],7,FALSE))</f>
        <v>Fora do DRE</v>
      </c>
      <c r="V862" s="3" t="str">
        <f>IF(Base_Periodo1[[#This Row],[Tipo_Linha]]="Fora do DRE","Fora do DRE","( "&amp;Base_Periodo1[[#This Row],[Tipo_Linha]]&amp;" ) "&amp;Base_Periodo1[[#This Row],[Filtro]])</f>
        <v>Fora do DRE</v>
      </c>
      <c r="W862" s="3" t="str">
        <f>LEFT(Base_Periodo1[[#This Row],[CLASS]],3)</f>
        <v>1.1</v>
      </c>
    </row>
    <row r="863" spans="1:23" hidden="1">
      <c r="A863" s="3" t="str">
        <f t="shared" si="13"/>
        <v>Período 1</v>
      </c>
      <c r="B863">
        <v>29063</v>
      </c>
      <c r="C863" t="s">
        <v>922</v>
      </c>
      <c r="D863" t="s">
        <v>6748</v>
      </c>
      <c r="E863" s="3" t="str">
        <f>IF(LEN(Base_Periodo1[[#This Row],[CLASS]])&gt;=7,LEFT(Base_Periodo1[[#This Row],[CLASS]],7),"")</f>
        <v>1.1.2.2</v>
      </c>
      <c r="F863" s="3" t="str">
        <f>VLOOKUP(Base_Periodo1[[#This Row],[Aux]],Base_Contas_Balanco[#All],2,FALSE)</f>
        <v>Creditos com não Cooperados</v>
      </c>
      <c r="G863" s="1">
        <v>42859</v>
      </c>
      <c r="I863" s="225">
        <v>789</v>
      </c>
      <c r="J863" s="225">
        <v>789</v>
      </c>
      <c r="K863" s="225">
        <v>0</v>
      </c>
      <c r="L8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63" s="225">
        <f>ROUND(IF(AND(Base_Periodo1[[#This Row],[Tipo_Linha]]="-",Base_Periodo1[[#This Row],[TIPOSALDO]]="D"),Base_Periodo1[[#This Row],[SALDO_ATUAL]]*-1,Base_Periodo1[[#This Row],[SALDO_ATUAL]]),4)</f>
        <v>0</v>
      </c>
      <c r="N863" t="s">
        <v>116</v>
      </c>
      <c r="O863" t="s">
        <v>436</v>
      </c>
      <c r="P863" t="s">
        <v>436</v>
      </c>
      <c r="Q863">
        <v>7</v>
      </c>
      <c r="R863" s="225">
        <f>Base_Periodo1[[#This Row],[CREDITOS]]-Base_Periodo1[[#This Row],[DEBITOS]]</f>
        <v>0</v>
      </c>
      <c r="S863" s="3" t="str">
        <f>IF(ISERROR(VLOOKUP(Base_Periodo1[[#This Row],[CONTA]],BaseContasDRE[#All],4,FALSE)),"Fora do DRE",VLOOKUP(Base_Periodo1[[#This Row],[CONTA]],BaseContasDRE[#All],4,FALSE))</f>
        <v>Fora do DRE</v>
      </c>
      <c r="T863" s="3" t="str">
        <f>IF(ISERROR(VLOOKUP(Base_Periodo1[[#This Row],[CONTA]],BaseContasDRE[#All],5,FALSE)),"Fora do DRE",VLOOKUP(Base_Periodo1[[#This Row],[CONTA]],BaseContasDRE[#All],6,FALSE))</f>
        <v>Fora do DRE</v>
      </c>
      <c r="U863" s="3" t="str">
        <f>IF(ISERROR(VLOOKUP(Base_Periodo1[[#This Row],[CONTA]],BaseContasDRE[#All],7,FALSE)),"Fora do DRE",VLOOKUP(Base_Periodo1[[#This Row],[CONTA]],BaseContasDRE[#All],7,FALSE))</f>
        <v>Fora do DRE</v>
      </c>
      <c r="V863" s="3" t="str">
        <f>IF(Base_Periodo1[[#This Row],[Tipo_Linha]]="Fora do DRE","Fora do DRE","( "&amp;Base_Periodo1[[#This Row],[Tipo_Linha]]&amp;" ) "&amp;Base_Periodo1[[#This Row],[Filtro]])</f>
        <v>Fora do DRE</v>
      </c>
      <c r="W863" s="3" t="str">
        <f>LEFT(Base_Periodo1[[#This Row],[CLASS]],3)</f>
        <v>1.1</v>
      </c>
    </row>
    <row r="864" spans="1:23" hidden="1">
      <c r="A864" s="3" t="str">
        <f t="shared" si="13"/>
        <v>Período 1</v>
      </c>
      <c r="B864">
        <v>54322</v>
      </c>
      <c r="C864" t="s">
        <v>922</v>
      </c>
      <c r="D864" t="s">
        <v>5020</v>
      </c>
      <c r="E864" s="3" t="str">
        <f>IF(LEN(Base_Periodo1[[#This Row],[CLASS]])&gt;=7,LEFT(Base_Periodo1[[#This Row],[CLASS]],7),"")</f>
        <v>1.1.2.2</v>
      </c>
      <c r="F864" s="3" t="str">
        <f>VLOOKUP(Base_Periodo1[[#This Row],[Aux]],Base_Contas_Balanco[#All],2,FALSE)</f>
        <v>Creditos com não Cooperados</v>
      </c>
      <c r="G864" s="1">
        <v>42861</v>
      </c>
      <c r="H864" s="225">
        <v>612480.00000000023</v>
      </c>
      <c r="I864" s="225">
        <v>306240</v>
      </c>
      <c r="J864" s="225">
        <v>0</v>
      </c>
      <c r="K864" s="225">
        <v>918720.00000000023</v>
      </c>
      <c r="L8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918720</v>
      </c>
      <c r="M864" s="225">
        <f>ROUND(IF(AND(Base_Periodo1[[#This Row],[Tipo_Linha]]="-",Base_Periodo1[[#This Row],[TIPOSALDO]]="D"),Base_Periodo1[[#This Row],[SALDO_ATUAL]]*-1,Base_Periodo1[[#This Row],[SALDO_ATUAL]]),4)</f>
        <v>918720</v>
      </c>
      <c r="N864" t="s">
        <v>116</v>
      </c>
      <c r="O864" t="s">
        <v>397</v>
      </c>
      <c r="P864" t="s">
        <v>397</v>
      </c>
      <c r="Q864">
        <v>7</v>
      </c>
      <c r="R864" s="225">
        <f>Base_Periodo1[[#This Row],[CREDITOS]]-Base_Periodo1[[#This Row],[DEBITOS]]</f>
        <v>-306240</v>
      </c>
      <c r="S864" s="3" t="str">
        <f>IF(ISERROR(VLOOKUP(Base_Periodo1[[#This Row],[CONTA]],BaseContasDRE[#All],4,FALSE)),"Fora do DRE",VLOOKUP(Base_Periodo1[[#This Row],[CONTA]],BaseContasDRE[#All],4,FALSE))</f>
        <v>Fora do DRE</v>
      </c>
      <c r="T864" s="3" t="str">
        <f>IF(ISERROR(VLOOKUP(Base_Periodo1[[#This Row],[CONTA]],BaseContasDRE[#All],5,FALSE)),"Fora do DRE",VLOOKUP(Base_Periodo1[[#This Row],[CONTA]],BaseContasDRE[#All],6,FALSE))</f>
        <v>Fora do DRE</v>
      </c>
      <c r="U864" s="3" t="str">
        <f>IF(ISERROR(VLOOKUP(Base_Periodo1[[#This Row],[CONTA]],BaseContasDRE[#All],7,FALSE)),"Fora do DRE",VLOOKUP(Base_Periodo1[[#This Row],[CONTA]],BaseContasDRE[#All],7,FALSE))</f>
        <v>Fora do DRE</v>
      </c>
      <c r="V864" s="3" t="str">
        <f>IF(Base_Periodo1[[#This Row],[Tipo_Linha]]="Fora do DRE","Fora do DRE","( "&amp;Base_Periodo1[[#This Row],[Tipo_Linha]]&amp;" ) "&amp;Base_Periodo1[[#This Row],[Filtro]])</f>
        <v>Fora do DRE</v>
      </c>
      <c r="W864" s="3" t="str">
        <f>LEFT(Base_Periodo1[[#This Row],[CLASS]],3)</f>
        <v>1.1</v>
      </c>
    </row>
    <row r="865" spans="1:23" hidden="1">
      <c r="A865" s="3" t="str">
        <f t="shared" si="13"/>
        <v>Período 1</v>
      </c>
      <c r="B865">
        <v>56842</v>
      </c>
      <c r="C865" t="s">
        <v>922</v>
      </c>
      <c r="D865" t="s">
        <v>6149</v>
      </c>
      <c r="E865" s="3" t="str">
        <f>IF(LEN(Base_Periodo1[[#This Row],[CLASS]])&gt;=7,LEFT(Base_Periodo1[[#This Row],[CLASS]],7),"")</f>
        <v>1.1.2.2</v>
      </c>
      <c r="F865" s="3" t="str">
        <f>VLOOKUP(Base_Periodo1[[#This Row],[Aux]],Base_Contas_Balanco[#All],2,FALSE)</f>
        <v>Creditos com não Cooperados</v>
      </c>
      <c r="G865" s="1">
        <v>42866</v>
      </c>
      <c r="I865" s="225">
        <v>28836</v>
      </c>
      <c r="J865" s="225">
        <v>27720</v>
      </c>
      <c r="K865" s="225">
        <v>1116</v>
      </c>
      <c r="L8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1116</v>
      </c>
      <c r="M865" s="225">
        <f>ROUND(IF(AND(Base_Periodo1[[#This Row],[Tipo_Linha]]="-",Base_Periodo1[[#This Row],[TIPOSALDO]]="D"),Base_Periodo1[[#This Row],[SALDO_ATUAL]]*-1,Base_Periodo1[[#This Row],[SALDO_ATUAL]]),4)</f>
        <v>1116</v>
      </c>
      <c r="N865" t="s">
        <v>116</v>
      </c>
      <c r="O865" t="s">
        <v>436</v>
      </c>
      <c r="P865" t="s">
        <v>397</v>
      </c>
      <c r="Q865">
        <v>7</v>
      </c>
      <c r="R865" s="225">
        <f>Base_Periodo1[[#This Row],[CREDITOS]]-Base_Periodo1[[#This Row],[DEBITOS]]</f>
        <v>-1116</v>
      </c>
      <c r="S865" s="3" t="str">
        <f>IF(ISERROR(VLOOKUP(Base_Periodo1[[#This Row],[CONTA]],BaseContasDRE[#All],4,FALSE)),"Fora do DRE",VLOOKUP(Base_Periodo1[[#This Row],[CONTA]],BaseContasDRE[#All],4,FALSE))</f>
        <v>Fora do DRE</v>
      </c>
      <c r="T865" s="3" t="str">
        <f>IF(ISERROR(VLOOKUP(Base_Periodo1[[#This Row],[CONTA]],BaseContasDRE[#All],5,FALSE)),"Fora do DRE",VLOOKUP(Base_Periodo1[[#This Row],[CONTA]],BaseContasDRE[#All],6,FALSE))</f>
        <v>Fora do DRE</v>
      </c>
      <c r="U865" s="3" t="str">
        <f>IF(ISERROR(VLOOKUP(Base_Periodo1[[#This Row],[CONTA]],BaseContasDRE[#All],7,FALSE)),"Fora do DRE",VLOOKUP(Base_Periodo1[[#This Row],[CONTA]],BaseContasDRE[#All],7,FALSE))</f>
        <v>Fora do DRE</v>
      </c>
      <c r="V865" s="3" t="str">
        <f>IF(Base_Periodo1[[#This Row],[Tipo_Linha]]="Fora do DRE","Fora do DRE","( "&amp;Base_Periodo1[[#This Row],[Tipo_Linha]]&amp;" ) "&amp;Base_Periodo1[[#This Row],[Filtro]])</f>
        <v>Fora do DRE</v>
      </c>
      <c r="W865" s="3" t="str">
        <f>LEFT(Base_Periodo1[[#This Row],[CLASS]],3)</f>
        <v>1.1</v>
      </c>
    </row>
    <row r="866" spans="1:23" hidden="1">
      <c r="A866" s="3" t="str">
        <f t="shared" si="13"/>
        <v>Período 1</v>
      </c>
      <c r="B866">
        <v>8053</v>
      </c>
      <c r="C866" t="s">
        <v>922</v>
      </c>
      <c r="D866" t="s">
        <v>6150</v>
      </c>
      <c r="E866" s="3" t="str">
        <f>IF(LEN(Base_Periodo1[[#This Row],[CLASS]])&gt;=7,LEFT(Base_Periodo1[[#This Row],[CLASS]],7),"")</f>
        <v>1.1.2.2</v>
      </c>
      <c r="F866" s="3" t="str">
        <f>VLOOKUP(Base_Periodo1[[#This Row],[Aux]],Base_Contas_Balanco[#All],2,FALSE)</f>
        <v>Creditos com não Cooperados</v>
      </c>
      <c r="G866" s="1">
        <v>42886</v>
      </c>
      <c r="H866" s="225">
        <v>29553.200000000012</v>
      </c>
      <c r="I866" s="225">
        <v>5282</v>
      </c>
      <c r="J866" s="225">
        <v>3168</v>
      </c>
      <c r="K866" s="225">
        <v>31667.200000000012</v>
      </c>
      <c r="L8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31667.200000000001</v>
      </c>
      <c r="M866" s="225">
        <f>ROUND(IF(AND(Base_Periodo1[[#This Row],[Tipo_Linha]]="-",Base_Periodo1[[#This Row],[TIPOSALDO]]="D"),Base_Periodo1[[#This Row],[SALDO_ATUAL]]*-1,Base_Periodo1[[#This Row],[SALDO_ATUAL]]),4)</f>
        <v>31667.200000000001</v>
      </c>
      <c r="N866" t="s">
        <v>116</v>
      </c>
      <c r="O866" t="s">
        <v>397</v>
      </c>
      <c r="P866" t="s">
        <v>397</v>
      </c>
      <c r="Q866">
        <v>7</v>
      </c>
      <c r="R866" s="225">
        <f>Base_Periodo1[[#This Row],[CREDITOS]]-Base_Periodo1[[#This Row],[DEBITOS]]</f>
        <v>-2114</v>
      </c>
      <c r="S866" s="3" t="str">
        <f>IF(ISERROR(VLOOKUP(Base_Periodo1[[#This Row],[CONTA]],BaseContasDRE[#All],4,FALSE)),"Fora do DRE",VLOOKUP(Base_Periodo1[[#This Row],[CONTA]],BaseContasDRE[#All],4,FALSE))</f>
        <v>Fora do DRE</v>
      </c>
      <c r="T866" s="3" t="str">
        <f>IF(ISERROR(VLOOKUP(Base_Periodo1[[#This Row],[CONTA]],BaseContasDRE[#All],5,FALSE)),"Fora do DRE",VLOOKUP(Base_Periodo1[[#This Row],[CONTA]],BaseContasDRE[#All],6,FALSE))</f>
        <v>Fora do DRE</v>
      </c>
      <c r="U866" s="3" t="str">
        <f>IF(ISERROR(VLOOKUP(Base_Periodo1[[#This Row],[CONTA]],BaseContasDRE[#All],7,FALSE)),"Fora do DRE",VLOOKUP(Base_Periodo1[[#This Row],[CONTA]],BaseContasDRE[#All],7,FALSE))</f>
        <v>Fora do DRE</v>
      </c>
      <c r="V866" s="3" t="str">
        <f>IF(Base_Periodo1[[#This Row],[Tipo_Linha]]="Fora do DRE","Fora do DRE","( "&amp;Base_Periodo1[[#This Row],[Tipo_Linha]]&amp;" ) "&amp;Base_Periodo1[[#This Row],[Filtro]])</f>
        <v>Fora do DRE</v>
      </c>
      <c r="W866" s="3" t="str">
        <f>LEFT(Base_Periodo1[[#This Row],[CLASS]],3)</f>
        <v>1.1</v>
      </c>
    </row>
    <row r="867" spans="1:23" hidden="1">
      <c r="A867" s="3" t="str">
        <f t="shared" si="13"/>
        <v>Período 1</v>
      </c>
      <c r="B867">
        <v>10033</v>
      </c>
      <c r="C867" t="s">
        <v>922</v>
      </c>
      <c r="D867" t="s">
        <v>5550</v>
      </c>
      <c r="E867" s="3" t="str">
        <f>IF(LEN(Base_Periodo1[[#This Row],[CLASS]])&gt;=7,LEFT(Base_Periodo1[[#This Row],[CLASS]],7),"")</f>
        <v>1.1.2.2</v>
      </c>
      <c r="F867" s="3" t="str">
        <f>VLOOKUP(Base_Periodo1[[#This Row],[Aux]],Base_Contas_Balanco[#All],2,FALSE)</f>
        <v>Creditos com não Cooperados</v>
      </c>
      <c r="G867" s="1">
        <v>42858</v>
      </c>
      <c r="H867" s="225">
        <v>1624954.5000000112</v>
      </c>
      <c r="I867" s="225">
        <v>45.5</v>
      </c>
      <c r="J867" s="225">
        <v>1625000</v>
      </c>
      <c r="K867" s="225">
        <v>1.1175870895385742E-8</v>
      </c>
      <c r="L8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67" s="225">
        <f>ROUND(IF(AND(Base_Periodo1[[#This Row],[Tipo_Linha]]="-",Base_Periodo1[[#This Row],[TIPOSALDO]]="D"),Base_Periodo1[[#This Row],[SALDO_ATUAL]]*-1,Base_Periodo1[[#This Row],[SALDO_ATUAL]]),4)</f>
        <v>0</v>
      </c>
      <c r="N867" t="s">
        <v>116</v>
      </c>
      <c r="O867" t="s">
        <v>397</v>
      </c>
      <c r="P867" t="s">
        <v>436</v>
      </c>
      <c r="Q867">
        <v>7</v>
      </c>
      <c r="R867" s="225">
        <f>Base_Periodo1[[#This Row],[CREDITOS]]-Base_Periodo1[[#This Row],[DEBITOS]]</f>
        <v>1624954.5</v>
      </c>
      <c r="S867" s="3" t="str">
        <f>IF(ISERROR(VLOOKUP(Base_Periodo1[[#This Row],[CONTA]],BaseContasDRE[#All],4,FALSE)),"Fora do DRE",VLOOKUP(Base_Periodo1[[#This Row],[CONTA]],BaseContasDRE[#All],4,FALSE))</f>
        <v>Fora do DRE</v>
      </c>
      <c r="T867" s="3" t="str">
        <f>IF(ISERROR(VLOOKUP(Base_Periodo1[[#This Row],[CONTA]],BaseContasDRE[#All],5,FALSE)),"Fora do DRE",VLOOKUP(Base_Periodo1[[#This Row],[CONTA]],BaseContasDRE[#All],6,FALSE))</f>
        <v>Fora do DRE</v>
      </c>
      <c r="U867" s="3" t="str">
        <f>IF(ISERROR(VLOOKUP(Base_Periodo1[[#This Row],[CONTA]],BaseContasDRE[#All],7,FALSE)),"Fora do DRE",VLOOKUP(Base_Periodo1[[#This Row],[CONTA]],BaseContasDRE[#All],7,FALSE))</f>
        <v>Fora do DRE</v>
      </c>
      <c r="V867" s="3" t="str">
        <f>IF(Base_Periodo1[[#This Row],[Tipo_Linha]]="Fora do DRE","Fora do DRE","( "&amp;Base_Periodo1[[#This Row],[Tipo_Linha]]&amp;" ) "&amp;Base_Periodo1[[#This Row],[Filtro]])</f>
        <v>Fora do DRE</v>
      </c>
      <c r="W867" s="3" t="str">
        <f>LEFT(Base_Periodo1[[#This Row],[CLASS]],3)</f>
        <v>1.1</v>
      </c>
    </row>
    <row r="868" spans="1:23" hidden="1">
      <c r="A868" s="3" t="str">
        <f t="shared" si="13"/>
        <v>Período 1</v>
      </c>
      <c r="B868">
        <v>4560</v>
      </c>
      <c r="C868" t="s">
        <v>922</v>
      </c>
      <c r="D868" t="s">
        <v>6151</v>
      </c>
      <c r="E868" s="3" t="str">
        <f>IF(LEN(Base_Periodo1[[#This Row],[CLASS]])&gt;=7,LEFT(Base_Periodo1[[#This Row],[CLASS]],7),"")</f>
        <v>1.1.2.2</v>
      </c>
      <c r="F868" s="3" t="str">
        <f>VLOOKUP(Base_Periodo1[[#This Row],[Aux]],Base_Contas_Balanco[#All],2,FALSE)</f>
        <v>Creditos com não Cooperados</v>
      </c>
      <c r="G868" s="1">
        <v>42880</v>
      </c>
      <c r="H868" s="225">
        <v>46288</v>
      </c>
      <c r="I868" s="225">
        <v>0</v>
      </c>
      <c r="J868" s="225">
        <v>46288</v>
      </c>
      <c r="K868" s="225">
        <v>0</v>
      </c>
      <c r="L8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68" s="225">
        <f>ROUND(IF(AND(Base_Periodo1[[#This Row],[Tipo_Linha]]="-",Base_Periodo1[[#This Row],[TIPOSALDO]]="D"),Base_Periodo1[[#This Row],[SALDO_ATUAL]]*-1,Base_Periodo1[[#This Row],[SALDO_ATUAL]]),4)</f>
        <v>0</v>
      </c>
      <c r="N868" t="s">
        <v>116</v>
      </c>
      <c r="O868" t="s">
        <v>397</v>
      </c>
      <c r="P868" t="s">
        <v>436</v>
      </c>
      <c r="Q868">
        <v>7</v>
      </c>
      <c r="R868" s="225">
        <f>Base_Periodo1[[#This Row],[CREDITOS]]-Base_Periodo1[[#This Row],[DEBITOS]]</f>
        <v>46288</v>
      </c>
      <c r="S868" s="3" t="str">
        <f>IF(ISERROR(VLOOKUP(Base_Periodo1[[#This Row],[CONTA]],BaseContasDRE[#All],4,FALSE)),"Fora do DRE",VLOOKUP(Base_Periodo1[[#This Row],[CONTA]],BaseContasDRE[#All],4,FALSE))</f>
        <v>Fora do DRE</v>
      </c>
      <c r="T868" s="3" t="str">
        <f>IF(ISERROR(VLOOKUP(Base_Periodo1[[#This Row],[CONTA]],BaseContasDRE[#All],5,FALSE)),"Fora do DRE",VLOOKUP(Base_Periodo1[[#This Row],[CONTA]],BaseContasDRE[#All],6,FALSE))</f>
        <v>Fora do DRE</v>
      </c>
      <c r="U868" s="3" t="str">
        <f>IF(ISERROR(VLOOKUP(Base_Periodo1[[#This Row],[CONTA]],BaseContasDRE[#All],7,FALSE)),"Fora do DRE",VLOOKUP(Base_Periodo1[[#This Row],[CONTA]],BaseContasDRE[#All],7,FALSE))</f>
        <v>Fora do DRE</v>
      </c>
      <c r="V868" s="3" t="str">
        <f>IF(Base_Periodo1[[#This Row],[Tipo_Linha]]="Fora do DRE","Fora do DRE","( "&amp;Base_Periodo1[[#This Row],[Tipo_Linha]]&amp;" ) "&amp;Base_Periodo1[[#This Row],[Filtro]])</f>
        <v>Fora do DRE</v>
      </c>
      <c r="W868" s="3" t="str">
        <f>LEFT(Base_Periodo1[[#This Row],[CLASS]],3)</f>
        <v>1.1</v>
      </c>
    </row>
    <row r="869" spans="1:23" hidden="1">
      <c r="A869" s="3" t="str">
        <f t="shared" si="13"/>
        <v>Período 1</v>
      </c>
      <c r="B869">
        <v>56954</v>
      </c>
      <c r="C869" t="s">
        <v>922</v>
      </c>
      <c r="D869" t="s">
        <v>6749</v>
      </c>
      <c r="E869" s="3" t="str">
        <f>IF(LEN(Base_Periodo1[[#This Row],[CLASS]])&gt;=7,LEFT(Base_Periodo1[[#This Row],[CLASS]],7),"")</f>
        <v>1.1.2.2</v>
      </c>
      <c r="F869" s="3" t="str">
        <f>VLOOKUP(Base_Periodo1[[#This Row],[Aux]],Base_Contas_Balanco[#All],2,FALSE)</f>
        <v>Creditos com não Cooperados</v>
      </c>
      <c r="G869" s="1">
        <v>42885</v>
      </c>
      <c r="I869" s="225">
        <v>43840</v>
      </c>
      <c r="J869" s="225">
        <v>43840</v>
      </c>
      <c r="K869" s="225">
        <v>0</v>
      </c>
      <c r="L8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69" s="225">
        <f>ROUND(IF(AND(Base_Periodo1[[#This Row],[Tipo_Linha]]="-",Base_Periodo1[[#This Row],[TIPOSALDO]]="D"),Base_Periodo1[[#This Row],[SALDO_ATUAL]]*-1,Base_Periodo1[[#This Row],[SALDO_ATUAL]]),4)</f>
        <v>0</v>
      </c>
      <c r="N869" t="s">
        <v>116</v>
      </c>
      <c r="O869" t="s">
        <v>436</v>
      </c>
      <c r="P869" t="s">
        <v>436</v>
      </c>
      <c r="Q869">
        <v>7</v>
      </c>
      <c r="R869" s="225">
        <f>Base_Periodo1[[#This Row],[CREDITOS]]-Base_Periodo1[[#This Row],[DEBITOS]]</f>
        <v>0</v>
      </c>
      <c r="S869" s="3" t="str">
        <f>IF(ISERROR(VLOOKUP(Base_Periodo1[[#This Row],[CONTA]],BaseContasDRE[#All],4,FALSE)),"Fora do DRE",VLOOKUP(Base_Periodo1[[#This Row],[CONTA]],BaseContasDRE[#All],4,FALSE))</f>
        <v>Fora do DRE</v>
      </c>
      <c r="T869" s="3" t="str">
        <f>IF(ISERROR(VLOOKUP(Base_Periodo1[[#This Row],[CONTA]],BaseContasDRE[#All],5,FALSE)),"Fora do DRE",VLOOKUP(Base_Periodo1[[#This Row],[CONTA]],BaseContasDRE[#All],6,FALSE))</f>
        <v>Fora do DRE</v>
      </c>
      <c r="U869" s="3" t="str">
        <f>IF(ISERROR(VLOOKUP(Base_Periodo1[[#This Row],[CONTA]],BaseContasDRE[#All],7,FALSE)),"Fora do DRE",VLOOKUP(Base_Periodo1[[#This Row],[CONTA]],BaseContasDRE[#All],7,FALSE))</f>
        <v>Fora do DRE</v>
      </c>
      <c r="V869" s="3" t="str">
        <f>IF(Base_Periodo1[[#This Row],[Tipo_Linha]]="Fora do DRE","Fora do DRE","( "&amp;Base_Periodo1[[#This Row],[Tipo_Linha]]&amp;" ) "&amp;Base_Periodo1[[#This Row],[Filtro]])</f>
        <v>Fora do DRE</v>
      </c>
      <c r="W869" s="3" t="str">
        <f>LEFT(Base_Periodo1[[#This Row],[CLASS]],3)</f>
        <v>1.1</v>
      </c>
    </row>
    <row r="870" spans="1:23" hidden="1">
      <c r="A870" s="3" t="str">
        <f t="shared" si="13"/>
        <v>Período 1</v>
      </c>
      <c r="B870">
        <v>53861</v>
      </c>
      <c r="C870" t="s">
        <v>922</v>
      </c>
      <c r="D870" t="s">
        <v>6152</v>
      </c>
      <c r="E870" s="3" t="str">
        <f>IF(LEN(Base_Periodo1[[#This Row],[CLASS]])&gt;=7,LEFT(Base_Periodo1[[#This Row],[CLASS]],7),"")</f>
        <v>1.1.2.2</v>
      </c>
      <c r="F870" s="3" t="str">
        <f>VLOOKUP(Base_Periodo1[[#This Row],[Aux]],Base_Contas_Balanco[#All],2,FALSE)</f>
        <v>Creditos com não Cooperados</v>
      </c>
      <c r="G870" s="1">
        <v>42879</v>
      </c>
      <c r="H870" s="225">
        <v>1768</v>
      </c>
      <c r="I870" s="225">
        <v>0</v>
      </c>
      <c r="J870" s="225">
        <v>1768</v>
      </c>
      <c r="K870" s="225">
        <v>0</v>
      </c>
      <c r="L8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70" s="225">
        <f>ROUND(IF(AND(Base_Periodo1[[#This Row],[Tipo_Linha]]="-",Base_Periodo1[[#This Row],[TIPOSALDO]]="D"),Base_Periodo1[[#This Row],[SALDO_ATUAL]]*-1,Base_Periodo1[[#This Row],[SALDO_ATUAL]]),4)</f>
        <v>0</v>
      </c>
      <c r="N870" t="s">
        <v>116</v>
      </c>
      <c r="O870" t="s">
        <v>397</v>
      </c>
      <c r="P870" t="s">
        <v>436</v>
      </c>
      <c r="Q870">
        <v>7</v>
      </c>
      <c r="R870" s="225">
        <f>Base_Periodo1[[#This Row],[CREDITOS]]-Base_Periodo1[[#This Row],[DEBITOS]]</f>
        <v>1768</v>
      </c>
      <c r="S870" s="3" t="str">
        <f>IF(ISERROR(VLOOKUP(Base_Periodo1[[#This Row],[CONTA]],BaseContasDRE[#All],4,FALSE)),"Fora do DRE",VLOOKUP(Base_Periodo1[[#This Row],[CONTA]],BaseContasDRE[#All],4,FALSE))</f>
        <v>Fora do DRE</v>
      </c>
      <c r="T870" s="3" t="str">
        <f>IF(ISERROR(VLOOKUP(Base_Periodo1[[#This Row],[CONTA]],BaseContasDRE[#All],5,FALSE)),"Fora do DRE",VLOOKUP(Base_Periodo1[[#This Row],[CONTA]],BaseContasDRE[#All],6,FALSE))</f>
        <v>Fora do DRE</v>
      </c>
      <c r="U870" s="3" t="str">
        <f>IF(ISERROR(VLOOKUP(Base_Periodo1[[#This Row],[CONTA]],BaseContasDRE[#All],7,FALSE)),"Fora do DRE",VLOOKUP(Base_Periodo1[[#This Row],[CONTA]],BaseContasDRE[#All],7,FALSE))</f>
        <v>Fora do DRE</v>
      </c>
      <c r="V870" s="3" t="str">
        <f>IF(Base_Periodo1[[#This Row],[Tipo_Linha]]="Fora do DRE","Fora do DRE","( "&amp;Base_Periodo1[[#This Row],[Tipo_Linha]]&amp;" ) "&amp;Base_Periodo1[[#This Row],[Filtro]])</f>
        <v>Fora do DRE</v>
      </c>
      <c r="W870" s="3" t="str">
        <f>LEFT(Base_Periodo1[[#This Row],[CLASS]],3)</f>
        <v>1.1</v>
      </c>
    </row>
    <row r="871" spans="1:23" hidden="1">
      <c r="A871" s="3" t="str">
        <f t="shared" si="13"/>
        <v>Período 1</v>
      </c>
      <c r="B871">
        <v>20690</v>
      </c>
      <c r="C871" t="s">
        <v>922</v>
      </c>
      <c r="D871" t="s">
        <v>6153</v>
      </c>
      <c r="E871" s="3" t="str">
        <f>IF(LEN(Base_Periodo1[[#This Row],[CLASS]])&gt;=7,LEFT(Base_Periodo1[[#This Row],[CLASS]],7),"")</f>
        <v>1.1.2.2</v>
      </c>
      <c r="F871" s="3" t="str">
        <f>VLOOKUP(Base_Periodo1[[#This Row],[Aux]],Base_Contas_Balanco[#All],2,FALSE)</f>
        <v>Creditos com não Cooperados</v>
      </c>
      <c r="G871" s="1">
        <v>42859</v>
      </c>
      <c r="H871" s="225">
        <v>130.5</v>
      </c>
      <c r="I871" s="225">
        <v>0</v>
      </c>
      <c r="J871" s="225">
        <v>130.5</v>
      </c>
      <c r="K871" s="225">
        <v>0</v>
      </c>
      <c r="L8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71" s="225">
        <f>ROUND(IF(AND(Base_Periodo1[[#This Row],[Tipo_Linha]]="-",Base_Periodo1[[#This Row],[TIPOSALDO]]="D"),Base_Periodo1[[#This Row],[SALDO_ATUAL]]*-1,Base_Periodo1[[#This Row],[SALDO_ATUAL]]),4)</f>
        <v>0</v>
      </c>
      <c r="N871" t="s">
        <v>116</v>
      </c>
      <c r="O871" t="s">
        <v>397</v>
      </c>
      <c r="P871" t="s">
        <v>436</v>
      </c>
      <c r="Q871">
        <v>7</v>
      </c>
      <c r="R871" s="225">
        <f>Base_Periodo1[[#This Row],[CREDITOS]]-Base_Periodo1[[#This Row],[DEBITOS]]</f>
        <v>130.5</v>
      </c>
      <c r="S871" s="3" t="str">
        <f>IF(ISERROR(VLOOKUP(Base_Periodo1[[#This Row],[CONTA]],BaseContasDRE[#All],4,FALSE)),"Fora do DRE",VLOOKUP(Base_Periodo1[[#This Row],[CONTA]],BaseContasDRE[#All],4,FALSE))</f>
        <v>Fora do DRE</v>
      </c>
      <c r="T871" s="3" t="str">
        <f>IF(ISERROR(VLOOKUP(Base_Periodo1[[#This Row],[CONTA]],BaseContasDRE[#All],5,FALSE)),"Fora do DRE",VLOOKUP(Base_Periodo1[[#This Row],[CONTA]],BaseContasDRE[#All],6,FALSE))</f>
        <v>Fora do DRE</v>
      </c>
      <c r="U871" s="3" t="str">
        <f>IF(ISERROR(VLOOKUP(Base_Periodo1[[#This Row],[CONTA]],BaseContasDRE[#All],7,FALSE)),"Fora do DRE",VLOOKUP(Base_Periodo1[[#This Row],[CONTA]],BaseContasDRE[#All],7,FALSE))</f>
        <v>Fora do DRE</v>
      </c>
      <c r="V871" s="3" t="str">
        <f>IF(Base_Periodo1[[#This Row],[Tipo_Linha]]="Fora do DRE","Fora do DRE","( "&amp;Base_Periodo1[[#This Row],[Tipo_Linha]]&amp;" ) "&amp;Base_Periodo1[[#This Row],[Filtro]])</f>
        <v>Fora do DRE</v>
      </c>
      <c r="W871" s="3" t="str">
        <f>LEFT(Base_Periodo1[[#This Row],[CLASS]],3)</f>
        <v>1.1</v>
      </c>
    </row>
    <row r="872" spans="1:23" hidden="1">
      <c r="A872" s="3" t="str">
        <f t="shared" si="13"/>
        <v>Período 1</v>
      </c>
      <c r="B872">
        <v>57232</v>
      </c>
      <c r="C872" t="s">
        <v>922</v>
      </c>
      <c r="D872" t="s">
        <v>6154</v>
      </c>
      <c r="E872" s="3" t="str">
        <f>IF(LEN(Base_Periodo1[[#This Row],[CLASS]])&gt;=7,LEFT(Base_Periodo1[[#This Row],[CLASS]],7),"")</f>
        <v>1.1.2.2</v>
      </c>
      <c r="F872" s="3" t="str">
        <f>VLOOKUP(Base_Periodo1[[#This Row],[Aux]],Base_Contas_Balanco[#All],2,FALSE)</f>
        <v>Creditos com não Cooperados</v>
      </c>
      <c r="G872" s="1">
        <v>42866</v>
      </c>
      <c r="H872" s="225">
        <v>254572</v>
      </c>
      <c r="I872" s="225">
        <v>7600</v>
      </c>
      <c r="J872" s="225">
        <v>0</v>
      </c>
      <c r="K872" s="225">
        <v>262172</v>
      </c>
      <c r="L8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262172</v>
      </c>
      <c r="M872" s="225">
        <f>ROUND(IF(AND(Base_Periodo1[[#This Row],[Tipo_Linha]]="-",Base_Periodo1[[#This Row],[TIPOSALDO]]="D"),Base_Periodo1[[#This Row],[SALDO_ATUAL]]*-1,Base_Periodo1[[#This Row],[SALDO_ATUAL]]),4)</f>
        <v>262172</v>
      </c>
      <c r="N872" t="s">
        <v>116</v>
      </c>
      <c r="O872" t="s">
        <v>397</v>
      </c>
      <c r="P872" t="s">
        <v>397</v>
      </c>
      <c r="Q872">
        <v>7</v>
      </c>
      <c r="R872" s="225">
        <f>Base_Periodo1[[#This Row],[CREDITOS]]-Base_Periodo1[[#This Row],[DEBITOS]]</f>
        <v>-7600</v>
      </c>
      <c r="S872" s="3" t="str">
        <f>IF(ISERROR(VLOOKUP(Base_Periodo1[[#This Row],[CONTA]],BaseContasDRE[#All],4,FALSE)),"Fora do DRE",VLOOKUP(Base_Periodo1[[#This Row],[CONTA]],BaseContasDRE[#All],4,FALSE))</f>
        <v>Fora do DRE</v>
      </c>
      <c r="T872" s="3" t="str">
        <f>IF(ISERROR(VLOOKUP(Base_Periodo1[[#This Row],[CONTA]],BaseContasDRE[#All],5,FALSE)),"Fora do DRE",VLOOKUP(Base_Periodo1[[#This Row],[CONTA]],BaseContasDRE[#All],6,FALSE))</f>
        <v>Fora do DRE</v>
      </c>
      <c r="U872" s="3" t="str">
        <f>IF(ISERROR(VLOOKUP(Base_Periodo1[[#This Row],[CONTA]],BaseContasDRE[#All],7,FALSE)),"Fora do DRE",VLOOKUP(Base_Periodo1[[#This Row],[CONTA]],BaseContasDRE[#All],7,FALSE))</f>
        <v>Fora do DRE</v>
      </c>
      <c r="V872" s="3" t="str">
        <f>IF(Base_Periodo1[[#This Row],[Tipo_Linha]]="Fora do DRE","Fora do DRE","( "&amp;Base_Periodo1[[#This Row],[Tipo_Linha]]&amp;" ) "&amp;Base_Periodo1[[#This Row],[Filtro]])</f>
        <v>Fora do DRE</v>
      </c>
      <c r="W872" s="3" t="str">
        <f>LEFT(Base_Periodo1[[#This Row],[CLASS]],3)</f>
        <v>1.1</v>
      </c>
    </row>
    <row r="873" spans="1:23" hidden="1">
      <c r="A873" s="3" t="str">
        <f t="shared" si="13"/>
        <v>Período 1</v>
      </c>
      <c r="B873">
        <v>4564</v>
      </c>
      <c r="C873" t="s">
        <v>922</v>
      </c>
      <c r="D873" t="s">
        <v>5863</v>
      </c>
      <c r="E873" s="3" t="str">
        <f>IF(LEN(Base_Periodo1[[#This Row],[CLASS]])&gt;=7,LEFT(Base_Periodo1[[#This Row],[CLASS]],7),"")</f>
        <v>1.1.2.2</v>
      </c>
      <c r="F873" s="3" t="str">
        <f>VLOOKUP(Base_Periodo1[[#This Row],[Aux]],Base_Contas_Balanco[#All],2,FALSE)</f>
        <v>Creditos com não Cooperados</v>
      </c>
      <c r="G873" s="1">
        <v>42886</v>
      </c>
      <c r="H873" s="225">
        <v>18144</v>
      </c>
      <c r="I873" s="225">
        <v>0</v>
      </c>
      <c r="J873" s="225">
        <v>18144</v>
      </c>
      <c r="K873" s="225">
        <v>0</v>
      </c>
      <c r="L8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73" s="225">
        <f>ROUND(IF(AND(Base_Periodo1[[#This Row],[Tipo_Linha]]="-",Base_Periodo1[[#This Row],[TIPOSALDO]]="D"),Base_Periodo1[[#This Row],[SALDO_ATUAL]]*-1,Base_Periodo1[[#This Row],[SALDO_ATUAL]]),4)</f>
        <v>0</v>
      </c>
      <c r="N873" t="s">
        <v>116</v>
      </c>
      <c r="O873" t="s">
        <v>397</v>
      </c>
      <c r="P873" t="s">
        <v>436</v>
      </c>
      <c r="Q873">
        <v>7</v>
      </c>
      <c r="R873" s="225">
        <f>Base_Periodo1[[#This Row],[CREDITOS]]-Base_Periodo1[[#This Row],[DEBITOS]]</f>
        <v>18144</v>
      </c>
      <c r="S873" s="3" t="str">
        <f>IF(ISERROR(VLOOKUP(Base_Periodo1[[#This Row],[CONTA]],BaseContasDRE[#All],4,FALSE)),"Fora do DRE",VLOOKUP(Base_Periodo1[[#This Row],[CONTA]],BaseContasDRE[#All],4,FALSE))</f>
        <v>Fora do DRE</v>
      </c>
      <c r="T873" s="3" t="str">
        <f>IF(ISERROR(VLOOKUP(Base_Periodo1[[#This Row],[CONTA]],BaseContasDRE[#All],5,FALSE)),"Fora do DRE",VLOOKUP(Base_Periodo1[[#This Row],[CONTA]],BaseContasDRE[#All],6,FALSE))</f>
        <v>Fora do DRE</v>
      </c>
      <c r="U873" s="3" t="str">
        <f>IF(ISERROR(VLOOKUP(Base_Periodo1[[#This Row],[CONTA]],BaseContasDRE[#All],7,FALSE)),"Fora do DRE",VLOOKUP(Base_Periodo1[[#This Row],[CONTA]],BaseContasDRE[#All],7,FALSE))</f>
        <v>Fora do DRE</v>
      </c>
      <c r="V873" s="3" t="str">
        <f>IF(Base_Periodo1[[#This Row],[Tipo_Linha]]="Fora do DRE","Fora do DRE","( "&amp;Base_Periodo1[[#This Row],[Tipo_Linha]]&amp;" ) "&amp;Base_Periodo1[[#This Row],[Filtro]])</f>
        <v>Fora do DRE</v>
      </c>
      <c r="W873" s="3" t="str">
        <f>LEFT(Base_Periodo1[[#This Row],[CLASS]],3)</f>
        <v>1.1</v>
      </c>
    </row>
    <row r="874" spans="1:23" hidden="1">
      <c r="A874" s="3" t="str">
        <f t="shared" si="13"/>
        <v>Período 1</v>
      </c>
      <c r="B874">
        <v>33084</v>
      </c>
      <c r="C874" t="s">
        <v>922</v>
      </c>
      <c r="D874" t="s">
        <v>6155</v>
      </c>
      <c r="E874" s="3" t="str">
        <f>IF(LEN(Base_Periodo1[[#This Row],[CLASS]])&gt;=7,LEFT(Base_Periodo1[[#This Row],[CLASS]],7),"")</f>
        <v>1.1.2.2</v>
      </c>
      <c r="F874" s="3" t="str">
        <f>VLOOKUP(Base_Periodo1[[#This Row],[Aux]],Base_Contas_Balanco[#All],2,FALSE)</f>
        <v>Creditos com não Cooperados</v>
      </c>
      <c r="G874" s="1">
        <v>42864</v>
      </c>
      <c r="H874" s="225">
        <v>10720</v>
      </c>
      <c r="I874" s="225">
        <v>0</v>
      </c>
      <c r="J874" s="225">
        <v>10720</v>
      </c>
      <c r="K874" s="225">
        <v>0</v>
      </c>
      <c r="L8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74" s="225">
        <f>ROUND(IF(AND(Base_Periodo1[[#This Row],[Tipo_Linha]]="-",Base_Periodo1[[#This Row],[TIPOSALDO]]="D"),Base_Periodo1[[#This Row],[SALDO_ATUAL]]*-1,Base_Periodo1[[#This Row],[SALDO_ATUAL]]),4)</f>
        <v>0</v>
      </c>
      <c r="N874" t="s">
        <v>116</v>
      </c>
      <c r="O874" t="s">
        <v>397</v>
      </c>
      <c r="P874" t="s">
        <v>436</v>
      </c>
      <c r="Q874">
        <v>7</v>
      </c>
      <c r="R874" s="225">
        <f>Base_Periodo1[[#This Row],[CREDITOS]]-Base_Periodo1[[#This Row],[DEBITOS]]</f>
        <v>10720</v>
      </c>
      <c r="S874" s="3" t="str">
        <f>IF(ISERROR(VLOOKUP(Base_Periodo1[[#This Row],[CONTA]],BaseContasDRE[#All],4,FALSE)),"Fora do DRE",VLOOKUP(Base_Periodo1[[#This Row],[CONTA]],BaseContasDRE[#All],4,FALSE))</f>
        <v>Fora do DRE</v>
      </c>
      <c r="T874" s="3" t="str">
        <f>IF(ISERROR(VLOOKUP(Base_Periodo1[[#This Row],[CONTA]],BaseContasDRE[#All],5,FALSE)),"Fora do DRE",VLOOKUP(Base_Periodo1[[#This Row],[CONTA]],BaseContasDRE[#All],6,FALSE))</f>
        <v>Fora do DRE</v>
      </c>
      <c r="U874" s="3" t="str">
        <f>IF(ISERROR(VLOOKUP(Base_Periodo1[[#This Row],[CONTA]],BaseContasDRE[#All],7,FALSE)),"Fora do DRE",VLOOKUP(Base_Periodo1[[#This Row],[CONTA]],BaseContasDRE[#All],7,FALSE))</f>
        <v>Fora do DRE</v>
      </c>
      <c r="V874" s="3" t="str">
        <f>IF(Base_Periodo1[[#This Row],[Tipo_Linha]]="Fora do DRE","Fora do DRE","( "&amp;Base_Periodo1[[#This Row],[Tipo_Linha]]&amp;" ) "&amp;Base_Periodo1[[#This Row],[Filtro]])</f>
        <v>Fora do DRE</v>
      </c>
      <c r="W874" s="3" t="str">
        <f>LEFT(Base_Periodo1[[#This Row],[CLASS]],3)</f>
        <v>1.1</v>
      </c>
    </row>
    <row r="875" spans="1:23" hidden="1">
      <c r="A875" s="3" t="str">
        <f t="shared" si="13"/>
        <v>Período 1</v>
      </c>
      <c r="B875">
        <v>9134</v>
      </c>
      <c r="C875" t="s">
        <v>922</v>
      </c>
      <c r="D875" t="s">
        <v>5294</v>
      </c>
      <c r="E875" s="3" t="str">
        <f>IF(LEN(Base_Periodo1[[#This Row],[CLASS]])&gt;=7,LEFT(Base_Periodo1[[#This Row],[CLASS]],7),"")</f>
        <v>1.1.2.2</v>
      </c>
      <c r="F875" s="3" t="str">
        <f>VLOOKUP(Base_Periodo1[[#This Row],[Aux]],Base_Contas_Balanco[#All],2,FALSE)</f>
        <v>Creditos com não Cooperados</v>
      </c>
      <c r="G875" s="1">
        <v>42870</v>
      </c>
      <c r="I875" s="225">
        <v>2366666.67</v>
      </c>
      <c r="J875" s="225">
        <v>0</v>
      </c>
      <c r="K875" s="225">
        <v>2366666.669999985</v>
      </c>
      <c r="L8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2366666.67</v>
      </c>
      <c r="M875" s="225">
        <f>ROUND(IF(AND(Base_Periodo1[[#This Row],[Tipo_Linha]]="-",Base_Periodo1[[#This Row],[TIPOSALDO]]="D"),Base_Periodo1[[#This Row],[SALDO_ATUAL]]*-1,Base_Periodo1[[#This Row],[SALDO_ATUAL]]),4)</f>
        <v>2366666.67</v>
      </c>
      <c r="N875" t="s">
        <v>116</v>
      </c>
      <c r="O875" t="s">
        <v>436</v>
      </c>
      <c r="P875" t="s">
        <v>397</v>
      </c>
      <c r="Q875">
        <v>7</v>
      </c>
      <c r="R875" s="225">
        <f>Base_Periodo1[[#This Row],[CREDITOS]]-Base_Periodo1[[#This Row],[DEBITOS]]</f>
        <v>-2366666.67</v>
      </c>
      <c r="S875" s="3" t="str">
        <f>IF(ISERROR(VLOOKUP(Base_Periodo1[[#This Row],[CONTA]],BaseContasDRE[#All],4,FALSE)),"Fora do DRE",VLOOKUP(Base_Periodo1[[#This Row],[CONTA]],BaseContasDRE[#All],4,FALSE))</f>
        <v>Fora do DRE</v>
      </c>
      <c r="T875" s="3" t="str">
        <f>IF(ISERROR(VLOOKUP(Base_Periodo1[[#This Row],[CONTA]],BaseContasDRE[#All],5,FALSE)),"Fora do DRE",VLOOKUP(Base_Periodo1[[#This Row],[CONTA]],BaseContasDRE[#All],6,FALSE))</f>
        <v>Fora do DRE</v>
      </c>
      <c r="U875" s="3" t="str">
        <f>IF(ISERROR(VLOOKUP(Base_Periodo1[[#This Row],[CONTA]],BaseContasDRE[#All],7,FALSE)),"Fora do DRE",VLOOKUP(Base_Periodo1[[#This Row],[CONTA]],BaseContasDRE[#All],7,FALSE))</f>
        <v>Fora do DRE</v>
      </c>
      <c r="V875" s="3" t="str">
        <f>IF(Base_Periodo1[[#This Row],[Tipo_Linha]]="Fora do DRE","Fora do DRE","( "&amp;Base_Periodo1[[#This Row],[Tipo_Linha]]&amp;" ) "&amp;Base_Periodo1[[#This Row],[Filtro]])</f>
        <v>Fora do DRE</v>
      </c>
      <c r="W875" s="3" t="str">
        <f>LEFT(Base_Periodo1[[#This Row],[CLASS]],3)</f>
        <v>1.1</v>
      </c>
    </row>
    <row r="876" spans="1:23" hidden="1">
      <c r="A876" s="3" t="str">
        <f t="shared" si="13"/>
        <v>Período 1</v>
      </c>
      <c r="B876">
        <v>36935</v>
      </c>
      <c r="C876" t="s">
        <v>922</v>
      </c>
      <c r="D876" t="s">
        <v>6750</v>
      </c>
      <c r="E876" s="3" t="str">
        <f>IF(LEN(Base_Periodo1[[#This Row],[CLASS]])&gt;=7,LEFT(Base_Periodo1[[#This Row],[CLASS]],7),"")</f>
        <v>1.1.2.2</v>
      </c>
      <c r="F876" s="3" t="str">
        <f>VLOOKUP(Base_Periodo1[[#This Row],[Aux]],Base_Contas_Balanco[#All],2,FALSE)</f>
        <v>Creditos com não Cooperados</v>
      </c>
      <c r="G876" s="1">
        <v>42857</v>
      </c>
      <c r="I876" s="225">
        <v>120</v>
      </c>
      <c r="J876" s="225">
        <v>120</v>
      </c>
      <c r="K876" s="225">
        <v>0</v>
      </c>
      <c r="L8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76" s="225">
        <f>ROUND(IF(AND(Base_Periodo1[[#This Row],[Tipo_Linha]]="-",Base_Periodo1[[#This Row],[TIPOSALDO]]="D"),Base_Periodo1[[#This Row],[SALDO_ATUAL]]*-1,Base_Periodo1[[#This Row],[SALDO_ATUAL]]),4)</f>
        <v>0</v>
      </c>
      <c r="N876" t="s">
        <v>116</v>
      </c>
      <c r="O876" t="s">
        <v>436</v>
      </c>
      <c r="P876" t="s">
        <v>436</v>
      </c>
      <c r="Q876">
        <v>7</v>
      </c>
      <c r="R876" s="225">
        <f>Base_Periodo1[[#This Row],[CREDITOS]]-Base_Periodo1[[#This Row],[DEBITOS]]</f>
        <v>0</v>
      </c>
      <c r="S876" s="3" t="str">
        <f>IF(ISERROR(VLOOKUP(Base_Periodo1[[#This Row],[CONTA]],BaseContasDRE[#All],4,FALSE)),"Fora do DRE",VLOOKUP(Base_Periodo1[[#This Row],[CONTA]],BaseContasDRE[#All],4,FALSE))</f>
        <v>Fora do DRE</v>
      </c>
      <c r="T876" s="3" t="str">
        <f>IF(ISERROR(VLOOKUP(Base_Periodo1[[#This Row],[CONTA]],BaseContasDRE[#All],5,FALSE)),"Fora do DRE",VLOOKUP(Base_Periodo1[[#This Row],[CONTA]],BaseContasDRE[#All],6,FALSE))</f>
        <v>Fora do DRE</v>
      </c>
      <c r="U876" s="3" t="str">
        <f>IF(ISERROR(VLOOKUP(Base_Periodo1[[#This Row],[CONTA]],BaseContasDRE[#All],7,FALSE)),"Fora do DRE",VLOOKUP(Base_Periodo1[[#This Row],[CONTA]],BaseContasDRE[#All],7,FALSE))</f>
        <v>Fora do DRE</v>
      </c>
      <c r="V876" s="3" t="str">
        <f>IF(Base_Periodo1[[#This Row],[Tipo_Linha]]="Fora do DRE","Fora do DRE","( "&amp;Base_Periodo1[[#This Row],[Tipo_Linha]]&amp;" ) "&amp;Base_Periodo1[[#This Row],[Filtro]])</f>
        <v>Fora do DRE</v>
      </c>
      <c r="W876" s="3" t="str">
        <f>LEFT(Base_Periodo1[[#This Row],[CLASS]],3)</f>
        <v>1.1</v>
      </c>
    </row>
    <row r="877" spans="1:23" hidden="1">
      <c r="A877" s="3" t="str">
        <f t="shared" si="13"/>
        <v>Período 1</v>
      </c>
      <c r="B877">
        <v>45063</v>
      </c>
      <c r="C877" t="s">
        <v>922</v>
      </c>
      <c r="D877" t="s">
        <v>932</v>
      </c>
      <c r="E877" s="3" t="str">
        <f>IF(LEN(Base_Periodo1[[#This Row],[CLASS]])&gt;=7,LEFT(Base_Periodo1[[#This Row],[CLASS]],7),"")</f>
        <v>1.1.2.2</v>
      </c>
      <c r="F877" s="3" t="str">
        <f>VLOOKUP(Base_Periodo1[[#This Row],[Aux]],Base_Contas_Balanco[#All],2,FALSE)</f>
        <v>Creditos com não Cooperados</v>
      </c>
      <c r="G877" s="1">
        <v>42229</v>
      </c>
      <c r="H877" s="225">
        <v>301.91000000000003</v>
      </c>
      <c r="I877" s="225">
        <v>0</v>
      </c>
      <c r="J877" s="225">
        <v>0</v>
      </c>
      <c r="K877" s="225">
        <v>301.91000000000003</v>
      </c>
      <c r="L8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301.91000000000003</v>
      </c>
      <c r="M877" s="225">
        <f>ROUND(IF(AND(Base_Periodo1[[#This Row],[Tipo_Linha]]="-",Base_Periodo1[[#This Row],[TIPOSALDO]]="D"),Base_Periodo1[[#This Row],[SALDO_ATUAL]]*-1,Base_Periodo1[[#This Row],[SALDO_ATUAL]]),4)</f>
        <v>301.91000000000003</v>
      </c>
      <c r="N877" t="s">
        <v>116</v>
      </c>
      <c r="O877" t="s">
        <v>397</v>
      </c>
      <c r="P877" t="s">
        <v>397</v>
      </c>
      <c r="Q877">
        <v>7</v>
      </c>
      <c r="R877" s="225">
        <f>Base_Periodo1[[#This Row],[CREDITOS]]-Base_Periodo1[[#This Row],[DEBITOS]]</f>
        <v>0</v>
      </c>
      <c r="S877" s="3" t="str">
        <f>IF(ISERROR(VLOOKUP(Base_Periodo1[[#This Row],[CONTA]],BaseContasDRE[#All],4,FALSE)),"Fora do DRE",VLOOKUP(Base_Periodo1[[#This Row],[CONTA]],BaseContasDRE[#All],4,FALSE))</f>
        <v>Fora do DRE</v>
      </c>
      <c r="T877" s="3" t="str">
        <f>IF(ISERROR(VLOOKUP(Base_Periodo1[[#This Row],[CONTA]],BaseContasDRE[#All],5,FALSE)),"Fora do DRE",VLOOKUP(Base_Periodo1[[#This Row],[CONTA]],BaseContasDRE[#All],6,FALSE))</f>
        <v>Fora do DRE</v>
      </c>
      <c r="U877" s="3" t="str">
        <f>IF(ISERROR(VLOOKUP(Base_Periodo1[[#This Row],[CONTA]],BaseContasDRE[#All],7,FALSE)),"Fora do DRE",VLOOKUP(Base_Periodo1[[#This Row],[CONTA]],BaseContasDRE[#All],7,FALSE))</f>
        <v>Fora do DRE</v>
      </c>
      <c r="V877" s="3" t="str">
        <f>IF(Base_Periodo1[[#This Row],[Tipo_Linha]]="Fora do DRE","Fora do DRE","( "&amp;Base_Periodo1[[#This Row],[Tipo_Linha]]&amp;" ) "&amp;Base_Periodo1[[#This Row],[Filtro]])</f>
        <v>Fora do DRE</v>
      </c>
      <c r="W877" s="3" t="str">
        <f>LEFT(Base_Periodo1[[#This Row],[CLASS]],3)</f>
        <v>1.1</v>
      </c>
    </row>
    <row r="878" spans="1:23" hidden="1">
      <c r="A878" s="3" t="str">
        <f t="shared" si="13"/>
        <v>Período 1</v>
      </c>
      <c r="B878">
        <v>49861</v>
      </c>
      <c r="C878" t="s">
        <v>922</v>
      </c>
      <c r="D878" t="s">
        <v>5648</v>
      </c>
      <c r="E878" s="3" t="str">
        <f>IF(LEN(Base_Periodo1[[#This Row],[CLASS]])&gt;=7,LEFT(Base_Periodo1[[#This Row],[CLASS]],7),"")</f>
        <v>1.1.2.2</v>
      </c>
      <c r="F878" s="3" t="str">
        <f>VLOOKUP(Base_Periodo1[[#This Row],[Aux]],Base_Contas_Balanco[#All],2,FALSE)</f>
        <v>Creditos com não Cooperados</v>
      </c>
      <c r="G878" s="1">
        <v>42872</v>
      </c>
      <c r="I878" s="225">
        <v>230</v>
      </c>
      <c r="J878" s="225">
        <v>230</v>
      </c>
      <c r="K878" s="225">
        <v>0</v>
      </c>
      <c r="L8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78" s="225">
        <f>ROUND(IF(AND(Base_Periodo1[[#This Row],[Tipo_Linha]]="-",Base_Periodo1[[#This Row],[TIPOSALDO]]="D"),Base_Periodo1[[#This Row],[SALDO_ATUAL]]*-1,Base_Periodo1[[#This Row],[SALDO_ATUAL]]),4)</f>
        <v>0</v>
      </c>
      <c r="N878" t="s">
        <v>116</v>
      </c>
      <c r="O878" t="s">
        <v>436</v>
      </c>
      <c r="P878" t="s">
        <v>436</v>
      </c>
      <c r="Q878">
        <v>7</v>
      </c>
      <c r="R878" s="225">
        <f>Base_Periodo1[[#This Row],[CREDITOS]]-Base_Periodo1[[#This Row],[DEBITOS]]</f>
        <v>0</v>
      </c>
      <c r="S878" s="3" t="str">
        <f>IF(ISERROR(VLOOKUP(Base_Periodo1[[#This Row],[CONTA]],BaseContasDRE[#All],4,FALSE)),"Fora do DRE",VLOOKUP(Base_Periodo1[[#This Row],[CONTA]],BaseContasDRE[#All],4,FALSE))</f>
        <v>Fora do DRE</v>
      </c>
      <c r="T878" s="3" t="str">
        <f>IF(ISERROR(VLOOKUP(Base_Periodo1[[#This Row],[CONTA]],BaseContasDRE[#All],5,FALSE)),"Fora do DRE",VLOOKUP(Base_Periodo1[[#This Row],[CONTA]],BaseContasDRE[#All],6,FALSE))</f>
        <v>Fora do DRE</v>
      </c>
      <c r="U878" s="3" t="str">
        <f>IF(ISERROR(VLOOKUP(Base_Periodo1[[#This Row],[CONTA]],BaseContasDRE[#All],7,FALSE)),"Fora do DRE",VLOOKUP(Base_Periodo1[[#This Row],[CONTA]],BaseContasDRE[#All],7,FALSE))</f>
        <v>Fora do DRE</v>
      </c>
      <c r="V878" s="3" t="str">
        <f>IF(Base_Periodo1[[#This Row],[Tipo_Linha]]="Fora do DRE","Fora do DRE","( "&amp;Base_Periodo1[[#This Row],[Tipo_Linha]]&amp;" ) "&amp;Base_Periodo1[[#This Row],[Filtro]])</f>
        <v>Fora do DRE</v>
      </c>
      <c r="W878" s="3" t="str">
        <f>LEFT(Base_Periodo1[[#This Row],[CLASS]],3)</f>
        <v>1.1</v>
      </c>
    </row>
    <row r="879" spans="1:23" hidden="1">
      <c r="A879" s="3" t="str">
        <f t="shared" si="13"/>
        <v>Período 1</v>
      </c>
      <c r="B879">
        <v>39667</v>
      </c>
      <c r="C879" t="s">
        <v>922</v>
      </c>
      <c r="D879" t="s">
        <v>933</v>
      </c>
      <c r="E879" s="3" t="str">
        <f>IF(LEN(Base_Periodo1[[#This Row],[CLASS]])&gt;=7,LEFT(Base_Periodo1[[#This Row],[CLASS]],7),"")</f>
        <v>1.1.2.2</v>
      </c>
      <c r="F879" s="3" t="str">
        <f>VLOOKUP(Base_Periodo1[[#This Row],[Aux]],Base_Contas_Balanco[#All],2,FALSE)</f>
        <v>Creditos com não Cooperados</v>
      </c>
      <c r="G879" s="1">
        <v>42608</v>
      </c>
      <c r="H879" s="225">
        <v>2000</v>
      </c>
      <c r="I879" s="225">
        <v>0</v>
      </c>
      <c r="J879" s="225">
        <v>0</v>
      </c>
      <c r="K879" s="225">
        <v>2000</v>
      </c>
      <c r="L8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2000</v>
      </c>
      <c r="M879" s="225">
        <f>ROUND(IF(AND(Base_Periodo1[[#This Row],[Tipo_Linha]]="-",Base_Periodo1[[#This Row],[TIPOSALDO]]="D"),Base_Periodo1[[#This Row],[SALDO_ATUAL]]*-1,Base_Periodo1[[#This Row],[SALDO_ATUAL]]),4)</f>
        <v>2000</v>
      </c>
      <c r="N879" t="s">
        <v>116</v>
      </c>
      <c r="O879" t="s">
        <v>397</v>
      </c>
      <c r="P879" t="s">
        <v>397</v>
      </c>
      <c r="Q879">
        <v>7</v>
      </c>
      <c r="R879" s="225">
        <f>Base_Periodo1[[#This Row],[CREDITOS]]-Base_Periodo1[[#This Row],[DEBITOS]]</f>
        <v>0</v>
      </c>
      <c r="S879" s="3" t="str">
        <f>IF(ISERROR(VLOOKUP(Base_Periodo1[[#This Row],[CONTA]],BaseContasDRE[#All],4,FALSE)),"Fora do DRE",VLOOKUP(Base_Periodo1[[#This Row],[CONTA]],BaseContasDRE[#All],4,FALSE))</f>
        <v>Fora do DRE</v>
      </c>
      <c r="T879" s="3" t="str">
        <f>IF(ISERROR(VLOOKUP(Base_Periodo1[[#This Row],[CONTA]],BaseContasDRE[#All],5,FALSE)),"Fora do DRE",VLOOKUP(Base_Periodo1[[#This Row],[CONTA]],BaseContasDRE[#All],6,FALSE))</f>
        <v>Fora do DRE</v>
      </c>
      <c r="U879" s="3" t="str">
        <f>IF(ISERROR(VLOOKUP(Base_Periodo1[[#This Row],[CONTA]],BaseContasDRE[#All],7,FALSE)),"Fora do DRE",VLOOKUP(Base_Periodo1[[#This Row],[CONTA]],BaseContasDRE[#All],7,FALSE))</f>
        <v>Fora do DRE</v>
      </c>
      <c r="V879" s="3" t="str">
        <f>IF(Base_Periodo1[[#This Row],[Tipo_Linha]]="Fora do DRE","Fora do DRE","( "&amp;Base_Periodo1[[#This Row],[Tipo_Linha]]&amp;" ) "&amp;Base_Periodo1[[#This Row],[Filtro]])</f>
        <v>Fora do DRE</v>
      </c>
      <c r="W879" s="3" t="str">
        <f>LEFT(Base_Periodo1[[#This Row],[CLASS]],3)</f>
        <v>1.1</v>
      </c>
    </row>
    <row r="880" spans="1:23" hidden="1">
      <c r="A880" s="3" t="str">
        <f t="shared" si="13"/>
        <v>Período 1</v>
      </c>
      <c r="B880">
        <v>16602</v>
      </c>
      <c r="C880" t="s">
        <v>922</v>
      </c>
      <c r="D880" t="s">
        <v>934</v>
      </c>
      <c r="E880" s="3" t="str">
        <f>IF(LEN(Base_Periodo1[[#This Row],[CLASS]])&gt;=7,LEFT(Base_Periodo1[[#This Row],[CLASS]],7),"")</f>
        <v>1.1.2.2</v>
      </c>
      <c r="F880" s="3" t="str">
        <f>VLOOKUP(Base_Periodo1[[#This Row],[Aux]],Base_Contas_Balanco[#All],2,FALSE)</f>
        <v>Creditos com não Cooperados</v>
      </c>
      <c r="G880" s="1">
        <v>42859</v>
      </c>
      <c r="H880" s="225">
        <v>86505.559999999969</v>
      </c>
      <c r="I880" s="225">
        <v>0</v>
      </c>
      <c r="J880" s="225">
        <v>71688.97</v>
      </c>
      <c r="K880" s="225">
        <v>14816.589999999967</v>
      </c>
      <c r="L8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14816.59</v>
      </c>
      <c r="M880" s="225">
        <f>ROUND(IF(AND(Base_Periodo1[[#This Row],[Tipo_Linha]]="-",Base_Periodo1[[#This Row],[TIPOSALDO]]="D"),Base_Periodo1[[#This Row],[SALDO_ATUAL]]*-1,Base_Periodo1[[#This Row],[SALDO_ATUAL]]),4)</f>
        <v>14816.59</v>
      </c>
      <c r="N880" t="s">
        <v>116</v>
      </c>
      <c r="O880" t="s">
        <v>397</v>
      </c>
      <c r="P880" t="s">
        <v>397</v>
      </c>
      <c r="Q880">
        <v>7</v>
      </c>
      <c r="R880" s="225">
        <f>Base_Periodo1[[#This Row],[CREDITOS]]-Base_Periodo1[[#This Row],[DEBITOS]]</f>
        <v>71688.97</v>
      </c>
      <c r="S880" s="3" t="str">
        <f>IF(ISERROR(VLOOKUP(Base_Periodo1[[#This Row],[CONTA]],BaseContasDRE[#All],4,FALSE)),"Fora do DRE",VLOOKUP(Base_Periodo1[[#This Row],[CONTA]],BaseContasDRE[#All],4,FALSE))</f>
        <v>Fora do DRE</v>
      </c>
      <c r="T880" s="3" t="str">
        <f>IF(ISERROR(VLOOKUP(Base_Periodo1[[#This Row],[CONTA]],BaseContasDRE[#All],5,FALSE)),"Fora do DRE",VLOOKUP(Base_Periodo1[[#This Row],[CONTA]],BaseContasDRE[#All],6,FALSE))</f>
        <v>Fora do DRE</v>
      </c>
      <c r="U880" s="3" t="str">
        <f>IF(ISERROR(VLOOKUP(Base_Periodo1[[#This Row],[CONTA]],BaseContasDRE[#All],7,FALSE)),"Fora do DRE",VLOOKUP(Base_Periodo1[[#This Row],[CONTA]],BaseContasDRE[#All],7,FALSE))</f>
        <v>Fora do DRE</v>
      </c>
      <c r="V880" s="3" t="str">
        <f>IF(Base_Periodo1[[#This Row],[Tipo_Linha]]="Fora do DRE","Fora do DRE","( "&amp;Base_Periodo1[[#This Row],[Tipo_Linha]]&amp;" ) "&amp;Base_Periodo1[[#This Row],[Filtro]])</f>
        <v>Fora do DRE</v>
      </c>
      <c r="W880" s="3" t="str">
        <f>LEFT(Base_Periodo1[[#This Row],[CLASS]],3)</f>
        <v>1.1</v>
      </c>
    </row>
    <row r="881" spans="1:23" hidden="1">
      <c r="A881" s="3" t="str">
        <f t="shared" si="13"/>
        <v>Período 1</v>
      </c>
      <c r="B881">
        <v>7749</v>
      </c>
      <c r="C881" t="s">
        <v>922</v>
      </c>
      <c r="D881" t="s">
        <v>4770</v>
      </c>
      <c r="E881" s="3" t="str">
        <f>IF(LEN(Base_Periodo1[[#This Row],[CLASS]])&gt;=7,LEFT(Base_Periodo1[[#This Row],[CLASS]],7),"")</f>
        <v>1.1.2.2</v>
      </c>
      <c r="F881" s="3" t="str">
        <f>VLOOKUP(Base_Periodo1[[#This Row],[Aux]],Base_Contas_Balanco[#All],2,FALSE)</f>
        <v>Creditos com não Cooperados</v>
      </c>
      <c r="G881" s="1">
        <v>42874</v>
      </c>
      <c r="H881" s="225">
        <v>6800</v>
      </c>
      <c r="I881" s="225">
        <v>3700</v>
      </c>
      <c r="J881" s="225">
        <v>2000</v>
      </c>
      <c r="K881" s="225">
        <v>8500</v>
      </c>
      <c r="L8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8500</v>
      </c>
      <c r="M881" s="225">
        <f>ROUND(IF(AND(Base_Periodo1[[#This Row],[Tipo_Linha]]="-",Base_Periodo1[[#This Row],[TIPOSALDO]]="D"),Base_Periodo1[[#This Row],[SALDO_ATUAL]]*-1,Base_Periodo1[[#This Row],[SALDO_ATUAL]]),4)</f>
        <v>8500</v>
      </c>
      <c r="N881" t="s">
        <v>116</v>
      </c>
      <c r="O881" t="s">
        <v>397</v>
      </c>
      <c r="P881" t="s">
        <v>397</v>
      </c>
      <c r="Q881">
        <v>7</v>
      </c>
      <c r="R881" s="225">
        <f>Base_Periodo1[[#This Row],[CREDITOS]]-Base_Periodo1[[#This Row],[DEBITOS]]</f>
        <v>-1700</v>
      </c>
      <c r="S881" s="3" t="str">
        <f>IF(ISERROR(VLOOKUP(Base_Periodo1[[#This Row],[CONTA]],BaseContasDRE[#All],4,FALSE)),"Fora do DRE",VLOOKUP(Base_Periodo1[[#This Row],[CONTA]],BaseContasDRE[#All],4,FALSE))</f>
        <v>Fora do DRE</v>
      </c>
      <c r="T881" s="3" t="str">
        <f>IF(ISERROR(VLOOKUP(Base_Periodo1[[#This Row],[CONTA]],BaseContasDRE[#All],5,FALSE)),"Fora do DRE",VLOOKUP(Base_Periodo1[[#This Row],[CONTA]],BaseContasDRE[#All],6,FALSE))</f>
        <v>Fora do DRE</v>
      </c>
      <c r="U881" s="3" t="str">
        <f>IF(ISERROR(VLOOKUP(Base_Periodo1[[#This Row],[CONTA]],BaseContasDRE[#All],7,FALSE)),"Fora do DRE",VLOOKUP(Base_Periodo1[[#This Row],[CONTA]],BaseContasDRE[#All],7,FALSE))</f>
        <v>Fora do DRE</v>
      </c>
      <c r="V881" s="3" t="str">
        <f>IF(Base_Periodo1[[#This Row],[Tipo_Linha]]="Fora do DRE","Fora do DRE","( "&amp;Base_Periodo1[[#This Row],[Tipo_Linha]]&amp;" ) "&amp;Base_Periodo1[[#This Row],[Filtro]])</f>
        <v>Fora do DRE</v>
      </c>
      <c r="W881" s="3" t="str">
        <f>LEFT(Base_Periodo1[[#This Row],[CLASS]],3)</f>
        <v>1.1</v>
      </c>
    </row>
    <row r="882" spans="1:23" hidden="1">
      <c r="A882" s="3" t="str">
        <f t="shared" si="13"/>
        <v>Período 1</v>
      </c>
      <c r="B882">
        <v>46815</v>
      </c>
      <c r="C882" t="s">
        <v>922</v>
      </c>
      <c r="D882" t="s">
        <v>6156</v>
      </c>
      <c r="E882" s="3" t="str">
        <f>IF(LEN(Base_Periodo1[[#This Row],[CLASS]])&gt;=7,LEFT(Base_Periodo1[[#This Row],[CLASS]],7),"")</f>
        <v>1.1.2.2</v>
      </c>
      <c r="F882" s="3" t="str">
        <f>VLOOKUP(Base_Periodo1[[#This Row],[Aux]],Base_Contas_Balanco[#All],2,FALSE)</f>
        <v>Creditos com não Cooperados</v>
      </c>
      <c r="G882" s="1">
        <v>42879</v>
      </c>
      <c r="H882" s="225">
        <v>7000</v>
      </c>
      <c r="I882" s="225">
        <v>0</v>
      </c>
      <c r="J882" s="225">
        <v>7000</v>
      </c>
      <c r="K882" s="225">
        <v>0</v>
      </c>
      <c r="L8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82" s="225">
        <f>ROUND(IF(AND(Base_Periodo1[[#This Row],[Tipo_Linha]]="-",Base_Periodo1[[#This Row],[TIPOSALDO]]="D"),Base_Periodo1[[#This Row],[SALDO_ATUAL]]*-1,Base_Periodo1[[#This Row],[SALDO_ATUAL]]),4)</f>
        <v>0</v>
      </c>
      <c r="N882" t="s">
        <v>116</v>
      </c>
      <c r="O882" t="s">
        <v>397</v>
      </c>
      <c r="P882" t="s">
        <v>436</v>
      </c>
      <c r="Q882">
        <v>7</v>
      </c>
      <c r="R882" s="225">
        <f>Base_Periodo1[[#This Row],[CREDITOS]]-Base_Periodo1[[#This Row],[DEBITOS]]</f>
        <v>7000</v>
      </c>
      <c r="S882" s="3" t="str">
        <f>IF(ISERROR(VLOOKUP(Base_Periodo1[[#This Row],[CONTA]],BaseContasDRE[#All],4,FALSE)),"Fora do DRE",VLOOKUP(Base_Periodo1[[#This Row],[CONTA]],BaseContasDRE[#All],4,FALSE))</f>
        <v>Fora do DRE</v>
      </c>
      <c r="T882" s="3" t="str">
        <f>IF(ISERROR(VLOOKUP(Base_Periodo1[[#This Row],[CONTA]],BaseContasDRE[#All],5,FALSE)),"Fora do DRE",VLOOKUP(Base_Periodo1[[#This Row],[CONTA]],BaseContasDRE[#All],6,FALSE))</f>
        <v>Fora do DRE</v>
      </c>
      <c r="U882" s="3" t="str">
        <f>IF(ISERROR(VLOOKUP(Base_Periodo1[[#This Row],[CONTA]],BaseContasDRE[#All],7,FALSE)),"Fora do DRE",VLOOKUP(Base_Periodo1[[#This Row],[CONTA]],BaseContasDRE[#All],7,FALSE))</f>
        <v>Fora do DRE</v>
      </c>
      <c r="V882" s="3" t="str">
        <f>IF(Base_Periodo1[[#This Row],[Tipo_Linha]]="Fora do DRE","Fora do DRE","( "&amp;Base_Periodo1[[#This Row],[Tipo_Linha]]&amp;" ) "&amp;Base_Periodo1[[#This Row],[Filtro]])</f>
        <v>Fora do DRE</v>
      </c>
      <c r="W882" s="3" t="str">
        <f>LEFT(Base_Periodo1[[#This Row],[CLASS]],3)</f>
        <v>1.1</v>
      </c>
    </row>
    <row r="883" spans="1:23" hidden="1">
      <c r="A883" s="3" t="str">
        <f t="shared" si="13"/>
        <v>Período 1</v>
      </c>
      <c r="B883">
        <v>43307</v>
      </c>
      <c r="C883" t="s">
        <v>922</v>
      </c>
      <c r="D883" t="s">
        <v>581</v>
      </c>
      <c r="E883" s="3" t="str">
        <f>IF(LEN(Base_Periodo1[[#This Row],[CLASS]])&gt;=7,LEFT(Base_Periodo1[[#This Row],[CLASS]],7),"")</f>
        <v>1.1.2.2</v>
      </c>
      <c r="F883" s="3" t="str">
        <f>VLOOKUP(Base_Periodo1[[#This Row],[Aux]],Base_Contas_Balanco[#All],2,FALSE)</f>
        <v>Creditos com não Cooperados</v>
      </c>
      <c r="G883" s="1">
        <v>42884</v>
      </c>
      <c r="I883" s="225">
        <v>100</v>
      </c>
      <c r="J883" s="225">
        <v>83.36</v>
      </c>
      <c r="K883" s="225">
        <v>16.64</v>
      </c>
      <c r="L8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16.64</v>
      </c>
      <c r="M883" s="225">
        <f>ROUND(IF(AND(Base_Periodo1[[#This Row],[Tipo_Linha]]="-",Base_Periodo1[[#This Row],[TIPOSALDO]]="D"),Base_Periodo1[[#This Row],[SALDO_ATUAL]]*-1,Base_Periodo1[[#This Row],[SALDO_ATUAL]]),4)</f>
        <v>16.64</v>
      </c>
      <c r="N883" t="s">
        <v>116</v>
      </c>
      <c r="O883" t="s">
        <v>436</v>
      </c>
      <c r="P883" t="s">
        <v>397</v>
      </c>
      <c r="Q883">
        <v>7</v>
      </c>
      <c r="R883" s="225">
        <f>Base_Periodo1[[#This Row],[CREDITOS]]-Base_Periodo1[[#This Row],[DEBITOS]]</f>
        <v>-16.64</v>
      </c>
      <c r="S883" s="3" t="str">
        <f>IF(ISERROR(VLOOKUP(Base_Periodo1[[#This Row],[CONTA]],BaseContasDRE[#All],4,FALSE)),"Fora do DRE",VLOOKUP(Base_Periodo1[[#This Row],[CONTA]],BaseContasDRE[#All],4,FALSE))</f>
        <v>Fora do DRE</v>
      </c>
      <c r="T883" s="3" t="str">
        <f>IF(ISERROR(VLOOKUP(Base_Periodo1[[#This Row],[CONTA]],BaseContasDRE[#All],5,FALSE)),"Fora do DRE",VLOOKUP(Base_Periodo1[[#This Row],[CONTA]],BaseContasDRE[#All],6,FALSE))</f>
        <v>Fora do DRE</v>
      </c>
      <c r="U883" s="3" t="str">
        <f>IF(ISERROR(VLOOKUP(Base_Periodo1[[#This Row],[CONTA]],BaseContasDRE[#All],7,FALSE)),"Fora do DRE",VLOOKUP(Base_Periodo1[[#This Row],[CONTA]],BaseContasDRE[#All],7,FALSE))</f>
        <v>Fora do DRE</v>
      </c>
      <c r="V883" s="3" t="str">
        <f>IF(Base_Periodo1[[#This Row],[Tipo_Linha]]="Fora do DRE","Fora do DRE","( "&amp;Base_Periodo1[[#This Row],[Tipo_Linha]]&amp;" ) "&amp;Base_Periodo1[[#This Row],[Filtro]])</f>
        <v>Fora do DRE</v>
      </c>
      <c r="W883" s="3" t="str">
        <f>LEFT(Base_Periodo1[[#This Row],[CLASS]],3)</f>
        <v>1.1</v>
      </c>
    </row>
    <row r="884" spans="1:23" hidden="1">
      <c r="A884" s="3" t="str">
        <f t="shared" si="13"/>
        <v>Período 1</v>
      </c>
      <c r="B884">
        <v>19109</v>
      </c>
      <c r="C884" t="s">
        <v>922</v>
      </c>
      <c r="D884" t="s">
        <v>2034</v>
      </c>
      <c r="E884" s="3" t="str">
        <f>IF(LEN(Base_Periodo1[[#This Row],[CLASS]])&gt;=7,LEFT(Base_Periodo1[[#This Row],[CLASS]],7),"")</f>
        <v>1.1.2.2</v>
      </c>
      <c r="F884" s="3" t="str">
        <f>VLOOKUP(Base_Periodo1[[#This Row],[Aux]],Base_Contas_Balanco[#All],2,FALSE)</f>
        <v>Creditos com não Cooperados</v>
      </c>
      <c r="G884" s="1">
        <v>42871</v>
      </c>
      <c r="I884" s="225">
        <v>20131.939999999999</v>
      </c>
      <c r="J884" s="225">
        <v>20131.939999999999</v>
      </c>
      <c r="K884" s="225">
        <v>0</v>
      </c>
      <c r="L8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84" s="225">
        <f>ROUND(IF(AND(Base_Periodo1[[#This Row],[Tipo_Linha]]="-",Base_Periodo1[[#This Row],[TIPOSALDO]]="D"),Base_Periodo1[[#This Row],[SALDO_ATUAL]]*-1,Base_Periodo1[[#This Row],[SALDO_ATUAL]]),4)</f>
        <v>0</v>
      </c>
      <c r="N884" t="s">
        <v>116</v>
      </c>
      <c r="O884" t="s">
        <v>436</v>
      </c>
      <c r="P884" t="s">
        <v>436</v>
      </c>
      <c r="Q884">
        <v>7</v>
      </c>
      <c r="R884" s="225">
        <f>Base_Periodo1[[#This Row],[CREDITOS]]-Base_Periodo1[[#This Row],[DEBITOS]]</f>
        <v>0</v>
      </c>
      <c r="S884" s="3" t="str">
        <f>IF(ISERROR(VLOOKUP(Base_Periodo1[[#This Row],[CONTA]],BaseContasDRE[#All],4,FALSE)),"Fora do DRE",VLOOKUP(Base_Periodo1[[#This Row],[CONTA]],BaseContasDRE[#All],4,FALSE))</f>
        <v>Fora do DRE</v>
      </c>
      <c r="T884" s="3" t="str">
        <f>IF(ISERROR(VLOOKUP(Base_Periodo1[[#This Row],[CONTA]],BaseContasDRE[#All],5,FALSE)),"Fora do DRE",VLOOKUP(Base_Periodo1[[#This Row],[CONTA]],BaseContasDRE[#All],6,FALSE))</f>
        <v>Fora do DRE</v>
      </c>
      <c r="U884" s="3" t="str">
        <f>IF(ISERROR(VLOOKUP(Base_Periodo1[[#This Row],[CONTA]],BaseContasDRE[#All],7,FALSE)),"Fora do DRE",VLOOKUP(Base_Periodo1[[#This Row],[CONTA]],BaseContasDRE[#All],7,FALSE))</f>
        <v>Fora do DRE</v>
      </c>
      <c r="V884" s="3" t="str">
        <f>IF(Base_Periodo1[[#This Row],[Tipo_Linha]]="Fora do DRE","Fora do DRE","( "&amp;Base_Periodo1[[#This Row],[Tipo_Linha]]&amp;" ) "&amp;Base_Periodo1[[#This Row],[Filtro]])</f>
        <v>Fora do DRE</v>
      </c>
      <c r="W884" s="3" t="str">
        <f>LEFT(Base_Periodo1[[#This Row],[CLASS]],3)</f>
        <v>1.1</v>
      </c>
    </row>
    <row r="885" spans="1:23" hidden="1">
      <c r="A885" s="3" t="str">
        <f t="shared" si="13"/>
        <v>Período 1</v>
      </c>
      <c r="B885">
        <v>58758</v>
      </c>
      <c r="C885" t="s">
        <v>922</v>
      </c>
      <c r="D885" t="s">
        <v>6751</v>
      </c>
      <c r="E885" s="3" t="str">
        <f>IF(LEN(Base_Periodo1[[#This Row],[CLASS]])&gt;=7,LEFT(Base_Periodo1[[#This Row],[CLASS]],7),"")</f>
        <v>1.1.2.2</v>
      </c>
      <c r="F885" s="3" t="str">
        <f>VLOOKUP(Base_Periodo1[[#This Row],[Aux]],Base_Contas_Balanco[#All],2,FALSE)</f>
        <v>Creditos com não Cooperados</v>
      </c>
      <c r="G885" s="1">
        <v>42864</v>
      </c>
      <c r="I885" s="225">
        <v>353787</v>
      </c>
      <c r="J885" s="225">
        <v>353787</v>
      </c>
      <c r="K885" s="225">
        <v>0</v>
      </c>
      <c r="L8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85" s="225">
        <f>ROUND(IF(AND(Base_Periodo1[[#This Row],[Tipo_Linha]]="-",Base_Periodo1[[#This Row],[TIPOSALDO]]="D"),Base_Periodo1[[#This Row],[SALDO_ATUAL]]*-1,Base_Periodo1[[#This Row],[SALDO_ATUAL]]),4)</f>
        <v>0</v>
      </c>
      <c r="N885" t="s">
        <v>116</v>
      </c>
      <c r="O885" t="s">
        <v>436</v>
      </c>
      <c r="P885" t="s">
        <v>436</v>
      </c>
      <c r="Q885">
        <v>7</v>
      </c>
      <c r="R885" s="225">
        <f>Base_Periodo1[[#This Row],[CREDITOS]]-Base_Periodo1[[#This Row],[DEBITOS]]</f>
        <v>0</v>
      </c>
      <c r="S885" s="3" t="str">
        <f>IF(ISERROR(VLOOKUP(Base_Periodo1[[#This Row],[CONTA]],BaseContasDRE[#All],4,FALSE)),"Fora do DRE",VLOOKUP(Base_Periodo1[[#This Row],[CONTA]],BaseContasDRE[#All],4,FALSE))</f>
        <v>Fora do DRE</v>
      </c>
      <c r="T885" s="3" t="str">
        <f>IF(ISERROR(VLOOKUP(Base_Periodo1[[#This Row],[CONTA]],BaseContasDRE[#All],5,FALSE)),"Fora do DRE",VLOOKUP(Base_Periodo1[[#This Row],[CONTA]],BaseContasDRE[#All],6,FALSE))</f>
        <v>Fora do DRE</v>
      </c>
      <c r="U885" s="3" t="str">
        <f>IF(ISERROR(VLOOKUP(Base_Periodo1[[#This Row],[CONTA]],BaseContasDRE[#All],7,FALSE)),"Fora do DRE",VLOOKUP(Base_Periodo1[[#This Row],[CONTA]],BaseContasDRE[#All],7,FALSE))</f>
        <v>Fora do DRE</v>
      </c>
      <c r="V885" s="3" t="str">
        <f>IF(Base_Periodo1[[#This Row],[Tipo_Linha]]="Fora do DRE","Fora do DRE","( "&amp;Base_Periodo1[[#This Row],[Tipo_Linha]]&amp;" ) "&amp;Base_Periodo1[[#This Row],[Filtro]])</f>
        <v>Fora do DRE</v>
      </c>
      <c r="W885" s="3" t="str">
        <f>LEFT(Base_Periodo1[[#This Row],[CLASS]],3)</f>
        <v>1.1</v>
      </c>
    </row>
    <row r="886" spans="1:23" hidden="1">
      <c r="A886" s="3" t="str">
        <f t="shared" si="13"/>
        <v>Período 1</v>
      </c>
      <c r="B886">
        <v>37647</v>
      </c>
      <c r="C886" t="s">
        <v>922</v>
      </c>
      <c r="D886" t="s">
        <v>4248</v>
      </c>
      <c r="E886" s="3" t="str">
        <f>IF(LEN(Base_Periodo1[[#This Row],[CLASS]])&gt;=7,LEFT(Base_Periodo1[[#This Row],[CLASS]],7),"")</f>
        <v>1.1.2.2</v>
      </c>
      <c r="F886" s="3" t="str">
        <f>VLOOKUP(Base_Periodo1[[#This Row],[Aux]],Base_Contas_Balanco[#All],2,FALSE)</f>
        <v>Creditos com não Cooperados</v>
      </c>
      <c r="G886" s="1">
        <v>42522</v>
      </c>
      <c r="H886" s="225">
        <v>5316.9199999999983</v>
      </c>
      <c r="I886" s="225">
        <v>0</v>
      </c>
      <c r="J886" s="225">
        <v>0</v>
      </c>
      <c r="K886" s="225">
        <v>5316.9199999999983</v>
      </c>
      <c r="L8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5316.92</v>
      </c>
      <c r="M886" s="225">
        <f>ROUND(IF(AND(Base_Periodo1[[#This Row],[Tipo_Linha]]="-",Base_Periodo1[[#This Row],[TIPOSALDO]]="D"),Base_Periodo1[[#This Row],[SALDO_ATUAL]]*-1,Base_Periodo1[[#This Row],[SALDO_ATUAL]]),4)</f>
        <v>5316.92</v>
      </c>
      <c r="N886" t="s">
        <v>116</v>
      </c>
      <c r="O886" t="s">
        <v>397</v>
      </c>
      <c r="P886" t="s">
        <v>397</v>
      </c>
      <c r="Q886">
        <v>7</v>
      </c>
      <c r="R886" s="225">
        <f>Base_Periodo1[[#This Row],[CREDITOS]]-Base_Periodo1[[#This Row],[DEBITOS]]</f>
        <v>0</v>
      </c>
      <c r="S886" s="3" t="str">
        <f>IF(ISERROR(VLOOKUP(Base_Periodo1[[#This Row],[CONTA]],BaseContasDRE[#All],4,FALSE)),"Fora do DRE",VLOOKUP(Base_Periodo1[[#This Row],[CONTA]],BaseContasDRE[#All],4,FALSE))</f>
        <v>Fora do DRE</v>
      </c>
      <c r="T886" s="3" t="str">
        <f>IF(ISERROR(VLOOKUP(Base_Periodo1[[#This Row],[CONTA]],BaseContasDRE[#All],5,FALSE)),"Fora do DRE",VLOOKUP(Base_Periodo1[[#This Row],[CONTA]],BaseContasDRE[#All],6,FALSE))</f>
        <v>Fora do DRE</v>
      </c>
      <c r="U886" s="3" t="str">
        <f>IF(ISERROR(VLOOKUP(Base_Periodo1[[#This Row],[CONTA]],BaseContasDRE[#All],7,FALSE)),"Fora do DRE",VLOOKUP(Base_Periodo1[[#This Row],[CONTA]],BaseContasDRE[#All],7,FALSE))</f>
        <v>Fora do DRE</v>
      </c>
      <c r="V886" s="3" t="str">
        <f>IF(Base_Periodo1[[#This Row],[Tipo_Linha]]="Fora do DRE","Fora do DRE","( "&amp;Base_Periodo1[[#This Row],[Tipo_Linha]]&amp;" ) "&amp;Base_Periodo1[[#This Row],[Filtro]])</f>
        <v>Fora do DRE</v>
      </c>
      <c r="W886" s="3" t="str">
        <f>LEFT(Base_Periodo1[[#This Row],[CLASS]],3)</f>
        <v>1.1</v>
      </c>
    </row>
    <row r="887" spans="1:23" hidden="1">
      <c r="A887" s="3" t="str">
        <f t="shared" si="13"/>
        <v>Período 1</v>
      </c>
      <c r="B887">
        <v>13952</v>
      </c>
      <c r="C887" t="s">
        <v>922</v>
      </c>
      <c r="D887" t="s">
        <v>6752</v>
      </c>
      <c r="E887" s="3" t="str">
        <f>IF(LEN(Base_Periodo1[[#This Row],[CLASS]])&gt;=7,LEFT(Base_Periodo1[[#This Row],[CLASS]],7),"")</f>
        <v>1.1.2.2</v>
      </c>
      <c r="F887" s="3" t="str">
        <f>VLOOKUP(Base_Periodo1[[#This Row],[Aux]],Base_Contas_Balanco[#All],2,FALSE)</f>
        <v>Creditos com não Cooperados</v>
      </c>
      <c r="G887" s="1">
        <v>42874</v>
      </c>
      <c r="I887" s="225">
        <v>77.349999999999994</v>
      </c>
      <c r="J887" s="225">
        <v>77.349999999999994</v>
      </c>
      <c r="K887" s="225">
        <v>-2.2737367544323206E-13</v>
      </c>
      <c r="L8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87" s="225">
        <f>ROUND(IF(AND(Base_Periodo1[[#This Row],[Tipo_Linha]]="-",Base_Periodo1[[#This Row],[TIPOSALDO]]="D"),Base_Periodo1[[#This Row],[SALDO_ATUAL]]*-1,Base_Periodo1[[#This Row],[SALDO_ATUAL]]),4)</f>
        <v>0</v>
      </c>
      <c r="N887" t="s">
        <v>116</v>
      </c>
      <c r="O887" t="s">
        <v>436</v>
      </c>
      <c r="P887" t="s">
        <v>436</v>
      </c>
      <c r="Q887">
        <v>7</v>
      </c>
      <c r="R887" s="225">
        <f>Base_Periodo1[[#This Row],[CREDITOS]]-Base_Periodo1[[#This Row],[DEBITOS]]</f>
        <v>0</v>
      </c>
      <c r="S887" s="3" t="str">
        <f>IF(ISERROR(VLOOKUP(Base_Periodo1[[#This Row],[CONTA]],BaseContasDRE[#All],4,FALSE)),"Fora do DRE",VLOOKUP(Base_Periodo1[[#This Row],[CONTA]],BaseContasDRE[#All],4,FALSE))</f>
        <v>Fora do DRE</v>
      </c>
      <c r="T887" s="3" t="str">
        <f>IF(ISERROR(VLOOKUP(Base_Periodo1[[#This Row],[CONTA]],BaseContasDRE[#All],5,FALSE)),"Fora do DRE",VLOOKUP(Base_Periodo1[[#This Row],[CONTA]],BaseContasDRE[#All],6,FALSE))</f>
        <v>Fora do DRE</v>
      </c>
      <c r="U887" s="3" t="str">
        <f>IF(ISERROR(VLOOKUP(Base_Periodo1[[#This Row],[CONTA]],BaseContasDRE[#All],7,FALSE)),"Fora do DRE",VLOOKUP(Base_Periodo1[[#This Row],[CONTA]],BaseContasDRE[#All],7,FALSE))</f>
        <v>Fora do DRE</v>
      </c>
      <c r="V887" s="3" t="str">
        <f>IF(Base_Periodo1[[#This Row],[Tipo_Linha]]="Fora do DRE","Fora do DRE","( "&amp;Base_Periodo1[[#This Row],[Tipo_Linha]]&amp;" ) "&amp;Base_Periodo1[[#This Row],[Filtro]])</f>
        <v>Fora do DRE</v>
      </c>
      <c r="W887" s="3" t="str">
        <f>LEFT(Base_Periodo1[[#This Row],[CLASS]],3)</f>
        <v>1.1</v>
      </c>
    </row>
    <row r="888" spans="1:23" hidden="1">
      <c r="A888" s="3" t="str">
        <f t="shared" si="13"/>
        <v>Período 1</v>
      </c>
      <c r="B888">
        <v>56870</v>
      </c>
      <c r="C888" t="s">
        <v>922</v>
      </c>
      <c r="D888" t="s">
        <v>6157</v>
      </c>
      <c r="E888" s="3" t="str">
        <f>IF(LEN(Base_Periodo1[[#This Row],[CLASS]])&gt;=7,LEFT(Base_Periodo1[[#This Row],[CLASS]],7),"")</f>
        <v>1.1.2.2</v>
      </c>
      <c r="F888" s="3" t="str">
        <f>VLOOKUP(Base_Periodo1[[#This Row],[Aux]],Base_Contas_Balanco[#All],2,FALSE)</f>
        <v>Creditos com não Cooperados</v>
      </c>
      <c r="G888" s="1">
        <v>42842</v>
      </c>
      <c r="H888" s="225">
        <v>283440</v>
      </c>
      <c r="I888" s="225">
        <v>0</v>
      </c>
      <c r="J888" s="225">
        <v>0</v>
      </c>
      <c r="K888" s="225">
        <v>283440</v>
      </c>
      <c r="L8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283440</v>
      </c>
      <c r="M888" s="225">
        <f>ROUND(IF(AND(Base_Periodo1[[#This Row],[Tipo_Linha]]="-",Base_Periodo1[[#This Row],[TIPOSALDO]]="D"),Base_Periodo1[[#This Row],[SALDO_ATUAL]]*-1,Base_Periodo1[[#This Row],[SALDO_ATUAL]]),4)</f>
        <v>283440</v>
      </c>
      <c r="N888" t="s">
        <v>116</v>
      </c>
      <c r="O888" t="s">
        <v>397</v>
      </c>
      <c r="P888" t="s">
        <v>397</v>
      </c>
      <c r="Q888">
        <v>7</v>
      </c>
      <c r="R888" s="225">
        <f>Base_Periodo1[[#This Row],[CREDITOS]]-Base_Periodo1[[#This Row],[DEBITOS]]</f>
        <v>0</v>
      </c>
      <c r="S888" s="3" t="str">
        <f>IF(ISERROR(VLOOKUP(Base_Periodo1[[#This Row],[CONTA]],BaseContasDRE[#All],4,FALSE)),"Fora do DRE",VLOOKUP(Base_Periodo1[[#This Row],[CONTA]],BaseContasDRE[#All],4,FALSE))</f>
        <v>Fora do DRE</v>
      </c>
      <c r="T888" s="3" t="str">
        <f>IF(ISERROR(VLOOKUP(Base_Periodo1[[#This Row],[CONTA]],BaseContasDRE[#All],5,FALSE)),"Fora do DRE",VLOOKUP(Base_Periodo1[[#This Row],[CONTA]],BaseContasDRE[#All],6,FALSE))</f>
        <v>Fora do DRE</v>
      </c>
      <c r="U888" s="3" t="str">
        <f>IF(ISERROR(VLOOKUP(Base_Periodo1[[#This Row],[CONTA]],BaseContasDRE[#All],7,FALSE)),"Fora do DRE",VLOOKUP(Base_Periodo1[[#This Row],[CONTA]],BaseContasDRE[#All],7,FALSE))</f>
        <v>Fora do DRE</v>
      </c>
      <c r="V888" s="3" t="str">
        <f>IF(Base_Periodo1[[#This Row],[Tipo_Linha]]="Fora do DRE","Fora do DRE","( "&amp;Base_Periodo1[[#This Row],[Tipo_Linha]]&amp;" ) "&amp;Base_Periodo1[[#This Row],[Filtro]])</f>
        <v>Fora do DRE</v>
      </c>
      <c r="W888" s="3" t="str">
        <f>LEFT(Base_Periodo1[[#This Row],[CLASS]],3)</f>
        <v>1.1</v>
      </c>
    </row>
    <row r="889" spans="1:23" hidden="1">
      <c r="A889" s="3" t="str">
        <f t="shared" si="13"/>
        <v>Período 1</v>
      </c>
      <c r="B889">
        <v>56878</v>
      </c>
      <c r="C889" t="s">
        <v>922</v>
      </c>
      <c r="D889" t="s">
        <v>6157</v>
      </c>
      <c r="E889" s="3" t="str">
        <f>IF(LEN(Base_Periodo1[[#This Row],[CLASS]])&gt;=7,LEFT(Base_Periodo1[[#This Row],[CLASS]],7),"")</f>
        <v>1.1.2.2</v>
      </c>
      <c r="F889" s="3" t="str">
        <f>VLOOKUP(Base_Periodo1[[#This Row],[Aux]],Base_Contas_Balanco[#All],2,FALSE)</f>
        <v>Creditos com não Cooperados</v>
      </c>
      <c r="G889" s="1">
        <v>42852</v>
      </c>
      <c r="H889" s="225">
        <v>64752</v>
      </c>
      <c r="I889" s="225">
        <v>0</v>
      </c>
      <c r="J889" s="225">
        <v>0</v>
      </c>
      <c r="K889" s="225">
        <v>64752</v>
      </c>
      <c r="L8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64752</v>
      </c>
      <c r="M889" s="225">
        <f>ROUND(IF(AND(Base_Periodo1[[#This Row],[Tipo_Linha]]="-",Base_Periodo1[[#This Row],[TIPOSALDO]]="D"),Base_Periodo1[[#This Row],[SALDO_ATUAL]]*-1,Base_Periodo1[[#This Row],[SALDO_ATUAL]]),4)</f>
        <v>64752</v>
      </c>
      <c r="N889" t="s">
        <v>116</v>
      </c>
      <c r="O889" t="s">
        <v>397</v>
      </c>
      <c r="P889" t="s">
        <v>397</v>
      </c>
      <c r="Q889">
        <v>7</v>
      </c>
      <c r="R889" s="225">
        <f>Base_Periodo1[[#This Row],[CREDITOS]]-Base_Periodo1[[#This Row],[DEBITOS]]</f>
        <v>0</v>
      </c>
      <c r="S889" s="3" t="str">
        <f>IF(ISERROR(VLOOKUP(Base_Periodo1[[#This Row],[CONTA]],BaseContasDRE[#All],4,FALSE)),"Fora do DRE",VLOOKUP(Base_Periodo1[[#This Row],[CONTA]],BaseContasDRE[#All],4,FALSE))</f>
        <v>Fora do DRE</v>
      </c>
      <c r="T889" s="3" t="str">
        <f>IF(ISERROR(VLOOKUP(Base_Periodo1[[#This Row],[CONTA]],BaseContasDRE[#All],5,FALSE)),"Fora do DRE",VLOOKUP(Base_Periodo1[[#This Row],[CONTA]],BaseContasDRE[#All],6,FALSE))</f>
        <v>Fora do DRE</v>
      </c>
      <c r="U889" s="3" t="str">
        <f>IF(ISERROR(VLOOKUP(Base_Periodo1[[#This Row],[CONTA]],BaseContasDRE[#All],7,FALSE)),"Fora do DRE",VLOOKUP(Base_Periodo1[[#This Row],[CONTA]],BaseContasDRE[#All],7,FALSE))</f>
        <v>Fora do DRE</v>
      </c>
      <c r="V889" s="3" t="str">
        <f>IF(Base_Periodo1[[#This Row],[Tipo_Linha]]="Fora do DRE","Fora do DRE","( "&amp;Base_Periodo1[[#This Row],[Tipo_Linha]]&amp;" ) "&amp;Base_Periodo1[[#This Row],[Filtro]])</f>
        <v>Fora do DRE</v>
      </c>
      <c r="W889" s="3" t="str">
        <f>LEFT(Base_Periodo1[[#This Row],[CLASS]],3)</f>
        <v>1.1</v>
      </c>
    </row>
    <row r="890" spans="1:23" hidden="1">
      <c r="A890" s="3" t="str">
        <f t="shared" si="13"/>
        <v>Período 1</v>
      </c>
      <c r="B890">
        <v>42623</v>
      </c>
      <c r="C890" t="s">
        <v>922</v>
      </c>
      <c r="D890" t="s">
        <v>4193</v>
      </c>
      <c r="E890" s="3" t="str">
        <f>IF(LEN(Base_Periodo1[[#This Row],[CLASS]])&gt;=7,LEFT(Base_Periodo1[[#This Row],[CLASS]],7),"")</f>
        <v>1.1.2.2</v>
      </c>
      <c r="F890" s="3" t="str">
        <f>VLOOKUP(Base_Periodo1[[#This Row],[Aux]],Base_Contas_Balanco[#All],2,FALSE)</f>
        <v>Creditos com não Cooperados</v>
      </c>
      <c r="G890" s="1">
        <v>42309</v>
      </c>
      <c r="H890" s="225">
        <v>10000</v>
      </c>
      <c r="I890" s="225">
        <v>0</v>
      </c>
      <c r="J890" s="225">
        <v>0</v>
      </c>
      <c r="K890" s="225">
        <v>10000</v>
      </c>
      <c r="L8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10000</v>
      </c>
      <c r="M890" s="225">
        <f>ROUND(IF(AND(Base_Periodo1[[#This Row],[Tipo_Linha]]="-",Base_Periodo1[[#This Row],[TIPOSALDO]]="D"),Base_Periodo1[[#This Row],[SALDO_ATUAL]]*-1,Base_Periodo1[[#This Row],[SALDO_ATUAL]]),4)</f>
        <v>10000</v>
      </c>
      <c r="N890" t="s">
        <v>116</v>
      </c>
      <c r="O890" t="s">
        <v>397</v>
      </c>
      <c r="P890" t="s">
        <v>397</v>
      </c>
      <c r="Q890">
        <v>7</v>
      </c>
      <c r="R890" s="225">
        <f>Base_Periodo1[[#This Row],[CREDITOS]]-Base_Periodo1[[#This Row],[DEBITOS]]</f>
        <v>0</v>
      </c>
      <c r="S890" s="3" t="str">
        <f>IF(ISERROR(VLOOKUP(Base_Periodo1[[#This Row],[CONTA]],BaseContasDRE[#All],4,FALSE)),"Fora do DRE",VLOOKUP(Base_Periodo1[[#This Row],[CONTA]],BaseContasDRE[#All],4,FALSE))</f>
        <v>Fora do DRE</v>
      </c>
      <c r="T890" s="3" t="str">
        <f>IF(ISERROR(VLOOKUP(Base_Periodo1[[#This Row],[CONTA]],BaseContasDRE[#All],5,FALSE)),"Fora do DRE",VLOOKUP(Base_Periodo1[[#This Row],[CONTA]],BaseContasDRE[#All],6,FALSE))</f>
        <v>Fora do DRE</v>
      </c>
      <c r="U890" s="3" t="str">
        <f>IF(ISERROR(VLOOKUP(Base_Periodo1[[#This Row],[CONTA]],BaseContasDRE[#All],7,FALSE)),"Fora do DRE",VLOOKUP(Base_Periodo1[[#This Row],[CONTA]],BaseContasDRE[#All],7,FALSE))</f>
        <v>Fora do DRE</v>
      </c>
      <c r="V890" s="3" t="str">
        <f>IF(Base_Periodo1[[#This Row],[Tipo_Linha]]="Fora do DRE","Fora do DRE","( "&amp;Base_Periodo1[[#This Row],[Tipo_Linha]]&amp;" ) "&amp;Base_Periodo1[[#This Row],[Filtro]])</f>
        <v>Fora do DRE</v>
      </c>
      <c r="W890" s="3" t="str">
        <f>LEFT(Base_Periodo1[[#This Row],[CLASS]],3)</f>
        <v>1.1</v>
      </c>
    </row>
    <row r="891" spans="1:23" hidden="1">
      <c r="A891" s="3" t="str">
        <f t="shared" si="13"/>
        <v>Período 1</v>
      </c>
      <c r="B891">
        <v>27572</v>
      </c>
      <c r="C891" t="s">
        <v>922</v>
      </c>
      <c r="D891" t="s">
        <v>4249</v>
      </c>
      <c r="E891" s="3" t="str">
        <f>IF(LEN(Base_Periodo1[[#This Row],[CLASS]])&gt;=7,LEFT(Base_Periodo1[[#This Row],[CLASS]],7),"")</f>
        <v>1.1.2.2</v>
      </c>
      <c r="F891" s="3" t="str">
        <f>VLOOKUP(Base_Periodo1[[#This Row],[Aux]],Base_Contas_Balanco[#All],2,FALSE)</f>
        <v>Creditos com não Cooperados</v>
      </c>
      <c r="G891" s="1">
        <v>42733</v>
      </c>
      <c r="H891" s="225">
        <v>500</v>
      </c>
      <c r="I891" s="225">
        <v>0</v>
      </c>
      <c r="J891" s="225">
        <v>0</v>
      </c>
      <c r="K891" s="225">
        <v>500</v>
      </c>
      <c r="L8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891" s="225">
        <f>ROUND(IF(AND(Base_Periodo1[[#This Row],[Tipo_Linha]]="-",Base_Periodo1[[#This Row],[TIPOSALDO]]="D"),Base_Periodo1[[#This Row],[SALDO_ATUAL]]*-1,Base_Periodo1[[#This Row],[SALDO_ATUAL]]),4)</f>
        <v>500</v>
      </c>
      <c r="N891" t="s">
        <v>116</v>
      </c>
      <c r="O891" t="s">
        <v>397</v>
      </c>
      <c r="P891" t="s">
        <v>397</v>
      </c>
      <c r="Q891">
        <v>7</v>
      </c>
      <c r="R891" s="225">
        <f>Base_Periodo1[[#This Row],[CREDITOS]]-Base_Periodo1[[#This Row],[DEBITOS]]</f>
        <v>0</v>
      </c>
      <c r="S891" s="3" t="str">
        <f>IF(ISERROR(VLOOKUP(Base_Periodo1[[#This Row],[CONTA]],BaseContasDRE[#All],4,FALSE)),"Fora do DRE",VLOOKUP(Base_Periodo1[[#This Row],[CONTA]],BaseContasDRE[#All],4,FALSE))</f>
        <v>Fora do DRE</v>
      </c>
      <c r="T891" s="3" t="str">
        <f>IF(ISERROR(VLOOKUP(Base_Periodo1[[#This Row],[CONTA]],BaseContasDRE[#All],5,FALSE)),"Fora do DRE",VLOOKUP(Base_Periodo1[[#This Row],[CONTA]],BaseContasDRE[#All],6,FALSE))</f>
        <v>Fora do DRE</v>
      </c>
      <c r="U891" s="3" t="str">
        <f>IF(ISERROR(VLOOKUP(Base_Periodo1[[#This Row],[CONTA]],BaseContasDRE[#All],7,FALSE)),"Fora do DRE",VLOOKUP(Base_Periodo1[[#This Row],[CONTA]],BaseContasDRE[#All],7,FALSE))</f>
        <v>Fora do DRE</v>
      </c>
      <c r="V891" s="3" t="str">
        <f>IF(Base_Periodo1[[#This Row],[Tipo_Linha]]="Fora do DRE","Fora do DRE","( "&amp;Base_Periodo1[[#This Row],[Tipo_Linha]]&amp;" ) "&amp;Base_Periodo1[[#This Row],[Filtro]])</f>
        <v>Fora do DRE</v>
      </c>
      <c r="W891" s="3" t="str">
        <f>LEFT(Base_Periodo1[[#This Row],[CLASS]],3)</f>
        <v>1.1</v>
      </c>
    </row>
    <row r="892" spans="1:23" hidden="1">
      <c r="A892" s="3" t="str">
        <f t="shared" si="13"/>
        <v>Período 1</v>
      </c>
      <c r="B892">
        <v>35756</v>
      </c>
      <c r="C892" t="s">
        <v>922</v>
      </c>
      <c r="D892" t="s">
        <v>937</v>
      </c>
      <c r="E892" s="3" t="str">
        <f>IF(LEN(Base_Periodo1[[#This Row],[CLASS]])&gt;=7,LEFT(Base_Periodo1[[#This Row],[CLASS]],7),"")</f>
        <v>1.1.2.2</v>
      </c>
      <c r="F892" s="3" t="str">
        <f>VLOOKUP(Base_Periodo1[[#This Row],[Aux]],Base_Contas_Balanco[#All],2,FALSE)</f>
        <v>Creditos com não Cooperados</v>
      </c>
      <c r="G892" s="1">
        <v>42114</v>
      </c>
      <c r="H892" s="225">
        <v>14.100000000005821</v>
      </c>
      <c r="I892" s="225">
        <v>0</v>
      </c>
      <c r="J892" s="225">
        <v>0</v>
      </c>
      <c r="K892" s="225">
        <v>14.100000000005821</v>
      </c>
      <c r="L8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14.1</v>
      </c>
      <c r="M892" s="225">
        <f>ROUND(IF(AND(Base_Periodo1[[#This Row],[Tipo_Linha]]="-",Base_Periodo1[[#This Row],[TIPOSALDO]]="D"),Base_Periodo1[[#This Row],[SALDO_ATUAL]]*-1,Base_Periodo1[[#This Row],[SALDO_ATUAL]]),4)</f>
        <v>14.1</v>
      </c>
      <c r="N892" t="s">
        <v>116</v>
      </c>
      <c r="O892" t="s">
        <v>397</v>
      </c>
      <c r="P892" t="s">
        <v>397</v>
      </c>
      <c r="Q892">
        <v>7</v>
      </c>
      <c r="R892" s="225">
        <f>Base_Periodo1[[#This Row],[CREDITOS]]-Base_Periodo1[[#This Row],[DEBITOS]]</f>
        <v>0</v>
      </c>
      <c r="S892" s="3" t="str">
        <f>IF(ISERROR(VLOOKUP(Base_Periodo1[[#This Row],[CONTA]],BaseContasDRE[#All],4,FALSE)),"Fora do DRE",VLOOKUP(Base_Periodo1[[#This Row],[CONTA]],BaseContasDRE[#All],4,FALSE))</f>
        <v>Fora do DRE</v>
      </c>
      <c r="T892" s="3" t="str">
        <f>IF(ISERROR(VLOOKUP(Base_Periodo1[[#This Row],[CONTA]],BaseContasDRE[#All],5,FALSE)),"Fora do DRE",VLOOKUP(Base_Periodo1[[#This Row],[CONTA]],BaseContasDRE[#All],6,FALSE))</f>
        <v>Fora do DRE</v>
      </c>
      <c r="U892" s="3" t="str">
        <f>IF(ISERROR(VLOOKUP(Base_Periodo1[[#This Row],[CONTA]],BaseContasDRE[#All],7,FALSE)),"Fora do DRE",VLOOKUP(Base_Periodo1[[#This Row],[CONTA]],BaseContasDRE[#All],7,FALSE))</f>
        <v>Fora do DRE</v>
      </c>
      <c r="V892" s="3" t="str">
        <f>IF(Base_Periodo1[[#This Row],[Tipo_Linha]]="Fora do DRE","Fora do DRE","( "&amp;Base_Periodo1[[#This Row],[Tipo_Linha]]&amp;" ) "&amp;Base_Periodo1[[#This Row],[Filtro]])</f>
        <v>Fora do DRE</v>
      </c>
      <c r="W892" s="3" t="str">
        <f>LEFT(Base_Periodo1[[#This Row],[CLASS]],3)</f>
        <v>1.1</v>
      </c>
    </row>
    <row r="893" spans="1:23" hidden="1">
      <c r="A893" s="3" t="str">
        <f t="shared" si="13"/>
        <v>Período 1</v>
      </c>
      <c r="B893">
        <v>28462</v>
      </c>
      <c r="C893" t="s">
        <v>922</v>
      </c>
      <c r="D893" t="s">
        <v>5178</v>
      </c>
      <c r="E893" s="3" t="str">
        <f>IF(LEN(Base_Periodo1[[#This Row],[CLASS]])&gt;=7,LEFT(Base_Periodo1[[#This Row],[CLASS]],7),"")</f>
        <v>1.1.2.2</v>
      </c>
      <c r="F893" s="3" t="str">
        <f>VLOOKUP(Base_Periodo1[[#This Row],[Aux]],Base_Contas_Balanco[#All],2,FALSE)</f>
        <v>Creditos com não Cooperados</v>
      </c>
      <c r="G893" s="1">
        <v>42825</v>
      </c>
      <c r="H893" s="225">
        <v>2177.5300000000097</v>
      </c>
      <c r="I893" s="225">
        <v>0</v>
      </c>
      <c r="J893" s="225">
        <v>0</v>
      </c>
      <c r="K893" s="225">
        <v>2177.5300000000097</v>
      </c>
      <c r="L8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-2177.5300000000002</v>
      </c>
      <c r="M893" s="225">
        <f>ROUND(IF(AND(Base_Periodo1[[#This Row],[Tipo_Linha]]="-",Base_Periodo1[[#This Row],[TIPOSALDO]]="D"),Base_Periodo1[[#This Row],[SALDO_ATUAL]]*-1,Base_Periodo1[[#This Row],[SALDO_ATUAL]]),4)</f>
        <v>2177.5300000000002</v>
      </c>
      <c r="N893" t="s">
        <v>116</v>
      </c>
      <c r="O893" t="s">
        <v>459</v>
      </c>
      <c r="P893" t="s">
        <v>459</v>
      </c>
      <c r="Q893">
        <v>7</v>
      </c>
      <c r="R893" s="225">
        <f>Base_Periodo1[[#This Row],[CREDITOS]]-Base_Periodo1[[#This Row],[DEBITOS]]</f>
        <v>0</v>
      </c>
      <c r="S893" s="3" t="str">
        <f>IF(ISERROR(VLOOKUP(Base_Periodo1[[#This Row],[CONTA]],BaseContasDRE[#All],4,FALSE)),"Fora do DRE",VLOOKUP(Base_Periodo1[[#This Row],[CONTA]],BaseContasDRE[#All],4,FALSE))</f>
        <v>Fora do DRE</v>
      </c>
      <c r="T893" s="3" t="str">
        <f>IF(ISERROR(VLOOKUP(Base_Periodo1[[#This Row],[CONTA]],BaseContasDRE[#All],5,FALSE)),"Fora do DRE",VLOOKUP(Base_Periodo1[[#This Row],[CONTA]],BaseContasDRE[#All],6,FALSE))</f>
        <v>Fora do DRE</v>
      </c>
      <c r="U893" s="3" t="str">
        <f>IF(ISERROR(VLOOKUP(Base_Periodo1[[#This Row],[CONTA]],BaseContasDRE[#All],7,FALSE)),"Fora do DRE",VLOOKUP(Base_Periodo1[[#This Row],[CONTA]],BaseContasDRE[#All],7,FALSE))</f>
        <v>Fora do DRE</v>
      </c>
      <c r="V893" s="3" t="str">
        <f>IF(Base_Periodo1[[#This Row],[Tipo_Linha]]="Fora do DRE","Fora do DRE","( "&amp;Base_Periodo1[[#This Row],[Tipo_Linha]]&amp;" ) "&amp;Base_Periodo1[[#This Row],[Filtro]])</f>
        <v>Fora do DRE</v>
      </c>
      <c r="W893" s="3" t="str">
        <f>LEFT(Base_Periodo1[[#This Row],[CLASS]],3)</f>
        <v>1.1</v>
      </c>
    </row>
    <row r="894" spans="1:23" hidden="1">
      <c r="A894" s="3" t="str">
        <f t="shared" si="13"/>
        <v>Período 1</v>
      </c>
      <c r="B894">
        <v>47066</v>
      </c>
      <c r="C894" t="s">
        <v>922</v>
      </c>
      <c r="D894" t="s">
        <v>5398</v>
      </c>
      <c r="E894" s="3" t="str">
        <f>IF(LEN(Base_Periodo1[[#This Row],[CLASS]])&gt;=7,LEFT(Base_Periodo1[[#This Row],[CLASS]],7),"")</f>
        <v>1.1.2.2</v>
      </c>
      <c r="F894" s="3" t="str">
        <f>VLOOKUP(Base_Periodo1[[#This Row],[Aux]],Base_Contas_Balanco[#All],2,FALSE)</f>
        <v>Creditos com não Cooperados</v>
      </c>
      <c r="G894" s="1">
        <v>42810</v>
      </c>
      <c r="H894" s="225">
        <v>6227.7999999999993</v>
      </c>
      <c r="I894" s="225">
        <v>0</v>
      </c>
      <c r="J894" s="225">
        <v>0</v>
      </c>
      <c r="K894" s="225">
        <v>6227.7999999999993</v>
      </c>
      <c r="L8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6227.8</v>
      </c>
      <c r="M894" s="225">
        <f>ROUND(IF(AND(Base_Periodo1[[#This Row],[Tipo_Linha]]="-",Base_Periodo1[[#This Row],[TIPOSALDO]]="D"),Base_Periodo1[[#This Row],[SALDO_ATUAL]]*-1,Base_Periodo1[[#This Row],[SALDO_ATUAL]]),4)</f>
        <v>6227.8</v>
      </c>
      <c r="N894" t="s">
        <v>116</v>
      </c>
      <c r="O894" t="s">
        <v>397</v>
      </c>
      <c r="P894" t="s">
        <v>397</v>
      </c>
      <c r="Q894">
        <v>7</v>
      </c>
      <c r="R894" s="225">
        <f>Base_Periodo1[[#This Row],[CREDITOS]]-Base_Periodo1[[#This Row],[DEBITOS]]</f>
        <v>0</v>
      </c>
      <c r="S894" s="3" t="str">
        <f>IF(ISERROR(VLOOKUP(Base_Periodo1[[#This Row],[CONTA]],BaseContasDRE[#All],4,FALSE)),"Fora do DRE",VLOOKUP(Base_Periodo1[[#This Row],[CONTA]],BaseContasDRE[#All],4,FALSE))</f>
        <v>Fora do DRE</v>
      </c>
      <c r="T894" s="3" t="str">
        <f>IF(ISERROR(VLOOKUP(Base_Periodo1[[#This Row],[CONTA]],BaseContasDRE[#All],5,FALSE)),"Fora do DRE",VLOOKUP(Base_Periodo1[[#This Row],[CONTA]],BaseContasDRE[#All],6,FALSE))</f>
        <v>Fora do DRE</v>
      </c>
      <c r="U894" s="3" t="str">
        <f>IF(ISERROR(VLOOKUP(Base_Periodo1[[#This Row],[CONTA]],BaseContasDRE[#All],7,FALSE)),"Fora do DRE",VLOOKUP(Base_Periodo1[[#This Row],[CONTA]],BaseContasDRE[#All],7,FALSE))</f>
        <v>Fora do DRE</v>
      </c>
      <c r="V894" s="3" t="str">
        <f>IF(Base_Periodo1[[#This Row],[Tipo_Linha]]="Fora do DRE","Fora do DRE","( "&amp;Base_Periodo1[[#This Row],[Tipo_Linha]]&amp;" ) "&amp;Base_Periodo1[[#This Row],[Filtro]])</f>
        <v>Fora do DRE</v>
      </c>
      <c r="W894" s="3" t="str">
        <f>LEFT(Base_Periodo1[[#This Row],[CLASS]],3)</f>
        <v>1.1</v>
      </c>
    </row>
    <row r="895" spans="1:23" hidden="1">
      <c r="A895" s="3" t="str">
        <f t="shared" si="13"/>
        <v>Período 1</v>
      </c>
      <c r="B895">
        <v>3368</v>
      </c>
      <c r="C895" t="s">
        <v>922</v>
      </c>
      <c r="D895" t="s">
        <v>939</v>
      </c>
      <c r="E895" s="3" t="str">
        <f>IF(LEN(Base_Periodo1[[#This Row],[CLASS]])&gt;=7,LEFT(Base_Periodo1[[#This Row],[CLASS]],7),"")</f>
        <v>1.1.2.2</v>
      </c>
      <c r="F895" s="3" t="str">
        <f>VLOOKUP(Base_Periodo1[[#This Row],[Aux]],Base_Contas_Balanco[#All],2,FALSE)</f>
        <v>Creditos com não Cooperados</v>
      </c>
      <c r="G895" s="1">
        <v>42332</v>
      </c>
      <c r="H895" s="225">
        <v>3805.4999999999982</v>
      </c>
      <c r="I895" s="225">
        <v>0</v>
      </c>
      <c r="J895" s="225">
        <v>0</v>
      </c>
      <c r="K895" s="225">
        <v>3805.4999999999982</v>
      </c>
      <c r="L8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3805.5</v>
      </c>
      <c r="M895" s="225">
        <f>ROUND(IF(AND(Base_Periodo1[[#This Row],[Tipo_Linha]]="-",Base_Periodo1[[#This Row],[TIPOSALDO]]="D"),Base_Periodo1[[#This Row],[SALDO_ATUAL]]*-1,Base_Periodo1[[#This Row],[SALDO_ATUAL]]),4)</f>
        <v>3805.5</v>
      </c>
      <c r="N895" t="s">
        <v>116</v>
      </c>
      <c r="O895" t="s">
        <v>397</v>
      </c>
      <c r="P895" t="s">
        <v>397</v>
      </c>
      <c r="Q895">
        <v>7</v>
      </c>
      <c r="R895" s="225">
        <f>Base_Periodo1[[#This Row],[CREDITOS]]-Base_Periodo1[[#This Row],[DEBITOS]]</f>
        <v>0</v>
      </c>
      <c r="S895" s="3" t="str">
        <f>IF(ISERROR(VLOOKUP(Base_Periodo1[[#This Row],[CONTA]],BaseContasDRE[#All],4,FALSE)),"Fora do DRE",VLOOKUP(Base_Periodo1[[#This Row],[CONTA]],BaseContasDRE[#All],4,FALSE))</f>
        <v>Fora do DRE</v>
      </c>
      <c r="T895" s="3" t="str">
        <f>IF(ISERROR(VLOOKUP(Base_Periodo1[[#This Row],[CONTA]],BaseContasDRE[#All],5,FALSE)),"Fora do DRE",VLOOKUP(Base_Periodo1[[#This Row],[CONTA]],BaseContasDRE[#All],6,FALSE))</f>
        <v>Fora do DRE</v>
      </c>
      <c r="U895" s="3" t="str">
        <f>IF(ISERROR(VLOOKUP(Base_Periodo1[[#This Row],[CONTA]],BaseContasDRE[#All],7,FALSE)),"Fora do DRE",VLOOKUP(Base_Periodo1[[#This Row],[CONTA]],BaseContasDRE[#All],7,FALSE))</f>
        <v>Fora do DRE</v>
      </c>
      <c r="V895" s="3" t="str">
        <f>IF(Base_Periodo1[[#This Row],[Tipo_Linha]]="Fora do DRE","Fora do DRE","( "&amp;Base_Periodo1[[#This Row],[Tipo_Linha]]&amp;" ) "&amp;Base_Periodo1[[#This Row],[Filtro]])</f>
        <v>Fora do DRE</v>
      </c>
      <c r="W895" s="3" t="str">
        <f>LEFT(Base_Periodo1[[#This Row],[CLASS]],3)</f>
        <v>1.1</v>
      </c>
    </row>
    <row r="896" spans="1:23" hidden="1">
      <c r="A896" s="3" t="str">
        <f t="shared" si="13"/>
        <v>Período 1</v>
      </c>
      <c r="B896">
        <v>58497</v>
      </c>
      <c r="C896" t="s">
        <v>922</v>
      </c>
      <c r="D896" t="s">
        <v>6753</v>
      </c>
      <c r="E896" s="3" t="str">
        <f>IF(LEN(Base_Periodo1[[#This Row],[CLASS]])&gt;=7,LEFT(Base_Periodo1[[#This Row],[CLASS]],7),"")</f>
        <v>1.1.2.2</v>
      </c>
      <c r="F896" s="3" t="str">
        <f>VLOOKUP(Base_Periodo1[[#This Row],[Aux]],Base_Contas_Balanco[#All],2,FALSE)</f>
        <v>Creditos com não Cooperados</v>
      </c>
      <c r="G896" s="1">
        <v>42860</v>
      </c>
      <c r="I896" s="225">
        <v>8400</v>
      </c>
      <c r="J896" s="225">
        <v>0</v>
      </c>
      <c r="K896" s="225">
        <v>8400</v>
      </c>
      <c r="L8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8400</v>
      </c>
      <c r="M896" s="225">
        <f>ROUND(IF(AND(Base_Periodo1[[#This Row],[Tipo_Linha]]="-",Base_Periodo1[[#This Row],[TIPOSALDO]]="D"),Base_Periodo1[[#This Row],[SALDO_ATUAL]]*-1,Base_Periodo1[[#This Row],[SALDO_ATUAL]]),4)</f>
        <v>8400</v>
      </c>
      <c r="N896" t="s">
        <v>116</v>
      </c>
      <c r="O896" t="s">
        <v>436</v>
      </c>
      <c r="P896" t="s">
        <v>397</v>
      </c>
      <c r="Q896">
        <v>7</v>
      </c>
      <c r="R896" s="225">
        <f>Base_Periodo1[[#This Row],[CREDITOS]]-Base_Periodo1[[#This Row],[DEBITOS]]</f>
        <v>-8400</v>
      </c>
      <c r="S896" s="3" t="str">
        <f>IF(ISERROR(VLOOKUP(Base_Periodo1[[#This Row],[CONTA]],BaseContasDRE[#All],4,FALSE)),"Fora do DRE",VLOOKUP(Base_Periodo1[[#This Row],[CONTA]],BaseContasDRE[#All],4,FALSE))</f>
        <v>Fora do DRE</v>
      </c>
      <c r="T896" s="3" t="str">
        <f>IF(ISERROR(VLOOKUP(Base_Periodo1[[#This Row],[CONTA]],BaseContasDRE[#All],5,FALSE)),"Fora do DRE",VLOOKUP(Base_Periodo1[[#This Row],[CONTA]],BaseContasDRE[#All],6,FALSE))</f>
        <v>Fora do DRE</v>
      </c>
      <c r="U896" s="3" t="str">
        <f>IF(ISERROR(VLOOKUP(Base_Periodo1[[#This Row],[CONTA]],BaseContasDRE[#All],7,FALSE)),"Fora do DRE",VLOOKUP(Base_Periodo1[[#This Row],[CONTA]],BaseContasDRE[#All],7,FALSE))</f>
        <v>Fora do DRE</v>
      </c>
      <c r="V896" s="3" t="str">
        <f>IF(Base_Periodo1[[#This Row],[Tipo_Linha]]="Fora do DRE","Fora do DRE","( "&amp;Base_Periodo1[[#This Row],[Tipo_Linha]]&amp;" ) "&amp;Base_Periodo1[[#This Row],[Filtro]])</f>
        <v>Fora do DRE</v>
      </c>
      <c r="W896" s="3" t="str">
        <f>LEFT(Base_Periodo1[[#This Row],[CLASS]],3)</f>
        <v>1.1</v>
      </c>
    </row>
    <row r="897" spans="1:23" hidden="1">
      <c r="A897" s="3" t="str">
        <f t="shared" si="13"/>
        <v>Período 1</v>
      </c>
      <c r="B897">
        <v>3108</v>
      </c>
      <c r="C897" t="s">
        <v>922</v>
      </c>
      <c r="D897" t="s">
        <v>5180</v>
      </c>
      <c r="E897" s="3" t="str">
        <f>IF(LEN(Base_Periodo1[[#This Row],[CLASS]])&gt;=7,LEFT(Base_Periodo1[[#This Row],[CLASS]],7),"")</f>
        <v>1.1.2.2</v>
      </c>
      <c r="F897" s="3" t="str">
        <f>VLOOKUP(Base_Periodo1[[#This Row],[Aux]],Base_Contas_Balanco[#All],2,FALSE)</f>
        <v>Creditos com não Cooperados</v>
      </c>
      <c r="G897" s="1">
        <v>42859</v>
      </c>
      <c r="H897" s="225">
        <v>13987.000000000015</v>
      </c>
      <c r="I897" s="225">
        <v>0</v>
      </c>
      <c r="J897" s="225">
        <v>13987</v>
      </c>
      <c r="K897" s="225">
        <v>1.4551915228366852E-11</v>
      </c>
      <c r="L8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97" s="225">
        <f>ROUND(IF(AND(Base_Periodo1[[#This Row],[Tipo_Linha]]="-",Base_Periodo1[[#This Row],[TIPOSALDO]]="D"),Base_Periodo1[[#This Row],[SALDO_ATUAL]]*-1,Base_Periodo1[[#This Row],[SALDO_ATUAL]]),4)</f>
        <v>0</v>
      </c>
      <c r="N897" t="s">
        <v>116</v>
      </c>
      <c r="O897" t="s">
        <v>397</v>
      </c>
      <c r="P897" t="s">
        <v>436</v>
      </c>
      <c r="Q897">
        <v>7</v>
      </c>
      <c r="R897" s="225">
        <f>Base_Periodo1[[#This Row],[CREDITOS]]-Base_Periodo1[[#This Row],[DEBITOS]]</f>
        <v>13987</v>
      </c>
      <c r="S897" s="3" t="str">
        <f>IF(ISERROR(VLOOKUP(Base_Periodo1[[#This Row],[CONTA]],BaseContasDRE[#All],4,FALSE)),"Fora do DRE",VLOOKUP(Base_Periodo1[[#This Row],[CONTA]],BaseContasDRE[#All],4,FALSE))</f>
        <v>Fora do DRE</v>
      </c>
      <c r="T897" s="3" t="str">
        <f>IF(ISERROR(VLOOKUP(Base_Periodo1[[#This Row],[CONTA]],BaseContasDRE[#All],5,FALSE)),"Fora do DRE",VLOOKUP(Base_Periodo1[[#This Row],[CONTA]],BaseContasDRE[#All],6,FALSE))</f>
        <v>Fora do DRE</v>
      </c>
      <c r="U897" s="3" t="str">
        <f>IF(ISERROR(VLOOKUP(Base_Periodo1[[#This Row],[CONTA]],BaseContasDRE[#All],7,FALSE)),"Fora do DRE",VLOOKUP(Base_Periodo1[[#This Row],[CONTA]],BaseContasDRE[#All],7,FALSE))</f>
        <v>Fora do DRE</v>
      </c>
      <c r="V897" s="3" t="str">
        <f>IF(Base_Periodo1[[#This Row],[Tipo_Linha]]="Fora do DRE","Fora do DRE","( "&amp;Base_Periodo1[[#This Row],[Tipo_Linha]]&amp;" ) "&amp;Base_Periodo1[[#This Row],[Filtro]])</f>
        <v>Fora do DRE</v>
      </c>
      <c r="W897" s="3" t="str">
        <f>LEFT(Base_Periodo1[[#This Row],[CLASS]],3)</f>
        <v>1.1</v>
      </c>
    </row>
    <row r="898" spans="1:23" hidden="1">
      <c r="A898" s="3" t="str">
        <f t="shared" si="13"/>
        <v>Período 1</v>
      </c>
      <c r="B898">
        <v>58996</v>
      </c>
      <c r="C898" t="s">
        <v>922</v>
      </c>
      <c r="D898" t="s">
        <v>6754</v>
      </c>
      <c r="E898" s="3" t="str">
        <f>IF(LEN(Base_Periodo1[[#This Row],[CLASS]])&gt;=7,LEFT(Base_Periodo1[[#This Row],[CLASS]],7),"")</f>
        <v>1.1.2.2</v>
      </c>
      <c r="F898" s="3" t="str">
        <f>VLOOKUP(Base_Periodo1[[#This Row],[Aux]],Base_Contas_Balanco[#All],2,FALSE)</f>
        <v>Creditos com não Cooperados</v>
      </c>
      <c r="G898" s="1">
        <v>42871</v>
      </c>
      <c r="I898" s="225">
        <v>384</v>
      </c>
      <c r="J898" s="225">
        <v>384</v>
      </c>
      <c r="K898" s="225">
        <v>0</v>
      </c>
      <c r="L8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898" s="225">
        <f>ROUND(IF(AND(Base_Periodo1[[#This Row],[Tipo_Linha]]="-",Base_Periodo1[[#This Row],[TIPOSALDO]]="D"),Base_Periodo1[[#This Row],[SALDO_ATUAL]]*-1,Base_Periodo1[[#This Row],[SALDO_ATUAL]]),4)</f>
        <v>0</v>
      </c>
      <c r="N898" t="s">
        <v>116</v>
      </c>
      <c r="O898" t="s">
        <v>436</v>
      </c>
      <c r="P898" t="s">
        <v>436</v>
      </c>
      <c r="Q898">
        <v>7</v>
      </c>
      <c r="R898" s="225">
        <f>Base_Periodo1[[#This Row],[CREDITOS]]-Base_Periodo1[[#This Row],[DEBITOS]]</f>
        <v>0</v>
      </c>
      <c r="S898" s="3" t="str">
        <f>IF(ISERROR(VLOOKUP(Base_Periodo1[[#This Row],[CONTA]],BaseContasDRE[#All],4,FALSE)),"Fora do DRE",VLOOKUP(Base_Periodo1[[#This Row],[CONTA]],BaseContasDRE[#All],4,FALSE))</f>
        <v>Fora do DRE</v>
      </c>
      <c r="T898" s="3" t="str">
        <f>IF(ISERROR(VLOOKUP(Base_Periodo1[[#This Row],[CONTA]],BaseContasDRE[#All],5,FALSE)),"Fora do DRE",VLOOKUP(Base_Periodo1[[#This Row],[CONTA]],BaseContasDRE[#All],6,FALSE))</f>
        <v>Fora do DRE</v>
      </c>
      <c r="U898" s="3" t="str">
        <f>IF(ISERROR(VLOOKUP(Base_Periodo1[[#This Row],[CONTA]],BaseContasDRE[#All],7,FALSE)),"Fora do DRE",VLOOKUP(Base_Periodo1[[#This Row],[CONTA]],BaseContasDRE[#All],7,FALSE))</f>
        <v>Fora do DRE</v>
      </c>
      <c r="V898" s="3" t="str">
        <f>IF(Base_Periodo1[[#This Row],[Tipo_Linha]]="Fora do DRE","Fora do DRE","( "&amp;Base_Periodo1[[#This Row],[Tipo_Linha]]&amp;" ) "&amp;Base_Periodo1[[#This Row],[Filtro]])</f>
        <v>Fora do DRE</v>
      </c>
      <c r="W898" s="3" t="str">
        <f>LEFT(Base_Periodo1[[#This Row],[CLASS]],3)</f>
        <v>1.1</v>
      </c>
    </row>
    <row r="899" spans="1:23" hidden="1">
      <c r="A899" s="3" t="str">
        <f t="shared" si="13"/>
        <v>Período 1</v>
      </c>
      <c r="B899">
        <v>47661</v>
      </c>
      <c r="C899" t="s">
        <v>922</v>
      </c>
      <c r="D899" t="s">
        <v>941</v>
      </c>
      <c r="E899" s="3" t="str">
        <f>IF(LEN(Base_Periodo1[[#This Row],[CLASS]])&gt;=7,LEFT(Base_Periodo1[[#This Row],[CLASS]],7),"")</f>
        <v>1.1.2.2</v>
      </c>
      <c r="F899" s="3" t="str">
        <f>VLOOKUP(Base_Periodo1[[#This Row],[Aux]],Base_Contas_Balanco[#All],2,FALSE)</f>
        <v>Creditos com não Cooperados</v>
      </c>
      <c r="G899" s="1">
        <v>42775</v>
      </c>
      <c r="H899" s="225">
        <v>800</v>
      </c>
      <c r="I899" s="225">
        <v>0</v>
      </c>
      <c r="J899" s="225">
        <v>0</v>
      </c>
      <c r="K899" s="225">
        <v>800</v>
      </c>
      <c r="L8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800</v>
      </c>
      <c r="M899" s="225">
        <f>ROUND(IF(AND(Base_Periodo1[[#This Row],[Tipo_Linha]]="-",Base_Periodo1[[#This Row],[TIPOSALDO]]="D"),Base_Periodo1[[#This Row],[SALDO_ATUAL]]*-1,Base_Periodo1[[#This Row],[SALDO_ATUAL]]),4)</f>
        <v>800</v>
      </c>
      <c r="N899" t="s">
        <v>116</v>
      </c>
      <c r="O899" t="s">
        <v>397</v>
      </c>
      <c r="P899" t="s">
        <v>397</v>
      </c>
      <c r="Q899">
        <v>7</v>
      </c>
      <c r="R899" s="225">
        <f>Base_Periodo1[[#This Row],[CREDITOS]]-Base_Periodo1[[#This Row],[DEBITOS]]</f>
        <v>0</v>
      </c>
      <c r="S899" s="3" t="str">
        <f>IF(ISERROR(VLOOKUP(Base_Periodo1[[#This Row],[CONTA]],BaseContasDRE[#All],4,FALSE)),"Fora do DRE",VLOOKUP(Base_Periodo1[[#This Row],[CONTA]],BaseContasDRE[#All],4,FALSE))</f>
        <v>Fora do DRE</v>
      </c>
      <c r="T899" s="3" t="str">
        <f>IF(ISERROR(VLOOKUP(Base_Periodo1[[#This Row],[CONTA]],BaseContasDRE[#All],5,FALSE)),"Fora do DRE",VLOOKUP(Base_Periodo1[[#This Row],[CONTA]],BaseContasDRE[#All],6,FALSE))</f>
        <v>Fora do DRE</v>
      </c>
      <c r="U899" s="3" t="str">
        <f>IF(ISERROR(VLOOKUP(Base_Periodo1[[#This Row],[CONTA]],BaseContasDRE[#All],7,FALSE)),"Fora do DRE",VLOOKUP(Base_Periodo1[[#This Row],[CONTA]],BaseContasDRE[#All],7,FALSE))</f>
        <v>Fora do DRE</v>
      </c>
      <c r="V899" s="3" t="str">
        <f>IF(Base_Periodo1[[#This Row],[Tipo_Linha]]="Fora do DRE","Fora do DRE","( "&amp;Base_Periodo1[[#This Row],[Tipo_Linha]]&amp;" ) "&amp;Base_Periodo1[[#This Row],[Filtro]])</f>
        <v>Fora do DRE</v>
      </c>
      <c r="W899" s="3" t="str">
        <f>LEFT(Base_Periodo1[[#This Row],[CLASS]],3)</f>
        <v>1.1</v>
      </c>
    </row>
    <row r="900" spans="1:23" hidden="1">
      <c r="A900" s="3" t="str">
        <f t="shared" si="13"/>
        <v>Período 1</v>
      </c>
      <c r="B900">
        <v>52299</v>
      </c>
      <c r="C900" t="s">
        <v>922</v>
      </c>
      <c r="D900" t="s">
        <v>5864</v>
      </c>
      <c r="E900" s="3" t="str">
        <f>IF(LEN(Base_Periodo1[[#This Row],[CLASS]])&gt;=7,LEFT(Base_Periodo1[[#This Row],[CLASS]],7),"")</f>
        <v>1.1.2.2</v>
      </c>
      <c r="F900" s="3" t="str">
        <f>VLOOKUP(Base_Periodo1[[#This Row],[Aux]],Base_Contas_Balanco[#All],2,FALSE)</f>
        <v>Creditos com não Cooperados</v>
      </c>
      <c r="G900" s="1">
        <v>42772</v>
      </c>
      <c r="H900" s="225">
        <v>500</v>
      </c>
      <c r="I900" s="225">
        <v>0</v>
      </c>
      <c r="J900" s="225">
        <v>0</v>
      </c>
      <c r="K900" s="225">
        <v>500</v>
      </c>
      <c r="L9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900" s="225">
        <f>ROUND(IF(AND(Base_Periodo1[[#This Row],[Tipo_Linha]]="-",Base_Periodo1[[#This Row],[TIPOSALDO]]="D"),Base_Periodo1[[#This Row],[SALDO_ATUAL]]*-1,Base_Periodo1[[#This Row],[SALDO_ATUAL]]),4)</f>
        <v>500</v>
      </c>
      <c r="N900" t="s">
        <v>116</v>
      </c>
      <c r="O900" t="s">
        <v>397</v>
      </c>
      <c r="P900" t="s">
        <v>397</v>
      </c>
      <c r="Q900">
        <v>7</v>
      </c>
      <c r="R900" s="225">
        <f>Base_Periodo1[[#This Row],[CREDITOS]]-Base_Periodo1[[#This Row],[DEBITOS]]</f>
        <v>0</v>
      </c>
      <c r="S900" s="3" t="str">
        <f>IF(ISERROR(VLOOKUP(Base_Periodo1[[#This Row],[CONTA]],BaseContasDRE[#All],4,FALSE)),"Fora do DRE",VLOOKUP(Base_Periodo1[[#This Row],[CONTA]],BaseContasDRE[#All],4,FALSE))</f>
        <v>Fora do DRE</v>
      </c>
      <c r="T900" s="3" t="str">
        <f>IF(ISERROR(VLOOKUP(Base_Periodo1[[#This Row],[CONTA]],BaseContasDRE[#All],5,FALSE)),"Fora do DRE",VLOOKUP(Base_Periodo1[[#This Row],[CONTA]],BaseContasDRE[#All],6,FALSE))</f>
        <v>Fora do DRE</v>
      </c>
      <c r="U900" s="3" t="str">
        <f>IF(ISERROR(VLOOKUP(Base_Periodo1[[#This Row],[CONTA]],BaseContasDRE[#All],7,FALSE)),"Fora do DRE",VLOOKUP(Base_Periodo1[[#This Row],[CONTA]],BaseContasDRE[#All],7,FALSE))</f>
        <v>Fora do DRE</v>
      </c>
      <c r="V900" s="3" t="str">
        <f>IF(Base_Periodo1[[#This Row],[Tipo_Linha]]="Fora do DRE","Fora do DRE","( "&amp;Base_Periodo1[[#This Row],[Tipo_Linha]]&amp;" ) "&amp;Base_Periodo1[[#This Row],[Filtro]])</f>
        <v>Fora do DRE</v>
      </c>
      <c r="W900" s="3" t="str">
        <f>LEFT(Base_Periodo1[[#This Row],[CLASS]],3)</f>
        <v>1.1</v>
      </c>
    </row>
    <row r="901" spans="1:23" hidden="1">
      <c r="A901" s="3" t="str">
        <f t="shared" si="13"/>
        <v>Período 1</v>
      </c>
      <c r="B901">
        <v>4572</v>
      </c>
      <c r="C901" t="s">
        <v>922</v>
      </c>
      <c r="D901" t="s">
        <v>5718</v>
      </c>
      <c r="E901" s="3" t="str">
        <f>IF(LEN(Base_Periodo1[[#This Row],[CLASS]])&gt;=7,LEFT(Base_Periodo1[[#This Row],[CLASS]],7),"")</f>
        <v>1.1.2.2</v>
      </c>
      <c r="F901" s="3" t="str">
        <f>VLOOKUP(Base_Periodo1[[#This Row],[Aux]],Base_Contas_Balanco[#All],2,FALSE)</f>
        <v>Creditos com não Cooperados</v>
      </c>
      <c r="G901" s="1">
        <v>42885</v>
      </c>
      <c r="H901" s="225">
        <v>11680.000000000233</v>
      </c>
      <c r="I901" s="225">
        <v>28640</v>
      </c>
      <c r="J901" s="225">
        <v>11680</v>
      </c>
      <c r="K901" s="225">
        <v>28640.000000000233</v>
      </c>
      <c r="L9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28640</v>
      </c>
      <c r="M901" s="225">
        <f>ROUND(IF(AND(Base_Periodo1[[#This Row],[Tipo_Linha]]="-",Base_Periodo1[[#This Row],[TIPOSALDO]]="D"),Base_Periodo1[[#This Row],[SALDO_ATUAL]]*-1,Base_Periodo1[[#This Row],[SALDO_ATUAL]]),4)</f>
        <v>28640</v>
      </c>
      <c r="N901" t="s">
        <v>116</v>
      </c>
      <c r="O901" t="s">
        <v>397</v>
      </c>
      <c r="P901" t="s">
        <v>397</v>
      </c>
      <c r="Q901">
        <v>7</v>
      </c>
      <c r="R901" s="225">
        <f>Base_Periodo1[[#This Row],[CREDITOS]]-Base_Periodo1[[#This Row],[DEBITOS]]</f>
        <v>-16960</v>
      </c>
      <c r="S901" s="3" t="str">
        <f>IF(ISERROR(VLOOKUP(Base_Periodo1[[#This Row],[CONTA]],BaseContasDRE[#All],4,FALSE)),"Fora do DRE",VLOOKUP(Base_Periodo1[[#This Row],[CONTA]],BaseContasDRE[#All],4,FALSE))</f>
        <v>Fora do DRE</v>
      </c>
      <c r="T901" s="3" t="str">
        <f>IF(ISERROR(VLOOKUP(Base_Periodo1[[#This Row],[CONTA]],BaseContasDRE[#All],5,FALSE)),"Fora do DRE",VLOOKUP(Base_Periodo1[[#This Row],[CONTA]],BaseContasDRE[#All],6,FALSE))</f>
        <v>Fora do DRE</v>
      </c>
      <c r="U901" s="3" t="str">
        <f>IF(ISERROR(VLOOKUP(Base_Periodo1[[#This Row],[CONTA]],BaseContasDRE[#All],7,FALSE)),"Fora do DRE",VLOOKUP(Base_Periodo1[[#This Row],[CONTA]],BaseContasDRE[#All],7,FALSE))</f>
        <v>Fora do DRE</v>
      </c>
      <c r="V901" s="3" t="str">
        <f>IF(Base_Periodo1[[#This Row],[Tipo_Linha]]="Fora do DRE","Fora do DRE","( "&amp;Base_Periodo1[[#This Row],[Tipo_Linha]]&amp;" ) "&amp;Base_Periodo1[[#This Row],[Filtro]])</f>
        <v>Fora do DRE</v>
      </c>
      <c r="W901" s="3" t="str">
        <f>LEFT(Base_Periodo1[[#This Row],[CLASS]],3)</f>
        <v>1.1</v>
      </c>
    </row>
    <row r="902" spans="1:23" hidden="1">
      <c r="A902" s="3" t="str">
        <f t="shared" ref="A902:A965" si="14">"Período 1"</f>
        <v>Período 1</v>
      </c>
      <c r="B902">
        <v>32871</v>
      </c>
      <c r="C902" t="s">
        <v>922</v>
      </c>
      <c r="D902" t="s">
        <v>6158</v>
      </c>
      <c r="E902" s="3" t="str">
        <f>IF(LEN(Base_Periodo1[[#This Row],[CLASS]])&gt;=7,LEFT(Base_Periodo1[[#This Row],[CLASS]],7),"")</f>
        <v>1.1.2.2</v>
      </c>
      <c r="F902" s="3" t="str">
        <f>VLOOKUP(Base_Periodo1[[#This Row],[Aux]],Base_Contas_Balanco[#All],2,FALSE)</f>
        <v>Creditos com não Cooperados</v>
      </c>
      <c r="G902" s="1">
        <v>42885</v>
      </c>
      <c r="H902" s="225">
        <v>14934</v>
      </c>
      <c r="I902" s="225">
        <v>0</v>
      </c>
      <c r="J902" s="225">
        <v>14934</v>
      </c>
      <c r="K902" s="225">
        <v>0</v>
      </c>
      <c r="L9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02" s="225">
        <f>ROUND(IF(AND(Base_Periodo1[[#This Row],[Tipo_Linha]]="-",Base_Periodo1[[#This Row],[TIPOSALDO]]="D"),Base_Periodo1[[#This Row],[SALDO_ATUAL]]*-1,Base_Periodo1[[#This Row],[SALDO_ATUAL]]),4)</f>
        <v>0</v>
      </c>
      <c r="N902" t="s">
        <v>116</v>
      </c>
      <c r="O902" t="s">
        <v>397</v>
      </c>
      <c r="P902" t="s">
        <v>436</v>
      </c>
      <c r="Q902">
        <v>7</v>
      </c>
      <c r="R902" s="225">
        <f>Base_Periodo1[[#This Row],[CREDITOS]]-Base_Periodo1[[#This Row],[DEBITOS]]</f>
        <v>14934</v>
      </c>
      <c r="S902" s="3" t="str">
        <f>IF(ISERROR(VLOOKUP(Base_Periodo1[[#This Row],[CONTA]],BaseContasDRE[#All],4,FALSE)),"Fora do DRE",VLOOKUP(Base_Periodo1[[#This Row],[CONTA]],BaseContasDRE[#All],4,FALSE))</f>
        <v>Fora do DRE</v>
      </c>
      <c r="T902" s="3" t="str">
        <f>IF(ISERROR(VLOOKUP(Base_Periodo1[[#This Row],[CONTA]],BaseContasDRE[#All],5,FALSE)),"Fora do DRE",VLOOKUP(Base_Periodo1[[#This Row],[CONTA]],BaseContasDRE[#All],6,FALSE))</f>
        <v>Fora do DRE</v>
      </c>
      <c r="U902" s="3" t="str">
        <f>IF(ISERROR(VLOOKUP(Base_Periodo1[[#This Row],[CONTA]],BaseContasDRE[#All],7,FALSE)),"Fora do DRE",VLOOKUP(Base_Periodo1[[#This Row],[CONTA]],BaseContasDRE[#All],7,FALSE))</f>
        <v>Fora do DRE</v>
      </c>
      <c r="V902" s="3" t="str">
        <f>IF(Base_Periodo1[[#This Row],[Tipo_Linha]]="Fora do DRE","Fora do DRE","( "&amp;Base_Periodo1[[#This Row],[Tipo_Linha]]&amp;" ) "&amp;Base_Periodo1[[#This Row],[Filtro]])</f>
        <v>Fora do DRE</v>
      </c>
      <c r="W902" s="3" t="str">
        <f>LEFT(Base_Periodo1[[#This Row],[CLASS]],3)</f>
        <v>1.1</v>
      </c>
    </row>
    <row r="903" spans="1:23" hidden="1">
      <c r="A903" s="3" t="str">
        <f t="shared" si="14"/>
        <v>Período 1</v>
      </c>
      <c r="B903">
        <v>38762</v>
      </c>
      <c r="C903" t="s">
        <v>922</v>
      </c>
      <c r="D903" t="s">
        <v>5649</v>
      </c>
      <c r="E903" s="3" t="str">
        <f>IF(LEN(Base_Periodo1[[#This Row],[CLASS]])&gt;=7,LEFT(Base_Periodo1[[#This Row],[CLASS]],7),"")</f>
        <v>1.1.2.2</v>
      </c>
      <c r="F903" s="3" t="str">
        <f>VLOOKUP(Base_Periodo1[[#This Row],[Aux]],Base_Contas_Balanco[#All],2,FALSE)</f>
        <v>Creditos com não Cooperados</v>
      </c>
      <c r="G903" s="1">
        <v>42866</v>
      </c>
      <c r="H903" s="225">
        <v>8399.9999999999854</v>
      </c>
      <c r="I903" s="225">
        <v>2610</v>
      </c>
      <c r="J903" s="225">
        <v>8400</v>
      </c>
      <c r="K903" s="225">
        <v>2609.9999999999854</v>
      </c>
      <c r="L9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2610</v>
      </c>
      <c r="M903" s="225">
        <f>ROUND(IF(AND(Base_Periodo1[[#This Row],[Tipo_Linha]]="-",Base_Periodo1[[#This Row],[TIPOSALDO]]="D"),Base_Periodo1[[#This Row],[SALDO_ATUAL]]*-1,Base_Periodo1[[#This Row],[SALDO_ATUAL]]),4)</f>
        <v>2610</v>
      </c>
      <c r="N903" t="s">
        <v>116</v>
      </c>
      <c r="O903" t="s">
        <v>397</v>
      </c>
      <c r="P903" t="s">
        <v>397</v>
      </c>
      <c r="Q903">
        <v>7</v>
      </c>
      <c r="R903" s="225">
        <f>Base_Periodo1[[#This Row],[CREDITOS]]-Base_Periodo1[[#This Row],[DEBITOS]]</f>
        <v>5790</v>
      </c>
      <c r="S903" s="3" t="str">
        <f>IF(ISERROR(VLOOKUP(Base_Periodo1[[#This Row],[CONTA]],BaseContasDRE[#All],4,FALSE)),"Fora do DRE",VLOOKUP(Base_Periodo1[[#This Row],[CONTA]],BaseContasDRE[#All],4,FALSE))</f>
        <v>Fora do DRE</v>
      </c>
      <c r="T903" s="3" t="str">
        <f>IF(ISERROR(VLOOKUP(Base_Periodo1[[#This Row],[CONTA]],BaseContasDRE[#All],5,FALSE)),"Fora do DRE",VLOOKUP(Base_Periodo1[[#This Row],[CONTA]],BaseContasDRE[#All],6,FALSE))</f>
        <v>Fora do DRE</v>
      </c>
      <c r="U903" s="3" t="str">
        <f>IF(ISERROR(VLOOKUP(Base_Periodo1[[#This Row],[CONTA]],BaseContasDRE[#All],7,FALSE)),"Fora do DRE",VLOOKUP(Base_Periodo1[[#This Row],[CONTA]],BaseContasDRE[#All],7,FALSE))</f>
        <v>Fora do DRE</v>
      </c>
      <c r="V903" s="3" t="str">
        <f>IF(Base_Periodo1[[#This Row],[Tipo_Linha]]="Fora do DRE","Fora do DRE","( "&amp;Base_Periodo1[[#This Row],[Tipo_Linha]]&amp;" ) "&amp;Base_Periodo1[[#This Row],[Filtro]])</f>
        <v>Fora do DRE</v>
      </c>
      <c r="W903" s="3" t="str">
        <f>LEFT(Base_Periodo1[[#This Row],[CLASS]],3)</f>
        <v>1.1</v>
      </c>
    </row>
    <row r="904" spans="1:23" hidden="1">
      <c r="A904" s="3" t="str">
        <f t="shared" si="14"/>
        <v>Período 1</v>
      </c>
      <c r="B904">
        <v>10949</v>
      </c>
      <c r="C904" t="s">
        <v>922</v>
      </c>
      <c r="D904" t="s">
        <v>4859</v>
      </c>
      <c r="E904" s="3" t="str">
        <f>IF(LEN(Base_Periodo1[[#This Row],[CLASS]])&gt;=7,LEFT(Base_Periodo1[[#This Row],[CLASS]],7),"")</f>
        <v>1.1.2.2</v>
      </c>
      <c r="F904" s="3" t="str">
        <f>VLOOKUP(Base_Periodo1[[#This Row],[Aux]],Base_Contas_Balanco[#All],2,FALSE)</f>
        <v>Creditos com não Cooperados</v>
      </c>
      <c r="G904" s="1">
        <v>42767</v>
      </c>
      <c r="H904" s="225">
        <v>6579.7799999999988</v>
      </c>
      <c r="I904" s="225">
        <v>0</v>
      </c>
      <c r="J904" s="225">
        <v>0</v>
      </c>
      <c r="K904" s="225">
        <v>6579.7799999999988</v>
      </c>
      <c r="L9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6579.78</v>
      </c>
      <c r="M904" s="225">
        <f>ROUND(IF(AND(Base_Periodo1[[#This Row],[Tipo_Linha]]="-",Base_Periodo1[[#This Row],[TIPOSALDO]]="D"),Base_Periodo1[[#This Row],[SALDO_ATUAL]]*-1,Base_Periodo1[[#This Row],[SALDO_ATUAL]]),4)</f>
        <v>6579.78</v>
      </c>
      <c r="N904" t="s">
        <v>116</v>
      </c>
      <c r="O904" t="s">
        <v>397</v>
      </c>
      <c r="P904" t="s">
        <v>397</v>
      </c>
      <c r="Q904">
        <v>7</v>
      </c>
      <c r="R904" s="225">
        <f>Base_Periodo1[[#This Row],[CREDITOS]]-Base_Periodo1[[#This Row],[DEBITOS]]</f>
        <v>0</v>
      </c>
      <c r="S904" s="3" t="str">
        <f>IF(ISERROR(VLOOKUP(Base_Periodo1[[#This Row],[CONTA]],BaseContasDRE[#All],4,FALSE)),"Fora do DRE",VLOOKUP(Base_Periodo1[[#This Row],[CONTA]],BaseContasDRE[#All],4,FALSE))</f>
        <v>Fora do DRE</v>
      </c>
      <c r="T904" s="3" t="str">
        <f>IF(ISERROR(VLOOKUP(Base_Periodo1[[#This Row],[CONTA]],BaseContasDRE[#All],5,FALSE)),"Fora do DRE",VLOOKUP(Base_Periodo1[[#This Row],[CONTA]],BaseContasDRE[#All],6,FALSE))</f>
        <v>Fora do DRE</v>
      </c>
      <c r="U904" s="3" t="str">
        <f>IF(ISERROR(VLOOKUP(Base_Periodo1[[#This Row],[CONTA]],BaseContasDRE[#All],7,FALSE)),"Fora do DRE",VLOOKUP(Base_Periodo1[[#This Row],[CONTA]],BaseContasDRE[#All],7,FALSE))</f>
        <v>Fora do DRE</v>
      </c>
      <c r="V904" s="3" t="str">
        <f>IF(Base_Periodo1[[#This Row],[Tipo_Linha]]="Fora do DRE","Fora do DRE","( "&amp;Base_Periodo1[[#This Row],[Tipo_Linha]]&amp;" ) "&amp;Base_Periodo1[[#This Row],[Filtro]])</f>
        <v>Fora do DRE</v>
      </c>
      <c r="W904" s="3" t="str">
        <f>LEFT(Base_Periodo1[[#This Row],[CLASS]],3)</f>
        <v>1.1</v>
      </c>
    </row>
    <row r="905" spans="1:23" hidden="1">
      <c r="A905" s="3" t="str">
        <f t="shared" si="14"/>
        <v>Período 1</v>
      </c>
      <c r="B905">
        <v>16942</v>
      </c>
      <c r="C905" t="s">
        <v>922</v>
      </c>
      <c r="D905" t="s">
        <v>2038</v>
      </c>
      <c r="E905" s="3" t="str">
        <f>IF(LEN(Base_Periodo1[[#This Row],[CLASS]])&gt;=7,LEFT(Base_Periodo1[[#This Row],[CLASS]],7),"")</f>
        <v>1.1.2.2</v>
      </c>
      <c r="F905" s="3" t="str">
        <f>VLOOKUP(Base_Periodo1[[#This Row],[Aux]],Base_Contas_Balanco[#All],2,FALSE)</f>
        <v>Creditos com não Cooperados</v>
      </c>
      <c r="G905" s="1">
        <v>42858</v>
      </c>
      <c r="H905" s="225">
        <v>25000.000000000466</v>
      </c>
      <c r="I905" s="225">
        <v>0</v>
      </c>
      <c r="J905" s="225">
        <v>25000</v>
      </c>
      <c r="K905" s="225">
        <v>4.6566128730773926E-10</v>
      </c>
      <c r="L9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05" s="225">
        <f>ROUND(IF(AND(Base_Periodo1[[#This Row],[Tipo_Linha]]="-",Base_Periodo1[[#This Row],[TIPOSALDO]]="D"),Base_Periodo1[[#This Row],[SALDO_ATUAL]]*-1,Base_Periodo1[[#This Row],[SALDO_ATUAL]]),4)</f>
        <v>0</v>
      </c>
      <c r="N905" t="s">
        <v>116</v>
      </c>
      <c r="O905" t="s">
        <v>397</v>
      </c>
      <c r="P905" t="s">
        <v>436</v>
      </c>
      <c r="Q905">
        <v>7</v>
      </c>
      <c r="R905" s="225">
        <f>Base_Periodo1[[#This Row],[CREDITOS]]-Base_Periodo1[[#This Row],[DEBITOS]]</f>
        <v>25000</v>
      </c>
      <c r="S905" s="3" t="str">
        <f>IF(ISERROR(VLOOKUP(Base_Periodo1[[#This Row],[CONTA]],BaseContasDRE[#All],4,FALSE)),"Fora do DRE",VLOOKUP(Base_Periodo1[[#This Row],[CONTA]],BaseContasDRE[#All],4,FALSE))</f>
        <v>Fora do DRE</v>
      </c>
      <c r="T905" s="3" t="str">
        <f>IF(ISERROR(VLOOKUP(Base_Periodo1[[#This Row],[CONTA]],BaseContasDRE[#All],5,FALSE)),"Fora do DRE",VLOOKUP(Base_Periodo1[[#This Row],[CONTA]],BaseContasDRE[#All],6,FALSE))</f>
        <v>Fora do DRE</v>
      </c>
      <c r="U905" s="3" t="str">
        <f>IF(ISERROR(VLOOKUP(Base_Periodo1[[#This Row],[CONTA]],BaseContasDRE[#All],7,FALSE)),"Fora do DRE",VLOOKUP(Base_Periodo1[[#This Row],[CONTA]],BaseContasDRE[#All],7,FALSE))</f>
        <v>Fora do DRE</v>
      </c>
      <c r="V905" s="3" t="str">
        <f>IF(Base_Periodo1[[#This Row],[Tipo_Linha]]="Fora do DRE","Fora do DRE","( "&amp;Base_Periodo1[[#This Row],[Tipo_Linha]]&amp;" ) "&amp;Base_Periodo1[[#This Row],[Filtro]])</f>
        <v>Fora do DRE</v>
      </c>
      <c r="W905" s="3" t="str">
        <f>LEFT(Base_Periodo1[[#This Row],[CLASS]],3)</f>
        <v>1.1</v>
      </c>
    </row>
    <row r="906" spans="1:23" hidden="1">
      <c r="A906" s="3" t="str">
        <f t="shared" si="14"/>
        <v>Período 1</v>
      </c>
      <c r="B906">
        <v>4864</v>
      </c>
      <c r="C906" t="s">
        <v>922</v>
      </c>
      <c r="D906" t="s">
        <v>5650</v>
      </c>
      <c r="E906" s="3" t="str">
        <f>IF(LEN(Base_Periodo1[[#This Row],[CLASS]])&gt;=7,LEFT(Base_Periodo1[[#This Row],[CLASS]],7),"")</f>
        <v>1.1.2.2</v>
      </c>
      <c r="F906" s="3" t="str">
        <f>VLOOKUP(Base_Periodo1[[#This Row],[Aux]],Base_Contas_Balanco[#All],2,FALSE)</f>
        <v>Creditos com não Cooperados</v>
      </c>
      <c r="G906" s="1">
        <v>42877</v>
      </c>
      <c r="H906" s="225">
        <v>17400</v>
      </c>
      <c r="I906" s="225">
        <v>44320</v>
      </c>
      <c r="J906" s="225">
        <v>21400</v>
      </c>
      <c r="K906" s="225">
        <v>40320</v>
      </c>
      <c r="L9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40320</v>
      </c>
      <c r="M906" s="225">
        <f>ROUND(IF(AND(Base_Periodo1[[#This Row],[Tipo_Linha]]="-",Base_Periodo1[[#This Row],[TIPOSALDO]]="D"),Base_Periodo1[[#This Row],[SALDO_ATUAL]]*-1,Base_Periodo1[[#This Row],[SALDO_ATUAL]]),4)</f>
        <v>40320</v>
      </c>
      <c r="N906" t="s">
        <v>116</v>
      </c>
      <c r="O906" t="s">
        <v>397</v>
      </c>
      <c r="P906" t="s">
        <v>397</v>
      </c>
      <c r="Q906">
        <v>7</v>
      </c>
      <c r="R906" s="225">
        <f>Base_Periodo1[[#This Row],[CREDITOS]]-Base_Periodo1[[#This Row],[DEBITOS]]</f>
        <v>-22920</v>
      </c>
      <c r="S906" s="3" t="str">
        <f>IF(ISERROR(VLOOKUP(Base_Periodo1[[#This Row],[CONTA]],BaseContasDRE[#All],4,FALSE)),"Fora do DRE",VLOOKUP(Base_Periodo1[[#This Row],[CONTA]],BaseContasDRE[#All],4,FALSE))</f>
        <v>Fora do DRE</v>
      </c>
      <c r="T906" s="3" t="str">
        <f>IF(ISERROR(VLOOKUP(Base_Periodo1[[#This Row],[CONTA]],BaseContasDRE[#All],5,FALSE)),"Fora do DRE",VLOOKUP(Base_Periodo1[[#This Row],[CONTA]],BaseContasDRE[#All],6,FALSE))</f>
        <v>Fora do DRE</v>
      </c>
      <c r="U906" s="3" t="str">
        <f>IF(ISERROR(VLOOKUP(Base_Periodo1[[#This Row],[CONTA]],BaseContasDRE[#All],7,FALSE)),"Fora do DRE",VLOOKUP(Base_Periodo1[[#This Row],[CONTA]],BaseContasDRE[#All],7,FALSE))</f>
        <v>Fora do DRE</v>
      </c>
      <c r="V906" s="3" t="str">
        <f>IF(Base_Periodo1[[#This Row],[Tipo_Linha]]="Fora do DRE","Fora do DRE","( "&amp;Base_Periodo1[[#This Row],[Tipo_Linha]]&amp;" ) "&amp;Base_Periodo1[[#This Row],[Filtro]])</f>
        <v>Fora do DRE</v>
      </c>
      <c r="W906" s="3" t="str">
        <f>LEFT(Base_Periodo1[[#This Row],[CLASS]],3)</f>
        <v>1.1</v>
      </c>
    </row>
    <row r="907" spans="1:23" hidden="1">
      <c r="A907" s="3" t="str">
        <f t="shared" si="14"/>
        <v>Período 1</v>
      </c>
      <c r="B907">
        <v>48825</v>
      </c>
      <c r="C907" t="s">
        <v>922</v>
      </c>
      <c r="D907" t="s">
        <v>6159</v>
      </c>
      <c r="E907" s="3" t="str">
        <f>IF(LEN(Base_Periodo1[[#This Row],[CLASS]])&gt;=7,LEFT(Base_Periodo1[[#This Row],[CLASS]],7),"")</f>
        <v>1.1.2.2</v>
      </c>
      <c r="F907" s="3" t="str">
        <f>VLOOKUP(Base_Periodo1[[#This Row],[Aux]],Base_Contas_Balanco[#All],2,FALSE)</f>
        <v>Creditos com não Cooperados</v>
      </c>
      <c r="G907" s="1">
        <v>42885</v>
      </c>
      <c r="I907" s="225">
        <v>8000</v>
      </c>
      <c r="J907" s="225">
        <v>8000</v>
      </c>
      <c r="K907" s="225">
        <v>0</v>
      </c>
      <c r="L9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07" s="225">
        <f>ROUND(IF(AND(Base_Periodo1[[#This Row],[Tipo_Linha]]="-",Base_Periodo1[[#This Row],[TIPOSALDO]]="D"),Base_Periodo1[[#This Row],[SALDO_ATUAL]]*-1,Base_Periodo1[[#This Row],[SALDO_ATUAL]]),4)</f>
        <v>0</v>
      </c>
      <c r="N907" t="s">
        <v>116</v>
      </c>
      <c r="O907" t="s">
        <v>436</v>
      </c>
      <c r="P907" t="s">
        <v>436</v>
      </c>
      <c r="Q907">
        <v>7</v>
      </c>
      <c r="R907" s="225">
        <f>Base_Periodo1[[#This Row],[CREDITOS]]-Base_Periodo1[[#This Row],[DEBITOS]]</f>
        <v>0</v>
      </c>
      <c r="S907" s="3" t="str">
        <f>IF(ISERROR(VLOOKUP(Base_Periodo1[[#This Row],[CONTA]],BaseContasDRE[#All],4,FALSE)),"Fora do DRE",VLOOKUP(Base_Periodo1[[#This Row],[CONTA]],BaseContasDRE[#All],4,FALSE))</f>
        <v>Fora do DRE</v>
      </c>
      <c r="T907" s="3" t="str">
        <f>IF(ISERROR(VLOOKUP(Base_Periodo1[[#This Row],[CONTA]],BaseContasDRE[#All],5,FALSE)),"Fora do DRE",VLOOKUP(Base_Periodo1[[#This Row],[CONTA]],BaseContasDRE[#All],6,FALSE))</f>
        <v>Fora do DRE</v>
      </c>
      <c r="U907" s="3" t="str">
        <f>IF(ISERROR(VLOOKUP(Base_Periodo1[[#This Row],[CONTA]],BaseContasDRE[#All],7,FALSE)),"Fora do DRE",VLOOKUP(Base_Periodo1[[#This Row],[CONTA]],BaseContasDRE[#All],7,FALSE))</f>
        <v>Fora do DRE</v>
      </c>
      <c r="V907" s="3" t="str">
        <f>IF(Base_Periodo1[[#This Row],[Tipo_Linha]]="Fora do DRE","Fora do DRE","( "&amp;Base_Periodo1[[#This Row],[Tipo_Linha]]&amp;" ) "&amp;Base_Periodo1[[#This Row],[Filtro]])</f>
        <v>Fora do DRE</v>
      </c>
      <c r="W907" s="3" t="str">
        <f>LEFT(Base_Periodo1[[#This Row],[CLASS]],3)</f>
        <v>1.1</v>
      </c>
    </row>
    <row r="908" spans="1:23" hidden="1">
      <c r="A908" s="3" t="str">
        <f t="shared" si="14"/>
        <v>Período 1</v>
      </c>
      <c r="B908">
        <v>13948</v>
      </c>
      <c r="C908" t="s">
        <v>922</v>
      </c>
      <c r="D908" t="s">
        <v>6160</v>
      </c>
      <c r="E908" s="3" t="str">
        <f>IF(LEN(Base_Periodo1[[#This Row],[CLASS]])&gt;=7,LEFT(Base_Periodo1[[#This Row],[CLASS]],7),"")</f>
        <v>1.1.2.2</v>
      </c>
      <c r="F908" s="3" t="str">
        <f>VLOOKUP(Base_Periodo1[[#This Row],[Aux]],Base_Contas_Balanco[#All],2,FALSE)</f>
        <v>Creditos com não Cooperados</v>
      </c>
      <c r="G908" s="1">
        <v>42845</v>
      </c>
      <c r="H908" s="225">
        <v>48980</v>
      </c>
      <c r="I908" s="225">
        <v>0</v>
      </c>
      <c r="J908" s="225">
        <v>0</v>
      </c>
      <c r="K908" s="225">
        <v>48980</v>
      </c>
      <c r="L9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48980</v>
      </c>
      <c r="M908" s="225">
        <f>ROUND(IF(AND(Base_Periodo1[[#This Row],[Tipo_Linha]]="-",Base_Periodo1[[#This Row],[TIPOSALDO]]="D"),Base_Periodo1[[#This Row],[SALDO_ATUAL]]*-1,Base_Periodo1[[#This Row],[SALDO_ATUAL]]),4)</f>
        <v>48980</v>
      </c>
      <c r="N908" t="s">
        <v>116</v>
      </c>
      <c r="O908" t="s">
        <v>397</v>
      </c>
      <c r="P908" t="s">
        <v>397</v>
      </c>
      <c r="Q908">
        <v>7</v>
      </c>
      <c r="R908" s="225">
        <f>Base_Periodo1[[#This Row],[CREDITOS]]-Base_Periodo1[[#This Row],[DEBITOS]]</f>
        <v>0</v>
      </c>
      <c r="S908" s="3" t="str">
        <f>IF(ISERROR(VLOOKUP(Base_Periodo1[[#This Row],[CONTA]],BaseContasDRE[#All],4,FALSE)),"Fora do DRE",VLOOKUP(Base_Periodo1[[#This Row],[CONTA]],BaseContasDRE[#All],4,FALSE))</f>
        <v>Fora do DRE</v>
      </c>
      <c r="T908" s="3" t="str">
        <f>IF(ISERROR(VLOOKUP(Base_Periodo1[[#This Row],[CONTA]],BaseContasDRE[#All],5,FALSE)),"Fora do DRE",VLOOKUP(Base_Periodo1[[#This Row],[CONTA]],BaseContasDRE[#All],6,FALSE))</f>
        <v>Fora do DRE</v>
      </c>
      <c r="U908" s="3" t="str">
        <f>IF(ISERROR(VLOOKUP(Base_Periodo1[[#This Row],[CONTA]],BaseContasDRE[#All],7,FALSE)),"Fora do DRE",VLOOKUP(Base_Periodo1[[#This Row],[CONTA]],BaseContasDRE[#All],7,FALSE))</f>
        <v>Fora do DRE</v>
      </c>
      <c r="V908" s="3" t="str">
        <f>IF(Base_Periodo1[[#This Row],[Tipo_Linha]]="Fora do DRE","Fora do DRE","( "&amp;Base_Periodo1[[#This Row],[Tipo_Linha]]&amp;" ) "&amp;Base_Periodo1[[#This Row],[Filtro]])</f>
        <v>Fora do DRE</v>
      </c>
      <c r="W908" s="3" t="str">
        <f>LEFT(Base_Periodo1[[#This Row],[CLASS]],3)</f>
        <v>1.1</v>
      </c>
    </row>
    <row r="909" spans="1:23" hidden="1">
      <c r="A909" s="3" t="str">
        <f t="shared" si="14"/>
        <v>Período 1</v>
      </c>
      <c r="B909">
        <v>33370</v>
      </c>
      <c r="C909" t="s">
        <v>922</v>
      </c>
      <c r="D909" t="s">
        <v>5021</v>
      </c>
      <c r="E909" s="3" t="str">
        <f>IF(LEN(Base_Periodo1[[#This Row],[CLASS]])&gt;=7,LEFT(Base_Periodo1[[#This Row],[CLASS]],7),"")</f>
        <v>1.1.2.2</v>
      </c>
      <c r="F909" s="3" t="str">
        <f>VLOOKUP(Base_Periodo1[[#This Row],[Aux]],Base_Contas_Balanco[#All],2,FALSE)</f>
        <v>Creditos com não Cooperados</v>
      </c>
      <c r="G909" s="1">
        <v>42886</v>
      </c>
      <c r="H909" s="225">
        <v>79624.680000000051</v>
      </c>
      <c r="I909" s="225">
        <v>169255.15999999997</v>
      </c>
      <c r="J909" s="225">
        <v>132262.08000000002</v>
      </c>
      <c r="K909" s="225">
        <v>116617.76000000001</v>
      </c>
      <c r="L9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116617.76</v>
      </c>
      <c r="M909" s="225">
        <f>ROUND(IF(AND(Base_Periodo1[[#This Row],[Tipo_Linha]]="-",Base_Periodo1[[#This Row],[TIPOSALDO]]="D"),Base_Periodo1[[#This Row],[SALDO_ATUAL]]*-1,Base_Periodo1[[#This Row],[SALDO_ATUAL]]),4)</f>
        <v>116617.76</v>
      </c>
      <c r="N909" t="s">
        <v>116</v>
      </c>
      <c r="O909" t="s">
        <v>397</v>
      </c>
      <c r="P909" t="s">
        <v>397</v>
      </c>
      <c r="Q909">
        <v>7</v>
      </c>
      <c r="R909" s="225">
        <f>Base_Periodo1[[#This Row],[CREDITOS]]-Base_Periodo1[[#This Row],[DEBITOS]]</f>
        <v>-36993.079999999958</v>
      </c>
      <c r="S909" s="3" t="str">
        <f>IF(ISERROR(VLOOKUP(Base_Periodo1[[#This Row],[CONTA]],BaseContasDRE[#All],4,FALSE)),"Fora do DRE",VLOOKUP(Base_Periodo1[[#This Row],[CONTA]],BaseContasDRE[#All],4,FALSE))</f>
        <v>Fora do DRE</v>
      </c>
      <c r="T909" s="3" t="str">
        <f>IF(ISERROR(VLOOKUP(Base_Periodo1[[#This Row],[CONTA]],BaseContasDRE[#All],5,FALSE)),"Fora do DRE",VLOOKUP(Base_Periodo1[[#This Row],[CONTA]],BaseContasDRE[#All],6,FALSE))</f>
        <v>Fora do DRE</v>
      </c>
      <c r="U909" s="3" t="str">
        <f>IF(ISERROR(VLOOKUP(Base_Periodo1[[#This Row],[CONTA]],BaseContasDRE[#All],7,FALSE)),"Fora do DRE",VLOOKUP(Base_Periodo1[[#This Row],[CONTA]],BaseContasDRE[#All],7,FALSE))</f>
        <v>Fora do DRE</v>
      </c>
      <c r="V909" s="3" t="str">
        <f>IF(Base_Periodo1[[#This Row],[Tipo_Linha]]="Fora do DRE","Fora do DRE","( "&amp;Base_Periodo1[[#This Row],[Tipo_Linha]]&amp;" ) "&amp;Base_Periodo1[[#This Row],[Filtro]])</f>
        <v>Fora do DRE</v>
      </c>
      <c r="W909" s="3" t="str">
        <f>LEFT(Base_Periodo1[[#This Row],[CLASS]],3)</f>
        <v>1.1</v>
      </c>
    </row>
    <row r="910" spans="1:23" hidden="1">
      <c r="A910" s="3" t="str">
        <f t="shared" si="14"/>
        <v>Período 1</v>
      </c>
      <c r="B910">
        <v>52998</v>
      </c>
      <c r="C910" t="s">
        <v>922</v>
      </c>
      <c r="D910" t="s">
        <v>6161</v>
      </c>
      <c r="E910" s="3" t="str">
        <f>IF(LEN(Base_Periodo1[[#This Row],[CLASS]])&gt;=7,LEFT(Base_Periodo1[[#This Row],[CLASS]],7),"")</f>
        <v>1.1.2.2</v>
      </c>
      <c r="F910" s="3" t="str">
        <f>VLOOKUP(Base_Periodo1[[#This Row],[Aux]],Base_Contas_Balanco[#All],2,FALSE)</f>
        <v>Creditos com não Cooperados</v>
      </c>
      <c r="G910" s="1">
        <v>42852</v>
      </c>
      <c r="H910" s="225">
        <v>28500</v>
      </c>
      <c r="I910" s="225">
        <v>0</v>
      </c>
      <c r="J910" s="225">
        <v>0</v>
      </c>
      <c r="K910" s="225">
        <v>28500</v>
      </c>
      <c r="L9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28500</v>
      </c>
      <c r="M910" s="225">
        <f>ROUND(IF(AND(Base_Periodo1[[#This Row],[Tipo_Linha]]="-",Base_Periodo1[[#This Row],[TIPOSALDO]]="D"),Base_Periodo1[[#This Row],[SALDO_ATUAL]]*-1,Base_Periodo1[[#This Row],[SALDO_ATUAL]]),4)</f>
        <v>28500</v>
      </c>
      <c r="N910" t="s">
        <v>116</v>
      </c>
      <c r="O910" t="s">
        <v>397</v>
      </c>
      <c r="P910" t="s">
        <v>397</v>
      </c>
      <c r="Q910">
        <v>7</v>
      </c>
      <c r="R910" s="225">
        <f>Base_Periodo1[[#This Row],[CREDITOS]]-Base_Periodo1[[#This Row],[DEBITOS]]</f>
        <v>0</v>
      </c>
      <c r="S910" s="3" t="str">
        <f>IF(ISERROR(VLOOKUP(Base_Periodo1[[#This Row],[CONTA]],BaseContasDRE[#All],4,FALSE)),"Fora do DRE",VLOOKUP(Base_Periodo1[[#This Row],[CONTA]],BaseContasDRE[#All],4,FALSE))</f>
        <v>Fora do DRE</v>
      </c>
      <c r="T910" s="3" t="str">
        <f>IF(ISERROR(VLOOKUP(Base_Periodo1[[#This Row],[CONTA]],BaseContasDRE[#All],5,FALSE)),"Fora do DRE",VLOOKUP(Base_Periodo1[[#This Row],[CONTA]],BaseContasDRE[#All],6,FALSE))</f>
        <v>Fora do DRE</v>
      </c>
      <c r="U910" s="3" t="str">
        <f>IF(ISERROR(VLOOKUP(Base_Periodo1[[#This Row],[CONTA]],BaseContasDRE[#All],7,FALSE)),"Fora do DRE",VLOOKUP(Base_Periodo1[[#This Row],[CONTA]],BaseContasDRE[#All],7,FALSE))</f>
        <v>Fora do DRE</v>
      </c>
      <c r="V910" s="3" t="str">
        <f>IF(Base_Periodo1[[#This Row],[Tipo_Linha]]="Fora do DRE","Fora do DRE","( "&amp;Base_Periodo1[[#This Row],[Tipo_Linha]]&amp;" ) "&amp;Base_Periodo1[[#This Row],[Filtro]])</f>
        <v>Fora do DRE</v>
      </c>
      <c r="W910" s="3" t="str">
        <f>LEFT(Base_Periodo1[[#This Row],[CLASS]],3)</f>
        <v>1.1</v>
      </c>
    </row>
    <row r="911" spans="1:23" hidden="1">
      <c r="A911" s="3" t="str">
        <f t="shared" si="14"/>
        <v>Período 1</v>
      </c>
      <c r="B911">
        <v>15174</v>
      </c>
      <c r="C911" t="s">
        <v>922</v>
      </c>
      <c r="D911" t="s">
        <v>6162</v>
      </c>
      <c r="E911" s="3" t="str">
        <f>IF(LEN(Base_Periodo1[[#This Row],[CLASS]])&gt;=7,LEFT(Base_Periodo1[[#This Row],[CLASS]],7),"")</f>
        <v>1.1.2.2</v>
      </c>
      <c r="F911" s="3" t="str">
        <f>VLOOKUP(Base_Periodo1[[#This Row],[Aux]],Base_Contas_Balanco[#All],2,FALSE)</f>
        <v>Creditos com não Cooperados</v>
      </c>
      <c r="G911" s="1">
        <v>42847</v>
      </c>
      <c r="H911" s="225">
        <v>14400</v>
      </c>
      <c r="I911" s="225">
        <v>0</v>
      </c>
      <c r="J911" s="225">
        <v>0</v>
      </c>
      <c r="K911" s="225">
        <v>14400</v>
      </c>
      <c r="L9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14400</v>
      </c>
      <c r="M911" s="225">
        <f>ROUND(IF(AND(Base_Periodo1[[#This Row],[Tipo_Linha]]="-",Base_Periodo1[[#This Row],[TIPOSALDO]]="D"),Base_Periodo1[[#This Row],[SALDO_ATUAL]]*-1,Base_Periodo1[[#This Row],[SALDO_ATUAL]]),4)</f>
        <v>14400</v>
      </c>
      <c r="N911" t="s">
        <v>116</v>
      </c>
      <c r="O911" t="s">
        <v>397</v>
      </c>
      <c r="P911" t="s">
        <v>397</v>
      </c>
      <c r="Q911">
        <v>7</v>
      </c>
      <c r="R911" s="225">
        <f>Base_Periodo1[[#This Row],[CREDITOS]]-Base_Periodo1[[#This Row],[DEBITOS]]</f>
        <v>0</v>
      </c>
      <c r="S911" s="3" t="str">
        <f>IF(ISERROR(VLOOKUP(Base_Periodo1[[#This Row],[CONTA]],BaseContasDRE[#All],4,FALSE)),"Fora do DRE",VLOOKUP(Base_Periodo1[[#This Row],[CONTA]],BaseContasDRE[#All],4,FALSE))</f>
        <v>Fora do DRE</v>
      </c>
      <c r="T911" s="3" t="str">
        <f>IF(ISERROR(VLOOKUP(Base_Periodo1[[#This Row],[CONTA]],BaseContasDRE[#All],5,FALSE)),"Fora do DRE",VLOOKUP(Base_Periodo1[[#This Row],[CONTA]],BaseContasDRE[#All],6,FALSE))</f>
        <v>Fora do DRE</v>
      </c>
      <c r="U911" s="3" t="str">
        <f>IF(ISERROR(VLOOKUP(Base_Periodo1[[#This Row],[CONTA]],BaseContasDRE[#All],7,FALSE)),"Fora do DRE",VLOOKUP(Base_Periodo1[[#This Row],[CONTA]],BaseContasDRE[#All],7,FALSE))</f>
        <v>Fora do DRE</v>
      </c>
      <c r="V911" s="3" t="str">
        <f>IF(Base_Periodo1[[#This Row],[Tipo_Linha]]="Fora do DRE","Fora do DRE","( "&amp;Base_Periodo1[[#This Row],[Tipo_Linha]]&amp;" ) "&amp;Base_Periodo1[[#This Row],[Filtro]])</f>
        <v>Fora do DRE</v>
      </c>
      <c r="W911" s="3" t="str">
        <f>LEFT(Base_Periodo1[[#This Row],[CLASS]],3)</f>
        <v>1.1</v>
      </c>
    </row>
    <row r="912" spans="1:23" hidden="1">
      <c r="A912" s="3" t="str">
        <f t="shared" si="14"/>
        <v>Período 1</v>
      </c>
      <c r="B912">
        <v>46807</v>
      </c>
      <c r="C912" t="s">
        <v>922</v>
      </c>
      <c r="D912" t="s">
        <v>5651</v>
      </c>
      <c r="E912" s="3" t="str">
        <f>IF(LEN(Base_Periodo1[[#This Row],[CLASS]])&gt;=7,LEFT(Base_Periodo1[[#This Row],[CLASS]],7),"")</f>
        <v>1.1.2.2</v>
      </c>
      <c r="F912" s="3" t="str">
        <f>VLOOKUP(Base_Periodo1[[#This Row],[Aux]],Base_Contas_Balanco[#All],2,FALSE)</f>
        <v>Creditos com não Cooperados</v>
      </c>
      <c r="G912" s="1">
        <v>42870</v>
      </c>
      <c r="H912" s="225">
        <v>10516</v>
      </c>
      <c r="I912" s="225">
        <v>8448</v>
      </c>
      <c r="J912" s="225">
        <v>0</v>
      </c>
      <c r="K912" s="225">
        <v>18964</v>
      </c>
      <c r="L9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18964</v>
      </c>
      <c r="M912" s="225">
        <f>ROUND(IF(AND(Base_Periodo1[[#This Row],[Tipo_Linha]]="-",Base_Periodo1[[#This Row],[TIPOSALDO]]="D"),Base_Periodo1[[#This Row],[SALDO_ATUAL]]*-1,Base_Periodo1[[#This Row],[SALDO_ATUAL]]),4)</f>
        <v>18964</v>
      </c>
      <c r="N912" t="s">
        <v>116</v>
      </c>
      <c r="O912" t="s">
        <v>397</v>
      </c>
      <c r="P912" t="s">
        <v>397</v>
      </c>
      <c r="Q912">
        <v>7</v>
      </c>
      <c r="R912" s="225">
        <f>Base_Periodo1[[#This Row],[CREDITOS]]-Base_Periodo1[[#This Row],[DEBITOS]]</f>
        <v>-8448</v>
      </c>
      <c r="S912" s="3" t="str">
        <f>IF(ISERROR(VLOOKUP(Base_Periodo1[[#This Row],[CONTA]],BaseContasDRE[#All],4,FALSE)),"Fora do DRE",VLOOKUP(Base_Periodo1[[#This Row],[CONTA]],BaseContasDRE[#All],4,FALSE))</f>
        <v>Fora do DRE</v>
      </c>
      <c r="T912" s="3" t="str">
        <f>IF(ISERROR(VLOOKUP(Base_Periodo1[[#This Row],[CONTA]],BaseContasDRE[#All],5,FALSE)),"Fora do DRE",VLOOKUP(Base_Periodo1[[#This Row],[CONTA]],BaseContasDRE[#All],6,FALSE))</f>
        <v>Fora do DRE</v>
      </c>
      <c r="U912" s="3" t="str">
        <f>IF(ISERROR(VLOOKUP(Base_Periodo1[[#This Row],[CONTA]],BaseContasDRE[#All],7,FALSE)),"Fora do DRE",VLOOKUP(Base_Periodo1[[#This Row],[CONTA]],BaseContasDRE[#All],7,FALSE))</f>
        <v>Fora do DRE</v>
      </c>
      <c r="V912" s="3" t="str">
        <f>IF(Base_Periodo1[[#This Row],[Tipo_Linha]]="Fora do DRE","Fora do DRE","( "&amp;Base_Periodo1[[#This Row],[Tipo_Linha]]&amp;" ) "&amp;Base_Periodo1[[#This Row],[Filtro]])</f>
        <v>Fora do DRE</v>
      </c>
      <c r="W912" s="3" t="str">
        <f>LEFT(Base_Periodo1[[#This Row],[CLASS]],3)</f>
        <v>1.1</v>
      </c>
    </row>
    <row r="913" spans="1:23" hidden="1">
      <c r="A913" s="3" t="str">
        <f t="shared" si="14"/>
        <v>Período 1</v>
      </c>
      <c r="B913">
        <v>24230</v>
      </c>
      <c r="C913" t="s">
        <v>922</v>
      </c>
      <c r="D913" t="s">
        <v>5652</v>
      </c>
      <c r="E913" s="3" t="str">
        <f>IF(LEN(Base_Periodo1[[#This Row],[CLASS]])&gt;=7,LEFT(Base_Periodo1[[#This Row],[CLASS]],7),"")</f>
        <v>1.1.2.2</v>
      </c>
      <c r="F913" s="3" t="str">
        <f>VLOOKUP(Base_Periodo1[[#This Row],[Aux]],Base_Contas_Balanco[#All],2,FALSE)</f>
        <v>Creditos com não Cooperados</v>
      </c>
      <c r="G913" s="1">
        <v>42753</v>
      </c>
      <c r="H913" s="225">
        <v>90.29</v>
      </c>
      <c r="I913" s="225">
        <v>0</v>
      </c>
      <c r="J913" s="225">
        <v>0</v>
      </c>
      <c r="K913" s="225">
        <v>90.29</v>
      </c>
      <c r="L9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90.29</v>
      </c>
      <c r="M913" s="225">
        <f>ROUND(IF(AND(Base_Periodo1[[#This Row],[Tipo_Linha]]="-",Base_Periodo1[[#This Row],[TIPOSALDO]]="D"),Base_Periodo1[[#This Row],[SALDO_ATUAL]]*-1,Base_Periodo1[[#This Row],[SALDO_ATUAL]]),4)</f>
        <v>90.29</v>
      </c>
      <c r="N913" t="s">
        <v>116</v>
      </c>
      <c r="O913" t="s">
        <v>397</v>
      </c>
      <c r="P913" t="s">
        <v>397</v>
      </c>
      <c r="Q913">
        <v>7</v>
      </c>
      <c r="R913" s="225">
        <f>Base_Periodo1[[#This Row],[CREDITOS]]-Base_Periodo1[[#This Row],[DEBITOS]]</f>
        <v>0</v>
      </c>
      <c r="S913" s="3" t="str">
        <f>IF(ISERROR(VLOOKUP(Base_Periodo1[[#This Row],[CONTA]],BaseContasDRE[#All],4,FALSE)),"Fora do DRE",VLOOKUP(Base_Periodo1[[#This Row],[CONTA]],BaseContasDRE[#All],4,FALSE))</f>
        <v>Fora do DRE</v>
      </c>
      <c r="T913" s="3" t="str">
        <f>IF(ISERROR(VLOOKUP(Base_Periodo1[[#This Row],[CONTA]],BaseContasDRE[#All],5,FALSE)),"Fora do DRE",VLOOKUP(Base_Periodo1[[#This Row],[CONTA]],BaseContasDRE[#All],6,FALSE))</f>
        <v>Fora do DRE</v>
      </c>
      <c r="U913" s="3" t="str">
        <f>IF(ISERROR(VLOOKUP(Base_Periodo1[[#This Row],[CONTA]],BaseContasDRE[#All],7,FALSE)),"Fora do DRE",VLOOKUP(Base_Periodo1[[#This Row],[CONTA]],BaseContasDRE[#All],7,FALSE))</f>
        <v>Fora do DRE</v>
      </c>
      <c r="V913" s="3" t="str">
        <f>IF(Base_Periodo1[[#This Row],[Tipo_Linha]]="Fora do DRE","Fora do DRE","( "&amp;Base_Periodo1[[#This Row],[Tipo_Linha]]&amp;" ) "&amp;Base_Periodo1[[#This Row],[Filtro]])</f>
        <v>Fora do DRE</v>
      </c>
      <c r="W913" s="3" t="str">
        <f>LEFT(Base_Periodo1[[#This Row],[CLASS]],3)</f>
        <v>1.1</v>
      </c>
    </row>
    <row r="914" spans="1:23" hidden="1">
      <c r="A914" s="3" t="str">
        <f t="shared" si="14"/>
        <v>Período 1</v>
      </c>
      <c r="B914">
        <v>2180</v>
      </c>
      <c r="C914" t="s">
        <v>922</v>
      </c>
      <c r="D914" t="s">
        <v>4919</v>
      </c>
      <c r="E914" s="3" t="str">
        <f>IF(LEN(Base_Periodo1[[#This Row],[CLASS]])&gt;=7,LEFT(Base_Periodo1[[#This Row],[CLASS]],7),"")</f>
        <v>1.1.2.2</v>
      </c>
      <c r="F914" s="3" t="str">
        <f>VLOOKUP(Base_Periodo1[[#This Row],[Aux]],Base_Contas_Balanco[#All],2,FALSE)</f>
        <v>Creditos com não Cooperados</v>
      </c>
      <c r="G914" s="1">
        <v>42556</v>
      </c>
      <c r="H914" s="225">
        <v>332.37000000000012</v>
      </c>
      <c r="I914" s="225">
        <v>0</v>
      </c>
      <c r="J914" s="225">
        <v>0</v>
      </c>
      <c r="K914" s="225">
        <v>332.37000000000012</v>
      </c>
      <c r="L9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332.37</v>
      </c>
      <c r="M914" s="225">
        <f>ROUND(IF(AND(Base_Periodo1[[#This Row],[Tipo_Linha]]="-",Base_Periodo1[[#This Row],[TIPOSALDO]]="D"),Base_Periodo1[[#This Row],[SALDO_ATUAL]]*-1,Base_Periodo1[[#This Row],[SALDO_ATUAL]]),4)</f>
        <v>332.37</v>
      </c>
      <c r="N914" t="s">
        <v>116</v>
      </c>
      <c r="O914" t="s">
        <v>397</v>
      </c>
      <c r="P914" t="s">
        <v>397</v>
      </c>
      <c r="Q914">
        <v>7</v>
      </c>
      <c r="R914" s="225">
        <f>Base_Periodo1[[#This Row],[CREDITOS]]-Base_Periodo1[[#This Row],[DEBITOS]]</f>
        <v>0</v>
      </c>
      <c r="S914" s="3" t="str">
        <f>IF(ISERROR(VLOOKUP(Base_Periodo1[[#This Row],[CONTA]],BaseContasDRE[#All],4,FALSE)),"Fora do DRE",VLOOKUP(Base_Periodo1[[#This Row],[CONTA]],BaseContasDRE[#All],4,FALSE))</f>
        <v>Fora do DRE</v>
      </c>
      <c r="T914" s="3" t="str">
        <f>IF(ISERROR(VLOOKUP(Base_Periodo1[[#This Row],[CONTA]],BaseContasDRE[#All],5,FALSE)),"Fora do DRE",VLOOKUP(Base_Periodo1[[#This Row],[CONTA]],BaseContasDRE[#All],6,FALSE))</f>
        <v>Fora do DRE</v>
      </c>
      <c r="U914" s="3" t="str">
        <f>IF(ISERROR(VLOOKUP(Base_Periodo1[[#This Row],[CONTA]],BaseContasDRE[#All],7,FALSE)),"Fora do DRE",VLOOKUP(Base_Periodo1[[#This Row],[CONTA]],BaseContasDRE[#All],7,FALSE))</f>
        <v>Fora do DRE</v>
      </c>
      <c r="V914" s="3" t="str">
        <f>IF(Base_Periodo1[[#This Row],[Tipo_Linha]]="Fora do DRE","Fora do DRE","( "&amp;Base_Periodo1[[#This Row],[Tipo_Linha]]&amp;" ) "&amp;Base_Periodo1[[#This Row],[Filtro]])</f>
        <v>Fora do DRE</v>
      </c>
      <c r="W914" s="3" t="str">
        <f>LEFT(Base_Periodo1[[#This Row],[CLASS]],3)</f>
        <v>1.1</v>
      </c>
    </row>
    <row r="915" spans="1:23" hidden="1">
      <c r="A915" s="3" t="str">
        <f t="shared" si="14"/>
        <v>Período 1</v>
      </c>
      <c r="B915">
        <v>2200</v>
      </c>
      <c r="C915" t="s">
        <v>922</v>
      </c>
      <c r="D915" t="s">
        <v>6163</v>
      </c>
      <c r="E915" s="3" t="str">
        <f>IF(LEN(Base_Periodo1[[#This Row],[CLASS]])&gt;=7,LEFT(Base_Periodo1[[#This Row],[CLASS]],7),"")</f>
        <v>1.1.2.2</v>
      </c>
      <c r="F915" s="3" t="str">
        <f>VLOOKUP(Base_Periodo1[[#This Row],[Aux]],Base_Contas_Balanco[#All],2,FALSE)</f>
        <v>Creditos com não Cooperados</v>
      </c>
      <c r="G915" s="1">
        <v>42827</v>
      </c>
      <c r="H915" s="225">
        <v>595</v>
      </c>
      <c r="I915" s="225">
        <v>0</v>
      </c>
      <c r="J915" s="225">
        <v>0</v>
      </c>
      <c r="K915" s="225">
        <v>595</v>
      </c>
      <c r="L9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595</v>
      </c>
      <c r="M915" s="225">
        <f>ROUND(IF(AND(Base_Periodo1[[#This Row],[Tipo_Linha]]="-",Base_Periodo1[[#This Row],[TIPOSALDO]]="D"),Base_Periodo1[[#This Row],[SALDO_ATUAL]]*-1,Base_Periodo1[[#This Row],[SALDO_ATUAL]]),4)</f>
        <v>595</v>
      </c>
      <c r="N915" t="s">
        <v>116</v>
      </c>
      <c r="O915" t="s">
        <v>397</v>
      </c>
      <c r="P915" t="s">
        <v>397</v>
      </c>
      <c r="Q915">
        <v>7</v>
      </c>
      <c r="R915" s="225">
        <f>Base_Periodo1[[#This Row],[CREDITOS]]-Base_Periodo1[[#This Row],[DEBITOS]]</f>
        <v>0</v>
      </c>
      <c r="S915" s="3" t="str">
        <f>IF(ISERROR(VLOOKUP(Base_Periodo1[[#This Row],[CONTA]],BaseContasDRE[#All],4,FALSE)),"Fora do DRE",VLOOKUP(Base_Periodo1[[#This Row],[CONTA]],BaseContasDRE[#All],4,FALSE))</f>
        <v>Fora do DRE</v>
      </c>
      <c r="T915" s="3" t="str">
        <f>IF(ISERROR(VLOOKUP(Base_Periodo1[[#This Row],[CONTA]],BaseContasDRE[#All],5,FALSE)),"Fora do DRE",VLOOKUP(Base_Periodo1[[#This Row],[CONTA]],BaseContasDRE[#All],6,FALSE))</f>
        <v>Fora do DRE</v>
      </c>
      <c r="U915" s="3" t="str">
        <f>IF(ISERROR(VLOOKUP(Base_Periodo1[[#This Row],[CONTA]],BaseContasDRE[#All],7,FALSE)),"Fora do DRE",VLOOKUP(Base_Periodo1[[#This Row],[CONTA]],BaseContasDRE[#All],7,FALSE))</f>
        <v>Fora do DRE</v>
      </c>
      <c r="V915" s="3" t="str">
        <f>IF(Base_Periodo1[[#This Row],[Tipo_Linha]]="Fora do DRE","Fora do DRE","( "&amp;Base_Periodo1[[#This Row],[Tipo_Linha]]&amp;" ) "&amp;Base_Periodo1[[#This Row],[Filtro]])</f>
        <v>Fora do DRE</v>
      </c>
      <c r="W915" s="3" t="str">
        <f>LEFT(Base_Periodo1[[#This Row],[CLASS]],3)</f>
        <v>1.1</v>
      </c>
    </row>
    <row r="916" spans="1:23" hidden="1">
      <c r="A916" s="3" t="str">
        <f t="shared" si="14"/>
        <v>Período 1</v>
      </c>
      <c r="B916">
        <v>19588</v>
      </c>
      <c r="C916" t="s">
        <v>922</v>
      </c>
      <c r="D916" t="s">
        <v>6164</v>
      </c>
      <c r="E916" s="3" t="str">
        <f>IF(LEN(Base_Periodo1[[#This Row],[CLASS]])&gt;=7,LEFT(Base_Periodo1[[#This Row],[CLASS]],7),"")</f>
        <v>1.1.2.2</v>
      </c>
      <c r="F916" s="3" t="str">
        <f>VLOOKUP(Base_Periodo1[[#This Row],[Aux]],Base_Contas_Balanco[#All],2,FALSE)</f>
        <v>Creditos com não Cooperados</v>
      </c>
      <c r="G916" s="1">
        <v>42833</v>
      </c>
      <c r="H916" s="225">
        <v>571.20000000000005</v>
      </c>
      <c r="I916" s="225">
        <v>0</v>
      </c>
      <c r="J916" s="225">
        <v>0</v>
      </c>
      <c r="K916" s="225">
        <v>571.20000000000005</v>
      </c>
      <c r="L9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571.20000000000005</v>
      </c>
      <c r="M916" s="225">
        <f>ROUND(IF(AND(Base_Periodo1[[#This Row],[Tipo_Linha]]="-",Base_Periodo1[[#This Row],[TIPOSALDO]]="D"),Base_Periodo1[[#This Row],[SALDO_ATUAL]]*-1,Base_Periodo1[[#This Row],[SALDO_ATUAL]]),4)</f>
        <v>571.20000000000005</v>
      </c>
      <c r="N916" t="s">
        <v>116</v>
      </c>
      <c r="O916" t="s">
        <v>397</v>
      </c>
      <c r="P916" t="s">
        <v>397</v>
      </c>
      <c r="Q916">
        <v>7</v>
      </c>
      <c r="R916" s="225">
        <f>Base_Periodo1[[#This Row],[CREDITOS]]-Base_Periodo1[[#This Row],[DEBITOS]]</f>
        <v>0</v>
      </c>
      <c r="S916" s="3" t="str">
        <f>IF(ISERROR(VLOOKUP(Base_Periodo1[[#This Row],[CONTA]],BaseContasDRE[#All],4,FALSE)),"Fora do DRE",VLOOKUP(Base_Periodo1[[#This Row],[CONTA]],BaseContasDRE[#All],4,FALSE))</f>
        <v>Fora do DRE</v>
      </c>
      <c r="T916" s="3" t="str">
        <f>IF(ISERROR(VLOOKUP(Base_Periodo1[[#This Row],[CONTA]],BaseContasDRE[#All],5,FALSE)),"Fora do DRE",VLOOKUP(Base_Periodo1[[#This Row],[CONTA]],BaseContasDRE[#All],6,FALSE))</f>
        <v>Fora do DRE</v>
      </c>
      <c r="U916" s="3" t="str">
        <f>IF(ISERROR(VLOOKUP(Base_Periodo1[[#This Row],[CONTA]],BaseContasDRE[#All],7,FALSE)),"Fora do DRE",VLOOKUP(Base_Periodo1[[#This Row],[CONTA]],BaseContasDRE[#All],7,FALSE))</f>
        <v>Fora do DRE</v>
      </c>
      <c r="V916" s="3" t="str">
        <f>IF(Base_Periodo1[[#This Row],[Tipo_Linha]]="Fora do DRE","Fora do DRE","( "&amp;Base_Periodo1[[#This Row],[Tipo_Linha]]&amp;" ) "&amp;Base_Periodo1[[#This Row],[Filtro]])</f>
        <v>Fora do DRE</v>
      </c>
      <c r="W916" s="3" t="str">
        <f>LEFT(Base_Periodo1[[#This Row],[CLASS]],3)</f>
        <v>1.1</v>
      </c>
    </row>
    <row r="917" spans="1:23" hidden="1">
      <c r="A917" s="3" t="str">
        <f t="shared" si="14"/>
        <v>Período 1</v>
      </c>
      <c r="B917">
        <v>9992</v>
      </c>
      <c r="C917" t="s">
        <v>922</v>
      </c>
      <c r="D917" t="s">
        <v>5653</v>
      </c>
      <c r="E917" s="3" t="str">
        <f>IF(LEN(Base_Periodo1[[#This Row],[CLASS]])&gt;=7,LEFT(Base_Periodo1[[#This Row],[CLASS]],7),"")</f>
        <v>1.1.2.2</v>
      </c>
      <c r="F917" s="3" t="str">
        <f>VLOOKUP(Base_Periodo1[[#This Row],[Aux]],Base_Contas_Balanco[#All],2,FALSE)</f>
        <v>Creditos com não Cooperados</v>
      </c>
      <c r="G917" s="1">
        <v>42752</v>
      </c>
      <c r="H917" s="225">
        <v>224.72999999998137</v>
      </c>
      <c r="I917" s="225">
        <v>0</v>
      </c>
      <c r="J917" s="225">
        <v>0</v>
      </c>
      <c r="K917" s="225">
        <v>224.72999999998137</v>
      </c>
      <c r="L9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224.73</v>
      </c>
      <c r="M917" s="225">
        <f>ROUND(IF(AND(Base_Periodo1[[#This Row],[Tipo_Linha]]="-",Base_Periodo1[[#This Row],[TIPOSALDO]]="D"),Base_Periodo1[[#This Row],[SALDO_ATUAL]]*-1,Base_Periodo1[[#This Row],[SALDO_ATUAL]]),4)</f>
        <v>224.73</v>
      </c>
      <c r="N917" t="s">
        <v>116</v>
      </c>
      <c r="O917" t="s">
        <v>397</v>
      </c>
      <c r="P917" t="s">
        <v>397</v>
      </c>
      <c r="Q917">
        <v>7</v>
      </c>
      <c r="R917" s="225">
        <f>Base_Periodo1[[#This Row],[CREDITOS]]-Base_Periodo1[[#This Row],[DEBITOS]]</f>
        <v>0</v>
      </c>
      <c r="S917" s="3" t="str">
        <f>IF(ISERROR(VLOOKUP(Base_Periodo1[[#This Row],[CONTA]],BaseContasDRE[#All],4,FALSE)),"Fora do DRE",VLOOKUP(Base_Periodo1[[#This Row],[CONTA]],BaseContasDRE[#All],4,FALSE))</f>
        <v>Fora do DRE</v>
      </c>
      <c r="T917" s="3" t="str">
        <f>IF(ISERROR(VLOOKUP(Base_Periodo1[[#This Row],[CONTA]],BaseContasDRE[#All],5,FALSE)),"Fora do DRE",VLOOKUP(Base_Periodo1[[#This Row],[CONTA]],BaseContasDRE[#All],6,FALSE))</f>
        <v>Fora do DRE</v>
      </c>
      <c r="U917" s="3" t="str">
        <f>IF(ISERROR(VLOOKUP(Base_Periodo1[[#This Row],[CONTA]],BaseContasDRE[#All],7,FALSE)),"Fora do DRE",VLOOKUP(Base_Periodo1[[#This Row],[CONTA]],BaseContasDRE[#All],7,FALSE))</f>
        <v>Fora do DRE</v>
      </c>
      <c r="V917" s="3" t="str">
        <f>IF(Base_Periodo1[[#This Row],[Tipo_Linha]]="Fora do DRE","Fora do DRE","( "&amp;Base_Periodo1[[#This Row],[Tipo_Linha]]&amp;" ) "&amp;Base_Periodo1[[#This Row],[Filtro]])</f>
        <v>Fora do DRE</v>
      </c>
      <c r="W917" s="3" t="str">
        <f>LEFT(Base_Periodo1[[#This Row],[CLASS]],3)</f>
        <v>1.1</v>
      </c>
    </row>
    <row r="918" spans="1:23" hidden="1">
      <c r="A918" s="3" t="str">
        <f t="shared" si="14"/>
        <v>Período 1</v>
      </c>
      <c r="B918">
        <v>10638</v>
      </c>
      <c r="C918" t="s">
        <v>922</v>
      </c>
      <c r="D918" t="s">
        <v>6755</v>
      </c>
      <c r="E918" s="3" t="str">
        <f>IF(LEN(Base_Periodo1[[#This Row],[CLASS]])&gt;=7,LEFT(Base_Periodo1[[#This Row],[CLASS]],7),"")</f>
        <v>1.1.2.2</v>
      </c>
      <c r="F918" s="3" t="str">
        <f>VLOOKUP(Base_Periodo1[[#This Row],[Aux]],Base_Contas_Balanco[#All],2,FALSE)</f>
        <v>Creditos com não Cooperados</v>
      </c>
      <c r="G918" s="1">
        <v>42885</v>
      </c>
      <c r="I918" s="225">
        <v>1501983.6800000004</v>
      </c>
      <c r="J918" s="225">
        <v>0</v>
      </c>
      <c r="K918" s="225">
        <v>1501983.6799999985</v>
      </c>
      <c r="L9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1501983.68</v>
      </c>
      <c r="M918" s="225">
        <f>ROUND(IF(AND(Base_Periodo1[[#This Row],[Tipo_Linha]]="-",Base_Periodo1[[#This Row],[TIPOSALDO]]="D"),Base_Periodo1[[#This Row],[SALDO_ATUAL]]*-1,Base_Periodo1[[#This Row],[SALDO_ATUAL]]),4)</f>
        <v>1501983.68</v>
      </c>
      <c r="N918" t="s">
        <v>116</v>
      </c>
      <c r="O918" t="s">
        <v>436</v>
      </c>
      <c r="P918" t="s">
        <v>397</v>
      </c>
      <c r="Q918">
        <v>7</v>
      </c>
      <c r="R918" s="225">
        <f>Base_Periodo1[[#This Row],[CREDITOS]]-Base_Periodo1[[#This Row],[DEBITOS]]</f>
        <v>-1501983.6800000004</v>
      </c>
      <c r="S918" s="3" t="str">
        <f>IF(ISERROR(VLOOKUP(Base_Periodo1[[#This Row],[CONTA]],BaseContasDRE[#All],4,FALSE)),"Fora do DRE",VLOOKUP(Base_Periodo1[[#This Row],[CONTA]],BaseContasDRE[#All],4,FALSE))</f>
        <v>Fora do DRE</v>
      </c>
      <c r="T918" s="3" t="str">
        <f>IF(ISERROR(VLOOKUP(Base_Periodo1[[#This Row],[CONTA]],BaseContasDRE[#All],5,FALSE)),"Fora do DRE",VLOOKUP(Base_Periodo1[[#This Row],[CONTA]],BaseContasDRE[#All],6,FALSE))</f>
        <v>Fora do DRE</v>
      </c>
      <c r="U918" s="3" t="str">
        <f>IF(ISERROR(VLOOKUP(Base_Periodo1[[#This Row],[CONTA]],BaseContasDRE[#All],7,FALSE)),"Fora do DRE",VLOOKUP(Base_Periodo1[[#This Row],[CONTA]],BaseContasDRE[#All],7,FALSE))</f>
        <v>Fora do DRE</v>
      </c>
      <c r="V918" s="3" t="str">
        <f>IF(Base_Periodo1[[#This Row],[Tipo_Linha]]="Fora do DRE","Fora do DRE","( "&amp;Base_Periodo1[[#This Row],[Tipo_Linha]]&amp;" ) "&amp;Base_Periodo1[[#This Row],[Filtro]])</f>
        <v>Fora do DRE</v>
      </c>
      <c r="W918" s="3" t="str">
        <f>LEFT(Base_Periodo1[[#This Row],[CLASS]],3)</f>
        <v>1.1</v>
      </c>
    </row>
    <row r="919" spans="1:23" hidden="1">
      <c r="A919" s="3" t="str">
        <f t="shared" si="14"/>
        <v>Período 1</v>
      </c>
      <c r="B919">
        <v>26660</v>
      </c>
      <c r="C919" t="s">
        <v>922</v>
      </c>
      <c r="D919" t="s">
        <v>943</v>
      </c>
      <c r="E919" s="3" t="str">
        <f>IF(LEN(Base_Periodo1[[#This Row],[CLASS]])&gt;=7,LEFT(Base_Periodo1[[#This Row],[CLASS]],7),"")</f>
        <v>1.1.2.2</v>
      </c>
      <c r="F919" s="3" t="str">
        <f>VLOOKUP(Base_Periodo1[[#This Row],[Aux]],Base_Contas_Balanco[#All],2,FALSE)</f>
        <v>Creditos com não Cooperados</v>
      </c>
      <c r="G919" s="1">
        <v>42884</v>
      </c>
      <c r="H919" s="225">
        <v>270719.19000000157</v>
      </c>
      <c r="I919" s="225">
        <v>25406.170000000002</v>
      </c>
      <c r="J919" s="225">
        <v>0</v>
      </c>
      <c r="K919" s="225">
        <v>296125.36000000156</v>
      </c>
      <c r="L9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296125.36</v>
      </c>
      <c r="M919" s="225">
        <f>ROUND(IF(AND(Base_Periodo1[[#This Row],[Tipo_Linha]]="-",Base_Periodo1[[#This Row],[TIPOSALDO]]="D"),Base_Periodo1[[#This Row],[SALDO_ATUAL]]*-1,Base_Periodo1[[#This Row],[SALDO_ATUAL]]),4)</f>
        <v>296125.36</v>
      </c>
      <c r="N919" t="s">
        <v>116</v>
      </c>
      <c r="O919" t="s">
        <v>397</v>
      </c>
      <c r="P919" t="s">
        <v>397</v>
      </c>
      <c r="Q919">
        <v>7</v>
      </c>
      <c r="R919" s="225">
        <f>Base_Periodo1[[#This Row],[CREDITOS]]-Base_Periodo1[[#This Row],[DEBITOS]]</f>
        <v>-25406.170000000002</v>
      </c>
      <c r="S919" s="3" t="str">
        <f>IF(ISERROR(VLOOKUP(Base_Periodo1[[#This Row],[CONTA]],BaseContasDRE[#All],4,FALSE)),"Fora do DRE",VLOOKUP(Base_Periodo1[[#This Row],[CONTA]],BaseContasDRE[#All],4,FALSE))</f>
        <v>Fora do DRE</v>
      </c>
      <c r="T919" s="3" t="str">
        <f>IF(ISERROR(VLOOKUP(Base_Periodo1[[#This Row],[CONTA]],BaseContasDRE[#All],5,FALSE)),"Fora do DRE",VLOOKUP(Base_Periodo1[[#This Row],[CONTA]],BaseContasDRE[#All],6,FALSE))</f>
        <v>Fora do DRE</v>
      </c>
      <c r="U919" s="3" t="str">
        <f>IF(ISERROR(VLOOKUP(Base_Periodo1[[#This Row],[CONTA]],BaseContasDRE[#All],7,FALSE)),"Fora do DRE",VLOOKUP(Base_Periodo1[[#This Row],[CONTA]],BaseContasDRE[#All],7,FALSE))</f>
        <v>Fora do DRE</v>
      </c>
      <c r="V919" s="3" t="str">
        <f>IF(Base_Periodo1[[#This Row],[Tipo_Linha]]="Fora do DRE","Fora do DRE","( "&amp;Base_Periodo1[[#This Row],[Tipo_Linha]]&amp;" ) "&amp;Base_Periodo1[[#This Row],[Filtro]])</f>
        <v>Fora do DRE</v>
      </c>
      <c r="W919" s="3" t="str">
        <f>LEFT(Base_Periodo1[[#This Row],[CLASS]],3)</f>
        <v>1.1</v>
      </c>
    </row>
    <row r="920" spans="1:23" hidden="1">
      <c r="A920" s="3" t="str">
        <f t="shared" si="14"/>
        <v>Período 1</v>
      </c>
      <c r="B920">
        <v>42895</v>
      </c>
      <c r="C920" t="s">
        <v>922</v>
      </c>
      <c r="D920" t="s">
        <v>1733</v>
      </c>
      <c r="E920" s="3" t="str">
        <f>IF(LEN(Base_Periodo1[[#This Row],[CLASS]])&gt;=7,LEFT(Base_Periodo1[[#This Row],[CLASS]],7),"")</f>
        <v>1.1.2.2</v>
      </c>
      <c r="F920" s="3" t="str">
        <f>VLOOKUP(Base_Periodo1[[#This Row],[Aux]],Base_Contas_Balanco[#All],2,FALSE)</f>
        <v>Creditos com não Cooperados</v>
      </c>
      <c r="G920" s="1">
        <v>42306</v>
      </c>
      <c r="H920" s="225">
        <v>7434.52</v>
      </c>
      <c r="I920" s="225">
        <v>0</v>
      </c>
      <c r="J920" s="225">
        <v>0</v>
      </c>
      <c r="K920" s="225">
        <v>7434.52</v>
      </c>
      <c r="L9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7434.52</v>
      </c>
      <c r="M920" s="225">
        <f>ROUND(IF(AND(Base_Periodo1[[#This Row],[Tipo_Linha]]="-",Base_Periodo1[[#This Row],[TIPOSALDO]]="D"),Base_Periodo1[[#This Row],[SALDO_ATUAL]]*-1,Base_Periodo1[[#This Row],[SALDO_ATUAL]]),4)</f>
        <v>7434.52</v>
      </c>
      <c r="N920" t="s">
        <v>116</v>
      </c>
      <c r="O920" t="s">
        <v>397</v>
      </c>
      <c r="P920" t="s">
        <v>397</v>
      </c>
      <c r="Q920">
        <v>7</v>
      </c>
      <c r="R920" s="225">
        <f>Base_Periodo1[[#This Row],[CREDITOS]]-Base_Periodo1[[#This Row],[DEBITOS]]</f>
        <v>0</v>
      </c>
      <c r="S920" s="3" t="str">
        <f>IF(ISERROR(VLOOKUP(Base_Periodo1[[#This Row],[CONTA]],BaseContasDRE[#All],4,FALSE)),"Fora do DRE",VLOOKUP(Base_Periodo1[[#This Row],[CONTA]],BaseContasDRE[#All],4,FALSE))</f>
        <v>Fora do DRE</v>
      </c>
      <c r="T920" s="3" t="str">
        <f>IF(ISERROR(VLOOKUP(Base_Periodo1[[#This Row],[CONTA]],BaseContasDRE[#All],5,FALSE)),"Fora do DRE",VLOOKUP(Base_Periodo1[[#This Row],[CONTA]],BaseContasDRE[#All],6,FALSE))</f>
        <v>Fora do DRE</v>
      </c>
      <c r="U920" s="3" t="str">
        <f>IF(ISERROR(VLOOKUP(Base_Periodo1[[#This Row],[CONTA]],BaseContasDRE[#All],7,FALSE)),"Fora do DRE",VLOOKUP(Base_Periodo1[[#This Row],[CONTA]],BaseContasDRE[#All],7,FALSE))</f>
        <v>Fora do DRE</v>
      </c>
      <c r="V920" s="3" t="str">
        <f>IF(Base_Periodo1[[#This Row],[Tipo_Linha]]="Fora do DRE","Fora do DRE","( "&amp;Base_Periodo1[[#This Row],[Tipo_Linha]]&amp;" ) "&amp;Base_Periodo1[[#This Row],[Filtro]])</f>
        <v>Fora do DRE</v>
      </c>
      <c r="W920" s="3" t="str">
        <f>LEFT(Base_Periodo1[[#This Row],[CLASS]],3)</f>
        <v>1.1</v>
      </c>
    </row>
    <row r="921" spans="1:23" hidden="1">
      <c r="A921" s="3" t="str">
        <f t="shared" si="14"/>
        <v>Período 1</v>
      </c>
      <c r="B921">
        <v>11349</v>
      </c>
      <c r="C921" t="s">
        <v>922</v>
      </c>
      <c r="D921" t="s">
        <v>6165</v>
      </c>
      <c r="E921" s="3" t="str">
        <f>IF(LEN(Base_Periodo1[[#This Row],[CLASS]])&gt;=7,LEFT(Base_Periodo1[[#This Row],[CLASS]],7),"")</f>
        <v>1.1.2.2</v>
      </c>
      <c r="F921" s="3" t="str">
        <f>VLOOKUP(Base_Periodo1[[#This Row],[Aux]],Base_Contas_Balanco[#All],2,FALSE)</f>
        <v>Creditos com não Cooperados</v>
      </c>
      <c r="G921" s="1">
        <v>42885</v>
      </c>
      <c r="H921" s="225">
        <v>101954</v>
      </c>
      <c r="I921" s="225">
        <v>66569.440000000002</v>
      </c>
      <c r="J921" s="225">
        <v>100694</v>
      </c>
      <c r="K921" s="225">
        <v>67829.440000000002</v>
      </c>
      <c r="L9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67829.440000000002</v>
      </c>
      <c r="M921" s="225">
        <f>ROUND(IF(AND(Base_Periodo1[[#This Row],[Tipo_Linha]]="-",Base_Periodo1[[#This Row],[TIPOSALDO]]="D"),Base_Periodo1[[#This Row],[SALDO_ATUAL]]*-1,Base_Periodo1[[#This Row],[SALDO_ATUAL]]),4)</f>
        <v>67829.440000000002</v>
      </c>
      <c r="N921" t="s">
        <v>116</v>
      </c>
      <c r="O921" t="s">
        <v>397</v>
      </c>
      <c r="P921" t="s">
        <v>397</v>
      </c>
      <c r="Q921">
        <v>7</v>
      </c>
      <c r="R921" s="225">
        <f>Base_Periodo1[[#This Row],[CREDITOS]]-Base_Periodo1[[#This Row],[DEBITOS]]</f>
        <v>34124.559999999998</v>
      </c>
      <c r="S921" s="3" t="str">
        <f>IF(ISERROR(VLOOKUP(Base_Periodo1[[#This Row],[CONTA]],BaseContasDRE[#All],4,FALSE)),"Fora do DRE",VLOOKUP(Base_Periodo1[[#This Row],[CONTA]],BaseContasDRE[#All],4,FALSE))</f>
        <v>Fora do DRE</v>
      </c>
      <c r="T921" s="3" t="str">
        <f>IF(ISERROR(VLOOKUP(Base_Periodo1[[#This Row],[CONTA]],BaseContasDRE[#All],5,FALSE)),"Fora do DRE",VLOOKUP(Base_Periodo1[[#This Row],[CONTA]],BaseContasDRE[#All],6,FALSE))</f>
        <v>Fora do DRE</v>
      </c>
      <c r="U921" s="3" t="str">
        <f>IF(ISERROR(VLOOKUP(Base_Periodo1[[#This Row],[CONTA]],BaseContasDRE[#All],7,FALSE)),"Fora do DRE",VLOOKUP(Base_Periodo1[[#This Row],[CONTA]],BaseContasDRE[#All],7,FALSE))</f>
        <v>Fora do DRE</v>
      </c>
      <c r="V921" s="3" t="str">
        <f>IF(Base_Periodo1[[#This Row],[Tipo_Linha]]="Fora do DRE","Fora do DRE","( "&amp;Base_Periodo1[[#This Row],[Tipo_Linha]]&amp;" ) "&amp;Base_Periodo1[[#This Row],[Filtro]])</f>
        <v>Fora do DRE</v>
      </c>
      <c r="W921" s="3" t="str">
        <f>LEFT(Base_Periodo1[[#This Row],[CLASS]],3)</f>
        <v>1.1</v>
      </c>
    </row>
    <row r="922" spans="1:23" hidden="1">
      <c r="A922" s="3" t="str">
        <f t="shared" si="14"/>
        <v>Período 1</v>
      </c>
      <c r="B922">
        <v>51311</v>
      </c>
      <c r="C922" t="s">
        <v>922</v>
      </c>
      <c r="D922" t="s">
        <v>6165</v>
      </c>
      <c r="E922" s="3" t="str">
        <f>IF(LEN(Base_Periodo1[[#This Row],[CLASS]])&gt;=7,LEFT(Base_Periodo1[[#This Row],[CLASS]],7),"")</f>
        <v>1.1.2.2</v>
      </c>
      <c r="F922" s="3" t="str">
        <f>VLOOKUP(Base_Periodo1[[#This Row],[Aux]],Base_Contas_Balanco[#All],2,FALSE)</f>
        <v>Creditos com não Cooperados</v>
      </c>
      <c r="G922" s="1">
        <v>42885</v>
      </c>
      <c r="H922" s="225">
        <v>107973.59999999998</v>
      </c>
      <c r="I922" s="225">
        <v>11306</v>
      </c>
      <c r="J922" s="225">
        <v>119279.6</v>
      </c>
      <c r="K922" s="225">
        <v>-2.9103830456733704E-11</v>
      </c>
      <c r="L9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22" s="225">
        <f>ROUND(IF(AND(Base_Periodo1[[#This Row],[Tipo_Linha]]="-",Base_Periodo1[[#This Row],[TIPOSALDO]]="D"),Base_Periodo1[[#This Row],[SALDO_ATUAL]]*-1,Base_Periodo1[[#This Row],[SALDO_ATUAL]]),4)</f>
        <v>0</v>
      </c>
      <c r="N922" t="s">
        <v>116</v>
      </c>
      <c r="O922" t="s">
        <v>397</v>
      </c>
      <c r="P922" t="s">
        <v>436</v>
      </c>
      <c r="Q922">
        <v>7</v>
      </c>
      <c r="R922" s="225">
        <f>Base_Periodo1[[#This Row],[CREDITOS]]-Base_Periodo1[[#This Row],[DEBITOS]]</f>
        <v>107973.6</v>
      </c>
      <c r="S922" s="3" t="str">
        <f>IF(ISERROR(VLOOKUP(Base_Periodo1[[#This Row],[CONTA]],BaseContasDRE[#All],4,FALSE)),"Fora do DRE",VLOOKUP(Base_Periodo1[[#This Row],[CONTA]],BaseContasDRE[#All],4,FALSE))</f>
        <v>Fora do DRE</v>
      </c>
      <c r="T922" s="3" t="str">
        <f>IF(ISERROR(VLOOKUP(Base_Periodo1[[#This Row],[CONTA]],BaseContasDRE[#All],5,FALSE)),"Fora do DRE",VLOOKUP(Base_Periodo1[[#This Row],[CONTA]],BaseContasDRE[#All],6,FALSE))</f>
        <v>Fora do DRE</v>
      </c>
      <c r="U922" s="3" t="str">
        <f>IF(ISERROR(VLOOKUP(Base_Periodo1[[#This Row],[CONTA]],BaseContasDRE[#All],7,FALSE)),"Fora do DRE",VLOOKUP(Base_Periodo1[[#This Row],[CONTA]],BaseContasDRE[#All],7,FALSE))</f>
        <v>Fora do DRE</v>
      </c>
      <c r="V922" s="3" t="str">
        <f>IF(Base_Periodo1[[#This Row],[Tipo_Linha]]="Fora do DRE","Fora do DRE","( "&amp;Base_Periodo1[[#This Row],[Tipo_Linha]]&amp;" ) "&amp;Base_Periodo1[[#This Row],[Filtro]])</f>
        <v>Fora do DRE</v>
      </c>
      <c r="W922" s="3" t="str">
        <f>LEFT(Base_Periodo1[[#This Row],[CLASS]],3)</f>
        <v>1.1</v>
      </c>
    </row>
    <row r="923" spans="1:23" hidden="1">
      <c r="A923" s="3" t="str">
        <f t="shared" si="14"/>
        <v>Período 1</v>
      </c>
      <c r="B923">
        <v>58541</v>
      </c>
      <c r="C923" t="s">
        <v>922</v>
      </c>
      <c r="D923" t="s">
        <v>6165</v>
      </c>
      <c r="E923" s="3" t="str">
        <f>IF(LEN(Base_Periodo1[[#This Row],[CLASS]])&gt;=7,LEFT(Base_Periodo1[[#This Row],[CLASS]],7),"")</f>
        <v>1.1.2.2</v>
      </c>
      <c r="F923" s="3" t="str">
        <f>VLOOKUP(Base_Periodo1[[#This Row],[Aux]],Base_Contas_Balanco[#All],2,FALSE)</f>
        <v>Creditos com não Cooperados</v>
      </c>
      <c r="G923" s="1">
        <v>42877</v>
      </c>
      <c r="I923" s="225">
        <v>15300</v>
      </c>
      <c r="J923" s="225">
        <v>7632</v>
      </c>
      <c r="K923" s="225">
        <v>7668</v>
      </c>
      <c r="L9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7668</v>
      </c>
      <c r="M923" s="225">
        <f>ROUND(IF(AND(Base_Periodo1[[#This Row],[Tipo_Linha]]="-",Base_Periodo1[[#This Row],[TIPOSALDO]]="D"),Base_Periodo1[[#This Row],[SALDO_ATUAL]]*-1,Base_Periodo1[[#This Row],[SALDO_ATUAL]]),4)</f>
        <v>7668</v>
      </c>
      <c r="N923" t="s">
        <v>116</v>
      </c>
      <c r="O923" t="s">
        <v>436</v>
      </c>
      <c r="P923" t="s">
        <v>397</v>
      </c>
      <c r="Q923">
        <v>7</v>
      </c>
      <c r="R923" s="225">
        <f>Base_Periodo1[[#This Row],[CREDITOS]]-Base_Periodo1[[#This Row],[DEBITOS]]</f>
        <v>-7668</v>
      </c>
      <c r="S923" s="3" t="str">
        <f>IF(ISERROR(VLOOKUP(Base_Periodo1[[#This Row],[CONTA]],BaseContasDRE[#All],4,FALSE)),"Fora do DRE",VLOOKUP(Base_Periodo1[[#This Row],[CONTA]],BaseContasDRE[#All],4,FALSE))</f>
        <v>Fora do DRE</v>
      </c>
      <c r="T923" s="3" t="str">
        <f>IF(ISERROR(VLOOKUP(Base_Periodo1[[#This Row],[CONTA]],BaseContasDRE[#All],5,FALSE)),"Fora do DRE",VLOOKUP(Base_Periodo1[[#This Row],[CONTA]],BaseContasDRE[#All],6,FALSE))</f>
        <v>Fora do DRE</v>
      </c>
      <c r="U923" s="3" t="str">
        <f>IF(ISERROR(VLOOKUP(Base_Periodo1[[#This Row],[CONTA]],BaseContasDRE[#All],7,FALSE)),"Fora do DRE",VLOOKUP(Base_Periodo1[[#This Row],[CONTA]],BaseContasDRE[#All],7,FALSE))</f>
        <v>Fora do DRE</v>
      </c>
      <c r="V923" s="3" t="str">
        <f>IF(Base_Periodo1[[#This Row],[Tipo_Linha]]="Fora do DRE","Fora do DRE","( "&amp;Base_Periodo1[[#This Row],[Tipo_Linha]]&amp;" ) "&amp;Base_Periodo1[[#This Row],[Filtro]])</f>
        <v>Fora do DRE</v>
      </c>
      <c r="W923" s="3" t="str">
        <f>LEFT(Base_Periodo1[[#This Row],[CLASS]],3)</f>
        <v>1.1</v>
      </c>
    </row>
    <row r="924" spans="1:23" hidden="1">
      <c r="A924" s="3" t="str">
        <f t="shared" si="14"/>
        <v>Período 1</v>
      </c>
      <c r="B924">
        <v>50884</v>
      </c>
      <c r="C924" t="s">
        <v>922</v>
      </c>
      <c r="D924" t="s">
        <v>6166</v>
      </c>
      <c r="E924" s="3" t="str">
        <f>IF(LEN(Base_Periodo1[[#This Row],[CLASS]])&gt;=7,LEFT(Base_Periodo1[[#This Row],[CLASS]],7),"")</f>
        <v>1.1.2.2</v>
      </c>
      <c r="F924" s="3" t="str">
        <f>VLOOKUP(Base_Periodo1[[#This Row],[Aux]],Base_Contas_Balanco[#All],2,FALSE)</f>
        <v>Creditos com não Cooperados</v>
      </c>
      <c r="G924" s="1">
        <v>42885</v>
      </c>
      <c r="H924" s="225">
        <v>4840</v>
      </c>
      <c r="I924" s="225">
        <v>26649.599999999999</v>
      </c>
      <c r="J924" s="225">
        <v>20108</v>
      </c>
      <c r="K924" s="225">
        <v>11381.599999999999</v>
      </c>
      <c r="L9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11381.6</v>
      </c>
      <c r="M924" s="225">
        <f>ROUND(IF(AND(Base_Periodo1[[#This Row],[Tipo_Linha]]="-",Base_Periodo1[[#This Row],[TIPOSALDO]]="D"),Base_Periodo1[[#This Row],[SALDO_ATUAL]]*-1,Base_Periodo1[[#This Row],[SALDO_ATUAL]]),4)</f>
        <v>11381.6</v>
      </c>
      <c r="N924" t="s">
        <v>116</v>
      </c>
      <c r="O924" t="s">
        <v>397</v>
      </c>
      <c r="P924" t="s">
        <v>397</v>
      </c>
      <c r="Q924">
        <v>7</v>
      </c>
      <c r="R924" s="225">
        <f>Base_Periodo1[[#This Row],[CREDITOS]]-Base_Periodo1[[#This Row],[DEBITOS]]</f>
        <v>-6541.5999999999985</v>
      </c>
      <c r="S924" s="3" t="str">
        <f>IF(ISERROR(VLOOKUP(Base_Periodo1[[#This Row],[CONTA]],BaseContasDRE[#All],4,FALSE)),"Fora do DRE",VLOOKUP(Base_Periodo1[[#This Row],[CONTA]],BaseContasDRE[#All],4,FALSE))</f>
        <v>Fora do DRE</v>
      </c>
      <c r="T924" s="3" t="str">
        <f>IF(ISERROR(VLOOKUP(Base_Periodo1[[#This Row],[CONTA]],BaseContasDRE[#All],5,FALSE)),"Fora do DRE",VLOOKUP(Base_Periodo1[[#This Row],[CONTA]],BaseContasDRE[#All],6,FALSE))</f>
        <v>Fora do DRE</v>
      </c>
      <c r="U924" s="3" t="str">
        <f>IF(ISERROR(VLOOKUP(Base_Periodo1[[#This Row],[CONTA]],BaseContasDRE[#All],7,FALSE)),"Fora do DRE",VLOOKUP(Base_Periodo1[[#This Row],[CONTA]],BaseContasDRE[#All],7,FALSE))</f>
        <v>Fora do DRE</v>
      </c>
      <c r="V924" s="3" t="str">
        <f>IF(Base_Periodo1[[#This Row],[Tipo_Linha]]="Fora do DRE","Fora do DRE","( "&amp;Base_Periodo1[[#This Row],[Tipo_Linha]]&amp;" ) "&amp;Base_Periodo1[[#This Row],[Filtro]])</f>
        <v>Fora do DRE</v>
      </c>
      <c r="W924" s="3" t="str">
        <f>LEFT(Base_Periodo1[[#This Row],[CLASS]],3)</f>
        <v>1.1</v>
      </c>
    </row>
    <row r="925" spans="1:23" hidden="1">
      <c r="A925" s="3" t="str">
        <f t="shared" si="14"/>
        <v>Período 1</v>
      </c>
      <c r="B925">
        <v>7993</v>
      </c>
      <c r="C925" t="s">
        <v>922</v>
      </c>
      <c r="D925" t="s">
        <v>5720</v>
      </c>
      <c r="E925" s="3" t="str">
        <f>IF(LEN(Base_Periodo1[[#This Row],[CLASS]])&gt;=7,LEFT(Base_Periodo1[[#This Row],[CLASS]],7),"")</f>
        <v>1.1.2.2</v>
      </c>
      <c r="F925" s="3" t="str">
        <f>VLOOKUP(Base_Periodo1[[#This Row],[Aux]],Base_Contas_Balanco[#All],2,FALSE)</f>
        <v>Creditos com não Cooperados</v>
      </c>
      <c r="G925" s="1">
        <v>42854</v>
      </c>
      <c r="H925" s="225">
        <v>22392.000000000233</v>
      </c>
      <c r="I925" s="225">
        <v>0</v>
      </c>
      <c r="J925" s="225">
        <v>0</v>
      </c>
      <c r="K925" s="225">
        <v>22392.000000000233</v>
      </c>
      <c r="L9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22392</v>
      </c>
      <c r="M925" s="225">
        <f>ROUND(IF(AND(Base_Periodo1[[#This Row],[Tipo_Linha]]="-",Base_Periodo1[[#This Row],[TIPOSALDO]]="D"),Base_Periodo1[[#This Row],[SALDO_ATUAL]]*-1,Base_Periodo1[[#This Row],[SALDO_ATUAL]]),4)</f>
        <v>22392</v>
      </c>
      <c r="N925" t="s">
        <v>116</v>
      </c>
      <c r="O925" t="s">
        <v>397</v>
      </c>
      <c r="P925" t="s">
        <v>397</v>
      </c>
      <c r="Q925">
        <v>7</v>
      </c>
      <c r="R925" s="225">
        <f>Base_Periodo1[[#This Row],[CREDITOS]]-Base_Periodo1[[#This Row],[DEBITOS]]</f>
        <v>0</v>
      </c>
      <c r="S925" s="3" t="str">
        <f>IF(ISERROR(VLOOKUP(Base_Periodo1[[#This Row],[CONTA]],BaseContasDRE[#All],4,FALSE)),"Fora do DRE",VLOOKUP(Base_Periodo1[[#This Row],[CONTA]],BaseContasDRE[#All],4,FALSE))</f>
        <v>Fora do DRE</v>
      </c>
      <c r="T925" s="3" t="str">
        <f>IF(ISERROR(VLOOKUP(Base_Periodo1[[#This Row],[CONTA]],BaseContasDRE[#All],5,FALSE)),"Fora do DRE",VLOOKUP(Base_Periodo1[[#This Row],[CONTA]],BaseContasDRE[#All],6,FALSE))</f>
        <v>Fora do DRE</v>
      </c>
      <c r="U925" s="3" t="str">
        <f>IF(ISERROR(VLOOKUP(Base_Periodo1[[#This Row],[CONTA]],BaseContasDRE[#All],7,FALSE)),"Fora do DRE",VLOOKUP(Base_Periodo1[[#This Row],[CONTA]],BaseContasDRE[#All],7,FALSE))</f>
        <v>Fora do DRE</v>
      </c>
      <c r="V925" s="3" t="str">
        <f>IF(Base_Periodo1[[#This Row],[Tipo_Linha]]="Fora do DRE","Fora do DRE","( "&amp;Base_Periodo1[[#This Row],[Tipo_Linha]]&amp;" ) "&amp;Base_Periodo1[[#This Row],[Filtro]])</f>
        <v>Fora do DRE</v>
      </c>
      <c r="W925" s="3" t="str">
        <f>LEFT(Base_Periodo1[[#This Row],[CLASS]],3)</f>
        <v>1.1</v>
      </c>
    </row>
    <row r="926" spans="1:23" hidden="1">
      <c r="A926" s="3" t="str">
        <f t="shared" si="14"/>
        <v>Período 1</v>
      </c>
      <c r="B926">
        <v>23202</v>
      </c>
      <c r="C926" t="s">
        <v>922</v>
      </c>
      <c r="D926" t="s">
        <v>944</v>
      </c>
      <c r="E926" s="3" t="str">
        <f>IF(LEN(Base_Periodo1[[#This Row],[CLASS]])&gt;=7,LEFT(Base_Periodo1[[#This Row],[CLASS]],7),"")</f>
        <v>1.1.2.2</v>
      </c>
      <c r="F926" s="3" t="str">
        <f>VLOOKUP(Base_Periodo1[[#This Row],[Aux]],Base_Contas_Balanco[#All],2,FALSE)</f>
        <v>Creditos com não Cooperados</v>
      </c>
      <c r="G926" s="1">
        <v>42886</v>
      </c>
      <c r="H926" s="225">
        <v>1260288.4000000898</v>
      </c>
      <c r="I926" s="225">
        <v>408175.08</v>
      </c>
      <c r="J926" s="225">
        <v>577145.91000000085</v>
      </c>
      <c r="K926" s="225">
        <v>1091317.570000089</v>
      </c>
      <c r="L9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1091317.57</v>
      </c>
      <c r="M926" s="225">
        <f>ROUND(IF(AND(Base_Periodo1[[#This Row],[Tipo_Linha]]="-",Base_Periodo1[[#This Row],[TIPOSALDO]]="D"),Base_Periodo1[[#This Row],[SALDO_ATUAL]]*-1,Base_Periodo1[[#This Row],[SALDO_ATUAL]]),4)</f>
        <v>1091317.57</v>
      </c>
      <c r="N926" t="s">
        <v>116</v>
      </c>
      <c r="O926" t="s">
        <v>397</v>
      </c>
      <c r="P926" t="s">
        <v>397</v>
      </c>
      <c r="Q926">
        <v>7</v>
      </c>
      <c r="R926" s="225">
        <f>Base_Periodo1[[#This Row],[CREDITOS]]-Base_Periodo1[[#This Row],[DEBITOS]]</f>
        <v>168970.83000000083</v>
      </c>
      <c r="S926" s="3" t="str">
        <f>IF(ISERROR(VLOOKUP(Base_Periodo1[[#This Row],[CONTA]],BaseContasDRE[#All],4,FALSE)),"Fora do DRE",VLOOKUP(Base_Periodo1[[#This Row],[CONTA]],BaseContasDRE[#All],4,FALSE))</f>
        <v>Fora do DRE</v>
      </c>
      <c r="T926" s="3" t="str">
        <f>IF(ISERROR(VLOOKUP(Base_Periodo1[[#This Row],[CONTA]],BaseContasDRE[#All],5,FALSE)),"Fora do DRE",VLOOKUP(Base_Periodo1[[#This Row],[CONTA]],BaseContasDRE[#All],6,FALSE))</f>
        <v>Fora do DRE</v>
      </c>
      <c r="U926" s="3" t="str">
        <f>IF(ISERROR(VLOOKUP(Base_Periodo1[[#This Row],[CONTA]],BaseContasDRE[#All],7,FALSE)),"Fora do DRE",VLOOKUP(Base_Periodo1[[#This Row],[CONTA]],BaseContasDRE[#All],7,FALSE))</f>
        <v>Fora do DRE</v>
      </c>
      <c r="V926" s="3" t="str">
        <f>IF(Base_Periodo1[[#This Row],[Tipo_Linha]]="Fora do DRE","Fora do DRE","( "&amp;Base_Periodo1[[#This Row],[Tipo_Linha]]&amp;" ) "&amp;Base_Periodo1[[#This Row],[Filtro]])</f>
        <v>Fora do DRE</v>
      </c>
      <c r="W926" s="3" t="str">
        <f>LEFT(Base_Periodo1[[#This Row],[CLASS]],3)</f>
        <v>1.1</v>
      </c>
    </row>
    <row r="927" spans="1:23" hidden="1">
      <c r="A927" s="3" t="str">
        <f t="shared" si="14"/>
        <v>Período 1</v>
      </c>
      <c r="B927">
        <v>32278</v>
      </c>
      <c r="C927" t="s">
        <v>922</v>
      </c>
      <c r="D927" t="s">
        <v>5074</v>
      </c>
      <c r="E927" s="3" t="str">
        <f>IF(LEN(Base_Periodo1[[#This Row],[CLASS]])&gt;=7,LEFT(Base_Periodo1[[#This Row],[CLASS]],7),"")</f>
        <v>1.1.2.2</v>
      </c>
      <c r="F927" s="3" t="str">
        <f>VLOOKUP(Base_Periodo1[[#This Row],[Aux]],Base_Contas_Balanco[#All],2,FALSE)</f>
        <v>Creditos com não Cooperados</v>
      </c>
      <c r="G927" s="1">
        <v>42870</v>
      </c>
      <c r="H927" s="225">
        <v>142220</v>
      </c>
      <c r="I927" s="225">
        <v>0</v>
      </c>
      <c r="J927" s="225">
        <v>142220</v>
      </c>
      <c r="K927" s="225">
        <v>0</v>
      </c>
      <c r="L9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27" s="225">
        <f>ROUND(IF(AND(Base_Periodo1[[#This Row],[Tipo_Linha]]="-",Base_Periodo1[[#This Row],[TIPOSALDO]]="D"),Base_Periodo1[[#This Row],[SALDO_ATUAL]]*-1,Base_Periodo1[[#This Row],[SALDO_ATUAL]]),4)</f>
        <v>0</v>
      </c>
      <c r="N927" t="s">
        <v>116</v>
      </c>
      <c r="O927" t="s">
        <v>397</v>
      </c>
      <c r="P927" t="s">
        <v>436</v>
      </c>
      <c r="Q927">
        <v>7</v>
      </c>
      <c r="R927" s="225">
        <f>Base_Periodo1[[#This Row],[CREDITOS]]-Base_Periodo1[[#This Row],[DEBITOS]]</f>
        <v>142220</v>
      </c>
      <c r="S927" s="3" t="str">
        <f>IF(ISERROR(VLOOKUP(Base_Periodo1[[#This Row],[CONTA]],BaseContasDRE[#All],4,FALSE)),"Fora do DRE",VLOOKUP(Base_Periodo1[[#This Row],[CONTA]],BaseContasDRE[#All],4,FALSE))</f>
        <v>Fora do DRE</v>
      </c>
      <c r="T927" s="3" t="str">
        <f>IF(ISERROR(VLOOKUP(Base_Periodo1[[#This Row],[CONTA]],BaseContasDRE[#All],5,FALSE)),"Fora do DRE",VLOOKUP(Base_Periodo1[[#This Row],[CONTA]],BaseContasDRE[#All],6,FALSE))</f>
        <v>Fora do DRE</v>
      </c>
      <c r="U927" s="3" t="str">
        <f>IF(ISERROR(VLOOKUP(Base_Periodo1[[#This Row],[CONTA]],BaseContasDRE[#All],7,FALSE)),"Fora do DRE",VLOOKUP(Base_Periodo1[[#This Row],[CONTA]],BaseContasDRE[#All],7,FALSE))</f>
        <v>Fora do DRE</v>
      </c>
      <c r="V927" s="3" t="str">
        <f>IF(Base_Periodo1[[#This Row],[Tipo_Linha]]="Fora do DRE","Fora do DRE","( "&amp;Base_Periodo1[[#This Row],[Tipo_Linha]]&amp;" ) "&amp;Base_Periodo1[[#This Row],[Filtro]])</f>
        <v>Fora do DRE</v>
      </c>
      <c r="W927" s="3" t="str">
        <f>LEFT(Base_Periodo1[[#This Row],[CLASS]],3)</f>
        <v>1.1</v>
      </c>
    </row>
    <row r="928" spans="1:23" hidden="1">
      <c r="A928" s="3" t="str">
        <f t="shared" si="14"/>
        <v>Período 1</v>
      </c>
      <c r="B928">
        <v>20832</v>
      </c>
      <c r="C928" t="s">
        <v>922</v>
      </c>
      <c r="D928" t="s">
        <v>945</v>
      </c>
      <c r="E928" s="3" t="str">
        <f>IF(LEN(Base_Periodo1[[#This Row],[CLASS]])&gt;=7,LEFT(Base_Periodo1[[#This Row],[CLASS]],7),"")</f>
        <v>1.1.2.2</v>
      </c>
      <c r="F928" s="3" t="str">
        <f>VLOOKUP(Base_Periodo1[[#This Row],[Aux]],Base_Contas_Balanco[#All],2,FALSE)</f>
        <v>Creditos com não Cooperados</v>
      </c>
      <c r="G928" s="1">
        <v>42200</v>
      </c>
      <c r="H928" s="225">
        <v>4432.5</v>
      </c>
      <c r="I928" s="225">
        <v>0</v>
      </c>
      <c r="J928" s="225">
        <v>0</v>
      </c>
      <c r="K928" s="225">
        <v>4432.5</v>
      </c>
      <c r="L9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4432.5</v>
      </c>
      <c r="M928" s="225">
        <f>ROUND(IF(AND(Base_Periodo1[[#This Row],[Tipo_Linha]]="-",Base_Periodo1[[#This Row],[TIPOSALDO]]="D"),Base_Periodo1[[#This Row],[SALDO_ATUAL]]*-1,Base_Periodo1[[#This Row],[SALDO_ATUAL]]),4)</f>
        <v>4432.5</v>
      </c>
      <c r="N928" t="s">
        <v>116</v>
      </c>
      <c r="O928" t="s">
        <v>397</v>
      </c>
      <c r="P928" t="s">
        <v>397</v>
      </c>
      <c r="Q928">
        <v>7</v>
      </c>
      <c r="R928" s="225">
        <f>Base_Periodo1[[#This Row],[CREDITOS]]-Base_Periodo1[[#This Row],[DEBITOS]]</f>
        <v>0</v>
      </c>
      <c r="S928" s="3" t="str">
        <f>IF(ISERROR(VLOOKUP(Base_Periodo1[[#This Row],[CONTA]],BaseContasDRE[#All],4,FALSE)),"Fora do DRE",VLOOKUP(Base_Periodo1[[#This Row],[CONTA]],BaseContasDRE[#All],4,FALSE))</f>
        <v>Fora do DRE</v>
      </c>
      <c r="T928" s="3" t="str">
        <f>IF(ISERROR(VLOOKUP(Base_Periodo1[[#This Row],[CONTA]],BaseContasDRE[#All],5,FALSE)),"Fora do DRE",VLOOKUP(Base_Periodo1[[#This Row],[CONTA]],BaseContasDRE[#All],6,FALSE))</f>
        <v>Fora do DRE</v>
      </c>
      <c r="U928" s="3" t="str">
        <f>IF(ISERROR(VLOOKUP(Base_Periodo1[[#This Row],[CONTA]],BaseContasDRE[#All],7,FALSE)),"Fora do DRE",VLOOKUP(Base_Periodo1[[#This Row],[CONTA]],BaseContasDRE[#All],7,FALSE))</f>
        <v>Fora do DRE</v>
      </c>
      <c r="V928" s="3" t="str">
        <f>IF(Base_Periodo1[[#This Row],[Tipo_Linha]]="Fora do DRE","Fora do DRE","( "&amp;Base_Periodo1[[#This Row],[Tipo_Linha]]&amp;" ) "&amp;Base_Periodo1[[#This Row],[Filtro]])</f>
        <v>Fora do DRE</v>
      </c>
      <c r="W928" s="3" t="str">
        <f>LEFT(Base_Periodo1[[#This Row],[CLASS]],3)</f>
        <v>1.1</v>
      </c>
    </row>
    <row r="929" spans="1:23" hidden="1">
      <c r="A929" s="3" t="str">
        <f t="shared" si="14"/>
        <v>Período 1</v>
      </c>
      <c r="B929">
        <v>11554</v>
      </c>
      <c r="C929" t="s">
        <v>922</v>
      </c>
      <c r="D929" t="s">
        <v>5654</v>
      </c>
      <c r="E929" s="3" t="str">
        <f>IF(LEN(Base_Periodo1[[#This Row],[CLASS]])&gt;=7,LEFT(Base_Periodo1[[#This Row],[CLASS]],7),"")</f>
        <v>1.1.2.2</v>
      </c>
      <c r="F929" s="3" t="str">
        <f>VLOOKUP(Base_Periodo1[[#This Row],[Aux]],Base_Contas_Balanco[#All],2,FALSE)</f>
        <v>Creditos com não Cooperados</v>
      </c>
      <c r="G929" s="1">
        <v>42880</v>
      </c>
      <c r="H929" s="225">
        <v>12341.459999999985</v>
      </c>
      <c r="I929" s="225">
        <v>5850</v>
      </c>
      <c r="J929" s="225">
        <v>600</v>
      </c>
      <c r="K929" s="225">
        <v>17591.459999999985</v>
      </c>
      <c r="L9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17591.46</v>
      </c>
      <c r="M929" s="225">
        <f>ROUND(IF(AND(Base_Periodo1[[#This Row],[Tipo_Linha]]="-",Base_Periodo1[[#This Row],[TIPOSALDO]]="D"),Base_Periodo1[[#This Row],[SALDO_ATUAL]]*-1,Base_Periodo1[[#This Row],[SALDO_ATUAL]]),4)</f>
        <v>17591.46</v>
      </c>
      <c r="N929" t="s">
        <v>116</v>
      </c>
      <c r="O929" t="s">
        <v>397</v>
      </c>
      <c r="P929" t="s">
        <v>397</v>
      </c>
      <c r="Q929">
        <v>7</v>
      </c>
      <c r="R929" s="225">
        <f>Base_Periodo1[[#This Row],[CREDITOS]]-Base_Periodo1[[#This Row],[DEBITOS]]</f>
        <v>-5250</v>
      </c>
      <c r="S929" s="3" t="str">
        <f>IF(ISERROR(VLOOKUP(Base_Periodo1[[#This Row],[CONTA]],BaseContasDRE[#All],4,FALSE)),"Fora do DRE",VLOOKUP(Base_Periodo1[[#This Row],[CONTA]],BaseContasDRE[#All],4,FALSE))</f>
        <v>Fora do DRE</v>
      </c>
      <c r="T929" s="3" t="str">
        <f>IF(ISERROR(VLOOKUP(Base_Periodo1[[#This Row],[CONTA]],BaseContasDRE[#All],5,FALSE)),"Fora do DRE",VLOOKUP(Base_Periodo1[[#This Row],[CONTA]],BaseContasDRE[#All],6,FALSE))</f>
        <v>Fora do DRE</v>
      </c>
      <c r="U929" s="3" t="str">
        <f>IF(ISERROR(VLOOKUP(Base_Periodo1[[#This Row],[CONTA]],BaseContasDRE[#All],7,FALSE)),"Fora do DRE",VLOOKUP(Base_Periodo1[[#This Row],[CONTA]],BaseContasDRE[#All],7,FALSE))</f>
        <v>Fora do DRE</v>
      </c>
      <c r="V929" s="3" t="str">
        <f>IF(Base_Periodo1[[#This Row],[Tipo_Linha]]="Fora do DRE","Fora do DRE","( "&amp;Base_Periodo1[[#This Row],[Tipo_Linha]]&amp;" ) "&amp;Base_Periodo1[[#This Row],[Filtro]])</f>
        <v>Fora do DRE</v>
      </c>
      <c r="W929" s="3" t="str">
        <f>LEFT(Base_Periodo1[[#This Row],[CLASS]],3)</f>
        <v>1.1</v>
      </c>
    </row>
    <row r="930" spans="1:23" hidden="1">
      <c r="A930" s="3" t="str">
        <f t="shared" si="14"/>
        <v>Período 1</v>
      </c>
      <c r="B930">
        <v>58822</v>
      </c>
      <c r="C930" t="s">
        <v>922</v>
      </c>
      <c r="D930" t="s">
        <v>6756</v>
      </c>
      <c r="E930" s="3" t="str">
        <f>IF(LEN(Base_Periodo1[[#This Row],[CLASS]])&gt;=7,LEFT(Base_Periodo1[[#This Row],[CLASS]],7),"")</f>
        <v>1.1.2.2</v>
      </c>
      <c r="F930" s="3" t="str">
        <f>VLOOKUP(Base_Periodo1[[#This Row],[Aux]],Base_Contas_Balanco[#All],2,FALSE)</f>
        <v>Creditos com não Cooperados</v>
      </c>
      <c r="G930" s="1">
        <v>42877</v>
      </c>
      <c r="I930" s="225">
        <v>140</v>
      </c>
      <c r="J930" s="225">
        <v>140</v>
      </c>
      <c r="K930" s="225">
        <v>0</v>
      </c>
      <c r="L9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30" s="225">
        <f>ROUND(IF(AND(Base_Periodo1[[#This Row],[Tipo_Linha]]="-",Base_Periodo1[[#This Row],[TIPOSALDO]]="D"),Base_Periodo1[[#This Row],[SALDO_ATUAL]]*-1,Base_Periodo1[[#This Row],[SALDO_ATUAL]]),4)</f>
        <v>0</v>
      </c>
      <c r="N930" t="s">
        <v>116</v>
      </c>
      <c r="O930" t="s">
        <v>436</v>
      </c>
      <c r="P930" t="s">
        <v>436</v>
      </c>
      <c r="Q930">
        <v>7</v>
      </c>
      <c r="R930" s="225">
        <f>Base_Periodo1[[#This Row],[CREDITOS]]-Base_Periodo1[[#This Row],[DEBITOS]]</f>
        <v>0</v>
      </c>
      <c r="S930" s="3" t="str">
        <f>IF(ISERROR(VLOOKUP(Base_Periodo1[[#This Row],[CONTA]],BaseContasDRE[#All],4,FALSE)),"Fora do DRE",VLOOKUP(Base_Periodo1[[#This Row],[CONTA]],BaseContasDRE[#All],4,FALSE))</f>
        <v>Fora do DRE</v>
      </c>
      <c r="T930" s="3" t="str">
        <f>IF(ISERROR(VLOOKUP(Base_Periodo1[[#This Row],[CONTA]],BaseContasDRE[#All],5,FALSE)),"Fora do DRE",VLOOKUP(Base_Periodo1[[#This Row],[CONTA]],BaseContasDRE[#All],6,FALSE))</f>
        <v>Fora do DRE</v>
      </c>
      <c r="U930" s="3" t="str">
        <f>IF(ISERROR(VLOOKUP(Base_Periodo1[[#This Row],[CONTA]],BaseContasDRE[#All],7,FALSE)),"Fora do DRE",VLOOKUP(Base_Periodo1[[#This Row],[CONTA]],BaseContasDRE[#All],7,FALSE))</f>
        <v>Fora do DRE</v>
      </c>
      <c r="V930" s="3" t="str">
        <f>IF(Base_Periodo1[[#This Row],[Tipo_Linha]]="Fora do DRE","Fora do DRE","( "&amp;Base_Periodo1[[#This Row],[Tipo_Linha]]&amp;" ) "&amp;Base_Periodo1[[#This Row],[Filtro]])</f>
        <v>Fora do DRE</v>
      </c>
      <c r="W930" s="3" t="str">
        <f>LEFT(Base_Periodo1[[#This Row],[CLASS]],3)</f>
        <v>1.1</v>
      </c>
    </row>
    <row r="931" spans="1:23" hidden="1">
      <c r="A931" s="3" t="str">
        <f t="shared" si="14"/>
        <v>Período 1</v>
      </c>
      <c r="B931">
        <v>18766</v>
      </c>
      <c r="C931" t="s">
        <v>922</v>
      </c>
      <c r="D931" t="s">
        <v>2046</v>
      </c>
      <c r="E931" s="3" t="str">
        <f>IF(LEN(Base_Periodo1[[#This Row],[CLASS]])&gt;=7,LEFT(Base_Periodo1[[#This Row],[CLASS]],7),"")</f>
        <v>1.1.2.2</v>
      </c>
      <c r="F931" s="3" t="str">
        <f>VLOOKUP(Base_Periodo1[[#This Row],[Aux]],Base_Contas_Balanco[#All],2,FALSE)</f>
        <v>Creditos com não Cooperados</v>
      </c>
      <c r="G931" s="1">
        <v>42877</v>
      </c>
      <c r="H931" s="225">
        <v>375</v>
      </c>
      <c r="I931" s="225">
        <v>0</v>
      </c>
      <c r="J931" s="225">
        <v>375</v>
      </c>
      <c r="K931" s="225">
        <v>0</v>
      </c>
      <c r="L9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31" s="225">
        <f>ROUND(IF(AND(Base_Periodo1[[#This Row],[Tipo_Linha]]="-",Base_Periodo1[[#This Row],[TIPOSALDO]]="D"),Base_Periodo1[[#This Row],[SALDO_ATUAL]]*-1,Base_Periodo1[[#This Row],[SALDO_ATUAL]]),4)</f>
        <v>0</v>
      </c>
      <c r="N931" t="s">
        <v>116</v>
      </c>
      <c r="O931" t="s">
        <v>397</v>
      </c>
      <c r="P931" t="s">
        <v>436</v>
      </c>
      <c r="Q931">
        <v>7</v>
      </c>
      <c r="R931" s="225">
        <f>Base_Periodo1[[#This Row],[CREDITOS]]-Base_Periodo1[[#This Row],[DEBITOS]]</f>
        <v>375</v>
      </c>
      <c r="S931" s="3" t="str">
        <f>IF(ISERROR(VLOOKUP(Base_Periodo1[[#This Row],[CONTA]],BaseContasDRE[#All],4,FALSE)),"Fora do DRE",VLOOKUP(Base_Periodo1[[#This Row],[CONTA]],BaseContasDRE[#All],4,FALSE))</f>
        <v>Fora do DRE</v>
      </c>
      <c r="T931" s="3" t="str">
        <f>IF(ISERROR(VLOOKUP(Base_Periodo1[[#This Row],[CONTA]],BaseContasDRE[#All],5,FALSE)),"Fora do DRE",VLOOKUP(Base_Periodo1[[#This Row],[CONTA]],BaseContasDRE[#All],6,FALSE))</f>
        <v>Fora do DRE</v>
      </c>
      <c r="U931" s="3" t="str">
        <f>IF(ISERROR(VLOOKUP(Base_Periodo1[[#This Row],[CONTA]],BaseContasDRE[#All],7,FALSE)),"Fora do DRE",VLOOKUP(Base_Periodo1[[#This Row],[CONTA]],BaseContasDRE[#All],7,FALSE))</f>
        <v>Fora do DRE</v>
      </c>
      <c r="V931" s="3" t="str">
        <f>IF(Base_Periodo1[[#This Row],[Tipo_Linha]]="Fora do DRE","Fora do DRE","( "&amp;Base_Periodo1[[#This Row],[Tipo_Linha]]&amp;" ) "&amp;Base_Periodo1[[#This Row],[Filtro]])</f>
        <v>Fora do DRE</v>
      </c>
      <c r="W931" s="3" t="str">
        <f>LEFT(Base_Periodo1[[#This Row],[CLASS]],3)</f>
        <v>1.1</v>
      </c>
    </row>
    <row r="932" spans="1:23" hidden="1">
      <c r="A932" s="3" t="str">
        <f t="shared" si="14"/>
        <v>Período 1</v>
      </c>
      <c r="B932">
        <v>32409</v>
      </c>
      <c r="C932" t="s">
        <v>922</v>
      </c>
      <c r="D932" t="s">
        <v>5181</v>
      </c>
      <c r="E932" s="3" t="str">
        <f>IF(LEN(Base_Periodo1[[#This Row],[CLASS]])&gt;=7,LEFT(Base_Periodo1[[#This Row],[CLASS]],7),"")</f>
        <v>1.1.2.2</v>
      </c>
      <c r="F932" s="3" t="str">
        <f>VLOOKUP(Base_Periodo1[[#This Row],[Aux]],Base_Contas_Balanco[#All],2,FALSE)</f>
        <v>Creditos com não Cooperados</v>
      </c>
      <c r="G932" s="1">
        <v>42836</v>
      </c>
      <c r="H932" s="225">
        <v>2115.9999999999927</v>
      </c>
      <c r="I932" s="225">
        <v>0</v>
      </c>
      <c r="J932" s="225">
        <v>0</v>
      </c>
      <c r="K932" s="225">
        <v>2115.9999999999927</v>
      </c>
      <c r="L9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2116</v>
      </c>
      <c r="M932" s="225">
        <f>ROUND(IF(AND(Base_Periodo1[[#This Row],[Tipo_Linha]]="-",Base_Periodo1[[#This Row],[TIPOSALDO]]="D"),Base_Periodo1[[#This Row],[SALDO_ATUAL]]*-1,Base_Periodo1[[#This Row],[SALDO_ATUAL]]),4)</f>
        <v>2116</v>
      </c>
      <c r="N932" t="s">
        <v>116</v>
      </c>
      <c r="O932" t="s">
        <v>397</v>
      </c>
      <c r="P932" t="s">
        <v>397</v>
      </c>
      <c r="Q932">
        <v>7</v>
      </c>
      <c r="R932" s="225">
        <f>Base_Periodo1[[#This Row],[CREDITOS]]-Base_Periodo1[[#This Row],[DEBITOS]]</f>
        <v>0</v>
      </c>
      <c r="S932" s="3" t="str">
        <f>IF(ISERROR(VLOOKUP(Base_Periodo1[[#This Row],[CONTA]],BaseContasDRE[#All],4,FALSE)),"Fora do DRE",VLOOKUP(Base_Periodo1[[#This Row],[CONTA]],BaseContasDRE[#All],4,FALSE))</f>
        <v>Fora do DRE</v>
      </c>
      <c r="T932" s="3" t="str">
        <f>IF(ISERROR(VLOOKUP(Base_Periodo1[[#This Row],[CONTA]],BaseContasDRE[#All],5,FALSE)),"Fora do DRE",VLOOKUP(Base_Periodo1[[#This Row],[CONTA]],BaseContasDRE[#All],6,FALSE))</f>
        <v>Fora do DRE</v>
      </c>
      <c r="U932" s="3" t="str">
        <f>IF(ISERROR(VLOOKUP(Base_Periodo1[[#This Row],[CONTA]],BaseContasDRE[#All],7,FALSE)),"Fora do DRE",VLOOKUP(Base_Periodo1[[#This Row],[CONTA]],BaseContasDRE[#All],7,FALSE))</f>
        <v>Fora do DRE</v>
      </c>
      <c r="V932" s="3" t="str">
        <f>IF(Base_Periodo1[[#This Row],[Tipo_Linha]]="Fora do DRE","Fora do DRE","( "&amp;Base_Periodo1[[#This Row],[Tipo_Linha]]&amp;" ) "&amp;Base_Periodo1[[#This Row],[Filtro]])</f>
        <v>Fora do DRE</v>
      </c>
      <c r="W932" s="3" t="str">
        <f>LEFT(Base_Periodo1[[#This Row],[CLASS]],3)</f>
        <v>1.1</v>
      </c>
    </row>
    <row r="933" spans="1:23" hidden="1">
      <c r="A933" s="3" t="str">
        <f t="shared" si="14"/>
        <v>Período 1</v>
      </c>
      <c r="B933">
        <v>29772</v>
      </c>
      <c r="C933" t="s">
        <v>922</v>
      </c>
      <c r="D933" t="s">
        <v>4342</v>
      </c>
      <c r="E933" s="3" t="str">
        <f>IF(LEN(Base_Periodo1[[#This Row],[CLASS]])&gt;=7,LEFT(Base_Periodo1[[#This Row],[CLASS]],7),"")</f>
        <v>1.1.2.2</v>
      </c>
      <c r="F933" s="3" t="str">
        <f>VLOOKUP(Base_Periodo1[[#This Row],[Aux]],Base_Contas_Balanco[#All],2,FALSE)</f>
        <v>Creditos com não Cooperados</v>
      </c>
      <c r="G933" s="1">
        <v>42858</v>
      </c>
      <c r="H933" s="225">
        <v>156246.66999999923</v>
      </c>
      <c r="I933" s="225">
        <v>0</v>
      </c>
      <c r="J933" s="225">
        <v>115932.67</v>
      </c>
      <c r="K933" s="225">
        <v>40313.999999999229</v>
      </c>
      <c r="L9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40314</v>
      </c>
      <c r="M933" s="225">
        <f>ROUND(IF(AND(Base_Periodo1[[#This Row],[Tipo_Linha]]="-",Base_Periodo1[[#This Row],[TIPOSALDO]]="D"),Base_Periodo1[[#This Row],[SALDO_ATUAL]]*-1,Base_Periodo1[[#This Row],[SALDO_ATUAL]]),4)</f>
        <v>40314</v>
      </c>
      <c r="N933" t="s">
        <v>116</v>
      </c>
      <c r="O933" t="s">
        <v>397</v>
      </c>
      <c r="P933" t="s">
        <v>397</v>
      </c>
      <c r="Q933">
        <v>7</v>
      </c>
      <c r="R933" s="225">
        <f>Base_Periodo1[[#This Row],[CREDITOS]]-Base_Periodo1[[#This Row],[DEBITOS]]</f>
        <v>115932.67</v>
      </c>
      <c r="S933" s="3" t="str">
        <f>IF(ISERROR(VLOOKUP(Base_Periodo1[[#This Row],[CONTA]],BaseContasDRE[#All],4,FALSE)),"Fora do DRE",VLOOKUP(Base_Periodo1[[#This Row],[CONTA]],BaseContasDRE[#All],4,FALSE))</f>
        <v>Fora do DRE</v>
      </c>
      <c r="T933" s="3" t="str">
        <f>IF(ISERROR(VLOOKUP(Base_Periodo1[[#This Row],[CONTA]],BaseContasDRE[#All],5,FALSE)),"Fora do DRE",VLOOKUP(Base_Periodo1[[#This Row],[CONTA]],BaseContasDRE[#All],6,FALSE))</f>
        <v>Fora do DRE</v>
      </c>
      <c r="U933" s="3" t="str">
        <f>IF(ISERROR(VLOOKUP(Base_Periodo1[[#This Row],[CONTA]],BaseContasDRE[#All],7,FALSE)),"Fora do DRE",VLOOKUP(Base_Periodo1[[#This Row],[CONTA]],BaseContasDRE[#All],7,FALSE))</f>
        <v>Fora do DRE</v>
      </c>
      <c r="V933" s="3" t="str">
        <f>IF(Base_Periodo1[[#This Row],[Tipo_Linha]]="Fora do DRE","Fora do DRE","( "&amp;Base_Periodo1[[#This Row],[Tipo_Linha]]&amp;" ) "&amp;Base_Periodo1[[#This Row],[Filtro]])</f>
        <v>Fora do DRE</v>
      </c>
      <c r="W933" s="3" t="str">
        <f>LEFT(Base_Periodo1[[#This Row],[CLASS]],3)</f>
        <v>1.1</v>
      </c>
    </row>
    <row r="934" spans="1:23" hidden="1">
      <c r="A934" s="3" t="str">
        <f t="shared" si="14"/>
        <v>Período 1</v>
      </c>
      <c r="B934">
        <v>41639</v>
      </c>
      <c r="C934" t="s">
        <v>922</v>
      </c>
      <c r="D934" t="s">
        <v>611</v>
      </c>
      <c r="E934" s="3" t="str">
        <f>IF(LEN(Base_Periodo1[[#This Row],[CLASS]])&gt;=7,LEFT(Base_Periodo1[[#This Row],[CLASS]],7),"")</f>
        <v>1.1.2.2</v>
      </c>
      <c r="F934" s="3" t="str">
        <f>VLOOKUP(Base_Periodo1[[#This Row],[Aux]],Base_Contas_Balanco[#All],2,FALSE)</f>
        <v>Creditos com não Cooperados</v>
      </c>
      <c r="G934" s="1">
        <v>42762</v>
      </c>
      <c r="H934" s="225">
        <v>3351.2600000000093</v>
      </c>
      <c r="I934" s="225">
        <v>0</v>
      </c>
      <c r="J934" s="225">
        <v>0</v>
      </c>
      <c r="K934" s="225">
        <v>3351.2600000000093</v>
      </c>
      <c r="L9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3351.26</v>
      </c>
      <c r="M934" s="225">
        <f>ROUND(IF(AND(Base_Periodo1[[#This Row],[Tipo_Linha]]="-",Base_Periodo1[[#This Row],[TIPOSALDO]]="D"),Base_Periodo1[[#This Row],[SALDO_ATUAL]]*-1,Base_Periodo1[[#This Row],[SALDO_ATUAL]]),4)</f>
        <v>3351.26</v>
      </c>
      <c r="N934" t="s">
        <v>116</v>
      </c>
      <c r="O934" t="s">
        <v>397</v>
      </c>
      <c r="P934" t="s">
        <v>397</v>
      </c>
      <c r="Q934">
        <v>7</v>
      </c>
      <c r="R934" s="225">
        <f>Base_Periodo1[[#This Row],[CREDITOS]]-Base_Periodo1[[#This Row],[DEBITOS]]</f>
        <v>0</v>
      </c>
      <c r="S934" s="3" t="str">
        <f>IF(ISERROR(VLOOKUP(Base_Periodo1[[#This Row],[CONTA]],BaseContasDRE[#All],4,FALSE)),"Fora do DRE",VLOOKUP(Base_Periodo1[[#This Row],[CONTA]],BaseContasDRE[#All],4,FALSE))</f>
        <v>Fora do DRE</v>
      </c>
      <c r="T934" s="3" t="str">
        <f>IF(ISERROR(VLOOKUP(Base_Periodo1[[#This Row],[CONTA]],BaseContasDRE[#All],5,FALSE)),"Fora do DRE",VLOOKUP(Base_Periodo1[[#This Row],[CONTA]],BaseContasDRE[#All],6,FALSE))</f>
        <v>Fora do DRE</v>
      </c>
      <c r="U934" s="3" t="str">
        <f>IF(ISERROR(VLOOKUP(Base_Periodo1[[#This Row],[CONTA]],BaseContasDRE[#All],7,FALSE)),"Fora do DRE",VLOOKUP(Base_Periodo1[[#This Row],[CONTA]],BaseContasDRE[#All],7,FALSE))</f>
        <v>Fora do DRE</v>
      </c>
      <c r="V934" s="3" t="str">
        <f>IF(Base_Periodo1[[#This Row],[Tipo_Linha]]="Fora do DRE","Fora do DRE","( "&amp;Base_Periodo1[[#This Row],[Tipo_Linha]]&amp;" ) "&amp;Base_Periodo1[[#This Row],[Filtro]])</f>
        <v>Fora do DRE</v>
      </c>
      <c r="W934" s="3" t="str">
        <f>LEFT(Base_Periodo1[[#This Row],[CLASS]],3)</f>
        <v>1.1</v>
      </c>
    </row>
    <row r="935" spans="1:23" hidden="1">
      <c r="A935" s="3" t="str">
        <f t="shared" si="14"/>
        <v>Período 1</v>
      </c>
      <c r="B935">
        <v>41167</v>
      </c>
      <c r="C935" t="s">
        <v>922</v>
      </c>
      <c r="D935" t="s">
        <v>613</v>
      </c>
      <c r="E935" s="3" t="str">
        <f>IF(LEN(Base_Periodo1[[#This Row],[CLASS]])&gt;=7,LEFT(Base_Periodo1[[#This Row],[CLASS]],7),"")</f>
        <v>1.1.2.2</v>
      </c>
      <c r="F935" s="3" t="str">
        <f>VLOOKUP(Base_Periodo1[[#This Row],[Aux]],Base_Contas_Balanco[#All],2,FALSE)</f>
        <v>Creditos com não Cooperados</v>
      </c>
      <c r="G935" s="1">
        <v>42675</v>
      </c>
      <c r="H935" s="225">
        <v>458.05999999999767</v>
      </c>
      <c r="I935" s="225">
        <v>0</v>
      </c>
      <c r="J935" s="225">
        <v>0</v>
      </c>
      <c r="K935" s="225">
        <v>458.05999999999767</v>
      </c>
      <c r="L9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458.06</v>
      </c>
      <c r="M935" s="225">
        <f>ROUND(IF(AND(Base_Periodo1[[#This Row],[Tipo_Linha]]="-",Base_Periodo1[[#This Row],[TIPOSALDO]]="D"),Base_Periodo1[[#This Row],[SALDO_ATUAL]]*-1,Base_Periodo1[[#This Row],[SALDO_ATUAL]]),4)</f>
        <v>458.06</v>
      </c>
      <c r="N935" t="s">
        <v>116</v>
      </c>
      <c r="O935" t="s">
        <v>397</v>
      </c>
      <c r="P935" t="s">
        <v>397</v>
      </c>
      <c r="Q935">
        <v>7</v>
      </c>
      <c r="R935" s="225">
        <f>Base_Periodo1[[#This Row],[CREDITOS]]-Base_Periodo1[[#This Row],[DEBITOS]]</f>
        <v>0</v>
      </c>
      <c r="S935" s="3" t="str">
        <f>IF(ISERROR(VLOOKUP(Base_Periodo1[[#This Row],[CONTA]],BaseContasDRE[#All],4,FALSE)),"Fora do DRE",VLOOKUP(Base_Periodo1[[#This Row],[CONTA]],BaseContasDRE[#All],4,FALSE))</f>
        <v>Fora do DRE</v>
      </c>
      <c r="T935" s="3" t="str">
        <f>IF(ISERROR(VLOOKUP(Base_Periodo1[[#This Row],[CONTA]],BaseContasDRE[#All],5,FALSE)),"Fora do DRE",VLOOKUP(Base_Periodo1[[#This Row],[CONTA]],BaseContasDRE[#All],6,FALSE))</f>
        <v>Fora do DRE</v>
      </c>
      <c r="U935" s="3" t="str">
        <f>IF(ISERROR(VLOOKUP(Base_Periodo1[[#This Row],[CONTA]],BaseContasDRE[#All],7,FALSE)),"Fora do DRE",VLOOKUP(Base_Periodo1[[#This Row],[CONTA]],BaseContasDRE[#All],7,FALSE))</f>
        <v>Fora do DRE</v>
      </c>
      <c r="V935" s="3" t="str">
        <f>IF(Base_Periodo1[[#This Row],[Tipo_Linha]]="Fora do DRE","Fora do DRE","( "&amp;Base_Periodo1[[#This Row],[Tipo_Linha]]&amp;" ) "&amp;Base_Periodo1[[#This Row],[Filtro]])</f>
        <v>Fora do DRE</v>
      </c>
      <c r="W935" s="3" t="str">
        <f>LEFT(Base_Periodo1[[#This Row],[CLASS]],3)</f>
        <v>1.1</v>
      </c>
    </row>
    <row r="936" spans="1:23" hidden="1">
      <c r="A936" s="3" t="str">
        <f t="shared" si="14"/>
        <v>Período 1</v>
      </c>
      <c r="B936">
        <v>10548</v>
      </c>
      <c r="C936" t="s">
        <v>922</v>
      </c>
      <c r="D936" t="s">
        <v>6757</v>
      </c>
      <c r="E936" s="3" t="str">
        <f>IF(LEN(Base_Periodo1[[#This Row],[CLASS]])&gt;=7,LEFT(Base_Periodo1[[#This Row],[CLASS]],7),"")</f>
        <v>1.1.2.2</v>
      </c>
      <c r="F936" s="3" t="str">
        <f>VLOOKUP(Base_Periodo1[[#This Row],[Aux]],Base_Contas_Balanco[#All],2,FALSE)</f>
        <v>Creditos com não Cooperados</v>
      </c>
      <c r="G936" s="1">
        <v>42885</v>
      </c>
      <c r="I936" s="225">
        <v>6586.03</v>
      </c>
      <c r="J936" s="225">
        <v>6586.03</v>
      </c>
      <c r="K936" s="225">
        <v>0</v>
      </c>
      <c r="L9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36" s="225">
        <f>ROUND(IF(AND(Base_Periodo1[[#This Row],[Tipo_Linha]]="-",Base_Periodo1[[#This Row],[TIPOSALDO]]="D"),Base_Periodo1[[#This Row],[SALDO_ATUAL]]*-1,Base_Periodo1[[#This Row],[SALDO_ATUAL]]),4)</f>
        <v>0</v>
      </c>
      <c r="N936" t="s">
        <v>116</v>
      </c>
      <c r="O936" t="s">
        <v>436</v>
      </c>
      <c r="P936" t="s">
        <v>436</v>
      </c>
      <c r="Q936">
        <v>7</v>
      </c>
      <c r="R936" s="225">
        <f>Base_Periodo1[[#This Row],[CREDITOS]]-Base_Periodo1[[#This Row],[DEBITOS]]</f>
        <v>0</v>
      </c>
      <c r="S936" s="3" t="str">
        <f>IF(ISERROR(VLOOKUP(Base_Periodo1[[#This Row],[CONTA]],BaseContasDRE[#All],4,FALSE)),"Fora do DRE",VLOOKUP(Base_Periodo1[[#This Row],[CONTA]],BaseContasDRE[#All],4,FALSE))</f>
        <v>Fora do DRE</v>
      </c>
      <c r="T936" s="3" t="str">
        <f>IF(ISERROR(VLOOKUP(Base_Periodo1[[#This Row],[CONTA]],BaseContasDRE[#All],5,FALSE)),"Fora do DRE",VLOOKUP(Base_Periodo1[[#This Row],[CONTA]],BaseContasDRE[#All],6,FALSE))</f>
        <v>Fora do DRE</v>
      </c>
      <c r="U936" s="3" t="str">
        <f>IF(ISERROR(VLOOKUP(Base_Periodo1[[#This Row],[CONTA]],BaseContasDRE[#All],7,FALSE)),"Fora do DRE",VLOOKUP(Base_Periodo1[[#This Row],[CONTA]],BaseContasDRE[#All],7,FALSE))</f>
        <v>Fora do DRE</v>
      </c>
      <c r="V936" s="3" t="str">
        <f>IF(Base_Periodo1[[#This Row],[Tipo_Linha]]="Fora do DRE","Fora do DRE","( "&amp;Base_Periodo1[[#This Row],[Tipo_Linha]]&amp;" ) "&amp;Base_Periodo1[[#This Row],[Filtro]])</f>
        <v>Fora do DRE</v>
      </c>
      <c r="W936" s="3" t="str">
        <f>LEFT(Base_Periodo1[[#This Row],[CLASS]],3)</f>
        <v>1.1</v>
      </c>
    </row>
    <row r="937" spans="1:23" hidden="1">
      <c r="A937" s="3" t="str">
        <f t="shared" si="14"/>
        <v>Período 1</v>
      </c>
      <c r="B937">
        <v>12667</v>
      </c>
      <c r="C937" t="s">
        <v>922</v>
      </c>
      <c r="D937" t="s">
        <v>6757</v>
      </c>
      <c r="E937" s="3" t="str">
        <f>IF(LEN(Base_Periodo1[[#This Row],[CLASS]])&gt;=7,LEFT(Base_Periodo1[[#This Row],[CLASS]],7),"")</f>
        <v>1.1.2.2</v>
      </c>
      <c r="F937" s="3" t="str">
        <f>VLOOKUP(Base_Periodo1[[#This Row],[Aux]],Base_Contas_Balanco[#All],2,FALSE)</f>
        <v>Creditos com não Cooperados</v>
      </c>
      <c r="G937" s="1">
        <v>42880</v>
      </c>
      <c r="I937" s="225">
        <v>3151.01</v>
      </c>
      <c r="J937" s="225">
        <v>0</v>
      </c>
      <c r="K937" s="225">
        <v>3151.0099999999929</v>
      </c>
      <c r="L9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3151.01</v>
      </c>
      <c r="M937" s="225">
        <f>ROUND(IF(AND(Base_Periodo1[[#This Row],[Tipo_Linha]]="-",Base_Periodo1[[#This Row],[TIPOSALDO]]="D"),Base_Periodo1[[#This Row],[SALDO_ATUAL]]*-1,Base_Periodo1[[#This Row],[SALDO_ATUAL]]),4)</f>
        <v>3151.01</v>
      </c>
      <c r="N937" t="s">
        <v>116</v>
      </c>
      <c r="O937" t="s">
        <v>436</v>
      </c>
      <c r="P937" t="s">
        <v>397</v>
      </c>
      <c r="Q937">
        <v>7</v>
      </c>
      <c r="R937" s="225">
        <f>Base_Periodo1[[#This Row],[CREDITOS]]-Base_Periodo1[[#This Row],[DEBITOS]]</f>
        <v>-3151.01</v>
      </c>
      <c r="S937" s="3" t="str">
        <f>IF(ISERROR(VLOOKUP(Base_Periodo1[[#This Row],[CONTA]],BaseContasDRE[#All],4,FALSE)),"Fora do DRE",VLOOKUP(Base_Periodo1[[#This Row],[CONTA]],BaseContasDRE[#All],4,FALSE))</f>
        <v>Fora do DRE</v>
      </c>
      <c r="T937" s="3" t="str">
        <f>IF(ISERROR(VLOOKUP(Base_Periodo1[[#This Row],[CONTA]],BaseContasDRE[#All],5,FALSE)),"Fora do DRE",VLOOKUP(Base_Periodo1[[#This Row],[CONTA]],BaseContasDRE[#All],6,FALSE))</f>
        <v>Fora do DRE</v>
      </c>
      <c r="U937" s="3" t="str">
        <f>IF(ISERROR(VLOOKUP(Base_Periodo1[[#This Row],[CONTA]],BaseContasDRE[#All],7,FALSE)),"Fora do DRE",VLOOKUP(Base_Periodo1[[#This Row],[CONTA]],BaseContasDRE[#All],7,FALSE))</f>
        <v>Fora do DRE</v>
      </c>
      <c r="V937" s="3" t="str">
        <f>IF(Base_Periodo1[[#This Row],[Tipo_Linha]]="Fora do DRE","Fora do DRE","( "&amp;Base_Periodo1[[#This Row],[Tipo_Linha]]&amp;" ) "&amp;Base_Periodo1[[#This Row],[Filtro]])</f>
        <v>Fora do DRE</v>
      </c>
      <c r="W937" s="3" t="str">
        <f>LEFT(Base_Periodo1[[#This Row],[CLASS]],3)</f>
        <v>1.1</v>
      </c>
    </row>
    <row r="938" spans="1:23" hidden="1">
      <c r="A938" s="3" t="str">
        <f t="shared" si="14"/>
        <v>Período 1</v>
      </c>
      <c r="B938">
        <v>42571</v>
      </c>
      <c r="C938" t="s">
        <v>922</v>
      </c>
      <c r="D938" t="s">
        <v>6708</v>
      </c>
      <c r="E938" s="3" t="str">
        <f>IF(LEN(Base_Periodo1[[#This Row],[CLASS]])&gt;=7,LEFT(Base_Periodo1[[#This Row],[CLASS]],7),"")</f>
        <v>1.1.2.2</v>
      </c>
      <c r="F938" s="3" t="str">
        <f>VLOOKUP(Base_Periodo1[[#This Row],[Aux]],Base_Contas_Balanco[#All],2,FALSE)</f>
        <v>Creditos com não Cooperados</v>
      </c>
      <c r="G938" s="1">
        <v>42884</v>
      </c>
      <c r="I938" s="225">
        <v>2.59</v>
      </c>
      <c r="J938" s="225">
        <v>2.59</v>
      </c>
      <c r="K938" s="225">
        <v>0</v>
      </c>
      <c r="L9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38" s="225">
        <f>ROUND(IF(AND(Base_Periodo1[[#This Row],[Tipo_Linha]]="-",Base_Periodo1[[#This Row],[TIPOSALDO]]="D"),Base_Periodo1[[#This Row],[SALDO_ATUAL]]*-1,Base_Periodo1[[#This Row],[SALDO_ATUAL]]),4)</f>
        <v>0</v>
      </c>
      <c r="N938" t="s">
        <v>116</v>
      </c>
      <c r="O938" t="s">
        <v>436</v>
      </c>
      <c r="P938" t="s">
        <v>436</v>
      </c>
      <c r="Q938">
        <v>7</v>
      </c>
      <c r="R938" s="225">
        <f>Base_Periodo1[[#This Row],[CREDITOS]]-Base_Periodo1[[#This Row],[DEBITOS]]</f>
        <v>0</v>
      </c>
      <c r="S938" s="3" t="str">
        <f>IF(ISERROR(VLOOKUP(Base_Periodo1[[#This Row],[CONTA]],BaseContasDRE[#All],4,FALSE)),"Fora do DRE",VLOOKUP(Base_Periodo1[[#This Row],[CONTA]],BaseContasDRE[#All],4,FALSE))</f>
        <v>Fora do DRE</v>
      </c>
      <c r="T938" s="3" t="str">
        <f>IF(ISERROR(VLOOKUP(Base_Periodo1[[#This Row],[CONTA]],BaseContasDRE[#All],5,FALSE)),"Fora do DRE",VLOOKUP(Base_Periodo1[[#This Row],[CONTA]],BaseContasDRE[#All],6,FALSE))</f>
        <v>Fora do DRE</v>
      </c>
      <c r="U938" s="3" t="str">
        <f>IF(ISERROR(VLOOKUP(Base_Periodo1[[#This Row],[CONTA]],BaseContasDRE[#All],7,FALSE)),"Fora do DRE",VLOOKUP(Base_Periodo1[[#This Row],[CONTA]],BaseContasDRE[#All],7,FALSE))</f>
        <v>Fora do DRE</v>
      </c>
      <c r="V938" s="3" t="str">
        <f>IF(Base_Periodo1[[#This Row],[Tipo_Linha]]="Fora do DRE","Fora do DRE","( "&amp;Base_Periodo1[[#This Row],[Tipo_Linha]]&amp;" ) "&amp;Base_Periodo1[[#This Row],[Filtro]])</f>
        <v>Fora do DRE</v>
      </c>
      <c r="W938" s="3" t="str">
        <f>LEFT(Base_Periodo1[[#This Row],[CLASS]],3)</f>
        <v>1.1</v>
      </c>
    </row>
    <row r="939" spans="1:23" hidden="1">
      <c r="A939" s="3" t="str">
        <f t="shared" si="14"/>
        <v>Período 1</v>
      </c>
      <c r="B939">
        <v>42519</v>
      </c>
      <c r="C939" t="s">
        <v>922</v>
      </c>
      <c r="D939" t="s">
        <v>623</v>
      </c>
      <c r="E939" s="3" t="str">
        <f>IF(LEN(Base_Periodo1[[#This Row],[CLASS]])&gt;=7,LEFT(Base_Periodo1[[#This Row],[CLASS]],7),"")</f>
        <v>1.1.2.2</v>
      </c>
      <c r="F939" s="3" t="str">
        <f>VLOOKUP(Base_Periodo1[[#This Row],[Aux]],Base_Contas_Balanco[#All],2,FALSE)</f>
        <v>Creditos com não Cooperados</v>
      </c>
      <c r="G939" s="1">
        <v>42866</v>
      </c>
      <c r="H939" s="225">
        <v>94482.700000000012</v>
      </c>
      <c r="I939" s="225">
        <v>33838</v>
      </c>
      <c r="J939" s="225">
        <v>17147.170000000002</v>
      </c>
      <c r="K939" s="225">
        <v>111173.53000000001</v>
      </c>
      <c r="L9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111173.53</v>
      </c>
      <c r="M939" s="225">
        <f>ROUND(IF(AND(Base_Periodo1[[#This Row],[Tipo_Linha]]="-",Base_Periodo1[[#This Row],[TIPOSALDO]]="D"),Base_Periodo1[[#This Row],[SALDO_ATUAL]]*-1,Base_Periodo1[[#This Row],[SALDO_ATUAL]]),4)</f>
        <v>111173.53</v>
      </c>
      <c r="N939" t="s">
        <v>116</v>
      </c>
      <c r="O939" t="s">
        <v>397</v>
      </c>
      <c r="P939" t="s">
        <v>397</v>
      </c>
      <c r="Q939">
        <v>7</v>
      </c>
      <c r="R939" s="225">
        <f>Base_Periodo1[[#This Row],[CREDITOS]]-Base_Periodo1[[#This Row],[DEBITOS]]</f>
        <v>-16690.829999999998</v>
      </c>
      <c r="S939" s="3" t="str">
        <f>IF(ISERROR(VLOOKUP(Base_Periodo1[[#This Row],[CONTA]],BaseContasDRE[#All],4,FALSE)),"Fora do DRE",VLOOKUP(Base_Periodo1[[#This Row],[CONTA]],BaseContasDRE[#All],4,FALSE))</f>
        <v>Fora do DRE</v>
      </c>
      <c r="T939" s="3" t="str">
        <f>IF(ISERROR(VLOOKUP(Base_Periodo1[[#This Row],[CONTA]],BaseContasDRE[#All],5,FALSE)),"Fora do DRE",VLOOKUP(Base_Periodo1[[#This Row],[CONTA]],BaseContasDRE[#All],6,FALSE))</f>
        <v>Fora do DRE</v>
      </c>
      <c r="U939" s="3" t="str">
        <f>IF(ISERROR(VLOOKUP(Base_Periodo1[[#This Row],[CONTA]],BaseContasDRE[#All],7,FALSE)),"Fora do DRE",VLOOKUP(Base_Periodo1[[#This Row],[CONTA]],BaseContasDRE[#All],7,FALSE))</f>
        <v>Fora do DRE</v>
      </c>
      <c r="V939" s="3" t="str">
        <f>IF(Base_Periodo1[[#This Row],[Tipo_Linha]]="Fora do DRE","Fora do DRE","( "&amp;Base_Periodo1[[#This Row],[Tipo_Linha]]&amp;" ) "&amp;Base_Periodo1[[#This Row],[Filtro]])</f>
        <v>Fora do DRE</v>
      </c>
      <c r="W939" s="3" t="str">
        <f>LEFT(Base_Periodo1[[#This Row],[CLASS]],3)</f>
        <v>1.1</v>
      </c>
    </row>
    <row r="940" spans="1:23" hidden="1">
      <c r="A940" s="3" t="str">
        <f t="shared" si="14"/>
        <v>Período 1</v>
      </c>
      <c r="B940">
        <v>28805</v>
      </c>
      <c r="C940" t="s">
        <v>922</v>
      </c>
      <c r="D940" t="s">
        <v>947</v>
      </c>
      <c r="E940" s="3" t="str">
        <f>IF(LEN(Base_Periodo1[[#This Row],[CLASS]])&gt;=7,LEFT(Base_Periodo1[[#This Row],[CLASS]],7),"")</f>
        <v>1.1.2.2</v>
      </c>
      <c r="F940" s="3" t="str">
        <f>VLOOKUP(Base_Periodo1[[#This Row],[Aux]],Base_Contas_Balanco[#All],2,FALSE)</f>
        <v>Creditos com não Cooperados</v>
      </c>
      <c r="G940" s="1">
        <v>42748</v>
      </c>
      <c r="H940" s="225">
        <v>500</v>
      </c>
      <c r="I940" s="225">
        <v>0</v>
      </c>
      <c r="J940" s="225">
        <v>0</v>
      </c>
      <c r="K940" s="225">
        <v>500</v>
      </c>
      <c r="L9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940" s="225">
        <f>ROUND(IF(AND(Base_Periodo1[[#This Row],[Tipo_Linha]]="-",Base_Periodo1[[#This Row],[TIPOSALDO]]="D"),Base_Periodo1[[#This Row],[SALDO_ATUAL]]*-1,Base_Periodo1[[#This Row],[SALDO_ATUAL]]),4)</f>
        <v>500</v>
      </c>
      <c r="N940" t="s">
        <v>116</v>
      </c>
      <c r="O940" t="s">
        <v>397</v>
      </c>
      <c r="P940" t="s">
        <v>397</v>
      </c>
      <c r="Q940">
        <v>7</v>
      </c>
      <c r="R940" s="225">
        <f>Base_Periodo1[[#This Row],[CREDITOS]]-Base_Periodo1[[#This Row],[DEBITOS]]</f>
        <v>0</v>
      </c>
      <c r="S940" s="3" t="str">
        <f>IF(ISERROR(VLOOKUP(Base_Periodo1[[#This Row],[CONTA]],BaseContasDRE[#All],4,FALSE)),"Fora do DRE",VLOOKUP(Base_Periodo1[[#This Row],[CONTA]],BaseContasDRE[#All],4,FALSE))</f>
        <v>Fora do DRE</v>
      </c>
      <c r="T940" s="3" t="str">
        <f>IF(ISERROR(VLOOKUP(Base_Periodo1[[#This Row],[CONTA]],BaseContasDRE[#All],5,FALSE)),"Fora do DRE",VLOOKUP(Base_Periodo1[[#This Row],[CONTA]],BaseContasDRE[#All],6,FALSE))</f>
        <v>Fora do DRE</v>
      </c>
      <c r="U940" s="3" t="str">
        <f>IF(ISERROR(VLOOKUP(Base_Periodo1[[#This Row],[CONTA]],BaseContasDRE[#All],7,FALSE)),"Fora do DRE",VLOOKUP(Base_Periodo1[[#This Row],[CONTA]],BaseContasDRE[#All],7,FALSE))</f>
        <v>Fora do DRE</v>
      </c>
      <c r="V940" s="3" t="str">
        <f>IF(Base_Periodo1[[#This Row],[Tipo_Linha]]="Fora do DRE","Fora do DRE","( "&amp;Base_Periodo1[[#This Row],[Tipo_Linha]]&amp;" ) "&amp;Base_Periodo1[[#This Row],[Filtro]])</f>
        <v>Fora do DRE</v>
      </c>
      <c r="W940" s="3" t="str">
        <f>LEFT(Base_Periodo1[[#This Row],[CLASS]],3)</f>
        <v>1.1</v>
      </c>
    </row>
    <row r="941" spans="1:23" hidden="1">
      <c r="A941" s="3" t="str">
        <f t="shared" si="14"/>
        <v>Período 1</v>
      </c>
      <c r="B941">
        <v>28301</v>
      </c>
      <c r="C941" t="s">
        <v>922</v>
      </c>
      <c r="D941" t="s">
        <v>6758</v>
      </c>
      <c r="E941" s="3" t="str">
        <f>IF(LEN(Base_Periodo1[[#This Row],[CLASS]])&gt;=7,LEFT(Base_Periodo1[[#This Row],[CLASS]],7),"")</f>
        <v>1.1.2.2</v>
      </c>
      <c r="F941" s="3" t="str">
        <f>VLOOKUP(Base_Periodo1[[#This Row],[Aux]],Base_Contas_Balanco[#All],2,FALSE)</f>
        <v>Creditos com não Cooperados</v>
      </c>
      <c r="G941" s="1">
        <v>42866</v>
      </c>
      <c r="I941" s="225">
        <v>112.67</v>
      </c>
      <c r="J941" s="225">
        <v>112.67</v>
      </c>
      <c r="K941" s="225">
        <v>0</v>
      </c>
      <c r="L9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41" s="225">
        <f>ROUND(IF(AND(Base_Periodo1[[#This Row],[Tipo_Linha]]="-",Base_Periodo1[[#This Row],[TIPOSALDO]]="D"),Base_Periodo1[[#This Row],[SALDO_ATUAL]]*-1,Base_Periodo1[[#This Row],[SALDO_ATUAL]]),4)</f>
        <v>0</v>
      </c>
      <c r="N941" t="s">
        <v>116</v>
      </c>
      <c r="O941" t="s">
        <v>436</v>
      </c>
      <c r="P941" t="s">
        <v>436</v>
      </c>
      <c r="Q941">
        <v>7</v>
      </c>
      <c r="R941" s="225">
        <f>Base_Periodo1[[#This Row],[CREDITOS]]-Base_Periodo1[[#This Row],[DEBITOS]]</f>
        <v>0</v>
      </c>
      <c r="S941" s="3" t="str">
        <f>IF(ISERROR(VLOOKUP(Base_Periodo1[[#This Row],[CONTA]],BaseContasDRE[#All],4,FALSE)),"Fora do DRE",VLOOKUP(Base_Periodo1[[#This Row],[CONTA]],BaseContasDRE[#All],4,FALSE))</f>
        <v>Fora do DRE</v>
      </c>
      <c r="T941" s="3" t="str">
        <f>IF(ISERROR(VLOOKUP(Base_Periodo1[[#This Row],[CONTA]],BaseContasDRE[#All],5,FALSE)),"Fora do DRE",VLOOKUP(Base_Periodo1[[#This Row],[CONTA]],BaseContasDRE[#All],6,FALSE))</f>
        <v>Fora do DRE</v>
      </c>
      <c r="U941" s="3" t="str">
        <f>IF(ISERROR(VLOOKUP(Base_Periodo1[[#This Row],[CONTA]],BaseContasDRE[#All],7,FALSE)),"Fora do DRE",VLOOKUP(Base_Periodo1[[#This Row],[CONTA]],BaseContasDRE[#All],7,FALSE))</f>
        <v>Fora do DRE</v>
      </c>
      <c r="V941" s="3" t="str">
        <f>IF(Base_Periodo1[[#This Row],[Tipo_Linha]]="Fora do DRE","Fora do DRE","( "&amp;Base_Periodo1[[#This Row],[Tipo_Linha]]&amp;" ) "&amp;Base_Periodo1[[#This Row],[Filtro]])</f>
        <v>Fora do DRE</v>
      </c>
      <c r="W941" s="3" t="str">
        <f>LEFT(Base_Periodo1[[#This Row],[CLASS]],3)</f>
        <v>1.1</v>
      </c>
    </row>
    <row r="942" spans="1:23" hidden="1">
      <c r="A942" s="3" t="str">
        <f t="shared" si="14"/>
        <v>Período 1</v>
      </c>
      <c r="B942">
        <v>35548</v>
      </c>
      <c r="C942" t="s">
        <v>922</v>
      </c>
      <c r="D942" t="s">
        <v>6167</v>
      </c>
      <c r="E942" s="3" t="str">
        <f>IF(LEN(Base_Periodo1[[#This Row],[CLASS]])&gt;=7,LEFT(Base_Periodo1[[#This Row],[CLASS]],7),"")</f>
        <v>1.1.2.2</v>
      </c>
      <c r="F942" s="3" t="str">
        <f>VLOOKUP(Base_Periodo1[[#This Row],[Aux]],Base_Contas_Balanco[#All],2,FALSE)</f>
        <v>Creditos com não Cooperados</v>
      </c>
      <c r="G942" s="1">
        <v>42831</v>
      </c>
      <c r="H942" s="225">
        <v>45048.000000000007</v>
      </c>
      <c r="I942" s="225">
        <v>0</v>
      </c>
      <c r="J942" s="225">
        <v>0</v>
      </c>
      <c r="K942" s="225">
        <v>45048.000000000007</v>
      </c>
      <c r="L9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45048</v>
      </c>
      <c r="M942" s="225">
        <f>ROUND(IF(AND(Base_Periodo1[[#This Row],[Tipo_Linha]]="-",Base_Periodo1[[#This Row],[TIPOSALDO]]="D"),Base_Periodo1[[#This Row],[SALDO_ATUAL]]*-1,Base_Periodo1[[#This Row],[SALDO_ATUAL]]),4)</f>
        <v>45048</v>
      </c>
      <c r="N942" t="s">
        <v>116</v>
      </c>
      <c r="O942" t="s">
        <v>397</v>
      </c>
      <c r="P942" t="s">
        <v>397</v>
      </c>
      <c r="Q942">
        <v>7</v>
      </c>
      <c r="R942" s="225">
        <f>Base_Periodo1[[#This Row],[CREDITOS]]-Base_Periodo1[[#This Row],[DEBITOS]]</f>
        <v>0</v>
      </c>
      <c r="S942" s="3" t="str">
        <f>IF(ISERROR(VLOOKUP(Base_Periodo1[[#This Row],[CONTA]],BaseContasDRE[#All],4,FALSE)),"Fora do DRE",VLOOKUP(Base_Periodo1[[#This Row],[CONTA]],BaseContasDRE[#All],4,FALSE))</f>
        <v>Fora do DRE</v>
      </c>
      <c r="T942" s="3" t="str">
        <f>IF(ISERROR(VLOOKUP(Base_Periodo1[[#This Row],[CONTA]],BaseContasDRE[#All],5,FALSE)),"Fora do DRE",VLOOKUP(Base_Periodo1[[#This Row],[CONTA]],BaseContasDRE[#All],6,FALSE))</f>
        <v>Fora do DRE</v>
      </c>
      <c r="U942" s="3" t="str">
        <f>IF(ISERROR(VLOOKUP(Base_Periodo1[[#This Row],[CONTA]],BaseContasDRE[#All],7,FALSE)),"Fora do DRE",VLOOKUP(Base_Periodo1[[#This Row],[CONTA]],BaseContasDRE[#All],7,FALSE))</f>
        <v>Fora do DRE</v>
      </c>
      <c r="V942" s="3" t="str">
        <f>IF(Base_Periodo1[[#This Row],[Tipo_Linha]]="Fora do DRE","Fora do DRE","( "&amp;Base_Periodo1[[#This Row],[Tipo_Linha]]&amp;" ) "&amp;Base_Periodo1[[#This Row],[Filtro]])</f>
        <v>Fora do DRE</v>
      </c>
      <c r="W942" s="3" t="str">
        <f>LEFT(Base_Periodo1[[#This Row],[CLASS]],3)</f>
        <v>1.1</v>
      </c>
    </row>
    <row r="943" spans="1:23" hidden="1">
      <c r="A943" s="3" t="str">
        <f t="shared" si="14"/>
        <v>Período 1</v>
      </c>
      <c r="B943">
        <v>18012</v>
      </c>
      <c r="C943" t="s">
        <v>922</v>
      </c>
      <c r="D943" t="s">
        <v>6168</v>
      </c>
      <c r="E943" s="3" t="str">
        <f>IF(LEN(Base_Periodo1[[#This Row],[CLASS]])&gt;=7,LEFT(Base_Periodo1[[#This Row],[CLASS]],7),"")</f>
        <v>1.1.2.2</v>
      </c>
      <c r="F943" s="3" t="str">
        <f>VLOOKUP(Base_Periodo1[[#This Row],[Aux]],Base_Contas_Balanco[#All],2,FALSE)</f>
        <v>Creditos com não Cooperados</v>
      </c>
      <c r="G943" s="1">
        <v>42886</v>
      </c>
      <c r="H943" s="225">
        <v>33000</v>
      </c>
      <c r="I943" s="225">
        <v>0</v>
      </c>
      <c r="J943" s="225">
        <v>19000</v>
      </c>
      <c r="K943" s="225">
        <v>14000</v>
      </c>
      <c r="L9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14000</v>
      </c>
      <c r="M943" s="225">
        <f>ROUND(IF(AND(Base_Periodo1[[#This Row],[Tipo_Linha]]="-",Base_Periodo1[[#This Row],[TIPOSALDO]]="D"),Base_Periodo1[[#This Row],[SALDO_ATUAL]]*-1,Base_Periodo1[[#This Row],[SALDO_ATUAL]]),4)</f>
        <v>14000</v>
      </c>
      <c r="N943" t="s">
        <v>116</v>
      </c>
      <c r="O943" t="s">
        <v>397</v>
      </c>
      <c r="P943" t="s">
        <v>397</v>
      </c>
      <c r="Q943">
        <v>7</v>
      </c>
      <c r="R943" s="225">
        <f>Base_Periodo1[[#This Row],[CREDITOS]]-Base_Periodo1[[#This Row],[DEBITOS]]</f>
        <v>19000</v>
      </c>
      <c r="S943" s="3" t="str">
        <f>IF(ISERROR(VLOOKUP(Base_Periodo1[[#This Row],[CONTA]],BaseContasDRE[#All],4,FALSE)),"Fora do DRE",VLOOKUP(Base_Periodo1[[#This Row],[CONTA]],BaseContasDRE[#All],4,FALSE))</f>
        <v>Fora do DRE</v>
      </c>
      <c r="T943" s="3" t="str">
        <f>IF(ISERROR(VLOOKUP(Base_Periodo1[[#This Row],[CONTA]],BaseContasDRE[#All],5,FALSE)),"Fora do DRE",VLOOKUP(Base_Periodo1[[#This Row],[CONTA]],BaseContasDRE[#All],6,FALSE))</f>
        <v>Fora do DRE</v>
      </c>
      <c r="U943" s="3" t="str">
        <f>IF(ISERROR(VLOOKUP(Base_Periodo1[[#This Row],[CONTA]],BaseContasDRE[#All],7,FALSE)),"Fora do DRE",VLOOKUP(Base_Periodo1[[#This Row],[CONTA]],BaseContasDRE[#All],7,FALSE))</f>
        <v>Fora do DRE</v>
      </c>
      <c r="V943" s="3" t="str">
        <f>IF(Base_Periodo1[[#This Row],[Tipo_Linha]]="Fora do DRE","Fora do DRE","( "&amp;Base_Periodo1[[#This Row],[Tipo_Linha]]&amp;" ) "&amp;Base_Periodo1[[#This Row],[Filtro]])</f>
        <v>Fora do DRE</v>
      </c>
      <c r="W943" s="3" t="str">
        <f>LEFT(Base_Periodo1[[#This Row],[CLASS]],3)</f>
        <v>1.1</v>
      </c>
    </row>
    <row r="944" spans="1:23" hidden="1">
      <c r="A944" s="3" t="str">
        <f t="shared" si="14"/>
        <v>Período 1</v>
      </c>
      <c r="B944">
        <v>13252</v>
      </c>
      <c r="C944" t="s">
        <v>922</v>
      </c>
      <c r="D944" t="s">
        <v>948</v>
      </c>
      <c r="E944" s="3" t="str">
        <f>IF(LEN(Base_Periodo1[[#This Row],[CLASS]])&gt;=7,LEFT(Base_Periodo1[[#This Row],[CLASS]],7),"")</f>
        <v>1.1.2.2</v>
      </c>
      <c r="F944" s="3" t="str">
        <f>VLOOKUP(Base_Periodo1[[#This Row],[Aux]],Base_Contas_Balanco[#All],2,FALSE)</f>
        <v>Creditos com não Cooperados</v>
      </c>
      <c r="G944" s="1">
        <v>42017</v>
      </c>
      <c r="H944" s="225">
        <v>6.4500000000116415</v>
      </c>
      <c r="I944" s="225">
        <v>0</v>
      </c>
      <c r="J944" s="225">
        <v>0</v>
      </c>
      <c r="K944" s="225">
        <v>6.4500000000116415</v>
      </c>
      <c r="L9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6.45</v>
      </c>
      <c r="M944" s="225">
        <f>ROUND(IF(AND(Base_Periodo1[[#This Row],[Tipo_Linha]]="-",Base_Periodo1[[#This Row],[TIPOSALDO]]="D"),Base_Periodo1[[#This Row],[SALDO_ATUAL]]*-1,Base_Periodo1[[#This Row],[SALDO_ATUAL]]),4)</f>
        <v>6.45</v>
      </c>
      <c r="N944" t="s">
        <v>116</v>
      </c>
      <c r="O944" t="s">
        <v>397</v>
      </c>
      <c r="P944" t="s">
        <v>397</v>
      </c>
      <c r="Q944">
        <v>7</v>
      </c>
      <c r="R944" s="225">
        <f>Base_Periodo1[[#This Row],[CREDITOS]]-Base_Periodo1[[#This Row],[DEBITOS]]</f>
        <v>0</v>
      </c>
      <c r="S944" s="3" t="str">
        <f>IF(ISERROR(VLOOKUP(Base_Periodo1[[#This Row],[CONTA]],BaseContasDRE[#All],4,FALSE)),"Fora do DRE",VLOOKUP(Base_Periodo1[[#This Row],[CONTA]],BaseContasDRE[#All],4,FALSE))</f>
        <v>Fora do DRE</v>
      </c>
      <c r="T944" s="3" t="str">
        <f>IF(ISERROR(VLOOKUP(Base_Periodo1[[#This Row],[CONTA]],BaseContasDRE[#All],5,FALSE)),"Fora do DRE",VLOOKUP(Base_Periodo1[[#This Row],[CONTA]],BaseContasDRE[#All],6,FALSE))</f>
        <v>Fora do DRE</v>
      </c>
      <c r="U944" s="3" t="str">
        <f>IF(ISERROR(VLOOKUP(Base_Periodo1[[#This Row],[CONTA]],BaseContasDRE[#All],7,FALSE)),"Fora do DRE",VLOOKUP(Base_Periodo1[[#This Row],[CONTA]],BaseContasDRE[#All],7,FALSE))</f>
        <v>Fora do DRE</v>
      </c>
      <c r="V944" s="3" t="str">
        <f>IF(Base_Periodo1[[#This Row],[Tipo_Linha]]="Fora do DRE","Fora do DRE","( "&amp;Base_Periodo1[[#This Row],[Tipo_Linha]]&amp;" ) "&amp;Base_Periodo1[[#This Row],[Filtro]])</f>
        <v>Fora do DRE</v>
      </c>
      <c r="W944" s="3" t="str">
        <f>LEFT(Base_Periodo1[[#This Row],[CLASS]],3)</f>
        <v>1.1</v>
      </c>
    </row>
    <row r="945" spans="1:23" hidden="1">
      <c r="A945" s="3" t="str">
        <f t="shared" si="14"/>
        <v>Período 1</v>
      </c>
      <c r="B945">
        <v>28709</v>
      </c>
      <c r="C945" t="s">
        <v>922</v>
      </c>
      <c r="D945" t="s">
        <v>6759</v>
      </c>
      <c r="E945" s="3" t="str">
        <f>IF(LEN(Base_Periodo1[[#This Row],[CLASS]])&gt;=7,LEFT(Base_Periodo1[[#This Row],[CLASS]],7),"")</f>
        <v>1.1.2.2</v>
      </c>
      <c r="F945" s="3" t="str">
        <f>VLOOKUP(Base_Periodo1[[#This Row],[Aux]],Base_Contas_Balanco[#All],2,FALSE)</f>
        <v>Creditos com não Cooperados</v>
      </c>
      <c r="G945" s="1">
        <v>42880</v>
      </c>
      <c r="I945" s="225">
        <v>80</v>
      </c>
      <c r="J945" s="225">
        <v>80</v>
      </c>
      <c r="K945" s="225">
        <v>0</v>
      </c>
      <c r="L9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45" s="225">
        <f>ROUND(IF(AND(Base_Periodo1[[#This Row],[Tipo_Linha]]="-",Base_Periodo1[[#This Row],[TIPOSALDO]]="D"),Base_Periodo1[[#This Row],[SALDO_ATUAL]]*-1,Base_Periodo1[[#This Row],[SALDO_ATUAL]]),4)</f>
        <v>0</v>
      </c>
      <c r="N945" t="s">
        <v>116</v>
      </c>
      <c r="O945" t="s">
        <v>436</v>
      </c>
      <c r="P945" t="s">
        <v>436</v>
      </c>
      <c r="Q945">
        <v>7</v>
      </c>
      <c r="R945" s="225">
        <f>Base_Periodo1[[#This Row],[CREDITOS]]-Base_Periodo1[[#This Row],[DEBITOS]]</f>
        <v>0</v>
      </c>
      <c r="S945" s="3" t="str">
        <f>IF(ISERROR(VLOOKUP(Base_Periodo1[[#This Row],[CONTA]],BaseContasDRE[#All],4,FALSE)),"Fora do DRE",VLOOKUP(Base_Periodo1[[#This Row],[CONTA]],BaseContasDRE[#All],4,FALSE))</f>
        <v>Fora do DRE</v>
      </c>
      <c r="T945" s="3" t="str">
        <f>IF(ISERROR(VLOOKUP(Base_Periodo1[[#This Row],[CONTA]],BaseContasDRE[#All],5,FALSE)),"Fora do DRE",VLOOKUP(Base_Periodo1[[#This Row],[CONTA]],BaseContasDRE[#All],6,FALSE))</f>
        <v>Fora do DRE</v>
      </c>
      <c r="U945" s="3" t="str">
        <f>IF(ISERROR(VLOOKUP(Base_Periodo1[[#This Row],[CONTA]],BaseContasDRE[#All],7,FALSE)),"Fora do DRE",VLOOKUP(Base_Periodo1[[#This Row],[CONTA]],BaseContasDRE[#All],7,FALSE))</f>
        <v>Fora do DRE</v>
      </c>
      <c r="V945" s="3" t="str">
        <f>IF(Base_Periodo1[[#This Row],[Tipo_Linha]]="Fora do DRE","Fora do DRE","( "&amp;Base_Periodo1[[#This Row],[Tipo_Linha]]&amp;" ) "&amp;Base_Periodo1[[#This Row],[Filtro]])</f>
        <v>Fora do DRE</v>
      </c>
      <c r="W945" s="3" t="str">
        <f>LEFT(Base_Periodo1[[#This Row],[CLASS]],3)</f>
        <v>1.1</v>
      </c>
    </row>
    <row r="946" spans="1:23" hidden="1">
      <c r="A946" s="3" t="str">
        <f t="shared" si="14"/>
        <v>Período 1</v>
      </c>
      <c r="B946">
        <v>23794</v>
      </c>
      <c r="C946" t="s">
        <v>922</v>
      </c>
      <c r="D946" t="s">
        <v>949</v>
      </c>
      <c r="E946" s="3" t="str">
        <f>IF(LEN(Base_Periodo1[[#This Row],[CLASS]])&gt;=7,LEFT(Base_Periodo1[[#This Row],[CLASS]],7),"")</f>
        <v>1.1.2.2</v>
      </c>
      <c r="F946" s="3" t="str">
        <f>VLOOKUP(Base_Periodo1[[#This Row],[Aux]],Base_Contas_Balanco[#All],2,FALSE)</f>
        <v>Creditos com não Cooperados</v>
      </c>
      <c r="G946" s="1">
        <v>42333</v>
      </c>
      <c r="H946" s="225">
        <v>500</v>
      </c>
      <c r="I946" s="225">
        <v>0</v>
      </c>
      <c r="J946" s="225">
        <v>0</v>
      </c>
      <c r="K946" s="225">
        <v>500</v>
      </c>
      <c r="L9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946" s="225">
        <f>ROUND(IF(AND(Base_Periodo1[[#This Row],[Tipo_Linha]]="-",Base_Periodo1[[#This Row],[TIPOSALDO]]="D"),Base_Periodo1[[#This Row],[SALDO_ATUAL]]*-1,Base_Periodo1[[#This Row],[SALDO_ATUAL]]),4)</f>
        <v>500</v>
      </c>
      <c r="N946" t="s">
        <v>116</v>
      </c>
      <c r="O946" t="s">
        <v>397</v>
      </c>
      <c r="P946" t="s">
        <v>397</v>
      </c>
      <c r="Q946">
        <v>7</v>
      </c>
      <c r="R946" s="225">
        <f>Base_Periodo1[[#This Row],[CREDITOS]]-Base_Periodo1[[#This Row],[DEBITOS]]</f>
        <v>0</v>
      </c>
      <c r="S946" s="3" t="str">
        <f>IF(ISERROR(VLOOKUP(Base_Periodo1[[#This Row],[CONTA]],BaseContasDRE[#All],4,FALSE)),"Fora do DRE",VLOOKUP(Base_Periodo1[[#This Row],[CONTA]],BaseContasDRE[#All],4,FALSE))</f>
        <v>Fora do DRE</v>
      </c>
      <c r="T946" s="3" t="str">
        <f>IF(ISERROR(VLOOKUP(Base_Periodo1[[#This Row],[CONTA]],BaseContasDRE[#All],5,FALSE)),"Fora do DRE",VLOOKUP(Base_Periodo1[[#This Row],[CONTA]],BaseContasDRE[#All],6,FALSE))</f>
        <v>Fora do DRE</v>
      </c>
      <c r="U946" s="3" t="str">
        <f>IF(ISERROR(VLOOKUP(Base_Periodo1[[#This Row],[CONTA]],BaseContasDRE[#All],7,FALSE)),"Fora do DRE",VLOOKUP(Base_Periodo1[[#This Row],[CONTA]],BaseContasDRE[#All],7,FALSE))</f>
        <v>Fora do DRE</v>
      </c>
      <c r="V946" s="3" t="str">
        <f>IF(Base_Periodo1[[#This Row],[Tipo_Linha]]="Fora do DRE","Fora do DRE","( "&amp;Base_Periodo1[[#This Row],[Tipo_Linha]]&amp;" ) "&amp;Base_Periodo1[[#This Row],[Filtro]])</f>
        <v>Fora do DRE</v>
      </c>
      <c r="W946" s="3" t="str">
        <f>LEFT(Base_Periodo1[[#This Row],[CLASS]],3)</f>
        <v>1.1</v>
      </c>
    </row>
    <row r="947" spans="1:23" hidden="1">
      <c r="A947" s="3" t="str">
        <f t="shared" si="14"/>
        <v>Período 1</v>
      </c>
      <c r="B947">
        <v>49996</v>
      </c>
      <c r="C947" t="s">
        <v>922</v>
      </c>
      <c r="D947" t="s">
        <v>4953</v>
      </c>
      <c r="E947" s="3" t="str">
        <f>IF(LEN(Base_Periodo1[[#This Row],[CLASS]])&gt;=7,LEFT(Base_Periodo1[[#This Row],[CLASS]],7),"")</f>
        <v>1.1.2.2</v>
      </c>
      <c r="F947" s="3" t="str">
        <f>VLOOKUP(Base_Periodo1[[#This Row],[Aux]],Base_Contas_Balanco[#All],2,FALSE)</f>
        <v>Creditos com não Cooperados</v>
      </c>
      <c r="G947" s="1">
        <v>42605</v>
      </c>
      <c r="H947" s="225">
        <v>500</v>
      </c>
      <c r="I947" s="225">
        <v>0</v>
      </c>
      <c r="J947" s="225">
        <v>0</v>
      </c>
      <c r="K947" s="225">
        <v>500</v>
      </c>
      <c r="L9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947" s="225">
        <f>ROUND(IF(AND(Base_Periodo1[[#This Row],[Tipo_Linha]]="-",Base_Periodo1[[#This Row],[TIPOSALDO]]="D"),Base_Periodo1[[#This Row],[SALDO_ATUAL]]*-1,Base_Periodo1[[#This Row],[SALDO_ATUAL]]),4)</f>
        <v>500</v>
      </c>
      <c r="N947" t="s">
        <v>116</v>
      </c>
      <c r="O947" t="s">
        <v>397</v>
      </c>
      <c r="P947" t="s">
        <v>397</v>
      </c>
      <c r="Q947">
        <v>7</v>
      </c>
      <c r="R947" s="225">
        <f>Base_Periodo1[[#This Row],[CREDITOS]]-Base_Periodo1[[#This Row],[DEBITOS]]</f>
        <v>0</v>
      </c>
      <c r="S947" s="3" t="str">
        <f>IF(ISERROR(VLOOKUP(Base_Periodo1[[#This Row],[CONTA]],BaseContasDRE[#All],4,FALSE)),"Fora do DRE",VLOOKUP(Base_Periodo1[[#This Row],[CONTA]],BaseContasDRE[#All],4,FALSE))</f>
        <v>Fora do DRE</v>
      </c>
      <c r="T947" s="3" t="str">
        <f>IF(ISERROR(VLOOKUP(Base_Periodo1[[#This Row],[CONTA]],BaseContasDRE[#All],5,FALSE)),"Fora do DRE",VLOOKUP(Base_Periodo1[[#This Row],[CONTA]],BaseContasDRE[#All],6,FALSE))</f>
        <v>Fora do DRE</v>
      </c>
      <c r="U947" s="3" t="str">
        <f>IF(ISERROR(VLOOKUP(Base_Periodo1[[#This Row],[CONTA]],BaseContasDRE[#All],7,FALSE)),"Fora do DRE",VLOOKUP(Base_Periodo1[[#This Row],[CONTA]],BaseContasDRE[#All],7,FALSE))</f>
        <v>Fora do DRE</v>
      </c>
      <c r="V947" s="3" t="str">
        <f>IF(Base_Periodo1[[#This Row],[Tipo_Linha]]="Fora do DRE","Fora do DRE","( "&amp;Base_Periodo1[[#This Row],[Tipo_Linha]]&amp;" ) "&amp;Base_Periodo1[[#This Row],[Filtro]])</f>
        <v>Fora do DRE</v>
      </c>
      <c r="W947" s="3" t="str">
        <f>LEFT(Base_Periodo1[[#This Row],[CLASS]],3)</f>
        <v>1.1</v>
      </c>
    </row>
    <row r="948" spans="1:23" hidden="1">
      <c r="A948" s="3" t="str">
        <f t="shared" si="14"/>
        <v>Período 1</v>
      </c>
      <c r="B948">
        <v>40263</v>
      </c>
      <c r="C948" t="s">
        <v>922</v>
      </c>
      <c r="D948" t="s">
        <v>5494</v>
      </c>
      <c r="E948" s="3" t="str">
        <f>IF(LEN(Base_Periodo1[[#This Row],[CLASS]])&gt;=7,LEFT(Base_Periodo1[[#This Row],[CLASS]],7),"")</f>
        <v>1.1.2.2</v>
      </c>
      <c r="F948" s="3" t="str">
        <f>VLOOKUP(Base_Periodo1[[#This Row],[Aux]],Base_Contas_Balanco[#All],2,FALSE)</f>
        <v>Creditos com não Cooperados</v>
      </c>
      <c r="G948" s="1">
        <v>42851</v>
      </c>
      <c r="H948" s="225">
        <v>747.40000000000146</v>
      </c>
      <c r="I948" s="225">
        <v>0</v>
      </c>
      <c r="J948" s="225">
        <v>0</v>
      </c>
      <c r="K948" s="225">
        <v>747.40000000000146</v>
      </c>
      <c r="L9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-747.4</v>
      </c>
      <c r="M948" s="225">
        <f>ROUND(IF(AND(Base_Periodo1[[#This Row],[Tipo_Linha]]="-",Base_Periodo1[[#This Row],[TIPOSALDO]]="D"),Base_Periodo1[[#This Row],[SALDO_ATUAL]]*-1,Base_Periodo1[[#This Row],[SALDO_ATUAL]]),4)</f>
        <v>747.4</v>
      </c>
      <c r="N948" t="s">
        <v>116</v>
      </c>
      <c r="O948" t="s">
        <v>459</v>
      </c>
      <c r="P948" t="s">
        <v>459</v>
      </c>
      <c r="Q948">
        <v>7</v>
      </c>
      <c r="R948" s="225">
        <f>Base_Periodo1[[#This Row],[CREDITOS]]-Base_Periodo1[[#This Row],[DEBITOS]]</f>
        <v>0</v>
      </c>
      <c r="S948" s="3" t="str">
        <f>IF(ISERROR(VLOOKUP(Base_Periodo1[[#This Row],[CONTA]],BaseContasDRE[#All],4,FALSE)),"Fora do DRE",VLOOKUP(Base_Periodo1[[#This Row],[CONTA]],BaseContasDRE[#All],4,FALSE))</f>
        <v>Fora do DRE</v>
      </c>
      <c r="T948" s="3" t="str">
        <f>IF(ISERROR(VLOOKUP(Base_Periodo1[[#This Row],[CONTA]],BaseContasDRE[#All],5,FALSE)),"Fora do DRE",VLOOKUP(Base_Periodo1[[#This Row],[CONTA]],BaseContasDRE[#All],6,FALSE))</f>
        <v>Fora do DRE</v>
      </c>
      <c r="U948" s="3" t="str">
        <f>IF(ISERROR(VLOOKUP(Base_Periodo1[[#This Row],[CONTA]],BaseContasDRE[#All],7,FALSE)),"Fora do DRE",VLOOKUP(Base_Periodo1[[#This Row],[CONTA]],BaseContasDRE[#All],7,FALSE))</f>
        <v>Fora do DRE</v>
      </c>
      <c r="V948" s="3" t="str">
        <f>IF(Base_Periodo1[[#This Row],[Tipo_Linha]]="Fora do DRE","Fora do DRE","( "&amp;Base_Periodo1[[#This Row],[Tipo_Linha]]&amp;" ) "&amp;Base_Periodo1[[#This Row],[Filtro]])</f>
        <v>Fora do DRE</v>
      </c>
      <c r="W948" s="3" t="str">
        <f>LEFT(Base_Periodo1[[#This Row],[CLASS]],3)</f>
        <v>1.1</v>
      </c>
    </row>
    <row r="949" spans="1:23" hidden="1">
      <c r="A949" s="3" t="str">
        <f t="shared" si="14"/>
        <v>Período 1</v>
      </c>
      <c r="B949">
        <v>29233</v>
      </c>
      <c r="C949" t="s">
        <v>922</v>
      </c>
      <c r="D949" t="s">
        <v>950</v>
      </c>
      <c r="E949" s="3" t="str">
        <f>IF(LEN(Base_Periodo1[[#This Row],[CLASS]])&gt;=7,LEFT(Base_Periodo1[[#This Row],[CLASS]],7),"")</f>
        <v>1.1.2.2</v>
      </c>
      <c r="F949" s="3" t="str">
        <f>VLOOKUP(Base_Periodo1[[#This Row],[Aux]],Base_Contas_Balanco[#All],2,FALSE)</f>
        <v>Creditos com não Cooperados</v>
      </c>
      <c r="G949" s="1">
        <v>42886</v>
      </c>
      <c r="H949" s="225">
        <v>10383.430000000015</v>
      </c>
      <c r="I949" s="225">
        <v>0</v>
      </c>
      <c r="J949" s="225">
        <v>510.45</v>
      </c>
      <c r="K949" s="225">
        <v>9872.9800000000141</v>
      </c>
      <c r="L9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9872.98</v>
      </c>
      <c r="M949" s="225">
        <f>ROUND(IF(AND(Base_Periodo1[[#This Row],[Tipo_Linha]]="-",Base_Periodo1[[#This Row],[TIPOSALDO]]="D"),Base_Periodo1[[#This Row],[SALDO_ATUAL]]*-1,Base_Periodo1[[#This Row],[SALDO_ATUAL]]),4)</f>
        <v>9872.98</v>
      </c>
      <c r="N949" t="s">
        <v>116</v>
      </c>
      <c r="O949" t="s">
        <v>397</v>
      </c>
      <c r="P949" t="s">
        <v>397</v>
      </c>
      <c r="Q949">
        <v>7</v>
      </c>
      <c r="R949" s="225">
        <f>Base_Periodo1[[#This Row],[CREDITOS]]-Base_Periodo1[[#This Row],[DEBITOS]]</f>
        <v>510.45</v>
      </c>
      <c r="S949" s="3" t="str">
        <f>IF(ISERROR(VLOOKUP(Base_Periodo1[[#This Row],[CONTA]],BaseContasDRE[#All],4,FALSE)),"Fora do DRE",VLOOKUP(Base_Periodo1[[#This Row],[CONTA]],BaseContasDRE[#All],4,FALSE))</f>
        <v>Fora do DRE</v>
      </c>
      <c r="T949" s="3" t="str">
        <f>IF(ISERROR(VLOOKUP(Base_Periodo1[[#This Row],[CONTA]],BaseContasDRE[#All],5,FALSE)),"Fora do DRE",VLOOKUP(Base_Periodo1[[#This Row],[CONTA]],BaseContasDRE[#All],6,FALSE))</f>
        <v>Fora do DRE</v>
      </c>
      <c r="U949" s="3" t="str">
        <f>IF(ISERROR(VLOOKUP(Base_Periodo1[[#This Row],[CONTA]],BaseContasDRE[#All],7,FALSE)),"Fora do DRE",VLOOKUP(Base_Periodo1[[#This Row],[CONTA]],BaseContasDRE[#All],7,FALSE))</f>
        <v>Fora do DRE</v>
      </c>
      <c r="V949" s="3" t="str">
        <f>IF(Base_Periodo1[[#This Row],[Tipo_Linha]]="Fora do DRE","Fora do DRE","( "&amp;Base_Periodo1[[#This Row],[Tipo_Linha]]&amp;" ) "&amp;Base_Periodo1[[#This Row],[Filtro]])</f>
        <v>Fora do DRE</v>
      </c>
      <c r="W949" s="3" t="str">
        <f>LEFT(Base_Periodo1[[#This Row],[CLASS]],3)</f>
        <v>1.1</v>
      </c>
    </row>
    <row r="950" spans="1:23" hidden="1">
      <c r="A950" s="3" t="str">
        <f t="shared" si="14"/>
        <v>Período 1</v>
      </c>
      <c r="B950">
        <v>8954</v>
      </c>
      <c r="C950" t="s">
        <v>922</v>
      </c>
      <c r="D950" t="s">
        <v>4724</v>
      </c>
      <c r="E950" s="3" t="str">
        <f>IF(LEN(Base_Periodo1[[#This Row],[CLASS]])&gt;=7,LEFT(Base_Periodo1[[#This Row],[CLASS]],7),"")</f>
        <v>1.1.2.2</v>
      </c>
      <c r="F950" s="3" t="str">
        <f>VLOOKUP(Base_Periodo1[[#This Row],[Aux]],Base_Contas_Balanco[#All],2,FALSE)</f>
        <v>Creditos com não Cooperados</v>
      </c>
      <c r="G950" s="1">
        <v>42490</v>
      </c>
      <c r="H950" s="225">
        <v>82208.13</v>
      </c>
      <c r="I950" s="225">
        <v>0</v>
      </c>
      <c r="J950" s="225">
        <v>0</v>
      </c>
      <c r="K950" s="225">
        <v>82208.13</v>
      </c>
      <c r="L9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82208.13</v>
      </c>
      <c r="M950" s="225">
        <f>ROUND(IF(AND(Base_Periodo1[[#This Row],[Tipo_Linha]]="-",Base_Periodo1[[#This Row],[TIPOSALDO]]="D"),Base_Periodo1[[#This Row],[SALDO_ATUAL]]*-1,Base_Periodo1[[#This Row],[SALDO_ATUAL]]),4)</f>
        <v>82208.13</v>
      </c>
      <c r="N950" t="s">
        <v>116</v>
      </c>
      <c r="O950" t="s">
        <v>397</v>
      </c>
      <c r="P950" t="s">
        <v>397</v>
      </c>
      <c r="Q950">
        <v>7</v>
      </c>
      <c r="R950" s="225">
        <f>Base_Periodo1[[#This Row],[CREDITOS]]-Base_Periodo1[[#This Row],[DEBITOS]]</f>
        <v>0</v>
      </c>
      <c r="S950" s="3" t="str">
        <f>IF(ISERROR(VLOOKUP(Base_Periodo1[[#This Row],[CONTA]],BaseContasDRE[#All],4,FALSE)),"Fora do DRE",VLOOKUP(Base_Periodo1[[#This Row],[CONTA]],BaseContasDRE[#All],4,FALSE))</f>
        <v>Fora do DRE</v>
      </c>
      <c r="T950" s="3" t="str">
        <f>IF(ISERROR(VLOOKUP(Base_Periodo1[[#This Row],[CONTA]],BaseContasDRE[#All],5,FALSE)),"Fora do DRE",VLOOKUP(Base_Periodo1[[#This Row],[CONTA]],BaseContasDRE[#All],6,FALSE))</f>
        <v>Fora do DRE</v>
      </c>
      <c r="U950" s="3" t="str">
        <f>IF(ISERROR(VLOOKUP(Base_Periodo1[[#This Row],[CONTA]],BaseContasDRE[#All],7,FALSE)),"Fora do DRE",VLOOKUP(Base_Periodo1[[#This Row],[CONTA]],BaseContasDRE[#All],7,FALSE))</f>
        <v>Fora do DRE</v>
      </c>
      <c r="V950" s="3" t="str">
        <f>IF(Base_Periodo1[[#This Row],[Tipo_Linha]]="Fora do DRE","Fora do DRE","( "&amp;Base_Periodo1[[#This Row],[Tipo_Linha]]&amp;" ) "&amp;Base_Periodo1[[#This Row],[Filtro]])</f>
        <v>Fora do DRE</v>
      </c>
      <c r="W950" s="3" t="str">
        <f>LEFT(Base_Periodo1[[#This Row],[CLASS]],3)</f>
        <v>1.1</v>
      </c>
    </row>
    <row r="951" spans="1:23" hidden="1">
      <c r="A951" s="3" t="str">
        <f t="shared" si="14"/>
        <v>Período 1</v>
      </c>
      <c r="B951">
        <v>57572</v>
      </c>
      <c r="C951" t="s">
        <v>922</v>
      </c>
      <c r="D951" t="s">
        <v>6169</v>
      </c>
      <c r="E951" s="3" t="str">
        <f>IF(LEN(Base_Periodo1[[#This Row],[CLASS]])&gt;=7,LEFT(Base_Periodo1[[#This Row],[CLASS]],7),"")</f>
        <v>1.1.2.2</v>
      </c>
      <c r="F951" s="3" t="str">
        <f>VLOOKUP(Base_Periodo1[[#This Row],[Aux]],Base_Contas_Balanco[#All],2,FALSE)</f>
        <v>Creditos com não Cooperados</v>
      </c>
      <c r="G951" s="1">
        <v>42864</v>
      </c>
      <c r="I951" s="225">
        <v>70</v>
      </c>
      <c r="J951" s="225">
        <v>70</v>
      </c>
      <c r="K951" s="225">
        <v>0</v>
      </c>
      <c r="L9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51" s="225">
        <f>ROUND(IF(AND(Base_Periodo1[[#This Row],[Tipo_Linha]]="-",Base_Periodo1[[#This Row],[TIPOSALDO]]="D"),Base_Periodo1[[#This Row],[SALDO_ATUAL]]*-1,Base_Periodo1[[#This Row],[SALDO_ATUAL]]),4)</f>
        <v>0</v>
      </c>
      <c r="N951" t="s">
        <v>116</v>
      </c>
      <c r="O951" t="s">
        <v>436</v>
      </c>
      <c r="P951" t="s">
        <v>436</v>
      </c>
      <c r="Q951">
        <v>7</v>
      </c>
      <c r="R951" s="225">
        <f>Base_Periodo1[[#This Row],[CREDITOS]]-Base_Periodo1[[#This Row],[DEBITOS]]</f>
        <v>0</v>
      </c>
      <c r="S951" s="3" t="str">
        <f>IF(ISERROR(VLOOKUP(Base_Periodo1[[#This Row],[CONTA]],BaseContasDRE[#All],4,FALSE)),"Fora do DRE",VLOOKUP(Base_Periodo1[[#This Row],[CONTA]],BaseContasDRE[#All],4,FALSE))</f>
        <v>Fora do DRE</v>
      </c>
      <c r="T951" s="3" t="str">
        <f>IF(ISERROR(VLOOKUP(Base_Periodo1[[#This Row],[CONTA]],BaseContasDRE[#All],5,FALSE)),"Fora do DRE",VLOOKUP(Base_Periodo1[[#This Row],[CONTA]],BaseContasDRE[#All],6,FALSE))</f>
        <v>Fora do DRE</v>
      </c>
      <c r="U951" s="3" t="str">
        <f>IF(ISERROR(VLOOKUP(Base_Periodo1[[#This Row],[CONTA]],BaseContasDRE[#All],7,FALSE)),"Fora do DRE",VLOOKUP(Base_Periodo1[[#This Row],[CONTA]],BaseContasDRE[#All],7,FALSE))</f>
        <v>Fora do DRE</v>
      </c>
      <c r="V951" s="3" t="str">
        <f>IF(Base_Periodo1[[#This Row],[Tipo_Linha]]="Fora do DRE","Fora do DRE","( "&amp;Base_Periodo1[[#This Row],[Tipo_Linha]]&amp;" ) "&amp;Base_Periodo1[[#This Row],[Filtro]])</f>
        <v>Fora do DRE</v>
      </c>
      <c r="W951" s="3" t="str">
        <f>LEFT(Base_Periodo1[[#This Row],[CLASS]],3)</f>
        <v>1.1</v>
      </c>
    </row>
    <row r="952" spans="1:23" hidden="1">
      <c r="A952" s="3" t="str">
        <f t="shared" si="14"/>
        <v>Período 1</v>
      </c>
      <c r="B952">
        <v>38271</v>
      </c>
      <c r="C952" t="s">
        <v>922</v>
      </c>
      <c r="D952" t="s">
        <v>5865</v>
      </c>
      <c r="E952" s="3" t="str">
        <f>IF(LEN(Base_Periodo1[[#This Row],[CLASS]])&gt;=7,LEFT(Base_Periodo1[[#This Row],[CLASS]],7),"")</f>
        <v>1.1.2.2</v>
      </c>
      <c r="F952" s="3" t="str">
        <f>VLOOKUP(Base_Periodo1[[#This Row],[Aux]],Base_Contas_Balanco[#All],2,FALSE)</f>
        <v>Creditos com não Cooperados</v>
      </c>
      <c r="G952" s="1">
        <v>42872</v>
      </c>
      <c r="I952" s="225">
        <v>280</v>
      </c>
      <c r="J952" s="225">
        <v>280</v>
      </c>
      <c r="K952" s="225">
        <v>0</v>
      </c>
      <c r="L9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52" s="225">
        <f>ROUND(IF(AND(Base_Periodo1[[#This Row],[Tipo_Linha]]="-",Base_Periodo1[[#This Row],[TIPOSALDO]]="D"),Base_Periodo1[[#This Row],[SALDO_ATUAL]]*-1,Base_Periodo1[[#This Row],[SALDO_ATUAL]]),4)</f>
        <v>0</v>
      </c>
      <c r="N952" t="s">
        <v>116</v>
      </c>
      <c r="O952" t="s">
        <v>436</v>
      </c>
      <c r="P952" t="s">
        <v>436</v>
      </c>
      <c r="Q952">
        <v>7</v>
      </c>
      <c r="R952" s="225">
        <f>Base_Periodo1[[#This Row],[CREDITOS]]-Base_Periodo1[[#This Row],[DEBITOS]]</f>
        <v>0</v>
      </c>
      <c r="S952" s="3" t="str">
        <f>IF(ISERROR(VLOOKUP(Base_Periodo1[[#This Row],[CONTA]],BaseContasDRE[#All],4,FALSE)),"Fora do DRE",VLOOKUP(Base_Periodo1[[#This Row],[CONTA]],BaseContasDRE[#All],4,FALSE))</f>
        <v>Fora do DRE</v>
      </c>
      <c r="T952" s="3" t="str">
        <f>IF(ISERROR(VLOOKUP(Base_Periodo1[[#This Row],[CONTA]],BaseContasDRE[#All],5,FALSE)),"Fora do DRE",VLOOKUP(Base_Periodo1[[#This Row],[CONTA]],BaseContasDRE[#All],6,FALSE))</f>
        <v>Fora do DRE</v>
      </c>
      <c r="U952" s="3" t="str">
        <f>IF(ISERROR(VLOOKUP(Base_Periodo1[[#This Row],[CONTA]],BaseContasDRE[#All],7,FALSE)),"Fora do DRE",VLOOKUP(Base_Periodo1[[#This Row],[CONTA]],BaseContasDRE[#All],7,FALSE))</f>
        <v>Fora do DRE</v>
      </c>
      <c r="V952" s="3" t="str">
        <f>IF(Base_Periodo1[[#This Row],[Tipo_Linha]]="Fora do DRE","Fora do DRE","( "&amp;Base_Periodo1[[#This Row],[Tipo_Linha]]&amp;" ) "&amp;Base_Periodo1[[#This Row],[Filtro]])</f>
        <v>Fora do DRE</v>
      </c>
      <c r="W952" s="3" t="str">
        <f>LEFT(Base_Periodo1[[#This Row],[CLASS]],3)</f>
        <v>1.1</v>
      </c>
    </row>
    <row r="953" spans="1:23" hidden="1">
      <c r="A953" s="3" t="str">
        <f t="shared" si="14"/>
        <v>Período 1</v>
      </c>
      <c r="B953">
        <v>58167</v>
      </c>
      <c r="C953" t="s">
        <v>922</v>
      </c>
      <c r="D953" t="s">
        <v>6760</v>
      </c>
      <c r="E953" s="3" t="str">
        <f>IF(LEN(Base_Periodo1[[#This Row],[CLASS]])&gt;=7,LEFT(Base_Periodo1[[#This Row],[CLASS]],7),"")</f>
        <v>1.1.2.2</v>
      </c>
      <c r="F953" s="3" t="str">
        <f>VLOOKUP(Base_Periodo1[[#This Row],[Aux]],Base_Contas_Balanco[#All],2,FALSE)</f>
        <v>Creditos com não Cooperados</v>
      </c>
      <c r="G953" s="1">
        <v>42881</v>
      </c>
      <c r="I953" s="225">
        <v>3521.44</v>
      </c>
      <c r="J953" s="225">
        <v>3521.44</v>
      </c>
      <c r="K953" s="225">
        <v>0</v>
      </c>
      <c r="L9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53" s="225">
        <f>ROUND(IF(AND(Base_Periodo1[[#This Row],[Tipo_Linha]]="-",Base_Periodo1[[#This Row],[TIPOSALDO]]="D"),Base_Periodo1[[#This Row],[SALDO_ATUAL]]*-1,Base_Periodo1[[#This Row],[SALDO_ATUAL]]),4)</f>
        <v>0</v>
      </c>
      <c r="N953" t="s">
        <v>116</v>
      </c>
      <c r="O953" t="s">
        <v>436</v>
      </c>
      <c r="P953" t="s">
        <v>436</v>
      </c>
      <c r="Q953">
        <v>7</v>
      </c>
      <c r="R953" s="225">
        <f>Base_Periodo1[[#This Row],[CREDITOS]]-Base_Periodo1[[#This Row],[DEBITOS]]</f>
        <v>0</v>
      </c>
      <c r="S953" s="3" t="str">
        <f>IF(ISERROR(VLOOKUP(Base_Periodo1[[#This Row],[CONTA]],BaseContasDRE[#All],4,FALSE)),"Fora do DRE",VLOOKUP(Base_Periodo1[[#This Row],[CONTA]],BaseContasDRE[#All],4,FALSE))</f>
        <v>Fora do DRE</v>
      </c>
      <c r="T953" s="3" t="str">
        <f>IF(ISERROR(VLOOKUP(Base_Periodo1[[#This Row],[CONTA]],BaseContasDRE[#All],5,FALSE)),"Fora do DRE",VLOOKUP(Base_Periodo1[[#This Row],[CONTA]],BaseContasDRE[#All],6,FALSE))</f>
        <v>Fora do DRE</v>
      </c>
      <c r="U953" s="3" t="str">
        <f>IF(ISERROR(VLOOKUP(Base_Periodo1[[#This Row],[CONTA]],BaseContasDRE[#All],7,FALSE)),"Fora do DRE",VLOOKUP(Base_Periodo1[[#This Row],[CONTA]],BaseContasDRE[#All],7,FALSE))</f>
        <v>Fora do DRE</v>
      </c>
      <c r="V953" s="3" t="str">
        <f>IF(Base_Periodo1[[#This Row],[Tipo_Linha]]="Fora do DRE","Fora do DRE","( "&amp;Base_Periodo1[[#This Row],[Tipo_Linha]]&amp;" ) "&amp;Base_Periodo1[[#This Row],[Filtro]])</f>
        <v>Fora do DRE</v>
      </c>
      <c r="W953" s="3" t="str">
        <f>LEFT(Base_Periodo1[[#This Row],[CLASS]],3)</f>
        <v>1.1</v>
      </c>
    </row>
    <row r="954" spans="1:23" hidden="1">
      <c r="A954" s="3" t="str">
        <f t="shared" si="14"/>
        <v>Período 1</v>
      </c>
      <c r="B954">
        <v>40711</v>
      </c>
      <c r="C954" t="s">
        <v>922</v>
      </c>
      <c r="D954" t="s">
        <v>5269</v>
      </c>
      <c r="E954" s="3" t="str">
        <f>IF(LEN(Base_Periodo1[[#This Row],[CLASS]])&gt;=7,LEFT(Base_Periodo1[[#This Row],[CLASS]],7),"")</f>
        <v>1.1.2.2</v>
      </c>
      <c r="F954" s="3" t="str">
        <f>VLOOKUP(Base_Periodo1[[#This Row],[Aux]],Base_Contas_Balanco[#All],2,FALSE)</f>
        <v>Creditos com não Cooperados</v>
      </c>
      <c r="G954" s="1">
        <v>42822</v>
      </c>
      <c r="H954" s="225">
        <v>20825</v>
      </c>
      <c r="I954" s="225">
        <v>0</v>
      </c>
      <c r="J954" s="225">
        <v>0</v>
      </c>
      <c r="K954" s="225">
        <v>20825</v>
      </c>
      <c r="L9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-20825</v>
      </c>
      <c r="M954" s="225">
        <f>ROUND(IF(AND(Base_Periodo1[[#This Row],[Tipo_Linha]]="-",Base_Periodo1[[#This Row],[TIPOSALDO]]="D"),Base_Periodo1[[#This Row],[SALDO_ATUAL]]*-1,Base_Periodo1[[#This Row],[SALDO_ATUAL]]),4)</f>
        <v>20825</v>
      </c>
      <c r="N954" t="s">
        <v>116</v>
      </c>
      <c r="O954" t="s">
        <v>459</v>
      </c>
      <c r="P954" t="s">
        <v>459</v>
      </c>
      <c r="Q954">
        <v>7</v>
      </c>
      <c r="R954" s="225">
        <f>Base_Periodo1[[#This Row],[CREDITOS]]-Base_Periodo1[[#This Row],[DEBITOS]]</f>
        <v>0</v>
      </c>
      <c r="S954" s="3" t="str">
        <f>IF(ISERROR(VLOOKUP(Base_Periodo1[[#This Row],[CONTA]],BaseContasDRE[#All],4,FALSE)),"Fora do DRE",VLOOKUP(Base_Periodo1[[#This Row],[CONTA]],BaseContasDRE[#All],4,FALSE))</f>
        <v>Fora do DRE</v>
      </c>
      <c r="T954" s="3" t="str">
        <f>IF(ISERROR(VLOOKUP(Base_Periodo1[[#This Row],[CONTA]],BaseContasDRE[#All],5,FALSE)),"Fora do DRE",VLOOKUP(Base_Periodo1[[#This Row],[CONTA]],BaseContasDRE[#All],6,FALSE))</f>
        <v>Fora do DRE</v>
      </c>
      <c r="U954" s="3" t="str">
        <f>IF(ISERROR(VLOOKUP(Base_Periodo1[[#This Row],[CONTA]],BaseContasDRE[#All],7,FALSE)),"Fora do DRE",VLOOKUP(Base_Periodo1[[#This Row],[CONTA]],BaseContasDRE[#All],7,FALSE))</f>
        <v>Fora do DRE</v>
      </c>
      <c r="V954" s="3" t="str">
        <f>IF(Base_Periodo1[[#This Row],[Tipo_Linha]]="Fora do DRE","Fora do DRE","( "&amp;Base_Periodo1[[#This Row],[Tipo_Linha]]&amp;" ) "&amp;Base_Periodo1[[#This Row],[Filtro]])</f>
        <v>Fora do DRE</v>
      </c>
      <c r="W954" s="3" t="str">
        <f>LEFT(Base_Periodo1[[#This Row],[CLASS]],3)</f>
        <v>1.1</v>
      </c>
    </row>
    <row r="955" spans="1:23" hidden="1">
      <c r="A955" s="3" t="str">
        <f t="shared" si="14"/>
        <v>Período 1</v>
      </c>
      <c r="B955">
        <v>56974</v>
      </c>
      <c r="C955" t="s">
        <v>922</v>
      </c>
      <c r="D955" t="s">
        <v>6170</v>
      </c>
      <c r="E955" s="3" t="str">
        <f>IF(LEN(Base_Periodo1[[#This Row],[CLASS]])&gt;=7,LEFT(Base_Periodo1[[#This Row],[CLASS]],7),"")</f>
        <v>1.1.2.2</v>
      </c>
      <c r="F955" s="3" t="str">
        <f>VLOOKUP(Base_Periodo1[[#This Row],[Aux]],Base_Contas_Balanco[#All],2,FALSE)</f>
        <v>Creditos com não Cooperados</v>
      </c>
      <c r="G955" s="1">
        <v>42797</v>
      </c>
      <c r="H955" s="225">
        <v>500</v>
      </c>
      <c r="I955" s="225">
        <v>0</v>
      </c>
      <c r="J955" s="225">
        <v>0</v>
      </c>
      <c r="K955" s="225">
        <v>500</v>
      </c>
      <c r="L9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955" s="225">
        <f>ROUND(IF(AND(Base_Periodo1[[#This Row],[Tipo_Linha]]="-",Base_Periodo1[[#This Row],[TIPOSALDO]]="D"),Base_Periodo1[[#This Row],[SALDO_ATUAL]]*-1,Base_Periodo1[[#This Row],[SALDO_ATUAL]]),4)</f>
        <v>500</v>
      </c>
      <c r="N955" t="s">
        <v>116</v>
      </c>
      <c r="O955" t="s">
        <v>397</v>
      </c>
      <c r="P955" t="s">
        <v>397</v>
      </c>
      <c r="Q955">
        <v>7</v>
      </c>
      <c r="R955" s="225">
        <f>Base_Periodo1[[#This Row],[CREDITOS]]-Base_Periodo1[[#This Row],[DEBITOS]]</f>
        <v>0</v>
      </c>
      <c r="S955" s="3" t="str">
        <f>IF(ISERROR(VLOOKUP(Base_Periodo1[[#This Row],[CONTA]],BaseContasDRE[#All],4,FALSE)),"Fora do DRE",VLOOKUP(Base_Periodo1[[#This Row],[CONTA]],BaseContasDRE[#All],4,FALSE))</f>
        <v>Fora do DRE</v>
      </c>
      <c r="T955" s="3" t="str">
        <f>IF(ISERROR(VLOOKUP(Base_Periodo1[[#This Row],[CONTA]],BaseContasDRE[#All],5,FALSE)),"Fora do DRE",VLOOKUP(Base_Periodo1[[#This Row],[CONTA]],BaseContasDRE[#All],6,FALSE))</f>
        <v>Fora do DRE</v>
      </c>
      <c r="U955" s="3" t="str">
        <f>IF(ISERROR(VLOOKUP(Base_Periodo1[[#This Row],[CONTA]],BaseContasDRE[#All],7,FALSE)),"Fora do DRE",VLOOKUP(Base_Periodo1[[#This Row],[CONTA]],BaseContasDRE[#All],7,FALSE))</f>
        <v>Fora do DRE</v>
      </c>
      <c r="V955" s="3" t="str">
        <f>IF(Base_Periodo1[[#This Row],[Tipo_Linha]]="Fora do DRE","Fora do DRE","( "&amp;Base_Periodo1[[#This Row],[Tipo_Linha]]&amp;" ) "&amp;Base_Periodo1[[#This Row],[Filtro]])</f>
        <v>Fora do DRE</v>
      </c>
      <c r="W955" s="3" t="str">
        <f>LEFT(Base_Periodo1[[#This Row],[CLASS]],3)</f>
        <v>1.1</v>
      </c>
    </row>
    <row r="956" spans="1:23" hidden="1">
      <c r="A956" s="3" t="str">
        <f t="shared" si="14"/>
        <v>Período 1</v>
      </c>
      <c r="B956">
        <v>55681</v>
      </c>
      <c r="C956" t="s">
        <v>922</v>
      </c>
      <c r="D956" t="s">
        <v>5399</v>
      </c>
      <c r="E956" s="3" t="str">
        <f>IF(LEN(Base_Periodo1[[#This Row],[CLASS]])&gt;=7,LEFT(Base_Periodo1[[#This Row],[CLASS]],7),"")</f>
        <v>1.1.2.2</v>
      </c>
      <c r="F956" s="3" t="str">
        <f>VLOOKUP(Base_Periodo1[[#This Row],[Aux]],Base_Contas_Balanco[#All],2,FALSE)</f>
        <v>Creditos com não Cooperados</v>
      </c>
      <c r="G956" s="1">
        <v>42866</v>
      </c>
      <c r="H956" s="225">
        <v>49980</v>
      </c>
      <c r="I956" s="225">
        <v>0</v>
      </c>
      <c r="J956" s="225">
        <v>49980</v>
      </c>
      <c r="K956" s="225">
        <v>0</v>
      </c>
      <c r="L9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56" s="225">
        <f>ROUND(IF(AND(Base_Periodo1[[#This Row],[Tipo_Linha]]="-",Base_Periodo1[[#This Row],[TIPOSALDO]]="D"),Base_Periodo1[[#This Row],[SALDO_ATUAL]]*-1,Base_Periodo1[[#This Row],[SALDO_ATUAL]]),4)</f>
        <v>0</v>
      </c>
      <c r="N956" t="s">
        <v>116</v>
      </c>
      <c r="O956" t="s">
        <v>397</v>
      </c>
      <c r="P956" t="s">
        <v>436</v>
      </c>
      <c r="Q956">
        <v>7</v>
      </c>
      <c r="R956" s="225">
        <f>Base_Periodo1[[#This Row],[CREDITOS]]-Base_Periodo1[[#This Row],[DEBITOS]]</f>
        <v>49980</v>
      </c>
      <c r="S956" s="3" t="str">
        <f>IF(ISERROR(VLOOKUP(Base_Periodo1[[#This Row],[CONTA]],BaseContasDRE[#All],4,FALSE)),"Fora do DRE",VLOOKUP(Base_Periodo1[[#This Row],[CONTA]],BaseContasDRE[#All],4,FALSE))</f>
        <v>Fora do DRE</v>
      </c>
      <c r="T956" s="3" t="str">
        <f>IF(ISERROR(VLOOKUP(Base_Periodo1[[#This Row],[CONTA]],BaseContasDRE[#All],5,FALSE)),"Fora do DRE",VLOOKUP(Base_Periodo1[[#This Row],[CONTA]],BaseContasDRE[#All],6,FALSE))</f>
        <v>Fora do DRE</v>
      </c>
      <c r="U956" s="3" t="str">
        <f>IF(ISERROR(VLOOKUP(Base_Periodo1[[#This Row],[CONTA]],BaseContasDRE[#All],7,FALSE)),"Fora do DRE",VLOOKUP(Base_Periodo1[[#This Row],[CONTA]],BaseContasDRE[#All],7,FALSE))</f>
        <v>Fora do DRE</v>
      </c>
      <c r="V956" s="3" t="str">
        <f>IF(Base_Periodo1[[#This Row],[Tipo_Linha]]="Fora do DRE","Fora do DRE","( "&amp;Base_Periodo1[[#This Row],[Tipo_Linha]]&amp;" ) "&amp;Base_Periodo1[[#This Row],[Filtro]])</f>
        <v>Fora do DRE</v>
      </c>
      <c r="W956" s="3" t="str">
        <f>LEFT(Base_Periodo1[[#This Row],[CLASS]],3)</f>
        <v>1.1</v>
      </c>
    </row>
    <row r="957" spans="1:23" hidden="1">
      <c r="A957" s="3" t="str">
        <f t="shared" si="14"/>
        <v>Período 1</v>
      </c>
      <c r="B957">
        <v>54511</v>
      </c>
      <c r="C957" t="s">
        <v>922</v>
      </c>
      <c r="D957" t="s">
        <v>5400</v>
      </c>
      <c r="E957" s="3" t="str">
        <f>IF(LEN(Base_Periodo1[[#This Row],[CLASS]])&gt;=7,LEFT(Base_Periodo1[[#This Row],[CLASS]],7),"")</f>
        <v>1.1.2.2</v>
      </c>
      <c r="F957" s="3" t="str">
        <f>VLOOKUP(Base_Periodo1[[#This Row],[Aux]],Base_Contas_Balanco[#All],2,FALSE)</f>
        <v>Creditos com não Cooperados</v>
      </c>
      <c r="G957" s="1">
        <v>42748</v>
      </c>
      <c r="H957" s="225">
        <v>500</v>
      </c>
      <c r="I957" s="225">
        <v>0</v>
      </c>
      <c r="J957" s="225">
        <v>0</v>
      </c>
      <c r="K957" s="225">
        <v>500</v>
      </c>
      <c r="L9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957" s="225">
        <f>ROUND(IF(AND(Base_Periodo1[[#This Row],[Tipo_Linha]]="-",Base_Periodo1[[#This Row],[TIPOSALDO]]="D"),Base_Periodo1[[#This Row],[SALDO_ATUAL]]*-1,Base_Periodo1[[#This Row],[SALDO_ATUAL]]),4)</f>
        <v>500</v>
      </c>
      <c r="N957" t="s">
        <v>116</v>
      </c>
      <c r="O957" t="s">
        <v>397</v>
      </c>
      <c r="P957" t="s">
        <v>397</v>
      </c>
      <c r="Q957">
        <v>7</v>
      </c>
      <c r="R957" s="225">
        <f>Base_Periodo1[[#This Row],[CREDITOS]]-Base_Periodo1[[#This Row],[DEBITOS]]</f>
        <v>0</v>
      </c>
      <c r="S957" s="3" t="str">
        <f>IF(ISERROR(VLOOKUP(Base_Periodo1[[#This Row],[CONTA]],BaseContasDRE[#All],4,FALSE)),"Fora do DRE",VLOOKUP(Base_Periodo1[[#This Row],[CONTA]],BaseContasDRE[#All],4,FALSE))</f>
        <v>Fora do DRE</v>
      </c>
      <c r="T957" s="3" t="str">
        <f>IF(ISERROR(VLOOKUP(Base_Periodo1[[#This Row],[CONTA]],BaseContasDRE[#All],5,FALSE)),"Fora do DRE",VLOOKUP(Base_Periodo1[[#This Row],[CONTA]],BaseContasDRE[#All],6,FALSE))</f>
        <v>Fora do DRE</v>
      </c>
      <c r="U957" s="3" t="str">
        <f>IF(ISERROR(VLOOKUP(Base_Periodo1[[#This Row],[CONTA]],BaseContasDRE[#All],7,FALSE)),"Fora do DRE",VLOOKUP(Base_Periodo1[[#This Row],[CONTA]],BaseContasDRE[#All],7,FALSE))</f>
        <v>Fora do DRE</v>
      </c>
      <c r="V957" s="3" t="str">
        <f>IF(Base_Periodo1[[#This Row],[Tipo_Linha]]="Fora do DRE","Fora do DRE","( "&amp;Base_Periodo1[[#This Row],[Tipo_Linha]]&amp;" ) "&amp;Base_Periodo1[[#This Row],[Filtro]])</f>
        <v>Fora do DRE</v>
      </c>
      <c r="W957" s="3" t="str">
        <f>LEFT(Base_Periodo1[[#This Row],[CLASS]],3)</f>
        <v>1.1</v>
      </c>
    </row>
    <row r="958" spans="1:23" hidden="1">
      <c r="A958" s="3" t="str">
        <f t="shared" si="14"/>
        <v>Período 1</v>
      </c>
      <c r="B958">
        <v>29684</v>
      </c>
      <c r="C958" t="s">
        <v>922</v>
      </c>
      <c r="D958" t="s">
        <v>6761</v>
      </c>
      <c r="E958" s="3" t="str">
        <f>IF(LEN(Base_Periodo1[[#This Row],[CLASS]])&gt;=7,LEFT(Base_Periodo1[[#This Row],[CLASS]],7),"")</f>
        <v>1.1.2.2</v>
      </c>
      <c r="F958" s="3" t="str">
        <f>VLOOKUP(Base_Periodo1[[#This Row],[Aux]],Base_Contas_Balanco[#All],2,FALSE)</f>
        <v>Creditos com não Cooperados</v>
      </c>
      <c r="G958" s="1">
        <v>42885</v>
      </c>
      <c r="I958" s="225">
        <v>4640</v>
      </c>
      <c r="J958" s="225">
        <v>4640</v>
      </c>
      <c r="K958" s="225">
        <v>0</v>
      </c>
      <c r="L9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58" s="225">
        <f>ROUND(IF(AND(Base_Periodo1[[#This Row],[Tipo_Linha]]="-",Base_Periodo1[[#This Row],[TIPOSALDO]]="D"),Base_Periodo1[[#This Row],[SALDO_ATUAL]]*-1,Base_Periodo1[[#This Row],[SALDO_ATUAL]]),4)</f>
        <v>0</v>
      </c>
      <c r="N958" t="s">
        <v>116</v>
      </c>
      <c r="O958" t="s">
        <v>436</v>
      </c>
      <c r="P958" t="s">
        <v>436</v>
      </c>
      <c r="Q958">
        <v>7</v>
      </c>
      <c r="R958" s="225">
        <f>Base_Periodo1[[#This Row],[CREDITOS]]-Base_Periodo1[[#This Row],[DEBITOS]]</f>
        <v>0</v>
      </c>
      <c r="S958" s="3" t="str">
        <f>IF(ISERROR(VLOOKUP(Base_Periodo1[[#This Row],[CONTA]],BaseContasDRE[#All],4,FALSE)),"Fora do DRE",VLOOKUP(Base_Periodo1[[#This Row],[CONTA]],BaseContasDRE[#All],4,FALSE))</f>
        <v>Fora do DRE</v>
      </c>
      <c r="T958" s="3" t="str">
        <f>IF(ISERROR(VLOOKUP(Base_Periodo1[[#This Row],[CONTA]],BaseContasDRE[#All],5,FALSE)),"Fora do DRE",VLOOKUP(Base_Periodo1[[#This Row],[CONTA]],BaseContasDRE[#All],6,FALSE))</f>
        <v>Fora do DRE</v>
      </c>
      <c r="U958" s="3" t="str">
        <f>IF(ISERROR(VLOOKUP(Base_Periodo1[[#This Row],[CONTA]],BaseContasDRE[#All],7,FALSE)),"Fora do DRE",VLOOKUP(Base_Periodo1[[#This Row],[CONTA]],BaseContasDRE[#All],7,FALSE))</f>
        <v>Fora do DRE</v>
      </c>
      <c r="V958" s="3" t="str">
        <f>IF(Base_Periodo1[[#This Row],[Tipo_Linha]]="Fora do DRE","Fora do DRE","( "&amp;Base_Periodo1[[#This Row],[Tipo_Linha]]&amp;" ) "&amp;Base_Periodo1[[#This Row],[Filtro]])</f>
        <v>Fora do DRE</v>
      </c>
      <c r="W958" s="3" t="str">
        <f>LEFT(Base_Periodo1[[#This Row],[CLASS]],3)</f>
        <v>1.1</v>
      </c>
    </row>
    <row r="959" spans="1:23" hidden="1">
      <c r="A959" s="3" t="str">
        <f t="shared" si="14"/>
        <v>Período 1</v>
      </c>
      <c r="B959">
        <v>34589</v>
      </c>
      <c r="C959" t="s">
        <v>922</v>
      </c>
      <c r="D959" t="s">
        <v>6762</v>
      </c>
      <c r="E959" s="3" t="str">
        <f>IF(LEN(Base_Periodo1[[#This Row],[CLASS]])&gt;=7,LEFT(Base_Periodo1[[#This Row],[CLASS]],7),"")</f>
        <v>1.1.2.2</v>
      </c>
      <c r="F959" s="3" t="str">
        <f>VLOOKUP(Base_Periodo1[[#This Row],[Aux]],Base_Contas_Balanco[#All],2,FALSE)</f>
        <v>Creditos com não Cooperados</v>
      </c>
      <c r="G959" s="1">
        <v>42877</v>
      </c>
      <c r="I959" s="225">
        <v>576</v>
      </c>
      <c r="J959" s="225">
        <v>0</v>
      </c>
      <c r="K959" s="225">
        <v>576</v>
      </c>
      <c r="L9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576</v>
      </c>
      <c r="M959" s="225">
        <f>ROUND(IF(AND(Base_Periodo1[[#This Row],[Tipo_Linha]]="-",Base_Periodo1[[#This Row],[TIPOSALDO]]="D"),Base_Periodo1[[#This Row],[SALDO_ATUAL]]*-1,Base_Periodo1[[#This Row],[SALDO_ATUAL]]),4)</f>
        <v>576</v>
      </c>
      <c r="N959" t="s">
        <v>116</v>
      </c>
      <c r="O959" t="s">
        <v>436</v>
      </c>
      <c r="P959" t="s">
        <v>397</v>
      </c>
      <c r="Q959">
        <v>7</v>
      </c>
      <c r="R959" s="225">
        <f>Base_Periodo1[[#This Row],[CREDITOS]]-Base_Periodo1[[#This Row],[DEBITOS]]</f>
        <v>-576</v>
      </c>
      <c r="S959" s="3" t="str">
        <f>IF(ISERROR(VLOOKUP(Base_Periodo1[[#This Row],[CONTA]],BaseContasDRE[#All],4,FALSE)),"Fora do DRE",VLOOKUP(Base_Periodo1[[#This Row],[CONTA]],BaseContasDRE[#All],4,FALSE))</f>
        <v>Fora do DRE</v>
      </c>
      <c r="T959" s="3" t="str">
        <f>IF(ISERROR(VLOOKUP(Base_Periodo1[[#This Row],[CONTA]],BaseContasDRE[#All],5,FALSE)),"Fora do DRE",VLOOKUP(Base_Periodo1[[#This Row],[CONTA]],BaseContasDRE[#All],6,FALSE))</f>
        <v>Fora do DRE</v>
      </c>
      <c r="U959" s="3" t="str">
        <f>IF(ISERROR(VLOOKUP(Base_Periodo1[[#This Row],[CONTA]],BaseContasDRE[#All],7,FALSE)),"Fora do DRE",VLOOKUP(Base_Periodo1[[#This Row],[CONTA]],BaseContasDRE[#All],7,FALSE))</f>
        <v>Fora do DRE</v>
      </c>
      <c r="V959" s="3" t="str">
        <f>IF(Base_Periodo1[[#This Row],[Tipo_Linha]]="Fora do DRE","Fora do DRE","( "&amp;Base_Periodo1[[#This Row],[Tipo_Linha]]&amp;" ) "&amp;Base_Periodo1[[#This Row],[Filtro]])</f>
        <v>Fora do DRE</v>
      </c>
      <c r="W959" s="3" t="str">
        <f>LEFT(Base_Periodo1[[#This Row],[CLASS]],3)</f>
        <v>1.1</v>
      </c>
    </row>
    <row r="960" spans="1:23" hidden="1">
      <c r="A960" s="3" t="str">
        <f t="shared" si="14"/>
        <v>Período 1</v>
      </c>
      <c r="B960">
        <v>36159</v>
      </c>
      <c r="C960" t="s">
        <v>922</v>
      </c>
      <c r="D960" t="s">
        <v>4920</v>
      </c>
      <c r="E960" s="3" t="str">
        <f>IF(LEN(Base_Periodo1[[#This Row],[CLASS]])&gt;=7,LEFT(Base_Periodo1[[#This Row],[CLASS]],7),"")</f>
        <v>1.1.2.2</v>
      </c>
      <c r="F960" s="3" t="str">
        <f>VLOOKUP(Base_Periodo1[[#This Row],[Aux]],Base_Contas_Balanco[#All],2,FALSE)</f>
        <v>Creditos com não Cooperados</v>
      </c>
      <c r="G960" s="1">
        <v>42880</v>
      </c>
      <c r="I960" s="225">
        <v>815</v>
      </c>
      <c r="J960" s="225">
        <v>0</v>
      </c>
      <c r="K960" s="225">
        <v>815</v>
      </c>
      <c r="L9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815</v>
      </c>
      <c r="M960" s="225">
        <f>ROUND(IF(AND(Base_Periodo1[[#This Row],[Tipo_Linha]]="-",Base_Periodo1[[#This Row],[TIPOSALDO]]="D"),Base_Periodo1[[#This Row],[SALDO_ATUAL]]*-1,Base_Periodo1[[#This Row],[SALDO_ATUAL]]),4)</f>
        <v>815</v>
      </c>
      <c r="N960" t="s">
        <v>116</v>
      </c>
      <c r="O960" t="s">
        <v>436</v>
      </c>
      <c r="P960" t="s">
        <v>397</v>
      </c>
      <c r="Q960">
        <v>7</v>
      </c>
      <c r="R960" s="225">
        <f>Base_Periodo1[[#This Row],[CREDITOS]]-Base_Periodo1[[#This Row],[DEBITOS]]</f>
        <v>-815</v>
      </c>
      <c r="S960" s="3" t="str">
        <f>IF(ISERROR(VLOOKUP(Base_Periodo1[[#This Row],[CONTA]],BaseContasDRE[#All],4,FALSE)),"Fora do DRE",VLOOKUP(Base_Periodo1[[#This Row],[CONTA]],BaseContasDRE[#All],4,FALSE))</f>
        <v>Fora do DRE</v>
      </c>
      <c r="T960" s="3" t="str">
        <f>IF(ISERROR(VLOOKUP(Base_Periodo1[[#This Row],[CONTA]],BaseContasDRE[#All],5,FALSE)),"Fora do DRE",VLOOKUP(Base_Periodo1[[#This Row],[CONTA]],BaseContasDRE[#All],6,FALSE))</f>
        <v>Fora do DRE</v>
      </c>
      <c r="U960" s="3" t="str">
        <f>IF(ISERROR(VLOOKUP(Base_Periodo1[[#This Row],[CONTA]],BaseContasDRE[#All],7,FALSE)),"Fora do DRE",VLOOKUP(Base_Periodo1[[#This Row],[CONTA]],BaseContasDRE[#All],7,FALSE))</f>
        <v>Fora do DRE</v>
      </c>
      <c r="V960" s="3" t="str">
        <f>IF(Base_Periodo1[[#This Row],[Tipo_Linha]]="Fora do DRE","Fora do DRE","( "&amp;Base_Periodo1[[#This Row],[Tipo_Linha]]&amp;" ) "&amp;Base_Periodo1[[#This Row],[Filtro]])</f>
        <v>Fora do DRE</v>
      </c>
      <c r="W960" s="3" t="str">
        <f>LEFT(Base_Periodo1[[#This Row],[CLASS]],3)</f>
        <v>1.1</v>
      </c>
    </row>
    <row r="961" spans="1:23" hidden="1">
      <c r="A961" s="3" t="str">
        <f t="shared" si="14"/>
        <v>Período 1</v>
      </c>
      <c r="B961">
        <v>7269</v>
      </c>
      <c r="C961" t="s">
        <v>922</v>
      </c>
      <c r="D961" t="s">
        <v>6460</v>
      </c>
      <c r="E961" s="3" t="str">
        <f>IF(LEN(Base_Periodo1[[#This Row],[CLASS]])&gt;=7,LEFT(Base_Periodo1[[#This Row],[CLASS]],7),"")</f>
        <v>1.1.2.2</v>
      </c>
      <c r="F961" s="3" t="str">
        <f>VLOOKUP(Base_Periodo1[[#This Row],[Aux]],Base_Contas_Balanco[#All],2,FALSE)</f>
        <v>Creditos com não Cooperados</v>
      </c>
      <c r="G961" s="1">
        <v>42864</v>
      </c>
      <c r="I961" s="225">
        <v>2500</v>
      </c>
      <c r="J961" s="225">
        <v>0</v>
      </c>
      <c r="K961" s="225">
        <v>2500</v>
      </c>
      <c r="L9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2500</v>
      </c>
      <c r="M961" s="225">
        <f>ROUND(IF(AND(Base_Periodo1[[#This Row],[Tipo_Linha]]="-",Base_Periodo1[[#This Row],[TIPOSALDO]]="D"),Base_Periodo1[[#This Row],[SALDO_ATUAL]]*-1,Base_Periodo1[[#This Row],[SALDO_ATUAL]]),4)</f>
        <v>2500</v>
      </c>
      <c r="N961" t="s">
        <v>116</v>
      </c>
      <c r="O961" t="s">
        <v>436</v>
      </c>
      <c r="P961" t="s">
        <v>397</v>
      </c>
      <c r="Q961">
        <v>7</v>
      </c>
      <c r="R961" s="225">
        <f>Base_Periodo1[[#This Row],[CREDITOS]]-Base_Periodo1[[#This Row],[DEBITOS]]</f>
        <v>-2500</v>
      </c>
      <c r="S961" s="3" t="str">
        <f>IF(ISERROR(VLOOKUP(Base_Periodo1[[#This Row],[CONTA]],BaseContasDRE[#All],4,FALSE)),"Fora do DRE",VLOOKUP(Base_Periodo1[[#This Row],[CONTA]],BaseContasDRE[#All],4,FALSE))</f>
        <v>Fora do DRE</v>
      </c>
      <c r="T961" s="3" t="str">
        <f>IF(ISERROR(VLOOKUP(Base_Periodo1[[#This Row],[CONTA]],BaseContasDRE[#All],5,FALSE)),"Fora do DRE",VLOOKUP(Base_Periodo1[[#This Row],[CONTA]],BaseContasDRE[#All],6,FALSE))</f>
        <v>Fora do DRE</v>
      </c>
      <c r="U961" s="3" t="str">
        <f>IF(ISERROR(VLOOKUP(Base_Periodo1[[#This Row],[CONTA]],BaseContasDRE[#All],7,FALSE)),"Fora do DRE",VLOOKUP(Base_Periodo1[[#This Row],[CONTA]],BaseContasDRE[#All],7,FALSE))</f>
        <v>Fora do DRE</v>
      </c>
      <c r="V961" s="3" t="str">
        <f>IF(Base_Periodo1[[#This Row],[Tipo_Linha]]="Fora do DRE","Fora do DRE","( "&amp;Base_Periodo1[[#This Row],[Tipo_Linha]]&amp;" ) "&amp;Base_Periodo1[[#This Row],[Filtro]])</f>
        <v>Fora do DRE</v>
      </c>
      <c r="W961" s="3" t="str">
        <f>LEFT(Base_Periodo1[[#This Row],[CLASS]],3)</f>
        <v>1.1</v>
      </c>
    </row>
    <row r="962" spans="1:23" hidden="1">
      <c r="A962" s="3" t="str">
        <f t="shared" si="14"/>
        <v>Período 1</v>
      </c>
      <c r="B962">
        <v>40835</v>
      </c>
      <c r="C962" t="s">
        <v>922</v>
      </c>
      <c r="D962" t="s">
        <v>658</v>
      </c>
      <c r="E962" s="3" t="str">
        <f>IF(LEN(Base_Periodo1[[#This Row],[CLASS]])&gt;=7,LEFT(Base_Periodo1[[#This Row],[CLASS]],7),"")</f>
        <v>1.1.2.2</v>
      </c>
      <c r="F962" s="3" t="str">
        <f>VLOOKUP(Base_Periodo1[[#This Row],[Aux]],Base_Contas_Balanco[#All],2,FALSE)</f>
        <v>Creditos com não Cooperados</v>
      </c>
      <c r="G962" s="1">
        <v>42324</v>
      </c>
      <c r="H962" s="225">
        <v>17400.400000000001</v>
      </c>
      <c r="I962" s="225">
        <v>0</v>
      </c>
      <c r="J962" s="225">
        <v>0</v>
      </c>
      <c r="K962" s="225">
        <v>17400.400000000001</v>
      </c>
      <c r="L9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17400.400000000001</v>
      </c>
      <c r="M962" s="225">
        <f>ROUND(IF(AND(Base_Periodo1[[#This Row],[Tipo_Linha]]="-",Base_Periodo1[[#This Row],[TIPOSALDO]]="D"),Base_Periodo1[[#This Row],[SALDO_ATUAL]]*-1,Base_Periodo1[[#This Row],[SALDO_ATUAL]]),4)</f>
        <v>17400.400000000001</v>
      </c>
      <c r="N962" t="s">
        <v>116</v>
      </c>
      <c r="O962" t="s">
        <v>397</v>
      </c>
      <c r="P962" t="s">
        <v>397</v>
      </c>
      <c r="Q962">
        <v>7</v>
      </c>
      <c r="R962" s="225">
        <f>Base_Periodo1[[#This Row],[CREDITOS]]-Base_Periodo1[[#This Row],[DEBITOS]]</f>
        <v>0</v>
      </c>
      <c r="S962" s="3" t="str">
        <f>IF(ISERROR(VLOOKUP(Base_Periodo1[[#This Row],[CONTA]],BaseContasDRE[#All],4,FALSE)),"Fora do DRE",VLOOKUP(Base_Periodo1[[#This Row],[CONTA]],BaseContasDRE[#All],4,FALSE))</f>
        <v>Fora do DRE</v>
      </c>
      <c r="T962" s="3" t="str">
        <f>IF(ISERROR(VLOOKUP(Base_Periodo1[[#This Row],[CONTA]],BaseContasDRE[#All],5,FALSE)),"Fora do DRE",VLOOKUP(Base_Periodo1[[#This Row],[CONTA]],BaseContasDRE[#All],6,FALSE))</f>
        <v>Fora do DRE</v>
      </c>
      <c r="U962" s="3" t="str">
        <f>IF(ISERROR(VLOOKUP(Base_Periodo1[[#This Row],[CONTA]],BaseContasDRE[#All],7,FALSE)),"Fora do DRE",VLOOKUP(Base_Periodo1[[#This Row],[CONTA]],BaseContasDRE[#All],7,FALSE))</f>
        <v>Fora do DRE</v>
      </c>
      <c r="V962" s="3" t="str">
        <f>IF(Base_Periodo1[[#This Row],[Tipo_Linha]]="Fora do DRE","Fora do DRE","( "&amp;Base_Periodo1[[#This Row],[Tipo_Linha]]&amp;" ) "&amp;Base_Periodo1[[#This Row],[Filtro]])</f>
        <v>Fora do DRE</v>
      </c>
      <c r="W962" s="3" t="str">
        <f>LEFT(Base_Periodo1[[#This Row],[CLASS]],3)</f>
        <v>1.1</v>
      </c>
    </row>
    <row r="963" spans="1:23" hidden="1">
      <c r="A963" s="3" t="str">
        <f t="shared" si="14"/>
        <v>Período 1</v>
      </c>
      <c r="B963">
        <v>3588</v>
      </c>
      <c r="C963" t="s">
        <v>922</v>
      </c>
      <c r="D963" t="s">
        <v>953</v>
      </c>
      <c r="E963" s="3" t="str">
        <f>IF(LEN(Base_Periodo1[[#This Row],[CLASS]])&gt;=7,LEFT(Base_Periodo1[[#This Row],[CLASS]],7),"")</f>
        <v>1.1.2.2</v>
      </c>
      <c r="F963" s="3" t="str">
        <f>VLOOKUP(Base_Periodo1[[#This Row],[Aux]],Base_Contas_Balanco[#All],2,FALSE)</f>
        <v>Creditos com não Cooperados</v>
      </c>
      <c r="G963" s="1">
        <v>42490</v>
      </c>
      <c r="H963" s="225">
        <v>76000</v>
      </c>
      <c r="I963" s="225">
        <v>0</v>
      </c>
      <c r="J963" s="225">
        <v>0</v>
      </c>
      <c r="K963" s="225">
        <v>76000</v>
      </c>
      <c r="L9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76000</v>
      </c>
      <c r="M963" s="225">
        <f>ROUND(IF(AND(Base_Periodo1[[#This Row],[Tipo_Linha]]="-",Base_Periodo1[[#This Row],[TIPOSALDO]]="D"),Base_Periodo1[[#This Row],[SALDO_ATUAL]]*-1,Base_Periodo1[[#This Row],[SALDO_ATUAL]]),4)</f>
        <v>76000</v>
      </c>
      <c r="N963" t="s">
        <v>116</v>
      </c>
      <c r="O963" t="s">
        <v>397</v>
      </c>
      <c r="P963" t="s">
        <v>397</v>
      </c>
      <c r="Q963">
        <v>7</v>
      </c>
      <c r="R963" s="225">
        <f>Base_Periodo1[[#This Row],[CREDITOS]]-Base_Periodo1[[#This Row],[DEBITOS]]</f>
        <v>0</v>
      </c>
      <c r="S963" s="3" t="str">
        <f>IF(ISERROR(VLOOKUP(Base_Periodo1[[#This Row],[CONTA]],BaseContasDRE[#All],4,FALSE)),"Fora do DRE",VLOOKUP(Base_Periodo1[[#This Row],[CONTA]],BaseContasDRE[#All],4,FALSE))</f>
        <v>Fora do DRE</v>
      </c>
      <c r="T963" s="3" t="str">
        <f>IF(ISERROR(VLOOKUP(Base_Periodo1[[#This Row],[CONTA]],BaseContasDRE[#All],5,FALSE)),"Fora do DRE",VLOOKUP(Base_Periodo1[[#This Row],[CONTA]],BaseContasDRE[#All],6,FALSE))</f>
        <v>Fora do DRE</v>
      </c>
      <c r="U963" s="3" t="str">
        <f>IF(ISERROR(VLOOKUP(Base_Periodo1[[#This Row],[CONTA]],BaseContasDRE[#All],7,FALSE)),"Fora do DRE",VLOOKUP(Base_Periodo1[[#This Row],[CONTA]],BaseContasDRE[#All],7,FALSE))</f>
        <v>Fora do DRE</v>
      </c>
      <c r="V963" s="3" t="str">
        <f>IF(Base_Periodo1[[#This Row],[Tipo_Linha]]="Fora do DRE","Fora do DRE","( "&amp;Base_Periodo1[[#This Row],[Tipo_Linha]]&amp;" ) "&amp;Base_Periodo1[[#This Row],[Filtro]])</f>
        <v>Fora do DRE</v>
      </c>
      <c r="W963" s="3" t="str">
        <f>LEFT(Base_Periodo1[[#This Row],[CLASS]],3)</f>
        <v>1.1</v>
      </c>
    </row>
    <row r="964" spans="1:23" hidden="1">
      <c r="A964" s="3" t="str">
        <f t="shared" si="14"/>
        <v>Período 1</v>
      </c>
      <c r="B964">
        <v>53998</v>
      </c>
      <c r="C964" t="s">
        <v>922</v>
      </c>
      <c r="D964" t="s">
        <v>5295</v>
      </c>
      <c r="E964" s="3" t="str">
        <f>IF(LEN(Base_Periodo1[[#This Row],[CLASS]])&gt;=7,LEFT(Base_Periodo1[[#This Row],[CLASS]],7),"")</f>
        <v>1.1.2.2</v>
      </c>
      <c r="F964" s="3" t="str">
        <f>VLOOKUP(Base_Periodo1[[#This Row],[Aux]],Base_Contas_Balanco[#All],2,FALSE)</f>
        <v>Creditos com não Cooperados</v>
      </c>
      <c r="G964" s="1">
        <v>42823</v>
      </c>
      <c r="H964" s="225">
        <v>11938.83</v>
      </c>
      <c r="I964" s="225">
        <v>0</v>
      </c>
      <c r="J964" s="225">
        <v>0</v>
      </c>
      <c r="K964" s="225">
        <v>11938.83</v>
      </c>
      <c r="L9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-11938.83</v>
      </c>
      <c r="M964" s="225">
        <f>ROUND(IF(AND(Base_Periodo1[[#This Row],[Tipo_Linha]]="-",Base_Periodo1[[#This Row],[TIPOSALDO]]="D"),Base_Periodo1[[#This Row],[SALDO_ATUAL]]*-1,Base_Periodo1[[#This Row],[SALDO_ATUAL]]),4)</f>
        <v>11938.83</v>
      </c>
      <c r="N964" t="s">
        <v>116</v>
      </c>
      <c r="O964" t="s">
        <v>459</v>
      </c>
      <c r="P964" t="s">
        <v>459</v>
      </c>
      <c r="Q964">
        <v>7</v>
      </c>
      <c r="R964" s="225">
        <f>Base_Periodo1[[#This Row],[CREDITOS]]-Base_Periodo1[[#This Row],[DEBITOS]]</f>
        <v>0</v>
      </c>
      <c r="S964" s="3" t="str">
        <f>IF(ISERROR(VLOOKUP(Base_Periodo1[[#This Row],[CONTA]],BaseContasDRE[#All],4,FALSE)),"Fora do DRE",VLOOKUP(Base_Periodo1[[#This Row],[CONTA]],BaseContasDRE[#All],4,FALSE))</f>
        <v>Fora do DRE</v>
      </c>
      <c r="T964" s="3" t="str">
        <f>IF(ISERROR(VLOOKUP(Base_Periodo1[[#This Row],[CONTA]],BaseContasDRE[#All],5,FALSE)),"Fora do DRE",VLOOKUP(Base_Periodo1[[#This Row],[CONTA]],BaseContasDRE[#All],6,FALSE))</f>
        <v>Fora do DRE</v>
      </c>
      <c r="U964" s="3" t="str">
        <f>IF(ISERROR(VLOOKUP(Base_Periodo1[[#This Row],[CONTA]],BaseContasDRE[#All],7,FALSE)),"Fora do DRE",VLOOKUP(Base_Periodo1[[#This Row],[CONTA]],BaseContasDRE[#All],7,FALSE))</f>
        <v>Fora do DRE</v>
      </c>
      <c r="V964" s="3" t="str">
        <f>IF(Base_Periodo1[[#This Row],[Tipo_Linha]]="Fora do DRE","Fora do DRE","( "&amp;Base_Periodo1[[#This Row],[Tipo_Linha]]&amp;" ) "&amp;Base_Periodo1[[#This Row],[Filtro]])</f>
        <v>Fora do DRE</v>
      </c>
      <c r="W964" s="3" t="str">
        <f>LEFT(Base_Periodo1[[#This Row],[CLASS]],3)</f>
        <v>1.1</v>
      </c>
    </row>
    <row r="965" spans="1:23" hidden="1">
      <c r="A965" s="3" t="str">
        <f t="shared" si="14"/>
        <v>Período 1</v>
      </c>
      <c r="B965">
        <v>12014</v>
      </c>
      <c r="C965" t="s">
        <v>922</v>
      </c>
      <c r="D965" t="s">
        <v>4827</v>
      </c>
      <c r="E965" s="3" t="str">
        <f>IF(LEN(Base_Periodo1[[#This Row],[CLASS]])&gt;=7,LEFT(Base_Periodo1[[#This Row],[CLASS]],7),"")</f>
        <v>1.1.2.2</v>
      </c>
      <c r="F965" s="3" t="str">
        <f>VLOOKUP(Base_Periodo1[[#This Row],[Aux]],Base_Contas_Balanco[#All],2,FALSE)</f>
        <v>Creditos com não Cooperados</v>
      </c>
      <c r="G965" s="1">
        <v>42844</v>
      </c>
      <c r="H965" s="225">
        <v>100000</v>
      </c>
      <c r="I965" s="225">
        <v>0</v>
      </c>
      <c r="J965" s="225">
        <v>0</v>
      </c>
      <c r="K965" s="225">
        <v>100000</v>
      </c>
      <c r="L9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100000</v>
      </c>
      <c r="M965" s="225">
        <f>ROUND(IF(AND(Base_Periodo1[[#This Row],[Tipo_Linha]]="-",Base_Periodo1[[#This Row],[TIPOSALDO]]="D"),Base_Periodo1[[#This Row],[SALDO_ATUAL]]*-1,Base_Periodo1[[#This Row],[SALDO_ATUAL]]),4)</f>
        <v>100000</v>
      </c>
      <c r="N965" t="s">
        <v>116</v>
      </c>
      <c r="O965" t="s">
        <v>397</v>
      </c>
      <c r="P965" t="s">
        <v>397</v>
      </c>
      <c r="Q965">
        <v>7</v>
      </c>
      <c r="R965" s="225">
        <f>Base_Periodo1[[#This Row],[CREDITOS]]-Base_Periodo1[[#This Row],[DEBITOS]]</f>
        <v>0</v>
      </c>
      <c r="S965" s="3" t="str">
        <f>IF(ISERROR(VLOOKUP(Base_Periodo1[[#This Row],[CONTA]],BaseContasDRE[#All],4,FALSE)),"Fora do DRE",VLOOKUP(Base_Periodo1[[#This Row],[CONTA]],BaseContasDRE[#All],4,FALSE))</f>
        <v>Fora do DRE</v>
      </c>
      <c r="T965" s="3" t="str">
        <f>IF(ISERROR(VLOOKUP(Base_Periodo1[[#This Row],[CONTA]],BaseContasDRE[#All],5,FALSE)),"Fora do DRE",VLOOKUP(Base_Periodo1[[#This Row],[CONTA]],BaseContasDRE[#All],6,FALSE))</f>
        <v>Fora do DRE</v>
      </c>
      <c r="U965" s="3" t="str">
        <f>IF(ISERROR(VLOOKUP(Base_Periodo1[[#This Row],[CONTA]],BaseContasDRE[#All],7,FALSE)),"Fora do DRE",VLOOKUP(Base_Periodo1[[#This Row],[CONTA]],BaseContasDRE[#All],7,FALSE))</f>
        <v>Fora do DRE</v>
      </c>
      <c r="V965" s="3" t="str">
        <f>IF(Base_Periodo1[[#This Row],[Tipo_Linha]]="Fora do DRE","Fora do DRE","( "&amp;Base_Periodo1[[#This Row],[Tipo_Linha]]&amp;" ) "&amp;Base_Periodo1[[#This Row],[Filtro]])</f>
        <v>Fora do DRE</v>
      </c>
      <c r="W965" s="3" t="str">
        <f>LEFT(Base_Periodo1[[#This Row],[CLASS]],3)</f>
        <v>1.1</v>
      </c>
    </row>
    <row r="966" spans="1:23" hidden="1">
      <c r="A966" s="3" t="str">
        <f t="shared" ref="A966:A1029" si="15">"Período 1"</f>
        <v>Período 1</v>
      </c>
      <c r="B966">
        <v>58669</v>
      </c>
      <c r="C966" t="s">
        <v>922</v>
      </c>
      <c r="D966" t="s">
        <v>6171</v>
      </c>
      <c r="E966" s="3" t="str">
        <f>IF(LEN(Base_Periodo1[[#This Row],[CLASS]])&gt;=7,LEFT(Base_Periodo1[[#This Row],[CLASS]],7),"")</f>
        <v>1.1.2.2</v>
      </c>
      <c r="F966" s="3" t="str">
        <f>VLOOKUP(Base_Periodo1[[#This Row],[Aux]],Base_Contas_Balanco[#All],2,FALSE)</f>
        <v>Creditos com não Cooperados</v>
      </c>
      <c r="G966" s="1">
        <v>42852</v>
      </c>
      <c r="H966" s="225">
        <v>1663.36</v>
      </c>
      <c r="I966" s="225">
        <v>0</v>
      </c>
      <c r="J966" s="225">
        <v>0</v>
      </c>
      <c r="K966" s="225">
        <v>1663.36</v>
      </c>
      <c r="L9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1663.36</v>
      </c>
      <c r="M966" s="225">
        <f>ROUND(IF(AND(Base_Periodo1[[#This Row],[Tipo_Linha]]="-",Base_Periodo1[[#This Row],[TIPOSALDO]]="D"),Base_Periodo1[[#This Row],[SALDO_ATUAL]]*-1,Base_Periodo1[[#This Row],[SALDO_ATUAL]]),4)</f>
        <v>1663.36</v>
      </c>
      <c r="N966" t="s">
        <v>116</v>
      </c>
      <c r="O966" t="s">
        <v>397</v>
      </c>
      <c r="P966" t="s">
        <v>397</v>
      </c>
      <c r="Q966">
        <v>7</v>
      </c>
      <c r="R966" s="225">
        <f>Base_Periodo1[[#This Row],[CREDITOS]]-Base_Periodo1[[#This Row],[DEBITOS]]</f>
        <v>0</v>
      </c>
      <c r="S966" s="3" t="str">
        <f>IF(ISERROR(VLOOKUP(Base_Periodo1[[#This Row],[CONTA]],BaseContasDRE[#All],4,FALSE)),"Fora do DRE",VLOOKUP(Base_Periodo1[[#This Row],[CONTA]],BaseContasDRE[#All],4,FALSE))</f>
        <v>Fora do DRE</v>
      </c>
      <c r="T966" s="3" t="str">
        <f>IF(ISERROR(VLOOKUP(Base_Periodo1[[#This Row],[CONTA]],BaseContasDRE[#All],5,FALSE)),"Fora do DRE",VLOOKUP(Base_Periodo1[[#This Row],[CONTA]],BaseContasDRE[#All],6,FALSE))</f>
        <v>Fora do DRE</v>
      </c>
      <c r="U966" s="3" t="str">
        <f>IF(ISERROR(VLOOKUP(Base_Periodo1[[#This Row],[CONTA]],BaseContasDRE[#All],7,FALSE)),"Fora do DRE",VLOOKUP(Base_Periodo1[[#This Row],[CONTA]],BaseContasDRE[#All],7,FALSE))</f>
        <v>Fora do DRE</v>
      </c>
      <c r="V966" s="3" t="str">
        <f>IF(Base_Periodo1[[#This Row],[Tipo_Linha]]="Fora do DRE","Fora do DRE","( "&amp;Base_Periodo1[[#This Row],[Tipo_Linha]]&amp;" ) "&amp;Base_Periodo1[[#This Row],[Filtro]])</f>
        <v>Fora do DRE</v>
      </c>
      <c r="W966" s="3" t="str">
        <f>LEFT(Base_Periodo1[[#This Row],[CLASS]],3)</f>
        <v>1.1</v>
      </c>
    </row>
    <row r="967" spans="1:23" hidden="1">
      <c r="A967" s="3" t="str">
        <f t="shared" si="15"/>
        <v>Período 1</v>
      </c>
      <c r="B967">
        <v>26392</v>
      </c>
      <c r="C967" t="s">
        <v>922</v>
      </c>
      <c r="D967" t="s">
        <v>954</v>
      </c>
      <c r="E967" s="3" t="str">
        <f>IF(LEN(Base_Periodo1[[#This Row],[CLASS]])&gt;=7,LEFT(Base_Periodo1[[#This Row],[CLASS]],7),"")</f>
        <v>1.1.2.2</v>
      </c>
      <c r="F967" s="3" t="str">
        <f>VLOOKUP(Base_Periodo1[[#This Row],[Aux]],Base_Contas_Balanco[#All],2,FALSE)</f>
        <v>Creditos com não Cooperados</v>
      </c>
      <c r="G967" s="1">
        <v>42570</v>
      </c>
      <c r="H967" s="225">
        <v>102148.54000000097</v>
      </c>
      <c r="I967" s="225">
        <v>0</v>
      </c>
      <c r="J967" s="225">
        <v>0</v>
      </c>
      <c r="K967" s="225">
        <v>102148.54000000097</v>
      </c>
      <c r="L9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102148.54</v>
      </c>
      <c r="M967" s="225">
        <f>ROUND(IF(AND(Base_Periodo1[[#This Row],[Tipo_Linha]]="-",Base_Periodo1[[#This Row],[TIPOSALDO]]="D"),Base_Periodo1[[#This Row],[SALDO_ATUAL]]*-1,Base_Periodo1[[#This Row],[SALDO_ATUAL]]),4)</f>
        <v>102148.54</v>
      </c>
      <c r="N967" t="s">
        <v>116</v>
      </c>
      <c r="O967" t="s">
        <v>397</v>
      </c>
      <c r="P967" t="s">
        <v>397</v>
      </c>
      <c r="Q967">
        <v>7</v>
      </c>
      <c r="R967" s="225">
        <f>Base_Periodo1[[#This Row],[CREDITOS]]-Base_Periodo1[[#This Row],[DEBITOS]]</f>
        <v>0</v>
      </c>
      <c r="S967" s="3" t="str">
        <f>IF(ISERROR(VLOOKUP(Base_Periodo1[[#This Row],[CONTA]],BaseContasDRE[#All],4,FALSE)),"Fora do DRE",VLOOKUP(Base_Periodo1[[#This Row],[CONTA]],BaseContasDRE[#All],4,FALSE))</f>
        <v>Fora do DRE</v>
      </c>
      <c r="T967" s="3" t="str">
        <f>IF(ISERROR(VLOOKUP(Base_Periodo1[[#This Row],[CONTA]],BaseContasDRE[#All],5,FALSE)),"Fora do DRE",VLOOKUP(Base_Periodo1[[#This Row],[CONTA]],BaseContasDRE[#All],6,FALSE))</f>
        <v>Fora do DRE</v>
      </c>
      <c r="U967" s="3" t="str">
        <f>IF(ISERROR(VLOOKUP(Base_Periodo1[[#This Row],[CONTA]],BaseContasDRE[#All],7,FALSE)),"Fora do DRE",VLOOKUP(Base_Periodo1[[#This Row],[CONTA]],BaseContasDRE[#All],7,FALSE))</f>
        <v>Fora do DRE</v>
      </c>
      <c r="V967" s="3" t="str">
        <f>IF(Base_Periodo1[[#This Row],[Tipo_Linha]]="Fora do DRE","Fora do DRE","( "&amp;Base_Periodo1[[#This Row],[Tipo_Linha]]&amp;" ) "&amp;Base_Periodo1[[#This Row],[Filtro]])</f>
        <v>Fora do DRE</v>
      </c>
      <c r="W967" s="3" t="str">
        <f>LEFT(Base_Periodo1[[#This Row],[CLASS]],3)</f>
        <v>1.1</v>
      </c>
    </row>
    <row r="968" spans="1:23" hidden="1">
      <c r="A968" s="3" t="str">
        <f t="shared" si="15"/>
        <v>Período 1</v>
      </c>
      <c r="B968">
        <v>50317</v>
      </c>
      <c r="C968" t="s">
        <v>922</v>
      </c>
      <c r="D968" t="s">
        <v>4425</v>
      </c>
      <c r="E968" s="3" t="str">
        <f>IF(LEN(Base_Periodo1[[#This Row],[CLASS]])&gt;=7,LEFT(Base_Periodo1[[#This Row],[CLASS]],7),"")</f>
        <v>1.1.2.2</v>
      </c>
      <c r="F968" s="3" t="str">
        <f>VLOOKUP(Base_Periodo1[[#This Row],[Aux]],Base_Contas_Balanco[#All],2,FALSE)</f>
        <v>Creditos com não Cooperados</v>
      </c>
      <c r="G968" s="1">
        <v>42775</v>
      </c>
      <c r="H968" s="225">
        <v>800</v>
      </c>
      <c r="I968" s="225">
        <v>0</v>
      </c>
      <c r="J968" s="225">
        <v>0</v>
      </c>
      <c r="K968" s="225">
        <v>800</v>
      </c>
      <c r="L9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800</v>
      </c>
      <c r="M968" s="225">
        <f>ROUND(IF(AND(Base_Periodo1[[#This Row],[Tipo_Linha]]="-",Base_Periodo1[[#This Row],[TIPOSALDO]]="D"),Base_Periodo1[[#This Row],[SALDO_ATUAL]]*-1,Base_Periodo1[[#This Row],[SALDO_ATUAL]]),4)</f>
        <v>800</v>
      </c>
      <c r="N968" t="s">
        <v>116</v>
      </c>
      <c r="O968" t="s">
        <v>397</v>
      </c>
      <c r="P968" t="s">
        <v>397</v>
      </c>
      <c r="Q968">
        <v>7</v>
      </c>
      <c r="R968" s="225">
        <f>Base_Periodo1[[#This Row],[CREDITOS]]-Base_Periodo1[[#This Row],[DEBITOS]]</f>
        <v>0</v>
      </c>
      <c r="S968" s="3" t="str">
        <f>IF(ISERROR(VLOOKUP(Base_Periodo1[[#This Row],[CONTA]],BaseContasDRE[#All],4,FALSE)),"Fora do DRE",VLOOKUP(Base_Periodo1[[#This Row],[CONTA]],BaseContasDRE[#All],4,FALSE))</f>
        <v>Fora do DRE</v>
      </c>
      <c r="T968" s="3" t="str">
        <f>IF(ISERROR(VLOOKUP(Base_Periodo1[[#This Row],[CONTA]],BaseContasDRE[#All],5,FALSE)),"Fora do DRE",VLOOKUP(Base_Periodo1[[#This Row],[CONTA]],BaseContasDRE[#All],6,FALSE))</f>
        <v>Fora do DRE</v>
      </c>
      <c r="U968" s="3" t="str">
        <f>IF(ISERROR(VLOOKUP(Base_Periodo1[[#This Row],[CONTA]],BaseContasDRE[#All],7,FALSE)),"Fora do DRE",VLOOKUP(Base_Periodo1[[#This Row],[CONTA]],BaseContasDRE[#All],7,FALSE))</f>
        <v>Fora do DRE</v>
      </c>
      <c r="V968" s="3" t="str">
        <f>IF(Base_Periodo1[[#This Row],[Tipo_Linha]]="Fora do DRE","Fora do DRE","( "&amp;Base_Periodo1[[#This Row],[Tipo_Linha]]&amp;" ) "&amp;Base_Periodo1[[#This Row],[Filtro]])</f>
        <v>Fora do DRE</v>
      </c>
      <c r="W968" s="3" t="str">
        <f>LEFT(Base_Periodo1[[#This Row],[CLASS]],3)</f>
        <v>1.1</v>
      </c>
    </row>
    <row r="969" spans="1:23" hidden="1">
      <c r="A969" s="3" t="str">
        <f t="shared" si="15"/>
        <v>Período 1</v>
      </c>
      <c r="B969">
        <v>54935</v>
      </c>
      <c r="C969" t="s">
        <v>922</v>
      </c>
      <c r="D969" t="s">
        <v>5495</v>
      </c>
      <c r="E969" s="3" t="str">
        <f>IF(LEN(Base_Periodo1[[#This Row],[CLASS]])&gt;=7,LEFT(Base_Periodo1[[#This Row],[CLASS]],7),"")</f>
        <v>1.1.2.2</v>
      </c>
      <c r="F969" s="3" t="str">
        <f>VLOOKUP(Base_Periodo1[[#This Row],[Aux]],Base_Contas_Balanco[#All],2,FALSE)</f>
        <v>Creditos com não Cooperados</v>
      </c>
      <c r="G969" s="1">
        <v>42857</v>
      </c>
      <c r="H969" s="225">
        <v>429.01000000000022</v>
      </c>
      <c r="I969" s="225">
        <v>0</v>
      </c>
      <c r="J969" s="225">
        <v>429.01</v>
      </c>
      <c r="K969" s="225">
        <v>2.2737367544323206E-13</v>
      </c>
      <c r="L9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69" s="225">
        <f>ROUND(IF(AND(Base_Periodo1[[#This Row],[Tipo_Linha]]="-",Base_Periodo1[[#This Row],[TIPOSALDO]]="D"),Base_Periodo1[[#This Row],[SALDO_ATUAL]]*-1,Base_Periodo1[[#This Row],[SALDO_ATUAL]]),4)</f>
        <v>0</v>
      </c>
      <c r="N969" t="s">
        <v>116</v>
      </c>
      <c r="O969" t="s">
        <v>397</v>
      </c>
      <c r="P969" t="s">
        <v>436</v>
      </c>
      <c r="Q969">
        <v>7</v>
      </c>
      <c r="R969" s="225">
        <f>Base_Periodo1[[#This Row],[CREDITOS]]-Base_Periodo1[[#This Row],[DEBITOS]]</f>
        <v>429.01</v>
      </c>
      <c r="S969" s="3" t="str">
        <f>IF(ISERROR(VLOOKUP(Base_Periodo1[[#This Row],[CONTA]],BaseContasDRE[#All],4,FALSE)),"Fora do DRE",VLOOKUP(Base_Periodo1[[#This Row],[CONTA]],BaseContasDRE[#All],4,FALSE))</f>
        <v>Fora do DRE</v>
      </c>
      <c r="T969" s="3" t="str">
        <f>IF(ISERROR(VLOOKUP(Base_Periodo1[[#This Row],[CONTA]],BaseContasDRE[#All],5,FALSE)),"Fora do DRE",VLOOKUP(Base_Periodo1[[#This Row],[CONTA]],BaseContasDRE[#All],6,FALSE))</f>
        <v>Fora do DRE</v>
      </c>
      <c r="U969" s="3" t="str">
        <f>IF(ISERROR(VLOOKUP(Base_Periodo1[[#This Row],[CONTA]],BaseContasDRE[#All],7,FALSE)),"Fora do DRE",VLOOKUP(Base_Periodo1[[#This Row],[CONTA]],BaseContasDRE[#All],7,FALSE))</f>
        <v>Fora do DRE</v>
      </c>
      <c r="V969" s="3" t="str">
        <f>IF(Base_Periodo1[[#This Row],[Tipo_Linha]]="Fora do DRE","Fora do DRE","( "&amp;Base_Periodo1[[#This Row],[Tipo_Linha]]&amp;" ) "&amp;Base_Periodo1[[#This Row],[Filtro]])</f>
        <v>Fora do DRE</v>
      </c>
      <c r="W969" s="3" t="str">
        <f>LEFT(Base_Periodo1[[#This Row],[CLASS]],3)</f>
        <v>1.1</v>
      </c>
    </row>
    <row r="970" spans="1:23" hidden="1">
      <c r="A970" s="3" t="str">
        <f t="shared" si="15"/>
        <v>Período 1</v>
      </c>
      <c r="B970">
        <v>7869</v>
      </c>
      <c r="C970" t="s">
        <v>922</v>
      </c>
      <c r="D970" t="s">
        <v>2057</v>
      </c>
      <c r="E970" s="3" t="str">
        <f>IF(LEN(Base_Periodo1[[#This Row],[CLASS]])&gt;=7,LEFT(Base_Periodo1[[#This Row],[CLASS]],7),"")</f>
        <v>1.1.2.2</v>
      </c>
      <c r="F970" s="3" t="str">
        <f>VLOOKUP(Base_Periodo1[[#This Row],[Aux]],Base_Contas_Balanco[#All],2,FALSE)</f>
        <v>Creditos com não Cooperados</v>
      </c>
      <c r="G970" s="1">
        <v>42884</v>
      </c>
      <c r="I970" s="225">
        <v>328592.59999999998</v>
      </c>
      <c r="J970" s="225">
        <v>328592.59999999998</v>
      </c>
      <c r="K970" s="225">
        <v>9.3132257461547852E-10</v>
      </c>
      <c r="L9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70" s="225">
        <f>ROUND(IF(AND(Base_Periodo1[[#This Row],[Tipo_Linha]]="-",Base_Periodo1[[#This Row],[TIPOSALDO]]="D"),Base_Periodo1[[#This Row],[SALDO_ATUAL]]*-1,Base_Periodo1[[#This Row],[SALDO_ATUAL]]),4)</f>
        <v>0</v>
      </c>
      <c r="N970" t="s">
        <v>116</v>
      </c>
      <c r="O970" t="s">
        <v>436</v>
      </c>
      <c r="P970" t="s">
        <v>436</v>
      </c>
      <c r="Q970">
        <v>7</v>
      </c>
      <c r="R970" s="225">
        <f>Base_Periodo1[[#This Row],[CREDITOS]]-Base_Periodo1[[#This Row],[DEBITOS]]</f>
        <v>0</v>
      </c>
      <c r="S970" s="3" t="str">
        <f>IF(ISERROR(VLOOKUP(Base_Periodo1[[#This Row],[CONTA]],BaseContasDRE[#All],4,FALSE)),"Fora do DRE",VLOOKUP(Base_Periodo1[[#This Row],[CONTA]],BaseContasDRE[#All],4,FALSE))</f>
        <v>Fora do DRE</v>
      </c>
      <c r="T970" s="3" t="str">
        <f>IF(ISERROR(VLOOKUP(Base_Periodo1[[#This Row],[CONTA]],BaseContasDRE[#All],5,FALSE)),"Fora do DRE",VLOOKUP(Base_Periodo1[[#This Row],[CONTA]],BaseContasDRE[#All],6,FALSE))</f>
        <v>Fora do DRE</v>
      </c>
      <c r="U970" s="3" t="str">
        <f>IF(ISERROR(VLOOKUP(Base_Periodo1[[#This Row],[CONTA]],BaseContasDRE[#All],7,FALSE)),"Fora do DRE",VLOOKUP(Base_Periodo1[[#This Row],[CONTA]],BaseContasDRE[#All],7,FALSE))</f>
        <v>Fora do DRE</v>
      </c>
      <c r="V970" s="3" t="str">
        <f>IF(Base_Periodo1[[#This Row],[Tipo_Linha]]="Fora do DRE","Fora do DRE","( "&amp;Base_Periodo1[[#This Row],[Tipo_Linha]]&amp;" ) "&amp;Base_Periodo1[[#This Row],[Filtro]])</f>
        <v>Fora do DRE</v>
      </c>
      <c r="W970" s="3" t="str">
        <f>LEFT(Base_Periodo1[[#This Row],[CLASS]],3)</f>
        <v>1.1</v>
      </c>
    </row>
    <row r="971" spans="1:23" hidden="1">
      <c r="A971" s="3" t="str">
        <f t="shared" si="15"/>
        <v>Período 1</v>
      </c>
      <c r="B971">
        <v>27576</v>
      </c>
      <c r="C971" t="s">
        <v>922</v>
      </c>
      <c r="D971" t="s">
        <v>955</v>
      </c>
      <c r="E971" s="3" t="str">
        <f>IF(LEN(Base_Periodo1[[#This Row],[CLASS]])&gt;=7,LEFT(Base_Periodo1[[#This Row],[CLASS]],7),"")</f>
        <v>1.1.2.2</v>
      </c>
      <c r="F971" s="3" t="str">
        <f>VLOOKUP(Base_Periodo1[[#This Row],[Aux]],Base_Contas_Balanco[#All],2,FALSE)</f>
        <v>Creditos com não Cooperados</v>
      </c>
      <c r="G971" s="1">
        <v>42333</v>
      </c>
      <c r="H971" s="225">
        <v>500</v>
      </c>
      <c r="I971" s="225">
        <v>0</v>
      </c>
      <c r="J971" s="225">
        <v>0</v>
      </c>
      <c r="K971" s="225">
        <v>500</v>
      </c>
      <c r="L9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971" s="225">
        <f>ROUND(IF(AND(Base_Periodo1[[#This Row],[Tipo_Linha]]="-",Base_Periodo1[[#This Row],[TIPOSALDO]]="D"),Base_Periodo1[[#This Row],[SALDO_ATUAL]]*-1,Base_Periodo1[[#This Row],[SALDO_ATUAL]]),4)</f>
        <v>500</v>
      </c>
      <c r="N971" t="s">
        <v>116</v>
      </c>
      <c r="O971" t="s">
        <v>397</v>
      </c>
      <c r="P971" t="s">
        <v>397</v>
      </c>
      <c r="Q971">
        <v>7</v>
      </c>
      <c r="R971" s="225">
        <f>Base_Periodo1[[#This Row],[CREDITOS]]-Base_Periodo1[[#This Row],[DEBITOS]]</f>
        <v>0</v>
      </c>
      <c r="S971" s="3" t="str">
        <f>IF(ISERROR(VLOOKUP(Base_Periodo1[[#This Row],[CONTA]],BaseContasDRE[#All],4,FALSE)),"Fora do DRE",VLOOKUP(Base_Periodo1[[#This Row],[CONTA]],BaseContasDRE[#All],4,FALSE))</f>
        <v>Fora do DRE</v>
      </c>
      <c r="T971" s="3" t="str">
        <f>IF(ISERROR(VLOOKUP(Base_Periodo1[[#This Row],[CONTA]],BaseContasDRE[#All],5,FALSE)),"Fora do DRE",VLOOKUP(Base_Periodo1[[#This Row],[CONTA]],BaseContasDRE[#All],6,FALSE))</f>
        <v>Fora do DRE</v>
      </c>
      <c r="U971" s="3" t="str">
        <f>IF(ISERROR(VLOOKUP(Base_Periodo1[[#This Row],[CONTA]],BaseContasDRE[#All],7,FALSE)),"Fora do DRE",VLOOKUP(Base_Periodo1[[#This Row],[CONTA]],BaseContasDRE[#All],7,FALSE))</f>
        <v>Fora do DRE</v>
      </c>
      <c r="V971" s="3" t="str">
        <f>IF(Base_Periodo1[[#This Row],[Tipo_Linha]]="Fora do DRE","Fora do DRE","( "&amp;Base_Periodo1[[#This Row],[Tipo_Linha]]&amp;" ) "&amp;Base_Periodo1[[#This Row],[Filtro]])</f>
        <v>Fora do DRE</v>
      </c>
      <c r="W971" s="3" t="str">
        <f>LEFT(Base_Periodo1[[#This Row],[CLASS]],3)</f>
        <v>1.1</v>
      </c>
    </row>
    <row r="972" spans="1:23" hidden="1">
      <c r="A972" s="3" t="str">
        <f t="shared" si="15"/>
        <v>Período 1</v>
      </c>
      <c r="B972">
        <v>33507</v>
      </c>
      <c r="C972" t="s">
        <v>922</v>
      </c>
      <c r="D972" t="s">
        <v>6763</v>
      </c>
      <c r="E972" s="3" t="str">
        <f>IF(LEN(Base_Periodo1[[#This Row],[CLASS]])&gt;=7,LEFT(Base_Periodo1[[#This Row],[CLASS]],7),"")</f>
        <v>1.1.2.2</v>
      </c>
      <c r="F972" s="3" t="str">
        <f>VLOOKUP(Base_Periodo1[[#This Row],[Aux]],Base_Contas_Balanco[#All],2,FALSE)</f>
        <v>Creditos com não Cooperados</v>
      </c>
      <c r="G972" s="1">
        <v>42877</v>
      </c>
      <c r="I972" s="225">
        <v>177650</v>
      </c>
      <c r="J972" s="225">
        <v>177650</v>
      </c>
      <c r="K972" s="225">
        <v>-1.1641532182693481E-10</v>
      </c>
      <c r="L9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72" s="225">
        <f>ROUND(IF(AND(Base_Periodo1[[#This Row],[Tipo_Linha]]="-",Base_Periodo1[[#This Row],[TIPOSALDO]]="D"),Base_Periodo1[[#This Row],[SALDO_ATUAL]]*-1,Base_Periodo1[[#This Row],[SALDO_ATUAL]]),4)</f>
        <v>0</v>
      </c>
      <c r="N972" t="s">
        <v>116</v>
      </c>
      <c r="O972" t="s">
        <v>436</v>
      </c>
      <c r="P972" t="s">
        <v>436</v>
      </c>
      <c r="Q972">
        <v>7</v>
      </c>
      <c r="R972" s="225">
        <f>Base_Periodo1[[#This Row],[CREDITOS]]-Base_Periodo1[[#This Row],[DEBITOS]]</f>
        <v>0</v>
      </c>
      <c r="S972" s="3" t="str">
        <f>IF(ISERROR(VLOOKUP(Base_Periodo1[[#This Row],[CONTA]],BaseContasDRE[#All],4,FALSE)),"Fora do DRE",VLOOKUP(Base_Periodo1[[#This Row],[CONTA]],BaseContasDRE[#All],4,FALSE))</f>
        <v>Fora do DRE</v>
      </c>
      <c r="T972" s="3" t="str">
        <f>IF(ISERROR(VLOOKUP(Base_Periodo1[[#This Row],[CONTA]],BaseContasDRE[#All],5,FALSE)),"Fora do DRE",VLOOKUP(Base_Periodo1[[#This Row],[CONTA]],BaseContasDRE[#All],6,FALSE))</f>
        <v>Fora do DRE</v>
      </c>
      <c r="U972" s="3" t="str">
        <f>IF(ISERROR(VLOOKUP(Base_Periodo1[[#This Row],[CONTA]],BaseContasDRE[#All],7,FALSE)),"Fora do DRE",VLOOKUP(Base_Periodo1[[#This Row],[CONTA]],BaseContasDRE[#All],7,FALSE))</f>
        <v>Fora do DRE</v>
      </c>
      <c r="V972" s="3" t="str">
        <f>IF(Base_Periodo1[[#This Row],[Tipo_Linha]]="Fora do DRE","Fora do DRE","( "&amp;Base_Periodo1[[#This Row],[Tipo_Linha]]&amp;" ) "&amp;Base_Periodo1[[#This Row],[Filtro]])</f>
        <v>Fora do DRE</v>
      </c>
      <c r="W972" s="3" t="str">
        <f>LEFT(Base_Periodo1[[#This Row],[CLASS]],3)</f>
        <v>1.1</v>
      </c>
    </row>
    <row r="973" spans="1:23" hidden="1">
      <c r="A973" s="3" t="str">
        <f t="shared" si="15"/>
        <v>Período 1</v>
      </c>
      <c r="B973">
        <v>44123</v>
      </c>
      <c r="C973" t="s">
        <v>922</v>
      </c>
      <c r="D973" t="s">
        <v>6713</v>
      </c>
      <c r="E973" s="3" t="str">
        <f>IF(LEN(Base_Periodo1[[#This Row],[CLASS]])&gt;=7,LEFT(Base_Periodo1[[#This Row],[CLASS]],7),"")</f>
        <v>1.1.2.2</v>
      </c>
      <c r="F973" s="3" t="str">
        <f>VLOOKUP(Base_Periodo1[[#This Row],[Aux]],Base_Contas_Balanco[#All],2,FALSE)</f>
        <v>Creditos com não Cooperados</v>
      </c>
      <c r="G973" s="1">
        <v>42884</v>
      </c>
      <c r="I973" s="225">
        <v>20157.990000000002</v>
      </c>
      <c r="J973" s="225">
        <v>20157.990000000002</v>
      </c>
      <c r="K973" s="225">
        <v>0</v>
      </c>
      <c r="L9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73" s="225">
        <f>ROUND(IF(AND(Base_Periodo1[[#This Row],[Tipo_Linha]]="-",Base_Periodo1[[#This Row],[TIPOSALDO]]="D"),Base_Periodo1[[#This Row],[SALDO_ATUAL]]*-1,Base_Periodo1[[#This Row],[SALDO_ATUAL]]),4)</f>
        <v>0</v>
      </c>
      <c r="N973" t="s">
        <v>116</v>
      </c>
      <c r="O973" t="s">
        <v>436</v>
      </c>
      <c r="P973" t="s">
        <v>436</v>
      </c>
      <c r="Q973">
        <v>7</v>
      </c>
      <c r="R973" s="225">
        <f>Base_Periodo1[[#This Row],[CREDITOS]]-Base_Periodo1[[#This Row],[DEBITOS]]</f>
        <v>0</v>
      </c>
      <c r="S973" s="3" t="str">
        <f>IF(ISERROR(VLOOKUP(Base_Periodo1[[#This Row],[CONTA]],BaseContasDRE[#All],4,FALSE)),"Fora do DRE",VLOOKUP(Base_Periodo1[[#This Row],[CONTA]],BaseContasDRE[#All],4,FALSE))</f>
        <v>Fora do DRE</v>
      </c>
      <c r="T973" s="3" t="str">
        <f>IF(ISERROR(VLOOKUP(Base_Periodo1[[#This Row],[CONTA]],BaseContasDRE[#All],5,FALSE)),"Fora do DRE",VLOOKUP(Base_Periodo1[[#This Row],[CONTA]],BaseContasDRE[#All],6,FALSE))</f>
        <v>Fora do DRE</v>
      </c>
      <c r="U973" s="3" t="str">
        <f>IF(ISERROR(VLOOKUP(Base_Periodo1[[#This Row],[CONTA]],BaseContasDRE[#All],7,FALSE)),"Fora do DRE",VLOOKUP(Base_Periodo1[[#This Row],[CONTA]],BaseContasDRE[#All],7,FALSE))</f>
        <v>Fora do DRE</v>
      </c>
      <c r="V973" s="3" t="str">
        <f>IF(Base_Periodo1[[#This Row],[Tipo_Linha]]="Fora do DRE","Fora do DRE","( "&amp;Base_Periodo1[[#This Row],[Tipo_Linha]]&amp;" ) "&amp;Base_Periodo1[[#This Row],[Filtro]])</f>
        <v>Fora do DRE</v>
      </c>
      <c r="W973" s="3" t="str">
        <f>LEFT(Base_Periodo1[[#This Row],[CLASS]],3)</f>
        <v>1.1</v>
      </c>
    </row>
    <row r="974" spans="1:23" hidden="1">
      <c r="A974" s="3" t="str">
        <f t="shared" si="15"/>
        <v>Período 1</v>
      </c>
      <c r="B974">
        <v>38802</v>
      </c>
      <c r="C974" t="s">
        <v>922</v>
      </c>
      <c r="D974" t="s">
        <v>956</v>
      </c>
      <c r="E974" s="3" t="str">
        <f>IF(LEN(Base_Periodo1[[#This Row],[CLASS]])&gt;=7,LEFT(Base_Periodo1[[#This Row],[CLASS]],7),"")</f>
        <v>1.1.2.2</v>
      </c>
      <c r="F974" s="3" t="str">
        <f>VLOOKUP(Base_Periodo1[[#This Row],[Aux]],Base_Contas_Balanco[#All],2,FALSE)</f>
        <v>Creditos com não Cooperados</v>
      </c>
      <c r="G974" s="1">
        <v>42884</v>
      </c>
      <c r="H974" s="225">
        <v>7581.3800000000047</v>
      </c>
      <c r="I974" s="225">
        <v>625</v>
      </c>
      <c r="J974" s="225">
        <v>8206.380000000001</v>
      </c>
      <c r="K974" s="225">
        <v>3.637978807091713E-12</v>
      </c>
      <c r="L9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74" s="225">
        <f>ROUND(IF(AND(Base_Periodo1[[#This Row],[Tipo_Linha]]="-",Base_Periodo1[[#This Row],[TIPOSALDO]]="D"),Base_Periodo1[[#This Row],[SALDO_ATUAL]]*-1,Base_Periodo1[[#This Row],[SALDO_ATUAL]]),4)</f>
        <v>0</v>
      </c>
      <c r="N974" t="s">
        <v>116</v>
      </c>
      <c r="O974" t="s">
        <v>397</v>
      </c>
      <c r="P974" t="s">
        <v>436</v>
      </c>
      <c r="Q974">
        <v>7</v>
      </c>
      <c r="R974" s="225">
        <f>Base_Periodo1[[#This Row],[CREDITOS]]-Base_Periodo1[[#This Row],[DEBITOS]]</f>
        <v>7581.380000000001</v>
      </c>
      <c r="S974" s="3" t="str">
        <f>IF(ISERROR(VLOOKUP(Base_Periodo1[[#This Row],[CONTA]],BaseContasDRE[#All],4,FALSE)),"Fora do DRE",VLOOKUP(Base_Periodo1[[#This Row],[CONTA]],BaseContasDRE[#All],4,FALSE))</f>
        <v>Fora do DRE</v>
      </c>
      <c r="T974" s="3" t="str">
        <f>IF(ISERROR(VLOOKUP(Base_Periodo1[[#This Row],[CONTA]],BaseContasDRE[#All],5,FALSE)),"Fora do DRE",VLOOKUP(Base_Periodo1[[#This Row],[CONTA]],BaseContasDRE[#All],6,FALSE))</f>
        <v>Fora do DRE</v>
      </c>
      <c r="U974" s="3" t="str">
        <f>IF(ISERROR(VLOOKUP(Base_Periodo1[[#This Row],[CONTA]],BaseContasDRE[#All],7,FALSE)),"Fora do DRE",VLOOKUP(Base_Periodo1[[#This Row],[CONTA]],BaseContasDRE[#All],7,FALSE))</f>
        <v>Fora do DRE</v>
      </c>
      <c r="V974" s="3" t="str">
        <f>IF(Base_Periodo1[[#This Row],[Tipo_Linha]]="Fora do DRE","Fora do DRE","( "&amp;Base_Periodo1[[#This Row],[Tipo_Linha]]&amp;" ) "&amp;Base_Periodo1[[#This Row],[Filtro]])</f>
        <v>Fora do DRE</v>
      </c>
      <c r="W974" s="3" t="str">
        <f>LEFT(Base_Periodo1[[#This Row],[CLASS]],3)</f>
        <v>1.1</v>
      </c>
    </row>
    <row r="975" spans="1:23" hidden="1">
      <c r="A975" s="3" t="str">
        <f t="shared" si="15"/>
        <v>Período 1</v>
      </c>
      <c r="B975">
        <v>42307</v>
      </c>
      <c r="C975" t="s">
        <v>922</v>
      </c>
      <c r="D975" t="s">
        <v>672</v>
      </c>
      <c r="E975" s="3" t="str">
        <f>IF(LEN(Base_Periodo1[[#This Row],[CLASS]])&gt;=7,LEFT(Base_Periodo1[[#This Row],[CLASS]],7),"")</f>
        <v>1.1.2.2</v>
      </c>
      <c r="F975" s="3" t="str">
        <f>VLOOKUP(Base_Periodo1[[#This Row],[Aux]],Base_Contas_Balanco[#All],2,FALSE)</f>
        <v>Creditos com não Cooperados</v>
      </c>
      <c r="G975" s="1">
        <v>42885</v>
      </c>
      <c r="I975" s="225">
        <v>5484.69</v>
      </c>
      <c r="J975" s="225">
        <v>5484.32</v>
      </c>
      <c r="K975" s="225">
        <v>0.36999999999989086</v>
      </c>
      <c r="L9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0.37</v>
      </c>
      <c r="M975" s="225">
        <f>ROUND(IF(AND(Base_Periodo1[[#This Row],[Tipo_Linha]]="-",Base_Periodo1[[#This Row],[TIPOSALDO]]="D"),Base_Periodo1[[#This Row],[SALDO_ATUAL]]*-1,Base_Periodo1[[#This Row],[SALDO_ATUAL]]),4)</f>
        <v>0.37</v>
      </c>
      <c r="N975" t="s">
        <v>116</v>
      </c>
      <c r="O975" t="s">
        <v>436</v>
      </c>
      <c r="P975" t="s">
        <v>397</v>
      </c>
      <c r="Q975">
        <v>7</v>
      </c>
      <c r="R975" s="225">
        <f>Base_Periodo1[[#This Row],[CREDITOS]]-Base_Periodo1[[#This Row],[DEBITOS]]</f>
        <v>-0.36999999999989086</v>
      </c>
      <c r="S975" s="3" t="str">
        <f>IF(ISERROR(VLOOKUP(Base_Periodo1[[#This Row],[CONTA]],BaseContasDRE[#All],4,FALSE)),"Fora do DRE",VLOOKUP(Base_Periodo1[[#This Row],[CONTA]],BaseContasDRE[#All],4,FALSE))</f>
        <v>Fora do DRE</v>
      </c>
      <c r="T975" s="3" t="str">
        <f>IF(ISERROR(VLOOKUP(Base_Periodo1[[#This Row],[CONTA]],BaseContasDRE[#All],5,FALSE)),"Fora do DRE",VLOOKUP(Base_Periodo1[[#This Row],[CONTA]],BaseContasDRE[#All],6,FALSE))</f>
        <v>Fora do DRE</v>
      </c>
      <c r="U975" s="3" t="str">
        <f>IF(ISERROR(VLOOKUP(Base_Periodo1[[#This Row],[CONTA]],BaseContasDRE[#All],7,FALSE)),"Fora do DRE",VLOOKUP(Base_Periodo1[[#This Row],[CONTA]],BaseContasDRE[#All],7,FALSE))</f>
        <v>Fora do DRE</v>
      </c>
      <c r="V975" s="3" t="str">
        <f>IF(Base_Periodo1[[#This Row],[Tipo_Linha]]="Fora do DRE","Fora do DRE","( "&amp;Base_Periodo1[[#This Row],[Tipo_Linha]]&amp;" ) "&amp;Base_Periodo1[[#This Row],[Filtro]])</f>
        <v>Fora do DRE</v>
      </c>
      <c r="W975" s="3" t="str">
        <f>LEFT(Base_Periodo1[[#This Row],[CLASS]],3)</f>
        <v>1.1</v>
      </c>
    </row>
    <row r="976" spans="1:23" hidden="1">
      <c r="A976" s="3" t="str">
        <f t="shared" si="15"/>
        <v>Período 1</v>
      </c>
      <c r="B976">
        <v>24282</v>
      </c>
      <c r="C976" t="s">
        <v>922</v>
      </c>
      <c r="D976" t="s">
        <v>6764</v>
      </c>
      <c r="E976" s="3" t="str">
        <f>IF(LEN(Base_Periodo1[[#This Row],[CLASS]])&gt;=7,LEFT(Base_Periodo1[[#This Row],[CLASS]],7),"")</f>
        <v>1.1.2.2</v>
      </c>
      <c r="F976" s="3" t="str">
        <f>VLOOKUP(Base_Periodo1[[#This Row],[Aux]],Base_Contas_Balanco[#All],2,FALSE)</f>
        <v>Creditos com não Cooperados</v>
      </c>
      <c r="G976" s="1">
        <v>42886</v>
      </c>
      <c r="I976" s="225">
        <v>10200</v>
      </c>
      <c r="J976" s="225">
        <v>1000</v>
      </c>
      <c r="K976" s="225">
        <v>9200</v>
      </c>
      <c r="L9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9200</v>
      </c>
      <c r="M976" s="225">
        <f>ROUND(IF(AND(Base_Periodo1[[#This Row],[Tipo_Linha]]="-",Base_Periodo1[[#This Row],[TIPOSALDO]]="D"),Base_Periodo1[[#This Row],[SALDO_ATUAL]]*-1,Base_Periodo1[[#This Row],[SALDO_ATUAL]]),4)</f>
        <v>9200</v>
      </c>
      <c r="N976" t="s">
        <v>116</v>
      </c>
      <c r="O976" t="s">
        <v>436</v>
      </c>
      <c r="P976" t="s">
        <v>397</v>
      </c>
      <c r="Q976">
        <v>7</v>
      </c>
      <c r="R976" s="225">
        <f>Base_Periodo1[[#This Row],[CREDITOS]]-Base_Periodo1[[#This Row],[DEBITOS]]</f>
        <v>-9200</v>
      </c>
      <c r="S976" s="3" t="str">
        <f>IF(ISERROR(VLOOKUP(Base_Periodo1[[#This Row],[CONTA]],BaseContasDRE[#All],4,FALSE)),"Fora do DRE",VLOOKUP(Base_Periodo1[[#This Row],[CONTA]],BaseContasDRE[#All],4,FALSE))</f>
        <v>Fora do DRE</v>
      </c>
      <c r="T976" s="3" t="str">
        <f>IF(ISERROR(VLOOKUP(Base_Periodo1[[#This Row],[CONTA]],BaseContasDRE[#All],5,FALSE)),"Fora do DRE",VLOOKUP(Base_Periodo1[[#This Row],[CONTA]],BaseContasDRE[#All],6,FALSE))</f>
        <v>Fora do DRE</v>
      </c>
      <c r="U976" s="3" t="str">
        <f>IF(ISERROR(VLOOKUP(Base_Periodo1[[#This Row],[CONTA]],BaseContasDRE[#All],7,FALSE)),"Fora do DRE",VLOOKUP(Base_Periodo1[[#This Row],[CONTA]],BaseContasDRE[#All],7,FALSE))</f>
        <v>Fora do DRE</v>
      </c>
      <c r="V976" s="3" t="str">
        <f>IF(Base_Periodo1[[#This Row],[Tipo_Linha]]="Fora do DRE","Fora do DRE","( "&amp;Base_Periodo1[[#This Row],[Tipo_Linha]]&amp;" ) "&amp;Base_Periodo1[[#This Row],[Filtro]])</f>
        <v>Fora do DRE</v>
      </c>
      <c r="W976" s="3" t="str">
        <f>LEFT(Base_Periodo1[[#This Row],[CLASS]],3)</f>
        <v>1.1</v>
      </c>
    </row>
    <row r="977" spans="1:23" hidden="1">
      <c r="A977" s="3" t="str">
        <f t="shared" si="15"/>
        <v>Período 1</v>
      </c>
      <c r="B977">
        <v>3152</v>
      </c>
      <c r="C977" t="s">
        <v>922</v>
      </c>
      <c r="D977" t="s">
        <v>2063</v>
      </c>
      <c r="E977" s="3" t="str">
        <f>IF(LEN(Base_Periodo1[[#This Row],[CLASS]])&gt;=7,LEFT(Base_Periodo1[[#This Row],[CLASS]],7),"")</f>
        <v>1.1.2.2</v>
      </c>
      <c r="F977" s="3" t="str">
        <f>VLOOKUP(Base_Periodo1[[#This Row],[Aux]],Base_Contas_Balanco[#All],2,FALSE)</f>
        <v>Creditos com não Cooperados</v>
      </c>
      <c r="G977" s="1">
        <v>42885</v>
      </c>
      <c r="H977" s="225">
        <v>1421.2499999998836</v>
      </c>
      <c r="I977" s="225">
        <v>0</v>
      </c>
      <c r="J977" s="225">
        <v>350</v>
      </c>
      <c r="K977" s="225">
        <v>1071.2499999998836</v>
      </c>
      <c r="L9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1071.25</v>
      </c>
      <c r="M977" s="225">
        <f>ROUND(IF(AND(Base_Periodo1[[#This Row],[Tipo_Linha]]="-",Base_Periodo1[[#This Row],[TIPOSALDO]]="D"),Base_Periodo1[[#This Row],[SALDO_ATUAL]]*-1,Base_Periodo1[[#This Row],[SALDO_ATUAL]]),4)</f>
        <v>1071.25</v>
      </c>
      <c r="N977" t="s">
        <v>116</v>
      </c>
      <c r="O977" t="s">
        <v>397</v>
      </c>
      <c r="P977" t="s">
        <v>397</v>
      </c>
      <c r="Q977">
        <v>7</v>
      </c>
      <c r="R977" s="225">
        <f>Base_Periodo1[[#This Row],[CREDITOS]]-Base_Periodo1[[#This Row],[DEBITOS]]</f>
        <v>350</v>
      </c>
      <c r="S977" s="3" t="str">
        <f>IF(ISERROR(VLOOKUP(Base_Periodo1[[#This Row],[CONTA]],BaseContasDRE[#All],4,FALSE)),"Fora do DRE",VLOOKUP(Base_Periodo1[[#This Row],[CONTA]],BaseContasDRE[#All],4,FALSE))</f>
        <v>Fora do DRE</v>
      </c>
      <c r="T977" s="3" t="str">
        <f>IF(ISERROR(VLOOKUP(Base_Periodo1[[#This Row],[CONTA]],BaseContasDRE[#All],5,FALSE)),"Fora do DRE",VLOOKUP(Base_Periodo1[[#This Row],[CONTA]],BaseContasDRE[#All],6,FALSE))</f>
        <v>Fora do DRE</v>
      </c>
      <c r="U977" s="3" t="str">
        <f>IF(ISERROR(VLOOKUP(Base_Periodo1[[#This Row],[CONTA]],BaseContasDRE[#All],7,FALSE)),"Fora do DRE",VLOOKUP(Base_Periodo1[[#This Row],[CONTA]],BaseContasDRE[#All],7,FALSE))</f>
        <v>Fora do DRE</v>
      </c>
      <c r="V977" s="3" t="str">
        <f>IF(Base_Periodo1[[#This Row],[Tipo_Linha]]="Fora do DRE","Fora do DRE","( "&amp;Base_Periodo1[[#This Row],[Tipo_Linha]]&amp;" ) "&amp;Base_Periodo1[[#This Row],[Filtro]])</f>
        <v>Fora do DRE</v>
      </c>
      <c r="W977" s="3" t="str">
        <f>LEFT(Base_Periodo1[[#This Row],[CLASS]],3)</f>
        <v>1.1</v>
      </c>
    </row>
    <row r="978" spans="1:23" hidden="1">
      <c r="A978" s="3" t="str">
        <f t="shared" si="15"/>
        <v>Período 1</v>
      </c>
      <c r="B978">
        <v>56324</v>
      </c>
      <c r="C978" t="s">
        <v>922</v>
      </c>
      <c r="D978" t="s">
        <v>6765</v>
      </c>
      <c r="E978" s="3" t="str">
        <f>IF(LEN(Base_Periodo1[[#This Row],[CLASS]])&gt;=7,LEFT(Base_Periodo1[[#This Row],[CLASS]],7),"")</f>
        <v>1.1.2.2</v>
      </c>
      <c r="F978" s="3" t="str">
        <f>VLOOKUP(Base_Periodo1[[#This Row],[Aux]],Base_Contas_Balanco[#All],2,FALSE)</f>
        <v>Creditos com não Cooperados</v>
      </c>
      <c r="G978" s="1">
        <v>42881</v>
      </c>
      <c r="I978" s="225">
        <v>199700</v>
      </c>
      <c r="J978" s="225">
        <v>199700</v>
      </c>
      <c r="K978" s="225">
        <v>0</v>
      </c>
      <c r="L9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78" s="225">
        <f>ROUND(IF(AND(Base_Periodo1[[#This Row],[Tipo_Linha]]="-",Base_Periodo1[[#This Row],[TIPOSALDO]]="D"),Base_Periodo1[[#This Row],[SALDO_ATUAL]]*-1,Base_Periodo1[[#This Row],[SALDO_ATUAL]]),4)</f>
        <v>0</v>
      </c>
      <c r="N978" t="s">
        <v>116</v>
      </c>
      <c r="O978" t="s">
        <v>436</v>
      </c>
      <c r="P978" t="s">
        <v>436</v>
      </c>
      <c r="Q978">
        <v>7</v>
      </c>
      <c r="R978" s="225">
        <f>Base_Periodo1[[#This Row],[CREDITOS]]-Base_Periodo1[[#This Row],[DEBITOS]]</f>
        <v>0</v>
      </c>
      <c r="S978" s="3" t="str">
        <f>IF(ISERROR(VLOOKUP(Base_Periodo1[[#This Row],[CONTA]],BaseContasDRE[#All],4,FALSE)),"Fora do DRE",VLOOKUP(Base_Periodo1[[#This Row],[CONTA]],BaseContasDRE[#All],4,FALSE))</f>
        <v>Fora do DRE</v>
      </c>
      <c r="T978" s="3" t="str">
        <f>IF(ISERROR(VLOOKUP(Base_Periodo1[[#This Row],[CONTA]],BaseContasDRE[#All],5,FALSE)),"Fora do DRE",VLOOKUP(Base_Periodo1[[#This Row],[CONTA]],BaseContasDRE[#All],6,FALSE))</f>
        <v>Fora do DRE</v>
      </c>
      <c r="U978" s="3" t="str">
        <f>IF(ISERROR(VLOOKUP(Base_Periodo1[[#This Row],[CONTA]],BaseContasDRE[#All],7,FALSE)),"Fora do DRE",VLOOKUP(Base_Periodo1[[#This Row],[CONTA]],BaseContasDRE[#All],7,FALSE))</f>
        <v>Fora do DRE</v>
      </c>
      <c r="V978" s="3" t="str">
        <f>IF(Base_Periodo1[[#This Row],[Tipo_Linha]]="Fora do DRE","Fora do DRE","( "&amp;Base_Periodo1[[#This Row],[Tipo_Linha]]&amp;" ) "&amp;Base_Periodo1[[#This Row],[Filtro]])</f>
        <v>Fora do DRE</v>
      </c>
      <c r="W978" s="3" t="str">
        <f>LEFT(Base_Periodo1[[#This Row],[CLASS]],3)</f>
        <v>1.1</v>
      </c>
    </row>
    <row r="979" spans="1:23" hidden="1">
      <c r="A979" s="3" t="str">
        <f t="shared" si="15"/>
        <v>Período 1</v>
      </c>
      <c r="B979">
        <v>39306</v>
      </c>
      <c r="C979" t="s">
        <v>922</v>
      </c>
      <c r="D979" t="s">
        <v>5078</v>
      </c>
      <c r="E979" s="3" t="str">
        <f>IF(LEN(Base_Periodo1[[#This Row],[CLASS]])&gt;=7,LEFT(Base_Periodo1[[#This Row],[CLASS]],7),"")</f>
        <v>1.1.2.2</v>
      </c>
      <c r="F979" s="3" t="str">
        <f>VLOOKUP(Base_Periodo1[[#This Row],[Aux]],Base_Contas_Balanco[#All],2,FALSE)</f>
        <v>Creditos com não Cooperados</v>
      </c>
      <c r="G979" s="1">
        <v>42858</v>
      </c>
      <c r="H979" s="225">
        <v>755.3700000000099</v>
      </c>
      <c r="I979" s="225">
        <v>196.73999999999998</v>
      </c>
      <c r="J979" s="225">
        <v>952.11</v>
      </c>
      <c r="K979" s="225">
        <v>9.8907548817805946E-12</v>
      </c>
      <c r="L9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79" s="225">
        <f>ROUND(IF(AND(Base_Periodo1[[#This Row],[Tipo_Linha]]="-",Base_Periodo1[[#This Row],[TIPOSALDO]]="D"),Base_Periodo1[[#This Row],[SALDO_ATUAL]]*-1,Base_Periodo1[[#This Row],[SALDO_ATUAL]]),4)</f>
        <v>0</v>
      </c>
      <c r="N979" t="s">
        <v>116</v>
      </c>
      <c r="O979" t="s">
        <v>397</v>
      </c>
      <c r="P979" t="s">
        <v>436</v>
      </c>
      <c r="Q979">
        <v>7</v>
      </c>
      <c r="R979" s="225">
        <f>Base_Periodo1[[#This Row],[CREDITOS]]-Base_Periodo1[[#This Row],[DEBITOS]]</f>
        <v>755.37</v>
      </c>
      <c r="S979" s="3" t="str">
        <f>IF(ISERROR(VLOOKUP(Base_Periodo1[[#This Row],[CONTA]],BaseContasDRE[#All],4,FALSE)),"Fora do DRE",VLOOKUP(Base_Periodo1[[#This Row],[CONTA]],BaseContasDRE[#All],4,FALSE))</f>
        <v>Fora do DRE</v>
      </c>
      <c r="T979" s="3" t="str">
        <f>IF(ISERROR(VLOOKUP(Base_Periodo1[[#This Row],[CONTA]],BaseContasDRE[#All],5,FALSE)),"Fora do DRE",VLOOKUP(Base_Periodo1[[#This Row],[CONTA]],BaseContasDRE[#All],6,FALSE))</f>
        <v>Fora do DRE</v>
      </c>
      <c r="U979" s="3" t="str">
        <f>IF(ISERROR(VLOOKUP(Base_Periodo1[[#This Row],[CONTA]],BaseContasDRE[#All],7,FALSE)),"Fora do DRE",VLOOKUP(Base_Periodo1[[#This Row],[CONTA]],BaseContasDRE[#All],7,FALSE))</f>
        <v>Fora do DRE</v>
      </c>
      <c r="V979" s="3" t="str">
        <f>IF(Base_Periodo1[[#This Row],[Tipo_Linha]]="Fora do DRE","Fora do DRE","( "&amp;Base_Periodo1[[#This Row],[Tipo_Linha]]&amp;" ) "&amp;Base_Periodo1[[#This Row],[Filtro]])</f>
        <v>Fora do DRE</v>
      </c>
      <c r="W979" s="3" t="str">
        <f>LEFT(Base_Periodo1[[#This Row],[CLASS]],3)</f>
        <v>1.1</v>
      </c>
    </row>
    <row r="980" spans="1:23" hidden="1">
      <c r="A980" s="3" t="str">
        <f t="shared" si="15"/>
        <v>Período 1</v>
      </c>
      <c r="B980">
        <v>28179</v>
      </c>
      <c r="C980" t="s">
        <v>922</v>
      </c>
      <c r="D980" t="s">
        <v>4613</v>
      </c>
      <c r="E980" s="3" t="str">
        <f>IF(LEN(Base_Periodo1[[#This Row],[CLASS]])&gt;=7,LEFT(Base_Periodo1[[#This Row],[CLASS]],7),"")</f>
        <v>1.1.2.2</v>
      </c>
      <c r="F980" s="3" t="str">
        <f>VLOOKUP(Base_Periodo1[[#This Row],[Aux]],Base_Contas_Balanco[#All],2,FALSE)</f>
        <v>Creditos com não Cooperados</v>
      </c>
      <c r="G980" s="1">
        <v>42844</v>
      </c>
      <c r="H980" s="225">
        <v>381.74</v>
      </c>
      <c r="I980" s="225">
        <v>0</v>
      </c>
      <c r="J980" s="225">
        <v>0</v>
      </c>
      <c r="K980" s="225">
        <v>381.74</v>
      </c>
      <c r="L9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381.74</v>
      </c>
      <c r="M980" s="225">
        <f>ROUND(IF(AND(Base_Periodo1[[#This Row],[Tipo_Linha]]="-",Base_Periodo1[[#This Row],[TIPOSALDO]]="D"),Base_Periodo1[[#This Row],[SALDO_ATUAL]]*-1,Base_Periodo1[[#This Row],[SALDO_ATUAL]]),4)</f>
        <v>381.74</v>
      </c>
      <c r="N980" t="s">
        <v>116</v>
      </c>
      <c r="O980" t="s">
        <v>397</v>
      </c>
      <c r="P980" t="s">
        <v>397</v>
      </c>
      <c r="Q980">
        <v>7</v>
      </c>
      <c r="R980" s="225">
        <f>Base_Periodo1[[#This Row],[CREDITOS]]-Base_Periodo1[[#This Row],[DEBITOS]]</f>
        <v>0</v>
      </c>
      <c r="S980" s="3" t="str">
        <f>IF(ISERROR(VLOOKUP(Base_Periodo1[[#This Row],[CONTA]],BaseContasDRE[#All],4,FALSE)),"Fora do DRE",VLOOKUP(Base_Periodo1[[#This Row],[CONTA]],BaseContasDRE[#All],4,FALSE))</f>
        <v>Fora do DRE</v>
      </c>
      <c r="T980" s="3" t="str">
        <f>IF(ISERROR(VLOOKUP(Base_Periodo1[[#This Row],[CONTA]],BaseContasDRE[#All],5,FALSE)),"Fora do DRE",VLOOKUP(Base_Periodo1[[#This Row],[CONTA]],BaseContasDRE[#All],6,FALSE))</f>
        <v>Fora do DRE</v>
      </c>
      <c r="U980" s="3" t="str">
        <f>IF(ISERROR(VLOOKUP(Base_Periodo1[[#This Row],[CONTA]],BaseContasDRE[#All],7,FALSE)),"Fora do DRE",VLOOKUP(Base_Periodo1[[#This Row],[CONTA]],BaseContasDRE[#All],7,FALSE))</f>
        <v>Fora do DRE</v>
      </c>
      <c r="V980" s="3" t="str">
        <f>IF(Base_Periodo1[[#This Row],[Tipo_Linha]]="Fora do DRE","Fora do DRE","( "&amp;Base_Periodo1[[#This Row],[Tipo_Linha]]&amp;" ) "&amp;Base_Periodo1[[#This Row],[Filtro]])</f>
        <v>Fora do DRE</v>
      </c>
      <c r="W980" s="3" t="str">
        <f>LEFT(Base_Periodo1[[#This Row],[CLASS]],3)</f>
        <v>1.1</v>
      </c>
    </row>
    <row r="981" spans="1:23" hidden="1">
      <c r="A981" s="3" t="str">
        <f t="shared" si="15"/>
        <v>Período 1</v>
      </c>
      <c r="B981">
        <v>2384</v>
      </c>
      <c r="C981" t="s">
        <v>922</v>
      </c>
      <c r="D981" t="s">
        <v>6766</v>
      </c>
      <c r="E981" s="3" t="str">
        <f>IF(LEN(Base_Periodo1[[#This Row],[CLASS]])&gt;=7,LEFT(Base_Periodo1[[#This Row],[CLASS]],7),"")</f>
        <v>1.1.2.2</v>
      </c>
      <c r="F981" s="3" t="str">
        <f>VLOOKUP(Base_Periodo1[[#This Row],[Aux]],Base_Contas_Balanco[#All],2,FALSE)</f>
        <v>Creditos com não Cooperados</v>
      </c>
      <c r="G981" s="1">
        <v>42860</v>
      </c>
      <c r="I981" s="225">
        <v>8000</v>
      </c>
      <c r="J981" s="225">
        <v>0</v>
      </c>
      <c r="K981" s="225">
        <v>7999.9999999999709</v>
      </c>
      <c r="L9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8000</v>
      </c>
      <c r="M981" s="225">
        <f>ROUND(IF(AND(Base_Periodo1[[#This Row],[Tipo_Linha]]="-",Base_Periodo1[[#This Row],[TIPOSALDO]]="D"),Base_Periodo1[[#This Row],[SALDO_ATUAL]]*-1,Base_Periodo1[[#This Row],[SALDO_ATUAL]]),4)</f>
        <v>8000</v>
      </c>
      <c r="N981" t="s">
        <v>116</v>
      </c>
      <c r="O981" t="s">
        <v>436</v>
      </c>
      <c r="P981" t="s">
        <v>397</v>
      </c>
      <c r="Q981">
        <v>7</v>
      </c>
      <c r="R981" s="225">
        <f>Base_Periodo1[[#This Row],[CREDITOS]]-Base_Periodo1[[#This Row],[DEBITOS]]</f>
        <v>-8000</v>
      </c>
      <c r="S981" s="3" t="str">
        <f>IF(ISERROR(VLOOKUP(Base_Periodo1[[#This Row],[CONTA]],BaseContasDRE[#All],4,FALSE)),"Fora do DRE",VLOOKUP(Base_Periodo1[[#This Row],[CONTA]],BaseContasDRE[#All],4,FALSE))</f>
        <v>Fora do DRE</v>
      </c>
      <c r="T981" s="3" t="str">
        <f>IF(ISERROR(VLOOKUP(Base_Periodo1[[#This Row],[CONTA]],BaseContasDRE[#All],5,FALSE)),"Fora do DRE",VLOOKUP(Base_Periodo1[[#This Row],[CONTA]],BaseContasDRE[#All],6,FALSE))</f>
        <v>Fora do DRE</v>
      </c>
      <c r="U981" s="3" t="str">
        <f>IF(ISERROR(VLOOKUP(Base_Periodo1[[#This Row],[CONTA]],BaseContasDRE[#All],7,FALSE)),"Fora do DRE",VLOOKUP(Base_Periodo1[[#This Row],[CONTA]],BaseContasDRE[#All],7,FALSE))</f>
        <v>Fora do DRE</v>
      </c>
      <c r="V981" s="3" t="str">
        <f>IF(Base_Periodo1[[#This Row],[Tipo_Linha]]="Fora do DRE","Fora do DRE","( "&amp;Base_Periodo1[[#This Row],[Tipo_Linha]]&amp;" ) "&amp;Base_Periodo1[[#This Row],[Filtro]])</f>
        <v>Fora do DRE</v>
      </c>
      <c r="W981" s="3" t="str">
        <f>LEFT(Base_Periodo1[[#This Row],[CLASS]],3)</f>
        <v>1.1</v>
      </c>
    </row>
    <row r="982" spans="1:23" hidden="1">
      <c r="A982" s="3" t="str">
        <f t="shared" si="15"/>
        <v>Período 1</v>
      </c>
      <c r="B982">
        <v>37882</v>
      </c>
      <c r="C982" t="s">
        <v>922</v>
      </c>
      <c r="D982" t="s">
        <v>4251</v>
      </c>
      <c r="E982" s="3" t="str">
        <f>IF(LEN(Base_Periodo1[[#This Row],[CLASS]])&gt;=7,LEFT(Base_Periodo1[[#This Row],[CLASS]],7),"")</f>
        <v>1.1.2.2</v>
      </c>
      <c r="F982" s="3" t="str">
        <f>VLOOKUP(Base_Periodo1[[#This Row],[Aux]],Base_Contas_Balanco[#All],2,FALSE)</f>
        <v>Creditos com não Cooperados</v>
      </c>
      <c r="G982" s="1">
        <v>42733</v>
      </c>
      <c r="H982" s="225">
        <v>500</v>
      </c>
      <c r="I982" s="225">
        <v>0</v>
      </c>
      <c r="J982" s="225">
        <v>0</v>
      </c>
      <c r="K982" s="225">
        <v>500</v>
      </c>
      <c r="L9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982" s="225">
        <f>ROUND(IF(AND(Base_Periodo1[[#This Row],[Tipo_Linha]]="-",Base_Periodo1[[#This Row],[TIPOSALDO]]="D"),Base_Periodo1[[#This Row],[SALDO_ATUAL]]*-1,Base_Periodo1[[#This Row],[SALDO_ATUAL]]),4)</f>
        <v>500</v>
      </c>
      <c r="N982" t="s">
        <v>116</v>
      </c>
      <c r="O982" t="s">
        <v>397</v>
      </c>
      <c r="P982" t="s">
        <v>397</v>
      </c>
      <c r="Q982">
        <v>7</v>
      </c>
      <c r="R982" s="225">
        <f>Base_Periodo1[[#This Row],[CREDITOS]]-Base_Periodo1[[#This Row],[DEBITOS]]</f>
        <v>0</v>
      </c>
      <c r="S982" s="3" t="str">
        <f>IF(ISERROR(VLOOKUP(Base_Periodo1[[#This Row],[CONTA]],BaseContasDRE[#All],4,FALSE)),"Fora do DRE",VLOOKUP(Base_Periodo1[[#This Row],[CONTA]],BaseContasDRE[#All],4,FALSE))</f>
        <v>Fora do DRE</v>
      </c>
      <c r="T982" s="3" t="str">
        <f>IF(ISERROR(VLOOKUP(Base_Periodo1[[#This Row],[CONTA]],BaseContasDRE[#All],5,FALSE)),"Fora do DRE",VLOOKUP(Base_Periodo1[[#This Row],[CONTA]],BaseContasDRE[#All],6,FALSE))</f>
        <v>Fora do DRE</v>
      </c>
      <c r="U982" s="3" t="str">
        <f>IF(ISERROR(VLOOKUP(Base_Periodo1[[#This Row],[CONTA]],BaseContasDRE[#All],7,FALSE)),"Fora do DRE",VLOOKUP(Base_Periodo1[[#This Row],[CONTA]],BaseContasDRE[#All],7,FALSE))</f>
        <v>Fora do DRE</v>
      </c>
      <c r="V982" s="3" t="str">
        <f>IF(Base_Periodo1[[#This Row],[Tipo_Linha]]="Fora do DRE","Fora do DRE","( "&amp;Base_Periodo1[[#This Row],[Tipo_Linha]]&amp;" ) "&amp;Base_Periodo1[[#This Row],[Filtro]])</f>
        <v>Fora do DRE</v>
      </c>
      <c r="W982" s="3" t="str">
        <f>LEFT(Base_Periodo1[[#This Row],[CLASS]],3)</f>
        <v>1.1</v>
      </c>
    </row>
    <row r="983" spans="1:23" hidden="1">
      <c r="A983" s="3" t="str">
        <f t="shared" si="15"/>
        <v>Período 1</v>
      </c>
      <c r="B983">
        <v>43359</v>
      </c>
      <c r="C983" t="s">
        <v>922</v>
      </c>
      <c r="D983" t="s">
        <v>6714</v>
      </c>
      <c r="E983" s="3" t="str">
        <f>IF(LEN(Base_Periodo1[[#This Row],[CLASS]])&gt;=7,LEFT(Base_Periodo1[[#This Row],[CLASS]],7),"")</f>
        <v>1.1.2.2</v>
      </c>
      <c r="F983" s="3" t="str">
        <f>VLOOKUP(Base_Periodo1[[#This Row],[Aux]],Base_Contas_Balanco[#All],2,FALSE)</f>
        <v>Creditos com não Cooperados</v>
      </c>
      <c r="G983" s="1">
        <v>42884</v>
      </c>
      <c r="I983" s="225">
        <v>3079.88</v>
      </c>
      <c r="J983" s="225">
        <v>3079.88</v>
      </c>
      <c r="K983" s="225">
        <v>0</v>
      </c>
      <c r="L9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83" s="225">
        <f>ROUND(IF(AND(Base_Periodo1[[#This Row],[Tipo_Linha]]="-",Base_Periodo1[[#This Row],[TIPOSALDO]]="D"),Base_Periodo1[[#This Row],[SALDO_ATUAL]]*-1,Base_Periodo1[[#This Row],[SALDO_ATUAL]]),4)</f>
        <v>0</v>
      </c>
      <c r="N983" t="s">
        <v>116</v>
      </c>
      <c r="O983" t="s">
        <v>436</v>
      </c>
      <c r="P983" t="s">
        <v>436</v>
      </c>
      <c r="Q983">
        <v>7</v>
      </c>
      <c r="R983" s="225">
        <f>Base_Periodo1[[#This Row],[CREDITOS]]-Base_Periodo1[[#This Row],[DEBITOS]]</f>
        <v>0</v>
      </c>
      <c r="S983" s="3" t="str">
        <f>IF(ISERROR(VLOOKUP(Base_Periodo1[[#This Row],[CONTA]],BaseContasDRE[#All],4,FALSE)),"Fora do DRE",VLOOKUP(Base_Periodo1[[#This Row],[CONTA]],BaseContasDRE[#All],4,FALSE))</f>
        <v>Fora do DRE</v>
      </c>
      <c r="T983" s="3" t="str">
        <f>IF(ISERROR(VLOOKUP(Base_Periodo1[[#This Row],[CONTA]],BaseContasDRE[#All],5,FALSE)),"Fora do DRE",VLOOKUP(Base_Periodo1[[#This Row],[CONTA]],BaseContasDRE[#All],6,FALSE))</f>
        <v>Fora do DRE</v>
      </c>
      <c r="U983" s="3" t="str">
        <f>IF(ISERROR(VLOOKUP(Base_Periodo1[[#This Row],[CONTA]],BaseContasDRE[#All],7,FALSE)),"Fora do DRE",VLOOKUP(Base_Periodo1[[#This Row],[CONTA]],BaseContasDRE[#All],7,FALSE))</f>
        <v>Fora do DRE</v>
      </c>
      <c r="V983" s="3" t="str">
        <f>IF(Base_Periodo1[[#This Row],[Tipo_Linha]]="Fora do DRE","Fora do DRE","( "&amp;Base_Periodo1[[#This Row],[Tipo_Linha]]&amp;" ) "&amp;Base_Periodo1[[#This Row],[Filtro]])</f>
        <v>Fora do DRE</v>
      </c>
      <c r="W983" s="3" t="str">
        <f>LEFT(Base_Periodo1[[#This Row],[CLASS]],3)</f>
        <v>1.1</v>
      </c>
    </row>
    <row r="984" spans="1:23" hidden="1">
      <c r="A984" s="3" t="str">
        <f t="shared" si="15"/>
        <v>Período 1</v>
      </c>
      <c r="B984">
        <v>2504</v>
      </c>
      <c r="C984" t="s">
        <v>922</v>
      </c>
      <c r="D984" t="s">
        <v>958</v>
      </c>
      <c r="E984" s="3" t="str">
        <f>IF(LEN(Base_Periodo1[[#This Row],[CLASS]])&gt;=7,LEFT(Base_Periodo1[[#This Row],[CLASS]],7),"")</f>
        <v>1.1.2.2</v>
      </c>
      <c r="F984" s="3" t="str">
        <f>VLOOKUP(Base_Periodo1[[#This Row],[Aux]],Base_Contas_Balanco[#All],2,FALSE)</f>
        <v>Creditos com não Cooperados</v>
      </c>
      <c r="G984" s="1">
        <v>41393</v>
      </c>
      <c r="H984" s="225">
        <v>198</v>
      </c>
      <c r="I984" s="225">
        <v>0</v>
      </c>
      <c r="J984" s="225">
        <v>0</v>
      </c>
      <c r="K984" s="225">
        <v>198</v>
      </c>
      <c r="L9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198</v>
      </c>
      <c r="M984" s="225">
        <f>ROUND(IF(AND(Base_Periodo1[[#This Row],[Tipo_Linha]]="-",Base_Periodo1[[#This Row],[TIPOSALDO]]="D"),Base_Periodo1[[#This Row],[SALDO_ATUAL]]*-1,Base_Periodo1[[#This Row],[SALDO_ATUAL]]),4)</f>
        <v>198</v>
      </c>
      <c r="N984" t="s">
        <v>116</v>
      </c>
      <c r="O984" t="s">
        <v>397</v>
      </c>
      <c r="P984" t="s">
        <v>397</v>
      </c>
      <c r="Q984">
        <v>7</v>
      </c>
      <c r="R984" s="225">
        <f>Base_Periodo1[[#This Row],[CREDITOS]]-Base_Periodo1[[#This Row],[DEBITOS]]</f>
        <v>0</v>
      </c>
      <c r="S984" s="3" t="str">
        <f>IF(ISERROR(VLOOKUP(Base_Periodo1[[#This Row],[CONTA]],BaseContasDRE[#All],4,FALSE)),"Fora do DRE",VLOOKUP(Base_Periodo1[[#This Row],[CONTA]],BaseContasDRE[#All],4,FALSE))</f>
        <v>Fora do DRE</v>
      </c>
      <c r="T984" s="3" t="str">
        <f>IF(ISERROR(VLOOKUP(Base_Periodo1[[#This Row],[CONTA]],BaseContasDRE[#All],5,FALSE)),"Fora do DRE",VLOOKUP(Base_Periodo1[[#This Row],[CONTA]],BaseContasDRE[#All],6,FALSE))</f>
        <v>Fora do DRE</v>
      </c>
      <c r="U984" s="3" t="str">
        <f>IF(ISERROR(VLOOKUP(Base_Periodo1[[#This Row],[CONTA]],BaseContasDRE[#All],7,FALSE)),"Fora do DRE",VLOOKUP(Base_Periodo1[[#This Row],[CONTA]],BaseContasDRE[#All],7,FALSE))</f>
        <v>Fora do DRE</v>
      </c>
      <c r="V984" s="3" t="str">
        <f>IF(Base_Periodo1[[#This Row],[Tipo_Linha]]="Fora do DRE","Fora do DRE","( "&amp;Base_Periodo1[[#This Row],[Tipo_Linha]]&amp;" ) "&amp;Base_Periodo1[[#This Row],[Filtro]])</f>
        <v>Fora do DRE</v>
      </c>
      <c r="W984" s="3" t="str">
        <f>LEFT(Base_Periodo1[[#This Row],[CLASS]],3)</f>
        <v>1.1</v>
      </c>
    </row>
    <row r="985" spans="1:23" hidden="1">
      <c r="A985" s="3" t="str">
        <f t="shared" si="15"/>
        <v>Período 1</v>
      </c>
      <c r="B985">
        <v>58859</v>
      </c>
      <c r="C985" t="s">
        <v>922</v>
      </c>
      <c r="D985" t="s">
        <v>6767</v>
      </c>
      <c r="E985" s="3" t="str">
        <f>IF(LEN(Base_Periodo1[[#This Row],[CLASS]])&gt;=7,LEFT(Base_Periodo1[[#This Row],[CLASS]],7),"")</f>
        <v>1.1.2.2</v>
      </c>
      <c r="F985" s="3" t="str">
        <f>VLOOKUP(Base_Periodo1[[#This Row],[Aux]],Base_Contas_Balanco[#All],2,FALSE)</f>
        <v>Creditos com não Cooperados</v>
      </c>
      <c r="G985" s="1">
        <v>42877</v>
      </c>
      <c r="I985" s="225">
        <v>2454.27</v>
      </c>
      <c r="J985" s="225">
        <v>0</v>
      </c>
      <c r="K985" s="225">
        <v>2454.27</v>
      </c>
      <c r="L9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2454.27</v>
      </c>
      <c r="M985" s="225">
        <f>ROUND(IF(AND(Base_Periodo1[[#This Row],[Tipo_Linha]]="-",Base_Periodo1[[#This Row],[TIPOSALDO]]="D"),Base_Periodo1[[#This Row],[SALDO_ATUAL]]*-1,Base_Periodo1[[#This Row],[SALDO_ATUAL]]),4)</f>
        <v>2454.27</v>
      </c>
      <c r="N985" t="s">
        <v>116</v>
      </c>
      <c r="O985" t="s">
        <v>436</v>
      </c>
      <c r="P985" t="s">
        <v>397</v>
      </c>
      <c r="Q985">
        <v>7</v>
      </c>
      <c r="R985" s="225">
        <f>Base_Periodo1[[#This Row],[CREDITOS]]-Base_Periodo1[[#This Row],[DEBITOS]]</f>
        <v>-2454.27</v>
      </c>
      <c r="S985" s="3" t="str">
        <f>IF(ISERROR(VLOOKUP(Base_Periodo1[[#This Row],[CONTA]],BaseContasDRE[#All],4,FALSE)),"Fora do DRE",VLOOKUP(Base_Periodo1[[#This Row],[CONTA]],BaseContasDRE[#All],4,FALSE))</f>
        <v>Fora do DRE</v>
      </c>
      <c r="T985" s="3" t="str">
        <f>IF(ISERROR(VLOOKUP(Base_Periodo1[[#This Row],[CONTA]],BaseContasDRE[#All],5,FALSE)),"Fora do DRE",VLOOKUP(Base_Periodo1[[#This Row],[CONTA]],BaseContasDRE[#All],6,FALSE))</f>
        <v>Fora do DRE</v>
      </c>
      <c r="U985" s="3" t="str">
        <f>IF(ISERROR(VLOOKUP(Base_Periodo1[[#This Row],[CONTA]],BaseContasDRE[#All],7,FALSE)),"Fora do DRE",VLOOKUP(Base_Periodo1[[#This Row],[CONTA]],BaseContasDRE[#All],7,FALSE))</f>
        <v>Fora do DRE</v>
      </c>
      <c r="V985" s="3" t="str">
        <f>IF(Base_Periodo1[[#This Row],[Tipo_Linha]]="Fora do DRE","Fora do DRE","( "&amp;Base_Periodo1[[#This Row],[Tipo_Linha]]&amp;" ) "&amp;Base_Periodo1[[#This Row],[Filtro]])</f>
        <v>Fora do DRE</v>
      </c>
      <c r="W985" s="3" t="str">
        <f>LEFT(Base_Periodo1[[#This Row],[CLASS]],3)</f>
        <v>1.1</v>
      </c>
    </row>
    <row r="986" spans="1:23" hidden="1">
      <c r="A986" s="3" t="str">
        <f t="shared" si="15"/>
        <v>Período 1</v>
      </c>
      <c r="B986">
        <v>57212</v>
      </c>
      <c r="C986" t="s">
        <v>922</v>
      </c>
      <c r="D986" t="s">
        <v>6768</v>
      </c>
      <c r="E986" s="3" t="str">
        <f>IF(LEN(Base_Periodo1[[#This Row],[CLASS]])&gt;=7,LEFT(Base_Periodo1[[#This Row],[CLASS]],7),"")</f>
        <v>1.1.2.2</v>
      </c>
      <c r="F986" s="3" t="str">
        <f>VLOOKUP(Base_Periodo1[[#This Row],[Aux]],Base_Contas_Balanco[#All],2,FALSE)</f>
        <v>Creditos com não Cooperados</v>
      </c>
      <c r="G986" s="1">
        <v>42864</v>
      </c>
      <c r="I986" s="225">
        <v>895</v>
      </c>
      <c r="J986" s="225">
        <v>895</v>
      </c>
      <c r="K986" s="225">
        <v>0</v>
      </c>
      <c r="L9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86" s="225">
        <f>ROUND(IF(AND(Base_Periodo1[[#This Row],[Tipo_Linha]]="-",Base_Periodo1[[#This Row],[TIPOSALDO]]="D"),Base_Periodo1[[#This Row],[SALDO_ATUAL]]*-1,Base_Periodo1[[#This Row],[SALDO_ATUAL]]),4)</f>
        <v>0</v>
      </c>
      <c r="N986" t="s">
        <v>116</v>
      </c>
      <c r="O986" t="s">
        <v>436</v>
      </c>
      <c r="P986" t="s">
        <v>436</v>
      </c>
      <c r="Q986">
        <v>7</v>
      </c>
      <c r="R986" s="225">
        <f>Base_Periodo1[[#This Row],[CREDITOS]]-Base_Periodo1[[#This Row],[DEBITOS]]</f>
        <v>0</v>
      </c>
      <c r="S986" s="3" t="str">
        <f>IF(ISERROR(VLOOKUP(Base_Periodo1[[#This Row],[CONTA]],BaseContasDRE[#All],4,FALSE)),"Fora do DRE",VLOOKUP(Base_Periodo1[[#This Row],[CONTA]],BaseContasDRE[#All],4,FALSE))</f>
        <v>Fora do DRE</v>
      </c>
      <c r="T986" s="3" t="str">
        <f>IF(ISERROR(VLOOKUP(Base_Periodo1[[#This Row],[CONTA]],BaseContasDRE[#All],5,FALSE)),"Fora do DRE",VLOOKUP(Base_Periodo1[[#This Row],[CONTA]],BaseContasDRE[#All],6,FALSE))</f>
        <v>Fora do DRE</v>
      </c>
      <c r="U986" s="3" t="str">
        <f>IF(ISERROR(VLOOKUP(Base_Periodo1[[#This Row],[CONTA]],BaseContasDRE[#All],7,FALSE)),"Fora do DRE",VLOOKUP(Base_Periodo1[[#This Row],[CONTA]],BaseContasDRE[#All],7,FALSE))</f>
        <v>Fora do DRE</v>
      </c>
      <c r="V986" s="3" t="str">
        <f>IF(Base_Periodo1[[#This Row],[Tipo_Linha]]="Fora do DRE","Fora do DRE","( "&amp;Base_Periodo1[[#This Row],[Tipo_Linha]]&amp;" ) "&amp;Base_Periodo1[[#This Row],[Filtro]])</f>
        <v>Fora do DRE</v>
      </c>
      <c r="W986" s="3" t="str">
        <f>LEFT(Base_Periodo1[[#This Row],[CLASS]],3)</f>
        <v>1.1</v>
      </c>
    </row>
    <row r="987" spans="1:23" hidden="1">
      <c r="A987" s="3" t="str">
        <f t="shared" si="15"/>
        <v>Período 1</v>
      </c>
      <c r="B987">
        <v>38339</v>
      </c>
      <c r="C987" t="s">
        <v>922</v>
      </c>
      <c r="D987" t="s">
        <v>5866</v>
      </c>
      <c r="E987" s="3" t="str">
        <f>IF(LEN(Base_Periodo1[[#This Row],[CLASS]])&gt;=7,LEFT(Base_Periodo1[[#This Row],[CLASS]],7),"")</f>
        <v>1.1.2.2</v>
      </c>
      <c r="F987" s="3" t="str">
        <f>VLOOKUP(Base_Periodo1[[#This Row],[Aux]],Base_Contas_Balanco[#All],2,FALSE)</f>
        <v>Creditos com não Cooperados</v>
      </c>
      <c r="G987" s="1">
        <v>42886</v>
      </c>
      <c r="H987" s="225">
        <v>407186.24000000022</v>
      </c>
      <c r="I987" s="225">
        <v>2750554.16</v>
      </c>
      <c r="J987" s="225">
        <v>1941720.7999999996</v>
      </c>
      <c r="K987" s="225">
        <v>1216019.6000000008</v>
      </c>
      <c r="L9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1216019.6000000001</v>
      </c>
      <c r="M987" s="225">
        <f>ROUND(IF(AND(Base_Periodo1[[#This Row],[Tipo_Linha]]="-",Base_Periodo1[[#This Row],[TIPOSALDO]]="D"),Base_Periodo1[[#This Row],[SALDO_ATUAL]]*-1,Base_Periodo1[[#This Row],[SALDO_ATUAL]]),4)</f>
        <v>1216019.6000000001</v>
      </c>
      <c r="N987" t="s">
        <v>116</v>
      </c>
      <c r="O987" t="s">
        <v>397</v>
      </c>
      <c r="P987" t="s">
        <v>397</v>
      </c>
      <c r="Q987">
        <v>7</v>
      </c>
      <c r="R987" s="225">
        <f>Base_Periodo1[[#This Row],[CREDITOS]]-Base_Periodo1[[#This Row],[DEBITOS]]</f>
        <v>-808833.36000000057</v>
      </c>
      <c r="S987" s="3" t="str">
        <f>IF(ISERROR(VLOOKUP(Base_Periodo1[[#This Row],[CONTA]],BaseContasDRE[#All],4,FALSE)),"Fora do DRE",VLOOKUP(Base_Periodo1[[#This Row],[CONTA]],BaseContasDRE[#All],4,FALSE))</f>
        <v>Fora do DRE</v>
      </c>
      <c r="T987" s="3" t="str">
        <f>IF(ISERROR(VLOOKUP(Base_Periodo1[[#This Row],[CONTA]],BaseContasDRE[#All],5,FALSE)),"Fora do DRE",VLOOKUP(Base_Periodo1[[#This Row],[CONTA]],BaseContasDRE[#All],6,FALSE))</f>
        <v>Fora do DRE</v>
      </c>
      <c r="U987" s="3" t="str">
        <f>IF(ISERROR(VLOOKUP(Base_Periodo1[[#This Row],[CONTA]],BaseContasDRE[#All],7,FALSE)),"Fora do DRE",VLOOKUP(Base_Periodo1[[#This Row],[CONTA]],BaseContasDRE[#All],7,FALSE))</f>
        <v>Fora do DRE</v>
      </c>
      <c r="V987" s="3" t="str">
        <f>IF(Base_Periodo1[[#This Row],[Tipo_Linha]]="Fora do DRE","Fora do DRE","( "&amp;Base_Periodo1[[#This Row],[Tipo_Linha]]&amp;" ) "&amp;Base_Periodo1[[#This Row],[Filtro]])</f>
        <v>Fora do DRE</v>
      </c>
      <c r="W987" s="3" t="str">
        <f>LEFT(Base_Periodo1[[#This Row],[CLASS]],3)</f>
        <v>1.1</v>
      </c>
    </row>
    <row r="988" spans="1:23" hidden="1">
      <c r="A988" s="3" t="str">
        <f t="shared" si="15"/>
        <v>Período 1</v>
      </c>
      <c r="B988">
        <v>35778</v>
      </c>
      <c r="C988" t="s">
        <v>922</v>
      </c>
      <c r="D988" t="s">
        <v>4426</v>
      </c>
      <c r="E988" s="3" t="str">
        <f>IF(LEN(Base_Periodo1[[#This Row],[CLASS]])&gt;=7,LEFT(Base_Periodo1[[#This Row],[CLASS]],7),"")</f>
        <v>1.1.2.2</v>
      </c>
      <c r="F988" s="3" t="str">
        <f>VLOOKUP(Base_Periodo1[[#This Row],[Aux]],Base_Contas_Balanco[#All],2,FALSE)</f>
        <v>Creditos com não Cooperados</v>
      </c>
      <c r="G988" s="1">
        <v>42866</v>
      </c>
      <c r="I988" s="225">
        <v>19440</v>
      </c>
      <c r="J988" s="225">
        <v>19440</v>
      </c>
      <c r="K988" s="225">
        <v>0</v>
      </c>
      <c r="L9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88" s="225">
        <f>ROUND(IF(AND(Base_Periodo1[[#This Row],[Tipo_Linha]]="-",Base_Periodo1[[#This Row],[TIPOSALDO]]="D"),Base_Periodo1[[#This Row],[SALDO_ATUAL]]*-1,Base_Periodo1[[#This Row],[SALDO_ATUAL]]),4)</f>
        <v>0</v>
      </c>
      <c r="N988" t="s">
        <v>116</v>
      </c>
      <c r="O988" t="s">
        <v>436</v>
      </c>
      <c r="P988" t="s">
        <v>436</v>
      </c>
      <c r="Q988">
        <v>7</v>
      </c>
      <c r="R988" s="225">
        <f>Base_Periodo1[[#This Row],[CREDITOS]]-Base_Periodo1[[#This Row],[DEBITOS]]</f>
        <v>0</v>
      </c>
      <c r="S988" s="3" t="str">
        <f>IF(ISERROR(VLOOKUP(Base_Periodo1[[#This Row],[CONTA]],BaseContasDRE[#All],4,FALSE)),"Fora do DRE",VLOOKUP(Base_Periodo1[[#This Row],[CONTA]],BaseContasDRE[#All],4,FALSE))</f>
        <v>Fora do DRE</v>
      </c>
      <c r="T988" s="3" t="str">
        <f>IF(ISERROR(VLOOKUP(Base_Periodo1[[#This Row],[CONTA]],BaseContasDRE[#All],5,FALSE)),"Fora do DRE",VLOOKUP(Base_Periodo1[[#This Row],[CONTA]],BaseContasDRE[#All],6,FALSE))</f>
        <v>Fora do DRE</v>
      </c>
      <c r="U988" s="3" t="str">
        <f>IF(ISERROR(VLOOKUP(Base_Periodo1[[#This Row],[CONTA]],BaseContasDRE[#All],7,FALSE)),"Fora do DRE",VLOOKUP(Base_Periodo1[[#This Row],[CONTA]],BaseContasDRE[#All],7,FALSE))</f>
        <v>Fora do DRE</v>
      </c>
      <c r="V988" s="3" t="str">
        <f>IF(Base_Periodo1[[#This Row],[Tipo_Linha]]="Fora do DRE","Fora do DRE","( "&amp;Base_Periodo1[[#This Row],[Tipo_Linha]]&amp;" ) "&amp;Base_Periodo1[[#This Row],[Filtro]])</f>
        <v>Fora do DRE</v>
      </c>
      <c r="W988" s="3" t="str">
        <f>LEFT(Base_Periodo1[[#This Row],[CLASS]],3)</f>
        <v>1.1</v>
      </c>
    </row>
    <row r="989" spans="1:23" hidden="1">
      <c r="A989" s="3" t="str">
        <f t="shared" si="15"/>
        <v>Período 1</v>
      </c>
      <c r="B989">
        <v>41647</v>
      </c>
      <c r="C989" t="s">
        <v>922</v>
      </c>
      <c r="D989" t="s">
        <v>688</v>
      </c>
      <c r="E989" s="3" t="str">
        <f>IF(LEN(Base_Periodo1[[#This Row],[CLASS]])&gt;=7,LEFT(Base_Periodo1[[#This Row],[CLASS]],7),"")</f>
        <v>1.1.2.2</v>
      </c>
      <c r="F989" s="3" t="str">
        <f>VLOOKUP(Base_Periodo1[[#This Row],[Aux]],Base_Contas_Balanco[#All],2,FALSE)</f>
        <v>Creditos com não Cooperados</v>
      </c>
      <c r="G989" s="1">
        <v>42884</v>
      </c>
      <c r="I989" s="225">
        <v>315592.25</v>
      </c>
      <c r="J989" s="225">
        <v>0</v>
      </c>
      <c r="K989" s="225">
        <v>315592.25</v>
      </c>
      <c r="L9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315592.25</v>
      </c>
      <c r="M989" s="225">
        <f>ROUND(IF(AND(Base_Periodo1[[#This Row],[Tipo_Linha]]="-",Base_Periodo1[[#This Row],[TIPOSALDO]]="D"),Base_Periodo1[[#This Row],[SALDO_ATUAL]]*-1,Base_Periodo1[[#This Row],[SALDO_ATUAL]]),4)</f>
        <v>315592.25</v>
      </c>
      <c r="N989" t="s">
        <v>116</v>
      </c>
      <c r="O989" t="s">
        <v>436</v>
      </c>
      <c r="P989" t="s">
        <v>397</v>
      </c>
      <c r="Q989">
        <v>7</v>
      </c>
      <c r="R989" s="225">
        <f>Base_Periodo1[[#This Row],[CREDITOS]]-Base_Periodo1[[#This Row],[DEBITOS]]</f>
        <v>-315592.25</v>
      </c>
      <c r="S989" s="3" t="str">
        <f>IF(ISERROR(VLOOKUP(Base_Periodo1[[#This Row],[CONTA]],BaseContasDRE[#All],4,FALSE)),"Fora do DRE",VLOOKUP(Base_Periodo1[[#This Row],[CONTA]],BaseContasDRE[#All],4,FALSE))</f>
        <v>Fora do DRE</v>
      </c>
      <c r="T989" s="3" t="str">
        <f>IF(ISERROR(VLOOKUP(Base_Periodo1[[#This Row],[CONTA]],BaseContasDRE[#All],5,FALSE)),"Fora do DRE",VLOOKUP(Base_Periodo1[[#This Row],[CONTA]],BaseContasDRE[#All],6,FALSE))</f>
        <v>Fora do DRE</v>
      </c>
      <c r="U989" s="3" t="str">
        <f>IF(ISERROR(VLOOKUP(Base_Periodo1[[#This Row],[CONTA]],BaseContasDRE[#All],7,FALSE)),"Fora do DRE",VLOOKUP(Base_Periodo1[[#This Row],[CONTA]],BaseContasDRE[#All],7,FALSE))</f>
        <v>Fora do DRE</v>
      </c>
      <c r="V989" s="3" t="str">
        <f>IF(Base_Periodo1[[#This Row],[Tipo_Linha]]="Fora do DRE","Fora do DRE","( "&amp;Base_Periodo1[[#This Row],[Tipo_Linha]]&amp;" ) "&amp;Base_Periodo1[[#This Row],[Filtro]])</f>
        <v>Fora do DRE</v>
      </c>
      <c r="W989" s="3" t="str">
        <f>LEFT(Base_Periodo1[[#This Row],[CLASS]],3)</f>
        <v>1.1</v>
      </c>
    </row>
    <row r="990" spans="1:23" hidden="1">
      <c r="A990" s="3" t="str">
        <f t="shared" si="15"/>
        <v>Período 1</v>
      </c>
      <c r="B990">
        <v>35052</v>
      </c>
      <c r="C990" t="s">
        <v>922</v>
      </c>
      <c r="D990" t="s">
        <v>5079</v>
      </c>
      <c r="E990" s="3" t="str">
        <f>IF(LEN(Base_Periodo1[[#This Row],[CLASS]])&gt;=7,LEFT(Base_Periodo1[[#This Row],[CLASS]],7),"")</f>
        <v>1.1.2.2</v>
      </c>
      <c r="F990" s="3" t="str">
        <f>VLOOKUP(Base_Periodo1[[#This Row],[Aux]],Base_Contas_Balanco[#All],2,FALSE)</f>
        <v>Creditos com não Cooperados</v>
      </c>
      <c r="G990" s="1">
        <v>42877</v>
      </c>
      <c r="H990" s="225">
        <v>20824.350000000035</v>
      </c>
      <c r="I990" s="225">
        <v>898.01</v>
      </c>
      <c r="J990" s="225">
        <v>21090.48</v>
      </c>
      <c r="K990" s="225">
        <v>631.88000000003376</v>
      </c>
      <c r="L9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631.88</v>
      </c>
      <c r="M990" s="225">
        <f>ROUND(IF(AND(Base_Periodo1[[#This Row],[Tipo_Linha]]="-",Base_Periodo1[[#This Row],[TIPOSALDO]]="D"),Base_Periodo1[[#This Row],[SALDO_ATUAL]]*-1,Base_Periodo1[[#This Row],[SALDO_ATUAL]]),4)</f>
        <v>631.88</v>
      </c>
      <c r="N990" t="s">
        <v>116</v>
      </c>
      <c r="O990" t="s">
        <v>397</v>
      </c>
      <c r="P990" t="s">
        <v>397</v>
      </c>
      <c r="Q990">
        <v>7</v>
      </c>
      <c r="R990" s="225">
        <f>Base_Periodo1[[#This Row],[CREDITOS]]-Base_Periodo1[[#This Row],[DEBITOS]]</f>
        <v>20192.47</v>
      </c>
      <c r="S990" s="3" t="str">
        <f>IF(ISERROR(VLOOKUP(Base_Periodo1[[#This Row],[CONTA]],BaseContasDRE[#All],4,FALSE)),"Fora do DRE",VLOOKUP(Base_Periodo1[[#This Row],[CONTA]],BaseContasDRE[#All],4,FALSE))</f>
        <v>Fora do DRE</v>
      </c>
      <c r="T990" s="3" t="str">
        <f>IF(ISERROR(VLOOKUP(Base_Periodo1[[#This Row],[CONTA]],BaseContasDRE[#All],5,FALSE)),"Fora do DRE",VLOOKUP(Base_Periodo1[[#This Row],[CONTA]],BaseContasDRE[#All],6,FALSE))</f>
        <v>Fora do DRE</v>
      </c>
      <c r="U990" s="3" t="str">
        <f>IF(ISERROR(VLOOKUP(Base_Periodo1[[#This Row],[CONTA]],BaseContasDRE[#All],7,FALSE)),"Fora do DRE",VLOOKUP(Base_Periodo1[[#This Row],[CONTA]],BaseContasDRE[#All],7,FALSE))</f>
        <v>Fora do DRE</v>
      </c>
      <c r="V990" s="3" t="str">
        <f>IF(Base_Periodo1[[#This Row],[Tipo_Linha]]="Fora do DRE","Fora do DRE","( "&amp;Base_Periodo1[[#This Row],[Tipo_Linha]]&amp;" ) "&amp;Base_Periodo1[[#This Row],[Filtro]])</f>
        <v>Fora do DRE</v>
      </c>
      <c r="W990" s="3" t="str">
        <f>LEFT(Base_Periodo1[[#This Row],[CLASS]],3)</f>
        <v>1.1</v>
      </c>
    </row>
    <row r="991" spans="1:23" hidden="1">
      <c r="A991" s="3" t="str">
        <f t="shared" si="15"/>
        <v>Período 1</v>
      </c>
      <c r="B991">
        <v>4140</v>
      </c>
      <c r="C991" t="s">
        <v>922</v>
      </c>
      <c r="D991" t="s">
        <v>5182</v>
      </c>
      <c r="E991" s="3" t="str">
        <f>IF(LEN(Base_Periodo1[[#This Row],[CLASS]])&gt;=7,LEFT(Base_Periodo1[[#This Row],[CLASS]],7),"")</f>
        <v>1.1.2.2</v>
      </c>
      <c r="F991" s="3" t="str">
        <f>VLOOKUP(Base_Periodo1[[#This Row],[Aux]],Base_Contas_Balanco[#All],2,FALSE)</f>
        <v>Creditos com não Cooperados</v>
      </c>
      <c r="G991" s="1">
        <v>42807</v>
      </c>
      <c r="H991" s="225">
        <v>0.17000000001280569</v>
      </c>
      <c r="I991" s="225">
        <v>0</v>
      </c>
      <c r="J991" s="225">
        <v>0</v>
      </c>
      <c r="K991" s="225">
        <v>0.17000000001280569</v>
      </c>
      <c r="L9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0.17</v>
      </c>
      <c r="M991" s="225">
        <f>ROUND(IF(AND(Base_Periodo1[[#This Row],[Tipo_Linha]]="-",Base_Periodo1[[#This Row],[TIPOSALDO]]="D"),Base_Periodo1[[#This Row],[SALDO_ATUAL]]*-1,Base_Periodo1[[#This Row],[SALDO_ATUAL]]),4)</f>
        <v>0.17</v>
      </c>
      <c r="N991" t="s">
        <v>116</v>
      </c>
      <c r="O991" t="s">
        <v>397</v>
      </c>
      <c r="P991" t="s">
        <v>397</v>
      </c>
      <c r="Q991">
        <v>7</v>
      </c>
      <c r="R991" s="225">
        <f>Base_Periodo1[[#This Row],[CREDITOS]]-Base_Periodo1[[#This Row],[DEBITOS]]</f>
        <v>0</v>
      </c>
      <c r="S991" s="3" t="str">
        <f>IF(ISERROR(VLOOKUP(Base_Periodo1[[#This Row],[CONTA]],BaseContasDRE[#All],4,FALSE)),"Fora do DRE",VLOOKUP(Base_Periodo1[[#This Row],[CONTA]],BaseContasDRE[#All],4,FALSE))</f>
        <v>Fora do DRE</v>
      </c>
      <c r="T991" s="3" t="str">
        <f>IF(ISERROR(VLOOKUP(Base_Periodo1[[#This Row],[CONTA]],BaseContasDRE[#All],5,FALSE)),"Fora do DRE",VLOOKUP(Base_Periodo1[[#This Row],[CONTA]],BaseContasDRE[#All],6,FALSE))</f>
        <v>Fora do DRE</v>
      </c>
      <c r="U991" s="3" t="str">
        <f>IF(ISERROR(VLOOKUP(Base_Periodo1[[#This Row],[CONTA]],BaseContasDRE[#All],7,FALSE)),"Fora do DRE",VLOOKUP(Base_Periodo1[[#This Row],[CONTA]],BaseContasDRE[#All],7,FALSE))</f>
        <v>Fora do DRE</v>
      </c>
      <c r="V991" s="3" t="str">
        <f>IF(Base_Periodo1[[#This Row],[Tipo_Linha]]="Fora do DRE","Fora do DRE","( "&amp;Base_Periodo1[[#This Row],[Tipo_Linha]]&amp;" ) "&amp;Base_Periodo1[[#This Row],[Filtro]])</f>
        <v>Fora do DRE</v>
      </c>
      <c r="W991" s="3" t="str">
        <f>LEFT(Base_Periodo1[[#This Row],[CLASS]],3)</f>
        <v>1.1</v>
      </c>
    </row>
    <row r="992" spans="1:23" hidden="1">
      <c r="A992" s="3" t="str">
        <f t="shared" si="15"/>
        <v>Período 1</v>
      </c>
      <c r="B992">
        <v>53857</v>
      </c>
      <c r="C992" t="s">
        <v>922</v>
      </c>
      <c r="D992" t="s">
        <v>6172</v>
      </c>
      <c r="E992" s="3" t="str">
        <f>IF(LEN(Base_Periodo1[[#This Row],[CLASS]])&gt;=7,LEFT(Base_Periodo1[[#This Row],[CLASS]],7),"")</f>
        <v>1.1.2.2</v>
      </c>
      <c r="F992" s="3" t="str">
        <f>VLOOKUP(Base_Periodo1[[#This Row],[Aux]],Base_Contas_Balanco[#All],2,FALSE)</f>
        <v>Creditos com não Cooperados</v>
      </c>
      <c r="G992" s="1">
        <v>42879</v>
      </c>
      <c r="H992" s="225">
        <v>1071.1999999999998</v>
      </c>
      <c r="I992" s="225">
        <v>0</v>
      </c>
      <c r="J992" s="225">
        <v>1071.2</v>
      </c>
      <c r="K992" s="225">
        <v>-2.2737367544323206E-13</v>
      </c>
      <c r="L9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92" s="225">
        <f>ROUND(IF(AND(Base_Periodo1[[#This Row],[Tipo_Linha]]="-",Base_Periodo1[[#This Row],[TIPOSALDO]]="D"),Base_Periodo1[[#This Row],[SALDO_ATUAL]]*-1,Base_Periodo1[[#This Row],[SALDO_ATUAL]]),4)</f>
        <v>0</v>
      </c>
      <c r="N992" t="s">
        <v>116</v>
      </c>
      <c r="O992" t="s">
        <v>397</v>
      </c>
      <c r="P992" t="s">
        <v>436</v>
      </c>
      <c r="Q992">
        <v>7</v>
      </c>
      <c r="R992" s="225">
        <f>Base_Periodo1[[#This Row],[CREDITOS]]-Base_Periodo1[[#This Row],[DEBITOS]]</f>
        <v>1071.2</v>
      </c>
      <c r="S992" s="3" t="str">
        <f>IF(ISERROR(VLOOKUP(Base_Periodo1[[#This Row],[CONTA]],BaseContasDRE[#All],4,FALSE)),"Fora do DRE",VLOOKUP(Base_Periodo1[[#This Row],[CONTA]],BaseContasDRE[#All],4,FALSE))</f>
        <v>Fora do DRE</v>
      </c>
      <c r="T992" s="3" t="str">
        <f>IF(ISERROR(VLOOKUP(Base_Periodo1[[#This Row],[CONTA]],BaseContasDRE[#All],5,FALSE)),"Fora do DRE",VLOOKUP(Base_Periodo1[[#This Row],[CONTA]],BaseContasDRE[#All],6,FALSE))</f>
        <v>Fora do DRE</v>
      </c>
      <c r="U992" s="3" t="str">
        <f>IF(ISERROR(VLOOKUP(Base_Periodo1[[#This Row],[CONTA]],BaseContasDRE[#All],7,FALSE)),"Fora do DRE",VLOOKUP(Base_Periodo1[[#This Row],[CONTA]],BaseContasDRE[#All],7,FALSE))</f>
        <v>Fora do DRE</v>
      </c>
      <c r="V992" s="3" t="str">
        <f>IF(Base_Periodo1[[#This Row],[Tipo_Linha]]="Fora do DRE","Fora do DRE","( "&amp;Base_Periodo1[[#This Row],[Tipo_Linha]]&amp;" ) "&amp;Base_Periodo1[[#This Row],[Filtro]])</f>
        <v>Fora do DRE</v>
      </c>
      <c r="W992" s="3" t="str">
        <f>LEFT(Base_Periodo1[[#This Row],[CLASS]],3)</f>
        <v>1.1</v>
      </c>
    </row>
    <row r="993" spans="1:23" hidden="1">
      <c r="A993" s="3" t="str">
        <f t="shared" si="15"/>
        <v>Período 1</v>
      </c>
      <c r="B993">
        <v>53317</v>
      </c>
      <c r="C993" t="s">
        <v>922</v>
      </c>
      <c r="D993" t="s">
        <v>6173</v>
      </c>
      <c r="E993" s="3" t="str">
        <f>IF(LEN(Base_Periodo1[[#This Row],[CLASS]])&gt;=7,LEFT(Base_Periodo1[[#This Row],[CLASS]],7),"")</f>
        <v>1.1.2.2</v>
      </c>
      <c r="F993" s="3" t="str">
        <f>VLOOKUP(Base_Periodo1[[#This Row],[Aux]],Base_Contas_Balanco[#All],2,FALSE)</f>
        <v>Creditos com não Cooperados</v>
      </c>
      <c r="G993" s="1">
        <v>42879</v>
      </c>
      <c r="H993" s="225">
        <v>10719.5</v>
      </c>
      <c r="I993" s="225">
        <v>0</v>
      </c>
      <c r="J993" s="225">
        <v>10719.5</v>
      </c>
      <c r="K993" s="225">
        <v>0</v>
      </c>
      <c r="L9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93" s="225">
        <f>ROUND(IF(AND(Base_Periodo1[[#This Row],[Tipo_Linha]]="-",Base_Periodo1[[#This Row],[TIPOSALDO]]="D"),Base_Periodo1[[#This Row],[SALDO_ATUAL]]*-1,Base_Periodo1[[#This Row],[SALDO_ATUAL]]),4)</f>
        <v>0</v>
      </c>
      <c r="N993" t="s">
        <v>116</v>
      </c>
      <c r="O993" t="s">
        <v>397</v>
      </c>
      <c r="P993" t="s">
        <v>436</v>
      </c>
      <c r="Q993">
        <v>7</v>
      </c>
      <c r="R993" s="225">
        <f>Base_Periodo1[[#This Row],[CREDITOS]]-Base_Periodo1[[#This Row],[DEBITOS]]</f>
        <v>10719.5</v>
      </c>
      <c r="S993" s="3" t="str">
        <f>IF(ISERROR(VLOOKUP(Base_Periodo1[[#This Row],[CONTA]],BaseContasDRE[#All],4,FALSE)),"Fora do DRE",VLOOKUP(Base_Periodo1[[#This Row],[CONTA]],BaseContasDRE[#All],4,FALSE))</f>
        <v>Fora do DRE</v>
      </c>
      <c r="T993" s="3" t="str">
        <f>IF(ISERROR(VLOOKUP(Base_Periodo1[[#This Row],[CONTA]],BaseContasDRE[#All],5,FALSE)),"Fora do DRE",VLOOKUP(Base_Periodo1[[#This Row],[CONTA]],BaseContasDRE[#All],6,FALSE))</f>
        <v>Fora do DRE</v>
      </c>
      <c r="U993" s="3" t="str">
        <f>IF(ISERROR(VLOOKUP(Base_Periodo1[[#This Row],[CONTA]],BaseContasDRE[#All],7,FALSE)),"Fora do DRE",VLOOKUP(Base_Periodo1[[#This Row],[CONTA]],BaseContasDRE[#All],7,FALSE))</f>
        <v>Fora do DRE</v>
      </c>
      <c r="V993" s="3" t="str">
        <f>IF(Base_Periodo1[[#This Row],[Tipo_Linha]]="Fora do DRE","Fora do DRE","( "&amp;Base_Periodo1[[#This Row],[Tipo_Linha]]&amp;" ) "&amp;Base_Periodo1[[#This Row],[Filtro]])</f>
        <v>Fora do DRE</v>
      </c>
      <c r="W993" s="3" t="str">
        <f>LEFT(Base_Periodo1[[#This Row],[CLASS]],3)</f>
        <v>1.1</v>
      </c>
    </row>
    <row r="994" spans="1:23" hidden="1">
      <c r="A994" s="3" t="str">
        <f t="shared" si="15"/>
        <v>Período 1</v>
      </c>
      <c r="B994">
        <v>9504</v>
      </c>
      <c r="C994" t="s">
        <v>922</v>
      </c>
      <c r="D994" t="s">
        <v>5022</v>
      </c>
      <c r="E994" s="3" t="str">
        <f>IF(LEN(Base_Periodo1[[#This Row],[CLASS]])&gt;=7,LEFT(Base_Periodo1[[#This Row],[CLASS]],7),"")</f>
        <v>1.1.2.2</v>
      </c>
      <c r="F994" s="3" t="str">
        <f>VLOOKUP(Base_Periodo1[[#This Row],[Aux]],Base_Contas_Balanco[#All],2,FALSE)</f>
        <v>Creditos com não Cooperados</v>
      </c>
      <c r="G994" s="1">
        <v>42874</v>
      </c>
      <c r="H994" s="225">
        <v>28465.780000001192</v>
      </c>
      <c r="I994" s="225">
        <v>112968.82</v>
      </c>
      <c r="J994" s="225">
        <v>141434.6</v>
      </c>
      <c r="K994" s="225">
        <v>1.1932570487260818E-9</v>
      </c>
      <c r="L9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94" s="225">
        <f>ROUND(IF(AND(Base_Periodo1[[#This Row],[Tipo_Linha]]="-",Base_Periodo1[[#This Row],[TIPOSALDO]]="D"),Base_Periodo1[[#This Row],[SALDO_ATUAL]]*-1,Base_Periodo1[[#This Row],[SALDO_ATUAL]]),4)</f>
        <v>0</v>
      </c>
      <c r="N994" t="s">
        <v>116</v>
      </c>
      <c r="O994" t="s">
        <v>397</v>
      </c>
      <c r="P994" t="s">
        <v>436</v>
      </c>
      <c r="Q994">
        <v>7</v>
      </c>
      <c r="R994" s="225">
        <f>Base_Periodo1[[#This Row],[CREDITOS]]-Base_Periodo1[[#This Row],[DEBITOS]]</f>
        <v>28465.78</v>
      </c>
      <c r="S994" s="3" t="str">
        <f>IF(ISERROR(VLOOKUP(Base_Periodo1[[#This Row],[CONTA]],BaseContasDRE[#All],4,FALSE)),"Fora do DRE",VLOOKUP(Base_Periodo1[[#This Row],[CONTA]],BaseContasDRE[#All],4,FALSE))</f>
        <v>Fora do DRE</v>
      </c>
      <c r="T994" s="3" t="str">
        <f>IF(ISERROR(VLOOKUP(Base_Periodo1[[#This Row],[CONTA]],BaseContasDRE[#All],5,FALSE)),"Fora do DRE",VLOOKUP(Base_Periodo1[[#This Row],[CONTA]],BaseContasDRE[#All],6,FALSE))</f>
        <v>Fora do DRE</v>
      </c>
      <c r="U994" s="3" t="str">
        <f>IF(ISERROR(VLOOKUP(Base_Periodo1[[#This Row],[CONTA]],BaseContasDRE[#All],7,FALSE)),"Fora do DRE",VLOOKUP(Base_Periodo1[[#This Row],[CONTA]],BaseContasDRE[#All],7,FALSE))</f>
        <v>Fora do DRE</v>
      </c>
      <c r="V994" s="3" t="str">
        <f>IF(Base_Periodo1[[#This Row],[Tipo_Linha]]="Fora do DRE","Fora do DRE","( "&amp;Base_Periodo1[[#This Row],[Tipo_Linha]]&amp;" ) "&amp;Base_Periodo1[[#This Row],[Filtro]])</f>
        <v>Fora do DRE</v>
      </c>
      <c r="W994" s="3" t="str">
        <f>LEFT(Base_Periodo1[[#This Row],[CLASS]],3)</f>
        <v>1.1</v>
      </c>
    </row>
    <row r="995" spans="1:23" hidden="1">
      <c r="A995" s="3" t="str">
        <f t="shared" si="15"/>
        <v>Período 1</v>
      </c>
      <c r="B995">
        <v>24670</v>
      </c>
      <c r="C995" t="s">
        <v>922</v>
      </c>
      <c r="D995" t="s">
        <v>5022</v>
      </c>
      <c r="E995" s="3" t="str">
        <f>IF(LEN(Base_Periodo1[[#This Row],[CLASS]])&gt;=7,LEFT(Base_Periodo1[[#This Row],[CLASS]],7),"")</f>
        <v>1.1.2.2</v>
      </c>
      <c r="F995" s="3" t="str">
        <f>VLOOKUP(Base_Periodo1[[#This Row],[Aux]],Base_Contas_Balanco[#All],2,FALSE)</f>
        <v>Creditos com não Cooperados</v>
      </c>
      <c r="G995" s="1">
        <v>42823</v>
      </c>
      <c r="H995" s="225">
        <v>23920</v>
      </c>
      <c r="I995" s="225">
        <v>0</v>
      </c>
      <c r="J995" s="225">
        <v>0</v>
      </c>
      <c r="K995" s="225">
        <v>23920</v>
      </c>
      <c r="L9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23920</v>
      </c>
      <c r="M995" s="225">
        <f>ROUND(IF(AND(Base_Periodo1[[#This Row],[Tipo_Linha]]="-",Base_Periodo1[[#This Row],[TIPOSALDO]]="D"),Base_Periodo1[[#This Row],[SALDO_ATUAL]]*-1,Base_Periodo1[[#This Row],[SALDO_ATUAL]]),4)</f>
        <v>23920</v>
      </c>
      <c r="N995" t="s">
        <v>116</v>
      </c>
      <c r="O995" t="s">
        <v>397</v>
      </c>
      <c r="P995" t="s">
        <v>397</v>
      </c>
      <c r="Q995">
        <v>7</v>
      </c>
      <c r="R995" s="225">
        <f>Base_Periodo1[[#This Row],[CREDITOS]]-Base_Periodo1[[#This Row],[DEBITOS]]</f>
        <v>0</v>
      </c>
      <c r="S995" s="3" t="str">
        <f>IF(ISERROR(VLOOKUP(Base_Periodo1[[#This Row],[CONTA]],BaseContasDRE[#All],4,FALSE)),"Fora do DRE",VLOOKUP(Base_Periodo1[[#This Row],[CONTA]],BaseContasDRE[#All],4,FALSE))</f>
        <v>Fora do DRE</v>
      </c>
      <c r="T995" s="3" t="str">
        <f>IF(ISERROR(VLOOKUP(Base_Periodo1[[#This Row],[CONTA]],BaseContasDRE[#All],5,FALSE)),"Fora do DRE",VLOOKUP(Base_Periodo1[[#This Row],[CONTA]],BaseContasDRE[#All],6,FALSE))</f>
        <v>Fora do DRE</v>
      </c>
      <c r="U995" s="3" t="str">
        <f>IF(ISERROR(VLOOKUP(Base_Periodo1[[#This Row],[CONTA]],BaseContasDRE[#All],7,FALSE)),"Fora do DRE",VLOOKUP(Base_Periodo1[[#This Row],[CONTA]],BaseContasDRE[#All],7,FALSE))</f>
        <v>Fora do DRE</v>
      </c>
      <c r="V995" s="3" t="str">
        <f>IF(Base_Periodo1[[#This Row],[Tipo_Linha]]="Fora do DRE","Fora do DRE","( "&amp;Base_Periodo1[[#This Row],[Tipo_Linha]]&amp;" ) "&amp;Base_Periodo1[[#This Row],[Filtro]])</f>
        <v>Fora do DRE</v>
      </c>
      <c r="W995" s="3" t="str">
        <f>LEFT(Base_Periodo1[[#This Row],[CLASS]],3)</f>
        <v>1.1</v>
      </c>
    </row>
    <row r="996" spans="1:23" hidden="1">
      <c r="A996" s="3" t="str">
        <f t="shared" si="15"/>
        <v>Período 1</v>
      </c>
      <c r="B996">
        <v>11245</v>
      </c>
      <c r="C996" t="s">
        <v>922</v>
      </c>
      <c r="D996" t="s">
        <v>6174</v>
      </c>
      <c r="E996" s="3" t="str">
        <f>IF(LEN(Base_Periodo1[[#This Row],[CLASS]])&gt;=7,LEFT(Base_Periodo1[[#This Row],[CLASS]],7),"")</f>
        <v>1.1.2.2</v>
      </c>
      <c r="F996" s="3" t="str">
        <f>VLOOKUP(Base_Periodo1[[#This Row],[Aux]],Base_Contas_Balanco[#All],2,FALSE)</f>
        <v>Creditos com não Cooperados</v>
      </c>
      <c r="G996" s="1">
        <v>42884</v>
      </c>
      <c r="H996" s="225">
        <v>1350.0000000000873</v>
      </c>
      <c r="I996" s="225">
        <v>0</v>
      </c>
      <c r="J996" s="225">
        <v>1350</v>
      </c>
      <c r="K996" s="225">
        <v>8.7311491370201111E-11</v>
      </c>
      <c r="L9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96" s="225">
        <f>ROUND(IF(AND(Base_Periodo1[[#This Row],[Tipo_Linha]]="-",Base_Periodo1[[#This Row],[TIPOSALDO]]="D"),Base_Periodo1[[#This Row],[SALDO_ATUAL]]*-1,Base_Periodo1[[#This Row],[SALDO_ATUAL]]),4)</f>
        <v>0</v>
      </c>
      <c r="N996" t="s">
        <v>116</v>
      </c>
      <c r="O996" t="s">
        <v>397</v>
      </c>
      <c r="P996" t="s">
        <v>436</v>
      </c>
      <c r="Q996">
        <v>7</v>
      </c>
      <c r="R996" s="225">
        <f>Base_Periodo1[[#This Row],[CREDITOS]]-Base_Periodo1[[#This Row],[DEBITOS]]</f>
        <v>1350</v>
      </c>
      <c r="S996" s="3" t="str">
        <f>IF(ISERROR(VLOOKUP(Base_Periodo1[[#This Row],[CONTA]],BaseContasDRE[#All],4,FALSE)),"Fora do DRE",VLOOKUP(Base_Periodo1[[#This Row],[CONTA]],BaseContasDRE[#All],4,FALSE))</f>
        <v>Fora do DRE</v>
      </c>
      <c r="T996" s="3" t="str">
        <f>IF(ISERROR(VLOOKUP(Base_Periodo1[[#This Row],[CONTA]],BaseContasDRE[#All],5,FALSE)),"Fora do DRE",VLOOKUP(Base_Periodo1[[#This Row],[CONTA]],BaseContasDRE[#All],6,FALSE))</f>
        <v>Fora do DRE</v>
      </c>
      <c r="U996" s="3" t="str">
        <f>IF(ISERROR(VLOOKUP(Base_Periodo1[[#This Row],[CONTA]],BaseContasDRE[#All],7,FALSE)),"Fora do DRE",VLOOKUP(Base_Periodo1[[#This Row],[CONTA]],BaseContasDRE[#All],7,FALSE))</f>
        <v>Fora do DRE</v>
      </c>
      <c r="V996" s="3" t="str">
        <f>IF(Base_Periodo1[[#This Row],[Tipo_Linha]]="Fora do DRE","Fora do DRE","( "&amp;Base_Periodo1[[#This Row],[Tipo_Linha]]&amp;" ) "&amp;Base_Periodo1[[#This Row],[Filtro]])</f>
        <v>Fora do DRE</v>
      </c>
      <c r="W996" s="3" t="str">
        <f>LEFT(Base_Periodo1[[#This Row],[CLASS]],3)</f>
        <v>1.1</v>
      </c>
    </row>
    <row r="997" spans="1:23" hidden="1">
      <c r="A997" s="3" t="str">
        <f t="shared" si="15"/>
        <v>Período 1</v>
      </c>
      <c r="B997">
        <v>48035</v>
      </c>
      <c r="C997" t="s">
        <v>922</v>
      </c>
      <c r="D997" t="s">
        <v>5183</v>
      </c>
      <c r="E997" s="3" t="str">
        <f>IF(LEN(Base_Periodo1[[#This Row],[CLASS]])&gt;=7,LEFT(Base_Periodo1[[#This Row],[CLASS]],7),"")</f>
        <v>1.1.2.2</v>
      </c>
      <c r="F997" s="3" t="str">
        <f>VLOOKUP(Base_Periodo1[[#This Row],[Aux]],Base_Contas_Balanco[#All],2,FALSE)</f>
        <v>Creditos com não Cooperados</v>
      </c>
      <c r="G997" s="1">
        <v>42885</v>
      </c>
      <c r="H997" s="225">
        <v>1925.4799999999996</v>
      </c>
      <c r="I997" s="225">
        <v>17.02</v>
      </c>
      <c r="J997" s="225">
        <v>1942.5</v>
      </c>
      <c r="K997" s="225">
        <v>-4.5474735088646412E-13</v>
      </c>
      <c r="L9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97" s="225">
        <f>ROUND(IF(AND(Base_Periodo1[[#This Row],[Tipo_Linha]]="-",Base_Periodo1[[#This Row],[TIPOSALDO]]="D"),Base_Periodo1[[#This Row],[SALDO_ATUAL]]*-1,Base_Periodo1[[#This Row],[SALDO_ATUAL]]),4)</f>
        <v>0</v>
      </c>
      <c r="N997" t="s">
        <v>116</v>
      </c>
      <c r="O997" t="s">
        <v>397</v>
      </c>
      <c r="P997" t="s">
        <v>436</v>
      </c>
      <c r="Q997">
        <v>7</v>
      </c>
      <c r="R997" s="225">
        <f>Base_Periodo1[[#This Row],[CREDITOS]]-Base_Periodo1[[#This Row],[DEBITOS]]</f>
        <v>1925.48</v>
      </c>
      <c r="S997" s="3" t="str">
        <f>IF(ISERROR(VLOOKUP(Base_Periodo1[[#This Row],[CONTA]],BaseContasDRE[#All],4,FALSE)),"Fora do DRE",VLOOKUP(Base_Periodo1[[#This Row],[CONTA]],BaseContasDRE[#All],4,FALSE))</f>
        <v>Fora do DRE</v>
      </c>
      <c r="T997" s="3" t="str">
        <f>IF(ISERROR(VLOOKUP(Base_Periodo1[[#This Row],[CONTA]],BaseContasDRE[#All],5,FALSE)),"Fora do DRE",VLOOKUP(Base_Periodo1[[#This Row],[CONTA]],BaseContasDRE[#All],6,FALSE))</f>
        <v>Fora do DRE</v>
      </c>
      <c r="U997" s="3" t="str">
        <f>IF(ISERROR(VLOOKUP(Base_Periodo1[[#This Row],[CONTA]],BaseContasDRE[#All],7,FALSE)),"Fora do DRE",VLOOKUP(Base_Periodo1[[#This Row],[CONTA]],BaseContasDRE[#All],7,FALSE))</f>
        <v>Fora do DRE</v>
      </c>
      <c r="V997" s="3" t="str">
        <f>IF(Base_Periodo1[[#This Row],[Tipo_Linha]]="Fora do DRE","Fora do DRE","( "&amp;Base_Periodo1[[#This Row],[Tipo_Linha]]&amp;" ) "&amp;Base_Periodo1[[#This Row],[Filtro]])</f>
        <v>Fora do DRE</v>
      </c>
      <c r="W997" s="3" t="str">
        <f>LEFT(Base_Periodo1[[#This Row],[CLASS]],3)</f>
        <v>1.1</v>
      </c>
    </row>
    <row r="998" spans="1:23" hidden="1">
      <c r="A998" s="3" t="str">
        <f t="shared" si="15"/>
        <v>Período 1</v>
      </c>
      <c r="B998">
        <v>34050</v>
      </c>
      <c r="C998" t="s">
        <v>922</v>
      </c>
      <c r="D998" t="s">
        <v>6175</v>
      </c>
      <c r="E998" s="3" t="str">
        <f>IF(LEN(Base_Periodo1[[#This Row],[CLASS]])&gt;=7,LEFT(Base_Periodo1[[#This Row],[CLASS]],7),"")</f>
        <v>1.1.2.2</v>
      </c>
      <c r="F998" s="3" t="str">
        <f>VLOOKUP(Base_Periodo1[[#This Row],[Aux]],Base_Contas_Balanco[#All],2,FALSE)</f>
        <v>Creditos com não Cooperados</v>
      </c>
      <c r="G998" s="1">
        <v>42859</v>
      </c>
      <c r="H998" s="225">
        <v>38000</v>
      </c>
      <c r="I998" s="225">
        <v>0</v>
      </c>
      <c r="J998" s="225">
        <v>38000</v>
      </c>
      <c r="K998" s="225">
        <v>0</v>
      </c>
      <c r="L9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998" s="225">
        <f>ROUND(IF(AND(Base_Periodo1[[#This Row],[Tipo_Linha]]="-",Base_Periodo1[[#This Row],[TIPOSALDO]]="D"),Base_Periodo1[[#This Row],[SALDO_ATUAL]]*-1,Base_Periodo1[[#This Row],[SALDO_ATUAL]]),4)</f>
        <v>0</v>
      </c>
      <c r="N998" t="s">
        <v>116</v>
      </c>
      <c r="O998" t="s">
        <v>397</v>
      </c>
      <c r="P998" t="s">
        <v>436</v>
      </c>
      <c r="Q998">
        <v>7</v>
      </c>
      <c r="R998" s="225">
        <f>Base_Periodo1[[#This Row],[CREDITOS]]-Base_Periodo1[[#This Row],[DEBITOS]]</f>
        <v>38000</v>
      </c>
      <c r="S998" s="3" t="str">
        <f>IF(ISERROR(VLOOKUP(Base_Periodo1[[#This Row],[CONTA]],BaseContasDRE[#All],4,FALSE)),"Fora do DRE",VLOOKUP(Base_Periodo1[[#This Row],[CONTA]],BaseContasDRE[#All],4,FALSE))</f>
        <v>Fora do DRE</v>
      </c>
      <c r="T998" s="3" t="str">
        <f>IF(ISERROR(VLOOKUP(Base_Periodo1[[#This Row],[CONTA]],BaseContasDRE[#All],5,FALSE)),"Fora do DRE",VLOOKUP(Base_Periodo1[[#This Row],[CONTA]],BaseContasDRE[#All],6,FALSE))</f>
        <v>Fora do DRE</v>
      </c>
      <c r="U998" s="3" t="str">
        <f>IF(ISERROR(VLOOKUP(Base_Periodo1[[#This Row],[CONTA]],BaseContasDRE[#All],7,FALSE)),"Fora do DRE",VLOOKUP(Base_Periodo1[[#This Row],[CONTA]],BaseContasDRE[#All],7,FALSE))</f>
        <v>Fora do DRE</v>
      </c>
      <c r="V998" s="3" t="str">
        <f>IF(Base_Periodo1[[#This Row],[Tipo_Linha]]="Fora do DRE","Fora do DRE","( "&amp;Base_Periodo1[[#This Row],[Tipo_Linha]]&amp;" ) "&amp;Base_Periodo1[[#This Row],[Filtro]])</f>
        <v>Fora do DRE</v>
      </c>
      <c r="W998" s="3" t="str">
        <f>LEFT(Base_Periodo1[[#This Row],[CLASS]],3)</f>
        <v>1.1</v>
      </c>
    </row>
    <row r="999" spans="1:23" hidden="1">
      <c r="A999" s="3" t="str">
        <f t="shared" si="15"/>
        <v>Período 1</v>
      </c>
      <c r="B999">
        <v>29087</v>
      </c>
      <c r="C999" t="s">
        <v>922</v>
      </c>
      <c r="D999" t="s">
        <v>6176</v>
      </c>
      <c r="E999" s="3" t="str">
        <f>IF(LEN(Base_Periodo1[[#This Row],[CLASS]])&gt;=7,LEFT(Base_Periodo1[[#This Row],[CLASS]],7),"")</f>
        <v>1.1.2.2</v>
      </c>
      <c r="F999" s="3" t="str">
        <f>VLOOKUP(Base_Periodo1[[#This Row],[Aux]],Base_Contas_Balanco[#All],2,FALSE)</f>
        <v>Creditos com não Cooperados</v>
      </c>
      <c r="G999" s="1">
        <v>42870</v>
      </c>
      <c r="I999" s="225">
        <v>528</v>
      </c>
      <c r="J999" s="225">
        <v>0</v>
      </c>
      <c r="K999" s="225">
        <v>528</v>
      </c>
      <c r="L9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528</v>
      </c>
      <c r="M999" s="225">
        <f>ROUND(IF(AND(Base_Periodo1[[#This Row],[Tipo_Linha]]="-",Base_Periodo1[[#This Row],[TIPOSALDO]]="D"),Base_Periodo1[[#This Row],[SALDO_ATUAL]]*-1,Base_Periodo1[[#This Row],[SALDO_ATUAL]]),4)</f>
        <v>528</v>
      </c>
      <c r="N999" t="s">
        <v>116</v>
      </c>
      <c r="O999" t="s">
        <v>436</v>
      </c>
      <c r="P999" t="s">
        <v>397</v>
      </c>
      <c r="Q999">
        <v>7</v>
      </c>
      <c r="R999" s="225">
        <f>Base_Periodo1[[#This Row],[CREDITOS]]-Base_Periodo1[[#This Row],[DEBITOS]]</f>
        <v>-528</v>
      </c>
      <c r="S999" s="3" t="str">
        <f>IF(ISERROR(VLOOKUP(Base_Periodo1[[#This Row],[CONTA]],BaseContasDRE[#All],4,FALSE)),"Fora do DRE",VLOOKUP(Base_Periodo1[[#This Row],[CONTA]],BaseContasDRE[#All],4,FALSE))</f>
        <v>Fora do DRE</v>
      </c>
      <c r="T999" s="3" t="str">
        <f>IF(ISERROR(VLOOKUP(Base_Periodo1[[#This Row],[CONTA]],BaseContasDRE[#All],5,FALSE)),"Fora do DRE",VLOOKUP(Base_Periodo1[[#This Row],[CONTA]],BaseContasDRE[#All],6,FALSE))</f>
        <v>Fora do DRE</v>
      </c>
      <c r="U999" s="3" t="str">
        <f>IF(ISERROR(VLOOKUP(Base_Periodo1[[#This Row],[CONTA]],BaseContasDRE[#All],7,FALSE)),"Fora do DRE",VLOOKUP(Base_Periodo1[[#This Row],[CONTA]],BaseContasDRE[#All],7,FALSE))</f>
        <v>Fora do DRE</v>
      </c>
      <c r="V999" s="3" t="str">
        <f>IF(Base_Periodo1[[#This Row],[Tipo_Linha]]="Fora do DRE","Fora do DRE","( "&amp;Base_Periodo1[[#This Row],[Tipo_Linha]]&amp;" ) "&amp;Base_Periodo1[[#This Row],[Filtro]])</f>
        <v>Fora do DRE</v>
      </c>
      <c r="W999" s="3" t="str">
        <f>LEFT(Base_Periodo1[[#This Row],[CLASS]],3)</f>
        <v>1.1</v>
      </c>
    </row>
    <row r="1000" spans="1:23" hidden="1">
      <c r="A1000" s="3" t="str">
        <f t="shared" si="15"/>
        <v>Período 1</v>
      </c>
      <c r="B1000">
        <v>48593</v>
      </c>
      <c r="C1000" t="s">
        <v>922</v>
      </c>
      <c r="D1000" t="s">
        <v>4615</v>
      </c>
      <c r="E1000" s="3" t="str">
        <f>IF(LEN(Base_Periodo1[[#This Row],[CLASS]])&gt;=7,LEFT(Base_Periodo1[[#This Row],[CLASS]],7),"")</f>
        <v>1.1.2.2</v>
      </c>
      <c r="F1000" s="3" t="str">
        <f>VLOOKUP(Base_Periodo1[[#This Row],[Aux]],Base_Contas_Balanco[#All],2,FALSE)</f>
        <v>Creditos com não Cooperados</v>
      </c>
      <c r="G1000" s="1">
        <v>42874</v>
      </c>
      <c r="H1000" s="225">
        <v>12000</v>
      </c>
      <c r="I1000" s="225">
        <v>4000</v>
      </c>
      <c r="J1000" s="225">
        <v>4000</v>
      </c>
      <c r="K1000" s="225">
        <v>12000</v>
      </c>
      <c r="L10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12000</v>
      </c>
      <c r="M1000" s="225">
        <f>ROUND(IF(AND(Base_Periodo1[[#This Row],[Tipo_Linha]]="-",Base_Periodo1[[#This Row],[TIPOSALDO]]="D"),Base_Periodo1[[#This Row],[SALDO_ATUAL]]*-1,Base_Periodo1[[#This Row],[SALDO_ATUAL]]),4)</f>
        <v>12000</v>
      </c>
      <c r="N1000" t="s">
        <v>116</v>
      </c>
      <c r="O1000" t="s">
        <v>397</v>
      </c>
      <c r="P1000" t="s">
        <v>397</v>
      </c>
      <c r="Q1000">
        <v>7</v>
      </c>
      <c r="R1000" s="225">
        <f>Base_Periodo1[[#This Row],[CREDITOS]]-Base_Periodo1[[#This Row],[DEBITOS]]</f>
        <v>0</v>
      </c>
      <c r="S1000" s="3" t="str">
        <f>IF(ISERROR(VLOOKUP(Base_Periodo1[[#This Row],[CONTA]],BaseContasDRE[#All],4,FALSE)),"Fora do DRE",VLOOKUP(Base_Periodo1[[#This Row],[CONTA]],BaseContasDRE[#All],4,FALSE))</f>
        <v>Fora do DRE</v>
      </c>
      <c r="T1000" s="3" t="str">
        <f>IF(ISERROR(VLOOKUP(Base_Periodo1[[#This Row],[CONTA]],BaseContasDRE[#All],5,FALSE)),"Fora do DRE",VLOOKUP(Base_Periodo1[[#This Row],[CONTA]],BaseContasDRE[#All],6,FALSE))</f>
        <v>Fora do DRE</v>
      </c>
      <c r="U1000" s="3" t="str">
        <f>IF(ISERROR(VLOOKUP(Base_Periodo1[[#This Row],[CONTA]],BaseContasDRE[#All],7,FALSE)),"Fora do DRE",VLOOKUP(Base_Periodo1[[#This Row],[CONTA]],BaseContasDRE[#All],7,FALSE))</f>
        <v>Fora do DRE</v>
      </c>
      <c r="V1000" s="3" t="str">
        <f>IF(Base_Periodo1[[#This Row],[Tipo_Linha]]="Fora do DRE","Fora do DRE","( "&amp;Base_Periodo1[[#This Row],[Tipo_Linha]]&amp;" ) "&amp;Base_Periodo1[[#This Row],[Filtro]])</f>
        <v>Fora do DRE</v>
      </c>
      <c r="W1000" s="3" t="str">
        <f>LEFT(Base_Periodo1[[#This Row],[CLASS]],3)</f>
        <v>1.1</v>
      </c>
    </row>
    <row r="1001" spans="1:23" hidden="1">
      <c r="A1001" s="3" t="str">
        <f t="shared" si="15"/>
        <v>Período 1</v>
      </c>
      <c r="B1001">
        <v>3880</v>
      </c>
      <c r="C1001" t="s">
        <v>922</v>
      </c>
      <c r="D1001" t="s">
        <v>701</v>
      </c>
      <c r="E1001" s="3" t="str">
        <f>IF(LEN(Base_Periodo1[[#This Row],[CLASS]])&gt;=7,LEFT(Base_Periodo1[[#This Row],[CLASS]],7),"")</f>
        <v>1.1.2.2</v>
      </c>
      <c r="F1001" s="3" t="str">
        <f>VLOOKUP(Base_Periodo1[[#This Row],[Aux]],Base_Contas_Balanco[#All],2,FALSE)</f>
        <v>Creditos com não Cooperados</v>
      </c>
      <c r="G1001" s="1">
        <v>42081</v>
      </c>
      <c r="H1001" s="225">
        <v>915.5</v>
      </c>
      <c r="I1001" s="225">
        <v>0</v>
      </c>
      <c r="J1001" s="225">
        <v>0</v>
      </c>
      <c r="K1001" s="225">
        <v>915.5</v>
      </c>
      <c r="L10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915.5</v>
      </c>
      <c r="M1001" s="225">
        <f>ROUND(IF(AND(Base_Periodo1[[#This Row],[Tipo_Linha]]="-",Base_Periodo1[[#This Row],[TIPOSALDO]]="D"),Base_Periodo1[[#This Row],[SALDO_ATUAL]]*-1,Base_Periodo1[[#This Row],[SALDO_ATUAL]]),4)</f>
        <v>915.5</v>
      </c>
      <c r="N1001" t="s">
        <v>116</v>
      </c>
      <c r="O1001" t="s">
        <v>397</v>
      </c>
      <c r="P1001" t="s">
        <v>397</v>
      </c>
      <c r="Q1001">
        <v>7</v>
      </c>
      <c r="R1001" s="225">
        <f>Base_Periodo1[[#This Row],[CREDITOS]]-Base_Periodo1[[#This Row],[DEBITOS]]</f>
        <v>0</v>
      </c>
      <c r="S1001" s="3" t="str">
        <f>IF(ISERROR(VLOOKUP(Base_Periodo1[[#This Row],[CONTA]],BaseContasDRE[#All],4,FALSE)),"Fora do DRE",VLOOKUP(Base_Periodo1[[#This Row],[CONTA]],BaseContasDRE[#All],4,FALSE))</f>
        <v>Fora do DRE</v>
      </c>
      <c r="T1001" s="3" t="str">
        <f>IF(ISERROR(VLOOKUP(Base_Periodo1[[#This Row],[CONTA]],BaseContasDRE[#All],5,FALSE)),"Fora do DRE",VLOOKUP(Base_Periodo1[[#This Row],[CONTA]],BaseContasDRE[#All],6,FALSE))</f>
        <v>Fora do DRE</v>
      </c>
      <c r="U1001" s="3" t="str">
        <f>IF(ISERROR(VLOOKUP(Base_Periodo1[[#This Row],[CONTA]],BaseContasDRE[#All],7,FALSE)),"Fora do DRE",VLOOKUP(Base_Periodo1[[#This Row],[CONTA]],BaseContasDRE[#All],7,FALSE))</f>
        <v>Fora do DRE</v>
      </c>
      <c r="V1001" s="3" t="str">
        <f>IF(Base_Periodo1[[#This Row],[Tipo_Linha]]="Fora do DRE","Fora do DRE","( "&amp;Base_Periodo1[[#This Row],[Tipo_Linha]]&amp;" ) "&amp;Base_Periodo1[[#This Row],[Filtro]])</f>
        <v>Fora do DRE</v>
      </c>
      <c r="W1001" s="3" t="str">
        <f>LEFT(Base_Periodo1[[#This Row],[CLASS]],3)</f>
        <v>1.1</v>
      </c>
    </row>
    <row r="1002" spans="1:23" hidden="1">
      <c r="A1002" s="3" t="str">
        <f t="shared" si="15"/>
        <v>Período 1</v>
      </c>
      <c r="B1002">
        <v>7533</v>
      </c>
      <c r="C1002" t="s">
        <v>922</v>
      </c>
      <c r="D1002" t="s">
        <v>959</v>
      </c>
      <c r="E1002" s="3" t="str">
        <f>IF(LEN(Base_Periodo1[[#This Row],[CLASS]])&gt;=7,LEFT(Base_Periodo1[[#This Row],[CLASS]],7),"")</f>
        <v>1.1.2.2</v>
      </c>
      <c r="F1002" s="3" t="str">
        <f>VLOOKUP(Base_Periodo1[[#This Row],[Aux]],Base_Contas_Balanco[#All],2,FALSE)</f>
        <v>Creditos com não Cooperados</v>
      </c>
      <c r="G1002" s="1">
        <v>42605</v>
      </c>
      <c r="H1002" s="225">
        <v>11844.000000000007</v>
      </c>
      <c r="I1002" s="225">
        <v>0</v>
      </c>
      <c r="J1002" s="225">
        <v>0</v>
      </c>
      <c r="K1002" s="225">
        <v>11844.000000000007</v>
      </c>
      <c r="L10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11844</v>
      </c>
      <c r="M1002" s="225">
        <f>ROUND(IF(AND(Base_Periodo1[[#This Row],[Tipo_Linha]]="-",Base_Periodo1[[#This Row],[TIPOSALDO]]="D"),Base_Periodo1[[#This Row],[SALDO_ATUAL]]*-1,Base_Periodo1[[#This Row],[SALDO_ATUAL]]),4)</f>
        <v>11844</v>
      </c>
      <c r="N1002" t="s">
        <v>116</v>
      </c>
      <c r="O1002" t="s">
        <v>397</v>
      </c>
      <c r="P1002" t="s">
        <v>397</v>
      </c>
      <c r="Q1002">
        <v>7</v>
      </c>
      <c r="R1002" s="225">
        <f>Base_Periodo1[[#This Row],[CREDITOS]]-Base_Periodo1[[#This Row],[DEBITOS]]</f>
        <v>0</v>
      </c>
      <c r="S1002" s="3" t="str">
        <f>IF(ISERROR(VLOOKUP(Base_Periodo1[[#This Row],[CONTA]],BaseContasDRE[#All],4,FALSE)),"Fora do DRE",VLOOKUP(Base_Periodo1[[#This Row],[CONTA]],BaseContasDRE[#All],4,FALSE))</f>
        <v>Fora do DRE</v>
      </c>
      <c r="T1002" s="3" t="str">
        <f>IF(ISERROR(VLOOKUP(Base_Periodo1[[#This Row],[CONTA]],BaseContasDRE[#All],5,FALSE)),"Fora do DRE",VLOOKUP(Base_Periodo1[[#This Row],[CONTA]],BaseContasDRE[#All],6,FALSE))</f>
        <v>Fora do DRE</v>
      </c>
      <c r="U1002" s="3" t="str">
        <f>IF(ISERROR(VLOOKUP(Base_Periodo1[[#This Row],[CONTA]],BaseContasDRE[#All],7,FALSE)),"Fora do DRE",VLOOKUP(Base_Periodo1[[#This Row],[CONTA]],BaseContasDRE[#All],7,FALSE))</f>
        <v>Fora do DRE</v>
      </c>
      <c r="V1002" s="3" t="str">
        <f>IF(Base_Periodo1[[#This Row],[Tipo_Linha]]="Fora do DRE","Fora do DRE","( "&amp;Base_Periodo1[[#This Row],[Tipo_Linha]]&amp;" ) "&amp;Base_Periodo1[[#This Row],[Filtro]])</f>
        <v>Fora do DRE</v>
      </c>
      <c r="W1002" s="3" t="str">
        <f>LEFT(Base_Periodo1[[#This Row],[CLASS]],3)</f>
        <v>1.1</v>
      </c>
    </row>
    <row r="1003" spans="1:23" hidden="1">
      <c r="A1003" s="3" t="str">
        <f t="shared" si="15"/>
        <v>Período 1</v>
      </c>
      <c r="B1003">
        <v>7301</v>
      </c>
      <c r="C1003" t="s">
        <v>922</v>
      </c>
      <c r="D1003" t="s">
        <v>6769</v>
      </c>
      <c r="E1003" s="3" t="str">
        <f>IF(LEN(Base_Periodo1[[#This Row],[CLASS]])&gt;=7,LEFT(Base_Periodo1[[#This Row],[CLASS]],7),"")</f>
        <v>1.1.2.2</v>
      </c>
      <c r="F1003" s="3" t="str">
        <f>VLOOKUP(Base_Periodo1[[#This Row],[Aux]],Base_Contas_Balanco[#All],2,FALSE)</f>
        <v>Creditos com não Cooperados</v>
      </c>
      <c r="G1003" s="1">
        <v>42870</v>
      </c>
      <c r="I1003" s="225">
        <v>354</v>
      </c>
      <c r="J1003" s="225">
        <v>0</v>
      </c>
      <c r="K1003" s="225">
        <v>354</v>
      </c>
      <c r="L10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354</v>
      </c>
      <c r="M1003" s="225">
        <f>ROUND(IF(AND(Base_Periodo1[[#This Row],[Tipo_Linha]]="-",Base_Periodo1[[#This Row],[TIPOSALDO]]="D"),Base_Periodo1[[#This Row],[SALDO_ATUAL]]*-1,Base_Periodo1[[#This Row],[SALDO_ATUAL]]),4)</f>
        <v>354</v>
      </c>
      <c r="N1003" t="s">
        <v>116</v>
      </c>
      <c r="O1003" t="s">
        <v>436</v>
      </c>
      <c r="P1003" t="s">
        <v>397</v>
      </c>
      <c r="Q1003">
        <v>7</v>
      </c>
      <c r="R1003" s="225">
        <f>Base_Periodo1[[#This Row],[CREDITOS]]-Base_Periodo1[[#This Row],[DEBITOS]]</f>
        <v>-354</v>
      </c>
      <c r="S1003" s="3" t="str">
        <f>IF(ISERROR(VLOOKUP(Base_Periodo1[[#This Row],[CONTA]],BaseContasDRE[#All],4,FALSE)),"Fora do DRE",VLOOKUP(Base_Periodo1[[#This Row],[CONTA]],BaseContasDRE[#All],4,FALSE))</f>
        <v>Fora do DRE</v>
      </c>
      <c r="T1003" s="3" t="str">
        <f>IF(ISERROR(VLOOKUP(Base_Periodo1[[#This Row],[CONTA]],BaseContasDRE[#All],5,FALSE)),"Fora do DRE",VLOOKUP(Base_Periodo1[[#This Row],[CONTA]],BaseContasDRE[#All],6,FALSE))</f>
        <v>Fora do DRE</v>
      </c>
      <c r="U1003" s="3" t="str">
        <f>IF(ISERROR(VLOOKUP(Base_Periodo1[[#This Row],[CONTA]],BaseContasDRE[#All],7,FALSE)),"Fora do DRE",VLOOKUP(Base_Periodo1[[#This Row],[CONTA]],BaseContasDRE[#All],7,FALSE))</f>
        <v>Fora do DRE</v>
      </c>
      <c r="V1003" s="3" t="str">
        <f>IF(Base_Periodo1[[#This Row],[Tipo_Linha]]="Fora do DRE","Fora do DRE","( "&amp;Base_Periodo1[[#This Row],[Tipo_Linha]]&amp;" ) "&amp;Base_Periodo1[[#This Row],[Filtro]])</f>
        <v>Fora do DRE</v>
      </c>
      <c r="W1003" s="3" t="str">
        <f>LEFT(Base_Periodo1[[#This Row],[CLASS]],3)</f>
        <v>1.1</v>
      </c>
    </row>
    <row r="1004" spans="1:23" hidden="1">
      <c r="A1004" s="3" t="str">
        <f t="shared" si="15"/>
        <v>Período 1</v>
      </c>
      <c r="B1004">
        <v>36418</v>
      </c>
      <c r="C1004" t="s">
        <v>922</v>
      </c>
      <c r="D1004" t="s">
        <v>5296</v>
      </c>
      <c r="E1004" s="3" t="str">
        <f>IF(LEN(Base_Periodo1[[#This Row],[CLASS]])&gt;=7,LEFT(Base_Periodo1[[#This Row],[CLASS]],7),"")</f>
        <v>1.1.2.2</v>
      </c>
      <c r="F1004" s="3" t="str">
        <f>VLOOKUP(Base_Periodo1[[#This Row],[Aux]],Base_Contas_Balanco[#All],2,FALSE)</f>
        <v>Creditos com não Cooperados</v>
      </c>
      <c r="G1004" s="1">
        <v>42886</v>
      </c>
      <c r="H1004" s="225">
        <v>3114</v>
      </c>
      <c r="I1004" s="225">
        <v>0</v>
      </c>
      <c r="J1004" s="225">
        <v>3114</v>
      </c>
      <c r="K1004" s="225">
        <v>0</v>
      </c>
      <c r="L10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04" s="225">
        <f>ROUND(IF(AND(Base_Periodo1[[#This Row],[Tipo_Linha]]="-",Base_Periodo1[[#This Row],[TIPOSALDO]]="D"),Base_Periodo1[[#This Row],[SALDO_ATUAL]]*-1,Base_Periodo1[[#This Row],[SALDO_ATUAL]]),4)</f>
        <v>0</v>
      </c>
      <c r="N1004" t="s">
        <v>116</v>
      </c>
      <c r="O1004" t="s">
        <v>397</v>
      </c>
      <c r="P1004" t="s">
        <v>436</v>
      </c>
      <c r="Q1004">
        <v>7</v>
      </c>
      <c r="R1004" s="225">
        <f>Base_Periodo1[[#This Row],[CREDITOS]]-Base_Periodo1[[#This Row],[DEBITOS]]</f>
        <v>3114</v>
      </c>
      <c r="S1004" s="3" t="str">
        <f>IF(ISERROR(VLOOKUP(Base_Periodo1[[#This Row],[CONTA]],BaseContasDRE[#All],4,FALSE)),"Fora do DRE",VLOOKUP(Base_Periodo1[[#This Row],[CONTA]],BaseContasDRE[#All],4,FALSE))</f>
        <v>Fora do DRE</v>
      </c>
      <c r="T1004" s="3" t="str">
        <f>IF(ISERROR(VLOOKUP(Base_Periodo1[[#This Row],[CONTA]],BaseContasDRE[#All],5,FALSE)),"Fora do DRE",VLOOKUP(Base_Periodo1[[#This Row],[CONTA]],BaseContasDRE[#All],6,FALSE))</f>
        <v>Fora do DRE</v>
      </c>
      <c r="U1004" s="3" t="str">
        <f>IF(ISERROR(VLOOKUP(Base_Periodo1[[#This Row],[CONTA]],BaseContasDRE[#All],7,FALSE)),"Fora do DRE",VLOOKUP(Base_Periodo1[[#This Row],[CONTA]],BaseContasDRE[#All],7,FALSE))</f>
        <v>Fora do DRE</v>
      </c>
      <c r="V1004" s="3" t="str">
        <f>IF(Base_Periodo1[[#This Row],[Tipo_Linha]]="Fora do DRE","Fora do DRE","( "&amp;Base_Periodo1[[#This Row],[Tipo_Linha]]&amp;" ) "&amp;Base_Periodo1[[#This Row],[Filtro]])</f>
        <v>Fora do DRE</v>
      </c>
      <c r="W1004" s="3" t="str">
        <f>LEFT(Base_Periodo1[[#This Row],[CLASS]],3)</f>
        <v>1.1</v>
      </c>
    </row>
    <row r="1005" spans="1:23" hidden="1">
      <c r="A1005" s="3" t="str">
        <f t="shared" si="15"/>
        <v>Período 1</v>
      </c>
      <c r="B1005">
        <v>16898</v>
      </c>
      <c r="C1005" t="s">
        <v>922</v>
      </c>
      <c r="D1005" t="s">
        <v>6479</v>
      </c>
      <c r="E1005" s="3" t="str">
        <f>IF(LEN(Base_Periodo1[[#This Row],[CLASS]])&gt;=7,LEFT(Base_Periodo1[[#This Row],[CLASS]],7),"")</f>
        <v>1.1.2.2</v>
      </c>
      <c r="F1005" s="3" t="str">
        <f>VLOOKUP(Base_Periodo1[[#This Row],[Aux]],Base_Contas_Balanco[#All],2,FALSE)</f>
        <v>Creditos com não Cooperados</v>
      </c>
      <c r="G1005" s="1">
        <v>42863</v>
      </c>
      <c r="I1005" s="225">
        <v>147</v>
      </c>
      <c r="J1005" s="225">
        <v>147</v>
      </c>
      <c r="K1005" s="225">
        <v>0</v>
      </c>
      <c r="L10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05" s="225">
        <f>ROUND(IF(AND(Base_Periodo1[[#This Row],[Tipo_Linha]]="-",Base_Periodo1[[#This Row],[TIPOSALDO]]="D"),Base_Periodo1[[#This Row],[SALDO_ATUAL]]*-1,Base_Periodo1[[#This Row],[SALDO_ATUAL]]),4)</f>
        <v>0</v>
      </c>
      <c r="N1005" t="s">
        <v>116</v>
      </c>
      <c r="O1005" t="s">
        <v>436</v>
      </c>
      <c r="P1005" t="s">
        <v>436</v>
      </c>
      <c r="Q1005">
        <v>7</v>
      </c>
      <c r="R1005" s="225">
        <f>Base_Periodo1[[#This Row],[CREDITOS]]-Base_Periodo1[[#This Row],[DEBITOS]]</f>
        <v>0</v>
      </c>
      <c r="S1005" s="3" t="str">
        <f>IF(ISERROR(VLOOKUP(Base_Periodo1[[#This Row],[CONTA]],BaseContasDRE[#All],4,FALSE)),"Fora do DRE",VLOOKUP(Base_Periodo1[[#This Row],[CONTA]],BaseContasDRE[#All],4,FALSE))</f>
        <v>Fora do DRE</v>
      </c>
      <c r="T1005" s="3" t="str">
        <f>IF(ISERROR(VLOOKUP(Base_Periodo1[[#This Row],[CONTA]],BaseContasDRE[#All],5,FALSE)),"Fora do DRE",VLOOKUP(Base_Periodo1[[#This Row],[CONTA]],BaseContasDRE[#All],6,FALSE))</f>
        <v>Fora do DRE</v>
      </c>
      <c r="U1005" s="3" t="str">
        <f>IF(ISERROR(VLOOKUP(Base_Periodo1[[#This Row],[CONTA]],BaseContasDRE[#All],7,FALSE)),"Fora do DRE",VLOOKUP(Base_Periodo1[[#This Row],[CONTA]],BaseContasDRE[#All],7,FALSE))</f>
        <v>Fora do DRE</v>
      </c>
      <c r="V1005" s="3" t="str">
        <f>IF(Base_Periodo1[[#This Row],[Tipo_Linha]]="Fora do DRE","Fora do DRE","( "&amp;Base_Periodo1[[#This Row],[Tipo_Linha]]&amp;" ) "&amp;Base_Periodo1[[#This Row],[Filtro]])</f>
        <v>Fora do DRE</v>
      </c>
      <c r="W1005" s="3" t="str">
        <f>LEFT(Base_Periodo1[[#This Row],[CLASS]],3)</f>
        <v>1.1</v>
      </c>
    </row>
    <row r="1006" spans="1:23" hidden="1">
      <c r="A1006" s="3" t="str">
        <f t="shared" si="15"/>
        <v>Período 1</v>
      </c>
      <c r="B1006">
        <v>39739</v>
      </c>
      <c r="C1006" t="s">
        <v>922</v>
      </c>
      <c r="D1006" t="s">
        <v>6770</v>
      </c>
      <c r="E1006" s="3" t="str">
        <f>IF(LEN(Base_Periodo1[[#This Row],[CLASS]])&gt;=7,LEFT(Base_Periodo1[[#This Row],[CLASS]],7),"")</f>
        <v>1.1.2.2</v>
      </c>
      <c r="F1006" s="3" t="str">
        <f>VLOOKUP(Base_Periodo1[[#This Row],[Aux]],Base_Contas_Balanco[#All],2,FALSE)</f>
        <v>Creditos com não Cooperados</v>
      </c>
      <c r="G1006" s="1">
        <v>42870</v>
      </c>
      <c r="I1006" s="225">
        <v>376</v>
      </c>
      <c r="J1006" s="225">
        <v>0</v>
      </c>
      <c r="K1006" s="225">
        <v>375.9999999999709</v>
      </c>
      <c r="L10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376</v>
      </c>
      <c r="M1006" s="225">
        <f>ROUND(IF(AND(Base_Periodo1[[#This Row],[Tipo_Linha]]="-",Base_Periodo1[[#This Row],[TIPOSALDO]]="D"),Base_Periodo1[[#This Row],[SALDO_ATUAL]]*-1,Base_Periodo1[[#This Row],[SALDO_ATUAL]]),4)</f>
        <v>376</v>
      </c>
      <c r="N1006" t="s">
        <v>116</v>
      </c>
      <c r="O1006" t="s">
        <v>436</v>
      </c>
      <c r="P1006" t="s">
        <v>397</v>
      </c>
      <c r="Q1006">
        <v>7</v>
      </c>
      <c r="R1006" s="225">
        <f>Base_Periodo1[[#This Row],[CREDITOS]]-Base_Periodo1[[#This Row],[DEBITOS]]</f>
        <v>-376</v>
      </c>
      <c r="S1006" s="3" t="str">
        <f>IF(ISERROR(VLOOKUP(Base_Periodo1[[#This Row],[CONTA]],BaseContasDRE[#All],4,FALSE)),"Fora do DRE",VLOOKUP(Base_Periodo1[[#This Row],[CONTA]],BaseContasDRE[#All],4,FALSE))</f>
        <v>Fora do DRE</v>
      </c>
      <c r="T1006" s="3" t="str">
        <f>IF(ISERROR(VLOOKUP(Base_Periodo1[[#This Row],[CONTA]],BaseContasDRE[#All],5,FALSE)),"Fora do DRE",VLOOKUP(Base_Periodo1[[#This Row],[CONTA]],BaseContasDRE[#All],6,FALSE))</f>
        <v>Fora do DRE</v>
      </c>
      <c r="U1006" s="3" t="str">
        <f>IF(ISERROR(VLOOKUP(Base_Periodo1[[#This Row],[CONTA]],BaseContasDRE[#All],7,FALSE)),"Fora do DRE",VLOOKUP(Base_Periodo1[[#This Row],[CONTA]],BaseContasDRE[#All],7,FALSE))</f>
        <v>Fora do DRE</v>
      </c>
      <c r="V1006" s="3" t="str">
        <f>IF(Base_Periodo1[[#This Row],[Tipo_Linha]]="Fora do DRE","Fora do DRE","( "&amp;Base_Periodo1[[#This Row],[Tipo_Linha]]&amp;" ) "&amp;Base_Periodo1[[#This Row],[Filtro]])</f>
        <v>Fora do DRE</v>
      </c>
      <c r="W1006" s="3" t="str">
        <f>LEFT(Base_Periodo1[[#This Row],[CLASS]],3)</f>
        <v>1.1</v>
      </c>
    </row>
    <row r="1007" spans="1:23" hidden="1">
      <c r="A1007" s="3" t="str">
        <f t="shared" si="15"/>
        <v>Período 1</v>
      </c>
      <c r="B1007">
        <v>55341</v>
      </c>
      <c r="C1007" t="s">
        <v>922</v>
      </c>
      <c r="D1007" t="s">
        <v>6177</v>
      </c>
      <c r="E1007" s="3" t="str">
        <f>IF(LEN(Base_Periodo1[[#This Row],[CLASS]])&gt;=7,LEFT(Base_Periodo1[[#This Row],[CLASS]],7),"")</f>
        <v>1.1.2.2</v>
      </c>
      <c r="F1007" s="3" t="str">
        <f>VLOOKUP(Base_Periodo1[[#This Row],[Aux]],Base_Contas_Balanco[#All],2,FALSE)</f>
        <v>Creditos com não Cooperados</v>
      </c>
      <c r="G1007" s="1">
        <v>42872</v>
      </c>
      <c r="H1007" s="225">
        <v>1356.77</v>
      </c>
      <c r="I1007" s="225">
        <v>421.23</v>
      </c>
      <c r="J1007" s="225">
        <v>1778</v>
      </c>
      <c r="K1007" s="225">
        <v>0</v>
      </c>
      <c r="L10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07" s="225">
        <f>ROUND(IF(AND(Base_Periodo1[[#This Row],[Tipo_Linha]]="-",Base_Periodo1[[#This Row],[TIPOSALDO]]="D"),Base_Periodo1[[#This Row],[SALDO_ATUAL]]*-1,Base_Periodo1[[#This Row],[SALDO_ATUAL]]),4)</f>
        <v>0</v>
      </c>
      <c r="N1007" t="s">
        <v>116</v>
      </c>
      <c r="O1007" t="s">
        <v>397</v>
      </c>
      <c r="P1007" t="s">
        <v>436</v>
      </c>
      <c r="Q1007">
        <v>7</v>
      </c>
      <c r="R1007" s="225">
        <f>Base_Periodo1[[#This Row],[CREDITOS]]-Base_Periodo1[[#This Row],[DEBITOS]]</f>
        <v>1356.77</v>
      </c>
      <c r="S1007" s="3" t="str">
        <f>IF(ISERROR(VLOOKUP(Base_Periodo1[[#This Row],[CONTA]],BaseContasDRE[#All],4,FALSE)),"Fora do DRE",VLOOKUP(Base_Periodo1[[#This Row],[CONTA]],BaseContasDRE[#All],4,FALSE))</f>
        <v>Fora do DRE</v>
      </c>
      <c r="T1007" s="3" t="str">
        <f>IF(ISERROR(VLOOKUP(Base_Periodo1[[#This Row],[CONTA]],BaseContasDRE[#All],5,FALSE)),"Fora do DRE",VLOOKUP(Base_Periodo1[[#This Row],[CONTA]],BaseContasDRE[#All],6,FALSE))</f>
        <v>Fora do DRE</v>
      </c>
      <c r="U1007" s="3" t="str">
        <f>IF(ISERROR(VLOOKUP(Base_Periodo1[[#This Row],[CONTA]],BaseContasDRE[#All],7,FALSE)),"Fora do DRE",VLOOKUP(Base_Periodo1[[#This Row],[CONTA]],BaseContasDRE[#All],7,FALSE))</f>
        <v>Fora do DRE</v>
      </c>
      <c r="V1007" s="3" t="str">
        <f>IF(Base_Periodo1[[#This Row],[Tipo_Linha]]="Fora do DRE","Fora do DRE","( "&amp;Base_Periodo1[[#This Row],[Tipo_Linha]]&amp;" ) "&amp;Base_Periodo1[[#This Row],[Filtro]])</f>
        <v>Fora do DRE</v>
      </c>
      <c r="W1007" s="3" t="str">
        <f>LEFT(Base_Periodo1[[#This Row],[CLASS]],3)</f>
        <v>1.1</v>
      </c>
    </row>
    <row r="1008" spans="1:23" hidden="1">
      <c r="A1008" s="3" t="str">
        <f t="shared" si="15"/>
        <v>Período 1</v>
      </c>
      <c r="B1008">
        <v>7077</v>
      </c>
      <c r="C1008" t="s">
        <v>922</v>
      </c>
      <c r="D1008" t="s">
        <v>5401</v>
      </c>
      <c r="E1008" s="3" t="str">
        <f>IF(LEN(Base_Periodo1[[#This Row],[CLASS]])&gt;=7,LEFT(Base_Periodo1[[#This Row],[CLASS]],7),"")</f>
        <v>1.1.2.2</v>
      </c>
      <c r="F1008" s="3" t="str">
        <f>VLOOKUP(Base_Periodo1[[#This Row],[Aux]],Base_Contas_Balanco[#All],2,FALSE)</f>
        <v>Creditos com não Cooperados</v>
      </c>
      <c r="G1008" s="1">
        <v>42886</v>
      </c>
      <c r="H1008" s="225">
        <v>95459.999999999884</v>
      </c>
      <c r="I1008" s="225">
        <v>0</v>
      </c>
      <c r="J1008" s="225">
        <v>95460</v>
      </c>
      <c r="K1008" s="225">
        <v>-1.1641532182693481E-10</v>
      </c>
      <c r="L10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08" s="225">
        <f>ROUND(IF(AND(Base_Periodo1[[#This Row],[Tipo_Linha]]="-",Base_Periodo1[[#This Row],[TIPOSALDO]]="D"),Base_Periodo1[[#This Row],[SALDO_ATUAL]]*-1,Base_Periodo1[[#This Row],[SALDO_ATUAL]]),4)</f>
        <v>0</v>
      </c>
      <c r="N1008" t="s">
        <v>116</v>
      </c>
      <c r="O1008" t="s">
        <v>397</v>
      </c>
      <c r="P1008" t="s">
        <v>436</v>
      </c>
      <c r="Q1008">
        <v>7</v>
      </c>
      <c r="R1008" s="225">
        <f>Base_Periodo1[[#This Row],[CREDITOS]]-Base_Periodo1[[#This Row],[DEBITOS]]</f>
        <v>95460</v>
      </c>
      <c r="S1008" s="3" t="str">
        <f>IF(ISERROR(VLOOKUP(Base_Periodo1[[#This Row],[CONTA]],BaseContasDRE[#All],4,FALSE)),"Fora do DRE",VLOOKUP(Base_Periodo1[[#This Row],[CONTA]],BaseContasDRE[#All],4,FALSE))</f>
        <v>Fora do DRE</v>
      </c>
      <c r="T1008" s="3" t="str">
        <f>IF(ISERROR(VLOOKUP(Base_Periodo1[[#This Row],[CONTA]],BaseContasDRE[#All],5,FALSE)),"Fora do DRE",VLOOKUP(Base_Periodo1[[#This Row],[CONTA]],BaseContasDRE[#All],6,FALSE))</f>
        <v>Fora do DRE</v>
      </c>
      <c r="U1008" s="3" t="str">
        <f>IF(ISERROR(VLOOKUP(Base_Periodo1[[#This Row],[CONTA]],BaseContasDRE[#All],7,FALSE)),"Fora do DRE",VLOOKUP(Base_Periodo1[[#This Row],[CONTA]],BaseContasDRE[#All],7,FALSE))</f>
        <v>Fora do DRE</v>
      </c>
      <c r="V1008" s="3" t="str">
        <f>IF(Base_Periodo1[[#This Row],[Tipo_Linha]]="Fora do DRE","Fora do DRE","( "&amp;Base_Periodo1[[#This Row],[Tipo_Linha]]&amp;" ) "&amp;Base_Periodo1[[#This Row],[Filtro]])</f>
        <v>Fora do DRE</v>
      </c>
      <c r="W1008" s="3" t="str">
        <f>LEFT(Base_Periodo1[[#This Row],[CLASS]],3)</f>
        <v>1.1</v>
      </c>
    </row>
    <row r="1009" spans="1:23" hidden="1">
      <c r="A1009" s="3" t="str">
        <f t="shared" si="15"/>
        <v>Período 1</v>
      </c>
      <c r="B1009">
        <v>56287</v>
      </c>
      <c r="C1009" t="s">
        <v>922</v>
      </c>
      <c r="D1009" t="s">
        <v>5655</v>
      </c>
      <c r="E1009" s="3" t="str">
        <f>IF(LEN(Base_Periodo1[[#This Row],[CLASS]])&gt;=7,LEFT(Base_Periodo1[[#This Row],[CLASS]],7),"")</f>
        <v>1.1.2.2</v>
      </c>
      <c r="F1009" s="3" t="str">
        <f>VLOOKUP(Base_Periodo1[[#This Row],[Aux]],Base_Contas_Balanco[#All],2,FALSE)</f>
        <v>Creditos com não Cooperados</v>
      </c>
      <c r="G1009" s="1">
        <v>42763</v>
      </c>
      <c r="H1009" s="225">
        <v>4134.38</v>
      </c>
      <c r="I1009" s="225">
        <v>0</v>
      </c>
      <c r="J1009" s="225">
        <v>0</v>
      </c>
      <c r="K1009" s="225">
        <v>4134.38</v>
      </c>
      <c r="L10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4134.38</v>
      </c>
      <c r="M1009" s="225">
        <f>ROUND(IF(AND(Base_Periodo1[[#This Row],[Tipo_Linha]]="-",Base_Periodo1[[#This Row],[TIPOSALDO]]="D"),Base_Periodo1[[#This Row],[SALDO_ATUAL]]*-1,Base_Periodo1[[#This Row],[SALDO_ATUAL]]),4)</f>
        <v>4134.38</v>
      </c>
      <c r="N1009" t="s">
        <v>116</v>
      </c>
      <c r="O1009" t="s">
        <v>397</v>
      </c>
      <c r="P1009" t="s">
        <v>397</v>
      </c>
      <c r="Q1009">
        <v>7</v>
      </c>
      <c r="R1009" s="225">
        <f>Base_Periodo1[[#This Row],[CREDITOS]]-Base_Periodo1[[#This Row],[DEBITOS]]</f>
        <v>0</v>
      </c>
      <c r="S1009" s="3" t="str">
        <f>IF(ISERROR(VLOOKUP(Base_Periodo1[[#This Row],[CONTA]],BaseContasDRE[#All],4,FALSE)),"Fora do DRE",VLOOKUP(Base_Periodo1[[#This Row],[CONTA]],BaseContasDRE[#All],4,FALSE))</f>
        <v>Fora do DRE</v>
      </c>
      <c r="T1009" s="3" t="str">
        <f>IF(ISERROR(VLOOKUP(Base_Periodo1[[#This Row],[CONTA]],BaseContasDRE[#All],5,FALSE)),"Fora do DRE",VLOOKUP(Base_Periodo1[[#This Row],[CONTA]],BaseContasDRE[#All],6,FALSE))</f>
        <v>Fora do DRE</v>
      </c>
      <c r="U1009" s="3" t="str">
        <f>IF(ISERROR(VLOOKUP(Base_Periodo1[[#This Row],[CONTA]],BaseContasDRE[#All],7,FALSE)),"Fora do DRE",VLOOKUP(Base_Periodo1[[#This Row],[CONTA]],BaseContasDRE[#All],7,FALSE))</f>
        <v>Fora do DRE</v>
      </c>
      <c r="V1009" s="3" t="str">
        <f>IF(Base_Periodo1[[#This Row],[Tipo_Linha]]="Fora do DRE","Fora do DRE","( "&amp;Base_Periodo1[[#This Row],[Tipo_Linha]]&amp;" ) "&amp;Base_Periodo1[[#This Row],[Filtro]])</f>
        <v>Fora do DRE</v>
      </c>
      <c r="W1009" s="3" t="str">
        <f>LEFT(Base_Periodo1[[#This Row],[CLASS]],3)</f>
        <v>1.1</v>
      </c>
    </row>
    <row r="1010" spans="1:23" hidden="1">
      <c r="A1010" s="3" t="str">
        <f t="shared" si="15"/>
        <v>Período 1</v>
      </c>
      <c r="B1010">
        <v>41871</v>
      </c>
      <c r="C1010" t="s">
        <v>922</v>
      </c>
      <c r="D1010" t="s">
        <v>6716</v>
      </c>
      <c r="E1010" s="3" t="str">
        <f>IF(LEN(Base_Periodo1[[#This Row],[CLASS]])&gt;=7,LEFT(Base_Periodo1[[#This Row],[CLASS]],7),"")</f>
        <v>1.1.2.2</v>
      </c>
      <c r="F1010" s="3" t="str">
        <f>VLOOKUP(Base_Periodo1[[#This Row],[Aux]],Base_Contas_Balanco[#All],2,FALSE)</f>
        <v>Creditos com não Cooperados</v>
      </c>
      <c r="G1010" s="1">
        <v>42884</v>
      </c>
      <c r="I1010" s="225">
        <v>14637.12</v>
      </c>
      <c r="J1010" s="225">
        <v>14637.12</v>
      </c>
      <c r="K1010" s="225">
        <v>0</v>
      </c>
      <c r="L10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10" s="225">
        <f>ROUND(IF(AND(Base_Periodo1[[#This Row],[Tipo_Linha]]="-",Base_Periodo1[[#This Row],[TIPOSALDO]]="D"),Base_Periodo1[[#This Row],[SALDO_ATUAL]]*-1,Base_Periodo1[[#This Row],[SALDO_ATUAL]]),4)</f>
        <v>0</v>
      </c>
      <c r="N1010" t="s">
        <v>116</v>
      </c>
      <c r="O1010" t="s">
        <v>436</v>
      </c>
      <c r="P1010" t="s">
        <v>436</v>
      </c>
      <c r="Q1010">
        <v>7</v>
      </c>
      <c r="R1010" s="225">
        <f>Base_Periodo1[[#This Row],[CREDITOS]]-Base_Periodo1[[#This Row],[DEBITOS]]</f>
        <v>0</v>
      </c>
      <c r="S1010" s="3" t="str">
        <f>IF(ISERROR(VLOOKUP(Base_Periodo1[[#This Row],[CONTA]],BaseContasDRE[#All],4,FALSE)),"Fora do DRE",VLOOKUP(Base_Periodo1[[#This Row],[CONTA]],BaseContasDRE[#All],4,FALSE))</f>
        <v>Fora do DRE</v>
      </c>
      <c r="T1010" s="3" t="str">
        <f>IF(ISERROR(VLOOKUP(Base_Periodo1[[#This Row],[CONTA]],BaseContasDRE[#All],5,FALSE)),"Fora do DRE",VLOOKUP(Base_Periodo1[[#This Row],[CONTA]],BaseContasDRE[#All],6,FALSE))</f>
        <v>Fora do DRE</v>
      </c>
      <c r="U1010" s="3" t="str">
        <f>IF(ISERROR(VLOOKUP(Base_Periodo1[[#This Row],[CONTA]],BaseContasDRE[#All],7,FALSE)),"Fora do DRE",VLOOKUP(Base_Periodo1[[#This Row],[CONTA]],BaseContasDRE[#All],7,FALSE))</f>
        <v>Fora do DRE</v>
      </c>
      <c r="V1010" s="3" t="str">
        <f>IF(Base_Periodo1[[#This Row],[Tipo_Linha]]="Fora do DRE","Fora do DRE","( "&amp;Base_Periodo1[[#This Row],[Tipo_Linha]]&amp;" ) "&amp;Base_Periodo1[[#This Row],[Filtro]])</f>
        <v>Fora do DRE</v>
      </c>
      <c r="W1010" s="3" t="str">
        <f>LEFT(Base_Periodo1[[#This Row],[CLASS]],3)</f>
        <v>1.1</v>
      </c>
    </row>
    <row r="1011" spans="1:23" hidden="1">
      <c r="A1011" s="3" t="str">
        <f t="shared" si="15"/>
        <v>Período 1</v>
      </c>
      <c r="B1011">
        <v>7313</v>
      </c>
      <c r="C1011" t="s">
        <v>922</v>
      </c>
      <c r="D1011" t="s">
        <v>4252</v>
      </c>
      <c r="E1011" s="3" t="str">
        <f>IF(LEN(Base_Periodo1[[#This Row],[CLASS]])&gt;=7,LEFT(Base_Periodo1[[#This Row],[CLASS]],7),"")</f>
        <v>1.1.2.2</v>
      </c>
      <c r="F1011" s="3" t="str">
        <f>VLOOKUP(Base_Periodo1[[#This Row],[Aux]],Base_Contas_Balanco[#All],2,FALSE)</f>
        <v>Creditos com não Cooperados</v>
      </c>
      <c r="G1011" s="1">
        <v>42733</v>
      </c>
      <c r="H1011" s="225">
        <v>500</v>
      </c>
      <c r="I1011" s="225">
        <v>0</v>
      </c>
      <c r="J1011" s="225">
        <v>0</v>
      </c>
      <c r="K1011" s="225">
        <v>500</v>
      </c>
      <c r="L10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011" s="225">
        <f>ROUND(IF(AND(Base_Periodo1[[#This Row],[Tipo_Linha]]="-",Base_Periodo1[[#This Row],[TIPOSALDO]]="D"),Base_Periodo1[[#This Row],[SALDO_ATUAL]]*-1,Base_Periodo1[[#This Row],[SALDO_ATUAL]]),4)</f>
        <v>500</v>
      </c>
      <c r="N1011" t="s">
        <v>116</v>
      </c>
      <c r="O1011" t="s">
        <v>397</v>
      </c>
      <c r="P1011" t="s">
        <v>397</v>
      </c>
      <c r="Q1011">
        <v>7</v>
      </c>
      <c r="R1011" s="225">
        <f>Base_Periodo1[[#This Row],[CREDITOS]]-Base_Periodo1[[#This Row],[DEBITOS]]</f>
        <v>0</v>
      </c>
      <c r="S1011" s="3" t="str">
        <f>IF(ISERROR(VLOOKUP(Base_Periodo1[[#This Row],[CONTA]],BaseContasDRE[#All],4,FALSE)),"Fora do DRE",VLOOKUP(Base_Periodo1[[#This Row],[CONTA]],BaseContasDRE[#All],4,FALSE))</f>
        <v>Fora do DRE</v>
      </c>
      <c r="T1011" s="3" t="str">
        <f>IF(ISERROR(VLOOKUP(Base_Periodo1[[#This Row],[CONTA]],BaseContasDRE[#All],5,FALSE)),"Fora do DRE",VLOOKUP(Base_Periodo1[[#This Row],[CONTA]],BaseContasDRE[#All],6,FALSE))</f>
        <v>Fora do DRE</v>
      </c>
      <c r="U1011" s="3" t="str">
        <f>IF(ISERROR(VLOOKUP(Base_Periodo1[[#This Row],[CONTA]],BaseContasDRE[#All],7,FALSE)),"Fora do DRE",VLOOKUP(Base_Periodo1[[#This Row],[CONTA]],BaseContasDRE[#All],7,FALSE))</f>
        <v>Fora do DRE</v>
      </c>
      <c r="V1011" s="3" t="str">
        <f>IF(Base_Periodo1[[#This Row],[Tipo_Linha]]="Fora do DRE","Fora do DRE","( "&amp;Base_Periodo1[[#This Row],[Tipo_Linha]]&amp;" ) "&amp;Base_Periodo1[[#This Row],[Filtro]])</f>
        <v>Fora do DRE</v>
      </c>
      <c r="W1011" s="3" t="str">
        <f>LEFT(Base_Periodo1[[#This Row],[CLASS]],3)</f>
        <v>1.1</v>
      </c>
    </row>
    <row r="1012" spans="1:23" hidden="1">
      <c r="A1012" s="3" t="str">
        <f t="shared" si="15"/>
        <v>Período 1</v>
      </c>
      <c r="B1012">
        <v>26348</v>
      </c>
      <c r="C1012" t="s">
        <v>922</v>
      </c>
      <c r="D1012" t="s">
        <v>4253</v>
      </c>
      <c r="E1012" s="3" t="str">
        <f>IF(LEN(Base_Periodo1[[#This Row],[CLASS]])&gt;=7,LEFT(Base_Periodo1[[#This Row],[CLASS]],7),"")</f>
        <v>1.1.2.2</v>
      </c>
      <c r="F1012" s="3" t="str">
        <f>VLOOKUP(Base_Periodo1[[#This Row],[Aux]],Base_Contas_Balanco[#All],2,FALSE)</f>
        <v>Creditos com não Cooperados</v>
      </c>
      <c r="G1012" s="1">
        <v>42488</v>
      </c>
      <c r="H1012" s="225">
        <v>6668.1</v>
      </c>
      <c r="I1012" s="225">
        <v>0</v>
      </c>
      <c r="J1012" s="225">
        <v>0</v>
      </c>
      <c r="K1012" s="225">
        <v>6668.1</v>
      </c>
      <c r="L10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6668.1</v>
      </c>
      <c r="M1012" s="225">
        <f>ROUND(IF(AND(Base_Periodo1[[#This Row],[Tipo_Linha]]="-",Base_Periodo1[[#This Row],[TIPOSALDO]]="D"),Base_Periodo1[[#This Row],[SALDO_ATUAL]]*-1,Base_Periodo1[[#This Row],[SALDO_ATUAL]]),4)</f>
        <v>6668.1</v>
      </c>
      <c r="N1012" t="s">
        <v>116</v>
      </c>
      <c r="O1012" t="s">
        <v>397</v>
      </c>
      <c r="P1012" t="s">
        <v>397</v>
      </c>
      <c r="Q1012">
        <v>7</v>
      </c>
      <c r="R1012" s="225">
        <f>Base_Periodo1[[#This Row],[CREDITOS]]-Base_Periodo1[[#This Row],[DEBITOS]]</f>
        <v>0</v>
      </c>
      <c r="S1012" s="3" t="str">
        <f>IF(ISERROR(VLOOKUP(Base_Periodo1[[#This Row],[CONTA]],BaseContasDRE[#All],4,FALSE)),"Fora do DRE",VLOOKUP(Base_Periodo1[[#This Row],[CONTA]],BaseContasDRE[#All],4,FALSE))</f>
        <v>Fora do DRE</v>
      </c>
      <c r="T1012" s="3" t="str">
        <f>IF(ISERROR(VLOOKUP(Base_Periodo1[[#This Row],[CONTA]],BaseContasDRE[#All],5,FALSE)),"Fora do DRE",VLOOKUP(Base_Periodo1[[#This Row],[CONTA]],BaseContasDRE[#All],6,FALSE))</f>
        <v>Fora do DRE</v>
      </c>
      <c r="U1012" s="3" t="str">
        <f>IF(ISERROR(VLOOKUP(Base_Periodo1[[#This Row],[CONTA]],BaseContasDRE[#All],7,FALSE)),"Fora do DRE",VLOOKUP(Base_Periodo1[[#This Row],[CONTA]],BaseContasDRE[#All],7,FALSE))</f>
        <v>Fora do DRE</v>
      </c>
      <c r="V1012" s="3" t="str">
        <f>IF(Base_Periodo1[[#This Row],[Tipo_Linha]]="Fora do DRE","Fora do DRE","( "&amp;Base_Periodo1[[#This Row],[Tipo_Linha]]&amp;" ) "&amp;Base_Periodo1[[#This Row],[Filtro]])</f>
        <v>Fora do DRE</v>
      </c>
      <c r="W1012" s="3" t="str">
        <f>LEFT(Base_Periodo1[[#This Row],[CLASS]],3)</f>
        <v>1.1</v>
      </c>
    </row>
    <row r="1013" spans="1:23" hidden="1">
      <c r="A1013" s="3" t="str">
        <f t="shared" si="15"/>
        <v>Período 1</v>
      </c>
      <c r="B1013">
        <v>57657</v>
      </c>
      <c r="C1013" t="s">
        <v>922</v>
      </c>
      <c r="D1013" t="s">
        <v>6178</v>
      </c>
      <c r="E1013" s="3" t="str">
        <f>IF(LEN(Base_Periodo1[[#This Row],[CLASS]])&gt;=7,LEFT(Base_Periodo1[[#This Row],[CLASS]],7),"")</f>
        <v>1.1.2.2</v>
      </c>
      <c r="F1013" s="3" t="str">
        <f>VLOOKUP(Base_Periodo1[[#This Row],[Aux]],Base_Contas_Balanco[#All],2,FALSE)</f>
        <v>Creditos com não Cooperados</v>
      </c>
      <c r="G1013" s="1">
        <v>42880</v>
      </c>
      <c r="I1013" s="225">
        <v>1478.4</v>
      </c>
      <c r="J1013" s="225">
        <v>1478.4</v>
      </c>
      <c r="K1013" s="225">
        <v>0</v>
      </c>
      <c r="L10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13" s="225">
        <f>ROUND(IF(AND(Base_Periodo1[[#This Row],[Tipo_Linha]]="-",Base_Periodo1[[#This Row],[TIPOSALDO]]="D"),Base_Periodo1[[#This Row],[SALDO_ATUAL]]*-1,Base_Periodo1[[#This Row],[SALDO_ATUAL]]),4)</f>
        <v>0</v>
      </c>
      <c r="N1013" t="s">
        <v>116</v>
      </c>
      <c r="O1013" t="s">
        <v>436</v>
      </c>
      <c r="P1013" t="s">
        <v>436</v>
      </c>
      <c r="Q1013">
        <v>7</v>
      </c>
      <c r="R1013" s="225">
        <f>Base_Periodo1[[#This Row],[CREDITOS]]-Base_Periodo1[[#This Row],[DEBITOS]]</f>
        <v>0</v>
      </c>
      <c r="S1013" s="3" t="str">
        <f>IF(ISERROR(VLOOKUP(Base_Periodo1[[#This Row],[CONTA]],BaseContasDRE[#All],4,FALSE)),"Fora do DRE",VLOOKUP(Base_Periodo1[[#This Row],[CONTA]],BaseContasDRE[#All],4,FALSE))</f>
        <v>Fora do DRE</v>
      </c>
      <c r="T1013" s="3" t="str">
        <f>IF(ISERROR(VLOOKUP(Base_Periodo1[[#This Row],[CONTA]],BaseContasDRE[#All],5,FALSE)),"Fora do DRE",VLOOKUP(Base_Periodo1[[#This Row],[CONTA]],BaseContasDRE[#All],6,FALSE))</f>
        <v>Fora do DRE</v>
      </c>
      <c r="U1013" s="3" t="str">
        <f>IF(ISERROR(VLOOKUP(Base_Periodo1[[#This Row],[CONTA]],BaseContasDRE[#All],7,FALSE)),"Fora do DRE",VLOOKUP(Base_Periodo1[[#This Row],[CONTA]],BaseContasDRE[#All],7,FALSE))</f>
        <v>Fora do DRE</v>
      </c>
      <c r="V1013" s="3" t="str">
        <f>IF(Base_Periodo1[[#This Row],[Tipo_Linha]]="Fora do DRE","Fora do DRE","( "&amp;Base_Periodo1[[#This Row],[Tipo_Linha]]&amp;" ) "&amp;Base_Periodo1[[#This Row],[Filtro]])</f>
        <v>Fora do DRE</v>
      </c>
      <c r="W1013" s="3" t="str">
        <f>LEFT(Base_Periodo1[[#This Row],[CLASS]],3)</f>
        <v>1.1</v>
      </c>
    </row>
    <row r="1014" spans="1:23" hidden="1">
      <c r="A1014" s="3" t="str">
        <f t="shared" si="15"/>
        <v>Período 1</v>
      </c>
      <c r="B1014">
        <v>40931</v>
      </c>
      <c r="C1014" t="s">
        <v>922</v>
      </c>
      <c r="D1014" t="s">
        <v>736</v>
      </c>
      <c r="E1014" s="3" t="str">
        <f>IF(LEN(Base_Periodo1[[#This Row],[CLASS]])&gt;=7,LEFT(Base_Periodo1[[#This Row],[CLASS]],7),"")</f>
        <v>1.1.2.2</v>
      </c>
      <c r="F1014" s="3" t="str">
        <f>VLOOKUP(Base_Periodo1[[#This Row],[Aux]],Base_Contas_Balanco[#All],2,FALSE)</f>
        <v>Creditos com não Cooperados</v>
      </c>
      <c r="G1014" s="1">
        <v>42884</v>
      </c>
      <c r="I1014" s="225">
        <v>110234.6</v>
      </c>
      <c r="J1014" s="225">
        <v>110234.16</v>
      </c>
      <c r="K1014" s="225">
        <v>0.44000000000232831</v>
      </c>
      <c r="L10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0.44</v>
      </c>
      <c r="M1014" s="225">
        <f>ROUND(IF(AND(Base_Periodo1[[#This Row],[Tipo_Linha]]="-",Base_Periodo1[[#This Row],[TIPOSALDO]]="D"),Base_Periodo1[[#This Row],[SALDO_ATUAL]]*-1,Base_Periodo1[[#This Row],[SALDO_ATUAL]]),4)</f>
        <v>0.44</v>
      </c>
      <c r="N1014" t="s">
        <v>116</v>
      </c>
      <c r="O1014" t="s">
        <v>436</v>
      </c>
      <c r="P1014" t="s">
        <v>397</v>
      </c>
      <c r="Q1014">
        <v>7</v>
      </c>
      <c r="R1014" s="225">
        <f>Base_Periodo1[[#This Row],[CREDITOS]]-Base_Periodo1[[#This Row],[DEBITOS]]</f>
        <v>-0.44000000000232831</v>
      </c>
      <c r="S1014" s="3" t="str">
        <f>IF(ISERROR(VLOOKUP(Base_Periodo1[[#This Row],[CONTA]],BaseContasDRE[#All],4,FALSE)),"Fora do DRE",VLOOKUP(Base_Periodo1[[#This Row],[CONTA]],BaseContasDRE[#All],4,FALSE))</f>
        <v>Fora do DRE</v>
      </c>
      <c r="T1014" s="3" t="str">
        <f>IF(ISERROR(VLOOKUP(Base_Periodo1[[#This Row],[CONTA]],BaseContasDRE[#All],5,FALSE)),"Fora do DRE",VLOOKUP(Base_Periodo1[[#This Row],[CONTA]],BaseContasDRE[#All],6,FALSE))</f>
        <v>Fora do DRE</v>
      </c>
      <c r="U1014" s="3" t="str">
        <f>IF(ISERROR(VLOOKUP(Base_Periodo1[[#This Row],[CONTA]],BaseContasDRE[#All],7,FALSE)),"Fora do DRE",VLOOKUP(Base_Periodo1[[#This Row],[CONTA]],BaseContasDRE[#All],7,FALSE))</f>
        <v>Fora do DRE</v>
      </c>
      <c r="V1014" s="3" t="str">
        <f>IF(Base_Periodo1[[#This Row],[Tipo_Linha]]="Fora do DRE","Fora do DRE","( "&amp;Base_Periodo1[[#This Row],[Tipo_Linha]]&amp;" ) "&amp;Base_Periodo1[[#This Row],[Filtro]])</f>
        <v>Fora do DRE</v>
      </c>
      <c r="W1014" s="3" t="str">
        <f>LEFT(Base_Periodo1[[#This Row],[CLASS]],3)</f>
        <v>1.1</v>
      </c>
    </row>
    <row r="1015" spans="1:23" hidden="1">
      <c r="A1015" s="3" t="str">
        <f t="shared" si="15"/>
        <v>Período 1</v>
      </c>
      <c r="B1015">
        <v>28855</v>
      </c>
      <c r="C1015" t="s">
        <v>922</v>
      </c>
      <c r="D1015" t="s">
        <v>960</v>
      </c>
      <c r="E1015" s="3" t="str">
        <f>IF(LEN(Base_Periodo1[[#This Row],[CLASS]])&gt;=7,LEFT(Base_Periodo1[[#This Row],[CLASS]],7),"")</f>
        <v>1.1.2.2</v>
      </c>
      <c r="F1015" s="3" t="str">
        <f>VLOOKUP(Base_Periodo1[[#This Row],[Aux]],Base_Contas_Balanco[#All],2,FALSE)</f>
        <v>Creditos com não Cooperados</v>
      </c>
      <c r="G1015" s="1">
        <v>42646</v>
      </c>
      <c r="H1015" s="225">
        <v>61.560000000114087</v>
      </c>
      <c r="I1015" s="225">
        <v>0</v>
      </c>
      <c r="J1015" s="225">
        <v>0</v>
      </c>
      <c r="K1015" s="225">
        <v>61.560000000114087</v>
      </c>
      <c r="L10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61.56</v>
      </c>
      <c r="M1015" s="225">
        <f>ROUND(IF(AND(Base_Periodo1[[#This Row],[Tipo_Linha]]="-",Base_Periodo1[[#This Row],[TIPOSALDO]]="D"),Base_Periodo1[[#This Row],[SALDO_ATUAL]]*-1,Base_Periodo1[[#This Row],[SALDO_ATUAL]]),4)</f>
        <v>61.56</v>
      </c>
      <c r="N1015" t="s">
        <v>116</v>
      </c>
      <c r="O1015" t="s">
        <v>397</v>
      </c>
      <c r="P1015" t="s">
        <v>397</v>
      </c>
      <c r="Q1015">
        <v>7</v>
      </c>
      <c r="R1015" s="225">
        <f>Base_Periodo1[[#This Row],[CREDITOS]]-Base_Periodo1[[#This Row],[DEBITOS]]</f>
        <v>0</v>
      </c>
      <c r="S1015" s="3" t="str">
        <f>IF(ISERROR(VLOOKUP(Base_Periodo1[[#This Row],[CONTA]],BaseContasDRE[#All],4,FALSE)),"Fora do DRE",VLOOKUP(Base_Periodo1[[#This Row],[CONTA]],BaseContasDRE[#All],4,FALSE))</f>
        <v>Fora do DRE</v>
      </c>
      <c r="T1015" s="3" t="str">
        <f>IF(ISERROR(VLOOKUP(Base_Periodo1[[#This Row],[CONTA]],BaseContasDRE[#All],5,FALSE)),"Fora do DRE",VLOOKUP(Base_Periodo1[[#This Row],[CONTA]],BaseContasDRE[#All],6,FALSE))</f>
        <v>Fora do DRE</v>
      </c>
      <c r="U1015" s="3" t="str">
        <f>IF(ISERROR(VLOOKUP(Base_Periodo1[[#This Row],[CONTA]],BaseContasDRE[#All],7,FALSE)),"Fora do DRE",VLOOKUP(Base_Periodo1[[#This Row],[CONTA]],BaseContasDRE[#All],7,FALSE))</f>
        <v>Fora do DRE</v>
      </c>
      <c r="V1015" s="3" t="str">
        <f>IF(Base_Periodo1[[#This Row],[Tipo_Linha]]="Fora do DRE","Fora do DRE","( "&amp;Base_Periodo1[[#This Row],[Tipo_Linha]]&amp;" ) "&amp;Base_Periodo1[[#This Row],[Filtro]])</f>
        <v>Fora do DRE</v>
      </c>
      <c r="W1015" s="3" t="str">
        <f>LEFT(Base_Periodo1[[#This Row],[CLASS]],3)</f>
        <v>1.1</v>
      </c>
    </row>
    <row r="1016" spans="1:23" hidden="1">
      <c r="A1016" s="3" t="str">
        <f t="shared" si="15"/>
        <v>Período 1</v>
      </c>
      <c r="B1016">
        <v>11297</v>
      </c>
      <c r="C1016" t="s">
        <v>922</v>
      </c>
      <c r="D1016" t="s">
        <v>6771</v>
      </c>
      <c r="E1016" s="3" t="str">
        <f>IF(LEN(Base_Periodo1[[#This Row],[CLASS]])&gt;=7,LEFT(Base_Periodo1[[#This Row],[CLASS]],7),"")</f>
        <v>1.1.2.2</v>
      </c>
      <c r="F1016" s="3" t="str">
        <f>VLOOKUP(Base_Periodo1[[#This Row],[Aux]],Base_Contas_Balanco[#All],2,FALSE)</f>
        <v>Creditos com não Cooperados</v>
      </c>
      <c r="G1016" s="1">
        <v>42886</v>
      </c>
      <c r="I1016" s="225">
        <v>880</v>
      </c>
      <c r="J1016" s="225">
        <v>880</v>
      </c>
      <c r="K1016" s="225">
        <v>0</v>
      </c>
      <c r="L10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16" s="225">
        <f>ROUND(IF(AND(Base_Periodo1[[#This Row],[Tipo_Linha]]="-",Base_Periodo1[[#This Row],[TIPOSALDO]]="D"),Base_Periodo1[[#This Row],[SALDO_ATUAL]]*-1,Base_Periodo1[[#This Row],[SALDO_ATUAL]]),4)</f>
        <v>0</v>
      </c>
      <c r="N1016" t="s">
        <v>116</v>
      </c>
      <c r="O1016" t="s">
        <v>436</v>
      </c>
      <c r="P1016" t="s">
        <v>436</v>
      </c>
      <c r="Q1016">
        <v>7</v>
      </c>
      <c r="R1016" s="225">
        <f>Base_Periodo1[[#This Row],[CREDITOS]]-Base_Periodo1[[#This Row],[DEBITOS]]</f>
        <v>0</v>
      </c>
      <c r="S1016" s="3" t="str">
        <f>IF(ISERROR(VLOOKUP(Base_Periodo1[[#This Row],[CONTA]],BaseContasDRE[#All],4,FALSE)),"Fora do DRE",VLOOKUP(Base_Periodo1[[#This Row],[CONTA]],BaseContasDRE[#All],4,FALSE))</f>
        <v>Fora do DRE</v>
      </c>
      <c r="T1016" s="3" t="str">
        <f>IF(ISERROR(VLOOKUP(Base_Periodo1[[#This Row],[CONTA]],BaseContasDRE[#All],5,FALSE)),"Fora do DRE",VLOOKUP(Base_Periodo1[[#This Row],[CONTA]],BaseContasDRE[#All],6,FALSE))</f>
        <v>Fora do DRE</v>
      </c>
      <c r="U1016" s="3" t="str">
        <f>IF(ISERROR(VLOOKUP(Base_Periodo1[[#This Row],[CONTA]],BaseContasDRE[#All],7,FALSE)),"Fora do DRE",VLOOKUP(Base_Periodo1[[#This Row],[CONTA]],BaseContasDRE[#All],7,FALSE))</f>
        <v>Fora do DRE</v>
      </c>
      <c r="V1016" s="3" t="str">
        <f>IF(Base_Periodo1[[#This Row],[Tipo_Linha]]="Fora do DRE","Fora do DRE","( "&amp;Base_Periodo1[[#This Row],[Tipo_Linha]]&amp;" ) "&amp;Base_Periodo1[[#This Row],[Filtro]])</f>
        <v>Fora do DRE</v>
      </c>
      <c r="W1016" s="3" t="str">
        <f>LEFT(Base_Periodo1[[#This Row],[CLASS]],3)</f>
        <v>1.1</v>
      </c>
    </row>
    <row r="1017" spans="1:23" hidden="1">
      <c r="A1017" s="3" t="str">
        <f t="shared" si="15"/>
        <v>Período 1</v>
      </c>
      <c r="B1017">
        <v>41003</v>
      </c>
      <c r="C1017" t="s">
        <v>922</v>
      </c>
      <c r="D1017" t="s">
        <v>6719</v>
      </c>
      <c r="E1017" s="3" t="str">
        <f>IF(LEN(Base_Periodo1[[#This Row],[CLASS]])&gt;=7,LEFT(Base_Periodo1[[#This Row],[CLASS]],7),"")</f>
        <v>1.1.2.2</v>
      </c>
      <c r="F1017" s="3" t="str">
        <f>VLOOKUP(Base_Periodo1[[#This Row],[Aux]],Base_Contas_Balanco[#All],2,FALSE)</f>
        <v>Creditos com não Cooperados</v>
      </c>
      <c r="G1017" s="1">
        <v>42884</v>
      </c>
      <c r="I1017" s="225">
        <v>62483.82</v>
      </c>
      <c r="J1017" s="225">
        <v>62483.82</v>
      </c>
      <c r="K1017" s="225">
        <v>0</v>
      </c>
      <c r="L10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17" s="225">
        <f>ROUND(IF(AND(Base_Periodo1[[#This Row],[Tipo_Linha]]="-",Base_Periodo1[[#This Row],[TIPOSALDO]]="D"),Base_Periodo1[[#This Row],[SALDO_ATUAL]]*-1,Base_Periodo1[[#This Row],[SALDO_ATUAL]]),4)</f>
        <v>0</v>
      </c>
      <c r="N1017" t="s">
        <v>116</v>
      </c>
      <c r="O1017" t="s">
        <v>436</v>
      </c>
      <c r="P1017" t="s">
        <v>436</v>
      </c>
      <c r="Q1017">
        <v>7</v>
      </c>
      <c r="R1017" s="225">
        <f>Base_Periodo1[[#This Row],[CREDITOS]]-Base_Periodo1[[#This Row],[DEBITOS]]</f>
        <v>0</v>
      </c>
      <c r="S1017" s="3" t="str">
        <f>IF(ISERROR(VLOOKUP(Base_Periodo1[[#This Row],[CONTA]],BaseContasDRE[#All],4,FALSE)),"Fora do DRE",VLOOKUP(Base_Periodo1[[#This Row],[CONTA]],BaseContasDRE[#All],4,FALSE))</f>
        <v>Fora do DRE</v>
      </c>
      <c r="T1017" s="3" t="str">
        <f>IF(ISERROR(VLOOKUP(Base_Periodo1[[#This Row],[CONTA]],BaseContasDRE[#All],5,FALSE)),"Fora do DRE",VLOOKUP(Base_Periodo1[[#This Row],[CONTA]],BaseContasDRE[#All],6,FALSE))</f>
        <v>Fora do DRE</v>
      </c>
      <c r="U1017" s="3" t="str">
        <f>IF(ISERROR(VLOOKUP(Base_Periodo1[[#This Row],[CONTA]],BaseContasDRE[#All],7,FALSE)),"Fora do DRE",VLOOKUP(Base_Periodo1[[#This Row],[CONTA]],BaseContasDRE[#All],7,FALSE))</f>
        <v>Fora do DRE</v>
      </c>
      <c r="V1017" s="3" t="str">
        <f>IF(Base_Periodo1[[#This Row],[Tipo_Linha]]="Fora do DRE","Fora do DRE","( "&amp;Base_Periodo1[[#This Row],[Tipo_Linha]]&amp;" ) "&amp;Base_Periodo1[[#This Row],[Filtro]])</f>
        <v>Fora do DRE</v>
      </c>
      <c r="W1017" s="3" t="str">
        <f>LEFT(Base_Periodo1[[#This Row],[CLASS]],3)</f>
        <v>1.1</v>
      </c>
    </row>
    <row r="1018" spans="1:23" hidden="1">
      <c r="A1018" s="3" t="str">
        <f t="shared" si="15"/>
        <v>Período 1</v>
      </c>
      <c r="B1018">
        <v>48059</v>
      </c>
      <c r="C1018" t="s">
        <v>922</v>
      </c>
      <c r="D1018" t="s">
        <v>6179</v>
      </c>
      <c r="E1018" s="3" t="str">
        <f>IF(LEN(Base_Periodo1[[#This Row],[CLASS]])&gt;=7,LEFT(Base_Periodo1[[#This Row],[CLASS]],7),"")</f>
        <v>1.1.2.2</v>
      </c>
      <c r="F1018" s="3" t="str">
        <f>VLOOKUP(Base_Periodo1[[#This Row],[Aux]],Base_Contas_Balanco[#All],2,FALSE)</f>
        <v>Creditos com não Cooperados</v>
      </c>
      <c r="G1018" s="1">
        <v>42885</v>
      </c>
      <c r="H1018" s="225">
        <v>316.78999999999996</v>
      </c>
      <c r="I1018" s="225">
        <v>12.67</v>
      </c>
      <c r="J1018" s="225">
        <v>329.46</v>
      </c>
      <c r="K1018" s="225">
        <v>0</v>
      </c>
      <c r="L10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18" s="225">
        <f>ROUND(IF(AND(Base_Periodo1[[#This Row],[Tipo_Linha]]="-",Base_Periodo1[[#This Row],[TIPOSALDO]]="D"),Base_Periodo1[[#This Row],[SALDO_ATUAL]]*-1,Base_Periodo1[[#This Row],[SALDO_ATUAL]]),4)</f>
        <v>0</v>
      </c>
      <c r="N1018" t="s">
        <v>116</v>
      </c>
      <c r="O1018" t="s">
        <v>397</v>
      </c>
      <c r="P1018" t="s">
        <v>436</v>
      </c>
      <c r="Q1018">
        <v>7</v>
      </c>
      <c r="R1018" s="225">
        <f>Base_Periodo1[[#This Row],[CREDITOS]]-Base_Periodo1[[#This Row],[DEBITOS]]</f>
        <v>316.78999999999996</v>
      </c>
      <c r="S1018" s="3" t="str">
        <f>IF(ISERROR(VLOOKUP(Base_Periodo1[[#This Row],[CONTA]],BaseContasDRE[#All],4,FALSE)),"Fora do DRE",VLOOKUP(Base_Periodo1[[#This Row],[CONTA]],BaseContasDRE[#All],4,FALSE))</f>
        <v>Fora do DRE</v>
      </c>
      <c r="T1018" s="3" t="str">
        <f>IF(ISERROR(VLOOKUP(Base_Periodo1[[#This Row],[CONTA]],BaseContasDRE[#All],5,FALSE)),"Fora do DRE",VLOOKUP(Base_Periodo1[[#This Row],[CONTA]],BaseContasDRE[#All],6,FALSE))</f>
        <v>Fora do DRE</v>
      </c>
      <c r="U1018" s="3" t="str">
        <f>IF(ISERROR(VLOOKUP(Base_Periodo1[[#This Row],[CONTA]],BaseContasDRE[#All],7,FALSE)),"Fora do DRE",VLOOKUP(Base_Periodo1[[#This Row],[CONTA]],BaseContasDRE[#All],7,FALSE))</f>
        <v>Fora do DRE</v>
      </c>
      <c r="V1018" s="3" t="str">
        <f>IF(Base_Periodo1[[#This Row],[Tipo_Linha]]="Fora do DRE","Fora do DRE","( "&amp;Base_Periodo1[[#This Row],[Tipo_Linha]]&amp;" ) "&amp;Base_Periodo1[[#This Row],[Filtro]])</f>
        <v>Fora do DRE</v>
      </c>
      <c r="W1018" s="3" t="str">
        <f>LEFT(Base_Periodo1[[#This Row],[CLASS]],3)</f>
        <v>1.1</v>
      </c>
    </row>
    <row r="1019" spans="1:23" hidden="1">
      <c r="A1019" s="3" t="str">
        <f t="shared" si="15"/>
        <v>Período 1</v>
      </c>
      <c r="B1019">
        <v>28438</v>
      </c>
      <c r="C1019" t="s">
        <v>922</v>
      </c>
      <c r="D1019" t="s">
        <v>4862</v>
      </c>
      <c r="E1019" s="3" t="str">
        <f>IF(LEN(Base_Periodo1[[#This Row],[CLASS]])&gt;=7,LEFT(Base_Periodo1[[#This Row],[CLASS]],7),"")</f>
        <v>1.1.2.2</v>
      </c>
      <c r="F1019" s="3" t="str">
        <f>VLOOKUP(Base_Periodo1[[#This Row],[Aux]],Base_Contas_Balanco[#All],2,FALSE)</f>
        <v>Creditos com não Cooperados</v>
      </c>
      <c r="G1019" s="1">
        <v>42885</v>
      </c>
      <c r="H1019" s="225">
        <v>24998.77</v>
      </c>
      <c r="I1019" s="225">
        <v>268.8</v>
      </c>
      <c r="J1019" s="225">
        <v>21562</v>
      </c>
      <c r="K1019" s="225">
        <v>3705.5699999999997</v>
      </c>
      <c r="L10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3705.57</v>
      </c>
      <c r="M1019" s="225">
        <f>ROUND(IF(AND(Base_Periodo1[[#This Row],[Tipo_Linha]]="-",Base_Periodo1[[#This Row],[TIPOSALDO]]="D"),Base_Periodo1[[#This Row],[SALDO_ATUAL]]*-1,Base_Periodo1[[#This Row],[SALDO_ATUAL]]),4)</f>
        <v>3705.57</v>
      </c>
      <c r="N1019" t="s">
        <v>116</v>
      </c>
      <c r="O1019" t="s">
        <v>397</v>
      </c>
      <c r="P1019" t="s">
        <v>397</v>
      </c>
      <c r="Q1019">
        <v>7</v>
      </c>
      <c r="R1019" s="225">
        <f>Base_Periodo1[[#This Row],[CREDITOS]]-Base_Periodo1[[#This Row],[DEBITOS]]</f>
        <v>21293.200000000001</v>
      </c>
      <c r="S1019" s="3" t="str">
        <f>IF(ISERROR(VLOOKUP(Base_Periodo1[[#This Row],[CONTA]],BaseContasDRE[#All],4,FALSE)),"Fora do DRE",VLOOKUP(Base_Periodo1[[#This Row],[CONTA]],BaseContasDRE[#All],4,FALSE))</f>
        <v>Fora do DRE</v>
      </c>
      <c r="T1019" s="3" t="str">
        <f>IF(ISERROR(VLOOKUP(Base_Periodo1[[#This Row],[CONTA]],BaseContasDRE[#All],5,FALSE)),"Fora do DRE",VLOOKUP(Base_Periodo1[[#This Row],[CONTA]],BaseContasDRE[#All],6,FALSE))</f>
        <v>Fora do DRE</v>
      </c>
      <c r="U1019" s="3" t="str">
        <f>IF(ISERROR(VLOOKUP(Base_Periodo1[[#This Row],[CONTA]],BaseContasDRE[#All],7,FALSE)),"Fora do DRE",VLOOKUP(Base_Periodo1[[#This Row],[CONTA]],BaseContasDRE[#All],7,FALSE))</f>
        <v>Fora do DRE</v>
      </c>
      <c r="V1019" s="3" t="str">
        <f>IF(Base_Periodo1[[#This Row],[Tipo_Linha]]="Fora do DRE","Fora do DRE","( "&amp;Base_Periodo1[[#This Row],[Tipo_Linha]]&amp;" ) "&amp;Base_Periodo1[[#This Row],[Filtro]])</f>
        <v>Fora do DRE</v>
      </c>
      <c r="W1019" s="3" t="str">
        <f>LEFT(Base_Periodo1[[#This Row],[CLASS]],3)</f>
        <v>1.1</v>
      </c>
    </row>
    <row r="1020" spans="1:23" hidden="1">
      <c r="A1020" s="3" t="str">
        <f t="shared" si="15"/>
        <v>Período 1</v>
      </c>
      <c r="B1020">
        <v>8520</v>
      </c>
      <c r="C1020" t="s">
        <v>922</v>
      </c>
      <c r="D1020" t="s">
        <v>4818</v>
      </c>
      <c r="E1020" s="3" t="str">
        <f>IF(LEN(Base_Periodo1[[#This Row],[CLASS]])&gt;=7,LEFT(Base_Periodo1[[#This Row],[CLASS]],7),"")</f>
        <v>1.1.2.2</v>
      </c>
      <c r="F1020" s="3" t="str">
        <f>VLOOKUP(Base_Periodo1[[#This Row],[Aux]],Base_Contas_Balanco[#All],2,FALSE)</f>
        <v>Creditos com não Cooperados</v>
      </c>
      <c r="G1020" s="1">
        <v>42885</v>
      </c>
      <c r="I1020" s="225">
        <v>0</v>
      </c>
      <c r="J1020" s="225">
        <v>49343.29</v>
      </c>
      <c r="K1020" s="225">
        <v>49343.289999999768</v>
      </c>
      <c r="L10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-49343.29</v>
      </c>
      <c r="M1020" s="225">
        <f>ROUND(IF(AND(Base_Periodo1[[#This Row],[Tipo_Linha]]="-",Base_Periodo1[[#This Row],[TIPOSALDO]]="D"),Base_Periodo1[[#This Row],[SALDO_ATUAL]]*-1,Base_Periodo1[[#This Row],[SALDO_ATUAL]]),4)</f>
        <v>49343.29</v>
      </c>
      <c r="N1020" t="s">
        <v>116</v>
      </c>
      <c r="O1020" t="s">
        <v>436</v>
      </c>
      <c r="P1020" t="s">
        <v>459</v>
      </c>
      <c r="Q1020">
        <v>7</v>
      </c>
      <c r="R1020" s="225">
        <f>Base_Periodo1[[#This Row],[CREDITOS]]-Base_Periodo1[[#This Row],[DEBITOS]]</f>
        <v>49343.29</v>
      </c>
      <c r="S1020" s="3" t="str">
        <f>IF(ISERROR(VLOOKUP(Base_Periodo1[[#This Row],[CONTA]],BaseContasDRE[#All],4,FALSE)),"Fora do DRE",VLOOKUP(Base_Periodo1[[#This Row],[CONTA]],BaseContasDRE[#All],4,FALSE))</f>
        <v>Fora do DRE</v>
      </c>
      <c r="T1020" s="3" t="str">
        <f>IF(ISERROR(VLOOKUP(Base_Periodo1[[#This Row],[CONTA]],BaseContasDRE[#All],5,FALSE)),"Fora do DRE",VLOOKUP(Base_Periodo1[[#This Row],[CONTA]],BaseContasDRE[#All],6,FALSE))</f>
        <v>Fora do DRE</v>
      </c>
      <c r="U1020" s="3" t="str">
        <f>IF(ISERROR(VLOOKUP(Base_Periodo1[[#This Row],[CONTA]],BaseContasDRE[#All],7,FALSE)),"Fora do DRE",VLOOKUP(Base_Periodo1[[#This Row],[CONTA]],BaseContasDRE[#All],7,FALSE))</f>
        <v>Fora do DRE</v>
      </c>
      <c r="V1020" s="3" t="str">
        <f>IF(Base_Periodo1[[#This Row],[Tipo_Linha]]="Fora do DRE","Fora do DRE","( "&amp;Base_Periodo1[[#This Row],[Tipo_Linha]]&amp;" ) "&amp;Base_Periodo1[[#This Row],[Filtro]])</f>
        <v>Fora do DRE</v>
      </c>
      <c r="W1020" s="3" t="str">
        <f>LEFT(Base_Periodo1[[#This Row],[CLASS]],3)</f>
        <v>1.1</v>
      </c>
    </row>
    <row r="1021" spans="1:23" hidden="1">
      <c r="A1021" s="3" t="str">
        <f t="shared" si="15"/>
        <v>Período 1</v>
      </c>
      <c r="B1021">
        <v>57372</v>
      </c>
      <c r="C1021" t="s">
        <v>922</v>
      </c>
      <c r="D1021" t="s">
        <v>6180</v>
      </c>
      <c r="E1021" s="3" t="str">
        <f>IF(LEN(Base_Periodo1[[#This Row],[CLASS]])&gt;=7,LEFT(Base_Periodo1[[#This Row],[CLASS]],7),"")</f>
        <v>1.1.2.2</v>
      </c>
      <c r="F1021" s="3" t="str">
        <f>VLOOKUP(Base_Periodo1[[#This Row],[Aux]],Base_Contas_Balanco[#All],2,FALSE)</f>
        <v>Creditos com não Cooperados</v>
      </c>
      <c r="G1021" s="1">
        <v>42811</v>
      </c>
      <c r="H1021" s="225">
        <v>500</v>
      </c>
      <c r="I1021" s="225">
        <v>0</v>
      </c>
      <c r="J1021" s="225">
        <v>0</v>
      </c>
      <c r="K1021" s="225">
        <v>500</v>
      </c>
      <c r="L10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021" s="225">
        <f>ROUND(IF(AND(Base_Periodo1[[#This Row],[Tipo_Linha]]="-",Base_Periodo1[[#This Row],[TIPOSALDO]]="D"),Base_Periodo1[[#This Row],[SALDO_ATUAL]]*-1,Base_Periodo1[[#This Row],[SALDO_ATUAL]]),4)</f>
        <v>500</v>
      </c>
      <c r="N1021" t="s">
        <v>116</v>
      </c>
      <c r="O1021" t="s">
        <v>397</v>
      </c>
      <c r="P1021" t="s">
        <v>397</v>
      </c>
      <c r="Q1021">
        <v>7</v>
      </c>
      <c r="R1021" s="225">
        <f>Base_Periodo1[[#This Row],[CREDITOS]]-Base_Periodo1[[#This Row],[DEBITOS]]</f>
        <v>0</v>
      </c>
      <c r="S1021" s="3" t="str">
        <f>IF(ISERROR(VLOOKUP(Base_Periodo1[[#This Row],[CONTA]],BaseContasDRE[#All],4,FALSE)),"Fora do DRE",VLOOKUP(Base_Periodo1[[#This Row],[CONTA]],BaseContasDRE[#All],4,FALSE))</f>
        <v>Fora do DRE</v>
      </c>
      <c r="T1021" s="3" t="str">
        <f>IF(ISERROR(VLOOKUP(Base_Periodo1[[#This Row],[CONTA]],BaseContasDRE[#All],5,FALSE)),"Fora do DRE",VLOOKUP(Base_Periodo1[[#This Row],[CONTA]],BaseContasDRE[#All],6,FALSE))</f>
        <v>Fora do DRE</v>
      </c>
      <c r="U1021" s="3" t="str">
        <f>IF(ISERROR(VLOOKUP(Base_Periodo1[[#This Row],[CONTA]],BaseContasDRE[#All],7,FALSE)),"Fora do DRE",VLOOKUP(Base_Periodo1[[#This Row],[CONTA]],BaseContasDRE[#All],7,FALSE))</f>
        <v>Fora do DRE</v>
      </c>
      <c r="V1021" s="3" t="str">
        <f>IF(Base_Periodo1[[#This Row],[Tipo_Linha]]="Fora do DRE","Fora do DRE","( "&amp;Base_Periodo1[[#This Row],[Tipo_Linha]]&amp;" ) "&amp;Base_Periodo1[[#This Row],[Filtro]])</f>
        <v>Fora do DRE</v>
      </c>
      <c r="W1021" s="3" t="str">
        <f>LEFT(Base_Periodo1[[#This Row],[CLASS]],3)</f>
        <v>1.1</v>
      </c>
    </row>
    <row r="1022" spans="1:23" hidden="1">
      <c r="A1022" s="3" t="str">
        <f t="shared" si="15"/>
        <v>Período 1</v>
      </c>
      <c r="B1022">
        <v>38022</v>
      </c>
      <c r="C1022" t="s">
        <v>922</v>
      </c>
      <c r="D1022" t="s">
        <v>6181</v>
      </c>
      <c r="E1022" s="3" t="str">
        <f>IF(LEN(Base_Periodo1[[#This Row],[CLASS]])&gt;=7,LEFT(Base_Periodo1[[#This Row],[CLASS]],7),"")</f>
        <v>1.1.2.2</v>
      </c>
      <c r="F1022" s="3" t="str">
        <f>VLOOKUP(Base_Periodo1[[#This Row],[Aux]],Base_Contas_Balanco[#All],2,FALSE)</f>
        <v>Creditos com não Cooperados</v>
      </c>
      <c r="G1022" s="1">
        <v>42865</v>
      </c>
      <c r="H1022" s="225">
        <v>9.86</v>
      </c>
      <c r="I1022" s="225">
        <v>0</v>
      </c>
      <c r="J1022" s="225">
        <v>9.86</v>
      </c>
      <c r="K1022" s="225">
        <v>0</v>
      </c>
      <c r="L10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22" s="225">
        <f>ROUND(IF(AND(Base_Periodo1[[#This Row],[Tipo_Linha]]="-",Base_Periodo1[[#This Row],[TIPOSALDO]]="D"),Base_Periodo1[[#This Row],[SALDO_ATUAL]]*-1,Base_Periodo1[[#This Row],[SALDO_ATUAL]]),4)</f>
        <v>0</v>
      </c>
      <c r="N1022" t="s">
        <v>116</v>
      </c>
      <c r="O1022" t="s">
        <v>397</v>
      </c>
      <c r="P1022" t="s">
        <v>436</v>
      </c>
      <c r="Q1022">
        <v>7</v>
      </c>
      <c r="R1022" s="225">
        <f>Base_Periodo1[[#This Row],[CREDITOS]]-Base_Periodo1[[#This Row],[DEBITOS]]</f>
        <v>9.86</v>
      </c>
      <c r="S1022" s="3" t="str">
        <f>IF(ISERROR(VLOOKUP(Base_Periodo1[[#This Row],[CONTA]],BaseContasDRE[#All],4,FALSE)),"Fora do DRE",VLOOKUP(Base_Periodo1[[#This Row],[CONTA]],BaseContasDRE[#All],4,FALSE))</f>
        <v>Fora do DRE</v>
      </c>
      <c r="T1022" s="3" t="str">
        <f>IF(ISERROR(VLOOKUP(Base_Periodo1[[#This Row],[CONTA]],BaseContasDRE[#All],5,FALSE)),"Fora do DRE",VLOOKUP(Base_Periodo1[[#This Row],[CONTA]],BaseContasDRE[#All],6,FALSE))</f>
        <v>Fora do DRE</v>
      </c>
      <c r="U1022" s="3" t="str">
        <f>IF(ISERROR(VLOOKUP(Base_Periodo1[[#This Row],[CONTA]],BaseContasDRE[#All],7,FALSE)),"Fora do DRE",VLOOKUP(Base_Periodo1[[#This Row],[CONTA]],BaseContasDRE[#All],7,FALSE))</f>
        <v>Fora do DRE</v>
      </c>
      <c r="V1022" s="3" t="str">
        <f>IF(Base_Periodo1[[#This Row],[Tipo_Linha]]="Fora do DRE","Fora do DRE","( "&amp;Base_Periodo1[[#This Row],[Tipo_Linha]]&amp;" ) "&amp;Base_Periodo1[[#This Row],[Filtro]])</f>
        <v>Fora do DRE</v>
      </c>
      <c r="W1022" s="3" t="str">
        <f>LEFT(Base_Periodo1[[#This Row],[CLASS]],3)</f>
        <v>1.1</v>
      </c>
    </row>
    <row r="1023" spans="1:23" hidden="1">
      <c r="A1023" s="3" t="str">
        <f t="shared" si="15"/>
        <v>Período 1</v>
      </c>
      <c r="B1023">
        <v>32070</v>
      </c>
      <c r="C1023" t="s">
        <v>922</v>
      </c>
      <c r="D1023" t="s">
        <v>4254</v>
      </c>
      <c r="E1023" s="3" t="str">
        <f>IF(LEN(Base_Periodo1[[#This Row],[CLASS]])&gt;=7,LEFT(Base_Periodo1[[#This Row],[CLASS]],7),"")</f>
        <v>1.1.2.2</v>
      </c>
      <c r="F1023" s="3" t="str">
        <f>VLOOKUP(Base_Periodo1[[#This Row],[Aux]],Base_Contas_Balanco[#All],2,FALSE)</f>
        <v>Creditos com não Cooperados</v>
      </c>
      <c r="G1023" s="1">
        <v>42333</v>
      </c>
      <c r="H1023" s="225">
        <v>500</v>
      </c>
      <c r="I1023" s="225">
        <v>0</v>
      </c>
      <c r="J1023" s="225">
        <v>0</v>
      </c>
      <c r="K1023" s="225">
        <v>500</v>
      </c>
      <c r="L10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023" s="225">
        <f>ROUND(IF(AND(Base_Periodo1[[#This Row],[Tipo_Linha]]="-",Base_Periodo1[[#This Row],[TIPOSALDO]]="D"),Base_Periodo1[[#This Row],[SALDO_ATUAL]]*-1,Base_Periodo1[[#This Row],[SALDO_ATUAL]]),4)</f>
        <v>500</v>
      </c>
      <c r="N1023" t="s">
        <v>116</v>
      </c>
      <c r="O1023" t="s">
        <v>397</v>
      </c>
      <c r="P1023" t="s">
        <v>397</v>
      </c>
      <c r="Q1023">
        <v>7</v>
      </c>
      <c r="R1023" s="225">
        <f>Base_Periodo1[[#This Row],[CREDITOS]]-Base_Periodo1[[#This Row],[DEBITOS]]</f>
        <v>0</v>
      </c>
      <c r="S1023" s="3" t="str">
        <f>IF(ISERROR(VLOOKUP(Base_Periodo1[[#This Row],[CONTA]],BaseContasDRE[#All],4,FALSE)),"Fora do DRE",VLOOKUP(Base_Periodo1[[#This Row],[CONTA]],BaseContasDRE[#All],4,FALSE))</f>
        <v>Fora do DRE</v>
      </c>
      <c r="T1023" s="3" t="str">
        <f>IF(ISERROR(VLOOKUP(Base_Periodo1[[#This Row],[CONTA]],BaseContasDRE[#All],5,FALSE)),"Fora do DRE",VLOOKUP(Base_Periodo1[[#This Row],[CONTA]],BaseContasDRE[#All],6,FALSE))</f>
        <v>Fora do DRE</v>
      </c>
      <c r="U1023" s="3" t="str">
        <f>IF(ISERROR(VLOOKUP(Base_Periodo1[[#This Row],[CONTA]],BaseContasDRE[#All],7,FALSE)),"Fora do DRE",VLOOKUP(Base_Periodo1[[#This Row],[CONTA]],BaseContasDRE[#All],7,FALSE))</f>
        <v>Fora do DRE</v>
      </c>
      <c r="V1023" s="3" t="str">
        <f>IF(Base_Periodo1[[#This Row],[Tipo_Linha]]="Fora do DRE","Fora do DRE","( "&amp;Base_Periodo1[[#This Row],[Tipo_Linha]]&amp;" ) "&amp;Base_Periodo1[[#This Row],[Filtro]])</f>
        <v>Fora do DRE</v>
      </c>
      <c r="W1023" s="3" t="str">
        <f>LEFT(Base_Periodo1[[#This Row],[CLASS]],3)</f>
        <v>1.1</v>
      </c>
    </row>
    <row r="1024" spans="1:23" hidden="1">
      <c r="A1024" s="3" t="str">
        <f t="shared" si="15"/>
        <v>Período 1</v>
      </c>
      <c r="B1024">
        <v>19520</v>
      </c>
      <c r="C1024" t="s">
        <v>922</v>
      </c>
      <c r="D1024" t="s">
        <v>6772</v>
      </c>
      <c r="E1024" s="3" t="str">
        <f>IF(LEN(Base_Periodo1[[#This Row],[CLASS]])&gt;=7,LEFT(Base_Periodo1[[#This Row],[CLASS]],7),"")</f>
        <v>1.1.2.2</v>
      </c>
      <c r="F1024" s="3" t="str">
        <f>VLOOKUP(Base_Periodo1[[#This Row],[Aux]],Base_Contas_Balanco[#All],2,FALSE)</f>
        <v>Creditos com não Cooperados</v>
      </c>
      <c r="G1024" s="1">
        <v>42879</v>
      </c>
      <c r="I1024" s="225">
        <v>160.80000000000001</v>
      </c>
      <c r="J1024" s="225">
        <v>160.80000000000001</v>
      </c>
      <c r="K1024" s="225">
        <v>0</v>
      </c>
      <c r="L10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24" s="225">
        <f>ROUND(IF(AND(Base_Periodo1[[#This Row],[Tipo_Linha]]="-",Base_Periodo1[[#This Row],[TIPOSALDO]]="D"),Base_Periodo1[[#This Row],[SALDO_ATUAL]]*-1,Base_Periodo1[[#This Row],[SALDO_ATUAL]]),4)</f>
        <v>0</v>
      </c>
      <c r="N1024" t="s">
        <v>116</v>
      </c>
      <c r="O1024" t="s">
        <v>436</v>
      </c>
      <c r="P1024" t="s">
        <v>436</v>
      </c>
      <c r="Q1024">
        <v>7</v>
      </c>
      <c r="R1024" s="225">
        <f>Base_Periodo1[[#This Row],[CREDITOS]]-Base_Periodo1[[#This Row],[DEBITOS]]</f>
        <v>0</v>
      </c>
      <c r="S1024" s="3" t="str">
        <f>IF(ISERROR(VLOOKUP(Base_Periodo1[[#This Row],[CONTA]],BaseContasDRE[#All],4,FALSE)),"Fora do DRE",VLOOKUP(Base_Periodo1[[#This Row],[CONTA]],BaseContasDRE[#All],4,FALSE))</f>
        <v>Fora do DRE</v>
      </c>
      <c r="T1024" s="3" t="str">
        <f>IF(ISERROR(VLOOKUP(Base_Periodo1[[#This Row],[CONTA]],BaseContasDRE[#All],5,FALSE)),"Fora do DRE",VLOOKUP(Base_Periodo1[[#This Row],[CONTA]],BaseContasDRE[#All],6,FALSE))</f>
        <v>Fora do DRE</v>
      </c>
      <c r="U1024" s="3" t="str">
        <f>IF(ISERROR(VLOOKUP(Base_Periodo1[[#This Row],[CONTA]],BaseContasDRE[#All],7,FALSE)),"Fora do DRE",VLOOKUP(Base_Periodo1[[#This Row],[CONTA]],BaseContasDRE[#All],7,FALSE))</f>
        <v>Fora do DRE</v>
      </c>
      <c r="V1024" s="3" t="str">
        <f>IF(Base_Periodo1[[#This Row],[Tipo_Linha]]="Fora do DRE","Fora do DRE","( "&amp;Base_Periodo1[[#This Row],[Tipo_Linha]]&amp;" ) "&amp;Base_Periodo1[[#This Row],[Filtro]])</f>
        <v>Fora do DRE</v>
      </c>
      <c r="W1024" s="3" t="str">
        <f>LEFT(Base_Periodo1[[#This Row],[CLASS]],3)</f>
        <v>1.1</v>
      </c>
    </row>
    <row r="1025" spans="1:23" hidden="1">
      <c r="A1025" s="3" t="str">
        <f t="shared" si="15"/>
        <v>Período 1</v>
      </c>
      <c r="B1025">
        <v>15700</v>
      </c>
      <c r="C1025" t="s">
        <v>922</v>
      </c>
      <c r="D1025" t="s">
        <v>6773</v>
      </c>
      <c r="E1025" s="3" t="str">
        <f>IF(LEN(Base_Periodo1[[#This Row],[CLASS]])&gt;=7,LEFT(Base_Periodo1[[#This Row],[CLASS]],7),"")</f>
        <v>1.1.2.2</v>
      </c>
      <c r="F1025" s="3" t="str">
        <f>VLOOKUP(Base_Periodo1[[#This Row],[Aux]],Base_Contas_Balanco[#All],2,FALSE)</f>
        <v>Creditos com não Cooperados</v>
      </c>
      <c r="G1025" s="1">
        <v>42865</v>
      </c>
      <c r="I1025" s="225">
        <v>63600</v>
      </c>
      <c r="J1025" s="225">
        <v>63600</v>
      </c>
      <c r="K1025" s="225">
        <v>0</v>
      </c>
      <c r="L10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25" s="225">
        <f>ROUND(IF(AND(Base_Periodo1[[#This Row],[Tipo_Linha]]="-",Base_Periodo1[[#This Row],[TIPOSALDO]]="D"),Base_Periodo1[[#This Row],[SALDO_ATUAL]]*-1,Base_Periodo1[[#This Row],[SALDO_ATUAL]]),4)</f>
        <v>0</v>
      </c>
      <c r="N1025" t="s">
        <v>116</v>
      </c>
      <c r="O1025" t="s">
        <v>436</v>
      </c>
      <c r="P1025" t="s">
        <v>436</v>
      </c>
      <c r="Q1025">
        <v>7</v>
      </c>
      <c r="R1025" s="225">
        <f>Base_Periodo1[[#This Row],[CREDITOS]]-Base_Periodo1[[#This Row],[DEBITOS]]</f>
        <v>0</v>
      </c>
      <c r="S1025" s="3" t="str">
        <f>IF(ISERROR(VLOOKUP(Base_Periodo1[[#This Row],[CONTA]],BaseContasDRE[#All],4,FALSE)),"Fora do DRE",VLOOKUP(Base_Periodo1[[#This Row],[CONTA]],BaseContasDRE[#All],4,FALSE))</f>
        <v>Fora do DRE</v>
      </c>
      <c r="T1025" s="3" t="str">
        <f>IF(ISERROR(VLOOKUP(Base_Periodo1[[#This Row],[CONTA]],BaseContasDRE[#All],5,FALSE)),"Fora do DRE",VLOOKUP(Base_Periodo1[[#This Row],[CONTA]],BaseContasDRE[#All],6,FALSE))</f>
        <v>Fora do DRE</v>
      </c>
      <c r="U1025" s="3" t="str">
        <f>IF(ISERROR(VLOOKUP(Base_Periodo1[[#This Row],[CONTA]],BaseContasDRE[#All],7,FALSE)),"Fora do DRE",VLOOKUP(Base_Periodo1[[#This Row],[CONTA]],BaseContasDRE[#All],7,FALSE))</f>
        <v>Fora do DRE</v>
      </c>
      <c r="V1025" s="3" t="str">
        <f>IF(Base_Periodo1[[#This Row],[Tipo_Linha]]="Fora do DRE","Fora do DRE","( "&amp;Base_Periodo1[[#This Row],[Tipo_Linha]]&amp;" ) "&amp;Base_Periodo1[[#This Row],[Filtro]])</f>
        <v>Fora do DRE</v>
      </c>
      <c r="W1025" s="3" t="str">
        <f>LEFT(Base_Periodo1[[#This Row],[CLASS]],3)</f>
        <v>1.1</v>
      </c>
    </row>
    <row r="1026" spans="1:23" hidden="1">
      <c r="A1026" s="3" t="str">
        <f t="shared" si="15"/>
        <v>Período 1</v>
      </c>
      <c r="B1026">
        <v>27365</v>
      </c>
      <c r="C1026" t="s">
        <v>922</v>
      </c>
      <c r="D1026" t="s">
        <v>962</v>
      </c>
      <c r="E1026" s="3" t="str">
        <f>IF(LEN(Base_Periodo1[[#This Row],[CLASS]])&gt;=7,LEFT(Base_Periodo1[[#This Row],[CLASS]],7),"")</f>
        <v>1.1.2.2</v>
      </c>
      <c r="F1026" s="3" t="str">
        <f>VLOOKUP(Base_Periodo1[[#This Row],[Aux]],Base_Contas_Balanco[#All],2,FALSE)</f>
        <v>Creditos com não Cooperados</v>
      </c>
      <c r="G1026" s="1">
        <v>42885</v>
      </c>
      <c r="H1026" s="225">
        <v>191433.59999999998</v>
      </c>
      <c r="I1026" s="225">
        <v>5074.3999999999996</v>
      </c>
      <c r="J1026" s="225">
        <v>172521.4</v>
      </c>
      <c r="K1026" s="225">
        <v>23986.599999999977</v>
      </c>
      <c r="L10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23986.6</v>
      </c>
      <c r="M1026" s="225">
        <f>ROUND(IF(AND(Base_Periodo1[[#This Row],[Tipo_Linha]]="-",Base_Periodo1[[#This Row],[TIPOSALDO]]="D"),Base_Periodo1[[#This Row],[SALDO_ATUAL]]*-1,Base_Periodo1[[#This Row],[SALDO_ATUAL]]),4)</f>
        <v>23986.6</v>
      </c>
      <c r="N1026" t="s">
        <v>116</v>
      </c>
      <c r="O1026" t="s">
        <v>397</v>
      </c>
      <c r="P1026" t="s">
        <v>397</v>
      </c>
      <c r="Q1026">
        <v>7</v>
      </c>
      <c r="R1026" s="225">
        <f>Base_Periodo1[[#This Row],[CREDITOS]]-Base_Periodo1[[#This Row],[DEBITOS]]</f>
        <v>167447</v>
      </c>
      <c r="S1026" s="3" t="str">
        <f>IF(ISERROR(VLOOKUP(Base_Periodo1[[#This Row],[CONTA]],BaseContasDRE[#All],4,FALSE)),"Fora do DRE",VLOOKUP(Base_Periodo1[[#This Row],[CONTA]],BaseContasDRE[#All],4,FALSE))</f>
        <v>Fora do DRE</v>
      </c>
      <c r="T1026" s="3" t="str">
        <f>IF(ISERROR(VLOOKUP(Base_Periodo1[[#This Row],[CONTA]],BaseContasDRE[#All],5,FALSE)),"Fora do DRE",VLOOKUP(Base_Periodo1[[#This Row],[CONTA]],BaseContasDRE[#All],6,FALSE))</f>
        <v>Fora do DRE</v>
      </c>
      <c r="U1026" s="3" t="str">
        <f>IF(ISERROR(VLOOKUP(Base_Periodo1[[#This Row],[CONTA]],BaseContasDRE[#All],7,FALSE)),"Fora do DRE",VLOOKUP(Base_Periodo1[[#This Row],[CONTA]],BaseContasDRE[#All],7,FALSE))</f>
        <v>Fora do DRE</v>
      </c>
      <c r="V1026" s="3" t="str">
        <f>IF(Base_Periodo1[[#This Row],[Tipo_Linha]]="Fora do DRE","Fora do DRE","( "&amp;Base_Periodo1[[#This Row],[Tipo_Linha]]&amp;" ) "&amp;Base_Periodo1[[#This Row],[Filtro]])</f>
        <v>Fora do DRE</v>
      </c>
      <c r="W1026" s="3" t="str">
        <f>LEFT(Base_Periodo1[[#This Row],[CLASS]],3)</f>
        <v>1.1</v>
      </c>
    </row>
    <row r="1027" spans="1:23" hidden="1">
      <c r="A1027" s="3" t="str">
        <f t="shared" si="15"/>
        <v>Período 1</v>
      </c>
      <c r="B1027">
        <v>50171</v>
      </c>
      <c r="C1027" t="s">
        <v>922</v>
      </c>
      <c r="D1027" t="s">
        <v>5656</v>
      </c>
      <c r="E1027" s="3" t="str">
        <f>IF(LEN(Base_Periodo1[[#This Row],[CLASS]])&gt;=7,LEFT(Base_Periodo1[[#This Row],[CLASS]],7),"")</f>
        <v>1.1.2.2</v>
      </c>
      <c r="F1027" s="3" t="str">
        <f>VLOOKUP(Base_Periodo1[[#This Row],[Aux]],Base_Contas_Balanco[#All],2,FALSE)</f>
        <v>Creditos com não Cooperados</v>
      </c>
      <c r="G1027" s="1">
        <v>42884</v>
      </c>
      <c r="I1027" s="225">
        <v>10068.33</v>
      </c>
      <c r="J1027" s="225">
        <v>8033.33</v>
      </c>
      <c r="K1027" s="225">
        <v>2034.9999999997672</v>
      </c>
      <c r="L10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2035</v>
      </c>
      <c r="M1027" s="225">
        <f>ROUND(IF(AND(Base_Periodo1[[#This Row],[Tipo_Linha]]="-",Base_Periodo1[[#This Row],[TIPOSALDO]]="D"),Base_Periodo1[[#This Row],[SALDO_ATUAL]]*-1,Base_Periodo1[[#This Row],[SALDO_ATUAL]]),4)</f>
        <v>2035</v>
      </c>
      <c r="N1027" t="s">
        <v>116</v>
      </c>
      <c r="O1027" t="s">
        <v>436</v>
      </c>
      <c r="P1027" t="s">
        <v>397</v>
      </c>
      <c r="Q1027">
        <v>7</v>
      </c>
      <c r="R1027" s="225">
        <f>Base_Periodo1[[#This Row],[CREDITOS]]-Base_Periodo1[[#This Row],[DEBITOS]]</f>
        <v>-2035</v>
      </c>
      <c r="S1027" s="3" t="str">
        <f>IF(ISERROR(VLOOKUP(Base_Periodo1[[#This Row],[CONTA]],BaseContasDRE[#All],4,FALSE)),"Fora do DRE",VLOOKUP(Base_Periodo1[[#This Row],[CONTA]],BaseContasDRE[#All],4,FALSE))</f>
        <v>Fora do DRE</v>
      </c>
      <c r="T1027" s="3" t="str">
        <f>IF(ISERROR(VLOOKUP(Base_Periodo1[[#This Row],[CONTA]],BaseContasDRE[#All],5,FALSE)),"Fora do DRE",VLOOKUP(Base_Periodo1[[#This Row],[CONTA]],BaseContasDRE[#All],6,FALSE))</f>
        <v>Fora do DRE</v>
      </c>
      <c r="U1027" s="3" t="str">
        <f>IF(ISERROR(VLOOKUP(Base_Periodo1[[#This Row],[CONTA]],BaseContasDRE[#All],7,FALSE)),"Fora do DRE",VLOOKUP(Base_Periodo1[[#This Row],[CONTA]],BaseContasDRE[#All],7,FALSE))</f>
        <v>Fora do DRE</v>
      </c>
      <c r="V1027" s="3" t="str">
        <f>IF(Base_Periodo1[[#This Row],[Tipo_Linha]]="Fora do DRE","Fora do DRE","( "&amp;Base_Periodo1[[#This Row],[Tipo_Linha]]&amp;" ) "&amp;Base_Periodo1[[#This Row],[Filtro]])</f>
        <v>Fora do DRE</v>
      </c>
      <c r="W1027" s="3" t="str">
        <f>LEFT(Base_Periodo1[[#This Row],[CLASS]],3)</f>
        <v>1.1</v>
      </c>
    </row>
    <row r="1028" spans="1:23" hidden="1">
      <c r="A1028" s="3" t="str">
        <f t="shared" si="15"/>
        <v>Período 1</v>
      </c>
      <c r="B1028">
        <v>53853</v>
      </c>
      <c r="C1028" t="s">
        <v>922</v>
      </c>
      <c r="D1028" t="s">
        <v>6182</v>
      </c>
      <c r="E1028" s="3" t="str">
        <f>IF(LEN(Base_Periodo1[[#This Row],[CLASS]])&gt;=7,LEFT(Base_Periodo1[[#This Row],[CLASS]],7),"")</f>
        <v>1.1.2.2</v>
      </c>
      <c r="F1028" s="3" t="str">
        <f>VLOOKUP(Base_Periodo1[[#This Row],[Aux]],Base_Contas_Balanco[#All],2,FALSE)</f>
        <v>Creditos com não Cooperados</v>
      </c>
      <c r="G1028" s="1">
        <v>42879</v>
      </c>
      <c r="H1028" s="225">
        <v>1456</v>
      </c>
      <c r="I1028" s="225">
        <v>0</v>
      </c>
      <c r="J1028" s="225">
        <v>1456</v>
      </c>
      <c r="K1028" s="225">
        <v>0</v>
      </c>
      <c r="L10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28" s="225">
        <f>ROUND(IF(AND(Base_Periodo1[[#This Row],[Tipo_Linha]]="-",Base_Periodo1[[#This Row],[TIPOSALDO]]="D"),Base_Periodo1[[#This Row],[SALDO_ATUAL]]*-1,Base_Periodo1[[#This Row],[SALDO_ATUAL]]),4)</f>
        <v>0</v>
      </c>
      <c r="N1028" t="s">
        <v>116</v>
      </c>
      <c r="O1028" t="s">
        <v>397</v>
      </c>
      <c r="P1028" t="s">
        <v>436</v>
      </c>
      <c r="Q1028">
        <v>7</v>
      </c>
      <c r="R1028" s="225">
        <f>Base_Periodo1[[#This Row],[CREDITOS]]-Base_Periodo1[[#This Row],[DEBITOS]]</f>
        <v>1456</v>
      </c>
      <c r="S1028" s="3" t="str">
        <f>IF(ISERROR(VLOOKUP(Base_Periodo1[[#This Row],[CONTA]],BaseContasDRE[#All],4,FALSE)),"Fora do DRE",VLOOKUP(Base_Periodo1[[#This Row],[CONTA]],BaseContasDRE[#All],4,FALSE))</f>
        <v>Fora do DRE</v>
      </c>
      <c r="T1028" s="3" t="str">
        <f>IF(ISERROR(VLOOKUP(Base_Periodo1[[#This Row],[CONTA]],BaseContasDRE[#All],5,FALSE)),"Fora do DRE",VLOOKUP(Base_Periodo1[[#This Row],[CONTA]],BaseContasDRE[#All],6,FALSE))</f>
        <v>Fora do DRE</v>
      </c>
      <c r="U1028" s="3" t="str">
        <f>IF(ISERROR(VLOOKUP(Base_Periodo1[[#This Row],[CONTA]],BaseContasDRE[#All],7,FALSE)),"Fora do DRE",VLOOKUP(Base_Periodo1[[#This Row],[CONTA]],BaseContasDRE[#All],7,FALSE))</f>
        <v>Fora do DRE</v>
      </c>
      <c r="V1028" s="3" t="str">
        <f>IF(Base_Periodo1[[#This Row],[Tipo_Linha]]="Fora do DRE","Fora do DRE","( "&amp;Base_Periodo1[[#This Row],[Tipo_Linha]]&amp;" ) "&amp;Base_Periodo1[[#This Row],[Filtro]])</f>
        <v>Fora do DRE</v>
      </c>
      <c r="W1028" s="3" t="str">
        <f>LEFT(Base_Periodo1[[#This Row],[CLASS]],3)</f>
        <v>1.1</v>
      </c>
    </row>
    <row r="1029" spans="1:23" hidden="1">
      <c r="A1029" s="3" t="str">
        <f t="shared" si="15"/>
        <v>Período 1</v>
      </c>
      <c r="B1029">
        <v>52057</v>
      </c>
      <c r="C1029" t="s">
        <v>922</v>
      </c>
      <c r="D1029" t="s">
        <v>4646</v>
      </c>
      <c r="E1029" s="3" t="str">
        <f>IF(LEN(Base_Periodo1[[#This Row],[CLASS]])&gt;=7,LEFT(Base_Periodo1[[#This Row],[CLASS]],7),"")</f>
        <v>1.1.2.2</v>
      </c>
      <c r="F1029" s="3" t="str">
        <f>VLOOKUP(Base_Periodo1[[#This Row],[Aux]],Base_Contas_Balanco[#All],2,FALSE)</f>
        <v>Creditos com não Cooperados</v>
      </c>
      <c r="G1029" s="1">
        <v>42748</v>
      </c>
      <c r="H1029" s="225">
        <v>500</v>
      </c>
      <c r="I1029" s="225">
        <v>0</v>
      </c>
      <c r="J1029" s="225">
        <v>0</v>
      </c>
      <c r="K1029" s="225">
        <v>500</v>
      </c>
      <c r="L10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029" s="225">
        <f>ROUND(IF(AND(Base_Periodo1[[#This Row],[Tipo_Linha]]="-",Base_Periodo1[[#This Row],[TIPOSALDO]]="D"),Base_Periodo1[[#This Row],[SALDO_ATUAL]]*-1,Base_Periodo1[[#This Row],[SALDO_ATUAL]]),4)</f>
        <v>500</v>
      </c>
      <c r="N1029" t="s">
        <v>116</v>
      </c>
      <c r="O1029" t="s">
        <v>397</v>
      </c>
      <c r="P1029" t="s">
        <v>397</v>
      </c>
      <c r="Q1029">
        <v>7</v>
      </c>
      <c r="R1029" s="225">
        <f>Base_Periodo1[[#This Row],[CREDITOS]]-Base_Periodo1[[#This Row],[DEBITOS]]</f>
        <v>0</v>
      </c>
      <c r="S1029" s="3" t="str">
        <f>IF(ISERROR(VLOOKUP(Base_Periodo1[[#This Row],[CONTA]],BaseContasDRE[#All],4,FALSE)),"Fora do DRE",VLOOKUP(Base_Periodo1[[#This Row],[CONTA]],BaseContasDRE[#All],4,FALSE))</f>
        <v>Fora do DRE</v>
      </c>
      <c r="T1029" s="3" t="str">
        <f>IF(ISERROR(VLOOKUP(Base_Periodo1[[#This Row],[CONTA]],BaseContasDRE[#All],5,FALSE)),"Fora do DRE",VLOOKUP(Base_Periodo1[[#This Row],[CONTA]],BaseContasDRE[#All],6,FALSE))</f>
        <v>Fora do DRE</v>
      </c>
      <c r="U1029" s="3" t="str">
        <f>IF(ISERROR(VLOOKUP(Base_Periodo1[[#This Row],[CONTA]],BaseContasDRE[#All],7,FALSE)),"Fora do DRE",VLOOKUP(Base_Periodo1[[#This Row],[CONTA]],BaseContasDRE[#All],7,FALSE))</f>
        <v>Fora do DRE</v>
      </c>
      <c r="V1029" s="3" t="str">
        <f>IF(Base_Periodo1[[#This Row],[Tipo_Linha]]="Fora do DRE","Fora do DRE","( "&amp;Base_Periodo1[[#This Row],[Tipo_Linha]]&amp;" ) "&amp;Base_Periodo1[[#This Row],[Filtro]])</f>
        <v>Fora do DRE</v>
      </c>
      <c r="W1029" s="3" t="str">
        <f>LEFT(Base_Periodo1[[#This Row],[CLASS]],3)</f>
        <v>1.1</v>
      </c>
    </row>
    <row r="1030" spans="1:23" hidden="1">
      <c r="A1030" s="3" t="str">
        <f t="shared" ref="A1030:A1093" si="16">"Período 1"</f>
        <v>Período 1</v>
      </c>
      <c r="B1030">
        <v>49470</v>
      </c>
      <c r="C1030" t="s">
        <v>922</v>
      </c>
      <c r="D1030" t="s">
        <v>4255</v>
      </c>
      <c r="E1030" s="3" t="str">
        <f>IF(LEN(Base_Periodo1[[#This Row],[CLASS]])&gt;=7,LEFT(Base_Periodo1[[#This Row],[CLASS]],7),"")</f>
        <v>1.1.2.2</v>
      </c>
      <c r="F1030" s="3" t="str">
        <f>VLOOKUP(Base_Periodo1[[#This Row],[Aux]],Base_Contas_Balanco[#All],2,FALSE)</f>
        <v>Creditos com não Cooperados</v>
      </c>
      <c r="G1030" s="1">
        <v>42585</v>
      </c>
      <c r="H1030" s="225">
        <v>3850</v>
      </c>
      <c r="I1030" s="225">
        <v>0</v>
      </c>
      <c r="J1030" s="225">
        <v>0</v>
      </c>
      <c r="K1030" s="225">
        <v>3850</v>
      </c>
      <c r="L10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3850</v>
      </c>
      <c r="M1030" s="225">
        <f>ROUND(IF(AND(Base_Periodo1[[#This Row],[Tipo_Linha]]="-",Base_Periodo1[[#This Row],[TIPOSALDO]]="D"),Base_Periodo1[[#This Row],[SALDO_ATUAL]]*-1,Base_Periodo1[[#This Row],[SALDO_ATUAL]]),4)</f>
        <v>3850</v>
      </c>
      <c r="N1030" t="s">
        <v>116</v>
      </c>
      <c r="O1030" t="s">
        <v>397</v>
      </c>
      <c r="P1030" t="s">
        <v>397</v>
      </c>
      <c r="Q1030">
        <v>7</v>
      </c>
      <c r="R1030" s="225">
        <f>Base_Periodo1[[#This Row],[CREDITOS]]-Base_Periodo1[[#This Row],[DEBITOS]]</f>
        <v>0</v>
      </c>
      <c r="S1030" s="3" t="str">
        <f>IF(ISERROR(VLOOKUP(Base_Periodo1[[#This Row],[CONTA]],BaseContasDRE[#All],4,FALSE)),"Fora do DRE",VLOOKUP(Base_Periodo1[[#This Row],[CONTA]],BaseContasDRE[#All],4,FALSE))</f>
        <v>Fora do DRE</v>
      </c>
      <c r="T1030" s="3" t="str">
        <f>IF(ISERROR(VLOOKUP(Base_Periodo1[[#This Row],[CONTA]],BaseContasDRE[#All],5,FALSE)),"Fora do DRE",VLOOKUP(Base_Periodo1[[#This Row],[CONTA]],BaseContasDRE[#All],6,FALSE))</f>
        <v>Fora do DRE</v>
      </c>
      <c r="U1030" s="3" t="str">
        <f>IF(ISERROR(VLOOKUP(Base_Periodo1[[#This Row],[CONTA]],BaseContasDRE[#All],7,FALSE)),"Fora do DRE",VLOOKUP(Base_Periodo1[[#This Row],[CONTA]],BaseContasDRE[#All],7,FALSE))</f>
        <v>Fora do DRE</v>
      </c>
      <c r="V1030" s="3" t="str">
        <f>IF(Base_Periodo1[[#This Row],[Tipo_Linha]]="Fora do DRE","Fora do DRE","( "&amp;Base_Periodo1[[#This Row],[Tipo_Linha]]&amp;" ) "&amp;Base_Periodo1[[#This Row],[Filtro]])</f>
        <v>Fora do DRE</v>
      </c>
      <c r="W1030" s="3" t="str">
        <f>LEFT(Base_Periodo1[[#This Row],[CLASS]],3)</f>
        <v>1.1</v>
      </c>
    </row>
    <row r="1031" spans="1:23" hidden="1">
      <c r="A1031" s="3" t="str">
        <f t="shared" si="16"/>
        <v>Período 1</v>
      </c>
      <c r="B1031">
        <v>25806</v>
      </c>
      <c r="C1031" t="s">
        <v>922</v>
      </c>
      <c r="D1031" t="s">
        <v>6183</v>
      </c>
      <c r="E1031" s="3" t="str">
        <f>IF(LEN(Base_Periodo1[[#This Row],[CLASS]])&gt;=7,LEFT(Base_Periodo1[[#This Row],[CLASS]],7),"")</f>
        <v>1.1.2.2</v>
      </c>
      <c r="F1031" s="3" t="str">
        <f>VLOOKUP(Base_Periodo1[[#This Row],[Aux]],Base_Contas_Balanco[#All],2,FALSE)</f>
        <v>Creditos com não Cooperados</v>
      </c>
      <c r="G1031" s="1">
        <v>42858</v>
      </c>
      <c r="H1031" s="225">
        <v>17099.999999999971</v>
      </c>
      <c r="I1031" s="225">
        <v>0</v>
      </c>
      <c r="J1031" s="225">
        <v>17100</v>
      </c>
      <c r="K1031" s="225">
        <v>-2.9103830456733704E-11</v>
      </c>
      <c r="L10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31" s="225">
        <f>ROUND(IF(AND(Base_Periodo1[[#This Row],[Tipo_Linha]]="-",Base_Periodo1[[#This Row],[TIPOSALDO]]="D"),Base_Periodo1[[#This Row],[SALDO_ATUAL]]*-1,Base_Periodo1[[#This Row],[SALDO_ATUAL]]),4)</f>
        <v>0</v>
      </c>
      <c r="N1031" t="s">
        <v>116</v>
      </c>
      <c r="O1031" t="s">
        <v>397</v>
      </c>
      <c r="P1031" t="s">
        <v>436</v>
      </c>
      <c r="Q1031">
        <v>7</v>
      </c>
      <c r="R1031" s="225">
        <f>Base_Periodo1[[#This Row],[CREDITOS]]-Base_Periodo1[[#This Row],[DEBITOS]]</f>
        <v>17100</v>
      </c>
      <c r="S1031" s="3" t="str">
        <f>IF(ISERROR(VLOOKUP(Base_Periodo1[[#This Row],[CONTA]],BaseContasDRE[#All],4,FALSE)),"Fora do DRE",VLOOKUP(Base_Periodo1[[#This Row],[CONTA]],BaseContasDRE[#All],4,FALSE))</f>
        <v>Fora do DRE</v>
      </c>
      <c r="T1031" s="3" t="str">
        <f>IF(ISERROR(VLOOKUP(Base_Periodo1[[#This Row],[CONTA]],BaseContasDRE[#All],5,FALSE)),"Fora do DRE",VLOOKUP(Base_Periodo1[[#This Row],[CONTA]],BaseContasDRE[#All],6,FALSE))</f>
        <v>Fora do DRE</v>
      </c>
      <c r="U1031" s="3" t="str">
        <f>IF(ISERROR(VLOOKUP(Base_Periodo1[[#This Row],[CONTA]],BaseContasDRE[#All],7,FALSE)),"Fora do DRE",VLOOKUP(Base_Periodo1[[#This Row],[CONTA]],BaseContasDRE[#All],7,FALSE))</f>
        <v>Fora do DRE</v>
      </c>
      <c r="V1031" s="3" t="str">
        <f>IF(Base_Periodo1[[#This Row],[Tipo_Linha]]="Fora do DRE","Fora do DRE","( "&amp;Base_Periodo1[[#This Row],[Tipo_Linha]]&amp;" ) "&amp;Base_Periodo1[[#This Row],[Filtro]])</f>
        <v>Fora do DRE</v>
      </c>
      <c r="W1031" s="3" t="str">
        <f>LEFT(Base_Periodo1[[#This Row],[CLASS]],3)</f>
        <v>1.1</v>
      </c>
    </row>
    <row r="1032" spans="1:23" hidden="1">
      <c r="A1032" s="3" t="str">
        <f t="shared" si="16"/>
        <v>Período 1</v>
      </c>
      <c r="B1032">
        <v>52189</v>
      </c>
      <c r="C1032" t="s">
        <v>922</v>
      </c>
      <c r="D1032" t="s">
        <v>4647</v>
      </c>
      <c r="E1032" s="3" t="str">
        <f>IF(LEN(Base_Periodo1[[#This Row],[CLASS]])&gt;=7,LEFT(Base_Periodo1[[#This Row],[CLASS]],7),"")</f>
        <v>1.1.2.2</v>
      </c>
      <c r="F1032" s="3" t="str">
        <f>VLOOKUP(Base_Periodo1[[#This Row],[Aux]],Base_Contas_Balanco[#All],2,FALSE)</f>
        <v>Creditos com não Cooperados</v>
      </c>
      <c r="G1032" s="1">
        <v>42748</v>
      </c>
      <c r="H1032" s="225">
        <v>500</v>
      </c>
      <c r="I1032" s="225">
        <v>0</v>
      </c>
      <c r="J1032" s="225">
        <v>0</v>
      </c>
      <c r="K1032" s="225">
        <v>500</v>
      </c>
      <c r="L10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032" s="225">
        <f>ROUND(IF(AND(Base_Periodo1[[#This Row],[Tipo_Linha]]="-",Base_Periodo1[[#This Row],[TIPOSALDO]]="D"),Base_Periodo1[[#This Row],[SALDO_ATUAL]]*-1,Base_Periodo1[[#This Row],[SALDO_ATUAL]]),4)</f>
        <v>500</v>
      </c>
      <c r="N1032" t="s">
        <v>116</v>
      </c>
      <c r="O1032" t="s">
        <v>397</v>
      </c>
      <c r="P1032" t="s">
        <v>397</v>
      </c>
      <c r="Q1032">
        <v>7</v>
      </c>
      <c r="R1032" s="225">
        <f>Base_Periodo1[[#This Row],[CREDITOS]]-Base_Periodo1[[#This Row],[DEBITOS]]</f>
        <v>0</v>
      </c>
      <c r="S1032" s="3" t="str">
        <f>IF(ISERROR(VLOOKUP(Base_Periodo1[[#This Row],[CONTA]],BaseContasDRE[#All],4,FALSE)),"Fora do DRE",VLOOKUP(Base_Periodo1[[#This Row],[CONTA]],BaseContasDRE[#All],4,FALSE))</f>
        <v>Fora do DRE</v>
      </c>
      <c r="T1032" s="3" t="str">
        <f>IF(ISERROR(VLOOKUP(Base_Periodo1[[#This Row],[CONTA]],BaseContasDRE[#All],5,FALSE)),"Fora do DRE",VLOOKUP(Base_Periodo1[[#This Row],[CONTA]],BaseContasDRE[#All],6,FALSE))</f>
        <v>Fora do DRE</v>
      </c>
      <c r="U1032" s="3" t="str">
        <f>IF(ISERROR(VLOOKUP(Base_Periodo1[[#This Row],[CONTA]],BaseContasDRE[#All],7,FALSE)),"Fora do DRE",VLOOKUP(Base_Periodo1[[#This Row],[CONTA]],BaseContasDRE[#All],7,FALSE))</f>
        <v>Fora do DRE</v>
      </c>
      <c r="V1032" s="3" t="str">
        <f>IF(Base_Periodo1[[#This Row],[Tipo_Linha]]="Fora do DRE","Fora do DRE","( "&amp;Base_Periodo1[[#This Row],[Tipo_Linha]]&amp;" ) "&amp;Base_Periodo1[[#This Row],[Filtro]])</f>
        <v>Fora do DRE</v>
      </c>
      <c r="W1032" s="3" t="str">
        <f>LEFT(Base_Periodo1[[#This Row],[CLASS]],3)</f>
        <v>1.1</v>
      </c>
    </row>
    <row r="1033" spans="1:23" hidden="1">
      <c r="A1033" s="3" t="str">
        <f t="shared" si="16"/>
        <v>Período 1</v>
      </c>
      <c r="B1033">
        <v>9600</v>
      </c>
      <c r="C1033" t="s">
        <v>922</v>
      </c>
      <c r="D1033" t="s">
        <v>5657</v>
      </c>
      <c r="E1033" s="3" t="str">
        <f>IF(LEN(Base_Periodo1[[#This Row],[CLASS]])&gt;=7,LEFT(Base_Periodo1[[#This Row],[CLASS]],7),"")</f>
        <v>1.1.2.2</v>
      </c>
      <c r="F1033" s="3" t="str">
        <f>VLOOKUP(Base_Periodo1[[#This Row],[Aux]],Base_Contas_Balanco[#All],2,FALSE)</f>
        <v>Creditos com não Cooperados</v>
      </c>
      <c r="G1033" s="1">
        <v>42857</v>
      </c>
      <c r="H1033" s="225">
        <v>51730.739999999991</v>
      </c>
      <c r="I1033" s="225">
        <v>2632</v>
      </c>
      <c r="J1033" s="225">
        <v>0</v>
      </c>
      <c r="K1033" s="225">
        <v>54362.739999999991</v>
      </c>
      <c r="L10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54362.74</v>
      </c>
      <c r="M1033" s="225">
        <f>ROUND(IF(AND(Base_Periodo1[[#This Row],[Tipo_Linha]]="-",Base_Periodo1[[#This Row],[TIPOSALDO]]="D"),Base_Periodo1[[#This Row],[SALDO_ATUAL]]*-1,Base_Periodo1[[#This Row],[SALDO_ATUAL]]),4)</f>
        <v>54362.74</v>
      </c>
      <c r="N1033" t="s">
        <v>116</v>
      </c>
      <c r="O1033" t="s">
        <v>397</v>
      </c>
      <c r="P1033" t="s">
        <v>397</v>
      </c>
      <c r="Q1033">
        <v>7</v>
      </c>
      <c r="R1033" s="225">
        <f>Base_Periodo1[[#This Row],[CREDITOS]]-Base_Periodo1[[#This Row],[DEBITOS]]</f>
        <v>-2632</v>
      </c>
      <c r="S1033" s="3" t="str">
        <f>IF(ISERROR(VLOOKUP(Base_Periodo1[[#This Row],[CONTA]],BaseContasDRE[#All],4,FALSE)),"Fora do DRE",VLOOKUP(Base_Periodo1[[#This Row],[CONTA]],BaseContasDRE[#All],4,FALSE))</f>
        <v>Fora do DRE</v>
      </c>
      <c r="T1033" s="3" t="str">
        <f>IF(ISERROR(VLOOKUP(Base_Periodo1[[#This Row],[CONTA]],BaseContasDRE[#All],5,FALSE)),"Fora do DRE",VLOOKUP(Base_Periodo1[[#This Row],[CONTA]],BaseContasDRE[#All],6,FALSE))</f>
        <v>Fora do DRE</v>
      </c>
      <c r="U1033" s="3" t="str">
        <f>IF(ISERROR(VLOOKUP(Base_Periodo1[[#This Row],[CONTA]],BaseContasDRE[#All],7,FALSE)),"Fora do DRE",VLOOKUP(Base_Periodo1[[#This Row],[CONTA]],BaseContasDRE[#All],7,FALSE))</f>
        <v>Fora do DRE</v>
      </c>
      <c r="V1033" s="3" t="str">
        <f>IF(Base_Periodo1[[#This Row],[Tipo_Linha]]="Fora do DRE","Fora do DRE","( "&amp;Base_Periodo1[[#This Row],[Tipo_Linha]]&amp;" ) "&amp;Base_Periodo1[[#This Row],[Filtro]])</f>
        <v>Fora do DRE</v>
      </c>
      <c r="W1033" s="3" t="str">
        <f>LEFT(Base_Periodo1[[#This Row],[CLASS]],3)</f>
        <v>1.1</v>
      </c>
    </row>
    <row r="1034" spans="1:23" hidden="1">
      <c r="A1034" s="3" t="str">
        <f t="shared" si="16"/>
        <v>Período 1</v>
      </c>
      <c r="B1034">
        <v>17651</v>
      </c>
      <c r="C1034" t="s">
        <v>922</v>
      </c>
      <c r="D1034" t="s">
        <v>963</v>
      </c>
      <c r="E1034" s="3" t="str">
        <f>IF(LEN(Base_Periodo1[[#This Row],[CLASS]])&gt;=7,LEFT(Base_Periodo1[[#This Row],[CLASS]],7),"")</f>
        <v>1.1.2.2</v>
      </c>
      <c r="F1034" s="3" t="str">
        <f>VLOOKUP(Base_Periodo1[[#This Row],[Aux]],Base_Contas_Balanco[#All],2,FALSE)</f>
        <v>Creditos com não Cooperados</v>
      </c>
      <c r="G1034" s="1">
        <v>42821</v>
      </c>
      <c r="H1034" s="225">
        <v>28839.949999999983</v>
      </c>
      <c r="I1034" s="225">
        <v>0</v>
      </c>
      <c r="J1034" s="225">
        <v>0</v>
      </c>
      <c r="K1034" s="225">
        <v>28839.949999999983</v>
      </c>
      <c r="L10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28839.95</v>
      </c>
      <c r="M1034" s="225">
        <f>ROUND(IF(AND(Base_Periodo1[[#This Row],[Tipo_Linha]]="-",Base_Periodo1[[#This Row],[TIPOSALDO]]="D"),Base_Periodo1[[#This Row],[SALDO_ATUAL]]*-1,Base_Periodo1[[#This Row],[SALDO_ATUAL]]),4)</f>
        <v>28839.95</v>
      </c>
      <c r="N1034" t="s">
        <v>116</v>
      </c>
      <c r="O1034" t="s">
        <v>397</v>
      </c>
      <c r="P1034" t="s">
        <v>397</v>
      </c>
      <c r="Q1034">
        <v>7</v>
      </c>
      <c r="R1034" s="225">
        <f>Base_Periodo1[[#This Row],[CREDITOS]]-Base_Periodo1[[#This Row],[DEBITOS]]</f>
        <v>0</v>
      </c>
      <c r="S1034" s="3" t="str">
        <f>IF(ISERROR(VLOOKUP(Base_Periodo1[[#This Row],[CONTA]],BaseContasDRE[#All],4,FALSE)),"Fora do DRE",VLOOKUP(Base_Periodo1[[#This Row],[CONTA]],BaseContasDRE[#All],4,FALSE))</f>
        <v>Fora do DRE</v>
      </c>
      <c r="T1034" s="3" t="str">
        <f>IF(ISERROR(VLOOKUP(Base_Periodo1[[#This Row],[CONTA]],BaseContasDRE[#All],5,FALSE)),"Fora do DRE",VLOOKUP(Base_Periodo1[[#This Row],[CONTA]],BaseContasDRE[#All],6,FALSE))</f>
        <v>Fora do DRE</v>
      </c>
      <c r="U1034" s="3" t="str">
        <f>IF(ISERROR(VLOOKUP(Base_Periodo1[[#This Row],[CONTA]],BaseContasDRE[#All],7,FALSE)),"Fora do DRE",VLOOKUP(Base_Periodo1[[#This Row],[CONTA]],BaseContasDRE[#All],7,FALSE))</f>
        <v>Fora do DRE</v>
      </c>
      <c r="V1034" s="3" t="str">
        <f>IF(Base_Periodo1[[#This Row],[Tipo_Linha]]="Fora do DRE","Fora do DRE","( "&amp;Base_Periodo1[[#This Row],[Tipo_Linha]]&amp;" ) "&amp;Base_Periodo1[[#This Row],[Filtro]])</f>
        <v>Fora do DRE</v>
      </c>
      <c r="W1034" s="3" t="str">
        <f>LEFT(Base_Periodo1[[#This Row],[CLASS]],3)</f>
        <v>1.1</v>
      </c>
    </row>
    <row r="1035" spans="1:23" hidden="1">
      <c r="A1035" s="3" t="str">
        <f t="shared" si="16"/>
        <v>Período 1</v>
      </c>
      <c r="B1035">
        <v>8572</v>
      </c>
      <c r="C1035" t="s">
        <v>922</v>
      </c>
      <c r="D1035" t="s">
        <v>5496</v>
      </c>
      <c r="E1035" s="3" t="str">
        <f>IF(LEN(Base_Periodo1[[#This Row],[CLASS]])&gt;=7,LEFT(Base_Periodo1[[#This Row],[CLASS]],7),"")</f>
        <v>1.1.2.2</v>
      </c>
      <c r="F1035" s="3" t="str">
        <f>VLOOKUP(Base_Periodo1[[#This Row],[Aux]],Base_Contas_Balanco[#All],2,FALSE)</f>
        <v>Creditos com não Cooperados</v>
      </c>
      <c r="G1035" s="1">
        <v>42867</v>
      </c>
      <c r="H1035" s="225">
        <v>45919</v>
      </c>
      <c r="I1035" s="225">
        <v>0</v>
      </c>
      <c r="J1035" s="225">
        <v>1954</v>
      </c>
      <c r="K1035" s="225">
        <v>43965</v>
      </c>
      <c r="L10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43965</v>
      </c>
      <c r="M1035" s="225">
        <f>ROUND(IF(AND(Base_Periodo1[[#This Row],[Tipo_Linha]]="-",Base_Periodo1[[#This Row],[TIPOSALDO]]="D"),Base_Periodo1[[#This Row],[SALDO_ATUAL]]*-1,Base_Periodo1[[#This Row],[SALDO_ATUAL]]),4)</f>
        <v>43965</v>
      </c>
      <c r="N1035" t="s">
        <v>116</v>
      </c>
      <c r="O1035" t="s">
        <v>397</v>
      </c>
      <c r="P1035" t="s">
        <v>397</v>
      </c>
      <c r="Q1035">
        <v>7</v>
      </c>
      <c r="R1035" s="225">
        <f>Base_Periodo1[[#This Row],[CREDITOS]]-Base_Periodo1[[#This Row],[DEBITOS]]</f>
        <v>1954</v>
      </c>
      <c r="S1035" s="3" t="str">
        <f>IF(ISERROR(VLOOKUP(Base_Periodo1[[#This Row],[CONTA]],BaseContasDRE[#All],4,FALSE)),"Fora do DRE",VLOOKUP(Base_Periodo1[[#This Row],[CONTA]],BaseContasDRE[#All],4,FALSE))</f>
        <v>Fora do DRE</v>
      </c>
      <c r="T1035" s="3" t="str">
        <f>IF(ISERROR(VLOOKUP(Base_Periodo1[[#This Row],[CONTA]],BaseContasDRE[#All],5,FALSE)),"Fora do DRE",VLOOKUP(Base_Periodo1[[#This Row],[CONTA]],BaseContasDRE[#All],6,FALSE))</f>
        <v>Fora do DRE</v>
      </c>
      <c r="U1035" s="3" t="str">
        <f>IF(ISERROR(VLOOKUP(Base_Periodo1[[#This Row],[CONTA]],BaseContasDRE[#All],7,FALSE)),"Fora do DRE",VLOOKUP(Base_Periodo1[[#This Row],[CONTA]],BaseContasDRE[#All],7,FALSE))</f>
        <v>Fora do DRE</v>
      </c>
      <c r="V1035" s="3" t="str">
        <f>IF(Base_Periodo1[[#This Row],[Tipo_Linha]]="Fora do DRE","Fora do DRE","( "&amp;Base_Periodo1[[#This Row],[Tipo_Linha]]&amp;" ) "&amp;Base_Periodo1[[#This Row],[Filtro]])</f>
        <v>Fora do DRE</v>
      </c>
      <c r="W1035" s="3" t="str">
        <f>LEFT(Base_Periodo1[[#This Row],[CLASS]],3)</f>
        <v>1.1</v>
      </c>
    </row>
    <row r="1036" spans="1:23" hidden="1">
      <c r="A1036" s="3" t="str">
        <f t="shared" si="16"/>
        <v>Período 1</v>
      </c>
      <c r="B1036">
        <v>13504</v>
      </c>
      <c r="C1036" t="s">
        <v>922</v>
      </c>
      <c r="D1036" t="s">
        <v>964</v>
      </c>
      <c r="E1036" s="3" t="str">
        <f>IF(LEN(Base_Periodo1[[#This Row],[CLASS]])&gt;=7,LEFT(Base_Periodo1[[#This Row],[CLASS]],7),"")</f>
        <v>1.1.2.2</v>
      </c>
      <c r="F1036" s="3" t="str">
        <f>VLOOKUP(Base_Periodo1[[#This Row],[Aux]],Base_Contas_Balanco[#All],2,FALSE)</f>
        <v>Creditos com não Cooperados</v>
      </c>
      <c r="G1036" s="1">
        <v>42466</v>
      </c>
      <c r="H1036" s="225">
        <v>1.279999999969732</v>
      </c>
      <c r="I1036" s="225">
        <v>0</v>
      </c>
      <c r="J1036" s="225">
        <v>0</v>
      </c>
      <c r="K1036" s="225">
        <v>1.279999999969732</v>
      </c>
      <c r="L10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1.28</v>
      </c>
      <c r="M1036" s="225">
        <f>ROUND(IF(AND(Base_Periodo1[[#This Row],[Tipo_Linha]]="-",Base_Periodo1[[#This Row],[TIPOSALDO]]="D"),Base_Periodo1[[#This Row],[SALDO_ATUAL]]*-1,Base_Periodo1[[#This Row],[SALDO_ATUAL]]),4)</f>
        <v>1.28</v>
      </c>
      <c r="N1036" t="s">
        <v>116</v>
      </c>
      <c r="O1036" t="s">
        <v>397</v>
      </c>
      <c r="P1036" t="s">
        <v>397</v>
      </c>
      <c r="Q1036">
        <v>7</v>
      </c>
      <c r="R1036" s="225">
        <f>Base_Periodo1[[#This Row],[CREDITOS]]-Base_Periodo1[[#This Row],[DEBITOS]]</f>
        <v>0</v>
      </c>
      <c r="S1036" s="3" t="str">
        <f>IF(ISERROR(VLOOKUP(Base_Periodo1[[#This Row],[CONTA]],BaseContasDRE[#All],4,FALSE)),"Fora do DRE",VLOOKUP(Base_Periodo1[[#This Row],[CONTA]],BaseContasDRE[#All],4,FALSE))</f>
        <v>Fora do DRE</v>
      </c>
      <c r="T1036" s="3" t="str">
        <f>IF(ISERROR(VLOOKUP(Base_Periodo1[[#This Row],[CONTA]],BaseContasDRE[#All],5,FALSE)),"Fora do DRE",VLOOKUP(Base_Periodo1[[#This Row],[CONTA]],BaseContasDRE[#All],6,FALSE))</f>
        <v>Fora do DRE</v>
      </c>
      <c r="U1036" s="3" t="str">
        <f>IF(ISERROR(VLOOKUP(Base_Periodo1[[#This Row],[CONTA]],BaseContasDRE[#All],7,FALSE)),"Fora do DRE",VLOOKUP(Base_Periodo1[[#This Row],[CONTA]],BaseContasDRE[#All],7,FALSE))</f>
        <v>Fora do DRE</v>
      </c>
      <c r="V1036" s="3" t="str">
        <f>IF(Base_Periodo1[[#This Row],[Tipo_Linha]]="Fora do DRE","Fora do DRE","( "&amp;Base_Periodo1[[#This Row],[Tipo_Linha]]&amp;" ) "&amp;Base_Periodo1[[#This Row],[Filtro]])</f>
        <v>Fora do DRE</v>
      </c>
      <c r="W1036" s="3" t="str">
        <f>LEFT(Base_Periodo1[[#This Row],[CLASS]],3)</f>
        <v>1.1</v>
      </c>
    </row>
    <row r="1037" spans="1:23" hidden="1">
      <c r="A1037" s="3" t="str">
        <f t="shared" si="16"/>
        <v>Período 1</v>
      </c>
      <c r="B1037">
        <v>51062</v>
      </c>
      <c r="C1037" t="s">
        <v>922</v>
      </c>
      <c r="D1037" t="s">
        <v>5867</v>
      </c>
      <c r="E1037" s="3" t="str">
        <f>IF(LEN(Base_Periodo1[[#This Row],[CLASS]])&gt;=7,LEFT(Base_Periodo1[[#This Row],[CLASS]],7),"")</f>
        <v>1.1.2.2</v>
      </c>
      <c r="F1037" s="3" t="str">
        <f>VLOOKUP(Base_Periodo1[[#This Row],[Aux]],Base_Contas_Balanco[#All],2,FALSE)</f>
        <v>Creditos com não Cooperados</v>
      </c>
      <c r="G1037" s="1">
        <v>42845</v>
      </c>
      <c r="H1037" s="225">
        <v>540.70999999999913</v>
      </c>
      <c r="I1037" s="225">
        <v>0</v>
      </c>
      <c r="J1037" s="225">
        <v>0</v>
      </c>
      <c r="K1037" s="225">
        <v>540.70999999999913</v>
      </c>
      <c r="L10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540.71</v>
      </c>
      <c r="M1037" s="225">
        <f>ROUND(IF(AND(Base_Periodo1[[#This Row],[Tipo_Linha]]="-",Base_Periodo1[[#This Row],[TIPOSALDO]]="D"),Base_Periodo1[[#This Row],[SALDO_ATUAL]]*-1,Base_Periodo1[[#This Row],[SALDO_ATUAL]]),4)</f>
        <v>540.71</v>
      </c>
      <c r="N1037" t="s">
        <v>116</v>
      </c>
      <c r="O1037" t="s">
        <v>397</v>
      </c>
      <c r="P1037" t="s">
        <v>397</v>
      </c>
      <c r="Q1037">
        <v>7</v>
      </c>
      <c r="R1037" s="225">
        <f>Base_Periodo1[[#This Row],[CREDITOS]]-Base_Periodo1[[#This Row],[DEBITOS]]</f>
        <v>0</v>
      </c>
      <c r="S1037" s="3" t="str">
        <f>IF(ISERROR(VLOOKUP(Base_Periodo1[[#This Row],[CONTA]],BaseContasDRE[#All],4,FALSE)),"Fora do DRE",VLOOKUP(Base_Periodo1[[#This Row],[CONTA]],BaseContasDRE[#All],4,FALSE))</f>
        <v>Fora do DRE</v>
      </c>
      <c r="T1037" s="3" t="str">
        <f>IF(ISERROR(VLOOKUP(Base_Periodo1[[#This Row],[CONTA]],BaseContasDRE[#All],5,FALSE)),"Fora do DRE",VLOOKUP(Base_Periodo1[[#This Row],[CONTA]],BaseContasDRE[#All],6,FALSE))</f>
        <v>Fora do DRE</v>
      </c>
      <c r="U1037" s="3" t="str">
        <f>IF(ISERROR(VLOOKUP(Base_Periodo1[[#This Row],[CONTA]],BaseContasDRE[#All],7,FALSE)),"Fora do DRE",VLOOKUP(Base_Periodo1[[#This Row],[CONTA]],BaseContasDRE[#All],7,FALSE))</f>
        <v>Fora do DRE</v>
      </c>
      <c r="V1037" s="3" t="str">
        <f>IF(Base_Periodo1[[#This Row],[Tipo_Linha]]="Fora do DRE","Fora do DRE","( "&amp;Base_Periodo1[[#This Row],[Tipo_Linha]]&amp;" ) "&amp;Base_Periodo1[[#This Row],[Filtro]])</f>
        <v>Fora do DRE</v>
      </c>
      <c r="W1037" s="3" t="str">
        <f>LEFT(Base_Periodo1[[#This Row],[CLASS]],3)</f>
        <v>1.1</v>
      </c>
    </row>
    <row r="1038" spans="1:23" hidden="1">
      <c r="A1038" s="3" t="str">
        <f t="shared" si="16"/>
        <v>Período 1</v>
      </c>
      <c r="B1038">
        <v>19001</v>
      </c>
      <c r="C1038" t="s">
        <v>922</v>
      </c>
      <c r="D1038" t="s">
        <v>6493</v>
      </c>
      <c r="E1038" s="3" t="str">
        <f>IF(LEN(Base_Periodo1[[#This Row],[CLASS]])&gt;=7,LEFT(Base_Periodo1[[#This Row],[CLASS]],7),"")</f>
        <v>1.1.2.2</v>
      </c>
      <c r="F1038" s="3" t="str">
        <f>VLOOKUP(Base_Periodo1[[#This Row],[Aux]],Base_Contas_Balanco[#All],2,FALSE)</f>
        <v>Creditos com não Cooperados</v>
      </c>
      <c r="G1038" s="1">
        <v>42873</v>
      </c>
      <c r="H1038" s="225">
        <v>82198.94</v>
      </c>
      <c r="I1038" s="225">
        <v>0</v>
      </c>
      <c r="J1038" s="225">
        <v>82198.94</v>
      </c>
      <c r="K1038" s="225">
        <v>0</v>
      </c>
      <c r="L10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38" s="225">
        <f>ROUND(IF(AND(Base_Periodo1[[#This Row],[Tipo_Linha]]="-",Base_Periodo1[[#This Row],[TIPOSALDO]]="D"),Base_Periodo1[[#This Row],[SALDO_ATUAL]]*-1,Base_Periodo1[[#This Row],[SALDO_ATUAL]]),4)</f>
        <v>0</v>
      </c>
      <c r="N1038" t="s">
        <v>116</v>
      </c>
      <c r="O1038" t="s">
        <v>397</v>
      </c>
      <c r="P1038" t="s">
        <v>436</v>
      </c>
      <c r="Q1038">
        <v>7</v>
      </c>
      <c r="R1038" s="225">
        <f>Base_Periodo1[[#This Row],[CREDITOS]]-Base_Periodo1[[#This Row],[DEBITOS]]</f>
        <v>82198.94</v>
      </c>
      <c r="S1038" s="3" t="str">
        <f>IF(ISERROR(VLOOKUP(Base_Periodo1[[#This Row],[CONTA]],BaseContasDRE[#All],4,FALSE)),"Fora do DRE",VLOOKUP(Base_Periodo1[[#This Row],[CONTA]],BaseContasDRE[#All],4,FALSE))</f>
        <v>Fora do DRE</v>
      </c>
      <c r="T1038" s="3" t="str">
        <f>IF(ISERROR(VLOOKUP(Base_Periodo1[[#This Row],[CONTA]],BaseContasDRE[#All],5,FALSE)),"Fora do DRE",VLOOKUP(Base_Periodo1[[#This Row],[CONTA]],BaseContasDRE[#All],6,FALSE))</f>
        <v>Fora do DRE</v>
      </c>
      <c r="U1038" s="3" t="str">
        <f>IF(ISERROR(VLOOKUP(Base_Periodo1[[#This Row],[CONTA]],BaseContasDRE[#All],7,FALSE)),"Fora do DRE",VLOOKUP(Base_Periodo1[[#This Row],[CONTA]],BaseContasDRE[#All],7,FALSE))</f>
        <v>Fora do DRE</v>
      </c>
      <c r="V1038" s="3" t="str">
        <f>IF(Base_Periodo1[[#This Row],[Tipo_Linha]]="Fora do DRE","Fora do DRE","( "&amp;Base_Periodo1[[#This Row],[Tipo_Linha]]&amp;" ) "&amp;Base_Periodo1[[#This Row],[Filtro]])</f>
        <v>Fora do DRE</v>
      </c>
      <c r="W1038" s="3" t="str">
        <f>LEFT(Base_Periodo1[[#This Row],[CLASS]],3)</f>
        <v>1.1</v>
      </c>
    </row>
    <row r="1039" spans="1:23" hidden="1">
      <c r="A1039" s="3" t="str">
        <f t="shared" si="16"/>
        <v>Período 1</v>
      </c>
      <c r="B1039">
        <v>49814</v>
      </c>
      <c r="C1039" t="s">
        <v>922</v>
      </c>
      <c r="D1039" t="s">
        <v>5658</v>
      </c>
      <c r="E1039" s="3" t="str">
        <f>IF(LEN(Base_Periodo1[[#This Row],[CLASS]])&gt;=7,LEFT(Base_Periodo1[[#This Row],[CLASS]],7),"")</f>
        <v>1.1.2.2</v>
      </c>
      <c r="F1039" s="3" t="str">
        <f>VLOOKUP(Base_Periodo1[[#This Row],[Aux]],Base_Contas_Balanco[#All],2,FALSE)</f>
        <v>Creditos com não Cooperados</v>
      </c>
      <c r="G1039" s="1">
        <v>42748</v>
      </c>
      <c r="H1039" s="225">
        <v>10000</v>
      </c>
      <c r="I1039" s="225">
        <v>0</v>
      </c>
      <c r="J1039" s="225">
        <v>0</v>
      </c>
      <c r="K1039" s="225">
        <v>10000</v>
      </c>
      <c r="L10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10000</v>
      </c>
      <c r="M1039" s="225">
        <f>ROUND(IF(AND(Base_Periodo1[[#This Row],[Tipo_Linha]]="-",Base_Periodo1[[#This Row],[TIPOSALDO]]="D"),Base_Periodo1[[#This Row],[SALDO_ATUAL]]*-1,Base_Periodo1[[#This Row],[SALDO_ATUAL]]),4)</f>
        <v>10000</v>
      </c>
      <c r="N1039" t="s">
        <v>116</v>
      </c>
      <c r="O1039" t="s">
        <v>397</v>
      </c>
      <c r="P1039" t="s">
        <v>397</v>
      </c>
      <c r="Q1039">
        <v>7</v>
      </c>
      <c r="R1039" s="225">
        <f>Base_Periodo1[[#This Row],[CREDITOS]]-Base_Periodo1[[#This Row],[DEBITOS]]</f>
        <v>0</v>
      </c>
      <c r="S1039" s="3" t="str">
        <f>IF(ISERROR(VLOOKUP(Base_Periodo1[[#This Row],[CONTA]],BaseContasDRE[#All],4,FALSE)),"Fora do DRE",VLOOKUP(Base_Periodo1[[#This Row],[CONTA]],BaseContasDRE[#All],4,FALSE))</f>
        <v>Fora do DRE</v>
      </c>
      <c r="T1039" s="3" t="str">
        <f>IF(ISERROR(VLOOKUP(Base_Periodo1[[#This Row],[CONTA]],BaseContasDRE[#All],5,FALSE)),"Fora do DRE",VLOOKUP(Base_Periodo1[[#This Row],[CONTA]],BaseContasDRE[#All],6,FALSE))</f>
        <v>Fora do DRE</v>
      </c>
      <c r="U1039" s="3" t="str">
        <f>IF(ISERROR(VLOOKUP(Base_Periodo1[[#This Row],[CONTA]],BaseContasDRE[#All],7,FALSE)),"Fora do DRE",VLOOKUP(Base_Periodo1[[#This Row],[CONTA]],BaseContasDRE[#All],7,FALSE))</f>
        <v>Fora do DRE</v>
      </c>
      <c r="V1039" s="3" t="str">
        <f>IF(Base_Periodo1[[#This Row],[Tipo_Linha]]="Fora do DRE","Fora do DRE","( "&amp;Base_Periodo1[[#This Row],[Tipo_Linha]]&amp;" ) "&amp;Base_Periodo1[[#This Row],[Filtro]])</f>
        <v>Fora do DRE</v>
      </c>
      <c r="W1039" s="3" t="str">
        <f>LEFT(Base_Periodo1[[#This Row],[CLASS]],3)</f>
        <v>1.1</v>
      </c>
    </row>
    <row r="1040" spans="1:23" hidden="1">
      <c r="A1040" s="3" t="str">
        <f t="shared" si="16"/>
        <v>Período 1</v>
      </c>
      <c r="B1040">
        <v>24411</v>
      </c>
      <c r="C1040" t="s">
        <v>922</v>
      </c>
      <c r="D1040" t="s">
        <v>5497</v>
      </c>
      <c r="E1040" s="3" t="str">
        <f>IF(LEN(Base_Periodo1[[#This Row],[CLASS]])&gt;=7,LEFT(Base_Periodo1[[#This Row],[CLASS]],7),"")</f>
        <v>1.1.2.2</v>
      </c>
      <c r="F1040" s="3" t="str">
        <f>VLOOKUP(Base_Periodo1[[#This Row],[Aux]],Base_Contas_Balanco[#All],2,FALSE)</f>
        <v>Creditos com não Cooperados</v>
      </c>
      <c r="G1040" s="1">
        <v>42863</v>
      </c>
      <c r="H1040" s="225">
        <v>11800</v>
      </c>
      <c r="I1040" s="225">
        <v>0</v>
      </c>
      <c r="J1040" s="225">
        <v>11800</v>
      </c>
      <c r="K1040" s="225">
        <v>0</v>
      </c>
      <c r="L10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40" s="225">
        <f>ROUND(IF(AND(Base_Periodo1[[#This Row],[Tipo_Linha]]="-",Base_Periodo1[[#This Row],[TIPOSALDO]]="D"),Base_Periodo1[[#This Row],[SALDO_ATUAL]]*-1,Base_Periodo1[[#This Row],[SALDO_ATUAL]]),4)</f>
        <v>0</v>
      </c>
      <c r="N1040" t="s">
        <v>116</v>
      </c>
      <c r="O1040" t="s">
        <v>397</v>
      </c>
      <c r="P1040" t="s">
        <v>436</v>
      </c>
      <c r="Q1040">
        <v>7</v>
      </c>
      <c r="R1040" s="225">
        <f>Base_Periodo1[[#This Row],[CREDITOS]]-Base_Periodo1[[#This Row],[DEBITOS]]</f>
        <v>11800</v>
      </c>
      <c r="S1040" s="3" t="str">
        <f>IF(ISERROR(VLOOKUP(Base_Periodo1[[#This Row],[CONTA]],BaseContasDRE[#All],4,FALSE)),"Fora do DRE",VLOOKUP(Base_Periodo1[[#This Row],[CONTA]],BaseContasDRE[#All],4,FALSE))</f>
        <v>Fora do DRE</v>
      </c>
      <c r="T1040" s="3" t="str">
        <f>IF(ISERROR(VLOOKUP(Base_Periodo1[[#This Row],[CONTA]],BaseContasDRE[#All],5,FALSE)),"Fora do DRE",VLOOKUP(Base_Periodo1[[#This Row],[CONTA]],BaseContasDRE[#All],6,FALSE))</f>
        <v>Fora do DRE</v>
      </c>
      <c r="U1040" s="3" t="str">
        <f>IF(ISERROR(VLOOKUP(Base_Periodo1[[#This Row],[CONTA]],BaseContasDRE[#All],7,FALSE)),"Fora do DRE",VLOOKUP(Base_Periodo1[[#This Row],[CONTA]],BaseContasDRE[#All],7,FALSE))</f>
        <v>Fora do DRE</v>
      </c>
      <c r="V1040" s="3" t="str">
        <f>IF(Base_Periodo1[[#This Row],[Tipo_Linha]]="Fora do DRE","Fora do DRE","( "&amp;Base_Periodo1[[#This Row],[Tipo_Linha]]&amp;" ) "&amp;Base_Periodo1[[#This Row],[Filtro]])</f>
        <v>Fora do DRE</v>
      </c>
      <c r="W1040" s="3" t="str">
        <f>LEFT(Base_Periodo1[[#This Row],[CLASS]],3)</f>
        <v>1.1</v>
      </c>
    </row>
    <row r="1041" spans="1:23" hidden="1">
      <c r="A1041" s="3" t="str">
        <f t="shared" si="16"/>
        <v>Período 1</v>
      </c>
      <c r="B1041">
        <v>15278</v>
      </c>
      <c r="C1041" t="s">
        <v>922</v>
      </c>
      <c r="D1041" t="s">
        <v>5868</v>
      </c>
      <c r="E1041" s="3" t="str">
        <f>IF(LEN(Base_Periodo1[[#This Row],[CLASS]])&gt;=7,LEFT(Base_Periodo1[[#This Row],[CLASS]],7),"")</f>
        <v>1.1.2.2</v>
      </c>
      <c r="F1041" s="3" t="str">
        <f>VLOOKUP(Base_Periodo1[[#This Row],[Aux]],Base_Contas_Balanco[#All],2,FALSE)</f>
        <v>Creditos com não Cooperados</v>
      </c>
      <c r="G1041" s="1">
        <v>42885</v>
      </c>
      <c r="H1041" s="225">
        <v>143207.65999998897</v>
      </c>
      <c r="I1041" s="225">
        <v>873459.01</v>
      </c>
      <c r="J1041" s="225">
        <v>1016666.6699999997</v>
      </c>
      <c r="K1041" s="225">
        <v>-1.0710209608078003E-8</v>
      </c>
      <c r="L10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41" s="225">
        <f>ROUND(IF(AND(Base_Periodo1[[#This Row],[Tipo_Linha]]="-",Base_Periodo1[[#This Row],[TIPOSALDO]]="D"),Base_Periodo1[[#This Row],[SALDO_ATUAL]]*-1,Base_Periodo1[[#This Row],[SALDO_ATUAL]]),4)</f>
        <v>0</v>
      </c>
      <c r="N1041" t="s">
        <v>116</v>
      </c>
      <c r="O1041" t="s">
        <v>397</v>
      </c>
      <c r="P1041" t="s">
        <v>436</v>
      </c>
      <c r="Q1041">
        <v>7</v>
      </c>
      <c r="R1041" s="225">
        <f>Base_Periodo1[[#This Row],[CREDITOS]]-Base_Periodo1[[#This Row],[DEBITOS]]</f>
        <v>143207.65999999968</v>
      </c>
      <c r="S1041" s="3" t="str">
        <f>IF(ISERROR(VLOOKUP(Base_Periodo1[[#This Row],[CONTA]],BaseContasDRE[#All],4,FALSE)),"Fora do DRE",VLOOKUP(Base_Periodo1[[#This Row],[CONTA]],BaseContasDRE[#All],4,FALSE))</f>
        <v>Fora do DRE</v>
      </c>
      <c r="T1041" s="3" t="str">
        <f>IF(ISERROR(VLOOKUP(Base_Periodo1[[#This Row],[CONTA]],BaseContasDRE[#All],5,FALSE)),"Fora do DRE",VLOOKUP(Base_Periodo1[[#This Row],[CONTA]],BaseContasDRE[#All],6,FALSE))</f>
        <v>Fora do DRE</v>
      </c>
      <c r="U1041" s="3" t="str">
        <f>IF(ISERROR(VLOOKUP(Base_Periodo1[[#This Row],[CONTA]],BaseContasDRE[#All],7,FALSE)),"Fora do DRE",VLOOKUP(Base_Periodo1[[#This Row],[CONTA]],BaseContasDRE[#All],7,FALSE))</f>
        <v>Fora do DRE</v>
      </c>
      <c r="V1041" s="3" t="str">
        <f>IF(Base_Periodo1[[#This Row],[Tipo_Linha]]="Fora do DRE","Fora do DRE","( "&amp;Base_Periodo1[[#This Row],[Tipo_Linha]]&amp;" ) "&amp;Base_Periodo1[[#This Row],[Filtro]])</f>
        <v>Fora do DRE</v>
      </c>
      <c r="W1041" s="3" t="str">
        <f>LEFT(Base_Periodo1[[#This Row],[CLASS]],3)</f>
        <v>1.1</v>
      </c>
    </row>
    <row r="1042" spans="1:23" hidden="1">
      <c r="A1042" s="3" t="str">
        <f t="shared" si="16"/>
        <v>Período 1</v>
      </c>
      <c r="B1042">
        <v>36338</v>
      </c>
      <c r="C1042" t="s">
        <v>922</v>
      </c>
      <c r="D1042" t="s">
        <v>5659</v>
      </c>
      <c r="E1042" s="3" t="str">
        <f>IF(LEN(Base_Periodo1[[#This Row],[CLASS]])&gt;=7,LEFT(Base_Periodo1[[#This Row],[CLASS]],7),"")</f>
        <v>1.1.2.2</v>
      </c>
      <c r="F1042" s="3" t="str">
        <f>VLOOKUP(Base_Periodo1[[#This Row],[Aux]],Base_Contas_Balanco[#All],2,FALSE)</f>
        <v>Creditos com não Cooperados</v>
      </c>
      <c r="G1042" s="1">
        <v>42881</v>
      </c>
      <c r="H1042" s="225">
        <v>146062</v>
      </c>
      <c r="I1042" s="225">
        <v>6896.5</v>
      </c>
      <c r="J1042" s="225">
        <v>125320.50000000004</v>
      </c>
      <c r="K1042" s="225">
        <v>27637.999999999956</v>
      </c>
      <c r="L10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27638</v>
      </c>
      <c r="M1042" s="225">
        <f>ROUND(IF(AND(Base_Periodo1[[#This Row],[Tipo_Linha]]="-",Base_Periodo1[[#This Row],[TIPOSALDO]]="D"),Base_Periodo1[[#This Row],[SALDO_ATUAL]]*-1,Base_Periodo1[[#This Row],[SALDO_ATUAL]]),4)</f>
        <v>27638</v>
      </c>
      <c r="N1042" t="s">
        <v>116</v>
      </c>
      <c r="O1042" t="s">
        <v>397</v>
      </c>
      <c r="P1042" t="s">
        <v>397</v>
      </c>
      <c r="Q1042">
        <v>7</v>
      </c>
      <c r="R1042" s="225">
        <f>Base_Periodo1[[#This Row],[CREDITOS]]-Base_Periodo1[[#This Row],[DEBITOS]]</f>
        <v>118424.00000000004</v>
      </c>
      <c r="S1042" s="3" t="str">
        <f>IF(ISERROR(VLOOKUP(Base_Periodo1[[#This Row],[CONTA]],BaseContasDRE[#All],4,FALSE)),"Fora do DRE",VLOOKUP(Base_Periodo1[[#This Row],[CONTA]],BaseContasDRE[#All],4,FALSE))</f>
        <v>Fora do DRE</v>
      </c>
      <c r="T1042" s="3" t="str">
        <f>IF(ISERROR(VLOOKUP(Base_Periodo1[[#This Row],[CONTA]],BaseContasDRE[#All],5,FALSE)),"Fora do DRE",VLOOKUP(Base_Periodo1[[#This Row],[CONTA]],BaseContasDRE[#All],6,FALSE))</f>
        <v>Fora do DRE</v>
      </c>
      <c r="U1042" s="3" t="str">
        <f>IF(ISERROR(VLOOKUP(Base_Periodo1[[#This Row],[CONTA]],BaseContasDRE[#All],7,FALSE)),"Fora do DRE",VLOOKUP(Base_Periodo1[[#This Row],[CONTA]],BaseContasDRE[#All],7,FALSE))</f>
        <v>Fora do DRE</v>
      </c>
      <c r="V1042" s="3" t="str">
        <f>IF(Base_Periodo1[[#This Row],[Tipo_Linha]]="Fora do DRE","Fora do DRE","( "&amp;Base_Periodo1[[#This Row],[Tipo_Linha]]&amp;" ) "&amp;Base_Periodo1[[#This Row],[Filtro]])</f>
        <v>Fora do DRE</v>
      </c>
      <c r="W1042" s="3" t="str">
        <f>LEFT(Base_Periodo1[[#This Row],[CLASS]],3)</f>
        <v>1.1</v>
      </c>
    </row>
    <row r="1043" spans="1:23" hidden="1">
      <c r="A1043" s="3" t="str">
        <f t="shared" si="16"/>
        <v>Período 1</v>
      </c>
      <c r="B1043">
        <v>50966</v>
      </c>
      <c r="C1043" t="s">
        <v>922</v>
      </c>
      <c r="D1043" t="s">
        <v>6774</v>
      </c>
      <c r="E1043" s="3" t="str">
        <f>IF(LEN(Base_Periodo1[[#This Row],[CLASS]])&gt;=7,LEFT(Base_Periodo1[[#This Row],[CLASS]],7),"")</f>
        <v>1.1.2.2</v>
      </c>
      <c r="F1043" s="3" t="str">
        <f>VLOOKUP(Base_Periodo1[[#This Row],[Aux]],Base_Contas_Balanco[#All],2,FALSE)</f>
        <v>Creditos com não Cooperados</v>
      </c>
      <c r="G1043" s="1">
        <v>42859</v>
      </c>
      <c r="I1043" s="225">
        <v>100</v>
      </c>
      <c r="J1043" s="225">
        <v>100</v>
      </c>
      <c r="K1043" s="225">
        <v>0</v>
      </c>
      <c r="L10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43" s="225">
        <f>ROUND(IF(AND(Base_Periodo1[[#This Row],[Tipo_Linha]]="-",Base_Periodo1[[#This Row],[TIPOSALDO]]="D"),Base_Periodo1[[#This Row],[SALDO_ATUAL]]*-1,Base_Periodo1[[#This Row],[SALDO_ATUAL]]),4)</f>
        <v>0</v>
      </c>
      <c r="N1043" t="s">
        <v>116</v>
      </c>
      <c r="O1043" t="s">
        <v>436</v>
      </c>
      <c r="P1043" t="s">
        <v>436</v>
      </c>
      <c r="Q1043">
        <v>7</v>
      </c>
      <c r="R1043" s="225">
        <f>Base_Periodo1[[#This Row],[CREDITOS]]-Base_Periodo1[[#This Row],[DEBITOS]]</f>
        <v>0</v>
      </c>
      <c r="S1043" s="3" t="str">
        <f>IF(ISERROR(VLOOKUP(Base_Periodo1[[#This Row],[CONTA]],BaseContasDRE[#All],4,FALSE)),"Fora do DRE",VLOOKUP(Base_Periodo1[[#This Row],[CONTA]],BaseContasDRE[#All],4,FALSE))</f>
        <v>Fora do DRE</v>
      </c>
      <c r="T1043" s="3" t="str">
        <f>IF(ISERROR(VLOOKUP(Base_Periodo1[[#This Row],[CONTA]],BaseContasDRE[#All],5,FALSE)),"Fora do DRE",VLOOKUP(Base_Periodo1[[#This Row],[CONTA]],BaseContasDRE[#All],6,FALSE))</f>
        <v>Fora do DRE</v>
      </c>
      <c r="U1043" s="3" t="str">
        <f>IF(ISERROR(VLOOKUP(Base_Periodo1[[#This Row],[CONTA]],BaseContasDRE[#All],7,FALSE)),"Fora do DRE",VLOOKUP(Base_Periodo1[[#This Row],[CONTA]],BaseContasDRE[#All],7,FALSE))</f>
        <v>Fora do DRE</v>
      </c>
      <c r="V1043" s="3" t="str">
        <f>IF(Base_Periodo1[[#This Row],[Tipo_Linha]]="Fora do DRE","Fora do DRE","( "&amp;Base_Periodo1[[#This Row],[Tipo_Linha]]&amp;" ) "&amp;Base_Periodo1[[#This Row],[Filtro]])</f>
        <v>Fora do DRE</v>
      </c>
      <c r="W1043" s="3" t="str">
        <f>LEFT(Base_Periodo1[[#This Row],[CLASS]],3)</f>
        <v>1.1</v>
      </c>
    </row>
    <row r="1044" spans="1:23" hidden="1">
      <c r="A1044" s="3" t="str">
        <f t="shared" si="16"/>
        <v>Período 1</v>
      </c>
      <c r="B1044">
        <v>25988</v>
      </c>
      <c r="C1044" t="s">
        <v>922</v>
      </c>
      <c r="D1044" t="s">
        <v>5297</v>
      </c>
      <c r="E1044" s="3" t="str">
        <f>IF(LEN(Base_Periodo1[[#This Row],[CLASS]])&gt;=7,LEFT(Base_Periodo1[[#This Row],[CLASS]],7),"")</f>
        <v>1.1.2.2</v>
      </c>
      <c r="F1044" s="3" t="str">
        <f>VLOOKUP(Base_Periodo1[[#This Row],[Aux]],Base_Contas_Balanco[#All],2,FALSE)</f>
        <v>Creditos com não Cooperados</v>
      </c>
      <c r="G1044" s="1">
        <v>42854</v>
      </c>
      <c r="H1044" s="225">
        <v>1610</v>
      </c>
      <c r="I1044" s="225">
        <v>0</v>
      </c>
      <c r="J1044" s="225">
        <v>0</v>
      </c>
      <c r="K1044" s="225">
        <v>1610</v>
      </c>
      <c r="L10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1610</v>
      </c>
      <c r="M1044" s="225">
        <f>ROUND(IF(AND(Base_Periodo1[[#This Row],[Tipo_Linha]]="-",Base_Periodo1[[#This Row],[TIPOSALDO]]="D"),Base_Periodo1[[#This Row],[SALDO_ATUAL]]*-1,Base_Periodo1[[#This Row],[SALDO_ATUAL]]),4)</f>
        <v>1610</v>
      </c>
      <c r="N1044" t="s">
        <v>116</v>
      </c>
      <c r="O1044" t="s">
        <v>397</v>
      </c>
      <c r="P1044" t="s">
        <v>397</v>
      </c>
      <c r="Q1044">
        <v>7</v>
      </c>
      <c r="R1044" s="225">
        <f>Base_Periodo1[[#This Row],[CREDITOS]]-Base_Periodo1[[#This Row],[DEBITOS]]</f>
        <v>0</v>
      </c>
      <c r="S1044" s="3" t="str">
        <f>IF(ISERROR(VLOOKUP(Base_Periodo1[[#This Row],[CONTA]],BaseContasDRE[#All],4,FALSE)),"Fora do DRE",VLOOKUP(Base_Periodo1[[#This Row],[CONTA]],BaseContasDRE[#All],4,FALSE))</f>
        <v>Fora do DRE</v>
      </c>
      <c r="T1044" s="3" t="str">
        <f>IF(ISERROR(VLOOKUP(Base_Periodo1[[#This Row],[CONTA]],BaseContasDRE[#All],5,FALSE)),"Fora do DRE",VLOOKUP(Base_Periodo1[[#This Row],[CONTA]],BaseContasDRE[#All],6,FALSE))</f>
        <v>Fora do DRE</v>
      </c>
      <c r="U1044" s="3" t="str">
        <f>IF(ISERROR(VLOOKUP(Base_Periodo1[[#This Row],[CONTA]],BaseContasDRE[#All],7,FALSE)),"Fora do DRE",VLOOKUP(Base_Periodo1[[#This Row],[CONTA]],BaseContasDRE[#All],7,FALSE))</f>
        <v>Fora do DRE</v>
      </c>
      <c r="V1044" s="3" t="str">
        <f>IF(Base_Periodo1[[#This Row],[Tipo_Linha]]="Fora do DRE","Fora do DRE","( "&amp;Base_Periodo1[[#This Row],[Tipo_Linha]]&amp;" ) "&amp;Base_Periodo1[[#This Row],[Filtro]])</f>
        <v>Fora do DRE</v>
      </c>
      <c r="W1044" s="3" t="str">
        <f>LEFT(Base_Periodo1[[#This Row],[CLASS]],3)</f>
        <v>1.1</v>
      </c>
    </row>
    <row r="1045" spans="1:23" hidden="1">
      <c r="A1045" s="3" t="str">
        <f t="shared" si="16"/>
        <v>Período 1</v>
      </c>
      <c r="B1045">
        <v>39701</v>
      </c>
      <c r="C1045" t="s">
        <v>922</v>
      </c>
      <c r="D1045" t="s">
        <v>965</v>
      </c>
      <c r="E1045" s="3" t="str">
        <f>IF(LEN(Base_Periodo1[[#This Row],[CLASS]])&gt;=7,LEFT(Base_Periodo1[[#This Row],[CLASS]],7),"")</f>
        <v>1.1.2.2</v>
      </c>
      <c r="F1045" s="3" t="str">
        <f>VLOOKUP(Base_Periodo1[[#This Row],[Aux]],Base_Contas_Balanco[#All],2,FALSE)</f>
        <v>Creditos com não Cooperados</v>
      </c>
      <c r="G1045" s="1">
        <v>42733</v>
      </c>
      <c r="H1045" s="225">
        <v>500</v>
      </c>
      <c r="I1045" s="225">
        <v>0</v>
      </c>
      <c r="J1045" s="225">
        <v>0</v>
      </c>
      <c r="K1045" s="225">
        <v>500</v>
      </c>
      <c r="L10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045" s="225">
        <f>ROUND(IF(AND(Base_Periodo1[[#This Row],[Tipo_Linha]]="-",Base_Periodo1[[#This Row],[TIPOSALDO]]="D"),Base_Periodo1[[#This Row],[SALDO_ATUAL]]*-1,Base_Periodo1[[#This Row],[SALDO_ATUAL]]),4)</f>
        <v>500</v>
      </c>
      <c r="N1045" t="s">
        <v>116</v>
      </c>
      <c r="O1045" t="s">
        <v>397</v>
      </c>
      <c r="P1045" t="s">
        <v>397</v>
      </c>
      <c r="Q1045">
        <v>7</v>
      </c>
      <c r="R1045" s="225">
        <f>Base_Periodo1[[#This Row],[CREDITOS]]-Base_Periodo1[[#This Row],[DEBITOS]]</f>
        <v>0</v>
      </c>
      <c r="S1045" s="3" t="str">
        <f>IF(ISERROR(VLOOKUP(Base_Periodo1[[#This Row],[CONTA]],BaseContasDRE[#All],4,FALSE)),"Fora do DRE",VLOOKUP(Base_Periodo1[[#This Row],[CONTA]],BaseContasDRE[#All],4,FALSE))</f>
        <v>Fora do DRE</v>
      </c>
      <c r="T1045" s="3" t="str">
        <f>IF(ISERROR(VLOOKUP(Base_Periodo1[[#This Row],[CONTA]],BaseContasDRE[#All],5,FALSE)),"Fora do DRE",VLOOKUP(Base_Periodo1[[#This Row],[CONTA]],BaseContasDRE[#All],6,FALSE))</f>
        <v>Fora do DRE</v>
      </c>
      <c r="U1045" s="3" t="str">
        <f>IF(ISERROR(VLOOKUP(Base_Periodo1[[#This Row],[CONTA]],BaseContasDRE[#All],7,FALSE)),"Fora do DRE",VLOOKUP(Base_Periodo1[[#This Row],[CONTA]],BaseContasDRE[#All],7,FALSE))</f>
        <v>Fora do DRE</v>
      </c>
      <c r="V1045" s="3" t="str">
        <f>IF(Base_Periodo1[[#This Row],[Tipo_Linha]]="Fora do DRE","Fora do DRE","( "&amp;Base_Periodo1[[#This Row],[Tipo_Linha]]&amp;" ) "&amp;Base_Periodo1[[#This Row],[Filtro]])</f>
        <v>Fora do DRE</v>
      </c>
      <c r="W1045" s="3" t="str">
        <f>LEFT(Base_Periodo1[[#This Row],[CLASS]],3)</f>
        <v>1.1</v>
      </c>
    </row>
    <row r="1046" spans="1:23" hidden="1">
      <c r="A1046" s="3" t="str">
        <f t="shared" si="16"/>
        <v>Período 1</v>
      </c>
      <c r="B1046">
        <v>51533</v>
      </c>
      <c r="C1046" t="s">
        <v>922</v>
      </c>
      <c r="D1046" t="s">
        <v>5081</v>
      </c>
      <c r="E1046" s="3" t="str">
        <f>IF(LEN(Base_Periodo1[[#This Row],[CLASS]])&gt;=7,LEFT(Base_Periodo1[[#This Row],[CLASS]],7),"")</f>
        <v>1.1.2.2</v>
      </c>
      <c r="F1046" s="3" t="str">
        <f>VLOOKUP(Base_Periodo1[[#This Row],[Aux]],Base_Contas_Balanco[#All],2,FALSE)</f>
        <v>Creditos com não Cooperados</v>
      </c>
      <c r="G1046" s="1">
        <v>42871</v>
      </c>
      <c r="H1046" s="225">
        <v>22214.25</v>
      </c>
      <c r="I1046" s="225">
        <v>0</v>
      </c>
      <c r="J1046" s="225">
        <v>2221.15</v>
      </c>
      <c r="K1046" s="225">
        <v>24435.4</v>
      </c>
      <c r="L10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-24435.4</v>
      </c>
      <c r="M1046" s="225">
        <f>ROUND(IF(AND(Base_Periodo1[[#This Row],[Tipo_Linha]]="-",Base_Periodo1[[#This Row],[TIPOSALDO]]="D"),Base_Periodo1[[#This Row],[SALDO_ATUAL]]*-1,Base_Periodo1[[#This Row],[SALDO_ATUAL]]),4)</f>
        <v>24435.4</v>
      </c>
      <c r="N1046" t="s">
        <v>116</v>
      </c>
      <c r="O1046" t="s">
        <v>459</v>
      </c>
      <c r="P1046" t="s">
        <v>459</v>
      </c>
      <c r="Q1046">
        <v>7</v>
      </c>
      <c r="R1046" s="225">
        <f>Base_Periodo1[[#This Row],[CREDITOS]]-Base_Periodo1[[#This Row],[DEBITOS]]</f>
        <v>2221.15</v>
      </c>
      <c r="S1046" s="3" t="str">
        <f>IF(ISERROR(VLOOKUP(Base_Periodo1[[#This Row],[CONTA]],BaseContasDRE[#All],4,FALSE)),"Fora do DRE",VLOOKUP(Base_Periodo1[[#This Row],[CONTA]],BaseContasDRE[#All],4,FALSE))</f>
        <v>Fora do DRE</v>
      </c>
      <c r="T1046" s="3" t="str">
        <f>IF(ISERROR(VLOOKUP(Base_Periodo1[[#This Row],[CONTA]],BaseContasDRE[#All],5,FALSE)),"Fora do DRE",VLOOKUP(Base_Periodo1[[#This Row],[CONTA]],BaseContasDRE[#All],6,FALSE))</f>
        <v>Fora do DRE</v>
      </c>
      <c r="U1046" s="3" t="str">
        <f>IF(ISERROR(VLOOKUP(Base_Periodo1[[#This Row],[CONTA]],BaseContasDRE[#All],7,FALSE)),"Fora do DRE",VLOOKUP(Base_Periodo1[[#This Row],[CONTA]],BaseContasDRE[#All],7,FALSE))</f>
        <v>Fora do DRE</v>
      </c>
      <c r="V1046" s="3" t="str">
        <f>IF(Base_Periodo1[[#This Row],[Tipo_Linha]]="Fora do DRE","Fora do DRE","( "&amp;Base_Periodo1[[#This Row],[Tipo_Linha]]&amp;" ) "&amp;Base_Periodo1[[#This Row],[Filtro]])</f>
        <v>Fora do DRE</v>
      </c>
      <c r="W1046" s="3" t="str">
        <f>LEFT(Base_Periodo1[[#This Row],[CLASS]],3)</f>
        <v>1.1</v>
      </c>
    </row>
    <row r="1047" spans="1:23" hidden="1">
      <c r="A1047" s="3" t="str">
        <f t="shared" si="16"/>
        <v>Período 1</v>
      </c>
      <c r="B1047">
        <v>11614</v>
      </c>
      <c r="C1047" t="s">
        <v>922</v>
      </c>
      <c r="D1047" t="s">
        <v>966</v>
      </c>
      <c r="E1047" s="3" t="str">
        <f>IF(LEN(Base_Periodo1[[#This Row],[CLASS]])&gt;=7,LEFT(Base_Periodo1[[#This Row],[CLASS]],7),"")</f>
        <v>1.1.2.2</v>
      </c>
      <c r="F1047" s="3" t="str">
        <f>VLOOKUP(Base_Periodo1[[#This Row],[Aux]],Base_Contas_Balanco[#All],2,FALSE)</f>
        <v>Creditos com não Cooperados</v>
      </c>
      <c r="G1047" s="1">
        <v>42858</v>
      </c>
      <c r="H1047" s="225">
        <v>4200</v>
      </c>
      <c r="I1047" s="225">
        <v>0</v>
      </c>
      <c r="J1047" s="225">
        <v>4200</v>
      </c>
      <c r="K1047" s="225">
        <v>0</v>
      </c>
      <c r="L10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47" s="225">
        <f>ROUND(IF(AND(Base_Periodo1[[#This Row],[Tipo_Linha]]="-",Base_Periodo1[[#This Row],[TIPOSALDO]]="D"),Base_Periodo1[[#This Row],[SALDO_ATUAL]]*-1,Base_Periodo1[[#This Row],[SALDO_ATUAL]]),4)</f>
        <v>0</v>
      </c>
      <c r="N1047" t="s">
        <v>116</v>
      </c>
      <c r="O1047" t="s">
        <v>397</v>
      </c>
      <c r="P1047" t="s">
        <v>436</v>
      </c>
      <c r="Q1047">
        <v>7</v>
      </c>
      <c r="R1047" s="225">
        <f>Base_Periodo1[[#This Row],[CREDITOS]]-Base_Periodo1[[#This Row],[DEBITOS]]</f>
        <v>4200</v>
      </c>
      <c r="S1047" s="3" t="str">
        <f>IF(ISERROR(VLOOKUP(Base_Periodo1[[#This Row],[CONTA]],BaseContasDRE[#All],4,FALSE)),"Fora do DRE",VLOOKUP(Base_Periodo1[[#This Row],[CONTA]],BaseContasDRE[#All],4,FALSE))</f>
        <v>Fora do DRE</v>
      </c>
      <c r="T1047" s="3" t="str">
        <f>IF(ISERROR(VLOOKUP(Base_Periodo1[[#This Row],[CONTA]],BaseContasDRE[#All],5,FALSE)),"Fora do DRE",VLOOKUP(Base_Periodo1[[#This Row],[CONTA]],BaseContasDRE[#All],6,FALSE))</f>
        <v>Fora do DRE</v>
      </c>
      <c r="U1047" s="3" t="str">
        <f>IF(ISERROR(VLOOKUP(Base_Periodo1[[#This Row],[CONTA]],BaseContasDRE[#All],7,FALSE)),"Fora do DRE",VLOOKUP(Base_Periodo1[[#This Row],[CONTA]],BaseContasDRE[#All],7,FALSE))</f>
        <v>Fora do DRE</v>
      </c>
      <c r="V1047" s="3" t="str">
        <f>IF(Base_Periodo1[[#This Row],[Tipo_Linha]]="Fora do DRE","Fora do DRE","( "&amp;Base_Periodo1[[#This Row],[Tipo_Linha]]&amp;" ) "&amp;Base_Periodo1[[#This Row],[Filtro]])</f>
        <v>Fora do DRE</v>
      </c>
      <c r="W1047" s="3" t="str">
        <f>LEFT(Base_Periodo1[[#This Row],[CLASS]],3)</f>
        <v>1.1</v>
      </c>
    </row>
    <row r="1048" spans="1:23" hidden="1">
      <c r="A1048" s="3" t="str">
        <f t="shared" si="16"/>
        <v>Período 1</v>
      </c>
      <c r="B1048">
        <v>48492</v>
      </c>
      <c r="C1048" t="s">
        <v>922</v>
      </c>
      <c r="D1048" t="s">
        <v>5869</v>
      </c>
      <c r="E1048" s="3" t="str">
        <f>IF(LEN(Base_Periodo1[[#This Row],[CLASS]])&gt;=7,LEFT(Base_Periodo1[[#This Row],[CLASS]],7),"")</f>
        <v>1.1.2.2</v>
      </c>
      <c r="F1048" s="3" t="str">
        <f>VLOOKUP(Base_Periodo1[[#This Row],[Aux]],Base_Contas_Balanco[#All],2,FALSE)</f>
        <v>Creditos com não Cooperados</v>
      </c>
      <c r="G1048" s="1">
        <v>42870</v>
      </c>
      <c r="I1048" s="225">
        <v>500</v>
      </c>
      <c r="J1048" s="225">
        <v>0</v>
      </c>
      <c r="K1048" s="225">
        <v>500</v>
      </c>
      <c r="L10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048" s="225">
        <f>ROUND(IF(AND(Base_Periodo1[[#This Row],[Tipo_Linha]]="-",Base_Periodo1[[#This Row],[TIPOSALDO]]="D"),Base_Periodo1[[#This Row],[SALDO_ATUAL]]*-1,Base_Periodo1[[#This Row],[SALDO_ATUAL]]),4)</f>
        <v>500</v>
      </c>
      <c r="N1048" t="s">
        <v>116</v>
      </c>
      <c r="O1048" t="s">
        <v>436</v>
      </c>
      <c r="P1048" t="s">
        <v>397</v>
      </c>
      <c r="Q1048">
        <v>7</v>
      </c>
      <c r="R1048" s="225">
        <f>Base_Periodo1[[#This Row],[CREDITOS]]-Base_Periodo1[[#This Row],[DEBITOS]]</f>
        <v>-500</v>
      </c>
      <c r="S1048" s="3" t="str">
        <f>IF(ISERROR(VLOOKUP(Base_Periodo1[[#This Row],[CONTA]],BaseContasDRE[#All],4,FALSE)),"Fora do DRE",VLOOKUP(Base_Periodo1[[#This Row],[CONTA]],BaseContasDRE[#All],4,FALSE))</f>
        <v>Fora do DRE</v>
      </c>
      <c r="T1048" s="3" t="str">
        <f>IF(ISERROR(VLOOKUP(Base_Periodo1[[#This Row],[CONTA]],BaseContasDRE[#All],5,FALSE)),"Fora do DRE",VLOOKUP(Base_Periodo1[[#This Row],[CONTA]],BaseContasDRE[#All],6,FALSE))</f>
        <v>Fora do DRE</v>
      </c>
      <c r="U1048" s="3" t="str">
        <f>IF(ISERROR(VLOOKUP(Base_Periodo1[[#This Row],[CONTA]],BaseContasDRE[#All],7,FALSE)),"Fora do DRE",VLOOKUP(Base_Periodo1[[#This Row],[CONTA]],BaseContasDRE[#All],7,FALSE))</f>
        <v>Fora do DRE</v>
      </c>
      <c r="V1048" s="3" t="str">
        <f>IF(Base_Periodo1[[#This Row],[Tipo_Linha]]="Fora do DRE","Fora do DRE","( "&amp;Base_Periodo1[[#This Row],[Tipo_Linha]]&amp;" ) "&amp;Base_Periodo1[[#This Row],[Filtro]])</f>
        <v>Fora do DRE</v>
      </c>
      <c r="W1048" s="3" t="str">
        <f>LEFT(Base_Periodo1[[#This Row],[CLASS]],3)</f>
        <v>1.1</v>
      </c>
    </row>
    <row r="1049" spans="1:23" hidden="1">
      <c r="A1049" s="3" t="str">
        <f t="shared" si="16"/>
        <v>Período 1</v>
      </c>
      <c r="B1049">
        <v>25132</v>
      </c>
      <c r="C1049" t="s">
        <v>922</v>
      </c>
      <c r="D1049" t="s">
        <v>5276</v>
      </c>
      <c r="E1049" s="3" t="str">
        <f>IF(LEN(Base_Periodo1[[#This Row],[CLASS]])&gt;=7,LEFT(Base_Periodo1[[#This Row],[CLASS]],7),"")</f>
        <v>1.1.2.2</v>
      </c>
      <c r="F1049" s="3" t="str">
        <f>VLOOKUP(Base_Periodo1[[#This Row],[Aux]],Base_Contas_Balanco[#All],2,FALSE)</f>
        <v>Creditos com não Cooperados</v>
      </c>
      <c r="G1049" s="1">
        <v>42852</v>
      </c>
      <c r="H1049" s="225">
        <v>12900</v>
      </c>
      <c r="I1049" s="225">
        <v>0</v>
      </c>
      <c r="J1049" s="225">
        <v>0</v>
      </c>
      <c r="K1049" s="225">
        <v>12900</v>
      </c>
      <c r="L10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-12900</v>
      </c>
      <c r="M1049" s="225">
        <f>ROUND(IF(AND(Base_Periodo1[[#This Row],[Tipo_Linha]]="-",Base_Periodo1[[#This Row],[TIPOSALDO]]="D"),Base_Periodo1[[#This Row],[SALDO_ATUAL]]*-1,Base_Periodo1[[#This Row],[SALDO_ATUAL]]),4)</f>
        <v>12900</v>
      </c>
      <c r="N1049" t="s">
        <v>116</v>
      </c>
      <c r="O1049" t="s">
        <v>459</v>
      </c>
      <c r="P1049" t="s">
        <v>459</v>
      </c>
      <c r="Q1049">
        <v>7</v>
      </c>
      <c r="R1049" s="225">
        <f>Base_Periodo1[[#This Row],[CREDITOS]]-Base_Periodo1[[#This Row],[DEBITOS]]</f>
        <v>0</v>
      </c>
      <c r="S1049" s="3" t="str">
        <f>IF(ISERROR(VLOOKUP(Base_Periodo1[[#This Row],[CONTA]],BaseContasDRE[#All],4,FALSE)),"Fora do DRE",VLOOKUP(Base_Periodo1[[#This Row],[CONTA]],BaseContasDRE[#All],4,FALSE))</f>
        <v>Fora do DRE</v>
      </c>
      <c r="T1049" s="3" t="str">
        <f>IF(ISERROR(VLOOKUP(Base_Periodo1[[#This Row],[CONTA]],BaseContasDRE[#All],5,FALSE)),"Fora do DRE",VLOOKUP(Base_Periodo1[[#This Row],[CONTA]],BaseContasDRE[#All],6,FALSE))</f>
        <v>Fora do DRE</v>
      </c>
      <c r="U1049" s="3" t="str">
        <f>IF(ISERROR(VLOOKUP(Base_Periodo1[[#This Row],[CONTA]],BaseContasDRE[#All],7,FALSE)),"Fora do DRE",VLOOKUP(Base_Periodo1[[#This Row],[CONTA]],BaseContasDRE[#All],7,FALSE))</f>
        <v>Fora do DRE</v>
      </c>
      <c r="V1049" s="3" t="str">
        <f>IF(Base_Periodo1[[#This Row],[Tipo_Linha]]="Fora do DRE","Fora do DRE","( "&amp;Base_Periodo1[[#This Row],[Tipo_Linha]]&amp;" ) "&amp;Base_Periodo1[[#This Row],[Filtro]])</f>
        <v>Fora do DRE</v>
      </c>
      <c r="W1049" s="3" t="str">
        <f>LEFT(Base_Periodo1[[#This Row],[CLASS]],3)</f>
        <v>1.1</v>
      </c>
    </row>
    <row r="1050" spans="1:23" hidden="1">
      <c r="A1050" s="3" t="str">
        <f t="shared" si="16"/>
        <v>Período 1</v>
      </c>
      <c r="B1050">
        <v>51729</v>
      </c>
      <c r="C1050" t="s">
        <v>922</v>
      </c>
      <c r="D1050" t="s">
        <v>5186</v>
      </c>
      <c r="E1050" s="3" t="str">
        <f>IF(LEN(Base_Periodo1[[#This Row],[CLASS]])&gt;=7,LEFT(Base_Periodo1[[#This Row],[CLASS]],7),"")</f>
        <v>1.1.2.2</v>
      </c>
      <c r="F1050" s="3" t="str">
        <f>VLOOKUP(Base_Periodo1[[#This Row],[Aux]],Base_Contas_Balanco[#All],2,FALSE)</f>
        <v>Creditos com não Cooperados</v>
      </c>
      <c r="G1050" s="1">
        <v>42852</v>
      </c>
      <c r="H1050" s="225">
        <v>16515.529999999984</v>
      </c>
      <c r="I1050" s="225">
        <v>0</v>
      </c>
      <c r="J1050" s="225">
        <v>0</v>
      </c>
      <c r="K1050" s="225">
        <v>16515.529999999984</v>
      </c>
      <c r="L10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-16515.53</v>
      </c>
      <c r="M1050" s="225">
        <f>ROUND(IF(AND(Base_Periodo1[[#This Row],[Tipo_Linha]]="-",Base_Periodo1[[#This Row],[TIPOSALDO]]="D"),Base_Periodo1[[#This Row],[SALDO_ATUAL]]*-1,Base_Periodo1[[#This Row],[SALDO_ATUAL]]),4)</f>
        <v>16515.53</v>
      </c>
      <c r="N1050" t="s">
        <v>116</v>
      </c>
      <c r="O1050" t="s">
        <v>459</v>
      </c>
      <c r="P1050" t="s">
        <v>459</v>
      </c>
      <c r="Q1050">
        <v>7</v>
      </c>
      <c r="R1050" s="225">
        <f>Base_Periodo1[[#This Row],[CREDITOS]]-Base_Periodo1[[#This Row],[DEBITOS]]</f>
        <v>0</v>
      </c>
      <c r="S1050" s="3" t="str">
        <f>IF(ISERROR(VLOOKUP(Base_Periodo1[[#This Row],[CONTA]],BaseContasDRE[#All],4,FALSE)),"Fora do DRE",VLOOKUP(Base_Periodo1[[#This Row],[CONTA]],BaseContasDRE[#All],4,FALSE))</f>
        <v>Fora do DRE</v>
      </c>
      <c r="T1050" s="3" t="str">
        <f>IF(ISERROR(VLOOKUP(Base_Periodo1[[#This Row],[CONTA]],BaseContasDRE[#All],5,FALSE)),"Fora do DRE",VLOOKUP(Base_Periodo1[[#This Row],[CONTA]],BaseContasDRE[#All],6,FALSE))</f>
        <v>Fora do DRE</v>
      </c>
      <c r="U1050" s="3" t="str">
        <f>IF(ISERROR(VLOOKUP(Base_Periodo1[[#This Row],[CONTA]],BaseContasDRE[#All],7,FALSE)),"Fora do DRE",VLOOKUP(Base_Periodo1[[#This Row],[CONTA]],BaseContasDRE[#All],7,FALSE))</f>
        <v>Fora do DRE</v>
      </c>
      <c r="V1050" s="3" t="str">
        <f>IF(Base_Periodo1[[#This Row],[Tipo_Linha]]="Fora do DRE","Fora do DRE","( "&amp;Base_Periodo1[[#This Row],[Tipo_Linha]]&amp;" ) "&amp;Base_Periodo1[[#This Row],[Filtro]])</f>
        <v>Fora do DRE</v>
      </c>
      <c r="W1050" s="3" t="str">
        <f>LEFT(Base_Periodo1[[#This Row],[CLASS]],3)</f>
        <v>1.1</v>
      </c>
    </row>
    <row r="1051" spans="1:23" hidden="1">
      <c r="A1051" s="3" t="str">
        <f t="shared" si="16"/>
        <v>Período 1</v>
      </c>
      <c r="B1051">
        <v>33546</v>
      </c>
      <c r="C1051" t="s">
        <v>922</v>
      </c>
      <c r="D1051" t="s">
        <v>4581</v>
      </c>
      <c r="E1051" s="3" t="str">
        <f>IF(LEN(Base_Periodo1[[#This Row],[CLASS]])&gt;=7,LEFT(Base_Periodo1[[#This Row],[CLASS]],7),"")</f>
        <v>1.1.2.2</v>
      </c>
      <c r="F1051" s="3" t="str">
        <f>VLOOKUP(Base_Periodo1[[#This Row],[Aux]],Base_Contas_Balanco[#All],2,FALSE)</f>
        <v>Creditos com não Cooperados</v>
      </c>
      <c r="G1051" s="1">
        <v>42880</v>
      </c>
      <c r="H1051" s="225">
        <v>47841</v>
      </c>
      <c r="I1051" s="225">
        <v>0</v>
      </c>
      <c r="J1051" s="225">
        <v>5835</v>
      </c>
      <c r="K1051" s="225">
        <v>42006</v>
      </c>
      <c r="L10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42006</v>
      </c>
      <c r="M1051" s="225">
        <f>ROUND(IF(AND(Base_Periodo1[[#This Row],[Tipo_Linha]]="-",Base_Periodo1[[#This Row],[TIPOSALDO]]="D"),Base_Periodo1[[#This Row],[SALDO_ATUAL]]*-1,Base_Periodo1[[#This Row],[SALDO_ATUAL]]),4)</f>
        <v>42006</v>
      </c>
      <c r="N1051" t="s">
        <v>116</v>
      </c>
      <c r="O1051" t="s">
        <v>397</v>
      </c>
      <c r="P1051" t="s">
        <v>397</v>
      </c>
      <c r="Q1051">
        <v>7</v>
      </c>
      <c r="R1051" s="225">
        <f>Base_Periodo1[[#This Row],[CREDITOS]]-Base_Periodo1[[#This Row],[DEBITOS]]</f>
        <v>5835</v>
      </c>
      <c r="S1051" s="3" t="str">
        <f>IF(ISERROR(VLOOKUP(Base_Periodo1[[#This Row],[CONTA]],BaseContasDRE[#All],4,FALSE)),"Fora do DRE",VLOOKUP(Base_Periodo1[[#This Row],[CONTA]],BaseContasDRE[#All],4,FALSE))</f>
        <v>Fora do DRE</v>
      </c>
      <c r="T1051" s="3" t="str">
        <f>IF(ISERROR(VLOOKUP(Base_Periodo1[[#This Row],[CONTA]],BaseContasDRE[#All],5,FALSE)),"Fora do DRE",VLOOKUP(Base_Periodo1[[#This Row],[CONTA]],BaseContasDRE[#All],6,FALSE))</f>
        <v>Fora do DRE</v>
      </c>
      <c r="U1051" s="3" t="str">
        <f>IF(ISERROR(VLOOKUP(Base_Periodo1[[#This Row],[CONTA]],BaseContasDRE[#All],7,FALSE)),"Fora do DRE",VLOOKUP(Base_Periodo1[[#This Row],[CONTA]],BaseContasDRE[#All],7,FALSE))</f>
        <v>Fora do DRE</v>
      </c>
      <c r="V1051" s="3" t="str">
        <f>IF(Base_Periodo1[[#This Row],[Tipo_Linha]]="Fora do DRE","Fora do DRE","( "&amp;Base_Periodo1[[#This Row],[Tipo_Linha]]&amp;" ) "&amp;Base_Periodo1[[#This Row],[Filtro]])</f>
        <v>Fora do DRE</v>
      </c>
      <c r="W1051" s="3" t="str">
        <f>LEFT(Base_Periodo1[[#This Row],[CLASS]],3)</f>
        <v>1.1</v>
      </c>
    </row>
    <row r="1052" spans="1:23" hidden="1">
      <c r="A1052" s="3" t="str">
        <f t="shared" si="16"/>
        <v>Período 1</v>
      </c>
      <c r="B1052">
        <v>23081</v>
      </c>
      <c r="C1052" t="s">
        <v>922</v>
      </c>
      <c r="D1052" t="s">
        <v>5498</v>
      </c>
      <c r="E1052" s="3" t="str">
        <f>IF(LEN(Base_Periodo1[[#This Row],[CLASS]])&gt;=7,LEFT(Base_Periodo1[[#This Row],[CLASS]],7),"")</f>
        <v>1.1.2.2</v>
      </c>
      <c r="F1052" s="3" t="str">
        <f>VLOOKUP(Base_Periodo1[[#This Row],[Aux]],Base_Contas_Balanco[#All],2,FALSE)</f>
        <v>Creditos com não Cooperados</v>
      </c>
      <c r="G1052" s="1">
        <v>42780</v>
      </c>
      <c r="H1052" s="225">
        <v>13257.43</v>
      </c>
      <c r="I1052" s="225">
        <v>0</v>
      </c>
      <c r="J1052" s="225">
        <v>0</v>
      </c>
      <c r="K1052" s="225">
        <v>13257.43</v>
      </c>
      <c r="L10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13257.43</v>
      </c>
      <c r="M1052" s="225">
        <f>ROUND(IF(AND(Base_Periodo1[[#This Row],[Tipo_Linha]]="-",Base_Periodo1[[#This Row],[TIPOSALDO]]="D"),Base_Periodo1[[#This Row],[SALDO_ATUAL]]*-1,Base_Periodo1[[#This Row],[SALDO_ATUAL]]),4)</f>
        <v>13257.43</v>
      </c>
      <c r="N1052" t="s">
        <v>116</v>
      </c>
      <c r="O1052" t="s">
        <v>397</v>
      </c>
      <c r="P1052" t="s">
        <v>397</v>
      </c>
      <c r="Q1052">
        <v>7</v>
      </c>
      <c r="R1052" s="225">
        <f>Base_Periodo1[[#This Row],[CREDITOS]]-Base_Periodo1[[#This Row],[DEBITOS]]</f>
        <v>0</v>
      </c>
      <c r="S1052" s="3" t="str">
        <f>IF(ISERROR(VLOOKUP(Base_Periodo1[[#This Row],[CONTA]],BaseContasDRE[#All],4,FALSE)),"Fora do DRE",VLOOKUP(Base_Periodo1[[#This Row],[CONTA]],BaseContasDRE[#All],4,FALSE))</f>
        <v>Fora do DRE</v>
      </c>
      <c r="T1052" s="3" t="str">
        <f>IF(ISERROR(VLOOKUP(Base_Periodo1[[#This Row],[CONTA]],BaseContasDRE[#All],5,FALSE)),"Fora do DRE",VLOOKUP(Base_Periodo1[[#This Row],[CONTA]],BaseContasDRE[#All],6,FALSE))</f>
        <v>Fora do DRE</v>
      </c>
      <c r="U1052" s="3" t="str">
        <f>IF(ISERROR(VLOOKUP(Base_Periodo1[[#This Row],[CONTA]],BaseContasDRE[#All],7,FALSE)),"Fora do DRE",VLOOKUP(Base_Periodo1[[#This Row],[CONTA]],BaseContasDRE[#All],7,FALSE))</f>
        <v>Fora do DRE</v>
      </c>
      <c r="V1052" s="3" t="str">
        <f>IF(Base_Periodo1[[#This Row],[Tipo_Linha]]="Fora do DRE","Fora do DRE","( "&amp;Base_Periodo1[[#This Row],[Tipo_Linha]]&amp;" ) "&amp;Base_Periodo1[[#This Row],[Filtro]])</f>
        <v>Fora do DRE</v>
      </c>
      <c r="W1052" s="3" t="str">
        <f>LEFT(Base_Periodo1[[#This Row],[CLASS]],3)</f>
        <v>1.1</v>
      </c>
    </row>
    <row r="1053" spans="1:23" hidden="1">
      <c r="A1053" s="3" t="str">
        <f t="shared" si="16"/>
        <v>Período 1</v>
      </c>
      <c r="B1053">
        <v>19508</v>
      </c>
      <c r="C1053" t="s">
        <v>922</v>
      </c>
      <c r="D1053" t="s">
        <v>6184</v>
      </c>
      <c r="E1053" s="3" t="str">
        <f>IF(LEN(Base_Periodo1[[#This Row],[CLASS]])&gt;=7,LEFT(Base_Periodo1[[#This Row],[CLASS]],7),"")</f>
        <v>1.1.2.2</v>
      </c>
      <c r="F1053" s="3" t="str">
        <f>VLOOKUP(Base_Periodo1[[#This Row],[Aux]],Base_Contas_Balanco[#All],2,FALSE)</f>
        <v>Creditos com não Cooperados</v>
      </c>
      <c r="G1053" s="1">
        <v>42824</v>
      </c>
      <c r="H1053" s="225">
        <v>6000</v>
      </c>
      <c r="I1053" s="225">
        <v>0</v>
      </c>
      <c r="J1053" s="225">
        <v>0</v>
      </c>
      <c r="K1053" s="225">
        <v>6000</v>
      </c>
      <c r="L10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6000</v>
      </c>
      <c r="M1053" s="225">
        <f>ROUND(IF(AND(Base_Periodo1[[#This Row],[Tipo_Linha]]="-",Base_Periodo1[[#This Row],[TIPOSALDO]]="D"),Base_Periodo1[[#This Row],[SALDO_ATUAL]]*-1,Base_Periodo1[[#This Row],[SALDO_ATUAL]]),4)</f>
        <v>6000</v>
      </c>
      <c r="N1053" t="s">
        <v>116</v>
      </c>
      <c r="O1053" t="s">
        <v>397</v>
      </c>
      <c r="P1053" t="s">
        <v>397</v>
      </c>
      <c r="Q1053">
        <v>7</v>
      </c>
      <c r="R1053" s="225">
        <f>Base_Periodo1[[#This Row],[CREDITOS]]-Base_Periodo1[[#This Row],[DEBITOS]]</f>
        <v>0</v>
      </c>
      <c r="S1053" s="3" t="str">
        <f>IF(ISERROR(VLOOKUP(Base_Periodo1[[#This Row],[CONTA]],BaseContasDRE[#All],4,FALSE)),"Fora do DRE",VLOOKUP(Base_Periodo1[[#This Row],[CONTA]],BaseContasDRE[#All],4,FALSE))</f>
        <v>Fora do DRE</v>
      </c>
      <c r="T1053" s="3" t="str">
        <f>IF(ISERROR(VLOOKUP(Base_Periodo1[[#This Row],[CONTA]],BaseContasDRE[#All],5,FALSE)),"Fora do DRE",VLOOKUP(Base_Periodo1[[#This Row],[CONTA]],BaseContasDRE[#All],6,FALSE))</f>
        <v>Fora do DRE</v>
      </c>
      <c r="U1053" s="3" t="str">
        <f>IF(ISERROR(VLOOKUP(Base_Periodo1[[#This Row],[CONTA]],BaseContasDRE[#All],7,FALSE)),"Fora do DRE",VLOOKUP(Base_Periodo1[[#This Row],[CONTA]],BaseContasDRE[#All],7,FALSE))</f>
        <v>Fora do DRE</v>
      </c>
      <c r="V1053" s="3" t="str">
        <f>IF(Base_Periodo1[[#This Row],[Tipo_Linha]]="Fora do DRE","Fora do DRE","( "&amp;Base_Periodo1[[#This Row],[Tipo_Linha]]&amp;" ) "&amp;Base_Periodo1[[#This Row],[Filtro]])</f>
        <v>Fora do DRE</v>
      </c>
      <c r="W1053" s="3" t="str">
        <f>LEFT(Base_Periodo1[[#This Row],[CLASS]],3)</f>
        <v>1.1</v>
      </c>
    </row>
    <row r="1054" spans="1:23" hidden="1">
      <c r="A1054" s="3" t="str">
        <f t="shared" si="16"/>
        <v>Período 1</v>
      </c>
      <c r="B1054">
        <v>28243</v>
      </c>
      <c r="C1054" t="s">
        <v>922</v>
      </c>
      <c r="D1054" t="s">
        <v>6185</v>
      </c>
      <c r="E1054" s="3" t="str">
        <f>IF(LEN(Base_Periodo1[[#This Row],[CLASS]])&gt;=7,LEFT(Base_Periodo1[[#This Row],[CLASS]],7),"")</f>
        <v>1.1.2.2</v>
      </c>
      <c r="F1054" s="3" t="str">
        <f>VLOOKUP(Base_Periodo1[[#This Row],[Aux]],Base_Contas_Balanco[#All],2,FALSE)</f>
        <v>Creditos com não Cooperados</v>
      </c>
      <c r="G1054" s="1">
        <v>42863</v>
      </c>
      <c r="H1054" s="225">
        <v>24526.97</v>
      </c>
      <c r="I1054" s="225">
        <v>0</v>
      </c>
      <c r="J1054" s="225">
        <v>24526.97</v>
      </c>
      <c r="K1054" s="225">
        <v>0</v>
      </c>
      <c r="L10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54" s="225">
        <f>ROUND(IF(AND(Base_Periodo1[[#This Row],[Tipo_Linha]]="-",Base_Periodo1[[#This Row],[TIPOSALDO]]="D"),Base_Periodo1[[#This Row],[SALDO_ATUAL]]*-1,Base_Periodo1[[#This Row],[SALDO_ATUAL]]),4)</f>
        <v>0</v>
      </c>
      <c r="N1054" t="s">
        <v>116</v>
      </c>
      <c r="O1054" t="s">
        <v>397</v>
      </c>
      <c r="P1054" t="s">
        <v>436</v>
      </c>
      <c r="Q1054">
        <v>7</v>
      </c>
      <c r="R1054" s="225">
        <f>Base_Periodo1[[#This Row],[CREDITOS]]-Base_Periodo1[[#This Row],[DEBITOS]]</f>
        <v>24526.97</v>
      </c>
      <c r="S1054" s="3" t="str">
        <f>IF(ISERROR(VLOOKUP(Base_Periodo1[[#This Row],[CONTA]],BaseContasDRE[#All],4,FALSE)),"Fora do DRE",VLOOKUP(Base_Periodo1[[#This Row],[CONTA]],BaseContasDRE[#All],4,FALSE))</f>
        <v>Fora do DRE</v>
      </c>
      <c r="T1054" s="3" t="str">
        <f>IF(ISERROR(VLOOKUP(Base_Periodo1[[#This Row],[CONTA]],BaseContasDRE[#All],5,FALSE)),"Fora do DRE",VLOOKUP(Base_Periodo1[[#This Row],[CONTA]],BaseContasDRE[#All],6,FALSE))</f>
        <v>Fora do DRE</v>
      </c>
      <c r="U1054" s="3" t="str">
        <f>IF(ISERROR(VLOOKUP(Base_Periodo1[[#This Row],[CONTA]],BaseContasDRE[#All],7,FALSE)),"Fora do DRE",VLOOKUP(Base_Periodo1[[#This Row],[CONTA]],BaseContasDRE[#All],7,FALSE))</f>
        <v>Fora do DRE</v>
      </c>
      <c r="V1054" s="3" t="str">
        <f>IF(Base_Periodo1[[#This Row],[Tipo_Linha]]="Fora do DRE","Fora do DRE","( "&amp;Base_Periodo1[[#This Row],[Tipo_Linha]]&amp;" ) "&amp;Base_Periodo1[[#This Row],[Filtro]])</f>
        <v>Fora do DRE</v>
      </c>
      <c r="W1054" s="3" t="str">
        <f>LEFT(Base_Periodo1[[#This Row],[CLASS]],3)</f>
        <v>1.1</v>
      </c>
    </row>
    <row r="1055" spans="1:23" hidden="1">
      <c r="A1055" s="3" t="str">
        <f t="shared" si="16"/>
        <v>Período 1</v>
      </c>
      <c r="B1055">
        <v>59148</v>
      </c>
      <c r="C1055" t="s">
        <v>922</v>
      </c>
      <c r="D1055" t="s">
        <v>6775</v>
      </c>
      <c r="E1055" s="3" t="str">
        <f>IF(LEN(Base_Periodo1[[#This Row],[CLASS]])&gt;=7,LEFT(Base_Periodo1[[#This Row],[CLASS]],7),"")</f>
        <v>1.1.2.2</v>
      </c>
      <c r="F1055" s="3" t="str">
        <f>VLOOKUP(Base_Periodo1[[#This Row],[Aux]],Base_Contas_Balanco[#All],2,FALSE)</f>
        <v>Creditos com não Cooperados</v>
      </c>
      <c r="G1055" s="1">
        <v>42886</v>
      </c>
      <c r="I1055" s="225">
        <v>50</v>
      </c>
      <c r="J1055" s="225">
        <v>50</v>
      </c>
      <c r="K1055" s="225">
        <v>0</v>
      </c>
      <c r="L10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55" s="225">
        <f>ROUND(IF(AND(Base_Periodo1[[#This Row],[Tipo_Linha]]="-",Base_Periodo1[[#This Row],[TIPOSALDO]]="D"),Base_Periodo1[[#This Row],[SALDO_ATUAL]]*-1,Base_Periodo1[[#This Row],[SALDO_ATUAL]]),4)</f>
        <v>0</v>
      </c>
      <c r="N1055" t="s">
        <v>116</v>
      </c>
      <c r="O1055" t="s">
        <v>436</v>
      </c>
      <c r="P1055" t="s">
        <v>436</v>
      </c>
      <c r="Q1055">
        <v>7</v>
      </c>
      <c r="R1055" s="225">
        <f>Base_Periodo1[[#This Row],[CREDITOS]]-Base_Periodo1[[#This Row],[DEBITOS]]</f>
        <v>0</v>
      </c>
      <c r="S1055" s="3" t="str">
        <f>IF(ISERROR(VLOOKUP(Base_Periodo1[[#This Row],[CONTA]],BaseContasDRE[#All],4,FALSE)),"Fora do DRE",VLOOKUP(Base_Periodo1[[#This Row],[CONTA]],BaseContasDRE[#All],4,FALSE))</f>
        <v>Fora do DRE</v>
      </c>
      <c r="T1055" s="3" t="str">
        <f>IF(ISERROR(VLOOKUP(Base_Periodo1[[#This Row],[CONTA]],BaseContasDRE[#All],5,FALSE)),"Fora do DRE",VLOOKUP(Base_Periodo1[[#This Row],[CONTA]],BaseContasDRE[#All],6,FALSE))</f>
        <v>Fora do DRE</v>
      </c>
      <c r="U1055" s="3" t="str">
        <f>IF(ISERROR(VLOOKUP(Base_Periodo1[[#This Row],[CONTA]],BaseContasDRE[#All],7,FALSE)),"Fora do DRE",VLOOKUP(Base_Periodo1[[#This Row],[CONTA]],BaseContasDRE[#All],7,FALSE))</f>
        <v>Fora do DRE</v>
      </c>
      <c r="V1055" s="3" t="str">
        <f>IF(Base_Periodo1[[#This Row],[Tipo_Linha]]="Fora do DRE","Fora do DRE","( "&amp;Base_Periodo1[[#This Row],[Tipo_Linha]]&amp;" ) "&amp;Base_Periodo1[[#This Row],[Filtro]])</f>
        <v>Fora do DRE</v>
      </c>
      <c r="W1055" s="3" t="str">
        <f>LEFT(Base_Periodo1[[#This Row],[CLASS]],3)</f>
        <v>1.1</v>
      </c>
    </row>
    <row r="1056" spans="1:23" hidden="1">
      <c r="A1056" s="3" t="str">
        <f t="shared" si="16"/>
        <v>Período 1</v>
      </c>
      <c r="B1056">
        <v>52921</v>
      </c>
      <c r="C1056" t="s">
        <v>922</v>
      </c>
      <c r="D1056" t="s">
        <v>5298</v>
      </c>
      <c r="E1056" s="3" t="str">
        <f>IF(LEN(Base_Periodo1[[#This Row],[CLASS]])&gt;=7,LEFT(Base_Periodo1[[#This Row],[CLASS]],7),"")</f>
        <v>1.1.2.2</v>
      </c>
      <c r="F1056" s="3" t="str">
        <f>VLOOKUP(Base_Periodo1[[#This Row],[Aux]],Base_Contas_Balanco[#All],2,FALSE)</f>
        <v>Creditos com não Cooperados</v>
      </c>
      <c r="G1056" s="1">
        <v>42885</v>
      </c>
      <c r="H1056" s="225">
        <v>18005</v>
      </c>
      <c r="I1056" s="225">
        <v>0</v>
      </c>
      <c r="J1056" s="225">
        <v>18005</v>
      </c>
      <c r="K1056" s="225">
        <v>0</v>
      </c>
      <c r="L10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56" s="225">
        <f>ROUND(IF(AND(Base_Periodo1[[#This Row],[Tipo_Linha]]="-",Base_Periodo1[[#This Row],[TIPOSALDO]]="D"),Base_Periodo1[[#This Row],[SALDO_ATUAL]]*-1,Base_Periodo1[[#This Row],[SALDO_ATUAL]]),4)</f>
        <v>0</v>
      </c>
      <c r="N1056" t="s">
        <v>116</v>
      </c>
      <c r="O1056" t="s">
        <v>397</v>
      </c>
      <c r="P1056" t="s">
        <v>436</v>
      </c>
      <c r="Q1056">
        <v>7</v>
      </c>
      <c r="R1056" s="225">
        <f>Base_Periodo1[[#This Row],[CREDITOS]]-Base_Periodo1[[#This Row],[DEBITOS]]</f>
        <v>18005</v>
      </c>
      <c r="S1056" s="3" t="str">
        <f>IF(ISERROR(VLOOKUP(Base_Periodo1[[#This Row],[CONTA]],BaseContasDRE[#All],4,FALSE)),"Fora do DRE",VLOOKUP(Base_Periodo1[[#This Row],[CONTA]],BaseContasDRE[#All],4,FALSE))</f>
        <v>Fora do DRE</v>
      </c>
      <c r="T1056" s="3" t="str">
        <f>IF(ISERROR(VLOOKUP(Base_Periodo1[[#This Row],[CONTA]],BaseContasDRE[#All],5,FALSE)),"Fora do DRE",VLOOKUP(Base_Periodo1[[#This Row],[CONTA]],BaseContasDRE[#All],6,FALSE))</f>
        <v>Fora do DRE</v>
      </c>
      <c r="U1056" s="3" t="str">
        <f>IF(ISERROR(VLOOKUP(Base_Periodo1[[#This Row],[CONTA]],BaseContasDRE[#All],7,FALSE)),"Fora do DRE",VLOOKUP(Base_Periodo1[[#This Row],[CONTA]],BaseContasDRE[#All],7,FALSE))</f>
        <v>Fora do DRE</v>
      </c>
      <c r="V1056" s="3" t="str">
        <f>IF(Base_Periodo1[[#This Row],[Tipo_Linha]]="Fora do DRE","Fora do DRE","( "&amp;Base_Periodo1[[#This Row],[Tipo_Linha]]&amp;" ) "&amp;Base_Periodo1[[#This Row],[Filtro]])</f>
        <v>Fora do DRE</v>
      </c>
      <c r="W1056" s="3" t="str">
        <f>LEFT(Base_Periodo1[[#This Row],[CLASS]],3)</f>
        <v>1.1</v>
      </c>
    </row>
    <row r="1057" spans="1:23" hidden="1">
      <c r="A1057" s="3" t="str">
        <f t="shared" si="16"/>
        <v>Período 1</v>
      </c>
      <c r="B1057">
        <v>14597</v>
      </c>
      <c r="C1057" t="s">
        <v>922</v>
      </c>
      <c r="D1057" t="s">
        <v>5299</v>
      </c>
      <c r="E1057" s="3" t="str">
        <f>IF(LEN(Base_Periodo1[[#This Row],[CLASS]])&gt;=7,LEFT(Base_Periodo1[[#This Row],[CLASS]],7),"")</f>
        <v>1.1.2.2</v>
      </c>
      <c r="F1057" s="3" t="str">
        <f>VLOOKUP(Base_Periodo1[[#This Row],[Aux]],Base_Contas_Balanco[#All],2,FALSE)</f>
        <v>Creditos com não Cooperados</v>
      </c>
      <c r="G1057" s="1">
        <v>42849</v>
      </c>
      <c r="H1057" s="225">
        <v>258703</v>
      </c>
      <c r="I1057" s="225">
        <v>0</v>
      </c>
      <c r="J1057" s="225">
        <v>0</v>
      </c>
      <c r="K1057" s="225">
        <v>258703</v>
      </c>
      <c r="L10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258703</v>
      </c>
      <c r="M1057" s="225">
        <f>ROUND(IF(AND(Base_Periodo1[[#This Row],[Tipo_Linha]]="-",Base_Periodo1[[#This Row],[TIPOSALDO]]="D"),Base_Periodo1[[#This Row],[SALDO_ATUAL]]*-1,Base_Periodo1[[#This Row],[SALDO_ATUAL]]),4)</f>
        <v>258703</v>
      </c>
      <c r="N1057" t="s">
        <v>116</v>
      </c>
      <c r="O1057" t="s">
        <v>397</v>
      </c>
      <c r="P1057" t="s">
        <v>397</v>
      </c>
      <c r="Q1057">
        <v>7</v>
      </c>
      <c r="R1057" s="225">
        <f>Base_Periodo1[[#This Row],[CREDITOS]]-Base_Periodo1[[#This Row],[DEBITOS]]</f>
        <v>0</v>
      </c>
      <c r="S1057" s="3" t="str">
        <f>IF(ISERROR(VLOOKUP(Base_Periodo1[[#This Row],[CONTA]],BaseContasDRE[#All],4,FALSE)),"Fora do DRE",VLOOKUP(Base_Periodo1[[#This Row],[CONTA]],BaseContasDRE[#All],4,FALSE))</f>
        <v>Fora do DRE</v>
      </c>
      <c r="T1057" s="3" t="str">
        <f>IF(ISERROR(VLOOKUP(Base_Periodo1[[#This Row],[CONTA]],BaseContasDRE[#All],5,FALSE)),"Fora do DRE",VLOOKUP(Base_Periodo1[[#This Row],[CONTA]],BaseContasDRE[#All],6,FALSE))</f>
        <v>Fora do DRE</v>
      </c>
      <c r="U1057" s="3" t="str">
        <f>IF(ISERROR(VLOOKUP(Base_Periodo1[[#This Row],[CONTA]],BaseContasDRE[#All],7,FALSE)),"Fora do DRE",VLOOKUP(Base_Periodo1[[#This Row],[CONTA]],BaseContasDRE[#All],7,FALSE))</f>
        <v>Fora do DRE</v>
      </c>
      <c r="V1057" s="3" t="str">
        <f>IF(Base_Periodo1[[#This Row],[Tipo_Linha]]="Fora do DRE","Fora do DRE","( "&amp;Base_Periodo1[[#This Row],[Tipo_Linha]]&amp;" ) "&amp;Base_Periodo1[[#This Row],[Filtro]])</f>
        <v>Fora do DRE</v>
      </c>
      <c r="W1057" s="3" t="str">
        <f>LEFT(Base_Periodo1[[#This Row],[CLASS]],3)</f>
        <v>1.1</v>
      </c>
    </row>
    <row r="1058" spans="1:23" hidden="1">
      <c r="A1058" s="3" t="str">
        <f t="shared" si="16"/>
        <v>Período 1</v>
      </c>
      <c r="B1058">
        <v>58485</v>
      </c>
      <c r="C1058" t="s">
        <v>922</v>
      </c>
      <c r="D1058" t="s">
        <v>6186</v>
      </c>
      <c r="E1058" s="3" t="str">
        <f>IF(LEN(Base_Periodo1[[#This Row],[CLASS]])&gt;=7,LEFT(Base_Periodo1[[#This Row],[CLASS]],7),"")</f>
        <v>1.1.2.2</v>
      </c>
      <c r="F1058" s="3" t="str">
        <f>VLOOKUP(Base_Periodo1[[#This Row],[Aux]],Base_Contas_Balanco[#All],2,FALSE)</f>
        <v>Creditos com não Cooperados</v>
      </c>
      <c r="G1058" s="1">
        <v>42845</v>
      </c>
      <c r="H1058" s="225">
        <v>500</v>
      </c>
      <c r="I1058" s="225">
        <v>0</v>
      </c>
      <c r="J1058" s="225">
        <v>0</v>
      </c>
      <c r="K1058" s="225">
        <v>500</v>
      </c>
      <c r="L10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058" s="225">
        <f>ROUND(IF(AND(Base_Periodo1[[#This Row],[Tipo_Linha]]="-",Base_Periodo1[[#This Row],[TIPOSALDO]]="D"),Base_Periodo1[[#This Row],[SALDO_ATUAL]]*-1,Base_Periodo1[[#This Row],[SALDO_ATUAL]]),4)</f>
        <v>500</v>
      </c>
      <c r="N1058" t="s">
        <v>116</v>
      </c>
      <c r="O1058" t="s">
        <v>397</v>
      </c>
      <c r="P1058" t="s">
        <v>397</v>
      </c>
      <c r="Q1058">
        <v>7</v>
      </c>
      <c r="R1058" s="225">
        <f>Base_Periodo1[[#This Row],[CREDITOS]]-Base_Periodo1[[#This Row],[DEBITOS]]</f>
        <v>0</v>
      </c>
      <c r="S1058" s="3" t="str">
        <f>IF(ISERROR(VLOOKUP(Base_Periodo1[[#This Row],[CONTA]],BaseContasDRE[#All],4,FALSE)),"Fora do DRE",VLOOKUP(Base_Periodo1[[#This Row],[CONTA]],BaseContasDRE[#All],4,FALSE))</f>
        <v>Fora do DRE</v>
      </c>
      <c r="T1058" s="3" t="str">
        <f>IF(ISERROR(VLOOKUP(Base_Periodo1[[#This Row],[CONTA]],BaseContasDRE[#All],5,FALSE)),"Fora do DRE",VLOOKUP(Base_Periodo1[[#This Row],[CONTA]],BaseContasDRE[#All],6,FALSE))</f>
        <v>Fora do DRE</v>
      </c>
      <c r="U1058" s="3" t="str">
        <f>IF(ISERROR(VLOOKUP(Base_Periodo1[[#This Row],[CONTA]],BaseContasDRE[#All],7,FALSE)),"Fora do DRE",VLOOKUP(Base_Periodo1[[#This Row],[CONTA]],BaseContasDRE[#All],7,FALSE))</f>
        <v>Fora do DRE</v>
      </c>
      <c r="V1058" s="3" t="str">
        <f>IF(Base_Periodo1[[#This Row],[Tipo_Linha]]="Fora do DRE","Fora do DRE","( "&amp;Base_Periodo1[[#This Row],[Tipo_Linha]]&amp;" ) "&amp;Base_Periodo1[[#This Row],[Filtro]])</f>
        <v>Fora do DRE</v>
      </c>
      <c r="W1058" s="3" t="str">
        <f>LEFT(Base_Periodo1[[#This Row],[CLASS]],3)</f>
        <v>1.1</v>
      </c>
    </row>
    <row r="1059" spans="1:23" hidden="1">
      <c r="A1059" s="3" t="str">
        <f t="shared" si="16"/>
        <v>Período 1</v>
      </c>
      <c r="B1059">
        <v>56629</v>
      </c>
      <c r="C1059" t="s">
        <v>922</v>
      </c>
      <c r="D1059" t="s">
        <v>5870</v>
      </c>
      <c r="E1059" s="3" t="str">
        <f>IF(LEN(Base_Periodo1[[#This Row],[CLASS]])&gt;=7,LEFT(Base_Periodo1[[#This Row],[CLASS]],7),"")</f>
        <v>1.1.2.2</v>
      </c>
      <c r="F1059" s="3" t="str">
        <f>VLOOKUP(Base_Periodo1[[#This Row],[Aux]],Base_Contas_Balanco[#All],2,FALSE)</f>
        <v>Creditos com não Cooperados</v>
      </c>
      <c r="G1059" s="1">
        <v>42829</v>
      </c>
      <c r="H1059" s="225">
        <v>1218.5</v>
      </c>
      <c r="I1059" s="225">
        <v>0</v>
      </c>
      <c r="J1059" s="225">
        <v>0</v>
      </c>
      <c r="K1059" s="225">
        <v>1218.5</v>
      </c>
      <c r="L10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-1218.5</v>
      </c>
      <c r="M1059" s="225">
        <f>ROUND(IF(AND(Base_Periodo1[[#This Row],[Tipo_Linha]]="-",Base_Periodo1[[#This Row],[TIPOSALDO]]="D"),Base_Periodo1[[#This Row],[SALDO_ATUAL]]*-1,Base_Periodo1[[#This Row],[SALDO_ATUAL]]),4)</f>
        <v>1218.5</v>
      </c>
      <c r="N1059" t="s">
        <v>116</v>
      </c>
      <c r="O1059" t="s">
        <v>459</v>
      </c>
      <c r="P1059" t="s">
        <v>459</v>
      </c>
      <c r="Q1059">
        <v>7</v>
      </c>
      <c r="R1059" s="225">
        <f>Base_Periodo1[[#This Row],[CREDITOS]]-Base_Periodo1[[#This Row],[DEBITOS]]</f>
        <v>0</v>
      </c>
      <c r="S1059" s="3" t="str">
        <f>IF(ISERROR(VLOOKUP(Base_Periodo1[[#This Row],[CONTA]],BaseContasDRE[#All],4,FALSE)),"Fora do DRE",VLOOKUP(Base_Periodo1[[#This Row],[CONTA]],BaseContasDRE[#All],4,FALSE))</f>
        <v>Fora do DRE</v>
      </c>
      <c r="T1059" s="3" t="str">
        <f>IF(ISERROR(VLOOKUP(Base_Periodo1[[#This Row],[CONTA]],BaseContasDRE[#All],5,FALSE)),"Fora do DRE",VLOOKUP(Base_Periodo1[[#This Row],[CONTA]],BaseContasDRE[#All],6,FALSE))</f>
        <v>Fora do DRE</v>
      </c>
      <c r="U1059" s="3" t="str">
        <f>IF(ISERROR(VLOOKUP(Base_Periodo1[[#This Row],[CONTA]],BaseContasDRE[#All],7,FALSE)),"Fora do DRE",VLOOKUP(Base_Periodo1[[#This Row],[CONTA]],BaseContasDRE[#All],7,FALSE))</f>
        <v>Fora do DRE</v>
      </c>
      <c r="V1059" s="3" t="str">
        <f>IF(Base_Periodo1[[#This Row],[Tipo_Linha]]="Fora do DRE","Fora do DRE","( "&amp;Base_Periodo1[[#This Row],[Tipo_Linha]]&amp;" ) "&amp;Base_Periodo1[[#This Row],[Filtro]])</f>
        <v>Fora do DRE</v>
      </c>
      <c r="W1059" s="3" t="str">
        <f>LEFT(Base_Periodo1[[#This Row],[CLASS]],3)</f>
        <v>1.1</v>
      </c>
    </row>
    <row r="1060" spans="1:23" hidden="1">
      <c r="A1060" s="3" t="str">
        <f t="shared" si="16"/>
        <v>Período 1</v>
      </c>
      <c r="B1060">
        <v>58901</v>
      </c>
      <c r="C1060" t="s">
        <v>922</v>
      </c>
      <c r="D1060" t="s">
        <v>6776</v>
      </c>
      <c r="E1060" s="3" t="str">
        <f>IF(LEN(Base_Periodo1[[#This Row],[CLASS]])&gt;=7,LEFT(Base_Periodo1[[#This Row],[CLASS]],7),"")</f>
        <v>1.1.2.2</v>
      </c>
      <c r="F1060" s="3" t="str">
        <f>VLOOKUP(Base_Periodo1[[#This Row],[Aux]],Base_Contas_Balanco[#All],2,FALSE)</f>
        <v>Creditos com não Cooperados</v>
      </c>
      <c r="G1060" s="1">
        <v>42866</v>
      </c>
      <c r="I1060" s="225">
        <v>565</v>
      </c>
      <c r="J1060" s="225">
        <v>565</v>
      </c>
      <c r="K1060" s="225">
        <v>0</v>
      </c>
      <c r="L10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60" s="225">
        <f>ROUND(IF(AND(Base_Periodo1[[#This Row],[Tipo_Linha]]="-",Base_Periodo1[[#This Row],[TIPOSALDO]]="D"),Base_Periodo1[[#This Row],[SALDO_ATUAL]]*-1,Base_Periodo1[[#This Row],[SALDO_ATUAL]]),4)</f>
        <v>0</v>
      </c>
      <c r="N1060" t="s">
        <v>116</v>
      </c>
      <c r="O1060" t="s">
        <v>436</v>
      </c>
      <c r="P1060" t="s">
        <v>436</v>
      </c>
      <c r="Q1060">
        <v>7</v>
      </c>
      <c r="R1060" s="225">
        <f>Base_Periodo1[[#This Row],[CREDITOS]]-Base_Periodo1[[#This Row],[DEBITOS]]</f>
        <v>0</v>
      </c>
      <c r="S1060" s="3" t="str">
        <f>IF(ISERROR(VLOOKUP(Base_Periodo1[[#This Row],[CONTA]],BaseContasDRE[#All],4,FALSE)),"Fora do DRE",VLOOKUP(Base_Periodo1[[#This Row],[CONTA]],BaseContasDRE[#All],4,FALSE))</f>
        <v>Fora do DRE</v>
      </c>
      <c r="T1060" s="3" t="str">
        <f>IF(ISERROR(VLOOKUP(Base_Periodo1[[#This Row],[CONTA]],BaseContasDRE[#All],5,FALSE)),"Fora do DRE",VLOOKUP(Base_Periodo1[[#This Row],[CONTA]],BaseContasDRE[#All],6,FALSE))</f>
        <v>Fora do DRE</v>
      </c>
      <c r="U1060" s="3" t="str">
        <f>IF(ISERROR(VLOOKUP(Base_Periodo1[[#This Row],[CONTA]],BaseContasDRE[#All],7,FALSE)),"Fora do DRE",VLOOKUP(Base_Periodo1[[#This Row],[CONTA]],BaseContasDRE[#All],7,FALSE))</f>
        <v>Fora do DRE</v>
      </c>
      <c r="V1060" s="3" t="str">
        <f>IF(Base_Periodo1[[#This Row],[Tipo_Linha]]="Fora do DRE","Fora do DRE","( "&amp;Base_Periodo1[[#This Row],[Tipo_Linha]]&amp;" ) "&amp;Base_Periodo1[[#This Row],[Filtro]])</f>
        <v>Fora do DRE</v>
      </c>
      <c r="W1060" s="3" t="str">
        <f>LEFT(Base_Periodo1[[#This Row],[CLASS]],3)</f>
        <v>1.1</v>
      </c>
    </row>
    <row r="1061" spans="1:23" hidden="1">
      <c r="A1061" s="3" t="str">
        <f t="shared" si="16"/>
        <v>Período 1</v>
      </c>
      <c r="B1061">
        <v>37281</v>
      </c>
      <c r="C1061" t="s">
        <v>922</v>
      </c>
      <c r="D1061" t="s">
        <v>5187</v>
      </c>
      <c r="E1061" s="3" t="str">
        <f>IF(LEN(Base_Periodo1[[#This Row],[CLASS]])&gt;=7,LEFT(Base_Periodo1[[#This Row],[CLASS]],7),"")</f>
        <v>1.1.2.2</v>
      </c>
      <c r="F1061" s="3" t="str">
        <f>VLOOKUP(Base_Periodo1[[#This Row],[Aux]],Base_Contas_Balanco[#All],2,FALSE)</f>
        <v>Creditos com não Cooperados</v>
      </c>
      <c r="G1061" s="1">
        <v>42810</v>
      </c>
      <c r="H1061" s="225">
        <v>8953.8999999999942</v>
      </c>
      <c r="I1061" s="225">
        <v>0</v>
      </c>
      <c r="J1061" s="225">
        <v>0</v>
      </c>
      <c r="K1061" s="225">
        <v>8953.8999999999942</v>
      </c>
      <c r="L10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-8953.9</v>
      </c>
      <c r="M1061" s="225">
        <f>ROUND(IF(AND(Base_Periodo1[[#This Row],[Tipo_Linha]]="-",Base_Periodo1[[#This Row],[TIPOSALDO]]="D"),Base_Periodo1[[#This Row],[SALDO_ATUAL]]*-1,Base_Periodo1[[#This Row],[SALDO_ATUAL]]),4)</f>
        <v>8953.9</v>
      </c>
      <c r="N1061" t="s">
        <v>116</v>
      </c>
      <c r="O1061" t="s">
        <v>459</v>
      </c>
      <c r="P1061" t="s">
        <v>459</v>
      </c>
      <c r="Q1061">
        <v>7</v>
      </c>
      <c r="R1061" s="225">
        <f>Base_Periodo1[[#This Row],[CREDITOS]]-Base_Periodo1[[#This Row],[DEBITOS]]</f>
        <v>0</v>
      </c>
      <c r="S1061" s="3" t="str">
        <f>IF(ISERROR(VLOOKUP(Base_Periodo1[[#This Row],[CONTA]],BaseContasDRE[#All],4,FALSE)),"Fora do DRE",VLOOKUP(Base_Periodo1[[#This Row],[CONTA]],BaseContasDRE[#All],4,FALSE))</f>
        <v>Fora do DRE</v>
      </c>
      <c r="T1061" s="3" t="str">
        <f>IF(ISERROR(VLOOKUP(Base_Periodo1[[#This Row],[CONTA]],BaseContasDRE[#All],5,FALSE)),"Fora do DRE",VLOOKUP(Base_Periodo1[[#This Row],[CONTA]],BaseContasDRE[#All],6,FALSE))</f>
        <v>Fora do DRE</v>
      </c>
      <c r="U1061" s="3" t="str">
        <f>IF(ISERROR(VLOOKUP(Base_Periodo1[[#This Row],[CONTA]],BaseContasDRE[#All],7,FALSE)),"Fora do DRE",VLOOKUP(Base_Periodo1[[#This Row],[CONTA]],BaseContasDRE[#All],7,FALSE))</f>
        <v>Fora do DRE</v>
      </c>
      <c r="V1061" s="3" t="str">
        <f>IF(Base_Periodo1[[#This Row],[Tipo_Linha]]="Fora do DRE","Fora do DRE","( "&amp;Base_Periodo1[[#This Row],[Tipo_Linha]]&amp;" ) "&amp;Base_Periodo1[[#This Row],[Filtro]])</f>
        <v>Fora do DRE</v>
      </c>
      <c r="W1061" s="3" t="str">
        <f>LEFT(Base_Periodo1[[#This Row],[CLASS]],3)</f>
        <v>1.1</v>
      </c>
    </row>
    <row r="1062" spans="1:23" hidden="1">
      <c r="A1062" s="3" t="str">
        <f t="shared" si="16"/>
        <v>Período 1</v>
      </c>
      <c r="B1062">
        <v>57124</v>
      </c>
      <c r="C1062" t="s">
        <v>922</v>
      </c>
      <c r="D1062" t="s">
        <v>6777</v>
      </c>
      <c r="E1062" s="3" t="str">
        <f>IF(LEN(Base_Periodo1[[#This Row],[CLASS]])&gt;=7,LEFT(Base_Periodo1[[#This Row],[CLASS]],7),"")</f>
        <v>1.1.2.2</v>
      </c>
      <c r="F1062" s="3" t="str">
        <f>VLOOKUP(Base_Periodo1[[#This Row],[Aux]],Base_Contas_Balanco[#All],2,FALSE)</f>
        <v>Creditos com não Cooperados</v>
      </c>
      <c r="G1062" s="1">
        <v>42859</v>
      </c>
      <c r="I1062" s="225">
        <v>245</v>
      </c>
      <c r="J1062" s="225">
        <v>245</v>
      </c>
      <c r="K1062" s="225">
        <v>0</v>
      </c>
      <c r="L10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62" s="225">
        <f>ROUND(IF(AND(Base_Periodo1[[#This Row],[Tipo_Linha]]="-",Base_Periodo1[[#This Row],[TIPOSALDO]]="D"),Base_Periodo1[[#This Row],[SALDO_ATUAL]]*-1,Base_Periodo1[[#This Row],[SALDO_ATUAL]]),4)</f>
        <v>0</v>
      </c>
      <c r="N1062" t="s">
        <v>116</v>
      </c>
      <c r="O1062" t="s">
        <v>436</v>
      </c>
      <c r="P1062" t="s">
        <v>436</v>
      </c>
      <c r="Q1062">
        <v>7</v>
      </c>
      <c r="R1062" s="225">
        <f>Base_Periodo1[[#This Row],[CREDITOS]]-Base_Periodo1[[#This Row],[DEBITOS]]</f>
        <v>0</v>
      </c>
      <c r="S1062" s="3" t="str">
        <f>IF(ISERROR(VLOOKUP(Base_Periodo1[[#This Row],[CONTA]],BaseContasDRE[#All],4,FALSE)),"Fora do DRE",VLOOKUP(Base_Periodo1[[#This Row],[CONTA]],BaseContasDRE[#All],4,FALSE))</f>
        <v>Fora do DRE</v>
      </c>
      <c r="T1062" s="3" t="str">
        <f>IF(ISERROR(VLOOKUP(Base_Periodo1[[#This Row],[CONTA]],BaseContasDRE[#All],5,FALSE)),"Fora do DRE",VLOOKUP(Base_Periodo1[[#This Row],[CONTA]],BaseContasDRE[#All],6,FALSE))</f>
        <v>Fora do DRE</v>
      </c>
      <c r="U1062" s="3" t="str">
        <f>IF(ISERROR(VLOOKUP(Base_Periodo1[[#This Row],[CONTA]],BaseContasDRE[#All],7,FALSE)),"Fora do DRE",VLOOKUP(Base_Periodo1[[#This Row],[CONTA]],BaseContasDRE[#All],7,FALSE))</f>
        <v>Fora do DRE</v>
      </c>
      <c r="V1062" s="3" t="str">
        <f>IF(Base_Periodo1[[#This Row],[Tipo_Linha]]="Fora do DRE","Fora do DRE","( "&amp;Base_Periodo1[[#This Row],[Tipo_Linha]]&amp;" ) "&amp;Base_Periodo1[[#This Row],[Filtro]])</f>
        <v>Fora do DRE</v>
      </c>
      <c r="W1062" s="3" t="str">
        <f>LEFT(Base_Periodo1[[#This Row],[CLASS]],3)</f>
        <v>1.1</v>
      </c>
    </row>
    <row r="1063" spans="1:23" hidden="1">
      <c r="A1063" s="3" t="str">
        <f t="shared" si="16"/>
        <v>Período 1</v>
      </c>
      <c r="B1063">
        <v>51501</v>
      </c>
      <c r="C1063" t="s">
        <v>922</v>
      </c>
      <c r="D1063" t="s">
        <v>6187</v>
      </c>
      <c r="E1063" s="3" t="str">
        <f>IF(LEN(Base_Periodo1[[#This Row],[CLASS]])&gt;=7,LEFT(Base_Periodo1[[#This Row],[CLASS]],7),"")</f>
        <v>1.1.2.2</v>
      </c>
      <c r="F1063" s="3" t="str">
        <f>VLOOKUP(Base_Periodo1[[#This Row],[Aux]],Base_Contas_Balanco[#All],2,FALSE)</f>
        <v>Creditos com não Cooperados</v>
      </c>
      <c r="G1063" s="1">
        <v>42863</v>
      </c>
      <c r="I1063" s="225">
        <v>6750</v>
      </c>
      <c r="J1063" s="225">
        <v>6750</v>
      </c>
      <c r="K1063" s="225">
        <v>0</v>
      </c>
      <c r="L10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63" s="225">
        <f>ROUND(IF(AND(Base_Periodo1[[#This Row],[Tipo_Linha]]="-",Base_Periodo1[[#This Row],[TIPOSALDO]]="D"),Base_Periodo1[[#This Row],[SALDO_ATUAL]]*-1,Base_Periodo1[[#This Row],[SALDO_ATUAL]]),4)</f>
        <v>0</v>
      </c>
      <c r="N1063" t="s">
        <v>116</v>
      </c>
      <c r="O1063" t="s">
        <v>436</v>
      </c>
      <c r="P1063" t="s">
        <v>436</v>
      </c>
      <c r="Q1063">
        <v>7</v>
      </c>
      <c r="R1063" s="225">
        <f>Base_Periodo1[[#This Row],[CREDITOS]]-Base_Periodo1[[#This Row],[DEBITOS]]</f>
        <v>0</v>
      </c>
      <c r="S1063" s="3" t="str">
        <f>IF(ISERROR(VLOOKUP(Base_Periodo1[[#This Row],[CONTA]],BaseContasDRE[#All],4,FALSE)),"Fora do DRE",VLOOKUP(Base_Periodo1[[#This Row],[CONTA]],BaseContasDRE[#All],4,FALSE))</f>
        <v>Fora do DRE</v>
      </c>
      <c r="T1063" s="3" t="str">
        <f>IF(ISERROR(VLOOKUP(Base_Periodo1[[#This Row],[CONTA]],BaseContasDRE[#All],5,FALSE)),"Fora do DRE",VLOOKUP(Base_Periodo1[[#This Row],[CONTA]],BaseContasDRE[#All],6,FALSE))</f>
        <v>Fora do DRE</v>
      </c>
      <c r="U1063" s="3" t="str">
        <f>IF(ISERROR(VLOOKUP(Base_Periodo1[[#This Row],[CONTA]],BaseContasDRE[#All],7,FALSE)),"Fora do DRE",VLOOKUP(Base_Periodo1[[#This Row],[CONTA]],BaseContasDRE[#All],7,FALSE))</f>
        <v>Fora do DRE</v>
      </c>
      <c r="V1063" s="3" t="str">
        <f>IF(Base_Periodo1[[#This Row],[Tipo_Linha]]="Fora do DRE","Fora do DRE","( "&amp;Base_Periodo1[[#This Row],[Tipo_Linha]]&amp;" ) "&amp;Base_Periodo1[[#This Row],[Filtro]])</f>
        <v>Fora do DRE</v>
      </c>
      <c r="W1063" s="3" t="str">
        <f>LEFT(Base_Periodo1[[#This Row],[CLASS]],3)</f>
        <v>1.1</v>
      </c>
    </row>
    <row r="1064" spans="1:23" hidden="1">
      <c r="A1064" s="3" t="str">
        <f t="shared" si="16"/>
        <v>Período 1</v>
      </c>
      <c r="B1064">
        <v>16533</v>
      </c>
      <c r="C1064" t="s">
        <v>922</v>
      </c>
      <c r="D1064" t="s">
        <v>5300</v>
      </c>
      <c r="E1064" s="3" t="str">
        <f>IF(LEN(Base_Periodo1[[#This Row],[CLASS]])&gt;=7,LEFT(Base_Periodo1[[#This Row],[CLASS]],7),"")</f>
        <v>1.1.2.2</v>
      </c>
      <c r="F1064" s="3" t="str">
        <f>VLOOKUP(Base_Periodo1[[#This Row],[Aux]],Base_Contas_Balanco[#All],2,FALSE)</f>
        <v>Creditos com não Cooperados</v>
      </c>
      <c r="G1064" s="1">
        <v>42872</v>
      </c>
      <c r="H1064" s="225">
        <v>529.99999999994179</v>
      </c>
      <c r="I1064" s="225">
        <v>0</v>
      </c>
      <c r="J1064" s="225">
        <v>530</v>
      </c>
      <c r="K1064" s="225">
        <v>-5.8207660913467407E-11</v>
      </c>
      <c r="L10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64" s="225">
        <f>ROUND(IF(AND(Base_Periodo1[[#This Row],[Tipo_Linha]]="-",Base_Periodo1[[#This Row],[TIPOSALDO]]="D"),Base_Periodo1[[#This Row],[SALDO_ATUAL]]*-1,Base_Periodo1[[#This Row],[SALDO_ATUAL]]),4)</f>
        <v>0</v>
      </c>
      <c r="N1064" t="s">
        <v>116</v>
      </c>
      <c r="O1064" t="s">
        <v>397</v>
      </c>
      <c r="P1064" t="s">
        <v>436</v>
      </c>
      <c r="Q1064">
        <v>7</v>
      </c>
      <c r="R1064" s="225">
        <f>Base_Periodo1[[#This Row],[CREDITOS]]-Base_Periodo1[[#This Row],[DEBITOS]]</f>
        <v>530</v>
      </c>
      <c r="S1064" s="3" t="str">
        <f>IF(ISERROR(VLOOKUP(Base_Periodo1[[#This Row],[CONTA]],BaseContasDRE[#All],4,FALSE)),"Fora do DRE",VLOOKUP(Base_Periodo1[[#This Row],[CONTA]],BaseContasDRE[#All],4,FALSE))</f>
        <v>Fora do DRE</v>
      </c>
      <c r="T1064" s="3" t="str">
        <f>IF(ISERROR(VLOOKUP(Base_Periodo1[[#This Row],[CONTA]],BaseContasDRE[#All],5,FALSE)),"Fora do DRE",VLOOKUP(Base_Periodo1[[#This Row],[CONTA]],BaseContasDRE[#All],6,FALSE))</f>
        <v>Fora do DRE</v>
      </c>
      <c r="U1064" s="3" t="str">
        <f>IF(ISERROR(VLOOKUP(Base_Periodo1[[#This Row],[CONTA]],BaseContasDRE[#All],7,FALSE)),"Fora do DRE",VLOOKUP(Base_Periodo1[[#This Row],[CONTA]],BaseContasDRE[#All],7,FALSE))</f>
        <v>Fora do DRE</v>
      </c>
      <c r="V1064" s="3" t="str">
        <f>IF(Base_Periodo1[[#This Row],[Tipo_Linha]]="Fora do DRE","Fora do DRE","( "&amp;Base_Periodo1[[#This Row],[Tipo_Linha]]&amp;" ) "&amp;Base_Periodo1[[#This Row],[Filtro]])</f>
        <v>Fora do DRE</v>
      </c>
      <c r="W1064" s="3" t="str">
        <f>LEFT(Base_Periodo1[[#This Row],[CLASS]],3)</f>
        <v>1.1</v>
      </c>
    </row>
    <row r="1065" spans="1:23" hidden="1">
      <c r="A1065" s="3" t="str">
        <f t="shared" si="16"/>
        <v>Período 1</v>
      </c>
      <c r="B1065">
        <v>4648</v>
      </c>
      <c r="C1065" t="s">
        <v>922</v>
      </c>
      <c r="D1065" t="s">
        <v>968</v>
      </c>
      <c r="E1065" s="3" t="str">
        <f>IF(LEN(Base_Periodo1[[#This Row],[CLASS]])&gt;=7,LEFT(Base_Periodo1[[#This Row],[CLASS]],7),"")</f>
        <v>1.1.2.2</v>
      </c>
      <c r="F1065" s="3" t="str">
        <f>VLOOKUP(Base_Periodo1[[#This Row],[Aux]],Base_Contas_Balanco[#All],2,FALSE)</f>
        <v>Creditos com não Cooperados</v>
      </c>
      <c r="G1065" s="1">
        <v>41764</v>
      </c>
      <c r="H1065" s="225">
        <v>2000</v>
      </c>
      <c r="I1065" s="225">
        <v>0</v>
      </c>
      <c r="J1065" s="225">
        <v>0</v>
      </c>
      <c r="K1065" s="225">
        <v>2000</v>
      </c>
      <c r="L10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2000</v>
      </c>
      <c r="M1065" s="225">
        <f>ROUND(IF(AND(Base_Periodo1[[#This Row],[Tipo_Linha]]="-",Base_Periodo1[[#This Row],[TIPOSALDO]]="D"),Base_Periodo1[[#This Row],[SALDO_ATUAL]]*-1,Base_Periodo1[[#This Row],[SALDO_ATUAL]]),4)</f>
        <v>2000</v>
      </c>
      <c r="N1065" t="s">
        <v>116</v>
      </c>
      <c r="O1065" t="s">
        <v>397</v>
      </c>
      <c r="P1065" t="s">
        <v>397</v>
      </c>
      <c r="Q1065">
        <v>7</v>
      </c>
      <c r="R1065" s="225">
        <f>Base_Periodo1[[#This Row],[CREDITOS]]-Base_Periodo1[[#This Row],[DEBITOS]]</f>
        <v>0</v>
      </c>
      <c r="S1065" s="3" t="str">
        <f>IF(ISERROR(VLOOKUP(Base_Periodo1[[#This Row],[CONTA]],BaseContasDRE[#All],4,FALSE)),"Fora do DRE",VLOOKUP(Base_Periodo1[[#This Row],[CONTA]],BaseContasDRE[#All],4,FALSE))</f>
        <v>Fora do DRE</v>
      </c>
      <c r="T1065" s="3" t="str">
        <f>IF(ISERROR(VLOOKUP(Base_Periodo1[[#This Row],[CONTA]],BaseContasDRE[#All],5,FALSE)),"Fora do DRE",VLOOKUP(Base_Periodo1[[#This Row],[CONTA]],BaseContasDRE[#All],6,FALSE))</f>
        <v>Fora do DRE</v>
      </c>
      <c r="U1065" s="3" t="str">
        <f>IF(ISERROR(VLOOKUP(Base_Periodo1[[#This Row],[CONTA]],BaseContasDRE[#All],7,FALSE)),"Fora do DRE",VLOOKUP(Base_Periodo1[[#This Row],[CONTA]],BaseContasDRE[#All],7,FALSE))</f>
        <v>Fora do DRE</v>
      </c>
      <c r="V1065" s="3" t="str">
        <f>IF(Base_Periodo1[[#This Row],[Tipo_Linha]]="Fora do DRE","Fora do DRE","( "&amp;Base_Periodo1[[#This Row],[Tipo_Linha]]&amp;" ) "&amp;Base_Periodo1[[#This Row],[Filtro]])</f>
        <v>Fora do DRE</v>
      </c>
      <c r="W1065" s="3" t="str">
        <f>LEFT(Base_Periodo1[[#This Row],[CLASS]],3)</f>
        <v>1.1</v>
      </c>
    </row>
    <row r="1066" spans="1:23" hidden="1">
      <c r="A1066" s="3" t="str">
        <f t="shared" si="16"/>
        <v>Período 1</v>
      </c>
      <c r="B1066">
        <v>8878</v>
      </c>
      <c r="C1066" t="s">
        <v>922</v>
      </c>
      <c r="D1066" t="s">
        <v>4725</v>
      </c>
      <c r="E1066" s="3" t="str">
        <f>IF(LEN(Base_Periodo1[[#This Row],[CLASS]])&gt;=7,LEFT(Base_Periodo1[[#This Row],[CLASS]],7),"")</f>
        <v>1.1.2.2</v>
      </c>
      <c r="F1066" s="3" t="str">
        <f>VLOOKUP(Base_Periodo1[[#This Row],[Aux]],Base_Contas_Balanco[#All],2,FALSE)</f>
        <v>Creditos com não Cooperados</v>
      </c>
      <c r="G1066" s="1">
        <v>42490</v>
      </c>
      <c r="H1066" s="225">
        <v>3990.6999999999971</v>
      </c>
      <c r="I1066" s="225">
        <v>0</v>
      </c>
      <c r="J1066" s="225">
        <v>0</v>
      </c>
      <c r="K1066" s="225">
        <v>3990.6999999999971</v>
      </c>
      <c r="L10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3990.7</v>
      </c>
      <c r="M1066" s="225">
        <f>ROUND(IF(AND(Base_Periodo1[[#This Row],[Tipo_Linha]]="-",Base_Periodo1[[#This Row],[TIPOSALDO]]="D"),Base_Periodo1[[#This Row],[SALDO_ATUAL]]*-1,Base_Periodo1[[#This Row],[SALDO_ATUAL]]),4)</f>
        <v>3990.7</v>
      </c>
      <c r="N1066" t="s">
        <v>116</v>
      </c>
      <c r="O1066" t="s">
        <v>397</v>
      </c>
      <c r="P1066" t="s">
        <v>397</v>
      </c>
      <c r="Q1066">
        <v>7</v>
      </c>
      <c r="R1066" s="225">
        <f>Base_Periodo1[[#This Row],[CREDITOS]]-Base_Periodo1[[#This Row],[DEBITOS]]</f>
        <v>0</v>
      </c>
      <c r="S1066" s="3" t="str">
        <f>IF(ISERROR(VLOOKUP(Base_Periodo1[[#This Row],[CONTA]],BaseContasDRE[#All],4,FALSE)),"Fora do DRE",VLOOKUP(Base_Periodo1[[#This Row],[CONTA]],BaseContasDRE[#All],4,FALSE))</f>
        <v>Fora do DRE</v>
      </c>
      <c r="T1066" s="3" t="str">
        <f>IF(ISERROR(VLOOKUP(Base_Periodo1[[#This Row],[CONTA]],BaseContasDRE[#All],5,FALSE)),"Fora do DRE",VLOOKUP(Base_Periodo1[[#This Row],[CONTA]],BaseContasDRE[#All],6,FALSE))</f>
        <v>Fora do DRE</v>
      </c>
      <c r="U1066" s="3" t="str">
        <f>IF(ISERROR(VLOOKUP(Base_Periodo1[[#This Row],[CONTA]],BaseContasDRE[#All],7,FALSE)),"Fora do DRE",VLOOKUP(Base_Periodo1[[#This Row],[CONTA]],BaseContasDRE[#All],7,FALSE))</f>
        <v>Fora do DRE</v>
      </c>
      <c r="V1066" s="3" t="str">
        <f>IF(Base_Periodo1[[#This Row],[Tipo_Linha]]="Fora do DRE","Fora do DRE","( "&amp;Base_Periodo1[[#This Row],[Tipo_Linha]]&amp;" ) "&amp;Base_Periodo1[[#This Row],[Filtro]])</f>
        <v>Fora do DRE</v>
      </c>
      <c r="W1066" s="3" t="str">
        <f>LEFT(Base_Periodo1[[#This Row],[CLASS]],3)</f>
        <v>1.1</v>
      </c>
    </row>
    <row r="1067" spans="1:23" hidden="1">
      <c r="A1067" s="3" t="str">
        <f t="shared" si="16"/>
        <v>Período 1</v>
      </c>
      <c r="B1067">
        <v>56223</v>
      </c>
      <c r="C1067" t="s">
        <v>922</v>
      </c>
      <c r="D1067" t="s">
        <v>5661</v>
      </c>
      <c r="E1067" s="3" t="str">
        <f>IF(LEN(Base_Periodo1[[#This Row],[CLASS]])&gt;=7,LEFT(Base_Periodo1[[#This Row],[CLASS]],7),"")</f>
        <v>1.1.2.2</v>
      </c>
      <c r="F1067" s="3" t="str">
        <f>VLOOKUP(Base_Periodo1[[#This Row],[Aux]],Base_Contas_Balanco[#All],2,FALSE)</f>
        <v>Creditos com não Cooperados</v>
      </c>
      <c r="G1067" s="1">
        <v>42815</v>
      </c>
      <c r="H1067" s="225">
        <v>14600</v>
      </c>
      <c r="I1067" s="225">
        <v>0</v>
      </c>
      <c r="J1067" s="225">
        <v>0</v>
      </c>
      <c r="K1067" s="225">
        <v>14600</v>
      </c>
      <c r="L10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14600</v>
      </c>
      <c r="M1067" s="225">
        <f>ROUND(IF(AND(Base_Periodo1[[#This Row],[Tipo_Linha]]="-",Base_Periodo1[[#This Row],[TIPOSALDO]]="D"),Base_Periodo1[[#This Row],[SALDO_ATUAL]]*-1,Base_Periodo1[[#This Row],[SALDO_ATUAL]]),4)</f>
        <v>14600</v>
      </c>
      <c r="N1067" t="s">
        <v>116</v>
      </c>
      <c r="O1067" t="s">
        <v>397</v>
      </c>
      <c r="P1067" t="s">
        <v>397</v>
      </c>
      <c r="Q1067">
        <v>7</v>
      </c>
      <c r="R1067" s="225">
        <f>Base_Periodo1[[#This Row],[CREDITOS]]-Base_Periodo1[[#This Row],[DEBITOS]]</f>
        <v>0</v>
      </c>
      <c r="S1067" s="3" t="str">
        <f>IF(ISERROR(VLOOKUP(Base_Periodo1[[#This Row],[CONTA]],BaseContasDRE[#All],4,FALSE)),"Fora do DRE",VLOOKUP(Base_Periodo1[[#This Row],[CONTA]],BaseContasDRE[#All],4,FALSE))</f>
        <v>Fora do DRE</v>
      </c>
      <c r="T1067" s="3" t="str">
        <f>IF(ISERROR(VLOOKUP(Base_Periodo1[[#This Row],[CONTA]],BaseContasDRE[#All],5,FALSE)),"Fora do DRE",VLOOKUP(Base_Periodo1[[#This Row],[CONTA]],BaseContasDRE[#All],6,FALSE))</f>
        <v>Fora do DRE</v>
      </c>
      <c r="U1067" s="3" t="str">
        <f>IF(ISERROR(VLOOKUP(Base_Periodo1[[#This Row],[CONTA]],BaseContasDRE[#All],7,FALSE)),"Fora do DRE",VLOOKUP(Base_Periodo1[[#This Row],[CONTA]],BaseContasDRE[#All],7,FALSE))</f>
        <v>Fora do DRE</v>
      </c>
      <c r="V1067" s="3" t="str">
        <f>IF(Base_Periodo1[[#This Row],[Tipo_Linha]]="Fora do DRE","Fora do DRE","( "&amp;Base_Periodo1[[#This Row],[Tipo_Linha]]&amp;" ) "&amp;Base_Periodo1[[#This Row],[Filtro]])</f>
        <v>Fora do DRE</v>
      </c>
      <c r="W1067" s="3" t="str">
        <f>LEFT(Base_Periodo1[[#This Row],[CLASS]],3)</f>
        <v>1.1</v>
      </c>
    </row>
    <row r="1068" spans="1:23" hidden="1">
      <c r="A1068" s="3" t="str">
        <f t="shared" si="16"/>
        <v>Período 1</v>
      </c>
      <c r="B1068">
        <v>56970</v>
      </c>
      <c r="C1068" t="s">
        <v>922</v>
      </c>
      <c r="D1068" t="s">
        <v>6188</v>
      </c>
      <c r="E1068" s="3" t="str">
        <f>IF(LEN(Base_Periodo1[[#This Row],[CLASS]])&gt;=7,LEFT(Base_Periodo1[[#This Row],[CLASS]],7),"")</f>
        <v>1.1.2.2</v>
      </c>
      <c r="F1068" s="3" t="str">
        <f>VLOOKUP(Base_Periodo1[[#This Row],[Aux]],Base_Contas_Balanco[#All],2,FALSE)</f>
        <v>Creditos com não Cooperados</v>
      </c>
      <c r="G1068" s="1">
        <v>42797</v>
      </c>
      <c r="H1068" s="225">
        <v>500</v>
      </c>
      <c r="I1068" s="225">
        <v>0</v>
      </c>
      <c r="J1068" s="225">
        <v>0</v>
      </c>
      <c r="K1068" s="225">
        <v>500</v>
      </c>
      <c r="L10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068" s="225">
        <f>ROUND(IF(AND(Base_Periodo1[[#This Row],[Tipo_Linha]]="-",Base_Periodo1[[#This Row],[TIPOSALDO]]="D"),Base_Periodo1[[#This Row],[SALDO_ATUAL]]*-1,Base_Periodo1[[#This Row],[SALDO_ATUAL]]),4)</f>
        <v>500</v>
      </c>
      <c r="N1068" t="s">
        <v>116</v>
      </c>
      <c r="O1068" t="s">
        <v>397</v>
      </c>
      <c r="P1068" t="s">
        <v>397</v>
      </c>
      <c r="Q1068">
        <v>7</v>
      </c>
      <c r="R1068" s="225">
        <f>Base_Periodo1[[#This Row],[CREDITOS]]-Base_Periodo1[[#This Row],[DEBITOS]]</f>
        <v>0</v>
      </c>
      <c r="S1068" s="3" t="str">
        <f>IF(ISERROR(VLOOKUP(Base_Periodo1[[#This Row],[CONTA]],BaseContasDRE[#All],4,FALSE)),"Fora do DRE",VLOOKUP(Base_Periodo1[[#This Row],[CONTA]],BaseContasDRE[#All],4,FALSE))</f>
        <v>Fora do DRE</v>
      </c>
      <c r="T1068" s="3" t="str">
        <f>IF(ISERROR(VLOOKUP(Base_Periodo1[[#This Row],[CONTA]],BaseContasDRE[#All],5,FALSE)),"Fora do DRE",VLOOKUP(Base_Periodo1[[#This Row],[CONTA]],BaseContasDRE[#All],6,FALSE))</f>
        <v>Fora do DRE</v>
      </c>
      <c r="U1068" s="3" t="str">
        <f>IF(ISERROR(VLOOKUP(Base_Periodo1[[#This Row],[CONTA]],BaseContasDRE[#All],7,FALSE)),"Fora do DRE",VLOOKUP(Base_Periodo1[[#This Row],[CONTA]],BaseContasDRE[#All],7,FALSE))</f>
        <v>Fora do DRE</v>
      </c>
      <c r="V1068" s="3" t="str">
        <f>IF(Base_Periodo1[[#This Row],[Tipo_Linha]]="Fora do DRE","Fora do DRE","( "&amp;Base_Periodo1[[#This Row],[Tipo_Linha]]&amp;" ) "&amp;Base_Periodo1[[#This Row],[Filtro]])</f>
        <v>Fora do DRE</v>
      </c>
      <c r="W1068" s="3" t="str">
        <f>LEFT(Base_Periodo1[[#This Row],[CLASS]],3)</f>
        <v>1.1</v>
      </c>
    </row>
    <row r="1069" spans="1:23" hidden="1">
      <c r="A1069" s="3" t="str">
        <f t="shared" si="16"/>
        <v>Período 1</v>
      </c>
      <c r="B1069">
        <v>32479</v>
      </c>
      <c r="C1069" t="s">
        <v>922</v>
      </c>
      <c r="D1069" t="s">
        <v>969</v>
      </c>
      <c r="E1069" s="3" t="str">
        <f>IF(LEN(Base_Periodo1[[#This Row],[CLASS]])&gt;=7,LEFT(Base_Periodo1[[#This Row],[CLASS]],7),"")</f>
        <v>1.1.2.2</v>
      </c>
      <c r="F1069" s="3" t="str">
        <f>VLOOKUP(Base_Periodo1[[#This Row],[Aux]],Base_Contas_Balanco[#All],2,FALSE)</f>
        <v>Creditos com não Cooperados</v>
      </c>
      <c r="G1069" s="1">
        <v>41831</v>
      </c>
      <c r="H1069" s="225">
        <v>65645</v>
      </c>
      <c r="I1069" s="225">
        <v>0</v>
      </c>
      <c r="J1069" s="225">
        <v>0</v>
      </c>
      <c r="K1069" s="225">
        <v>65645</v>
      </c>
      <c r="L10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65645</v>
      </c>
      <c r="M1069" s="225">
        <f>ROUND(IF(AND(Base_Periodo1[[#This Row],[Tipo_Linha]]="-",Base_Periodo1[[#This Row],[TIPOSALDO]]="D"),Base_Periodo1[[#This Row],[SALDO_ATUAL]]*-1,Base_Periodo1[[#This Row],[SALDO_ATUAL]]),4)</f>
        <v>65645</v>
      </c>
      <c r="N1069" t="s">
        <v>116</v>
      </c>
      <c r="O1069" t="s">
        <v>397</v>
      </c>
      <c r="P1069" t="s">
        <v>397</v>
      </c>
      <c r="Q1069">
        <v>7</v>
      </c>
      <c r="R1069" s="225">
        <f>Base_Periodo1[[#This Row],[CREDITOS]]-Base_Periodo1[[#This Row],[DEBITOS]]</f>
        <v>0</v>
      </c>
      <c r="S1069" s="3" t="str">
        <f>IF(ISERROR(VLOOKUP(Base_Periodo1[[#This Row],[CONTA]],BaseContasDRE[#All],4,FALSE)),"Fora do DRE",VLOOKUP(Base_Periodo1[[#This Row],[CONTA]],BaseContasDRE[#All],4,FALSE))</f>
        <v>Fora do DRE</v>
      </c>
      <c r="T1069" s="3" t="str">
        <f>IF(ISERROR(VLOOKUP(Base_Periodo1[[#This Row],[CONTA]],BaseContasDRE[#All],5,FALSE)),"Fora do DRE",VLOOKUP(Base_Periodo1[[#This Row],[CONTA]],BaseContasDRE[#All],6,FALSE))</f>
        <v>Fora do DRE</v>
      </c>
      <c r="U1069" s="3" t="str">
        <f>IF(ISERROR(VLOOKUP(Base_Periodo1[[#This Row],[CONTA]],BaseContasDRE[#All],7,FALSE)),"Fora do DRE",VLOOKUP(Base_Periodo1[[#This Row],[CONTA]],BaseContasDRE[#All],7,FALSE))</f>
        <v>Fora do DRE</v>
      </c>
      <c r="V1069" s="3" t="str">
        <f>IF(Base_Periodo1[[#This Row],[Tipo_Linha]]="Fora do DRE","Fora do DRE","( "&amp;Base_Periodo1[[#This Row],[Tipo_Linha]]&amp;" ) "&amp;Base_Periodo1[[#This Row],[Filtro]])</f>
        <v>Fora do DRE</v>
      </c>
      <c r="W1069" s="3" t="str">
        <f>LEFT(Base_Periodo1[[#This Row],[CLASS]],3)</f>
        <v>1.1</v>
      </c>
    </row>
    <row r="1070" spans="1:23" hidden="1">
      <c r="A1070" s="3" t="str">
        <f t="shared" si="16"/>
        <v>Período 1</v>
      </c>
      <c r="B1070">
        <v>7361</v>
      </c>
      <c r="C1070" t="s">
        <v>922</v>
      </c>
      <c r="D1070" t="s">
        <v>4582</v>
      </c>
      <c r="E1070" s="3" t="str">
        <f>IF(LEN(Base_Periodo1[[#This Row],[CLASS]])&gt;=7,LEFT(Base_Periodo1[[#This Row],[CLASS]],7),"")</f>
        <v>1.1.2.2</v>
      </c>
      <c r="F1070" s="3" t="str">
        <f>VLOOKUP(Base_Periodo1[[#This Row],[Aux]],Base_Contas_Balanco[#All],2,FALSE)</f>
        <v>Creditos com não Cooperados</v>
      </c>
      <c r="G1070" s="1">
        <v>42436</v>
      </c>
      <c r="H1070" s="225">
        <v>6825</v>
      </c>
      <c r="I1070" s="225">
        <v>0</v>
      </c>
      <c r="J1070" s="225">
        <v>0</v>
      </c>
      <c r="K1070" s="225">
        <v>6825</v>
      </c>
      <c r="L10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6825</v>
      </c>
      <c r="M1070" s="225">
        <f>ROUND(IF(AND(Base_Periodo1[[#This Row],[Tipo_Linha]]="-",Base_Periodo1[[#This Row],[TIPOSALDO]]="D"),Base_Periodo1[[#This Row],[SALDO_ATUAL]]*-1,Base_Periodo1[[#This Row],[SALDO_ATUAL]]),4)</f>
        <v>6825</v>
      </c>
      <c r="N1070" t="s">
        <v>116</v>
      </c>
      <c r="O1070" t="s">
        <v>397</v>
      </c>
      <c r="P1070" t="s">
        <v>397</v>
      </c>
      <c r="Q1070">
        <v>7</v>
      </c>
      <c r="R1070" s="225">
        <f>Base_Periodo1[[#This Row],[CREDITOS]]-Base_Periodo1[[#This Row],[DEBITOS]]</f>
        <v>0</v>
      </c>
      <c r="S1070" s="3" t="str">
        <f>IF(ISERROR(VLOOKUP(Base_Periodo1[[#This Row],[CONTA]],BaseContasDRE[#All],4,FALSE)),"Fora do DRE",VLOOKUP(Base_Periodo1[[#This Row],[CONTA]],BaseContasDRE[#All],4,FALSE))</f>
        <v>Fora do DRE</v>
      </c>
      <c r="T1070" s="3" t="str">
        <f>IF(ISERROR(VLOOKUP(Base_Periodo1[[#This Row],[CONTA]],BaseContasDRE[#All],5,FALSE)),"Fora do DRE",VLOOKUP(Base_Periodo1[[#This Row],[CONTA]],BaseContasDRE[#All],6,FALSE))</f>
        <v>Fora do DRE</v>
      </c>
      <c r="U1070" s="3" t="str">
        <f>IF(ISERROR(VLOOKUP(Base_Periodo1[[#This Row],[CONTA]],BaseContasDRE[#All],7,FALSE)),"Fora do DRE",VLOOKUP(Base_Periodo1[[#This Row],[CONTA]],BaseContasDRE[#All],7,FALSE))</f>
        <v>Fora do DRE</v>
      </c>
      <c r="V1070" s="3" t="str">
        <f>IF(Base_Periodo1[[#This Row],[Tipo_Linha]]="Fora do DRE","Fora do DRE","( "&amp;Base_Periodo1[[#This Row],[Tipo_Linha]]&amp;" ) "&amp;Base_Periodo1[[#This Row],[Filtro]])</f>
        <v>Fora do DRE</v>
      </c>
      <c r="W1070" s="3" t="str">
        <f>LEFT(Base_Periodo1[[#This Row],[CLASS]],3)</f>
        <v>1.1</v>
      </c>
    </row>
    <row r="1071" spans="1:23" hidden="1">
      <c r="A1071" s="3" t="str">
        <f t="shared" si="16"/>
        <v>Período 1</v>
      </c>
      <c r="B1071">
        <v>50888</v>
      </c>
      <c r="C1071" t="s">
        <v>922</v>
      </c>
      <c r="D1071" t="s">
        <v>6778</v>
      </c>
      <c r="E1071" s="3" t="str">
        <f>IF(LEN(Base_Periodo1[[#This Row],[CLASS]])&gt;=7,LEFT(Base_Periodo1[[#This Row],[CLASS]],7),"")</f>
        <v>1.1.2.2</v>
      </c>
      <c r="F1071" s="3" t="str">
        <f>VLOOKUP(Base_Periodo1[[#This Row],[Aux]],Base_Contas_Balanco[#All],2,FALSE)</f>
        <v>Creditos com não Cooperados</v>
      </c>
      <c r="G1071" s="1">
        <v>42871</v>
      </c>
      <c r="I1071" s="225">
        <v>5358</v>
      </c>
      <c r="J1071" s="225">
        <v>0</v>
      </c>
      <c r="K1071" s="225">
        <v>5358</v>
      </c>
      <c r="L10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5358</v>
      </c>
      <c r="M1071" s="225">
        <f>ROUND(IF(AND(Base_Periodo1[[#This Row],[Tipo_Linha]]="-",Base_Periodo1[[#This Row],[TIPOSALDO]]="D"),Base_Periodo1[[#This Row],[SALDO_ATUAL]]*-1,Base_Periodo1[[#This Row],[SALDO_ATUAL]]),4)</f>
        <v>5358</v>
      </c>
      <c r="N1071" t="s">
        <v>116</v>
      </c>
      <c r="O1071" t="s">
        <v>436</v>
      </c>
      <c r="P1071" t="s">
        <v>397</v>
      </c>
      <c r="Q1071">
        <v>7</v>
      </c>
      <c r="R1071" s="225">
        <f>Base_Periodo1[[#This Row],[CREDITOS]]-Base_Periodo1[[#This Row],[DEBITOS]]</f>
        <v>-5358</v>
      </c>
      <c r="S1071" s="3" t="str">
        <f>IF(ISERROR(VLOOKUP(Base_Periodo1[[#This Row],[CONTA]],BaseContasDRE[#All],4,FALSE)),"Fora do DRE",VLOOKUP(Base_Periodo1[[#This Row],[CONTA]],BaseContasDRE[#All],4,FALSE))</f>
        <v>Fora do DRE</v>
      </c>
      <c r="T1071" s="3" t="str">
        <f>IF(ISERROR(VLOOKUP(Base_Periodo1[[#This Row],[CONTA]],BaseContasDRE[#All],5,FALSE)),"Fora do DRE",VLOOKUP(Base_Periodo1[[#This Row],[CONTA]],BaseContasDRE[#All],6,FALSE))</f>
        <v>Fora do DRE</v>
      </c>
      <c r="U1071" s="3" t="str">
        <f>IF(ISERROR(VLOOKUP(Base_Periodo1[[#This Row],[CONTA]],BaseContasDRE[#All],7,FALSE)),"Fora do DRE",VLOOKUP(Base_Periodo1[[#This Row],[CONTA]],BaseContasDRE[#All],7,FALSE))</f>
        <v>Fora do DRE</v>
      </c>
      <c r="V1071" s="3" t="str">
        <f>IF(Base_Periodo1[[#This Row],[Tipo_Linha]]="Fora do DRE","Fora do DRE","( "&amp;Base_Periodo1[[#This Row],[Tipo_Linha]]&amp;" ) "&amp;Base_Periodo1[[#This Row],[Filtro]])</f>
        <v>Fora do DRE</v>
      </c>
      <c r="W1071" s="3" t="str">
        <f>LEFT(Base_Periodo1[[#This Row],[CLASS]],3)</f>
        <v>1.1</v>
      </c>
    </row>
    <row r="1072" spans="1:23" hidden="1">
      <c r="A1072" s="3" t="str">
        <f t="shared" si="16"/>
        <v>Período 1</v>
      </c>
      <c r="B1072">
        <v>8532</v>
      </c>
      <c r="C1072" t="s">
        <v>922</v>
      </c>
      <c r="D1072" t="s">
        <v>2090</v>
      </c>
      <c r="E1072" s="3" t="str">
        <f>IF(LEN(Base_Periodo1[[#This Row],[CLASS]])&gt;=7,LEFT(Base_Periodo1[[#This Row],[CLASS]],7),"")</f>
        <v>1.1.2.2</v>
      </c>
      <c r="F1072" s="3" t="str">
        <f>VLOOKUP(Base_Periodo1[[#This Row],[Aux]],Base_Contas_Balanco[#All],2,FALSE)</f>
        <v>Creditos com não Cooperados</v>
      </c>
      <c r="G1072" s="1">
        <v>42864</v>
      </c>
      <c r="I1072" s="225">
        <v>1059.6099999999999</v>
      </c>
      <c r="J1072" s="225">
        <v>1059.6099999999999</v>
      </c>
      <c r="K1072" s="225">
        <v>0</v>
      </c>
      <c r="L10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72" s="225">
        <f>ROUND(IF(AND(Base_Periodo1[[#This Row],[Tipo_Linha]]="-",Base_Periodo1[[#This Row],[TIPOSALDO]]="D"),Base_Periodo1[[#This Row],[SALDO_ATUAL]]*-1,Base_Periodo1[[#This Row],[SALDO_ATUAL]]),4)</f>
        <v>0</v>
      </c>
      <c r="N1072" t="s">
        <v>116</v>
      </c>
      <c r="O1072" t="s">
        <v>436</v>
      </c>
      <c r="P1072" t="s">
        <v>436</v>
      </c>
      <c r="Q1072">
        <v>7</v>
      </c>
      <c r="R1072" s="225">
        <f>Base_Periodo1[[#This Row],[CREDITOS]]-Base_Periodo1[[#This Row],[DEBITOS]]</f>
        <v>0</v>
      </c>
      <c r="S1072" s="3" t="str">
        <f>IF(ISERROR(VLOOKUP(Base_Periodo1[[#This Row],[CONTA]],BaseContasDRE[#All],4,FALSE)),"Fora do DRE",VLOOKUP(Base_Periodo1[[#This Row],[CONTA]],BaseContasDRE[#All],4,FALSE))</f>
        <v>Fora do DRE</v>
      </c>
      <c r="T1072" s="3" t="str">
        <f>IF(ISERROR(VLOOKUP(Base_Periodo1[[#This Row],[CONTA]],BaseContasDRE[#All],5,FALSE)),"Fora do DRE",VLOOKUP(Base_Periodo1[[#This Row],[CONTA]],BaseContasDRE[#All],6,FALSE))</f>
        <v>Fora do DRE</v>
      </c>
      <c r="U1072" s="3" t="str">
        <f>IF(ISERROR(VLOOKUP(Base_Periodo1[[#This Row],[CONTA]],BaseContasDRE[#All],7,FALSE)),"Fora do DRE",VLOOKUP(Base_Periodo1[[#This Row],[CONTA]],BaseContasDRE[#All],7,FALSE))</f>
        <v>Fora do DRE</v>
      </c>
      <c r="V1072" s="3" t="str">
        <f>IF(Base_Periodo1[[#This Row],[Tipo_Linha]]="Fora do DRE","Fora do DRE","( "&amp;Base_Periodo1[[#This Row],[Tipo_Linha]]&amp;" ) "&amp;Base_Periodo1[[#This Row],[Filtro]])</f>
        <v>Fora do DRE</v>
      </c>
      <c r="W1072" s="3" t="str">
        <f>LEFT(Base_Periodo1[[#This Row],[CLASS]],3)</f>
        <v>1.1</v>
      </c>
    </row>
    <row r="1073" spans="1:23" hidden="1">
      <c r="A1073" s="3" t="str">
        <f t="shared" si="16"/>
        <v>Período 1</v>
      </c>
      <c r="B1073">
        <v>18921</v>
      </c>
      <c r="C1073" t="s">
        <v>922</v>
      </c>
      <c r="D1073" t="s">
        <v>970</v>
      </c>
      <c r="E1073" s="3" t="str">
        <f>IF(LEN(Base_Periodo1[[#This Row],[CLASS]])&gt;=7,LEFT(Base_Periodo1[[#This Row],[CLASS]],7),"")</f>
        <v>1.1.2.2</v>
      </c>
      <c r="F1073" s="3" t="str">
        <f>VLOOKUP(Base_Periodo1[[#This Row],[Aux]],Base_Contas_Balanco[#All],2,FALSE)</f>
        <v>Creditos com não Cooperados</v>
      </c>
      <c r="G1073" s="1">
        <v>42256</v>
      </c>
      <c r="H1073" s="225">
        <v>1333.1100000000001</v>
      </c>
      <c r="I1073" s="225">
        <v>0</v>
      </c>
      <c r="J1073" s="225">
        <v>0</v>
      </c>
      <c r="K1073" s="225">
        <v>1333.1100000000001</v>
      </c>
      <c r="L10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1333.11</v>
      </c>
      <c r="M1073" s="225">
        <f>ROUND(IF(AND(Base_Periodo1[[#This Row],[Tipo_Linha]]="-",Base_Periodo1[[#This Row],[TIPOSALDO]]="D"),Base_Periodo1[[#This Row],[SALDO_ATUAL]]*-1,Base_Periodo1[[#This Row],[SALDO_ATUAL]]),4)</f>
        <v>1333.11</v>
      </c>
      <c r="N1073" t="s">
        <v>116</v>
      </c>
      <c r="O1073" t="s">
        <v>397</v>
      </c>
      <c r="P1073" t="s">
        <v>397</v>
      </c>
      <c r="Q1073">
        <v>7</v>
      </c>
      <c r="R1073" s="225">
        <f>Base_Periodo1[[#This Row],[CREDITOS]]-Base_Periodo1[[#This Row],[DEBITOS]]</f>
        <v>0</v>
      </c>
      <c r="S1073" s="3" t="str">
        <f>IF(ISERROR(VLOOKUP(Base_Periodo1[[#This Row],[CONTA]],BaseContasDRE[#All],4,FALSE)),"Fora do DRE",VLOOKUP(Base_Periodo1[[#This Row],[CONTA]],BaseContasDRE[#All],4,FALSE))</f>
        <v>Fora do DRE</v>
      </c>
      <c r="T1073" s="3" t="str">
        <f>IF(ISERROR(VLOOKUP(Base_Periodo1[[#This Row],[CONTA]],BaseContasDRE[#All],5,FALSE)),"Fora do DRE",VLOOKUP(Base_Periodo1[[#This Row],[CONTA]],BaseContasDRE[#All],6,FALSE))</f>
        <v>Fora do DRE</v>
      </c>
      <c r="U1073" s="3" t="str">
        <f>IF(ISERROR(VLOOKUP(Base_Periodo1[[#This Row],[CONTA]],BaseContasDRE[#All],7,FALSE)),"Fora do DRE",VLOOKUP(Base_Periodo1[[#This Row],[CONTA]],BaseContasDRE[#All],7,FALSE))</f>
        <v>Fora do DRE</v>
      </c>
      <c r="V1073" s="3" t="str">
        <f>IF(Base_Periodo1[[#This Row],[Tipo_Linha]]="Fora do DRE","Fora do DRE","( "&amp;Base_Periodo1[[#This Row],[Tipo_Linha]]&amp;" ) "&amp;Base_Periodo1[[#This Row],[Filtro]])</f>
        <v>Fora do DRE</v>
      </c>
      <c r="W1073" s="3" t="str">
        <f>LEFT(Base_Periodo1[[#This Row],[CLASS]],3)</f>
        <v>1.1</v>
      </c>
    </row>
    <row r="1074" spans="1:23" hidden="1">
      <c r="A1074" s="3" t="str">
        <f t="shared" si="16"/>
        <v>Período 1</v>
      </c>
      <c r="B1074">
        <v>53618</v>
      </c>
      <c r="C1074" t="s">
        <v>922</v>
      </c>
      <c r="D1074" t="s">
        <v>5871</v>
      </c>
      <c r="E1074" s="3" t="str">
        <f>IF(LEN(Base_Periodo1[[#This Row],[CLASS]])&gt;=7,LEFT(Base_Periodo1[[#This Row],[CLASS]],7),"")</f>
        <v>1.1.2.2</v>
      </c>
      <c r="F1074" s="3" t="str">
        <f>VLOOKUP(Base_Periodo1[[#This Row],[Aux]],Base_Contas_Balanco[#All],2,FALSE)</f>
        <v>Creditos com não Cooperados</v>
      </c>
      <c r="G1074" s="1">
        <v>42885</v>
      </c>
      <c r="H1074" s="225">
        <v>595534.28999999969</v>
      </c>
      <c r="I1074" s="225">
        <v>281314.63</v>
      </c>
      <c r="J1074" s="225">
        <v>733367.91999999993</v>
      </c>
      <c r="K1074" s="225">
        <v>143480.99999999977</v>
      </c>
      <c r="L10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143481</v>
      </c>
      <c r="M1074" s="225">
        <f>ROUND(IF(AND(Base_Periodo1[[#This Row],[Tipo_Linha]]="-",Base_Periodo1[[#This Row],[TIPOSALDO]]="D"),Base_Periodo1[[#This Row],[SALDO_ATUAL]]*-1,Base_Periodo1[[#This Row],[SALDO_ATUAL]]),4)</f>
        <v>143481</v>
      </c>
      <c r="N1074" t="s">
        <v>116</v>
      </c>
      <c r="O1074" t="s">
        <v>397</v>
      </c>
      <c r="P1074" t="s">
        <v>397</v>
      </c>
      <c r="Q1074">
        <v>7</v>
      </c>
      <c r="R1074" s="225">
        <f>Base_Periodo1[[#This Row],[CREDITOS]]-Base_Periodo1[[#This Row],[DEBITOS]]</f>
        <v>452053.28999999992</v>
      </c>
      <c r="S1074" s="3" t="str">
        <f>IF(ISERROR(VLOOKUP(Base_Periodo1[[#This Row],[CONTA]],BaseContasDRE[#All],4,FALSE)),"Fora do DRE",VLOOKUP(Base_Periodo1[[#This Row],[CONTA]],BaseContasDRE[#All],4,FALSE))</f>
        <v>Fora do DRE</v>
      </c>
      <c r="T1074" s="3" t="str">
        <f>IF(ISERROR(VLOOKUP(Base_Periodo1[[#This Row],[CONTA]],BaseContasDRE[#All],5,FALSE)),"Fora do DRE",VLOOKUP(Base_Periodo1[[#This Row],[CONTA]],BaseContasDRE[#All],6,FALSE))</f>
        <v>Fora do DRE</v>
      </c>
      <c r="U1074" s="3" t="str">
        <f>IF(ISERROR(VLOOKUP(Base_Periodo1[[#This Row],[CONTA]],BaseContasDRE[#All],7,FALSE)),"Fora do DRE",VLOOKUP(Base_Periodo1[[#This Row],[CONTA]],BaseContasDRE[#All],7,FALSE))</f>
        <v>Fora do DRE</v>
      </c>
      <c r="V1074" s="3" t="str">
        <f>IF(Base_Periodo1[[#This Row],[Tipo_Linha]]="Fora do DRE","Fora do DRE","( "&amp;Base_Periodo1[[#This Row],[Tipo_Linha]]&amp;" ) "&amp;Base_Periodo1[[#This Row],[Filtro]])</f>
        <v>Fora do DRE</v>
      </c>
      <c r="W1074" s="3" t="str">
        <f>LEFT(Base_Periodo1[[#This Row],[CLASS]],3)</f>
        <v>1.1</v>
      </c>
    </row>
    <row r="1075" spans="1:23" hidden="1">
      <c r="A1075" s="3" t="str">
        <f t="shared" si="16"/>
        <v>Período 1</v>
      </c>
      <c r="B1075">
        <v>32745</v>
      </c>
      <c r="C1075" t="s">
        <v>922</v>
      </c>
      <c r="D1075" t="s">
        <v>5872</v>
      </c>
      <c r="E1075" s="3" t="str">
        <f>IF(LEN(Base_Periodo1[[#This Row],[CLASS]])&gt;=7,LEFT(Base_Periodo1[[#This Row],[CLASS]],7),"")</f>
        <v>1.1.2.2</v>
      </c>
      <c r="F1075" s="3" t="str">
        <f>VLOOKUP(Base_Periodo1[[#This Row],[Aux]],Base_Contas_Balanco[#All],2,FALSE)</f>
        <v>Creditos com não Cooperados</v>
      </c>
      <c r="G1075" s="1">
        <v>42886</v>
      </c>
      <c r="I1075" s="225">
        <v>49609.1</v>
      </c>
      <c r="J1075" s="225">
        <v>23836.37</v>
      </c>
      <c r="K1075" s="225">
        <v>25772.730000003725</v>
      </c>
      <c r="L10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25772.73</v>
      </c>
      <c r="M1075" s="225">
        <f>ROUND(IF(AND(Base_Periodo1[[#This Row],[Tipo_Linha]]="-",Base_Periodo1[[#This Row],[TIPOSALDO]]="D"),Base_Periodo1[[#This Row],[SALDO_ATUAL]]*-1,Base_Periodo1[[#This Row],[SALDO_ATUAL]]),4)</f>
        <v>25772.73</v>
      </c>
      <c r="N1075" t="s">
        <v>116</v>
      </c>
      <c r="O1075" t="s">
        <v>436</v>
      </c>
      <c r="P1075" t="s">
        <v>397</v>
      </c>
      <c r="Q1075">
        <v>7</v>
      </c>
      <c r="R1075" s="225">
        <f>Base_Periodo1[[#This Row],[CREDITOS]]-Base_Periodo1[[#This Row],[DEBITOS]]</f>
        <v>-25772.73</v>
      </c>
      <c r="S1075" s="3" t="str">
        <f>IF(ISERROR(VLOOKUP(Base_Periodo1[[#This Row],[CONTA]],BaseContasDRE[#All],4,FALSE)),"Fora do DRE",VLOOKUP(Base_Periodo1[[#This Row],[CONTA]],BaseContasDRE[#All],4,FALSE))</f>
        <v>Fora do DRE</v>
      </c>
      <c r="T1075" s="3" t="str">
        <f>IF(ISERROR(VLOOKUP(Base_Periodo1[[#This Row],[CONTA]],BaseContasDRE[#All],5,FALSE)),"Fora do DRE",VLOOKUP(Base_Periodo1[[#This Row],[CONTA]],BaseContasDRE[#All],6,FALSE))</f>
        <v>Fora do DRE</v>
      </c>
      <c r="U1075" s="3" t="str">
        <f>IF(ISERROR(VLOOKUP(Base_Periodo1[[#This Row],[CONTA]],BaseContasDRE[#All],7,FALSE)),"Fora do DRE",VLOOKUP(Base_Periodo1[[#This Row],[CONTA]],BaseContasDRE[#All],7,FALSE))</f>
        <v>Fora do DRE</v>
      </c>
      <c r="V1075" s="3" t="str">
        <f>IF(Base_Periodo1[[#This Row],[Tipo_Linha]]="Fora do DRE","Fora do DRE","( "&amp;Base_Periodo1[[#This Row],[Tipo_Linha]]&amp;" ) "&amp;Base_Periodo1[[#This Row],[Filtro]])</f>
        <v>Fora do DRE</v>
      </c>
      <c r="W1075" s="3" t="str">
        <f>LEFT(Base_Periodo1[[#This Row],[CLASS]],3)</f>
        <v>1.1</v>
      </c>
    </row>
    <row r="1076" spans="1:23" hidden="1">
      <c r="A1076" s="3" t="str">
        <f t="shared" si="16"/>
        <v>Período 1</v>
      </c>
      <c r="B1076">
        <v>15414</v>
      </c>
      <c r="C1076" t="s">
        <v>922</v>
      </c>
      <c r="D1076" t="s">
        <v>971</v>
      </c>
      <c r="E1076" s="3" t="str">
        <f>IF(LEN(Base_Periodo1[[#This Row],[CLASS]])&gt;=7,LEFT(Base_Periodo1[[#This Row],[CLASS]],7),"")</f>
        <v>1.1.2.2</v>
      </c>
      <c r="F1076" s="3" t="str">
        <f>VLOOKUP(Base_Periodo1[[#This Row],[Aux]],Base_Contas_Balanco[#All],2,FALSE)</f>
        <v>Creditos com não Cooperados</v>
      </c>
      <c r="G1076" s="1">
        <v>42885</v>
      </c>
      <c r="H1076" s="225">
        <v>18994.930000000168</v>
      </c>
      <c r="I1076" s="225">
        <v>123382.23000000001</v>
      </c>
      <c r="J1076" s="225">
        <v>104927.65999999999</v>
      </c>
      <c r="K1076" s="225">
        <v>37449.500000000189</v>
      </c>
      <c r="L10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37449.5</v>
      </c>
      <c r="M1076" s="225">
        <f>ROUND(IF(AND(Base_Periodo1[[#This Row],[Tipo_Linha]]="-",Base_Periodo1[[#This Row],[TIPOSALDO]]="D"),Base_Periodo1[[#This Row],[SALDO_ATUAL]]*-1,Base_Periodo1[[#This Row],[SALDO_ATUAL]]),4)</f>
        <v>37449.5</v>
      </c>
      <c r="N1076" t="s">
        <v>116</v>
      </c>
      <c r="O1076" t="s">
        <v>397</v>
      </c>
      <c r="P1076" t="s">
        <v>397</v>
      </c>
      <c r="Q1076">
        <v>7</v>
      </c>
      <c r="R1076" s="225">
        <f>Base_Periodo1[[#This Row],[CREDITOS]]-Base_Periodo1[[#This Row],[DEBITOS]]</f>
        <v>-18454.570000000022</v>
      </c>
      <c r="S1076" s="3" t="str">
        <f>IF(ISERROR(VLOOKUP(Base_Periodo1[[#This Row],[CONTA]],BaseContasDRE[#All],4,FALSE)),"Fora do DRE",VLOOKUP(Base_Periodo1[[#This Row],[CONTA]],BaseContasDRE[#All],4,FALSE))</f>
        <v>Fora do DRE</v>
      </c>
      <c r="T1076" s="3" t="str">
        <f>IF(ISERROR(VLOOKUP(Base_Periodo1[[#This Row],[CONTA]],BaseContasDRE[#All],5,FALSE)),"Fora do DRE",VLOOKUP(Base_Periodo1[[#This Row],[CONTA]],BaseContasDRE[#All],6,FALSE))</f>
        <v>Fora do DRE</v>
      </c>
      <c r="U1076" s="3" t="str">
        <f>IF(ISERROR(VLOOKUP(Base_Periodo1[[#This Row],[CONTA]],BaseContasDRE[#All],7,FALSE)),"Fora do DRE",VLOOKUP(Base_Periodo1[[#This Row],[CONTA]],BaseContasDRE[#All],7,FALSE))</f>
        <v>Fora do DRE</v>
      </c>
      <c r="V1076" s="3" t="str">
        <f>IF(Base_Periodo1[[#This Row],[Tipo_Linha]]="Fora do DRE","Fora do DRE","( "&amp;Base_Periodo1[[#This Row],[Tipo_Linha]]&amp;" ) "&amp;Base_Periodo1[[#This Row],[Filtro]])</f>
        <v>Fora do DRE</v>
      </c>
      <c r="W1076" s="3" t="str">
        <f>LEFT(Base_Periodo1[[#This Row],[CLASS]],3)</f>
        <v>1.1</v>
      </c>
    </row>
    <row r="1077" spans="1:23" hidden="1">
      <c r="A1077" s="3" t="str">
        <f t="shared" si="16"/>
        <v>Período 1</v>
      </c>
      <c r="B1077">
        <v>27369</v>
      </c>
      <c r="C1077" t="s">
        <v>922</v>
      </c>
      <c r="D1077" t="s">
        <v>6190</v>
      </c>
      <c r="E1077" s="3" t="str">
        <f>IF(LEN(Base_Periodo1[[#This Row],[CLASS]])&gt;=7,LEFT(Base_Periodo1[[#This Row],[CLASS]],7),"")</f>
        <v>1.1.2.2</v>
      </c>
      <c r="F1077" s="3" t="str">
        <f>VLOOKUP(Base_Periodo1[[#This Row],[Aux]],Base_Contas_Balanco[#All],2,FALSE)</f>
        <v>Creditos com não Cooperados</v>
      </c>
      <c r="G1077" s="1">
        <v>42879</v>
      </c>
      <c r="H1077" s="225">
        <v>3120</v>
      </c>
      <c r="I1077" s="225">
        <v>0</v>
      </c>
      <c r="J1077" s="225">
        <v>3120</v>
      </c>
      <c r="K1077" s="225">
        <v>0</v>
      </c>
      <c r="L10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77" s="225">
        <f>ROUND(IF(AND(Base_Periodo1[[#This Row],[Tipo_Linha]]="-",Base_Periodo1[[#This Row],[TIPOSALDO]]="D"),Base_Periodo1[[#This Row],[SALDO_ATUAL]]*-1,Base_Periodo1[[#This Row],[SALDO_ATUAL]]),4)</f>
        <v>0</v>
      </c>
      <c r="N1077" t="s">
        <v>116</v>
      </c>
      <c r="O1077" t="s">
        <v>397</v>
      </c>
      <c r="P1077" t="s">
        <v>436</v>
      </c>
      <c r="Q1077">
        <v>7</v>
      </c>
      <c r="R1077" s="225">
        <f>Base_Periodo1[[#This Row],[CREDITOS]]-Base_Periodo1[[#This Row],[DEBITOS]]</f>
        <v>3120</v>
      </c>
      <c r="S1077" s="3" t="str">
        <f>IF(ISERROR(VLOOKUP(Base_Periodo1[[#This Row],[CONTA]],BaseContasDRE[#All],4,FALSE)),"Fora do DRE",VLOOKUP(Base_Periodo1[[#This Row],[CONTA]],BaseContasDRE[#All],4,FALSE))</f>
        <v>Fora do DRE</v>
      </c>
      <c r="T1077" s="3" t="str">
        <f>IF(ISERROR(VLOOKUP(Base_Periodo1[[#This Row],[CONTA]],BaseContasDRE[#All],5,FALSE)),"Fora do DRE",VLOOKUP(Base_Periodo1[[#This Row],[CONTA]],BaseContasDRE[#All],6,FALSE))</f>
        <v>Fora do DRE</v>
      </c>
      <c r="U1077" s="3" t="str">
        <f>IF(ISERROR(VLOOKUP(Base_Periodo1[[#This Row],[CONTA]],BaseContasDRE[#All],7,FALSE)),"Fora do DRE",VLOOKUP(Base_Periodo1[[#This Row],[CONTA]],BaseContasDRE[#All],7,FALSE))</f>
        <v>Fora do DRE</v>
      </c>
      <c r="V1077" s="3" t="str">
        <f>IF(Base_Periodo1[[#This Row],[Tipo_Linha]]="Fora do DRE","Fora do DRE","( "&amp;Base_Periodo1[[#This Row],[Tipo_Linha]]&amp;" ) "&amp;Base_Periodo1[[#This Row],[Filtro]])</f>
        <v>Fora do DRE</v>
      </c>
      <c r="W1077" s="3" t="str">
        <f>LEFT(Base_Periodo1[[#This Row],[CLASS]],3)</f>
        <v>1.1</v>
      </c>
    </row>
    <row r="1078" spans="1:23" hidden="1">
      <c r="A1078" s="3" t="str">
        <f t="shared" si="16"/>
        <v>Período 1</v>
      </c>
      <c r="B1078">
        <v>33003</v>
      </c>
      <c r="C1078" t="s">
        <v>922</v>
      </c>
      <c r="D1078" t="s">
        <v>6779</v>
      </c>
      <c r="E1078" s="3" t="str">
        <f>IF(LEN(Base_Periodo1[[#This Row],[CLASS]])&gt;=7,LEFT(Base_Periodo1[[#This Row],[CLASS]],7),"")</f>
        <v>1.1.2.2</v>
      </c>
      <c r="F1078" s="3" t="str">
        <f>VLOOKUP(Base_Periodo1[[#This Row],[Aux]],Base_Contas_Balanco[#All],2,FALSE)</f>
        <v>Creditos com não Cooperados</v>
      </c>
      <c r="G1078" s="1">
        <v>42886</v>
      </c>
      <c r="I1078" s="225">
        <v>497365.00999999995</v>
      </c>
      <c r="J1078" s="225">
        <v>497365.00999999995</v>
      </c>
      <c r="K1078" s="225">
        <v>0</v>
      </c>
      <c r="L10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78" s="225">
        <f>ROUND(IF(AND(Base_Periodo1[[#This Row],[Tipo_Linha]]="-",Base_Periodo1[[#This Row],[TIPOSALDO]]="D"),Base_Periodo1[[#This Row],[SALDO_ATUAL]]*-1,Base_Periodo1[[#This Row],[SALDO_ATUAL]]),4)</f>
        <v>0</v>
      </c>
      <c r="N1078" t="s">
        <v>116</v>
      </c>
      <c r="O1078" t="s">
        <v>436</v>
      </c>
      <c r="P1078" t="s">
        <v>436</v>
      </c>
      <c r="Q1078">
        <v>7</v>
      </c>
      <c r="R1078" s="225">
        <f>Base_Periodo1[[#This Row],[CREDITOS]]-Base_Periodo1[[#This Row],[DEBITOS]]</f>
        <v>0</v>
      </c>
      <c r="S1078" s="3" t="str">
        <f>IF(ISERROR(VLOOKUP(Base_Periodo1[[#This Row],[CONTA]],BaseContasDRE[#All],4,FALSE)),"Fora do DRE",VLOOKUP(Base_Periodo1[[#This Row],[CONTA]],BaseContasDRE[#All],4,FALSE))</f>
        <v>Fora do DRE</v>
      </c>
      <c r="T1078" s="3" t="str">
        <f>IF(ISERROR(VLOOKUP(Base_Periodo1[[#This Row],[CONTA]],BaseContasDRE[#All],5,FALSE)),"Fora do DRE",VLOOKUP(Base_Periodo1[[#This Row],[CONTA]],BaseContasDRE[#All],6,FALSE))</f>
        <v>Fora do DRE</v>
      </c>
      <c r="U1078" s="3" t="str">
        <f>IF(ISERROR(VLOOKUP(Base_Periodo1[[#This Row],[CONTA]],BaseContasDRE[#All],7,FALSE)),"Fora do DRE",VLOOKUP(Base_Periodo1[[#This Row],[CONTA]],BaseContasDRE[#All],7,FALSE))</f>
        <v>Fora do DRE</v>
      </c>
      <c r="V1078" s="3" t="str">
        <f>IF(Base_Periodo1[[#This Row],[Tipo_Linha]]="Fora do DRE","Fora do DRE","( "&amp;Base_Periodo1[[#This Row],[Tipo_Linha]]&amp;" ) "&amp;Base_Periodo1[[#This Row],[Filtro]])</f>
        <v>Fora do DRE</v>
      </c>
      <c r="W1078" s="3" t="str">
        <f>LEFT(Base_Periodo1[[#This Row],[CLASS]],3)</f>
        <v>1.1</v>
      </c>
    </row>
    <row r="1079" spans="1:23" hidden="1">
      <c r="A1079" s="3" t="str">
        <f t="shared" si="16"/>
        <v>Período 1</v>
      </c>
      <c r="B1079">
        <v>26452</v>
      </c>
      <c r="C1079" t="s">
        <v>922</v>
      </c>
      <c r="D1079" t="s">
        <v>972</v>
      </c>
      <c r="E1079" s="3" t="str">
        <f>IF(LEN(Base_Periodo1[[#This Row],[CLASS]])&gt;=7,LEFT(Base_Periodo1[[#This Row],[CLASS]],7),"")</f>
        <v>1.1.2.2</v>
      </c>
      <c r="F1079" s="3" t="str">
        <f>VLOOKUP(Base_Periodo1[[#This Row],[Aux]],Base_Contas_Balanco[#All],2,FALSE)</f>
        <v>Creditos com não Cooperados</v>
      </c>
      <c r="G1079" s="1">
        <v>42797</v>
      </c>
      <c r="H1079" s="225">
        <v>5577.0000000000146</v>
      </c>
      <c r="I1079" s="225">
        <v>0</v>
      </c>
      <c r="J1079" s="225">
        <v>0</v>
      </c>
      <c r="K1079" s="225">
        <v>5577.0000000000146</v>
      </c>
      <c r="L10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-5577</v>
      </c>
      <c r="M1079" s="225">
        <f>ROUND(IF(AND(Base_Periodo1[[#This Row],[Tipo_Linha]]="-",Base_Periodo1[[#This Row],[TIPOSALDO]]="D"),Base_Periodo1[[#This Row],[SALDO_ATUAL]]*-1,Base_Periodo1[[#This Row],[SALDO_ATUAL]]),4)</f>
        <v>5577</v>
      </c>
      <c r="N1079" t="s">
        <v>116</v>
      </c>
      <c r="O1079" t="s">
        <v>459</v>
      </c>
      <c r="P1079" t="s">
        <v>459</v>
      </c>
      <c r="Q1079">
        <v>7</v>
      </c>
      <c r="R1079" s="225">
        <f>Base_Periodo1[[#This Row],[CREDITOS]]-Base_Periodo1[[#This Row],[DEBITOS]]</f>
        <v>0</v>
      </c>
      <c r="S1079" s="3" t="str">
        <f>IF(ISERROR(VLOOKUP(Base_Periodo1[[#This Row],[CONTA]],BaseContasDRE[#All],4,FALSE)),"Fora do DRE",VLOOKUP(Base_Periodo1[[#This Row],[CONTA]],BaseContasDRE[#All],4,FALSE))</f>
        <v>Fora do DRE</v>
      </c>
      <c r="T1079" s="3" t="str">
        <f>IF(ISERROR(VLOOKUP(Base_Periodo1[[#This Row],[CONTA]],BaseContasDRE[#All],5,FALSE)),"Fora do DRE",VLOOKUP(Base_Periodo1[[#This Row],[CONTA]],BaseContasDRE[#All],6,FALSE))</f>
        <v>Fora do DRE</v>
      </c>
      <c r="U1079" s="3" t="str">
        <f>IF(ISERROR(VLOOKUP(Base_Periodo1[[#This Row],[CONTA]],BaseContasDRE[#All],7,FALSE)),"Fora do DRE",VLOOKUP(Base_Periodo1[[#This Row],[CONTA]],BaseContasDRE[#All],7,FALSE))</f>
        <v>Fora do DRE</v>
      </c>
      <c r="V1079" s="3" t="str">
        <f>IF(Base_Periodo1[[#This Row],[Tipo_Linha]]="Fora do DRE","Fora do DRE","( "&amp;Base_Periodo1[[#This Row],[Tipo_Linha]]&amp;" ) "&amp;Base_Periodo1[[#This Row],[Filtro]])</f>
        <v>Fora do DRE</v>
      </c>
      <c r="W1079" s="3" t="str">
        <f>LEFT(Base_Periodo1[[#This Row],[CLASS]],3)</f>
        <v>1.1</v>
      </c>
    </row>
    <row r="1080" spans="1:23" hidden="1">
      <c r="A1080" s="3" t="str">
        <f t="shared" si="16"/>
        <v>Período 1</v>
      </c>
      <c r="B1080">
        <v>44387</v>
      </c>
      <c r="C1080" t="s">
        <v>922</v>
      </c>
      <c r="D1080" t="s">
        <v>790</v>
      </c>
      <c r="E1080" s="3" t="str">
        <f>IF(LEN(Base_Periodo1[[#This Row],[CLASS]])&gt;=7,LEFT(Base_Periodo1[[#This Row],[CLASS]],7),"")</f>
        <v>1.1.2.2</v>
      </c>
      <c r="F1080" s="3" t="str">
        <f>VLOOKUP(Base_Periodo1[[#This Row],[Aux]],Base_Contas_Balanco[#All],2,FALSE)</f>
        <v>Creditos com não Cooperados</v>
      </c>
      <c r="G1080" s="1">
        <v>42884</v>
      </c>
      <c r="I1080" s="225">
        <v>28934</v>
      </c>
      <c r="J1080" s="225">
        <v>3933.84</v>
      </c>
      <c r="K1080" s="225">
        <v>25000.16</v>
      </c>
      <c r="L10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25000.16</v>
      </c>
      <c r="M1080" s="225">
        <f>ROUND(IF(AND(Base_Periodo1[[#This Row],[Tipo_Linha]]="-",Base_Periodo1[[#This Row],[TIPOSALDO]]="D"),Base_Periodo1[[#This Row],[SALDO_ATUAL]]*-1,Base_Periodo1[[#This Row],[SALDO_ATUAL]]),4)</f>
        <v>25000.16</v>
      </c>
      <c r="N1080" t="s">
        <v>116</v>
      </c>
      <c r="O1080" t="s">
        <v>436</v>
      </c>
      <c r="P1080" t="s">
        <v>397</v>
      </c>
      <c r="Q1080">
        <v>7</v>
      </c>
      <c r="R1080" s="225">
        <f>Base_Periodo1[[#This Row],[CREDITOS]]-Base_Periodo1[[#This Row],[DEBITOS]]</f>
        <v>-25000.16</v>
      </c>
      <c r="S1080" s="3" t="str">
        <f>IF(ISERROR(VLOOKUP(Base_Periodo1[[#This Row],[CONTA]],BaseContasDRE[#All],4,FALSE)),"Fora do DRE",VLOOKUP(Base_Periodo1[[#This Row],[CONTA]],BaseContasDRE[#All],4,FALSE))</f>
        <v>Fora do DRE</v>
      </c>
      <c r="T1080" s="3" t="str">
        <f>IF(ISERROR(VLOOKUP(Base_Periodo1[[#This Row],[CONTA]],BaseContasDRE[#All],5,FALSE)),"Fora do DRE",VLOOKUP(Base_Periodo1[[#This Row],[CONTA]],BaseContasDRE[#All],6,FALSE))</f>
        <v>Fora do DRE</v>
      </c>
      <c r="U1080" s="3" t="str">
        <f>IF(ISERROR(VLOOKUP(Base_Periodo1[[#This Row],[CONTA]],BaseContasDRE[#All],7,FALSE)),"Fora do DRE",VLOOKUP(Base_Periodo1[[#This Row],[CONTA]],BaseContasDRE[#All],7,FALSE))</f>
        <v>Fora do DRE</v>
      </c>
      <c r="V1080" s="3" t="str">
        <f>IF(Base_Periodo1[[#This Row],[Tipo_Linha]]="Fora do DRE","Fora do DRE","( "&amp;Base_Periodo1[[#This Row],[Tipo_Linha]]&amp;" ) "&amp;Base_Periodo1[[#This Row],[Filtro]])</f>
        <v>Fora do DRE</v>
      </c>
      <c r="W1080" s="3" t="str">
        <f>LEFT(Base_Periodo1[[#This Row],[CLASS]],3)</f>
        <v>1.1</v>
      </c>
    </row>
    <row r="1081" spans="1:23" hidden="1">
      <c r="A1081" s="3" t="str">
        <f t="shared" si="16"/>
        <v>Período 1</v>
      </c>
      <c r="B1081">
        <v>4664</v>
      </c>
      <c r="C1081" t="s">
        <v>922</v>
      </c>
      <c r="D1081" t="s">
        <v>6191</v>
      </c>
      <c r="E1081" s="3" t="str">
        <f>IF(LEN(Base_Periodo1[[#This Row],[CLASS]])&gt;=7,LEFT(Base_Periodo1[[#This Row],[CLASS]],7),"")</f>
        <v>1.1.2.2</v>
      </c>
      <c r="F1081" s="3" t="str">
        <f>VLOOKUP(Base_Periodo1[[#This Row],[Aux]],Base_Contas_Balanco[#All],2,FALSE)</f>
        <v>Creditos com não Cooperados</v>
      </c>
      <c r="G1081" s="1">
        <v>42884</v>
      </c>
      <c r="H1081" s="225">
        <v>8560</v>
      </c>
      <c r="I1081" s="225">
        <v>5330</v>
      </c>
      <c r="J1081" s="225">
        <v>8560</v>
      </c>
      <c r="K1081" s="225">
        <v>5330</v>
      </c>
      <c r="L10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5330</v>
      </c>
      <c r="M1081" s="225">
        <f>ROUND(IF(AND(Base_Periodo1[[#This Row],[Tipo_Linha]]="-",Base_Periodo1[[#This Row],[TIPOSALDO]]="D"),Base_Periodo1[[#This Row],[SALDO_ATUAL]]*-1,Base_Periodo1[[#This Row],[SALDO_ATUAL]]),4)</f>
        <v>5330</v>
      </c>
      <c r="N1081" t="s">
        <v>116</v>
      </c>
      <c r="O1081" t="s">
        <v>397</v>
      </c>
      <c r="P1081" t="s">
        <v>397</v>
      </c>
      <c r="Q1081">
        <v>7</v>
      </c>
      <c r="R1081" s="225">
        <f>Base_Periodo1[[#This Row],[CREDITOS]]-Base_Periodo1[[#This Row],[DEBITOS]]</f>
        <v>3230</v>
      </c>
      <c r="S1081" s="3" t="str">
        <f>IF(ISERROR(VLOOKUP(Base_Periodo1[[#This Row],[CONTA]],BaseContasDRE[#All],4,FALSE)),"Fora do DRE",VLOOKUP(Base_Periodo1[[#This Row],[CONTA]],BaseContasDRE[#All],4,FALSE))</f>
        <v>Fora do DRE</v>
      </c>
      <c r="T1081" s="3" t="str">
        <f>IF(ISERROR(VLOOKUP(Base_Periodo1[[#This Row],[CONTA]],BaseContasDRE[#All],5,FALSE)),"Fora do DRE",VLOOKUP(Base_Periodo1[[#This Row],[CONTA]],BaseContasDRE[#All],6,FALSE))</f>
        <v>Fora do DRE</v>
      </c>
      <c r="U1081" s="3" t="str">
        <f>IF(ISERROR(VLOOKUP(Base_Periodo1[[#This Row],[CONTA]],BaseContasDRE[#All],7,FALSE)),"Fora do DRE",VLOOKUP(Base_Periodo1[[#This Row],[CONTA]],BaseContasDRE[#All],7,FALSE))</f>
        <v>Fora do DRE</v>
      </c>
      <c r="V1081" s="3" t="str">
        <f>IF(Base_Periodo1[[#This Row],[Tipo_Linha]]="Fora do DRE","Fora do DRE","( "&amp;Base_Periodo1[[#This Row],[Tipo_Linha]]&amp;" ) "&amp;Base_Periodo1[[#This Row],[Filtro]])</f>
        <v>Fora do DRE</v>
      </c>
      <c r="W1081" s="3" t="str">
        <f>LEFT(Base_Periodo1[[#This Row],[CLASS]],3)</f>
        <v>1.1</v>
      </c>
    </row>
    <row r="1082" spans="1:23" hidden="1">
      <c r="A1082" s="3" t="str">
        <f t="shared" si="16"/>
        <v>Período 1</v>
      </c>
      <c r="B1082">
        <v>49757</v>
      </c>
      <c r="C1082" t="s">
        <v>922</v>
      </c>
      <c r="D1082" t="s">
        <v>5873</v>
      </c>
      <c r="E1082" s="3" t="str">
        <f>IF(LEN(Base_Periodo1[[#This Row],[CLASS]])&gt;=7,LEFT(Base_Periodo1[[#This Row],[CLASS]],7),"")</f>
        <v>1.1.2.2</v>
      </c>
      <c r="F1082" s="3" t="str">
        <f>VLOOKUP(Base_Periodo1[[#This Row],[Aux]],Base_Contas_Balanco[#All],2,FALSE)</f>
        <v>Creditos com não Cooperados</v>
      </c>
      <c r="G1082" s="1">
        <v>42868</v>
      </c>
      <c r="H1082" s="225">
        <v>1050.0000000000036</v>
      </c>
      <c r="I1082" s="225">
        <v>550</v>
      </c>
      <c r="J1082" s="225">
        <v>0</v>
      </c>
      <c r="K1082" s="225">
        <v>1600.0000000000036</v>
      </c>
      <c r="L10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1600</v>
      </c>
      <c r="M1082" s="225">
        <f>ROUND(IF(AND(Base_Periodo1[[#This Row],[Tipo_Linha]]="-",Base_Periodo1[[#This Row],[TIPOSALDO]]="D"),Base_Periodo1[[#This Row],[SALDO_ATUAL]]*-1,Base_Periodo1[[#This Row],[SALDO_ATUAL]]),4)</f>
        <v>1600</v>
      </c>
      <c r="N1082" t="s">
        <v>116</v>
      </c>
      <c r="O1082" t="s">
        <v>397</v>
      </c>
      <c r="P1082" t="s">
        <v>397</v>
      </c>
      <c r="Q1082">
        <v>7</v>
      </c>
      <c r="R1082" s="225">
        <f>Base_Periodo1[[#This Row],[CREDITOS]]-Base_Periodo1[[#This Row],[DEBITOS]]</f>
        <v>-550</v>
      </c>
      <c r="S1082" s="3" t="str">
        <f>IF(ISERROR(VLOOKUP(Base_Periodo1[[#This Row],[CONTA]],BaseContasDRE[#All],4,FALSE)),"Fora do DRE",VLOOKUP(Base_Periodo1[[#This Row],[CONTA]],BaseContasDRE[#All],4,FALSE))</f>
        <v>Fora do DRE</v>
      </c>
      <c r="T1082" s="3" t="str">
        <f>IF(ISERROR(VLOOKUP(Base_Periodo1[[#This Row],[CONTA]],BaseContasDRE[#All],5,FALSE)),"Fora do DRE",VLOOKUP(Base_Periodo1[[#This Row],[CONTA]],BaseContasDRE[#All],6,FALSE))</f>
        <v>Fora do DRE</v>
      </c>
      <c r="U1082" s="3" t="str">
        <f>IF(ISERROR(VLOOKUP(Base_Periodo1[[#This Row],[CONTA]],BaseContasDRE[#All],7,FALSE)),"Fora do DRE",VLOOKUP(Base_Periodo1[[#This Row],[CONTA]],BaseContasDRE[#All],7,FALSE))</f>
        <v>Fora do DRE</v>
      </c>
      <c r="V1082" s="3" t="str">
        <f>IF(Base_Periodo1[[#This Row],[Tipo_Linha]]="Fora do DRE","Fora do DRE","( "&amp;Base_Periodo1[[#This Row],[Tipo_Linha]]&amp;" ) "&amp;Base_Periodo1[[#This Row],[Filtro]])</f>
        <v>Fora do DRE</v>
      </c>
      <c r="W1082" s="3" t="str">
        <f>LEFT(Base_Periodo1[[#This Row],[CLASS]],3)</f>
        <v>1.1</v>
      </c>
    </row>
    <row r="1083" spans="1:23" hidden="1">
      <c r="A1083" s="3" t="str">
        <f t="shared" si="16"/>
        <v>Período 1</v>
      </c>
      <c r="B1083">
        <v>39593</v>
      </c>
      <c r="C1083" t="s">
        <v>922</v>
      </c>
      <c r="D1083" t="s">
        <v>973</v>
      </c>
      <c r="E1083" s="3" t="str">
        <f>IF(LEN(Base_Periodo1[[#This Row],[CLASS]])&gt;=7,LEFT(Base_Periodo1[[#This Row],[CLASS]],7),"")</f>
        <v>1.1.2.2</v>
      </c>
      <c r="F1083" s="3" t="str">
        <f>VLOOKUP(Base_Periodo1[[#This Row],[Aux]],Base_Contas_Balanco[#All],2,FALSE)</f>
        <v>Creditos com não Cooperados</v>
      </c>
      <c r="G1083" s="1">
        <v>42884</v>
      </c>
      <c r="H1083" s="225">
        <v>10000</v>
      </c>
      <c r="I1083" s="225">
        <v>10000</v>
      </c>
      <c r="J1083" s="225">
        <v>0</v>
      </c>
      <c r="K1083" s="225">
        <v>20000</v>
      </c>
      <c r="L10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20000</v>
      </c>
      <c r="M1083" s="225">
        <f>ROUND(IF(AND(Base_Periodo1[[#This Row],[Tipo_Linha]]="-",Base_Periodo1[[#This Row],[TIPOSALDO]]="D"),Base_Periodo1[[#This Row],[SALDO_ATUAL]]*-1,Base_Periodo1[[#This Row],[SALDO_ATUAL]]),4)</f>
        <v>20000</v>
      </c>
      <c r="N1083" t="s">
        <v>116</v>
      </c>
      <c r="O1083" t="s">
        <v>397</v>
      </c>
      <c r="P1083" t="s">
        <v>397</v>
      </c>
      <c r="Q1083">
        <v>7</v>
      </c>
      <c r="R1083" s="225">
        <f>Base_Periodo1[[#This Row],[CREDITOS]]-Base_Periodo1[[#This Row],[DEBITOS]]</f>
        <v>-10000</v>
      </c>
      <c r="S1083" s="3" t="str">
        <f>IF(ISERROR(VLOOKUP(Base_Periodo1[[#This Row],[CONTA]],BaseContasDRE[#All],4,FALSE)),"Fora do DRE",VLOOKUP(Base_Periodo1[[#This Row],[CONTA]],BaseContasDRE[#All],4,FALSE))</f>
        <v>Fora do DRE</v>
      </c>
      <c r="T1083" s="3" t="str">
        <f>IF(ISERROR(VLOOKUP(Base_Periodo1[[#This Row],[CONTA]],BaseContasDRE[#All],5,FALSE)),"Fora do DRE",VLOOKUP(Base_Periodo1[[#This Row],[CONTA]],BaseContasDRE[#All],6,FALSE))</f>
        <v>Fora do DRE</v>
      </c>
      <c r="U1083" s="3" t="str">
        <f>IF(ISERROR(VLOOKUP(Base_Periodo1[[#This Row],[CONTA]],BaseContasDRE[#All],7,FALSE)),"Fora do DRE",VLOOKUP(Base_Periodo1[[#This Row],[CONTA]],BaseContasDRE[#All],7,FALSE))</f>
        <v>Fora do DRE</v>
      </c>
      <c r="V1083" s="3" t="str">
        <f>IF(Base_Periodo1[[#This Row],[Tipo_Linha]]="Fora do DRE","Fora do DRE","( "&amp;Base_Periodo1[[#This Row],[Tipo_Linha]]&amp;" ) "&amp;Base_Periodo1[[#This Row],[Filtro]])</f>
        <v>Fora do DRE</v>
      </c>
      <c r="W1083" s="3" t="str">
        <f>LEFT(Base_Periodo1[[#This Row],[CLASS]],3)</f>
        <v>1.1</v>
      </c>
    </row>
    <row r="1084" spans="1:23" hidden="1">
      <c r="A1084" s="3" t="str">
        <f t="shared" si="16"/>
        <v>Período 1</v>
      </c>
      <c r="B1084">
        <v>45367</v>
      </c>
      <c r="C1084" t="s">
        <v>922</v>
      </c>
      <c r="D1084" t="s">
        <v>795</v>
      </c>
      <c r="E1084" s="3" t="str">
        <f>IF(LEN(Base_Periodo1[[#This Row],[CLASS]])&gt;=7,LEFT(Base_Periodo1[[#This Row],[CLASS]],7),"")</f>
        <v>1.1.2.2</v>
      </c>
      <c r="F1084" s="3" t="str">
        <f>VLOOKUP(Base_Periodo1[[#This Row],[Aux]],Base_Contas_Balanco[#All],2,FALSE)</f>
        <v>Creditos com não Cooperados</v>
      </c>
      <c r="G1084" s="1">
        <v>42299</v>
      </c>
      <c r="H1084" s="225">
        <v>35.33</v>
      </c>
      <c r="I1084" s="225">
        <v>0</v>
      </c>
      <c r="J1084" s="225">
        <v>0</v>
      </c>
      <c r="K1084" s="225">
        <v>35.33</v>
      </c>
      <c r="L10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35.33</v>
      </c>
      <c r="M1084" s="225">
        <f>ROUND(IF(AND(Base_Periodo1[[#This Row],[Tipo_Linha]]="-",Base_Periodo1[[#This Row],[TIPOSALDO]]="D"),Base_Periodo1[[#This Row],[SALDO_ATUAL]]*-1,Base_Periodo1[[#This Row],[SALDO_ATUAL]]),4)</f>
        <v>35.33</v>
      </c>
      <c r="N1084" t="s">
        <v>116</v>
      </c>
      <c r="O1084" t="s">
        <v>397</v>
      </c>
      <c r="P1084" t="s">
        <v>397</v>
      </c>
      <c r="Q1084">
        <v>7</v>
      </c>
      <c r="R1084" s="225">
        <f>Base_Periodo1[[#This Row],[CREDITOS]]-Base_Periodo1[[#This Row],[DEBITOS]]</f>
        <v>0</v>
      </c>
      <c r="S1084" s="3" t="str">
        <f>IF(ISERROR(VLOOKUP(Base_Periodo1[[#This Row],[CONTA]],BaseContasDRE[#All],4,FALSE)),"Fora do DRE",VLOOKUP(Base_Periodo1[[#This Row],[CONTA]],BaseContasDRE[#All],4,FALSE))</f>
        <v>Fora do DRE</v>
      </c>
      <c r="T1084" s="3" t="str">
        <f>IF(ISERROR(VLOOKUP(Base_Periodo1[[#This Row],[CONTA]],BaseContasDRE[#All],5,FALSE)),"Fora do DRE",VLOOKUP(Base_Periodo1[[#This Row],[CONTA]],BaseContasDRE[#All],6,FALSE))</f>
        <v>Fora do DRE</v>
      </c>
      <c r="U1084" s="3" t="str">
        <f>IF(ISERROR(VLOOKUP(Base_Periodo1[[#This Row],[CONTA]],BaseContasDRE[#All],7,FALSE)),"Fora do DRE",VLOOKUP(Base_Periodo1[[#This Row],[CONTA]],BaseContasDRE[#All],7,FALSE))</f>
        <v>Fora do DRE</v>
      </c>
      <c r="V1084" s="3" t="str">
        <f>IF(Base_Periodo1[[#This Row],[Tipo_Linha]]="Fora do DRE","Fora do DRE","( "&amp;Base_Periodo1[[#This Row],[Tipo_Linha]]&amp;" ) "&amp;Base_Periodo1[[#This Row],[Filtro]])</f>
        <v>Fora do DRE</v>
      </c>
      <c r="W1084" s="3" t="str">
        <f>LEFT(Base_Periodo1[[#This Row],[CLASS]],3)</f>
        <v>1.1</v>
      </c>
    </row>
    <row r="1085" spans="1:23" hidden="1">
      <c r="A1085" s="3" t="str">
        <f t="shared" si="16"/>
        <v>Período 1</v>
      </c>
      <c r="B1085">
        <v>3324</v>
      </c>
      <c r="C1085" t="s">
        <v>922</v>
      </c>
      <c r="D1085" t="s">
        <v>5188</v>
      </c>
      <c r="E1085" s="3" t="str">
        <f>IF(LEN(Base_Periodo1[[#This Row],[CLASS]])&gt;=7,LEFT(Base_Periodo1[[#This Row],[CLASS]],7),"")</f>
        <v>1.1.2.2</v>
      </c>
      <c r="F1085" s="3" t="str">
        <f>VLOOKUP(Base_Periodo1[[#This Row],[Aux]],Base_Contas_Balanco[#All],2,FALSE)</f>
        <v>Creditos com não Cooperados</v>
      </c>
      <c r="G1085" s="1">
        <v>42765</v>
      </c>
      <c r="H1085" s="225">
        <v>130</v>
      </c>
      <c r="I1085" s="225">
        <v>0</v>
      </c>
      <c r="J1085" s="225">
        <v>0</v>
      </c>
      <c r="K1085" s="225">
        <v>130</v>
      </c>
      <c r="L10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</v>
      </c>
      <c r="M1085" s="225">
        <f>ROUND(IF(AND(Base_Periodo1[[#This Row],[Tipo_Linha]]="-",Base_Periodo1[[#This Row],[TIPOSALDO]]="D"),Base_Periodo1[[#This Row],[SALDO_ATUAL]]*-1,Base_Periodo1[[#This Row],[SALDO_ATUAL]]),4)</f>
        <v>130</v>
      </c>
      <c r="N1085" t="s">
        <v>116</v>
      </c>
      <c r="O1085" t="s">
        <v>397</v>
      </c>
      <c r="P1085" t="s">
        <v>397</v>
      </c>
      <c r="Q1085">
        <v>7</v>
      </c>
      <c r="R1085" s="225">
        <f>Base_Periodo1[[#This Row],[CREDITOS]]-Base_Periodo1[[#This Row],[DEBITOS]]</f>
        <v>0</v>
      </c>
      <c r="S1085" s="3" t="str">
        <f>IF(ISERROR(VLOOKUP(Base_Periodo1[[#This Row],[CONTA]],BaseContasDRE[#All],4,FALSE)),"Fora do DRE",VLOOKUP(Base_Periodo1[[#This Row],[CONTA]],BaseContasDRE[#All],4,FALSE))</f>
        <v>Fora do DRE</v>
      </c>
      <c r="T1085" s="3" t="str">
        <f>IF(ISERROR(VLOOKUP(Base_Periodo1[[#This Row],[CONTA]],BaseContasDRE[#All],5,FALSE)),"Fora do DRE",VLOOKUP(Base_Periodo1[[#This Row],[CONTA]],BaseContasDRE[#All],6,FALSE))</f>
        <v>Fora do DRE</v>
      </c>
      <c r="U1085" s="3" t="str">
        <f>IF(ISERROR(VLOOKUP(Base_Periodo1[[#This Row],[CONTA]],BaseContasDRE[#All],7,FALSE)),"Fora do DRE",VLOOKUP(Base_Periodo1[[#This Row],[CONTA]],BaseContasDRE[#All],7,FALSE))</f>
        <v>Fora do DRE</v>
      </c>
      <c r="V1085" s="3" t="str">
        <f>IF(Base_Periodo1[[#This Row],[Tipo_Linha]]="Fora do DRE","Fora do DRE","( "&amp;Base_Periodo1[[#This Row],[Tipo_Linha]]&amp;" ) "&amp;Base_Periodo1[[#This Row],[Filtro]])</f>
        <v>Fora do DRE</v>
      </c>
      <c r="W1085" s="3" t="str">
        <f>LEFT(Base_Periodo1[[#This Row],[CLASS]],3)</f>
        <v>1.1</v>
      </c>
    </row>
    <row r="1086" spans="1:23" hidden="1">
      <c r="A1086" s="3" t="str">
        <f t="shared" si="16"/>
        <v>Período 1</v>
      </c>
      <c r="B1086">
        <v>27513</v>
      </c>
      <c r="C1086" t="s">
        <v>922</v>
      </c>
      <c r="D1086" t="s">
        <v>974</v>
      </c>
      <c r="E1086" s="3" t="str">
        <f>IF(LEN(Base_Periodo1[[#This Row],[CLASS]])&gt;=7,LEFT(Base_Periodo1[[#This Row],[CLASS]],7),"")</f>
        <v>1.1.2.2</v>
      </c>
      <c r="F1086" s="3" t="str">
        <f>VLOOKUP(Base_Periodo1[[#This Row],[Aux]],Base_Contas_Balanco[#All],2,FALSE)</f>
        <v>Creditos com não Cooperados</v>
      </c>
      <c r="G1086" s="1">
        <v>42163</v>
      </c>
      <c r="H1086" s="225">
        <v>2.3299999999871943</v>
      </c>
      <c r="I1086" s="225">
        <v>0</v>
      </c>
      <c r="J1086" s="225">
        <v>0</v>
      </c>
      <c r="K1086" s="225">
        <v>2.3299999999871943</v>
      </c>
      <c r="L10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2.33</v>
      </c>
      <c r="M1086" s="225">
        <f>ROUND(IF(AND(Base_Periodo1[[#This Row],[Tipo_Linha]]="-",Base_Periodo1[[#This Row],[TIPOSALDO]]="D"),Base_Periodo1[[#This Row],[SALDO_ATUAL]]*-1,Base_Periodo1[[#This Row],[SALDO_ATUAL]]),4)</f>
        <v>2.33</v>
      </c>
      <c r="N1086" t="s">
        <v>116</v>
      </c>
      <c r="O1086" t="s">
        <v>397</v>
      </c>
      <c r="P1086" t="s">
        <v>397</v>
      </c>
      <c r="Q1086">
        <v>7</v>
      </c>
      <c r="R1086" s="225">
        <f>Base_Periodo1[[#This Row],[CREDITOS]]-Base_Periodo1[[#This Row],[DEBITOS]]</f>
        <v>0</v>
      </c>
      <c r="S1086" s="3" t="str">
        <f>IF(ISERROR(VLOOKUP(Base_Periodo1[[#This Row],[CONTA]],BaseContasDRE[#All],4,FALSE)),"Fora do DRE",VLOOKUP(Base_Periodo1[[#This Row],[CONTA]],BaseContasDRE[#All],4,FALSE))</f>
        <v>Fora do DRE</v>
      </c>
      <c r="T1086" s="3" t="str">
        <f>IF(ISERROR(VLOOKUP(Base_Periodo1[[#This Row],[CONTA]],BaseContasDRE[#All],5,FALSE)),"Fora do DRE",VLOOKUP(Base_Periodo1[[#This Row],[CONTA]],BaseContasDRE[#All],6,FALSE))</f>
        <v>Fora do DRE</v>
      </c>
      <c r="U1086" s="3" t="str">
        <f>IF(ISERROR(VLOOKUP(Base_Periodo1[[#This Row],[CONTA]],BaseContasDRE[#All],7,FALSE)),"Fora do DRE",VLOOKUP(Base_Periodo1[[#This Row],[CONTA]],BaseContasDRE[#All],7,FALSE))</f>
        <v>Fora do DRE</v>
      </c>
      <c r="V1086" s="3" t="str">
        <f>IF(Base_Periodo1[[#This Row],[Tipo_Linha]]="Fora do DRE","Fora do DRE","( "&amp;Base_Periodo1[[#This Row],[Tipo_Linha]]&amp;" ) "&amp;Base_Periodo1[[#This Row],[Filtro]])</f>
        <v>Fora do DRE</v>
      </c>
      <c r="W1086" s="3" t="str">
        <f>LEFT(Base_Periodo1[[#This Row],[CLASS]],3)</f>
        <v>1.1</v>
      </c>
    </row>
    <row r="1087" spans="1:23" hidden="1">
      <c r="A1087" s="3" t="str">
        <f t="shared" si="16"/>
        <v>Período 1</v>
      </c>
      <c r="B1087">
        <v>29310</v>
      </c>
      <c r="C1087" t="s">
        <v>922</v>
      </c>
      <c r="D1087" t="s">
        <v>6780</v>
      </c>
      <c r="E1087" s="3" t="str">
        <f>IF(LEN(Base_Periodo1[[#This Row],[CLASS]])&gt;=7,LEFT(Base_Periodo1[[#This Row],[CLASS]],7),"")</f>
        <v>1.1.2.2</v>
      </c>
      <c r="F1087" s="3" t="str">
        <f>VLOOKUP(Base_Periodo1[[#This Row],[Aux]],Base_Contas_Balanco[#All],2,FALSE)</f>
        <v>Creditos com não Cooperados</v>
      </c>
      <c r="G1087" s="1">
        <v>42881</v>
      </c>
      <c r="I1087" s="225">
        <v>380</v>
      </c>
      <c r="J1087" s="225">
        <v>380</v>
      </c>
      <c r="K1087" s="225">
        <v>0</v>
      </c>
      <c r="L10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87" s="225">
        <f>ROUND(IF(AND(Base_Periodo1[[#This Row],[Tipo_Linha]]="-",Base_Periodo1[[#This Row],[TIPOSALDO]]="D"),Base_Periodo1[[#This Row],[SALDO_ATUAL]]*-1,Base_Periodo1[[#This Row],[SALDO_ATUAL]]),4)</f>
        <v>0</v>
      </c>
      <c r="N1087" t="s">
        <v>116</v>
      </c>
      <c r="O1087" t="s">
        <v>436</v>
      </c>
      <c r="P1087" t="s">
        <v>436</v>
      </c>
      <c r="Q1087">
        <v>7</v>
      </c>
      <c r="R1087" s="225">
        <f>Base_Periodo1[[#This Row],[CREDITOS]]-Base_Periodo1[[#This Row],[DEBITOS]]</f>
        <v>0</v>
      </c>
      <c r="S1087" s="3" t="str">
        <f>IF(ISERROR(VLOOKUP(Base_Periodo1[[#This Row],[CONTA]],BaseContasDRE[#All],4,FALSE)),"Fora do DRE",VLOOKUP(Base_Periodo1[[#This Row],[CONTA]],BaseContasDRE[#All],4,FALSE))</f>
        <v>Fora do DRE</v>
      </c>
      <c r="T1087" s="3" t="str">
        <f>IF(ISERROR(VLOOKUP(Base_Periodo1[[#This Row],[CONTA]],BaseContasDRE[#All],5,FALSE)),"Fora do DRE",VLOOKUP(Base_Periodo1[[#This Row],[CONTA]],BaseContasDRE[#All],6,FALSE))</f>
        <v>Fora do DRE</v>
      </c>
      <c r="U1087" s="3" t="str">
        <f>IF(ISERROR(VLOOKUP(Base_Periodo1[[#This Row],[CONTA]],BaseContasDRE[#All],7,FALSE)),"Fora do DRE",VLOOKUP(Base_Periodo1[[#This Row],[CONTA]],BaseContasDRE[#All],7,FALSE))</f>
        <v>Fora do DRE</v>
      </c>
      <c r="V1087" s="3" t="str">
        <f>IF(Base_Periodo1[[#This Row],[Tipo_Linha]]="Fora do DRE","Fora do DRE","( "&amp;Base_Periodo1[[#This Row],[Tipo_Linha]]&amp;" ) "&amp;Base_Periodo1[[#This Row],[Filtro]])</f>
        <v>Fora do DRE</v>
      </c>
      <c r="W1087" s="3" t="str">
        <f>LEFT(Base_Periodo1[[#This Row],[CLASS]],3)</f>
        <v>1.1</v>
      </c>
    </row>
    <row r="1088" spans="1:23" hidden="1">
      <c r="A1088" s="3" t="str">
        <f t="shared" si="16"/>
        <v>Período 1</v>
      </c>
      <c r="B1088">
        <v>14348</v>
      </c>
      <c r="C1088" t="s">
        <v>922</v>
      </c>
      <c r="D1088" t="s">
        <v>5083</v>
      </c>
      <c r="E1088" s="3" t="str">
        <f>IF(LEN(Base_Periodo1[[#This Row],[CLASS]])&gt;=7,LEFT(Base_Periodo1[[#This Row],[CLASS]],7),"")</f>
        <v>1.1.2.2</v>
      </c>
      <c r="F1088" s="3" t="str">
        <f>VLOOKUP(Base_Periodo1[[#This Row],[Aux]],Base_Contas_Balanco[#All],2,FALSE)</f>
        <v>Creditos com não Cooperados</v>
      </c>
      <c r="G1088" s="1">
        <v>42824</v>
      </c>
      <c r="H1088" s="225">
        <v>4092</v>
      </c>
      <c r="I1088" s="225">
        <v>0</v>
      </c>
      <c r="J1088" s="225">
        <v>0</v>
      </c>
      <c r="K1088" s="225">
        <v>4092</v>
      </c>
      <c r="L10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4092</v>
      </c>
      <c r="M1088" s="225">
        <f>ROUND(IF(AND(Base_Periodo1[[#This Row],[Tipo_Linha]]="-",Base_Periodo1[[#This Row],[TIPOSALDO]]="D"),Base_Periodo1[[#This Row],[SALDO_ATUAL]]*-1,Base_Periodo1[[#This Row],[SALDO_ATUAL]]),4)</f>
        <v>4092</v>
      </c>
      <c r="N1088" t="s">
        <v>116</v>
      </c>
      <c r="O1088" t="s">
        <v>397</v>
      </c>
      <c r="P1088" t="s">
        <v>397</v>
      </c>
      <c r="Q1088">
        <v>7</v>
      </c>
      <c r="R1088" s="225">
        <f>Base_Periodo1[[#This Row],[CREDITOS]]-Base_Periodo1[[#This Row],[DEBITOS]]</f>
        <v>0</v>
      </c>
      <c r="S1088" s="3" t="str">
        <f>IF(ISERROR(VLOOKUP(Base_Periodo1[[#This Row],[CONTA]],BaseContasDRE[#All],4,FALSE)),"Fora do DRE",VLOOKUP(Base_Periodo1[[#This Row],[CONTA]],BaseContasDRE[#All],4,FALSE))</f>
        <v>Fora do DRE</v>
      </c>
      <c r="T1088" s="3" t="str">
        <f>IF(ISERROR(VLOOKUP(Base_Periodo1[[#This Row],[CONTA]],BaseContasDRE[#All],5,FALSE)),"Fora do DRE",VLOOKUP(Base_Periodo1[[#This Row],[CONTA]],BaseContasDRE[#All],6,FALSE))</f>
        <v>Fora do DRE</v>
      </c>
      <c r="U1088" s="3" t="str">
        <f>IF(ISERROR(VLOOKUP(Base_Periodo1[[#This Row],[CONTA]],BaseContasDRE[#All],7,FALSE)),"Fora do DRE",VLOOKUP(Base_Periodo1[[#This Row],[CONTA]],BaseContasDRE[#All],7,FALSE))</f>
        <v>Fora do DRE</v>
      </c>
      <c r="V1088" s="3" t="str">
        <f>IF(Base_Periodo1[[#This Row],[Tipo_Linha]]="Fora do DRE","Fora do DRE","( "&amp;Base_Periodo1[[#This Row],[Tipo_Linha]]&amp;" ) "&amp;Base_Periodo1[[#This Row],[Filtro]])</f>
        <v>Fora do DRE</v>
      </c>
      <c r="W1088" s="3" t="str">
        <f>LEFT(Base_Periodo1[[#This Row],[CLASS]],3)</f>
        <v>1.1</v>
      </c>
    </row>
    <row r="1089" spans="1:23" hidden="1">
      <c r="A1089" s="3" t="str">
        <f t="shared" si="16"/>
        <v>Período 1</v>
      </c>
      <c r="B1089">
        <v>25775</v>
      </c>
      <c r="C1089" t="s">
        <v>922</v>
      </c>
      <c r="D1089" t="s">
        <v>5024</v>
      </c>
      <c r="E1089" s="3" t="str">
        <f>IF(LEN(Base_Periodo1[[#This Row],[CLASS]])&gt;=7,LEFT(Base_Periodo1[[#This Row],[CLASS]],7),"")</f>
        <v>1.1.2.2</v>
      </c>
      <c r="F1089" s="3" t="str">
        <f>VLOOKUP(Base_Periodo1[[#This Row],[Aux]],Base_Contas_Balanco[#All],2,FALSE)</f>
        <v>Creditos com não Cooperados</v>
      </c>
      <c r="G1089" s="1">
        <v>42860</v>
      </c>
      <c r="I1089" s="225">
        <v>1375.4299999999998</v>
      </c>
      <c r="J1089" s="225">
        <v>151227.43</v>
      </c>
      <c r="K1089" s="225">
        <v>149852</v>
      </c>
      <c r="L10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-149852</v>
      </c>
      <c r="M1089" s="225">
        <f>ROUND(IF(AND(Base_Periodo1[[#This Row],[Tipo_Linha]]="-",Base_Periodo1[[#This Row],[TIPOSALDO]]="D"),Base_Periodo1[[#This Row],[SALDO_ATUAL]]*-1,Base_Periodo1[[#This Row],[SALDO_ATUAL]]),4)</f>
        <v>149852</v>
      </c>
      <c r="N1089" t="s">
        <v>116</v>
      </c>
      <c r="O1089" t="s">
        <v>436</v>
      </c>
      <c r="P1089" t="s">
        <v>459</v>
      </c>
      <c r="Q1089">
        <v>7</v>
      </c>
      <c r="R1089" s="225">
        <f>Base_Periodo1[[#This Row],[CREDITOS]]-Base_Periodo1[[#This Row],[DEBITOS]]</f>
        <v>149852</v>
      </c>
      <c r="S1089" s="3" t="str">
        <f>IF(ISERROR(VLOOKUP(Base_Periodo1[[#This Row],[CONTA]],BaseContasDRE[#All],4,FALSE)),"Fora do DRE",VLOOKUP(Base_Periodo1[[#This Row],[CONTA]],BaseContasDRE[#All],4,FALSE))</f>
        <v>Fora do DRE</v>
      </c>
      <c r="T1089" s="3" t="str">
        <f>IF(ISERROR(VLOOKUP(Base_Periodo1[[#This Row],[CONTA]],BaseContasDRE[#All],5,FALSE)),"Fora do DRE",VLOOKUP(Base_Periodo1[[#This Row],[CONTA]],BaseContasDRE[#All],6,FALSE))</f>
        <v>Fora do DRE</v>
      </c>
      <c r="U1089" s="3" t="str">
        <f>IF(ISERROR(VLOOKUP(Base_Periodo1[[#This Row],[CONTA]],BaseContasDRE[#All],7,FALSE)),"Fora do DRE",VLOOKUP(Base_Periodo1[[#This Row],[CONTA]],BaseContasDRE[#All],7,FALSE))</f>
        <v>Fora do DRE</v>
      </c>
      <c r="V1089" s="3" t="str">
        <f>IF(Base_Periodo1[[#This Row],[Tipo_Linha]]="Fora do DRE","Fora do DRE","( "&amp;Base_Periodo1[[#This Row],[Tipo_Linha]]&amp;" ) "&amp;Base_Periodo1[[#This Row],[Filtro]])</f>
        <v>Fora do DRE</v>
      </c>
      <c r="W1089" s="3" t="str">
        <f>LEFT(Base_Periodo1[[#This Row],[CLASS]],3)</f>
        <v>1.1</v>
      </c>
    </row>
    <row r="1090" spans="1:23" hidden="1">
      <c r="A1090" s="3" t="str">
        <f t="shared" si="16"/>
        <v>Período 1</v>
      </c>
      <c r="B1090">
        <v>26932</v>
      </c>
      <c r="C1090" t="s">
        <v>922</v>
      </c>
      <c r="D1090" t="s">
        <v>4555</v>
      </c>
      <c r="E1090" s="3" t="str">
        <f>IF(LEN(Base_Periodo1[[#This Row],[CLASS]])&gt;=7,LEFT(Base_Periodo1[[#This Row],[CLASS]],7),"")</f>
        <v>1.1.2.2</v>
      </c>
      <c r="F1090" s="3" t="str">
        <f>VLOOKUP(Base_Periodo1[[#This Row],[Aux]],Base_Contas_Balanco[#All],2,FALSE)</f>
        <v>Creditos com não Cooperados</v>
      </c>
      <c r="G1090" s="1">
        <v>42886</v>
      </c>
      <c r="I1090" s="225">
        <v>51.83</v>
      </c>
      <c r="J1090" s="225">
        <v>51.83</v>
      </c>
      <c r="K1090" s="225">
        <v>0</v>
      </c>
      <c r="L10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90" s="225">
        <f>ROUND(IF(AND(Base_Periodo1[[#This Row],[Tipo_Linha]]="-",Base_Periodo1[[#This Row],[TIPOSALDO]]="D"),Base_Periodo1[[#This Row],[SALDO_ATUAL]]*-1,Base_Periodo1[[#This Row],[SALDO_ATUAL]]),4)</f>
        <v>0</v>
      </c>
      <c r="N1090" t="s">
        <v>116</v>
      </c>
      <c r="O1090" t="s">
        <v>436</v>
      </c>
      <c r="P1090" t="s">
        <v>436</v>
      </c>
      <c r="Q1090">
        <v>7</v>
      </c>
      <c r="R1090" s="225">
        <f>Base_Periodo1[[#This Row],[CREDITOS]]-Base_Periodo1[[#This Row],[DEBITOS]]</f>
        <v>0</v>
      </c>
      <c r="S1090" s="3" t="str">
        <f>IF(ISERROR(VLOOKUP(Base_Periodo1[[#This Row],[CONTA]],BaseContasDRE[#All],4,FALSE)),"Fora do DRE",VLOOKUP(Base_Periodo1[[#This Row],[CONTA]],BaseContasDRE[#All],4,FALSE))</f>
        <v>Fora do DRE</v>
      </c>
      <c r="T1090" s="3" t="str">
        <f>IF(ISERROR(VLOOKUP(Base_Periodo1[[#This Row],[CONTA]],BaseContasDRE[#All],5,FALSE)),"Fora do DRE",VLOOKUP(Base_Periodo1[[#This Row],[CONTA]],BaseContasDRE[#All],6,FALSE))</f>
        <v>Fora do DRE</v>
      </c>
      <c r="U1090" s="3" t="str">
        <f>IF(ISERROR(VLOOKUP(Base_Periodo1[[#This Row],[CONTA]],BaseContasDRE[#All],7,FALSE)),"Fora do DRE",VLOOKUP(Base_Periodo1[[#This Row],[CONTA]],BaseContasDRE[#All],7,FALSE))</f>
        <v>Fora do DRE</v>
      </c>
      <c r="V1090" s="3" t="str">
        <f>IF(Base_Periodo1[[#This Row],[Tipo_Linha]]="Fora do DRE","Fora do DRE","( "&amp;Base_Periodo1[[#This Row],[Tipo_Linha]]&amp;" ) "&amp;Base_Periodo1[[#This Row],[Filtro]])</f>
        <v>Fora do DRE</v>
      </c>
      <c r="W1090" s="3" t="str">
        <f>LEFT(Base_Periodo1[[#This Row],[CLASS]],3)</f>
        <v>1.1</v>
      </c>
    </row>
    <row r="1091" spans="1:23" hidden="1">
      <c r="A1091" s="3" t="str">
        <f t="shared" si="16"/>
        <v>Período 1</v>
      </c>
      <c r="B1091">
        <v>40935</v>
      </c>
      <c r="C1091" t="s">
        <v>922</v>
      </c>
      <c r="D1091" t="s">
        <v>808</v>
      </c>
      <c r="E1091" s="3" t="str">
        <f>IF(LEN(Base_Periodo1[[#This Row],[CLASS]])&gt;=7,LEFT(Base_Periodo1[[#This Row],[CLASS]],7),"")</f>
        <v>1.1.2.2</v>
      </c>
      <c r="F1091" s="3" t="str">
        <f>VLOOKUP(Base_Periodo1[[#This Row],[Aux]],Base_Contas_Balanco[#All],2,FALSE)</f>
        <v>Creditos com não Cooperados</v>
      </c>
      <c r="G1091" s="1">
        <v>42256</v>
      </c>
      <c r="H1091" s="225">
        <v>5.22</v>
      </c>
      <c r="I1091" s="225">
        <v>0</v>
      </c>
      <c r="J1091" s="225">
        <v>0</v>
      </c>
      <c r="K1091" s="225">
        <v>5.22</v>
      </c>
      <c r="L10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5.22</v>
      </c>
      <c r="M1091" s="225">
        <f>ROUND(IF(AND(Base_Periodo1[[#This Row],[Tipo_Linha]]="-",Base_Periodo1[[#This Row],[TIPOSALDO]]="D"),Base_Periodo1[[#This Row],[SALDO_ATUAL]]*-1,Base_Periodo1[[#This Row],[SALDO_ATUAL]]),4)</f>
        <v>5.22</v>
      </c>
      <c r="N1091" t="s">
        <v>116</v>
      </c>
      <c r="O1091" t="s">
        <v>397</v>
      </c>
      <c r="P1091" t="s">
        <v>397</v>
      </c>
      <c r="Q1091">
        <v>7</v>
      </c>
      <c r="R1091" s="225">
        <f>Base_Periodo1[[#This Row],[CREDITOS]]-Base_Periodo1[[#This Row],[DEBITOS]]</f>
        <v>0</v>
      </c>
      <c r="S1091" s="3" t="str">
        <f>IF(ISERROR(VLOOKUP(Base_Periodo1[[#This Row],[CONTA]],BaseContasDRE[#All],4,FALSE)),"Fora do DRE",VLOOKUP(Base_Periodo1[[#This Row],[CONTA]],BaseContasDRE[#All],4,FALSE))</f>
        <v>Fora do DRE</v>
      </c>
      <c r="T1091" s="3" t="str">
        <f>IF(ISERROR(VLOOKUP(Base_Periodo1[[#This Row],[CONTA]],BaseContasDRE[#All],5,FALSE)),"Fora do DRE",VLOOKUP(Base_Periodo1[[#This Row],[CONTA]],BaseContasDRE[#All],6,FALSE))</f>
        <v>Fora do DRE</v>
      </c>
      <c r="U1091" s="3" t="str">
        <f>IF(ISERROR(VLOOKUP(Base_Periodo1[[#This Row],[CONTA]],BaseContasDRE[#All],7,FALSE)),"Fora do DRE",VLOOKUP(Base_Periodo1[[#This Row],[CONTA]],BaseContasDRE[#All],7,FALSE))</f>
        <v>Fora do DRE</v>
      </c>
      <c r="V1091" s="3" t="str">
        <f>IF(Base_Periodo1[[#This Row],[Tipo_Linha]]="Fora do DRE","Fora do DRE","( "&amp;Base_Periodo1[[#This Row],[Tipo_Linha]]&amp;" ) "&amp;Base_Periodo1[[#This Row],[Filtro]])</f>
        <v>Fora do DRE</v>
      </c>
      <c r="W1091" s="3" t="str">
        <f>LEFT(Base_Periodo1[[#This Row],[CLASS]],3)</f>
        <v>1.1</v>
      </c>
    </row>
    <row r="1092" spans="1:23" hidden="1">
      <c r="A1092" s="3" t="str">
        <f t="shared" si="16"/>
        <v>Período 1</v>
      </c>
      <c r="B1092">
        <v>38359</v>
      </c>
      <c r="C1092" t="s">
        <v>922</v>
      </c>
      <c r="D1092" t="s">
        <v>6192</v>
      </c>
      <c r="E1092" s="3" t="str">
        <f>IF(LEN(Base_Periodo1[[#This Row],[CLASS]])&gt;=7,LEFT(Base_Periodo1[[#This Row],[CLASS]],7),"")</f>
        <v>1.1.2.2</v>
      </c>
      <c r="F1092" s="3" t="str">
        <f>VLOOKUP(Base_Periodo1[[#This Row],[Aux]],Base_Contas_Balanco[#All],2,FALSE)</f>
        <v>Creditos com não Cooperados</v>
      </c>
      <c r="G1092" s="1">
        <v>42881</v>
      </c>
      <c r="H1092" s="225">
        <v>65692</v>
      </c>
      <c r="I1092" s="225">
        <v>20240</v>
      </c>
      <c r="J1092" s="225">
        <v>0</v>
      </c>
      <c r="K1092" s="225">
        <v>85932</v>
      </c>
      <c r="L10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85932</v>
      </c>
      <c r="M1092" s="225">
        <f>ROUND(IF(AND(Base_Periodo1[[#This Row],[Tipo_Linha]]="-",Base_Periodo1[[#This Row],[TIPOSALDO]]="D"),Base_Periodo1[[#This Row],[SALDO_ATUAL]]*-1,Base_Periodo1[[#This Row],[SALDO_ATUAL]]),4)</f>
        <v>85932</v>
      </c>
      <c r="N1092" t="s">
        <v>116</v>
      </c>
      <c r="O1092" t="s">
        <v>397</v>
      </c>
      <c r="P1092" t="s">
        <v>397</v>
      </c>
      <c r="Q1092">
        <v>7</v>
      </c>
      <c r="R1092" s="225">
        <f>Base_Periodo1[[#This Row],[CREDITOS]]-Base_Periodo1[[#This Row],[DEBITOS]]</f>
        <v>-20240</v>
      </c>
      <c r="S1092" s="3" t="str">
        <f>IF(ISERROR(VLOOKUP(Base_Periodo1[[#This Row],[CONTA]],BaseContasDRE[#All],4,FALSE)),"Fora do DRE",VLOOKUP(Base_Periodo1[[#This Row],[CONTA]],BaseContasDRE[#All],4,FALSE))</f>
        <v>Fora do DRE</v>
      </c>
      <c r="T1092" s="3" t="str">
        <f>IF(ISERROR(VLOOKUP(Base_Periodo1[[#This Row],[CONTA]],BaseContasDRE[#All],5,FALSE)),"Fora do DRE",VLOOKUP(Base_Periodo1[[#This Row],[CONTA]],BaseContasDRE[#All],6,FALSE))</f>
        <v>Fora do DRE</v>
      </c>
      <c r="U1092" s="3" t="str">
        <f>IF(ISERROR(VLOOKUP(Base_Periodo1[[#This Row],[CONTA]],BaseContasDRE[#All],7,FALSE)),"Fora do DRE",VLOOKUP(Base_Periodo1[[#This Row],[CONTA]],BaseContasDRE[#All],7,FALSE))</f>
        <v>Fora do DRE</v>
      </c>
      <c r="V1092" s="3" t="str">
        <f>IF(Base_Periodo1[[#This Row],[Tipo_Linha]]="Fora do DRE","Fora do DRE","( "&amp;Base_Periodo1[[#This Row],[Tipo_Linha]]&amp;" ) "&amp;Base_Periodo1[[#This Row],[Filtro]])</f>
        <v>Fora do DRE</v>
      </c>
      <c r="W1092" s="3" t="str">
        <f>LEFT(Base_Periodo1[[#This Row],[CLASS]],3)</f>
        <v>1.1</v>
      </c>
    </row>
    <row r="1093" spans="1:23" hidden="1">
      <c r="A1093" s="3" t="str">
        <f t="shared" si="16"/>
        <v>Período 1</v>
      </c>
      <c r="B1093">
        <v>57814</v>
      </c>
      <c r="C1093" t="s">
        <v>922</v>
      </c>
      <c r="D1093" t="s">
        <v>6192</v>
      </c>
      <c r="E1093" s="3" t="str">
        <f>IF(LEN(Base_Periodo1[[#This Row],[CLASS]])&gt;=7,LEFT(Base_Periodo1[[#This Row],[CLASS]],7),"")</f>
        <v>1.1.2.2</v>
      </c>
      <c r="F1093" s="3" t="str">
        <f>VLOOKUP(Base_Periodo1[[#This Row],[Aux]],Base_Contas_Balanco[#All],2,FALSE)</f>
        <v>Creditos com não Cooperados</v>
      </c>
      <c r="G1093" s="1">
        <v>42842</v>
      </c>
      <c r="H1093" s="225">
        <v>18900</v>
      </c>
      <c r="I1093" s="225">
        <v>0</v>
      </c>
      <c r="J1093" s="225">
        <v>0</v>
      </c>
      <c r="K1093" s="225">
        <v>18900</v>
      </c>
      <c r="L10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18900</v>
      </c>
      <c r="M1093" s="225">
        <f>ROUND(IF(AND(Base_Periodo1[[#This Row],[Tipo_Linha]]="-",Base_Periodo1[[#This Row],[TIPOSALDO]]="D"),Base_Periodo1[[#This Row],[SALDO_ATUAL]]*-1,Base_Periodo1[[#This Row],[SALDO_ATUAL]]),4)</f>
        <v>18900</v>
      </c>
      <c r="N1093" t="s">
        <v>116</v>
      </c>
      <c r="O1093" t="s">
        <v>397</v>
      </c>
      <c r="P1093" t="s">
        <v>397</v>
      </c>
      <c r="Q1093">
        <v>7</v>
      </c>
      <c r="R1093" s="225">
        <f>Base_Periodo1[[#This Row],[CREDITOS]]-Base_Periodo1[[#This Row],[DEBITOS]]</f>
        <v>0</v>
      </c>
      <c r="S1093" s="3" t="str">
        <f>IF(ISERROR(VLOOKUP(Base_Periodo1[[#This Row],[CONTA]],BaseContasDRE[#All],4,FALSE)),"Fora do DRE",VLOOKUP(Base_Periodo1[[#This Row],[CONTA]],BaseContasDRE[#All],4,FALSE))</f>
        <v>Fora do DRE</v>
      </c>
      <c r="T1093" s="3" t="str">
        <f>IF(ISERROR(VLOOKUP(Base_Periodo1[[#This Row],[CONTA]],BaseContasDRE[#All],5,FALSE)),"Fora do DRE",VLOOKUP(Base_Periodo1[[#This Row],[CONTA]],BaseContasDRE[#All],6,FALSE))</f>
        <v>Fora do DRE</v>
      </c>
      <c r="U1093" s="3" t="str">
        <f>IF(ISERROR(VLOOKUP(Base_Periodo1[[#This Row],[CONTA]],BaseContasDRE[#All],7,FALSE)),"Fora do DRE",VLOOKUP(Base_Periodo1[[#This Row],[CONTA]],BaseContasDRE[#All],7,FALSE))</f>
        <v>Fora do DRE</v>
      </c>
      <c r="V1093" s="3" t="str">
        <f>IF(Base_Periodo1[[#This Row],[Tipo_Linha]]="Fora do DRE","Fora do DRE","( "&amp;Base_Periodo1[[#This Row],[Tipo_Linha]]&amp;" ) "&amp;Base_Periodo1[[#This Row],[Filtro]])</f>
        <v>Fora do DRE</v>
      </c>
      <c r="W1093" s="3" t="str">
        <f>LEFT(Base_Periodo1[[#This Row],[CLASS]],3)</f>
        <v>1.1</v>
      </c>
    </row>
    <row r="1094" spans="1:23" hidden="1">
      <c r="A1094" s="3" t="str">
        <f t="shared" ref="A1094:A1157" si="17">"Período 1"</f>
        <v>Período 1</v>
      </c>
      <c r="B1094">
        <v>37900</v>
      </c>
      <c r="C1094" t="s">
        <v>922</v>
      </c>
      <c r="D1094" t="s">
        <v>6192</v>
      </c>
      <c r="E1094" s="3" t="str">
        <f>IF(LEN(Base_Periodo1[[#This Row],[CLASS]])&gt;=7,LEFT(Base_Periodo1[[#This Row],[CLASS]],7),"")</f>
        <v>1.1.2.2</v>
      </c>
      <c r="F1094" s="3" t="str">
        <f>VLOOKUP(Base_Periodo1[[#This Row],[Aux]],Base_Contas_Balanco[#All],2,FALSE)</f>
        <v>Creditos com não Cooperados</v>
      </c>
      <c r="G1094" s="1">
        <v>42842</v>
      </c>
      <c r="H1094" s="225">
        <v>18899.999999999942</v>
      </c>
      <c r="I1094" s="225">
        <v>0</v>
      </c>
      <c r="J1094" s="225">
        <v>0</v>
      </c>
      <c r="K1094" s="225">
        <v>18899.999999999942</v>
      </c>
      <c r="L10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18900</v>
      </c>
      <c r="M1094" s="225">
        <f>ROUND(IF(AND(Base_Periodo1[[#This Row],[Tipo_Linha]]="-",Base_Periodo1[[#This Row],[TIPOSALDO]]="D"),Base_Periodo1[[#This Row],[SALDO_ATUAL]]*-1,Base_Periodo1[[#This Row],[SALDO_ATUAL]]),4)</f>
        <v>18900</v>
      </c>
      <c r="N1094" t="s">
        <v>116</v>
      </c>
      <c r="O1094" t="s">
        <v>397</v>
      </c>
      <c r="P1094" t="s">
        <v>397</v>
      </c>
      <c r="Q1094">
        <v>7</v>
      </c>
      <c r="R1094" s="225">
        <f>Base_Periodo1[[#This Row],[CREDITOS]]-Base_Periodo1[[#This Row],[DEBITOS]]</f>
        <v>0</v>
      </c>
      <c r="S1094" s="3" t="str">
        <f>IF(ISERROR(VLOOKUP(Base_Periodo1[[#This Row],[CONTA]],BaseContasDRE[#All],4,FALSE)),"Fora do DRE",VLOOKUP(Base_Periodo1[[#This Row],[CONTA]],BaseContasDRE[#All],4,FALSE))</f>
        <v>Fora do DRE</v>
      </c>
      <c r="T1094" s="3" t="str">
        <f>IF(ISERROR(VLOOKUP(Base_Periodo1[[#This Row],[CONTA]],BaseContasDRE[#All],5,FALSE)),"Fora do DRE",VLOOKUP(Base_Periodo1[[#This Row],[CONTA]],BaseContasDRE[#All],6,FALSE))</f>
        <v>Fora do DRE</v>
      </c>
      <c r="U1094" s="3" t="str">
        <f>IF(ISERROR(VLOOKUP(Base_Periodo1[[#This Row],[CONTA]],BaseContasDRE[#All],7,FALSE)),"Fora do DRE",VLOOKUP(Base_Periodo1[[#This Row],[CONTA]],BaseContasDRE[#All],7,FALSE))</f>
        <v>Fora do DRE</v>
      </c>
      <c r="V1094" s="3" t="str">
        <f>IF(Base_Periodo1[[#This Row],[Tipo_Linha]]="Fora do DRE","Fora do DRE","( "&amp;Base_Periodo1[[#This Row],[Tipo_Linha]]&amp;" ) "&amp;Base_Periodo1[[#This Row],[Filtro]])</f>
        <v>Fora do DRE</v>
      </c>
      <c r="W1094" s="3" t="str">
        <f>LEFT(Base_Periodo1[[#This Row],[CLASS]],3)</f>
        <v>1.1</v>
      </c>
    </row>
    <row r="1095" spans="1:23" hidden="1">
      <c r="A1095" s="3" t="str">
        <f t="shared" si="17"/>
        <v>Período 1</v>
      </c>
      <c r="B1095">
        <v>37904</v>
      </c>
      <c r="C1095" t="s">
        <v>922</v>
      </c>
      <c r="D1095" t="s">
        <v>6192</v>
      </c>
      <c r="E1095" s="3" t="str">
        <f>IF(LEN(Base_Periodo1[[#This Row],[CLASS]])&gt;=7,LEFT(Base_Periodo1[[#This Row],[CLASS]],7),"")</f>
        <v>1.1.2.2</v>
      </c>
      <c r="F1095" s="3" t="str">
        <f>VLOOKUP(Base_Periodo1[[#This Row],[Aux]],Base_Contas_Balanco[#All],2,FALSE)</f>
        <v>Creditos com não Cooperados</v>
      </c>
      <c r="G1095" s="1">
        <v>42825</v>
      </c>
      <c r="H1095" s="225">
        <v>21365.999999999993</v>
      </c>
      <c r="I1095" s="225">
        <v>0</v>
      </c>
      <c r="J1095" s="225">
        <v>0</v>
      </c>
      <c r="K1095" s="225">
        <v>21365.999999999993</v>
      </c>
      <c r="L10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21366</v>
      </c>
      <c r="M1095" s="225">
        <f>ROUND(IF(AND(Base_Periodo1[[#This Row],[Tipo_Linha]]="-",Base_Periodo1[[#This Row],[TIPOSALDO]]="D"),Base_Periodo1[[#This Row],[SALDO_ATUAL]]*-1,Base_Periodo1[[#This Row],[SALDO_ATUAL]]),4)</f>
        <v>21366</v>
      </c>
      <c r="N1095" t="s">
        <v>116</v>
      </c>
      <c r="O1095" t="s">
        <v>397</v>
      </c>
      <c r="P1095" t="s">
        <v>397</v>
      </c>
      <c r="Q1095">
        <v>7</v>
      </c>
      <c r="R1095" s="225">
        <f>Base_Periodo1[[#This Row],[CREDITOS]]-Base_Periodo1[[#This Row],[DEBITOS]]</f>
        <v>0</v>
      </c>
      <c r="S1095" s="3" t="str">
        <f>IF(ISERROR(VLOOKUP(Base_Periodo1[[#This Row],[CONTA]],BaseContasDRE[#All],4,FALSE)),"Fora do DRE",VLOOKUP(Base_Periodo1[[#This Row],[CONTA]],BaseContasDRE[#All],4,FALSE))</f>
        <v>Fora do DRE</v>
      </c>
      <c r="T1095" s="3" t="str">
        <f>IF(ISERROR(VLOOKUP(Base_Periodo1[[#This Row],[CONTA]],BaseContasDRE[#All],5,FALSE)),"Fora do DRE",VLOOKUP(Base_Periodo1[[#This Row],[CONTA]],BaseContasDRE[#All],6,FALSE))</f>
        <v>Fora do DRE</v>
      </c>
      <c r="U1095" s="3" t="str">
        <f>IF(ISERROR(VLOOKUP(Base_Periodo1[[#This Row],[CONTA]],BaseContasDRE[#All],7,FALSE)),"Fora do DRE",VLOOKUP(Base_Periodo1[[#This Row],[CONTA]],BaseContasDRE[#All],7,FALSE))</f>
        <v>Fora do DRE</v>
      </c>
      <c r="V1095" s="3" t="str">
        <f>IF(Base_Periodo1[[#This Row],[Tipo_Linha]]="Fora do DRE","Fora do DRE","( "&amp;Base_Periodo1[[#This Row],[Tipo_Linha]]&amp;" ) "&amp;Base_Periodo1[[#This Row],[Filtro]])</f>
        <v>Fora do DRE</v>
      </c>
      <c r="W1095" s="3" t="str">
        <f>LEFT(Base_Periodo1[[#This Row],[CLASS]],3)</f>
        <v>1.1</v>
      </c>
    </row>
    <row r="1096" spans="1:23" hidden="1">
      <c r="A1096" s="3" t="str">
        <f t="shared" si="17"/>
        <v>Período 1</v>
      </c>
      <c r="B1096">
        <v>38315</v>
      </c>
      <c r="C1096" t="s">
        <v>922</v>
      </c>
      <c r="D1096" t="s">
        <v>6192</v>
      </c>
      <c r="E1096" s="3" t="str">
        <f>IF(LEN(Base_Periodo1[[#This Row],[CLASS]])&gt;=7,LEFT(Base_Periodo1[[#This Row],[CLASS]],7),"")</f>
        <v>1.1.2.2</v>
      </c>
      <c r="F1096" s="3" t="str">
        <f>VLOOKUP(Base_Periodo1[[#This Row],[Aux]],Base_Contas_Balanco[#All],2,FALSE)</f>
        <v>Creditos com não Cooperados</v>
      </c>
      <c r="G1096" s="1">
        <v>42830</v>
      </c>
      <c r="H1096" s="225">
        <v>6720</v>
      </c>
      <c r="I1096" s="225">
        <v>0</v>
      </c>
      <c r="J1096" s="225">
        <v>0</v>
      </c>
      <c r="K1096" s="225">
        <v>6720</v>
      </c>
      <c r="L10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6720</v>
      </c>
      <c r="M1096" s="225">
        <f>ROUND(IF(AND(Base_Periodo1[[#This Row],[Tipo_Linha]]="-",Base_Periodo1[[#This Row],[TIPOSALDO]]="D"),Base_Periodo1[[#This Row],[SALDO_ATUAL]]*-1,Base_Periodo1[[#This Row],[SALDO_ATUAL]]),4)</f>
        <v>6720</v>
      </c>
      <c r="N1096" t="s">
        <v>116</v>
      </c>
      <c r="O1096" t="s">
        <v>397</v>
      </c>
      <c r="P1096" t="s">
        <v>397</v>
      </c>
      <c r="Q1096">
        <v>7</v>
      </c>
      <c r="R1096" s="225">
        <f>Base_Periodo1[[#This Row],[CREDITOS]]-Base_Periodo1[[#This Row],[DEBITOS]]</f>
        <v>0</v>
      </c>
      <c r="S1096" s="3" t="str">
        <f>IF(ISERROR(VLOOKUP(Base_Periodo1[[#This Row],[CONTA]],BaseContasDRE[#All],4,FALSE)),"Fora do DRE",VLOOKUP(Base_Periodo1[[#This Row],[CONTA]],BaseContasDRE[#All],4,FALSE))</f>
        <v>Fora do DRE</v>
      </c>
      <c r="T1096" s="3" t="str">
        <f>IF(ISERROR(VLOOKUP(Base_Periodo1[[#This Row],[CONTA]],BaseContasDRE[#All],5,FALSE)),"Fora do DRE",VLOOKUP(Base_Periodo1[[#This Row],[CONTA]],BaseContasDRE[#All],6,FALSE))</f>
        <v>Fora do DRE</v>
      </c>
      <c r="U1096" s="3" t="str">
        <f>IF(ISERROR(VLOOKUP(Base_Periodo1[[#This Row],[CONTA]],BaseContasDRE[#All],7,FALSE)),"Fora do DRE",VLOOKUP(Base_Periodo1[[#This Row],[CONTA]],BaseContasDRE[#All],7,FALSE))</f>
        <v>Fora do DRE</v>
      </c>
      <c r="V1096" s="3" t="str">
        <f>IF(Base_Periodo1[[#This Row],[Tipo_Linha]]="Fora do DRE","Fora do DRE","( "&amp;Base_Periodo1[[#This Row],[Tipo_Linha]]&amp;" ) "&amp;Base_Periodo1[[#This Row],[Filtro]])</f>
        <v>Fora do DRE</v>
      </c>
      <c r="W1096" s="3" t="str">
        <f>LEFT(Base_Periodo1[[#This Row],[CLASS]],3)</f>
        <v>1.1</v>
      </c>
    </row>
    <row r="1097" spans="1:23" hidden="1">
      <c r="A1097" s="3" t="str">
        <f t="shared" si="17"/>
        <v>Período 1</v>
      </c>
      <c r="B1097">
        <v>37092</v>
      </c>
      <c r="C1097" t="s">
        <v>922</v>
      </c>
      <c r="D1097" t="s">
        <v>6781</v>
      </c>
      <c r="E1097" s="3" t="str">
        <f>IF(LEN(Base_Periodo1[[#This Row],[CLASS]])&gt;=7,LEFT(Base_Periodo1[[#This Row],[CLASS]],7),"")</f>
        <v>1.1.2.2</v>
      </c>
      <c r="F1097" s="3" t="str">
        <f>VLOOKUP(Base_Periodo1[[#This Row],[Aux]],Base_Contas_Balanco[#All],2,FALSE)</f>
        <v>Creditos com não Cooperados</v>
      </c>
      <c r="G1097" s="1">
        <v>42877</v>
      </c>
      <c r="I1097" s="225">
        <v>7432.69</v>
      </c>
      <c r="J1097" s="225">
        <v>7432.69</v>
      </c>
      <c r="K1097" s="225">
        <v>0</v>
      </c>
      <c r="L10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97" s="225">
        <f>ROUND(IF(AND(Base_Periodo1[[#This Row],[Tipo_Linha]]="-",Base_Periodo1[[#This Row],[TIPOSALDO]]="D"),Base_Periodo1[[#This Row],[SALDO_ATUAL]]*-1,Base_Periodo1[[#This Row],[SALDO_ATUAL]]),4)</f>
        <v>0</v>
      </c>
      <c r="N1097" t="s">
        <v>116</v>
      </c>
      <c r="O1097" t="s">
        <v>436</v>
      </c>
      <c r="P1097" t="s">
        <v>436</v>
      </c>
      <c r="Q1097">
        <v>7</v>
      </c>
      <c r="R1097" s="225">
        <f>Base_Periodo1[[#This Row],[CREDITOS]]-Base_Periodo1[[#This Row],[DEBITOS]]</f>
        <v>0</v>
      </c>
      <c r="S1097" s="3" t="str">
        <f>IF(ISERROR(VLOOKUP(Base_Periodo1[[#This Row],[CONTA]],BaseContasDRE[#All],4,FALSE)),"Fora do DRE",VLOOKUP(Base_Periodo1[[#This Row],[CONTA]],BaseContasDRE[#All],4,FALSE))</f>
        <v>Fora do DRE</v>
      </c>
      <c r="T1097" s="3" t="str">
        <f>IF(ISERROR(VLOOKUP(Base_Periodo1[[#This Row],[CONTA]],BaseContasDRE[#All],5,FALSE)),"Fora do DRE",VLOOKUP(Base_Periodo1[[#This Row],[CONTA]],BaseContasDRE[#All],6,FALSE))</f>
        <v>Fora do DRE</v>
      </c>
      <c r="U1097" s="3" t="str">
        <f>IF(ISERROR(VLOOKUP(Base_Periodo1[[#This Row],[CONTA]],BaseContasDRE[#All],7,FALSE)),"Fora do DRE",VLOOKUP(Base_Periodo1[[#This Row],[CONTA]],BaseContasDRE[#All],7,FALSE))</f>
        <v>Fora do DRE</v>
      </c>
      <c r="V1097" s="3" t="str">
        <f>IF(Base_Periodo1[[#This Row],[Tipo_Linha]]="Fora do DRE","Fora do DRE","( "&amp;Base_Periodo1[[#This Row],[Tipo_Linha]]&amp;" ) "&amp;Base_Periodo1[[#This Row],[Filtro]])</f>
        <v>Fora do DRE</v>
      </c>
      <c r="W1097" s="3" t="str">
        <f>LEFT(Base_Periodo1[[#This Row],[CLASS]],3)</f>
        <v>1.1</v>
      </c>
    </row>
    <row r="1098" spans="1:23" hidden="1">
      <c r="A1098" s="3" t="str">
        <f t="shared" si="17"/>
        <v>Período 1</v>
      </c>
      <c r="B1098">
        <v>46823</v>
      </c>
      <c r="C1098" t="s">
        <v>922</v>
      </c>
      <c r="D1098" t="s">
        <v>6193</v>
      </c>
      <c r="E1098" s="3" t="str">
        <f>IF(LEN(Base_Periodo1[[#This Row],[CLASS]])&gt;=7,LEFT(Base_Periodo1[[#This Row],[CLASS]],7),"")</f>
        <v>1.1.2.2</v>
      </c>
      <c r="F1098" s="3" t="str">
        <f>VLOOKUP(Base_Periodo1[[#This Row],[Aux]],Base_Contas_Balanco[#All],2,FALSE)</f>
        <v>Creditos com não Cooperados</v>
      </c>
      <c r="G1098" s="1">
        <v>42866</v>
      </c>
      <c r="H1098" s="225">
        <v>152.00000000000023</v>
      </c>
      <c r="I1098" s="225">
        <v>0</v>
      </c>
      <c r="J1098" s="225">
        <v>152</v>
      </c>
      <c r="K1098" s="225">
        <v>2.2737367544323206E-13</v>
      </c>
      <c r="L10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098" s="225">
        <f>ROUND(IF(AND(Base_Periodo1[[#This Row],[Tipo_Linha]]="-",Base_Periodo1[[#This Row],[TIPOSALDO]]="D"),Base_Periodo1[[#This Row],[SALDO_ATUAL]]*-1,Base_Periodo1[[#This Row],[SALDO_ATUAL]]),4)</f>
        <v>0</v>
      </c>
      <c r="N1098" t="s">
        <v>116</v>
      </c>
      <c r="O1098" t="s">
        <v>397</v>
      </c>
      <c r="P1098" t="s">
        <v>436</v>
      </c>
      <c r="Q1098">
        <v>7</v>
      </c>
      <c r="R1098" s="225">
        <f>Base_Periodo1[[#This Row],[CREDITOS]]-Base_Periodo1[[#This Row],[DEBITOS]]</f>
        <v>152</v>
      </c>
      <c r="S1098" s="3" t="str">
        <f>IF(ISERROR(VLOOKUP(Base_Periodo1[[#This Row],[CONTA]],BaseContasDRE[#All],4,FALSE)),"Fora do DRE",VLOOKUP(Base_Periodo1[[#This Row],[CONTA]],BaseContasDRE[#All],4,FALSE))</f>
        <v>Fora do DRE</v>
      </c>
      <c r="T1098" s="3" t="str">
        <f>IF(ISERROR(VLOOKUP(Base_Periodo1[[#This Row],[CONTA]],BaseContasDRE[#All],5,FALSE)),"Fora do DRE",VLOOKUP(Base_Periodo1[[#This Row],[CONTA]],BaseContasDRE[#All],6,FALSE))</f>
        <v>Fora do DRE</v>
      </c>
      <c r="U1098" s="3" t="str">
        <f>IF(ISERROR(VLOOKUP(Base_Periodo1[[#This Row],[CONTA]],BaseContasDRE[#All],7,FALSE)),"Fora do DRE",VLOOKUP(Base_Periodo1[[#This Row],[CONTA]],BaseContasDRE[#All],7,FALSE))</f>
        <v>Fora do DRE</v>
      </c>
      <c r="V1098" s="3" t="str">
        <f>IF(Base_Periodo1[[#This Row],[Tipo_Linha]]="Fora do DRE","Fora do DRE","( "&amp;Base_Periodo1[[#This Row],[Tipo_Linha]]&amp;" ) "&amp;Base_Periodo1[[#This Row],[Filtro]])</f>
        <v>Fora do DRE</v>
      </c>
      <c r="W1098" s="3" t="str">
        <f>LEFT(Base_Periodo1[[#This Row],[CLASS]],3)</f>
        <v>1.1</v>
      </c>
    </row>
    <row r="1099" spans="1:23" hidden="1">
      <c r="A1099" s="3" t="str">
        <f t="shared" si="17"/>
        <v>Período 1</v>
      </c>
      <c r="B1099">
        <v>25887</v>
      </c>
      <c r="C1099" t="s">
        <v>922</v>
      </c>
      <c r="D1099" t="s">
        <v>5662</v>
      </c>
      <c r="E1099" s="3" t="str">
        <f>IF(LEN(Base_Periodo1[[#This Row],[CLASS]])&gt;=7,LEFT(Base_Periodo1[[#This Row],[CLASS]],7),"")</f>
        <v>1.1.2.2</v>
      </c>
      <c r="F1099" s="3" t="str">
        <f>VLOOKUP(Base_Periodo1[[#This Row],[Aux]],Base_Contas_Balanco[#All],2,FALSE)</f>
        <v>Creditos com não Cooperados</v>
      </c>
      <c r="G1099" s="1">
        <v>42872</v>
      </c>
      <c r="H1099" s="225">
        <v>20999.999999999942</v>
      </c>
      <c r="I1099" s="225">
        <v>58643.519999999997</v>
      </c>
      <c r="J1099" s="225">
        <v>21000</v>
      </c>
      <c r="K1099" s="225">
        <v>58643.519999999931</v>
      </c>
      <c r="L10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58643.519999999997</v>
      </c>
      <c r="M1099" s="225">
        <f>ROUND(IF(AND(Base_Periodo1[[#This Row],[Tipo_Linha]]="-",Base_Periodo1[[#This Row],[TIPOSALDO]]="D"),Base_Periodo1[[#This Row],[SALDO_ATUAL]]*-1,Base_Periodo1[[#This Row],[SALDO_ATUAL]]),4)</f>
        <v>58643.519999999997</v>
      </c>
      <c r="N1099" t="s">
        <v>116</v>
      </c>
      <c r="O1099" t="s">
        <v>397</v>
      </c>
      <c r="P1099" t="s">
        <v>397</v>
      </c>
      <c r="Q1099">
        <v>7</v>
      </c>
      <c r="R1099" s="225">
        <f>Base_Periodo1[[#This Row],[CREDITOS]]-Base_Periodo1[[#This Row],[DEBITOS]]</f>
        <v>-37643.519999999997</v>
      </c>
      <c r="S1099" s="3" t="str">
        <f>IF(ISERROR(VLOOKUP(Base_Periodo1[[#This Row],[CONTA]],BaseContasDRE[#All],4,FALSE)),"Fora do DRE",VLOOKUP(Base_Periodo1[[#This Row],[CONTA]],BaseContasDRE[#All],4,FALSE))</f>
        <v>Fora do DRE</v>
      </c>
      <c r="T1099" s="3" t="str">
        <f>IF(ISERROR(VLOOKUP(Base_Periodo1[[#This Row],[CONTA]],BaseContasDRE[#All],5,FALSE)),"Fora do DRE",VLOOKUP(Base_Periodo1[[#This Row],[CONTA]],BaseContasDRE[#All],6,FALSE))</f>
        <v>Fora do DRE</v>
      </c>
      <c r="U1099" s="3" t="str">
        <f>IF(ISERROR(VLOOKUP(Base_Periodo1[[#This Row],[CONTA]],BaseContasDRE[#All],7,FALSE)),"Fora do DRE",VLOOKUP(Base_Periodo1[[#This Row],[CONTA]],BaseContasDRE[#All],7,FALSE))</f>
        <v>Fora do DRE</v>
      </c>
      <c r="V1099" s="3" t="str">
        <f>IF(Base_Periodo1[[#This Row],[Tipo_Linha]]="Fora do DRE","Fora do DRE","( "&amp;Base_Periodo1[[#This Row],[Tipo_Linha]]&amp;" ) "&amp;Base_Periodo1[[#This Row],[Filtro]])</f>
        <v>Fora do DRE</v>
      </c>
      <c r="W1099" s="3" t="str">
        <f>LEFT(Base_Periodo1[[#This Row],[CLASS]],3)</f>
        <v>1.1</v>
      </c>
    </row>
    <row r="1100" spans="1:23" hidden="1">
      <c r="A1100" s="3" t="str">
        <f t="shared" si="17"/>
        <v>Período 1</v>
      </c>
      <c r="B1100">
        <v>19694</v>
      </c>
      <c r="C1100" t="s">
        <v>922</v>
      </c>
      <c r="D1100" t="s">
        <v>6194</v>
      </c>
      <c r="E1100" s="3" t="str">
        <f>IF(LEN(Base_Periodo1[[#This Row],[CLASS]])&gt;=7,LEFT(Base_Periodo1[[#This Row],[CLASS]],7),"")</f>
        <v>1.1.2.2</v>
      </c>
      <c r="F1100" s="3" t="str">
        <f>VLOOKUP(Base_Periodo1[[#This Row],[Aux]],Base_Contas_Balanco[#All],2,FALSE)</f>
        <v>Creditos com não Cooperados</v>
      </c>
      <c r="G1100" s="1">
        <v>42886</v>
      </c>
      <c r="H1100" s="225">
        <v>1162895.660000029</v>
      </c>
      <c r="I1100" s="225">
        <v>243111.53000000003</v>
      </c>
      <c r="J1100" s="225">
        <v>981935.01999999967</v>
      </c>
      <c r="K1100" s="225">
        <v>424072.17000002938</v>
      </c>
      <c r="L11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424072.17</v>
      </c>
      <c r="M1100" s="225">
        <f>ROUND(IF(AND(Base_Periodo1[[#This Row],[Tipo_Linha]]="-",Base_Periodo1[[#This Row],[TIPOSALDO]]="D"),Base_Periodo1[[#This Row],[SALDO_ATUAL]]*-1,Base_Periodo1[[#This Row],[SALDO_ATUAL]]),4)</f>
        <v>424072.17</v>
      </c>
      <c r="N1100" t="s">
        <v>116</v>
      </c>
      <c r="O1100" t="s">
        <v>397</v>
      </c>
      <c r="P1100" t="s">
        <v>397</v>
      </c>
      <c r="Q1100">
        <v>7</v>
      </c>
      <c r="R1100" s="225">
        <f>Base_Periodo1[[#This Row],[CREDITOS]]-Base_Periodo1[[#This Row],[DEBITOS]]</f>
        <v>738823.48999999964</v>
      </c>
      <c r="S1100" s="3" t="str">
        <f>IF(ISERROR(VLOOKUP(Base_Periodo1[[#This Row],[CONTA]],BaseContasDRE[#All],4,FALSE)),"Fora do DRE",VLOOKUP(Base_Periodo1[[#This Row],[CONTA]],BaseContasDRE[#All],4,FALSE))</f>
        <v>Fora do DRE</v>
      </c>
      <c r="T1100" s="3" t="str">
        <f>IF(ISERROR(VLOOKUP(Base_Periodo1[[#This Row],[CONTA]],BaseContasDRE[#All],5,FALSE)),"Fora do DRE",VLOOKUP(Base_Periodo1[[#This Row],[CONTA]],BaseContasDRE[#All],6,FALSE))</f>
        <v>Fora do DRE</v>
      </c>
      <c r="U1100" s="3" t="str">
        <f>IF(ISERROR(VLOOKUP(Base_Periodo1[[#This Row],[CONTA]],BaseContasDRE[#All],7,FALSE)),"Fora do DRE",VLOOKUP(Base_Periodo1[[#This Row],[CONTA]],BaseContasDRE[#All],7,FALSE))</f>
        <v>Fora do DRE</v>
      </c>
      <c r="V1100" s="3" t="str">
        <f>IF(Base_Periodo1[[#This Row],[Tipo_Linha]]="Fora do DRE","Fora do DRE","( "&amp;Base_Periodo1[[#This Row],[Tipo_Linha]]&amp;" ) "&amp;Base_Periodo1[[#This Row],[Filtro]])</f>
        <v>Fora do DRE</v>
      </c>
      <c r="W1100" s="3" t="str">
        <f>LEFT(Base_Periodo1[[#This Row],[CLASS]],3)</f>
        <v>1.1</v>
      </c>
    </row>
    <row r="1101" spans="1:23" hidden="1">
      <c r="A1101" s="3" t="str">
        <f t="shared" si="17"/>
        <v>Período 1</v>
      </c>
      <c r="B1101">
        <v>4672</v>
      </c>
      <c r="C1101" t="s">
        <v>922</v>
      </c>
      <c r="D1101" t="s">
        <v>4829</v>
      </c>
      <c r="E1101" s="3" t="str">
        <f>IF(LEN(Base_Periodo1[[#This Row],[CLASS]])&gt;=7,LEFT(Base_Periodo1[[#This Row],[CLASS]],7),"")</f>
        <v>1.1.2.2</v>
      </c>
      <c r="F1101" s="3" t="str">
        <f>VLOOKUP(Base_Periodo1[[#This Row],[Aux]],Base_Contas_Balanco[#All],2,FALSE)</f>
        <v>Creditos com não Cooperados</v>
      </c>
      <c r="G1101" s="1">
        <v>42872</v>
      </c>
      <c r="H1101" s="225">
        <v>11700.000000000466</v>
      </c>
      <c r="I1101" s="225">
        <v>21325</v>
      </c>
      <c r="J1101" s="225">
        <v>0</v>
      </c>
      <c r="K1101" s="225">
        <v>33025.000000000466</v>
      </c>
      <c r="L11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33025</v>
      </c>
      <c r="M1101" s="225">
        <f>ROUND(IF(AND(Base_Periodo1[[#This Row],[Tipo_Linha]]="-",Base_Periodo1[[#This Row],[TIPOSALDO]]="D"),Base_Periodo1[[#This Row],[SALDO_ATUAL]]*-1,Base_Periodo1[[#This Row],[SALDO_ATUAL]]),4)</f>
        <v>33025</v>
      </c>
      <c r="N1101" t="s">
        <v>116</v>
      </c>
      <c r="O1101" t="s">
        <v>397</v>
      </c>
      <c r="P1101" t="s">
        <v>397</v>
      </c>
      <c r="Q1101">
        <v>7</v>
      </c>
      <c r="R1101" s="225">
        <f>Base_Periodo1[[#This Row],[CREDITOS]]-Base_Periodo1[[#This Row],[DEBITOS]]</f>
        <v>-21325</v>
      </c>
      <c r="S1101" s="3" t="str">
        <f>IF(ISERROR(VLOOKUP(Base_Periodo1[[#This Row],[CONTA]],BaseContasDRE[#All],4,FALSE)),"Fora do DRE",VLOOKUP(Base_Periodo1[[#This Row],[CONTA]],BaseContasDRE[#All],4,FALSE))</f>
        <v>Fora do DRE</v>
      </c>
      <c r="T1101" s="3" t="str">
        <f>IF(ISERROR(VLOOKUP(Base_Periodo1[[#This Row],[CONTA]],BaseContasDRE[#All],5,FALSE)),"Fora do DRE",VLOOKUP(Base_Periodo1[[#This Row],[CONTA]],BaseContasDRE[#All],6,FALSE))</f>
        <v>Fora do DRE</v>
      </c>
      <c r="U1101" s="3" t="str">
        <f>IF(ISERROR(VLOOKUP(Base_Periodo1[[#This Row],[CONTA]],BaseContasDRE[#All],7,FALSE)),"Fora do DRE",VLOOKUP(Base_Periodo1[[#This Row],[CONTA]],BaseContasDRE[#All],7,FALSE))</f>
        <v>Fora do DRE</v>
      </c>
      <c r="V1101" s="3" t="str">
        <f>IF(Base_Periodo1[[#This Row],[Tipo_Linha]]="Fora do DRE","Fora do DRE","( "&amp;Base_Periodo1[[#This Row],[Tipo_Linha]]&amp;" ) "&amp;Base_Periodo1[[#This Row],[Filtro]])</f>
        <v>Fora do DRE</v>
      </c>
      <c r="W1101" s="3" t="str">
        <f>LEFT(Base_Periodo1[[#This Row],[CLASS]],3)</f>
        <v>1.1</v>
      </c>
    </row>
    <row r="1102" spans="1:23" hidden="1">
      <c r="A1102" s="3" t="str">
        <f t="shared" si="17"/>
        <v>Período 1</v>
      </c>
      <c r="B1102">
        <v>11233</v>
      </c>
      <c r="C1102" t="s">
        <v>922</v>
      </c>
      <c r="D1102" t="s">
        <v>975</v>
      </c>
      <c r="E1102" s="3" t="str">
        <f>IF(LEN(Base_Periodo1[[#This Row],[CLASS]])&gt;=7,LEFT(Base_Periodo1[[#This Row],[CLASS]],7),"")</f>
        <v>1.1.2.2</v>
      </c>
      <c r="F1102" s="3" t="str">
        <f>VLOOKUP(Base_Periodo1[[#This Row],[Aux]],Base_Contas_Balanco[#All],2,FALSE)</f>
        <v>Creditos com não Cooperados</v>
      </c>
      <c r="G1102" s="1">
        <v>42873</v>
      </c>
      <c r="H1102" s="225">
        <v>2881.929999999993</v>
      </c>
      <c r="I1102" s="225">
        <v>0</v>
      </c>
      <c r="J1102" s="225">
        <v>1697.5</v>
      </c>
      <c r="K1102" s="225">
        <v>1184.429999999993</v>
      </c>
      <c r="L11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1184.43</v>
      </c>
      <c r="M1102" s="225">
        <f>ROUND(IF(AND(Base_Periodo1[[#This Row],[Tipo_Linha]]="-",Base_Periodo1[[#This Row],[TIPOSALDO]]="D"),Base_Periodo1[[#This Row],[SALDO_ATUAL]]*-1,Base_Periodo1[[#This Row],[SALDO_ATUAL]]),4)</f>
        <v>1184.43</v>
      </c>
      <c r="N1102" t="s">
        <v>116</v>
      </c>
      <c r="O1102" t="s">
        <v>397</v>
      </c>
      <c r="P1102" t="s">
        <v>397</v>
      </c>
      <c r="Q1102">
        <v>7</v>
      </c>
      <c r="R1102" s="225">
        <f>Base_Periodo1[[#This Row],[CREDITOS]]-Base_Periodo1[[#This Row],[DEBITOS]]</f>
        <v>1697.5</v>
      </c>
      <c r="S1102" s="3" t="str">
        <f>IF(ISERROR(VLOOKUP(Base_Periodo1[[#This Row],[CONTA]],BaseContasDRE[#All],4,FALSE)),"Fora do DRE",VLOOKUP(Base_Periodo1[[#This Row],[CONTA]],BaseContasDRE[#All],4,FALSE))</f>
        <v>Fora do DRE</v>
      </c>
      <c r="T1102" s="3" t="str">
        <f>IF(ISERROR(VLOOKUP(Base_Periodo1[[#This Row],[CONTA]],BaseContasDRE[#All],5,FALSE)),"Fora do DRE",VLOOKUP(Base_Periodo1[[#This Row],[CONTA]],BaseContasDRE[#All],6,FALSE))</f>
        <v>Fora do DRE</v>
      </c>
      <c r="U1102" s="3" t="str">
        <f>IF(ISERROR(VLOOKUP(Base_Periodo1[[#This Row],[CONTA]],BaseContasDRE[#All],7,FALSE)),"Fora do DRE",VLOOKUP(Base_Periodo1[[#This Row],[CONTA]],BaseContasDRE[#All],7,FALSE))</f>
        <v>Fora do DRE</v>
      </c>
      <c r="V1102" s="3" t="str">
        <f>IF(Base_Periodo1[[#This Row],[Tipo_Linha]]="Fora do DRE","Fora do DRE","( "&amp;Base_Periodo1[[#This Row],[Tipo_Linha]]&amp;" ) "&amp;Base_Periodo1[[#This Row],[Filtro]])</f>
        <v>Fora do DRE</v>
      </c>
      <c r="W1102" s="3" t="str">
        <f>LEFT(Base_Periodo1[[#This Row],[CLASS]],3)</f>
        <v>1.1</v>
      </c>
    </row>
    <row r="1103" spans="1:23" hidden="1">
      <c r="A1103" s="3" t="str">
        <f t="shared" si="17"/>
        <v>Período 1</v>
      </c>
      <c r="B1103">
        <v>56219</v>
      </c>
      <c r="C1103" t="s">
        <v>922</v>
      </c>
      <c r="D1103" t="s">
        <v>5874</v>
      </c>
      <c r="E1103" s="3" t="str">
        <f>IF(LEN(Base_Periodo1[[#This Row],[CLASS]])&gt;=7,LEFT(Base_Periodo1[[#This Row],[CLASS]],7),"")</f>
        <v>1.1.2.2</v>
      </c>
      <c r="F1103" s="3" t="str">
        <f>VLOOKUP(Base_Periodo1[[#This Row],[Aux]],Base_Contas_Balanco[#All],2,FALSE)</f>
        <v>Creditos com não Cooperados</v>
      </c>
      <c r="G1103" s="1">
        <v>42885</v>
      </c>
      <c r="H1103" s="225">
        <v>64279.8</v>
      </c>
      <c r="I1103" s="225">
        <v>6200.35</v>
      </c>
      <c r="J1103" s="225">
        <v>70480.149999999994</v>
      </c>
      <c r="K1103" s="225">
        <v>1.4551915228366852E-11</v>
      </c>
      <c r="L11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03" s="225">
        <f>ROUND(IF(AND(Base_Periodo1[[#This Row],[Tipo_Linha]]="-",Base_Periodo1[[#This Row],[TIPOSALDO]]="D"),Base_Periodo1[[#This Row],[SALDO_ATUAL]]*-1,Base_Periodo1[[#This Row],[SALDO_ATUAL]]),4)</f>
        <v>0</v>
      </c>
      <c r="N1103" t="s">
        <v>116</v>
      </c>
      <c r="O1103" t="s">
        <v>397</v>
      </c>
      <c r="P1103" t="s">
        <v>436</v>
      </c>
      <c r="Q1103">
        <v>7</v>
      </c>
      <c r="R1103" s="225">
        <f>Base_Periodo1[[#This Row],[CREDITOS]]-Base_Periodo1[[#This Row],[DEBITOS]]</f>
        <v>64279.799999999996</v>
      </c>
      <c r="S1103" s="3" t="str">
        <f>IF(ISERROR(VLOOKUP(Base_Periodo1[[#This Row],[CONTA]],BaseContasDRE[#All],4,FALSE)),"Fora do DRE",VLOOKUP(Base_Periodo1[[#This Row],[CONTA]],BaseContasDRE[#All],4,FALSE))</f>
        <v>Fora do DRE</v>
      </c>
      <c r="T1103" s="3" t="str">
        <f>IF(ISERROR(VLOOKUP(Base_Periodo1[[#This Row],[CONTA]],BaseContasDRE[#All],5,FALSE)),"Fora do DRE",VLOOKUP(Base_Periodo1[[#This Row],[CONTA]],BaseContasDRE[#All],6,FALSE))</f>
        <v>Fora do DRE</v>
      </c>
      <c r="U1103" s="3" t="str">
        <f>IF(ISERROR(VLOOKUP(Base_Periodo1[[#This Row],[CONTA]],BaseContasDRE[#All],7,FALSE)),"Fora do DRE",VLOOKUP(Base_Periodo1[[#This Row],[CONTA]],BaseContasDRE[#All],7,FALSE))</f>
        <v>Fora do DRE</v>
      </c>
      <c r="V1103" s="3" t="str">
        <f>IF(Base_Periodo1[[#This Row],[Tipo_Linha]]="Fora do DRE","Fora do DRE","( "&amp;Base_Periodo1[[#This Row],[Tipo_Linha]]&amp;" ) "&amp;Base_Periodo1[[#This Row],[Filtro]])</f>
        <v>Fora do DRE</v>
      </c>
      <c r="W1103" s="3" t="str">
        <f>LEFT(Base_Periodo1[[#This Row],[CLASS]],3)</f>
        <v>1.1</v>
      </c>
    </row>
    <row r="1104" spans="1:23" hidden="1">
      <c r="A1104" s="3" t="str">
        <f t="shared" si="17"/>
        <v>Período 1</v>
      </c>
      <c r="B1104">
        <v>41535</v>
      </c>
      <c r="C1104" t="s">
        <v>922</v>
      </c>
      <c r="D1104" t="s">
        <v>6727</v>
      </c>
      <c r="E1104" s="3" t="str">
        <f>IF(LEN(Base_Periodo1[[#This Row],[CLASS]])&gt;=7,LEFT(Base_Periodo1[[#This Row],[CLASS]],7),"")</f>
        <v>1.1.2.2</v>
      </c>
      <c r="F1104" s="3" t="str">
        <f>VLOOKUP(Base_Periodo1[[#This Row],[Aux]],Base_Contas_Balanco[#All],2,FALSE)</f>
        <v>Creditos com não Cooperados</v>
      </c>
      <c r="G1104" s="1">
        <v>42884</v>
      </c>
      <c r="I1104" s="225">
        <v>88245.52</v>
      </c>
      <c r="J1104" s="225">
        <v>88245.52</v>
      </c>
      <c r="K1104" s="225">
        <v>0</v>
      </c>
      <c r="L11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04" s="225">
        <f>ROUND(IF(AND(Base_Periodo1[[#This Row],[Tipo_Linha]]="-",Base_Periodo1[[#This Row],[TIPOSALDO]]="D"),Base_Periodo1[[#This Row],[SALDO_ATUAL]]*-1,Base_Periodo1[[#This Row],[SALDO_ATUAL]]),4)</f>
        <v>0</v>
      </c>
      <c r="N1104" t="s">
        <v>116</v>
      </c>
      <c r="O1104" t="s">
        <v>436</v>
      </c>
      <c r="P1104" t="s">
        <v>436</v>
      </c>
      <c r="Q1104">
        <v>7</v>
      </c>
      <c r="R1104" s="225">
        <f>Base_Periodo1[[#This Row],[CREDITOS]]-Base_Periodo1[[#This Row],[DEBITOS]]</f>
        <v>0</v>
      </c>
      <c r="S1104" s="3" t="str">
        <f>IF(ISERROR(VLOOKUP(Base_Periodo1[[#This Row],[CONTA]],BaseContasDRE[#All],4,FALSE)),"Fora do DRE",VLOOKUP(Base_Periodo1[[#This Row],[CONTA]],BaseContasDRE[#All],4,FALSE))</f>
        <v>Fora do DRE</v>
      </c>
      <c r="T1104" s="3" t="str">
        <f>IF(ISERROR(VLOOKUP(Base_Periodo1[[#This Row],[CONTA]],BaseContasDRE[#All],5,FALSE)),"Fora do DRE",VLOOKUP(Base_Periodo1[[#This Row],[CONTA]],BaseContasDRE[#All],6,FALSE))</f>
        <v>Fora do DRE</v>
      </c>
      <c r="U1104" s="3" t="str">
        <f>IF(ISERROR(VLOOKUP(Base_Periodo1[[#This Row],[CONTA]],BaseContasDRE[#All],7,FALSE)),"Fora do DRE",VLOOKUP(Base_Periodo1[[#This Row],[CONTA]],BaseContasDRE[#All],7,FALSE))</f>
        <v>Fora do DRE</v>
      </c>
      <c r="V1104" s="3" t="str">
        <f>IF(Base_Periodo1[[#This Row],[Tipo_Linha]]="Fora do DRE","Fora do DRE","( "&amp;Base_Periodo1[[#This Row],[Tipo_Linha]]&amp;" ) "&amp;Base_Periodo1[[#This Row],[Filtro]])</f>
        <v>Fora do DRE</v>
      </c>
      <c r="W1104" s="3" t="str">
        <f>LEFT(Base_Periodo1[[#This Row],[CLASS]],3)</f>
        <v>1.1</v>
      </c>
    </row>
    <row r="1105" spans="1:23" hidden="1">
      <c r="A1105" s="3" t="str">
        <f t="shared" si="17"/>
        <v>Período 1</v>
      </c>
      <c r="B1105">
        <v>10929</v>
      </c>
      <c r="C1105" t="s">
        <v>922</v>
      </c>
      <c r="D1105" t="s">
        <v>976</v>
      </c>
      <c r="E1105" s="3" t="str">
        <f>IF(LEN(Base_Periodo1[[#This Row],[CLASS]])&gt;=7,LEFT(Base_Periodo1[[#This Row],[CLASS]],7),"")</f>
        <v>1.1.2.2</v>
      </c>
      <c r="F1105" s="3" t="str">
        <f>VLOOKUP(Base_Periodo1[[#This Row],[Aux]],Base_Contas_Balanco[#All],2,FALSE)</f>
        <v>Creditos com não Cooperados</v>
      </c>
      <c r="G1105" s="1">
        <v>42884</v>
      </c>
      <c r="H1105" s="225">
        <v>7693</v>
      </c>
      <c r="I1105" s="225">
        <v>125</v>
      </c>
      <c r="J1105" s="225">
        <v>4318</v>
      </c>
      <c r="K1105" s="225">
        <v>3500</v>
      </c>
      <c r="L11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3500</v>
      </c>
      <c r="M1105" s="225">
        <f>ROUND(IF(AND(Base_Periodo1[[#This Row],[Tipo_Linha]]="-",Base_Periodo1[[#This Row],[TIPOSALDO]]="D"),Base_Periodo1[[#This Row],[SALDO_ATUAL]]*-1,Base_Periodo1[[#This Row],[SALDO_ATUAL]]),4)</f>
        <v>3500</v>
      </c>
      <c r="N1105" t="s">
        <v>116</v>
      </c>
      <c r="O1105" t="s">
        <v>397</v>
      </c>
      <c r="P1105" t="s">
        <v>397</v>
      </c>
      <c r="Q1105">
        <v>7</v>
      </c>
      <c r="R1105" s="225">
        <f>Base_Periodo1[[#This Row],[CREDITOS]]-Base_Periodo1[[#This Row],[DEBITOS]]</f>
        <v>4193</v>
      </c>
      <c r="S1105" s="3" t="str">
        <f>IF(ISERROR(VLOOKUP(Base_Periodo1[[#This Row],[CONTA]],BaseContasDRE[#All],4,FALSE)),"Fora do DRE",VLOOKUP(Base_Periodo1[[#This Row],[CONTA]],BaseContasDRE[#All],4,FALSE))</f>
        <v>Fora do DRE</v>
      </c>
      <c r="T1105" s="3" t="str">
        <f>IF(ISERROR(VLOOKUP(Base_Periodo1[[#This Row],[CONTA]],BaseContasDRE[#All],5,FALSE)),"Fora do DRE",VLOOKUP(Base_Periodo1[[#This Row],[CONTA]],BaseContasDRE[#All],6,FALSE))</f>
        <v>Fora do DRE</v>
      </c>
      <c r="U1105" s="3" t="str">
        <f>IF(ISERROR(VLOOKUP(Base_Periodo1[[#This Row],[CONTA]],BaseContasDRE[#All],7,FALSE)),"Fora do DRE",VLOOKUP(Base_Periodo1[[#This Row],[CONTA]],BaseContasDRE[#All],7,FALSE))</f>
        <v>Fora do DRE</v>
      </c>
      <c r="V1105" s="3" t="str">
        <f>IF(Base_Periodo1[[#This Row],[Tipo_Linha]]="Fora do DRE","Fora do DRE","( "&amp;Base_Periodo1[[#This Row],[Tipo_Linha]]&amp;" ) "&amp;Base_Periodo1[[#This Row],[Filtro]])</f>
        <v>Fora do DRE</v>
      </c>
      <c r="W1105" s="3" t="str">
        <f>LEFT(Base_Periodo1[[#This Row],[CLASS]],3)</f>
        <v>1.1</v>
      </c>
    </row>
    <row r="1106" spans="1:23" hidden="1">
      <c r="A1106" s="3" t="str">
        <f t="shared" si="17"/>
        <v>Período 1</v>
      </c>
      <c r="B1106">
        <v>35652</v>
      </c>
      <c r="C1106" t="s">
        <v>922</v>
      </c>
      <c r="D1106" t="s">
        <v>5025</v>
      </c>
      <c r="E1106" s="3" t="str">
        <f>IF(LEN(Base_Periodo1[[#This Row],[CLASS]])&gt;=7,LEFT(Base_Periodo1[[#This Row],[CLASS]],7),"")</f>
        <v>1.1.2.2</v>
      </c>
      <c r="F1106" s="3" t="str">
        <f>VLOOKUP(Base_Periodo1[[#This Row],[Aux]],Base_Contas_Balanco[#All],2,FALSE)</f>
        <v>Creditos com não Cooperados</v>
      </c>
      <c r="G1106" s="1">
        <v>42884</v>
      </c>
      <c r="H1106" s="225">
        <v>174447.81999999995</v>
      </c>
      <c r="I1106" s="225">
        <v>13658</v>
      </c>
      <c r="J1106" s="225">
        <v>84147.82</v>
      </c>
      <c r="K1106" s="225">
        <v>103957.99999999994</v>
      </c>
      <c r="L11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103958</v>
      </c>
      <c r="M1106" s="225">
        <f>ROUND(IF(AND(Base_Periodo1[[#This Row],[Tipo_Linha]]="-",Base_Periodo1[[#This Row],[TIPOSALDO]]="D"),Base_Periodo1[[#This Row],[SALDO_ATUAL]]*-1,Base_Periodo1[[#This Row],[SALDO_ATUAL]]),4)</f>
        <v>103958</v>
      </c>
      <c r="N1106" t="s">
        <v>116</v>
      </c>
      <c r="O1106" t="s">
        <v>397</v>
      </c>
      <c r="P1106" t="s">
        <v>397</v>
      </c>
      <c r="Q1106">
        <v>7</v>
      </c>
      <c r="R1106" s="225">
        <f>Base_Periodo1[[#This Row],[CREDITOS]]-Base_Periodo1[[#This Row],[DEBITOS]]</f>
        <v>70489.820000000007</v>
      </c>
      <c r="S1106" s="3" t="str">
        <f>IF(ISERROR(VLOOKUP(Base_Periodo1[[#This Row],[CONTA]],BaseContasDRE[#All],4,FALSE)),"Fora do DRE",VLOOKUP(Base_Periodo1[[#This Row],[CONTA]],BaseContasDRE[#All],4,FALSE))</f>
        <v>Fora do DRE</v>
      </c>
      <c r="T1106" s="3" t="str">
        <f>IF(ISERROR(VLOOKUP(Base_Periodo1[[#This Row],[CONTA]],BaseContasDRE[#All],5,FALSE)),"Fora do DRE",VLOOKUP(Base_Periodo1[[#This Row],[CONTA]],BaseContasDRE[#All],6,FALSE))</f>
        <v>Fora do DRE</v>
      </c>
      <c r="U1106" s="3" t="str">
        <f>IF(ISERROR(VLOOKUP(Base_Periodo1[[#This Row],[CONTA]],BaseContasDRE[#All],7,FALSE)),"Fora do DRE",VLOOKUP(Base_Periodo1[[#This Row],[CONTA]],BaseContasDRE[#All],7,FALSE))</f>
        <v>Fora do DRE</v>
      </c>
      <c r="V1106" s="3" t="str">
        <f>IF(Base_Periodo1[[#This Row],[Tipo_Linha]]="Fora do DRE","Fora do DRE","( "&amp;Base_Periodo1[[#This Row],[Tipo_Linha]]&amp;" ) "&amp;Base_Periodo1[[#This Row],[Filtro]])</f>
        <v>Fora do DRE</v>
      </c>
      <c r="W1106" s="3" t="str">
        <f>LEFT(Base_Periodo1[[#This Row],[CLASS]],3)</f>
        <v>1.1</v>
      </c>
    </row>
    <row r="1107" spans="1:23" hidden="1">
      <c r="A1107" s="3" t="str">
        <f t="shared" si="17"/>
        <v>Período 1</v>
      </c>
      <c r="B1107">
        <v>4676</v>
      </c>
      <c r="C1107" t="s">
        <v>922</v>
      </c>
      <c r="D1107" t="s">
        <v>5190</v>
      </c>
      <c r="E1107" s="3" t="str">
        <f>IF(LEN(Base_Periodo1[[#This Row],[CLASS]])&gt;=7,LEFT(Base_Periodo1[[#This Row],[CLASS]],7),"")</f>
        <v>1.1.2.2</v>
      </c>
      <c r="F1107" s="3" t="str">
        <f>VLOOKUP(Base_Periodo1[[#This Row],[Aux]],Base_Contas_Balanco[#All],2,FALSE)</f>
        <v>Creditos com não Cooperados</v>
      </c>
      <c r="G1107" s="1">
        <v>42859</v>
      </c>
      <c r="H1107" s="225">
        <v>507397.3000000001</v>
      </c>
      <c r="I1107" s="225">
        <v>0</v>
      </c>
      <c r="J1107" s="225">
        <v>507397.3</v>
      </c>
      <c r="K1107" s="225">
        <v>1.1641532182693481E-10</v>
      </c>
      <c r="L11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07" s="225">
        <f>ROUND(IF(AND(Base_Periodo1[[#This Row],[Tipo_Linha]]="-",Base_Periodo1[[#This Row],[TIPOSALDO]]="D"),Base_Periodo1[[#This Row],[SALDO_ATUAL]]*-1,Base_Periodo1[[#This Row],[SALDO_ATUAL]]),4)</f>
        <v>0</v>
      </c>
      <c r="N1107" t="s">
        <v>116</v>
      </c>
      <c r="O1107" t="s">
        <v>397</v>
      </c>
      <c r="P1107" t="s">
        <v>436</v>
      </c>
      <c r="Q1107">
        <v>7</v>
      </c>
      <c r="R1107" s="225">
        <f>Base_Periodo1[[#This Row],[CREDITOS]]-Base_Periodo1[[#This Row],[DEBITOS]]</f>
        <v>507397.3</v>
      </c>
      <c r="S1107" s="3" t="str">
        <f>IF(ISERROR(VLOOKUP(Base_Periodo1[[#This Row],[CONTA]],BaseContasDRE[#All],4,FALSE)),"Fora do DRE",VLOOKUP(Base_Periodo1[[#This Row],[CONTA]],BaseContasDRE[#All],4,FALSE))</f>
        <v>Fora do DRE</v>
      </c>
      <c r="T1107" s="3" t="str">
        <f>IF(ISERROR(VLOOKUP(Base_Periodo1[[#This Row],[CONTA]],BaseContasDRE[#All],5,FALSE)),"Fora do DRE",VLOOKUP(Base_Periodo1[[#This Row],[CONTA]],BaseContasDRE[#All],6,FALSE))</f>
        <v>Fora do DRE</v>
      </c>
      <c r="U1107" s="3" t="str">
        <f>IF(ISERROR(VLOOKUP(Base_Periodo1[[#This Row],[CONTA]],BaseContasDRE[#All],7,FALSE)),"Fora do DRE",VLOOKUP(Base_Periodo1[[#This Row],[CONTA]],BaseContasDRE[#All],7,FALSE))</f>
        <v>Fora do DRE</v>
      </c>
      <c r="V1107" s="3" t="str">
        <f>IF(Base_Periodo1[[#This Row],[Tipo_Linha]]="Fora do DRE","Fora do DRE","( "&amp;Base_Periodo1[[#This Row],[Tipo_Linha]]&amp;" ) "&amp;Base_Periodo1[[#This Row],[Filtro]])</f>
        <v>Fora do DRE</v>
      </c>
      <c r="W1107" s="3" t="str">
        <f>LEFT(Base_Periodo1[[#This Row],[CLASS]],3)</f>
        <v>1.1</v>
      </c>
    </row>
    <row r="1108" spans="1:23" hidden="1">
      <c r="A1108" s="3" t="str">
        <f t="shared" si="17"/>
        <v>Período 1</v>
      </c>
      <c r="B1108">
        <v>37773</v>
      </c>
      <c r="C1108" t="s">
        <v>922</v>
      </c>
      <c r="D1108" t="s">
        <v>6782</v>
      </c>
      <c r="E1108" s="3" t="str">
        <f>IF(LEN(Base_Periodo1[[#This Row],[CLASS]])&gt;=7,LEFT(Base_Periodo1[[#This Row],[CLASS]],7),"")</f>
        <v>1.1.2.2</v>
      </c>
      <c r="F1108" s="3" t="str">
        <f>VLOOKUP(Base_Periodo1[[#This Row],[Aux]],Base_Contas_Balanco[#All],2,FALSE)</f>
        <v>Creditos com não Cooperados</v>
      </c>
      <c r="G1108" s="1">
        <v>42863</v>
      </c>
      <c r="H1108" s="225">
        <v>6933.6000000005588</v>
      </c>
      <c r="I1108" s="225">
        <v>0</v>
      </c>
      <c r="J1108" s="225">
        <v>6933.5999999999995</v>
      </c>
      <c r="K1108" s="225">
        <v>5.5933924159035087E-10</v>
      </c>
      <c r="L11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08" s="225">
        <f>ROUND(IF(AND(Base_Periodo1[[#This Row],[Tipo_Linha]]="-",Base_Periodo1[[#This Row],[TIPOSALDO]]="D"),Base_Periodo1[[#This Row],[SALDO_ATUAL]]*-1,Base_Periodo1[[#This Row],[SALDO_ATUAL]]),4)</f>
        <v>0</v>
      </c>
      <c r="N1108" t="s">
        <v>116</v>
      </c>
      <c r="O1108" t="s">
        <v>397</v>
      </c>
      <c r="P1108" t="s">
        <v>436</v>
      </c>
      <c r="Q1108">
        <v>7</v>
      </c>
      <c r="R1108" s="225">
        <f>Base_Periodo1[[#This Row],[CREDITOS]]-Base_Periodo1[[#This Row],[DEBITOS]]</f>
        <v>6933.5999999999995</v>
      </c>
      <c r="S1108" s="3" t="str">
        <f>IF(ISERROR(VLOOKUP(Base_Periodo1[[#This Row],[CONTA]],BaseContasDRE[#All],4,FALSE)),"Fora do DRE",VLOOKUP(Base_Periodo1[[#This Row],[CONTA]],BaseContasDRE[#All],4,FALSE))</f>
        <v>Fora do DRE</v>
      </c>
      <c r="T1108" s="3" t="str">
        <f>IF(ISERROR(VLOOKUP(Base_Periodo1[[#This Row],[CONTA]],BaseContasDRE[#All],5,FALSE)),"Fora do DRE",VLOOKUP(Base_Periodo1[[#This Row],[CONTA]],BaseContasDRE[#All],6,FALSE))</f>
        <v>Fora do DRE</v>
      </c>
      <c r="U1108" s="3" t="str">
        <f>IF(ISERROR(VLOOKUP(Base_Periodo1[[#This Row],[CONTA]],BaseContasDRE[#All],7,FALSE)),"Fora do DRE",VLOOKUP(Base_Periodo1[[#This Row],[CONTA]],BaseContasDRE[#All],7,FALSE))</f>
        <v>Fora do DRE</v>
      </c>
      <c r="V1108" s="3" t="str">
        <f>IF(Base_Periodo1[[#This Row],[Tipo_Linha]]="Fora do DRE","Fora do DRE","( "&amp;Base_Periodo1[[#This Row],[Tipo_Linha]]&amp;" ) "&amp;Base_Periodo1[[#This Row],[Filtro]])</f>
        <v>Fora do DRE</v>
      </c>
      <c r="W1108" s="3" t="str">
        <f>LEFT(Base_Periodo1[[#This Row],[CLASS]],3)</f>
        <v>1.1</v>
      </c>
    </row>
    <row r="1109" spans="1:23" hidden="1">
      <c r="A1109" s="3" t="str">
        <f t="shared" si="17"/>
        <v>Período 1</v>
      </c>
      <c r="B1109">
        <v>19219</v>
      </c>
      <c r="C1109" t="s">
        <v>922</v>
      </c>
      <c r="D1109" t="s">
        <v>6783</v>
      </c>
      <c r="E1109" s="3" t="str">
        <f>IF(LEN(Base_Periodo1[[#This Row],[CLASS]])&gt;=7,LEFT(Base_Periodo1[[#This Row],[CLASS]],7),"")</f>
        <v>1.1.2.2</v>
      </c>
      <c r="F1109" s="3" t="str">
        <f>VLOOKUP(Base_Periodo1[[#This Row],[Aux]],Base_Contas_Balanco[#All],2,FALSE)</f>
        <v>Creditos com não Cooperados</v>
      </c>
      <c r="G1109" s="1">
        <v>42863</v>
      </c>
      <c r="I1109" s="225">
        <v>730</v>
      </c>
      <c r="J1109" s="225">
        <v>730</v>
      </c>
      <c r="K1109" s="225">
        <v>0</v>
      </c>
      <c r="L11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09" s="225">
        <f>ROUND(IF(AND(Base_Periodo1[[#This Row],[Tipo_Linha]]="-",Base_Periodo1[[#This Row],[TIPOSALDO]]="D"),Base_Periodo1[[#This Row],[SALDO_ATUAL]]*-1,Base_Periodo1[[#This Row],[SALDO_ATUAL]]),4)</f>
        <v>0</v>
      </c>
      <c r="N1109" t="s">
        <v>116</v>
      </c>
      <c r="O1109" t="s">
        <v>436</v>
      </c>
      <c r="P1109" t="s">
        <v>436</v>
      </c>
      <c r="Q1109">
        <v>7</v>
      </c>
      <c r="R1109" s="225">
        <f>Base_Periodo1[[#This Row],[CREDITOS]]-Base_Periodo1[[#This Row],[DEBITOS]]</f>
        <v>0</v>
      </c>
      <c r="S1109" s="3" t="str">
        <f>IF(ISERROR(VLOOKUP(Base_Periodo1[[#This Row],[CONTA]],BaseContasDRE[#All],4,FALSE)),"Fora do DRE",VLOOKUP(Base_Periodo1[[#This Row],[CONTA]],BaseContasDRE[#All],4,FALSE))</f>
        <v>Fora do DRE</v>
      </c>
      <c r="T1109" s="3" t="str">
        <f>IF(ISERROR(VLOOKUP(Base_Periodo1[[#This Row],[CONTA]],BaseContasDRE[#All],5,FALSE)),"Fora do DRE",VLOOKUP(Base_Periodo1[[#This Row],[CONTA]],BaseContasDRE[#All],6,FALSE))</f>
        <v>Fora do DRE</v>
      </c>
      <c r="U1109" s="3" t="str">
        <f>IF(ISERROR(VLOOKUP(Base_Periodo1[[#This Row],[CONTA]],BaseContasDRE[#All],7,FALSE)),"Fora do DRE",VLOOKUP(Base_Periodo1[[#This Row],[CONTA]],BaseContasDRE[#All],7,FALSE))</f>
        <v>Fora do DRE</v>
      </c>
      <c r="V1109" s="3" t="str">
        <f>IF(Base_Periodo1[[#This Row],[Tipo_Linha]]="Fora do DRE","Fora do DRE","( "&amp;Base_Periodo1[[#This Row],[Tipo_Linha]]&amp;" ) "&amp;Base_Periodo1[[#This Row],[Filtro]])</f>
        <v>Fora do DRE</v>
      </c>
      <c r="W1109" s="3" t="str">
        <f>LEFT(Base_Periodo1[[#This Row],[CLASS]],3)</f>
        <v>1.1</v>
      </c>
    </row>
    <row r="1110" spans="1:23" hidden="1">
      <c r="A1110" s="3" t="str">
        <f t="shared" si="17"/>
        <v>Período 1</v>
      </c>
      <c r="B1110">
        <v>39300</v>
      </c>
      <c r="C1110" t="s">
        <v>922</v>
      </c>
      <c r="D1110" t="s">
        <v>977</v>
      </c>
      <c r="E1110" s="3" t="str">
        <f>IF(LEN(Base_Periodo1[[#This Row],[CLASS]])&gt;=7,LEFT(Base_Periodo1[[#This Row],[CLASS]],7),"")</f>
        <v>1.1.2.2</v>
      </c>
      <c r="F1110" s="3" t="str">
        <f>VLOOKUP(Base_Periodo1[[#This Row],[Aux]],Base_Contas_Balanco[#All],2,FALSE)</f>
        <v>Creditos com não Cooperados</v>
      </c>
      <c r="G1110" s="1">
        <v>42852</v>
      </c>
      <c r="H1110" s="225">
        <v>967.93999999999505</v>
      </c>
      <c r="I1110" s="225">
        <v>0</v>
      </c>
      <c r="J1110" s="225">
        <v>0</v>
      </c>
      <c r="K1110" s="225">
        <v>967.93999999999505</v>
      </c>
      <c r="L11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967.94</v>
      </c>
      <c r="M1110" s="225">
        <f>ROUND(IF(AND(Base_Periodo1[[#This Row],[Tipo_Linha]]="-",Base_Periodo1[[#This Row],[TIPOSALDO]]="D"),Base_Periodo1[[#This Row],[SALDO_ATUAL]]*-1,Base_Periodo1[[#This Row],[SALDO_ATUAL]]),4)</f>
        <v>967.94</v>
      </c>
      <c r="N1110" t="s">
        <v>116</v>
      </c>
      <c r="O1110" t="s">
        <v>397</v>
      </c>
      <c r="P1110" t="s">
        <v>397</v>
      </c>
      <c r="Q1110">
        <v>7</v>
      </c>
      <c r="R1110" s="225">
        <f>Base_Periodo1[[#This Row],[CREDITOS]]-Base_Periodo1[[#This Row],[DEBITOS]]</f>
        <v>0</v>
      </c>
      <c r="S1110" s="3" t="str">
        <f>IF(ISERROR(VLOOKUP(Base_Periodo1[[#This Row],[CONTA]],BaseContasDRE[#All],4,FALSE)),"Fora do DRE",VLOOKUP(Base_Periodo1[[#This Row],[CONTA]],BaseContasDRE[#All],4,FALSE))</f>
        <v>Fora do DRE</v>
      </c>
      <c r="T1110" s="3" t="str">
        <f>IF(ISERROR(VLOOKUP(Base_Periodo1[[#This Row],[CONTA]],BaseContasDRE[#All],5,FALSE)),"Fora do DRE",VLOOKUP(Base_Periodo1[[#This Row],[CONTA]],BaseContasDRE[#All],6,FALSE))</f>
        <v>Fora do DRE</v>
      </c>
      <c r="U1110" s="3" t="str">
        <f>IF(ISERROR(VLOOKUP(Base_Periodo1[[#This Row],[CONTA]],BaseContasDRE[#All],7,FALSE)),"Fora do DRE",VLOOKUP(Base_Periodo1[[#This Row],[CONTA]],BaseContasDRE[#All],7,FALSE))</f>
        <v>Fora do DRE</v>
      </c>
      <c r="V1110" s="3" t="str">
        <f>IF(Base_Periodo1[[#This Row],[Tipo_Linha]]="Fora do DRE","Fora do DRE","( "&amp;Base_Periodo1[[#This Row],[Tipo_Linha]]&amp;" ) "&amp;Base_Periodo1[[#This Row],[Filtro]])</f>
        <v>Fora do DRE</v>
      </c>
      <c r="W1110" s="3" t="str">
        <f>LEFT(Base_Periodo1[[#This Row],[CLASS]],3)</f>
        <v>1.1</v>
      </c>
    </row>
    <row r="1111" spans="1:23" hidden="1">
      <c r="A1111" s="3" t="str">
        <f t="shared" si="17"/>
        <v>Período 1</v>
      </c>
      <c r="B1111">
        <v>10386</v>
      </c>
      <c r="C1111" t="s">
        <v>922</v>
      </c>
      <c r="D1111" t="s">
        <v>6196</v>
      </c>
      <c r="E1111" s="3" t="str">
        <f>IF(LEN(Base_Periodo1[[#This Row],[CLASS]])&gt;=7,LEFT(Base_Periodo1[[#This Row],[CLASS]],7),"")</f>
        <v>1.1.2.2</v>
      </c>
      <c r="F1111" s="3" t="str">
        <f>VLOOKUP(Base_Periodo1[[#This Row],[Aux]],Base_Contas_Balanco[#All],2,FALSE)</f>
        <v>Creditos com não Cooperados</v>
      </c>
      <c r="G1111" s="1">
        <v>42879</v>
      </c>
      <c r="I1111" s="225">
        <v>80.699999999999989</v>
      </c>
      <c r="J1111" s="225">
        <v>0</v>
      </c>
      <c r="K1111" s="225">
        <v>80.699999999999989</v>
      </c>
      <c r="L11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80.7</v>
      </c>
      <c r="M1111" s="225">
        <f>ROUND(IF(AND(Base_Periodo1[[#This Row],[Tipo_Linha]]="-",Base_Periodo1[[#This Row],[TIPOSALDO]]="D"),Base_Periodo1[[#This Row],[SALDO_ATUAL]]*-1,Base_Periodo1[[#This Row],[SALDO_ATUAL]]),4)</f>
        <v>80.7</v>
      </c>
      <c r="N1111" t="s">
        <v>116</v>
      </c>
      <c r="O1111" t="s">
        <v>436</v>
      </c>
      <c r="P1111" t="s">
        <v>397</v>
      </c>
      <c r="Q1111">
        <v>7</v>
      </c>
      <c r="R1111" s="225">
        <f>Base_Periodo1[[#This Row],[CREDITOS]]-Base_Periodo1[[#This Row],[DEBITOS]]</f>
        <v>-80.699999999999989</v>
      </c>
      <c r="S1111" s="3" t="str">
        <f>IF(ISERROR(VLOOKUP(Base_Periodo1[[#This Row],[CONTA]],BaseContasDRE[#All],4,FALSE)),"Fora do DRE",VLOOKUP(Base_Periodo1[[#This Row],[CONTA]],BaseContasDRE[#All],4,FALSE))</f>
        <v>Fora do DRE</v>
      </c>
      <c r="T1111" s="3" t="str">
        <f>IF(ISERROR(VLOOKUP(Base_Periodo1[[#This Row],[CONTA]],BaseContasDRE[#All],5,FALSE)),"Fora do DRE",VLOOKUP(Base_Periodo1[[#This Row],[CONTA]],BaseContasDRE[#All],6,FALSE))</f>
        <v>Fora do DRE</v>
      </c>
      <c r="U1111" s="3" t="str">
        <f>IF(ISERROR(VLOOKUP(Base_Periodo1[[#This Row],[CONTA]],BaseContasDRE[#All],7,FALSE)),"Fora do DRE",VLOOKUP(Base_Periodo1[[#This Row],[CONTA]],BaseContasDRE[#All],7,FALSE))</f>
        <v>Fora do DRE</v>
      </c>
      <c r="V1111" s="3" t="str">
        <f>IF(Base_Periodo1[[#This Row],[Tipo_Linha]]="Fora do DRE","Fora do DRE","( "&amp;Base_Periodo1[[#This Row],[Tipo_Linha]]&amp;" ) "&amp;Base_Periodo1[[#This Row],[Filtro]])</f>
        <v>Fora do DRE</v>
      </c>
      <c r="W1111" s="3" t="str">
        <f>LEFT(Base_Periodo1[[#This Row],[CLASS]],3)</f>
        <v>1.1</v>
      </c>
    </row>
    <row r="1112" spans="1:23" hidden="1">
      <c r="A1112" s="3" t="str">
        <f t="shared" si="17"/>
        <v>Período 1</v>
      </c>
      <c r="B1112">
        <v>50134</v>
      </c>
      <c r="C1112" t="s">
        <v>922</v>
      </c>
      <c r="D1112" t="s">
        <v>5875</v>
      </c>
      <c r="E1112" s="3" t="str">
        <f>IF(LEN(Base_Periodo1[[#This Row],[CLASS]])&gt;=7,LEFT(Base_Periodo1[[#This Row],[CLASS]],7),"")</f>
        <v>1.1.2.2</v>
      </c>
      <c r="F1112" s="3" t="str">
        <f>VLOOKUP(Base_Periodo1[[#This Row],[Aux]],Base_Contas_Balanco[#All],2,FALSE)</f>
        <v>Creditos com não Cooperados</v>
      </c>
      <c r="G1112" s="1">
        <v>42884</v>
      </c>
      <c r="H1112" s="225">
        <v>48525</v>
      </c>
      <c r="I1112" s="225">
        <v>29550</v>
      </c>
      <c r="J1112" s="225">
        <v>0</v>
      </c>
      <c r="K1112" s="225">
        <v>78075</v>
      </c>
      <c r="L11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78075</v>
      </c>
      <c r="M1112" s="225">
        <f>ROUND(IF(AND(Base_Periodo1[[#This Row],[Tipo_Linha]]="-",Base_Periodo1[[#This Row],[TIPOSALDO]]="D"),Base_Periodo1[[#This Row],[SALDO_ATUAL]]*-1,Base_Periodo1[[#This Row],[SALDO_ATUAL]]),4)</f>
        <v>78075</v>
      </c>
      <c r="N1112" t="s">
        <v>116</v>
      </c>
      <c r="O1112" t="s">
        <v>397</v>
      </c>
      <c r="P1112" t="s">
        <v>397</v>
      </c>
      <c r="Q1112">
        <v>7</v>
      </c>
      <c r="R1112" s="225">
        <f>Base_Periodo1[[#This Row],[CREDITOS]]-Base_Periodo1[[#This Row],[DEBITOS]]</f>
        <v>-29550</v>
      </c>
      <c r="S1112" s="3" t="str">
        <f>IF(ISERROR(VLOOKUP(Base_Periodo1[[#This Row],[CONTA]],BaseContasDRE[#All],4,FALSE)),"Fora do DRE",VLOOKUP(Base_Periodo1[[#This Row],[CONTA]],BaseContasDRE[#All],4,FALSE))</f>
        <v>Fora do DRE</v>
      </c>
      <c r="T1112" s="3" t="str">
        <f>IF(ISERROR(VLOOKUP(Base_Periodo1[[#This Row],[CONTA]],BaseContasDRE[#All],5,FALSE)),"Fora do DRE",VLOOKUP(Base_Periodo1[[#This Row],[CONTA]],BaseContasDRE[#All],6,FALSE))</f>
        <v>Fora do DRE</v>
      </c>
      <c r="U1112" s="3" t="str">
        <f>IF(ISERROR(VLOOKUP(Base_Periodo1[[#This Row],[CONTA]],BaseContasDRE[#All],7,FALSE)),"Fora do DRE",VLOOKUP(Base_Periodo1[[#This Row],[CONTA]],BaseContasDRE[#All],7,FALSE))</f>
        <v>Fora do DRE</v>
      </c>
      <c r="V1112" s="3" t="str">
        <f>IF(Base_Periodo1[[#This Row],[Tipo_Linha]]="Fora do DRE","Fora do DRE","( "&amp;Base_Periodo1[[#This Row],[Tipo_Linha]]&amp;" ) "&amp;Base_Periodo1[[#This Row],[Filtro]])</f>
        <v>Fora do DRE</v>
      </c>
      <c r="W1112" s="3" t="str">
        <f>LEFT(Base_Periodo1[[#This Row],[CLASS]],3)</f>
        <v>1.1</v>
      </c>
    </row>
    <row r="1113" spans="1:23" hidden="1">
      <c r="A1113" s="3" t="str">
        <f t="shared" si="17"/>
        <v>Período 1</v>
      </c>
      <c r="B1113">
        <v>27897</v>
      </c>
      <c r="C1113" t="s">
        <v>922</v>
      </c>
      <c r="D1113" t="s">
        <v>6197</v>
      </c>
      <c r="E1113" s="3" t="str">
        <f>IF(LEN(Base_Periodo1[[#This Row],[CLASS]])&gt;=7,LEFT(Base_Periodo1[[#This Row],[CLASS]],7),"")</f>
        <v>1.1.2.2</v>
      </c>
      <c r="F1113" s="3" t="str">
        <f>VLOOKUP(Base_Periodo1[[#This Row],[Aux]],Base_Contas_Balanco[#All],2,FALSE)</f>
        <v>Creditos com não Cooperados</v>
      </c>
      <c r="G1113" s="1">
        <v>42874</v>
      </c>
      <c r="H1113" s="225">
        <v>6000</v>
      </c>
      <c r="I1113" s="225">
        <v>10000</v>
      </c>
      <c r="J1113" s="225">
        <v>16000</v>
      </c>
      <c r="K1113" s="225">
        <v>0</v>
      </c>
      <c r="L11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13" s="225">
        <f>ROUND(IF(AND(Base_Periodo1[[#This Row],[Tipo_Linha]]="-",Base_Periodo1[[#This Row],[TIPOSALDO]]="D"),Base_Periodo1[[#This Row],[SALDO_ATUAL]]*-1,Base_Periodo1[[#This Row],[SALDO_ATUAL]]),4)</f>
        <v>0</v>
      </c>
      <c r="N1113" t="s">
        <v>116</v>
      </c>
      <c r="O1113" t="s">
        <v>397</v>
      </c>
      <c r="P1113" t="s">
        <v>436</v>
      </c>
      <c r="Q1113">
        <v>7</v>
      </c>
      <c r="R1113" s="225">
        <f>Base_Periodo1[[#This Row],[CREDITOS]]-Base_Periodo1[[#This Row],[DEBITOS]]</f>
        <v>6000</v>
      </c>
      <c r="S1113" s="3" t="str">
        <f>IF(ISERROR(VLOOKUP(Base_Periodo1[[#This Row],[CONTA]],BaseContasDRE[#All],4,FALSE)),"Fora do DRE",VLOOKUP(Base_Periodo1[[#This Row],[CONTA]],BaseContasDRE[#All],4,FALSE))</f>
        <v>Fora do DRE</v>
      </c>
      <c r="T1113" s="3" t="str">
        <f>IF(ISERROR(VLOOKUP(Base_Periodo1[[#This Row],[CONTA]],BaseContasDRE[#All],5,FALSE)),"Fora do DRE",VLOOKUP(Base_Periodo1[[#This Row],[CONTA]],BaseContasDRE[#All],6,FALSE))</f>
        <v>Fora do DRE</v>
      </c>
      <c r="U1113" s="3" t="str">
        <f>IF(ISERROR(VLOOKUP(Base_Periodo1[[#This Row],[CONTA]],BaseContasDRE[#All],7,FALSE)),"Fora do DRE",VLOOKUP(Base_Periodo1[[#This Row],[CONTA]],BaseContasDRE[#All],7,FALSE))</f>
        <v>Fora do DRE</v>
      </c>
      <c r="V1113" s="3" t="str">
        <f>IF(Base_Periodo1[[#This Row],[Tipo_Linha]]="Fora do DRE","Fora do DRE","( "&amp;Base_Periodo1[[#This Row],[Tipo_Linha]]&amp;" ) "&amp;Base_Periodo1[[#This Row],[Filtro]])</f>
        <v>Fora do DRE</v>
      </c>
      <c r="W1113" s="3" t="str">
        <f>LEFT(Base_Periodo1[[#This Row],[CLASS]],3)</f>
        <v>1.1</v>
      </c>
    </row>
    <row r="1114" spans="1:23" hidden="1">
      <c r="A1114" s="3" t="str">
        <f t="shared" si="17"/>
        <v>Período 1</v>
      </c>
      <c r="B1114">
        <v>10414</v>
      </c>
      <c r="C1114" t="s">
        <v>922</v>
      </c>
      <c r="D1114" t="s">
        <v>6198</v>
      </c>
      <c r="E1114" s="3" t="str">
        <f>IF(LEN(Base_Periodo1[[#This Row],[CLASS]])&gt;=7,LEFT(Base_Periodo1[[#This Row],[CLASS]],7),"")</f>
        <v>1.1.2.2</v>
      </c>
      <c r="F1114" s="3" t="str">
        <f>VLOOKUP(Base_Periodo1[[#This Row],[Aux]],Base_Contas_Balanco[#All],2,FALSE)</f>
        <v>Creditos com não Cooperados</v>
      </c>
      <c r="G1114" s="1">
        <v>42795</v>
      </c>
      <c r="H1114" s="225">
        <v>500</v>
      </c>
      <c r="I1114" s="225">
        <v>0</v>
      </c>
      <c r="J1114" s="225">
        <v>0</v>
      </c>
      <c r="K1114" s="225">
        <v>500</v>
      </c>
      <c r="L11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114" s="225">
        <f>ROUND(IF(AND(Base_Periodo1[[#This Row],[Tipo_Linha]]="-",Base_Periodo1[[#This Row],[TIPOSALDO]]="D"),Base_Periodo1[[#This Row],[SALDO_ATUAL]]*-1,Base_Periodo1[[#This Row],[SALDO_ATUAL]]),4)</f>
        <v>500</v>
      </c>
      <c r="N1114" t="s">
        <v>116</v>
      </c>
      <c r="O1114" t="s">
        <v>397</v>
      </c>
      <c r="P1114" t="s">
        <v>397</v>
      </c>
      <c r="Q1114">
        <v>7</v>
      </c>
      <c r="R1114" s="225">
        <f>Base_Periodo1[[#This Row],[CREDITOS]]-Base_Periodo1[[#This Row],[DEBITOS]]</f>
        <v>0</v>
      </c>
      <c r="S1114" s="3" t="str">
        <f>IF(ISERROR(VLOOKUP(Base_Periodo1[[#This Row],[CONTA]],BaseContasDRE[#All],4,FALSE)),"Fora do DRE",VLOOKUP(Base_Periodo1[[#This Row],[CONTA]],BaseContasDRE[#All],4,FALSE))</f>
        <v>Fora do DRE</v>
      </c>
      <c r="T1114" s="3" t="str">
        <f>IF(ISERROR(VLOOKUP(Base_Periodo1[[#This Row],[CONTA]],BaseContasDRE[#All],5,FALSE)),"Fora do DRE",VLOOKUP(Base_Periodo1[[#This Row],[CONTA]],BaseContasDRE[#All],6,FALSE))</f>
        <v>Fora do DRE</v>
      </c>
      <c r="U1114" s="3" t="str">
        <f>IF(ISERROR(VLOOKUP(Base_Periodo1[[#This Row],[CONTA]],BaseContasDRE[#All],7,FALSE)),"Fora do DRE",VLOOKUP(Base_Periodo1[[#This Row],[CONTA]],BaseContasDRE[#All],7,FALSE))</f>
        <v>Fora do DRE</v>
      </c>
      <c r="V1114" s="3" t="str">
        <f>IF(Base_Periodo1[[#This Row],[Tipo_Linha]]="Fora do DRE","Fora do DRE","( "&amp;Base_Periodo1[[#This Row],[Tipo_Linha]]&amp;" ) "&amp;Base_Periodo1[[#This Row],[Filtro]])</f>
        <v>Fora do DRE</v>
      </c>
      <c r="W1114" s="3" t="str">
        <f>LEFT(Base_Periodo1[[#This Row],[CLASS]],3)</f>
        <v>1.1</v>
      </c>
    </row>
    <row r="1115" spans="1:23" hidden="1">
      <c r="A1115" s="3" t="str">
        <f t="shared" si="17"/>
        <v>Período 1</v>
      </c>
      <c r="B1115">
        <v>56307</v>
      </c>
      <c r="C1115" t="s">
        <v>922</v>
      </c>
      <c r="D1115" t="s">
        <v>5876</v>
      </c>
      <c r="E1115" s="3" t="str">
        <f>IF(LEN(Base_Periodo1[[#This Row],[CLASS]])&gt;=7,LEFT(Base_Periodo1[[#This Row],[CLASS]],7),"")</f>
        <v>1.1.2.2</v>
      </c>
      <c r="F1115" s="3" t="str">
        <f>VLOOKUP(Base_Periodo1[[#This Row],[Aux]],Base_Contas_Balanco[#All],2,FALSE)</f>
        <v>Creditos com não Cooperados</v>
      </c>
      <c r="G1115" s="1">
        <v>42767</v>
      </c>
      <c r="H1115" s="225">
        <v>1190</v>
      </c>
      <c r="I1115" s="225">
        <v>0</v>
      </c>
      <c r="J1115" s="225">
        <v>0</v>
      </c>
      <c r="K1115" s="225">
        <v>1190</v>
      </c>
      <c r="L11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1190</v>
      </c>
      <c r="M1115" s="225">
        <f>ROUND(IF(AND(Base_Periodo1[[#This Row],[Tipo_Linha]]="-",Base_Periodo1[[#This Row],[TIPOSALDO]]="D"),Base_Periodo1[[#This Row],[SALDO_ATUAL]]*-1,Base_Periodo1[[#This Row],[SALDO_ATUAL]]),4)</f>
        <v>1190</v>
      </c>
      <c r="N1115" t="s">
        <v>116</v>
      </c>
      <c r="O1115" t="s">
        <v>397</v>
      </c>
      <c r="P1115" t="s">
        <v>397</v>
      </c>
      <c r="Q1115">
        <v>7</v>
      </c>
      <c r="R1115" s="225">
        <f>Base_Periodo1[[#This Row],[CREDITOS]]-Base_Periodo1[[#This Row],[DEBITOS]]</f>
        <v>0</v>
      </c>
      <c r="S1115" s="3" t="str">
        <f>IF(ISERROR(VLOOKUP(Base_Periodo1[[#This Row],[CONTA]],BaseContasDRE[#All],4,FALSE)),"Fora do DRE",VLOOKUP(Base_Periodo1[[#This Row],[CONTA]],BaseContasDRE[#All],4,FALSE))</f>
        <v>Fora do DRE</v>
      </c>
      <c r="T1115" s="3" t="str">
        <f>IF(ISERROR(VLOOKUP(Base_Periodo1[[#This Row],[CONTA]],BaseContasDRE[#All],5,FALSE)),"Fora do DRE",VLOOKUP(Base_Periodo1[[#This Row],[CONTA]],BaseContasDRE[#All],6,FALSE))</f>
        <v>Fora do DRE</v>
      </c>
      <c r="U1115" s="3" t="str">
        <f>IF(ISERROR(VLOOKUP(Base_Periodo1[[#This Row],[CONTA]],BaseContasDRE[#All],7,FALSE)),"Fora do DRE",VLOOKUP(Base_Periodo1[[#This Row],[CONTA]],BaseContasDRE[#All],7,FALSE))</f>
        <v>Fora do DRE</v>
      </c>
      <c r="V1115" s="3" t="str">
        <f>IF(Base_Periodo1[[#This Row],[Tipo_Linha]]="Fora do DRE","Fora do DRE","( "&amp;Base_Periodo1[[#This Row],[Tipo_Linha]]&amp;" ) "&amp;Base_Periodo1[[#This Row],[Filtro]])</f>
        <v>Fora do DRE</v>
      </c>
      <c r="W1115" s="3" t="str">
        <f>LEFT(Base_Periodo1[[#This Row],[CLASS]],3)</f>
        <v>1.1</v>
      </c>
    </row>
    <row r="1116" spans="1:23" hidden="1">
      <c r="A1116" s="3" t="str">
        <f t="shared" si="17"/>
        <v>Período 1</v>
      </c>
      <c r="B1116">
        <v>42155</v>
      </c>
      <c r="C1116" t="s">
        <v>922</v>
      </c>
      <c r="D1116" t="s">
        <v>2120</v>
      </c>
      <c r="E1116" s="3" t="str">
        <f>IF(LEN(Base_Periodo1[[#This Row],[CLASS]])&gt;=7,LEFT(Base_Periodo1[[#This Row],[CLASS]],7),"")</f>
        <v>1.1.2.2</v>
      </c>
      <c r="F1116" s="3" t="str">
        <f>VLOOKUP(Base_Periodo1[[#This Row],[Aux]],Base_Contas_Balanco[#All],2,FALSE)</f>
        <v>Creditos com não Cooperados</v>
      </c>
      <c r="G1116" s="1">
        <v>42657</v>
      </c>
      <c r="H1116" s="225">
        <v>10500</v>
      </c>
      <c r="I1116" s="225">
        <v>0</v>
      </c>
      <c r="J1116" s="225">
        <v>0</v>
      </c>
      <c r="K1116" s="225">
        <v>10500</v>
      </c>
      <c r="L11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10500</v>
      </c>
      <c r="M1116" s="225">
        <f>ROUND(IF(AND(Base_Periodo1[[#This Row],[Tipo_Linha]]="-",Base_Periodo1[[#This Row],[TIPOSALDO]]="D"),Base_Periodo1[[#This Row],[SALDO_ATUAL]]*-1,Base_Periodo1[[#This Row],[SALDO_ATUAL]]),4)</f>
        <v>10500</v>
      </c>
      <c r="N1116" t="s">
        <v>116</v>
      </c>
      <c r="O1116" t="s">
        <v>397</v>
      </c>
      <c r="P1116" t="s">
        <v>397</v>
      </c>
      <c r="Q1116">
        <v>7</v>
      </c>
      <c r="R1116" s="225">
        <f>Base_Periodo1[[#This Row],[CREDITOS]]-Base_Periodo1[[#This Row],[DEBITOS]]</f>
        <v>0</v>
      </c>
      <c r="S1116" s="3" t="str">
        <f>IF(ISERROR(VLOOKUP(Base_Periodo1[[#This Row],[CONTA]],BaseContasDRE[#All],4,FALSE)),"Fora do DRE",VLOOKUP(Base_Periodo1[[#This Row],[CONTA]],BaseContasDRE[#All],4,FALSE))</f>
        <v>Fora do DRE</v>
      </c>
      <c r="T1116" s="3" t="str">
        <f>IF(ISERROR(VLOOKUP(Base_Periodo1[[#This Row],[CONTA]],BaseContasDRE[#All],5,FALSE)),"Fora do DRE",VLOOKUP(Base_Periodo1[[#This Row],[CONTA]],BaseContasDRE[#All],6,FALSE))</f>
        <v>Fora do DRE</v>
      </c>
      <c r="U1116" s="3" t="str">
        <f>IF(ISERROR(VLOOKUP(Base_Periodo1[[#This Row],[CONTA]],BaseContasDRE[#All],7,FALSE)),"Fora do DRE",VLOOKUP(Base_Periodo1[[#This Row],[CONTA]],BaseContasDRE[#All],7,FALSE))</f>
        <v>Fora do DRE</v>
      </c>
      <c r="V1116" s="3" t="str">
        <f>IF(Base_Periodo1[[#This Row],[Tipo_Linha]]="Fora do DRE","Fora do DRE","( "&amp;Base_Periodo1[[#This Row],[Tipo_Linha]]&amp;" ) "&amp;Base_Periodo1[[#This Row],[Filtro]])</f>
        <v>Fora do DRE</v>
      </c>
      <c r="W1116" s="3" t="str">
        <f>LEFT(Base_Periodo1[[#This Row],[CLASS]],3)</f>
        <v>1.1</v>
      </c>
    </row>
    <row r="1117" spans="1:23" hidden="1">
      <c r="A1117" s="3" t="str">
        <f t="shared" si="17"/>
        <v>Período 1</v>
      </c>
      <c r="B1117">
        <v>53849</v>
      </c>
      <c r="C1117" t="s">
        <v>922</v>
      </c>
      <c r="D1117" t="s">
        <v>6199</v>
      </c>
      <c r="E1117" s="3" t="str">
        <f>IF(LEN(Base_Periodo1[[#This Row],[CLASS]])&gt;=7,LEFT(Base_Periodo1[[#This Row],[CLASS]],7),"")</f>
        <v>1.1.2.2</v>
      </c>
      <c r="F1117" s="3" t="str">
        <f>VLOOKUP(Base_Periodo1[[#This Row],[Aux]],Base_Contas_Balanco[#All],2,FALSE)</f>
        <v>Creditos com não Cooperados</v>
      </c>
      <c r="G1117" s="1">
        <v>42879</v>
      </c>
      <c r="H1117" s="225">
        <v>1689.9999999999998</v>
      </c>
      <c r="I1117" s="225">
        <v>0</v>
      </c>
      <c r="J1117" s="225">
        <v>1690</v>
      </c>
      <c r="K1117" s="225">
        <v>-2.2737367544323206E-13</v>
      </c>
      <c r="L11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17" s="225">
        <f>ROUND(IF(AND(Base_Periodo1[[#This Row],[Tipo_Linha]]="-",Base_Periodo1[[#This Row],[TIPOSALDO]]="D"),Base_Periodo1[[#This Row],[SALDO_ATUAL]]*-1,Base_Periodo1[[#This Row],[SALDO_ATUAL]]),4)</f>
        <v>0</v>
      </c>
      <c r="N1117" t="s">
        <v>116</v>
      </c>
      <c r="O1117" t="s">
        <v>397</v>
      </c>
      <c r="P1117" t="s">
        <v>436</v>
      </c>
      <c r="Q1117">
        <v>7</v>
      </c>
      <c r="R1117" s="225">
        <f>Base_Periodo1[[#This Row],[CREDITOS]]-Base_Periodo1[[#This Row],[DEBITOS]]</f>
        <v>1690</v>
      </c>
      <c r="S1117" s="3" t="str">
        <f>IF(ISERROR(VLOOKUP(Base_Periodo1[[#This Row],[CONTA]],BaseContasDRE[#All],4,FALSE)),"Fora do DRE",VLOOKUP(Base_Periodo1[[#This Row],[CONTA]],BaseContasDRE[#All],4,FALSE))</f>
        <v>Fora do DRE</v>
      </c>
      <c r="T1117" s="3" t="str">
        <f>IF(ISERROR(VLOOKUP(Base_Periodo1[[#This Row],[CONTA]],BaseContasDRE[#All],5,FALSE)),"Fora do DRE",VLOOKUP(Base_Periodo1[[#This Row],[CONTA]],BaseContasDRE[#All],6,FALSE))</f>
        <v>Fora do DRE</v>
      </c>
      <c r="U1117" s="3" t="str">
        <f>IF(ISERROR(VLOOKUP(Base_Periodo1[[#This Row],[CONTA]],BaseContasDRE[#All],7,FALSE)),"Fora do DRE",VLOOKUP(Base_Periodo1[[#This Row],[CONTA]],BaseContasDRE[#All],7,FALSE))</f>
        <v>Fora do DRE</v>
      </c>
      <c r="V1117" s="3" t="str">
        <f>IF(Base_Periodo1[[#This Row],[Tipo_Linha]]="Fora do DRE","Fora do DRE","( "&amp;Base_Periodo1[[#This Row],[Tipo_Linha]]&amp;" ) "&amp;Base_Periodo1[[#This Row],[Filtro]])</f>
        <v>Fora do DRE</v>
      </c>
      <c r="W1117" s="3" t="str">
        <f>LEFT(Base_Periodo1[[#This Row],[CLASS]],3)</f>
        <v>1.1</v>
      </c>
    </row>
    <row r="1118" spans="1:23" hidden="1">
      <c r="A1118" s="3" t="str">
        <f t="shared" si="17"/>
        <v>Período 1</v>
      </c>
      <c r="B1118">
        <v>36018</v>
      </c>
      <c r="C1118" t="s">
        <v>922</v>
      </c>
      <c r="D1118" t="s">
        <v>5663</v>
      </c>
      <c r="E1118" s="3" t="str">
        <f>IF(LEN(Base_Periodo1[[#This Row],[CLASS]])&gt;=7,LEFT(Base_Periodo1[[#This Row],[CLASS]],7),"")</f>
        <v>1.1.2.2</v>
      </c>
      <c r="F1118" s="3" t="str">
        <f>VLOOKUP(Base_Periodo1[[#This Row],[Aux]],Base_Contas_Balanco[#All],2,FALSE)</f>
        <v>Creditos com não Cooperados</v>
      </c>
      <c r="G1118" s="1">
        <v>42886</v>
      </c>
      <c r="H1118" s="225">
        <v>29999.999999999985</v>
      </c>
      <c r="I1118" s="225">
        <v>2250</v>
      </c>
      <c r="J1118" s="225">
        <v>32250</v>
      </c>
      <c r="K1118" s="225">
        <v>-1.4551915228366852E-11</v>
      </c>
      <c r="L11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18" s="225">
        <f>ROUND(IF(AND(Base_Periodo1[[#This Row],[Tipo_Linha]]="-",Base_Periodo1[[#This Row],[TIPOSALDO]]="D"),Base_Periodo1[[#This Row],[SALDO_ATUAL]]*-1,Base_Periodo1[[#This Row],[SALDO_ATUAL]]),4)</f>
        <v>0</v>
      </c>
      <c r="N1118" t="s">
        <v>116</v>
      </c>
      <c r="O1118" t="s">
        <v>397</v>
      </c>
      <c r="P1118" t="s">
        <v>436</v>
      </c>
      <c r="Q1118">
        <v>7</v>
      </c>
      <c r="R1118" s="225">
        <f>Base_Periodo1[[#This Row],[CREDITOS]]-Base_Periodo1[[#This Row],[DEBITOS]]</f>
        <v>30000</v>
      </c>
      <c r="S1118" s="3" t="str">
        <f>IF(ISERROR(VLOOKUP(Base_Periodo1[[#This Row],[CONTA]],BaseContasDRE[#All],4,FALSE)),"Fora do DRE",VLOOKUP(Base_Periodo1[[#This Row],[CONTA]],BaseContasDRE[#All],4,FALSE))</f>
        <v>Fora do DRE</v>
      </c>
      <c r="T1118" s="3" t="str">
        <f>IF(ISERROR(VLOOKUP(Base_Periodo1[[#This Row],[CONTA]],BaseContasDRE[#All],5,FALSE)),"Fora do DRE",VLOOKUP(Base_Periodo1[[#This Row],[CONTA]],BaseContasDRE[#All],6,FALSE))</f>
        <v>Fora do DRE</v>
      </c>
      <c r="U1118" s="3" t="str">
        <f>IF(ISERROR(VLOOKUP(Base_Periodo1[[#This Row],[CONTA]],BaseContasDRE[#All],7,FALSE)),"Fora do DRE",VLOOKUP(Base_Periodo1[[#This Row],[CONTA]],BaseContasDRE[#All],7,FALSE))</f>
        <v>Fora do DRE</v>
      </c>
      <c r="V1118" s="3" t="str">
        <f>IF(Base_Periodo1[[#This Row],[Tipo_Linha]]="Fora do DRE","Fora do DRE","( "&amp;Base_Periodo1[[#This Row],[Tipo_Linha]]&amp;" ) "&amp;Base_Periodo1[[#This Row],[Filtro]])</f>
        <v>Fora do DRE</v>
      </c>
      <c r="W1118" s="3" t="str">
        <f>LEFT(Base_Periodo1[[#This Row],[CLASS]],3)</f>
        <v>1.1</v>
      </c>
    </row>
    <row r="1119" spans="1:23" hidden="1">
      <c r="A1119" s="3" t="str">
        <f t="shared" si="17"/>
        <v>Período 1</v>
      </c>
      <c r="B1119">
        <v>54410</v>
      </c>
      <c r="C1119" t="s">
        <v>922</v>
      </c>
      <c r="D1119" t="s">
        <v>5164</v>
      </c>
      <c r="E1119" s="3" t="str">
        <f>IF(LEN(Base_Periodo1[[#This Row],[CLASS]])&gt;=7,LEFT(Base_Periodo1[[#This Row],[CLASS]],7),"")</f>
        <v>1.1.2.2</v>
      </c>
      <c r="F1119" s="3" t="str">
        <f>VLOOKUP(Base_Periodo1[[#This Row],[Aux]],Base_Contas_Balanco[#All],2,FALSE)</f>
        <v>Creditos com não Cooperados</v>
      </c>
      <c r="G1119" s="1">
        <v>42850</v>
      </c>
      <c r="H1119" s="225">
        <v>6808</v>
      </c>
      <c r="I1119" s="225">
        <v>0</v>
      </c>
      <c r="J1119" s="225">
        <v>0</v>
      </c>
      <c r="K1119" s="225">
        <v>6808</v>
      </c>
      <c r="L11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-6808</v>
      </c>
      <c r="M1119" s="225">
        <f>ROUND(IF(AND(Base_Periodo1[[#This Row],[Tipo_Linha]]="-",Base_Periodo1[[#This Row],[TIPOSALDO]]="D"),Base_Periodo1[[#This Row],[SALDO_ATUAL]]*-1,Base_Periodo1[[#This Row],[SALDO_ATUAL]]),4)</f>
        <v>6808</v>
      </c>
      <c r="N1119" t="s">
        <v>116</v>
      </c>
      <c r="O1119" t="s">
        <v>459</v>
      </c>
      <c r="P1119" t="s">
        <v>459</v>
      </c>
      <c r="Q1119">
        <v>7</v>
      </c>
      <c r="R1119" s="225">
        <f>Base_Periodo1[[#This Row],[CREDITOS]]-Base_Periodo1[[#This Row],[DEBITOS]]</f>
        <v>0</v>
      </c>
      <c r="S1119" s="3" t="str">
        <f>IF(ISERROR(VLOOKUP(Base_Periodo1[[#This Row],[CONTA]],BaseContasDRE[#All],4,FALSE)),"Fora do DRE",VLOOKUP(Base_Periodo1[[#This Row],[CONTA]],BaseContasDRE[#All],4,FALSE))</f>
        <v>Fora do DRE</v>
      </c>
      <c r="T1119" s="3" t="str">
        <f>IF(ISERROR(VLOOKUP(Base_Periodo1[[#This Row],[CONTA]],BaseContasDRE[#All],5,FALSE)),"Fora do DRE",VLOOKUP(Base_Periodo1[[#This Row],[CONTA]],BaseContasDRE[#All],6,FALSE))</f>
        <v>Fora do DRE</v>
      </c>
      <c r="U1119" s="3" t="str">
        <f>IF(ISERROR(VLOOKUP(Base_Periodo1[[#This Row],[CONTA]],BaseContasDRE[#All],7,FALSE)),"Fora do DRE",VLOOKUP(Base_Periodo1[[#This Row],[CONTA]],BaseContasDRE[#All],7,FALSE))</f>
        <v>Fora do DRE</v>
      </c>
      <c r="V1119" s="3" t="str">
        <f>IF(Base_Periodo1[[#This Row],[Tipo_Linha]]="Fora do DRE","Fora do DRE","( "&amp;Base_Periodo1[[#This Row],[Tipo_Linha]]&amp;" ) "&amp;Base_Periodo1[[#This Row],[Filtro]])</f>
        <v>Fora do DRE</v>
      </c>
      <c r="W1119" s="3" t="str">
        <f>LEFT(Base_Periodo1[[#This Row],[CLASS]],3)</f>
        <v>1.1</v>
      </c>
    </row>
    <row r="1120" spans="1:23" hidden="1">
      <c r="A1120" s="3" t="str">
        <f t="shared" si="17"/>
        <v>Período 1</v>
      </c>
      <c r="B1120">
        <v>3272</v>
      </c>
      <c r="C1120" t="s">
        <v>922</v>
      </c>
      <c r="D1120" t="s">
        <v>5664</v>
      </c>
      <c r="E1120" s="3" t="str">
        <f>IF(LEN(Base_Periodo1[[#This Row],[CLASS]])&gt;=7,LEFT(Base_Periodo1[[#This Row],[CLASS]],7),"")</f>
        <v>1.1.2.2</v>
      </c>
      <c r="F1120" s="3" t="str">
        <f>VLOOKUP(Base_Periodo1[[#This Row],[Aux]],Base_Contas_Balanco[#All],2,FALSE)</f>
        <v>Creditos com não Cooperados</v>
      </c>
      <c r="G1120" s="1">
        <v>42858</v>
      </c>
      <c r="H1120" s="225">
        <v>25259.999999999971</v>
      </c>
      <c r="I1120" s="225">
        <v>0</v>
      </c>
      <c r="J1120" s="225">
        <v>25260</v>
      </c>
      <c r="K1120" s="225">
        <v>-2.9103830456733704E-11</v>
      </c>
      <c r="L11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20" s="225">
        <f>ROUND(IF(AND(Base_Periodo1[[#This Row],[Tipo_Linha]]="-",Base_Periodo1[[#This Row],[TIPOSALDO]]="D"),Base_Periodo1[[#This Row],[SALDO_ATUAL]]*-1,Base_Periodo1[[#This Row],[SALDO_ATUAL]]),4)</f>
        <v>0</v>
      </c>
      <c r="N1120" t="s">
        <v>116</v>
      </c>
      <c r="O1120" t="s">
        <v>397</v>
      </c>
      <c r="P1120" t="s">
        <v>436</v>
      </c>
      <c r="Q1120">
        <v>7</v>
      </c>
      <c r="R1120" s="225">
        <f>Base_Periodo1[[#This Row],[CREDITOS]]-Base_Periodo1[[#This Row],[DEBITOS]]</f>
        <v>25260</v>
      </c>
      <c r="S1120" s="3" t="str">
        <f>IF(ISERROR(VLOOKUP(Base_Periodo1[[#This Row],[CONTA]],BaseContasDRE[#All],4,FALSE)),"Fora do DRE",VLOOKUP(Base_Periodo1[[#This Row],[CONTA]],BaseContasDRE[#All],4,FALSE))</f>
        <v>Fora do DRE</v>
      </c>
      <c r="T1120" s="3" t="str">
        <f>IF(ISERROR(VLOOKUP(Base_Periodo1[[#This Row],[CONTA]],BaseContasDRE[#All],5,FALSE)),"Fora do DRE",VLOOKUP(Base_Periodo1[[#This Row],[CONTA]],BaseContasDRE[#All],6,FALSE))</f>
        <v>Fora do DRE</v>
      </c>
      <c r="U1120" s="3" t="str">
        <f>IF(ISERROR(VLOOKUP(Base_Periodo1[[#This Row],[CONTA]],BaseContasDRE[#All],7,FALSE)),"Fora do DRE",VLOOKUP(Base_Periodo1[[#This Row],[CONTA]],BaseContasDRE[#All],7,FALSE))</f>
        <v>Fora do DRE</v>
      </c>
      <c r="V1120" s="3" t="str">
        <f>IF(Base_Periodo1[[#This Row],[Tipo_Linha]]="Fora do DRE","Fora do DRE","( "&amp;Base_Periodo1[[#This Row],[Tipo_Linha]]&amp;" ) "&amp;Base_Periodo1[[#This Row],[Filtro]])</f>
        <v>Fora do DRE</v>
      </c>
      <c r="W1120" s="3" t="str">
        <f>LEFT(Base_Periodo1[[#This Row],[CLASS]],3)</f>
        <v>1.1</v>
      </c>
    </row>
    <row r="1121" spans="1:23" hidden="1">
      <c r="A1121" s="3" t="str">
        <f t="shared" si="17"/>
        <v>Período 1</v>
      </c>
      <c r="B1121">
        <v>8612</v>
      </c>
      <c r="C1121" t="s">
        <v>922</v>
      </c>
      <c r="D1121" t="s">
        <v>4726</v>
      </c>
      <c r="E1121" s="3" t="str">
        <f>IF(LEN(Base_Periodo1[[#This Row],[CLASS]])&gt;=7,LEFT(Base_Periodo1[[#This Row],[CLASS]],7),"")</f>
        <v>1.1.2.2</v>
      </c>
      <c r="F1121" s="3" t="str">
        <f>VLOOKUP(Base_Periodo1[[#This Row],[Aux]],Base_Contas_Balanco[#All],2,FALSE)</f>
        <v>Creditos com não Cooperados</v>
      </c>
      <c r="G1121" s="1">
        <v>42490</v>
      </c>
      <c r="H1121" s="225">
        <v>200000</v>
      </c>
      <c r="I1121" s="225">
        <v>0</v>
      </c>
      <c r="J1121" s="225">
        <v>0</v>
      </c>
      <c r="K1121" s="225">
        <v>200000</v>
      </c>
      <c r="L11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200000</v>
      </c>
      <c r="M1121" s="225">
        <f>ROUND(IF(AND(Base_Periodo1[[#This Row],[Tipo_Linha]]="-",Base_Periodo1[[#This Row],[TIPOSALDO]]="D"),Base_Periodo1[[#This Row],[SALDO_ATUAL]]*-1,Base_Periodo1[[#This Row],[SALDO_ATUAL]]),4)</f>
        <v>200000</v>
      </c>
      <c r="N1121" t="s">
        <v>116</v>
      </c>
      <c r="O1121" t="s">
        <v>397</v>
      </c>
      <c r="P1121" t="s">
        <v>397</v>
      </c>
      <c r="Q1121">
        <v>7</v>
      </c>
      <c r="R1121" s="225">
        <f>Base_Periodo1[[#This Row],[CREDITOS]]-Base_Periodo1[[#This Row],[DEBITOS]]</f>
        <v>0</v>
      </c>
      <c r="S1121" s="3" t="str">
        <f>IF(ISERROR(VLOOKUP(Base_Periodo1[[#This Row],[CONTA]],BaseContasDRE[#All],4,FALSE)),"Fora do DRE",VLOOKUP(Base_Periodo1[[#This Row],[CONTA]],BaseContasDRE[#All],4,FALSE))</f>
        <v>Fora do DRE</v>
      </c>
      <c r="T1121" s="3" t="str">
        <f>IF(ISERROR(VLOOKUP(Base_Periodo1[[#This Row],[CONTA]],BaseContasDRE[#All],5,FALSE)),"Fora do DRE",VLOOKUP(Base_Periodo1[[#This Row],[CONTA]],BaseContasDRE[#All],6,FALSE))</f>
        <v>Fora do DRE</v>
      </c>
      <c r="U1121" s="3" t="str">
        <f>IF(ISERROR(VLOOKUP(Base_Periodo1[[#This Row],[CONTA]],BaseContasDRE[#All],7,FALSE)),"Fora do DRE",VLOOKUP(Base_Periodo1[[#This Row],[CONTA]],BaseContasDRE[#All],7,FALSE))</f>
        <v>Fora do DRE</v>
      </c>
      <c r="V1121" s="3" t="str">
        <f>IF(Base_Periodo1[[#This Row],[Tipo_Linha]]="Fora do DRE","Fora do DRE","( "&amp;Base_Periodo1[[#This Row],[Tipo_Linha]]&amp;" ) "&amp;Base_Periodo1[[#This Row],[Filtro]])</f>
        <v>Fora do DRE</v>
      </c>
      <c r="W1121" s="3" t="str">
        <f>LEFT(Base_Periodo1[[#This Row],[CLASS]],3)</f>
        <v>1.1</v>
      </c>
    </row>
    <row r="1122" spans="1:23" hidden="1">
      <c r="A1122" s="3" t="str">
        <f t="shared" si="17"/>
        <v>Período 1</v>
      </c>
      <c r="B1122">
        <v>27580</v>
      </c>
      <c r="C1122" t="s">
        <v>922</v>
      </c>
      <c r="D1122" t="s">
        <v>4257</v>
      </c>
      <c r="E1122" s="3" t="str">
        <f>IF(LEN(Base_Periodo1[[#This Row],[CLASS]])&gt;=7,LEFT(Base_Periodo1[[#This Row],[CLASS]],7),"")</f>
        <v>1.1.2.2</v>
      </c>
      <c r="F1122" s="3" t="str">
        <f>VLOOKUP(Base_Periodo1[[#This Row],[Aux]],Base_Contas_Balanco[#All],2,FALSE)</f>
        <v>Creditos com não Cooperados</v>
      </c>
      <c r="G1122" s="1">
        <v>42733</v>
      </c>
      <c r="H1122" s="225">
        <v>500</v>
      </c>
      <c r="I1122" s="225">
        <v>0</v>
      </c>
      <c r="J1122" s="225">
        <v>0</v>
      </c>
      <c r="K1122" s="225">
        <v>500</v>
      </c>
      <c r="L11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122" s="225">
        <f>ROUND(IF(AND(Base_Periodo1[[#This Row],[Tipo_Linha]]="-",Base_Periodo1[[#This Row],[TIPOSALDO]]="D"),Base_Periodo1[[#This Row],[SALDO_ATUAL]]*-1,Base_Periodo1[[#This Row],[SALDO_ATUAL]]),4)</f>
        <v>500</v>
      </c>
      <c r="N1122" t="s">
        <v>116</v>
      </c>
      <c r="O1122" t="s">
        <v>397</v>
      </c>
      <c r="P1122" t="s">
        <v>397</v>
      </c>
      <c r="Q1122">
        <v>7</v>
      </c>
      <c r="R1122" s="225">
        <f>Base_Periodo1[[#This Row],[CREDITOS]]-Base_Periodo1[[#This Row],[DEBITOS]]</f>
        <v>0</v>
      </c>
      <c r="S1122" s="3" t="str">
        <f>IF(ISERROR(VLOOKUP(Base_Periodo1[[#This Row],[CONTA]],BaseContasDRE[#All],4,FALSE)),"Fora do DRE",VLOOKUP(Base_Periodo1[[#This Row],[CONTA]],BaseContasDRE[#All],4,FALSE))</f>
        <v>Fora do DRE</v>
      </c>
      <c r="T1122" s="3" t="str">
        <f>IF(ISERROR(VLOOKUP(Base_Periodo1[[#This Row],[CONTA]],BaseContasDRE[#All],5,FALSE)),"Fora do DRE",VLOOKUP(Base_Periodo1[[#This Row],[CONTA]],BaseContasDRE[#All],6,FALSE))</f>
        <v>Fora do DRE</v>
      </c>
      <c r="U1122" s="3" t="str">
        <f>IF(ISERROR(VLOOKUP(Base_Periodo1[[#This Row],[CONTA]],BaseContasDRE[#All],7,FALSE)),"Fora do DRE",VLOOKUP(Base_Periodo1[[#This Row],[CONTA]],BaseContasDRE[#All],7,FALSE))</f>
        <v>Fora do DRE</v>
      </c>
      <c r="V1122" s="3" t="str">
        <f>IF(Base_Periodo1[[#This Row],[Tipo_Linha]]="Fora do DRE","Fora do DRE","( "&amp;Base_Periodo1[[#This Row],[Tipo_Linha]]&amp;" ) "&amp;Base_Periodo1[[#This Row],[Filtro]])</f>
        <v>Fora do DRE</v>
      </c>
      <c r="W1122" s="3" t="str">
        <f>LEFT(Base_Periodo1[[#This Row],[CLASS]],3)</f>
        <v>1.1</v>
      </c>
    </row>
    <row r="1123" spans="1:23" hidden="1">
      <c r="A1123" s="3" t="str">
        <f t="shared" si="17"/>
        <v>Período 1</v>
      </c>
      <c r="B1123">
        <v>56553</v>
      </c>
      <c r="C1123" t="s">
        <v>922</v>
      </c>
      <c r="D1123" t="s">
        <v>5877</v>
      </c>
      <c r="E1123" s="3" t="str">
        <f>IF(LEN(Base_Periodo1[[#This Row],[CLASS]])&gt;=7,LEFT(Base_Periodo1[[#This Row],[CLASS]],7),"")</f>
        <v>1.1.2.2</v>
      </c>
      <c r="F1123" s="3" t="str">
        <f>VLOOKUP(Base_Periodo1[[#This Row],[Aux]],Base_Contas_Balanco[#All],2,FALSE)</f>
        <v>Creditos com não Cooperados</v>
      </c>
      <c r="G1123" s="1">
        <v>42881</v>
      </c>
      <c r="H1123" s="225">
        <v>175000</v>
      </c>
      <c r="I1123" s="225">
        <v>0</v>
      </c>
      <c r="J1123" s="225">
        <v>175000</v>
      </c>
      <c r="K1123" s="225">
        <v>0</v>
      </c>
      <c r="L11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23" s="225">
        <f>ROUND(IF(AND(Base_Periodo1[[#This Row],[Tipo_Linha]]="-",Base_Periodo1[[#This Row],[TIPOSALDO]]="D"),Base_Periodo1[[#This Row],[SALDO_ATUAL]]*-1,Base_Periodo1[[#This Row],[SALDO_ATUAL]]),4)</f>
        <v>0</v>
      </c>
      <c r="N1123" t="s">
        <v>116</v>
      </c>
      <c r="O1123" t="s">
        <v>397</v>
      </c>
      <c r="P1123" t="s">
        <v>436</v>
      </c>
      <c r="Q1123">
        <v>7</v>
      </c>
      <c r="R1123" s="225">
        <f>Base_Periodo1[[#This Row],[CREDITOS]]-Base_Periodo1[[#This Row],[DEBITOS]]</f>
        <v>175000</v>
      </c>
      <c r="S1123" s="3" t="str">
        <f>IF(ISERROR(VLOOKUP(Base_Periodo1[[#This Row],[CONTA]],BaseContasDRE[#All],4,FALSE)),"Fora do DRE",VLOOKUP(Base_Periodo1[[#This Row],[CONTA]],BaseContasDRE[#All],4,FALSE))</f>
        <v>Fora do DRE</v>
      </c>
      <c r="T1123" s="3" t="str">
        <f>IF(ISERROR(VLOOKUP(Base_Periodo1[[#This Row],[CONTA]],BaseContasDRE[#All],5,FALSE)),"Fora do DRE",VLOOKUP(Base_Periodo1[[#This Row],[CONTA]],BaseContasDRE[#All],6,FALSE))</f>
        <v>Fora do DRE</v>
      </c>
      <c r="U1123" s="3" t="str">
        <f>IF(ISERROR(VLOOKUP(Base_Periodo1[[#This Row],[CONTA]],BaseContasDRE[#All],7,FALSE)),"Fora do DRE",VLOOKUP(Base_Periodo1[[#This Row],[CONTA]],BaseContasDRE[#All],7,FALSE))</f>
        <v>Fora do DRE</v>
      </c>
      <c r="V1123" s="3" t="str">
        <f>IF(Base_Periodo1[[#This Row],[Tipo_Linha]]="Fora do DRE","Fora do DRE","( "&amp;Base_Periodo1[[#This Row],[Tipo_Linha]]&amp;" ) "&amp;Base_Periodo1[[#This Row],[Filtro]])</f>
        <v>Fora do DRE</v>
      </c>
      <c r="W1123" s="3" t="str">
        <f>LEFT(Base_Periodo1[[#This Row],[CLASS]],3)</f>
        <v>1.1</v>
      </c>
    </row>
    <row r="1124" spans="1:23" hidden="1">
      <c r="A1124" s="3" t="str">
        <f t="shared" si="17"/>
        <v>Período 1</v>
      </c>
      <c r="B1124">
        <v>41291</v>
      </c>
      <c r="C1124" t="s">
        <v>922</v>
      </c>
      <c r="D1124" t="s">
        <v>6729</v>
      </c>
      <c r="E1124" s="3" t="str">
        <f>IF(LEN(Base_Periodo1[[#This Row],[CLASS]])&gt;=7,LEFT(Base_Periodo1[[#This Row],[CLASS]],7),"")</f>
        <v>1.1.2.2</v>
      </c>
      <c r="F1124" s="3" t="str">
        <f>VLOOKUP(Base_Periodo1[[#This Row],[Aux]],Base_Contas_Balanco[#All],2,FALSE)</f>
        <v>Creditos com não Cooperados</v>
      </c>
      <c r="G1124" s="1">
        <v>42885</v>
      </c>
      <c r="I1124" s="225">
        <v>26357.72</v>
      </c>
      <c r="J1124" s="225">
        <v>26357.72</v>
      </c>
      <c r="K1124" s="225">
        <v>0</v>
      </c>
      <c r="L11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24" s="225">
        <f>ROUND(IF(AND(Base_Periodo1[[#This Row],[Tipo_Linha]]="-",Base_Periodo1[[#This Row],[TIPOSALDO]]="D"),Base_Periodo1[[#This Row],[SALDO_ATUAL]]*-1,Base_Periodo1[[#This Row],[SALDO_ATUAL]]),4)</f>
        <v>0</v>
      </c>
      <c r="N1124" t="s">
        <v>116</v>
      </c>
      <c r="O1124" t="s">
        <v>436</v>
      </c>
      <c r="P1124" t="s">
        <v>436</v>
      </c>
      <c r="Q1124">
        <v>7</v>
      </c>
      <c r="R1124" s="225">
        <f>Base_Periodo1[[#This Row],[CREDITOS]]-Base_Periodo1[[#This Row],[DEBITOS]]</f>
        <v>0</v>
      </c>
      <c r="S1124" s="3" t="str">
        <f>IF(ISERROR(VLOOKUP(Base_Periodo1[[#This Row],[CONTA]],BaseContasDRE[#All],4,FALSE)),"Fora do DRE",VLOOKUP(Base_Periodo1[[#This Row],[CONTA]],BaseContasDRE[#All],4,FALSE))</f>
        <v>Fora do DRE</v>
      </c>
      <c r="T1124" s="3" t="str">
        <f>IF(ISERROR(VLOOKUP(Base_Periodo1[[#This Row],[CONTA]],BaseContasDRE[#All],5,FALSE)),"Fora do DRE",VLOOKUP(Base_Periodo1[[#This Row],[CONTA]],BaseContasDRE[#All],6,FALSE))</f>
        <v>Fora do DRE</v>
      </c>
      <c r="U1124" s="3" t="str">
        <f>IF(ISERROR(VLOOKUP(Base_Periodo1[[#This Row],[CONTA]],BaseContasDRE[#All],7,FALSE)),"Fora do DRE",VLOOKUP(Base_Periodo1[[#This Row],[CONTA]],BaseContasDRE[#All],7,FALSE))</f>
        <v>Fora do DRE</v>
      </c>
      <c r="V1124" s="3" t="str">
        <f>IF(Base_Periodo1[[#This Row],[Tipo_Linha]]="Fora do DRE","Fora do DRE","( "&amp;Base_Periodo1[[#This Row],[Tipo_Linha]]&amp;" ) "&amp;Base_Periodo1[[#This Row],[Filtro]])</f>
        <v>Fora do DRE</v>
      </c>
      <c r="W1124" s="3" t="str">
        <f>LEFT(Base_Periodo1[[#This Row],[CLASS]],3)</f>
        <v>1.1</v>
      </c>
    </row>
    <row r="1125" spans="1:23" hidden="1">
      <c r="A1125" s="3" t="str">
        <f t="shared" si="17"/>
        <v>Período 1</v>
      </c>
      <c r="B1125">
        <v>39156</v>
      </c>
      <c r="C1125" t="s">
        <v>922</v>
      </c>
      <c r="D1125" t="s">
        <v>5665</v>
      </c>
      <c r="E1125" s="3" t="str">
        <f>IF(LEN(Base_Periodo1[[#This Row],[CLASS]])&gt;=7,LEFT(Base_Periodo1[[#This Row],[CLASS]],7),"")</f>
        <v>1.1.2.2</v>
      </c>
      <c r="F1125" s="3" t="str">
        <f>VLOOKUP(Base_Periodo1[[#This Row],[Aux]],Base_Contas_Balanco[#All],2,FALSE)</f>
        <v>Creditos com não Cooperados</v>
      </c>
      <c r="G1125" s="1">
        <v>42873</v>
      </c>
      <c r="H1125" s="225">
        <v>8384</v>
      </c>
      <c r="I1125" s="225">
        <v>4355</v>
      </c>
      <c r="J1125" s="225">
        <v>12151.000000000002</v>
      </c>
      <c r="K1125" s="225">
        <v>587.99999999999818</v>
      </c>
      <c r="L11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588</v>
      </c>
      <c r="M1125" s="225">
        <f>ROUND(IF(AND(Base_Periodo1[[#This Row],[Tipo_Linha]]="-",Base_Periodo1[[#This Row],[TIPOSALDO]]="D"),Base_Periodo1[[#This Row],[SALDO_ATUAL]]*-1,Base_Periodo1[[#This Row],[SALDO_ATUAL]]),4)</f>
        <v>588</v>
      </c>
      <c r="N1125" t="s">
        <v>116</v>
      </c>
      <c r="O1125" t="s">
        <v>397</v>
      </c>
      <c r="P1125" t="s">
        <v>397</v>
      </c>
      <c r="Q1125">
        <v>7</v>
      </c>
      <c r="R1125" s="225">
        <f>Base_Periodo1[[#This Row],[CREDITOS]]-Base_Periodo1[[#This Row],[DEBITOS]]</f>
        <v>7796.0000000000018</v>
      </c>
      <c r="S1125" s="3" t="str">
        <f>IF(ISERROR(VLOOKUP(Base_Periodo1[[#This Row],[CONTA]],BaseContasDRE[#All],4,FALSE)),"Fora do DRE",VLOOKUP(Base_Periodo1[[#This Row],[CONTA]],BaseContasDRE[#All],4,FALSE))</f>
        <v>Fora do DRE</v>
      </c>
      <c r="T1125" s="3" t="str">
        <f>IF(ISERROR(VLOOKUP(Base_Periodo1[[#This Row],[CONTA]],BaseContasDRE[#All],5,FALSE)),"Fora do DRE",VLOOKUP(Base_Periodo1[[#This Row],[CONTA]],BaseContasDRE[#All],6,FALSE))</f>
        <v>Fora do DRE</v>
      </c>
      <c r="U1125" s="3" t="str">
        <f>IF(ISERROR(VLOOKUP(Base_Periodo1[[#This Row],[CONTA]],BaseContasDRE[#All],7,FALSE)),"Fora do DRE",VLOOKUP(Base_Periodo1[[#This Row],[CONTA]],BaseContasDRE[#All],7,FALSE))</f>
        <v>Fora do DRE</v>
      </c>
      <c r="V1125" s="3" t="str">
        <f>IF(Base_Periodo1[[#This Row],[Tipo_Linha]]="Fora do DRE","Fora do DRE","( "&amp;Base_Periodo1[[#This Row],[Tipo_Linha]]&amp;" ) "&amp;Base_Periodo1[[#This Row],[Filtro]])</f>
        <v>Fora do DRE</v>
      </c>
      <c r="W1125" s="3" t="str">
        <f>LEFT(Base_Periodo1[[#This Row],[CLASS]],3)</f>
        <v>1.1</v>
      </c>
    </row>
    <row r="1126" spans="1:23" hidden="1">
      <c r="A1126" s="3" t="str">
        <f t="shared" si="17"/>
        <v>Período 1</v>
      </c>
      <c r="B1126">
        <v>39028</v>
      </c>
      <c r="C1126" t="s">
        <v>922</v>
      </c>
      <c r="D1126" t="s">
        <v>5878</v>
      </c>
      <c r="E1126" s="3" t="str">
        <f>IF(LEN(Base_Periodo1[[#This Row],[CLASS]])&gt;=7,LEFT(Base_Periodo1[[#This Row],[CLASS]],7),"")</f>
        <v>1.1.2.2</v>
      </c>
      <c r="F1126" s="3" t="str">
        <f>VLOOKUP(Base_Periodo1[[#This Row],[Aux]],Base_Contas_Balanco[#All],2,FALSE)</f>
        <v>Creditos com não Cooperados</v>
      </c>
      <c r="G1126" s="1">
        <v>42873</v>
      </c>
      <c r="H1126" s="225">
        <v>2174.5</v>
      </c>
      <c r="I1126" s="225">
        <v>14751</v>
      </c>
      <c r="J1126" s="225">
        <v>11759.899999999998</v>
      </c>
      <c r="K1126" s="225">
        <v>5165.6000000000022</v>
      </c>
      <c r="L11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5165.6000000000004</v>
      </c>
      <c r="M1126" s="225">
        <f>ROUND(IF(AND(Base_Periodo1[[#This Row],[Tipo_Linha]]="-",Base_Periodo1[[#This Row],[TIPOSALDO]]="D"),Base_Periodo1[[#This Row],[SALDO_ATUAL]]*-1,Base_Periodo1[[#This Row],[SALDO_ATUAL]]),4)</f>
        <v>5165.6000000000004</v>
      </c>
      <c r="N1126" t="s">
        <v>116</v>
      </c>
      <c r="O1126" t="s">
        <v>397</v>
      </c>
      <c r="P1126" t="s">
        <v>397</v>
      </c>
      <c r="Q1126">
        <v>7</v>
      </c>
      <c r="R1126" s="225">
        <f>Base_Periodo1[[#This Row],[CREDITOS]]-Base_Periodo1[[#This Row],[DEBITOS]]</f>
        <v>-2991.1000000000022</v>
      </c>
      <c r="S1126" s="3" t="str">
        <f>IF(ISERROR(VLOOKUP(Base_Periodo1[[#This Row],[CONTA]],BaseContasDRE[#All],4,FALSE)),"Fora do DRE",VLOOKUP(Base_Periodo1[[#This Row],[CONTA]],BaseContasDRE[#All],4,FALSE))</f>
        <v>Fora do DRE</v>
      </c>
      <c r="T1126" s="3" t="str">
        <f>IF(ISERROR(VLOOKUP(Base_Periodo1[[#This Row],[CONTA]],BaseContasDRE[#All],5,FALSE)),"Fora do DRE",VLOOKUP(Base_Periodo1[[#This Row],[CONTA]],BaseContasDRE[#All],6,FALSE))</f>
        <v>Fora do DRE</v>
      </c>
      <c r="U1126" s="3" t="str">
        <f>IF(ISERROR(VLOOKUP(Base_Periodo1[[#This Row],[CONTA]],BaseContasDRE[#All],7,FALSE)),"Fora do DRE",VLOOKUP(Base_Periodo1[[#This Row],[CONTA]],BaseContasDRE[#All],7,FALSE))</f>
        <v>Fora do DRE</v>
      </c>
      <c r="V1126" s="3" t="str">
        <f>IF(Base_Periodo1[[#This Row],[Tipo_Linha]]="Fora do DRE","Fora do DRE","( "&amp;Base_Periodo1[[#This Row],[Tipo_Linha]]&amp;" ) "&amp;Base_Periodo1[[#This Row],[Filtro]])</f>
        <v>Fora do DRE</v>
      </c>
      <c r="W1126" s="3" t="str">
        <f>LEFT(Base_Periodo1[[#This Row],[CLASS]],3)</f>
        <v>1.1</v>
      </c>
    </row>
    <row r="1127" spans="1:23" hidden="1">
      <c r="A1127" s="3" t="str">
        <f t="shared" si="17"/>
        <v>Período 1</v>
      </c>
      <c r="B1127">
        <v>17299</v>
      </c>
      <c r="C1127" t="s">
        <v>922</v>
      </c>
      <c r="D1127" t="s">
        <v>4824</v>
      </c>
      <c r="E1127" s="3" t="str">
        <f>IF(LEN(Base_Periodo1[[#This Row],[CLASS]])&gt;=7,LEFT(Base_Periodo1[[#This Row],[CLASS]],7),"")</f>
        <v>1.1.2.2</v>
      </c>
      <c r="F1127" s="3" t="str">
        <f>VLOOKUP(Base_Periodo1[[#This Row],[Aux]],Base_Contas_Balanco[#All],2,FALSE)</f>
        <v>Creditos com não Cooperados</v>
      </c>
      <c r="G1127" s="1">
        <v>42885</v>
      </c>
      <c r="I1127" s="225">
        <v>0</v>
      </c>
      <c r="J1127" s="225">
        <v>8868.1099999999988</v>
      </c>
      <c r="K1127" s="225">
        <v>8868.1099999999988</v>
      </c>
      <c r="L11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-8868.11</v>
      </c>
      <c r="M1127" s="225">
        <f>ROUND(IF(AND(Base_Periodo1[[#This Row],[Tipo_Linha]]="-",Base_Periodo1[[#This Row],[TIPOSALDO]]="D"),Base_Periodo1[[#This Row],[SALDO_ATUAL]]*-1,Base_Periodo1[[#This Row],[SALDO_ATUAL]]),4)</f>
        <v>8868.11</v>
      </c>
      <c r="N1127" t="s">
        <v>116</v>
      </c>
      <c r="O1127" t="s">
        <v>436</v>
      </c>
      <c r="P1127" t="s">
        <v>459</v>
      </c>
      <c r="Q1127">
        <v>7</v>
      </c>
      <c r="R1127" s="225">
        <f>Base_Periodo1[[#This Row],[CREDITOS]]-Base_Periodo1[[#This Row],[DEBITOS]]</f>
        <v>8868.1099999999988</v>
      </c>
      <c r="S1127" s="3" t="str">
        <f>IF(ISERROR(VLOOKUP(Base_Periodo1[[#This Row],[CONTA]],BaseContasDRE[#All],4,FALSE)),"Fora do DRE",VLOOKUP(Base_Periodo1[[#This Row],[CONTA]],BaseContasDRE[#All],4,FALSE))</f>
        <v>Fora do DRE</v>
      </c>
      <c r="T1127" s="3" t="str">
        <f>IF(ISERROR(VLOOKUP(Base_Periodo1[[#This Row],[CONTA]],BaseContasDRE[#All],5,FALSE)),"Fora do DRE",VLOOKUP(Base_Periodo1[[#This Row],[CONTA]],BaseContasDRE[#All],6,FALSE))</f>
        <v>Fora do DRE</v>
      </c>
      <c r="U1127" s="3" t="str">
        <f>IF(ISERROR(VLOOKUP(Base_Periodo1[[#This Row],[CONTA]],BaseContasDRE[#All],7,FALSE)),"Fora do DRE",VLOOKUP(Base_Periodo1[[#This Row],[CONTA]],BaseContasDRE[#All],7,FALSE))</f>
        <v>Fora do DRE</v>
      </c>
      <c r="V1127" s="3" t="str">
        <f>IF(Base_Periodo1[[#This Row],[Tipo_Linha]]="Fora do DRE","Fora do DRE","( "&amp;Base_Periodo1[[#This Row],[Tipo_Linha]]&amp;" ) "&amp;Base_Periodo1[[#This Row],[Filtro]])</f>
        <v>Fora do DRE</v>
      </c>
      <c r="W1127" s="3" t="str">
        <f>LEFT(Base_Periodo1[[#This Row],[CLASS]],3)</f>
        <v>1.1</v>
      </c>
    </row>
    <row r="1128" spans="1:23" hidden="1">
      <c r="A1128" s="3" t="str">
        <f t="shared" si="17"/>
        <v>Período 1</v>
      </c>
      <c r="B1128">
        <v>43779</v>
      </c>
      <c r="C1128" t="s">
        <v>922</v>
      </c>
      <c r="D1128" t="s">
        <v>6730</v>
      </c>
      <c r="E1128" s="3" t="str">
        <f>IF(LEN(Base_Periodo1[[#This Row],[CLASS]])&gt;=7,LEFT(Base_Periodo1[[#This Row],[CLASS]],7),"")</f>
        <v>1.1.2.2</v>
      </c>
      <c r="F1128" s="3" t="str">
        <f>VLOOKUP(Base_Periodo1[[#This Row],[Aux]],Base_Contas_Balanco[#All],2,FALSE)</f>
        <v>Creditos com não Cooperados</v>
      </c>
      <c r="G1128" s="1">
        <v>42884</v>
      </c>
      <c r="I1128" s="225">
        <v>4281.8100000000004</v>
      </c>
      <c r="J1128" s="225">
        <v>4281.8100000000004</v>
      </c>
      <c r="K1128" s="225">
        <v>0</v>
      </c>
      <c r="L11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28" s="225">
        <f>ROUND(IF(AND(Base_Periodo1[[#This Row],[Tipo_Linha]]="-",Base_Periodo1[[#This Row],[TIPOSALDO]]="D"),Base_Periodo1[[#This Row],[SALDO_ATUAL]]*-1,Base_Periodo1[[#This Row],[SALDO_ATUAL]]),4)</f>
        <v>0</v>
      </c>
      <c r="N1128" t="s">
        <v>116</v>
      </c>
      <c r="O1128" t="s">
        <v>436</v>
      </c>
      <c r="P1128" t="s">
        <v>436</v>
      </c>
      <c r="Q1128">
        <v>7</v>
      </c>
      <c r="R1128" s="225">
        <f>Base_Periodo1[[#This Row],[CREDITOS]]-Base_Periodo1[[#This Row],[DEBITOS]]</f>
        <v>0</v>
      </c>
      <c r="S1128" s="3" t="str">
        <f>IF(ISERROR(VLOOKUP(Base_Periodo1[[#This Row],[CONTA]],BaseContasDRE[#All],4,FALSE)),"Fora do DRE",VLOOKUP(Base_Periodo1[[#This Row],[CONTA]],BaseContasDRE[#All],4,FALSE))</f>
        <v>Fora do DRE</v>
      </c>
      <c r="T1128" s="3" t="str">
        <f>IF(ISERROR(VLOOKUP(Base_Periodo1[[#This Row],[CONTA]],BaseContasDRE[#All],5,FALSE)),"Fora do DRE",VLOOKUP(Base_Periodo1[[#This Row],[CONTA]],BaseContasDRE[#All],6,FALSE))</f>
        <v>Fora do DRE</v>
      </c>
      <c r="U1128" s="3" t="str">
        <f>IF(ISERROR(VLOOKUP(Base_Periodo1[[#This Row],[CONTA]],BaseContasDRE[#All],7,FALSE)),"Fora do DRE",VLOOKUP(Base_Periodo1[[#This Row],[CONTA]],BaseContasDRE[#All],7,FALSE))</f>
        <v>Fora do DRE</v>
      </c>
      <c r="V1128" s="3" t="str">
        <f>IF(Base_Periodo1[[#This Row],[Tipo_Linha]]="Fora do DRE","Fora do DRE","( "&amp;Base_Periodo1[[#This Row],[Tipo_Linha]]&amp;" ) "&amp;Base_Periodo1[[#This Row],[Filtro]])</f>
        <v>Fora do DRE</v>
      </c>
      <c r="W1128" s="3" t="str">
        <f>LEFT(Base_Periodo1[[#This Row],[CLASS]],3)</f>
        <v>1.1</v>
      </c>
    </row>
    <row r="1129" spans="1:23" hidden="1">
      <c r="A1129" s="3" t="str">
        <f t="shared" si="17"/>
        <v>Período 1</v>
      </c>
      <c r="B1129">
        <v>52181</v>
      </c>
      <c r="C1129" t="s">
        <v>922</v>
      </c>
      <c r="D1129" t="s">
        <v>5879</v>
      </c>
      <c r="E1129" s="3" t="str">
        <f>IF(LEN(Base_Periodo1[[#This Row],[CLASS]])&gt;=7,LEFT(Base_Periodo1[[#This Row],[CLASS]],7),"")</f>
        <v>1.1.2.2</v>
      </c>
      <c r="F1129" s="3" t="str">
        <f>VLOOKUP(Base_Periodo1[[#This Row],[Aux]],Base_Contas_Balanco[#All],2,FALSE)</f>
        <v>Creditos com não Cooperados</v>
      </c>
      <c r="G1129" s="1">
        <v>42807</v>
      </c>
      <c r="H1129" s="225">
        <v>301.44000000000233</v>
      </c>
      <c r="I1129" s="225">
        <v>0</v>
      </c>
      <c r="J1129" s="225">
        <v>0</v>
      </c>
      <c r="K1129" s="225">
        <v>301.44000000000233</v>
      </c>
      <c r="L11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301.44</v>
      </c>
      <c r="M1129" s="225">
        <f>ROUND(IF(AND(Base_Periodo1[[#This Row],[Tipo_Linha]]="-",Base_Periodo1[[#This Row],[TIPOSALDO]]="D"),Base_Periodo1[[#This Row],[SALDO_ATUAL]]*-1,Base_Periodo1[[#This Row],[SALDO_ATUAL]]),4)</f>
        <v>301.44</v>
      </c>
      <c r="N1129" t="s">
        <v>116</v>
      </c>
      <c r="O1129" t="s">
        <v>397</v>
      </c>
      <c r="P1129" t="s">
        <v>397</v>
      </c>
      <c r="Q1129">
        <v>7</v>
      </c>
      <c r="R1129" s="225">
        <f>Base_Periodo1[[#This Row],[CREDITOS]]-Base_Periodo1[[#This Row],[DEBITOS]]</f>
        <v>0</v>
      </c>
      <c r="S1129" s="3" t="str">
        <f>IF(ISERROR(VLOOKUP(Base_Periodo1[[#This Row],[CONTA]],BaseContasDRE[#All],4,FALSE)),"Fora do DRE",VLOOKUP(Base_Periodo1[[#This Row],[CONTA]],BaseContasDRE[#All],4,FALSE))</f>
        <v>Fora do DRE</v>
      </c>
      <c r="T1129" s="3" t="str">
        <f>IF(ISERROR(VLOOKUP(Base_Periodo1[[#This Row],[CONTA]],BaseContasDRE[#All],5,FALSE)),"Fora do DRE",VLOOKUP(Base_Periodo1[[#This Row],[CONTA]],BaseContasDRE[#All],6,FALSE))</f>
        <v>Fora do DRE</v>
      </c>
      <c r="U1129" s="3" t="str">
        <f>IF(ISERROR(VLOOKUP(Base_Periodo1[[#This Row],[CONTA]],BaseContasDRE[#All],7,FALSE)),"Fora do DRE",VLOOKUP(Base_Periodo1[[#This Row],[CONTA]],BaseContasDRE[#All],7,FALSE))</f>
        <v>Fora do DRE</v>
      </c>
      <c r="V1129" s="3" t="str">
        <f>IF(Base_Periodo1[[#This Row],[Tipo_Linha]]="Fora do DRE","Fora do DRE","( "&amp;Base_Periodo1[[#This Row],[Tipo_Linha]]&amp;" ) "&amp;Base_Periodo1[[#This Row],[Filtro]])</f>
        <v>Fora do DRE</v>
      </c>
      <c r="W1129" s="3" t="str">
        <f>LEFT(Base_Periodo1[[#This Row],[CLASS]],3)</f>
        <v>1.1</v>
      </c>
    </row>
    <row r="1130" spans="1:23" hidden="1">
      <c r="A1130" s="3" t="str">
        <f t="shared" si="17"/>
        <v>Período 1</v>
      </c>
      <c r="B1130">
        <v>24367</v>
      </c>
      <c r="C1130" t="s">
        <v>922</v>
      </c>
      <c r="D1130" t="s">
        <v>5499</v>
      </c>
      <c r="E1130" s="3" t="str">
        <f>IF(LEN(Base_Periodo1[[#This Row],[CLASS]])&gt;=7,LEFT(Base_Periodo1[[#This Row],[CLASS]],7),"")</f>
        <v>1.1.2.2</v>
      </c>
      <c r="F1130" s="3" t="str">
        <f>VLOOKUP(Base_Periodo1[[#This Row],[Aux]],Base_Contas_Balanco[#All],2,FALSE)</f>
        <v>Creditos com não Cooperados</v>
      </c>
      <c r="G1130" s="1">
        <v>42857</v>
      </c>
      <c r="H1130" s="225">
        <v>124822.3499999959</v>
      </c>
      <c r="I1130" s="225">
        <v>0</v>
      </c>
      <c r="J1130" s="225">
        <v>124822.34999999999</v>
      </c>
      <c r="K1130" s="225">
        <v>-4.0890881791710854E-9</v>
      </c>
      <c r="L11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30" s="225">
        <f>ROUND(IF(AND(Base_Periodo1[[#This Row],[Tipo_Linha]]="-",Base_Periodo1[[#This Row],[TIPOSALDO]]="D"),Base_Periodo1[[#This Row],[SALDO_ATUAL]]*-1,Base_Periodo1[[#This Row],[SALDO_ATUAL]]),4)</f>
        <v>0</v>
      </c>
      <c r="N1130" t="s">
        <v>116</v>
      </c>
      <c r="O1130" t="s">
        <v>397</v>
      </c>
      <c r="P1130" t="s">
        <v>436</v>
      </c>
      <c r="Q1130">
        <v>7</v>
      </c>
      <c r="R1130" s="225">
        <f>Base_Periodo1[[#This Row],[CREDITOS]]-Base_Periodo1[[#This Row],[DEBITOS]]</f>
        <v>124822.34999999999</v>
      </c>
      <c r="S1130" s="3" t="str">
        <f>IF(ISERROR(VLOOKUP(Base_Periodo1[[#This Row],[CONTA]],BaseContasDRE[#All],4,FALSE)),"Fora do DRE",VLOOKUP(Base_Periodo1[[#This Row],[CONTA]],BaseContasDRE[#All],4,FALSE))</f>
        <v>Fora do DRE</v>
      </c>
      <c r="T1130" s="3" t="str">
        <f>IF(ISERROR(VLOOKUP(Base_Periodo1[[#This Row],[CONTA]],BaseContasDRE[#All],5,FALSE)),"Fora do DRE",VLOOKUP(Base_Periodo1[[#This Row],[CONTA]],BaseContasDRE[#All],6,FALSE))</f>
        <v>Fora do DRE</v>
      </c>
      <c r="U1130" s="3" t="str">
        <f>IF(ISERROR(VLOOKUP(Base_Periodo1[[#This Row],[CONTA]],BaseContasDRE[#All],7,FALSE)),"Fora do DRE",VLOOKUP(Base_Periodo1[[#This Row],[CONTA]],BaseContasDRE[#All],7,FALSE))</f>
        <v>Fora do DRE</v>
      </c>
      <c r="V1130" s="3" t="str">
        <f>IF(Base_Periodo1[[#This Row],[Tipo_Linha]]="Fora do DRE","Fora do DRE","( "&amp;Base_Periodo1[[#This Row],[Tipo_Linha]]&amp;" ) "&amp;Base_Periodo1[[#This Row],[Filtro]])</f>
        <v>Fora do DRE</v>
      </c>
      <c r="W1130" s="3" t="str">
        <f>LEFT(Base_Periodo1[[#This Row],[CLASS]],3)</f>
        <v>1.1</v>
      </c>
    </row>
    <row r="1131" spans="1:23" hidden="1">
      <c r="A1131" s="3" t="str">
        <f t="shared" si="17"/>
        <v>Período 1</v>
      </c>
      <c r="B1131">
        <v>11124</v>
      </c>
      <c r="C1131" t="s">
        <v>922</v>
      </c>
      <c r="D1131" t="s">
        <v>5499</v>
      </c>
      <c r="E1131" s="3" t="str">
        <f>IF(LEN(Base_Periodo1[[#This Row],[CLASS]])&gt;=7,LEFT(Base_Periodo1[[#This Row],[CLASS]],7),"")</f>
        <v>1.1.2.2</v>
      </c>
      <c r="F1131" s="3" t="str">
        <f>VLOOKUP(Base_Periodo1[[#This Row],[Aux]],Base_Contas_Balanco[#All],2,FALSE)</f>
        <v>Creditos com não Cooperados</v>
      </c>
      <c r="G1131" s="1">
        <v>42886</v>
      </c>
      <c r="H1131" s="225">
        <v>4583858.040000001</v>
      </c>
      <c r="I1131" s="225">
        <v>2108978.98</v>
      </c>
      <c r="J1131" s="225">
        <v>459144.49</v>
      </c>
      <c r="K1131" s="225">
        <v>6233692.5300000012</v>
      </c>
      <c r="L11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6233692.5300000003</v>
      </c>
      <c r="M1131" s="225">
        <f>ROUND(IF(AND(Base_Periodo1[[#This Row],[Tipo_Linha]]="-",Base_Periodo1[[#This Row],[TIPOSALDO]]="D"),Base_Periodo1[[#This Row],[SALDO_ATUAL]]*-1,Base_Periodo1[[#This Row],[SALDO_ATUAL]]),4)</f>
        <v>6233692.5300000003</v>
      </c>
      <c r="N1131" t="s">
        <v>116</v>
      </c>
      <c r="O1131" t="s">
        <v>397</v>
      </c>
      <c r="P1131" t="s">
        <v>397</v>
      </c>
      <c r="Q1131">
        <v>7</v>
      </c>
      <c r="R1131" s="225">
        <f>Base_Periodo1[[#This Row],[CREDITOS]]-Base_Periodo1[[#This Row],[DEBITOS]]</f>
        <v>-1649834.49</v>
      </c>
      <c r="S1131" s="3" t="str">
        <f>IF(ISERROR(VLOOKUP(Base_Periodo1[[#This Row],[CONTA]],BaseContasDRE[#All],4,FALSE)),"Fora do DRE",VLOOKUP(Base_Periodo1[[#This Row],[CONTA]],BaseContasDRE[#All],4,FALSE))</f>
        <v>Fora do DRE</v>
      </c>
      <c r="T1131" s="3" t="str">
        <f>IF(ISERROR(VLOOKUP(Base_Periodo1[[#This Row],[CONTA]],BaseContasDRE[#All],5,FALSE)),"Fora do DRE",VLOOKUP(Base_Periodo1[[#This Row],[CONTA]],BaseContasDRE[#All],6,FALSE))</f>
        <v>Fora do DRE</v>
      </c>
      <c r="U1131" s="3" t="str">
        <f>IF(ISERROR(VLOOKUP(Base_Periodo1[[#This Row],[CONTA]],BaseContasDRE[#All],7,FALSE)),"Fora do DRE",VLOOKUP(Base_Periodo1[[#This Row],[CONTA]],BaseContasDRE[#All],7,FALSE))</f>
        <v>Fora do DRE</v>
      </c>
      <c r="V1131" s="3" t="str">
        <f>IF(Base_Periodo1[[#This Row],[Tipo_Linha]]="Fora do DRE","Fora do DRE","( "&amp;Base_Periodo1[[#This Row],[Tipo_Linha]]&amp;" ) "&amp;Base_Periodo1[[#This Row],[Filtro]])</f>
        <v>Fora do DRE</v>
      </c>
      <c r="W1131" s="3" t="str">
        <f>LEFT(Base_Periodo1[[#This Row],[CLASS]],3)</f>
        <v>1.1</v>
      </c>
    </row>
    <row r="1132" spans="1:23" hidden="1">
      <c r="A1132" s="3" t="str">
        <f t="shared" si="17"/>
        <v>Período 1</v>
      </c>
      <c r="B1132">
        <v>13540</v>
      </c>
      <c r="C1132" t="s">
        <v>922</v>
      </c>
      <c r="D1132" t="s">
        <v>5499</v>
      </c>
      <c r="E1132" s="3" t="str">
        <f>IF(LEN(Base_Periodo1[[#This Row],[CLASS]])&gt;=7,LEFT(Base_Periodo1[[#This Row],[CLASS]],7),"")</f>
        <v>1.1.2.2</v>
      </c>
      <c r="F1132" s="3" t="str">
        <f>VLOOKUP(Base_Periodo1[[#This Row],[Aux]],Base_Contas_Balanco[#All],2,FALSE)</f>
        <v>Creditos com não Cooperados</v>
      </c>
      <c r="G1132" s="1">
        <v>42886</v>
      </c>
      <c r="H1132" s="225">
        <v>2797702.25</v>
      </c>
      <c r="I1132" s="225">
        <v>250000</v>
      </c>
      <c r="J1132" s="225">
        <v>598.25</v>
      </c>
      <c r="K1132" s="225">
        <v>3047104</v>
      </c>
      <c r="L11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3047104</v>
      </c>
      <c r="M1132" s="225">
        <f>ROUND(IF(AND(Base_Periodo1[[#This Row],[Tipo_Linha]]="-",Base_Periodo1[[#This Row],[TIPOSALDO]]="D"),Base_Periodo1[[#This Row],[SALDO_ATUAL]]*-1,Base_Periodo1[[#This Row],[SALDO_ATUAL]]),4)</f>
        <v>3047104</v>
      </c>
      <c r="N1132" t="s">
        <v>116</v>
      </c>
      <c r="O1132" t="s">
        <v>397</v>
      </c>
      <c r="P1132" t="s">
        <v>397</v>
      </c>
      <c r="Q1132">
        <v>7</v>
      </c>
      <c r="R1132" s="225">
        <f>Base_Periodo1[[#This Row],[CREDITOS]]-Base_Periodo1[[#This Row],[DEBITOS]]</f>
        <v>-249401.75</v>
      </c>
      <c r="S1132" s="3" t="str">
        <f>IF(ISERROR(VLOOKUP(Base_Periodo1[[#This Row],[CONTA]],BaseContasDRE[#All],4,FALSE)),"Fora do DRE",VLOOKUP(Base_Periodo1[[#This Row],[CONTA]],BaseContasDRE[#All],4,FALSE))</f>
        <v>Fora do DRE</v>
      </c>
      <c r="T1132" s="3" t="str">
        <f>IF(ISERROR(VLOOKUP(Base_Periodo1[[#This Row],[CONTA]],BaseContasDRE[#All],5,FALSE)),"Fora do DRE",VLOOKUP(Base_Periodo1[[#This Row],[CONTA]],BaseContasDRE[#All],6,FALSE))</f>
        <v>Fora do DRE</v>
      </c>
      <c r="U1132" s="3" t="str">
        <f>IF(ISERROR(VLOOKUP(Base_Periodo1[[#This Row],[CONTA]],BaseContasDRE[#All],7,FALSE)),"Fora do DRE",VLOOKUP(Base_Periodo1[[#This Row],[CONTA]],BaseContasDRE[#All],7,FALSE))</f>
        <v>Fora do DRE</v>
      </c>
      <c r="V1132" s="3" t="str">
        <f>IF(Base_Periodo1[[#This Row],[Tipo_Linha]]="Fora do DRE","Fora do DRE","( "&amp;Base_Periodo1[[#This Row],[Tipo_Linha]]&amp;" ) "&amp;Base_Periodo1[[#This Row],[Filtro]])</f>
        <v>Fora do DRE</v>
      </c>
      <c r="W1132" s="3" t="str">
        <f>LEFT(Base_Periodo1[[#This Row],[CLASS]],3)</f>
        <v>1.1</v>
      </c>
    </row>
    <row r="1133" spans="1:23" hidden="1">
      <c r="A1133" s="3" t="str">
        <f t="shared" si="17"/>
        <v>Período 1</v>
      </c>
      <c r="B1133">
        <v>30094</v>
      </c>
      <c r="C1133" t="s">
        <v>922</v>
      </c>
      <c r="D1133" t="s">
        <v>5880</v>
      </c>
      <c r="E1133" s="3" t="str">
        <f>IF(LEN(Base_Periodo1[[#This Row],[CLASS]])&gt;=7,LEFT(Base_Periodo1[[#This Row],[CLASS]],7),"")</f>
        <v>1.1.2.2</v>
      </c>
      <c r="F1133" s="3" t="str">
        <f>VLOOKUP(Base_Periodo1[[#This Row],[Aux]],Base_Contas_Balanco[#All],2,FALSE)</f>
        <v>Creditos com não Cooperados</v>
      </c>
      <c r="G1133" s="1">
        <v>42837</v>
      </c>
      <c r="H1133" s="225">
        <v>2485946.7899999991</v>
      </c>
      <c r="I1133" s="225">
        <v>0</v>
      </c>
      <c r="J1133" s="225">
        <v>0</v>
      </c>
      <c r="K1133" s="225">
        <v>2485946.7899999991</v>
      </c>
      <c r="L11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2485946.79</v>
      </c>
      <c r="M1133" s="225">
        <f>ROUND(IF(AND(Base_Periodo1[[#This Row],[Tipo_Linha]]="-",Base_Periodo1[[#This Row],[TIPOSALDO]]="D"),Base_Periodo1[[#This Row],[SALDO_ATUAL]]*-1,Base_Periodo1[[#This Row],[SALDO_ATUAL]]),4)</f>
        <v>2485946.79</v>
      </c>
      <c r="N1133" t="s">
        <v>116</v>
      </c>
      <c r="O1133" t="s">
        <v>397</v>
      </c>
      <c r="P1133" t="s">
        <v>397</v>
      </c>
      <c r="Q1133">
        <v>7</v>
      </c>
      <c r="R1133" s="225">
        <f>Base_Periodo1[[#This Row],[CREDITOS]]-Base_Periodo1[[#This Row],[DEBITOS]]</f>
        <v>0</v>
      </c>
      <c r="S1133" s="3" t="str">
        <f>IF(ISERROR(VLOOKUP(Base_Periodo1[[#This Row],[CONTA]],BaseContasDRE[#All],4,FALSE)),"Fora do DRE",VLOOKUP(Base_Periodo1[[#This Row],[CONTA]],BaseContasDRE[#All],4,FALSE))</f>
        <v>Fora do DRE</v>
      </c>
      <c r="T1133" s="3" t="str">
        <f>IF(ISERROR(VLOOKUP(Base_Periodo1[[#This Row],[CONTA]],BaseContasDRE[#All],5,FALSE)),"Fora do DRE",VLOOKUP(Base_Periodo1[[#This Row],[CONTA]],BaseContasDRE[#All],6,FALSE))</f>
        <v>Fora do DRE</v>
      </c>
      <c r="U1133" s="3" t="str">
        <f>IF(ISERROR(VLOOKUP(Base_Periodo1[[#This Row],[CONTA]],BaseContasDRE[#All],7,FALSE)),"Fora do DRE",VLOOKUP(Base_Periodo1[[#This Row],[CONTA]],BaseContasDRE[#All],7,FALSE))</f>
        <v>Fora do DRE</v>
      </c>
      <c r="V1133" s="3" t="str">
        <f>IF(Base_Periodo1[[#This Row],[Tipo_Linha]]="Fora do DRE","Fora do DRE","( "&amp;Base_Periodo1[[#This Row],[Tipo_Linha]]&amp;" ) "&amp;Base_Periodo1[[#This Row],[Filtro]])</f>
        <v>Fora do DRE</v>
      </c>
      <c r="W1133" s="3" t="str">
        <f>LEFT(Base_Periodo1[[#This Row],[CLASS]],3)</f>
        <v>1.1</v>
      </c>
    </row>
    <row r="1134" spans="1:23" hidden="1">
      <c r="A1134" s="3" t="str">
        <f t="shared" si="17"/>
        <v>Período 1</v>
      </c>
      <c r="B1134">
        <v>54811</v>
      </c>
      <c r="C1134" t="s">
        <v>922</v>
      </c>
      <c r="D1134" t="s">
        <v>5191</v>
      </c>
      <c r="E1134" s="3" t="str">
        <f>IF(LEN(Base_Periodo1[[#This Row],[CLASS]])&gt;=7,LEFT(Base_Periodo1[[#This Row],[CLASS]],7),"")</f>
        <v>1.1.2.2</v>
      </c>
      <c r="F1134" s="3" t="str">
        <f>VLOOKUP(Base_Periodo1[[#This Row],[Aux]],Base_Contas_Balanco[#All],2,FALSE)</f>
        <v>Creditos com não Cooperados</v>
      </c>
      <c r="G1134" s="1">
        <v>42640</v>
      </c>
      <c r="H1134" s="225">
        <v>2282</v>
      </c>
      <c r="I1134" s="225">
        <v>0</v>
      </c>
      <c r="J1134" s="225">
        <v>0</v>
      </c>
      <c r="K1134" s="225">
        <v>2282</v>
      </c>
      <c r="L11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2282</v>
      </c>
      <c r="M1134" s="225">
        <f>ROUND(IF(AND(Base_Periodo1[[#This Row],[Tipo_Linha]]="-",Base_Periodo1[[#This Row],[TIPOSALDO]]="D"),Base_Periodo1[[#This Row],[SALDO_ATUAL]]*-1,Base_Periodo1[[#This Row],[SALDO_ATUAL]]),4)</f>
        <v>2282</v>
      </c>
      <c r="N1134" t="s">
        <v>116</v>
      </c>
      <c r="O1134" t="s">
        <v>397</v>
      </c>
      <c r="P1134" t="s">
        <v>397</v>
      </c>
      <c r="Q1134">
        <v>7</v>
      </c>
      <c r="R1134" s="225">
        <f>Base_Periodo1[[#This Row],[CREDITOS]]-Base_Periodo1[[#This Row],[DEBITOS]]</f>
        <v>0</v>
      </c>
      <c r="S1134" s="3" t="str">
        <f>IF(ISERROR(VLOOKUP(Base_Periodo1[[#This Row],[CONTA]],BaseContasDRE[#All],4,FALSE)),"Fora do DRE",VLOOKUP(Base_Periodo1[[#This Row],[CONTA]],BaseContasDRE[#All],4,FALSE))</f>
        <v>Fora do DRE</v>
      </c>
      <c r="T1134" s="3" t="str">
        <f>IF(ISERROR(VLOOKUP(Base_Periodo1[[#This Row],[CONTA]],BaseContasDRE[#All],5,FALSE)),"Fora do DRE",VLOOKUP(Base_Periodo1[[#This Row],[CONTA]],BaseContasDRE[#All],6,FALSE))</f>
        <v>Fora do DRE</v>
      </c>
      <c r="U1134" s="3" t="str">
        <f>IF(ISERROR(VLOOKUP(Base_Periodo1[[#This Row],[CONTA]],BaseContasDRE[#All],7,FALSE)),"Fora do DRE",VLOOKUP(Base_Periodo1[[#This Row],[CONTA]],BaseContasDRE[#All],7,FALSE))</f>
        <v>Fora do DRE</v>
      </c>
      <c r="V1134" s="3" t="str">
        <f>IF(Base_Periodo1[[#This Row],[Tipo_Linha]]="Fora do DRE","Fora do DRE","( "&amp;Base_Periodo1[[#This Row],[Tipo_Linha]]&amp;" ) "&amp;Base_Periodo1[[#This Row],[Filtro]])</f>
        <v>Fora do DRE</v>
      </c>
      <c r="W1134" s="3" t="str">
        <f>LEFT(Base_Periodo1[[#This Row],[CLASS]],3)</f>
        <v>1.1</v>
      </c>
    </row>
    <row r="1135" spans="1:23" hidden="1">
      <c r="A1135" s="3" t="str">
        <f t="shared" si="17"/>
        <v>Período 1</v>
      </c>
      <c r="B1135">
        <v>26924</v>
      </c>
      <c r="C1135" t="s">
        <v>922</v>
      </c>
      <c r="D1135" t="s">
        <v>6784</v>
      </c>
      <c r="E1135" s="3" t="str">
        <f>IF(LEN(Base_Periodo1[[#This Row],[CLASS]])&gt;=7,LEFT(Base_Periodo1[[#This Row],[CLASS]],7),"")</f>
        <v>1.1.2.2</v>
      </c>
      <c r="F1135" s="3" t="str">
        <f>VLOOKUP(Base_Periodo1[[#This Row],[Aux]],Base_Contas_Balanco[#All],2,FALSE)</f>
        <v>Creditos com não Cooperados</v>
      </c>
      <c r="G1135" s="1">
        <v>42881</v>
      </c>
      <c r="I1135" s="225">
        <v>750</v>
      </c>
      <c r="J1135" s="225">
        <v>750</v>
      </c>
      <c r="K1135" s="225">
        <v>0</v>
      </c>
      <c r="L11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35" s="225">
        <f>ROUND(IF(AND(Base_Periodo1[[#This Row],[Tipo_Linha]]="-",Base_Periodo1[[#This Row],[TIPOSALDO]]="D"),Base_Periodo1[[#This Row],[SALDO_ATUAL]]*-1,Base_Periodo1[[#This Row],[SALDO_ATUAL]]),4)</f>
        <v>0</v>
      </c>
      <c r="N1135" t="s">
        <v>116</v>
      </c>
      <c r="O1135" t="s">
        <v>436</v>
      </c>
      <c r="P1135" t="s">
        <v>436</v>
      </c>
      <c r="Q1135">
        <v>7</v>
      </c>
      <c r="R1135" s="225">
        <f>Base_Periodo1[[#This Row],[CREDITOS]]-Base_Periodo1[[#This Row],[DEBITOS]]</f>
        <v>0</v>
      </c>
      <c r="S1135" s="3" t="str">
        <f>IF(ISERROR(VLOOKUP(Base_Periodo1[[#This Row],[CONTA]],BaseContasDRE[#All],4,FALSE)),"Fora do DRE",VLOOKUP(Base_Periodo1[[#This Row],[CONTA]],BaseContasDRE[#All],4,FALSE))</f>
        <v>Fora do DRE</v>
      </c>
      <c r="T1135" s="3" t="str">
        <f>IF(ISERROR(VLOOKUP(Base_Periodo1[[#This Row],[CONTA]],BaseContasDRE[#All],5,FALSE)),"Fora do DRE",VLOOKUP(Base_Periodo1[[#This Row],[CONTA]],BaseContasDRE[#All],6,FALSE))</f>
        <v>Fora do DRE</v>
      </c>
      <c r="U1135" s="3" t="str">
        <f>IF(ISERROR(VLOOKUP(Base_Periodo1[[#This Row],[CONTA]],BaseContasDRE[#All],7,FALSE)),"Fora do DRE",VLOOKUP(Base_Periodo1[[#This Row],[CONTA]],BaseContasDRE[#All],7,FALSE))</f>
        <v>Fora do DRE</v>
      </c>
      <c r="V1135" s="3" t="str">
        <f>IF(Base_Periodo1[[#This Row],[Tipo_Linha]]="Fora do DRE","Fora do DRE","( "&amp;Base_Periodo1[[#This Row],[Tipo_Linha]]&amp;" ) "&amp;Base_Periodo1[[#This Row],[Filtro]])</f>
        <v>Fora do DRE</v>
      </c>
      <c r="W1135" s="3" t="str">
        <f>LEFT(Base_Periodo1[[#This Row],[CLASS]],3)</f>
        <v>1.1</v>
      </c>
    </row>
    <row r="1136" spans="1:23" hidden="1">
      <c r="A1136" s="3" t="str">
        <f t="shared" si="17"/>
        <v>Período 1</v>
      </c>
      <c r="B1136">
        <v>18347</v>
      </c>
      <c r="C1136" t="s">
        <v>922</v>
      </c>
      <c r="D1136" t="s">
        <v>6201</v>
      </c>
      <c r="E1136" s="3" t="str">
        <f>IF(LEN(Base_Periodo1[[#This Row],[CLASS]])&gt;=7,LEFT(Base_Periodo1[[#This Row],[CLASS]],7),"")</f>
        <v>1.1.2.2</v>
      </c>
      <c r="F1136" s="3" t="str">
        <f>VLOOKUP(Base_Periodo1[[#This Row],[Aux]],Base_Contas_Balanco[#All],2,FALSE)</f>
        <v>Creditos com não Cooperados</v>
      </c>
      <c r="G1136" s="1">
        <v>42853</v>
      </c>
      <c r="H1136" s="225">
        <v>8000</v>
      </c>
      <c r="I1136" s="225">
        <v>0</v>
      </c>
      <c r="J1136" s="225">
        <v>0</v>
      </c>
      <c r="K1136" s="225">
        <v>8000</v>
      </c>
      <c r="L11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8000</v>
      </c>
      <c r="M1136" s="225">
        <f>ROUND(IF(AND(Base_Periodo1[[#This Row],[Tipo_Linha]]="-",Base_Periodo1[[#This Row],[TIPOSALDO]]="D"),Base_Periodo1[[#This Row],[SALDO_ATUAL]]*-1,Base_Periodo1[[#This Row],[SALDO_ATUAL]]),4)</f>
        <v>8000</v>
      </c>
      <c r="N1136" t="s">
        <v>116</v>
      </c>
      <c r="O1136" t="s">
        <v>397</v>
      </c>
      <c r="P1136" t="s">
        <v>397</v>
      </c>
      <c r="Q1136">
        <v>7</v>
      </c>
      <c r="R1136" s="225">
        <f>Base_Periodo1[[#This Row],[CREDITOS]]-Base_Periodo1[[#This Row],[DEBITOS]]</f>
        <v>0</v>
      </c>
      <c r="S1136" s="3" t="str">
        <f>IF(ISERROR(VLOOKUP(Base_Periodo1[[#This Row],[CONTA]],BaseContasDRE[#All],4,FALSE)),"Fora do DRE",VLOOKUP(Base_Periodo1[[#This Row],[CONTA]],BaseContasDRE[#All],4,FALSE))</f>
        <v>Fora do DRE</v>
      </c>
      <c r="T1136" s="3" t="str">
        <f>IF(ISERROR(VLOOKUP(Base_Periodo1[[#This Row],[CONTA]],BaseContasDRE[#All],5,FALSE)),"Fora do DRE",VLOOKUP(Base_Periodo1[[#This Row],[CONTA]],BaseContasDRE[#All],6,FALSE))</f>
        <v>Fora do DRE</v>
      </c>
      <c r="U1136" s="3" t="str">
        <f>IF(ISERROR(VLOOKUP(Base_Periodo1[[#This Row],[CONTA]],BaseContasDRE[#All],7,FALSE)),"Fora do DRE",VLOOKUP(Base_Periodo1[[#This Row],[CONTA]],BaseContasDRE[#All],7,FALSE))</f>
        <v>Fora do DRE</v>
      </c>
      <c r="V1136" s="3" t="str">
        <f>IF(Base_Periodo1[[#This Row],[Tipo_Linha]]="Fora do DRE","Fora do DRE","( "&amp;Base_Periodo1[[#This Row],[Tipo_Linha]]&amp;" ) "&amp;Base_Periodo1[[#This Row],[Filtro]])</f>
        <v>Fora do DRE</v>
      </c>
      <c r="W1136" s="3" t="str">
        <f>LEFT(Base_Periodo1[[#This Row],[CLASS]],3)</f>
        <v>1.1</v>
      </c>
    </row>
    <row r="1137" spans="1:23" hidden="1">
      <c r="A1137" s="3" t="str">
        <f t="shared" si="17"/>
        <v>Período 1</v>
      </c>
      <c r="B1137">
        <v>27937</v>
      </c>
      <c r="C1137" t="s">
        <v>922</v>
      </c>
      <c r="D1137" t="s">
        <v>6202</v>
      </c>
      <c r="E1137" s="3" t="str">
        <f>IF(LEN(Base_Periodo1[[#This Row],[CLASS]])&gt;=7,LEFT(Base_Periodo1[[#This Row],[CLASS]],7),"")</f>
        <v>1.1.2.2</v>
      </c>
      <c r="F1137" s="3" t="str">
        <f>VLOOKUP(Base_Periodo1[[#This Row],[Aux]],Base_Contas_Balanco[#All],2,FALSE)</f>
        <v>Creditos com não Cooperados</v>
      </c>
      <c r="G1137" s="1">
        <v>42859</v>
      </c>
      <c r="H1137" s="225">
        <v>36340.000000000007</v>
      </c>
      <c r="I1137" s="225">
        <v>81440</v>
      </c>
      <c r="J1137" s="225">
        <v>0</v>
      </c>
      <c r="K1137" s="225">
        <v>117780</v>
      </c>
      <c r="L11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117780</v>
      </c>
      <c r="M1137" s="225">
        <f>ROUND(IF(AND(Base_Periodo1[[#This Row],[Tipo_Linha]]="-",Base_Periodo1[[#This Row],[TIPOSALDO]]="D"),Base_Periodo1[[#This Row],[SALDO_ATUAL]]*-1,Base_Periodo1[[#This Row],[SALDO_ATUAL]]),4)</f>
        <v>117780</v>
      </c>
      <c r="N1137" t="s">
        <v>116</v>
      </c>
      <c r="O1137" t="s">
        <v>397</v>
      </c>
      <c r="P1137" t="s">
        <v>397</v>
      </c>
      <c r="Q1137">
        <v>7</v>
      </c>
      <c r="R1137" s="225">
        <f>Base_Periodo1[[#This Row],[CREDITOS]]-Base_Periodo1[[#This Row],[DEBITOS]]</f>
        <v>-81440</v>
      </c>
      <c r="S1137" s="3" t="str">
        <f>IF(ISERROR(VLOOKUP(Base_Periodo1[[#This Row],[CONTA]],BaseContasDRE[#All],4,FALSE)),"Fora do DRE",VLOOKUP(Base_Periodo1[[#This Row],[CONTA]],BaseContasDRE[#All],4,FALSE))</f>
        <v>Fora do DRE</v>
      </c>
      <c r="T1137" s="3" t="str">
        <f>IF(ISERROR(VLOOKUP(Base_Periodo1[[#This Row],[CONTA]],BaseContasDRE[#All],5,FALSE)),"Fora do DRE",VLOOKUP(Base_Periodo1[[#This Row],[CONTA]],BaseContasDRE[#All],6,FALSE))</f>
        <v>Fora do DRE</v>
      </c>
      <c r="U1137" s="3" t="str">
        <f>IF(ISERROR(VLOOKUP(Base_Periodo1[[#This Row],[CONTA]],BaseContasDRE[#All],7,FALSE)),"Fora do DRE",VLOOKUP(Base_Periodo1[[#This Row],[CONTA]],BaseContasDRE[#All],7,FALSE))</f>
        <v>Fora do DRE</v>
      </c>
      <c r="V1137" s="3" t="str">
        <f>IF(Base_Periodo1[[#This Row],[Tipo_Linha]]="Fora do DRE","Fora do DRE","( "&amp;Base_Periodo1[[#This Row],[Tipo_Linha]]&amp;" ) "&amp;Base_Periodo1[[#This Row],[Filtro]])</f>
        <v>Fora do DRE</v>
      </c>
      <c r="W1137" s="3" t="str">
        <f>LEFT(Base_Periodo1[[#This Row],[CLASS]],3)</f>
        <v>1.1</v>
      </c>
    </row>
    <row r="1138" spans="1:23" hidden="1">
      <c r="A1138" s="3" t="str">
        <f t="shared" si="17"/>
        <v>Período 1</v>
      </c>
      <c r="B1138">
        <v>8670</v>
      </c>
      <c r="C1138" t="s">
        <v>922</v>
      </c>
      <c r="D1138" t="s">
        <v>5192</v>
      </c>
      <c r="E1138" s="3" t="str">
        <f>IF(LEN(Base_Periodo1[[#This Row],[CLASS]])&gt;=7,LEFT(Base_Periodo1[[#This Row],[CLASS]],7),"")</f>
        <v>1.1.2.2</v>
      </c>
      <c r="F1138" s="3" t="str">
        <f>VLOOKUP(Base_Periodo1[[#This Row],[Aux]],Base_Contas_Balanco[#All],2,FALSE)</f>
        <v>Creditos com não Cooperados</v>
      </c>
      <c r="G1138" s="1">
        <v>42866</v>
      </c>
      <c r="H1138" s="225">
        <v>5128</v>
      </c>
      <c r="I1138" s="225">
        <v>20778.5</v>
      </c>
      <c r="J1138" s="225">
        <v>3168</v>
      </c>
      <c r="K1138" s="225">
        <v>22738.5</v>
      </c>
      <c r="L11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22738.5</v>
      </c>
      <c r="M1138" s="225">
        <f>ROUND(IF(AND(Base_Periodo1[[#This Row],[Tipo_Linha]]="-",Base_Periodo1[[#This Row],[TIPOSALDO]]="D"),Base_Periodo1[[#This Row],[SALDO_ATUAL]]*-1,Base_Periodo1[[#This Row],[SALDO_ATUAL]]),4)</f>
        <v>22738.5</v>
      </c>
      <c r="N1138" t="s">
        <v>116</v>
      </c>
      <c r="O1138" t="s">
        <v>397</v>
      </c>
      <c r="P1138" t="s">
        <v>397</v>
      </c>
      <c r="Q1138">
        <v>7</v>
      </c>
      <c r="R1138" s="225">
        <f>Base_Periodo1[[#This Row],[CREDITOS]]-Base_Periodo1[[#This Row],[DEBITOS]]</f>
        <v>-17610.5</v>
      </c>
      <c r="S1138" s="3" t="str">
        <f>IF(ISERROR(VLOOKUP(Base_Periodo1[[#This Row],[CONTA]],BaseContasDRE[#All],4,FALSE)),"Fora do DRE",VLOOKUP(Base_Periodo1[[#This Row],[CONTA]],BaseContasDRE[#All],4,FALSE))</f>
        <v>Fora do DRE</v>
      </c>
      <c r="T1138" s="3" t="str">
        <f>IF(ISERROR(VLOOKUP(Base_Periodo1[[#This Row],[CONTA]],BaseContasDRE[#All],5,FALSE)),"Fora do DRE",VLOOKUP(Base_Periodo1[[#This Row],[CONTA]],BaseContasDRE[#All],6,FALSE))</f>
        <v>Fora do DRE</v>
      </c>
      <c r="U1138" s="3" t="str">
        <f>IF(ISERROR(VLOOKUP(Base_Periodo1[[#This Row],[CONTA]],BaseContasDRE[#All],7,FALSE)),"Fora do DRE",VLOOKUP(Base_Periodo1[[#This Row],[CONTA]],BaseContasDRE[#All],7,FALSE))</f>
        <v>Fora do DRE</v>
      </c>
      <c r="V1138" s="3" t="str">
        <f>IF(Base_Periodo1[[#This Row],[Tipo_Linha]]="Fora do DRE","Fora do DRE","( "&amp;Base_Periodo1[[#This Row],[Tipo_Linha]]&amp;" ) "&amp;Base_Periodo1[[#This Row],[Filtro]])</f>
        <v>Fora do DRE</v>
      </c>
      <c r="W1138" s="3" t="str">
        <f>LEFT(Base_Periodo1[[#This Row],[CLASS]],3)</f>
        <v>1.1</v>
      </c>
    </row>
    <row r="1139" spans="1:23" hidden="1">
      <c r="A1139" s="3" t="str">
        <f t="shared" si="17"/>
        <v>Período 1</v>
      </c>
      <c r="B1139">
        <v>38231</v>
      </c>
      <c r="C1139" t="s">
        <v>922</v>
      </c>
      <c r="D1139" t="s">
        <v>5881</v>
      </c>
      <c r="E1139" s="3" t="str">
        <f>IF(LEN(Base_Periodo1[[#This Row],[CLASS]])&gt;=7,LEFT(Base_Periodo1[[#This Row],[CLASS]],7),"")</f>
        <v>1.1.2.2</v>
      </c>
      <c r="F1139" s="3" t="str">
        <f>VLOOKUP(Base_Periodo1[[#This Row],[Aux]],Base_Contas_Balanco[#All],2,FALSE)</f>
        <v>Creditos com não Cooperados</v>
      </c>
      <c r="G1139" s="1">
        <v>42885</v>
      </c>
      <c r="H1139" s="225">
        <v>662888.4</v>
      </c>
      <c r="I1139" s="225">
        <v>686922.8</v>
      </c>
      <c r="J1139" s="225">
        <v>154320</v>
      </c>
      <c r="K1139" s="225">
        <v>1195491.2000000002</v>
      </c>
      <c r="L11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1195491.2</v>
      </c>
      <c r="M1139" s="225">
        <f>ROUND(IF(AND(Base_Periodo1[[#This Row],[Tipo_Linha]]="-",Base_Periodo1[[#This Row],[TIPOSALDO]]="D"),Base_Periodo1[[#This Row],[SALDO_ATUAL]]*-1,Base_Periodo1[[#This Row],[SALDO_ATUAL]]),4)</f>
        <v>1195491.2</v>
      </c>
      <c r="N1139" t="s">
        <v>116</v>
      </c>
      <c r="O1139" t="s">
        <v>397</v>
      </c>
      <c r="P1139" t="s">
        <v>397</v>
      </c>
      <c r="Q1139">
        <v>7</v>
      </c>
      <c r="R1139" s="225">
        <f>Base_Periodo1[[#This Row],[CREDITOS]]-Base_Periodo1[[#This Row],[DEBITOS]]</f>
        <v>-532602.80000000005</v>
      </c>
      <c r="S1139" s="3" t="str">
        <f>IF(ISERROR(VLOOKUP(Base_Periodo1[[#This Row],[CONTA]],BaseContasDRE[#All],4,FALSE)),"Fora do DRE",VLOOKUP(Base_Periodo1[[#This Row],[CONTA]],BaseContasDRE[#All],4,FALSE))</f>
        <v>Fora do DRE</v>
      </c>
      <c r="T1139" s="3" t="str">
        <f>IF(ISERROR(VLOOKUP(Base_Periodo1[[#This Row],[CONTA]],BaseContasDRE[#All],5,FALSE)),"Fora do DRE",VLOOKUP(Base_Periodo1[[#This Row],[CONTA]],BaseContasDRE[#All],6,FALSE))</f>
        <v>Fora do DRE</v>
      </c>
      <c r="U1139" s="3" t="str">
        <f>IF(ISERROR(VLOOKUP(Base_Periodo1[[#This Row],[CONTA]],BaseContasDRE[#All],7,FALSE)),"Fora do DRE",VLOOKUP(Base_Periodo1[[#This Row],[CONTA]],BaseContasDRE[#All],7,FALSE))</f>
        <v>Fora do DRE</v>
      </c>
      <c r="V1139" s="3" t="str">
        <f>IF(Base_Periodo1[[#This Row],[Tipo_Linha]]="Fora do DRE","Fora do DRE","( "&amp;Base_Periodo1[[#This Row],[Tipo_Linha]]&amp;" ) "&amp;Base_Periodo1[[#This Row],[Filtro]])</f>
        <v>Fora do DRE</v>
      </c>
      <c r="W1139" s="3" t="str">
        <f>LEFT(Base_Periodo1[[#This Row],[CLASS]],3)</f>
        <v>1.1</v>
      </c>
    </row>
    <row r="1140" spans="1:23" hidden="1">
      <c r="A1140" s="3" t="str">
        <f t="shared" si="17"/>
        <v>Período 1</v>
      </c>
      <c r="B1140">
        <v>51673</v>
      </c>
      <c r="C1140" t="s">
        <v>922</v>
      </c>
      <c r="D1140" t="s">
        <v>6785</v>
      </c>
      <c r="E1140" s="3" t="str">
        <f>IF(LEN(Base_Periodo1[[#This Row],[CLASS]])&gt;=7,LEFT(Base_Periodo1[[#This Row],[CLASS]],7),"")</f>
        <v>1.1.2.2</v>
      </c>
      <c r="F1140" s="3" t="str">
        <f>VLOOKUP(Base_Periodo1[[#This Row],[Aux]],Base_Contas_Balanco[#All],2,FALSE)</f>
        <v>Creditos com não Cooperados</v>
      </c>
      <c r="G1140" s="1">
        <v>42879</v>
      </c>
      <c r="I1140" s="225">
        <v>10500</v>
      </c>
      <c r="J1140" s="225">
        <v>10500</v>
      </c>
      <c r="K1140" s="225">
        <v>0</v>
      </c>
      <c r="L11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40" s="225">
        <f>ROUND(IF(AND(Base_Periodo1[[#This Row],[Tipo_Linha]]="-",Base_Periodo1[[#This Row],[TIPOSALDO]]="D"),Base_Periodo1[[#This Row],[SALDO_ATUAL]]*-1,Base_Periodo1[[#This Row],[SALDO_ATUAL]]),4)</f>
        <v>0</v>
      </c>
      <c r="N1140" t="s">
        <v>116</v>
      </c>
      <c r="O1140" t="s">
        <v>436</v>
      </c>
      <c r="P1140" t="s">
        <v>436</v>
      </c>
      <c r="Q1140">
        <v>7</v>
      </c>
      <c r="R1140" s="225">
        <f>Base_Periodo1[[#This Row],[CREDITOS]]-Base_Periodo1[[#This Row],[DEBITOS]]</f>
        <v>0</v>
      </c>
      <c r="S1140" s="3" t="str">
        <f>IF(ISERROR(VLOOKUP(Base_Periodo1[[#This Row],[CONTA]],BaseContasDRE[#All],4,FALSE)),"Fora do DRE",VLOOKUP(Base_Periodo1[[#This Row],[CONTA]],BaseContasDRE[#All],4,FALSE))</f>
        <v>Fora do DRE</v>
      </c>
      <c r="T1140" s="3" t="str">
        <f>IF(ISERROR(VLOOKUP(Base_Periodo1[[#This Row],[CONTA]],BaseContasDRE[#All],5,FALSE)),"Fora do DRE",VLOOKUP(Base_Periodo1[[#This Row],[CONTA]],BaseContasDRE[#All],6,FALSE))</f>
        <v>Fora do DRE</v>
      </c>
      <c r="U1140" s="3" t="str">
        <f>IF(ISERROR(VLOOKUP(Base_Periodo1[[#This Row],[CONTA]],BaseContasDRE[#All],7,FALSE)),"Fora do DRE",VLOOKUP(Base_Periodo1[[#This Row],[CONTA]],BaseContasDRE[#All],7,FALSE))</f>
        <v>Fora do DRE</v>
      </c>
      <c r="V1140" s="3" t="str">
        <f>IF(Base_Periodo1[[#This Row],[Tipo_Linha]]="Fora do DRE","Fora do DRE","( "&amp;Base_Periodo1[[#This Row],[Tipo_Linha]]&amp;" ) "&amp;Base_Periodo1[[#This Row],[Filtro]])</f>
        <v>Fora do DRE</v>
      </c>
      <c r="W1140" s="3" t="str">
        <f>LEFT(Base_Periodo1[[#This Row],[CLASS]],3)</f>
        <v>1.1</v>
      </c>
    </row>
    <row r="1141" spans="1:23" hidden="1">
      <c r="A1141" s="3" t="str">
        <f t="shared" si="17"/>
        <v>Período 1</v>
      </c>
      <c r="B1141">
        <v>7389</v>
      </c>
      <c r="C1141" t="s">
        <v>922</v>
      </c>
      <c r="D1141" t="s">
        <v>6527</v>
      </c>
      <c r="E1141" s="3" t="str">
        <f>IF(LEN(Base_Periodo1[[#This Row],[CLASS]])&gt;=7,LEFT(Base_Periodo1[[#This Row],[CLASS]],7),"")</f>
        <v>1.1.2.2</v>
      </c>
      <c r="F1141" s="3" t="str">
        <f>VLOOKUP(Base_Periodo1[[#This Row],[Aux]],Base_Contas_Balanco[#All],2,FALSE)</f>
        <v>Creditos com não Cooperados</v>
      </c>
      <c r="G1141" s="1">
        <v>42863</v>
      </c>
      <c r="I1141" s="225">
        <v>150</v>
      </c>
      <c r="J1141" s="225">
        <v>0</v>
      </c>
      <c r="K1141" s="225">
        <v>150</v>
      </c>
      <c r="L11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</v>
      </c>
      <c r="M1141" s="225">
        <f>ROUND(IF(AND(Base_Periodo1[[#This Row],[Tipo_Linha]]="-",Base_Periodo1[[#This Row],[TIPOSALDO]]="D"),Base_Periodo1[[#This Row],[SALDO_ATUAL]]*-1,Base_Periodo1[[#This Row],[SALDO_ATUAL]]),4)</f>
        <v>150</v>
      </c>
      <c r="N1141" t="s">
        <v>116</v>
      </c>
      <c r="O1141" t="s">
        <v>436</v>
      </c>
      <c r="P1141" t="s">
        <v>397</v>
      </c>
      <c r="Q1141">
        <v>7</v>
      </c>
      <c r="R1141" s="225">
        <f>Base_Periodo1[[#This Row],[CREDITOS]]-Base_Periodo1[[#This Row],[DEBITOS]]</f>
        <v>-150</v>
      </c>
      <c r="S1141" s="3" t="str">
        <f>IF(ISERROR(VLOOKUP(Base_Periodo1[[#This Row],[CONTA]],BaseContasDRE[#All],4,FALSE)),"Fora do DRE",VLOOKUP(Base_Periodo1[[#This Row],[CONTA]],BaseContasDRE[#All],4,FALSE))</f>
        <v>Fora do DRE</v>
      </c>
      <c r="T1141" s="3" t="str">
        <f>IF(ISERROR(VLOOKUP(Base_Periodo1[[#This Row],[CONTA]],BaseContasDRE[#All],5,FALSE)),"Fora do DRE",VLOOKUP(Base_Periodo1[[#This Row],[CONTA]],BaseContasDRE[#All],6,FALSE))</f>
        <v>Fora do DRE</v>
      </c>
      <c r="U1141" s="3" t="str">
        <f>IF(ISERROR(VLOOKUP(Base_Periodo1[[#This Row],[CONTA]],BaseContasDRE[#All],7,FALSE)),"Fora do DRE",VLOOKUP(Base_Periodo1[[#This Row],[CONTA]],BaseContasDRE[#All],7,FALSE))</f>
        <v>Fora do DRE</v>
      </c>
      <c r="V1141" s="3" t="str">
        <f>IF(Base_Periodo1[[#This Row],[Tipo_Linha]]="Fora do DRE","Fora do DRE","( "&amp;Base_Periodo1[[#This Row],[Tipo_Linha]]&amp;" ) "&amp;Base_Periodo1[[#This Row],[Filtro]])</f>
        <v>Fora do DRE</v>
      </c>
      <c r="W1141" s="3" t="str">
        <f>LEFT(Base_Periodo1[[#This Row],[CLASS]],3)</f>
        <v>1.1</v>
      </c>
    </row>
    <row r="1142" spans="1:23" hidden="1">
      <c r="A1142" s="3" t="str">
        <f t="shared" si="17"/>
        <v>Período 1</v>
      </c>
      <c r="B1142">
        <v>9920</v>
      </c>
      <c r="C1142" t="s">
        <v>922</v>
      </c>
      <c r="D1142" t="s">
        <v>2128</v>
      </c>
      <c r="E1142" s="3" t="str">
        <f>IF(LEN(Base_Periodo1[[#This Row],[CLASS]])&gt;=7,LEFT(Base_Periodo1[[#This Row],[CLASS]],7),"")</f>
        <v>1.1.2.2</v>
      </c>
      <c r="F1142" s="3" t="str">
        <f>VLOOKUP(Base_Periodo1[[#This Row],[Aux]],Base_Contas_Balanco[#All],2,FALSE)</f>
        <v>Creditos com não Cooperados</v>
      </c>
      <c r="G1142" s="1">
        <v>42867</v>
      </c>
      <c r="H1142" s="225">
        <v>26</v>
      </c>
      <c r="I1142" s="225">
        <v>78</v>
      </c>
      <c r="J1142" s="225">
        <v>104</v>
      </c>
      <c r="K1142" s="225">
        <v>0</v>
      </c>
      <c r="L11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42" s="225">
        <f>ROUND(IF(AND(Base_Periodo1[[#This Row],[Tipo_Linha]]="-",Base_Periodo1[[#This Row],[TIPOSALDO]]="D"),Base_Periodo1[[#This Row],[SALDO_ATUAL]]*-1,Base_Periodo1[[#This Row],[SALDO_ATUAL]]),4)</f>
        <v>0</v>
      </c>
      <c r="N1142" t="s">
        <v>116</v>
      </c>
      <c r="O1142" t="s">
        <v>397</v>
      </c>
      <c r="P1142" t="s">
        <v>436</v>
      </c>
      <c r="Q1142">
        <v>7</v>
      </c>
      <c r="R1142" s="225">
        <f>Base_Periodo1[[#This Row],[CREDITOS]]-Base_Periodo1[[#This Row],[DEBITOS]]</f>
        <v>26</v>
      </c>
      <c r="S1142" s="3" t="str">
        <f>IF(ISERROR(VLOOKUP(Base_Periodo1[[#This Row],[CONTA]],BaseContasDRE[#All],4,FALSE)),"Fora do DRE",VLOOKUP(Base_Periodo1[[#This Row],[CONTA]],BaseContasDRE[#All],4,FALSE))</f>
        <v>Fora do DRE</v>
      </c>
      <c r="T1142" s="3" t="str">
        <f>IF(ISERROR(VLOOKUP(Base_Periodo1[[#This Row],[CONTA]],BaseContasDRE[#All],5,FALSE)),"Fora do DRE",VLOOKUP(Base_Periodo1[[#This Row],[CONTA]],BaseContasDRE[#All],6,FALSE))</f>
        <v>Fora do DRE</v>
      </c>
      <c r="U1142" s="3" t="str">
        <f>IF(ISERROR(VLOOKUP(Base_Periodo1[[#This Row],[CONTA]],BaseContasDRE[#All],7,FALSE)),"Fora do DRE",VLOOKUP(Base_Periodo1[[#This Row],[CONTA]],BaseContasDRE[#All],7,FALSE))</f>
        <v>Fora do DRE</v>
      </c>
      <c r="V1142" s="3" t="str">
        <f>IF(Base_Periodo1[[#This Row],[Tipo_Linha]]="Fora do DRE","Fora do DRE","( "&amp;Base_Periodo1[[#This Row],[Tipo_Linha]]&amp;" ) "&amp;Base_Periodo1[[#This Row],[Filtro]])</f>
        <v>Fora do DRE</v>
      </c>
      <c r="W1142" s="3" t="str">
        <f>LEFT(Base_Periodo1[[#This Row],[CLASS]],3)</f>
        <v>1.1</v>
      </c>
    </row>
    <row r="1143" spans="1:23" hidden="1">
      <c r="A1143" s="3" t="str">
        <f t="shared" si="17"/>
        <v>Período 1</v>
      </c>
      <c r="B1143">
        <v>12323</v>
      </c>
      <c r="C1143" t="s">
        <v>922</v>
      </c>
      <c r="D1143" t="s">
        <v>5500</v>
      </c>
      <c r="E1143" s="3" t="str">
        <f>IF(LEN(Base_Periodo1[[#This Row],[CLASS]])&gt;=7,LEFT(Base_Periodo1[[#This Row],[CLASS]],7),"")</f>
        <v>1.1.2.2</v>
      </c>
      <c r="F1143" s="3" t="str">
        <f>VLOOKUP(Base_Periodo1[[#This Row],[Aux]],Base_Contas_Balanco[#All],2,FALSE)</f>
        <v>Creditos com não Cooperados</v>
      </c>
      <c r="G1143" s="1">
        <v>42886</v>
      </c>
      <c r="H1143" s="225">
        <v>1224</v>
      </c>
      <c r="I1143" s="225">
        <v>0</v>
      </c>
      <c r="J1143" s="225">
        <v>1224</v>
      </c>
      <c r="K1143" s="225">
        <v>0</v>
      </c>
      <c r="L11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43" s="225">
        <f>ROUND(IF(AND(Base_Periodo1[[#This Row],[Tipo_Linha]]="-",Base_Periodo1[[#This Row],[TIPOSALDO]]="D"),Base_Periodo1[[#This Row],[SALDO_ATUAL]]*-1,Base_Periodo1[[#This Row],[SALDO_ATUAL]]),4)</f>
        <v>0</v>
      </c>
      <c r="N1143" t="s">
        <v>116</v>
      </c>
      <c r="O1143" t="s">
        <v>397</v>
      </c>
      <c r="P1143" t="s">
        <v>436</v>
      </c>
      <c r="Q1143">
        <v>7</v>
      </c>
      <c r="R1143" s="225">
        <f>Base_Periodo1[[#This Row],[CREDITOS]]-Base_Periodo1[[#This Row],[DEBITOS]]</f>
        <v>1224</v>
      </c>
      <c r="S1143" s="3" t="str">
        <f>IF(ISERROR(VLOOKUP(Base_Periodo1[[#This Row],[CONTA]],BaseContasDRE[#All],4,FALSE)),"Fora do DRE",VLOOKUP(Base_Periodo1[[#This Row],[CONTA]],BaseContasDRE[#All],4,FALSE))</f>
        <v>Fora do DRE</v>
      </c>
      <c r="T1143" s="3" t="str">
        <f>IF(ISERROR(VLOOKUP(Base_Periodo1[[#This Row],[CONTA]],BaseContasDRE[#All],5,FALSE)),"Fora do DRE",VLOOKUP(Base_Periodo1[[#This Row],[CONTA]],BaseContasDRE[#All],6,FALSE))</f>
        <v>Fora do DRE</v>
      </c>
      <c r="U1143" s="3" t="str">
        <f>IF(ISERROR(VLOOKUP(Base_Periodo1[[#This Row],[CONTA]],BaseContasDRE[#All],7,FALSE)),"Fora do DRE",VLOOKUP(Base_Periodo1[[#This Row],[CONTA]],BaseContasDRE[#All],7,FALSE))</f>
        <v>Fora do DRE</v>
      </c>
      <c r="V1143" s="3" t="str">
        <f>IF(Base_Periodo1[[#This Row],[Tipo_Linha]]="Fora do DRE","Fora do DRE","( "&amp;Base_Periodo1[[#This Row],[Tipo_Linha]]&amp;" ) "&amp;Base_Periodo1[[#This Row],[Filtro]])</f>
        <v>Fora do DRE</v>
      </c>
      <c r="W1143" s="3" t="str">
        <f>LEFT(Base_Periodo1[[#This Row],[CLASS]],3)</f>
        <v>1.1</v>
      </c>
    </row>
    <row r="1144" spans="1:23" hidden="1">
      <c r="A1144" s="3" t="str">
        <f t="shared" si="17"/>
        <v>Período 1</v>
      </c>
      <c r="B1144">
        <v>4700</v>
      </c>
      <c r="C1144" t="s">
        <v>922</v>
      </c>
      <c r="D1144" t="s">
        <v>978</v>
      </c>
      <c r="E1144" s="3" t="str">
        <f>IF(LEN(Base_Periodo1[[#This Row],[CLASS]])&gt;=7,LEFT(Base_Periodo1[[#This Row],[CLASS]],7),"")</f>
        <v>1.1.2.2</v>
      </c>
      <c r="F1144" s="3" t="str">
        <f>VLOOKUP(Base_Periodo1[[#This Row],[Aux]],Base_Contas_Balanco[#All],2,FALSE)</f>
        <v>Creditos com não Cooperados</v>
      </c>
      <c r="G1144" s="1">
        <v>42885</v>
      </c>
      <c r="H1144" s="225">
        <v>116540</v>
      </c>
      <c r="I1144" s="225">
        <v>147097.53</v>
      </c>
      <c r="J1144" s="225">
        <v>88404.53</v>
      </c>
      <c r="K1144" s="225">
        <v>175233.00000000003</v>
      </c>
      <c r="L11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175233</v>
      </c>
      <c r="M1144" s="225">
        <f>ROUND(IF(AND(Base_Periodo1[[#This Row],[Tipo_Linha]]="-",Base_Periodo1[[#This Row],[TIPOSALDO]]="D"),Base_Periodo1[[#This Row],[SALDO_ATUAL]]*-1,Base_Periodo1[[#This Row],[SALDO_ATUAL]]),4)</f>
        <v>175233</v>
      </c>
      <c r="N1144" t="s">
        <v>116</v>
      </c>
      <c r="O1144" t="s">
        <v>397</v>
      </c>
      <c r="P1144" t="s">
        <v>397</v>
      </c>
      <c r="Q1144">
        <v>7</v>
      </c>
      <c r="R1144" s="225">
        <f>Base_Periodo1[[#This Row],[CREDITOS]]-Base_Periodo1[[#This Row],[DEBITOS]]</f>
        <v>-58693</v>
      </c>
      <c r="S1144" s="3" t="str">
        <f>IF(ISERROR(VLOOKUP(Base_Periodo1[[#This Row],[CONTA]],BaseContasDRE[#All],4,FALSE)),"Fora do DRE",VLOOKUP(Base_Periodo1[[#This Row],[CONTA]],BaseContasDRE[#All],4,FALSE))</f>
        <v>Fora do DRE</v>
      </c>
      <c r="T1144" s="3" t="str">
        <f>IF(ISERROR(VLOOKUP(Base_Periodo1[[#This Row],[CONTA]],BaseContasDRE[#All],5,FALSE)),"Fora do DRE",VLOOKUP(Base_Periodo1[[#This Row],[CONTA]],BaseContasDRE[#All],6,FALSE))</f>
        <v>Fora do DRE</v>
      </c>
      <c r="U1144" s="3" t="str">
        <f>IF(ISERROR(VLOOKUP(Base_Periodo1[[#This Row],[CONTA]],BaseContasDRE[#All],7,FALSE)),"Fora do DRE",VLOOKUP(Base_Periodo1[[#This Row],[CONTA]],BaseContasDRE[#All],7,FALSE))</f>
        <v>Fora do DRE</v>
      </c>
      <c r="V1144" s="3" t="str">
        <f>IF(Base_Periodo1[[#This Row],[Tipo_Linha]]="Fora do DRE","Fora do DRE","( "&amp;Base_Periodo1[[#This Row],[Tipo_Linha]]&amp;" ) "&amp;Base_Periodo1[[#This Row],[Filtro]])</f>
        <v>Fora do DRE</v>
      </c>
      <c r="W1144" s="3" t="str">
        <f>LEFT(Base_Periodo1[[#This Row],[CLASS]],3)</f>
        <v>1.1</v>
      </c>
    </row>
    <row r="1145" spans="1:23" hidden="1">
      <c r="A1145" s="3" t="str">
        <f t="shared" si="17"/>
        <v>Período 1</v>
      </c>
      <c r="B1145">
        <v>36514</v>
      </c>
      <c r="C1145" t="s">
        <v>922</v>
      </c>
      <c r="D1145" t="s">
        <v>6103</v>
      </c>
      <c r="E1145" s="3" t="str">
        <f>IF(LEN(Base_Periodo1[[#This Row],[CLASS]])&gt;=7,LEFT(Base_Periodo1[[#This Row],[CLASS]],7),"")</f>
        <v>1.1.2.2</v>
      </c>
      <c r="F1145" s="3" t="str">
        <f>VLOOKUP(Base_Periodo1[[#This Row],[Aux]],Base_Contas_Balanco[#All],2,FALSE)</f>
        <v>Creditos com não Cooperados</v>
      </c>
      <c r="G1145" s="1">
        <v>42866</v>
      </c>
      <c r="H1145" s="225">
        <v>42040</v>
      </c>
      <c r="I1145" s="225">
        <v>0</v>
      </c>
      <c r="J1145" s="225">
        <v>42040</v>
      </c>
      <c r="K1145" s="225">
        <v>0</v>
      </c>
      <c r="L11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45" s="225">
        <f>ROUND(IF(AND(Base_Periodo1[[#This Row],[Tipo_Linha]]="-",Base_Periodo1[[#This Row],[TIPOSALDO]]="D"),Base_Periodo1[[#This Row],[SALDO_ATUAL]]*-1,Base_Periodo1[[#This Row],[SALDO_ATUAL]]),4)</f>
        <v>0</v>
      </c>
      <c r="N1145" t="s">
        <v>116</v>
      </c>
      <c r="O1145" t="s">
        <v>397</v>
      </c>
      <c r="P1145" t="s">
        <v>436</v>
      </c>
      <c r="Q1145">
        <v>7</v>
      </c>
      <c r="R1145" s="225">
        <f>Base_Periodo1[[#This Row],[CREDITOS]]-Base_Periodo1[[#This Row],[DEBITOS]]</f>
        <v>42040</v>
      </c>
      <c r="S1145" s="3" t="str">
        <f>IF(ISERROR(VLOOKUP(Base_Periodo1[[#This Row],[CONTA]],BaseContasDRE[#All],4,FALSE)),"Fora do DRE",VLOOKUP(Base_Periodo1[[#This Row],[CONTA]],BaseContasDRE[#All],4,FALSE))</f>
        <v>Fora do DRE</v>
      </c>
      <c r="T1145" s="3" t="str">
        <f>IF(ISERROR(VLOOKUP(Base_Periodo1[[#This Row],[CONTA]],BaseContasDRE[#All],5,FALSE)),"Fora do DRE",VLOOKUP(Base_Periodo1[[#This Row],[CONTA]],BaseContasDRE[#All],6,FALSE))</f>
        <v>Fora do DRE</v>
      </c>
      <c r="U1145" s="3" t="str">
        <f>IF(ISERROR(VLOOKUP(Base_Periodo1[[#This Row],[CONTA]],BaseContasDRE[#All],7,FALSE)),"Fora do DRE",VLOOKUP(Base_Periodo1[[#This Row],[CONTA]],BaseContasDRE[#All],7,FALSE))</f>
        <v>Fora do DRE</v>
      </c>
      <c r="V1145" s="3" t="str">
        <f>IF(Base_Periodo1[[#This Row],[Tipo_Linha]]="Fora do DRE","Fora do DRE","( "&amp;Base_Periodo1[[#This Row],[Tipo_Linha]]&amp;" ) "&amp;Base_Periodo1[[#This Row],[Filtro]])</f>
        <v>Fora do DRE</v>
      </c>
      <c r="W1145" s="3" t="str">
        <f>LEFT(Base_Periodo1[[#This Row],[CLASS]],3)</f>
        <v>1.1</v>
      </c>
    </row>
    <row r="1146" spans="1:23" hidden="1">
      <c r="A1146" s="3" t="str">
        <f t="shared" si="17"/>
        <v>Período 1</v>
      </c>
      <c r="B1146">
        <v>57762</v>
      </c>
      <c r="C1146" t="s">
        <v>922</v>
      </c>
      <c r="D1146" t="s">
        <v>6103</v>
      </c>
      <c r="E1146" s="3" t="str">
        <f>IF(LEN(Base_Periodo1[[#This Row],[CLASS]])&gt;=7,LEFT(Base_Periodo1[[#This Row],[CLASS]],7),"")</f>
        <v>1.1.2.2</v>
      </c>
      <c r="F1146" s="3" t="str">
        <f>VLOOKUP(Base_Periodo1[[#This Row],[Aux]],Base_Contas_Balanco[#All],2,FALSE)</f>
        <v>Creditos com não Cooperados</v>
      </c>
      <c r="G1146" s="1">
        <v>42885</v>
      </c>
      <c r="H1146" s="225">
        <v>98840</v>
      </c>
      <c r="I1146" s="225">
        <v>10520</v>
      </c>
      <c r="J1146" s="225">
        <v>4480</v>
      </c>
      <c r="K1146" s="225">
        <v>104880</v>
      </c>
      <c r="L11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104880</v>
      </c>
      <c r="M1146" s="225">
        <f>ROUND(IF(AND(Base_Periodo1[[#This Row],[Tipo_Linha]]="-",Base_Periodo1[[#This Row],[TIPOSALDO]]="D"),Base_Periodo1[[#This Row],[SALDO_ATUAL]]*-1,Base_Periodo1[[#This Row],[SALDO_ATUAL]]),4)</f>
        <v>104880</v>
      </c>
      <c r="N1146" t="s">
        <v>116</v>
      </c>
      <c r="O1146" t="s">
        <v>397</v>
      </c>
      <c r="P1146" t="s">
        <v>397</v>
      </c>
      <c r="Q1146">
        <v>7</v>
      </c>
      <c r="R1146" s="225">
        <f>Base_Periodo1[[#This Row],[CREDITOS]]-Base_Periodo1[[#This Row],[DEBITOS]]</f>
        <v>-6040</v>
      </c>
      <c r="S1146" s="3" t="str">
        <f>IF(ISERROR(VLOOKUP(Base_Periodo1[[#This Row],[CONTA]],BaseContasDRE[#All],4,FALSE)),"Fora do DRE",VLOOKUP(Base_Periodo1[[#This Row],[CONTA]],BaseContasDRE[#All],4,FALSE))</f>
        <v>Fora do DRE</v>
      </c>
      <c r="T1146" s="3" t="str">
        <f>IF(ISERROR(VLOOKUP(Base_Periodo1[[#This Row],[CONTA]],BaseContasDRE[#All],5,FALSE)),"Fora do DRE",VLOOKUP(Base_Periodo1[[#This Row],[CONTA]],BaseContasDRE[#All],6,FALSE))</f>
        <v>Fora do DRE</v>
      </c>
      <c r="U1146" s="3" t="str">
        <f>IF(ISERROR(VLOOKUP(Base_Periodo1[[#This Row],[CONTA]],BaseContasDRE[#All],7,FALSE)),"Fora do DRE",VLOOKUP(Base_Periodo1[[#This Row],[CONTA]],BaseContasDRE[#All],7,FALSE))</f>
        <v>Fora do DRE</v>
      </c>
      <c r="V1146" s="3" t="str">
        <f>IF(Base_Periodo1[[#This Row],[Tipo_Linha]]="Fora do DRE","Fora do DRE","( "&amp;Base_Periodo1[[#This Row],[Tipo_Linha]]&amp;" ) "&amp;Base_Periodo1[[#This Row],[Filtro]])</f>
        <v>Fora do DRE</v>
      </c>
      <c r="W1146" s="3" t="str">
        <f>LEFT(Base_Periodo1[[#This Row],[CLASS]],3)</f>
        <v>1.1</v>
      </c>
    </row>
    <row r="1147" spans="1:23" hidden="1">
      <c r="A1147" s="3" t="str">
        <f t="shared" si="17"/>
        <v>Período 1</v>
      </c>
      <c r="B1147">
        <v>50191</v>
      </c>
      <c r="C1147" t="s">
        <v>922</v>
      </c>
      <c r="D1147" t="s">
        <v>6104</v>
      </c>
      <c r="E1147" s="3" t="str">
        <f>IF(LEN(Base_Periodo1[[#This Row],[CLASS]])&gt;=7,LEFT(Base_Periodo1[[#This Row],[CLASS]],7),"")</f>
        <v>1.1.2.2</v>
      </c>
      <c r="F1147" s="3" t="str">
        <f>VLOOKUP(Base_Periodo1[[#This Row],[Aux]],Base_Contas_Balanco[#All],2,FALSE)</f>
        <v>Creditos com não Cooperados</v>
      </c>
      <c r="G1147" s="1">
        <v>42857</v>
      </c>
      <c r="H1147" s="225">
        <v>86200.000000000015</v>
      </c>
      <c r="I1147" s="225">
        <v>0</v>
      </c>
      <c r="J1147" s="225">
        <v>86200</v>
      </c>
      <c r="K1147" s="225">
        <v>1.4551915228366852E-11</v>
      </c>
      <c r="L11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47" s="225">
        <f>ROUND(IF(AND(Base_Periodo1[[#This Row],[Tipo_Linha]]="-",Base_Periodo1[[#This Row],[TIPOSALDO]]="D"),Base_Periodo1[[#This Row],[SALDO_ATUAL]]*-1,Base_Periodo1[[#This Row],[SALDO_ATUAL]]),4)</f>
        <v>0</v>
      </c>
      <c r="N1147" t="s">
        <v>116</v>
      </c>
      <c r="O1147" t="s">
        <v>397</v>
      </c>
      <c r="P1147" t="s">
        <v>436</v>
      </c>
      <c r="Q1147">
        <v>7</v>
      </c>
      <c r="R1147" s="225">
        <f>Base_Periodo1[[#This Row],[CREDITOS]]-Base_Periodo1[[#This Row],[DEBITOS]]</f>
        <v>86200</v>
      </c>
      <c r="S1147" s="3" t="str">
        <f>IF(ISERROR(VLOOKUP(Base_Periodo1[[#This Row],[CONTA]],BaseContasDRE[#All],4,FALSE)),"Fora do DRE",VLOOKUP(Base_Periodo1[[#This Row],[CONTA]],BaseContasDRE[#All],4,FALSE))</f>
        <v>Fora do DRE</v>
      </c>
      <c r="T1147" s="3" t="str">
        <f>IF(ISERROR(VLOOKUP(Base_Periodo1[[#This Row],[CONTA]],BaseContasDRE[#All],5,FALSE)),"Fora do DRE",VLOOKUP(Base_Periodo1[[#This Row],[CONTA]],BaseContasDRE[#All],6,FALSE))</f>
        <v>Fora do DRE</v>
      </c>
      <c r="U1147" s="3" t="str">
        <f>IF(ISERROR(VLOOKUP(Base_Periodo1[[#This Row],[CONTA]],BaseContasDRE[#All],7,FALSE)),"Fora do DRE",VLOOKUP(Base_Periodo1[[#This Row],[CONTA]],BaseContasDRE[#All],7,FALSE))</f>
        <v>Fora do DRE</v>
      </c>
      <c r="V1147" s="3" t="str">
        <f>IF(Base_Periodo1[[#This Row],[Tipo_Linha]]="Fora do DRE","Fora do DRE","( "&amp;Base_Periodo1[[#This Row],[Tipo_Linha]]&amp;" ) "&amp;Base_Periodo1[[#This Row],[Filtro]])</f>
        <v>Fora do DRE</v>
      </c>
      <c r="W1147" s="3" t="str">
        <f>LEFT(Base_Periodo1[[#This Row],[CLASS]],3)</f>
        <v>1.1</v>
      </c>
    </row>
    <row r="1148" spans="1:23" hidden="1">
      <c r="A1148" s="3" t="str">
        <f t="shared" si="17"/>
        <v>Período 1</v>
      </c>
      <c r="B1148">
        <v>38172</v>
      </c>
      <c r="C1148" t="s">
        <v>922</v>
      </c>
      <c r="D1148" t="s">
        <v>4960</v>
      </c>
      <c r="E1148" s="3" t="str">
        <f>IF(LEN(Base_Periodo1[[#This Row],[CLASS]])&gt;=7,LEFT(Base_Periodo1[[#This Row],[CLASS]],7),"")</f>
        <v>1.1.2.2</v>
      </c>
      <c r="F1148" s="3" t="str">
        <f>VLOOKUP(Base_Periodo1[[#This Row],[Aux]],Base_Contas_Balanco[#All],2,FALSE)</f>
        <v>Creditos com não Cooperados</v>
      </c>
      <c r="G1148" s="1">
        <v>42870</v>
      </c>
      <c r="I1148" s="225">
        <v>4242.7</v>
      </c>
      <c r="J1148" s="225">
        <v>0</v>
      </c>
      <c r="K1148" s="225">
        <v>4242.7000000000071</v>
      </c>
      <c r="L11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4242.7</v>
      </c>
      <c r="M1148" s="225">
        <f>ROUND(IF(AND(Base_Periodo1[[#This Row],[Tipo_Linha]]="-",Base_Periodo1[[#This Row],[TIPOSALDO]]="D"),Base_Periodo1[[#This Row],[SALDO_ATUAL]]*-1,Base_Periodo1[[#This Row],[SALDO_ATUAL]]),4)</f>
        <v>4242.7</v>
      </c>
      <c r="N1148" t="s">
        <v>116</v>
      </c>
      <c r="O1148" t="s">
        <v>436</v>
      </c>
      <c r="P1148" t="s">
        <v>397</v>
      </c>
      <c r="Q1148">
        <v>7</v>
      </c>
      <c r="R1148" s="225">
        <f>Base_Periodo1[[#This Row],[CREDITOS]]-Base_Periodo1[[#This Row],[DEBITOS]]</f>
        <v>-4242.7</v>
      </c>
      <c r="S1148" s="3" t="str">
        <f>IF(ISERROR(VLOOKUP(Base_Periodo1[[#This Row],[CONTA]],BaseContasDRE[#All],4,FALSE)),"Fora do DRE",VLOOKUP(Base_Periodo1[[#This Row],[CONTA]],BaseContasDRE[#All],4,FALSE))</f>
        <v>Fora do DRE</v>
      </c>
      <c r="T1148" s="3" t="str">
        <f>IF(ISERROR(VLOOKUP(Base_Periodo1[[#This Row],[CONTA]],BaseContasDRE[#All],5,FALSE)),"Fora do DRE",VLOOKUP(Base_Periodo1[[#This Row],[CONTA]],BaseContasDRE[#All],6,FALSE))</f>
        <v>Fora do DRE</v>
      </c>
      <c r="U1148" s="3" t="str">
        <f>IF(ISERROR(VLOOKUP(Base_Periodo1[[#This Row],[CONTA]],BaseContasDRE[#All],7,FALSE)),"Fora do DRE",VLOOKUP(Base_Periodo1[[#This Row],[CONTA]],BaseContasDRE[#All],7,FALSE))</f>
        <v>Fora do DRE</v>
      </c>
      <c r="V1148" s="3" t="str">
        <f>IF(Base_Periodo1[[#This Row],[Tipo_Linha]]="Fora do DRE","Fora do DRE","( "&amp;Base_Periodo1[[#This Row],[Tipo_Linha]]&amp;" ) "&amp;Base_Periodo1[[#This Row],[Filtro]])</f>
        <v>Fora do DRE</v>
      </c>
      <c r="W1148" s="3" t="str">
        <f>LEFT(Base_Periodo1[[#This Row],[CLASS]],3)</f>
        <v>1.1</v>
      </c>
    </row>
    <row r="1149" spans="1:23" hidden="1">
      <c r="A1149" s="3" t="str">
        <f t="shared" si="17"/>
        <v>Período 1</v>
      </c>
      <c r="B1149">
        <v>29849</v>
      </c>
      <c r="C1149" t="s">
        <v>922</v>
      </c>
      <c r="D1149" t="s">
        <v>979</v>
      </c>
      <c r="E1149" s="3" t="str">
        <f>IF(LEN(Base_Periodo1[[#This Row],[CLASS]])&gt;=7,LEFT(Base_Periodo1[[#This Row],[CLASS]],7),"")</f>
        <v>1.1.2.2</v>
      </c>
      <c r="F1149" s="3" t="str">
        <f>VLOOKUP(Base_Periodo1[[#This Row],[Aux]],Base_Contas_Balanco[#All],2,FALSE)</f>
        <v>Creditos com não Cooperados</v>
      </c>
      <c r="G1149" s="1">
        <v>42864</v>
      </c>
      <c r="H1149" s="225">
        <v>10080.000000001863</v>
      </c>
      <c r="I1149" s="225">
        <v>0</v>
      </c>
      <c r="J1149" s="225">
        <v>10080</v>
      </c>
      <c r="K1149" s="225">
        <v>1.862645149230957E-9</v>
      </c>
      <c r="L11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49" s="225">
        <f>ROUND(IF(AND(Base_Periodo1[[#This Row],[Tipo_Linha]]="-",Base_Periodo1[[#This Row],[TIPOSALDO]]="D"),Base_Periodo1[[#This Row],[SALDO_ATUAL]]*-1,Base_Periodo1[[#This Row],[SALDO_ATUAL]]),4)</f>
        <v>0</v>
      </c>
      <c r="N1149" t="s">
        <v>116</v>
      </c>
      <c r="O1149" t="s">
        <v>397</v>
      </c>
      <c r="P1149" t="s">
        <v>436</v>
      </c>
      <c r="Q1149">
        <v>7</v>
      </c>
      <c r="R1149" s="225">
        <f>Base_Periodo1[[#This Row],[CREDITOS]]-Base_Periodo1[[#This Row],[DEBITOS]]</f>
        <v>10080</v>
      </c>
      <c r="S1149" s="3" t="str">
        <f>IF(ISERROR(VLOOKUP(Base_Periodo1[[#This Row],[CONTA]],BaseContasDRE[#All],4,FALSE)),"Fora do DRE",VLOOKUP(Base_Periodo1[[#This Row],[CONTA]],BaseContasDRE[#All],4,FALSE))</f>
        <v>Fora do DRE</v>
      </c>
      <c r="T1149" s="3" t="str">
        <f>IF(ISERROR(VLOOKUP(Base_Periodo1[[#This Row],[CONTA]],BaseContasDRE[#All],5,FALSE)),"Fora do DRE",VLOOKUP(Base_Periodo1[[#This Row],[CONTA]],BaseContasDRE[#All],6,FALSE))</f>
        <v>Fora do DRE</v>
      </c>
      <c r="U1149" s="3" t="str">
        <f>IF(ISERROR(VLOOKUP(Base_Periodo1[[#This Row],[CONTA]],BaseContasDRE[#All],7,FALSE)),"Fora do DRE",VLOOKUP(Base_Periodo1[[#This Row],[CONTA]],BaseContasDRE[#All],7,FALSE))</f>
        <v>Fora do DRE</v>
      </c>
      <c r="V1149" s="3" t="str">
        <f>IF(Base_Periodo1[[#This Row],[Tipo_Linha]]="Fora do DRE","Fora do DRE","( "&amp;Base_Periodo1[[#This Row],[Tipo_Linha]]&amp;" ) "&amp;Base_Periodo1[[#This Row],[Filtro]])</f>
        <v>Fora do DRE</v>
      </c>
      <c r="W1149" s="3" t="str">
        <f>LEFT(Base_Periodo1[[#This Row],[CLASS]],3)</f>
        <v>1.1</v>
      </c>
    </row>
    <row r="1150" spans="1:23" hidden="1">
      <c r="A1150" s="3" t="str">
        <f t="shared" si="17"/>
        <v>Período 1</v>
      </c>
      <c r="B1150">
        <v>18104</v>
      </c>
      <c r="C1150" t="s">
        <v>922</v>
      </c>
      <c r="D1150" t="s">
        <v>5666</v>
      </c>
      <c r="E1150" s="3" t="str">
        <f>IF(LEN(Base_Periodo1[[#This Row],[CLASS]])&gt;=7,LEFT(Base_Periodo1[[#This Row],[CLASS]],7),"")</f>
        <v>1.1.2.2</v>
      </c>
      <c r="F1150" s="3" t="str">
        <f>VLOOKUP(Base_Periodo1[[#This Row],[Aux]],Base_Contas_Balanco[#All],2,FALSE)</f>
        <v>Creditos com não Cooperados</v>
      </c>
      <c r="G1150" s="1">
        <v>42878</v>
      </c>
      <c r="H1150" s="225">
        <v>147187.09999999998</v>
      </c>
      <c r="I1150" s="225">
        <v>24582</v>
      </c>
      <c r="J1150" s="225">
        <v>0</v>
      </c>
      <c r="K1150" s="225">
        <v>171769.09999999998</v>
      </c>
      <c r="L11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171769.1</v>
      </c>
      <c r="M1150" s="225">
        <f>ROUND(IF(AND(Base_Periodo1[[#This Row],[Tipo_Linha]]="-",Base_Periodo1[[#This Row],[TIPOSALDO]]="D"),Base_Periodo1[[#This Row],[SALDO_ATUAL]]*-1,Base_Periodo1[[#This Row],[SALDO_ATUAL]]),4)</f>
        <v>171769.1</v>
      </c>
      <c r="N1150" t="s">
        <v>116</v>
      </c>
      <c r="O1150" t="s">
        <v>397</v>
      </c>
      <c r="P1150" t="s">
        <v>397</v>
      </c>
      <c r="Q1150">
        <v>7</v>
      </c>
      <c r="R1150" s="225">
        <f>Base_Periodo1[[#This Row],[CREDITOS]]-Base_Periodo1[[#This Row],[DEBITOS]]</f>
        <v>-24582</v>
      </c>
      <c r="S1150" s="3" t="str">
        <f>IF(ISERROR(VLOOKUP(Base_Periodo1[[#This Row],[CONTA]],BaseContasDRE[#All],4,FALSE)),"Fora do DRE",VLOOKUP(Base_Periodo1[[#This Row],[CONTA]],BaseContasDRE[#All],4,FALSE))</f>
        <v>Fora do DRE</v>
      </c>
      <c r="T1150" s="3" t="str">
        <f>IF(ISERROR(VLOOKUP(Base_Periodo1[[#This Row],[CONTA]],BaseContasDRE[#All],5,FALSE)),"Fora do DRE",VLOOKUP(Base_Periodo1[[#This Row],[CONTA]],BaseContasDRE[#All],6,FALSE))</f>
        <v>Fora do DRE</v>
      </c>
      <c r="U1150" s="3" t="str">
        <f>IF(ISERROR(VLOOKUP(Base_Periodo1[[#This Row],[CONTA]],BaseContasDRE[#All],7,FALSE)),"Fora do DRE",VLOOKUP(Base_Periodo1[[#This Row],[CONTA]],BaseContasDRE[#All],7,FALSE))</f>
        <v>Fora do DRE</v>
      </c>
      <c r="V1150" s="3" t="str">
        <f>IF(Base_Periodo1[[#This Row],[Tipo_Linha]]="Fora do DRE","Fora do DRE","( "&amp;Base_Periodo1[[#This Row],[Tipo_Linha]]&amp;" ) "&amp;Base_Periodo1[[#This Row],[Filtro]])</f>
        <v>Fora do DRE</v>
      </c>
      <c r="W1150" s="3" t="str">
        <f>LEFT(Base_Periodo1[[#This Row],[CLASS]],3)</f>
        <v>1.1</v>
      </c>
    </row>
    <row r="1151" spans="1:23" hidden="1">
      <c r="A1151" s="3" t="str">
        <f t="shared" si="17"/>
        <v>Período 1</v>
      </c>
      <c r="B1151">
        <v>48071</v>
      </c>
      <c r="C1151" t="s">
        <v>922</v>
      </c>
      <c r="D1151" t="s">
        <v>4195</v>
      </c>
      <c r="E1151" s="3" t="str">
        <f>IF(LEN(Base_Periodo1[[#This Row],[CLASS]])&gt;=7,LEFT(Base_Periodo1[[#This Row],[CLASS]],7),"")</f>
        <v>1.1.2.2</v>
      </c>
      <c r="F1151" s="3" t="str">
        <f>VLOOKUP(Base_Periodo1[[#This Row],[Aux]],Base_Contas_Balanco[#All],2,FALSE)</f>
        <v>Creditos com não Cooperados</v>
      </c>
      <c r="G1151" s="1">
        <v>42885</v>
      </c>
      <c r="H1151" s="225">
        <v>1283257.8600000006</v>
      </c>
      <c r="I1151" s="225">
        <v>340799.26</v>
      </c>
      <c r="J1151" s="225">
        <v>1624057.1199999999</v>
      </c>
      <c r="K1151" s="225">
        <v>6.9849193096160889E-10</v>
      </c>
      <c r="L11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51" s="225">
        <f>ROUND(IF(AND(Base_Periodo1[[#This Row],[Tipo_Linha]]="-",Base_Periodo1[[#This Row],[TIPOSALDO]]="D"),Base_Periodo1[[#This Row],[SALDO_ATUAL]]*-1,Base_Periodo1[[#This Row],[SALDO_ATUAL]]),4)</f>
        <v>0</v>
      </c>
      <c r="N1151" t="s">
        <v>116</v>
      </c>
      <c r="O1151" t="s">
        <v>397</v>
      </c>
      <c r="P1151" t="s">
        <v>436</v>
      </c>
      <c r="Q1151">
        <v>7</v>
      </c>
      <c r="R1151" s="225">
        <f>Base_Periodo1[[#This Row],[CREDITOS]]-Base_Periodo1[[#This Row],[DEBITOS]]</f>
        <v>1283257.8599999999</v>
      </c>
      <c r="S1151" s="3" t="str">
        <f>IF(ISERROR(VLOOKUP(Base_Periodo1[[#This Row],[CONTA]],BaseContasDRE[#All],4,FALSE)),"Fora do DRE",VLOOKUP(Base_Periodo1[[#This Row],[CONTA]],BaseContasDRE[#All],4,FALSE))</f>
        <v>Fora do DRE</v>
      </c>
      <c r="T1151" s="3" t="str">
        <f>IF(ISERROR(VLOOKUP(Base_Periodo1[[#This Row],[CONTA]],BaseContasDRE[#All],5,FALSE)),"Fora do DRE",VLOOKUP(Base_Periodo1[[#This Row],[CONTA]],BaseContasDRE[#All],6,FALSE))</f>
        <v>Fora do DRE</v>
      </c>
      <c r="U1151" s="3" t="str">
        <f>IF(ISERROR(VLOOKUP(Base_Periodo1[[#This Row],[CONTA]],BaseContasDRE[#All],7,FALSE)),"Fora do DRE",VLOOKUP(Base_Periodo1[[#This Row],[CONTA]],BaseContasDRE[#All],7,FALSE))</f>
        <v>Fora do DRE</v>
      </c>
      <c r="V1151" s="3" t="str">
        <f>IF(Base_Periodo1[[#This Row],[Tipo_Linha]]="Fora do DRE","Fora do DRE","( "&amp;Base_Periodo1[[#This Row],[Tipo_Linha]]&amp;" ) "&amp;Base_Periodo1[[#This Row],[Filtro]])</f>
        <v>Fora do DRE</v>
      </c>
      <c r="W1151" s="3" t="str">
        <f>LEFT(Base_Periodo1[[#This Row],[CLASS]],3)</f>
        <v>1.1</v>
      </c>
    </row>
    <row r="1152" spans="1:23" hidden="1">
      <c r="A1152" s="3" t="str">
        <f t="shared" si="17"/>
        <v>Período 1</v>
      </c>
      <c r="B1152">
        <v>10719</v>
      </c>
      <c r="C1152" t="s">
        <v>922</v>
      </c>
      <c r="D1152" t="s">
        <v>6786</v>
      </c>
      <c r="E1152" s="3" t="str">
        <f>IF(LEN(Base_Periodo1[[#This Row],[CLASS]])&gt;=7,LEFT(Base_Periodo1[[#This Row],[CLASS]],7),"")</f>
        <v>1.1.2.2</v>
      </c>
      <c r="F1152" s="3" t="str">
        <f>VLOOKUP(Base_Periodo1[[#This Row],[Aux]],Base_Contas_Balanco[#All],2,FALSE)</f>
        <v>Creditos com não Cooperados</v>
      </c>
      <c r="G1152" s="1">
        <v>42881</v>
      </c>
      <c r="I1152" s="225">
        <v>6900</v>
      </c>
      <c r="J1152" s="225">
        <v>0</v>
      </c>
      <c r="K1152" s="225">
        <v>6900</v>
      </c>
      <c r="L11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6900</v>
      </c>
      <c r="M1152" s="225">
        <f>ROUND(IF(AND(Base_Periodo1[[#This Row],[Tipo_Linha]]="-",Base_Periodo1[[#This Row],[TIPOSALDO]]="D"),Base_Periodo1[[#This Row],[SALDO_ATUAL]]*-1,Base_Periodo1[[#This Row],[SALDO_ATUAL]]),4)</f>
        <v>6900</v>
      </c>
      <c r="N1152" t="s">
        <v>116</v>
      </c>
      <c r="O1152" t="s">
        <v>436</v>
      </c>
      <c r="P1152" t="s">
        <v>397</v>
      </c>
      <c r="Q1152">
        <v>7</v>
      </c>
      <c r="R1152" s="225">
        <f>Base_Periodo1[[#This Row],[CREDITOS]]-Base_Periodo1[[#This Row],[DEBITOS]]</f>
        <v>-6900</v>
      </c>
      <c r="S1152" s="3" t="str">
        <f>IF(ISERROR(VLOOKUP(Base_Periodo1[[#This Row],[CONTA]],BaseContasDRE[#All],4,FALSE)),"Fora do DRE",VLOOKUP(Base_Periodo1[[#This Row],[CONTA]],BaseContasDRE[#All],4,FALSE))</f>
        <v>Fora do DRE</v>
      </c>
      <c r="T1152" s="3" t="str">
        <f>IF(ISERROR(VLOOKUP(Base_Periodo1[[#This Row],[CONTA]],BaseContasDRE[#All],5,FALSE)),"Fora do DRE",VLOOKUP(Base_Periodo1[[#This Row],[CONTA]],BaseContasDRE[#All],6,FALSE))</f>
        <v>Fora do DRE</v>
      </c>
      <c r="U1152" s="3" t="str">
        <f>IF(ISERROR(VLOOKUP(Base_Periodo1[[#This Row],[CONTA]],BaseContasDRE[#All],7,FALSE)),"Fora do DRE",VLOOKUP(Base_Periodo1[[#This Row],[CONTA]],BaseContasDRE[#All],7,FALSE))</f>
        <v>Fora do DRE</v>
      </c>
      <c r="V1152" s="3" t="str">
        <f>IF(Base_Periodo1[[#This Row],[Tipo_Linha]]="Fora do DRE","Fora do DRE","( "&amp;Base_Periodo1[[#This Row],[Tipo_Linha]]&amp;" ) "&amp;Base_Periodo1[[#This Row],[Filtro]])</f>
        <v>Fora do DRE</v>
      </c>
      <c r="W1152" s="3" t="str">
        <f>LEFT(Base_Periodo1[[#This Row],[CLASS]],3)</f>
        <v>1.1</v>
      </c>
    </row>
    <row r="1153" spans="1:23" hidden="1">
      <c r="A1153" s="3" t="str">
        <f t="shared" si="17"/>
        <v>Período 1</v>
      </c>
      <c r="B1153">
        <v>39743</v>
      </c>
      <c r="C1153" t="s">
        <v>922</v>
      </c>
      <c r="D1153" t="s">
        <v>6787</v>
      </c>
      <c r="E1153" s="3" t="str">
        <f>IF(LEN(Base_Periodo1[[#This Row],[CLASS]])&gt;=7,LEFT(Base_Periodo1[[#This Row],[CLASS]],7),"")</f>
        <v>1.1.2.2</v>
      </c>
      <c r="F1153" s="3" t="str">
        <f>VLOOKUP(Base_Periodo1[[#This Row],[Aux]],Base_Contas_Balanco[#All],2,FALSE)</f>
        <v>Creditos com não Cooperados</v>
      </c>
      <c r="G1153" s="1">
        <v>42870</v>
      </c>
      <c r="I1153" s="225">
        <v>37240</v>
      </c>
      <c r="J1153" s="225">
        <v>0</v>
      </c>
      <c r="K1153" s="225">
        <v>37240.000000000058</v>
      </c>
      <c r="L11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37240</v>
      </c>
      <c r="M1153" s="225">
        <f>ROUND(IF(AND(Base_Periodo1[[#This Row],[Tipo_Linha]]="-",Base_Periodo1[[#This Row],[TIPOSALDO]]="D"),Base_Periodo1[[#This Row],[SALDO_ATUAL]]*-1,Base_Periodo1[[#This Row],[SALDO_ATUAL]]),4)</f>
        <v>37240</v>
      </c>
      <c r="N1153" t="s">
        <v>116</v>
      </c>
      <c r="O1153" t="s">
        <v>436</v>
      </c>
      <c r="P1153" t="s">
        <v>397</v>
      </c>
      <c r="Q1153">
        <v>7</v>
      </c>
      <c r="R1153" s="225">
        <f>Base_Periodo1[[#This Row],[CREDITOS]]-Base_Periodo1[[#This Row],[DEBITOS]]</f>
        <v>-37240</v>
      </c>
      <c r="S1153" s="3" t="str">
        <f>IF(ISERROR(VLOOKUP(Base_Periodo1[[#This Row],[CONTA]],BaseContasDRE[#All],4,FALSE)),"Fora do DRE",VLOOKUP(Base_Periodo1[[#This Row],[CONTA]],BaseContasDRE[#All],4,FALSE))</f>
        <v>Fora do DRE</v>
      </c>
      <c r="T1153" s="3" t="str">
        <f>IF(ISERROR(VLOOKUP(Base_Periodo1[[#This Row],[CONTA]],BaseContasDRE[#All],5,FALSE)),"Fora do DRE",VLOOKUP(Base_Periodo1[[#This Row],[CONTA]],BaseContasDRE[#All],6,FALSE))</f>
        <v>Fora do DRE</v>
      </c>
      <c r="U1153" s="3" t="str">
        <f>IF(ISERROR(VLOOKUP(Base_Periodo1[[#This Row],[CONTA]],BaseContasDRE[#All],7,FALSE)),"Fora do DRE",VLOOKUP(Base_Periodo1[[#This Row],[CONTA]],BaseContasDRE[#All],7,FALSE))</f>
        <v>Fora do DRE</v>
      </c>
      <c r="V1153" s="3" t="str">
        <f>IF(Base_Periodo1[[#This Row],[Tipo_Linha]]="Fora do DRE","Fora do DRE","( "&amp;Base_Periodo1[[#This Row],[Tipo_Linha]]&amp;" ) "&amp;Base_Periodo1[[#This Row],[Filtro]])</f>
        <v>Fora do DRE</v>
      </c>
      <c r="W1153" s="3" t="str">
        <f>LEFT(Base_Periodo1[[#This Row],[CLASS]],3)</f>
        <v>1.1</v>
      </c>
    </row>
    <row r="1154" spans="1:23" hidden="1">
      <c r="A1154" s="3" t="str">
        <f t="shared" si="17"/>
        <v>Período 1</v>
      </c>
      <c r="B1154">
        <v>18655</v>
      </c>
      <c r="C1154" t="s">
        <v>922</v>
      </c>
      <c r="D1154" t="s">
        <v>5667</v>
      </c>
      <c r="E1154" s="3" t="str">
        <f>IF(LEN(Base_Periodo1[[#This Row],[CLASS]])&gt;=7,LEFT(Base_Periodo1[[#This Row],[CLASS]],7),"")</f>
        <v>1.1.2.2</v>
      </c>
      <c r="F1154" s="3" t="str">
        <f>VLOOKUP(Base_Periodo1[[#This Row],[Aux]],Base_Contas_Balanco[#All],2,FALSE)</f>
        <v>Creditos com não Cooperados</v>
      </c>
      <c r="G1154" s="1">
        <v>42864</v>
      </c>
      <c r="H1154" s="225">
        <v>27720.000000000058</v>
      </c>
      <c r="I1154" s="225">
        <v>0</v>
      </c>
      <c r="J1154" s="225">
        <v>27720</v>
      </c>
      <c r="K1154" s="225">
        <v>5.8207660913467407E-11</v>
      </c>
      <c r="L11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54" s="225">
        <f>ROUND(IF(AND(Base_Periodo1[[#This Row],[Tipo_Linha]]="-",Base_Periodo1[[#This Row],[TIPOSALDO]]="D"),Base_Periodo1[[#This Row],[SALDO_ATUAL]]*-1,Base_Periodo1[[#This Row],[SALDO_ATUAL]]),4)</f>
        <v>0</v>
      </c>
      <c r="N1154" t="s">
        <v>116</v>
      </c>
      <c r="O1154" t="s">
        <v>397</v>
      </c>
      <c r="P1154" t="s">
        <v>436</v>
      </c>
      <c r="Q1154">
        <v>7</v>
      </c>
      <c r="R1154" s="225">
        <f>Base_Periodo1[[#This Row],[CREDITOS]]-Base_Periodo1[[#This Row],[DEBITOS]]</f>
        <v>27720</v>
      </c>
      <c r="S1154" s="3" t="str">
        <f>IF(ISERROR(VLOOKUP(Base_Periodo1[[#This Row],[CONTA]],BaseContasDRE[#All],4,FALSE)),"Fora do DRE",VLOOKUP(Base_Periodo1[[#This Row],[CONTA]],BaseContasDRE[#All],4,FALSE))</f>
        <v>Fora do DRE</v>
      </c>
      <c r="T1154" s="3" t="str">
        <f>IF(ISERROR(VLOOKUP(Base_Periodo1[[#This Row],[CONTA]],BaseContasDRE[#All],5,FALSE)),"Fora do DRE",VLOOKUP(Base_Periodo1[[#This Row],[CONTA]],BaseContasDRE[#All],6,FALSE))</f>
        <v>Fora do DRE</v>
      </c>
      <c r="U1154" s="3" t="str">
        <f>IF(ISERROR(VLOOKUP(Base_Periodo1[[#This Row],[CONTA]],BaseContasDRE[#All],7,FALSE)),"Fora do DRE",VLOOKUP(Base_Periodo1[[#This Row],[CONTA]],BaseContasDRE[#All],7,FALSE))</f>
        <v>Fora do DRE</v>
      </c>
      <c r="V1154" s="3" t="str">
        <f>IF(Base_Periodo1[[#This Row],[Tipo_Linha]]="Fora do DRE","Fora do DRE","( "&amp;Base_Periodo1[[#This Row],[Tipo_Linha]]&amp;" ) "&amp;Base_Periodo1[[#This Row],[Filtro]])</f>
        <v>Fora do DRE</v>
      </c>
      <c r="W1154" s="3" t="str">
        <f>LEFT(Base_Periodo1[[#This Row],[CLASS]],3)</f>
        <v>1.1</v>
      </c>
    </row>
    <row r="1155" spans="1:23" hidden="1">
      <c r="A1155" s="3" t="str">
        <f t="shared" si="17"/>
        <v>Período 1</v>
      </c>
      <c r="B1155">
        <v>57376</v>
      </c>
      <c r="C1155" t="s">
        <v>922</v>
      </c>
      <c r="D1155" t="s">
        <v>6203</v>
      </c>
      <c r="E1155" s="3" t="str">
        <f>IF(LEN(Base_Periodo1[[#This Row],[CLASS]])&gt;=7,LEFT(Base_Periodo1[[#This Row],[CLASS]],7),"")</f>
        <v>1.1.2.2</v>
      </c>
      <c r="F1155" s="3" t="str">
        <f>VLOOKUP(Base_Periodo1[[#This Row],[Aux]],Base_Contas_Balanco[#All],2,FALSE)</f>
        <v>Creditos com não Cooperados</v>
      </c>
      <c r="G1155" s="1">
        <v>42830</v>
      </c>
      <c r="H1155" s="225">
        <v>15240</v>
      </c>
      <c r="I1155" s="225">
        <v>0</v>
      </c>
      <c r="J1155" s="225">
        <v>0</v>
      </c>
      <c r="K1155" s="225">
        <v>15240</v>
      </c>
      <c r="L11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15240</v>
      </c>
      <c r="M1155" s="225">
        <f>ROUND(IF(AND(Base_Periodo1[[#This Row],[Tipo_Linha]]="-",Base_Periodo1[[#This Row],[TIPOSALDO]]="D"),Base_Periodo1[[#This Row],[SALDO_ATUAL]]*-1,Base_Periodo1[[#This Row],[SALDO_ATUAL]]),4)</f>
        <v>15240</v>
      </c>
      <c r="N1155" t="s">
        <v>116</v>
      </c>
      <c r="O1155" t="s">
        <v>397</v>
      </c>
      <c r="P1155" t="s">
        <v>397</v>
      </c>
      <c r="Q1155">
        <v>7</v>
      </c>
      <c r="R1155" s="225">
        <f>Base_Periodo1[[#This Row],[CREDITOS]]-Base_Periodo1[[#This Row],[DEBITOS]]</f>
        <v>0</v>
      </c>
      <c r="S1155" s="3" t="str">
        <f>IF(ISERROR(VLOOKUP(Base_Periodo1[[#This Row],[CONTA]],BaseContasDRE[#All],4,FALSE)),"Fora do DRE",VLOOKUP(Base_Periodo1[[#This Row],[CONTA]],BaseContasDRE[#All],4,FALSE))</f>
        <v>Fora do DRE</v>
      </c>
      <c r="T1155" s="3" t="str">
        <f>IF(ISERROR(VLOOKUP(Base_Periodo1[[#This Row],[CONTA]],BaseContasDRE[#All],5,FALSE)),"Fora do DRE",VLOOKUP(Base_Periodo1[[#This Row],[CONTA]],BaseContasDRE[#All],6,FALSE))</f>
        <v>Fora do DRE</v>
      </c>
      <c r="U1155" s="3" t="str">
        <f>IF(ISERROR(VLOOKUP(Base_Periodo1[[#This Row],[CONTA]],BaseContasDRE[#All],7,FALSE)),"Fora do DRE",VLOOKUP(Base_Periodo1[[#This Row],[CONTA]],BaseContasDRE[#All],7,FALSE))</f>
        <v>Fora do DRE</v>
      </c>
      <c r="V1155" s="3" t="str">
        <f>IF(Base_Periodo1[[#This Row],[Tipo_Linha]]="Fora do DRE","Fora do DRE","( "&amp;Base_Periodo1[[#This Row],[Tipo_Linha]]&amp;" ) "&amp;Base_Periodo1[[#This Row],[Filtro]])</f>
        <v>Fora do DRE</v>
      </c>
      <c r="W1155" s="3" t="str">
        <f>LEFT(Base_Periodo1[[#This Row],[CLASS]],3)</f>
        <v>1.1</v>
      </c>
    </row>
    <row r="1156" spans="1:23" hidden="1">
      <c r="A1156" s="3" t="str">
        <f t="shared" si="17"/>
        <v>Período 1</v>
      </c>
      <c r="B1156">
        <v>5160</v>
      </c>
      <c r="C1156" t="s">
        <v>922</v>
      </c>
      <c r="D1156" t="s">
        <v>4345</v>
      </c>
      <c r="E1156" s="3" t="str">
        <f>IF(LEN(Base_Periodo1[[#This Row],[CLASS]])&gt;=7,LEFT(Base_Periodo1[[#This Row],[CLASS]],7),"")</f>
        <v>1.1.2.2</v>
      </c>
      <c r="F1156" s="3" t="str">
        <f>VLOOKUP(Base_Periodo1[[#This Row],[Aux]],Base_Contas_Balanco[#All],2,FALSE)</f>
        <v>Creditos com não Cooperados</v>
      </c>
      <c r="G1156" s="1">
        <v>42885</v>
      </c>
      <c r="H1156" s="225">
        <v>36966</v>
      </c>
      <c r="I1156" s="225">
        <v>157939.08000000002</v>
      </c>
      <c r="J1156" s="225">
        <v>105964.08</v>
      </c>
      <c r="K1156" s="225">
        <v>88941.000000000015</v>
      </c>
      <c r="L11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88941</v>
      </c>
      <c r="M1156" s="225">
        <f>ROUND(IF(AND(Base_Periodo1[[#This Row],[Tipo_Linha]]="-",Base_Periodo1[[#This Row],[TIPOSALDO]]="D"),Base_Periodo1[[#This Row],[SALDO_ATUAL]]*-1,Base_Periodo1[[#This Row],[SALDO_ATUAL]]),4)</f>
        <v>88941</v>
      </c>
      <c r="N1156" t="s">
        <v>116</v>
      </c>
      <c r="O1156" t="s">
        <v>397</v>
      </c>
      <c r="P1156" t="s">
        <v>397</v>
      </c>
      <c r="Q1156">
        <v>7</v>
      </c>
      <c r="R1156" s="225">
        <f>Base_Periodo1[[#This Row],[CREDITOS]]-Base_Periodo1[[#This Row],[DEBITOS]]</f>
        <v>-51975.000000000015</v>
      </c>
      <c r="S1156" s="3" t="str">
        <f>IF(ISERROR(VLOOKUP(Base_Periodo1[[#This Row],[CONTA]],BaseContasDRE[#All],4,FALSE)),"Fora do DRE",VLOOKUP(Base_Periodo1[[#This Row],[CONTA]],BaseContasDRE[#All],4,FALSE))</f>
        <v>Fora do DRE</v>
      </c>
      <c r="T1156" s="3" t="str">
        <f>IF(ISERROR(VLOOKUP(Base_Periodo1[[#This Row],[CONTA]],BaseContasDRE[#All],5,FALSE)),"Fora do DRE",VLOOKUP(Base_Periodo1[[#This Row],[CONTA]],BaseContasDRE[#All],6,FALSE))</f>
        <v>Fora do DRE</v>
      </c>
      <c r="U1156" s="3" t="str">
        <f>IF(ISERROR(VLOOKUP(Base_Periodo1[[#This Row],[CONTA]],BaseContasDRE[#All],7,FALSE)),"Fora do DRE",VLOOKUP(Base_Periodo1[[#This Row],[CONTA]],BaseContasDRE[#All],7,FALSE))</f>
        <v>Fora do DRE</v>
      </c>
      <c r="V1156" s="3" t="str">
        <f>IF(Base_Periodo1[[#This Row],[Tipo_Linha]]="Fora do DRE","Fora do DRE","( "&amp;Base_Periodo1[[#This Row],[Tipo_Linha]]&amp;" ) "&amp;Base_Periodo1[[#This Row],[Filtro]])</f>
        <v>Fora do DRE</v>
      </c>
      <c r="W1156" s="3" t="str">
        <f>LEFT(Base_Periodo1[[#This Row],[CLASS]],3)</f>
        <v>1.1</v>
      </c>
    </row>
    <row r="1157" spans="1:23" hidden="1">
      <c r="A1157" s="3" t="str">
        <f t="shared" si="17"/>
        <v>Período 1</v>
      </c>
      <c r="B1157">
        <v>48520</v>
      </c>
      <c r="C1157" t="s">
        <v>922</v>
      </c>
      <c r="D1157" t="s">
        <v>5882</v>
      </c>
      <c r="E1157" s="3" t="str">
        <f>IF(LEN(Base_Periodo1[[#This Row],[CLASS]])&gt;=7,LEFT(Base_Periodo1[[#This Row],[CLASS]],7),"")</f>
        <v>1.1.2.2</v>
      </c>
      <c r="F1157" s="3" t="str">
        <f>VLOOKUP(Base_Periodo1[[#This Row],[Aux]],Base_Contas_Balanco[#All],2,FALSE)</f>
        <v>Creditos com não Cooperados</v>
      </c>
      <c r="G1157" s="1">
        <v>42860</v>
      </c>
      <c r="H1157" s="225">
        <v>124876.8000000001</v>
      </c>
      <c r="I1157" s="225">
        <v>25834.400000000001</v>
      </c>
      <c r="J1157" s="225">
        <v>0</v>
      </c>
      <c r="K1157" s="225">
        <v>150711.2000000001</v>
      </c>
      <c r="L11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150711.20000000001</v>
      </c>
      <c r="M1157" s="225">
        <f>ROUND(IF(AND(Base_Periodo1[[#This Row],[Tipo_Linha]]="-",Base_Periodo1[[#This Row],[TIPOSALDO]]="D"),Base_Periodo1[[#This Row],[SALDO_ATUAL]]*-1,Base_Periodo1[[#This Row],[SALDO_ATUAL]]),4)</f>
        <v>150711.20000000001</v>
      </c>
      <c r="N1157" t="s">
        <v>116</v>
      </c>
      <c r="O1157" t="s">
        <v>397</v>
      </c>
      <c r="P1157" t="s">
        <v>397</v>
      </c>
      <c r="Q1157">
        <v>7</v>
      </c>
      <c r="R1157" s="225">
        <f>Base_Periodo1[[#This Row],[CREDITOS]]-Base_Periodo1[[#This Row],[DEBITOS]]</f>
        <v>-25834.400000000001</v>
      </c>
      <c r="S1157" s="3" t="str">
        <f>IF(ISERROR(VLOOKUP(Base_Periodo1[[#This Row],[CONTA]],BaseContasDRE[#All],4,FALSE)),"Fora do DRE",VLOOKUP(Base_Periodo1[[#This Row],[CONTA]],BaseContasDRE[#All],4,FALSE))</f>
        <v>Fora do DRE</v>
      </c>
      <c r="T1157" s="3" t="str">
        <f>IF(ISERROR(VLOOKUP(Base_Periodo1[[#This Row],[CONTA]],BaseContasDRE[#All],5,FALSE)),"Fora do DRE",VLOOKUP(Base_Periodo1[[#This Row],[CONTA]],BaseContasDRE[#All],6,FALSE))</f>
        <v>Fora do DRE</v>
      </c>
      <c r="U1157" s="3" t="str">
        <f>IF(ISERROR(VLOOKUP(Base_Periodo1[[#This Row],[CONTA]],BaseContasDRE[#All],7,FALSE)),"Fora do DRE",VLOOKUP(Base_Periodo1[[#This Row],[CONTA]],BaseContasDRE[#All],7,FALSE))</f>
        <v>Fora do DRE</v>
      </c>
      <c r="V1157" s="3" t="str">
        <f>IF(Base_Periodo1[[#This Row],[Tipo_Linha]]="Fora do DRE","Fora do DRE","( "&amp;Base_Periodo1[[#This Row],[Tipo_Linha]]&amp;" ) "&amp;Base_Periodo1[[#This Row],[Filtro]])</f>
        <v>Fora do DRE</v>
      </c>
      <c r="W1157" s="3" t="str">
        <f>LEFT(Base_Periodo1[[#This Row],[CLASS]],3)</f>
        <v>1.1</v>
      </c>
    </row>
    <row r="1158" spans="1:23" hidden="1">
      <c r="A1158" s="3" t="str">
        <f t="shared" ref="A1158:A1221" si="18">"Período 1"</f>
        <v>Período 1</v>
      </c>
      <c r="B1158">
        <v>26911</v>
      </c>
      <c r="C1158" t="s">
        <v>922</v>
      </c>
      <c r="D1158" t="s">
        <v>5607</v>
      </c>
      <c r="E1158" s="3" t="str">
        <f>IF(LEN(Base_Periodo1[[#This Row],[CLASS]])&gt;=7,LEFT(Base_Periodo1[[#This Row],[CLASS]],7),"")</f>
        <v>1.1.2.2</v>
      </c>
      <c r="F1158" s="3" t="str">
        <f>VLOOKUP(Base_Periodo1[[#This Row],[Aux]],Base_Contas_Balanco[#All],2,FALSE)</f>
        <v>Creditos com não Cooperados</v>
      </c>
      <c r="G1158" s="1">
        <v>42885</v>
      </c>
      <c r="H1158" s="225">
        <v>24264.3</v>
      </c>
      <c r="I1158" s="225">
        <v>0</v>
      </c>
      <c r="J1158" s="225">
        <v>24264.3</v>
      </c>
      <c r="K1158" s="225">
        <v>0</v>
      </c>
      <c r="L11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58" s="225">
        <f>ROUND(IF(AND(Base_Periodo1[[#This Row],[Tipo_Linha]]="-",Base_Periodo1[[#This Row],[TIPOSALDO]]="D"),Base_Periodo1[[#This Row],[SALDO_ATUAL]]*-1,Base_Periodo1[[#This Row],[SALDO_ATUAL]]),4)</f>
        <v>0</v>
      </c>
      <c r="N1158" t="s">
        <v>116</v>
      </c>
      <c r="O1158" t="s">
        <v>397</v>
      </c>
      <c r="P1158" t="s">
        <v>436</v>
      </c>
      <c r="Q1158">
        <v>7</v>
      </c>
      <c r="R1158" s="225">
        <f>Base_Periodo1[[#This Row],[CREDITOS]]-Base_Periodo1[[#This Row],[DEBITOS]]</f>
        <v>24264.3</v>
      </c>
      <c r="S1158" s="3" t="str">
        <f>IF(ISERROR(VLOOKUP(Base_Periodo1[[#This Row],[CONTA]],BaseContasDRE[#All],4,FALSE)),"Fora do DRE",VLOOKUP(Base_Periodo1[[#This Row],[CONTA]],BaseContasDRE[#All],4,FALSE))</f>
        <v>Fora do DRE</v>
      </c>
      <c r="T1158" s="3" t="str">
        <f>IF(ISERROR(VLOOKUP(Base_Periodo1[[#This Row],[CONTA]],BaseContasDRE[#All],5,FALSE)),"Fora do DRE",VLOOKUP(Base_Periodo1[[#This Row],[CONTA]],BaseContasDRE[#All],6,FALSE))</f>
        <v>Fora do DRE</v>
      </c>
      <c r="U1158" s="3" t="str">
        <f>IF(ISERROR(VLOOKUP(Base_Periodo1[[#This Row],[CONTA]],BaseContasDRE[#All],7,FALSE)),"Fora do DRE",VLOOKUP(Base_Periodo1[[#This Row],[CONTA]],BaseContasDRE[#All],7,FALSE))</f>
        <v>Fora do DRE</v>
      </c>
      <c r="V1158" s="3" t="str">
        <f>IF(Base_Periodo1[[#This Row],[Tipo_Linha]]="Fora do DRE","Fora do DRE","( "&amp;Base_Periodo1[[#This Row],[Tipo_Linha]]&amp;" ) "&amp;Base_Periodo1[[#This Row],[Filtro]])</f>
        <v>Fora do DRE</v>
      </c>
      <c r="W1158" s="3" t="str">
        <f>LEFT(Base_Periodo1[[#This Row],[CLASS]],3)</f>
        <v>1.1</v>
      </c>
    </row>
    <row r="1159" spans="1:23" hidden="1">
      <c r="A1159" s="3" t="str">
        <f t="shared" si="18"/>
        <v>Período 1</v>
      </c>
      <c r="B1159">
        <v>18997</v>
      </c>
      <c r="C1159" t="s">
        <v>922</v>
      </c>
      <c r="D1159" t="s">
        <v>5668</v>
      </c>
      <c r="E1159" s="3" t="str">
        <f>IF(LEN(Base_Periodo1[[#This Row],[CLASS]])&gt;=7,LEFT(Base_Periodo1[[#This Row],[CLASS]],7),"")</f>
        <v>1.1.2.2</v>
      </c>
      <c r="F1159" s="3" t="str">
        <f>VLOOKUP(Base_Periodo1[[#This Row],[Aux]],Base_Contas_Balanco[#All],2,FALSE)</f>
        <v>Creditos com não Cooperados</v>
      </c>
      <c r="G1159" s="1">
        <v>42845</v>
      </c>
      <c r="H1159" s="225">
        <v>214.00000000000728</v>
      </c>
      <c r="I1159" s="225">
        <v>0</v>
      </c>
      <c r="J1159" s="225">
        <v>0</v>
      </c>
      <c r="K1159" s="225">
        <v>214.00000000000728</v>
      </c>
      <c r="L11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214</v>
      </c>
      <c r="M1159" s="225">
        <f>ROUND(IF(AND(Base_Periodo1[[#This Row],[Tipo_Linha]]="-",Base_Periodo1[[#This Row],[TIPOSALDO]]="D"),Base_Periodo1[[#This Row],[SALDO_ATUAL]]*-1,Base_Periodo1[[#This Row],[SALDO_ATUAL]]),4)</f>
        <v>214</v>
      </c>
      <c r="N1159" t="s">
        <v>116</v>
      </c>
      <c r="O1159" t="s">
        <v>397</v>
      </c>
      <c r="P1159" t="s">
        <v>397</v>
      </c>
      <c r="Q1159">
        <v>7</v>
      </c>
      <c r="R1159" s="225">
        <f>Base_Periodo1[[#This Row],[CREDITOS]]-Base_Periodo1[[#This Row],[DEBITOS]]</f>
        <v>0</v>
      </c>
      <c r="S1159" s="3" t="str">
        <f>IF(ISERROR(VLOOKUP(Base_Periodo1[[#This Row],[CONTA]],BaseContasDRE[#All],4,FALSE)),"Fora do DRE",VLOOKUP(Base_Periodo1[[#This Row],[CONTA]],BaseContasDRE[#All],4,FALSE))</f>
        <v>Fora do DRE</v>
      </c>
      <c r="T1159" s="3" t="str">
        <f>IF(ISERROR(VLOOKUP(Base_Periodo1[[#This Row],[CONTA]],BaseContasDRE[#All],5,FALSE)),"Fora do DRE",VLOOKUP(Base_Periodo1[[#This Row],[CONTA]],BaseContasDRE[#All],6,FALSE))</f>
        <v>Fora do DRE</v>
      </c>
      <c r="U1159" s="3" t="str">
        <f>IF(ISERROR(VLOOKUP(Base_Periodo1[[#This Row],[CONTA]],BaseContasDRE[#All],7,FALSE)),"Fora do DRE",VLOOKUP(Base_Periodo1[[#This Row],[CONTA]],BaseContasDRE[#All],7,FALSE))</f>
        <v>Fora do DRE</v>
      </c>
      <c r="V1159" s="3" t="str">
        <f>IF(Base_Periodo1[[#This Row],[Tipo_Linha]]="Fora do DRE","Fora do DRE","( "&amp;Base_Periodo1[[#This Row],[Tipo_Linha]]&amp;" ) "&amp;Base_Periodo1[[#This Row],[Filtro]])</f>
        <v>Fora do DRE</v>
      </c>
      <c r="W1159" s="3" t="str">
        <f>LEFT(Base_Periodo1[[#This Row],[CLASS]],3)</f>
        <v>1.1</v>
      </c>
    </row>
    <row r="1160" spans="1:23" hidden="1">
      <c r="A1160" s="3" t="str">
        <f t="shared" si="18"/>
        <v>Período 1</v>
      </c>
      <c r="B1160">
        <v>32381</v>
      </c>
      <c r="C1160" t="s">
        <v>922</v>
      </c>
      <c r="D1160" t="s">
        <v>4196</v>
      </c>
      <c r="E1160" s="3" t="str">
        <f>IF(LEN(Base_Periodo1[[#This Row],[CLASS]])&gt;=7,LEFT(Base_Periodo1[[#This Row],[CLASS]],7),"")</f>
        <v>1.1.2.2</v>
      </c>
      <c r="F1160" s="3" t="str">
        <f>VLOOKUP(Base_Periodo1[[#This Row],[Aux]],Base_Contas_Balanco[#All],2,FALSE)</f>
        <v>Creditos com não Cooperados</v>
      </c>
      <c r="G1160" s="1">
        <v>41978</v>
      </c>
      <c r="H1160" s="225">
        <v>65780</v>
      </c>
      <c r="I1160" s="225">
        <v>0</v>
      </c>
      <c r="J1160" s="225">
        <v>0</v>
      </c>
      <c r="K1160" s="225">
        <v>65780</v>
      </c>
      <c r="L11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65780</v>
      </c>
      <c r="M1160" s="225">
        <f>ROUND(IF(AND(Base_Periodo1[[#This Row],[Tipo_Linha]]="-",Base_Periodo1[[#This Row],[TIPOSALDO]]="D"),Base_Periodo1[[#This Row],[SALDO_ATUAL]]*-1,Base_Periodo1[[#This Row],[SALDO_ATUAL]]),4)</f>
        <v>65780</v>
      </c>
      <c r="N1160" t="s">
        <v>116</v>
      </c>
      <c r="O1160" t="s">
        <v>397</v>
      </c>
      <c r="P1160" t="s">
        <v>397</v>
      </c>
      <c r="Q1160">
        <v>7</v>
      </c>
      <c r="R1160" s="225">
        <f>Base_Periodo1[[#This Row],[CREDITOS]]-Base_Periodo1[[#This Row],[DEBITOS]]</f>
        <v>0</v>
      </c>
      <c r="S1160" s="3" t="str">
        <f>IF(ISERROR(VLOOKUP(Base_Periodo1[[#This Row],[CONTA]],BaseContasDRE[#All],4,FALSE)),"Fora do DRE",VLOOKUP(Base_Periodo1[[#This Row],[CONTA]],BaseContasDRE[#All],4,FALSE))</f>
        <v>Fora do DRE</v>
      </c>
      <c r="T1160" s="3" t="str">
        <f>IF(ISERROR(VLOOKUP(Base_Periodo1[[#This Row],[CONTA]],BaseContasDRE[#All],5,FALSE)),"Fora do DRE",VLOOKUP(Base_Periodo1[[#This Row],[CONTA]],BaseContasDRE[#All],6,FALSE))</f>
        <v>Fora do DRE</v>
      </c>
      <c r="U1160" s="3" t="str">
        <f>IF(ISERROR(VLOOKUP(Base_Periodo1[[#This Row],[CONTA]],BaseContasDRE[#All],7,FALSE)),"Fora do DRE",VLOOKUP(Base_Periodo1[[#This Row],[CONTA]],BaseContasDRE[#All],7,FALSE))</f>
        <v>Fora do DRE</v>
      </c>
      <c r="V1160" s="3" t="str">
        <f>IF(Base_Periodo1[[#This Row],[Tipo_Linha]]="Fora do DRE","Fora do DRE","( "&amp;Base_Periodo1[[#This Row],[Tipo_Linha]]&amp;" ) "&amp;Base_Periodo1[[#This Row],[Filtro]])</f>
        <v>Fora do DRE</v>
      </c>
      <c r="W1160" s="3" t="str">
        <f>LEFT(Base_Periodo1[[#This Row],[CLASS]],3)</f>
        <v>1.1</v>
      </c>
    </row>
    <row r="1161" spans="1:23" hidden="1">
      <c r="A1161" s="3" t="str">
        <f t="shared" si="18"/>
        <v>Período 1</v>
      </c>
      <c r="B1161">
        <v>59072</v>
      </c>
      <c r="C1161" t="s">
        <v>922</v>
      </c>
      <c r="D1161" t="s">
        <v>6788</v>
      </c>
      <c r="E1161" s="3" t="str">
        <f>IF(LEN(Base_Periodo1[[#This Row],[CLASS]])&gt;=7,LEFT(Base_Periodo1[[#This Row],[CLASS]],7),"")</f>
        <v>1.1.2.2</v>
      </c>
      <c r="F1161" s="3" t="str">
        <f>VLOOKUP(Base_Periodo1[[#This Row],[Aux]],Base_Contas_Balanco[#All],2,FALSE)</f>
        <v>Creditos com não Cooperados</v>
      </c>
      <c r="G1161" s="1">
        <v>42879</v>
      </c>
      <c r="I1161" s="225">
        <v>176400</v>
      </c>
      <c r="J1161" s="225">
        <v>176400</v>
      </c>
      <c r="K1161" s="225">
        <v>0</v>
      </c>
      <c r="L11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61" s="225">
        <f>ROUND(IF(AND(Base_Periodo1[[#This Row],[Tipo_Linha]]="-",Base_Periodo1[[#This Row],[TIPOSALDO]]="D"),Base_Periodo1[[#This Row],[SALDO_ATUAL]]*-1,Base_Periodo1[[#This Row],[SALDO_ATUAL]]),4)</f>
        <v>0</v>
      </c>
      <c r="N1161" t="s">
        <v>116</v>
      </c>
      <c r="O1161" t="s">
        <v>436</v>
      </c>
      <c r="P1161" t="s">
        <v>436</v>
      </c>
      <c r="Q1161">
        <v>7</v>
      </c>
      <c r="R1161" s="225">
        <f>Base_Periodo1[[#This Row],[CREDITOS]]-Base_Periodo1[[#This Row],[DEBITOS]]</f>
        <v>0</v>
      </c>
      <c r="S1161" s="3" t="str">
        <f>IF(ISERROR(VLOOKUP(Base_Periodo1[[#This Row],[CONTA]],BaseContasDRE[#All],4,FALSE)),"Fora do DRE",VLOOKUP(Base_Periodo1[[#This Row],[CONTA]],BaseContasDRE[#All],4,FALSE))</f>
        <v>Fora do DRE</v>
      </c>
      <c r="T1161" s="3" t="str">
        <f>IF(ISERROR(VLOOKUP(Base_Periodo1[[#This Row],[CONTA]],BaseContasDRE[#All],5,FALSE)),"Fora do DRE",VLOOKUP(Base_Periodo1[[#This Row],[CONTA]],BaseContasDRE[#All],6,FALSE))</f>
        <v>Fora do DRE</v>
      </c>
      <c r="U1161" s="3" t="str">
        <f>IF(ISERROR(VLOOKUP(Base_Periodo1[[#This Row],[CONTA]],BaseContasDRE[#All],7,FALSE)),"Fora do DRE",VLOOKUP(Base_Periodo1[[#This Row],[CONTA]],BaseContasDRE[#All],7,FALSE))</f>
        <v>Fora do DRE</v>
      </c>
      <c r="V1161" s="3" t="str">
        <f>IF(Base_Periodo1[[#This Row],[Tipo_Linha]]="Fora do DRE","Fora do DRE","( "&amp;Base_Periodo1[[#This Row],[Tipo_Linha]]&amp;" ) "&amp;Base_Periodo1[[#This Row],[Filtro]])</f>
        <v>Fora do DRE</v>
      </c>
      <c r="W1161" s="3" t="str">
        <f>LEFT(Base_Periodo1[[#This Row],[CLASS]],3)</f>
        <v>1.1</v>
      </c>
    </row>
    <row r="1162" spans="1:23" hidden="1">
      <c r="A1162" s="3" t="str">
        <f t="shared" si="18"/>
        <v>Período 1</v>
      </c>
      <c r="B1162">
        <v>8698</v>
      </c>
      <c r="C1162" t="s">
        <v>922</v>
      </c>
      <c r="D1162" t="s">
        <v>4727</v>
      </c>
      <c r="E1162" s="3" t="str">
        <f>IF(LEN(Base_Periodo1[[#This Row],[CLASS]])&gt;=7,LEFT(Base_Periodo1[[#This Row],[CLASS]],7),"")</f>
        <v>1.1.2.2</v>
      </c>
      <c r="F1162" s="3" t="str">
        <f>VLOOKUP(Base_Periodo1[[#This Row],[Aux]],Base_Contas_Balanco[#All],2,FALSE)</f>
        <v>Creditos com não Cooperados</v>
      </c>
      <c r="G1162" s="1">
        <v>42490</v>
      </c>
      <c r="H1162" s="225">
        <v>419999.99999999953</v>
      </c>
      <c r="I1162" s="225">
        <v>0</v>
      </c>
      <c r="J1162" s="225">
        <v>0</v>
      </c>
      <c r="K1162" s="225">
        <v>419999.99999999953</v>
      </c>
      <c r="L11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420000</v>
      </c>
      <c r="M1162" s="225">
        <f>ROUND(IF(AND(Base_Periodo1[[#This Row],[Tipo_Linha]]="-",Base_Periodo1[[#This Row],[TIPOSALDO]]="D"),Base_Periodo1[[#This Row],[SALDO_ATUAL]]*-1,Base_Periodo1[[#This Row],[SALDO_ATUAL]]),4)</f>
        <v>420000</v>
      </c>
      <c r="N1162" t="s">
        <v>116</v>
      </c>
      <c r="O1162" t="s">
        <v>397</v>
      </c>
      <c r="P1162" t="s">
        <v>397</v>
      </c>
      <c r="Q1162">
        <v>7</v>
      </c>
      <c r="R1162" s="225">
        <f>Base_Periodo1[[#This Row],[CREDITOS]]-Base_Periodo1[[#This Row],[DEBITOS]]</f>
        <v>0</v>
      </c>
      <c r="S1162" s="3" t="str">
        <f>IF(ISERROR(VLOOKUP(Base_Periodo1[[#This Row],[CONTA]],BaseContasDRE[#All],4,FALSE)),"Fora do DRE",VLOOKUP(Base_Periodo1[[#This Row],[CONTA]],BaseContasDRE[#All],4,FALSE))</f>
        <v>Fora do DRE</v>
      </c>
      <c r="T1162" s="3" t="str">
        <f>IF(ISERROR(VLOOKUP(Base_Periodo1[[#This Row],[CONTA]],BaseContasDRE[#All],5,FALSE)),"Fora do DRE",VLOOKUP(Base_Periodo1[[#This Row],[CONTA]],BaseContasDRE[#All],6,FALSE))</f>
        <v>Fora do DRE</v>
      </c>
      <c r="U1162" s="3" t="str">
        <f>IF(ISERROR(VLOOKUP(Base_Periodo1[[#This Row],[CONTA]],BaseContasDRE[#All],7,FALSE)),"Fora do DRE",VLOOKUP(Base_Periodo1[[#This Row],[CONTA]],BaseContasDRE[#All],7,FALSE))</f>
        <v>Fora do DRE</v>
      </c>
      <c r="V1162" s="3" t="str">
        <f>IF(Base_Periodo1[[#This Row],[Tipo_Linha]]="Fora do DRE","Fora do DRE","( "&amp;Base_Periodo1[[#This Row],[Tipo_Linha]]&amp;" ) "&amp;Base_Periodo1[[#This Row],[Filtro]])</f>
        <v>Fora do DRE</v>
      </c>
      <c r="W1162" s="3" t="str">
        <f>LEFT(Base_Periodo1[[#This Row],[CLASS]],3)</f>
        <v>1.1</v>
      </c>
    </row>
    <row r="1163" spans="1:23" hidden="1">
      <c r="A1163" s="3" t="str">
        <f t="shared" si="18"/>
        <v>Período 1</v>
      </c>
      <c r="B1163">
        <v>36780</v>
      </c>
      <c r="C1163" t="s">
        <v>922</v>
      </c>
      <c r="D1163" t="s">
        <v>5669</v>
      </c>
      <c r="E1163" s="3" t="str">
        <f>IF(LEN(Base_Periodo1[[#This Row],[CLASS]])&gt;=7,LEFT(Base_Periodo1[[#This Row],[CLASS]],7),"")</f>
        <v>1.1.2.2</v>
      </c>
      <c r="F1163" s="3" t="str">
        <f>VLOOKUP(Base_Periodo1[[#This Row],[Aux]],Base_Contas_Balanco[#All],2,FALSE)</f>
        <v>Creditos com não Cooperados</v>
      </c>
      <c r="G1163" s="1">
        <v>42886</v>
      </c>
      <c r="H1163" s="225">
        <v>10536.390000000001</v>
      </c>
      <c r="I1163" s="225">
        <v>2778.65</v>
      </c>
      <c r="J1163" s="225">
        <v>5512.22</v>
      </c>
      <c r="K1163" s="225">
        <v>7802.8200000000006</v>
      </c>
      <c r="L11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7802.82</v>
      </c>
      <c r="M1163" s="225">
        <f>ROUND(IF(AND(Base_Periodo1[[#This Row],[Tipo_Linha]]="-",Base_Periodo1[[#This Row],[TIPOSALDO]]="D"),Base_Periodo1[[#This Row],[SALDO_ATUAL]]*-1,Base_Periodo1[[#This Row],[SALDO_ATUAL]]),4)</f>
        <v>7802.82</v>
      </c>
      <c r="N1163" t="s">
        <v>116</v>
      </c>
      <c r="O1163" t="s">
        <v>397</v>
      </c>
      <c r="P1163" t="s">
        <v>397</v>
      </c>
      <c r="Q1163">
        <v>7</v>
      </c>
      <c r="R1163" s="225">
        <f>Base_Periodo1[[#This Row],[CREDITOS]]-Base_Periodo1[[#This Row],[DEBITOS]]</f>
        <v>2733.57</v>
      </c>
      <c r="S1163" s="3" t="str">
        <f>IF(ISERROR(VLOOKUP(Base_Periodo1[[#This Row],[CONTA]],BaseContasDRE[#All],4,FALSE)),"Fora do DRE",VLOOKUP(Base_Periodo1[[#This Row],[CONTA]],BaseContasDRE[#All],4,FALSE))</f>
        <v>Fora do DRE</v>
      </c>
      <c r="T1163" s="3" t="str">
        <f>IF(ISERROR(VLOOKUP(Base_Periodo1[[#This Row],[CONTA]],BaseContasDRE[#All],5,FALSE)),"Fora do DRE",VLOOKUP(Base_Periodo1[[#This Row],[CONTA]],BaseContasDRE[#All],6,FALSE))</f>
        <v>Fora do DRE</v>
      </c>
      <c r="U1163" s="3" t="str">
        <f>IF(ISERROR(VLOOKUP(Base_Periodo1[[#This Row],[CONTA]],BaseContasDRE[#All],7,FALSE)),"Fora do DRE",VLOOKUP(Base_Periodo1[[#This Row],[CONTA]],BaseContasDRE[#All],7,FALSE))</f>
        <v>Fora do DRE</v>
      </c>
      <c r="V1163" s="3" t="str">
        <f>IF(Base_Periodo1[[#This Row],[Tipo_Linha]]="Fora do DRE","Fora do DRE","( "&amp;Base_Periodo1[[#This Row],[Tipo_Linha]]&amp;" ) "&amp;Base_Periodo1[[#This Row],[Filtro]])</f>
        <v>Fora do DRE</v>
      </c>
      <c r="W1163" s="3" t="str">
        <f>LEFT(Base_Periodo1[[#This Row],[CLASS]],3)</f>
        <v>1.1</v>
      </c>
    </row>
    <row r="1164" spans="1:23" hidden="1">
      <c r="A1164" s="3" t="str">
        <f t="shared" si="18"/>
        <v>Período 1</v>
      </c>
      <c r="B1164">
        <v>48869</v>
      </c>
      <c r="C1164" t="s">
        <v>922</v>
      </c>
      <c r="D1164" t="s">
        <v>5193</v>
      </c>
      <c r="E1164" s="3" t="str">
        <f>IF(LEN(Base_Periodo1[[#This Row],[CLASS]])&gt;=7,LEFT(Base_Periodo1[[#This Row],[CLASS]],7),"")</f>
        <v>1.1.2.2</v>
      </c>
      <c r="F1164" s="3" t="str">
        <f>VLOOKUP(Base_Periodo1[[#This Row],[Aux]],Base_Contas_Balanco[#All],2,FALSE)</f>
        <v>Creditos com não Cooperados</v>
      </c>
      <c r="G1164" s="1">
        <v>42850</v>
      </c>
      <c r="H1164" s="225">
        <v>380.00000000000364</v>
      </c>
      <c r="I1164" s="225">
        <v>0</v>
      </c>
      <c r="J1164" s="225">
        <v>0</v>
      </c>
      <c r="K1164" s="225">
        <v>380.00000000000364</v>
      </c>
      <c r="L11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-380</v>
      </c>
      <c r="M1164" s="225">
        <f>ROUND(IF(AND(Base_Periodo1[[#This Row],[Tipo_Linha]]="-",Base_Periodo1[[#This Row],[TIPOSALDO]]="D"),Base_Periodo1[[#This Row],[SALDO_ATUAL]]*-1,Base_Periodo1[[#This Row],[SALDO_ATUAL]]),4)</f>
        <v>380</v>
      </c>
      <c r="N1164" t="s">
        <v>116</v>
      </c>
      <c r="O1164" t="s">
        <v>459</v>
      </c>
      <c r="P1164" t="s">
        <v>459</v>
      </c>
      <c r="Q1164">
        <v>7</v>
      </c>
      <c r="R1164" s="225">
        <f>Base_Periodo1[[#This Row],[CREDITOS]]-Base_Periodo1[[#This Row],[DEBITOS]]</f>
        <v>0</v>
      </c>
      <c r="S1164" s="3" t="str">
        <f>IF(ISERROR(VLOOKUP(Base_Periodo1[[#This Row],[CONTA]],BaseContasDRE[#All],4,FALSE)),"Fora do DRE",VLOOKUP(Base_Periodo1[[#This Row],[CONTA]],BaseContasDRE[#All],4,FALSE))</f>
        <v>Fora do DRE</v>
      </c>
      <c r="T1164" s="3" t="str">
        <f>IF(ISERROR(VLOOKUP(Base_Periodo1[[#This Row],[CONTA]],BaseContasDRE[#All],5,FALSE)),"Fora do DRE",VLOOKUP(Base_Periodo1[[#This Row],[CONTA]],BaseContasDRE[#All],6,FALSE))</f>
        <v>Fora do DRE</v>
      </c>
      <c r="U1164" s="3" t="str">
        <f>IF(ISERROR(VLOOKUP(Base_Periodo1[[#This Row],[CONTA]],BaseContasDRE[#All],7,FALSE)),"Fora do DRE",VLOOKUP(Base_Periodo1[[#This Row],[CONTA]],BaseContasDRE[#All],7,FALSE))</f>
        <v>Fora do DRE</v>
      </c>
      <c r="V1164" s="3" t="str">
        <f>IF(Base_Periodo1[[#This Row],[Tipo_Linha]]="Fora do DRE","Fora do DRE","( "&amp;Base_Periodo1[[#This Row],[Tipo_Linha]]&amp;" ) "&amp;Base_Periodo1[[#This Row],[Filtro]])</f>
        <v>Fora do DRE</v>
      </c>
      <c r="W1164" s="3" t="str">
        <f>LEFT(Base_Periodo1[[#This Row],[CLASS]],3)</f>
        <v>1.1</v>
      </c>
    </row>
    <row r="1165" spans="1:23" hidden="1">
      <c r="A1165" s="3" t="str">
        <f t="shared" si="18"/>
        <v>Período 1</v>
      </c>
      <c r="B1165">
        <v>56028</v>
      </c>
      <c r="C1165" t="s">
        <v>922</v>
      </c>
      <c r="D1165" t="s">
        <v>5501</v>
      </c>
      <c r="E1165" s="3" t="str">
        <f>IF(LEN(Base_Periodo1[[#This Row],[CLASS]])&gt;=7,LEFT(Base_Periodo1[[#This Row],[CLASS]],7),"")</f>
        <v>1.1.2.2</v>
      </c>
      <c r="F1165" s="3" t="str">
        <f>VLOOKUP(Base_Periodo1[[#This Row],[Aux]],Base_Contas_Balanco[#All],2,FALSE)</f>
        <v>Creditos com não Cooperados</v>
      </c>
      <c r="G1165" s="1">
        <v>42878</v>
      </c>
      <c r="I1165" s="225">
        <v>1.1599999999999999</v>
      </c>
      <c r="J1165" s="225">
        <v>7887.21</v>
      </c>
      <c r="K1165" s="225">
        <v>7886.0500000000011</v>
      </c>
      <c r="L11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-7886.05</v>
      </c>
      <c r="M1165" s="225">
        <f>ROUND(IF(AND(Base_Periodo1[[#This Row],[Tipo_Linha]]="-",Base_Periodo1[[#This Row],[TIPOSALDO]]="D"),Base_Periodo1[[#This Row],[SALDO_ATUAL]]*-1,Base_Periodo1[[#This Row],[SALDO_ATUAL]]),4)</f>
        <v>7886.05</v>
      </c>
      <c r="N1165" t="s">
        <v>116</v>
      </c>
      <c r="O1165" t="s">
        <v>436</v>
      </c>
      <c r="P1165" t="s">
        <v>459</v>
      </c>
      <c r="Q1165">
        <v>7</v>
      </c>
      <c r="R1165" s="225">
        <f>Base_Periodo1[[#This Row],[CREDITOS]]-Base_Periodo1[[#This Row],[DEBITOS]]</f>
        <v>7886.05</v>
      </c>
      <c r="S1165" s="3" t="str">
        <f>IF(ISERROR(VLOOKUP(Base_Periodo1[[#This Row],[CONTA]],BaseContasDRE[#All],4,FALSE)),"Fora do DRE",VLOOKUP(Base_Periodo1[[#This Row],[CONTA]],BaseContasDRE[#All],4,FALSE))</f>
        <v>Fora do DRE</v>
      </c>
      <c r="T1165" s="3" t="str">
        <f>IF(ISERROR(VLOOKUP(Base_Periodo1[[#This Row],[CONTA]],BaseContasDRE[#All],5,FALSE)),"Fora do DRE",VLOOKUP(Base_Periodo1[[#This Row],[CONTA]],BaseContasDRE[#All],6,FALSE))</f>
        <v>Fora do DRE</v>
      </c>
      <c r="U1165" s="3" t="str">
        <f>IF(ISERROR(VLOOKUP(Base_Periodo1[[#This Row],[CONTA]],BaseContasDRE[#All],7,FALSE)),"Fora do DRE",VLOOKUP(Base_Periodo1[[#This Row],[CONTA]],BaseContasDRE[#All],7,FALSE))</f>
        <v>Fora do DRE</v>
      </c>
      <c r="V1165" s="3" t="str">
        <f>IF(Base_Periodo1[[#This Row],[Tipo_Linha]]="Fora do DRE","Fora do DRE","( "&amp;Base_Periodo1[[#This Row],[Tipo_Linha]]&amp;" ) "&amp;Base_Periodo1[[#This Row],[Filtro]])</f>
        <v>Fora do DRE</v>
      </c>
      <c r="W1165" s="3" t="str">
        <f>LEFT(Base_Periodo1[[#This Row],[CLASS]],3)</f>
        <v>1.1</v>
      </c>
    </row>
    <row r="1166" spans="1:23" hidden="1">
      <c r="A1166" s="3" t="str">
        <f t="shared" si="18"/>
        <v>Período 1</v>
      </c>
      <c r="B1166">
        <v>21576</v>
      </c>
      <c r="C1166" t="s">
        <v>922</v>
      </c>
      <c r="D1166" t="s">
        <v>5402</v>
      </c>
      <c r="E1166" s="3" t="str">
        <f>IF(LEN(Base_Periodo1[[#This Row],[CLASS]])&gt;=7,LEFT(Base_Periodo1[[#This Row],[CLASS]],7),"")</f>
        <v>1.1.2.2</v>
      </c>
      <c r="F1166" s="3" t="str">
        <f>VLOOKUP(Base_Periodo1[[#This Row],[Aux]],Base_Contas_Balanco[#All],2,FALSE)</f>
        <v>Creditos com não Cooperados</v>
      </c>
      <c r="G1166" s="1">
        <v>42884</v>
      </c>
      <c r="H1166" s="225">
        <v>940</v>
      </c>
      <c r="I1166" s="225">
        <v>100</v>
      </c>
      <c r="J1166" s="225">
        <v>550</v>
      </c>
      <c r="K1166" s="225">
        <v>490</v>
      </c>
      <c r="L11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490</v>
      </c>
      <c r="M1166" s="225">
        <f>ROUND(IF(AND(Base_Periodo1[[#This Row],[Tipo_Linha]]="-",Base_Periodo1[[#This Row],[TIPOSALDO]]="D"),Base_Periodo1[[#This Row],[SALDO_ATUAL]]*-1,Base_Periodo1[[#This Row],[SALDO_ATUAL]]),4)</f>
        <v>490</v>
      </c>
      <c r="N1166" t="s">
        <v>116</v>
      </c>
      <c r="O1166" t="s">
        <v>397</v>
      </c>
      <c r="P1166" t="s">
        <v>397</v>
      </c>
      <c r="Q1166">
        <v>7</v>
      </c>
      <c r="R1166" s="225">
        <f>Base_Periodo1[[#This Row],[CREDITOS]]-Base_Periodo1[[#This Row],[DEBITOS]]</f>
        <v>450</v>
      </c>
      <c r="S1166" s="3" t="str">
        <f>IF(ISERROR(VLOOKUP(Base_Periodo1[[#This Row],[CONTA]],BaseContasDRE[#All],4,FALSE)),"Fora do DRE",VLOOKUP(Base_Periodo1[[#This Row],[CONTA]],BaseContasDRE[#All],4,FALSE))</f>
        <v>Fora do DRE</v>
      </c>
      <c r="T1166" s="3" t="str">
        <f>IF(ISERROR(VLOOKUP(Base_Periodo1[[#This Row],[CONTA]],BaseContasDRE[#All],5,FALSE)),"Fora do DRE",VLOOKUP(Base_Periodo1[[#This Row],[CONTA]],BaseContasDRE[#All],6,FALSE))</f>
        <v>Fora do DRE</v>
      </c>
      <c r="U1166" s="3" t="str">
        <f>IF(ISERROR(VLOOKUP(Base_Periodo1[[#This Row],[CONTA]],BaseContasDRE[#All],7,FALSE)),"Fora do DRE",VLOOKUP(Base_Periodo1[[#This Row],[CONTA]],BaseContasDRE[#All],7,FALSE))</f>
        <v>Fora do DRE</v>
      </c>
      <c r="V1166" s="3" t="str">
        <f>IF(Base_Periodo1[[#This Row],[Tipo_Linha]]="Fora do DRE","Fora do DRE","( "&amp;Base_Periodo1[[#This Row],[Tipo_Linha]]&amp;" ) "&amp;Base_Periodo1[[#This Row],[Filtro]])</f>
        <v>Fora do DRE</v>
      </c>
      <c r="W1166" s="3" t="str">
        <f>LEFT(Base_Periodo1[[#This Row],[CLASS]],3)</f>
        <v>1.1</v>
      </c>
    </row>
    <row r="1167" spans="1:23" hidden="1">
      <c r="A1167" s="3" t="str">
        <f t="shared" si="18"/>
        <v>Período 1</v>
      </c>
      <c r="B1167">
        <v>8950</v>
      </c>
      <c r="C1167" t="s">
        <v>922</v>
      </c>
      <c r="D1167" t="s">
        <v>5883</v>
      </c>
      <c r="E1167" s="3" t="str">
        <f>IF(LEN(Base_Periodo1[[#This Row],[CLASS]])&gt;=7,LEFT(Base_Periodo1[[#This Row],[CLASS]],7),"")</f>
        <v>1.1.2.2</v>
      </c>
      <c r="F1167" s="3" t="str">
        <f>VLOOKUP(Base_Periodo1[[#This Row],[Aux]],Base_Contas_Balanco[#All],2,FALSE)</f>
        <v>Creditos com não Cooperados</v>
      </c>
      <c r="G1167" s="1">
        <v>42789</v>
      </c>
      <c r="H1167" s="225">
        <v>500</v>
      </c>
      <c r="I1167" s="225">
        <v>0</v>
      </c>
      <c r="J1167" s="225">
        <v>0</v>
      </c>
      <c r="K1167" s="225">
        <v>500</v>
      </c>
      <c r="L11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167" s="225">
        <f>ROUND(IF(AND(Base_Periodo1[[#This Row],[Tipo_Linha]]="-",Base_Periodo1[[#This Row],[TIPOSALDO]]="D"),Base_Periodo1[[#This Row],[SALDO_ATUAL]]*-1,Base_Periodo1[[#This Row],[SALDO_ATUAL]]),4)</f>
        <v>500</v>
      </c>
      <c r="N1167" t="s">
        <v>116</v>
      </c>
      <c r="O1167" t="s">
        <v>397</v>
      </c>
      <c r="P1167" t="s">
        <v>397</v>
      </c>
      <c r="Q1167">
        <v>7</v>
      </c>
      <c r="R1167" s="225">
        <f>Base_Periodo1[[#This Row],[CREDITOS]]-Base_Periodo1[[#This Row],[DEBITOS]]</f>
        <v>0</v>
      </c>
      <c r="S1167" s="3" t="str">
        <f>IF(ISERROR(VLOOKUP(Base_Periodo1[[#This Row],[CONTA]],BaseContasDRE[#All],4,FALSE)),"Fora do DRE",VLOOKUP(Base_Periodo1[[#This Row],[CONTA]],BaseContasDRE[#All],4,FALSE))</f>
        <v>Fora do DRE</v>
      </c>
      <c r="T1167" s="3" t="str">
        <f>IF(ISERROR(VLOOKUP(Base_Periodo1[[#This Row],[CONTA]],BaseContasDRE[#All],5,FALSE)),"Fora do DRE",VLOOKUP(Base_Periodo1[[#This Row],[CONTA]],BaseContasDRE[#All],6,FALSE))</f>
        <v>Fora do DRE</v>
      </c>
      <c r="U1167" s="3" t="str">
        <f>IF(ISERROR(VLOOKUP(Base_Periodo1[[#This Row],[CONTA]],BaseContasDRE[#All],7,FALSE)),"Fora do DRE",VLOOKUP(Base_Periodo1[[#This Row],[CONTA]],BaseContasDRE[#All],7,FALSE))</f>
        <v>Fora do DRE</v>
      </c>
      <c r="V1167" s="3" t="str">
        <f>IF(Base_Periodo1[[#This Row],[Tipo_Linha]]="Fora do DRE","Fora do DRE","( "&amp;Base_Periodo1[[#This Row],[Tipo_Linha]]&amp;" ) "&amp;Base_Periodo1[[#This Row],[Filtro]])</f>
        <v>Fora do DRE</v>
      </c>
      <c r="W1167" s="3" t="str">
        <f>LEFT(Base_Periodo1[[#This Row],[CLASS]],3)</f>
        <v>1.1</v>
      </c>
    </row>
    <row r="1168" spans="1:23" hidden="1">
      <c r="A1168" s="3" t="str">
        <f t="shared" si="18"/>
        <v>Período 1</v>
      </c>
      <c r="B1168">
        <v>8400</v>
      </c>
      <c r="C1168" t="s">
        <v>922</v>
      </c>
      <c r="D1168" t="s">
        <v>982</v>
      </c>
      <c r="E1168" s="3" t="str">
        <f>IF(LEN(Base_Periodo1[[#This Row],[CLASS]])&gt;=7,LEFT(Base_Periodo1[[#This Row],[CLASS]],7),"")</f>
        <v>1.1.2.2</v>
      </c>
      <c r="F1168" s="3" t="str">
        <f>VLOOKUP(Base_Periodo1[[#This Row],[Aux]],Base_Contas_Balanco[#All],2,FALSE)</f>
        <v>Creditos com não Cooperados</v>
      </c>
      <c r="G1168" s="1">
        <v>42122</v>
      </c>
      <c r="H1168" s="225">
        <v>0.46000000000640284</v>
      </c>
      <c r="I1168" s="225">
        <v>0</v>
      </c>
      <c r="J1168" s="225">
        <v>0</v>
      </c>
      <c r="K1168" s="225">
        <v>0.46000000000640284</v>
      </c>
      <c r="L11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0.46</v>
      </c>
      <c r="M1168" s="225">
        <f>ROUND(IF(AND(Base_Periodo1[[#This Row],[Tipo_Linha]]="-",Base_Periodo1[[#This Row],[TIPOSALDO]]="D"),Base_Periodo1[[#This Row],[SALDO_ATUAL]]*-1,Base_Periodo1[[#This Row],[SALDO_ATUAL]]),4)</f>
        <v>0.46</v>
      </c>
      <c r="N1168" t="s">
        <v>116</v>
      </c>
      <c r="O1168" t="s">
        <v>397</v>
      </c>
      <c r="P1168" t="s">
        <v>397</v>
      </c>
      <c r="Q1168">
        <v>7</v>
      </c>
      <c r="R1168" s="225">
        <f>Base_Periodo1[[#This Row],[CREDITOS]]-Base_Periodo1[[#This Row],[DEBITOS]]</f>
        <v>0</v>
      </c>
      <c r="S1168" s="3" t="str">
        <f>IF(ISERROR(VLOOKUP(Base_Periodo1[[#This Row],[CONTA]],BaseContasDRE[#All],4,FALSE)),"Fora do DRE",VLOOKUP(Base_Periodo1[[#This Row],[CONTA]],BaseContasDRE[#All],4,FALSE))</f>
        <v>Fora do DRE</v>
      </c>
      <c r="T1168" s="3" t="str">
        <f>IF(ISERROR(VLOOKUP(Base_Periodo1[[#This Row],[CONTA]],BaseContasDRE[#All],5,FALSE)),"Fora do DRE",VLOOKUP(Base_Periodo1[[#This Row],[CONTA]],BaseContasDRE[#All],6,FALSE))</f>
        <v>Fora do DRE</v>
      </c>
      <c r="U1168" s="3" t="str">
        <f>IF(ISERROR(VLOOKUP(Base_Periodo1[[#This Row],[CONTA]],BaseContasDRE[#All],7,FALSE)),"Fora do DRE",VLOOKUP(Base_Periodo1[[#This Row],[CONTA]],BaseContasDRE[#All],7,FALSE))</f>
        <v>Fora do DRE</v>
      </c>
      <c r="V1168" s="3" t="str">
        <f>IF(Base_Periodo1[[#This Row],[Tipo_Linha]]="Fora do DRE","Fora do DRE","( "&amp;Base_Periodo1[[#This Row],[Tipo_Linha]]&amp;" ) "&amp;Base_Periodo1[[#This Row],[Filtro]])</f>
        <v>Fora do DRE</v>
      </c>
      <c r="W1168" s="3" t="str">
        <f>LEFT(Base_Periodo1[[#This Row],[CLASS]],3)</f>
        <v>1.1</v>
      </c>
    </row>
    <row r="1169" spans="1:23" hidden="1">
      <c r="A1169" s="3" t="str">
        <f t="shared" si="18"/>
        <v>Período 1</v>
      </c>
      <c r="B1169">
        <v>14436</v>
      </c>
      <c r="C1169" t="s">
        <v>922</v>
      </c>
      <c r="D1169" t="s">
        <v>5502</v>
      </c>
      <c r="E1169" s="3" t="str">
        <f>IF(LEN(Base_Periodo1[[#This Row],[CLASS]])&gt;=7,LEFT(Base_Periodo1[[#This Row],[CLASS]],7),"")</f>
        <v>1.1.2.2</v>
      </c>
      <c r="F1169" s="3" t="str">
        <f>VLOOKUP(Base_Periodo1[[#This Row],[Aux]],Base_Contas_Balanco[#All],2,FALSE)</f>
        <v>Creditos com não Cooperados</v>
      </c>
      <c r="G1169" s="1">
        <v>42880</v>
      </c>
      <c r="H1169" s="225">
        <v>364.1</v>
      </c>
      <c r="I1169" s="225">
        <v>0</v>
      </c>
      <c r="J1169" s="225">
        <v>364.1</v>
      </c>
      <c r="K1169" s="225">
        <v>0</v>
      </c>
      <c r="L11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69" s="225">
        <f>ROUND(IF(AND(Base_Periodo1[[#This Row],[Tipo_Linha]]="-",Base_Periodo1[[#This Row],[TIPOSALDO]]="D"),Base_Periodo1[[#This Row],[SALDO_ATUAL]]*-1,Base_Periodo1[[#This Row],[SALDO_ATUAL]]),4)</f>
        <v>0</v>
      </c>
      <c r="N1169" t="s">
        <v>116</v>
      </c>
      <c r="O1169" t="s">
        <v>397</v>
      </c>
      <c r="P1169" t="s">
        <v>436</v>
      </c>
      <c r="Q1169">
        <v>7</v>
      </c>
      <c r="R1169" s="225">
        <f>Base_Periodo1[[#This Row],[CREDITOS]]-Base_Periodo1[[#This Row],[DEBITOS]]</f>
        <v>364.1</v>
      </c>
      <c r="S1169" s="3" t="str">
        <f>IF(ISERROR(VLOOKUP(Base_Periodo1[[#This Row],[CONTA]],BaseContasDRE[#All],4,FALSE)),"Fora do DRE",VLOOKUP(Base_Periodo1[[#This Row],[CONTA]],BaseContasDRE[#All],4,FALSE))</f>
        <v>Fora do DRE</v>
      </c>
      <c r="T1169" s="3" t="str">
        <f>IF(ISERROR(VLOOKUP(Base_Periodo1[[#This Row],[CONTA]],BaseContasDRE[#All],5,FALSE)),"Fora do DRE",VLOOKUP(Base_Periodo1[[#This Row],[CONTA]],BaseContasDRE[#All],6,FALSE))</f>
        <v>Fora do DRE</v>
      </c>
      <c r="U1169" s="3" t="str">
        <f>IF(ISERROR(VLOOKUP(Base_Periodo1[[#This Row],[CONTA]],BaseContasDRE[#All],7,FALSE)),"Fora do DRE",VLOOKUP(Base_Periodo1[[#This Row],[CONTA]],BaseContasDRE[#All],7,FALSE))</f>
        <v>Fora do DRE</v>
      </c>
      <c r="V1169" s="3" t="str">
        <f>IF(Base_Periodo1[[#This Row],[Tipo_Linha]]="Fora do DRE","Fora do DRE","( "&amp;Base_Periodo1[[#This Row],[Tipo_Linha]]&amp;" ) "&amp;Base_Periodo1[[#This Row],[Filtro]])</f>
        <v>Fora do DRE</v>
      </c>
      <c r="W1169" s="3" t="str">
        <f>LEFT(Base_Periodo1[[#This Row],[CLASS]],3)</f>
        <v>1.1</v>
      </c>
    </row>
    <row r="1170" spans="1:23" hidden="1">
      <c r="A1170" s="3" t="str">
        <f t="shared" si="18"/>
        <v>Período 1</v>
      </c>
      <c r="B1170">
        <v>34785</v>
      </c>
      <c r="C1170" t="s">
        <v>922</v>
      </c>
      <c r="D1170" t="s">
        <v>4258</v>
      </c>
      <c r="E1170" s="3" t="str">
        <f>IF(LEN(Base_Periodo1[[#This Row],[CLASS]])&gt;=7,LEFT(Base_Periodo1[[#This Row],[CLASS]],7),"")</f>
        <v>1.1.2.2</v>
      </c>
      <c r="F1170" s="3" t="str">
        <f>VLOOKUP(Base_Periodo1[[#This Row],[Aux]],Base_Contas_Balanco[#All],2,FALSE)</f>
        <v>Creditos com não Cooperados</v>
      </c>
      <c r="G1170" s="1">
        <v>42748</v>
      </c>
      <c r="H1170" s="225">
        <v>540</v>
      </c>
      <c r="I1170" s="225">
        <v>0</v>
      </c>
      <c r="J1170" s="225">
        <v>0</v>
      </c>
      <c r="K1170" s="225">
        <v>540</v>
      </c>
      <c r="L11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540</v>
      </c>
      <c r="M1170" s="225">
        <f>ROUND(IF(AND(Base_Periodo1[[#This Row],[Tipo_Linha]]="-",Base_Periodo1[[#This Row],[TIPOSALDO]]="D"),Base_Periodo1[[#This Row],[SALDO_ATUAL]]*-1,Base_Periodo1[[#This Row],[SALDO_ATUAL]]),4)</f>
        <v>540</v>
      </c>
      <c r="N1170" t="s">
        <v>116</v>
      </c>
      <c r="O1170" t="s">
        <v>397</v>
      </c>
      <c r="P1170" t="s">
        <v>397</v>
      </c>
      <c r="Q1170">
        <v>7</v>
      </c>
      <c r="R1170" s="225">
        <f>Base_Periodo1[[#This Row],[CREDITOS]]-Base_Periodo1[[#This Row],[DEBITOS]]</f>
        <v>0</v>
      </c>
      <c r="S1170" s="3" t="str">
        <f>IF(ISERROR(VLOOKUP(Base_Periodo1[[#This Row],[CONTA]],BaseContasDRE[#All],4,FALSE)),"Fora do DRE",VLOOKUP(Base_Periodo1[[#This Row],[CONTA]],BaseContasDRE[#All],4,FALSE))</f>
        <v>Fora do DRE</v>
      </c>
      <c r="T1170" s="3" t="str">
        <f>IF(ISERROR(VLOOKUP(Base_Periodo1[[#This Row],[CONTA]],BaseContasDRE[#All],5,FALSE)),"Fora do DRE",VLOOKUP(Base_Periodo1[[#This Row],[CONTA]],BaseContasDRE[#All],6,FALSE))</f>
        <v>Fora do DRE</v>
      </c>
      <c r="U1170" s="3" t="str">
        <f>IF(ISERROR(VLOOKUP(Base_Periodo1[[#This Row],[CONTA]],BaseContasDRE[#All],7,FALSE)),"Fora do DRE",VLOOKUP(Base_Periodo1[[#This Row],[CONTA]],BaseContasDRE[#All],7,FALSE))</f>
        <v>Fora do DRE</v>
      </c>
      <c r="V1170" s="3" t="str">
        <f>IF(Base_Periodo1[[#This Row],[Tipo_Linha]]="Fora do DRE","Fora do DRE","( "&amp;Base_Periodo1[[#This Row],[Tipo_Linha]]&amp;" ) "&amp;Base_Periodo1[[#This Row],[Filtro]])</f>
        <v>Fora do DRE</v>
      </c>
      <c r="W1170" s="3" t="str">
        <f>LEFT(Base_Periodo1[[#This Row],[CLASS]],3)</f>
        <v>1.1</v>
      </c>
    </row>
    <row r="1171" spans="1:23" hidden="1">
      <c r="A1171" s="3" t="str">
        <f t="shared" si="18"/>
        <v>Período 1</v>
      </c>
      <c r="B1171">
        <v>5148</v>
      </c>
      <c r="C1171" t="s">
        <v>922</v>
      </c>
      <c r="D1171" t="s">
        <v>6204</v>
      </c>
      <c r="E1171" s="3" t="str">
        <f>IF(LEN(Base_Periodo1[[#This Row],[CLASS]])&gt;=7,LEFT(Base_Periodo1[[#This Row],[CLASS]],7),"")</f>
        <v>1.1.2.2</v>
      </c>
      <c r="F1171" s="3" t="str">
        <f>VLOOKUP(Base_Periodo1[[#This Row],[Aux]],Base_Contas_Balanco[#All],2,FALSE)</f>
        <v>Creditos com não Cooperados</v>
      </c>
      <c r="G1171" s="1">
        <v>42831</v>
      </c>
      <c r="H1171" s="225">
        <v>1160.0000000000018</v>
      </c>
      <c r="I1171" s="225">
        <v>0</v>
      </c>
      <c r="J1171" s="225">
        <v>0</v>
      </c>
      <c r="K1171" s="225">
        <v>1160.0000000000018</v>
      </c>
      <c r="L11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1160</v>
      </c>
      <c r="M1171" s="225">
        <f>ROUND(IF(AND(Base_Periodo1[[#This Row],[Tipo_Linha]]="-",Base_Periodo1[[#This Row],[TIPOSALDO]]="D"),Base_Periodo1[[#This Row],[SALDO_ATUAL]]*-1,Base_Periodo1[[#This Row],[SALDO_ATUAL]]),4)</f>
        <v>1160</v>
      </c>
      <c r="N1171" t="s">
        <v>116</v>
      </c>
      <c r="O1171" t="s">
        <v>397</v>
      </c>
      <c r="P1171" t="s">
        <v>397</v>
      </c>
      <c r="Q1171">
        <v>7</v>
      </c>
      <c r="R1171" s="225">
        <f>Base_Periodo1[[#This Row],[CREDITOS]]-Base_Periodo1[[#This Row],[DEBITOS]]</f>
        <v>0</v>
      </c>
      <c r="S1171" s="3" t="str">
        <f>IF(ISERROR(VLOOKUP(Base_Periodo1[[#This Row],[CONTA]],BaseContasDRE[#All],4,FALSE)),"Fora do DRE",VLOOKUP(Base_Periodo1[[#This Row],[CONTA]],BaseContasDRE[#All],4,FALSE))</f>
        <v>Fora do DRE</v>
      </c>
      <c r="T1171" s="3" t="str">
        <f>IF(ISERROR(VLOOKUP(Base_Periodo1[[#This Row],[CONTA]],BaseContasDRE[#All],5,FALSE)),"Fora do DRE",VLOOKUP(Base_Periodo1[[#This Row],[CONTA]],BaseContasDRE[#All],6,FALSE))</f>
        <v>Fora do DRE</v>
      </c>
      <c r="U1171" s="3" t="str">
        <f>IF(ISERROR(VLOOKUP(Base_Periodo1[[#This Row],[CONTA]],BaseContasDRE[#All],7,FALSE)),"Fora do DRE",VLOOKUP(Base_Periodo1[[#This Row],[CONTA]],BaseContasDRE[#All],7,FALSE))</f>
        <v>Fora do DRE</v>
      </c>
      <c r="V1171" s="3" t="str">
        <f>IF(Base_Periodo1[[#This Row],[Tipo_Linha]]="Fora do DRE","Fora do DRE","( "&amp;Base_Periodo1[[#This Row],[Tipo_Linha]]&amp;" ) "&amp;Base_Periodo1[[#This Row],[Filtro]])</f>
        <v>Fora do DRE</v>
      </c>
      <c r="W1171" s="3" t="str">
        <f>LEFT(Base_Periodo1[[#This Row],[CLASS]],3)</f>
        <v>1.1</v>
      </c>
    </row>
    <row r="1172" spans="1:23" hidden="1">
      <c r="A1172" s="3" t="str">
        <f t="shared" si="18"/>
        <v>Período 1</v>
      </c>
      <c r="B1172">
        <v>24522</v>
      </c>
      <c r="C1172" t="s">
        <v>922</v>
      </c>
      <c r="D1172" t="s">
        <v>4259</v>
      </c>
      <c r="E1172" s="3" t="str">
        <f>IF(LEN(Base_Periodo1[[#This Row],[CLASS]])&gt;=7,LEFT(Base_Periodo1[[#This Row],[CLASS]],7),"")</f>
        <v>1.1.2.2</v>
      </c>
      <c r="F1172" s="3" t="str">
        <f>VLOOKUP(Base_Periodo1[[#This Row],[Aux]],Base_Contas_Balanco[#All],2,FALSE)</f>
        <v>Creditos com não Cooperados</v>
      </c>
      <c r="G1172" s="1">
        <v>42852</v>
      </c>
      <c r="H1172" s="225">
        <v>9000</v>
      </c>
      <c r="I1172" s="225">
        <v>0</v>
      </c>
      <c r="J1172" s="225">
        <v>0</v>
      </c>
      <c r="K1172" s="225">
        <v>9000</v>
      </c>
      <c r="L11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9000</v>
      </c>
      <c r="M1172" s="225">
        <f>ROUND(IF(AND(Base_Periodo1[[#This Row],[Tipo_Linha]]="-",Base_Periodo1[[#This Row],[TIPOSALDO]]="D"),Base_Periodo1[[#This Row],[SALDO_ATUAL]]*-1,Base_Periodo1[[#This Row],[SALDO_ATUAL]]),4)</f>
        <v>9000</v>
      </c>
      <c r="N1172" t="s">
        <v>116</v>
      </c>
      <c r="O1172" t="s">
        <v>397</v>
      </c>
      <c r="P1172" t="s">
        <v>397</v>
      </c>
      <c r="Q1172">
        <v>7</v>
      </c>
      <c r="R1172" s="225">
        <f>Base_Periodo1[[#This Row],[CREDITOS]]-Base_Periodo1[[#This Row],[DEBITOS]]</f>
        <v>0</v>
      </c>
      <c r="S1172" s="3" t="str">
        <f>IF(ISERROR(VLOOKUP(Base_Periodo1[[#This Row],[CONTA]],BaseContasDRE[#All],4,FALSE)),"Fora do DRE",VLOOKUP(Base_Periodo1[[#This Row],[CONTA]],BaseContasDRE[#All],4,FALSE))</f>
        <v>Fora do DRE</v>
      </c>
      <c r="T1172" s="3" t="str">
        <f>IF(ISERROR(VLOOKUP(Base_Periodo1[[#This Row],[CONTA]],BaseContasDRE[#All],5,FALSE)),"Fora do DRE",VLOOKUP(Base_Periodo1[[#This Row],[CONTA]],BaseContasDRE[#All],6,FALSE))</f>
        <v>Fora do DRE</v>
      </c>
      <c r="U1172" s="3" t="str">
        <f>IF(ISERROR(VLOOKUP(Base_Periodo1[[#This Row],[CONTA]],BaseContasDRE[#All],7,FALSE)),"Fora do DRE",VLOOKUP(Base_Periodo1[[#This Row],[CONTA]],BaseContasDRE[#All],7,FALSE))</f>
        <v>Fora do DRE</v>
      </c>
      <c r="V1172" s="3" t="str">
        <f>IF(Base_Periodo1[[#This Row],[Tipo_Linha]]="Fora do DRE","Fora do DRE","( "&amp;Base_Periodo1[[#This Row],[Tipo_Linha]]&amp;" ) "&amp;Base_Periodo1[[#This Row],[Filtro]])</f>
        <v>Fora do DRE</v>
      </c>
      <c r="W1172" s="3" t="str">
        <f>LEFT(Base_Periodo1[[#This Row],[CLASS]],3)</f>
        <v>1.1</v>
      </c>
    </row>
    <row r="1173" spans="1:23" hidden="1">
      <c r="A1173" s="3" t="str">
        <f t="shared" si="18"/>
        <v>Período 1</v>
      </c>
      <c r="B1173">
        <v>17223</v>
      </c>
      <c r="C1173" t="s">
        <v>922</v>
      </c>
      <c r="D1173" t="s">
        <v>6205</v>
      </c>
      <c r="E1173" s="3" t="str">
        <f>IF(LEN(Base_Periodo1[[#This Row],[CLASS]])&gt;=7,LEFT(Base_Periodo1[[#This Row],[CLASS]],7),"")</f>
        <v>1.1.2.2</v>
      </c>
      <c r="F1173" s="3" t="str">
        <f>VLOOKUP(Base_Periodo1[[#This Row],[Aux]],Base_Contas_Balanco[#All],2,FALSE)</f>
        <v>Creditos com não Cooperados</v>
      </c>
      <c r="G1173" s="1">
        <v>42877</v>
      </c>
      <c r="H1173" s="225">
        <v>2300</v>
      </c>
      <c r="I1173" s="225">
        <v>0</v>
      </c>
      <c r="J1173" s="225">
        <v>2300</v>
      </c>
      <c r="K1173" s="225">
        <v>0</v>
      </c>
      <c r="L11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73" s="225">
        <f>ROUND(IF(AND(Base_Periodo1[[#This Row],[Tipo_Linha]]="-",Base_Periodo1[[#This Row],[TIPOSALDO]]="D"),Base_Periodo1[[#This Row],[SALDO_ATUAL]]*-1,Base_Periodo1[[#This Row],[SALDO_ATUAL]]),4)</f>
        <v>0</v>
      </c>
      <c r="N1173" t="s">
        <v>116</v>
      </c>
      <c r="O1173" t="s">
        <v>397</v>
      </c>
      <c r="P1173" t="s">
        <v>436</v>
      </c>
      <c r="Q1173">
        <v>7</v>
      </c>
      <c r="R1173" s="225">
        <f>Base_Periodo1[[#This Row],[CREDITOS]]-Base_Periodo1[[#This Row],[DEBITOS]]</f>
        <v>2300</v>
      </c>
      <c r="S1173" s="3" t="str">
        <f>IF(ISERROR(VLOOKUP(Base_Periodo1[[#This Row],[CONTA]],BaseContasDRE[#All],4,FALSE)),"Fora do DRE",VLOOKUP(Base_Periodo1[[#This Row],[CONTA]],BaseContasDRE[#All],4,FALSE))</f>
        <v>Fora do DRE</v>
      </c>
      <c r="T1173" s="3" t="str">
        <f>IF(ISERROR(VLOOKUP(Base_Periodo1[[#This Row],[CONTA]],BaseContasDRE[#All],5,FALSE)),"Fora do DRE",VLOOKUP(Base_Periodo1[[#This Row],[CONTA]],BaseContasDRE[#All],6,FALSE))</f>
        <v>Fora do DRE</v>
      </c>
      <c r="U1173" s="3" t="str">
        <f>IF(ISERROR(VLOOKUP(Base_Periodo1[[#This Row],[CONTA]],BaseContasDRE[#All],7,FALSE)),"Fora do DRE",VLOOKUP(Base_Periodo1[[#This Row],[CONTA]],BaseContasDRE[#All],7,FALSE))</f>
        <v>Fora do DRE</v>
      </c>
      <c r="V1173" s="3" t="str">
        <f>IF(Base_Periodo1[[#This Row],[Tipo_Linha]]="Fora do DRE","Fora do DRE","( "&amp;Base_Periodo1[[#This Row],[Tipo_Linha]]&amp;" ) "&amp;Base_Periodo1[[#This Row],[Filtro]])</f>
        <v>Fora do DRE</v>
      </c>
      <c r="W1173" s="3" t="str">
        <f>LEFT(Base_Periodo1[[#This Row],[CLASS]],3)</f>
        <v>1.1</v>
      </c>
    </row>
    <row r="1174" spans="1:23" hidden="1">
      <c r="A1174" s="3" t="str">
        <f t="shared" si="18"/>
        <v>Período 1</v>
      </c>
      <c r="B1174">
        <v>54127</v>
      </c>
      <c r="C1174" t="s">
        <v>922</v>
      </c>
      <c r="D1174" t="s">
        <v>6206</v>
      </c>
      <c r="E1174" s="3" t="str">
        <f>IF(LEN(Base_Periodo1[[#This Row],[CLASS]])&gt;=7,LEFT(Base_Periodo1[[#This Row],[CLASS]],7),"")</f>
        <v>1.1.2.2</v>
      </c>
      <c r="F1174" s="3" t="str">
        <f>VLOOKUP(Base_Periodo1[[#This Row],[Aux]],Base_Contas_Balanco[#All],2,FALSE)</f>
        <v>Creditos com não Cooperados</v>
      </c>
      <c r="G1174" s="1">
        <v>42879</v>
      </c>
      <c r="H1174" s="225">
        <v>250</v>
      </c>
      <c r="I1174" s="225">
        <v>400</v>
      </c>
      <c r="J1174" s="225">
        <v>650</v>
      </c>
      <c r="K1174" s="225">
        <v>0</v>
      </c>
      <c r="L11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74" s="225">
        <f>ROUND(IF(AND(Base_Periodo1[[#This Row],[Tipo_Linha]]="-",Base_Periodo1[[#This Row],[TIPOSALDO]]="D"),Base_Periodo1[[#This Row],[SALDO_ATUAL]]*-1,Base_Periodo1[[#This Row],[SALDO_ATUAL]]),4)</f>
        <v>0</v>
      </c>
      <c r="N1174" t="s">
        <v>116</v>
      </c>
      <c r="O1174" t="s">
        <v>397</v>
      </c>
      <c r="P1174" t="s">
        <v>436</v>
      </c>
      <c r="Q1174">
        <v>7</v>
      </c>
      <c r="R1174" s="225">
        <f>Base_Periodo1[[#This Row],[CREDITOS]]-Base_Periodo1[[#This Row],[DEBITOS]]</f>
        <v>250</v>
      </c>
      <c r="S1174" s="3" t="str">
        <f>IF(ISERROR(VLOOKUP(Base_Periodo1[[#This Row],[CONTA]],BaseContasDRE[#All],4,FALSE)),"Fora do DRE",VLOOKUP(Base_Periodo1[[#This Row],[CONTA]],BaseContasDRE[#All],4,FALSE))</f>
        <v>Fora do DRE</v>
      </c>
      <c r="T1174" s="3" t="str">
        <f>IF(ISERROR(VLOOKUP(Base_Periodo1[[#This Row],[CONTA]],BaseContasDRE[#All],5,FALSE)),"Fora do DRE",VLOOKUP(Base_Periodo1[[#This Row],[CONTA]],BaseContasDRE[#All],6,FALSE))</f>
        <v>Fora do DRE</v>
      </c>
      <c r="U1174" s="3" t="str">
        <f>IF(ISERROR(VLOOKUP(Base_Periodo1[[#This Row],[CONTA]],BaseContasDRE[#All],7,FALSE)),"Fora do DRE",VLOOKUP(Base_Periodo1[[#This Row],[CONTA]],BaseContasDRE[#All],7,FALSE))</f>
        <v>Fora do DRE</v>
      </c>
      <c r="V1174" s="3" t="str">
        <f>IF(Base_Periodo1[[#This Row],[Tipo_Linha]]="Fora do DRE","Fora do DRE","( "&amp;Base_Periodo1[[#This Row],[Tipo_Linha]]&amp;" ) "&amp;Base_Periodo1[[#This Row],[Filtro]])</f>
        <v>Fora do DRE</v>
      </c>
      <c r="W1174" s="3" t="str">
        <f>LEFT(Base_Periodo1[[#This Row],[CLASS]],3)</f>
        <v>1.1</v>
      </c>
    </row>
    <row r="1175" spans="1:23" hidden="1">
      <c r="A1175" s="3" t="str">
        <f t="shared" si="18"/>
        <v>Período 1</v>
      </c>
      <c r="B1175">
        <v>34234</v>
      </c>
      <c r="C1175" t="s">
        <v>922</v>
      </c>
      <c r="D1175" t="s">
        <v>983</v>
      </c>
      <c r="E1175" s="3" t="str">
        <f>IF(LEN(Base_Periodo1[[#This Row],[CLASS]])&gt;=7,LEFT(Base_Periodo1[[#This Row],[CLASS]],7),"")</f>
        <v>1.1.2.2</v>
      </c>
      <c r="F1175" s="3" t="str">
        <f>VLOOKUP(Base_Periodo1[[#This Row],[Aux]],Base_Contas_Balanco[#All],2,FALSE)</f>
        <v>Creditos com não Cooperados</v>
      </c>
      <c r="G1175" s="1">
        <v>42857</v>
      </c>
      <c r="H1175" s="225">
        <v>8748</v>
      </c>
      <c r="I1175" s="225">
        <v>0</v>
      </c>
      <c r="J1175" s="225">
        <v>8748</v>
      </c>
      <c r="K1175" s="225">
        <v>0</v>
      </c>
      <c r="L11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75" s="225">
        <f>ROUND(IF(AND(Base_Periodo1[[#This Row],[Tipo_Linha]]="-",Base_Periodo1[[#This Row],[TIPOSALDO]]="D"),Base_Periodo1[[#This Row],[SALDO_ATUAL]]*-1,Base_Periodo1[[#This Row],[SALDO_ATUAL]]),4)</f>
        <v>0</v>
      </c>
      <c r="N1175" t="s">
        <v>116</v>
      </c>
      <c r="O1175" t="s">
        <v>397</v>
      </c>
      <c r="P1175" t="s">
        <v>436</v>
      </c>
      <c r="Q1175">
        <v>7</v>
      </c>
      <c r="R1175" s="225">
        <f>Base_Periodo1[[#This Row],[CREDITOS]]-Base_Periodo1[[#This Row],[DEBITOS]]</f>
        <v>8748</v>
      </c>
      <c r="S1175" s="3" t="str">
        <f>IF(ISERROR(VLOOKUP(Base_Periodo1[[#This Row],[CONTA]],BaseContasDRE[#All],4,FALSE)),"Fora do DRE",VLOOKUP(Base_Periodo1[[#This Row],[CONTA]],BaseContasDRE[#All],4,FALSE))</f>
        <v>Fora do DRE</v>
      </c>
      <c r="T1175" s="3" t="str">
        <f>IF(ISERROR(VLOOKUP(Base_Periodo1[[#This Row],[CONTA]],BaseContasDRE[#All],5,FALSE)),"Fora do DRE",VLOOKUP(Base_Periodo1[[#This Row],[CONTA]],BaseContasDRE[#All],6,FALSE))</f>
        <v>Fora do DRE</v>
      </c>
      <c r="U1175" s="3" t="str">
        <f>IF(ISERROR(VLOOKUP(Base_Periodo1[[#This Row],[CONTA]],BaseContasDRE[#All],7,FALSE)),"Fora do DRE",VLOOKUP(Base_Periodo1[[#This Row],[CONTA]],BaseContasDRE[#All],7,FALSE))</f>
        <v>Fora do DRE</v>
      </c>
      <c r="V1175" s="3" t="str">
        <f>IF(Base_Periodo1[[#This Row],[Tipo_Linha]]="Fora do DRE","Fora do DRE","( "&amp;Base_Periodo1[[#This Row],[Tipo_Linha]]&amp;" ) "&amp;Base_Periodo1[[#This Row],[Filtro]])</f>
        <v>Fora do DRE</v>
      </c>
      <c r="W1175" s="3" t="str">
        <f>LEFT(Base_Periodo1[[#This Row],[CLASS]],3)</f>
        <v>1.1</v>
      </c>
    </row>
    <row r="1176" spans="1:23" hidden="1">
      <c r="A1176" s="3" t="str">
        <f t="shared" si="18"/>
        <v>Período 1</v>
      </c>
      <c r="B1176">
        <v>19596</v>
      </c>
      <c r="C1176" t="s">
        <v>922</v>
      </c>
      <c r="D1176" t="s">
        <v>5551</v>
      </c>
      <c r="E1176" s="3" t="str">
        <f>IF(LEN(Base_Periodo1[[#This Row],[CLASS]])&gt;=7,LEFT(Base_Periodo1[[#This Row],[CLASS]],7),"")</f>
        <v>1.1.2.2</v>
      </c>
      <c r="F1176" s="3" t="str">
        <f>VLOOKUP(Base_Periodo1[[#This Row],[Aux]],Base_Contas_Balanco[#All],2,FALSE)</f>
        <v>Creditos com não Cooperados</v>
      </c>
      <c r="G1176" s="1">
        <v>42885</v>
      </c>
      <c r="H1176" s="225">
        <v>11199468.150000073</v>
      </c>
      <c r="I1176" s="225">
        <v>0</v>
      </c>
      <c r="J1176" s="225">
        <v>1372867.0899999999</v>
      </c>
      <c r="K1176" s="225">
        <v>9826601.0600000732</v>
      </c>
      <c r="L11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9826601.0600000005</v>
      </c>
      <c r="M1176" s="225">
        <f>ROUND(IF(AND(Base_Periodo1[[#This Row],[Tipo_Linha]]="-",Base_Periodo1[[#This Row],[TIPOSALDO]]="D"),Base_Periodo1[[#This Row],[SALDO_ATUAL]]*-1,Base_Periodo1[[#This Row],[SALDO_ATUAL]]),4)</f>
        <v>9826601.0600000005</v>
      </c>
      <c r="N1176" t="s">
        <v>116</v>
      </c>
      <c r="O1176" t="s">
        <v>397</v>
      </c>
      <c r="P1176" t="s">
        <v>397</v>
      </c>
      <c r="Q1176">
        <v>7</v>
      </c>
      <c r="R1176" s="225">
        <f>Base_Periodo1[[#This Row],[CREDITOS]]-Base_Periodo1[[#This Row],[DEBITOS]]</f>
        <v>1372867.0899999999</v>
      </c>
      <c r="S1176" s="3" t="str">
        <f>IF(ISERROR(VLOOKUP(Base_Periodo1[[#This Row],[CONTA]],BaseContasDRE[#All],4,FALSE)),"Fora do DRE",VLOOKUP(Base_Periodo1[[#This Row],[CONTA]],BaseContasDRE[#All],4,FALSE))</f>
        <v>Fora do DRE</v>
      </c>
      <c r="T1176" s="3" t="str">
        <f>IF(ISERROR(VLOOKUP(Base_Periodo1[[#This Row],[CONTA]],BaseContasDRE[#All],5,FALSE)),"Fora do DRE",VLOOKUP(Base_Periodo1[[#This Row],[CONTA]],BaseContasDRE[#All],6,FALSE))</f>
        <v>Fora do DRE</v>
      </c>
      <c r="U1176" s="3" t="str">
        <f>IF(ISERROR(VLOOKUP(Base_Periodo1[[#This Row],[CONTA]],BaseContasDRE[#All],7,FALSE)),"Fora do DRE",VLOOKUP(Base_Periodo1[[#This Row],[CONTA]],BaseContasDRE[#All],7,FALSE))</f>
        <v>Fora do DRE</v>
      </c>
      <c r="V1176" s="3" t="str">
        <f>IF(Base_Periodo1[[#This Row],[Tipo_Linha]]="Fora do DRE","Fora do DRE","( "&amp;Base_Periodo1[[#This Row],[Tipo_Linha]]&amp;" ) "&amp;Base_Periodo1[[#This Row],[Filtro]])</f>
        <v>Fora do DRE</v>
      </c>
      <c r="W1176" s="3" t="str">
        <f>LEFT(Base_Periodo1[[#This Row],[CLASS]],3)</f>
        <v>1.1</v>
      </c>
    </row>
    <row r="1177" spans="1:23" hidden="1">
      <c r="A1177" s="3" t="str">
        <f t="shared" si="18"/>
        <v>Período 1</v>
      </c>
      <c r="B1177">
        <v>57943</v>
      </c>
      <c r="C1177" t="s">
        <v>922</v>
      </c>
      <c r="D1177" t="s">
        <v>6207</v>
      </c>
      <c r="E1177" s="3" t="str">
        <f>IF(LEN(Base_Periodo1[[#This Row],[CLASS]])&gt;=7,LEFT(Base_Periodo1[[#This Row],[CLASS]],7),"")</f>
        <v>1.1.2.2</v>
      </c>
      <c r="F1177" s="3" t="str">
        <f>VLOOKUP(Base_Periodo1[[#This Row],[Aux]],Base_Contas_Balanco[#All],2,FALSE)</f>
        <v>Creditos com não Cooperados</v>
      </c>
      <c r="G1177" s="1">
        <v>42870</v>
      </c>
      <c r="H1177" s="225">
        <v>2475</v>
      </c>
      <c r="I1177" s="225">
        <v>0</v>
      </c>
      <c r="J1177" s="225">
        <v>2475</v>
      </c>
      <c r="K1177" s="225">
        <v>0</v>
      </c>
      <c r="L11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77" s="225">
        <f>ROUND(IF(AND(Base_Periodo1[[#This Row],[Tipo_Linha]]="-",Base_Periodo1[[#This Row],[TIPOSALDO]]="D"),Base_Periodo1[[#This Row],[SALDO_ATUAL]]*-1,Base_Periodo1[[#This Row],[SALDO_ATUAL]]),4)</f>
        <v>0</v>
      </c>
      <c r="N1177" t="s">
        <v>116</v>
      </c>
      <c r="O1177" t="s">
        <v>397</v>
      </c>
      <c r="P1177" t="s">
        <v>436</v>
      </c>
      <c r="Q1177">
        <v>7</v>
      </c>
      <c r="R1177" s="225">
        <f>Base_Periodo1[[#This Row],[CREDITOS]]-Base_Periodo1[[#This Row],[DEBITOS]]</f>
        <v>2475</v>
      </c>
      <c r="S1177" s="3" t="str">
        <f>IF(ISERROR(VLOOKUP(Base_Periodo1[[#This Row],[CONTA]],BaseContasDRE[#All],4,FALSE)),"Fora do DRE",VLOOKUP(Base_Periodo1[[#This Row],[CONTA]],BaseContasDRE[#All],4,FALSE))</f>
        <v>Fora do DRE</v>
      </c>
      <c r="T1177" s="3" t="str">
        <f>IF(ISERROR(VLOOKUP(Base_Periodo1[[#This Row],[CONTA]],BaseContasDRE[#All],5,FALSE)),"Fora do DRE",VLOOKUP(Base_Periodo1[[#This Row],[CONTA]],BaseContasDRE[#All],6,FALSE))</f>
        <v>Fora do DRE</v>
      </c>
      <c r="U1177" s="3" t="str">
        <f>IF(ISERROR(VLOOKUP(Base_Periodo1[[#This Row],[CONTA]],BaseContasDRE[#All],7,FALSE)),"Fora do DRE",VLOOKUP(Base_Periodo1[[#This Row],[CONTA]],BaseContasDRE[#All],7,FALSE))</f>
        <v>Fora do DRE</v>
      </c>
      <c r="V1177" s="3" t="str">
        <f>IF(Base_Periodo1[[#This Row],[Tipo_Linha]]="Fora do DRE","Fora do DRE","( "&amp;Base_Periodo1[[#This Row],[Tipo_Linha]]&amp;" ) "&amp;Base_Periodo1[[#This Row],[Filtro]])</f>
        <v>Fora do DRE</v>
      </c>
      <c r="W1177" s="3" t="str">
        <f>LEFT(Base_Periodo1[[#This Row],[CLASS]],3)</f>
        <v>1.1</v>
      </c>
    </row>
    <row r="1178" spans="1:23" hidden="1">
      <c r="A1178" s="3" t="str">
        <f t="shared" si="18"/>
        <v>Período 1</v>
      </c>
      <c r="B1178">
        <v>56898</v>
      </c>
      <c r="C1178" t="s">
        <v>922</v>
      </c>
      <c r="D1178" t="s">
        <v>6789</v>
      </c>
      <c r="E1178" s="3" t="str">
        <f>IF(LEN(Base_Periodo1[[#This Row],[CLASS]])&gt;=7,LEFT(Base_Periodo1[[#This Row],[CLASS]],7),"")</f>
        <v>1.1.2.2</v>
      </c>
      <c r="F1178" s="3" t="str">
        <f>VLOOKUP(Base_Periodo1[[#This Row],[Aux]],Base_Contas_Balanco[#All],2,FALSE)</f>
        <v>Creditos com não Cooperados</v>
      </c>
      <c r="G1178" s="1">
        <v>42863</v>
      </c>
      <c r="I1178" s="225">
        <v>670</v>
      </c>
      <c r="J1178" s="225">
        <v>670</v>
      </c>
      <c r="K1178" s="225">
        <v>0</v>
      </c>
      <c r="L11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78" s="225">
        <f>ROUND(IF(AND(Base_Periodo1[[#This Row],[Tipo_Linha]]="-",Base_Periodo1[[#This Row],[TIPOSALDO]]="D"),Base_Periodo1[[#This Row],[SALDO_ATUAL]]*-1,Base_Periodo1[[#This Row],[SALDO_ATUAL]]),4)</f>
        <v>0</v>
      </c>
      <c r="N1178" t="s">
        <v>116</v>
      </c>
      <c r="O1178" t="s">
        <v>436</v>
      </c>
      <c r="P1178" t="s">
        <v>436</v>
      </c>
      <c r="Q1178">
        <v>7</v>
      </c>
      <c r="R1178" s="225">
        <f>Base_Periodo1[[#This Row],[CREDITOS]]-Base_Periodo1[[#This Row],[DEBITOS]]</f>
        <v>0</v>
      </c>
      <c r="S1178" s="3" t="str">
        <f>IF(ISERROR(VLOOKUP(Base_Periodo1[[#This Row],[CONTA]],BaseContasDRE[#All],4,FALSE)),"Fora do DRE",VLOOKUP(Base_Periodo1[[#This Row],[CONTA]],BaseContasDRE[#All],4,FALSE))</f>
        <v>Fora do DRE</v>
      </c>
      <c r="T1178" s="3" t="str">
        <f>IF(ISERROR(VLOOKUP(Base_Periodo1[[#This Row],[CONTA]],BaseContasDRE[#All],5,FALSE)),"Fora do DRE",VLOOKUP(Base_Periodo1[[#This Row],[CONTA]],BaseContasDRE[#All],6,FALSE))</f>
        <v>Fora do DRE</v>
      </c>
      <c r="U1178" s="3" t="str">
        <f>IF(ISERROR(VLOOKUP(Base_Periodo1[[#This Row],[CONTA]],BaseContasDRE[#All],7,FALSE)),"Fora do DRE",VLOOKUP(Base_Periodo1[[#This Row],[CONTA]],BaseContasDRE[#All],7,FALSE))</f>
        <v>Fora do DRE</v>
      </c>
      <c r="V1178" s="3" t="str">
        <f>IF(Base_Periodo1[[#This Row],[Tipo_Linha]]="Fora do DRE","Fora do DRE","( "&amp;Base_Periodo1[[#This Row],[Tipo_Linha]]&amp;" ) "&amp;Base_Periodo1[[#This Row],[Filtro]])</f>
        <v>Fora do DRE</v>
      </c>
      <c r="W1178" s="3" t="str">
        <f>LEFT(Base_Periodo1[[#This Row],[CLASS]],3)</f>
        <v>1.1</v>
      </c>
    </row>
    <row r="1179" spans="1:23" hidden="1">
      <c r="A1179" s="3" t="str">
        <f t="shared" si="18"/>
        <v>Período 1</v>
      </c>
      <c r="B1179">
        <v>34605</v>
      </c>
      <c r="C1179" t="s">
        <v>922</v>
      </c>
      <c r="D1179" t="s">
        <v>6790</v>
      </c>
      <c r="E1179" s="3" t="str">
        <f>IF(LEN(Base_Periodo1[[#This Row],[CLASS]])&gt;=7,LEFT(Base_Periodo1[[#This Row],[CLASS]],7),"")</f>
        <v>1.1.2.2</v>
      </c>
      <c r="F1179" s="3" t="str">
        <f>VLOOKUP(Base_Periodo1[[#This Row],[Aux]],Base_Contas_Balanco[#All],2,FALSE)</f>
        <v>Creditos com não Cooperados</v>
      </c>
      <c r="G1179" s="1">
        <v>42871</v>
      </c>
      <c r="I1179" s="225">
        <v>900</v>
      </c>
      <c r="J1179" s="225">
        <v>0</v>
      </c>
      <c r="K1179" s="225">
        <v>900</v>
      </c>
      <c r="L11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900</v>
      </c>
      <c r="M1179" s="225">
        <f>ROUND(IF(AND(Base_Periodo1[[#This Row],[Tipo_Linha]]="-",Base_Periodo1[[#This Row],[TIPOSALDO]]="D"),Base_Periodo1[[#This Row],[SALDO_ATUAL]]*-1,Base_Periodo1[[#This Row],[SALDO_ATUAL]]),4)</f>
        <v>900</v>
      </c>
      <c r="N1179" t="s">
        <v>116</v>
      </c>
      <c r="O1179" t="s">
        <v>436</v>
      </c>
      <c r="P1179" t="s">
        <v>397</v>
      </c>
      <c r="Q1179">
        <v>7</v>
      </c>
      <c r="R1179" s="225">
        <f>Base_Periodo1[[#This Row],[CREDITOS]]-Base_Periodo1[[#This Row],[DEBITOS]]</f>
        <v>-900</v>
      </c>
      <c r="S1179" s="3" t="str">
        <f>IF(ISERROR(VLOOKUP(Base_Periodo1[[#This Row],[CONTA]],BaseContasDRE[#All],4,FALSE)),"Fora do DRE",VLOOKUP(Base_Periodo1[[#This Row],[CONTA]],BaseContasDRE[#All],4,FALSE))</f>
        <v>Fora do DRE</v>
      </c>
      <c r="T1179" s="3" t="str">
        <f>IF(ISERROR(VLOOKUP(Base_Periodo1[[#This Row],[CONTA]],BaseContasDRE[#All],5,FALSE)),"Fora do DRE",VLOOKUP(Base_Periodo1[[#This Row],[CONTA]],BaseContasDRE[#All],6,FALSE))</f>
        <v>Fora do DRE</v>
      </c>
      <c r="U1179" s="3" t="str">
        <f>IF(ISERROR(VLOOKUP(Base_Periodo1[[#This Row],[CONTA]],BaseContasDRE[#All],7,FALSE)),"Fora do DRE",VLOOKUP(Base_Periodo1[[#This Row],[CONTA]],BaseContasDRE[#All],7,FALSE))</f>
        <v>Fora do DRE</v>
      </c>
      <c r="V1179" s="3" t="str">
        <f>IF(Base_Periodo1[[#This Row],[Tipo_Linha]]="Fora do DRE","Fora do DRE","( "&amp;Base_Periodo1[[#This Row],[Tipo_Linha]]&amp;" ) "&amp;Base_Periodo1[[#This Row],[Filtro]])</f>
        <v>Fora do DRE</v>
      </c>
      <c r="W1179" s="3" t="str">
        <f>LEFT(Base_Periodo1[[#This Row],[CLASS]],3)</f>
        <v>1.1</v>
      </c>
    </row>
    <row r="1180" spans="1:23" hidden="1">
      <c r="A1180" s="3" t="str">
        <f t="shared" si="18"/>
        <v>Período 1</v>
      </c>
      <c r="B1180">
        <v>58370</v>
      </c>
      <c r="C1180" t="s">
        <v>922</v>
      </c>
      <c r="D1180" t="s">
        <v>6208</v>
      </c>
      <c r="E1180" s="3" t="str">
        <f>IF(LEN(Base_Periodo1[[#This Row],[CLASS]])&gt;=7,LEFT(Base_Periodo1[[#This Row],[CLASS]],7),"")</f>
        <v>1.1.2.2</v>
      </c>
      <c r="F1180" s="3" t="str">
        <f>VLOOKUP(Base_Periodo1[[#This Row],[Aux]],Base_Contas_Balanco[#All],2,FALSE)</f>
        <v>Creditos com não Cooperados</v>
      </c>
      <c r="G1180" s="1">
        <v>42857</v>
      </c>
      <c r="I1180" s="225">
        <v>2075</v>
      </c>
      <c r="J1180" s="225">
        <v>2075</v>
      </c>
      <c r="K1180" s="225">
        <v>0</v>
      </c>
      <c r="L11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80" s="225">
        <f>ROUND(IF(AND(Base_Periodo1[[#This Row],[Tipo_Linha]]="-",Base_Periodo1[[#This Row],[TIPOSALDO]]="D"),Base_Periodo1[[#This Row],[SALDO_ATUAL]]*-1,Base_Periodo1[[#This Row],[SALDO_ATUAL]]),4)</f>
        <v>0</v>
      </c>
      <c r="N1180" t="s">
        <v>116</v>
      </c>
      <c r="O1180" t="s">
        <v>436</v>
      </c>
      <c r="P1180" t="s">
        <v>436</v>
      </c>
      <c r="Q1180">
        <v>7</v>
      </c>
      <c r="R1180" s="225">
        <f>Base_Periodo1[[#This Row],[CREDITOS]]-Base_Periodo1[[#This Row],[DEBITOS]]</f>
        <v>0</v>
      </c>
      <c r="S1180" s="3" t="str">
        <f>IF(ISERROR(VLOOKUP(Base_Periodo1[[#This Row],[CONTA]],BaseContasDRE[#All],4,FALSE)),"Fora do DRE",VLOOKUP(Base_Periodo1[[#This Row],[CONTA]],BaseContasDRE[#All],4,FALSE))</f>
        <v>Fora do DRE</v>
      </c>
      <c r="T1180" s="3" t="str">
        <f>IF(ISERROR(VLOOKUP(Base_Periodo1[[#This Row],[CONTA]],BaseContasDRE[#All],5,FALSE)),"Fora do DRE",VLOOKUP(Base_Periodo1[[#This Row],[CONTA]],BaseContasDRE[#All],6,FALSE))</f>
        <v>Fora do DRE</v>
      </c>
      <c r="U1180" s="3" t="str">
        <f>IF(ISERROR(VLOOKUP(Base_Periodo1[[#This Row],[CONTA]],BaseContasDRE[#All],7,FALSE)),"Fora do DRE",VLOOKUP(Base_Periodo1[[#This Row],[CONTA]],BaseContasDRE[#All],7,FALSE))</f>
        <v>Fora do DRE</v>
      </c>
      <c r="V1180" s="3" t="str">
        <f>IF(Base_Periodo1[[#This Row],[Tipo_Linha]]="Fora do DRE","Fora do DRE","( "&amp;Base_Periodo1[[#This Row],[Tipo_Linha]]&amp;" ) "&amp;Base_Periodo1[[#This Row],[Filtro]])</f>
        <v>Fora do DRE</v>
      </c>
      <c r="W1180" s="3" t="str">
        <f>LEFT(Base_Periodo1[[#This Row],[CLASS]],3)</f>
        <v>1.1</v>
      </c>
    </row>
    <row r="1181" spans="1:23" hidden="1">
      <c r="A1181" s="3" t="str">
        <f t="shared" si="18"/>
        <v>Período 1</v>
      </c>
      <c r="B1181">
        <v>8958</v>
      </c>
      <c r="C1181" t="s">
        <v>922</v>
      </c>
      <c r="D1181" t="s">
        <v>4728</v>
      </c>
      <c r="E1181" s="3" t="str">
        <f>IF(LEN(Base_Periodo1[[#This Row],[CLASS]])&gt;=7,LEFT(Base_Periodo1[[#This Row],[CLASS]],7),"")</f>
        <v>1.1.2.2</v>
      </c>
      <c r="F1181" s="3" t="str">
        <f>VLOOKUP(Base_Periodo1[[#This Row],[Aux]],Base_Contas_Balanco[#All],2,FALSE)</f>
        <v>Creditos com não Cooperados</v>
      </c>
      <c r="G1181" s="1">
        <v>42490</v>
      </c>
      <c r="H1181" s="225">
        <v>121451.54999999997</v>
      </c>
      <c r="I1181" s="225">
        <v>0</v>
      </c>
      <c r="J1181" s="225">
        <v>0</v>
      </c>
      <c r="K1181" s="225">
        <v>121451.54999999997</v>
      </c>
      <c r="L11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121451.55</v>
      </c>
      <c r="M1181" s="225">
        <f>ROUND(IF(AND(Base_Periodo1[[#This Row],[Tipo_Linha]]="-",Base_Periodo1[[#This Row],[TIPOSALDO]]="D"),Base_Periodo1[[#This Row],[SALDO_ATUAL]]*-1,Base_Periodo1[[#This Row],[SALDO_ATUAL]]),4)</f>
        <v>121451.55</v>
      </c>
      <c r="N1181" t="s">
        <v>116</v>
      </c>
      <c r="O1181" t="s">
        <v>397</v>
      </c>
      <c r="P1181" t="s">
        <v>397</v>
      </c>
      <c r="Q1181">
        <v>7</v>
      </c>
      <c r="R1181" s="225">
        <f>Base_Periodo1[[#This Row],[CREDITOS]]-Base_Periodo1[[#This Row],[DEBITOS]]</f>
        <v>0</v>
      </c>
      <c r="S1181" s="3" t="str">
        <f>IF(ISERROR(VLOOKUP(Base_Periodo1[[#This Row],[CONTA]],BaseContasDRE[#All],4,FALSE)),"Fora do DRE",VLOOKUP(Base_Periodo1[[#This Row],[CONTA]],BaseContasDRE[#All],4,FALSE))</f>
        <v>Fora do DRE</v>
      </c>
      <c r="T1181" s="3" t="str">
        <f>IF(ISERROR(VLOOKUP(Base_Periodo1[[#This Row],[CONTA]],BaseContasDRE[#All],5,FALSE)),"Fora do DRE",VLOOKUP(Base_Periodo1[[#This Row],[CONTA]],BaseContasDRE[#All],6,FALSE))</f>
        <v>Fora do DRE</v>
      </c>
      <c r="U1181" s="3" t="str">
        <f>IF(ISERROR(VLOOKUP(Base_Periodo1[[#This Row],[CONTA]],BaseContasDRE[#All],7,FALSE)),"Fora do DRE",VLOOKUP(Base_Periodo1[[#This Row],[CONTA]],BaseContasDRE[#All],7,FALSE))</f>
        <v>Fora do DRE</v>
      </c>
      <c r="V1181" s="3" t="str">
        <f>IF(Base_Periodo1[[#This Row],[Tipo_Linha]]="Fora do DRE","Fora do DRE","( "&amp;Base_Periodo1[[#This Row],[Tipo_Linha]]&amp;" ) "&amp;Base_Periodo1[[#This Row],[Filtro]])</f>
        <v>Fora do DRE</v>
      </c>
      <c r="W1181" s="3" t="str">
        <f>LEFT(Base_Periodo1[[#This Row],[CLASS]],3)</f>
        <v>1.1</v>
      </c>
    </row>
    <row r="1182" spans="1:23" hidden="1">
      <c r="A1182" s="3" t="str">
        <f t="shared" si="18"/>
        <v>Período 1</v>
      </c>
      <c r="B1182">
        <v>8702</v>
      </c>
      <c r="C1182" t="s">
        <v>922</v>
      </c>
      <c r="D1182" t="s">
        <v>4729</v>
      </c>
      <c r="E1182" s="3" t="str">
        <f>IF(LEN(Base_Periodo1[[#This Row],[CLASS]])&gt;=7,LEFT(Base_Periodo1[[#This Row],[CLASS]],7),"")</f>
        <v>1.1.2.2</v>
      </c>
      <c r="F1182" s="3" t="str">
        <f>VLOOKUP(Base_Periodo1[[#This Row],[Aux]],Base_Contas_Balanco[#All],2,FALSE)</f>
        <v>Creditos com não Cooperados</v>
      </c>
      <c r="G1182" s="1">
        <v>42490</v>
      </c>
      <c r="H1182" s="225">
        <v>131366.54999999999</v>
      </c>
      <c r="I1182" s="225">
        <v>0</v>
      </c>
      <c r="J1182" s="225">
        <v>0</v>
      </c>
      <c r="K1182" s="225">
        <v>131366.54999999999</v>
      </c>
      <c r="L11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131366.54999999999</v>
      </c>
      <c r="M1182" s="225">
        <f>ROUND(IF(AND(Base_Periodo1[[#This Row],[Tipo_Linha]]="-",Base_Periodo1[[#This Row],[TIPOSALDO]]="D"),Base_Periodo1[[#This Row],[SALDO_ATUAL]]*-1,Base_Periodo1[[#This Row],[SALDO_ATUAL]]),4)</f>
        <v>131366.54999999999</v>
      </c>
      <c r="N1182" t="s">
        <v>116</v>
      </c>
      <c r="O1182" t="s">
        <v>397</v>
      </c>
      <c r="P1182" t="s">
        <v>397</v>
      </c>
      <c r="Q1182">
        <v>7</v>
      </c>
      <c r="R1182" s="225">
        <f>Base_Periodo1[[#This Row],[CREDITOS]]-Base_Periodo1[[#This Row],[DEBITOS]]</f>
        <v>0</v>
      </c>
      <c r="S1182" s="3" t="str">
        <f>IF(ISERROR(VLOOKUP(Base_Periodo1[[#This Row],[CONTA]],BaseContasDRE[#All],4,FALSE)),"Fora do DRE",VLOOKUP(Base_Periodo1[[#This Row],[CONTA]],BaseContasDRE[#All],4,FALSE))</f>
        <v>Fora do DRE</v>
      </c>
      <c r="T1182" s="3" t="str">
        <f>IF(ISERROR(VLOOKUP(Base_Periodo1[[#This Row],[CONTA]],BaseContasDRE[#All],5,FALSE)),"Fora do DRE",VLOOKUP(Base_Periodo1[[#This Row],[CONTA]],BaseContasDRE[#All],6,FALSE))</f>
        <v>Fora do DRE</v>
      </c>
      <c r="U1182" s="3" t="str">
        <f>IF(ISERROR(VLOOKUP(Base_Periodo1[[#This Row],[CONTA]],BaseContasDRE[#All],7,FALSE)),"Fora do DRE",VLOOKUP(Base_Periodo1[[#This Row],[CONTA]],BaseContasDRE[#All],7,FALSE))</f>
        <v>Fora do DRE</v>
      </c>
      <c r="V1182" s="3" t="str">
        <f>IF(Base_Periodo1[[#This Row],[Tipo_Linha]]="Fora do DRE","Fora do DRE","( "&amp;Base_Periodo1[[#This Row],[Tipo_Linha]]&amp;" ) "&amp;Base_Periodo1[[#This Row],[Filtro]])</f>
        <v>Fora do DRE</v>
      </c>
      <c r="W1182" s="3" t="str">
        <f>LEFT(Base_Periodo1[[#This Row],[CLASS]],3)</f>
        <v>1.1</v>
      </c>
    </row>
    <row r="1183" spans="1:23" hidden="1">
      <c r="A1183" s="3" t="str">
        <f t="shared" si="18"/>
        <v>Período 1</v>
      </c>
      <c r="B1183">
        <v>29796</v>
      </c>
      <c r="C1183" t="s">
        <v>922</v>
      </c>
      <c r="D1183" t="s">
        <v>5194</v>
      </c>
      <c r="E1183" s="3" t="str">
        <f>IF(LEN(Base_Periodo1[[#This Row],[CLASS]])&gt;=7,LEFT(Base_Periodo1[[#This Row],[CLASS]],7),"")</f>
        <v>1.1.2.2</v>
      </c>
      <c r="F1183" s="3" t="str">
        <f>VLOOKUP(Base_Periodo1[[#This Row],[Aux]],Base_Contas_Balanco[#All],2,FALSE)</f>
        <v>Creditos com não Cooperados</v>
      </c>
      <c r="G1183" s="1">
        <v>42863</v>
      </c>
      <c r="I1183" s="225">
        <v>660</v>
      </c>
      <c r="J1183" s="225">
        <v>660</v>
      </c>
      <c r="K1183" s="225">
        <v>0</v>
      </c>
      <c r="L11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83" s="225">
        <f>ROUND(IF(AND(Base_Periodo1[[#This Row],[Tipo_Linha]]="-",Base_Periodo1[[#This Row],[TIPOSALDO]]="D"),Base_Periodo1[[#This Row],[SALDO_ATUAL]]*-1,Base_Periodo1[[#This Row],[SALDO_ATUAL]]),4)</f>
        <v>0</v>
      </c>
      <c r="N1183" t="s">
        <v>116</v>
      </c>
      <c r="O1183" t="s">
        <v>436</v>
      </c>
      <c r="P1183" t="s">
        <v>436</v>
      </c>
      <c r="Q1183">
        <v>7</v>
      </c>
      <c r="R1183" s="225">
        <f>Base_Periodo1[[#This Row],[CREDITOS]]-Base_Periodo1[[#This Row],[DEBITOS]]</f>
        <v>0</v>
      </c>
      <c r="S1183" s="3" t="str">
        <f>IF(ISERROR(VLOOKUP(Base_Periodo1[[#This Row],[CONTA]],BaseContasDRE[#All],4,FALSE)),"Fora do DRE",VLOOKUP(Base_Periodo1[[#This Row],[CONTA]],BaseContasDRE[#All],4,FALSE))</f>
        <v>Fora do DRE</v>
      </c>
      <c r="T1183" s="3" t="str">
        <f>IF(ISERROR(VLOOKUP(Base_Periodo1[[#This Row],[CONTA]],BaseContasDRE[#All],5,FALSE)),"Fora do DRE",VLOOKUP(Base_Periodo1[[#This Row],[CONTA]],BaseContasDRE[#All],6,FALSE))</f>
        <v>Fora do DRE</v>
      </c>
      <c r="U1183" s="3" t="str">
        <f>IF(ISERROR(VLOOKUP(Base_Periodo1[[#This Row],[CONTA]],BaseContasDRE[#All],7,FALSE)),"Fora do DRE",VLOOKUP(Base_Periodo1[[#This Row],[CONTA]],BaseContasDRE[#All],7,FALSE))</f>
        <v>Fora do DRE</v>
      </c>
      <c r="V1183" s="3" t="str">
        <f>IF(Base_Periodo1[[#This Row],[Tipo_Linha]]="Fora do DRE","Fora do DRE","( "&amp;Base_Periodo1[[#This Row],[Tipo_Linha]]&amp;" ) "&amp;Base_Periodo1[[#This Row],[Filtro]])</f>
        <v>Fora do DRE</v>
      </c>
      <c r="W1183" s="3" t="str">
        <f>LEFT(Base_Periodo1[[#This Row],[CLASS]],3)</f>
        <v>1.1</v>
      </c>
    </row>
    <row r="1184" spans="1:23" hidden="1">
      <c r="A1184" s="3" t="str">
        <f t="shared" si="18"/>
        <v>Período 1</v>
      </c>
      <c r="B1184">
        <v>34793</v>
      </c>
      <c r="C1184" t="s">
        <v>922</v>
      </c>
      <c r="D1184" t="s">
        <v>4260</v>
      </c>
      <c r="E1184" s="3" t="str">
        <f>IF(LEN(Base_Periodo1[[#This Row],[CLASS]])&gt;=7,LEFT(Base_Periodo1[[#This Row],[CLASS]],7),"")</f>
        <v>1.1.2.2</v>
      </c>
      <c r="F1184" s="3" t="str">
        <f>VLOOKUP(Base_Periodo1[[#This Row],[Aux]],Base_Contas_Balanco[#All],2,FALSE)</f>
        <v>Creditos com não Cooperados</v>
      </c>
      <c r="G1184" s="1">
        <v>42733</v>
      </c>
      <c r="H1184" s="225">
        <v>500</v>
      </c>
      <c r="I1184" s="225">
        <v>0</v>
      </c>
      <c r="J1184" s="225">
        <v>0</v>
      </c>
      <c r="K1184" s="225">
        <v>500</v>
      </c>
      <c r="L11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1184" s="225">
        <f>ROUND(IF(AND(Base_Periodo1[[#This Row],[Tipo_Linha]]="-",Base_Periodo1[[#This Row],[TIPOSALDO]]="D"),Base_Periodo1[[#This Row],[SALDO_ATUAL]]*-1,Base_Periodo1[[#This Row],[SALDO_ATUAL]]),4)</f>
        <v>500</v>
      </c>
      <c r="N1184" t="s">
        <v>116</v>
      </c>
      <c r="O1184" t="s">
        <v>397</v>
      </c>
      <c r="P1184" t="s">
        <v>397</v>
      </c>
      <c r="Q1184">
        <v>7</v>
      </c>
      <c r="R1184" s="225">
        <f>Base_Periodo1[[#This Row],[CREDITOS]]-Base_Periodo1[[#This Row],[DEBITOS]]</f>
        <v>0</v>
      </c>
      <c r="S1184" s="3" t="str">
        <f>IF(ISERROR(VLOOKUP(Base_Periodo1[[#This Row],[CONTA]],BaseContasDRE[#All],4,FALSE)),"Fora do DRE",VLOOKUP(Base_Periodo1[[#This Row],[CONTA]],BaseContasDRE[#All],4,FALSE))</f>
        <v>Fora do DRE</v>
      </c>
      <c r="T1184" s="3" t="str">
        <f>IF(ISERROR(VLOOKUP(Base_Periodo1[[#This Row],[CONTA]],BaseContasDRE[#All],5,FALSE)),"Fora do DRE",VLOOKUP(Base_Periodo1[[#This Row],[CONTA]],BaseContasDRE[#All],6,FALSE))</f>
        <v>Fora do DRE</v>
      </c>
      <c r="U1184" s="3" t="str">
        <f>IF(ISERROR(VLOOKUP(Base_Periodo1[[#This Row],[CONTA]],BaseContasDRE[#All],7,FALSE)),"Fora do DRE",VLOOKUP(Base_Periodo1[[#This Row],[CONTA]],BaseContasDRE[#All],7,FALSE))</f>
        <v>Fora do DRE</v>
      </c>
      <c r="V1184" s="3" t="str">
        <f>IF(Base_Periodo1[[#This Row],[Tipo_Linha]]="Fora do DRE","Fora do DRE","( "&amp;Base_Periodo1[[#This Row],[Tipo_Linha]]&amp;" ) "&amp;Base_Periodo1[[#This Row],[Filtro]])</f>
        <v>Fora do DRE</v>
      </c>
      <c r="W1184" s="3" t="str">
        <f>LEFT(Base_Periodo1[[#This Row],[CLASS]],3)</f>
        <v>1.1</v>
      </c>
    </row>
    <row r="1185" spans="1:23" hidden="1">
      <c r="A1185" s="3" t="str">
        <f t="shared" si="18"/>
        <v>Período 1</v>
      </c>
      <c r="B1185">
        <v>58661</v>
      </c>
      <c r="C1185" t="s">
        <v>922</v>
      </c>
      <c r="D1185" t="s">
        <v>6209</v>
      </c>
      <c r="E1185" s="3" t="str">
        <f>IF(LEN(Base_Periodo1[[#This Row],[CLASS]])&gt;=7,LEFT(Base_Periodo1[[#This Row],[CLASS]],7),"")</f>
        <v>1.1.2.2</v>
      </c>
      <c r="F1185" s="3" t="str">
        <f>VLOOKUP(Base_Periodo1[[#This Row],[Aux]],Base_Contas_Balanco[#All],2,FALSE)</f>
        <v>Creditos com não Cooperados</v>
      </c>
      <c r="G1185" s="1">
        <v>42871</v>
      </c>
      <c r="H1185" s="225">
        <v>25000</v>
      </c>
      <c r="I1185" s="225">
        <v>0</v>
      </c>
      <c r="J1185" s="225">
        <v>25000</v>
      </c>
      <c r="K1185" s="225">
        <v>0</v>
      </c>
      <c r="L11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85" s="225">
        <f>ROUND(IF(AND(Base_Periodo1[[#This Row],[Tipo_Linha]]="-",Base_Periodo1[[#This Row],[TIPOSALDO]]="D"),Base_Periodo1[[#This Row],[SALDO_ATUAL]]*-1,Base_Periodo1[[#This Row],[SALDO_ATUAL]]),4)</f>
        <v>0</v>
      </c>
      <c r="N1185" t="s">
        <v>116</v>
      </c>
      <c r="O1185" t="s">
        <v>397</v>
      </c>
      <c r="P1185" t="s">
        <v>436</v>
      </c>
      <c r="Q1185">
        <v>7</v>
      </c>
      <c r="R1185" s="225">
        <f>Base_Periodo1[[#This Row],[CREDITOS]]-Base_Periodo1[[#This Row],[DEBITOS]]</f>
        <v>25000</v>
      </c>
      <c r="S1185" s="3" t="str">
        <f>IF(ISERROR(VLOOKUP(Base_Periodo1[[#This Row],[CONTA]],BaseContasDRE[#All],4,FALSE)),"Fora do DRE",VLOOKUP(Base_Periodo1[[#This Row],[CONTA]],BaseContasDRE[#All],4,FALSE))</f>
        <v>Fora do DRE</v>
      </c>
      <c r="T1185" s="3" t="str">
        <f>IF(ISERROR(VLOOKUP(Base_Periodo1[[#This Row],[CONTA]],BaseContasDRE[#All],5,FALSE)),"Fora do DRE",VLOOKUP(Base_Periodo1[[#This Row],[CONTA]],BaseContasDRE[#All],6,FALSE))</f>
        <v>Fora do DRE</v>
      </c>
      <c r="U1185" s="3" t="str">
        <f>IF(ISERROR(VLOOKUP(Base_Periodo1[[#This Row],[CONTA]],BaseContasDRE[#All],7,FALSE)),"Fora do DRE",VLOOKUP(Base_Periodo1[[#This Row],[CONTA]],BaseContasDRE[#All],7,FALSE))</f>
        <v>Fora do DRE</v>
      </c>
      <c r="V1185" s="3" t="str">
        <f>IF(Base_Periodo1[[#This Row],[Tipo_Linha]]="Fora do DRE","Fora do DRE","( "&amp;Base_Periodo1[[#This Row],[Tipo_Linha]]&amp;" ) "&amp;Base_Periodo1[[#This Row],[Filtro]])</f>
        <v>Fora do DRE</v>
      </c>
      <c r="W1185" s="3" t="str">
        <f>LEFT(Base_Periodo1[[#This Row],[CLASS]],3)</f>
        <v>1.1</v>
      </c>
    </row>
    <row r="1186" spans="1:23" hidden="1">
      <c r="A1186" s="3" t="str">
        <f t="shared" si="18"/>
        <v>Período 1</v>
      </c>
      <c r="B1186">
        <v>58276</v>
      </c>
      <c r="C1186" t="s">
        <v>922</v>
      </c>
      <c r="D1186" t="s">
        <v>6791</v>
      </c>
      <c r="E1186" s="3" t="str">
        <f>IF(LEN(Base_Periodo1[[#This Row],[CLASS]])&gt;=7,LEFT(Base_Periodo1[[#This Row],[CLASS]],7),"")</f>
        <v>1.1.2.2</v>
      </c>
      <c r="F1186" s="3" t="str">
        <f>VLOOKUP(Base_Periodo1[[#This Row],[Aux]],Base_Contas_Balanco[#All],2,FALSE)</f>
        <v>Creditos com não Cooperados</v>
      </c>
      <c r="G1186" s="1">
        <v>42872</v>
      </c>
      <c r="I1186" s="225">
        <v>28350</v>
      </c>
      <c r="J1186" s="225">
        <v>6000</v>
      </c>
      <c r="K1186" s="225">
        <v>22350</v>
      </c>
      <c r="L11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22350</v>
      </c>
      <c r="M1186" s="225">
        <f>ROUND(IF(AND(Base_Periodo1[[#This Row],[Tipo_Linha]]="-",Base_Periodo1[[#This Row],[TIPOSALDO]]="D"),Base_Periodo1[[#This Row],[SALDO_ATUAL]]*-1,Base_Periodo1[[#This Row],[SALDO_ATUAL]]),4)</f>
        <v>22350</v>
      </c>
      <c r="N1186" t="s">
        <v>116</v>
      </c>
      <c r="O1186" t="s">
        <v>436</v>
      </c>
      <c r="P1186" t="s">
        <v>397</v>
      </c>
      <c r="Q1186">
        <v>7</v>
      </c>
      <c r="R1186" s="225">
        <f>Base_Periodo1[[#This Row],[CREDITOS]]-Base_Periodo1[[#This Row],[DEBITOS]]</f>
        <v>-22350</v>
      </c>
      <c r="S1186" s="3" t="str">
        <f>IF(ISERROR(VLOOKUP(Base_Periodo1[[#This Row],[CONTA]],BaseContasDRE[#All],4,FALSE)),"Fora do DRE",VLOOKUP(Base_Periodo1[[#This Row],[CONTA]],BaseContasDRE[#All],4,FALSE))</f>
        <v>Fora do DRE</v>
      </c>
      <c r="T1186" s="3" t="str">
        <f>IF(ISERROR(VLOOKUP(Base_Periodo1[[#This Row],[CONTA]],BaseContasDRE[#All],5,FALSE)),"Fora do DRE",VLOOKUP(Base_Periodo1[[#This Row],[CONTA]],BaseContasDRE[#All],6,FALSE))</f>
        <v>Fora do DRE</v>
      </c>
      <c r="U1186" s="3" t="str">
        <f>IF(ISERROR(VLOOKUP(Base_Periodo1[[#This Row],[CONTA]],BaseContasDRE[#All],7,FALSE)),"Fora do DRE",VLOOKUP(Base_Periodo1[[#This Row],[CONTA]],BaseContasDRE[#All],7,FALSE))</f>
        <v>Fora do DRE</v>
      </c>
      <c r="V1186" s="3" t="str">
        <f>IF(Base_Periodo1[[#This Row],[Tipo_Linha]]="Fora do DRE","Fora do DRE","( "&amp;Base_Periodo1[[#This Row],[Tipo_Linha]]&amp;" ) "&amp;Base_Periodo1[[#This Row],[Filtro]])</f>
        <v>Fora do DRE</v>
      </c>
      <c r="W1186" s="3" t="str">
        <f>LEFT(Base_Periodo1[[#This Row],[CLASS]],3)</f>
        <v>1.1</v>
      </c>
    </row>
    <row r="1187" spans="1:23" hidden="1">
      <c r="A1187" s="3" t="str">
        <f t="shared" si="18"/>
        <v>Período 1</v>
      </c>
      <c r="B1187">
        <v>4004</v>
      </c>
      <c r="C1187" t="s">
        <v>922</v>
      </c>
      <c r="D1187" t="s">
        <v>4826</v>
      </c>
      <c r="E1187" s="3" t="str">
        <f>IF(LEN(Base_Periodo1[[#This Row],[CLASS]])&gt;=7,LEFT(Base_Periodo1[[#This Row],[CLASS]],7),"")</f>
        <v>1.1.2.2</v>
      </c>
      <c r="F1187" s="3" t="str">
        <f>VLOOKUP(Base_Periodo1[[#This Row],[Aux]],Base_Contas_Balanco[#All],2,FALSE)</f>
        <v>Creditos com não Cooperados</v>
      </c>
      <c r="G1187" s="1">
        <v>42885</v>
      </c>
      <c r="H1187" s="225">
        <v>183529.79999999981</v>
      </c>
      <c r="I1187" s="225">
        <v>0</v>
      </c>
      <c r="J1187" s="225">
        <v>8329.7999999999993</v>
      </c>
      <c r="K1187" s="225">
        <v>175199.99999999983</v>
      </c>
      <c r="L11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175200</v>
      </c>
      <c r="M1187" s="225">
        <f>ROUND(IF(AND(Base_Periodo1[[#This Row],[Tipo_Linha]]="-",Base_Periodo1[[#This Row],[TIPOSALDO]]="D"),Base_Periodo1[[#This Row],[SALDO_ATUAL]]*-1,Base_Periodo1[[#This Row],[SALDO_ATUAL]]),4)</f>
        <v>175200</v>
      </c>
      <c r="N1187" t="s">
        <v>116</v>
      </c>
      <c r="O1187" t="s">
        <v>397</v>
      </c>
      <c r="P1187" t="s">
        <v>397</v>
      </c>
      <c r="Q1187">
        <v>7</v>
      </c>
      <c r="R1187" s="225">
        <f>Base_Periodo1[[#This Row],[CREDITOS]]-Base_Periodo1[[#This Row],[DEBITOS]]</f>
        <v>8329.7999999999993</v>
      </c>
      <c r="S1187" s="3" t="str">
        <f>IF(ISERROR(VLOOKUP(Base_Periodo1[[#This Row],[CONTA]],BaseContasDRE[#All],4,FALSE)),"Fora do DRE",VLOOKUP(Base_Periodo1[[#This Row],[CONTA]],BaseContasDRE[#All],4,FALSE))</f>
        <v>Fora do DRE</v>
      </c>
      <c r="T1187" s="3" t="str">
        <f>IF(ISERROR(VLOOKUP(Base_Periodo1[[#This Row],[CONTA]],BaseContasDRE[#All],5,FALSE)),"Fora do DRE",VLOOKUP(Base_Periodo1[[#This Row],[CONTA]],BaseContasDRE[#All],6,FALSE))</f>
        <v>Fora do DRE</v>
      </c>
      <c r="U1187" s="3" t="str">
        <f>IF(ISERROR(VLOOKUP(Base_Periodo1[[#This Row],[CONTA]],BaseContasDRE[#All],7,FALSE)),"Fora do DRE",VLOOKUP(Base_Periodo1[[#This Row],[CONTA]],BaseContasDRE[#All],7,FALSE))</f>
        <v>Fora do DRE</v>
      </c>
      <c r="V1187" s="3" t="str">
        <f>IF(Base_Periodo1[[#This Row],[Tipo_Linha]]="Fora do DRE","Fora do DRE","( "&amp;Base_Periodo1[[#This Row],[Tipo_Linha]]&amp;" ) "&amp;Base_Periodo1[[#This Row],[Filtro]])</f>
        <v>Fora do DRE</v>
      </c>
      <c r="W1187" s="3" t="str">
        <f>LEFT(Base_Periodo1[[#This Row],[CLASS]],3)</f>
        <v>1.1</v>
      </c>
    </row>
    <row r="1188" spans="1:23" hidden="1">
      <c r="A1188" s="3" t="str">
        <f t="shared" si="18"/>
        <v>Período 1</v>
      </c>
      <c r="B1188">
        <v>56412</v>
      </c>
      <c r="C1188" t="s">
        <v>5633</v>
      </c>
      <c r="D1188" t="s">
        <v>5634</v>
      </c>
      <c r="E1188" s="3" t="str">
        <f>IF(LEN(Base_Periodo1[[#This Row],[CLASS]])&gt;=7,LEFT(Base_Periodo1[[#This Row],[CLASS]],7),"")</f>
        <v>1.1.2.2</v>
      </c>
      <c r="F1188" s="3" t="str">
        <f>VLOOKUP(Base_Periodo1[[#This Row],[Aux]],Base_Contas_Balanco[#All],2,FALSE)</f>
        <v>Creditos com não Cooperados</v>
      </c>
      <c r="G1188" s="1"/>
      <c r="H1188" s="225">
        <v>4007339.8600000003</v>
      </c>
      <c r="I1188" s="225">
        <v>0</v>
      </c>
      <c r="J1188" s="225">
        <v>0</v>
      </c>
      <c r="K1188" s="225">
        <v>4007339.8600000003</v>
      </c>
      <c r="L11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-4007339.86</v>
      </c>
      <c r="M1188" s="225">
        <f>ROUND(IF(AND(Base_Periodo1[[#This Row],[Tipo_Linha]]="-",Base_Periodo1[[#This Row],[TIPOSALDO]]="D"),Base_Periodo1[[#This Row],[SALDO_ATUAL]]*-1,Base_Periodo1[[#This Row],[SALDO_ATUAL]]),4)</f>
        <v>4007339.86</v>
      </c>
      <c r="N1188" t="s">
        <v>116</v>
      </c>
      <c r="O1188" t="s">
        <v>459</v>
      </c>
      <c r="P1188" t="s">
        <v>459</v>
      </c>
      <c r="Q1188">
        <v>7</v>
      </c>
      <c r="R1188" s="225">
        <f>Base_Periodo1[[#This Row],[CREDITOS]]-Base_Periodo1[[#This Row],[DEBITOS]]</f>
        <v>0</v>
      </c>
      <c r="S1188" s="3" t="str">
        <f>IF(ISERROR(VLOOKUP(Base_Periodo1[[#This Row],[CONTA]],BaseContasDRE[#All],4,FALSE)),"Fora do DRE",VLOOKUP(Base_Periodo1[[#This Row],[CONTA]],BaseContasDRE[#All],4,FALSE))</f>
        <v>Fora do DRE</v>
      </c>
      <c r="T1188" s="3" t="str">
        <f>IF(ISERROR(VLOOKUP(Base_Periodo1[[#This Row],[CONTA]],BaseContasDRE[#All],5,FALSE)),"Fora do DRE",VLOOKUP(Base_Periodo1[[#This Row],[CONTA]],BaseContasDRE[#All],6,FALSE))</f>
        <v>Fora do DRE</v>
      </c>
      <c r="U1188" s="3" t="str">
        <f>IF(ISERROR(VLOOKUP(Base_Periodo1[[#This Row],[CONTA]],BaseContasDRE[#All],7,FALSE)),"Fora do DRE",VLOOKUP(Base_Periodo1[[#This Row],[CONTA]],BaseContasDRE[#All],7,FALSE))</f>
        <v>Fora do DRE</v>
      </c>
      <c r="V1188" s="3" t="str">
        <f>IF(Base_Periodo1[[#This Row],[Tipo_Linha]]="Fora do DRE","Fora do DRE","( "&amp;Base_Periodo1[[#This Row],[Tipo_Linha]]&amp;" ) "&amp;Base_Periodo1[[#This Row],[Filtro]])</f>
        <v>Fora do DRE</v>
      </c>
      <c r="W1188" s="3" t="str">
        <f>LEFT(Base_Periodo1[[#This Row],[CLASS]],3)</f>
        <v>1.1</v>
      </c>
    </row>
    <row r="1189" spans="1:23" hidden="1">
      <c r="A1189" s="3" t="str">
        <f t="shared" si="18"/>
        <v>Período 1</v>
      </c>
      <c r="B1189">
        <v>19985</v>
      </c>
      <c r="C1189" t="s">
        <v>985</v>
      </c>
      <c r="D1189" t="s">
        <v>986</v>
      </c>
      <c r="E1189" s="3" t="str">
        <f>IF(LEN(Base_Periodo1[[#This Row],[CLASS]])&gt;=7,LEFT(Base_Periodo1[[#This Row],[CLASS]],7),"")</f>
        <v>1.1.2.2</v>
      </c>
      <c r="F1189" s="3" t="str">
        <f>VLOOKUP(Base_Periodo1[[#This Row],[Aux]],Base_Contas_Balanco[#All],2,FALSE)</f>
        <v>Creditos com não Cooperados</v>
      </c>
      <c r="G1189" s="1"/>
      <c r="I1189" s="225">
        <v>1202600</v>
      </c>
      <c r="J1189" s="225">
        <v>0</v>
      </c>
      <c r="K1189" s="225">
        <v>1202599.9999999998</v>
      </c>
      <c r="L11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1202600</v>
      </c>
      <c r="M1189" s="225">
        <f>ROUND(IF(AND(Base_Periodo1[[#This Row],[Tipo_Linha]]="-",Base_Periodo1[[#This Row],[TIPOSALDO]]="D"),Base_Periodo1[[#This Row],[SALDO_ATUAL]]*-1,Base_Periodo1[[#This Row],[SALDO_ATUAL]]),4)</f>
        <v>1202600</v>
      </c>
      <c r="N1189" t="s">
        <v>396</v>
      </c>
      <c r="O1189" t="s">
        <v>436</v>
      </c>
      <c r="P1189" t="s">
        <v>397</v>
      </c>
      <c r="Q1189">
        <v>5</v>
      </c>
      <c r="R1189" s="225">
        <f>Base_Periodo1[[#This Row],[CREDITOS]]-Base_Periodo1[[#This Row],[DEBITOS]]</f>
        <v>-1202600</v>
      </c>
      <c r="S1189" s="3" t="str">
        <f>IF(ISERROR(VLOOKUP(Base_Periodo1[[#This Row],[CONTA]],BaseContasDRE[#All],4,FALSE)),"Fora do DRE",VLOOKUP(Base_Periodo1[[#This Row],[CONTA]],BaseContasDRE[#All],4,FALSE))</f>
        <v>Fora do DRE</v>
      </c>
      <c r="T1189" s="3" t="str">
        <f>IF(ISERROR(VLOOKUP(Base_Periodo1[[#This Row],[CONTA]],BaseContasDRE[#All],5,FALSE)),"Fora do DRE",VLOOKUP(Base_Periodo1[[#This Row],[CONTA]],BaseContasDRE[#All],6,FALSE))</f>
        <v>Fora do DRE</v>
      </c>
      <c r="U1189" s="3" t="str">
        <f>IF(ISERROR(VLOOKUP(Base_Periodo1[[#This Row],[CONTA]],BaseContasDRE[#All],7,FALSE)),"Fora do DRE",VLOOKUP(Base_Periodo1[[#This Row],[CONTA]],BaseContasDRE[#All],7,FALSE))</f>
        <v>Fora do DRE</v>
      </c>
      <c r="V1189" s="3" t="str">
        <f>IF(Base_Periodo1[[#This Row],[Tipo_Linha]]="Fora do DRE","Fora do DRE","( "&amp;Base_Periodo1[[#This Row],[Tipo_Linha]]&amp;" ) "&amp;Base_Periodo1[[#This Row],[Filtro]])</f>
        <v>Fora do DRE</v>
      </c>
      <c r="W1189" s="3" t="str">
        <f>LEFT(Base_Periodo1[[#This Row],[CLASS]],3)</f>
        <v>1.1</v>
      </c>
    </row>
    <row r="1190" spans="1:23" hidden="1">
      <c r="A1190" s="3" t="str">
        <f t="shared" si="18"/>
        <v>Período 1</v>
      </c>
      <c r="B1190">
        <v>53</v>
      </c>
      <c r="C1190" t="s">
        <v>6792</v>
      </c>
      <c r="D1190" t="s">
        <v>6793</v>
      </c>
      <c r="E1190" s="3" t="str">
        <f>IF(LEN(Base_Periodo1[[#This Row],[CLASS]])&gt;=7,LEFT(Base_Periodo1[[#This Row],[CLASS]],7),"")</f>
        <v>1.1.2.2</v>
      </c>
      <c r="F1190" s="3" t="str">
        <f>VLOOKUP(Base_Periodo1[[#This Row],[Aux]],Base_Contas_Balanco[#All],2,FALSE)</f>
        <v>Creditos com não Cooperados</v>
      </c>
      <c r="G1190" s="1">
        <v>42864</v>
      </c>
      <c r="I1190" s="225">
        <v>1202600</v>
      </c>
      <c r="J1190" s="225">
        <v>0</v>
      </c>
      <c r="K1190" s="225">
        <v>1202600</v>
      </c>
      <c r="L11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1202600</v>
      </c>
      <c r="M1190" s="225">
        <f>ROUND(IF(AND(Base_Periodo1[[#This Row],[Tipo_Linha]]="-",Base_Periodo1[[#This Row],[TIPOSALDO]]="D"),Base_Periodo1[[#This Row],[SALDO_ATUAL]]*-1,Base_Periodo1[[#This Row],[SALDO_ATUAL]]),4)</f>
        <v>1202600</v>
      </c>
      <c r="N1190" t="s">
        <v>116</v>
      </c>
      <c r="O1190" t="s">
        <v>436</v>
      </c>
      <c r="P1190" t="s">
        <v>397</v>
      </c>
      <c r="Q1190">
        <v>6</v>
      </c>
      <c r="R1190" s="225">
        <f>Base_Periodo1[[#This Row],[CREDITOS]]-Base_Periodo1[[#This Row],[DEBITOS]]</f>
        <v>-1202600</v>
      </c>
      <c r="S1190" s="3" t="str">
        <f>IF(ISERROR(VLOOKUP(Base_Periodo1[[#This Row],[CONTA]],BaseContasDRE[#All],4,FALSE)),"Fora do DRE",VLOOKUP(Base_Periodo1[[#This Row],[CONTA]],BaseContasDRE[#All],4,FALSE))</f>
        <v>Fora do DRE</v>
      </c>
      <c r="T1190" s="3" t="str">
        <f>IF(ISERROR(VLOOKUP(Base_Periodo1[[#This Row],[CONTA]],BaseContasDRE[#All],5,FALSE)),"Fora do DRE",VLOOKUP(Base_Periodo1[[#This Row],[CONTA]],BaseContasDRE[#All],6,FALSE))</f>
        <v>Fora do DRE</v>
      </c>
      <c r="U1190" s="3" t="str">
        <f>IF(ISERROR(VLOOKUP(Base_Periodo1[[#This Row],[CONTA]],BaseContasDRE[#All],7,FALSE)),"Fora do DRE",VLOOKUP(Base_Periodo1[[#This Row],[CONTA]],BaseContasDRE[#All],7,FALSE))</f>
        <v>Fora do DRE</v>
      </c>
      <c r="V1190" s="3" t="str">
        <f>IF(Base_Periodo1[[#This Row],[Tipo_Linha]]="Fora do DRE","Fora do DRE","( "&amp;Base_Periodo1[[#This Row],[Tipo_Linha]]&amp;" ) "&amp;Base_Periodo1[[#This Row],[Filtro]])</f>
        <v>Fora do DRE</v>
      </c>
      <c r="W1190" s="3" t="str">
        <f>LEFT(Base_Periodo1[[#This Row],[CLASS]],3)</f>
        <v>1.1</v>
      </c>
    </row>
    <row r="1191" spans="1:23" hidden="1">
      <c r="A1191" s="3" t="str">
        <f t="shared" si="18"/>
        <v>Período 1</v>
      </c>
      <c r="B1191">
        <v>57</v>
      </c>
      <c r="C1191" t="s">
        <v>987</v>
      </c>
      <c r="D1191" t="s">
        <v>914</v>
      </c>
      <c r="E1191" s="3" t="str">
        <f>IF(LEN(Base_Periodo1[[#This Row],[CLASS]])&gt;=7,LEFT(Base_Periodo1[[#This Row],[CLASS]],7),"")</f>
        <v>1.1.2.2</v>
      </c>
      <c r="F1191" s="3" t="str">
        <f>VLOOKUP(Base_Periodo1[[#This Row],[Aux]],Base_Contas_Balanco[#All],2,FALSE)</f>
        <v>Creditos com não Cooperados</v>
      </c>
      <c r="G1191" s="1"/>
      <c r="H1191" s="225">
        <v>19839969.810000397</v>
      </c>
      <c r="I1191" s="225">
        <v>7731521.0299999993</v>
      </c>
      <c r="J1191" s="225">
        <v>6072634.8600000003</v>
      </c>
      <c r="K1191" s="225">
        <v>21498855.980000399</v>
      </c>
      <c r="L11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21498855.98</v>
      </c>
      <c r="M1191" s="225">
        <f>ROUND(IF(AND(Base_Periodo1[[#This Row],[Tipo_Linha]]="-",Base_Periodo1[[#This Row],[TIPOSALDO]]="D"),Base_Periodo1[[#This Row],[SALDO_ATUAL]]*-1,Base_Periodo1[[#This Row],[SALDO_ATUAL]]),4)</f>
        <v>21498855.98</v>
      </c>
      <c r="N1191" t="s">
        <v>396</v>
      </c>
      <c r="O1191" t="s">
        <v>397</v>
      </c>
      <c r="P1191" t="s">
        <v>397</v>
      </c>
      <c r="Q1191">
        <v>5</v>
      </c>
      <c r="R1191" s="225">
        <f>Base_Periodo1[[#This Row],[CREDITOS]]-Base_Periodo1[[#This Row],[DEBITOS]]</f>
        <v>-1658886.169999999</v>
      </c>
      <c r="S1191" s="3" t="str">
        <f>IF(ISERROR(VLOOKUP(Base_Periodo1[[#This Row],[CONTA]],BaseContasDRE[#All],4,FALSE)),"Fora do DRE",VLOOKUP(Base_Periodo1[[#This Row],[CONTA]],BaseContasDRE[#All],4,FALSE))</f>
        <v>Fora do DRE</v>
      </c>
      <c r="T1191" s="3" t="str">
        <f>IF(ISERROR(VLOOKUP(Base_Periodo1[[#This Row],[CONTA]],BaseContasDRE[#All],5,FALSE)),"Fora do DRE",VLOOKUP(Base_Periodo1[[#This Row],[CONTA]],BaseContasDRE[#All],6,FALSE))</f>
        <v>Fora do DRE</v>
      </c>
      <c r="U1191" s="3" t="str">
        <f>IF(ISERROR(VLOOKUP(Base_Periodo1[[#This Row],[CONTA]],BaseContasDRE[#All],7,FALSE)),"Fora do DRE",VLOOKUP(Base_Periodo1[[#This Row],[CONTA]],BaseContasDRE[#All],7,FALSE))</f>
        <v>Fora do DRE</v>
      </c>
      <c r="V1191" s="3" t="str">
        <f>IF(Base_Periodo1[[#This Row],[Tipo_Linha]]="Fora do DRE","Fora do DRE","( "&amp;Base_Periodo1[[#This Row],[Tipo_Linha]]&amp;" ) "&amp;Base_Periodo1[[#This Row],[Filtro]])</f>
        <v>Fora do DRE</v>
      </c>
      <c r="W1191" s="3" t="str">
        <f>LEFT(Base_Periodo1[[#This Row],[CLASS]],3)</f>
        <v>1.1</v>
      </c>
    </row>
    <row r="1192" spans="1:23" hidden="1">
      <c r="A1192" s="3" t="str">
        <f t="shared" si="18"/>
        <v>Período 1</v>
      </c>
      <c r="B1192">
        <v>59</v>
      </c>
      <c r="C1192" t="s">
        <v>988</v>
      </c>
      <c r="D1192" t="s">
        <v>989</v>
      </c>
      <c r="E1192" s="3" t="str">
        <f>IF(LEN(Base_Periodo1[[#This Row],[CLASS]])&gt;=7,LEFT(Base_Periodo1[[#This Row],[CLASS]],7),"")</f>
        <v>1.1.2.2</v>
      </c>
      <c r="F1192" s="3" t="str">
        <f>VLOOKUP(Base_Periodo1[[#This Row],[Aux]],Base_Contas_Balanco[#All],2,FALSE)</f>
        <v>Creditos com não Cooperados</v>
      </c>
      <c r="G1192" s="1">
        <v>42886</v>
      </c>
      <c r="H1192" s="225">
        <v>42173.900000000023</v>
      </c>
      <c r="I1192" s="225">
        <v>14823.47</v>
      </c>
      <c r="J1192" s="225">
        <v>14887.08</v>
      </c>
      <c r="K1192" s="225">
        <v>42110.290000000023</v>
      </c>
      <c r="L11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42110.29</v>
      </c>
      <c r="M1192" s="225">
        <f>ROUND(IF(AND(Base_Periodo1[[#This Row],[Tipo_Linha]]="-",Base_Periodo1[[#This Row],[TIPOSALDO]]="D"),Base_Periodo1[[#This Row],[SALDO_ATUAL]]*-1,Base_Periodo1[[#This Row],[SALDO_ATUAL]]),4)</f>
        <v>42110.29</v>
      </c>
      <c r="N1192" t="s">
        <v>116</v>
      </c>
      <c r="O1192" t="s">
        <v>397</v>
      </c>
      <c r="P1192" t="s">
        <v>397</v>
      </c>
      <c r="Q1192">
        <v>6</v>
      </c>
      <c r="R1192" s="225">
        <f>Base_Periodo1[[#This Row],[CREDITOS]]-Base_Periodo1[[#This Row],[DEBITOS]]</f>
        <v>63.610000000000582</v>
      </c>
      <c r="S1192" s="3" t="str">
        <f>IF(ISERROR(VLOOKUP(Base_Periodo1[[#This Row],[CONTA]],BaseContasDRE[#All],4,FALSE)),"Fora do DRE",VLOOKUP(Base_Periodo1[[#This Row],[CONTA]],BaseContasDRE[#All],4,FALSE))</f>
        <v>Fora do DRE</v>
      </c>
      <c r="T1192" s="3" t="str">
        <f>IF(ISERROR(VLOOKUP(Base_Periodo1[[#This Row],[CONTA]],BaseContasDRE[#All],5,FALSE)),"Fora do DRE",VLOOKUP(Base_Periodo1[[#This Row],[CONTA]],BaseContasDRE[#All],6,FALSE))</f>
        <v>Fora do DRE</v>
      </c>
      <c r="U1192" s="3" t="str">
        <f>IF(ISERROR(VLOOKUP(Base_Periodo1[[#This Row],[CONTA]],BaseContasDRE[#All],7,FALSE)),"Fora do DRE",VLOOKUP(Base_Periodo1[[#This Row],[CONTA]],BaseContasDRE[#All],7,FALSE))</f>
        <v>Fora do DRE</v>
      </c>
      <c r="V1192" s="3" t="str">
        <f>IF(Base_Periodo1[[#This Row],[Tipo_Linha]]="Fora do DRE","Fora do DRE","( "&amp;Base_Periodo1[[#This Row],[Tipo_Linha]]&amp;" ) "&amp;Base_Periodo1[[#This Row],[Filtro]])</f>
        <v>Fora do DRE</v>
      </c>
      <c r="W1192" s="3" t="str">
        <f>LEFT(Base_Periodo1[[#This Row],[CLASS]],3)</f>
        <v>1.1</v>
      </c>
    </row>
    <row r="1193" spans="1:23" hidden="1">
      <c r="A1193" s="3" t="str">
        <f t="shared" si="18"/>
        <v>Período 1</v>
      </c>
      <c r="B1193">
        <v>60</v>
      </c>
      <c r="C1193" t="s">
        <v>5671</v>
      </c>
      <c r="D1193" t="s">
        <v>5672</v>
      </c>
      <c r="E1193" s="3" t="str">
        <f>IF(LEN(Base_Periodo1[[#This Row],[CLASS]])&gt;=7,LEFT(Base_Periodo1[[#This Row],[CLASS]],7),"")</f>
        <v>1.1.2.2</v>
      </c>
      <c r="F1193" s="3" t="str">
        <f>VLOOKUP(Base_Periodo1[[#This Row],[Aux]],Base_Contas_Balanco[#All],2,FALSE)</f>
        <v>Creditos com não Cooperados</v>
      </c>
      <c r="G1193" s="1">
        <v>42886</v>
      </c>
      <c r="H1193" s="225">
        <v>0.18999999997322448</v>
      </c>
      <c r="I1193" s="225">
        <v>6862.8600000000006</v>
      </c>
      <c r="J1193" s="225">
        <v>6862.8600000000006</v>
      </c>
      <c r="K1193" s="225">
        <v>0.18999999997322448</v>
      </c>
      <c r="L11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-0.19</v>
      </c>
      <c r="M1193" s="225">
        <f>ROUND(IF(AND(Base_Periodo1[[#This Row],[Tipo_Linha]]="-",Base_Periodo1[[#This Row],[TIPOSALDO]]="D"),Base_Periodo1[[#This Row],[SALDO_ATUAL]]*-1,Base_Periodo1[[#This Row],[SALDO_ATUAL]]),4)</f>
        <v>0.19</v>
      </c>
      <c r="N1193" t="s">
        <v>116</v>
      </c>
      <c r="O1193" t="s">
        <v>459</v>
      </c>
      <c r="P1193" t="s">
        <v>459</v>
      </c>
      <c r="Q1193">
        <v>6</v>
      </c>
      <c r="R1193" s="225">
        <f>Base_Periodo1[[#This Row],[CREDITOS]]-Base_Periodo1[[#This Row],[DEBITOS]]</f>
        <v>0</v>
      </c>
      <c r="S1193" s="3" t="str">
        <f>IF(ISERROR(VLOOKUP(Base_Periodo1[[#This Row],[CONTA]],BaseContasDRE[#All],4,FALSE)),"Fora do DRE",VLOOKUP(Base_Periodo1[[#This Row],[CONTA]],BaseContasDRE[#All],4,FALSE))</f>
        <v>Fora do DRE</v>
      </c>
      <c r="T1193" s="3" t="str">
        <f>IF(ISERROR(VLOOKUP(Base_Periodo1[[#This Row],[CONTA]],BaseContasDRE[#All],5,FALSE)),"Fora do DRE",VLOOKUP(Base_Periodo1[[#This Row],[CONTA]],BaseContasDRE[#All],6,FALSE))</f>
        <v>Fora do DRE</v>
      </c>
      <c r="U1193" s="3" t="str">
        <f>IF(ISERROR(VLOOKUP(Base_Periodo1[[#This Row],[CONTA]],BaseContasDRE[#All],7,FALSE)),"Fora do DRE",VLOOKUP(Base_Periodo1[[#This Row],[CONTA]],BaseContasDRE[#All],7,FALSE))</f>
        <v>Fora do DRE</v>
      </c>
      <c r="V1193" s="3" t="str">
        <f>IF(Base_Periodo1[[#This Row],[Tipo_Linha]]="Fora do DRE","Fora do DRE","( "&amp;Base_Periodo1[[#This Row],[Tipo_Linha]]&amp;" ) "&amp;Base_Periodo1[[#This Row],[Filtro]])</f>
        <v>Fora do DRE</v>
      </c>
      <c r="W1193" s="3" t="str">
        <f>LEFT(Base_Periodo1[[#This Row],[CLASS]],3)</f>
        <v>1.1</v>
      </c>
    </row>
    <row r="1194" spans="1:23" hidden="1">
      <c r="A1194" s="3" t="str">
        <f t="shared" si="18"/>
        <v>Período 1</v>
      </c>
      <c r="B1194">
        <v>61</v>
      </c>
      <c r="C1194" t="s">
        <v>990</v>
      </c>
      <c r="D1194" t="s">
        <v>991</v>
      </c>
      <c r="E1194" s="3" t="str">
        <f>IF(LEN(Base_Periodo1[[#This Row],[CLASS]])&gt;=7,LEFT(Base_Periodo1[[#This Row],[CLASS]],7),"")</f>
        <v>1.1.2.2</v>
      </c>
      <c r="F1194" s="3" t="str">
        <f>VLOOKUP(Base_Periodo1[[#This Row],[Aux]],Base_Contas_Balanco[#All],2,FALSE)</f>
        <v>Creditos com não Cooperados</v>
      </c>
      <c r="G1194" s="1"/>
      <c r="H1194" s="225">
        <v>19650714.560000405</v>
      </c>
      <c r="I1194" s="225">
        <v>7603269.9699999997</v>
      </c>
      <c r="J1194" s="225">
        <v>5958919.620000001</v>
      </c>
      <c r="K1194" s="225">
        <v>21295064.910000402</v>
      </c>
      <c r="L11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21295064.91</v>
      </c>
      <c r="M1194" s="225">
        <f>ROUND(IF(AND(Base_Periodo1[[#This Row],[Tipo_Linha]]="-",Base_Periodo1[[#This Row],[TIPOSALDO]]="D"),Base_Periodo1[[#This Row],[SALDO_ATUAL]]*-1,Base_Periodo1[[#This Row],[SALDO_ATUAL]]),4)</f>
        <v>21295064.91</v>
      </c>
      <c r="N1194" t="s">
        <v>396</v>
      </c>
      <c r="O1194" t="s">
        <v>397</v>
      </c>
      <c r="P1194" t="s">
        <v>397</v>
      </c>
      <c r="Q1194">
        <v>6</v>
      </c>
      <c r="R1194" s="225">
        <f>Base_Periodo1[[#This Row],[CREDITOS]]-Base_Periodo1[[#This Row],[DEBITOS]]</f>
        <v>-1644350.3499999987</v>
      </c>
      <c r="S1194" s="3" t="str">
        <f>IF(ISERROR(VLOOKUP(Base_Periodo1[[#This Row],[CONTA]],BaseContasDRE[#All],4,FALSE)),"Fora do DRE",VLOOKUP(Base_Periodo1[[#This Row],[CONTA]],BaseContasDRE[#All],4,FALSE))</f>
        <v>Fora do DRE</v>
      </c>
      <c r="T1194" s="3" t="str">
        <f>IF(ISERROR(VLOOKUP(Base_Periodo1[[#This Row],[CONTA]],BaseContasDRE[#All],5,FALSE)),"Fora do DRE",VLOOKUP(Base_Periodo1[[#This Row],[CONTA]],BaseContasDRE[#All],6,FALSE))</f>
        <v>Fora do DRE</v>
      </c>
      <c r="U1194" s="3" t="str">
        <f>IF(ISERROR(VLOOKUP(Base_Periodo1[[#This Row],[CONTA]],BaseContasDRE[#All],7,FALSE)),"Fora do DRE",VLOOKUP(Base_Periodo1[[#This Row],[CONTA]],BaseContasDRE[#All],7,FALSE))</f>
        <v>Fora do DRE</v>
      </c>
      <c r="V1194" s="3" t="str">
        <f>IF(Base_Periodo1[[#This Row],[Tipo_Linha]]="Fora do DRE","Fora do DRE","( "&amp;Base_Periodo1[[#This Row],[Tipo_Linha]]&amp;" ) "&amp;Base_Periodo1[[#This Row],[Filtro]])</f>
        <v>Fora do DRE</v>
      </c>
      <c r="W1194" s="3" t="str">
        <f>LEFT(Base_Periodo1[[#This Row],[CLASS]],3)</f>
        <v>1.1</v>
      </c>
    </row>
    <row r="1195" spans="1:23" hidden="1">
      <c r="A1195" s="3" t="str">
        <f t="shared" si="18"/>
        <v>Período 1</v>
      </c>
      <c r="B1195">
        <v>37698</v>
      </c>
      <c r="C1195" t="s">
        <v>992</v>
      </c>
      <c r="D1195" t="s">
        <v>6210</v>
      </c>
      <c r="E1195" s="3" t="str">
        <f>IF(LEN(Base_Periodo1[[#This Row],[CLASS]])&gt;=7,LEFT(Base_Periodo1[[#This Row],[CLASS]],7),"")</f>
        <v>1.1.2.2</v>
      </c>
      <c r="F1195" s="3" t="str">
        <f>VLOOKUP(Base_Periodo1[[#This Row],[Aux]],Base_Contas_Balanco[#All],2,FALSE)</f>
        <v>Creditos com não Cooperados</v>
      </c>
      <c r="G1195" s="1">
        <v>42874</v>
      </c>
      <c r="H1195" s="225">
        <v>347748.21999999991</v>
      </c>
      <c r="I1195" s="225">
        <v>97185.26</v>
      </c>
      <c r="J1195" s="225">
        <v>306211.08999999997</v>
      </c>
      <c r="K1195" s="225">
        <v>138722.38999999996</v>
      </c>
      <c r="L11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138722.39000000001</v>
      </c>
      <c r="M1195" s="225">
        <f>ROUND(IF(AND(Base_Periodo1[[#This Row],[Tipo_Linha]]="-",Base_Periodo1[[#This Row],[TIPOSALDO]]="D"),Base_Periodo1[[#This Row],[SALDO_ATUAL]]*-1,Base_Periodo1[[#This Row],[SALDO_ATUAL]]),4)</f>
        <v>138722.39000000001</v>
      </c>
      <c r="N1195" t="s">
        <v>116</v>
      </c>
      <c r="O1195" t="s">
        <v>397</v>
      </c>
      <c r="P1195" t="s">
        <v>397</v>
      </c>
      <c r="Q1195">
        <v>7</v>
      </c>
      <c r="R1195" s="225">
        <f>Base_Periodo1[[#This Row],[CREDITOS]]-Base_Periodo1[[#This Row],[DEBITOS]]</f>
        <v>209025.82999999996</v>
      </c>
      <c r="S1195" s="3" t="str">
        <f>IF(ISERROR(VLOOKUP(Base_Periodo1[[#This Row],[CONTA]],BaseContasDRE[#All],4,FALSE)),"Fora do DRE",VLOOKUP(Base_Periodo1[[#This Row],[CONTA]],BaseContasDRE[#All],4,FALSE))</f>
        <v>Fora do DRE</v>
      </c>
      <c r="T1195" s="3" t="str">
        <f>IF(ISERROR(VLOOKUP(Base_Periodo1[[#This Row],[CONTA]],BaseContasDRE[#All],5,FALSE)),"Fora do DRE",VLOOKUP(Base_Periodo1[[#This Row],[CONTA]],BaseContasDRE[#All],6,FALSE))</f>
        <v>Fora do DRE</v>
      </c>
      <c r="U1195" s="3" t="str">
        <f>IF(ISERROR(VLOOKUP(Base_Periodo1[[#This Row],[CONTA]],BaseContasDRE[#All],7,FALSE)),"Fora do DRE",VLOOKUP(Base_Periodo1[[#This Row],[CONTA]],BaseContasDRE[#All],7,FALSE))</f>
        <v>Fora do DRE</v>
      </c>
      <c r="V1195" s="3" t="str">
        <f>IF(Base_Periodo1[[#This Row],[Tipo_Linha]]="Fora do DRE","Fora do DRE","( "&amp;Base_Periodo1[[#This Row],[Tipo_Linha]]&amp;" ) "&amp;Base_Periodo1[[#This Row],[Filtro]])</f>
        <v>Fora do DRE</v>
      </c>
      <c r="W1195" s="3" t="str">
        <f>LEFT(Base_Periodo1[[#This Row],[CLASS]],3)</f>
        <v>1.1</v>
      </c>
    </row>
    <row r="1196" spans="1:23" hidden="1">
      <c r="A1196" s="3" t="str">
        <f t="shared" si="18"/>
        <v>Período 1</v>
      </c>
      <c r="B1196">
        <v>7836</v>
      </c>
      <c r="C1196" t="s">
        <v>992</v>
      </c>
      <c r="D1196" t="s">
        <v>6211</v>
      </c>
      <c r="E1196" s="3" t="str">
        <f>IF(LEN(Base_Periodo1[[#This Row],[CLASS]])&gt;=7,LEFT(Base_Periodo1[[#This Row],[CLASS]],7),"")</f>
        <v>1.1.2.2</v>
      </c>
      <c r="F1196" s="3" t="str">
        <f>VLOOKUP(Base_Periodo1[[#This Row],[Aux]],Base_Contas_Balanco[#All],2,FALSE)</f>
        <v>Creditos com não Cooperados</v>
      </c>
      <c r="G1196" s="1">
        <v>42879</v>
      </c>
      <c r="H1196" s="225">
        <v>54960.100000000093</v>
      </c>
      <c r="I1196" s="225">
        <v>54960.1</v>
      </c>
      <c r="J1196" s="225">
        <v>109920.2</v>
      </c>
      <c r="K1196" s="225">
        <v>1.0186340659856796E-10</v>
      </c>
      <c r="L11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196" s="225">
        <f>ROUND(IF(AND(Base_Periodo1[[#This Row],[Tipo_Linha]]="-",Base_Periodo1[[#This Row],[TIPOSALDO]]="D"),Base_Periodo1[[#This Row],[SALDO_ATUAL]]*-1,Base_Periodo1[[#This Row],[SALDO_ATUAL]]),4)</f>
        <v>0</v>
      </c>
      <c r="N1196" t="s">
        <v>116</v>
      </c>
      <c r="O1196" t="s">
        <v>397</v>
      </c>
      <c r="P1196" t="s">
        <v>436</v>
      </c>
      <c r="Q1196">
        <v>7</v>
      </c>
      <c r="R1196" s="225">
        <f>Base_Periodo1[[#This Row],[CREDITOS]]-Base_Periodo1[[#This Row],[DEBITOS]]</f>
        <v>54960.1</v>
      </c>
      <c r="S1196" s="3" t="str">
        <f>IF(ISERROR(VLOOKUP(Base_Periodo1[[#This Row],[CONTA]],BaseContasDRE[#All],4,FALSE)),"Fora do DRE",VLOOKUP(Base_Periodo1[[#This Row],[CONTA]],BaseContasDRE[#All],4,FALSE))</f>
        <v>Fora do DRE</v>
      </c>
      <c r="T1196" s="3" t="str">
        <f>IF(ISERROR(VLOOKUP(Base_Periodo1[[#This Row],[CONTA]],BaseContasDRE[#All],5,FALSE)),"Fora do DRE",VLOOKUP(Base_Periodo1[[#This Row],[CONTA]],BaseContasDRE[#All],6,FALSE))</f>
        <v>Fora do DRE</v>
      </c>
      <c r="U1196" s="3" t="str">
        <f>IF(ISERROR(VLOOKUP(Base_Periodo1[[#This Row],[CONTA]],BaseContasDRE[#All],7,FALSE)),"Fora do DRE",VLOOKUP(Base_Periodo1[[#This Row],[CONTA]],BaseContasDRE[#All],7,FALSE))</f>
        <v>Fora do DRE</v>
      </c>
      <c r="V1196" s="3" t="str">
        <f>IF(Base_Periodo1[[#This Row],[Tipo_Linha]]="Fora do DRE","Fora do DRE","( "&amp;Base_Periodo1[[#This Row],[Tipo_Linha]]&amp;" ) "&amp;Base_Periodo1[[#This Row],[Filtro]])</f>
        <v>Fora do DRE</v>
      </c>
      <c r="W1196" s="3" t="str">
        <f>LEFT(Base_Periodo1[[#This Row],[CLASS]],3)</f>
        <v>1.1</v>
      </c>
    </row>
    <row r="1197" spans="1:23" hidden="1">
      <c r="A1197" s="3" t="str">
        <f t="shared" si="18"/>
        <v>Período 1</v>
      </c>
      <c r="B1197">
        <v>7824</v>
      </c>
      <c r="C1197" t="s">
        <v>992</v>
      </c>
      <c r="D1197" t="s">
        <v>5884</v>
      </c>
      <c r="E1197" s="3" t="str">
        <f>IF(LEN(Base_Periodo1[[#This Row],[CLASS]])&gt;=7,LEFT(Base_Periodo1[[#This Row],[CLASS]],7),"")</f>
        <v>1.1.2.2</v>
      </c>
      <c r="F1197" s="3" t="str">
        <f>VLOOKUP(Base_Periodo1[[#This Row],[Aux]],Base_Contas_Balanco[#All],2,FALSE)</f>
        <v>Creditos com não Cooperados</v>
      </c>
      <c r="G1197" s="1">
        <v>42772</v>
      </c>
      <c r="H1197" s="225">
        <v>116192.87999999989</v>
      </c>
      <c r="I1197" s="225">
        <v>0</v>
      </c>
      <c r="J1197" s="225">
        <v>0</v>
      </c>
      <c r="K1197" s="225">
        <v>116192.87999999989</v>
      </c>
      <c r="L11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116192.88</v>
      </c>
      <c r="M1197" s="225">
        <f>ROUND(IF(AND(Base_Periodo1[[#This Row],[Tipo_Linha]]="-",Base_Periodo1[[#This Row],[TIPOSALDO]]="D"),Base_Periodo1[[#This Row],[SALDO_ATUAL]]*-1,Base_Periodo1[[#This Row],[SALDO_ATUAL]]),4)</f>
        <v>116192.88</v>
      </c>
      <c r="N1197" t="s">
        <v>116</v>
      </c>
      <c r="O1197" t="s">
        <v>397</v>
      </c>
      <c r="P1197" t="s">
        <v>397</v>
      </c>
      <c r="Q1197">
        <v>7</v>
      </c>
      <c r="R1197" s="225">
        <f>Base_Periodo1[[#This Row],[CREDITOS]]-Base_Periodo1[[#This Row],[DEBITOS]]</f>
        <v>0</v>
      </c>
      <c r="S1197" s="3" t="str">
        <f>IF(ISERROR(VLOOKUP(Base_Periodo1[[#This Row],[CONTA]],BaseContasDRE[#All],4,FALSE)),"Fora do DRE",VLOOKUP(Base_Periodo1[[#This Row],[CONTA]],BaseContasDRE[#All],4,FALSE))</f>
        <v>Fora do DRE</v>
      </c>
      <c r="T1197" s="3" t="str">
        <f>IF(ISERROR(VLOOKUP(Base_Periodo1[[#This Row],[CONTA]],BaseContasDRE[#All],5,FALSE)),"Fora do DRE",VLOOKUP(Base_Periodo1[[#This Row],[CONTA]],BaseContasDRE[#All],6,FALSE))</f>
        <v>Fora do DRE</v>
      </c>
      <c r="U1197" s="3" t="str">
        <f>IF(ISERROR(VLOOKUP(Base_Periodo1[[#This Row],[CONTA]],BaseContasDRE[#All],7,FALSE)),"Fora do DRE",VLOOKUP(Base_Periodo1[[#This Row],[CONTA]],BaseContasDRE[#All],7,FALSE))</f>
        <v>Fora do DRE</v>
      </c>
      <c r="V1197" s="3" t="str">
        <f>IF(Base_Periodo1[[#This Row],[Tipo_Linha]]="Fora do DRE","Fora do DRE","( "&amp;Base_Periodo1[[#This Row],[Tipo_Linha]]&amp;" ) "&amp;Base_Periodo1[[#This Row],[Filtro]])</f>
        <v>Fora do DRE</v>
      </c>
      <c r="W1197" s="3" t="str">
        <f>LEFT(Base_Periodo1[[#This Row],[CLASS]],3)</f>
        <v>1.1</v>
      </c>
    </row>
    <row r="1198" spans="1:23" hidden="1">
      <c r="A1198" s="3" t="str">
        <f t="shared" si="18"/>
        <v>Período 1</v>
      </c>
      <c r="B1198">
        <v>30903</v>
      </c>
      <c r="C1198" t="s">
        <v>992</v>
      </c>
      <c r="D1198" t="s">
        <v>993</v>
      </c>
      <c r="E1198" s="3" t="str">
        <f>IF(LEN(Base_Periodo1[[#This Row],[CLASS]])&gt;=7,LEFT(Base_Periodo1[[#This Row],[CLASS]],7),"")</f>
        <v>1.1.2.2</v>
      </c>
      <c r="F1198" s="3" t="str">
        <f>VLOOKUP(Base_Periodo1[[#This Row],[Aux]],Base_Contas_Balanco[#All],2,FALSE)</f>
        <v>Creditos com não Cooperados</v>
      </c>
      <c r="G1198" s="1">
        <v>42271</v>
      </c>
      <c r="H1198" s="225">
        <v>1829.2700000000186</v>
      </c>
      <c r="I1198" s="225">
        <v>0</v>
      </c>
      <c r="J1198" s="225">
        <v>0</v>
      </c>
      <c r="K1198" s="225">
        <v>1829.2700000000186</v>
      </c>
      <c r="L11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1829.27</v>
      </c>
      <c r="M1198" s="225">
        <f>ROUND(IF(AND(Base_Periodo1[[#This Row],[Tipo_Linha]]="-",Base_Periodo1[[#This Row],[TIPOSALDO]]="D"),Base_Periodo1[[#This Row],[SALDO_ATUAL]]*-1,Base_Periodo1[[#This Row],[SALDO_ATUAL]]),4)</f>
        <v>1829.27</v>
      </c>
      <c r="N1198" t="s">
        <v>116</v>
      </c>
      <c r="O1198" t="s">
        <v>397</v>
      </c>
      <c r="P1198" t="s">
        <v>397</v>
      </c>
      <c r="Q1198">
        <v>7</v>
      </c>
      <c r="R1198" s="225">
        <f>Base_Periodo1[[#This Row],[CREDITOS]]-Base_Periodo1[[#This Row],[DEBITOS]]</f>
        <v>0</v>
      </c>
      <c r="S1198" s="3" t="str">
        <f>IF(ISERROR(VLOOKUP(Base_Periodo1[[#This Row],[CONTA]],BaseContasDRE[#All],4,FALSE)),"Fora do DRE",VLOOKUP(Base_Periodo1[[#This Row],[CONTA]],BaseContasDRE[#All],4,FALSE))</f>
        <v>Fora do DRE</v>
      </c>
      <c r="T1198" s="3" t="str">
        <f>IF(ISERROR(VLOOKUP(Base_Periodo1[[#This Row],[CONTA]],BaseContasDRE[#All],5,FALSE)),"Fora do DRE",VLOOKUP(Base_Periodo1[[#This Row],[CONTA]],BaseContasDRE[#All],6,FALSE))</f>
        <v>Fora do DRE</v>
      </c>
      <c r="U1198" s="3" t="str">
        <f>IF(ISERROR(VLOOKUP(Base_Periodo1[[#This Row],[CONTA]],BaseContasDRE[#All],7,FALSE)),"Fora do DRE",VLOOKUP(Base_Periodo1[[#This Row],[CONTA]],BaseContasDRE[#All],7,FALSE))</f>
        <v>Fora do DRE</v>
      </c>
      <c r="V1198" s="3" t="str">
        <f>IF(Base_Periodo1[[#This Row],[Tipo_Linha]]="Fora do DRE","Fora do DRE","( "&amp;Base_Periodo1[[#This Row],[Tipo_Linha]]&amp;" ) "&amp;Base_Periodo1[[#This Row],[Filtro]])</f>
        <v>Fora do DRE</v>
      </c>
      <c r="W1198" s="3" t="str">
        <f>LEFT(Base_Periodo1[[#This Row],[CLASS]],3)</f>
        <v>1.1</v>
      </c>
    </row>
    <row r="1199" spans="1:23" hidden="1">
      <c r="A1199" s="3" t="str">
        <f t="shared" si="18"/>
        <v>Período 1</v>
      </c>
      <c r="B1199">
        <v>32281</v>
      </c>
      <c r="C1199" t="s">
        <v>992</v>
      </c>
      <c r="D1199" t="s">
        <v>6794</v>
      </c>
      <c r="E1199" s="3" t="str">
        <f>IF(LEN(Base_Periodo1[[#This Row],[CLASS]])&gt;=7,LEFT(Base_Periodo1[[#This Row],[CLASS]],7),"")</f>
        <v>1.1.2.2</v>
      </c>
      <c r="F1199" s="3" t="str">
        <f>VLOOKUP(Base_Periodo1[[#This Row],[Aux]],Base_Contas_Balanco[#All],2,FALSE)</f>
        <v>Creditos com não Cooperados</v>
      </c>
      <c r="G1199" s="1">
        <v>42870</v>
      </c>
      <c r="I1199" s="225">
        <v>22798.799999999999</v>
      </c>
      <c r="J1199" s="225">
        <v>0</v>
      </c>
      <c r="K1199" s="225">
        <v>22798.799999999999</v>
      </c>
      <c r="L11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22798.799999999999</v>
      </c>
      <c r="M1199" s="225">
        <f>ROUND(IF(AND(Base_Periodo1[[#This Row],[Tipo_Linha]]="-",Base_Periodo1[[#This Row],[TIPOSALDO]]="D"),Base_Periodo1[[#This Row],[SALDO_ATUAL]]*-1,Base_Periodo1[[#This Row],[SALDO_ATUAL]]),4)</f>
        <v>22798.799999999999</v>
      </c>
      <c r="N1199" t="s">
        <v>116</v>
      </c>
      <c r="O1199" t="s">
        <v>436</v>
      </c>
      <c r="P1199" t="s">
        <v>397</v>
      </c>
      <c r="Q1199">
        <v>7</v>
      </c>
      <c r="R1199" s="225">
        <f>Base_Periodo1[[#This Row],[CREDITOS]]-Base_Periodo1[[#This Row],[DEBITOS]]</f>
        <v>-22798.799999999999</v>
      </c>
      <c r="S1199" s="3" t="str">
        <f>IF(ISERROR(VLOOKUP(Base_Periodo1[[#This Row],[CONTA]],BaseContasDRE[#All],4,FALSE)),"Fora do DRE",VLOOKUP(Base_Periodo1[[#This Row],[CONTA]],BaseContasDRE[#All],4,FALSE))</f>
        <v>Fora do DRE</v>
      </c>
      <c r="T1199" s="3" t="str">
        <f>IF(ISERROR(VLOOKUP(Base_Periodo1[[#This Row],[CONTA]],BaseContasDRE[#All],5,FALSE)),"Fora do DRE",VLOOKUP(Base_Periodo1[[#This Row],[CONTA]],BaseContasDRE[#All],6,FALSE))</f>
        <v>Fora do DRE</v>
      </c>
      <c r="U1199" s="3" t="str">
        <f>IF(ISERROR(VLOOKUP(Base_Periodo1[[#This Row],[CONTA]],BaseContasDRE[#All],7,FALSE)),"Fora do DRE",VLOOKUP(Base_Periodo1[[#This Row],[CONTA]],BaseContasDRE[#All],7,FALSE))</f>
        <v>Fora do DRE</v>
      </c>
      <c r="V1199" s="3" t="str">
        <f>IF(Base_Periodo1[[#This Row],[Tipo_Linha]]="Fora do DRE","Fora do DRE","( "&amp;Base_Periodo1[[#This Row],[Tipo_Linha]]&amp;" ) "&amp;Base_Periodo1[[#This Row],[Filtro]])</f>
        <v>Fora do DRE</v>
      </c>
      <c r="W1199" s="3" t="str">
        <f>LEFT(Base_Periodo1[[#This Row],[CLASS]],3)</f>
        <v>1.1</v>
      </c>
    </row>
    <row r="1200" spans="1:23" hidden="1">
      <c r="A1200" s="3" t="str">
        <f t="shared" si="18"/>
        <v>Período 1</v>
      </c>
      <c r="B1200">
        <v>31891</v>
      </c>
      <c r="C1200" t="s">
        <v>992</v>
      </c>
      <c r="D1200" t="s">
        <v>4805</v>
      </c>
      <c r="E1200" s="3" t="str">
        <f>IF(LEN(Base_Periodo1[[#This Row],[CLASS]])&gt;=7,LEFT(Base_Periodo1[[#This Row],[CLASS]],7),"")</f>
        <v>1.1.2.2</v>
      </c>
      <c r="F1200" s="3" t="str">
        <f>VLOOKUP(Base_Periodo1[[#This Row],[Aux]],Base_Contas_Balanco[#All],2,FALSE)</f>
        <v>Creditos com não Cooperados</v>
      </c>
      <c r="G1200" s="1">
        <v>42521</v>
      </c>
      <c r="H1200" s="225">
        <v>50</v>
      </c>
      <c r="I1200" s="225">
        <v>0</v>
      </c>
      <c r="J1200" s="225">
        <v>0</v>
      </c>
      <c r="K1200" s="225">
        <v>50</v>
      </c>
      <c r="L12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1200" s="225">
        <f>ROUND(IF(AND(Base_Periodo1[[#This Row],[Tipo_Linha]]="-",Base_Periodo1[[#This Row],[TIPOSALDO]]="D"),Base_Periodo1[[#This Row],[SALDO_ATUAL]]*-1,Base_Periodo1[[#This Row],[SALDO_ATUAL]]),4)</f>
        <v>50</v>
      </c>
      <c r="N1200" t="s">
        <v>116</v>
      </c>
      <c r="O1200" t="s">
        <v>397</v>
      </c>
      <c r="P1200" t="s">
        <v>397</v>
      </c>
      <c r="Q1200">
        <v>7</v>
      </c>
      <c r="R1200" s="225">
        <f>Base_Periodo1[[#This Row],[CREDITOS]]-Base_Periodo1[[#This Row],[DEBITOS]]</f>
        <v>0</v>
      </c>
      <c r="S1200" s="3" t="str">
        <f>IF(ISERROR(VLOOKUP(Base_Periodo1[[#This Row],[CONTA]],BaseContasDRE[#All],4,FALSE)),"Fora do DRE",VLOOKUP(Base_Periodo1[[#This Row],[CONTA]],BaseContasDRE[#All],4,FALSE))</f>
        <v>Fora do DRE</v>
      </c>
      <c r="T1200" s="3" t="str">
        <f>IF(ISERROR(VLOOKUP(Base_Periodo1[[#This Row],[CONTA]],BaseContasDRE[#All],5,FALSE)),"Fora do DRE",VLOOKUP(Base_Periodo1[[#This Row],[CONTA]],BaseContasDRE[#All],6,FALSE))</f>
        <v>Fora do DRE</v>
      </c>
      <c r="U1200" s="3" t="str">
        <f>IF(ISERROR(VLOOKUP(Base_Periodo1[[#This Row],[CONTA]],BaseContasDRE[#All],7,FALSE)),"Fora do DRE",VLOOKUP(Base_Periodo1[[#This Row],[CONTA]],BaseContasDRE[#All],7,FALSE))</f>
        <v>Fora do DRE</v>
      </c>
      <c r="V1200" s="3" t="str">
        <f>IF(Base_Periodo1[[#This Row],[Tipo_Linha]]="Fora do DRE","Fora do DRE","( "&amp;Base_Periodo1[[#This Row],[Tipo_Linha]]&amp;" ) "&amp;Base_Periodo1[[#This Row],[Filtro]])</f>
        <v>Fora do DRE</v>
      </c>
      <c r="W1200" s="3" t="str">
        <f>LEFT(Base_Periodo1[[#This Row],[CLASS]],3)</f>
        <v>1.1</v>
      </c>
    </row>
    <row r="1201" spans="1:23" hidden="1">
      <c r="A1201" s="3" t="str">
        <f t="shared" si="18"/>
        <v>Período 1</v>
      </c>
      <c r="B1201">
        <v>29253</v>
      </c>
      <c r="C1201" t="s">
        <v>992</v>
      </c>
      <c r="D1201" t="s">
        <v>4346</v>
      </c>
      <c r="E1201" s="3" t="str">
        <f>IF(LEN(Base_Periodo1[[#This Row],[CLASS]])&gt;=7,LEFT(Base_Periodo1[[#This Row],[CLASS]],7),"")</f>
        <v>1.1.2.2</v>
      </c>
      <c r="F1201" s="3" t="str">
        <f>VLOOKUP(Base_Periodo1[[#This Row],[Aux]],Base_Contas_Balanco[#All],2,FALSE)</f>
        <v>Creditos com não Cooperados</v>
      </c>
      <c r="G1201" s="1">
        <v>42835</v>
      </c>
      <c r="H1201" s="225">
        <v>44611.849999999162</v>
      </c>
      <c r="I1201" s="225">
        <v>0</v>
      </c>
      <c r="J1201" s="225">
        <v>0</v>
      </c>
      <c r="K1201" s="225">
        <v>44611.849999999162</v>
      </c>
      <c r="L12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44611.85</v>
      </c>
      <c r="M1201" s="225">
        <f>ROUND(IF(AND(Base_Periodo1[[#This Row],[Tipo_Linha]]="-",Base_Periodo1[[#This Row],[TIPOSALDO]]="D"),Base_Periodo1[[#This Row],[SALDO_ATUAL]]*-1,Base_Periodo1[[#This Row],[SALDO_ATUAL]]),4)</f>
        <v>44611.85</v>
      </c>
      <c r="N1201" t="s">
        <v>116</v>
      </c>
      <c r="O1201" t="s">
        <v>397</v>
      </c>
      <c r="P1201" t="s">
        <v>397</v>
      </c>
      <c r="Q1201">
        <v>7</v>
      </c>
      <c r="R1201" s="225">
        <f>Base_Periodo1[[#This Row],[CREDITOS]]-Base_Periodo1[[#This Row],[DEBITOS]]</f>
        <v>0</v>
      </c>
      <c r="S1201" s="3" t="str">
        <f>IF(ISERROR(VLOOKUP(Base_Periodo1[[#This Row],[CONTA]],BaseContasDRE[#All],4,FALSE)),"Fora do DRE",VLOOKUP(Base_Periodo1[[#This Row],[CONTA]],BaseContasDRE[#All],4,FALSE))</f>
        <v>Fora do DRE</v>
      </c>
      <c r="T1201" s="3" t="str">
        <f>IF(ISERROR(VLOOKUP(Base_Periodo1[[#This Row],[CONTA]],BaseContasDRE[#All],5,FALSE)),"Fora do DRE",VLOOKUP(Base_Periodo1[[#This Row],[CONTA]],BaseContasDRE[#All],6,FALSE))</f>
        <v>Fora do DRE</v>
      </c>
      <c r="U1201" s="3" t="str">
        <f>IF(ISERROR(VLOOKUP(Base_Periodo1[[#This Row],[CONTA]],BaseContasDRE[#All],7,FALSE)),"Fora do DRE",VLOOKUP(Base_Periodo1[[#This Row],[CONTA]],BaseContasDRE[#All],7,FALSE))</f>
        <v>Fora do DRE</v>
      </c>
      <c r="V1201" s="3" t="str">
        <f>IF(Base_Periodo1[[#This Row],[Tipo_Linha]]="Fora do DRE","Fora do DRE","( "&amp;Base_Periodo1[[#This Row],[Tipo_Linha]]&amp;" ) "&amp;Base_Periodo1[[#This Row],[Filtro]])</f>
        <v>Fora do DRE</v>
      </c>
      <c r="W1201" s="3" t="str">
        <f>LEFT(Base_Periodo1[[#This Row],[CLASS]],3)</f>
        <v>1.1</v>
      </c>
    </row>
    <row r="1202" spans="1:23" hidden="1">
      <c r="A1202" s="3" t="str">
        <f t="shared" si="18"/>
        <v>Período 1</v>
      </c>
      <c r="B1202">
        <v>7872</v>
      </c>
      <c r="C1202" t="s">
        <v>992</v>
      </c>
      <c r="D1202" t="s">
        <v>994</v>
      </c>
      <c r="E1202" s="3" t="str">
        <f>IF(LEN(Base_Periodo1[[#This Row],[CLASS]])&gt;=7,LEFT(Base_Periodo1[[#This Row],[CLASS]],7),"")</f>
        <v>1.1.2.2</v>
      </c>
      <c r="F1202" s="3" t="str">
        <f>VLOOKUP(Base_Periodo1[[#This Row],[Aux]],Base_Contas_Balanco[#All],2,FALSE)</f>
        <v>Creditos com não Cooperados</v>
      </c>
      <c r="G1202" s="1">
        <v>42886</v>
      </c>
      <c r="H1202" s="225">
        <v>18219365.260000408</v>
      </c>
      <c r="I1202" s="225">
        <v>4631460.6500000004</v>
      </c>
      <c r="J1202" s="225">
        <v>4450009.9300000006</v>
      </c>
      <c r="K1202" s="225">
        <v>18400815.980000407</v>
      </c>
      <c r="L12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18400815.98</v>
      </c>
      <c r="M1202" s="225">
        <f>ROUND(IF(AND(Base_Periodo1[[#This Row],[Tipo_Linha]]="-",Base_Periodo1[[#This Row],[TIPOSALDO]]="D"),Base_Periodo1[[#This Row],[SALDO_ATUAL]]*-1,Base_Periodo1[[#This Row],[SALDO_ATUAL]]),4)</f>
        <v>18400815.98</v>
      </c>
      <c r="N1202" t="s">
        <v>116</v>
      </c>
      <c r="O1202" t="s">
        <v>397</v>
      </c>
      <c r="P1202" t="s">
        <v>397</v>
      </c>
      <c r="Q1202">
        <v>7</v>
      </c>
      <c r="R1202" s="225">
        <f>Base_Periodo1[[#This Row],[CREDITOS]]-Base_Periodo1[[#This Row],[DEBITOS]]</f>
        <v>-181450.71999999974</v>
      </c>
      <c r="S1202" s="3" t="str">
        <f>IF(ISERROR(VLOOKUP(Base_Periodo1[[#This Row],[CONTA]],BaseContasDRE[#All],4,FALSE)),"Fora do DRE",VLOOKUP(Base_Periodo1[[#This Row],[CONTA]],BaseContasDRE[#All],4,FALSE))</f>
        <v>Fora do DRE</v>
      </c>
      <c r="T1202" s="3" t="str">
        <f>IF(ISERROR(VLOOKUP(Base_Periodo1[[#This Row],[CONTA]],BaseContasDRE[#All],5,FALSE)),"Fora do DRE",VLOOKUP(Base_Periodo1[[#This Row],[CONTA]],BaseContasDRE[#All],6,FALSE))</f>
        <v>Fora do DRE</v>
      </c>
      <c r="U1202" s="3" t="str">
        <f>IF(ISERROR(VLOOKUP(Base_Periodo1[[#This Row],[CONTA]],BaseContasDRE[#All],7,FALSE)),"Fora do DRE",VLOOKUP(Base_Periodo1[[#This Row],[CONTA]],BaseContasDRE[#All],7,FALSE))</f>
        <v>Fora do DRE</v>
      </c>
      <c r="V1202" s="3" t="str">
        <f>IF(Base_Periodo1[[#This Row],[Tipo_Linha]]="Fora do DRE","Fora do DRE","( "&amp;Base_Periodo1[[#This Row],[Tipo_Linha]]&amp;" ) "&amp;Base_Periodo1[[#This Row],[Filtro]])</f>
        <v>Fora do DRE</v>
      </c>
      <c r="W1202" s="3" t="str">
        <f>LEFT(Base_Periodo1[[#This Row],[CLASS]],3)</f>
        <v>1.1</v>
      </c>
    </row>
    <row r="1203" spans="1:23" hidden="1">
      <c r="A1203" s="3" t="str">
        <f t="shared" si="18"/>
        <v>Período 1</v>
      </c>
      <c r="B1203">
        <v>17804</v>
      </c>
      <c r="C1203" t="s">
        <v>992</v>
      </c>
      <c r="D1203" t="s">
        <v>995</v>
      </c>
      <c r="E1203" s="3" t="str">
        <f>IF(LEN(Base_Periodo1[[#This Row],[CLASS]])&gt;=7,LEFT(Base_Periodo1[[#This Row],[CLASS]],7),"")</f>
        <v>1.1.2.2</v>
      </c>
      <c r="F1203" s="3" t="str">
        <f>VLOOKUP(Base_Periodo1[[#This Row],[Aux]],Base_Contas_Balanco[#All],2,FALSE)</f>
        <v>Creditos com não Cooperados</v>
      </c>
      <c r="G1203" s="1">
        <v>41554</v>
      </c>
      <c r="H1203" s="225">
        <v>3120</v>
      </c>
      <c r="I1203" s="225">
        <v>0</v>
      </c>
      <c r="J1203" s="225">
        <v>0</v>
      </c>
      <c r="K1203" s="225">
        <v>3120</v>
      </c>
      <c r="L12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3120</v>
      </c>
      <c r="M1203" s="225">
        <f>ROUND(IF(AND(Base_Periodo1[[#This Row],[Tipo_Linha]]="-",Base_Periodo1[[#This Row],[TIPOSALDO]]="D"),Base_Periodo1[[#This Row],[SALDO_ATUAL]]*-1,Base_Periodo1[[#This Row],[SALDO_ATUAL]]),4)</f>
        <v>3120</v>
      </c>
      <c r="N1203" t="s">
        <v>116</v>
      </c>
      <c r="O1203" t="s">
        <v>397</v>
      </c>
      <c r="P1203" t="s">
        <v>397</v>
      </c>
      <c r="Q1203">
        <v>7</v>
      </c>
      <c r="R1203" s="225">
        <f>Base_Periodo1[[#This Row],[CREDITOS]]-Base_Periodo1[[#This Row],[DEBITOS]]</f>
        <v>0</v>
      </c>
      <c r="S1203" s="3" t="str">
        <f>IF(ISERROR(VLOOKUP(Base_Periodo1[[#This Row],[CONTA]],BaseContasDRE[#All],4,FALSE)),"Fora do DRE",VLOOKUP(Base_Periodo1[[#This Row],[CONTA]],BaseContasDRE[#All],4,FALSE))</f>
        <v>Fora do DRE</v>
      </c>
      <c r="T1203" s="3" t="str">
        <f>IF(ISERROR(VLOOKUP(Base_Periodo1[[#This Row],[CONTA]],BaseContasDRE[#All],5,FALSE)),"Fora do DRE",VLOOKUP(Base_Periodo1[[#This Row],[CONTA]],BaseContasDRE[#All],6,FALSE))</f>
        <v>Fora do DRE</v>
      </c>
      <c r="U1203" s="3" t="str">
        <f>IF(ISERROR(VLOOKUP(Base_Periodo1[[#This Row],[CONTA]],BaseContasDRE[#All],7,FALSE)),"Fora do DRE",VLOOKUP(Base_Periodo1[[#This Row],[CONTA]],BaseContasDRE[#All],7,FALSE))</f>
        <v>Fora do DRE</v>
      </c>
      <c r="V1203" s="3" t="str">
        <f>IF(Base_Periodo1[[#This Row],[Tipo_Linha]]="Fora do DRE","Fora do DRE","( "&amp;Base_Periodo1[[#This Row],[Tipo_Linha]]&amp;" ) "&amp;Base_Periodo1[[#This Row],[Filtro]])</f>
        <v>Fora do DRE</v>
      </c>
      <c r="W1203" s="3" t="str">
        <f>LEFT(Base_Periodo1[[#This Row],[CLASS]],3)</f>
        <v>1.1</v>
      </c>
    </row>
    <row r="1204" spans="1:23" hidden="1">
      <c r="A1204" s="3" t="str">
        <f t="shared" si="18"/>
        <v>Período 1</v>
      </c>
      <c r="B1204">
        <v>28077</v>
      </c>
      <c r="C1204" t="s">
        <v>992</v>
      </c>
      <c r="D1204" t="s">
        <v>996</v>
      </c>
      <c r="E1204" s="3" t="str">
        <f>IF(LEN(Base_Periodo1[[#This Row],[CLASS]])&gt;=7,LEFT(Base_Periodo1[[#This Row],[CLASS]],7),"")</f>
        <v>1.1.2.2</v>
      </c>
      <c r="F1204" s="3" t="str">
        <f>VLOOKUP(Base_Periodo1[[#This Row],[Aux]],Base_Contas_Balanco[#All],2,FALSE)</f>
        <v>Creditos com não Cooperados</v>
      </c>
      <c r="G1204" s="1">
        <v>42430</v>
      </c>
      <c r="H1204" s="225">
        <v>332523.73</v>
      </c>
      <c r="I1204" s="225">
        <v>0</v>
      </c>
      <c r="J1204" s="225">
        <v>0</v>
      </c>
      <c r="K1204" s="225">
        <v>332523.73</v>
      </c>
      <c r="L12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332523.73</v>
      </c>
      <c r="M1204" s="225">
        <f>ROUND(IF(AND(Base_Periodo1[[#This Row],[Tipo_Linha]]="-",Base_Periodo1[[#This Row],[TIPOSALDO]]="D"),Base_Periodo1[[#This Row],[SALDO_ATUAL]]*-1,Base_Periodo1[[#This Row],[SALDO_ATUAL]]),4)</f>
        <v>332523.73</v>
      </c>
      <c r="N1204" t="s">
        <v>116</v>
      </c>
      <c r="O1204" t="s">
        <v>397</v>
      </c>
      <c r="P1204" t="s">
        <v>397</v>
      </c>
      <c r="Q1204">
        <v>7</v>
      </c>
      <c r="R1204" s="225">
        <f>Base_Periodo1[[#This Row],[CREDITOS]]-Base_Periodo1[[#This Row],[DEBITOS]]</f>
        <v>0</v>
      </c>
      <c r="S1204" s="3" t="str">
        <f>IF(ISERROR(VLOOKUP(Base_Periodo1[[#This Row],[CONTA]],BaseContasDRE[#All],4,FALSE)),"Fora do DRE",VLOOKUP(Base_Periodo1[[#This Row],[CONTA]],BaseContasDRE[#All],4,FALSE))</f>
        <v>Fora do DRE</v>
      </c>
      <c r="T1204" s="3" t="str">
        <f>IF(ISERROR(VLOOKUP(Base_Periodo1[[#This Row],[CONTA]],BaseContasDRE[#All],5,FALSE)),"Fora do DRE",VLOOKUP(Base_Periodo1[[#This Row],[CONTA]],BaseContasDRE[#All],6,FALSE))</f>
        <v>Fora do DRE</v>
      </c>
      <c r="U1204" s="3" t="str">
        <f>IF(ISERROR(VLOOKUP(Base_Periodo1[[#This Row],[CONTA]],BaseContasDRE[#All],7,FALSE)),"Fora do DRE",VLOOKUP(Base_Periodo1[[#This Row],[CONTA]],BaseContasDRE[#All],7,FALSE))</f>
        <v>Fora do DRE</v>
      </c>
      <c r="V1204" s="3" t="str">
        <f>IF(Base_Periodo1[[#This Row],[Tipo_Linha]]="Fora do DRE","Fora do DRE","( "&amp;Base_Periodo1[[#This Row],[Tipo_Linha]]&amp;" ) "&amp;Base_Periodo1[[#This Row],[Filtro]])</f>
        <v>Fora do DRE</v>
      </c>
      <c r="W1204" s="3" t="str">
        <f>LEFT(Base_Periodo1[[#This Row],[CLASS]],3)</f>
        <v>1.1</v>
      </c>
    </row>
    <row r="1205" spans="1:23" hidden="1">
      <c r="A1205" s="3" t="str">
        <f t="shared" si="18"/>
        <v>Período 1</v>
      </c>
      <c r="B1205">
        <v>29950</v>
      </c>
      <c r="C1205" t="s">
        <v>992</v>
      </c>
      <c r="D1205" t="s">
        <v>996</v>
      </c>
      <c r="E1205" s="3" t="str">
        <f>IF(LEN(Base_Periodo1[[#This Row],[CLASS]])&gt;=7,LEFT(Base_Periodo1[[#This Row],[CLASS]],7),"")</f>
        <v>1.1.2.2</v>
      </c>
      <c r="F1205" s="3" t="str">
        <f>VLOOKUP(Base_Periodo1[[#This Row],[Aux]],Base_Contas_Balanco[#All],2,FALSE)</f>
        <v>Creditos com não Cooperados</v>
      </c>
      <c r="G1205" s="1">
        <v>42430</v>
      </c>
      <c r="H1205" s="225">
        <v>6106.3800000000047</v>
      </c>
      <c r="I1205" s="225">
        <v>0</v>
      </c>
      <c r="J1205" s="225">
        <v>0</v>
      </c>
      <c r="K1205" s="225">
        <v>6106.3800000000047</v>
      </c>
      <c r="L12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6106.38</v>
      </c>
      <c r="M1205" s="225">
        <f>ROUND(IF(AND(Base_Periodo1[[#This Row],[Tipo_Linha]]="-",Base_Periodo1[[#This Row],[TIPOSALDO]]="D"),Base_Periodo1[[#This Row],[SALDO_ATUAL]]*-1,Base_Periodo1[[#This Row],[SALDO_ATUAL]]),4)</f>
        <v>6106.38</v>
      </c>
      <c r="N1205" t="s">
        <v>116</v>
      </c>
      <c r="O1205" t="s">
        <v>397</v>
      </c>
      <c r="P1205" t="s">
        <v>397</v>
      </c>
      <c r="Q1205">
        <v>7</v>
      </c>
      <c r="R1205" s="225">
        <f>Base_Periodo1[[#This Row],[CREDITOS]]-Base_Periodo1[[#This Row],[DEBITOS]]</f>
        <v>0</v>
      </c>
      <c r="S1205" s="3" t="str">
        <f>IF(ISERROR(VLOOKUP(Base_Periodo1[[#This Row],[CONTA]],BaseContasDRE[#All],4,FALSE)),"Fora do DRE",VLOOKUP(Base_Periodo1[[#This Row],[CONTA]],BaseContasDRE[#All],4,FALSE))</f>
        <v>Fora do DRE</v>
      </c>
      <c r="T1205" s="3" t="str">
        <f>IF(ISERROR(VLOOKUP(Base_Periodo1[[#This Row],[CONTA]],BaseContasDRE[#All],5,FALSE)),"Fora do DRE",VLOOKUP(Base_Periodo1[[#This Row],[CONTA]],BaseContasDRE[#All],6,FALSE))</f>
        <v>Fora do DRE</v>
      </c>
      <c r="U1205" s="3" t="str">
        <f>IF(ISERROR(VLOOKUP(Base_Periodo1[[#This Row],[CONTA]],BaseContasDRE[#All],7,FALSE)),"Fora do DRE",VLOOKUP(Base_Periodo1[[#This Row],[CONTA]],BaseContasDRE[#All],7,FALSE))</f>
        <v>Fora do DRE</v>
      </c>
      <c r="V1205" s="3" t="str">
        <f>IF(Base_Periodo1[[#This Row],[Tipo_Linha]]="Fora do DRE","Fora do DRE","( "&amp;Base_Periodo1[[#This Row],[Tipo_Linha]]&amp;" ) "&amp;Base_Periodo1[[#This Row],[Filtro]])</f>
        <v>Fora do DRE</v>
      </c>
      <c r="W1205" s="3" t="str">
        <f>LEFT(Base_Periodo1[[#This Row],[CLASS]],3)</f>
        <v>1.1</v>
      </c>
    </row>
    <row r="1206" spans="1:23" hidden="1">
      <c r="A1206" s="3" t="str">
        <f t="shared" si="18"/>
        <v>Período 1</v>
      </c>
      <c r="B1206">
        <v>37678</v>
      </c>
      <c r="C1206" t="s">
        <v>992</v>
      </c>
      <c r="D1206" t="s">
        <v>997</v>
      </c>
      <c r="E1206" s="3" t="str">
        <f>IF(LEN(Base_Periodo1[[#This Row],[CLASS]])&gt;=7,LEFT(Base_Periodo1[[#This Row],[CLASS]],7),"")</f>
        <v>1.1.2.2</v>
      </c>
      <c r="F1206" s="3" t="str">
        <f>VLOOKUP(Base_Periodo1[[#This Row],[Aux]],Base_Contas_Balanco[#All],2,FALSE)</f>
        <v>Creditos com não Cooperados</v>
      </c>
      <c r="G1206" s="1">
        <v>42599</v>
      </c>
      <c r="H1206" s="225">
        <v>799.63000000000466</v>
      </c>
      <c r="I1206" s="225">
        <v>0</v>
      </c>
      <c r="J1206" s="225">
        <v>0</v>
      </c>
      <c r="K1206" s="225">
        <v>799.63000000000466</v>
      </c>
      <c r="L12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799.63</v>
      </c>
      <c r="M1206" s="225">
        <f>ROUND(IF(AND(Base_Periodo1[[#This Row],[Tipo_Linha]]="-",Base_Periodo1[[#This Row],[TIPOSALDO]]="D"),Base_Periodo1[[#This Row],[SALDO_ATUAL]]*-1,Base_Periodo1[[#This Row],[SALDO_ATUAL]]),4)</f>
        <v>799.63</v>
      </c>
      <c r="N1206" t="s">
        <v>116</v>
      </c>
      <c r="O1206" t="s">
        <v>397</v>
      </c>
      <c r="P1206" t="s">
        <v>397</v>
      </c>
      <c r="Q1206">
        <v>7</v>
      </c>
      <c r="R1206" s="225">
        <f>Base_Periodo1[[#This Row],[CREDITOS]]-Base_Periodo1[[#This Row],[DEBITOS]]</f>
        <v>0</v>
      </c>
      <c r="S1206" s="3" t="str">
        <f>IF(ISERROR(VLOOKUP(Base_Periodo1[[#This Row],[CONTA]],BaseContasDRE[#All],4,FALSE)),"Fora do DRE",VLOOKUP(Base_Periodo1[[#This Row],[CONTA]],BaseContasDRE[#All],4,FALSE))</f>
        <v>Fora do DRE</v>
      </c>
      <c r="T1206" s="3" t="str">
        <f>IF(ISERROR(VLOOKUP(Base_Periodo1[[#This Row],[CONTA]],BaseContasDRE[#All],5,FALSE)),"Fora do DRE",VLOOKUP(Base_Periodo1[[#This Row],[CONTA]],BaseContasDRE[#All],6,FALSE))</f>
        <v>Fora do DRE</v>
      </c>
      <c r="U1206" s="3" t="str">
        <f>IF(ISERROR(VLOOKUP(Base_Periodo1[[#This Row],[CONTA]],BaseContasDRE[#All],7,FALSE)),"Fora do DRE",VLOOKUP(Base_Periodo1[[#This Row],[CONTA]],BaseContasDRE[#All],7,FALSE))</f>
        <v>Fora do DRE</v>
      </c>
      <c r="V1206" s="3" t="str">
        <f>IF(Base_Periodo1[[#This Row],[Tipo_Linha]]="Fora do DRE","Fora do DRE","( "&amp;Base_Periodo1[[#This Row],[Tipo_Linha]]&amp;" ) "&amp;Base_Periodo1[[#This Row],[Filtro]])</f>
        <v>Fora do DRE</v>
      </c>
      <c r="W1206" s="3" t="str">
        <f>LEFT(Base_Periodo1[[#This Row],[CLASS]],3)</f>
        <v>1.1</v>
      </c>
    </row>
    <row r="1207" spans="1:23" hidden="1">
      <c r="A1207" s="3" t="str">
        <f t="shared" si="18"/>
        <v>Período 1</v>
      </c>
      <c r="B1207">
        <v>7912</v>
      </c>
      <c r="C1207" t="s">
        <v>992</v>
      </c>
      <c r="D1207" t="s">
        <v>998</v>
      </c>
      <c r="E1207" s="3" t="str">
        <f>IF(LEN(Base_Periodo1[[#This Row],[CLASS]])&gt;=7,LEFT(Base_Periodo1[[#This Row],[CLASS]],7),"")</f>
        <v>1.1.2.2</v>
      </c>
      <c r="F1207" s="3" t="str">
        <f>VLOOKUP(Base_Periodo1[[#This Row],[Aux]],Base_Contas_Balanco[#All],2,FALSE)</f>
        <v>Creditos com não Cooperados</v>
      </c>
      <c r="G1207" s="1">
        <v>42712</v>
      </c>
      <c r="H1207" s="225">
        <v>193.79999999981374</v>
      </c>
      <c r="I1207" s="225">
        <v>0</v>
      </c>
      <c r="J1207" s="225">
        <v>0</v>
      </c>
      <c r="K1207" s="225">
        <v>193.79999999981374</v>
      </c>
      <c r="L12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193.8</v>
      </c>
      <c r="M1207" s="225">
        <f>ROUND(IF(AND(Base_Periodo1[[#This Row],[Tipo_Linha]]="-",Base_Periodo1[[#This Row],[TIPOSALDO]]="D"),Base_Periodo1[[#This Row],[SALDO_ATUAL]]*-1,Base_Periodo1[[#This Row],[SALDO_ATUAL]]),4)</f>
        <v>193.8</v>
      </c>
      <c r="N1207" t="s">
        <v>116</v>
      </c>
      <c r="O1207" t="s">
        <v>397</v>
      </c>
      <c r="P1207" t="s">
        <v>397</v>
      </c>
      <c r="Q1207">
        <v>7</v>
      </c>
      <c r="R1207" s="225">
        <f>Base_Periodo1[[#This Row],[CREDITOS]]-Base_Periodo1[[#This Row],[DEBITOS]]</f>
        <v>0</v>
      </c>
      <c r="S1207" s="3" t="str">
        <f>IF(ISERROR(VLOOKUP(Base_Periodo1[[#This Row],[CONTA]],BaseContasDRE[#All],4,FALSE)),"Fora do DRE",VLOOKUP(Base_Periodo1[[#This Row],[CONTA]],BaseContasDRE[#All],4,FALSE))</f>
        <v>Fora do DRE</v>
      </c>
      <c r="T1207" s="3" t="str">
        <f>IF(ISERROR(VLOOKUP(Base_Periodo1[[#This Row],[CONTA]],BaseContasDRE[#All],5,FALSE)),"Fora do DRE",VLOOKUP(Base_Periodo1[[#This Row],[CONTA]],BaseContasDRE[#All],6,FALSE))</f>
        <v>Fora do DRE</v>
      </c>
      <c r="U1207" s="3" t="str">
        <f>IF(ISERROR(VLOOKUP(Base_Periodo1[[#This Row],[CONTA]],BaseContasDRE[#All],7,FALSE)),"Fora do DRE",VLOOKUP(Base_Periodo1[[#This Row],[CONTA]],BaseContasDRE[#All],7,FALSE))</f>
        <v>Fora do DRE</v>
      </c>
      <c r="V1207" s="3" t="str">
        <f>IF(Base_Periodo1[[#This Row],[Tipo_Linha]]="Fora do DRE","Fora do DRE","( "&amp;Base_Periodo1[[#This Row],[Tipo_Linha]]&amp;" ) "&amp;Base_Periodo1[[#This Row],[Filtro]])</f>
        <v>Fora do DRE</v>
      </c>
      <c r="W1207" s="3" t="str">
        <f>LEFT(Base_Periodo1[[#This Row],[CLASS]],3)</f>
        <v>1.1</v>
      </c>
    </row>
    <row r="1208" spans="1:23" hidden="1">
      <c r="A1208" s="3" t="str">
        <f t="shared" si="18"/>
        <v>Período 1</v>
      </c>
      <c r="B1208">
        <v>40812</v>
      </c>
      <c r="C1208" t="s">
        <v>992</v>
      </c>
      <c r="D1208" t="s">
        <v>5673</v>
      </c>
      <c r="E1208" s="3" t="str">
        <f>IF(LEN(Base_Periodo1[[#This Row],[CLASS]])&gt;=7,LEFT(Base_Periodo1[[#This Row],[CLASS]],7),"")</f>
        <v>1.1.2.2</v>
      </c>
      <c r="F1208" s="3" t="str">
        <f>VLOOKUP(Base_Periodo1[[#This Row],[Aux]],Base_Contas_Balanco[#All],2,FALSE)</f>
        <v>Creditos com não Cooperados</v>
      </c>
      <c r="G1208" s="1">
        <v>42866</v>
      </c>
      <c r="H1208" s="225">
        <v>326944.2</v>
      </c>
      <c r="I1208" s="225">
        <v>326944.2</v>
      </c>
      <c r="J1208" s="225">
        <v>653888.39999999991</v>
      </c>
      <c r="K1208" s="225">
        <v>1.1641532182693481E-10</v>
      </c>
      <c r="L12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208" s="225">
        <f>ROUND(IF(AND(Base_Periodo1[[#This Row],[Tipo_Linha]]="-",Base_Periodo1[[#This Row],[TIPOSALDO]]="D"),Base_Periodo1[[#This Row],[SALDO_ATUAL]]*-1,Base_Periodo1[[#This Row],[SALDO_ATUAL]]),4)</f>
        <v>0</v>
      </c>
      <c r="N1208" t="s">
        <v>116</v>
      </c>
      <c r="O1208" t="s">
        <v>397</v>
      </c>
      <c r="P1208" t="s">
        <v>436</v>
      </c>
      <c r="Q1208">
        <v>7</v>
      </c>
      <c r="R1208" s="225">
        <f>Base_Periodo1[[#This Row],[CREDITOS]]-Base_Periodo1[[#This Row],[DEBITOS]]</f>
        <v>326944.1999999999</v>
      </c>
      <c r="S1208" s="3" t="str">
        <f>IF(ISERROR(VLOOKUP(Base_Periodo1[[#This Row],[CONTA]],BaseContasDRE[#All],4,FALSE)),"Fora do DRE",VLOOKUP(Base_Periodo1[[#This Row],[CONTA]],BaseContasDRE[#All],4,FALSE))</f>
        <v>Fora do DRE</v>
      </c>
      <c r="T1208" s="3" t="str">
        <f>IF(ISERROR(VLOOKUP(Base_Periodo1[[#This Row],[CONTA]],BaseContasDRE[#All],5,FALSE)),"Fora do DRE",VLOOKUP(Base_Periodo1[[#This Row],[CONTA]],BaseContasDRE[#All],6,FALSE))</f>
        <v>Fora do DRE</v>
      </c>
      <c r="U1208" s="3" t="str">
        <f>IF(ISERROR(VLOOKUP(Base_Periodo1[[#This Row],[CONTA]],BaseContasDRE[#All],7,FALSE)),"Fora do DRE",VLOOKUP(Base_Periodo1[[#This Row],[CONTA]],BaseContasDRE[#All],7,FALSE))</f>
        <v>Fora do DRE</v>
      </c>
      <c r="V1208" s="3" t="str">
        <f>IF(Base_Periodo1[[#This Row],[Tipo_Linha]]="Fora do DRE","Fora do DRE","( "&amp;Base_Periodo1[[#This Row],[Tipo_Linha]]&amp;" ) "&amp;Base_Periodo1[[#This Row],[Filtro]])</f>
        <v>Fora do DRE</v>
      </c>
      <c r="W1208" s="3" t="str">
        <f>LEFT(Base_Periodo1[[#This Row],[CLASS]],3)</f>
        <v>1.1</v>
      </c>
    </row>
    <row r="1209" spans="1:23" hidden="1">
      <c r="A1209" s="3" t="str">
        <f t="shared" si="18"/>
        <v>Período 1</v>
      </c>
      <c r="B1209">
        <v>41734</v>
      </c>
      <c r="C1209" t="s">
        <v>992</v>
      </c>
      <c r="D1209" t="s">
        <v>6795</v>
      </c>
      <c r="E1209" s="3" t="str">
        <f>IF(LEN(Base_Periodo1[[#This Row],[CLASS]])&gt;=7,LEFT(Base_Periodo1[[#This Row],[CLASS]],7),"")</f>
        <v>1.1.2.2</v>
      </c>
      <c r="F1209" s="3" t="str">
        <f>VLOOKUP(Base_Periodo1[[#This Row],[Aux]],Base_Contas_Balanco[#All],2,FALSE)</f>
        <v>Creditos com não Cooperados</v>
      </c>
      <c r="G1209" s="1">
        <v>42871</v>
      </c>
      <c r="I1209" s="225">
        <v>197600</v>
      </c>
      <c r="J1209" s="225">
        <v>195759.99999999997</v>
      </c>
      <c r="K1209" s="225">
        <v>1840.0000000000291</v>
      </c>
      <c r="L12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1840</v>
      </c>
      <c r="M1209" s="225">
        <f>ROUND(IF(AND(Base_Periodo1[[#This Row],[Tipo_Linha]]="-",Base_Periodo1[[#This Row],[TIPOSALDO]]="D"),Base_Periodo1[[#This Row],[SALDO_ATUAL]]*-1,Base_Periodo1[[#This Row],[SALDO_ATUAL]]),4)</f>
        <v>1840</v>
      </c>
      <c r="N1209" t="s">
        <v>116</v>
      </c>
      <c r="O1209" t="s">
        <v>436</v>
      </c>
      <c r="P1209" t="s">
        <v>397</v>
      </c>
      <c r="Q1209">
        <v>7</v>
      </c>
      <c r="R1209" s="225">
        <f>Base_Periodo1[[#This Row],[CREDITOS]]-Base_Periodo1[[#This Row],[DEBITOS]]</f>
        <v>-1840.0000000000291</v>
      </c>
      <c r="S1209" s="3" t="str">
        <f>IF(ISERROR(VLOOKUP(Base_Periodo1[[#This Row],[CONTA]],BaseContasDRE[#All],4,FALSE)),"Fora do DRE",VLOOKUP(Base_Periodo1[[#This Row],[CONTA]],BaseContasDRE[#All],4,FALSE))</f>
        <v>Fora do DRE</v>
      </c>
      <c r="T1209" s="3" t="str">
        <f>IF(ISERROR(VLOOKUP(Base_Periodo1[[#This Row],[CONTA]],BaseContasDRE[#All],5,FALSE)),"Fora do DRE",VLOOKUP(Base_Periodo1[[#This Row],[CONTA]],BaseContasDRE[#All],6,FALSE))</f>
        <v>Fora do DRE</v>
      </c>
      <c r="U1209" s="3" t="str">
        <f>IF(ISERROR(VLOOKUP(Base_Periodo1[[#This Row],[CONTA]],BaseContasDRE[#All],7,FALSE)),"Fora do DRE",VLOOKUP(Base_Periodo1[[#This Row],[CONTA]],BaseContasDRE[#All],7,FALSE))</f>
        <v>Fora do DRE</v>
      </c>
      <c r="V1209" s="3" t="str">
        <f>IF(Base_Periodo1[[#This Row],[Tipo_Linha]]="Fora do DRE","Fora do DRE","( "&amp;Base_Periodo1[[#This Row],[Tipo_Linha]]&amp;" ) "&amp;Base_Periodo1[[#This Row],[Filtro]])</f>
        <v>Fora do DRE</v>
      </c>
      <c r="W1209" s="3" t="str">
        <f>LEFT(Base_Periodo1[[#This Row],[CLASS]],3)</f>
        <v>1.1</v>
      </c>
    </row>
    <row r="1210" spans="1:23" hidden="1">
      <c r="A1210" s="3" t="str">
        <f t="shared" si="18"/>
        <v>Período 1</v>
      </c>
      <c r="B1210">
        <v>47782</v>
      </c>
      <c r="C1210" t="s">
        <v>992</v>
      </c>
      <c r="D1210" t="s">
        <v>6212</v>
      </c>
      <c r="E1210" s="3" t="str">
        <f>IF(LEN(Base_Periodo1[[#This Row],[CLASS]])&gt;=7,LEFT(Base_Periodo1[[#This Row],[CLASS]],7),"")</f>
        <v>1.1.2.2</v>
      </c>
      <c r="F1210" s="3" t="str">
        <f>VLOOKUP(Base_Periodo1[[#This Row],[Aux]],Base_Contas_Balanco[#All],2,FALSE)</f>
        <v>Creditos com não Cooperados</v>
      </c>
      <c r="G1210" s="1">
        <v>42871</v>
      </c>
      <c r="H1210" s="225">
        <v>26599.999999999993</v>
      </c>
      <c r="I1210" s="225">
        <v>0</v>
      </c>
      <c r="J1210" s="225">
        <v>26600</v>
      </c>
      <c r="K1210" s="225">
        <v>-7.2759576141834259E-12</v>
      </c>
      <c r="L12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210" s="225">
        <f>ROUND(IF(AND(Base_Periodo1[[#This Row],[Tipo_Linha]]="-",Base_Periodo1[[#This Row],[TIPOSALDO]]="D"),Base_Periodo1[[#This Row],[SALDO_ATUAL]]*-1,Base_Periodo1[[#This Row],[SALDO_ATUAL]]),4)</f>
        <v>0</v>
      </c>
      <c r="N1210" t="s">
        <v>116</v>
      </c>
      <c r="O1210" t="s">
        <v>397</v>
      </c>
      <c r="P1210" t="s">
        <v>436</v>
      </c>
      <c r="Q1210">
        <v>7</v>
      </c>
      <c r="R1210" s="225">
        <f>Base_Periodo1[[#This Row],[CREDITOS]]-Base_Periodo1[[#This Row],[DEBITOS]]</f>
        <v>26600</v>
      </c>
      <c r="S1210" s="3" t="str">
        <f>IF(ISERROR(VLOOKUP(Base_Periodo1[[#This Row],[CONTA]],BaseContasDRE[#All],4,FALSE)),"Fora do DRE",VLOOKUP(Base_Periodo1[[#This Row],[CONTA]],BaseContasDRE[#All],4,FALSE))</f>
        <v>Fora do DRE</v>
      </c>
      <c r="T1210" s="3" t="str">
        <f>IF(ISERROR(VLOOKUP(Base_Periodo1[[#This Row],[CONTA]],BaseContasDRE[#All],5,FALSE)),"Fora do DRE",VLOOKUP(Base_Periodo1[[#This Row],[CONTA]],BaseContasDRE[#All],6,FALSE))</f>
        <v>Fora do DRE</v>
      </c>
      <c r="U1210" s="3" t="str">
        <f>IF(ISERROR(VLOOKUP(Base_Periodo1[[#This Row],[CONTA]],BaseContasDRE[#All],7,FALSE)),"Fora do DRE",VLOOKUP(Base_Periodo1[[#This Row],[CONTA]],BaseContasDRE[#All],7,FALSE))</f>
        <v>Fora do DRE</v>
      </c>
      <c r="V1210" s="3" t="str">
        <f>IF(Base_Periodo1[[#This Row],[Tipo_Linha]]="Fora do DRE","Fora do DRE","( "&amp;Base_Periodo1[[#This Row],[Tipo_Linha]]&amp;" ) "&amp;Base_Periodo1[[#This Row],[Filtro]])</f>
        <v>Fora do DRE</v>
      </c>
      <c r="W1210" s="3" t="str">
        <f>LEFT(Base_Periodo1[[#This Row],[CLASS]],3)</f>
        <v>1.1</v>
      </c>
    </row>
    <row r="1211" spans="1:23" hidden="1">
      <c r="A1211" s="3" t="str">
        <f t="shared" si="18"/>
        <v>Período 1</v>
      </c>
      <c r="B1211">
        <v>14174</v>
      </c>
      <c r="C1211" t="s">
        <v>992</v>
      </c>
      <c r="D1211" t="s">
        <v>999</v>
      </c>
      <c r="E1211" s="3" t="str">
        <f>IF(LEN(Base_Periodo1[[#This Row],[CLASS]])&gt;=7,LEFT(Base_Periodo1[[#This Row],[CLASS]],7),"")</f>
        <v>1.1.2.2</v>
      </c>
      <c r="F1211" s="3" t="str">
        <f>VLOOKUP(Base_Periodo1[[#This Row],[Aux]],Base_Contas_Balanco[#All],2,FALSE)</f>
        <v>Creditos com não Cooperados</v>
      </c>
      <c r="G1211" s="1">
        <v>41790</v>
      </c>
      <c r="H1211" s="225">
        <v>270</v>
      </c>
      <c r="I1211" s="225">
        <v>0</v>
      </c>
      <c r="J1211" s="225">
        <v>0</v>
      </c>
      <c r="K1211" s="225">
        <v>270</v>
      </c>
      <c r="L12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</v>
      </c>
      <c r="M1211" s="225">
        <f>ROUND(IF(AND(Base_Periodo1[[#This Row],[Tipo_Linha]]="-",Base_Periodo1[[#This Row],[TIPOSALDO]]="D"),Base_Periodo1[[#This Row],[SALDO_ATUAL]]*-1,Base_Periodo1[[#This Row],[SALDO_ATUAL]]),4)</f>
        <v>270</v>
      </c>
      <c r="N1211" t="s">
        <v>116</v>
      </c>
      <c r="O1211" t="s">
        <v>397</v>
      </c>
      <c r="P1211" t="s">
        <v>397</v>
      </c>
      <c r="Q1211">
        <v>7</v>
      </c>
      <c r="R1211" s="225">
        <f>Base_Periodo1[[#This Row],[CREDITOS]]-Base_Periodo1[[#This Row],[DEBITOS]]</f>
        <v>0</v>
      </c>
      <c r="S1211" s="3" t="str">
        <f>IF(ISERROR(VLOOKUP(Base_Periodo1[[#This Row],[CONTA]],BaseContasDRE[#All],4,FALSE)),"Fora do DRE",VLOOKUP(Base_Periodo1[[#This Row],[CONTA]],BaseContasDRE[#All],4,FALSE))</f>
        <v>Fora do DRE</v>
      </c>
      <c r="T1211" s="3" t="str">
        <f>IF(ISERROR(VLOOKUP(Base_Periodo1[[#This Row],[CONTA]],BaseContasDRE[#All],5,FALSE)),"Fora do DRE",VLOOKUP(Base_Periodo1[[#This Row],[CONTA]],BaseContasDRE[#All],6,FALSE))</f>
        <v>Fora do DRE</v>
      </c>
      <c r="U1211" s="3" t="str">
        <f>IF(ISERROR(VLOOKUP(Base_Periodo1[[#This Row],[CONTA]],BaseContasDRE[#All],7,FALSE)),"Fora do DRE",VLOOKUP(Base_Periodo1[[#This Row],[CONTA]],BaseContasDRE[#All],7,FALSE))</f>
        <v>Fora do DRE</v>
      </c>
      <c r="V1211" s="3" t="str">
        <f>IF(Base_Periodo1[[#This Row],[Tipo_Linha]]="Fora do DRE","Fora do DRE","( "&amp;Base_Periodo1[[#This Row],[Tipo_Linha]]&amp;" ) "&amp;Base_Periodo1[[#This Row],[Filtro]])</f>
        <v>Fora do DRE</v>
      </c>
      <c r="W1211" s="3" t="str">
        <f>LEFT(Base_Periodo1[[#This Row],[CLASS]],3)</f>
        <v>1.1</v>
      </c>
    </row>
    <row r="1212" spans="1:23" hidden="1">
      <c r="A1212" s="3" t="str">
        <f t="shared" si="18"/>
        <v>Período 1</v>
      </c>
      <c r="B1212">
        <v>28041</v>
      </c>
      <c r="C1212" t="s">
        <v>992</v>
      </c>
      <c r="D1212" t="s">
        <v>1000</v>
      </c>
      <c r="E1212" s="3" t="str">
        <f>IF(LEN(Base_Periodo1[[#This Row],[CLASS]])&gt;=7,LEFT(Base_Periodo1[[#This Row],[CLASS]],7),"")</f>
        <v>1.1.2.2</v>
      </c>
      <c r="F1212" s="3" t="str">
        <f>VLOOKUP(Base_Periodo1[[#This Row],[Aux]],Base_Contas_Balanco[#All],2,FALSE)</f>
        <v>Creditos com não Cooperados</v>
      </c>
      <c r="G1212" s="1">
        <v>41463</v>
      </c>
      <c r="H1212" s="225">
        <v>1900</v>
      </c>
      <c r="I1212" s="225">
        <v>0</v>
      </c>
      <c r="J1212" s="225">
        <v>0</v>
      </c>
      <c r="K1212" s="225">
        <v>1900</v>
      </c>
      <c r="L12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1900</v>
      </c>
      <c r="M1212" s="225">
        <f>ROUND(IF(AND(Base_Periodo1[[#This Row],[Tipo_Linha]]="-",Base_Periodo1[[#This Row],[TIPOSALDO]]="D"),Base_Periodo1[[#This Row],[SALDO_ATUAL]]*-1,Base_Periodo1[[#This Row],[SALDO_ATUAL]]),4)</f>
        <v>1900</v>
      </c>
      <c r="N1212" t="s">
        <v>116</v>
      </c>
      <c r="O1212" t="s">
        <v>397</v>
      </c>
      <c r="P1212" t="s">
        <v>397</v>
      </c>
      <c r="Q1212">
        <v>7</v>
      </c>
      <c r="R1212" s="225">
        <f>Base_Periodo1[[#This Row],[CREDITOS]]-Base_Periodo1[[#This Row],[DEBITOS]]</f>
        <v>0</v>
      </c>
      <c r="S1212" s="3" t="str">
        <f>IF(ISERROR(VLOOKUP(Base_Periodo1[[#This Row],[CONTA]],BaseContasDRE[#All],4,FALSE)),"Fora do DRE",VLOOKUP(Base_Periodo1[[#This Row],[CONTA]],BaseContasDRE[#All],4,FALSE))</f>
        <v>Fora do DRE</v>
      </c>
      <c r="T1212" s="3" t="str">
        <f>IF(ISERROR(VLOOKUP(Base_Periodo1[[#This Row],[CONTA]],BaseContasDRE[#All],5,FALSE)),"Fora do DRE",VLOOKUP(Base_Periodo1[[#This Row],[CONTA]],BaseContasDRE[#All],6,FALSE))</f>
        <v>Fora do DRE</v>
      </c>
      <c r="U1212" s="3" t="str">
        <f>IF(ISERROR(VLOOKUP(Base_Periodo1[[#This Row],[CONTA]],BaseContasDRE[#All],7,FALSE)),"Fora do DRE",VLOOKUP(Base_Periodo1[[#This Row],[CONTA]],BaseContasDRE[#All],7,FALSE))</f>
        <v>Fora do DRE</v>
      </c>
      <c r="V1212" s="3" t="str">
        <f>IF(Base_Periodo1[[#This Row],[Tipo_Linha]]="Fora do DRE","Fora do DRE","( "&amp;Base_Periodo1[[#This Row],[Tipo_Linha]]&amp;" ) "&amp;Base_Periodo1[[#This Row],[Filtro]])</f>
        <v>Fora do DRE</v>
      </c>
      <c r="W1212" s="3" t="str">
        <f>LEFT(Base_Periodo1[[#This Row],[CLASS]],3)</f>
        <v>1.1</v>
      </c>
    </row>
    <row r="1213" spans="1:23" hidden="1">
      <c r="A1213" s="3" t="str">
        <f t="shared" si="18"/>
        <v>Período 1</v>
      </c>
      <c r="B1213">
        <v>15417</v>
      </c>
      <c r="C1213" t="s">
        <v>992</v>
      </c>
      <c r="D1213" t="s">
        <v>1001</v>
      </c>
      <c r="E1213" s="3" t="str">
        <f>IF(LEN(Base_Periodo1[[#This Row],[CLASS]])&gt;=7,LEFT(Base_Periodo1[[#This Row],[CLASS]],7),"")</f>
        <v>1.1.2.2</v>
      </c>
      <c r="F1213" s="3" t="str">
        <f>VLOOKUP(Base_Periodo1[[#This Row],[Aux]],Base_Contas_Balanco[#All],2,FALSE)</f>
        <v>Creditos com não Cooperados</v>
      </c>
      <c r="G1213" s="1">
        <v>42885</v>
      </c>
      <c r="I1213" s="225">
        <v>2170078.84</v>
      </c>
      <c r="J1213" s="225">
        <v>0</v>
      </c>
      <c r="K1213" s="225">
        <v>2170078.8400000008</v>
      </c>
      <c r="L12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2170078.84</v>
      </c>
      <c r="M1213" s="225">
        <f>ROUND(IF(AND(Base_Periodo1[[#This Row],[Tipo_Linha]]="-",Base_Periodo1[[#This Row],[TIPOSALDO]]="D"),Base_Periodo1[[#This Row],[SALDO_ATUAL]]*-1,Base_Periodo1[[#This Row],[SALDO_ATUAL]]),4)</f>
        <v>2170078.84</v>
      </c>
      <c r="N1213" t="s">
        <v>116</v>
      </c>
      <c r="O1213" t="s">
        <v>436</v>
      </c>
      <c r="P1213" t="s">
        <v>397</v>
      </c>
      <c r="Q1213">
        <v>7</v>
      </c>
      <c r="R1213" s="225">
        <f>Base_Periodo1[[#This Row],[CREDITOS]]-Base_Periodo1[[#This Row],[DEBITOS]]</f>
        <v>-2170078.84</v>
      </c>
      <c r="S1213" s="3" t="str">
        <f>IF(ISERROR(VLOOKUP(Base_Periodo1[[#This Row],[CONTA]],BaseContasDRE[#All],4,FALSE)),"Fora do DRE",VLOOKUP(Base_Periodo1[[#This Row],[CONTA]],BaseContasDRE[#All],4,FALSE))</f>
        <v>Fora do DRE</v>
      </c>
      <c r="T1213" s="3" t="str">
        <f>IF(ISERROR(VLOOKUP(Base_Periodo1[[#This Row],[CONTA]],BaseContasDRE[#All],5,FALSE)),"Fora do DRE",VLOOKUP(Base_Periodo1[[#This Row],[CONTA]],BaseContasDRE[#All],6,FALSE))</f>
        <v>Fora do DRE</v>
      </c>
      <c r="U1213" s="3" t="str">
        <f>IF(ISERROR(VLOOKUP(Base_Periodo1[[#This Row],[CONTA]],BaseContasDRE[#All],7,FALSE)),"Fora do DRE",VLOOKUP(Base_Periodo1[[#This Row],[CONTA]],BaseContasDRE[#All],7,FALSE))</f>
        <v>Fora do DRE</v>
      </c>
      <c r="V1213" s="3" t="str">
        <f>IF(Base_Periodo1[[#This Row],[Tipo_Linha]]="Fora do DRE","Fora do DRE","( "&amp;Base_Periodo1[[#This Row],[Tipo_Linha]]&amp;" ) "&amp;Base_Periodo1[[#This Row],[Filtro]])</f>
        <v>Fora do DRE</v>
      </c>
      <c r="W1213" s="3" t="str">
        <f>LEFT(Base_Periodo1[[#This Row],[CLASS]],3)</f>
        <v>1.1</v>
      </c>
    </row>
    <row r="1214" spans="1:23" hidden="1">
      <c r="A1214" s="3" t="str">
        <f t="shared" si="18"/>
        <v>Período 1</v>
      </c>
      <c r="B1214">
        <v>7896</v>
      </c>
      <c r="C1214" t="s">
        <v>992</v>
      </c>
      <c r="D1214" t="s">
        <v>1001</v>
      </c>
      <c r="E1214" s="3" t="str">
        <f>IF(LEN(Base_Periodo1[[#This Row],[CLASS]])&gt;=7,LEFT(Base_Periodo1[[#This Row],[CLASS]],7),"")</f>
        <v>1.1.2.2</v>
      </c>
      <c r="F1214" s="3" t="str">
        <f>VLOOKUP(Base_Periodo1[[#This Row],[Aux]],Base_Contas_Balanco[#All],2,FALSE)</f>
        <v>Creditos com não Cooperados</v>
      </c>
      <c r="G1214" s="1">
        <v>42850</v>
      </c>
      <c r="H1214" s="225">
        <v>26933.899999992922</v>
      </c>
      <c r="I1214" s="225">
        <v>0</v>
      </c>
      <c r="J1214" s="225">
        <v>0</v>
      </c>
      <c r="K1214" s="225">
        <v>26933.899999992922</v>
      </c>
      <c r="L12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26933.9</v>
      </c>
      <c r="M1214" s="225">
        <f>ROUND(IF(AND(Base_Periodo1[[#This Row],[Tipo_Linha]]="-",Base_Periodo1[[#This Row],[TIPOSALDO]]="D"),Base_Periodo1[[#This Row],[SALDO_ATUAL]]*-1,Base_Periodo1[[#This Row],[SALDO_ATUAL]]),4)</f>
        <v>26933.9</v>
      </c>
      <c r="N1214" t="s">
        <v>116</v>
      </c>
      <c r="O1214" t="s">
        <v>397</v>
      </c>
      <c r="P1214" t="s">
        <v>397</v>
      </c>
      <c r="Q1214">
        <v>7</v>
      </c>
      <c r="R1214" s="225">
        <f>Base_Periodo1[[#This Row],[CREDITOS]]-Base_Periodo1[[#This Row],[DEBITOS]]</f>
        <v>0</v>
      </c>
      <c r="S1214" s="3" t="str">
        <f>IF(ISERROR(VLOOKUP(Base_Periodo1[[#This Row],[CONTA]],BaseContasDRE[#All],4,FALSE)),"Fora do DRE",VLOOKUP(Base_Periodo1[[#This Row],[CONTA]],BaseContasDRE[#All],4,FALSE))</f>
        <v>Fora do DRE</v>
      </c>
      <c r="T1214" s="3" t="str">
        <f>IF(ISERROR(VLOOKUP(Base_Periodo1[[#This Row],[CONTA]],BaseContasDRE[#All],5,FALSE)),"Fora do DRE",VLOOKUP(Base_Periodo1[[#This Row],[CONTA]],BaseContasDRE[#All],6,FALSE))</f>
        <v>Fora do DRE</v>
      </c>
      <c r="U1214" s="3" t="str">
        <f>IF(ISERROR(VLOOKUP(Base_Periodo1[[#This Row],[CONTA]],BaseContasDRE[#All],7,FALSE)),"Fora do DRE",VLOOKUP(Base_Periodo1[[#This Row],[CONTA]],BaseContasDRE[#All],7,FALSE))</f>
        <v>Fora do DRE</v>
      </c>
      <c r="V1214" s="3" t="str">
        <f>IF(Base_Periodo1[[#This Row],[Tipo_Linha]]="Fora do DRE","Fora do DRE","( "&amp;Base_Periodo1[[#This Row],[Tipo_Linha]]&amp;" ) "&amp;Base_Periodo1[[#This Row],[Filtro]])</f>
        <v>Fora do DRE</v>
      </c>
      <c r="W1214" s="3" t="str">
        <f>LEFT(Base_Periodo1[[#This Row],[CLASS]],3)</f>
        <v>1.1</v>
      </c>
    </row>
    <row r="1215" spans="1:23" hidden="1">
      <c r="A1215" s="3" t="str">
        <f t="shared" si="18"/>
        <v>Período 1</v>
      </c>
      <c r="B1215">
        <v>41710</v>
      </c>
      <c r="C1215" t="s">
        <v>992</v>
      </c>
      <c r="D1215" t="s">
        <v>4577</v>
      </c>
      <c r="E1215" s="3" t="str">
        <f>IF(LEN(Base_Periodo1[[#This Row],[CLASS]])&gt;=7,LEFT(Base_Periodo1[[#This Row],[CLASS]],7),"")</f>
        <v>1.1.2.2</v>
      </c>
      <c r="F1215" s="3" t="str">
        <f>VLOOKUP(Base_Periodo1[[#This Row],[Aux]],Base_Contas_Balanco[#All],2,FALSE)</f>
        <v>Creditos com não Cooperados</v>
      </c>
      <c r="G1215" s="1">
        <v>42445</v>
      </c>
      <c r="H1215" s="225">
        <v>64</v>
      </c>
      <c r="I1215" s="225">
        <v>0</v>
      </c>
      <c r="J1215" s="225">
        <v>0</v>
      </c>
      <c r="K1215" s="225">
        <v>64</v>
      </c>
      <c r="L12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</v>
      </c>
      <c r="M1215" s="225">
        <f>ROUND(IF(AND(Base_Periodo1[[#This Row],[Tipo_Linha]]="-",Base_Periodo1[[#This Row],[TIPOSALDO]]="D"),Base_Periodo1[[#This Row],[SALDO_ATUAL]]*-1,Base_Periodo1[[#This Row],[SALDO_ATUAL]]),4)</f>
        <v>64</v>
      </c>
      <c r="N1215" t="s">
        <v>116</v>
      </c>
      <c r="O1215" t="s">
        <v>397</v>
      </c>
      <c r="P1215" t="s">
        <v>397</v>
      </c>
      <c r="Q1215">
        <v>7</v>
      </c>
      <c r="R1215" s="225">
        <f>Base_Periodo1[[#This Row],[CREDITOS]]-Base_Periodo1[[#This Row],[DEBITOS]]</f>
        <v>0</v>
      </c>
      <c r="S1215" s="3" t="str">
        <f>IF(ISERROR(VLOOKUP(Base_Periodo1[[#This Row],[CONTA]],BaseContasDRE[#All],4,FALSE)),"Fora do DRE",VLOOKUP(Base_Periodo1[[#This Row],[CONTA]],BaseContasDRE[#All],4,FALSE))</f>
        <v>Fora do DRE</v>
      </c>
      <c r="T1215" s="3" t="str">
        <f>IF(ISERROR(VLOOKUP(Base_Periodo1[[#This Row],[CONTA]],BaseContasDRE[#All],5,FALSE)),"Fora do DRE",VLOOKUP(Base_Periodo1[[#This Row],[CONTA]],BaseContasDRE[#All],6,FALSE))</f>
        <v>Fora do DRE</v>
      </c>
      <c r="U1215" s="3" t="str">
        <f>IF(ISERROR(VLOOKUP(Base_Periodo1[[#This Row],[CONTA]],BaseContasDRE[#All],7,FALSE)),"Fora do DRE",VLOOKUP(Base_Periodo1[[#This Row],[CONTA]],BaseContasDRE[#All],7,FALSE))</f>
        <v>Fora do DRE</v>
      </c>
      <c r="V1215" s="3" t="str">
        <f>IF(Base_Periodo1[[#This Row],[Tipo_Linha]]="Fora do DRE","Fora do DRE","( "&amp;Base_Periodo1[[#This Row],[Tipo_Linha]]&amp;" ) "&amp;Base_Periodo1[[#This Row],[Filtro]])</f>
        <v>Fora do DRE</v>
      </c>
      <c r="W1215" s="3" t="str">
        <f>LEFT(Base_Periodo1[[#This Row],[CLASS]],3)</f>
        <v>1.1</v>
      </c>
    </row>
    <row r="1216" spans="1:23" hidden="1">
      <c r="A1216" s="3" t="str">
        <f t="shared" si="18"/>
        <v>Período 1</v>
      </c>
      <c r="B1216">
        <v>8563</v>
      </c>
      <c r="C1216" t="s">
        <v>992</v>
      </c>
      <c r="D1216" t="s">
        <v>4739</v>
      </c>
      <c r="E1216" s="3" t="str">
        <f>IF(LEN(Base_Periodo1[[#This Row],[CLASS]])&gt;=7,LEFT(Base_Periodo1[[#This Row],[CLASS]],7),"")</f>
        <v>1.1.2.2</v>
      </c>
      <c r="F1216" s="3" t="str">
        <f>VLOOKUP(Base_Periodo1[[#This Row],[Aux]],Base_Contas_Balanco[#All],2,FALSE)</f>
        <v>Creditos com não Cooperados</v>
      </c>
      <c r="G1216" s="1">
        <v>42580</v>
      </c>
      <c r="H1216" s="225">
        <v>122.72000000000003</v>
      </c>
      <c r="I1216" s="225">
        <v>0</v>
      </c>
      <c r="J1216" s="225">
        <v>0</v>
      </c>
      <c r="K1216" s="225">
        <v>122.72000000000003</v>
      </c>
      <c r="L12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122.72</v>
      </c>
      <c r="M1216" s="225">
        <f>ROUND(IF(AND(Base_Periodo1[[#This Row],[Tipo_Linha]]="-",Base_Periodo1[[#This Row],[TIPOSALDO]]="D"),Base_Periodo1[[#This Row],[SALDO_ATUAL]]*-1,Base_Periodo1[[#This Row],[SALDO_ATUAL]]),4)</f>
        <v>122.72</v>
      </c>
      <c r="N1216" t="s">
        <v>116</v>
      </c>
      <c r="O1216" t="s">
        <v>397</v>
      </c>
      <c r="P1216" t="s">
        <v>397</v>
      </c>
      <c r="Q1216">
        <v>7</v>
      </c>
      <c r="R1216" s="225">
        <f>Base_Periodo1[[#This Row],[CREDITOS]]-Base_Periodo1[[#This Row],[DEBITOS]]</f>
        <v>0</v>
      </c>
      <c r="S1216" s="3" t="str">
        <f>IF(ISERROR(VLOOKUP(Base_Periodo1[[#This Row],[CONTA]],BaseContasDRE[#All],4,FALSE)),"Fora do DRE",VLOOKUP(Base_Periodo1[[#This Row],[CONTA]],BaseContasDRE[#All],4,FALSE))</f>
        <v>Fora do DRE</v>
      </c>
      <c r="T1216" s="3" t="str">
        <f>IF(ISERROR(VLOOKUP(Base_Periodo1[[#This Row],[CONTA]],BaseContasDRE[#All],5,FALSE)),"Fora do DRE",VLOOKUP(Base_Periodo1[[#This Row],[CONTA]],BaseContasDRE[#All],6,FALSE))</f>
        <v>Fora do DRE</v>
      </c>
      <c r="U1216" s="3" t="str">
        <f>IF(ISERROR(VLOOKUP(Base_Periodo1[[#This Row],[CONTA]],BaseContasDRE[#All],7,FALSE)),"Fora do DRE",VLOOKUP(Base_Periodo1[[#This Row],[CONTA]],BaseContasDRE[#All],7,FALSE))</f>
        <v>Fora do DRE</v>
      </c>
      <c r="V1216" s="3" t="str">
        <f>IF(Base_Periodo1[[#This Row],[Tipo_Linha]]="Fora do DRE","Fora do DRE","( "&amp;Base_Periodo1[[#This Row],[Tipo_Linha]]&amp;" ) "&amp;Base_Periodo1[[#This Row],[Filtro]])</f>
        <v>Fora do DRE</v>
      </c>
      <c r="W1216" s="3" t="str">
        <f>LEFT(Base_Periodo1[[#This Row],[CLASS]],3)</f>
        <v>1.1</v>
      </c>
    </row>
    <row r="1217" spans="1:23" hidden="1">
      <c r="A1217" s="3" t="str">
        <f t="shared" si="18"/>
        <v>Período 1</v>
      </c>
      <c r="B1217">
        <v>18112</v>
      </c>
      <c r="C1217" t="s">
        <v>992</v>
      </c>
      <c r="D1217" t="s">
        <v>1002</v>
      </c>
      <c r="E1217" s="3" t="str">
        <f>IF(LEN(Base_Periodo1[[#This Row],[CLASS]])&gt;=7,LEFT(Base_Periodo1[[#This Row],[CLASS]],7),"")</f>
        <v>1.1.2.2</v>
      </c>
      <c r="F1217" s="3" t="str">
        <f>VLOOKUP(Base_Periodo1[[#This Row],[Aux]],Base_Contas_Balanco[#All],2,FALSE)</f>
        <v>Creditos com não Cooperados</v>
      </c>
      <c r="G1217" s="1">
        <v>41675</v>
      </c>
      <c r="H1217" s="225">
        <v>174.72</v>
      </c>
      <c r="I1217" s="225">
        <v>0</v>
      </c>
      <c r="J1217" s="225">
        <v>0</v>
      </c>
      <c r="K1217" s="225">
        <v>174.72</v>
      </c>
      <c r="L12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174.72</v>
      </c>
      <c r="M1217" s="225">
        <f>ROUND(IF(AND(Base_Periodo1[[#This Row],[Tipo_Linha]]="-",Base_Periodo1[[#This Row],[TIPOSALDO]]="D"),Base_Periodo1[[#This Row],[SALDO_ATUAL]]*-1,Base_Periodo1[[#This Row],[SALDO_ATUAL]]),4)</f>
        <v>174.72</v>
      </c>
      <c r="N1217" t="s">
        <v>116</v>
      </c>
      <c r="O1217" t="s">
        <v>397</v>
      </c>
      <c r="P1217" t="s">
        <v>397</v>
      </c>
      <c r="Q1217">
        <v>7</v>
      </c>
      <c r="R1217" s="225">
        <f>Base_Periodo1[[#This Row],[CREDITOS]]-Base_Periodo1[[#This Row],[DEBITOS]]</f>
        <v>0</v>
      </c>
      <c r="S1217" s="3" t="str">
        <f>IF(ISERROR(VLOOKUP(Base_Periodo1[[#This Row],[CONTA]],BaseContasDRE[#All],4,FALSE)),"Fora do DRE",VLOOKUP(Base_Periodo1[[#This Row],[CONTA]],BaseContasDRE[#All],4,FALSE))</f>
        <v>Fora do DRE</v>
      </c>
      <c r="T1217" s="3" t="str">
        <f>IF(ISERROR(VLOOKUP(Base_Periodo1[[#This Row],[CONTA]],BaseContasDRE[#All],5,FALSE)),"Fora do DRE",VLOOKUP(Base_Periodo1[[#This Row],[CONTA]],BaseContasDRE[#All],6,FALSE))</f>
        <v>Fora do DRE</v>
      </c>
      <c r="U1217" s="3" t="str">
        <f>IF(ISERROR(VLOOKUP(Base_Periodo1[[#This Row],[CONTA]],BaseContasDRE[#All],7,FALSE)),"Fora do DRE",VLOOKUP(Base_Periodo1[[#This Row],[CONTA]],BaseContasDRE[#All],7,FALSE))</f>
        <v>Fora do DRE</v>
      </c>
      <c r="V1217" s="3" t="str">
        <f>IF(Base_Periodo1[[#This Row],[Tipo_Linha]]="Fora do DRE","Fora do DRE","( "&amp;Base_Periodo1[[#This Row],[Tipo_Linha]]&amp;" ) "&amp;Base_Periodo1[[#This Row],[Filtro]])</f>
        <v>Fora do DRE</v>
      </c>
      <c r="W1217" s="3" t="str">
        <f>LEFT(Base_Periodo1[[#This Row],[CLASS]],3)</f>
        <v>1.1</v>
      </c>
    </row>
    <row r="1218" spans="1:23" hidden="1">
      <c r="A1218" s="3" t="str">
        <f t="shared" si="18"/>
        <v>Período 1</v>
      </c>
      <c r="B1218">
        <v>57543</v>
      </c>
      <c r="C1218" t="s">
        <v>992</v>
      </c>
      <c r="D1218" t="s">
        <v>6213</v>
      </c>
      <c r="E1218" s="3" t="str">
        <f>IF(LEN(Base_Periodo1[[#This Row],[CLASS]])&gt;=7,LEFT(Base_Periodo1[[#This Row],[CLASS]],7),"")</f>
        <v>1.1.2.2</v>
      </c>
      <c r="F1218" s="3" t="str">
        <f>VLOOKUP(Base_Periodo1[[#This Row],[Aux]],Base_Contas_Balanco[#All],2,FALSE)</f>
        <v>Creditos com não Cooperados</v>
      </c>
      <c r="G1218" s="1">
        <v>42885</v>
      </c>
      <c r="H1218" s="225">
        <v>8597.0499999999993</v>
      </c>
      <c r="I1218" s="225">
        <v>6142.5</v>
      </c>
      <c r="J1218" s="225">
        <v>0</v>
      </c>
      <c r="K1218" s="225">
        <v>14739.55</v>
      </c>
      <c r="L12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14739.55</v>
      </c>
      <c r="M1218" s="225">
        <f>ROUND(IF(AND(Base_Periodo1[[#This Row],[Tipo_Linha]]="-",Base_Periodo1[[#This Row],[TIPOSALDO]]="D"),Base_Periodo1[[#This Row],[SALDO_ATUAL]]*-1,Base_Periodo1[[#This Row],[SALDO_ATUAL]]),4)</f>
        <v>14739.55</v>
      </c>
      <c r="N1218" t="s">
        <v>116</v>
      </c>
      <c r="O1218" t="s">
        <v>397</v>
      </c>
      <c r="P1218" t="s">
        <v>397</v>
      </c>
      <c r="Q1218">
        <v>7</v>
      </c>
      <c r="R1218" s="225">
        <f>Base_Periodo1[[#This Row],[CREDITOS]]-Base_Periodo1[[#This Row],[DEBITOS]]</f>
        <v>-6142.5</v>
      </c>
      <c r="S1218" s="3" t="str">
        <f>IF(ISERROR(VLOOKUP(Base_Periodo1[[#This Row],[CONTA]],BaseContasDRE[#All],4,FALSE)),"Fora do DRE",VLOOKUP(Base_Periodo1[[#This Row],[CONTA]],BaseContasDRE[#All],4,FALSE))</f>
        <v>Fora do DRE</v>
      </c>
      <c r="T1218" s="3" t="str">
        <f>IF(ISERROR(VLOOKUP(Base_Periodo1[[#This Row],[CONTA]],BaseContasDRE[#All],5,FALSE)),"Fora do DRE",VLOOKUP(Base_Periodo1[[#This Row],[CONTA]],BaseContasDRE[#All],6,FALSE))</f>
        <v>Fora do DRE</v>
      </c>
      <c r="U1218" s="3" t="str">
        <f>IF(ISERROR(VLOOKUP(Base_Periodo1[[#This Row],[CONTA]],BaseContasDRE[#All],7,FALSE)),"Fora do DRE",VLOOKUP(Base_Periodo1[[#This Row],[CONTA]],BaseContasDRE[#All],7,FALSE))</f>
        <v>Fora do DRE</v>
      </c>
      <c r="V1218" s="3" t="str">
        <f>IF(Base_Periodo1[[#This Row],[Tipo_Linha]]="Fora do DRE","Fora do DRE","( "&amp;Base_Periodo1[[#This Row],[Tipo_Linha]]&amp;" ) "&amp;Base_Periodo1[[#This Row],[Filtro]])</f>
        <v>Fora do DRE</v>
      </c>
      <c r="W1218" s="3" t="str">
        <f>LEFT(Base_Periodo1[[#This Row],[CLASS]],3)</f>
        <v>1.1</v>
      </c>
    </row>
    <row r="1219" spans="1:23" hidden="1">
      <c r="A1219" s="3" t="str">
        <f t="shared" si="18"/>
        <v>Período 1</v>
      </c>
      <c r="B1219">
        <v>51676</v>
      </c>
      <c r="C1219" t="s">
        <v>992</v>
      </c>
      <c r="D1219" t="s">
        <v>6214</v>
      </c>
      <c r="E1219" s="3" t="str">
        <f>IF(LEN(Base_Periodo1[[#This Row],[CLASS]])&gt;=7,LEFT(Base_Periodo1[[#This Row],[CLASS]],7),"")</f>
        <v>1.1.2.2</v>
      </c>
      <c r="F1219" s="3" t="str">
        <f>VLOOKUP(Base_Periodo1[[#This Row],[Aux]],Base_Contas_Balanco[#All],2,FALSE)</f>
        <v>Creditos com não Cooperados</v>
      </c>
      <c r="G1219" s="1">
        <v>42879</v>
      </c>
      <c r="H1219" s="225">
        <v>28000</v>
      </c>
      <c r="I1219" s="225">
        <v>0</v>
      </c>
      <c r="J1219" s="225">
        <v>28000</v>
      </c>
      <c r="K1219" s="225">
        <v>0</v>
      </c>
      <c r="L12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219" s="225">
        <f>ROUND(IF(AND(Base_Periodo1[[#This Row],[Tipo_Linha]]="-",Base_Periodo1[[#This Row],[TIPOSALDO]]="D"),Base_Periodo1[[#This Row],[SALDO_ATUAL]]*-1,Base_Periodo1[[#This Row],[SALDO_ATUAL]]),4)</f>
        <v>0</v>
      </c>
      <c r="N1219" t="s">
        <v>116</v>
      </c>
      <c r="O1219" t="s">
        <v>397</v>
      </c>
      <c r="P1219" t="s">
        <v>436</v>
      </c>
      <c r="Q1219">
        <v>7</v>
      </c>
      <c r="R1219" s="225">
        <f>Base_Periodo1[[#This Row],[CREDITOS]]-Base_Periodo1[[#This Row],[DEBITOS]]</f>
        <v>28000</v>
      </c>
      <c r="S1219" s="3" t="str">
        <f>IF(ISERROR(VLOOKUP(Base_Periodo1[[#This Row],[CONTA]],BaseContasDRE[#All],4,FALSE)),"Fora do DRE",VLOOKUP(Base_Periodo1[[#This Row],[CONTA]],BaseContasDRE[#All],4,FALSE))</f>
        <v>Fora do DRE</v>
      </c>
      <c r="T1219" s="3" t="str">
        <f>IF(ISERROR(VLOOKUP(Base_Periodo1[[#This Row],[CONTA]],BaseContasDRE[#All],5,FALSE)),"Fora do DRE",VLOOKUP(Base_Periodo1[[#This Row],[CONTA]],BaseContasDRE[#All],6,FALSE))</f>
        <v>Fora do DRE</v>
      </c>
      <c r="U1219" s="3" t="str">
        <f>IF(ISERROR(VLOOKUP(Base_Periodo1[[#This Row],[CONTA]],BaseContasDRE[#All],7,FALSE)),"Fora do DRE",VLOOKUP(Base_Periodo1[[#This Row],[CONTA]],BaseContasDRE[#All],7,FALSE))</f>
        <v>Fora do DRE</v>
      </c>
      <c r="V1219" s="3" t="str">
        <f>IF(Base_Periodo1[[#This Row],[Tipo_Linha]]="Fora do DRE","Fora do DRE","( "&amp;Base_Periodo1[[#This Row],[Tipo_Linha]]&amp;" ) "&amp;Base_Periodo1[[#This Row],[Filtro]])</f>
        <v>Fora do DRE</v>
      </c>
      <c r="W1219" s="3" t="str">
        <f>LEFT(Base_Periodo1[[#This Row],[CLASS]],3)</f>
        <v>1.1</v>
      </c>
    </row>
    <row r="1220" spans="1:23" hidden="1">
      <c r="A1220" s="3" t="str">
        <f t="shared" si="18"/>
        <v>Período 1</v>
      </c>
      <c r="B1220">
        <v>7844</v>
      </c>
      <c r="C1220" t="s">
        <v>992</v>
      </c>
      <c r="D1220" t="s">
        <v>4922</v>
      </c>
      <c r="E1220" s="3" t="str">
        <f>IF(LEN(Base_Periodo1[[#This Row],[CLASS]])&gt;=7,LEFT(Base_Periodo1[[#This Row],[CLASS]],7),"")</f>
        <v>1.1.2.2</v>
      </c>
      <c r="F1220" s="3" t="str">
        <f>VLOOKUP(Base_Periodo1[[#This Row],[Aux]],Base_Contas_Balanco[#All],2,FALSE)</f>
        <v>Creditos com não Cooperados</v>
      </c>
      <c r="G1220" s="1">
        <v>42872</v>
      </c>
      <c r="I1220" s="225">
        <v>6199.62</v>
      </c>
      <c r="J1220" s="225">
        <v>0</v>
      </c>
      <c r="K1220" s="225">
        <v>6199.62</v>
      </c>
      <c r="L12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6199.62</v>
      </c>
      <c r="M1220" s="225">
        <f>ROUND(IF(AND(Base_Periodo1[[#This Row],[Tipo_Linha]]="-",Base_Periodo1[[#This Row],[TIPOSALDO]]="D"),Base_Periodo1[[#This Row],[SALDO_ATUAL]]*-1,Base_Periodo1[[#This Row],[SALDO_ATUAL]]),4)</f>
        <v>6199.62</v>
      </c>
      <c r="N1220" t="s">
        <v>116</v>
      </c>
      <c r="O1220" t="s">
        <v>436</v>
      </c>
      <c r="P1220" t="s">
        <v>397</v>
      </c>
      <c r="Q1220">
        <v>7</v>
      </c>
      <c r="R1220" s="225">
        <f>Base_Periodo1[[#This Row],[CREDITOS]]-Base_Periodo1[[#This Row],[DEBITOS]]</f>
        <v>-6199.62</v>
      </c>
      <c r="S1220" s="3" t="str">
        <f>IF(ISERROR(VLOOKUP(Base_Periodo1[[#This Row],[CONTA]],BaseContasDRE[#All],4,FALSE)),"Fora do DRE",VLOOKUP(Base_Periodo1[[#This Row],[CONTA]],BaseContasDRE[#All],4,FALSE))</f>
        <v>Fora do DRE</v>
      </c>
      <c r="T1220" s="3" t="str">
        <f>IF(ISERROR(VLOOKUP(Base_Periodo1[[#This Row],[CONTA]],BaseContasDRE[#All],5,FALSE)),"Fora do DRE",VLOOKUP(Base_Periodo1[[#This Row],[CONTA]],BaseContasDRE[#All],6,FALSE))</f>
        <v>Fora do DRE</v>
      </c>
      <c r="U1220" s="3" t="str">
        <f>IF(ISERROR(VLOOKUP(Base_Periodo1[[#This Row],[CONTA]],BaseContasDRE[#All],7,FALSE)),"Fora do DRE",VLOOKUP(Base_Periodo1[[#This Row],[CONTA]],BaseContasDRE[#All],7,FALSE))</f>
        <v>Fora do DRE</v>
      </c>
      <c r="V1220" s="3" t="str">
        <f>IF(Base_Periodo1[[#This Row],[Tipo_Linha]]="Fora do DRE","Fora do DRE","( "&amp;Base_Periodo1[[#This Row],[Tipo_Linha]]&amp;" ) "&amp;Base_Periodo1[[#This Row],[Filtro]])</f>
        <v>Fora do DRE</v>
      </c>
      <c r="W1220" s="3" t="str">
        <f>LEFT(Base_Periodo1[[#This Row],[CLASS]],3)</f>
        <v>1.1</v>
      </c>
    </row>
    <row r="1221" spans="1:23" hidden="1">
      <c r="A1221" s="3" t="str">
        <f t="shared" si="18"/>
        <v>Período 1</v>
      </c>
      <c r="B1221">
        <v>7840</v>
      </c>
      <c r="C1221" t="s">
        <v>992</v>
      </c>
      <c r="D1221" t="s">
        <v>4922</v>
      </c>
      <c r="E1221" s="3" t="str">
        <f>IF(LEN(Base_Periodo1[[#This Row],[CLASS]])&gt;=7,LEFT(Base_Periodo1[[#This Row],[CLASS]],7),"")</f>
        <v>1.1.2.2</v>
      </c>
      <c r="F1221" s="3" t="str">
        <f>VLOOKUP(Base_Periodo1[[#This Row],[Aux]],Base_Contas_Balanco[#All],2,FALSE)</f>
        <v>Creditos com não Cooperados</v>
      </c>
      <c r="G1221" s="1">
        <v>42832</v>
      </c>
      <c r="H1221" s="225">
        <v>4889.640000000596</v>
      </c>
      <c r="I1221" s="225">
        <v>0</v>
      </c>
      <c r="J1221" s="225">
        <v>0</v>
      </c>
      <c r="K1221" s="225">
        <v>4889.640000000596</v>
      </c>
      <c r="L12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4889.6400000000003</v>
      </c>
      <c r="M1221" s="225">
        <f>ROUND(IF(AND(Base_Periodo1[[#This Row],[Tipo_Linha]]="-",Base_Periodo1[[#This Row],[TIPOSALDO]]="D"),Base_Periodo1[[#This Row],[SALDO_ATUAL]]*-1,Base_Periodo1[[#This Row],[SALDO_ATUAL]]),4)</f>
        <v>4889.6400000000003</v>
      </c>
      <c r="N1221" t="s">
        <v>116</v>
      </c>
      <c r="O1221" t="s">
        <v>397</v>
      </c>
      <c r="P1221" t="s">
        <v>397</v>
      </c>
      <c r="Q1221">
        <v>7</v>
      </c>
      <c r="R1221" s="225">
        <f>Base_Periodo1[[#This Row],[CREDITOS]]-Base_Periodo1[[#This Row],[DEBITOS]]</f>
        <v>0</v>
      </c>
      <c r="S1221" s="3" t="str">
        <f>IF(ISERROR(VLOOKUP(Base_Periodo1[[#This Row],[CONTA]],BaseContasDRE[#All],4,FALSE)),"Fora do DRE",VLOOKUP(Base_Periodo1[[#This Row],[CONTA]],BaseContasDRE[#All],4,FALSE))</f>
        <v>Fora do DRE</v>
      </c>
      <c r="T1221" s="3" t="str">
        <f>IF(ISERROR(VLOOKUP(Base_Periodo1[[#This Row],[CONTA]],BaseContasDRE[#All],5,FALSE)),"Fora do DRE",VLOOKUP(Base_Periodo1[[#This Row],[CONTA]],BaseContasDRE[#All],6,FALSE))</f>
        <v>Fora do DRE</v>
      </c>
      <c r="U1221" s="3" t="str">
        <f>IF(ISERROR(VLOOKUP(Base_Periodo1[[#This Row],[CONTA]],BaseContasDRE[#All],7,FALSE)),"Fora do DRE",VLOOKUP(Base_Periodo1[[#This Row],[CONTA]],BaseContasDRE[#All],7,FALSE))</f>
        <v>Fora do DRE</v>
      </c>
      <c r="V1221" s="3" t="str">
        <f>IF(Base_Periodo1[[#This Row],[Tipo_Linha]]="Fora do DRE","Fora do DRE","( "&amp;Base_Periodo1[[#This Row],[Tipo_Linha]]&amp;" ) "&amp;Base_Periodo1[[#This Row],[Filtro]])</f>
        <v>Fora do DRE</v>
      </c>
      <c r="W1221" s="3" t="str">
        <f>LEFT(Base_Periodo1[[#This Row],[CLASS]],3)</f>
        <v>1.1</v>
      </c>
    </row>
    <row r="1222" spans="1:23" hidden="1">
      <c r="A1222" s="3" t="str">
        <f t="shared" ref="A1222:A1285" si="19">"Período 1"</f>
        <v>Período 1</v>
      </c>
      <c r="B1222">
        <v>7860</v>
      </c>
      <c r="C1222" t="s">
        <v>992</v>
      </c>
      <c r="D1222" t="s">
        <v>4922</v>
      </c>
      <c r="E1222" s="3" t="str">
        <f>IF(LEN(Base_Periodo1[[#This Row],[CLASS]])&gt;=7,LEFT(Base_Periodo1[[#This Row],[CLASS]],7),"")</f>
        <v>1.1.2.2</v>
      </c>
      <c r="F1222" s="3" t="str">
        <f>VLOOKUP(Base_Periodo1[[#This Row],[Aux]],Base_Contas_Balanco[#All],2,FALSE)</f>
        <v>Creditos com não Cooperados</v>
      </c>
      <c r="G1222" s="1">
        <v>42851</v>
      </c>
      <c r="H1222" s="225">
        <v>87.210000000020955</v>
      </c>
      <c r="I1222" s="225">
        <v>0</v>
      </c>
      <c r="J1222" s="225">
        <v>0</v>
      </c>
      <c r="K1222" s="225">
        <v>87.210000000020955</v>
      </c>
      <c r="L12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87.21</v>
      </c>
      <c r="M1222" s="225">
        <f>ROUND(IF(AND(Base_Periodo1[[#This Row],[Tipo_Linha]]="-",Base_Periodo1[[#This Row],[TIPOSALDO]]="D"),Base_Periodo1[[#This Row],[SALDO_ATUAL]]*-1,Base_Periodo1[[#This Row],[SALDO_ATUAL]]),4)</f>
        <v>87.21</v>
      </c>
      <c r="N1222" t="s">
        <v>116</v>
      </c>
      <c r="O1222" t="s">
        <v>397</v>
      </c>
      <c r="P1222" t="s">
        <v>397</v>
      </c>
      <c r="Q1222">
        <v>7</v>
      </c>
      <c r="R1222" s="225">
        <f>Base_Periodo1[[#This Row],[CREDITOS]]-Base_Periodo1[[#This Row],[DEBITOS]]</f>
        <v>0</v>
      </c>
      <c r="S1222" s="3" t="str">
        <f>IF(ISERROR(VLOOKUP(Base_Periodo1[[#This Row],[CONTA]],BaseContasDRE[#All],4,FALSE)),"Fora do DRE",VLOOKUP(Base_Periodo1[[#This Row],[CONTA]],BaseContasDRE[#All],4,FALSE))</f>
        <v>Fora do DRE</v>
      </c>
      <c r="T1222" s="3" t="str">
        <f>IF(ISERROR(VLOOKUP(Base_Periodo1[[#This Row],[CONTA]],BaseContasDRE[#All],5,FALSE)),"Fora do DRE",VLOOKUP(Base_Periodo1[[#This Row],[CONTA]],BaseContasDRE[#All],6,FALSE))</f>
        <v>Fora do DRE</v>
      </c>
      <c r="U1222" s="3" t="str">
        <f>IF(ISERROR(VLOOKUP(Base_Periodo1[[#This Row],[CONTA]],BaseContasDRE[#All],7,FALSE)),"Fora do DRE",VLOOKUP(Base_Periodo1[[#This Row],[CONTA]],BaseContasDRE[#All],7,FALSE))</f>
        <v>Fora do DRE</v>
      </c>
      <c r="V1222" s="3" t="str">
        <f>IF(Base_Periodo1[[#This Row],[Tipo_Linha]]="Fora do DRE","Fora do DRE","( "&amp;Base_Periodo1[[#This Row],[Tipo_Linha]]&amp;" ) "&amp;Base_Periodo1[[#This Row],[Filtro]])</f>
        <v>Fora do DRE</v>
      </c>
      <c r="W1222" s="3" t="str">
        <f>LEFT(Base_Periodo1[[#This Row],[CLASS]],3)</f>
        <v>1.1</v>
      </c>
    </row>
    <row r="1223" spans="1:23" hidden="1">
      <c r="A1223" s="3" t="str">
        <f t="shared" si="19"/>
        <v>Período 1</v>
      </c>
      <c r="B1223">
        <v>16601</v>
      </c>
      <c r="C1223" t="s">
        <v>992</v>
      </c>
      <c r="D1223" t="s">
        <v>4197</v>
      </c>
      <c r="E1223" s="3" t="str">
        <f>IF(LEN(Base_Periodo1[[#This Row],[CLASS]])&gt;=7,LEFT(Base_Periodo1[[#This Row],[CLASS]],7),"")</f>
        <v>1.1.2.2</v>
      </c>
      <c r="F1223" s="3" t="str">
        <f>VLOOKUP(Base_Periodo1[[#This Row],[Aux]],Base_Contas_Balanco[#All],2,FALSE)</f>
        <v>Creditos com não Cooperados</v>
      </c>
      <c r="G1223" s="1">
        <v>42858</v>
      </c>
      <c r="H1223" s="225">
        <v>8730.0000000009313</v>
      </c>
      <c r="I1223" s="225">
        <v>0</v>
      </c>
      <c r="J1223" s="225">
        <v>8730</v>
      </c>
      <c r="K1223" s="225">
        <v>9.3132257461547852E-10</v>
      </c>
      <c r="L12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223" s="225">
        <f>ROUND(IF(AND(Base_Periodo1[[#This Row],[Tipo_Linha]]="-",Base_Periodo1[[#This Row],[TIPOSALDO]]="D"),Base_Periodo1[[#This Row],[SALDO_ATUAL]]*-1,Base_Periodo1[[#This Row],[SALDO_ATUAL]]),4)</f>
        <v>0</v>
      </c>
      <c r="N1223" t="s">
        <v>116</v>
      </c>
      <c r="O1223" t="s">
        <v>397</v>
      </c>
      <c r="P1223" t="s">
        <v>436</v>
      </c>
      <c r="Q1223">
        <v>7</v>
      </c>
      <c r="R1223" s="225">
        <f>Base_Periodo1[[#This Row],[CREDITOS]]-Base_Periodo1[[#This Row],[DEBITOS]]</f>
        <v>8730</v>
      </c>
      <c r="S1223" s="3" t="str">
        <f>IF(ISERROR(VLOOKUP(Base_Periodo1[[#This Row],[CONTA]],BaseContasDRE[#All],4,FALSE)),"Fora do DRE",VLOOKUP(Base_Periodo1[[#This Row],[CONTA]],BaseContasDRE[#All],4,FALSE))</f>
        <v>Fora do DRE</v>
      </c>
      <c r="T1223" s="3" t="str">
        <f>IF(ISERROR(VLOOKUP(Base_Periodo1[[#This Row],[CONTA]],BaseContasDRE[#All],5,FALSE)),"Fora do DRE",VLOOKUP(Base_Periodo1[[#This Row],[CONTA]],BaseContasDRE[#All],6,FALSE))</f>
        <v>Fora do DRE</v>
      </c>
      <c r="U1223" s="3" t="str">
        <f>IF(ISERROR(VLOOKUP(Base_Periodo1[[#This Row],[CONTA]],BaseContasDRE[#All],7,FALSE)),"Fora do DRE",VLOOKUP(Base_Periodo1[[#This Row],[CONTA]],BaseContasDRE[#All],7,FALSE))</f>
        <v>Fora do DRE</v>
      </c>
      <c r="V1223" s="3" t="str">
        <f>IF(Base_Periodo1[[#This Row],[Tipo_Linha]]="Fora do DRE","Fora do DRE","( "&amp;Base_Periodo1[[#This Row],[Tipo_Linha]]&amp;" ) "&amp;Base_Periodo1[[#This Row],[Filtro]])</f>
        <v>Fora do DRE</v>
      </c>
      <c r="W1223" s="3" t="str">
        <f>LEFT(Base_Periodo1[[#This Row],[CLASS]],3)</f>
        <v>1.1</v>
      </c>
    </row>
    <row r="1224" spans="1:23" hidden="1">
      <c r="A1224" s="3" t="str">
        <f t="shared" si="19"/>
        <v>Período 1</v>
      </c>
      <c r="B1224">
        <v>17115</v>
      </c>
      <c r="C1224" t="s">
        <v>992</v>
      </c>
      <c r="D1224" t="s">
        <v>4197</v>
      </c>
      <c r="E1224" s="3" t="str">
        <f>IF(LEN(Base_Periodo1[[#This Row],[CLASS]])&gt;=7,LEFT(Base_Periodo1[[#This Row],[CLASS]],7),"")</f>
        <v>1.1.2.2</v>
      </c>
      <c r="F1224" s="3" t="str">
        <f>VLOOKUP(Base_Periodo1[[#This Row],[Aux]],Base_Contas_Balanco[#All],2,FALSE)</f>
        <v>Creditos com não Cooperados</v>
      </c>
      <c r="G1224" s="1">
        <v>42858</v>
      </c>
      <c r="H1224" s="225">
        <v>89900</v>
      </c>
      <c r="I1224" s="225">
        <v>89900</v>
      </c>
      <c r="J1224" s="225">
        <v>179800</v>
      </c>
      <c r="K1224" s="225">
        <v>0</v>
      </c>
      <c r="L12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224" s="225">
        <f>ROUND(IF(AND(Base_Periodo1[[#This Row],[Tipo_Linha]]="-",Base_Periodo1[[#This Row],[TIPOSALDO]]="D"),Base_Periodo1[[#This Row],[SALDO_ATUAL]]*-1,Base_Periodo1[[#This Row],[SALDO_ATUAL]]),4)</f>
        <v>0</v>
      </c>
      <c r="N1224" t="s">
        <v>116</v>
      </c>
      <c r="O1224" t="s">
        <v>397</v>
      </c>
      <c r="P1224" t="s">
        <v>436</v>
      </c>
      <c r="Q1224">
        <v>7</v>
      </c>
      <c r="R1224" s="225">
        <f>Base_Periodo1[[#This Row],[CREDITOS]]-Base_Periodo1[[#This Row],[DEBITOS]]</f>
        <v>89900</v>
      </c>
      <c r="S1224" s="3" t="str">
        <f>IF(ISERROR(VLOOKUP(Base_Periodo1[[#This Row],[CONTA]],BaseContasDRE[#All],4,FALSE)),"Fora do DRE",VLOOKUP(Base_Periodo1[[#This Row],[CONTA]],BaseContasDRE[#All],4,FALSE))</f>
        <v>Fora do DRE</v>
      </c>
      <c r="T1224" s="3" t="str">
        <f>IF(ISERROR(VLOOKUP(Base_Periodo1[[#This Row],[CONTA]],BaseContasDRE[#All],5,FALSE)),"Fora do DRE",VLOOKUP(Base_Periodo1[[#This Row],[CONTA]],BaseContasDRE[#All],6,FALSE))</f>
        <v>Fora do DRE</v>
      </c>
      <c r="U1224" s="3" t="str">
        <f>IF(ISERROR(VLOOKUP(Base_Periodo1[[#This Row],[CONTA]],BaseContasDRE[#All],7,FALSE)),"Fora do DRE",VLOOKUP(Base_Periodo1[[#This Row],[CONTA]],BaseContasDRE[#All],7,FALSE))</f>
        <v>Fora do DRE</v>
      </c>
      <c r="V1224" s="3" t="str">
        <f>IF(Base_Periodo1[[#This Row],[Tipo_Linha]]="Fora do DRE","Fora do DRE","( "&amp;Base_Periodo1[[#This Row],[Tipo_Linha]]&amp;" ) "&amp;Base_Periodo1[[#This Row],[Filtro]])</f>
        <v>Fora do DRE</v>
      </c>
      <c r="W1224" s="3" t="str">
        <f>LEFT(Base_Periodo1[[#This Row],[CLASS]],3)</f>
        <v>1.1</v>
      </c>
    </row>
    <row r="1225" spans="1:23" hidden="1">
      <c r="A1225" s="3" t="str">
        <f t="shared" si="19"/>
        <v>Período 1</v>
      </c>
      <c r="B1225">
        <v>31858</v>
      </c>
      <c r="C1225" t="s">
        <v>1003</v>
      </c>
      <c r="D1225" t="s">
        <v>1004</v>
      </c>
      <c r="E1225" s="3" t="str">
        <f>IF(LEN(Base_Periodo1[[#This Row],[CLASS]])&gt;=7,LEFT(Base_Periodo1[[#This Row],[CLASS]],7),"")</f>
        <v>1.1.2.2</v>
      </c>
      <c r="F1225" s="3" t="str">
        <f>VLOOKUP(Base_Periodo1[[#This Row],[Aux]],Base_Contas_Balanco[#All],2,FALSE)</f>
        <v>Creditos com não Cooperados</v>
      </c>
      <c r="G1225" s="1">
        <v>42886</v>
      </c>
      <c r="H1225" s="225">
        <v>144980.03999999864</v>
      </c>
      <c r="I1225" s="225">
        <v>106564.72999999998</v>
      </c>
      <c r="J1225" s="225">
        <v>91965.3</v>
      </c>
      <c r="K1225" s="225">
        <v>159579.46999999863</v>
      </c>
      <c r="L12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159579.47</v>
      </c>
      <c r="M1225" s="225">
        <f>ROUND(IF(AND(Base_Periodo1[[#This Row],[Tipo_Linha]]="-",Base_Periodo1[[#This Row],[TIPOSALDO]]="D"),Base_Periodo1[[#This Row],[SALDO_ATUAL]]*-1,Base_Periodo1[[#This Row],[SALDO_ATUAL]]),4)</f>
        <v>159579.47</v>
      </c>
      <c r="N1225" t="s">
        <v>116</v>
      </c>
      <c r="O1225" t="s">
        <v>397</v>
      </c>
      <c r="P1225" t="s">
        <v>397</v>
      </c>
      <c r="Q1225">
        <v>6</v>
      </c>
      <c r="R1225" s="225">
        <f>Base_Periodo1[[#This Row],[CREDITOS]]-Base_Periodo1[[#This Row],[DEBITOS]]</f>
        <v>-14599.429999999978</v>
      </c>
      <c r="S1225" s="3" t="str">
        <f>IF(ISERROR(VLOOKUP(Base_Periodo1[[#This Row],[CONTA]],BaseContasDRE[#All],4,FALSE)),"Fora do DRE",VLOOKUP(Base_Periodo1[[#This Row],[CONTA]],BaseContasDRE[#All],4,FALSE))</f>
        <v>Fora do DRE</v>
      </c>
      <c r="T1225" s="3" t="str">
        <f>IF(ISERROR(VLOOKUP(Base_Periodo1[[#This Row],[CONTA]],BaseContasDRE[#All],5,FALSE)),"Fora do DRE",VLOOKUP(Base_Periodo1[[#This Row],[CONTA]],BaseContasDRE[#All],6,FALSE))</f>
        <v>Fora do DRE</v>
      </c>
      <c r="U1225" s="3" t="str">
        <f>IF(ISERROR(VLOOKUP(Base_Periodo1[[#This Row],[CONTA]],BaseContasDRE[#All],7,FALSE)),"Fora do DRE",VLOOKUP(Base_Periodo1[[#This Row],[CONTA]],BaseContasDRE[#All],7,FALSE))</f>
        <v>Fora do DRE</v>
      </c>
      <c r="V1225" s="3" t="str">
        <f>IF(Base_Periodo1[[#This Row],[Tipo_Linha]]="Fora do DRE","Fora do DRE","( "&amp;Base_Periodo1[[#This Row],[Tipo_Linha]]&amp;" ) "&amp;Base_Periodo1[[#This Row],[Filtro]])</f>
        <v>Fora do DRE</v>
      </c>
      <c r="W1225" s="3" t="str">
        <f>LEFT(Base_Periodo1[[#This Row],[CLASS]],3)</f>
        <v>1.1</v>
      </c>
    </row>
    <row r="1226" spans="1:23" hidden="1">
      <c r="A1226" s="3" t="str">
        <f t="shared" si="19"/>
        <v>Período 1</v>
      </c>
      <c r="B1226">
        <v>50391</v>
      </c>
      <c r="C1226" t="s">
        <v>4427</v>
      </c>
      <c r="D1226" t="s">
        <v>4428</v>
      </c>
      <c r="E1226" s="3" t="str">
        <f>IF(LEN(Base_Periodo1[[#This Row],[CLASS]])&gt;=7,LEFT(Base_Periodo1[[#This Row],[CLASS]],7),"")</f>
        <v>1.1.2.2</v>
      </c>
      <c r="F1226" s="3" t="str">
        <f>VLOOKUP(Base_Periodo1[[#This Row],[Aux]],Base_Contas_Balanco[#All],2,FALSE)</f>
        <v>Creditos com não Cooperados</v>
      </c>
      <c r="G1226" s="1">
        <v>42402</v>
      </c>
      <c r="H1226" s="225">
        <v>2101.5</v>
      </c>
      <c r="I1226" s="225">
        <v>0</v>
      </c>
      <c r="J1226" s="225">
        <v>0</v>
      </c>
      <c r="K1226" s="225">
        <v>2101.5</v>
      </c>
      <c r="L12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2101.5</v>
      </c>
      <c r="M1226" s="225">
        <f>ROUND(IF(AND(Base_Periodo1[[#This Row],[Tipo_Linha]]="-",Base_Periodo1[[#This Row],[TIPOSALDO]]="D"),Base_Periodo1[[#This Row],[SALDO_ATUAL]]*-1,Base_Periodo1[[#This Row],[SALDO_ATUAL]]),4)</f>
        <v>2101.5</v>
      </c>
      <c r="N1226" t="s">
        <v>116</v>
      </c>
      <c r="O1226" t="s">
        <v>397</v>
      </c>
      <c r="P1226" t="s">
        <v>397</v>
      </c>
      <c r="Q1226">
        <v>6</v>
      </c>
      <c r="R1226" s="225">
        <f>Base_Periodo1[[#This Row],[CREDITOS]]-Base_Periodo1[[#This Row],[DEBITOS]]</f>
        <v>0</v>
      </c>
      <c r="S1226" s="3" t="str">
        <f>IF(ISERROR(VLOOKUP(Base_Periodo1[[#This Row],[CONTA]],BaseContasDRE[#All],4,FALSE)),"Fora do DRE",VLOOKUP(Base_Periodo1[[#This Row],[CONTA]],BaseContasDRE[#All],4,FALSE))</f>
        <v>Fora do DRE</v>
      </c>
      <c r="T1226" s="3" t="str">
        <f>IF(ISERROR(VLOOKUP(Base_Periodo1[[#This Row],[CONTA]],BaseContasDRE[#All],5,FALSE)),"Fora do DRE",VLOOKUP(Base_Periodo1[[#This Row],[CONTA]],BaseContasDRE[#All],6,FALSE))</f>
        <v>Fora do DRE</v>
      </c>
      <c r="U1226" s="3" t="str">
        <f>IF(ISERROR(VLOOKUP(Base_Periodo1[[#This Row],[CONTA]],BaseContasDRE[#All],7,FALSE)),"Fora do DRE",VLOOKUP(Base_Periodo1[[#This Row],[CONTA]],BaseContasDRE[#All],7,FALSE))</f>
        <v>Fora do DRE</v>
      </c>
      <c r="V1226" s="3" t="str">
        <f>IF(Base_Periodo1[[#This Row],[Tipo_Linha]]="Fora do DRE","Fora do DRE","( "&amp;Base_Periodo1[[#This Row],[Tipo_Linha]]&amp;" ) "&amp;Base_Periodo1[[#This Row],[Filtro]])</f>
        <v>Fora do DRE</v>
      </c>
      <c r="W1226" s="3" t="str">
        <f>LEFT(Base_Periodo1[[#This Row],[CLASS]],3)</f>
        <v>1.1</v>
      </c>
    </row>
    <row r="1227" spans="1:23" hidden="1">
      <c r="A1227" s="3" t="str">
        <f t="shared" si="19"/>
        <v>Período 1</v>
      </c>
      <c r="B1227">
        <v>72</v>
      </c>
      <c r="C1227" t="s">
        <v>14</v>
      </c>
      <c r="D1227" t="s">
        <v>15</v>
      </c>
      <c r="E1227" s="3" t="str">
        <f>IF(LEN(Base_Periodo1[[#This Row],[CLASS]])&gt;=7,LEFT(Base_Periodo1[[#This Row],[CLASS]],7),"")</f>
        <v>1.1.2.5</v>
      </c>
      <c r="F1227" s="3" t="str">
        <f>VLOOKUP(Base_Periodo1[[#This Row],[Aux]],Base_Contas_Balanco[#All],2,FALSE)</f>
        <v>Valores a Receber de Entidades Publicas</v>
      </c>
      <c r="G1227" s="1"/>
      <c r="H1227" s="225">
        <v>10479044.280000959</v>
      </c>
      <c r="I1227" s="225">
        <v>4210391.84</v>
      </c>
      <c r="J1227" s="225">
        <v>4252273.16</v>
      </c>
      <c r="K1227" s="225">
        <v>10437162.960000958</v>
      </c>
      <c r="L12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10437162.960000001</v>
      </c>
      <c r="M1227" s="225">
        <f>ROUND(IF(AND(Base_Periodo1[[#This Row],[Tipo_Linha]]="-",Base_Periodo1[[#This Row],[TIPOSALDO]]="D"),Base_Periodo1[[#This Row],[SALDO_ATUAL]]*-1,Base_Periodo1[[#This Row],[SALDO_ATUAL]]),4)</f>
        <v>10437162.960000001</v>
      </c>
      <c r="N1227" t="s">
        <v>396</v>
      </c>
      <c r="O1227" t="s">
        <v>397</v>
      </c>
      <c r="P1227" t="s">
        <v>397</v>
      </c>
      <c r="Q1227">
        <v>4</v>
      </c>
      <c r="R1227" s="225">
        <f>Base_Periodo1[[#This Row],[CREDITOS]]-Base_Periodo1[[#This Row],[DEBITOS]]</f>
        <v>41881.320000000298</v>
      </c>
      <c r="S1227" s="3" t="str">
        <f>IF(ISERROR(VLOOKUP(Base_Periodo1[[#This Row],[CONTA]],BaseContasDRE[#All],4,FALSE)),"Fora do DRE",VLOOKUP(Base_Periodo1[[#This Row],[CONTA]],BaseContasDRE[#All],4,FALSE))</f>
        <v>Fora do DRE</v>
      </c>
      <c r="T1227" s="3" t="str">
        <f>IF(ISERROR(VLOOKUP(Base_Periodo1[[#This Row],[CONTA]],BaseContasDRE[#All],5,FALSE)),"Fora do DRE",VLOOKUP(Base_Periodo1[[#This Row],[CONTA]],BaseContasDRE[#All],6,FALSE))</f>
        <v>Fora do DRE</v>
      </c>
      <c r="U1227" s="3" t="str">
        <f>IF(ISERROR(VLOOKUP(Base_Periodo1[[#This Row],[CONTA]],BaseContasDRE[#All],7,FALSE)),"Fora do DRE",VLOOKUP(Base_Periodo1[[#This Row],[CONTA]],BaseContasDRE[#All],7,FALSE))</f>
        <v>Fora do DRE</v>
      </c>
      <c r="V1227" s="3" t="str">
        <f>IF(Base_Periodo1[[#This Row],[Tipo_Linha]]="Fora do DRE","Fora do DRE","( "&amp;Base_Periodo1[[#This Row],[Tipo_Linha]]&amp;" ) "&amp;Base_Periodo1[[#This Row],[Filtro]])</f>
        <v>Fora do DRE</v>
      </c>
      <c r="W1227" s="3" t="str">
        <f>LEFT(Base_Periodo1[[#This Row],[CLASS]],3)</f>
        <v>1.1</v>
      </c>
    </row>
    <row r="1228" spans="1:23" hidden="1">
      <c r="A1228" s="3" t="str">
        <f t="shared" si="19"/>
        <v>Período 1</v>
      </c>
      <c r="B1228">
        <v>73</v>
      </c>
      <c r="C1228" t="s">
        <v>1005</v>
      </c>
      <c r="D1228" t="s">
        <v>161</v>
      </c>
      <c r="E1228" s="3" t="str">
        <f>IF(LEN(Base_Periodo1[[#This Row],[CLASS]])&gt;=7,LEFT(Base_Periodo1[[#This Row],[CLASS]],7),"")</f>
        <v>1.1.2.5</v>
      </c>
      <c r="F1228" s="3" t="str">
        <f>VLOOKUP(Base_Periodo1[[#This Row],[Aux]],Base_Contas_Balanco[#All],2,FALSE)</f>
        <v>Valores a Receber de Entidades Publicas</v>
      </c>
      <c r="G1228" s="1"/>
      <c r="H1228" s="225">
        <v>10479044.280000959</v>
      </c>
      <c r="I1228" s="225">
        <v>4210391.84</v>
      </c>
      <c r="J1228" s="225">
        <v>4252273.16</v>
      </c>
      <c r="K1228" s="225">
        <v>10437162.960000958</v>
      </c>
      <c r="L12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10437162.960000001</v>
      </c>
      <c r="M1228" s="225">
        <f>ROUND(IF(AND(Base_Periodo1[[#This Row],[Tipo_Linha]]="-",Base_Periodo1[[#This Row],[TIPOSALDO]]="D"),Base_Periodo1[[#This Row],[SALDO_ATUAL]]*-1,Base_Periodo1[[#This Row],[SALDO_ATUAL]]),4)</f>
        <v>10437162.960000001</v>
      </c>
      <c r="N1228" t="s">
        <v>396</v>
      </c>
      <c r="O1228" t="s">
        <v>397</v>
      </c>
      <c r="P1228" t="s">
        <v>397</v>
      </c>
      <c r="Q1228">
        <v>5</v>
      </c>
      <c r="R1228" s="225">
        <f>Base_Periodo1[[#This Row],[CREDITOS]]-Base_Periodo1[[#This Row],[DEBITOS]]</f>
        <v>41881.320000000298</v>
      </c>
      <c r="S1228" s="3" t="str">
        <f>IF(ISERROR(VLOOKUP(Base_Periodo1[[#This Row],[CONTA]],BaseContasDRE[#All],4,FALSE)),"Fora do DRE",VLOOKUP(Base_Periodo1[[#This Row],[CONTA]],BaseContasDRE[#All],4,FALSE))</f>
        <v>Fora do DRE</v>
      </c>
      <c r="T1228" s="3" t="str">
        <f>IF(ISERROR(VLOOKUP(Base_Periodo1[[#This Row],[CONTA]],BaseContasDRE[#All],5,FALSE)),"Fora do DRE",VLOOKUP(Base_Periodo1[[#This Row],[CONTA]],BaseContasDRE[#All],6,FALSE))</f>
        <v>Fora do DRE</v>
      </c>
      <c r="U1228" s="3" t="str">
        <f>IF(ISERROR(VLOOKUP(Base_Periodo1[[#This Row],[CONTA]],BaseContasDRE[#All],7,FALSE)),"Fora do DRE",VLOOKUP(Base_Periodo1[[#This Row],[CONTA]],BaseContasDRE[#All],7,FALSE))</f>
        <v>Fora do DRE</v>
      </c>
      <c r="V1228" s="3" t="str">
        <f>IF(Base_Periodo1[[#This Row],[Tipo_Linha]]="Fora do DRE","Fora do DRE","( "&amp;Base_Periodo1[[#This Row],[Tipo_Linha]]&amp;" ) "&amp;Base_Periodo1[[#This Row],[Filtro]])</f>
        <v>Fora do DRE</v>
      </c>
      <c r="W1228" s="3" t="str">
        <f>LEFT(Base_Periodo1[[#This Row],[CLASS]],3)</f>
        <v>1.1</v>
      </c>
    </row>
    <row r="1229" spans="1:23" hidden="1">
      <c r="A1229" s="3" t="str">
        <f t="shared" si="19"/>
        <v>Período 1</v>
      </c>
      <c r="B1229">
        <v>74</v>
      </c>
      <c r="C1229" t="s">
        <v>1006</v>
      </c>
      <c r="D1229" t="s">
        <v>1007</v>
      </c>
      <c r="E1229" s="3" t="str">
        <f>IF(LEN(Base_Periodo1[[#This Row],[CLASS]])&gt;=7,LEFT(Base_Periodo1[[#This Row],[CLASS]],7),"")</f>
        <v>1.1.2.5</v>
      </c>
      <c r="F1229" s="3" t="str">
        <f>VLOOKUP(Base_Periodo1[[#This Row],[Aux]],Base_Contas_Balanco[#All],2,FALSE)</f>
        <v>Valores a Receber de Entidades Publicas</v>
      </c>
      <c r="G1229" s="1">
        <v>42886</v>
      </c>
      <c r="H1229" s="225">
        <v>55484.569999996573</v>
      </c>
      <c r="I1229" s="225">
        <v>155192.47000000003</v>
      </c>
      <c r="J1229" s="225">
        <v>0</v>
      </c>
      <c r="K1229" s="225">
        <v>210677.0399999966</v>
      </c>
      <c r="L12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210677.04</v>
      </c>
      <c r="M1229" s="225">
        <f>ROUND(IF(AND(Base_Periodo1[[#This Row],[Tipo_Linha]]="-",Base_Periodo1[[#This Row],[TIPOSALDO]]="D"),Base_Periodo1[[#This Row],[SALDO_ATUAL]]*-1,Base_Periodo1[[#This Row],[SALDO_ATUAL]]),4)</f>
        <v>210677.04</v>
      </c>
      <c r="N1229" t="s">
        <v>116</v>
      </c>
      <c r="O1229" t="s">
        <v>397</v>
      </c>
      <c r="P1229" t="s">
        <v>397</v>
      </c>
      <c r="Q1229">
        <v>6</v>
      </c>
      <c r="R1229" s="225">
        <f>Base_Periodo1[[#This Row],[CREDITOS]]-Base_Periodo1[[#This Row],[DEBITOS]]</f>
        <v>-155192.47000000003</v>
      </c>
      <c r="S1229" s="3" t="str">
        <f>IF(ISERROR(VLOOKUP(Base_Periodo1[[#This Row],[CONTA]],BaseContasDRE[#All],4,FALSE)),"Fora do DRE",VLOOKUP(Base_Periodo1[[#This Row],[CONTA]],BaseContasDRE[#All],4,FALSE))</f>
        <v>Fora do DRE</v>
      </c>
      <c r="T1229" s="3" t="str">
        <f>IF(ISERROR(VLOOKUP(Base_Periodo1[[#This Row],[CONTA]],BaseContasDRE[#All],5,FALSE)),"Fora do DRE",VLOOKUP(Base_Periodo1[[#This Row],[CONTA]],BaseContasDRE[#All],6,FALSE))</f>
        <v>Fora do DRE</v>
      </c>
      <c r="U1229" s="3" t="str">
        <f>IF(ISERROR(VLOOKUP(Base_Periodo1[[#This Row],[CONTA]],BaseContasDRE[#All],7,FALSE)),"Fora do DRE",VLOOKUP(Base_Periodo1[[#This Row],[CONTA]],BaseContasDRE[#All],7,FALSE))</f>
        <v>Fora do DRE</v>
      </c>
      <c r="V1229" s="3" t="str">
        <f>IF(Base_Periodo1[[#This Row],[Tipo_Linha]]="Fora do DRE","Fora do DRE","( "&amp;Base_Periodo1[[#This Row],[Tipo_Linha]]&amp;" ) "&amp;Base_Periodo1[[#This Row],[Filtro]])</f>
        <v>Fora do DRE</v>
      </c>
      <c r="W1229" s="3" t="str">
        <f>LEFT(Base_Periodo1[[#This Row],[CLASS]],3)</f>
        <v>1.1</v>
      </c>
    </row>
    <row r="1230" spans="1:23" hidden="1">
      <c r="A1230" s="3" t="str">
        <f t="shared" si="19"/>
        <v>Período 1</v>
      </c>
      <c r="B1230">
        <v>75</v>
      </c>
      <c r="C1230" t="s">
        <v>1008</v>
      </c>
      <c r="D1230" t="s">
        <v>1009</v>
      </c>
      <c r="E1230" s="3" t="str">
        <f>IF(LEN(Base_Periodo1[[#This Row],[CLASS]])&gt;=7,LEFT(Base_Periodo1[[#This Row],[CLASS]],7),"")</f>
        <v>1.1.2.5</v>
      </c>
      <c r="F1230" s="3" t="str">
        <f>VLOOKUP(Base_Periodo1[[#This Row],[Aux]],Base_Contas_Balanco[#All],2,FALSE)</f>
        <v>Valores a Receber de Entidades Publicas</v>
      </c>
      <c r="G1230" s="1">
        <v>42490</v>
      </c>
      <c r="H1230" s="225">
        <v>450079.56000000006</v>
      </c>
      <c r="I1230" s="225">
        <v>0</v>
      </c>
      <c r="J1230" s="225">
        <v>0</v>
      </c>
      <c r="K1230" s="225">
        <v>450079.56000000006</v>
      </c>
      <c r="L12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450079.56</v>
      </c>
      <c r="M1230" s="225">
        <f>ROUND(IF(AND(Base_Periodo1[[#This Row],[Tipo_Linha]]="-",Base_Periodo1[[#This Row],[TIPOSALDO]]="D"),Base_Periodo1[[#This Row],[SALDO_ATUAL]]*-1,Base_Periodo1[[#This Row],[SALDO_ATUAL]]),4)</f>
        <v>450079.56</v>
      </c>
      <c r="N1230" t="s">
        <v>116</v>
      </c>
      <c r="O1230" t="s">
        <v>397</v>
      </c>
      <c r="P1230" t="s">
        <v>397</v>
      </c>
      <c r="Q1230">
        <v>6</v>
      </c>
      <c r="R1230" s="225">
        <f>Base_Periodo1[[#This Row],[CREDITOS]]-Base_Periodo1[[#This Row],[DEBITOS]]</f>
        <v>0</v>
      </c>
      <c r="S1230" s="3" t="str">
        <f>IF(ISERROR(VLOOKUP(Base_Periodo1[[#This Row],[CONTA]],BaseContasDRE[#All],4,FALSE)),"Fora do DRE",VLOOKUP(Base_Periodo1[[#This Row],[CONTA]],BaseContasDRE[#All],4,FALSE))</f>
        <v>Fora do DRE</v>
      </c>
      <c r="T1230" s="3" t="str">
        <f>IF(ISERROR(VLOOKUP(Base_Periodo1[[#This Row],[CONTA]],BaseContasDRE[#All],5,FALSE)),"Fora do DRE",VLOOKUP(Base_Periodo1[[#This Row],[CONTA]],BaseContasDRE[#All],6,FALSE))</f>
        <v>Fora do DRE</v>
      </c>
      <c r="U1230" s="3" t="str">
        <f>IF(ISERROR(VLOOKUP(Base_Periodo1[[#This Row],[CONTA]],BaseContasDRE[#All],7,FALSE)),"Fora do DRE",VLOOKUP(Base_Periodo1[[#This Row],[CONTA]],BaseContasDRE[#All],7,FALSE))</f>
        <v>Fora do DRE</v>
      </c>
      <c r="V1230" s="3" t="str">
        <f>IF(Base_Periodo1[[#This Row],[Tipo_Linha]]="Fora do DRE","Fora do DRE","( "&amp;Base_Periodo1[[#This Row],[Tipo_Linha]]&amp;" ) "&amp;Base_Periodo1[[#This Row],[Filtro]])</f>
        <v>Fora do DRE</v>
      </c>
      <c r="W1230" s="3" t="str">
        <f>LEFT(Base_Periodo1[[#This Row],[CLASS]],3)</f>
        <v>1.1</v>
      </c>
    </row>
    <row r="1231" spans="1:23" hidden="1">
      <c r="A1231" s="3" t="str">
        <f t="shared" si="19"/>
        <v>Período 1</v>
      </c>
      <c r="B1231">
        <v>76</v>
      </c>
      <c r="C1231" t="s">
        <v>1010</v>
      </c>
      <c r="D1231" t="s">
        <v>1011</v>
      </c>
      <c r="E1231" s="3" t="str">
        <f>IF(LEN(Base_Periodo1[[#This Row],[CLASS]])&gt;=7,LEFT(Base_Periodo1[[#This Row],[CLASS]],7),"")</f>
        <v>1.1.2.5</v>
      </c>
      <c r="F1231" s="3" t="str">
        <f>VLOOKUP(Base_Periodo1[[#This Row],[Aux]],Base_Contas_Balanco[#All],2,FALSE)</f>
        <v>Valores a Receber de Entidades Publicas</v>
      </c>
      <c r="G1231" s="1">
        <v>42886</v>
      </c>
      <c r="H1231" s="225">
        <v>20251.209999999963</v>
      </c>
      <c r="I1231" s="225">
        <v>2270.2600000000002</v>
      </c>
      <c r="J1231" s="225">
        <v>0</v>
      </c>
      <c r="K1231" s="225">
        <v>22521.469999999965</v>
      </c>
      <c r="L12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22521.47</v>
      </c>
      <c r="M1231" s="225">
        <f>ROUND(IF(AND(Base_Periodo1[[#This Row],[Tipo_Linha]]="-",Base_Periodo1[[#This Row],[TIPOSALDO]]="D"),Base_Periodo1[[#This Row],[SALDO_ATUAL]]*-1,Base_Periodo1[[#This Row],[SALDO_ATUAL]]),4)</f>
        <v>22521.47</v>
      </c>
      <c r="N1231" t="s">
        <v>116</v>
      </c>
      <c r="O1231" t="s">
        <v>397</v>
      </c>
      <c r="P1231" t="s">
        <v>397</v>
      </c>
      <c r="Q1231">
        <v>6</v>
      </c>
      <c r="R1231" s="225">
        <f>Base_Periodo1[[#This Row],[CREDITOS]]-Base_Periodo1[[#This Row],[DEBITOS]]</f>
        <v>-2270.2600000000002</v>
      </c>
      <c r="S1231" s="3" t="str">
        <f>IF(ISERROR(VLOOKUP(Base_Periodo1[[#This Row],[CONTA]],BaseContasDRE[#All],4,FALSE)),"Fora do DRE",VLOOKUP(Base_Periodo1[[#This Row],[CONTA]],BaseContasDRE[#All],4,FALSE))</f>
        <v>Fora do DRE</v>
      </c>
      <c r="T1231" s="3" t="str">
        <f>IF(ISERROR(VLOOKUP(Base_Periodo1[[#This Row],[CONTA]],BaseContasDRE[#All],5,FALSE)),"Fora do DRE",VLOOKUP(Base_Periodo1[[#This Row],[CONTA]],BaseContasDRE[#All],6,FALSE))</f>
        <v>Fora do DRE</v>
      </c>
      <c r="U1231" s="3" t="str">
        <f>IF(ISERROR(VLOOKUP(Base_Periodo1[[#This Row],[CONTA]],BaseContasDRE[#All],7,FALSE)),"Fora do DRE",VLOOKUP(Base_Periodo1[[#This Row],[CONTA]],BaseContasDRE[#All],7,FALSE))</f>
        <v>Fora do DRE</v>
      </c>
      <c r="V1231" s="3" t="str">
        <f>IF(Base_Periodo1[[#This Row],[Tipo_Linha]]="Fora do DRE","Fora do DRE","( "&amp;Base_Periodo1[[#This Row],[Tipo_Linha]]&amp;" ) "&amp;Base_Periodo1[[#This Row],[Filtro]])</f>
        <v>Fora do DRE</v>
      </c>
      <c r="W1231" s="3" t="str">
        <f>LEFT(Base_Periodo1[[#This Row],[CLASS]],3)</f>
        <v>1.1</v>
      </c>
    </row>
    <row r="1232" spans="1:23" hidden="1">
      <c r="A1232" s="3" t="str">
        <f t="shared" si="19"/>
        <v>Período 1</v>
      </c>
      <c r="B1232">
        <v>78</v>
      </c>
      <c r="C1232" t="s">
        <v>1012</v>
      </c>
      <c r="D1232" t="s">
        <v>1013</v>
      </c>
      <c r="E1232" s="3" t="str">
        <f>IF(LEN(Base_Periodo1[[#This Row],[CLASS]])&gt;=7,LEFT(Base_Periodo1[[#This Row],[CLASS]],7),"")</f>
        <v>1.1.2.5</v>
      </c>
      <c r="F1232" s="3" t="str">
        <f>VLOOKUP(Base_Periodo1[[#This Row],[Aux]],Base_Contas_Balanco[#All],2,FALSE)</f>
        <v>Valores a Receber de Entidades Publicas</v>
      </c>
      <c r="G1232" s="1">
        <v>42886</v>
      </c>
      <c r="H1232" s="225">
        <v>3222994.1400009543</v>
      </c>
      <c r="I1232" s="225">
        <v>3786549.08</v>
      </c>
      <c r="J1232" s="225">
        <v>4249309.71</v>
      </c>
      <c r="K1232" s="225">
        <v>2760233.5100009544</v>
      </c>
      <c r="L12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2760233.51</v>
      </c>
      <c r="M1232" s="225">
        <f>ROUND(IF(AND(Base_Periodo1[[#This Row],[Tipo_Linha]]="-",Base_Periodo1[[#This Row],[TIPOSALDO]]="D"),Base_Periodo1[[#This Row],[SALDO_ATUAL]]*-1,Base_Periodo1[[#This Row],[SALDO_ATUAL]]),4)</f>
        <v>2760233.51</v>
      </c>
      <c r="N1232" t="s">
        <v>116</v>
      </c>
      <c r="O1232" t="s">
        <v>397</v>
      </c>
      <c r="P1232" t="s">
        <v>397</v>
      </c>
      <c r="Q1232">
        <v>6</v>
      </c>
      <c r="R1232" s="225">
        <f>Base_Periodo1[[#This Row],[CREDITOS]]-Base_Periodo1[[#This Row],[DEBITOS]]</f>
        <v>462760.62999999989</v>
      </c>
      <c r="S1232" s="3" t="str">
        <f>IF(ISERROR(VLOOKUP(Base_Periodo1[[#This Row],[CONTA]],BaseContasDRE[#All],4,FALSE)),"Fora do DRE",VLOOKUP(Base_Periodo1[[#This Row],[CONTA]],BaseContasDRE[#All],4,FALSE))</f>
        <v>Fora do DRE</v>
      </c>
      <c r="T1232" s="3" t="str">
        <f>IF(ISERROR(VLOOKUP(Base_Periodo1[[#This Row],[CONTA]],BaseContasDRE[#All],5,FALSE)),"Fora do DRE",VLOOKUP(Base_Periodo1[[#This Row],[CONTA]],BaseContasDRE[#All],6,FALSE))</f>
        <v>Fora do DRE</v>
      </c>
      <c r="U1232" s="3" t="str">
        <f>IF(ISERROR(VLOOKUP(Base_Periodo1[[#This Row],[CONTA]],BaseContasDRE[#All],7,FALSE)),"Fora do DRE",VLOOKUP(Base_Periodo1[[#This Row],[CONTA]],BaseContasDRE[#All],7,FALSE))</f>
        <v>Fora do DRE</v>
      </c>
      <c r="V1232" s="3" t="str">
        <f>IF(Base_Periodo1[[#This Row],[Tipo_Linha]]="Fora do DRE","Fora do DRE","( "&amp;Base_Periodo1[[#This Row],[Tipo_Linha]]&amp;" ) "&amp;Base_Periodo1[[#This Row],[Filtro]])</f>
        <v>Fora do DRE</v>
      </c>
      <c r="W1232" s="3" t="str">
        <f>LEFT(Base_Periodo1[[#This Row],[CLASS]],3)</f>
        <v>1.1</v>
      </c>
    </row>
    <row r="1233" spans="1:23" hidden="1">
      <c r="A1233" s="3" t="str">
        <f t="shared" si="19"/>
        <v>Período 1</v>
      </c>
      <c r="B1233">
        <v>81</v>
      </c>
      <c r="C1233" t="s">
        <v>1014</v>
      </c>
      <c r="D1233" t="s">
        <v>1015</v>
      </c>
      <c r="E1233" s="3" t="str">
        <f>IF(LEN(Base_Periodo1[[#This Row],[CLASS]])&gt;=7,LEFT(Base_Periodo1[[#This Row],[CLASS]],7),"")</f>
        <v>1.1.2.5</v>
      </c>
      <c r="F1233" s="3" t="str">
        <f>VLOOKUP(Base_Periodo1[[#This Row],[Aux]],Base_Contas_Balanco[#All],2,FALSE)</f>
        <v>Valores a Receber de Entidades Publicas</v>
      </c>
      <c r="G1233" s="1">
        <v>42886</v>
      </c>
      <c r="H1233" s="225">
        <v>217306.88000000035</v>
      </c>
      <c r="I1233" s="225">
        <v>9327.3300000000127</v>
      </c>
      <c r="J1233" s="225">
        <v>0</v>
      </c>
      <c r="K1233" s="225">
        <v>226634.21000000037</v>
      </c>
      <c r="L12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226634.21</v>
      </c>
      <c r="M1233" s="225">
        <f>ROUND(IF(AND(Base_Periodo1[[#This Row],[Tipo_Linha]]="-",Base_Periodo1[[#This Row],[TIPOSALDO]]="D"),Base_Periodo1[[#This Row],[SALDO_ATUAL]]*-1,Base_Periodo1[[#This Row],[SALDO_ATUAL]]),4)</f>
        <v>226634.21</v>
      </c>
      <c r="N1233" t="s">
        <v>116</v>
      </c>
      <c r="O1233" t="s">
        <v>397</v>
      </c>
      <c r="P1233" t="s">
        <v>397</v>
      </c>
      <c r="Q1233">
        <v>6</v>
      </c>
      <c r="R1233" s="225">
        <f>Base_Periodo1[[#This Row],[CREDITOS]]-Base_Periodo1[[#This Row],[DEBITOS]]</f>
        <v>-9327.3300000000127</v>
      </c>
      <c r="S1233" s="3" t="str">
        <f>IF(ISERROR(VLOOKUP(Base_Periodo1[[#This Row],[CONTA]],BaseContasDRE[#All],4,FALSE)),"Fora do DRE",VLOOKUP(Base_Periodo1[[#This Row],[CONTA]],BaseContasDRE[#All],4,FALSE))</f>
        <v>Fora do DRE</v>
      </c>
      <c r="T1233" s="3" t="str">
        <f>IF(ISERROR(VLOOKUP(Base_Periodo1[[#This Row],[CONTA]],BaseContasDRE[#All],5,FALSE)),"Fora do DRE",VLOOKUP(Base_Periodo1[[#This Row],[CONTA]],BaseContasDRE[#All],6,FALSE))</f>
        <v>Fora do DRE</v>
      </c>
      <c r="U1233" s="3" t="str">
        <f>IF(ISERROR(VLOOKUP(Base_Periodo1[[#This Row],[CONTA]],BaseContasDRE[#All],7,FALSE)),"Fora do DRE",VLOOKUP(Base_Periodo1[[#This Row],[CONTA]],BaseContasDRE[#All],7,FALSE))</f>
        <v>Fora do DRE</v>
      </c>
      <c r="V1233" s="3" t="str">
        <f>IF(Base_Periodo1[[#This Row],[Tipo_Linha]]="Fora do DRE","Fora do DRE","( "&amp;Base_Periodo1[[#This Row],[Tipo_Linha]]&amp;" ) "&amp;Base_Periodo1[[#This Row],[Filtro]])</f>
        <v>Fora do DRE</v>
      </c>
      <c r="W1233" s="3" t="str">
        <f>LEFT(Base_Periodo1[[#This Row],[CLASS]],3)</f>
        <v>1.1</v>
      </c>
    </row>
    <row r="1234" spans="1:23" hidden="1">
      <c r="A1234" s="3" t="str">
        <f t="shared" si="19"/>
        <v>Período 1</v>
      </c>
      <c r="B1234">
        <v>82</v>
      </c>
      <c r="C1234" t="s">
        <v>1016</v>
      </c>
      <c r="D1234" t="s">
        <v>1017</v>
      </c>
      <c r="E1234" s="3" t="str">
        <f>IF(LEN(Base_Periodo1[[#This Row],[CLASS]])&gt;=7,LEFT(Base_Periodo1[[#This Row],[CLASS]],7),"")</f>
        <v>1.1.2.5</v>
      </c>
      <c r="F1234" s="3" t="str">
        <f>VLOOKUP(Base_Periodo1[[#This Row],[Aux]],Base_Contas_Balanco[#All],2,FALSE)</f>
        <v>Valores a Receber de Entidades Publicas</v>
      </c>
      <c r="G1234" s="1">
        <v>42886</v>
      </c>
      <c r="H1234" s="225">
        <v>987845.69999999891</v>
      </c>
      <c r="I1234" s="225">
        <v>42976.150000000009</v>
      </c>
      <c r="J1234" s="225">
        <v>0</v>
      </c>
      <c r="K1234" s="225">
        <v>1030821.8499999989</v>
      </c>
      <c r="L12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1030821.85</v>
      </c>
      <c r="M1234" s="225">
        <f>ROUND(IF(AND(Base_Periodo1[[#This Row],[Tipo_Linha]]="-",Base_Periodo1[[#This Row],[TIPOSALDO]]="D"),Base_Periodo1[[#This Row],[SALDO_ATUAL]]*-1,Base_Periodo1[[#This Row],[SALDO_ATUAL]]),4)</f>
        <v>1030821.85</v>
      </c>
      <c r="N1234" t="s">
        <v>116</v>
      </c>
      <c r="O1234" t="s">
        <v>397</v>
      </c>
      <c r="P1234" t="s">
        <v>397</v>
      </c>
      <c r="Q1234">
        <v>6</v>
      </c>
      <c r="R1234" s="225">
        <f>Base_Periodo1[[#This Row],[CREDITOS]]-Base_Periodo1[[#This Row],[DEBITOS]]</f>
        <v>-42976.150000000009</v>
      </c>
      <c r="S1234" s="3" t="str">
        <f>IF(ISERROR(VLOOKUP(Base_Periodo1[[#This Row],[CONTA]],BaseContasDRE[#All],4,FALSE)),"Fora do DRE",VLOOKUP(Base_Periodo1[[#This Row],[CONTA]],BaseContasDRE[#All],4,FALSE))</f>
        <v>Fora do DRE</v>
      </c>
      <c r="T1234" s="3" t="str">
        <f>IF(ISERROR(VLOOKUP(Base_Periodo1[[#This Row],[CONTA]],BaseContasDRE[#All],5,FALSE)),"Fora do DRE",VLOOKUP(Base_Periodo1[[#This Row],[CONTA]],BaseContasDRE[#All],6,FALSE))</f>
        <v>Fora do DRE</v>
      </c>
      <c r="U1234" s="3" t="str">
        <f>IF(ISERROR(VLOOKUP(Base_Periodo1[[#This Row],[CONTA]],BaseContasDRE[#All],7,FALSE)),"Fora do DRE",VLOOKUP(Base_Periodo1[[#This Row],[CONTA]],BaseContasDRE[#All],7,FALSE))</f>
        <v>Fora do DRE</v>
      </c>
      <c r="V1234" s="3" t="str">
        <f>IF(Base_Periodo1[[#This Row],[Tipo_Linha]]="Fora do DRE","Fora do DRE","( "&amp;Base_Periodo1[[#This Row],[Tipo_Linha]]&amp;" ) "&amp;Base_Periodo1[[#This Row],[Filtro]])</f>
        <v>Fora do DRE</v>
      </c>
      <c r="W1234" s="3" t="str">
        <f>LEFT(Base_Periodo1[[#This Row],[CLASS]],3)</f>
        <v>1.1</v>
      </c>
    </row>
    <row r="1235" spans="1:23" hidden="1">
      <c r="A1235" s="3" t="str">
        <f t="shared" si="19"/>
        <v>Período 1</v>
      </c>
      <c r="B1235">
        <v>83</v>
      </c>
      <c r="C1235" t="s">
        <v>1018</v>
      </c>
      <c r="D1235" t="s">
        <v>1019</v>
      </c>
      <c r="E1235" s="3" t="str">
        <f>IF(LEN(Base_Periodo1[[#This Row],[CLASS]])&gt;=7,LEFT(Base_Periodo1[[#This Row],[CLASS]],7),"")</f>
        <v>1.1.2.5</v>
      </c>
      <c r="F1235" s="3" t="str">
        <f>VLOOKUP(Base_Periodo1[[#This Row],[Aux]],Base_Contas_Balanco[#All],2,FALSE)</f>
        <v>Valores a Receber de Entidades Publicas</v>
      </c>
      <c r="G1235" s="1">
        <v>42625</v>
      </c>
      <c r="H1235" s="225">
        <v>5006.5900000000838</v>
      </c>
      <c r="I1235" s="225">
        <v>0</v>
      </c>
      <c r="J1235" s="225">
        <v>0</v>
      </c>
      <c r="K1235" s="225">
        <v>5006.5900000000838</v>
      </c>
      <c r="L12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5006.59</v>
      </c>
      <c r="M1235" s="225">
        <f>ROUND(IF(AND(Base_Periodo1[[#This Row],[Tipo_Linha]]="-",Base_Periodo1[[#This Row],[TIPOSALDO]]="D"),Base_Periodo1[[#This Row],[SALDO_ATUAL]]*-1,Base_Periodo1[[#This Row],[SALDO_ATUAL]]),4)</f>
        <v>5006.59</v>
      </c>
      <c r="N1235" t="s">
        <v>116</v>
      </c>
      <c r="O1235" t="s">
        <v>397</v>
      </c>
      <c r="P1235" t="s">
        <v>397</v>
      </c>
      <c r="Q1235">
        <v>6</v>
      </c>
      <c r="R1235" s="225">
        <f>Base_Periodo1[[#This Row],[CREDITOS]]-Base_Periodo1[[#This Row],[DEBITOS]]</f>
        <v>0</v>
      </c>
      <c r="S1235" s="3" t="str">
        <f>IF(ISERROR(VLOOKUP(Base_Periodo1[[#This Row],[CONTA]],BaseContasDRE[#All],4,FALSE)),"Fora do DRE",VLOOKUP(Base_Periodo1[[#This Row],[CONTA]],BaseContasDRE[#All],4,FALSE))</f>
        <v>Fora do DRE</v>
      </c>
      <c r="T1235" s="3" t="str">
        <f>IF(ISERROR(VLOOKUP(Base_Periodo1[[#This Row],[CONTA]],BaseContasDRE[#All],5,FALSE)),"Fora do DRE",VLOOKUP(Base_Periodo1[[#This Row],[CONTA]],BaseContasDRE[#All],6,FALSE))</f>
        <v>Fora do DRE</v>
      </c>
      <c r="U1235" s="3" t="str">
        <f>IF(ISERROR(VLOOKUP(Base_Periodo1[[#This Row],[CONTA]],BaseContasDRE[#All],7,FALSE)),"Fora do DRE",VLOOKUP(Base_Periodo1[[#This Row],[CONTA]],BaseContasDRE[#All],7,FALSE))</f>
        <v>Fora do DRE</v>
      </c>
      <c r="V1235" s="3" t="str">
        <f>IF(Base_Periodo1[[#This Row],[Tipo_Linha]]="Fora do DRE","Fora do DRE","( "&amp;Base_Periodo1[[#This Row],[Tipo_Linha]]&amp;" ) "&amp;Base_Periodo1[[#This Row],[Filtro]])</f>
        <v>Fora do DRE</v>
      </c>
      <c r="W1235" s="3" t="str">
        <f>LEFT(Base_Periodo1[[#This Row],[CLASS]],3)</f>
        <v>1.1</v>
      </c>
    </row>
    <row r="1236" spans="1:23" hidden="1">
      <c r="A1236" s="3" t="str">
        <f t="shared" si="19"/>
        <v>Período 1</v>
      </c>
      <c r="B1236">
        <v>84</v>
      </c>
      <c r="C1236" t="s">
        <v>4347</v>
      </c>
      <c r="D1236" t="s">
        <v>4348</v>
      </c>
      <c r="E1236" s="3" t="str">
        <f>IF(LEN(Base_Periodo1[[#This Row],[CLASS]])&gt;=7,LEFT(Base_Periodo1[[#This Row],[CLASS]],7),"")</f>
        <v>1.1.2.5</v>
      </c>
      <c r="F1236" s="3" t="str">
        <f>VLOOKUP(Base_Periodo1[[#This Row],[Aux]],Base_Contas_Balanco[#All],2,FALSE)</f>
        <v>Valores a Receber de Entidades Publicas</v>
      </c>
      <c r="G1236" s="1">
        <v>42879</v>
      </c>
      <c r="H1236" s="225">
        <v>16111.089999999618</v>
      </c>
      <c r="I1236" s="225">
        <v>0</v>
      </c>
      <c r="J1236" s="225">
        <v>2963.45</v>
      </c>
      <c r="K1236" s="225">
        <v>13147.639999999617</v>
      </c>
      <c r="L12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13147.64</v>
      </c>
      <c r="M1236" s="225">
        <f>ROUND(IF(AND(Base_Periodo1[[#This Row],[Tipo_Linha]]="-",Base_Periodo1[[#This Row],[TIPOSALDO]]="D"),Base_Periodo1[[#This Row],[SALDO_ATUAL]]*-1,Base_Periodo1[[#This Row],[SALDO_ATUAL]]),4)</f>
        <v>13147.64</v>
      </c>
      <c r="N1236" t="s">
        <v>116</v>
      </c>
      <c r="O1236" t="s">
        <v>397</v>
      </c>
      <c r="P1236" t="s">
        <v>397</v>
      </c>
      <c r="Q1236">
        <v>6</v>
      </c>
      <c r="R1236" s="225">
        <f>Base_Periodo1[[#This Row],[CREDITOS]]-Base_Periodo1[[#This Row],[DEBITOS]]</f>
        <v>2963.45</v>
      </c>
      <c r="S1236" s="3" t="str">
        <f>IF(ISERROR(VLOOKUP(Base_Periodo1[[#This Row],[CONTA]],BaseContasDRE[#All],4,FALSE)),"Fora do DRE",VLOOKUP(Base_Periodo1[[#This Row],[CONTA]],BaseContasDRE[#All],4,FALSE))</f>
        <v>Fora do DRE</v>
      </c>
      <c r="T1236" s="3" t="str">
        <f>IF(ISERROR(VLOOKUP(Base_Periodo1[[#This Row],[CONTA]],BaseContasDRE[#All],5,FALSE)),"Fora do DRE",VLOOKUP(Base_Periodo1[[#This Row],[CONTA]],BaseContasDRE[#All],6,FALSE))</f>
        <v>Fora do DRE</v>
      </c>
      <c r="U1236" s="3" t="str">
        <f>IF(ISERROR(VLOOKUP(Base_Periodo1[[#This Row],[CONTA]],BaseContasDRE[#All],7,FALSE)),"Fora do DRE",VLOOKUP(Base_Periodo1[[#This Row],[CONTA]],BaseContasDRE[#All],7,FALSE))</f>
        <v>Fora do DRE</v>
      </c>
      <c r="V1236" s="3" t="str">
        <f>IF(Base_Periodo1[[#This Row],[Tipo_Linha]]="Fora do DRE","Fora do DRE","( "&amp;Base_Periodo1[[#This Row],[Tipo_Linha]]&amp;" ) "&amp;Base_Periodo1[[#This Row],[Filtro]])</f>
        <v>Fora do DRE</v>
      </c>
      <c r="W1236" s="3" t="str">
        <f>LEFT(Base_Periodo1[[#This Row],[CLASS]],3)</f>
        <v>1.1</v>
      </c>
    </row>
    <row r="1237" spans="1:23" hidden="1">
      <c r="A1237" s="3" t="str">
        <f t="shared" si="19"/>
        <v>Período 1</v>
      </c>
      <c r="B1237">
        <v>36490</v>
      </c>
      <c r="C1237" t="s">
        <v>1020</v>
      </c>
      <c r="D1237" t="s">
        <v>1021</v>
      </c>
      <c r="E1237" s="3" t="str">
        <f>IF(LEN(Base_Periodo1[[#This Row],[CLASS]])&gt;=7,LEFT(Base_Periodo1[[#This Row],[CLASS]],7),"")</f>
        <v>1.1.2.5</v>
      </c>
      <c r="F1237" s="3" t="str">
        <f>VLOOKUP(Base_Periodo1[[#This Row],[Aux]],Base_Contas_Balanco[#All],2,FALSE)</f>
        <v>Valores a Receber de Entidades Publicas</v>
      </c>
      <c r="G1237" s="1">
        <v>42886</v>
      </c>
      <c r="H1237" s="225">
        <v>80125.669999999955</v>
      </c>
      <c r="I1237" s="225">
        <v>5904.38</v>
      </c>
      <c r="J1237" s="225">
        <v>0</v>
      </c>
      <c r="K1237" s="225">
        <v>86030.049999999959</v>
      </c>
      <c r="L12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86030.05</v>
      </c>
      <c r="M1237" s="225">
        <f>ROUND(IF(AND(Base_Periodo1[[#This Row],[Tipo_Linha]]="-",Base_Periodo1[[#This Row],[TIPOSALDO]]="D"),Base_Periodo1[[#This Row],[SALDO_ATUAL]]*-1,Base_Periodo1[[#This Row],[SALDO_ATUAL]]),4)</f>
        <v>86030.05</v>
      </c>
      <c r="N1237" t="s">
        <v>116</v>
      </c>
      <c r="O1237" t="s">
        <v>397</v>
      </c>
      <c r="P1237" t="s">
        <v>397</v>
      </c>
      <c r="Q1237">
        <v>6</v>
      </c>
      <c r="R1237" s="225">
        <f>Base_Periodo1[[#This Row],[CREDITOS]]-Base_Periodo1[[#This Row],[DEBITOS]]</f>
        <v>-5904.38</v>
      </c>
      <c r="S1237" s="3" t="str">
        <f>IF(ISERROR(VLOOKUP(Base_Periodo1[[#This Row],[CONTA]],BaseContasDRE[#All],4,FALSE)),"Fora do DRE",VLOOKUP(Base_Periodo1[[#This Row],[CONTA]],BaseContasDRE[#All],4,FALSE))</f>
        <v>Fora do DRE</v>
      </c>
      <c r="T1237" s="3" t="str">
        <f>IF(ISERROR(VLOOKUP(Base_Periodo1[[#This Row],[CONTA]],BaseContasDRE[#All],5,FALSE)),"Fora do DRE",VLOOKUP(Base_Periodo1[[#This Row],[CONTA]],BaseContasDRE[#All],6,FALSE))</f>
        <v>Fora do DRE</v>
      </c>
      <c r="U1237" s="3" t="str">
        <f>IF(ISERROR(VLOOKUP(Base_Periodo1[[#This Row],[CONTA]],BaseContasDRE[#All],7,FALSE)),"Fora do DRE",VLOOKUP(Base_Periodo1[[#This Row],[CONTA]],BaseContasDRE[#All],7,FALSE))</f>
        <v>Fora do DRE</v>
      </c>
      <c r="V1237" s="3" t="str">
        <f>IF(Base_Periodo1[[#This Row],[Tipo_Linha]]="Fora do DRE","Fora do DRE","( "&amp;Base_Periodo1[[#This Row],[Tipo_Linha]]&amp;" ) "&amp;Base_Periodo1[[#This Row],[Filtro]])</f>
        <v>Fora do DRE</v>
      </c>
      <c r="W1237" s="3" t="str">
        <f>LEFT(Base_Periodo1[[#This Row],[CLASS]],3)</f>
        <v>1.1</v>
      </c>
    </row>
    <row r="1238" spans="1:23" hidden="1">
      <c r="A1238" s="3" t="str">
        <f t="shared" si="19"/>
        <v>Período 1</v>
      </c>
      <c r="B1238">
        <v>36491</v>
      </c>
      <c r="C1238" t="s">
        <v>1022</v>
      </c>
      <c r="D1238" t="s">
        <v>1023</v>
      </c>
      <c r="E1238" s="3" t="str">
        <f>IF(LEN(Base_Periodo1[[#This Row],[CLASS]])&gt;=7,LEFT(Base_Periodo1[[#This Row],[CLASS]],7),"")</f>
        <v>1.1.2.5</v>
      </c>
      <c r="F1238" s="3" t="str">
        <f>VLOOKUP(Base_Periodo1[[#This Row],[Aux]],Base_Contas_Balanco[#All],2,FALSE)</f>
        <v>Valores a Receber de Entidades Publicas</v>
      </c>
      <c r="G1238" s="1">
        <v>42886</v>
      </c>
      <c r="H1238" s="225">
        <v>586880.71000000008</v>
      </c>
      <c r="I1238" s="225">
        <v>18102.980000000058</v>
      </c>
      <c r="J1238" s="225">
        <v>0</v>
      </c>
      <c r="K1238" s="225">
        <v>604983.69000000018</v>
      </c>
      <c r="L12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604983.68999999994</v>
      </c>
      <c r="M1238" s="225">
        <f>ROUND(IF(AND(Base_Periodo1[[#This Row],[Tipo_Linha]]="-",Base_Periodo1[[#This Row],[TIPOSALDO]]="D"),Base_Periodo1[[#This Row],[SALDO_ATUAL]]*-1,Base_Periodo1[[#This Row],[SALDO_ATUAL]]),4)</f>
        <v>604983.68999999994</v>
      </c>
      <c r="N1238" t="s">
        <v>116</v>
      </c>
      <c r="O1238" t="s">
        <v>397</v>
      </c>
      <c r="P1238" t="s">
        <v>397</v>
      </c>
      <c r="Q1238">
        <v>6</v>
      </c>
      <c r="R1238" s="225">
        <f>Base_Periodo1[[#This Row],[CREDITOS]]-Base_Periodo1[[#This Row],[DEBITOS]]</f>
        <v>-18102.980000000058</v>
      </c>
      <c r="S1238" s="3" t="str">
        <f>IF(ISERROR(VLOOKUP(Base_Periodo1[[#This Row],[CONTA]],BaseContasDRE[#All],4,FALSE)),"Fora do DRE",VLOOKUP(Base_Periodo1[[#This Row],[CONTA]],BaseContasDRE[#All],4,FALSE))</f>
        <v>Fora do DRE</v>
      </c>
      <c r="T1238" s="3" t="str">
        <f>IF(ISERROR(VLOOKUP(Base_Periodo1[[#This Row],[CONTA]],BaseContasDRE[#All],5,FALSE)),"Fora do DRE",VLOOKUP(Base_Periodo1[[#This Row],[CONTA]],BaseContasDRE[#All],6,FALSE))</f>
        <v>Fora do DRE</v>
      </c>
      <c r="U1238" s="3" t="str">
        <f>IF(ISERROR(VLOOKUP(Base_Periodo1[[#This Row],[CONTA]],BaseContasDRE[#All],7,FALSE)),"Fora do DRE",VLOOKUP(Base_Periodo1[[#This Row],[CONTA]],BaseContasDRE[#All],7,FALSE))</f>
        <v>Fora do DRE</v>
      </c>
      <c r="V1238" s="3" t="str">
        <f>IF(Base_Periodo1[[#This Row],[Tipo_Linha]]="Fora do DRE","Fora do DRE","( "&amp;Base_Periodo1[[#This Row],[Tipo_Linha]]&amp;" ) "&amp;Base_Periodo1[[#This Row],[Filtro]])</f>
        <v>Fora do DRE</v>
      </c>
      <c r="W1238" s="3" t="str">
        <f>LEFT(Base_Periodo1[[#This Row],[CLASS]],3)</f>
        <v>1.1</v>
      </c>
    </row>
    <row r="1239" spans="1:23" hidden="1">
      <c r="A1239" s="3" t="str">
        <f t="shared" si="19"/>
        <v>Período 1</v>
      </c>
      <c r="B1239">
        <v>36492</v>
      </c>
      <c r="C1239" t="s">
        <v>1024</v>
      </c>
      <c r="D1239" t="s">
        <v>1025</v>
      </c>
      <c r="E1239" s="3" t="str">
        <f>IF(LEN(Base_Periodo1[[#This Row],[CLASS]])&gt;=7,LEFT(Base_Periodo1[[#This Row],[CLASS]],7),"")</f>
        <v>1.1.2.5</v>
      </c>
      <c r="F1239" s="3" t="str">
        <f>VLOOKUP(Base_Periodo1[[#This Row],[Aux]],Base_Contas_Balanco[#All],2,FALSE)</f>
        <v>Valores a Receber de Entidades Publicas</v>
      </c>
      <c r="G1239" s="1">
        <v>42855</v>
      </c>
      <c r="H1239" s="225">
        <v>18777</v>
      </c>
      <c r="I1239" s="225">
        <v>0</v>
      </c>
      <c r="J1239" s="225">
        <v>0</v>
      </c>
      <c r="K1239" s="225">
        <v>18777</v>
      </c>
      <c r="L12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18777</v>
      </c>
      <c r="M1239" s="225">
        <f>ROUND(IF(AND(Base_Periodo1[[#This Row],[Tipo_Linha]]="-",Base_Periodo1[[#This Row],[TIPOSALDO]]="D"),Base_Periodo1[[#This Row],[SALDO_ATUAL]]*-1,Base_Periodo1[[#This Row],[SALDO_ATUAL]]),4)</f>
        <v>18777</v>
      </c>
      <c r="N1239" t="s">
        <v>116</v>
      </c>
      <c r="O1239" t="s">
        <v>397</v>
      </c>
      <c r="P1239" t="s">
        <v>397</v>
      </c>
      <c r="Q1239">
        <v>6</v>
      </c>
      <c r="R1239" s="225">
        <f>Base_Periodo1[[#This Row],[CREDITOS]]-Base_Periodo1[[#This Row],[DEBITOS]]</f>
        <v>0</v>
      </c>
      <c r="S1239" s="3" t="str">
        <f>IF(ISERROR(VLOOKUP(Base_Periodo1[[#This Row],[CONTA]],BaseContasDRE[#All],4,FALSE)),"Fora do DRE",VLOOKUP(Base_Periodo1[[#This Row],[CONTA]],BaseContasDRE[#All],4,FALSE))</f>
        <v>Fora do DRE</v>
      </c>
      <c r="T1239" s="3" t="str">
        <f>IF(ISERROR(VLOOKUP(Base_Periodo1[[#This Row],[CONTA]],BaseContasDRE[#All],5,FALSE)),"Fora do DRE",VLOOKUP(Base_Periodo1[[#This Row],[CONTA]],BaseContasDRE[#All],6,FALSE))</f>
        <v>Fora do DRE</v>
      </c>
      <c r="U1239" s="3" t="str">
        <f>IF(ISERROR(VLOOKUP(Base_Periodo1[[#This Row],[CONTA]],BaseContasDRE[#All],7,FALSE)),"Fora do DRE",VLOOKUP(Base_Periodo1[[#This Row],[CONTA]],BaseContasDRE[#All],7,FALSE))</f>
        <v>Fora do DRE</v>
      </c>
      <c r="V1239" s="3" t="str">
        <f>IF(Base_Periodo1[[#This Row],[Tipo_Linha]]="Fora do DRE","Fora do DRE","( "&amp;Base_Periodo1[[#This Row],[Tipo_Linha]]&amp;" ) "&amp;Base_Periodo1[[#This Row],[Filtro]])</f>
        <v>Fora do DRE</v>
      </c>
      <c r="W1239" s="3" t="str">
        <f>LEFT(Base_Periodo1[[#This Row],[CLASS]],3)</f>
        <v>1.1</v>
      </c>
    </row>
    <row r="1240" spans="1:23" hidden="1">
      <c r="A1240" s="3" t="str">
        <f t="shared" si="19"/>
        <v>Período 1</v>
      </c>
      <c r="B1240">
        <v>36493</v>
      </c>
      <c r="C1240" t="s">
        <v>1026</v>
      </c>
      <c r="D1240" t="s">
        <v>1027</v>
      </c>
      <c r="E1240" s="3" t="str">
        <f>IF(LEN(Base_Periodo1[[#This Row],[CLASS]])&gt;=7,LEFT(Base_Periodo1[[#This Row],[CLASS]],7),"")</f>
        <v>1.1.2.5</v>
      </c>
      <c r="F1240" s="3" t="str">
        <f>VLOOKUP(Base_Periodo1[[#This Row],[Aux]],Base_Contas_Balanco[#All],2,FALSE)</f>
        <v>Valores a Receber de Entidades Publicas</v>
      </c>
      <c r="G1240" s="1">
        <v>42886</v>
      </c>
      <c r="H1240" s="225">
        <v>121034.08999999992</v>
      </c>
      <c r="I1240" s="225">
        <v>3087.8900000000003</v>
      </c>
      <c r="J1240" s="225">
        <v>0</v>
      </c>
      <c r="K1240" s="225">
        <v>124121.97999999992</v>
      </c>
      <c r="L12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124121.98</v>
      </c>
      <c r="M1240" s="225">
        <f>ROUND(IF(AND(Base_Periodo1[[#This Row],[Tipo_Linha]]="-",Base_Periodo1[[#This Row],[TIPOSALDO]]="D"),Base_Periodo1[[#This Row],[SALDO_ATUAL]]*-1,Base_Periodo1[[#This Row],[SALDO_ATUAL]]),4)</f>
        <v>124121.98</v>
      </c>
      <c r="N1240" t="s">
        <v>116</v>
      </c>
      <c r="O1240" t="s">
        <v>397</v>
      </c>
      <c r="P1240" t="s">
        <v>397</v>
      </c>
      <c r="Q1240">
        <v>6</v>
      </c>
      <c r="R1240" s="225">
        <f>Base_Periodo1[[#This Row],[CREDITOS]]-Base_Periodo1[[#This Row],[DEBITOS]]</f>
        <v>-3087.8900000000003</v>
      </c>
      <c r="S1240" s="3" t="str">
        <f>IF(ISERROR(VLOOKUP(Base_Periodo1[[#This Row],[CONTA]],BaseContasDRE[#All],4,FALSE)),"Fora do DRE",VLOOKUP(Base_Periodo1[[#This Row],[CONTA]],BaseContasDRE[#All],4,FALSE))</f>
        <v>Fora do DRE</v>
      </c>
      <c r="T1240" s="3" t="str">
        <f>IF(ISERROR(VLOOKUP(Base_Periodo1[[#This Row],[CONTA]],BaseContasDRE[#All],5,FALSE)),"Fora do DRE",VLOOKUP(Base_Periodo1[[#This Row],[CONTA]],BaseContasDRE[#All],6,FALSE))</f>
        <v>Fora do DRE</v>
      </c>
      <c r="U1240" s="3" t="str">
        <f>IF(ISERROR(VLOOKUP(Base_Periodo1[[#This Row],[CONTA]],BaseContasDRE[#All],7,FALSE)),"Fora do DRE",VLOOKUP(Base_Periodo1[[#This Row],[CONTA]],BaseContasDRE[#All],7,FALSE))</f>
        <v>Fora do DRE</v>
      </c>
      <c r="V1240" s="3" t="str">
        <f>IF(Base_Periodo1[[#This Row],[Tipo_Linha]]="Fora do DRE","Fora do DRE","( "&amp;Base_Periodo1[[#This Row],[Tipo_Linha]]&amp;" ) "&amp;Base_Periodo1[[#This Row],[Filtro]])</f>
        <v>Fora do DRE</v>
      </c>
      <c r="W1240" s="3" t="str">
        <f>LEFT(Base_Periodo1[[#This Row],[CLASS]],3)</f>
        <v>1.1</v>
      </c>
    </row>
    <row r="1241" spans="1:23" hidden="1">
      <c r="A1241" s="3" t="str">
        <f t="shared" si="19"/>
        <v>Período 1</v>
      </c>
      <c r="B1241">
        <v>36494</v>
      </c>
      <c r="C1241" t="s">
        <v>1028</v>
      </c>
      <c r="D1241" t="s">
        <v>1029</v>
      </c>
      <c r="E1241" s="3" t="str">
        <f>IF(LEN(Base_Periodo1[[#This Row],[CLASS]])&gt;=7,LEFT(Base_Periodo1[[#This Row],[CLASS]],7),"")</f>
        <v>1.1.2.5</v>
      </c>
      <c r="F1241" s="3" t="str">
        <f>VLOOKUP(Base_Periodo1[[#This Row],[Aux]],Base_Contas_Balanco[#All],2,FALSE)</f>
        <v>Valores a Receber de Entidades Publicas</v>
      </c>
      <c r="G1241" s="1">
        <v>42886</v>
      </c>
      <c r="H1241" s="225">
        <v>114694.55000000005</v>
      </c>
      <c r="I1241" s="225">
        <v>3797.47</v>
      </c>
      <c r="J1241" s="225">
        <v>0</v>
      </c>
      <c r="K1241" s="225">
        <v>118492.02000000005</v>
      </c>
      <c r="L12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118492.02</v>
      </c>
      <c r="M1241" s="225">
        <f>ROUND(IF(AND(Base_Periodo1[[#This Row],[Tipo_Linha]]="-",Base_Periodo1[[#This Row],[TIPOSALDO]]="D"),Base_Periodo1[[#This Row],[SALDO_ATUAL]]*-1,Base_Periodo1[[#This Row],[SALDO_ATUAL]]),4)</f>
        <v>118492.02</v>
      </c>
      <c r="N1241" t="s">
        <v>116</v>
      </c>
      <c r="O1241" t="s">
        <v>397</v>
      </c>
      <c r="P1241" t="s">
        <v>397</v>
      </c>
      <c r="Q1241">
        <v>6</v>
      </c>
      <c r="R1241" s="225">
        <f>Base_Periodo1[[#This Row],[CREDITOS]]-Base_Periodo1[[#This Row],[DEBITOS]]</f>
        <v>-3797.47</v>
      </c>
      <c r="S1241" s="3" t="str">
        <f>IF(ISERROR(VLOOKUP(Base_Periodo1[[#This Row],[CONTA]],BaseContasDRE[#All],4,FALSE)),"Fora do DRE",VLOOKUP(Base_Periodo1[[#This Row],[CONTA]],BaseContasDRE[#All],4,FALSE))</f>
        <v>Fora do DRE</v>
      </c>
      <c r="T1241" s="3" t="str">
        <f>IF(ISERROR(VLOOKUP(Base_Periodo1[[#This Row],[CONTA]],BaseContasDRE[#All],5,FALSE)),"Fora do DRE",VLOOKUP(Base_Periodo1[[#This Row],[CONTA]],BaseContasDRE[#All],6,FALSE))</f>
        <v>Fora do DRE</v>
      </c>
      <c r="U1241" s="3" t="str">
        <f>IF(ISERROR(VLOOKUP(Base_Periodo1[[#This Row],[CONTA]],BaseContasDRE[#All],7,FALSE)),"Fora do DRE",VLOOKUP(Base_Periodo1[[#This Row],[CONTA]],BaseContasDRE[#All],7,FALSE))</f>
        <v>Fora do DRE</v>
      </c>
      <c r="V1241" s="3" t="str">
        <f>IF(Base_Periodo1[[#This Row],[Tipo_Linha]]="Fora do DRE","Fora do DRE","( "&amp;Base_Periodo1[[#This Row],[Tipo_Linha]]&amp;" ) "&amp;Base_Periodo1[[#This Row],[Filtro]])</f>
        <v>Fora do DRE</v>
      </c>
      <c r="W1241" s="3" t="str">
        <f>LEFT(Base_Periodo1[[#This Row],[CLASS]],3)</f>
        <v>1.1</v>
      </c>
    </row>
    <row r="1242" spans="1:23" hidden="1">
      <c r="A1242" s="3" t="str">
        <f t="shared" si="19"/>
        <v>Período 1</v>
      </c>
      <c r="B1242">
        <v>36495</v>
      </c>
      <c r="C1242" t="s">
        <v>1030</v>
      </c>
      <c r="D1242" t="s">
        <v>1031</v>
      </c>
      <c r="E1242" s="3" t="str">
        <f>IF(LEN(Base_Periodo1[[#This Row],[CLASS]])&gt;=7,LEFT(Base_Periodo1[[#This Row],[CLASS]],7),"")</f>
        <v>1.1.2.5</v>
      </c>
      <c r="F1242" s="3" t="str">
        <f>VLOOKUP(Base_Periodo1[[#This Row],[Aux]],Base_Contas_Balanco[#All],2,FALSE)</f>
        <v>Valores a Receber de Entidades Publicas</v>
      </c>
      <c r="G1242" s="1">
        <v>42886</v>
      </c>
      <c r="H1242" s="225">
        <v>369878.43999999977</v>
      </c>
      <c r="I1242" s="225">
        <v>27195.999999999996</v>
      </c>
      <c r="J1242" s="225">
        <v>0</v>
      </c>
      <c r="K1242" s="225">
        <v>397074.43999999977</v>
      </c>
      <c r="L12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397074.44</v>
      </c>
      <c r="M1242" s="225">
        <f>ROUND(IF(AND(Base_Periodo1[[#This Row],[Tipo_Linha]]="-",Base_Periodo1[[#This Row],[TIPOSALDO]]="D"),Base_Periodo1[[#This Row],[SALDO_ATUAL]]*-1,Base_Periodo1[[#This Row],[SALDO_ATUAL]]),4)</f>
        <v>397074.44</v>
      </c>
      <c r="N1242" t="s">
        <v>116</v>
      </c>
      <c r="O1242" t="s">
        <v>397</v>
      </c>
      <c r="P1242" t="s">
        <v>397</v>
      </c>
      <c r="Q1242">
        <v>6</v>
      </c>
      <c r="R1242" s="225">
        <f>Base_Periodo1[[#This Row],[CREDITOS]]-Base_Periodo1[[#This Row],[DEBITOS]]</f>
        <v>-27195.999999999996</v>
      </c>
      <c r="S1242" s="3" t="str">
        <f>IF(ISERROR(VLOOKUP(Base_Periodo1[[#This Row],[CONTA]],BaseContasDRE[#All],4,FALSE)),"Fora do DRE",VLOOKUP(Base_Periodo1[[#This Row],[CONTA]],BaseContasDRE[#All],4,FALSE))</f>
        <v>Fora do DRE</v>
      </c>
      <c r="T1242" s="3" t="str">
        <f>IF(ISERROR(VLOOKUP(Base_Periodo1[[#This Row],[CONTA]],BaseContasDRE[#All],5,FALSE)),"Fora do DRE",VLOOKUP(Base_Periodo1[[#This Row],[CONTA]],BaseContasDRE[#All],6,FALSE))</f>
        <v>Fora do DRE</v>
      </c>
      <c r="U1242" s="3" t="str">
        <f>IF(ISERROR(VLOOKUP(Base_Periodo1[[#This Row],[CONTA]],BaseContasDRE[#All],7,FALSE)),"Fora do DRE",VLOOKUP(Base_Periodo1[[#This Row],[CONTA]],BaseContasDRE[#All],7,FALSE))</f>
        <v>Fora do DRE</v>
      </c>
      <c r="V1242" s="3" t="str">
        <f>IF(Base_Periodo1[[#This Row],[Tipo_Linha]]="Fora do DRE","Fora do DRE","( "&amp;Base_Periodo1[[#This Row],[Tipo_Linha]]&amp;" ) "&amp;Base_Periodo1[[#This Row],[Filtro]])</f>
        <v>Fora do DRE</v>
      </c>
      <c r="W1242" s="3" t="str">
        <f>LEFT(Base_Periodo1[[#This Row],[CLASS]],3)</f>
        <v>1.1</v>
      </c>
    </row>
    <row r="1243" spans="1:23" hidden="1">
      <c r="A1243" s="3" t="str">
        <f t="shared" si="19"/>
        <v>Período 1</v>
      </c>
      <c r="B1243">
        <v>36496</v>
      </c>
      <c r="C1243" t="s">
        <v>1032</v>
      </c>
      <c r="D1243" t="s">
        <v>1033</v>
      </c>
      <c r="E1243" s="3" t="str">
        <f>IF(LEN(Base_Periodo1[[#This Row],[CLASS]])&gt;=7,LEFT(Base_Periodo1[[#This Row],[CLASS]],7),"")</f>
        <v>1.1.2.5</v>
      </c>
      <c r="F1243" s="3" t="str">
        <f>VLOOKUP(Base_Periodo1[[#This Row],[Aux]],Base_Contas_Balanco[#All],2,FALSE)</f>
        <v>Valores a Receber de Entidades Publicas</v>
      </c>
      <c r="G1243" s="1">
        <v>42886</v>
      </c>
      <c r="H1243" s="225">
        <v>2702577.0000000079</v>
      </c>
      <c r="I1243" s="225">
        <v>83384.779999999955</v>
      </c>
      <c r="J1243" s="225">
        <v>0</v>
      </c>
      <c r="K1243" s="225">
        <v>2785961.7800000077</v>
      </c>
      <c r="L12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2785961.78</v>
      </c>
      <c r="M1243" s="225">
        <f>ROUND(IF(AND(Base_Periodo1[[#This Row],[Tipo_Linha]]="-",Base_Periodo1[[#This Row],[TIPOSALDO]]="D"),Base_Periodo1[[#This Row],[SALDO_ATUAL]]*-1,Base_Periodo1[[#This Row],[SALDO_ATUAL]]),4)</f>
        <v>2785961.78</v>
      </c>
      <c r="N1243" t="s">
        <v>116</v>
      </c>
      <c r="O1243" t="s">
        <v>397</v>
      </c>
      <c r="P1243" t="s">
        <v>397</v>
      </c>
      <c r="Q1243">
        <v>6</v>
      </c>
      <c r="R1243" s="225">
        <f>Base_Periodo1[[#This Row],[CREDITOS]]-Base_Periodo1[[#This Row],[DEBITOS]]</f>
        <v>-83384.779999999955</v>
      </c>
      <c r="S1243" s="3" t="str">
        <f>IF(ISERROR(VLOOKUP(Base_Periodo1[[#This Row],[CONTA]],BaseContasDRE[#All],4,FALSE)),"Fora do DRE",VLOOKUP(Base_Periodo1[[#This Row],[CONTA]],BaseContasDRE[#All],4,FALSE))</f>
        <v>Fora do DRE</v>
      </c>
      <c r="T1243" s="3" t="str">
        <f>IF(ISERROR(VLOOKUP(Base_Periodo1[[#This Row],[CONTA]],BaseContasDRE[#All],5,FALSE)),"Fora do DRE",VLOOKUP(Base_Periodo1[[#This Row],[CONTA]],BaseContasDRE[#All],6,FALSE))</f>
        <v>Fora do DRE</v>
      </c>
      <c r="U1243" s="3" t="str">
        <f>IF(ISERROR(VLOOKUP(Base_Periodo1[[#This Row],[CONTA]],BaseContasDRE[#All],7,FALSE)),"Fora do DRE",VLOOKUP(Base_Periodo1[[#This Row],[CONTA]],BaseContasDRE[#All],7,FALSE))</f>
        <v>Fora do DRE</v>
      </c>
      <c r="V1243" s="3" t="str">
        <f>IF(Base_Periodo1[[#This Row],[Tipo_Linha]]="Fora do DRE","Fora do DRE","( "&amp;Base_Periodo1[[#This Row],[Tipo_Linha]]&amp;" ) "&amp;Base_Periodo1[[#This Row],[Filtro]])</f>
        <v>Fora do DRE</v>
      </c>
      <c r="W1243" s="3" t="str">
        <f>LEFT(Base_Periodo1[[#This Row],[CLASS]],3)</f>
        <v>1.1</v>
      </c>
    </row>
    <row r="1244" spans="1:23" hidden="1">
      <c r="A1244" s="3" t="str">
        <f t="shared" si="19"/>
        <v>Período 1</v>
      </c>
      <c r="B1244">
        <v>36497</v>
      </c>
      <c r="C1244" t="s">
        <v>1034</v>
      </c>
      <c r="D1244" t="s">
        <v>1035</v>
      </c>
      <c r="E1244" s="3" t="str">
        <f>IF(LEN(Base_Periodo1[[#This Row],[CLASS]])&gt;=7,LEFT(Base_Periodo1[[#This Row],[CLASS]],7),"")</f>
        <v>1.1.2.5</v>
      </c>
      <c r="F1244" s="3" t="str">
        <f>VLOOKUP(Base_Periodo1[[#This Row],[Aux]],Base_Contas_Balanco[#All],2,FALSE)</f>
        <v>Valores a Receber de Entidades Publicas</v>
      </c>
      <c r="G1244" s="1">
        <v>42855</v>
      </c>
      <c r="H1244" s="225">
        <v>86488</v>
      </c>
      <c r="I1244" s="225">
        <v>0</v>
      </c>
      <c r="J1244" s="225">
        <v>0</v>
      </c>
      <c r="K1244" s="225">
        <v>86488</v>
      </c>
      <c r="L12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86488</v>
      </c>
      <c r="M1244" s="225">
        <f>ROUND(IF(AND(Base_Periodo1[[#This Row],[Tipo_Linha]]="-",Base_Periodo1[[#This Row],[TIPOSALDO]]="D"),Base_Periodo1[[#This Row],[SALDO_ATUAL]]*-1,Base_Periodo1[[#This Row],[SALDO_ATUAL]]),4)</f>
        <v>86488</v>
      </c>
      <c r="N1244" t="s">
        <v>116</v>
      </c>
      <c r="O1244" t="s">
        <v>397</v>
      </c>
      <c r="P1244" t="s">
        <v>397</v>
      </c>
      <c r="Q1244">
        <v>6</v>
      </c>
      <c r="R1244" s="225">
        <f>Base_Periodo1[[#This Row],[CREDITOS]]-Base_Periodo1[[#This Row],[DEBITOS]]</f>
        <v>0</v>
      </c>
      <c r="S1244" s="3" t="str">
        <f>IF(ISERROR(VLOOKUP(Base_Periodo1[[#This Row],[CONTA]],BaseContasDRE[#All],4,FALSE)),"Fora do DRE",VLOOKUP(Base_Periodo1[[#This Row],[CONTA]],BaseContasDRE[#All],4,FALSE))</f>
        <v>Fora do DRE</v>
      </c>
      <c r="T1244" s="3" t="str">
        <f>IF(ISERROR(VLOOKUP(Base_Periodo1[[#This Row],[CONTA]],BaseContasDRE[#All],5,FALSE)),"Fora do DRE",VLOOKUP(Base_Periodo1[[#This Row],[CONTA]],BaseContasDRE[#All],6,FALSE))</f>
        <v>Fora do DRE</v>
      </c>
      <c r="U1244" s="3" t="str">
        <f>IF(ISERROR(VLOOKUP(Base_Periodo1[[#This Row],[CONTA]],BaseContasDRE[#All],7,FALSE)),"Fora do DRE",VLOOKUP(Base_Periodo1[[#This Row],[CONTA]],BaseContasDRE[#All],7,FALSE))</f>
        <v>Fora do DRE</v>
      </c>
      <c r="V1244" s="3" t="str">
        <f>IF(Base_Periodo1[[#This Row],[Tipo_Linha]]="Fora do DRE","Fora do DRE","( "&amp;Base_Periodo1[[#This Row],[Tipo_Linha]]&amp;" ) "&amp;Base_Periodo1[[#This Row],[Filtro]])</f>
        <v>Fora do DRE</v>
      </c>
      <c r="W1244" s="3" t="str">
        <f>LEFT(Base_Periodo1[[#This Row],[CLASS]],3)</f>
        <v>1.1</v>
      </c>
    </row>
    <row r="1245" spans="1:23" hidden="1">
      <c r="A1245" s="3" t="str">
        <f t="shared" si="19"/>
        <v>Período 1</v>
      </c>
      <c r="B1245">
        <v>36498</v>
      </c>
      <c r="C1245" t="s">
        <v>1036</v>
      </c>
      <c r="D1245" t="s">
        <v>1037</v>
      </c>
      <c r="E1245" s="3" t="str">
        <f>IF(LEN(Base_Periodo1[[#This Row],[CLASS]])&gt;=7,LEFT(Base_Periodo1[[#This Row],[CLASS]],7),"")</f>
        <v>1.1.2.5</v>
      </c>
      <c r="F1245" s="3" t="str">
        <f>VLOOKUP(Base_Periodo1[[#This Row],[Aux]],Base_Contas_Balanco[#All],2,FALSE)</f>
        <v>Valores a Receber de Entidades Publicas</v>
      </c>
      <c r="G1245" s="1">
        <v>42886</v>
      </c>
      <c r="H1245" s="225">
        <v>574969.4099999998</v>
      </c>
      <c r="I1245" s="225">
        <v>14223</v>
      </c>
      <c r="J1245" s="225">
        <v>0</v>
      </c>
      <c r="K1245" s="225">
        <v>589192.4099999998</v>
      </c>
      <c r="L12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589192.41</v>
      </c>
      <c r="M1245" s="225">
        <f>ROUND(IF(AND(Base_Periodo1[[#This Row],[Tipo_Linha]]="-",Base_Periodo1[[#This Row],[TIPOSALDO]]="D"),Base_Periodo1[[#This Row],[SALDO_ATUAL]]*-1,Base_Periodo1[[#This Row],[SALDO_ATUAL]]),4)</f>
        <v>589192.41</v>
      </c>
      <c r="N1245" t="s">
        <v>116</v>
      </c>
      <c r="O1245" t="s">
        <v>397</v>
      </c>
      <c r="P1245" t="s">
        <v>397</v>
      </c>
      <c r="Q1245">
        <v>6</v>
      </c>
      <c r="R1245" s="225">
        <f>Base_Periodo1[[#This Row],[CREDITOS]]-Base_Periodo1[[#This Row],[DEBITOS]]</f>
        <v>-14223</v>
      </c>
      <c r="S1245" s="3" t="str">
        <f>IF(ISERROR(VLOOKUP(Base_Periodo1[[#This Row],[CONTA]],BaseContasDRE[#All],4,FALSE)),"Fora do DRE",VLOOKUP(Base_Periodo1[[#This Row],[CONTA]],BaseContasDRE[#All],4,FALSE))</f>
        <v>Fora do DRE</v>
      </c>
      <c r="T1245" s="3" t="str">
        <f>IF(ISERROR(VLOOKUP(Base_Periodo1[[#This Row],[CONTA]],BaseContasDRE[#All],5,FALSE)),"Fora do DRE",VLOOKUP(Base_Periodo1[[#This Row],[CONTA]],BaseContasDRE[#All],6,FALSE))</f>
        <v>Fora do DRE</v>
      </c>
      <c r="U1245" s="3" t="str">
        <f>IF(ISERROR(VLOOKUP(Base_Periodo1[[#This Row],[CONTA]],BaseContasDRE[#All],7,FALSE)),"Fora do DRE",VLOOKUP(Base_Periodo1[[#This Row],[CONTA]],BaseContasDRE[#All],7,FALSE))</f>
        <v>Fora do DRE</v>
      </c>
      <c r="V1245" s="3" t="str">
        <f>IF(Base_Periodo1[[#This Row],[Tipo_Linha]]="Fora do DRE","Fora do DRE","( "&amp;Base_Periodo1[[#This Row],[Tipo_Linha]]&amp;" ) "&amp;Base_Periodo1[[#This Row],[Filtro]])</f>
        <v>Fora do DRE</v>
      </c>
      <c r="W1245" s="3" t="str">
        <f>LEFT(Base_Periodo1[[#This Row],[CLASS]],3)</f>
        <v>1.1</v>
      </c>
    </row>
    <row r="1246" spans="1:23" hidden="1">
      <c r="A1246" s="3" t="str">
        <f t="shared" si="19"/>
        <v>Período 1</v>
      </c>
      <c r="B1246">
        <v>36499</v>
      </c>
      <c r="C1246" t="s">
        <v>1038</v>
      </c>
      <c r="D1246" t="s">
        <v>1039</v>
      </c>
      <c r="E1246" s="3" t="str">
        <f>IF(LEN(Base_Periodo1[[#This Row],[CLASS]])&gt;=7,LEFT(Base_Periodo1[[#This Row],[CLASS]],7),"")</f>
        <v>1.1.2.5</v>
      </c>
      <c r="F1246" s="3" t="str">
        <f>VLOOKUP(Base_Periodo1[[#This Row],[Aux]],Base_Contas_Balanco[#All],2,FALSE)</f>
        <v>Valores a Receber de Entidades Publicas</v>
      </c>
      <c r="G1246" s="1">
        <v>42886</v>
      </c>
      <c r="H1246" s="225">
        <v>510664.86000000109</v>
      </c>
      <c r="I1246" s="225">
        <v>17491.370000000003</v>
      </c>
      <c r="J1246" s="225">
        <v>0</v>
      </c>
      <c r="K1246" s="225">
        <v>528156.23000000115</v>
      </c>
      <c r="L12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528156.23</v>
      </c>
      <c r="M1246" s="225">
        <f>ROUND(IF(AND(Base_Periodo1[[#This Row],[Tipo_Linha]]="-",Base_Periodo1[[#This Row],[TIPOSALDO]]="D"),Base_Periodo1[[#This Row],[SALDO_ATUAL]]*-1,Base_Periodo1[[#This Row],[SALDO_ATUAL]]),4)</f>
        <v>528156.23</v>
      </c>
      <c r="N1246" t="s">
        <v>116</v>
      </c>
      <c r="O1246" t="s">
        <v>397</v>
      </c>
      <c r="P1246" t="s">
        <v>397</v>
      </c>
      <c r="Q1246">
        <v>6</v>
      </c>
      <c r="R1246" s="225">
        <f>Base_Periodo1[[#This Row],[CREDITOS]]-Base_Periodo1[[#This Row],[DEBITOS]]</f>
        <v>-17491.370000000003</v>
      </c>
      <c r="S1246" s="3" t="str">
        <f>IF(ISERROR(VLOOKUP(Base_Periodo1[[#This Row],[CONTA]],BaseContasDRE[#All],4,FALSE)),"Fora do DRE",VLOOKUP(Base_Periodo1[[#This Row],[CONTA]],BaseContasDRE[#All],4,FALSE))</f>
        <v>Fora do DRE</v>
      </c>
      <c r="T1246" s="3" t="str">
        <f>IF(ISERROR(VLOOKUP(Base_Periodo1[[#This Row],[CONTA]],BaseContasDRE[#All],5,FALSE)),"Fora do DRE",VLOOKUP(Base_Periodo1[[#This Row],[CONTA]],BaseContasDRE[#All],6,FALSE))</f>
        <v>Fora do DRE</v>
      </c>
      <c r="U1246" s="3" t="str">
        <f>IF(ISERROR(VLOOKUP(Base_Periodo1[[#This Row],[CONTA]],BaseContasDRE[#All],7,FALSE)),"Fora do DRE",VLOOKUP(Base_Periodo1[[#This Row],[CONTA]],BaseContasDRE[#All],7,FALSE))</f>
        <v>Fora do DRE</v>
      </c>
      <c r="V1246" s="3" t="str">
        <f>IF(Base_Periodo1[[#This Row],[Tipo_Linha]]="Fora do DRE","Fora do DRE","( "&amp;Base_Periodo1[[#This Row],[Tipo_Linha]]&amp;" ) "&amp;Base_Periodo1[[#This Row],[Filtro]])</f>
        <v>Fora do DRE</v>
      </c>
      <c r="W1246" s="3" t="str">
        <f>LEFT(Base_Periodo1[[#This Row],[CLASS]],3)</f>
        <v>1.1</v>
      </c>
    </row>
    <row r="1247" spans="1:23" hidden="1">
      <c r="A1247" s="3" t="str">
        <f t="shared" si="19"/>
        <v>Período 1</v>
      </c>
      <c r="B1247">
        <v>53869</v>
      </c>
      <c r="C1247" t="s">
        <v>5256</v>
      </c>
      <c r="D1247" t="s">
        <v>5257</v>
      </c>
      <c r="E1247" s="3" t="str">
        <f>IF(LEN(Base_Periodo1[[#This Row],[CLASS]])&gt;=7,LEFT(Base_Periodo1[[#This Row],[CLASS]],7),"")</f>
        <v>1.1.2.5</v>
      </c>
      <c r="F1247" s="3" t="str">
        <f>VLOOKUP(Base_Periodo1[[#This Row],[Aux]],Base_Contas_Balanco[#All],2,FALSE)</f>
        <v>Valores a Receber de Entidades Publicas</v>
      </c>
      <c r="G1247" s="1">
        <v>42643</v>
      </c>
      <c r="H1247" s="225">
        <v>29384.410000000003</v>
      </c>
      <c r="I1247" s="225">
        <v>0</v>
      </c>
      <c r="J1247" s="225">
        <v>0</v>
      </c>
      <c r="K1247" s="225">
        <v>29384.410000000003</v>
      </c>
      <c r="L12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29384.41</v>
      </c>
      <c r="M1247" s="225">
        <f>ROUND(IF(AND(Base_Periodo1[[#This Row],[Tipo_Linha]]="-",Base_Periodo1[[#This Row],[TIPOSALDO]]="D"),Base_Periodo1[[#This Row],[SALDO_ATUAL]]*-1,Base_Periodo1[[#This Row],[SALDO_ATUAL]]),4)</f>
        <v>29384.41</v>
      </c>
      <c r="N1247" t="s">
        <v>116</v>
      </c>
      <c r="O1247" t="s">
        <v>397</v>
      </c>
      <c r="P1247" t="s">
        <v>397</v>
      </c>
      <c r="Q1247">
        <v>6</v>
      </c>
      <c r="R1247" s="225">
        <f>Base_Periodo1[[#This Row],[CREDITOS]]-Base_Periodo1[[#This Row],[DEBITOS]]</f>
        <v>0</v>
      </c>
      <c r="S1247" s="3" t="str">
        <f>IF(ISERROR(VLOOKUP(Base_Periodo1[[#This Row],[CONTA]],BaseContasDRE[#All],4,FALSE)),"Fora do DRE",VLOOKUP(Base_Periodo1[[#This Row],[CONTA]],BaseContasDRE[#All],4,FALSE))</f>
        <v>Fora do DRE</v>
      </c>
      <c r="T1247" s="3" t="str">
        <f>IF(ISERROR(VLOOKUP(Base_Periodo1[[#This Row],[CONTA]],BaseContasDRE[#All],5,FALSE)),"Fora do DRE",VLOOKUP(Base_Periodo1[[#This Row],[CONTA]],BaseContasDRE[#All],6,FALSE))</f>
        <v>Fora do DRE</v>
      </c>
      <c r="U1247" s="3" t="str">
        <f>IF(ISERROR(VLOOKUP(Base_Periodo1[[#This Row],[CONTA]],BaseContasDRE[#All],7,FALSE)),"Fora do DRE",VLOOKUP(Base_Periodo1[[#This Row],[CONTA]],BaseContasDRE[#All],7,FALSE))</f>
        <v>Fora do DRE</v>
      </c>
      <c r="V1247" s="3" t="str">
        <f>IF(Base_Periodo1[[#This Row],[Tipo_Linha]]="Fora do DRE","Fora do DRE","( "&amp;Base_Periodo1[[#This Row],[Tipo_Linha]]&amp;" ) "&amp;Base_Periodo1[[#This Row],[Filtro]])</f>
        <v>Fora do DRE</v>
      </c>
      <c r="W1247" s="3" t="str">
        <f>LEFT(Base_Periodo1[[#This Row],[CLASS]],3)</f>
        <v>1.1</v>
      </c>
    </row>
    <row r="1248" spans="1:23" hidden="1">
      <c r="A1248" s="3" t="str">
        <f t="shared" si="19"/>
        <v>Período 1</v>
      </c>
      <c r="B1248">
        <v>54016</v>
      </c>
      <c r="C1248" t="s">
        <v>5026</v>
      </c>
      <c r="D1248" t="s">
        <v>5027</v>
      </c>
      <c r="E1248" s="3" t="str">
        <f>IF(LEN(Base_Periodo1[[#This Row],[CLASS]])&gt;=7,LEFT(Base_Periodo1[[#This Row],[CLASS]],7),"")</f>
        <v>1.1.2.5</v>
      </c>
      <c r="F1248" s="3" t="str">
        <f>VLOOKUP(Base_Periodo1[[#This Row],[Aux]],Base_Contas_Balanco[#All],2,FALSE)</f>
        <v>Valores a Receber de Entidades Publicas</v>
      </c>
      <c r="G1248" s="1">
        <v>42886</v>
      </c>
      <c r="H1248" s="225">
        <v>31029.759999999987</v>
      </c>
      <c r="I1248" s="225">
        <v>4151.1699999999973</v>
      </c>
      <c r="J1248" s="225">
        <v>0</v>
      </c>
      <c r="K1248" s="225">
        <v>35180.929999999986</v>
      </c>
      <c r="L12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35180.93</v>
      </c>
      <c r="M1248" s="225">
        <f>ROUND(IF(AND(Base_Periodo1[[#This Row],[Tipo_Linha]]="-",Base_Periodo1[[#This Row],[TIPOSALDO]]="D"),Base_Periodo1[[#This Row],[SALDO_ATUAL]]*-1,Base_Periodo1[[#This Row],[SALDO_ATUAL]]),4)</f>
        <v>35180.93</v>
      </c>
      <c r="N1248" t="s">
        <v>116</v>
      </c>
      <c r="O1248" t="s">
        <v>397</v>
      </c>
      <c r="P1248" t="s">
        <v>397</v>
      </c>
      <c r="Q1248">
        <v>6</v>
      </c>
      <c r="R1248" s="225">
        <f>Base_Periodo1[[#This Row],[CREDITOS]]-Base_Periodo1[[#This Row],[DEBITOS]]</f>
        <v>-4151.1699999999973</v>
      </c>
      <c r="S1248" s="3" t="str">
        <f>IF(ISERROR(VLOOKUP(Base_Periodo1[[#This Row],[CONTA]],BaseContasDRE[#All],4,FALSE)),"Fora do DRE",VLOOKUP(Base_Periodo1[[#This Row],[CONTA]],BaseContasDRE[#All],4,FALSE))</f>
        <v>Fora do DRE</v>
      </c>
      <c r="T1248" s="3" t="str">
        <f>IF(ISERROR(VLOOKUP(Base_Periodo1[[#This Row],[CONTA]],BaseContasDRE[#All],5,FALSE)),"Fora do DRE",VLOOKUP(Base_Periodo1[[#This Row],[CONTA]],BaseContasDRE[#All],6,FALSE))</f>
        <v>Fora do DRE</v>
      </c>
      <c r="U1248" s="3" t="str">
        <f>IF(ISERROR(VLOOKUP(Base_Periodo1[[#This Row],[CONTA]],BaseContasDRE[#All],7,FALSE)),"Fora do DRE",VLOOKUP(Base_Periodo1[[#This Row],[CONTA]],BaseContasDRE[#All],7,FALSE))</f>
        <v>Fora do DRE</v>
      </c>
      <c r="V1248" s="3" t="str">
        <f>IF(Base_Periodo1[[#This Row],[Tipo_Linha]]="Fora do DRE","Fora do DRE","( "&amp;Base_Periodo1[[#This Row],[Tipo_Linha]]&amp;" ) "&amp;Base_Periodo1[[#This Row],[Filtro]])</f>
        <v>Fora do DRE</v>
      </c>
      <c r="W1248" s="3" t="str">
        <f>LEFT(Base_Periodo1[[#This Row],[CLASS]],3)</f>
        <v>1.1</v>
      </c>
    </row>
    <row r="1249" spans="1:23" hidden="1">
      <c r="A1249" s="3" t="str">
        <f t="shared" si="19"/>
        <v>Período 1</v>
      </c>
      <c r="B1249">
        <v>54017</v>
      </c>
      <c r="C1249" t="s">
        <v>5195</v>
      </c>
      <c r="D1249" t="s">
        <v>5196</v>
      </c>
      <c r="E1249" s="3" t="str">
        <f>IF(LEN(Base_Periodo1[[#This Row],[CLASS]])&gt;=7,LEFT(Base_Periodo1[[#This Row],[CLASS]],7),"")</f>
        <v>1.1.2.5</v>
      </c>
      <c r="F1249" s="3" t="str">
        <f>VLOOKUP(Base_Periodo1[[#This Row],[Aux]],Base_Contas_Balanco[#All],2,FALSE)</f>
        <v>Valores a Receber de Entidades Publicas</v>
      </c>
      <c r="G1249" s="1">
        <v>42886</v>
      </c>
      <c r="H1249" s="225">
        <v>24013.339999999956</v>
      </c>
      <c r="I1249" s="225">
        <v>3142.39</v>
      </c>
      <c r="J1249" s="225">
        <v>0</v>
      </c>
      <c r="K1249" s="225">
        <v>27155.729999999956</v>
      </c>
      <c r="L12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27155.73</v>
      </c>
      <c r="M1249" s="225">
        <f>ROUND(IF(AND(Base_Periodo1[[#This Row],[Tipo_Linha]]="-",Base_Periodo1[[#This Row],[TIPOSALDO]]="D"),Base_Periodo1[[#This Row],[SALDO_ATUAL]]*-1,Base_Periodo1[[#This Row],[SALDO_ATUAL]]),4)</f>
        <v>27155.73</v>
      </c>
      <c r="N1249" t="s">
        <v>116</v>
      </c>
      <c r="O1249" t="s">
        <v>397</v>
      </c>
      <c r="P1249" t="s">
        <v>397</v>
      </c>
      <c r="Q1249">
        <v>6</v>
      </c>
      <c r="R1249" s="225">
        <f>Base_Periodo1[[#This Row],[CREDITOS]]-Base_Periodo1[[#This Row],[DEBITOS]]</f>
        <v>-3142.39</v>
      </c>
      <c r="S1249" s="3" t="str">
        <f>IF(ISERROR(VLOOKUP(Base_Periodo1[[#This Row],[CONTA]],BaseContasDRE[#All],4,FALSE)),"Fora do DRE",VLOOKUP(Base_Periodo1[[#This Row],[CONTA]],BaseContasDRE[#All],4,FALSE))</f>
        <v>Fora do DRE</v>
      </c>
      <c r="T1249" s="3" t="str">
        <f>IF(ISERROR(VLOOKUP(Base_Periodo1[[#This Row],[CONTA]],BaseContasDRE[#All],5,FALSE)),"Fora do DRE",VLOOKUP(Base_Periodo1[[#This Row],[CONTA]],BaseContasDRE[#All],6,FALSE))</f>
        <v>Fora do DRE</v>
      </c>
      <c r="U1249" s="3" t="str">
        <f>IF(ISERROR(VLOOKUP(Base_Periodo1[[#This Row],[CONTA]],BaseContasDRE[#All],7,FALSE)),"Fora do DRE",VLOOKUP(Base_Periodo1[[#This Row],[CONTA]],BaseContasDRE[#All],7,FALSE))</f>
        <v>Fora do DRE</v>
      </c>
      <c r="V1249" s="3" t="str">
        <f>IF(Base_Periodo1[[#This Row],[Tipo_Linha]]="Fora do DRE","Fora do DRE","( "&amp;Base_Periodo1[[#This Row],[Tipo_Linha]]&amp;" ) "&amp;Base_Periodo1[[#This Row],[Filtro]])</f>
        <v>Fora do DRE</v>
      </c>
      <c r="W1249" s="3" t="str">
        <f>LEFT(Base_Periodo1[[#This Row],[CLASS]],3)</f>
        <v>1.1</v>
      </c>
    </row>
    <row r="1250" spans="1:23" hidden="1">
      <c r="A1250" s="3" t="str">
        <f t="shared" si="19"/>
        <v>Período 1</v>
      </c>
      <c r="B1250">
        <v>54018</v>
      </c>
      <c r="C1250" t="s">
        <v>5028</v>
      </c>
      <c r="D1250" t="s">
        <v>5029</v>
      </c>
      <c r="E1250" s="3" t="str">
        <f>IF(LEN(Base_Periodo1[[#This Row],[CLASS]])&gt;=7,LEFT(Base_Periodo1[[#This Row],[CLASS]],7),"")</f>
        <v>1.1.2.5</v>
      </c>
      <c r="F1250" s="3" t="str">
        <f>VLOOKUP(Base_Periodo1[[#This Row],[Aux]],Base_Contas_Balanco[#All],2,FALSE)</f>
        <v>Valores a Receber de Entidades Publicas</v>
      </c>
      <c r="G1250" s="1">
        <v>42886</v>
      </c>
      <c r="H1250" s="225">
        <v>142925.55999999991</v>
      </c>
      <c r="I1250" s="225">
        <v>19120.870000000003</v>
      </c>
      <c r="J1250" s="225">
        <v>0</v>
      </c>
      <c r="K1250" s="225">
        <v>162046.42999999991</v>
      </c>
      <c r="L12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162046.43</v>
      </c>
      <c r="M1250" s="225">
        <f>ROUND(IF(AND(Base_Periodo1[[#This Row],[Tipo_Linha]]="-",Base_Periodo1[[#This Row],[TIPOSALDO]]="D"),Base_Periodo1[[#This Row],[SALDO_ATUAL]]*-1,Base_Periodo1[[#This Row],[SALDO_ATUAL]]),4)</f>
        <v>162046.43</v>
      </c>
      <c r="N1250" t="s">
        <v>116</v>
      </c>
      <c r="O1250" t="s">
        <v>397</v>
      </c>
      <c r="P1250" t="s">
        <v>397</v>
      </c>
      <c r="Q1250">
        <v>6</v>
      </c>
      <c r="R1250" s="225">
        <f>Base_Periodo1[[#This Row],[CREDITOS]]-Base_Periodo1[[#This Row],[DEBITOS]]</f>
        <v>-19120.870000000003</v>
      </c>
      <c r="S1250" s="3" t="str">
        <f>IF(ISERROR(VLOOKUP(Base_Periodo1[[#This Row],[CONTA]],BaseContasDRE[#All],4,FALSE)),"Fora do DRE",VLOOKUP(Base_Periodo1[[#This Row],[CONTA]],BaseContasDRE[#All],4,FALSE))</f>
        <v>Fora do DRE</v>
      </c>
      <c r="T1250" s="3" t="str">
        <f>IF(ISERROR(VLOOKUP(Base_Periodo1[[#This Row],[CONTA]],BaseContasDRE[#All],5,FALSE)),"Fora do DRE",VLOOKUP(Base_Periodo1[[#This Row],[CONTA]],BaseContasDRE[#All],6,FALSE))</f>
        <v>Fora do DRE</v>
      </c>
      <c r="U1250" s="3" t="str">
        <f>IF(ISERROR(VLOOKUP(Base_Periodo1[[#This Row],[CONTA]],BaseContasDRE[#All],7,FALSE)),"Fora do DRE",VLOOKUP(Base_Periodo1[[#This Row],[CONTA]],BaseContasDRE[#All],7,FALSE))</f>
        <v>Fora do DRE</v>
      </c>
      <c r="V1250" s="3" t="str">
        <f>IF(Base_Periodo1[[#This Row],[Tipo_Linha]]="Fora do DRE","Fora do DRE","( "&amp;Base_Periodo1[[#This Row],[Tipo_Linha]]&amp;" ) "&amp;Base_Periodo1[[#This Row],[Filtro]])</f>
        <v>Fora do DRE</v>
      </c>
      <c r="W1250" s="3" t="str">
        <f>LEFT(Base_Periodo1[[#This Row],[CLASS]],3)</f>
        <v>1.1</v>
      </c>
    </row>
    <row r="1251" spans="1:23" hidden="1">
      <c r="A1251" s="3" t="str">
        <f t="shared" si="19"/>
        <v>Período 1</v>
      </c>
      <c r="B1251">
        <v>54019</v>
      </c>
      <c r="C1251" t="s">
        <v>5197</v>
      </c>
      <c r="D1251" t="s">
        <v>5198</v>
      </c>
      <c r="E1251" s="3" t="str">
        <f>IF(LEN(Base_Periodo1[[#This Row],[CLASS]])&gt;=7,LEFT(Base_Periodo1[[#This Row],[CLASS]],7),"")</f>
        <v>1.1.2.5</v>
      </c>
      <c r="F1251" s="3" t="str">
        <f>VLOOKUP(Base_Periodo1[[#This Row],[Aux]],Base_Contas_Balanco[#All],2,FALSE)</f>
        <v>Valores a Receber de Entidades Publicas</v>
      </c>
      <c r="G1251" s="1">
        <v>42886</v>
      </c>
      <c r="H1251" s="225">
        <v>110521.73999999987</v>
      </c>
      <c r="I1251" s="225">
        <v>14474.250000000009</v>
      </c>
      <c r="J1251" s="225">
        <v>0</v>
      </c>
      <c r="K1251" s="225">
        <v>124995.98999999989</v>
      </c>
      <c r="L12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124995.99</v>
      </c>
      <c r="M1251" s="225">
        <f>ROUND(IF(AND(Base_Periodo1[[#This Row],[Tipo_Linha]]="-",Base_Periodo1[[#This Row],[TIPOSALDO]]="D"),Base_Periodo1[[#This Row],[SALDO_ATUAL]]*-1,Base_Periodo1[[#This Row],[SALDO_ATUAL]]),4)</f>
        <v>124995.99</v>
      </c>
      <c r="N1251" t="s">
        <v>116</v>
      </c>
      <c r="O1251" t="s">
        <v>397</v>
      </c>
      <c r="P1251" t="s">
        <v>397</v>
      </c>
      <c r="Q1251">
        <v>6</v>
      </c>
      <c r="R1251" s="225">
        <f>Base_Periodo1[[#This Row],[CREDITOS]]-Base_Periodo1[[#This Row],[DEBITOS]]</f>
        <v>-14474.250000000009</v>
      </c>
      <c r="S1251" s="3" t="str">
        <f>IF(ISERROR(VLOOKUP(Base_Periodo1[[#This Row],[CONTA]],BaseContasDRE[#All],4,FALSE)),"Fora do DRE",VLOOKUP(Base_Periodo1[[#This Row],[CONTA]],BaseContasDRE[#All],4,FALSE))</f>
        <v>Fora do DRE</v>
      </c>
      <c r="T1251" s="3" t="str">
        <f>IF(ISERROR(VLOOKUP(Base_Periodo1[[#This Row],[CONTA]],BaseContasDRE[#All],5,FALSE)),"Fora do DRE",VLOOKUP(Base_Periodo1[[#This Row],[CONTA]],BaseContasDRE[#All],6,FALSE))</f>
        <v>Fora do DRE</v>
      </c>
      <c r="U1251" s="3" t="str">
        <f>IF(ISERROR(VLOOKUP(Base_Periodo1[[#This Row],[CONTA]],BaseContasDRE[#All],7,FALSE)),"Fora do DRE",VLOOKUP(Base_Periodo1[[#This Row],[CONTA]],BaseContasDRE[#All],7,FALSE))</f>
        <v>Fora do DRE</v>
      </c>
      <c r="V1251" s="3" t="str">
        <f>IF(Base_Periodo1[[#This Row],[Tipo_Linha]]="Fora do DRE","Fora do DRE","( "&amp;Base_Periodo1[[#This Row],[Tipo_Linha]]&amp;" ) "&amp;Base_Periodo1[[#This Row],[Filtro]])</f>
        <v>Fora do DRE</v>
      </c>
      <c r="W1251" s="3" t="str">
        <f>LEFT(Base_Periodo1[[#This Row],[CLASS]],3)</f>
        <v>1.1</v>
      </c>
    </row>
    <row r="1252" spans="1:23" hidden="1">
      <c r="A1252" s="3" t="str">
        <f t="shared" si="19"/>
        <v>Período 1</v>
      </c>
      <c r="B1252">
        <v>85</v>
      </c>
      <c r="C1252" t="s">
        <v>16</v>
      </c>
      <c r="D1252" t="s">
        <v>17</v>
      </c>
      <c r="E1252" s="3" t="str">
        <f>IF(LEN(Base_Periodo1[[#This Row],[CLASS]])&gt;=7,LEFT(Base_Periodo1[[#This Row],[CLASS]],7),"")</f>
        <v>1.1.2.7</v>
      </c>
      <c r="F1252" s="3" t="str">
        <f>VLOOKUP(Base_Periodo1[[#This Row],[Aux]],Base_Contas_Balanco[#All],2,FALSE)</f>
        <v>Aplicacoes Financeiras</v>
      </c>
      <c r="G1252" s="1"/>
      <c r="H1252" s="225">
        <v>5116278.2500000112</v>
      </c>
      <c r="I1252" s="225">
        <v>44916.57</v>
      </c>
      <c r="J1252" s="225">
        <v>0</v>
      </c>
      <c r="K1252" s="225">
        <v>5161194.8200000115</v>
      </c>
      <c r="L12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5161194.82</v>
      </c>
      <c r="M1252" s="225">
        <f>ROUND(IF(AND(Base_Periodo1[[#This Row],[Tipo_Linha]]="-",Base_Periodo1[[#This Row],[TIPOSALDO]]="D"),Base_Periodo1[[#This Row],[SALDO_ATUAL]]*-1,Base_Periodo1[[#This Row],[SALDO_ATUAL]]),4)</f>
        <v>5161194.82</v>
      </c>
      <c r="N1252" t="s">
        <v>396</v>
      </c>
      <c r="O1252" t="s">
        <v>397</v>
      </c>
      <c r="P1252" t="s">
        <v>397</v>
      </c>
      <c r="Q1252">
        <v>4</v>
      </c>
      <c r="R1252" s="225">
        <f>Base_Periodo1[[#This Row],[CREDITOS]]-Base_Periodo1[[#This Row],[DEBITOS]]</f>
        <v>-44916.57</v>
      </c>
      <c r="S1252" s="3" t="str">
        <f>IF(ISERROR(VLOOKUP(Base_Periodo1[[#This Row],[CONTA]],BaseContasDRE[#All],4,FALSE)),"Fora do DRE",VLOOKUP(Base_Periodo1[[#This Row],[CONTA]],BaseContasDRE[#All],4,FALSE))</f>
        <v>Fora do DRE</v>
      </c>
      <c r="T1252" s="3" t="str">
        <f>IF(ISERROR(VLOOKUP(Base_Periodo1[[#This Row],[CONTA]],BaseContasDRE[#All],5,FALSE)),"Fora do DRE",VLOOKUP(Base_Periodo1[[#This Row],[CONTA]],BaseContasDRE[#All],6,FALSE))</f>
        <v>Fora do DRE</v>
      </c>
      <c r="U1252" s="3" t="str">
        <f>IF(ISERROR(VLOOKUP(Base_Periodo1[[#This Row],[CONTA]],BaseContasDRE[#All],7,FALSE)),"Fora do DRE",VLOOKUP(Base_Periodo1[[#This Row],[CONTA]],BaseContasDRE[#All],7,FALSE))</f>
        <v>Fora do DRE</v>
      </c>
      <c r="V1252" s="3" t="str">
        <f>IF(Base_Periodo1[[#This Row],[Tipo_Linha]]="Fora do DRE","Fora do DRE","( "&amp;Base_Periodo1[[#This Row],[Tipo_Linha]]&amp;" ) "&amp;Base_Periodo1[[#This Row],[Filtro]])</f>
        <v>Fora do DRE</v>
      </c>
      <c r="W1252" s="3" t="str">
        <f>LEFT(Base_Periodo1[[#This Row],[CLASS]],3)</f>
        <v>1.1</v>
      </c>
    </row>
    <row r="1253" spans="1:23" hidden="1">
      <c r="A1253" s="3" t="str">
        <f t="shared" si="19"/>
        <v>Período 1</v>
      </c>
      <c r="B1253">
        <v>86</v>
      </c>
      <c r="C1253" t="s">
        <v>1040</v>
      </c>
      <c r="D1253" t="s">
        <v>1041</v>
      </c>
      <c r="E1253" s="3" t="str">
        <f>IF(LEN(Base_Periodo1[[#This Row],[CLASS]])&gt;=7,LEFT(Base_Periodo1[[#This Row],[CLASS]],7),"")</f>
        <v>1.1.2.7</v>
      </c>
      <c r="F1253" s="3" t="str">
        <f>VLOOKUP(Base_Periodo1[[#This Row],[Aux]],Base_Contas_Balanco[#All],2,FALSE)</f>
        <v>Aplicacoes Financeiras</v>
      </c>
      <c r="G1253" s="1"/>
      <c r="H1253" s="225">
        <v>5116278.2500000112</v>
      </c>
      <c r="I1253" s="225">
        <v>44916.57</v>
      </c>
      <c r="J1253" s="225">
        <v>0</v>
      </c>
      <c r="K1253" s="225">
        <v>5161194.8200000115</v>
      </c>
      <c r="L12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5161194.82</v>
      </c>
      <c r="M1253" s="225">
        <f>ROUND(IF(AND(Base_Periodo1[[#This Row],[Tipo_Linha]]="-",Base_Periodo1[[#This Row],[TIPOSALDO]]="D"),Base_Periodo1[[#This Row],[SALDO_ATUAL]]*-1,Base_Periodo1[[#This Row],[SALDO_ATUAL]]),4)</f>
        <v>5161194.82</v>
      </c>
      <c r="N1253" t="s">
        <v>396</v>
      </c>
      <c r="O1253" t="s">
        <v>397</v>
      </c>
      <c r="P1253" t="s">
        <v>397</v>
      </c>
      <c r="Q1253">
        <v>5</v>
      </c>
      <c r="R1253" s="225">
        <f>Base_Periodo1[[#This Row],[CREDITOS]]-Base_Periodo1[[#This Row],[DEBITOS]]</f>
        <v>-44916.57</v>
      </c>
      <c r="S1253" s="3" t="str">
        <f>IF(ISERROR(VLOOKUP(Base_Periodo1[[#This Row],[CONTA]],BaseContasDRE[#All],4,FALSE)),"Fora do DRE",VLOOKUP(Base_Periodo1[[#This Row],[CONTA]],BaseContasDRE[#All],4,FALSE))</f>
        <v>Fora do DRE</v>
      </c>
      <c r="T1253" s="3" t="str">
        <f>IF(ISERROR(VLOOKUP(Base_Periodo1[[#This Row],[CONTA]],BaseContasDRE[#All],5,FALSE)),"Fora do DRE",VLOOKUP(Base_Periodo1[[#This Row],[CONTA]],BaseContasDRE[#All],6,FALSE))</f>
        <v>Fora do DRE</v>
      </c>
      <c r="U1253" s="3" t="str">
        <f>IF(ISERROR(VLOOKUP(Base_Periodo1[[#This Row],[CONTA]],BaseContasDRE[#All],7,FALSE)),"Fora do DRE",VLOOKUP(Base_Periodo1[[#This Row],[CONTA]],BaseContasDRE[#All],7,FALSE))</f>
        <v>Fora do DRE</v>
      </c>
      <c r="V1253" s="3" t="str">
        <f>IF(Base_Periodo1[[#This Row],[Tipo_Linha]]="Fora do DRE","Fora do DRE","( "&amp;Base_Periodo1[[#This Row],[Tipo_Linha]]&amp;" ) "&amp;Base_Periodo1[[#This Row],[Filtro]])</f>
        <v>Fora do DRE</v>
      </c>
      <c r="W1253" s="3" t="str">
        <f>LEFT(Base_Periodo1[[#This Row],[CLASS]],3)</f>
        <v>1.1</v>
      </c>
    </row>
    <row r="1254" spans="1:23" hidden="1">
      <c r="A1254" s="3" t="str">
        <f t="shared" si="19"/>
        <v>Período 1</v>
      </c>
      <c r="B1254">
        <v>87</v>
      </c>
      <c r="C1254" t="s">
        <v>1042</v>
      </c>
      <c r="D1254" t="s">
        <v>1043</v>
      </c>
      <c r="E1254" s="3" t="str">
        <f>IF(LEN(Base_Periodo1[[#This Row],[CLASS]])&gt;=7,LEFT(Base_Periodo1[[#This Row],[CLASS]],7),"")</f>
        <v>1.1.2.7</v>
      </c>
      <c r="F1254" s="3" t="str">
        <f>VLOOKUP(Base_Periodo1[[#This Row],[Aux]],Base_Contas_Balanco[#All],2,FALSE)</f>
        <v>Aplicacoes Financeiras</v>
      </c>
      <c r="G1254" s="1">
        <v>42886</v>
      </c>
      <c r="H1254" s="225">
        <v>5116278.2500000112</v>
      </c>
      <c r="I1254" s="225">
        <v>44916.57</v>
      </c>
      <c r="J1254" s="225">
        <v>0</v>
      </c>
      <c r="K1254" s="225">
        <v>5161194.8200000115</v>
      </c>
      <c r="L12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5161194.82</v>
      </c>
      <c r="M1254" s="225">
        <f>ROUND(IF(AND(Base_Periodo1[[#This Row],[Tipo_Linha]]="-",Base_Periodo1[[#This Row],[TIPOSALDO]]="D"),Base_Periodo1[[#This Row],[SALDO_ATUAL]]*-1,Base_Periodo1[[#This Row],[SALDO_ATUAL]]),4)</f>
        <v>5161194.82</v>
      </c>
      <c r="N1254" t="s">
        <v>116</v>
      </c>
      <c r="O1254" t="s">
        <v>397</v>
      </c>
      <c r="P1254" t="s">
        <v>397</v>
      </c>
      <c r="Q1254">
        <v>6</v>
      </c>
      <c r="R1254" s="225">
        <f>Base_Periodo1[[#This Row],[CREDITOS]]-Base_Periodo1[[#This Row],[DEBITOS]]</f>
        <v>-44916.57</v>
      </c>
      <c r="S1254" s="3" t="str">
        <f>IF(ISERROR(VLOOKUP(Base_Periodo1[[#This Row],[CONTA]],BaseContasDRE[#All],4,FALSE)),"Fora do DRE",VLOOKUP(Base_Periodo1[[#This Row],[CONTA]],BaseContasDRE[#All],4,FALSE))</f>
        <v>Fora do DRE</v>
      </c>
      <c r="T1254" s="3" t="str">
        <f>IF(ISERROR(VLOOKUP(Base_Periodo1[[#This Row],[CONTA]],BaseContasDRE[#All],5,FALSE)),"Fora do DRE",VLOOKUP(Base_Periodo1[[#This Row],[CONTA]],BaseContasDRE[#All],6,FALSE))</f>
        <v>Fora do DRE</v>
      </c>
      <c r="U1254" s="3" t="str">
        <f>IF(ISERROR(VLOOKUP(Base_Periodo1[[#This Row],[CONTA]],BaseContasDRE[#All],7,FALSE)),"Fora do DRE",VLOOKUP(Base_Periodo1[[#This Row],[CONTA]],BaseContasDRE[#All],7,FALSE))</f>
        <v>Fora do DRE</v>
      </c>
      <c r="V1254" s="3" t="str">
        <f>IF(Base_Periodo1[[#This Row],[Tipo_Linha]]="Fora do DRE","Fora do DRE","( "&amp;Base_Periodo1[[#This Row],[Tipo_Linha]]&amp;" ) "&amp;Base_Periodo1[[#This Row],[Filtro]])</f>
        <v>Fora do DRE</v>
      </c>
      <c r="W1254" s="3" t="str">
        <f>LEFT(Base_Periodo1[[#This Row],[CLASS]],3)</f>
        <v>1.1</v>
      </c>
    </row>
    <row r="1255" spans="1:23" hidden="1">
      <c r="A1255" s="3" t="str">
        <f t="shared" si="19"/>
        <v>Período 1</v>
      </c>
      <c r="B1255">
        <v>88</v>
      </c>
      <c r="C1255" t="s">
        <v>18</v>
      </c>
      <c r="D1255" t="s">
        <v>19</v>
      </c>
      <c r="E1255" s="3" t="str">
        <f>IF(LEN(Base_Periodo1[[#This Row],[CLASS]])&gt;=7,LEFT(Base_Periodo1[[#This Row],[CLASS]],7),"")</f>
        <v>1.1.2.8</v>
      </c>
      <c r="F1255" s="3" t="str">
        <f>VLOOKUP(Base_Periodo1[[#This Row],[Aux]],Base_Contas_Balanco[#All],2,FALSE)</f>
        <v>Bens de Venda</v>
      </c>
      <c r="G1255" s="1"/>
      <c r="H1255" s="225">
        <v>9575321.3599999994</v>
      </c>
      <c r="I1255" s="225">
        <v>0</v>
      </c>
      <c r="J1255" s="225">
        <v>9429321.3599999994</v>
      </c>
      <c r="K1255" s="225">
        <v>146000</v>
      </c>
      <c r="L12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146000</v>
      </c>
      <c r="M1255" s="225">
        <f>ROUND(IF(AND(Base_Periodo1[[#This Row],[Tipo_Linha]]="-",Base_Periodo1[[#This Row],[TIPOSALDO]]="D"),Base_Periodo1[[#This Row],[SALDO_ATUAL]]*-1,Base_Periodo1[[#This Row],[SALDO_ATUAL]]),4)</f>
        <v>146000</v>
      </c>
      <c r="N1255" t="s">
        <v>396</v>
      </c>
      <c r="O1255" t="s">
        <v>397</v>
      </c>
      <c r="P1255" t="s">
        <v>397</v>
      </c>
      <c r="Q1255">
        <v>4</v>
      </c>
      <c r="R1255" s="225">
        <f>Base_Periodo1[[#This Row],[CREDITOS]]-Base_Periodo1[[#This Row],[DEBITOS]]</f>
        <v>9429321.3599999994</v>
      </c>
      <c r="S1255" s="3" t="str">
        <f>IF(ISERROR(VLOOKUP(Base_Periodo1[[#This Row],[CONTA]],BaseContasDRE[#All],4,FALSE)),"Fora do DRE",VLOOKUP(Base_Periodo1[[#This Row],[CONTA]],BaseContasDRE[#All],4,FALSE))</f>
        <v>Fora do DRE</v>
      </c>
      <c r="T1255" s="3" t="str">
        <f>IF(ISERROR(VLOOKUP(Base_Periodo1[[#This Row],[CONTA]],BaseContasDRE[#All],5,FALSE)),"Fora do DRE",VLOOKUP(Base_Periodo1[[#This Row],[CONTA]],BaseContasDRE[#All],6,FALSE))</f>
        <v>Fora do DRE</v>
      </c>
      <c r="U1255" s="3" t="str">
        <f>IF(ISERROR(VLOOKUP(Base_Periodo1[[#This Row],[CONTA]],BaseContasDRE[#All],7,FALSE)),"Fora do DRE",VLOOKUP(Base_Periodo1[[#This Row],[CONTA]],BaseContasDRE[#All],7,FALSE))</f>
        <v>Fora do DRE</v>
      </c>
      <c r="V1255" s="3" t="str">
        <f>IF(Base_Periodo1[[#This Row],[Tipo_Linha]]="Fora do DRE","Fora do DRE","( "&amp;Base_Periodo1[[#This Row],[Tipo_Linha]]&amp;" ) "&amp;Base_Periodo1[[#This Row],[Filtro]])</f>
        <v>Fora do DRE</v>
      </c>
      <c r="W1255" s="3" t="str">
        <f>LEFT(Base_Periodo1[[#This Row],[CLASS]],3)</f>
        <v>1.1</v>
      </c>
    </row>
    <row r="1256" spans="1:23" hidden="1">
      <c r="A1256" s="3" t="str">
        <f t="shared" si="19"/>
        <v>Período 1</v>
      </c>
      <c r="B1256">
        <v>89</v>
      </c>
      <c r="C1256" t="s">
        <v>1044</v>
      </c>
      <c r="D1256" t="s">
        <v>1045</v>
      </c>
      <c r="E1256" s="3" t="str">
        <f>IF(LEN(Base_Periodo1[[#This Row],[CLASS]])&gt;=7,LEFT(Base_Periodo1[[#This Row],[CLASS]],7),"")</f>
        <v>1.1.2.8</v>
      </c>
      <c r="F1256" s="3" t="str">
        <f>VLOOKUP(Base_Periodo1[[#This Row],[Aux]],Base_Contas_Balanco[#All],2,FALSE)</f>
        <v>Bens de Venda</v>
      </c>
      <c r="G1256" s="1">
        <v>42857</v>
      </c>
      <c r="H1256" s="225">
        <v>9575321.3599999994</v>
      </c>
      <c r="I1256" s="225">
        <v>0</v>
      </c>
      <c r="J1256" s="225">
        <v>9429321.3599999994</v>
      </c>
      <c r="K1256" s="225">
        <v>146000</v>
      </c>
      <c r="L12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146000</v>
      </c>
      <c r="M1256" s="225">
        <f>ROUND(IF(AND(Base_Periodo1[[#This Row],[Tipo_Linha]]="-",Base_Periodo1[[#This Row],[TIPOSALDO]]="D"),Base_Periodo1[[#This Row],[SALDO_ATUAL]]*-1,Base_Periodo1[[#This Row],[SALDO_ATUAL]]),4)</f>
        <v>146000</v>
      </c>
      <c r="N1256" t="s">
        <v>116</v>
      </c>
      <c r="O1256" t="s">
        <v>397</v>
      </c>
      <c r="P1256" t="s">
        <v>397</v>
      </c>
      <c r="Q1256">
        <v>5</v>
      </c>
      <c r="R1256" s="225">
        <f>Base_Periodo1[[#This Row],[CREDITOS]]-Base_Periodo1[[#This Row],[DEBITOS]]</f>
        <v>9429321.3599999994</v>
      </c>
      <c r="S1256" s="3" t="str">
        <f>IF(ISERROR(VLOOKUP(Base_Periodo1[[#This Row],[CONTA]],BaseContasDRE[#All],4,FALSE)),"Fora do DRE",VLOOKUP(Base_Periodo1[[#This Row],[CONTA]],BaseContasDRE[#All],4,FALSE))</f>
        <v>Fora do DRE</v>
      </c>
      <c r="T1256" s="3" t="str">
        <f>IF(ISERROR(VLOOKUP(Base_Periodo1[[#This Row],[CONTA]],BaseContasDRE[#All],5,FALSE)),"Fora do DRE",VLOOKUP(Base_Periodo1[[#This Row],[CONTA]],BaseContasDRE[#All],6,FALSE))</f>
        <v>Fora do DRE</v>
      </c>
      <c r="U1256" s="3" t="str">
        <f>IF(ISERROR(VLOOKUP(Base_Periodo1[[#This Row],[CONTA]],BaseContasDRE[#All],7,FALSE)),"Fora do DRE",VLOOKUP(Base_Periodo1[[#This Row],[CONTA]],BaseContasDRE[#All],7,FALSE))</f>
        <v>Fora do DRE</v>
      </c>
      <c r="V1256" s="3" t="str">
        <f>IF(Base_Periodo1[[#This Row],[Tipo_Linha]]="Fora do DRE","Fora do DRE","( "&amp;Base_Periodo1[[#This Row],[Tipo_Linha]]&amp;" ) "&amp;Base_Periodo1[[#This Row],[Filtro]])</f>
        <v>Fora do DRE</v>
      </c>
      <c r="W1256" s="3" t="str">
        <f>LEFT(Base_Periodo1[[#This Row],[CLASS]],3)</f>
        <v>1.1</v>
      </c>
    </row>
    <row r="1257" spans="1:23" hidden="1">
      <c r="A1257" s="3" t="str">
        <f t="shared" si="19"/>
        <v>Período 1</v>
      </c>
      <c r="B1257">
        <v>90</v>
      </c>
      <c r="C1257" t="s">
        <v>1046</v>
      </c>
      <c r="D1257" t="s">
        <v>83</v>
      </c>
      <c r="E1257" s="3" t="str">
        <f>IF(LEN(Base_Periodo1[[#This Row],[CLASS]])&gt;=7,LEFT(Base_Periodo1[[#This Row],[CLASS]],7),"")</f>
        <v/>
      </c>
      <c r="F1257" s="3" t="e">
        <f>VLOOKUP(Base_Periodo1[[#This Row],[Aux]],Base_Contas_Balanco[#All],2,FALSE)</f>
        <v>#N/A</v>
      </c>
      <c r="G1257" s="1"/>
      <c r="H1257" s="225">
        <v>88206378.249996409</v>
      </c>
      <c r="I1257" s="225">
        <v>87921814.759999961</v>
      </c>
      <c r="J1257" s="225">
        <v>82074992.089999989</v>
      </c>
      <c r="K1257" s="225">
        <v>94053200.919996366</v>
      </c>
      <c r="L12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94053200.920000002</v>
      </c>
      <c r="M1257" s="225">
        <f>ROUND(IF(AND(Base_Periodo1[[#This Row],[Tipo_Linha]]="-",Base_Periodo1[[#This Row],[TIPOSALDO]]="D"),Base_Periodo1[[#This Row],[SALDO_ATUAL]]*-1,Base_Periodo1[[#This Row],[SALDO_ATUAL]]),4)</f>
        <v>94053200.920000002</v>
      </c>
      <c r="N1257" t="s">
        <v>396</v>
      </c>
      <c r="O1257" t="s">
        <v>397</v>
      </c>
      <c r="P1257" t="s">
        <v>397</v>
      </c>
      <c r="Q1257">
        <v>3</v>
      </c>
      <c r="R1257" s="225">
        <f>Base_Periodo1[[#This Row],[CREDITOS]]-Base_Periodo1[[#This Row],[DEBITOS]]</f>
        <v>-5846822.669999972</v>
      </c>
      <c r="S1257" s="3" t="str">
        <f>IF(ISERROR(VLOOKUP(Base_Periodo1[[#This Row],[CONTA]],BaseContasDRE[#All],4,FALSE)),"Fora do DRE",VLOOKUP(Base_Periodo1[[#This Row],[CONTA]],BaseContasDRE[#All],4,FALSE))</f>
        <v>Fora do DRE</v>
      </c>
      <c r="T1257" s="3" t="str">
        <f>IF(ISERROR(VLOOKUP(Base_Periodo1[[#This Row],[CONTA]],BaseContasDRE[#All],5,FALSE)),"Fora do DRE",VLOOKUP(Base_Periodo1[[#This Row],[CONTA]],BaseContasDRE[#All],6,FALSE))</f>
        <v>Fora do DRE</v>
      </c>
      <c r="U1257" s="3" t="str">
        <f>IF(ISERROR(VLOOKUP(Base_Periodo1[[#This Row],[CONTA]],BaseContasDRE[#All],7,FALSE)),"Fora do DRE",VLOOKUP(Base_Periodo1[[#This Row],[CONTA]],BaseContasDRE[#All],7,FALSE))</f>
        <v>Fora do DRE</v>
      </c>
      <c r="V1257" s="3" t="str">
        <f>IF(Base_Periodo1[[#This Row],[Tipo_Linha]]="Fora do DRE","Fora do DRE","( "&amp;Base_Periodo1[[#This Row],[Tipo_Linha]]&amp;" ) "&amp;Base_Periodo1[[#This Row],[Filtro]])</f>
        <v>Fora do DRE</v>
      </c>
      <c r="W1257" s="3" t="str">
        <f>LEFT(Base_Periodo1[[#This Row],[CLASS]],3)</f>
        <v>1.1</v>
      </c>
    </row>
    <row r="1258" spans="1:23" hidden="1">
      <c r="A1258" s="3" t="str">
        <f t="shared" si="19"/>
        <v>Período 1</v>
      </c>
      <c r="B1258">
        <v>91</v>
      </c>
      <c r="C1258" t="s">
        <v>20</v>
      </c>
      <c r="D1258" t="s">
        <v>21</v>
      </c>
      <c r="E1258" s="3" t="str">
        <f>IF(LEN(Base_Periodo1[[#This Row],[CLASS]])&gt;=7,LEFT(Base_Periodo1[[#This Row],[CLASS]],7),"")</f>
        <v>1.1.3.1</v>
      </c>
      <c r="F1258" s="3" t="str">
        <f>VLOOKUP(Base_Periodo1[[#This Row],[Aux]],Base_Contas_Balanco[#All],2,FALSE)</f>
        <v>Estoques Proprios</v>
      </c>
      <c r="G1258" s="1"/>
      <c r="H1258" s="225">
        <v>88206378.249996409</v>
      </c>
      <c r="I1258" s="225">
        <v>87921814.759999961</v>
      </c>
      <c r="J1258" s="225">
        <v>82074992.089999989</v>
      </c>
      <c r="K1258" s="225">
        <v>94053200.919996366</v>
      </c>
      <c r="L12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94053200.920000002</v>
      </c>
      <c r="M1258" s="225">
        <f>ROUND(IF(AND(Base_Periodo1[[#This Row],[Tipo_Linha]]="-",Base_Periodo1[[#This Row],[TIPOSALDO]]="D"),Base_Periodo1[[#This Row],[SALDO_ATUAL]]*-1,Base_Periodo1[[#This Row],[SALDO_ATUAL]]),4)</f>
        <v>94053200.920000002</v>
      </c>
      <c r="N1258" t="s">
        <v>396</v>
      </c>
      <c r="O1258" t="s">
        <v>397</v>
      </c>
      <c r="P1258" t="s">
        <v>397</v>
      </c>
      <c r="Q1258">
        <v>4</v>
      </c>
      <c r="R1258" s="225">
        <f>Base_Periodo1[[#This Row],[CREDITOS]]-Base_Periodo1[[#This Row],[DEBITOS]]</f>
        <v>-5846822.669999972</v>
      </c>
      <c r="S1258" s="3" t="str">
        <f>IF(ISERROR(VLOOKUP(Base_Periodo1[[#This Row],[CONTA]],BaseContasDRE[#All],4,FALSE)),"Fora do DRE",VLOOKUP(Base_Periodo1[[#This Row],[CONTA]],BaseContasDRE[#All],4,FALSE))</f>
        <v>Fora do DRE</v>
      </c>
      <c r="T1258" s="3" t="str">
        <f>IF(ISERROR(VLOOKUP(Base_Periodo1[[#This Row],[CONTA]],BaseContasDRE[#All],5,FALSE)),"Fora do DRE",VLOOKUP(Base_Periodo1[[#This Row],[CONTA]],BaseContasDRE[#All],6,FALSE))</f>
        <v>Fora do DRE</v>
      </c>
      <c r="U1258" s="3" t="str">
        <f>IF(ISERROR(VLOOKUP(Base_Periodo1[[#This Row],[CONTA]],BaseContasDRE[#All],7,FALSE)),"Fora do DRE",VLOOKUP(Base_Periodo1[[#This Row],[CONTA]],BaseContasDRE[#All],7,FALSE))</f>
        <v>Fora do DRE</v>
      </c>
      <c r="V1258" s="3" t="str">
        <f>IF(Base_Periodo1[[#This Row],[Tipo_Linha]]="Fora do DRE","Fora do DRE","( "&amp;Base_Periodo1[[#This Row],[Tipo_Linha]]&amp;" ) "&amp;Base_Periodo1[[#This Row],[Filtro]])</f>
        <v>Fora do DRE</v>
      </c>
      <c r="W1258" s="3" t="str">
        <f>LEFT(Base_Periodo1[[#This Row],[CLASS]],3)</f>
        <v>1.1</v>
      </c>
    </row>
    <row r="1259" spans="1:23" hidden="1">
      <c r="A1259" s="3" t="str">
        <f t="shared" si="19"/>
        <v>Período 1</v>
      </c>
      <c r="B1259">
        <v>92</v>
      </c>
      <c r="C1259" t="s">
        <v>1047</v>
      </c>
      <c r="D1259" t="s">
        <v>1048</v>
      </c>
      <c r="E1259" s="3" t="str">
        <f>IF(LEN(Base_Periodo1[[#This Row],[CLASS]])&gt;=7,LEFT(Base_Periodo1[[#This Row],[CLASS]],7),"")</f>
        <v>1.1.3.1</v>
      </c>
      <c r="F1259" s="3" t="str">
        <f>VLOOKUP(Base_Periodo1[[#This Row],[Aux]],Base_Contas_Balanco[#All],2,FALSE)</f>
        <v>Estoques Proprios</v>
      </c>
      <c r="G1259" s="1"/>
      <c r="H1259" s="225">
        <v>33335935.259996116</v>
      </c>
      <c r="I1259" s="225">
        <v>65027061.88000001</v>
      </c>
      <c r="J1259" s="225">
        <v>63436610.729999997</v>
      </c>
      <c r="K1259" s="225">
        <v>34926386.40999613</v>
      </c>
      <c r="L12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34926386.409999996</v>
      </c>
      <c r="M1259" s="225">
        <f>ROUND(IF(AND(Base_Periodo1[[#This Row],[Tipo_Linha]]="-",Base_Periodo1[[#This Row],[TIPOSALDO]]="D"),Base_Periodo1[[#This Row],[SALDO_ATUAL]]*-1,Base_Periodo1[[#This Row],[SALDO_ATUAL]]),4)</f>
        <v>34926386.409999996</v>
      </c>
      <c r="N1259" t="s">
        <v>396</v>
      </c>
      <c r="O1259" t="s">
        <v>397</v>
      </c>
      <c r="P1259" t="s">
        <v>397</v>
      </c>
      <c r="Q1259">
        <v>5</v>
      </c>
      <c r="R1259" s="225">
        <f>Base_Periodo1[[#This Row],[CREDITOS]]-Base_Periodo1[[#This Row],[DEBITOS]]</f>
        <v>-1590451.1500000134</v>
      </c>
      <c r="S1259" s="3" t="str">
        <f>IF(ISERROR(VLOOKUP(Base_Periodo1[[#This Row],[CONTA]],BaseContasDRE[#All],4,FALSE)),"Fora do DRE",VLOOKUP(Base_Periodo1[[#This Row],[CONTA]],BaseContasDRE[#All],4,FALSE))</f>
        <v>Fora do DRE</v>
      </c>
      <c r="T1259" s="3" t="str">
        <f>IF(ISERROR(VLOOKUP(Base_Periodo1[[#This Row],[CONTA]],BaseContasDRE[#All],5,FALSE)),"Fora do DRE",VLOOKUP(Base_Periodo1[[#This Row],[CONTA]],BaseContasDRE[#All],6,FALSE))</f>
        <v>Fora do DRE</v>
      </c>
      <c r="U1259" s="3" t="str">
        <f>IF(ISERROR(VLOOKUP(Base_Periodo1[[#This Row],[CONTA]],BaseContasDRE[#All],7,FALSE)),"Fora do DRE",VLOOKUP(Base_Periodo1[[#This Row],[CONTA]],BaseContasDRE[#All],7,FALSE))</f>
        <v>Fora do DRE</v>
      </c>
      <c r="V1259" s="3" t="str">
        <f>IF(Base_Periodo1[[#This Row],[Tipo_Linha]]="Fora do DRE","Fora do DRE","( "&amp;Base_Periodo1[[#This Row],[Tipo_Linha]]&amp;" ) "&amp;Base_Periodo1[[#This Row],[Filtro]])</f>
        <v>Fora do DRE</v>
      </c>
      <c r="W1259" s="3" t="str">
        <f>LEFT(Base_Periodo1[[#This Row],[CLASS]],3)</f>
        <v>1.1</v>
      </c>
    </row>
    <row r="1260" spans="1:23" hidden="1">
      <c r="A1260" s="3" t="str">
        <f t="shared" si="19"/>
        <v>Período 1</v>
      </c>
      <c r="B1260">
        <v>93</v>
      </c>
      <c r="C1260" t="s">
        <v>1049</v>
      </c>
      <c r="D1260" t="s">
        <v>1050</v>
      </c>
      <c r="E1260" s="3" t="str">
        <f>IF(LEN(Base_Periodo1[[#This Row],[CLASS]])&gt;=7,LEFT(Base_Periodo1[[#This Row],[CLASS]],7),"")</f>
        <v>1.1.3.1</v>
      </c>
      <c r="F1260" s="3" t="str">
        <f>VLOOKUP(Base_Periodo1[[#This Row],[Aux]],Base_Contas_Balanco[#All],2,FALSE)</f>
        <v>Estoques Proprios</v>
      </c>
      <c r="G1260" s="1"/>
      <c r="H1260" s="225">
        <v>28080680.199996132</v>
      </c>
      <c r="I1260" s="225">
        <v>53555165.470000006</v>
      </c>
      <c r="J1260" s="225">
        <v>53504210.740000002</v>
      </c>
      <c r="K1260" s="225">
        <v>28131634.92999614</v>
      </c>
      <c r="L12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28131634.93</v>
      </c>
      <c r="M1260" s="225">
        <f>ROUND(IF(AND(Base_Periodo1[[#This Row],[Tipo_Linha]]="-",Base_Periodo1[[#This Row],[TIPOSALDO]]="D"),Base_Periodo1[[#This Row],[SALDO_ATUAL]]*-1,Base_Periodo1[[#This Row],[SALDO_ATUAL]]),4)</f>
        <v>28131634.93</v>
      </c>
      <c r="N1260" t="s">
        <v>396</v>
      </c>
      <c r="O1260" t="s">
        <v>397</v>
      </c>
      <c r="P1260" t="s">
        <v>397</v>
      </c>
      <c r="Q1260">
        <v>6</v>
      </c>
      <c r="R1260" s="225">
        <f>Base_Periodo1[[#This Row],[CREDITOS]]-Base_Periodo1[[#This Row],[DEBITOS]]</f>
        <v>-50954.730000004172</v>
      </c>
      <c r="S1260" s="3" t="str">
        <f>IF(ISERROR(VLOOKUP(Base_Periodo1[[#This Row],[CONTA]],BaseContasDRE[#All],4,FALSE)),"Fora do DRE",VLOOKUP(Base_Periodo1[[#This Row],[CONTA]],BaseContasDRE[#All],4,FALSE))</f>
        <v>Fora do DRE</v>
      </c>
      <c r="T1260" s="3" t="str">
        <f>IF(ISERROR(VLOOKUP(Base_Periodo1[[#This Row],[CONTA]],BaseContasDRE[#All],5,FALSE)),"Fora do DRE",VLOOKUP(Base_Periodo1[[#This Row],[CONTA]],BaseContasDRE[#All],6,FALSE))</f>
        <v>Fora do DRE</v>
      </c>
      <c r="U1260" s="3" t="str">
        <f>IF(ISERROR(VLOOKUP(Base_Periodo1[[#This Row],[CONTA]],BaseContasDRE[#All],7,FALSE)),"Fora do DRE",VLOOKUP(Base_Periodo1[[#This Row],[CONTA]],BaseContasDRE[#All],7,FALSE))</f>
        <v>Fora do DRE</v>
      </c>
      <c r="V1260" s="3" t="str">
        <f>IF(Base_Periodo1[[#This Row],[Tipo_Linha]]="Fora do DRE","Fora do DRE","( "&amp;Base_Periodo1[[#This Row],[Tipo_Linha]]&amp;" ) "&amp;Base_Periodo1[[#This Row],[Filtro]])</f>
        <v>Fora do DRE</v>
      </c>
      <c r="W1260" s="3" t="str">
        <f>LEFT(Base_Periodo1[[#This Row],[CLASS]],3)</f>
        <v>1.1</v>
      </c>
    </row>
    <row r="1261" spans="1:23" hidden="1">
      <c r="A1261" s="3" t="str">
        <f t="shared" si="19"/>
        <v>Período 1</v>
      </c>
      <c r="B1261">
        <v>94</v>
      </c>
      <c r="C1261" t="s">
        <v>1051</v>
      </c>
      <c r="D1261" t="s">
        <v>1052</v>
      </c>
      <c r="E1261" s="3" t="str">
        <f>IF(LEN(Base_Periodo1[[#This Row],[CLASS]])&gt;=7,LEFT(Base_Periodo1[[#This Row],[CLASS]],7),"")</f>
        <v>1.1.3.1</v>
      </c>
      <c r="F1261" s="3" t="str">
        <f>VLOOKUP(Base_Periodo1[[#This Row],[Aux]],Base_Contas_Balanco[#All],2,FALSE)</f>
        <v>Estoques Proprios</v>
      </c>
      <c r="G1261" s="1"/>
      <c r="H1261" s="225">
        <v>22696916.679995958</v>
      </c>
      <c r="I1261" s="225">
        <v>37509085.460000001</v>
      </c>
      <c r="J1261" s="225">
        <v>35575465.159999996</v>
      </c>
      <c r="K1261" s="225">
        <v>24630536.979995966</v>
      </c>
      <c r="L12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24630536.98</v>
      </c>
      <c r="M1261" s="225">
        <f>ROUND(IF(AND(Base_Periodo1[[#This Row],[Tipo_Linha]]="-",Base_Periodo1[[#This Row],[TIPOSALDO]]="D"),Base_Periodo1[[#This Row],[SALDO_ATUAL]]*-1,Base_Periodo1[[#This Row],[SALDO_ATUAL]]),4)</f>
        <v>24630536.98</v>
      </c>
      <c r="N1261" t="s">
        <v>396</v>
      </c>
      <c r="O1261" t="s">
        <v>397</v>
      </c>
      <c r="P1261" t="s">
        <v>397</v>
      </c>
      <c r="Q1261">
        <v>7</v>
      </c>
      <c r="R1261" s="225">
        <f>Base_Periodo1[[#This Row],[CREDITOS]]-Base_Periodo1[[#This Row],[DEBITOS]]</f>
        <v>-1933620.3000000045</v>
      </c>
      <c r="S1261" s="3" t="str">
        <f>IF(ISERROR(VLOOKUP(Base_Periodo1[[#This Row],[CONTA]],BaseContasDRE[#All],4,FALSE)),"Fora do DRE",VLOOKUP(Base_Periodo1[[#This Row],[CONTA]],BaseContasDRE[#All],4,FALSE))</f>
        <v>Fora do DRE</v>
      </c>
      <c r="T1261" s="3" t="str">
        <f>IF(ISERROR(VLOOKUP(Base_Periodo1[[#This Row],[CONTA]],BaseContasDRE[#All],5,FALSE)),"Fora do DRE",VLOOKUP(Base_Periodo1[[#This Row],[CONTA]],BaseContasDRE[#All],6,FALSE))</f>
        <v>Fora do DRE</v>
      </c>
      <c r="U1261" s="3" t="str">
        <f>IF(ISERROR(VLOOKUP(Base_Periodo1[[#This Row],[CONTA]],BaseContasDRE[#All],7,FALSE)),"Fora do DRE",VLOOKUP(Base_Periodo1[[#This Row],[CONTA]],BaseContasDRE[#All],7,FALSE))</f>
        <v>Fora do DRE</v>
      </c>
      <c r="V1261" s="3" t="str">
        <f>IF(Base_Periodo1[[#This Row],[Tipo_Linha]]="Fora do DRE","Fora do DRE","( "&amp;Base_Periodo1[[#This Row],[Tipo_Linha]]&amp;" ) "&amp;Base_Periodo1[[#This Row],[Filtro]])</f>
        <v>Fora do DRE</v>
      </c>
      <c r="W1261" s="3" t="str">
        <f>LEFT(Base_Periodo1[[#This Row],[CLASS]],3)</f>
        <v>1.1</v>
      </c>
    </row>
    <row r="1262" spans="1:23" hidden="1">
      <c r="A1262" s="3" t="str">
        <f t="shared" si="19"/>
        <v>Período 1</v>
      </c>
      <c r="B1262">
        <v>95</v>
      </c>
      <c r="C1262" t="s">
        <v>1053</v>
      </c>
      <c r="D1262" t="s">
        <v>1054</v>
      </c>
      <c r="E1262" s="3" t="str">
        <f>IF(LEN(Base_Periodo1[[#This Row],[CLASS]])&gt;=7,LEFT(Base_Periodo1[[#This Row],[CLASS]],7),"")</f>
        <v>1.1.3.1</v>
      </c>
      <c r="F1262" s="3" t="str">
        <f>VLOOKUP(Base_Periodo1[[#This Row],[Aux]],Base_Contas_Balanco[#All],2,FALSE)</f>
        <v>Estoques Proprios</v>
      </c>
      <c r="G1262" s="1"/>
      <c r="H1262" s="225">
        <v>565034.58999991417</v>
      </c>
      <c r="I1262" s="225">
        <v>0</v>
      </c>
      <c r="J1262" s="225">
        <v>0</v>
      </c>
      <c r="K1262" s="225">
        <v>565034.58999991417</v>
      </c>
      <c r="L12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565034.59</v>
      </c>
      <c r="M1262" s="225">
        <f>ROUND(IF(AND(Base_Periodo1[[#This Row],[Tipo_Linha]]="-",Base_Periodo1[[#This Row],[TIPOSALDO]]="D"),Base_Periodo1[[#This Row],[SALDO_ATUAL]]*-1,Base_Periodo1[[#This Row],[SALDO_ATUAL]]),4)</f>
        <v>565034.59</v>
      </c>
      <c r="N1262" t="s">
        <v>396</v>
      </c>
      <c r="O1262" t="s">
        <v>397</v>
      </c>
      <c r="P1262" t="s">
        <v>397</v>
      </c>
      <c r="Q1262">
        <v>8</v>
      </c>
      <c r="R1262" s="225">
        <f>Base_Periodo1[[#This Row],[CREDITOS]]-Base_Periodo1[[#This Row],[DEBITOS]]</f>
        <v>0</v>
      </c>
      <c r="S1262" s="3" t="str">
        <f>IF(ISERROR(VLOOKUP(Base_Periodo1[[#This Row],[CONTA]],BaseContasDRE[#All],4,FALSE)),"Fora do DRE",VLOOKUP(Base_Periodo1[[#This Row],[CONTA]],BaseContasDRE[#All],4,FALSE))</f>
        <v>Fora do DRE</v>
      </c>
      <c r="T1262" s="3" t="str">
        <f>IF(ISERROR(VLOOKUP(Base_Periodo1[[#This Row],[CONTA]],BaseContasDRE[#All],5,FALSE)),"Fora do DRE",VLOOKUP(Base_Periodo1[[#This Row],[CONTA]],BaseContasDRE[#All],6,FALSE))</f>
        <v>Fora do DRE</v>
      </c>
      <c r="U1262" s="3" t="str">
        <f>IF(ISERROR(VLOOKUP(Base_Periodo1[[#This Row],[CONTA]],BaseContasDRE[#All],7,FALSE)),"Fora do DRE",VLOOKUP(Base_Periodo1[[#This Row],[CONTA]],BaseContasDRE[#All],7,FALSE))</f>
        <v>Fora do DRE</v>
      </c>
      <c r="V1262" s="3" t="str">
        <f>IF(Base_Periodo1[[#This Row],[Tipo_Linha]]="Fora do DRE","Fora do DRE","( "&amp;Base_Periodo1[[#This Row],[Tipo_Linha]]&amp;" ) "&amp;Base_Periodo1[[#This Row],[Filtro]])</f>
        <v>Fora do DRE</v>
      </c>
      <c r="W1262" s="3" t="str">
        <f>LEFT(Base_Periodo1[[#This Row],[CLASS]],3)</f>
        <v>1.1</v>
      </c>
    </row>
    <row r="1263" spans="1:23" hidden="1">
      <c r="A1263" s="3" t="str">
        <f t="shared" si="19"/>
        <v>Período 1</v>
      </c>
      <c r="B1263">
        <v>96</v>
      </c>
      <c r="C1263" t="s">
        <v>1055</v>
      </c>
      <c r="D1263" t="s">
        <v>1054</v>
      </c>
      <c r="E1263" s="3" t="str">
        <f>IF(LEN(Base_Periodo1[[#This Row],[CLASS]])&gt;=7,LEFT(Base_Periodo1[[#This Row],[CLASS]],7),"")</f>
        <v>1.1.3.1</v>
      </c>
      <c r="F1263" s="3" t="str">
        <f>VLOOKUP(Base_Periodo1[[#This Row],[Aux]],Base_Contas_Balanco[#All],2,FALSE)</f>
        <v>Estoques Proprios</v>
      </c>
      <c r="G1263" s="1">
        <v>42735</v>
      </c>
      <c r="H1263" s="225">
        <v>565034.58999991417</v>
      </c>
      <c r="I1263" s="225">
        <v>0</v>
      </c>
      <c r="J1263" s="225">
        <v>0</v>
      </c>
      <c r="K1263" s="225">
        <v>565034.58999991417</v>
      </c>
      <c r="L12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565034.59</v>
      </c>
      <c r="M1263" s="225">
        <f>ROUND(IF(AND(Base_Periodo1[[#This Row],[Tipo_Linha]]="-",Base_Periodo1[[#This Row],[TIPOSALDO]]="D"),Base_Periodo1[[#This Row],[SALDO_ATUAL]]*-1,Base_Periodo1[[#This Row],[SALDO_ATUAL]]),4)</f>
        <v>565034.59</v>
      </c>
      <c r="N1263" t="s">
        <v>116</v>
      </c>
      <c r="O1263" t="s">
        <v>397</v>
      </c>
      <c r="P1263" t="s">
        <v>397</v>
      </c>
      <c r="Q1263">
        <v>9</v>
      </c>
      <c r="R1263" s="225">
        <f>Base_Periodo1[[#This Row],[CREDITOS]]-Base_Periodo1[[#This Row],[DEBITOS]]</f>
        <v>0</v>
      </c>
      <c r="S1263" s="3" t="str">
        <f>IF(ISERROR(VLOOKUP(Base_Periodo1[[#This Row],[CONTA]],BaseContasDRE[#All],4,FALSE)),"Fora do DRE",VLOOKUP(Base_Periodo1[[#This Row],[CONTA]],BaseContasDRE[#All],4,FALSE))</f>
        <v>Fora do DRE</v>
      </c>
      <c r="T1263" s="3" t="str">
        <f>IF(ISERROR(VLOOKUP(Base_Periodo1[[#This Row],[CONTA]],BaseContasDRE[#All],5,FALSE)),"Fora do DRE",VLOOKUP(Base_Periodo1[[#This Row],[CONTA]],BaseContasDRE[#All],6,FALSE))</f>
        <v>Fora do DRE</v>
      </c>
      <c r="U1263" s="3" t="str">
        <f>IF(ISERROR(VLOOKUP(Base_Periodo1[[#This Row],[CONTA]],BaseContasDRE[#All],7,FALSE)),"Fora do DRE",VLOOKUP(Base_Periodo1[[#This Row],[CONTA]],BaseContasDRE[#All],7,FALSE))</f>
        <v>Fora do DRE</v>
      </c>
      <c r="V1263" s="3" t="str">
        <f>IF(Base_Periodo1[[#This Row],[Tipo_Linha]]="Fora do DRE","Fora do DRE","( "&amp;Base_Periodo1[[#This Row],[Tipo_Linha]]&amp;" ) "&amp;Base_Periodo1[[#This Row],[Filtro]])</f>
        <v>Fora do DRE</v>
      </c>
      <c r="W1263" s="3" t="str">
        <f>LEFT(Base_Periodo1[[#This Row],[CLASS]],3)</f>
        <v>1.1</v>
      </c>
    </row>
    <row r="1264" spans="1:23" hidden="1">
      <c r="A1264" s="3" t="str">
        <f t="shared" si="19"/>
        <v>Período 1</v>
      </c>
      <c r="B1264">
        <v>97</v>
      </c>
      <c r="C1264" t="s">
        <v>1056</v>
      </c>
      <c r="D1264" t="s">
        <v>1057</v>
      </c>
      <c r="E1264" s="3" t="str">
        <f>IF(LEN(Base_Periodo1[[#This Row],[CLASS]])&gt;=7,LEFT(Base_Periodo1[[#This Row],[CLASS]],7),"")</f>
        <v>1.1.3.1</v>
      </c>
      <c r="F1264" s="3" t="str">
        <f>VLOOKUP(Base_Periodo1[[#This Row],[Aux]],Base_Contas_Balanco[#All],2,FALSE)</f>
        <v>Estoques Proprios</v>
      </c>
      <c r="G1264" s="1"/>
      <c r="H1264" s="225">
        <v>75771038.969996348</v>
      </c>
      <c r="I1264" s="225">
        <v>19668866.219999999</v>
      </c>
      <c r="J1264" s="225">
        <v>30899.290000000023</v>
      </c>
      <c r="K1264" s="225">
        <v>95409005.89999634</v>
      </c>
      <c r="L12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95409005.900000006</v>
      </c>
      <c r="M1264" s="225">
        <f>ROUND(IF(AND(Base_Periodo1[[#This Row],[Tipo_Linha]]="-",Base_Periodo1[[#This Row],[TIPOSALDO]]="D"),Base_Periodo1[[#This Row],[SALDO_ATUAL]]*-1,Base_Periodo1[[#This Row],[SALDO_ATUAL]]),4)</f>
        <v>95409005.900000006</v>
      </c>
      <c r="N1264" t="s">
        <v>396</v>
      </c>
      <c r="O1264" t="s">
        <v>397</v>
      </c>
      <c r="P1264" t="s">
        <v>397</v>
      </c>
      <c r="Q1264">
        <v>8</v>
      </c>
      <c r="R1264" s="225">
        <f>Base_Periodo1[[#This Row],[CREDITOS]]-Base_Periodo1[[#This Row],[DEBITOS]]</f>
        <v>-19637966.93</v>
      </c>
      <c r="S1264" s="3" t="str">
        <f>IF(ISERROR(VLOOKUP(Base_Periodo1[[#This Row],[CONTA]],BaseContasDRE[#All],4,FALSE)),"Fora do DRE",VLOOKUP(Base_Periodo1[[#This Row],[CONTA]],BaseContasDRE[#All],4,FALSE))</f>
        <v>Fora do DRE</v>
      </c>
      <c r="T1264" s="3" t="str">
        <f>IF(ISERROR(VLOOKUP(Base_Periodo1[[#This Row],[CONTA]],BaseContasDRE[#All],5,FALSE)),"Fora do DRE",VLOOKUP(Base_Periodo1[[#This Row],[CONTA]],BaseContasDRE[#All],6,FALSE))</f>
        <v>Fora do DRE</v>
      </c>
      <c r="U1264" s="3" t="str">
        <f>IF(ISERROR(VLOOKUP(Base_Periodo1[[#This Row],[CONTA]],BaseContasDRE[#All],7,FALSE)),"Fora do DRE",VLOOKUP(Base_Periodo1[[#This Row],[CONTA]],BaseContasDRE[#All],7,FALSE))</f>
        <v>Fora do DRE</v>
      </c>
      <c r="V1264" s="3" t="str">
        <f>IF(Base_Periodo1[[#This Row],[Tipo_Linha]]="Fora do DRE","Fora do DRE","( "&amp;Base_Periodo1[[#This Row],[Tipo_Linha]]&amp;" ) "&amp;Base_Periodo1[[#This Row],[Filtro]])</f>
        <v>Fora do DRE</v>
      </c>
      <c r="W1264" s="3" t="str">
        <f>LEFT(Base_Periodo1[[#This Row],[CLASS]],3)</f>
        <v>1.1</v>
      </c>
    </row>
    <row r="1265" spans="1:23" hidden="1">
      <c r="A1265" s="3" t="str">
        <f t="shared" si="19"/>
        <v>Período 1</v>
      </c>
      <c r="B1265">
        <v>98</v>
      </c>
      <c r="C1265" t="s">
        <v>1058</v>
      </c>
      <c r="D1265" t="s">
        <v>1059</v>
      </c>
      <c r="E1265" s="3" t="str">
        <f>IF(LEN(Base_Periodo1[[#This Row],[CLASS]])&gt;=7,LEFT(Base_Periodo1[[#This Row],[CLASS]],7),"")</f>
        <v>1.1.3.1</v>
      </c>
      <c r="F1265" s="3" t="str">
        <f>VLOOKUP(Base_Periodo1[[#This Row],[Aux]],Base_Contas_Balanco[#All],2,FALSE)</f>
        <v>Estoques Proprios</v>
      </c>
      <c r="G1265" s="1">
        <v>42886</v>
      </c>
      <c r="H1265" s="225">
        <v>70405035.939996183</v>
      </c>
      <c r="I1265" s="225">
        <v>14476356.32</v>
      </c>
      <c r="J1265" s="225">
        <v>30899.290000000023</v>
      </c>
      <c r="K1265" s="225">
        <v>84850492.969996169</v>
      </c>
      <c r="L12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84850492.969999999</v>
      </c>
      <c r="M1265" s="225">
        <f>ROUND(IF(AND(Base_Periodo1[[#This Row],[Tipo_Linha]]="-",Base_Periodo1[[#This Row],[TIPOSALDO]]="D"),Base_Periodo1[[#This Row],[SALDO_ATUAL]]*-1,Base_Periodo1[[#This Row],[SALDO_ATUAL]]),4)</f>
        <v>84850492.969999999</v>
      </c>
      <c r="N1265" t="s">
        <v>116</v>
      </c>
      <c r="O1265" t="s">
        <v>397</v>
      </c>
      <c r="P1265" t="s">
        <v>397</v>
      </c>
      <c r="Q1265">
        <v>9</v>
      </c>
      <c r="R1265" s="225">
        <f>Base_Periodo1[[#This Row],[CREDITOS]]-Base_Periodo1[[#This Row],[DEBITOS]]</f>
        <v>-14445457.030000001</v>
      </c>
      <c r="S1265" s="3" t="str">
        <f>IF(ISERROR(VLOOKUP(Base_Periodo1[[#This Row],[CONTA]],BaseContasDRE[#All],4,FALSE)),"Fora do DRE",VLOOKUP(Base_Periodo1[[#This Row],[CONTA]],BaseContasDRE[#All],4,FALSE))</f>
        <v>Fora do DRE</v>
      </c>
      <c r="T1265" s="3" t="str">
        <f>IF(ISERROR(VLOOKUP(Base_Periodo1[[#This Row],[CONTA]],BaseContasDRE[#All],5,FALSE)),"Fora do DRE",VLOOKUP(Base_Periodo1[[#This Row],[CONTA]],BaseContasDRE[#All],6,FALSE))</f>
        <v>Fora do DRE</v>
      </c>
      <c r="U1265" s="3" t="str">
        <f>IF(ISERROR(VLOOKUP(Base_Periodo1[[#This Row],[CONTA]],BaseContasDRE[#All],7,FALSE)),"Fora do DRE",VLOOKUP(Base_Periodo1[[#This Row],[CONTA]],BaseContasDRE[#All],7,FALSE))</f>
        <v>Fora do DRE</v>
      </c>
      <c r="V1265" s="3" t="str">
        <f>IF(Base_Periodo1[[#This Row],[Tipo_Linha]]="Fora do DRE","Fora do DRE","( "&amp;Base_Periodo1[[#This Row],[Tipo_Linha]]&amp;" ) "&amp;Base_Periodo1[[#This Row],[Filtro]])</f>
        <v>Fora do DRE</v>
      </c>
      <c r="W1265" s="3" t="str">
        <f>LEFT(Base_Periodo1[[#This Row],[CLASS]],3)</f>
        <v>1.1</v>
      </c>
    </row>
    <row r="1266" spans="1:23" hidden="1">
      <c r="A1266" s="3" t="str">
        <f t="shared" si="19"/>
        <v>Período 1</v>
      </c>
      <c r="B1266">
        <v>99</v>
      </c>
      <c r="C1266" t="s">
        <v>1060</v>
      </c>
      <c r="D1266" t="s">
        <v>1061</v>
      </c>
      <c r="E1266" s="3" t="str">
        <f>IF(LEN(Base_Periodo1[[#This Row],[CLASS]])&gt;=7,LEFT(Base_Periodo1[[#This Row],[CLASS]],7),"")</f>
        <v>1.1.3.1</v>
      </c>
      <c r="F1266" s="3" t="str">
        <f>VLOOKUP(Base_Periodo1[[#This Row],[Aux]],Base_Contas_Balanco[#All],2,FALSE)</f>
        <v>Estoques Proprios</v>
      </c>
      <c r="G1266" s="1">
        <v>42886</v>
      </c>
      <c r="H1266" s="225">
        <v>5366003.0300001651</v>
      </c>
      <c r="I1266" s="225">
        <v>5192509.8999999985</v>
      </c>
      <c r="J1266" s="225">
        <v>0</v>
      </c>
      <c r="K1266" s="225">
        <v>10558512.930000164</v>
      </c>
      <c r="L12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10558512.93</v>
      </c>
      <c r="M1266" s="225">
        <f>ROUND(IF(AND(Base_Periodo1[[#This Row],[Tipo_Linha]]="-",Base_Periodo1[[#This Row],[TIPOSALDO]]="D"),Base_Periodo1[[#This Row],[SALDO_ATUAL]]*-1,Base_Periodo1[[#This Row],[SALDO_ATUAL]]),4)</f>
        <v>10558512.93</v>
      </c>
      <c r="N1266" t="s">
        <v>116</v>
      </c>
      <c r="O1266" t="s">
        <v>397</v>
      </c>
      <c r="P1266" t="s">
        <v>397</v>
      </c>
      <c r="Q1266">
        <v>9</v>
      </c>
      <c r="R1266" s="225">
        <f>Base_Periodo1[[#This Row],[CREDITOS]]-Base_Periodo1[[#This Row],[DEBITOS]]</f>
        <v>-5192509.8999999985</v>
      </c>
      <c r="S1266" s="3" t="str">
        <f>IF(ISERROR(VLOOKUP(Base_Periodo1[[#This Row],[CONTA]],BaseContasDRE[#All],4,FALSE)),"Fora do DRE",VLOOKUP(Base_Periodo1[[#This Row],[CONTA]],BaseContasDRE[#All],4,FALSE))</f>
        <v>Fora do DRE</v>
      </c>
      <c r="T1266" s="3" t="str">
        <f>IF(ISERROR(VLOOKUP(Base_Periodo1[[#This Row],[CONTA]],BaseContasDRE[#All],5,FALSE)),"Fora do DRE",VLOOKUP(Base_Periodo1[[#This Row],[CONTA]],BaseContasDRE[#All],6,FALSE))</f>
        <v>Fora do DRE</v>
      </c>
      <c r="U1266" s="3" t="str">
        <f>IF(ISERROR(VLOOKUP(Base_Periodo1[[#This Row],[CONTA]],BaseContasDRE[#All],7,FALSE)),"Fora do DRE",VLOOKUP(Base_Periodo1[[#This Row],[CONTA]],BaseContasDRE[#All],7,FALSE))</f>
        <v>Fora do DRE</v>
      </c>
      <c r="V1266" s="3" t="str">
        <f>IF(Base_Periodo1[[#This Row],[Tipo_Linha]]="Fora do DRE","Fora do DRE","( "&amp;Base_Periodo1[[#This Row],[Tipo_Linha]]&amp;" ) "&amp;Base_Periodo1[[#This Row],[Filtro]])</f>
        <v>Fora do DRE</v>
      </c>
      <c r="W1266" s="3" t="str">
        <f>LEFT(Base_Periodo1[[#This Row],[CLASS]],3)</f>
        <v>1.1</v>
      </c>
    </row>
    <row r="1267" spans="1:23" hidden="1">
      <c r="A1267" s="3" t="str">
        <f t="shared" si="19"/>
        <v>Período 1</v>
      </c>
      <c r="B1267">
        <v>100</v>
      </c>
      <c r="C1267" t="s">
        <v>1062</v>
      </c>
      <c r="D1267" t="s">
        <v>1063</v>
      </c>
      <c r="E1267" s="3" t="str">
        <f>IF(LEN(Base_Periodo1[[#This Row],[CLASS]])&gt;=7,LEFT(Base_Periodo1[[#This Row],[CLASS]],7),"")</f>
        <v>1.1.3.1</v>
      </c>
      <c r="F1267" s="3" t="str">
        <f>VLOOKUP(Base_Periodo1[[#This Row],[Aux]],Base_Contas_Balanco[#All],2,FALSE)</f>
        <v>Estoques Proprios</v>
      </c>
      <c r="G1267" s="1"/>
      <c r="H1267" s="225">
        <v>51311078.329999745</v>
      </c>
      <c r="I1267" s="225">
        <v>17840219.240000002</v>
      </c>
      <c r="J1267" s="225">
        <v>0</v>
      </c>
      <c r="K1267" s="225">
        <v>69151297.569999754</v>
      </c>
      <c r="L12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69151297.569999993</v>
      </c>
      <c r="M1267" s="225">
        <f>ROUND(IF(AND(Base_Periodo1[[#This Row],[Tipo_Linha]]="-",Base_Periodo1[[#This Row],[TIPOSALDO]]="D"),Base_Periodo1[[#This Row],[SALDO_ATUAL]]*-1,Base_Periodo1[[#This Row],[SALDO_ATUAL]]),4)</f>
        <v>69151297.569999993</v>
      </c>
      <c r="N1267" t="s">
        <v>396</v>
      </c>
      <c r="O1267" t="s">
        <v>397</v>
      </c>
      <c r="P1267" t="s">
        <v>397</v>
      </c>
      <c r="Q1267">
        <v>8</v>
      </c>
      <c r="R1267" s="225">
        <f>Base_Periodo1[[#This Row],[CREDITOS]]-Base_Periodo1[[#This Row],[DEBITOS]]</f>
        <v>-17840219.240000002</v>
      </c>
      <c r="S1267" s="3" t="str">
        <f>IF(ISERROR(VLOOKUP(Base_Periodo1[[#This Row],[CONTA]],BaseContasDRE[#All],4,FALSE)),"Fora do DRE",VLOOKUP(Base_Periodo1[[#This Row],[CONTA]],BaseContasDRE[#All],4,FALSE))</f>
        <v>Fora do DRE</v>
      </c>
      <c r="T1267" s="3" t="str">
        <f>IF(ISERROR(VLOOKUP(Base_Periodo1[[#This Row],[CONTA]],BaseContasDRE[#All],5,FALSE)),"Fora do DRE",VLOOKUP(Base_Periodo1[[#This Row],[CONTA]],BaseContasDRE[#All],6,FALSE))</f>
        <v>Fora do DRE</v>
      </c>
      <c r="U1267" s="3" t="str">
        <f>IF(ISERROR(VLOOKUP(Base_Periodo1[[#This Row],[CONTA]],BaseContasDRE[#All],7,FALSE)),"Fora do DRE",VLOOKUP(Base_Periodo1[[#This Row],[CONTA]],BaseContasDRE[#All],7,FALSE))</f>
        <v>Fora do DRE</v>
      </c>
      <c r="V1267" s="3" t="str">
        <f>IF(Base_Periodo1[[#This Row],[Tipo_Linha]]="Fora do DRE","Fora do DRE","( "&amp;Base_Periodo1[[#This Row],[Tipo_Linha]]&amp;" ) "&amp;Base_Periodo1[[#This Row],[Filtro]])</f>
        <v>Fora do DRE</v>
      </c>
      <c r="W1267" s="3" t="str">
        <f>LEFT(Base_Periodo1[[#This Row],[CLASS]],3)</f>
        <v>1.1</v>
      </c>
    </row>
    <row r="1268" spans="1:23" hidden="1">
      <c r="A1268" s="3" t="str">
        <f t="shared" si="19"/>
        <v>Período 1</v>
      </c>
      <c r="B1268">
        <v>102</v>
      </c>
      <c r="C1268" t="s">
        <v>1064</v>
      </c>
      <c r="D1268" t="s">
        <v>1065</v>
      </c>
      <c r="E1268" s="3" t="str">
        <f>IF(LEN(Base_Periodo1[[#This Row],[CLASS]])&gt;=7,LEFT(Base_Periodo1[[#This Row],[CLASS]],7),"")</f>
        <v>1.1.3.1</v>
      </c>
      <c r="F1268" s="3" t="str">
        <f>VLOOKUP(Base_Periodo1[[#This Row],[Aux]],Base_Contas_Balanco[#All],2,FALSE)</f>
        <v>Estoques Proprios</v>
      </c>
      <c r="G1268" s="1">
        <v>42886</v>
      </c>
      <c r="H1268" s="225">
        <v>51311078.329999745</v>
      </c>
      <c r="I1268" s="225">
        <v>17840219.240000002</v>
      </c>
      <c r="J1268" s="225">
        <v>0</v>
      </c>
      <c r="K1268" s="225">
        <v>69151297.569999754</v>
      </c>
      <c r="L12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69151297.569999993</v>
      </c>
      <c r="M1268" s="225">
        <f>ROUND(IF(AND(Base_Periodo1[[#This Row],[Tipo_Linha]]="-",Base_Periodo1[[#This Row],[TIPOSALDO]]="D"),Base_Periodo1[[#This Row],[SALDO_ATUAL]]*-1,Base_Periodo1[[#This Row],[SALDO_ATUAL]]),4)</f>
        <v>69151297.569999993</v>
      </c>
      <c r="N1268" t="s">
        <v>116</v>
      </c>
      <c r="O1268" t="s">
        <v>397</v>
      </c>
      <c r="P1268" t="s">
        <v>397</v>
      </c>
      <c r="Q1268">
        <v>9</v>
      </c>
      <c r="R1268" s="225">
        <f>Base_Periodo1[[#This Row],[CREDITOS]]-Base_Periodo1[[#This Row],[DEBITOS]]</f>
        <v>-17840219.240000002</v>
      </c>
      <c r="S1268" s="3" t="str">
        <f>IF(ISERROR(VLOOKUP(Base_Periodo1[[#This Row],[CONTA]],BaseContasDRE[#All],4,FALSE)),"Fora do DRE",VLOOKUP(Base_Periodo1[[#This Row],[CONTA]],BaseContasDRE[#All],4,FALSE))</f>
        <v>Fora do DRE</v>
      </c>
      <c r="T1268" s="3" t="str">
        <f>IF(ISERROR(VLOOKUP(Base_Periodo1[[#This Row],[CONTA]],BaseContasDRE[#All],5,FALSE)),"Fora do DRE",VLOOKUP(Base_Periodo1[[#This Row],[CONTA]],BaseContasDRE[#All],6,FALSE))</f>
        <v>Fora do DRE</v>
      </c>
      <c r="U1268" s="3" t="str">
        <f>IF(ISERROR(VLOOKUP(Base_Periodo1[[#This Row],[CONTA]],BaseContasDRE[#All],7,FALSE)),"Fora do DRE",VLOOKUP(Base_Periodo1[[#This Row],[CONTA]],BaseContasDRE[#All],7,FALSE))</f>
        <v>Fora do DRE</v>
      </c>
      <c r="V1268" s="3" t="str">
        <f>IF(Base_Periodo1[[#This Row],[Tipo_Linha]]="Fora do DRE","Fora do DRE","( "&amp;Base_Periodo1[[#This Row],[Tipo_Linha]]&amp;" ) "&amp;Base_Periodo1[[#This Row],[Filtro]])</f>
        <v>Fora do DRE</v>
      </c>
      <c r="W1268" s="3" t="str">
        <f>LEFT(Base_Periodo1[[#This Row],[CLASS]],3)</f>
        <v>1.1</v>
      </c>
    </row>
    <row r="1269" spans="1:23" hidden="1">
      <c r="A1269" s="3" t="str">
        <f t="shared" si="19"/>
        <v>Período 1</v>
      </c>
      <c r="B1269">
        <v>49551</v>
      </c>
      <c r="C1269" t="s">
        <v>4562</v>
      </c>
      <c r="D1269" t="s">
        <v>1096</v>
      </c>
      <c r="E1269" s="3" t="str">
        <f>IF(LEN(Base_Periodo1[[#This Row],[CLASS]])&gt;=7,LEFT(Base_Periodo1[[#This Row],[CLASS]],7),"")</f>
        <v>1.1.3.1</v>
      </c>
      <c r="F1269" s="3" t="str">
        <f>VLOOKUP(Base_Periodo1[[#This Row],[Aux]],Base_Contas_Balanco[#All],2,FALSE)</f>
        <v>Estoques Proprios</v>
      </c>
      <c r="G1269" s="1"/>
      <c r="H1269" s="225">
        <v>4013796.0199999986</v>
      </c>
      <c r="I1269" s="225">
        <v>0</v>
      </c>
      <c r="J1269" s="225">
        <v>0</v>
      </c>
      <c r="K1269" s="225">
        <v>4013796.0199999986</v>
      </c>
      <c r="L12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4013796.02</v>
      </c>
      <c r="M1269" s="225">
        <f>ROUND(IF(AND(Base_Periodo1[[#This Row],[Tipo_Linha]]="-",Base_Periodo1[[#This Row],[TIPOSALDO]]="D"),Base_Periodo1[[#This Row],[SALDO_ATUAL]]*-1,Base_Periodo1[[#This Row],[SALDO_ATUAL]]),4)</f>
        <v>4013796.02</v>
      </c>
      <c r="N1269" t="s">
        <v>396</v>
      </c>
      <c r="O1269" t="s">
        <v>397</v>
      </c>
      <c r="P1269" t="s">
        <v>397</v>
      </c>
      <c r="Q1269">
        <v>8</v>
      </c>
      <c r="R1269" s="225">
        <f>Base_Periodo1[[#This Row],[CREDITOS]]-Base_Periodo1[[#This Row],[DEBITOS]]</f>
        <v>0</v>
      </c>
      <c r="S1269" s="3" t="str">
        <f>IF(ISERROR(VLOOKUP(Base_Periodo1[[#This Row],[CONTA]],BaseContasDRE[#All],4,FALSE)),"Fora do DRE",VLOOKUP(Base_Periodo1[[#This Row],[CONTA]],BaseContasDRE[#All],4,FALSE))</f>
        <v>Fora do DRE</v>
      </c>
      <c r="T1269" s="3" t="str">
        <f>IF(ISERROR(VLOOKUP(Base_Periodo1[[#This Row],[CONTA]],BaseContasDRE[#All],5,FALSE)),"Fora do DRE",VLOOKUP(Base_Periodo1[[#This Row],[CONTA]],BaseContasDRE[#All],6,FALSE))</f>
        <v>Fora do DRE</v>
      </c>
      <c r="U1269" s="3" t="str">
        <f>IF(ISERROR(VLOOKUP(Base_Periodo1[[#This Row],[CONTA]],BaseContasDRE[#All],7,FALSE)),"Fora do DRE",VLOOKUP(Base_Periodo1[[#This Row],[CONTA]],BaseContasDRE[#All],7,FALSE))</f>
        <v>Fora do DRE</v>
      </c>
      <c r="V1269" s="3" t="str">
        <f>IF(Base_Periodo1[[#This Row],[Tipo_Linha]]="Fora do DRE","Fora do DRE","( "&amp;Base_Periodo1[[#This Row],[Tipo_Linha]]&amp;" ) "&amp;Base_Periodo1[[#This Row],[Filtro]])</f>
        <v>Fora do DRE</v>
      </c>
      <c r="W1269" s="3" t="str">
        <f>LEFT(Base_Periodo1[[#This Row],[CLASS]],3)</f>
        <v>1.1</v>
      </c>
    </row>
    <row r="1270" spans="1:23" hidden="1">
      <c r="A1270" s="3" t="str">
        <f t="shared" si="19"/>
        <v>Período 1</v>
      </c>
      <c r="B1270">
        <v>49552</v>
      </c>
      <c r="C1270" t="s">
        <v>4563</v>
      </c>
      <c r="D1270" t="s">
        <v>4564</v>
      </c>
      <c r="E1270" s="3" t="str">
        <f>IF(LEN(Base_Periodo1[[#This Row],[CLASS]])&gt;=7,LEFT(Base_Periodo1[[#This Row],[CLASS]],7),"")</f>
        <v>1.1.3.1</v>
      </c>
      <c r="F1270" s="3" t="str">
        <f>VLOOKUP(Base_Periodo1[[#This Row],[Aux]],Base_Contas_Balanco[#All],2,FALSE)</f>
        <v>Estoques Proprios</v>
      </c>
      <c r="G1270" s="1">
        <v>42855</v>
      </c>
      <c r="H1270" s="225">
        <v>4013796.0199999986</v>
      </c>
      <c r="I1270" s="225">
        <v>0</v>
      </c>
      <c r="J1270" s="225">
        <v>0</v>
      </c>
      <c r="K1270" s="225">
        <v>4013796.0199999986</v>
      </c>
      <c r="L12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4013796.02</v>
      </c>
      <c r="M1270" s="225">
        <f>ROUND(IF(AND(Base_Periodo1[[#This Row],[Tipo_Linha]]="-",Base_Periodo1[[#This Row],[TIPOSALDO]]="D"),Base_Periodo1[[#This Row],[SALDO_ATUAL]]*-1,Base_Periodo1[[#This Row],[SALDO_ATUAL]]),4)</f>
        <v>4013796.02</v>
      </c>
      <c r="N1270" t="s">
        <v>116</v>
      </c>
      <c r="O1270" t="s">
        <v>397</v>
      </c>
      <c r="P1270" t="s">
        <v>397</v>
      </c>
      <c r="Q1270">
        <v>9</v>
      </c>
      <c r="R1270" s="225">
        <f>Base_Periodo1[[#This Row],[CREDITOS]]-Base_Periodo1[[#This Row],[DEBITOS]]</f>
        <v>0</v>
      </c>
      <c r="S1270" s="3" t="str">
        <f>IF(ISERROR(VLOOKUP(Base_Periodo1[[#This Row],[CONTA]],BaseContasDRE[#All],4,FALSE)),"Fora do DRE",VLOOKUP(Base_Periodo1[[#This Row],[CONTA]],BaseContasDRE[#All],4,FALSE))</f>
        <v>Fora do DRE</v>
      </c>
      <c r="T1270" s="3" t="str">
        <f>IF(ISERROR(VLOOKUP(Base_Periodo1[[#This Row],[CONTA]],BaseContasDRE[#All],5,FALSE)),"Fora do DRE",VLOOKUP(Base_Periodo1[[#This Row],[CONTA]],BaseContasDRE[#All],6,FALSE))</f>
        <v>Fora do DRE</v>
      </c>
      <c r="U1270" s="3" t="str">
        <f>IF(ISERROR(VLOOKUP(Base_Periodo1[[#This Row],[CONTA]],BaseContasDRE[#All],7,FALSE)),"Fora do DRE",VLOOKUP(Base_Periodo1[[#This Row],[CONTA]],BaseContasDRE[#All],7,FALSE))</f>
        <v>Fora do DRE</v>
      </c>
      <c r="V1270" s="3" t="str">
        <f>IF(Base_Periodo1[[#This Row],[Tipo_Linha]]="Fora do DRE","Fora do DRE","( "&amp;Base_Periodo1[[#This Row],[Tipo_Linha]]&amp;" ) "&amp;Base_Periodo1[[#This Row],[Filtro]])</f>
        <v>Fora do DRE</v>
      </c>
      <c r="W1270" s="3" t="str">
        <f>LEFT(Base_Periodo1[[#This Row],[CLASS]],3)</f>
        <v>1.1</v>
      </c>
    </row>
    <row r="1271" spans="1:23" hidden="1">
      <c r="A1271" s="3" t="str">
        <f t="shared" si="19"/>
        <v>Período 1</v>
      </c>
      <c r="B1271">
        <v>106</v>
      </c>
      <c r="C1271" t="s">
        <v>1066</v>
      </c>
      <c r="D1271" t="s">
        <v>1067</v>
      </c>
      <c r="E1271" s="3" t="str">
        <f>IF(LEN(Base_Periodo1[[#This Row],[CLASS]])&gt;=7,LEFT(Base_Periodo1[[#This Row],[CLASS]],7),"")</f>
        <v>1.1.3.1</v>
      </c>
      <c r="F1271" s="3" t="str">
        <f>VLOOKUP(Base_Periodo1[[#This Row],[Aux]],Base_Contas_Balanco[#All],2,FALSE)</f>
        <v>Estoques Proprios</v>
      </c>
      <c r="G1271" s="1"/>
      <c r="H1271" s="225">
        <v>57482236.299999759</v>
      </c>
      <c r="I1271" s="225">
        <v>0</v>
      </c>
      <c r="J1271" s="225">
        <v>17809252.260000002</v>
      </c>
      <c r="K1271" s="225">
        <v>75291488.559999764</v>
      </c>
      <c r="L12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-75291488.560000002</v>
      </c>
      <c r="M1271" s="225">
        <f>ROUND(IF(AND(Base_Periodo1[[#This Row],[Tipo_Linha]]="-",Base_Periodo1[[#This Row],[TIPOSALDO]]="D"),Base_Periodo1[[#This Row],[SALDO_ATUAL]]*-1,Base_Periodo1[[#This Row],[SALDO_ATUAL]]),4)</f>
        <v>75291488.560000002</v>
      </c>
      <c r="N1271" t="s">
        <v>396</v>
      </c>
      <c r="O1271" t="s">
        <v>459</v>
      </c>
      <c r="P1271" t="s">
        <v>459</v>
      </c>
      <c r="Q1271">
        <v>8</v>
      </c>
      <c r="R1271" s="225">
        <f>Base_Periodo1[[#This Row],[CREDITOS]]-Base_Periodo1[[#This Row],[DEBITOS]]</f>
        <v>17809252.260000002</v>
      </c>
      <c r="S1271" s="3" t="str">
        <f>IF(ISERROR(VLOOKUP(Base_Periodo1[[#This Row],[CONTA]],BaseContasDRE[#All],4,FALSE)),"Fora do DRE",VLOOKUP(Base_Periodo1[[#This Row],[CONTA]],BaseContasDRE[#All],4,FALSE))</f>
        <v>Fora do DRE</v>
      </c>
      <c r="T1271" s="3" t="str">
        <f>IF(ISERROR(VLOOKUP(Base_Periodo1[[#This Row],[CONTA]],BaseContasDRE[#All],5,FALSE)),"Fora do DRE",VLOOKUP(Base_Periodo1[[#This Row],[CONTA]],BaseContasDRE[#All],6,FALSE))</f>
        <v>Fora do DRE</v>
      </c>
      <c r="U1271" s="3" t="str">
        <f>IF(ISERROR(VLOOKUP(Base_Periodo1[[#This Row],[CONTA]],BaseContasDRE[#All],7,FALSE)),"Fora do DRE",VLOOKUP(Base_Periodo1[[#This Row],[CONTA]],BaseContasDRE[#All],7,FALSE))</f>
        <v>Fora do DRE</v>
      </c>
      <c r="V1271" s="3" t="str">
        <f>IF(Base_Periodo1[[#This Row],[Tipo_Linha]]="Fora do DRE","Fora do DRE","( "&amp;Base_Periodo1[[#This Row],[Tipo_Linha]]&amp;" ) "&amp;Base_Periodo1[[#This Row],[Filtro]])</f>
        <v>Fora do DRE</v>
      </c>
      <c r="W1271" s="3" t="str">
        <f>LEFT(Base_Periodo1[[#This Row],[CLASS]],3)</f>
        <v>1.1</v>
      </c>
    </row>
    <row r="1272" spans="1:23" hidden="1">
      <c r="A1272" s="3" t="str">
        <f t="shared" si="19"/>
        <v>Período 1</v>
      </c>
      <c r="B1272">
        <v>107</v>
      </c>
      <c r="C1272" t="s">
        <v>6215</v>
      </c>
      <c r="D1272" t="s">
        <v>1068</v>
      </c>
      <c r="E1272" s="3" t="str">
        <f>IF(LEN(Base_Periodo1[[#This Row],[CLASS]])&gt;=7,LEFT(Base_Periodo1[[#This Row],[CLASS]],7),"")</f>
        <v>1.1.3.1</v>
      </c>
      <c r="F1272" s="3" t="str">
        <f>VLOOKUP(Base_Periodo1[[#This Row],[Aux]],Base_Contas_Balanco[#All],2,FALSE)</f>
        <v>Estoques Proprios</v>
      </c>
      <c r="G1272" s="1">
        <v>42886</v>
      </c>
      <c r="H1272" s="225">
        <v>357142.79999999981</v>
      </c>
      <c r="I1272" s="225">
        <v>0</v>
      </c>
      <c r="J1272" s="225">
        <v>0</v>
      </c>
      <c r="K1272" s="225">
        <v>357142.79999999981</v>
      </c>
      <c r="L12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-357142.8</v>
      </c>
      <c r="M1272" s="225">
        <f>ROUND(IF(AND(Base_Periodo1[[#This Row],[Tipo_Linha]]="-",Base_Periodo1[[#This Row],[TIPOSALDO]]="D"),Base_Periodo1[[#This Row],[SALDO_ATUAL]]*-1,Base_Periodo1[[#This Row],[SALDO_ATUAL]]),4)</f>
        <v>357142.8</v>
      </c>
      <c r="N1272" t="s">
        <v>116</v>
      </c>
      <c r="O1272" t="s">
        <v>459</v>
      </c>
      <c r="P1272" t="s">
        <v>459</v>
      </c>
      <c r="Q1272">
        <v>9</v>
      </c>
      <c r="R1272" s="225">
        <f>Base_Periodo1[[#This Row],[CREDITOS]]-Base_Periodo1[[#This Row],[DEBITOS]]</f>
        <v>0</v>
      </c>
      <c r="S1272" s="3" t="str">
        <f>IF(ISERROR(VLOOKUP(Base_Periodo1[[#This Row],[CONTA]],BaseContasDRE[#All],4,FALSE)),"Fora do DRE",VLOOKUP(Base_Periodo1[[#This Row],[CONTA]],BaseContasDRE[#All],4,FALSE))</f>
        <v>Fora do DRE</v>
      </c>
      <c r="T1272" s="3" t="str">
        <f>IF(ISERROR(VLOOKUP(Base_Periodo1[[#This Row],[CONTA]],BaseContasDRE[#All],5,FALSE)),"Fora do DRE",VLOOKUP(Base_Periodo1[[#This Row],[CONTA]],BaseContasDRE[#All],6,FALSE))</f>
        <v>Fora do DRE</v>
      </c>
      <c r="U1272" s="3" t="str">
        <f>IF(ISERROR(VLOOKUP(Base_Periodo1[[#This Row],[CONTA]],BaseContasDRE[#All],7,FALSE)),"Fora do DRE",VLOOKUP(Base_Periodo1[[#This Row],[CONTA]],BaseContasDRE[#All],7,FALSE))</f>
        <v>Fora do DRE</v>
      </c>
      <c r="V1272" s="3" t="str">
        <f>IF(Base_Periodo1[[#This Row],[Tipo_Linha]]="Fora do DRE","Fora do DRE","( "&amp;Base_Periodo1[[#This Row],[Tipo_Linha]]&amp;" ) "&amp;Base_Periodo1[[#This Row],[Filtro]])</f>
        <v>Fora do DRE</v>
      </c>
      <c r="W1272" s="3" t="str">
        <f>LEFT(Base_Periodo1[[#This Row],[CLASS]],3)</f>
        <v>1.1</v>
      </c>
    </row>
    <row r="1273" spans="1:23" hidden="1">
      <c r="A1273" s="3" t="str">
        <f t="shared" si="19"/>
        <v>Período 1</v>
      </c>
      <c r="B1273">
        <v>108</v>
      </c>
      <c r="C1273" t="s">
        <v>1069</v>
      </c>
      <c r="D1273" t="s">
        <v>1070</v>
      </c>
      <c r="E1273" s="3" t="str">
        <f>IF(LEN(Base_Periodo1[[#This Row],[CLASS]])&gt;=7,LEFT(Base_Periodo1[[#This Row],[CLASS]],7),"")</f>
        <v>1.1.3.1</v>
      </c>
      <c r="F1273" s="3" t="str">
        <f>VLOOKUP(Base_Periodo1[[#This Row],[Aux]],Base_Contas_Balanco[#All],2,FALSE)</f>
        <v>Estoques Proprios</v>
      </c>
      <c r="G1273" s="1">
        <v>42886</v>
      </c>
      <c r="H1273" s="225">
        <v>57125093.499999762</v>
      </c>
      <c r="I1273" s="225">
        <v>0</v>
      </c>
      <c r="J1273" s="225">
        <v>17809252.260000002</v>
      </c>
      <c r="K1273" s="225">
        <v>74934345.759999767</v>
      </c>
      <c r="L12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-74934345.760000005</v>
      </c>
      <c r="M1273" s="225">
        <f>ROUND(IF(AND(Base_Periodo1[[#This Row],[Tipo_Linha]]="-",Base_Periodo1[[#This Row],[TIPOSALDO]]="D"),Base_Periodo1[[#This Row],[SALDO_ATUAL]]*-1,Base_Periodo1[[#This Row],[SALDO_ATUAL]]),4)</f>
        <v>74934345.760000005</v>
      </c>
      <c r="N1273" t="s">
        <v>116</v>
      </c>
      <c r="O1273" t="s">
        <v>459</v>
      </c>
      <c r="P1273" t="s">
        <v>459</v>
      </c>
      <c r="Q1273">
        <v>9</v>
      </c>
      <c r="R1273" s="225">
        <f>Base_Periodo1[[#This Row],[CREDITOS]]-Base_Periodo1[[#This Row],[DEBITOS]]</f>
        <v>17809252.260000002</v>
      </c>
      <c r="S1273" s="3" t="str">
        <f>IF(ISERROR(VLOOKUP(Base_Periodo1[[#This Row],[CONTA]],BaseContasDRE[#All],4,FALSE)),"Fora do DRE",VLOOKUP(Base_Periodo1[[#This Row],[CONTA]],BaseContasDRE[#All],4,FALSE))</f>
        <v>Fora do DRE</v>
      </c>
      <c r="T1273" s="3" t="str">
        <f>IF(ISERROR(VLOOKUP(Base_Periodo1[[#This Row],[CONTA]],BaseContasDRE[#All],5,FALSE)),"Fora do DRE",VLOOKUP(Base_Periodo1[[#This Row],[CONTA]],BaseContasDRE[#All],6,FALSE))</f>
        <v>Fora do DRE</v>
      </c>
      <c r="U1273" s="3" t="str">
        <f>IF(ISERROR(VLOOKUP(Base_Periodo1[[#This Row],[CONTA]],BaseContasDRE[#All],7,FALSE)),"Fora do DRE",VLOOKUP(Base_Periodo1[[#This Row],[CONTA]],BaseContasDRE[#All],7,FALSE))</f>
        <v>Fora do DRE</v>
      </c>
      <c r="V1273" s="3" t="str">
        <f>IF(Base_Periodo1[[#This Row],[Tipo_Linha]]="Fora do DRE","Fora do DRE","( "&amp;Base_Periodo1[[#This Row],[Tipo_Linha]]&amp;" ) "&amp;Base_Periodo1[[#This Row],[Filtro]])</f>
        <v>Fora do DRE</v>
      </c>
      <c r="W1273" s="3" t="str">
        <f>LEFT(Base_Periodo1[[#This Row],[CLASS]],3)</f>
        <v>1.1</v>
      </c>
    </row>
    <row r="1274" spans="1:23" hidden="1">
      <c r="A1274" s="3" t="str">
        <f t="shared" si="19"/>
        <v>Período 1</v>
      </c>
      <c r="B1274">
        <v>109</v>
      </c>
      <c r="C1274" t="s">
        <v>5674</v>
      </c>
      <c r="D1274" t="s">
        <v>1166</v>
      </c>
      <c r="E1274" s="3" t="str">
        <f>IF(LEN(Base_Periodo1[[#This Row],[CLASS]])&gt;=7,LEFT(Base_Periodo1[[#This Row],[CLASS]],7),"")</f>
        <v>1.1.3.1</v>
      </c>
      <c r="F1274" s="3" t="str">
        <f>VLOOKUP(Base_Periodo1[[#This Row],[Aux]],Base_Contas_Balanco[#All],2,FALSE)</f>
        <v>Estoques Proprios</v>
      </c>
      <c r="G1274" s="1"/>
      <c r="H1274" s="225">
        <v>546.16999999999825</v>
      </c>
      <c r="I1274" s="225">
        <v>0</v>
      </c>
      <c r="J1274" s="225">
        <v>0</v>
      </c>
      <c r="K1274" s="225">
        <v>546.16999999999825</v>
      </c>
      <c r="L12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-546.16999999999996</v>
      </c>
      <c r="M1274" s="225">
        <f>ROUND(IF(AND(Base_Periodo1[[#This Row],[Tipo_Linha]]="-",Base_Periodo1[[#This Row],[TIPOSALDO]]="D"),Base_Periodo1[[#This Row],[SALDO_ATUAL]]*-1,Base_Periodo1[[#This Row],[SALDO_ATUAL]]),4)</f>
        <v>546.16999999999996</v>
      </c>
      <c r="N1274" t="s">
        <v>396</v>
      </c>
      <c r="O1274" t="s">
        <v>459</v>
      </c>
      <c r="P1274" t="s">
        <v>459</v>
      </c>
      <c r="Q1274">
        <v>8</v>
      </c>
      <c r="R1274" s="225">
        <f>Base_Periodo1[[#This Row],[CREDITOS]]-Base_Periodo1[[#This Row],[DEBITOS]]</f>
        <v>0</v>
      </c>
      <c r="S1274" s="3" t="str">
        <f>IF(ISERROR(VLOOKUP(Base_Periodo1[[#This Row],[CONTA]],BaseContasDRE[#All],4,FALSE)),"Fora do DRE",VLOOKUP(Base_Periodo1[[#This Row],[CONTA]],BaseContasDRE[#All],4,FALSE))</f>
        <v>Fora do DRE</v>
      </c>
      <c r="T1274" s="3" t="str">
        <f>IF(ISERROR(VLOOKUP(Base_Periodo1[[#This Row],[CONTA]],BaseContasDRE[#All],5,FALSE)),"Fora do DRE",VLOOKUP(Base_Periodo1[[#This Row],[CONTA]],BaseContasDRE[#All],6,FALSE))</f>
        <v>Fora do DRE</v>
      </c>
      <c r="U1274" s="3" t="str">
        <f>IF(ISERROR(VLOOKUP(Base_Periodo1[[#This Row],[CONTA]],BaseContasDRE[#All],7,FALSE)),"Fora do DRE",VLOOKUP(Base_Periodo1[[#This Row],[CONTA]],BaseContasDRE[#All],7,FALSE))</f>
        <v>Fora do DRE</v>
      </c>
      <c r="V1274" s="3" t="str">
        <f>IF(Base_Periodo1[[#This Row],[Tipo_Linha]]="Fora do DRE","Fora do DRE","( "&amp;Base_Periodo1[[#This Row],[Tipo_Linha]]&amp;" ) "&amp;Base_Periodo1[[#This Row],[Filtro]])</f>
        <v>Fora do DRE</v>
      </c>
      <c r="W1274" s="3" t="str">
        <f>LEFT(Base_Periodo1[[#This Row],[CLASS]],3)</f>
        <v>1.1</v>
      </c>
    </row>
    <row r="1275" spans="1:23" hidden="1">
      <c r="A1275" s="3" t="str">
        <f t="shared" si="19"/>
        <v>Período 1</v>
      </c>
      <c r="B1275">
        <v>111</v>
      </c>
      <c r="C1275" t="s">
        <v>5675</v>
      </c>
      <c r="D1275" t="s">
        <v>1167</v>
      </c>
      <c r="E1275" s="3" t="str">
        <f>IF(LEN(Base_Periodo1[[#This Row],[CLASS]])&gt;=7,LEFT(Base_Periodo1[[#This Row],[CLASS]],7),"")</f>
        <v>1.1.3.1</v>
      </c>
      <c r="F1275" s="3" t="str">
        <f>VLOOKUP(Base_Periodo1[[#This Row],[Aux]],Base_Contas_Balanco[#All],2,FALSE)</f>
        <v>Estoques Proprios</v>
      </c>
      <c r="G1275" s="1">
        <v>42760</v>
      </c>
      <c r="H1275" s="225">
        <v>546.16999999999825</v>
      </c>
      <c r="I1275" s="225">
        <v>0</v>
      </c>
      <c r="J1275" s="225">
        <v>0</v>
      </c>
      <c r="K1275" s="225">
        <v>546.16999999999825</v>
      </c>
      <c r="L12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-546.16999999999996</v>
      </c>
      <c r="M1275" s="225">
        <f>ROUND(IF(AND(Base_Periodo1[[#This Row],[Tipo_Linha]]="-",Base_Periodo1[[#This Row],[TIPOSALDO]]="D"),Base_Periodo1[[#This Row],[SALDO_ATUAL]]*-1,Base_Periodo1[[#This Row],[SALDO_ATUAL]]),4)</f>
        <v>546.16999999999996</v>
      </c>
      <c r="N1275" t="s">
        <v>116</v>
      </c>
      <c r="O1275" t="s">
        <v>459</v>
      </c>
      <c r="P1275" t="s">
        <v>459</v>
      </c>
      <c r="Q1275">
        <v>9</v>
      </c>
      <c r="R1275" s="225">
        <f>Base_Periodo1[[#This Row],[CREDITOS]]-Base_Periodo1[[#This Row],[DEBITOS]]</f>
        <v>0</v>
      </c>
      <c r="S1275" s="3" t="str">
        <f>IF(ISERROR(VLOOKUP(Base_Periodo1[[#This Row],[CONTA]],BaseContasDRE[#All],4,FALSE)),"Fora do DRE",VLOOKUP(Base_Periodo1[[#This Row],[CONTA]],BaseContasDRE[#All],4,FALSE))</f>
        <v>Fora do DRE</v>
      </c>
      <c r="T1275" s="3" t="str">
        <f>IF(ISERROR(VLOOKUP(Base_Periodo1[[#This Row],[CONTA]],BaseContasDRE[#All],5,FALSE)),"Fora do DRE",VLOOKUP(Base_Periodo1[[#This Row],[CONTA]],BaseContasDRE[#All],6,FALSE))</f>
        <v>Fora do DRE</v>
      </c>
      <c r="U1275" s="3" t="str">
        <f>IF(ISERROR(VLOOKUP(Base_Periodo1[[#This Row],[CONTA]],BaseContasDRE[#All],7,FALSE)),"Fora do DRE",VLOOKUP(Base_Periodo1[[#This Row],[CONTA]],BaseContasDRE[#All],7,FALSE))</f>
        <v>Fora do DRE</v>
      </c>
      <c r="V1275" s="3" t="str">
        <f>IF(Base_Periodo1[[#This Row],[Tipo_Linha]]="Fora do DRE","Fora do DRE","( "&amp;Base_Periodo1[[#This Row],[Tipo_Linha]]&amp;" ) "&amp;Base_Periodo1[[#This Row],[Filtro]])</f>
        <v>Fora do DRE</v>
      </c>
      <c r="W1275" s="3" t="str">
        <f>LEFT(Base_Periodo1[[#This Row],[CLASS]],3)</f>
        <v>1.1</v>
      </c>
    </row>
    <row r="1276" spans="1:23" hidden="1">
      <c r="A1276" s="3" t="str">
        <f t="shared" si="19"/>
        <v>Período 1</v>
      </c>
      <c r="B1276">
        <v>112</v>
      </c>
      <c r="C1276" t="s">
        <v>1071</v>
      </c>
      <c r="D1276" t="s">
        <v>1072</v>
      </c>
      <c r="E1276" s="3" t="str">
        <f>IF(LEN(Base_Periodo1[[#This Row],[CLASS]])&gt;=7,LEFT(Base_Periodo1[[#This Row],[CLASS]],7),"")</f>
        <v>1.1.3.1</v>
      </c>
      <c r="F1276" s="3" t="str">
        <f>VLOOKUP(Base_Periodo1[[#This Row],[Aux]],Base_Contas_Balanco[#All],2,FALSE)</f>
        <v>Estoques Proprios</v>
      </c>
      <c r="G1276" s="1"/>
      <c r="H1276" s="225">
        <v>51481248.760000288</v>
      </c>
      <c r="I1276" s="225">
        <v>0</v>
      </c>
      <c r="J1276" s="225">
        <v>17735313.609999996</v>
      </c>
      <c r="K1276" s="225">
        <v>69216562.370000288</v>
      </c>
      <c r="L12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-69216562.370000005</v>
      </c>
      <c r="M1276" s="225">
        <f>ROUND(IF(AND(Base_Periodo1[[#This Row],[Tipo_Linha]]="-",Base_Periodo1[[#This Row],[TIPOSALDO]]="D"),Base_Periodo1[[#This Row],[SALDO_ATUAL]]*-1,Base_Periodo1[[#This Row],[SALDO_ATUAL]]),4)</f>
        <v>69216562.370000005</v>
      </c>
      <c r="N1276" t="s">
        <v>396</v>
      </c>
      <c r="O1276" t="s">
        <v>459</v>
      </c>
      <c r="P1276" t="s">
        <v>459</v>
      </c>
      <c r="Q1276">
        <v>8</v>
      </c>
      <c r="R1276" s="225">
        <f>Base_Periodo1[[#This Row],[CREDITOS]]-Base_Periodo1[[#This Row],[DEBITOS]]</f>
        <v>17735313.609999996</v>
      </c>
      <c r="S1276" s="3" t="str">
        <f>IF(ISERROR(VLOOKUP(Base_Periodo1[[#This Row],[CONTA]],BaseContasDRE[#All],4,FALSE)),"Fora do DRE",VLOOKUP(Base_Periodo1[[#This Row],[CONTA]],BaseContasDRE[#All],4,FALSE))</f>
        <v>Fora do DRE</v>
      </c>
      <c r="T1276" s="3" t="str">
        <f>IF(ISERROR(VLOOKUP(Base_Periodo1[[#This Row],[CONTA]],BaseContasDRE[#All],5,FALSE)),"Fora do DRE",VLOOKUP(Base_Periodo1[[#This Row],[CONTA]],BaseContasDRE[#All],6,FALSE))</f>
        <v>Fora do DRE</v>
      </c>
      <c r="U1276" s="3" t="str">
        <f>IF(ISERROR(VLOOKUP(Base_Periodo1[[#This Row],[CONTA]],BaseContasDRE[#All],7,FALSE)),"Fora do DRE",VLOOKUP(Base_Periodo1[[#This Row],[CONTA]],BaseContasDRE[#All],7,FALSE))</f>
        <v>Fora do DRE</v>
      </c>
      <c r="V1276" s="3" t="str">
        <f>IF(Base_Periodo1[[#This Row],[Tipo_Linha]]="Fora do DRE","Fora do DRE","( "&amp;Base_Periodo1[[#This Row],[Tipo_Linha]]&amp;" ) "&amp;Base_Periodo1[[#This Row],[Filtro]])</f>
        <v>Fora do DRE</v>
      </c>
      <c r="W1276" s="3" t="str">
        <f>LEFT(Base_Periodo1[[#This Row],[CLASS]],3)</f>
        <v>1.1</v>
      </c>
    </row>
    <row r="1277" spans="1:23" hidden="1">
      <c r="A1277" s="3" t="str">
        <f t="shared" si="19"/>
        <v>Período 1</v>
      </c>
      <c r="B1277">
        <v>114</v>
      </c>
      <c r="C1277" t="s">
        <v>1073</v>
      </c>
      <c r="D1277" t="s">
        <v>1074</v>
      </c>
      <c r="E1277" s="3" t="str">
        <f>IF(LEN(Base_Periodo1[[#This Row],[CLASS]])&gt;=7,LEFT(Base_Periodo1[[#This Row],[CLASS]],7),"")</f>
        <v>1.1.3.1</v>
      </c>
      <c r="F1277" s="3" t="str">
        <f>VLOOKUP(Base_Periodo1[[#This Row],[Aux]],Base_Contas_Balanco[#All],2,FALSE)</f>
        <v>Estoques Proprios</v>
      </c>
      <c r="G1277" s="1">
        <v>42886</v>
      </c>
      <c r="H1277" s="225">
        <v>51481248.760000288</v>
      </c>
      <c r="I1277" s="225">
        <v>0</v>
      </c>
      <c r="J1277" s="225">
        <v>17735313.609999996</v>
      </c>
      <c r="K1277" s="225">
        <v>69216562.370000288</v>
      </c>
      <c r="L12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-69216562.370000005</v>
      </c>
      <c r="M1277" s="225">
        <f>ROUND(IF(AND(Base_Periodo1[[#This Row],[Tipo_Linha]]="-",Base_Periodo1[[#This Row],[TIPOSALDO]]="D"),Base_Periodo1[[#This Row],[SALDO_ATUAL]]*-1,Base_Periodo1[[#This Row],[SALDO_ATUAL]]),4)</f>
        <v>69216562.370000005</v>
      </c>
      <c r="N1277" t="s">
        <v>116</v>
      </c>
      <c r="O1277" t="s">
        <v>459</v>
      </c>
      <c r="P1277" t="s">
        <v>459</v>
      </c>
      <c r="Q1277">
        <v>9</v>
      </c>
      <c r="R1277" s="225">
        <f>Base_Periodo1[[#This Row],[CREDITOS]]-Base_Periodo1[[#This Row],[DEBITOS]]</f>
        <v>17735313.609999996</v>
      </c>
      <c r="S1277" s="3" t="str">
        <f>IF(ISERROR(VLOOKUP(Base_Periodo1[[#This Row],[CONTA]],BaseContasDRE[#All],4,FALSE)),"Fora do DRE",VLOOKUP(Base_Periodo1[[#This Row],[CONTA]],BaseContasDRE[#All],4,FALSE))</f>
        <v>Fora do DRE</v>
      </c>
      <c r="T1277" s="3" t="str">
        <f>IF(ISERROR(VLOOKUP(Base_Periodo1[[#This Row],[CONTA]],BaseContasDRE[#All],5,FALSE)),"Fora do DRE",VLOOKUP(Base_Periodo1[[#This Row],[CONTA]],BaseContasDRE[#All],6,FALSE))</f>
        <v>Fora do DRE</v>
      </c>
      <c r="U1277" s="3" t="str">
        <f>IF(ISERROR(VLOOKUP(Base_Periodo1[[#This Row],[CONTA]],BaseContasDRE[#All],7,FALSE)),"Fora do DRE",VLOOKUP(Base_Periodo1[[#This Row],[CONTA]],BaseContasDRE[#All],7,FALSE))</f>
        <v>Fora do DRE</v>
      </c>
      <c r="V1277" s="3" t="str">
        <f>IF(Base_Periodo1[[#This Row],[Tipo_Linha]]="Fora do DRE","Fora do DRE","( "&amp;Base_Periodo1[[#This Row],[Tipo_Linha]]&amp;" ) "&amp;Base_Periodo1[[#This Row],[Filtro]])</f>
        <v>Fora do DRE</v>
      </c>
      <c r="W1277" s="3" t="str">
        <f>LEFT(Base_Periodo1[[#This Row],[CLASS]],3)</f>
        <v>1.1</v>
      </c>
    </row>
    <row r="1278" spans="1:23" hidden="1">
      <c r="A1278" s="3" t="str">
        <f t="shared" si="19"/>
        <v>Período 1</v>
      </c>
      <c r="B1278">
        <v>117</v>
      </c>
      <c r="C1278" t="s">
        <v>1075</v>
      </c>
      <c r="D1278" t="s">
        <v>1076</v>
      </c>
      <c r="E1278" s="3" t="str">
        <f>IF(LEN(Base_Periodo1[[#This Row],[CLASS]])&gt;=7,LEFT(Base_Periodo1[[#This Row],[CLASS]],7),"")</f>
        <v>1.1.3.1</v>
      </c>
      <c r="F1278" s="3" t="str">
        <f>VLOOKUP(Base_Periodo1[[#This Row],[Aux]],Base_Contas_Balanco[#All],2,FALSE)</f>
        <v>Estoques Proprios</v>
      </c>
      <c r="G1278" s="1"/>
      <c r="H1278" s="225">
        <v>2401128.2200000584</v>
      </c>
      <c r="I1278" s="225">
        <v>8717045.1700000018</v>
      </c>
      <c r="J1278" s="225">
        <v>10995926.960000001</v>
      </c>
      <c r="K1278" s="225">
        <v>122246.43000005931</v>
      </c>
      <c r="L12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122246.43</v>
      </c>
      <c r="M1278" s="225">
        <f>ROUND(IF(AND(Base_Periodo1[[#This Row],[Tipo_Linha]]="-",Base_Periodo1[[#This Row],[TIPOSALDO]]="D"),Base_Periodo1[[#This Row],[SALDO_ATUAL]]*-1,Base_Periodo1[[#This Row],[SALDO_ATUAL]]),4)</f>
        <v>122246.43</v>
      </c>
      <c r="N1278" t="s">
        <v>396</v>
      </c>
      <c r="O1278" t="s">
        <v>397</v>
      </c>
      <c r="P1278" t="s">
        <v>397</v>
      </c>
      <c r="Q1278">
        <v>7</v>
      </c>
      <c r="R1278" s="225">
        <f>Base_Periodo1[[#This Row],[CREDITOS]]-Base_Periodo1[[#This Row],[DEBITOS]]</f>
        <v>2278881.7899999991</v>
      </c>
      <c r="S1278" s="3" t="str">
        <f>IF(ISERROR(VLOOKUP(Base_Periodo1[[#This Row],[CONTA]],BaseContasDRE[#All],4,FALSE)),"Fora do DRE",VLOOKUP(Base_Periodo1[[#This Row],[CONTA]],BaseContasDRE[#All],4,FALSE))</f>
        <v>Fora do DRE</v>
      </c>
      <c r="T1278" s="3" t="str">
        <f>IF(ISERROR(VLOOKUP(Base_Periodo1[[#This Row],[CONTA]],BaseContasDRE[#All],5,FALSE)),"Fora do DRE",VLOOKUP(Base_Periodo1[[#This Row],[CONTA]],BaseContasDRE[#All],6,FALSE))</f>
        <v>Fora do DRE</v>
      </c>
      <c r="U1278" s="3" t="str">
        <f>IF(ISERROR(VLOOKUP(Base_Periodo1[[#This Row],[CONTA]],BaseContasDRE[#All],7,FALSE)),"Fora do DRE",VLOOKUP(Base_Periodo1[[#This Row],[CONTA]],BaseContasDRE[#All],7,FALSE))</f>
        <v>Fora do DRE</v>
      </c>
      <c r="V1278" s="3" t="str">
        <f>IF(Base_Periodo1[[#This Row],[Tipo_Linha]]="Fora do DRE","Fora do DRE","( "&amp;Base_Periodo1[[#This Row],[Tipo_Linha]]&amp;" ) "&amp;Base_Periodo1[[#This Row],[Filtro]])</f>
        <v>Fora do DRE</v>
      </c>
      <c r="W1278" s="3" t="str">
        <f>LEFT(Base_Periodo1[[#This Row],[CLASS]],3)</f>
        <v>1.1</v>
      </c>
    </row>
    <row r="1279" spans="1:23" hidden="1">
      <c r="A1279" s="3" t="str">
        <f t="shared" si="19"/>
        <v>Período 1</v>
      </c>
      <c r="B1279">
        <v>118</v>
      </c>
      <c r="C1279" t="s">
        <v>5774</v>
      </c>
      <c r="D1279" t="s">
        <v>1054</v>
      </c>
      <c r="E1279" s="3" t="str">
        <f>IF(LEN(Base_Periodo1[[#This Row],[CLASS]])&gt;=7,LEFT(Base_Periodo1[[#This Row],[CLASS]],7),"")</f>
        <v>1.1.3.1</v>
      </c>
      <c r="F1279" s="3" t="str">
        <f>VLOOKUP(Base_Periodo1[[#This Row],[Aux]],Base_Contas_Balanco[#All],2,FALSE)</f>
        <v>Estoques Proprios</v>
      </c>
      <c r="G1279" s="1"/>
      <c r="H1279" s="225">
        <v>392433.62000000477</v>
      </c>
      <c r="I1279" s="225">
        <v>0</v>
      </c>
      <c r="J1279" s="225">
        <v>0</v>
      </c>
      <c r="K1279" s="225">
        <v>392433.62000000477</v>
      </c>
      <c r="L12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392433.62</v>
      </c>
      <c r="M1279" s="225">
        <f>ROUND(IF(AND(Base_Periodo1[[#This Row],[Tipo_Linha]]="-",Base_Periodo1[[#This Row],[TIPOSALDO]]="D"),Base_Periodo1[[#This Row],[SALDO_ATUAL]]*-1,Base_Periodo1[[#This Row],[SALDO_ATUAL]]),4)</f>
        <v>392433.62</v>
      </c>
      <c r="N1279" t="s">
        <v>396</v>
      </c>
      <c r="O1279" t="s">
        <v>397</v>
      </c>
      <c r="P1279" t="s">
        <v>397</v>
      </c>
      <c r="Q1279">
        <v>8</v>
      </c>
      <c r="R1279" s="225">
        <f>Base_Periodo1[[#This Row],[CREDITOS]]-Base_Periodo1[[#This Row],[DEBITOS]]</f>
        <v>0</v>
      </c>
      <c r="S1279" s="3" t="str">
        <f>IF(ISERROR(VLOOKUP(Base_Periodo1[[#This Row],[CONTA]],BaseContasDRE[#All],4,FALSE)),"Fora do DRE",VLOOKUP(Base_Periodo1[[#This Row],[CONTA]],BaseContasDRE[#All],4,FALSE))</f>
        <v>Fora do DRE</v>
      </c>
      <c r="T1279" s="3" t="str">
        <f>IF(ISERROR(VLOOKUP(Base_Periodo1[[#This Row],[CONTA]],BaseContasDRE[#All],5,FALSE)),"Fora do DRE",VLOOKUP(Base_Periodo1[[#This Row],[CONTA]],BaseContasDRE[#All],6,FALSE))</f>
        <v>Fora do DRE</v>
      </c>
      <c r="U1279" s="3" t="str">
        <f>IF(ISERROR(VLOOKUP(Base_Periodo1[[#This Row],[CONTA]],BaseContasDRE[#All],7,FALSE)),"Fora do DRE",VLOOKUP(Base_Periodo1[[#This Row],[CONTA]],BaseContasDRE[#All],7,FALSE))</f>
        <v>Fora do DRE</v>
      </c>
      <c r="V1279" s="3" t="str">
        <f>IF(Base_Periodo1[[#This Row],[Tipo_Linha]]="Fora do DRE","Fora do DRE","( "&amp;Base_Periodo1[[#This Row],[Tipo_Linha]]&amp;" ) "&amp;Base_Periodo1[[#This Row],[Filtro]])</f>
        <v>Fora do DRE</v>
      </c>
      <c r="W1279" s="3" t="str">
        <f>LEFT(Base_Periodo1[[#This Row],[CLASS]],3)</f>
        <v>1.1</v>
      </c>
    </row>
    <row r="1280" spans="1:23" hidden="1">
      <c r="A1280" s="3" t="str">
        <f t="shared" si="19"/>
        <v>Período 1</v>
      </c>
      <c r="B1280">
        <v>119</v>
      </c>
      <c r="C1280" t="s">
        <v>5775</v>
      </c>
      <c r="D1280" t="s">
        <v>1054</v>
      </c>
      <c r="E1280" s="3" t="str">
        <f>IF(LEN(Base_Periodo1[[#This Row],[CLASS]])&gt;=7,LEFT(Base_Periodo1[[#This Row],[CLASS]],7),"")</f>
        <v>1.1.3.1</v>
      </c>
      <c r="F1280" s="3" t="str">
        <f>VLOOKUP(Base_Periodo1[[#This Row],[Aux]],Base_Contas_Balanco[#All],2,FALSE)</f>
        <v>Estoques Proprios</v>
      </c>
      <c r="G1280" s="1">
        <v>42735</v>
      </c>
      <c r="H1280" s="225">
        <v>392433.62000000477</v>
      </c>
      <c r="I1280" s="225">
        <v>0</v>
      </c>
      <c r="J1280" s="225">
        <v>0</v>
      </c>
      <c r="K1280" s="225">
        <v>392433.62000000477</v>
      </c>
      <c r="L12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392433.62</v>
      </c>
      <c r="M1280" s="225">
        <f>ROUND(IF(AND(Base_Periodo1[[#This Row],[Tipo_Linha]]="-",Base_Periodo1[[#This Row],[TIPOSALDO]]="D"),Base_Periodo1[[#This Row],[SALDO_ATUAL]]*-1,Base_Periodo1[[#This Row],[SALDO_ATUAL]]),4)</f>
        <v>392433.62</v>
      </c>
      <c r="N1280" t="s">
        <v>116</v>
      </c>
      <c r="O1280" t="s">
        <v>397</v>
      </c>
      <c r="P1280" t="s">
        <v>397</v>
      </c>
      <c r="Q1280">
        <v>9</v>
      </c>
      <c r="R1280" s="225">
        <f>Base_Periodo1[[#This Row],[CREDITOS]]-Base_Periodo1[[#This Row],[DEBITOS]]</f>
        <v>0</v>
      </c>
      <c r="S1280" s="3" t="str">
        <f>IF(ISERROR(VLOOKUP(Base_Periodo1[[#This Row],[CONTA]],BaseContasDRE[#All],4,FALSE)),"Fora do DRE",VLOOKUP(Base_Periodo1[[#This Row],[CONTA]],BaseContasDRE[#All],4,FALSE))</f>
        <v>Fora do DRE</v>
      </c>
      <c r="T1280" s="3" t="str">
        <f>IF(ISERROR(VLOOKUP(Base_Periodo1[[#This Row],[CONTA]],BaseContasDRE[#All],5,FALSE)),"Fora do DRE",VLOOKUP(Base_Periodo1[[#This Row],[CONTA]],BaseContasDRE[#All],6,FALSE))</f>
        <v>Fora do DRE</v>
      </c>
      <c r="U1280" s="3" t="str">
        <f>IF(ISERROR(VLOOKUP(Base_Periodo1[[#This Row],[CONTA]],BaseContasDRE[#All],7,FALSE)),"Fora do DRE",VLOOKUP(Base_Periodo1[[#This Row],[CONTA]],BaseContasDRE[#All],7,FALSE))</f>
        <v>Fora do DRE</v>
      </c>
      <c r="V1280" s="3" t="str">
        <f>IF(Base_Periodo1[[#This Row],[Tipo_Linha]]="Fora do DRE","Fora do DRE","( "&amp;Base_Periodo1[[#This Row],[Tipo_Linha]]&amp;" ) "&amp;Base_Periodo1[[#This Row],[Filtro]])</f>
        <v>Fora do DRE</v>
      </c>
      <c r="W1280" s="3" t="str">
        <f>LEFT(Base_Periodo1[[#This Row],[CLASS]],3)</f>
        <v>1.1</v>
      </c>
    </row>
    <row r="1281" spans="1:23" hidden="1">
      <c r="A1281" s="3" t="str">
        <f t="shared" si="19"/>
        <v>Período 1</v>
      </c>
      <c r="B1281">
        <v>120</v>
      </c>
      <c r="C1281" t="s">
        <v>1077</v>
      </c>
      <c r="D1281" t="s">
        <v>1057</v>
      </c>
      <c r="E1281" s="3" t="str">
        <f>IF(LEN(Base_Periodo1[[#This Row],[CLASS]])&gt;=7,LEFT(Base_Periodo1[[#This Row],[CLASS]],7),"")</f>
        <v>1.1.3.1</v>
      </c>
      <c r="F1281" s="3" t="str">
        <f>VLOOKUP(Base_Periodo1[[#This Row],[Aux]],Base_Contas_Balanco[#All],2,FALSE)</f>
        <v>Estoques Proprios</v>
      </c>
      <c r="G1281" s="1"/>
      <c r="H1281" s="225">
        <v>33902022.100000061</v>
      </c>
      <c r="I1281" s="225">
        <v>3199139.92</v>
      </c>
      <c r="J1281" s="225">
        <v>9112.9299999999985</v>
      </c>
      <c r="K1281" s="225">
        <v>37092049.090000063</v>
      </c>
      <c r="L12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37092049.090000004</v>
      </c>
      <c r="M1281" s="225">
        <f>ROUND(IF(AND(Base_Periodo1[[#This Row],[Tipo_Linha]]="-",Base_Periodo1[[#This Row],[TIPOSALDO]]="D"),Base_Periodo1[[#This Row],[SALDO_ATUAL]]*-1,Base_Periodo1[[#This Row],[SALDO_ATUAL]]),4)</f>
        <v>37092049.090000004</v>
      </c>
      <c r="N1281" t="s">
        <v>396</v>
      </c>
      <c r="O1281" t="s">
        <v>397</v>
      </c>
      <c r="P1281" t="s">
        <v>397</v>
      </c>
      <c r="Q1281">
        <v>8</v>
      </c>
      <c r="R1281" s="225">
        <f>Base_Periodo1[[#This Row],[CREDITOS]]-Base_Periodo1[[#This Row],[DEBITOS]]</f>
        <v>-3190026.9899999998</v>
      </c>
      <c r="S1281" s="3" t="str">
        <f>IF(ISERROR(VLOOKUP(Base_Periodo1[[#This Row],[CONTA]],BaseContasDRE[#All],4,FALSE)),"Fora do DRE",VLOOKUP(Base_Periodo1[[#This Row],[CONTA]],BaseContasDRE[#All],4,FALSE))</f>
        <v>Fora do DRE</v>
      </c>
      <c r="T1281" s="3" t="str">
        <f>IF(ISERROR(VLOOKUP(Base_Periodo1[[#This Row],[CONTA]],BaseContasDRE[#All],5,FALSE)),"Fora do DRE",VLOOKUP(Base_Periodo1[[#This Row],[CONTA]],BaseContasDRE[#All],6,FALSE))</f>
        <v>Fora do DRE</v>
      </c>
      <c r="U1281" s="3" t="str">
        <f>IF(ISERROR(VLOOKUP(Base_Periodo1[[#This Row],[CONTA]],BaseContasDRE[#All],7,FALSE)),"Fora do DRE",VLOOKUP(Base_Periodo1[[#This Row],[CONTA]],BaseContasDRE[#All],7,FALSE))</f>
        <v>Fora do DRE</v>
      </c>
      <c r="V1281" s="3" t="str">
        <f>IF(Base_Periodo1[[#This Row],[Tipo_Linha]]="Fora do DRE","Fora do DRE","( "&amp;Base_Periodo1[[#This Row],[Tipo_Linha]]&amp;" ) "&amp;Base_Periodo1[[#This Row],[Filtro]])</f>
        <v>Fora do DRE</v>
      </c>
      <c r="W1281" s="3" t="str">
        <f>LEFT(Base_Periodo1[[#This Row],[CLASS]],3)</f>
        <v>1.1</v>
      </c>
    </row>
    <row r="1282" spans="1:23" hidden="1">
      <c r="A1282" s="3" t="str">
        <f t="shared" si="19"/>
        <v>Período 1</v>
      </c>
      <c r="B1282">
        <v>121</v>
      </c>
      <c r="C1282" t="s">
        <v>1078</v>
      </c>
      <c r="D1282" t="s">
        <v>1059</v>
      </c>
      <c r="E1282" s="3" t="str">
        <f>IF(LEN(Base_Periodo1[[#This Row],[CLASS]])&gt;=7,LEFT(Base_Periodo1[[#This Row],[CLASS]],7),"")</f>
        <v>1.1.3.1</v>
      </c>
      <c r="F1282" s="3" t="str">
        <f>VLOOKUP(Base_Periodo1[[#This Row],[Aux]],Base_Contas_Balanco[#All],2,FALSE)</f>
        <v>Estoques Proprios</v>
      </c>
      <c r="G1282" s="1">
        <v>42886</v>
      </c>
      <c r="H1282" s="225">
        <v>31991877.770000041</v>
      </c>
      <c r="I1282" s="225">
        <v>1920604.5199999996</v>
      </c>
      <c r="J1282" s="225">
        <v>9112.9299999999985</v>
      </c>
      <c r="K1282" s="225">
        <v>33903369.360000037</v>
      </c>
      <c r="L12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33903369.359999999</v>
      </c>
      <c r="M1282" s="225">
        <f>ROUND(IF(AND(Base_Periodo1[[#This Row],[Tipo_Linha]]="-",Base_Periodo1[[#This Row],[TIPOSALDO]]="D"),Base_Periodo1[[#This Row],[SALDO_ATUAL]]*-1,Base_Periodo1[[#This Row],[SALDO_ATUAL]]),4)</f>
        <v>33903369.359999999</v>
      </c>
      <c r="N1282" t="s">
        <v>116</v>
      </c>
      <c r="O1282" t="s">
        <v>397</v>
      </c>
      <c r="P1282" t="s">
        <v>397</v>
      </c>
      <c r="Q1282">
        <v>9</v>
      </c>
      <c r="R1282" s="225">
        <f>Base_Periodo1[[#This Row],[CREDITOS]]-Base_Periodo1[[#This Row],[DEBITOS]]</f>
        <v>-1911491.5899999996</v>
      </c>
      <c r="S1282" s="3" t="str">
        <f>IF(ISERROR(VLOOKUP(Base_Periodo1[[#This Row],[CONTA]],BaseContasDRE[#All],4,FALSE)),"Fora do DRE",VLOOKUP(Base_Periodo1[[#This Row],[CONTA]],BaseContasDRE[#All],4,FALSE))</f>
        <v>Fora do DRE</v>
      </c>
      <c r="T1282" s="3" t="str">
        <f>IF(ISERROR(VLOOKUP(Base_Periodo1[[#This Row],[CONTA]],BaseContasDRE[#All],5,FALSE)),"Fora do DRE",VLOOKUP(Base_Periodo1[[#This Row],[CONTA]],BaseContasDRE[#All],6,FALSE))</f>
        <v>Fora do DRE</v>
      </c>
      <c r="U1282" s="3" t="str">
        <f>IF(ISERROR(VLOOKUP(Base_Periodo1[[#This Row],[CONTA]],BaseContasDRE[#All],7,FALSE)),"Fora do DRE",VLOOKUP(Base_Periodo1[[#This Row],[CONTA]],BaseContasDRE[#All],7,FALSE))</f>
        <v>Fora do DRE</v>
      </c>
      <c r="V1282" s="3" t="str">
        <f>IF(Base_Periodo1[[#This Row],[Tipo_Linha]]="Fora do DRE","Fora do DRE","( "&amp;Base_Periodo1[[#This Row],[Tipo_Linha]]&amp;" ) "&amp;Base_Periodo1[[#This Row],[Filtro]])</f>
        <v>Fora do DRE</v>
      </c>
      <c r="W1282" s="3" t="str">
        <f>LEFT(Base_Periodo1[[#This Row],[CLASS]],3)</f>
        <v>1.1</v>
      </c>
    </row>
    <row r="1283" spans="1:23" hidden="1">
      <c r="A1283" s="3" t="str">
        <f t="shared" si="19"/>
        <v>Período 1</v>
      </c>
      <c r="B1283">
        <v>122</v>
      </c>
      <c r="C1283" t="s">
        <v>1079</v>
      </c>
      <c r="D1283" t="s">
        <v>1061</v>
      </c>
      <c r="E1283" s="3" t="str">
        <f>IF(LEN(Base_Periodo1[[#This Row],[CLASS]])&gt;=7,LEFT(Base_Periodo1[[#This Row],[CLASS]],7),"")</f>
        <v>1.1.3.1</v>
      </c>
      <c r="F1283" s="3" t="str">
        <f>VLOOKUP(Base_Periodo1[[#This Row],[Aux]],Base_Contas_Balanco[#All],2,FALSE)</f>
        <v>Estoques Proprios</v>
      </c>
      <c r="G1283" s="1">
        <v>42886</v>
      </c>
      <c r="H1283" s="225">
        <v>1910144.3300000206</v>
      </c>
      <c r="I1283" s="225">
        <v>1278535.4000000001</v>
      </c>
      <c r="J1283" s="225">
        <v>0</v>
      </c>
      <c r="K1283" s="225">
        <v>3188679.7300000209</v>
      </c>
      <c r="L12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3188679.73</v>
      </c>
      <c r="M1283" s="225">
        <f>ROUND(IF(AND(Base_Periodo1[[#This Row],[Tipo_Linha]]="-",Base_Periodo1[[#This Row],[TIPOSALDO]]="D"),Base_Periodo1[[#This Row],[SALDO_ATUAL]]*-1,Base_Periodo1[[#This Row],[SALDO_ATUAL]]),4)</f>
        <v>3188679.73</v>
      </c>
      <c r="N1283" t="s">
        <v>116</v>
      </c>
      <c r="O1283" t="s">
        <v>397</v>
      </c>
      <c r="P1283" t="s">
        <v>397</v>
      </c>
      <c r="Q1283">
        <v>9</v>
      </c>
      <c r="R1283" s="225">
        <f>Base_Periodo1[[#This Row],[CREDITOS]]-Base_Periodo1[[#This Row],[DEBITOS]]</f>
        <v>-1278535.4000000001</v>
      </c>
      <c r="S1283" s="3" t="str">
        <f>IF(ISERROR(VLOOKUP(Base_Periodo1[[#This Row],[CONTA]],BaseContasDRE[#All],4,FALSE)),"Fora do DRE",VLOOKUP(Base_Periodo1[[#This Row],[CONTA]],BaseContasDRE[#All],4,FALSE))</f>
        <v>Fora do DRE</v>
      </c>
      <c r="T1283" s="3" t="str">
        <f>IF(ISERROR(VLOOKUP(Base_Periodo1[[#This Row],[CONTA]],BaseContasDRE[#All],5,FALSE)),"Fora do DRE",VLOOKUP(Base_Periodo1[[#This Row],[CONTA]],BaseContasDRE[#All],6,FALSE))</f>
        <v>Fora do DRE</v>
      </c>
      <c r="U1283" s="3" t="str">
        <f>IF(ISERROR(VLOOKUP(Base_Periodo1[[#This Row],[CONTA]],BaseContasDRE[#All],7,FALSE)),"Fora do DRE",VLOOKUP(Base_Periodo1[[#This Row],[CONTA]],BaseContasDRE[#All],7,FALSE))</f>
        <v>Fora do DRE</v>
      </c>
      <c r="V1283" s="3" t="str">
        <f>IF(Base_Periodo1[[#This Row],[Tipo_Linha]]="Fora do DRE","Fora do DRE","( "&amp;Base_Periodo1[[#This Row],[Tipo_Linha]]&amp;" ) "&amp;Base_Periodo1[[#This Row],[Filtro]])</f>
        <v>Fora do DRE</v>
      </c>
      <c r="W1283" s="3" t="str">
        <f>LEFT(Base_Periodo1[[#This Row],[CLASS]],3)</f>
        <v>1.1</v>
      </c>
    </row>
    <row r="1284" spans="1:23" hidden="1">
      <c r="A1284" s="3" t="str">
        <f t="shared" si="19"/>
        <v>Período 1</v>
      </c>
      <c r="B1284">
        <v>123</v>
      </c>
      <c r="C1284" t="s">
        <v>1080</v>
      </c>
      <c r="D1284" t="s">
        <v>1063</v>
      </c>
      <c r="E1284" s="3" t="str">
        <f>IF(LEN(Base_Periodo1[[#This Row],[CLASS]])&gt;=7,LEFT(Base_Periodo1[[#This Row],[CLASS]],7),"")</f>
        <v>1.1.3.1</v>
      </c>
      <c r="F1284" s="3" t="str">
        <f>VLOOKUP(Base_Periodo1[[#This Row],[Aux]],Base_Contas_Balanco[#All],2,FALSE)</f>
        <v>Estoques Proprios</v>
      </c>
      <c r="G1284" s="1"/>
      <c r="H1284" s="225">
        <v>11161834.20000118</v>
      </c>
      <c r="I1284" s="225">
        <v>5517905.2500000009</v>
      </c>
      <c r="J1284" s="225">
        <v>0</v>
      </c>
      <c r="K1284" s="225">
        <v>16679739.45000118</v>
      </c>
      <c r="L12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16679739.449999999</v>
      </c>
      <c r="M1284" s="225">
        <f>ROUND(IF(AND(Base_Periodo1[[#This Row],[Tipo_Linha]]="-",Base_Periodo1[[#This Row],[TIPOSALDO]]="D"),Base_Periodo1[[#This Row],[SALDO_ATUAL]]*-1,Base_Periodo1[[#This Row],[SALDO_ATUAL]]),4)</f>
        <v>16679739.449999999</v>
      </c>
      <c r="N1284" t="s">
        <v>396</v>
      </c>
      <c r="O1284" t="s">
        <v>397</v>
      </c>
      <c r="P1284" t="s">
        <v>397</v>
      </c>
      <c r="Q1284">
        <v>8</v>
      </c>
      <c r="R1284" s="225">
        <f>Base_Periodo1[[#This Row],[CREDITOS]]-Base_Periodo1[[#This Row],[DEBITOS]]</f>
        <v>-5517905.2500000009</v>
      </c>
      <c r="S1284" s="3" t="str">
        <f>IF(ISERROR(VLOOKUP(Base_Periodo1[[#This Row],[CONTA]],BaseContasDRE[#All],4,FALSE)),"Fora do DRE",VLOOKUP(Base_Periodo1[[#This Row],[CONTA]],BaseContasDRE[#All],4,FALSE))</f>
        <v>Fora do DRE</v>
      </c>
      <c r="T1284" s="3" t="str">
        <f>IF(ISERROR(VLOOKUP(Base_Periodo1[[#This Row],[CONTA]],BaseContasDRE[#All],5,FALSE)),"Fora do DRE",VLOOKUP(Base_Periodo1[[#This Row],[CONTA]],BaseContasDRE[#All],6,FALSE))</f>
        <v>Fora do DRE</v>
      </c>
      <c r="U1284" s="3" t="str">
        <f>IF(ISERROR(VLOOKUP(Base_Periodo1[[#This Row],[CONTA]],BaseContasDRE[#All],7,FALSE)),"Fora do DRE",VLOOKUP(Base_Periodo1[[#This Row],[CONTA]],BaseContasDRE[#All],7,FALSE))</f>
        <v>Fora do DRE</v>
      </c>
      <c r="V1284" s="3" t="str">
        <f>IF(Base_Periodo1[[#This Row],[Tipo_Linha]]="Fora do DRE","Fora do DRE","( "&amp;Base_Periodo1[[#This Row],[Tipo_Linha]]&amp;" ) "&amp;Base_Periodo1[[#This Row],[Filtro]])</f>
        <v>Fora do DRE</v>
      </c>
      <c r="W1284" s="3" t="str">
        <f>LEFT(Base_Periodo1[[#This Row],[CLASS]],3)</f>
        <v>1.1</v>
      </c>
    </row>
    <row r="1285" spans="1:23" hidden="1">
      <c r="A1285" s="3" t="str">
        <f t="shared" si="19"/>
        <v>Período 1</v>
      </c>
      <c r="B1285">
        <v>125</v>
      </c>
      <c r="C1285" t="s">
        <v>1081</v>
      </c>
      <c r="D1285" t="s">
        <v>1065</v>
      </c>
      <c r="E1285" s="3" t="str">
        <f>IF(LEN(Base_Periodo1[[#This Row],[CLASS]])&gt;=7,LEFT(Base_Periodo1[[#This Row],[CLASS]],7),"")</f>
        <v>1.1.3.1</v>
      </c>
      <c r="F1285" s="3" t="str">
        <f>VLOOKUP(Base_Periodo1[[#This Row],[Aux]],Base_Contas_Balanco[#All],2,FALSE)</f>
        <v>Estoques Proprios</v>
      </c>
      <c r="G1285" s="1">
        <v>42882</v>
      </c>
      <c r="H1285" s="225">
        <v>11161834.20000118</v>
      </c>
      <c r="I1285" s="225">
        <v>5517905.2500000009</v>
      </c>
      <c r="J1285" s="225">
        <v>0</v>
      </c>
      <c r="K1285" s="225">
        <v>16679739.45000118</v>
      </c>
      <c r="L12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16679739.449999999</v>
      </c>
      <c r="M1285" s="225">
        <f>ROUND(IF(AND(Base_Periodo1[[#This Row],[Tipo_Linha]]="-",Base_Periodo1[[#This Row],[TIPOSALDO]]="D"),Base_Periodo1[[#This Row],[SALDO_ATUAL]]*-1,Base_Periodo1[[#This Row],[SALDO_ATUAL]]),4)</f>
        <v>16679739.449999999</v>
      </c>
      <c r="N1285" t="s">
        <v>116</v>
      </c>
      <c r="O1285" t="s">
        <v>397</v>
      </c>
      <c r="P1285" t="s">
        <v>397</v>
      </c>
      <c r="Q1285">
        <v>9</v>
      </c>
      <c r="R1285" s="225">
        <f>Base_Periodo1[[#This Row],[CREDITOS]]-Base_Periodo1[[#This Row],[DEBITOS]]</f>
        <v>-5517905.2500000009</v>
      </c>
      <c r="S1285" s="3" t="str">
        <f>IF(ISERROR(VLOOKUP(Base_Periodo1[[#This Row],[CONTA]],BaseContasDRE[#All],4,FALSE)),"Fora do DRE",VLOOKUP(Base_Periodo1[[#This Row],[CONTA]],BaseContasDRE[#All],4,FALSE))</f>
        <v>Fora do DRE</v>
      </c>
      <c r="T1285" s="3" t="str">
        <f>IF(ISERROR(VLOOKUP(Base_Periodo1[[#This Row],[CONTA]],BaseContasDRE[#All],5,FALSE)),"Fora do DRE",VLOOKUP(Base_Periodo1[[#This Row],[CONTA]],BaseContasDRE[#All],6,FALSE))</f>
        <v>Fora do DRE</v>
      </c>
      <c r="U1285" s="3" t="str">
        <f>IF(ISERROR(VLOOKUP(Base_Periodo1[[#This Row],[CONTA]],BaseContasDRE[#All],7,FALSE)),"Fora do DRE",VLOOKUP(Base_Periodo1[[#This Row],[CONTA]],BaseContasDRE[#All],7,FALSE))</f>
        <v>Fora do DRE</v>
      </c>
      <c r="V1285" s="3" t="str">
        <f>IF(Base_Periodo1[[#This Row],[Tipo_Linha]]="Fora do DRE","Fora do DRE","( "&amp;Base_Periodo1[[#This Row],[Tipo_Linha]]&amp;" ) "&amp;Base_Periodo1[[#This Row],[Filtro]])</f>
        <v>Fora do DRE</v>
      </c>
      <c r="W1285" s="3" t="str">
        <f>LEFT(Base_Periodo1[[#This Row],[CLASS]],3)</f>
        <v>1.1</v>
      </c>
    </row>
    <row r="1286" spans="1:23" hidden="1">
      <c r="A1286" s="3" t="str">
        <f t="shared" ref="A1286:A1349" si="20">"Período 1"</f>
        <v>Período 1</v>
      </c>
      <c r="B1286">
        <v>131</v>
      </c>
      <c r="C1286" t="s">
        <v>1082</v>
      </c>
      <c r="D1286" t="s">
        <v>1067</v>
      </c>
      <c r="E1286" s="3" t="str">
        <f>IF(LEN(Base_Periodo1[[#This Row],[CLASS]])&gt;=7,LEFT(Base_Periodo1[[#This Row],[CLASS]],7),"")</f>
        <v>1.1.3.1</v>
      </c>
      <c r="F1286" s="3" t="str">
        <f>VLOOKUP(Base_Periodo1[[#This Row],[Aux]],Base_Contas_Balanco[#All],2,FALSE)</f>
        <v>Estoques Proprios</v>
      </c>
      <c r="G1286" s="1"/>
      <c r="H1286" s="225">
        <v>31893327.499999948</v>
      </c>
      <c r="I1286" s="225">
        <v>0</v>
      </c>
      <c r="J1286" s="225">
        <v>5468908.7799999993</v>
      </c>
      <c r="K1286" s="225">
        <v>37362236.279999949</v>
      </c>
      <c r="L12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-37362236.280000001</v>
      </c>
      <c r="M1286" s="225">
        <f>ROUND(IF(AND(Base_Periodo1[[#This Row],[Tipo_Linha]]="-",Base_Periodo1[[#This Row],[TIPOSALDO]]="D"),Base_Periodo1[[#This Row],[SALDO_ATUAL]]*-1,Base_Periodo1[[#This Row],[SALDO_ATUAL]]),4)</f>
        <v>37362236.280000001</v>
      </c>
      <c r="N1286" t="s">
        <v>396</v>
      </c>
      <c r="O1286" t="s">
        <v>459</v>
      </c>
      <c r="P1286" t="s">
        <v>459</v>
      </c>
      <c r="Q1286">
        <v>8</v>
      </c>
      <c r="R1286" s="225">
        <f>Base_Periodo1[[#This Row],[CREDITOS]]-Base_Periodo1[[#This Row],[DEBITOS]]</f>
        <v>5468908.7799999993</v>
      </c>
      <c r="S1286" s="3" t="str">
        <f>IF(ISERROR(VLOOKUP(Base_Periodo1[[#This Row],[CONTA]],BaseContasDRE[#All],4,FALSE)),"Fora do DRE",VLOOKUP(Base_Periodo1[[#This Row],[CONTA]],BaseContasDRE[#All],4,FALSE))</f>
        <v>Fora do DRE</v>
      </c>
      <c r="T1286" s="3" t="str">
        <f>IF(ISERROR(VLOOKUP(Base_Periodo1[[#This Row],[CONTA]],BaseContasDRE[#All],5,FALSE)),"Fora do DRE",VLOOKUP(Base_Periodo1[[#This Row],[CONTA]],BaseContasDRE[#All],6,FALSE))</f>
        <v>Fora do DRE</v>
      </c>
      <c r="U1286" s="3" t="str">
        <f>IF(ISERROR(VLOOKUP(Base_Periodo1[[#This Row],[CONTA]],BaseContasDRE[#All],7,FALSE)),"Fora do DRE",VLOOKUP(Base_Periodo1[[#This Row],[CONTA]],BaseContasDRE[#All],7,FALSE))</f>
        <v>Fora do DRE</v>
      </c>
      <c r="V1286" s="3" t="str">
        <f>IF(Base_Periodo1[[#This Row],[Tipo_Linha]]="Fora do DRE","Fora do DRE","( "&amp;Base_Periodo1[[#This Row],[Tipo_Linha]]&amp;" ) "&amp;Base_Periodo1[[#This Row],[Filtro]])</f>
        <v>Fora do DRE</v>
      </c>
      <c r="W1286" s="3" t="str">
        <f>LEFT(Base_Periodo1[[#This Row],[CLASS]],3)</f>
        <v>1.1</v>
      </c>
    </row>
    <row r="1287" spans="1:23" hidden="1">
      <c r="A1287" s="3" t="str">
        <f t="shared" si="20"/>
        <v>Período 1</v>
      </c>
      <c r="B1287">
        <v>132</v>
      </c>
      <c r="C1287" t="s">
        <v>1083</v>
      </c>
      <c r="D1287" t="s">
        <v>1068</v>
      </c>
      <c r="E1287" s="3" t="str">
        <f>IF(LEN(Base_Periodo1[[#This Row],[CLASS]])&gt;=7,LEFT(Base_Periodo1[[#This Row],[CLASS]],7),"")</f>
        <v>1.1.3.1</v>
      </c>
      <c r="F1287" s="3" t="str">
        <f>VLOOKUP(Base_Periodo1[[#This Row],[Aux]],Base_Contas_Balanco[#All],2,FALSE)</f>
        <v>Estoques Proprios</v>
      </c>
      <c r="G1287" s="1">
        <v>42886</v>
      </c>
      <c r="H1287" s="225">
        <v>32353.35000000149</v>
      </c>
      <c r="I1287" s="225">
        <v>0</v>
      </c>
      <c r="J1287" s="225">
        <v>15823.6</v>
      </c>
      <c r="K1287" s="225">
        <v>48176.950000001489</v>
      </c>
      <c r="L12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-48176.95</v>
      </c>
      <c r="M1287" s="225">
        <f>ROUND(IF(AND(Base_Periodo1[[#This Row],[Tipo_Linha]]="-",Base_Periodo1[[#This Row],[TIPOSALDO]]="D"),Base_Periodo1[[#This Row],[SALDO_ATUAL]]*-1,Base_Periodo1[[#This Row],[SALDO_ATUAL]]),4)</f>
        <v>48176.95</v>
      </c>
      <c r="N1287" t="s">
        <v>116</v>
      </c>
      <c r="O1287" t="s">
        <v>459</v>
      </c>
      <c r="P1287" t="s">
        <v>459</v>
      </c>
      <c r="Q1287">
        <v>9</v>
      </c>
      <c r="R1287" s="225">
        <f>Base_Periodo1[[#This Row],[CREDITOS]]-Base_Periodo1[[#This Row],[DEBITOS]]</f>
        <v>15823.6</v>
      </c>
      <c r="S1287" s="3" t="str">
        <f>IF(ISERROR(VLOOKUP(Base_Periodo1[[#This Row],[CONTA]],BaseContasDRE[#All],4,FALSE)),"Fora do DRE",VLOOKUP(Base_Periodo1[[#This Row],[CONTA]],BaseContasDRE[#All],4,FALSE))</f>
        <v>Fora do DRE</v>
      </c>
      <c r="T1287" s="3" t="str">
        <f>IF(ISERROR(VLOOKUP(Base_Periodo1[[#This Row],[CONTA]],BaseContasDRE[#All],5,FALSE)),"Fora do DRE",VLOOKUP(Base_Periodo1[[#This Row],[CONTA]],BaseContasDRE[#All],6,FALSE))</f>
        <v>Fora do DRE</v>
      </c>
      <c r="U1287" s="3" t="str">
        <f>IF(ISERROR(VLOOKUP(Base_Periodo1[[#This Row],[CONTA]],BaseContasDRE[#All],7,FALSE)),"Fora do DRE",VLOOKUP(Base_Periodo1[[#This Row],[CONTA]],BaseContasDRE[#All],7,FALSE))</f>
        <v>Fora do DRE</v>
      </c>
      <c r="V1287" s="3" t="str">
        <f>IF(Base_Periodo1[[#This Row],[Tipo_Linha]]="Fora do DRE","Fora do DRE","( "&amp;Base_Periodo1[[#This Row],[Tipo_Linha]]&amp;" ) "&amp;Base_Periodo1[[#This Row],[Filtro]])</f>
        <v>Fora do DRE</v>
      </c>
      <c r="W1287" s="3" t="str">
        <f>LEFT(Base_Periodo1[[#This Row],[CLASS]],3)</f>
        <v>1.1</v>
      </c>
    </row>
    <row r="1288" spans="1:23" hidden="1">
      <c r="A1288" s="3" t="str">
        <f t="shared" si="20"/>
        <v>Período 1</v>
      </c>
      <c r="B1288">
        <v>133</v>
      </c>
      <c r="C1288" t="s">
        <v>1084</v>
      </c>
      <c r="D1288" t="s">
        <v>1070</v>
      </c>
      <c r="E1288" s="3" t="str">
        <f>IF(LEN(Base_Periodo1[[#This Row],[CLASS]])&gt;=7,LEFT(Base_Periodo1[[#This Row],[CLASS]],7),"")</f>
        <v>1.1.3.1</v>
      </c>
      <c r="F1288" s="3" t="str">
        <f>VLOOKUP(Base_Periodo1[[#This Row],[Aux]],Base_Contas_Balanco[#All],2,FALSE)</f>
        <v>Estoques Proprios</v>
      </c>
      <c r="G1288" s="1">
        <v>42886</v>
      </c>
      <c r="H1288" s="225">
        <v>31860974.149999946</v>
      </c>
      <c r="I1288" s="225">
        <v>0</v>
      </c>
      <c r="J1288" s="225">
        <v>5453085.1799999997</v>
      </c>
      <c r="K1288" s="225">
        <v>37314059.329999946</v>
      </c>
      <c r="L12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-37314059.329999998</v>
      </c>
      <c r="M1288" s="225">
        <f>ROUND(IF(AND(Base_Periodo1[[#This Row],[Tipo_Linha]]="-",Base_Periodo1[[#This Row],[TIPOSALDO]]="D"),Base_Periodo1[[#This Row],[SALDO_ATUAL]]*-1,Base_Periodo1[[#This Row],[SALDO_ATUAL]]),4)</f>
        <v>37314059.329999998</v>
      </c>
      <c r="N1288" t="s">
        <v>116</v>
      </c>
      <c r="O1288" t="s">
        <v>459</v>
      </c>
      <c r="P1288" t="s">
        <v>459</v>
      </c>
      <c r="Q1288">
        <v>9</v>
      </c>
      <c r="R1288" s="225">
        <f>Base_Periodo1[[#This Row],[CREDITOS]]-Base_Periodo1[[#This Row],[DEBITOS]]</f>
        <v>5453085.1799999997</v>
      </c>
      <c r="S1288" s="3" t="str">
        <f>IF(ISERROR(VLOOKUP(Base_Periodo1[[#This Row],[CONTA]],BaseContasDRE[#All],4,FALSE)),"Fora do DRE",VLOOKUP(Base_Periodo1[[#This Row],[CONTA]],BaseContasDRE[#All],4,FALSE))</f>
        <v>Fora do DRE</v>
      </c>
      <c r="T1288" s="3" t="str">
        <f>IF(ISERROR(VLOOKUP(Base_Periodo1[[#This Row],[CONTA]],BaseContasDRE[#All],5,FALSE)),"Fora do DRE",VLOOKUP(Base_Periodo1[[#This Row],[CONTA]],BaseContasDRE[#All],6,FALSE))</f>
        <v>Fora do DRE</v>
      </c>
      <c r="U1288" s="3" t="str">
        <f>IF(ISERROR(VLOOKUP(Base_Periodo1[[#This Row],[CONTA]],BaseContasDRE[#All],7,FALSE)),"Fora do DRE",VLOOKUP(Base_Periodo1[[#This Row],[CONTA]],BaseContasDRE[#All],7,FALSE))</f>
        <v>Fora do DRE</v>
      </c>
      <c r="V1288" s="3" t="str">
        <f>IF(Base_Periodo1[[#This Row],[Tipo_Linha]]="Fora do DRE","Fora do DRE","( "&amp;Base_Periodo1[[#This Row],[Tipo_Linha]]&amp;" ) "&amp;Base_Periodo1[[#This Row],[Filtro]])</f>
        <v>Fora do DRE</v>
      </c>
      <c r="W1288" s="3" t="str">
        <f>LEFT(Base_Periodo1[[#This Row],[CLASS]],3)</f>
        <v>1.1</v>
      </c>
    </row>
    <row r="1289" spans="1:23" hidden="1">
      <c r="A1289" s="3" t="str">
        <f t="shared" si="20"/>
        <v>Período 1</v>
      </c>
      <c r="B1289">
        <v>137</v>
      </c>
      <c r="C1289" t="s">
        <v>1085</v>
      </c>
      <c r="D1289" t="s">
        <v>1072</v>
      </c>
      <c r="E1289" s="3" t="str">
        <f>IF(LEN(Base_Periodo1[[#This Row],[CLASS]])&gt;=7,LEFT(Base_Periodo1[[#This Row],[CLASS]],7),"")</f>
        <v>1.1.3.1</v>
      </c>
      <c r="F1289" s="3" t="str">
        <f>VLOOKUP(Base_Periodo1[[#This Row],[Aux]],Base_Contas_Balanco[#All],2,FALSE)</f>
        <v>Estoques Proprios</v>
      </c>
      <c r="G1289" s="1"/>
      <c r="H1289" s="225">
        <v>11161834.20000124</v>
      </c>
      <c r="I1289" s="225">
        <v>0</v>
      </c>
      <c r="J1289" s="225">
        <v>5517905.2500000009</v>
      </c>
      <c r="K1289" s="225">
        <v>16679739.45000124</v>
      </c>
      <c r="L12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-16679739.449999999</v>
      </c>
      <c r="M1289" s="225">
        <f>ROUND(IF(AND(Base_Periodo1[[#This Row],[Tipo_Linha]]="-",Base_Periodo1[[#This Row],[TIPOSALDO]]="D"),Base_Periodo1[[#This Row],[SALDO_ATUAL]]*-1,Base_Periodo1[[#This Row],[SALDO_ATUAL]]),4)</f>
        <v>16679739.449999999</v>
      </c>
      <c r="N1289" t="s">
        <v>396</v>
      </c>
      <c r="O1289" t="s">
        <v>459</v>
      </c>
      <c r="P1289" t="s">
        <v>459</v>
      </c>
      <c r="Q1289">
        <v>8</v>
      </c>
      <c r="R1289" s="225">
        <f>Base_Periodo1[[#This Row],[CREDITOS]]-Base_Periodo1[[#This Row],[DEBITOS]]</f>
        <v>5517905.2500000009</v>
      </c>
      <c r="S1289" s="3" t="str">
        <f>IF(ISERROR(VLOOKUP(Base_Periodo1[[#This Row],[CONTA]],BaseContasDRE[#All],4,FALSE)),"Fora do DRE",VLOOKUP(Base_Periodo1[[#This Row],[CONTA]],BaseContasDRE[#All],4,FALSE))</f>
        <v>Fora do DRE</v>
      </c>
      <c r="T1289" s="3" t="str">
        <f>IF(ISERROR(VLOOKUP(Base_Periodo1[[#This Row],[CONTA]],BaseContasDRE[#All],5,FALSE)),"Fora do DRE",VLOOKUP(Base_Periodo1[[#This Row],[CONTA]],BaseContasDRE[#All],6,FALSE))</f>
        <v>Fora do DRE</v>
      </c>
      <c r="U1289" s="3" t="str">
        <f>IF(ISERROR(VLOOKUP(Base_Periodo1[[#This Row],[CONTA]],BaseContasDRE[#All],7,FALSE)),"Fora do DRE",VLOOKUP(Base_Periodo1[[#This Row],[CONTA]],BaseContasDRE[#All],7,FALSE))</f>
        <v>Fora do DRE</v>
      </c>
      <c r="V1289" s="3" t="str">
        <f>IF(Base_Periodo1[[#This Row],[Tipo_Linha]]="Fora do DRE","Fora do DRE","( "&amp;Base_Periodo1[[#This Row],[Tipo_Linha]]&amp;" ) "&amp;Base_Periodo1[[#This Row],[Filtro]])</f>
        <v>Fora do DRE</v>
      </c>
      <c r="W1289" s="3" t="str">
        <f>LEFT(Base_Periodo1[[#This Row],[CLASS]],3)</f>
        <v>1.1</v>
      </c>
    </row>
    <row r="1290" spans="1:23" hidden="1">
      <c r="A1290" s="3" t="str">
        <f t="shared" si="20"/>
        <v>Período 1</v>
      </c>
      <c r="B1290">
        <v>139</v>
      </c>
      <c r="C1290" t="s">
        <v>1086</v>
      </c>
      <c r="D1290" t="s">
        <v>1074</v>
      </c>
      <c r="E1290" s="3" t="str">
        <f>IF(LEN(Base_Periodo1[[#This Row],[CLASS]])&gt;=7,LEFT(Base_Periodo1[[#This Row],[CLASS]],7),"")</f>
        <v>1.1.3.1</v>
      </c>
      <c r="F1290" s="3" t="str">
        <f>VLOOKUP(Base_Periodo1[[#This Row],[Aux]],Base_Contas_Balanco[#All],2,FALSE)</f>
        <v>Estoques Proprios</v>
      </c>
      <c r="G1290" s="1">
        <v>42882</v>
      </c>
      <c r="H1290" s="225">
        <v>11161834.20000124</v>
      </c>
      <c r="I1290" s="225">
        <v>0</v>
      </c>
      <c r="J1290" s="225">
        <v>5517905.2500000009</v>
      </c>
      <c r="K1290" s="225">
        <v>16679739.45000124</v>
      </c>
      <c r="L12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-16679739.449999999</v>
      </c>
      <c r="M1290" s="225">
        <f>ROUND(IF(AND(Base_Periodo1[[#This Row],[Tipo_Linha]]="-",Base_Periodo1[[#This Row],[TIPOSALDO]]="D"),Base_Periodo1[[#This Row],[SALDO_ATUAL]]*-1,Base_Periodo1[[#This Row],[SALDO_ATUAL]]),4)</f>
        <v>16679739.449999999</v>
      </c>
      <c r="N1290" t="s">
        <v>116</v>
      </c>
      <c r="O1290" t="s">
        <v>459</v>
      </c>
      <c r="P1290" t="s">
        <v>459</v>
      </c>
      <c r="Q1290">
        <v>9</v>
      </c>
      <c r="R1290" s="225">
        <f>Base_Periodo1[[#This Row],[CREDITOS]]-Base_Periodo1[[#This Row],[DEBITOS]]</f>
        <v>5517905.2500000009</v>
      </c>
      <c r="S1290" s="3" t="str">
        <f>IF(ISERROR(VLOOKUP(Base_Periodo1[[#This Row],[CONTA]],BaseContasDRE[#All],4,FALSE)),"Fora do DRE",VLOOKUP(Base_Periodo1[[#This Row],[CONTA]],BaseContasDRE[#All],4,FALSE))</f>
        <v>Fora do DRE</v>
      </c>
      <c r="T1290" s="3" t="str">
        <f>IF(ISERROR(VLOOKUP(Base_Periodo1[[#This Row],[CONTA]],BaseContasDRE[#All],5,FALSE)),"Fora do DRE",VLOOKUP(Base_Periodo1[[#This Row],[CONTA]],BaseContasDRE[#All],6,FALSE))</f>
        <v>Fora do DRE</v>
      </c>
      <c r="U1290" s="3" t="str">
        <f>IF(ISERROR(VLOOKUP(Base_Periodo1[[#This Row],[CONTA]],BaseContasDRE[#All],7,FALSE)),"Fora do DRE",VLOOKUP(Base_Periodo1[[#This Row],[CONTA]],BaseContasDRE[#All],7,FALSE))</f>
        <v>Fora do DRE</v>
      </c>
      <c r="V1290" s="3" t="str">
        <f>IF(Base_Periodo1[[#This Row],[Tipo_Linha]]="Fora do DRE","Fora do DRE","( "&amp;Base_Periodo1[[#This Row],[Tipo_Linha]]&amp;" ) "&amp;Base_Periodo1[[#This Row],[Filtro]])</f>
        <v>Fora do DRE</v>
      </c>
      <c r="W1290" s="3" t="str">
        <f>LEFT(Base_Periodo1[[#This Row],[CLASS]],3)</f>
        <v>1.1</v>
      </c>
    </row>
    <row r="1291" spans="1:23" hidden="1">
      <c r="A1291" s="3" t="str">
        <f t="shared" si="20"/>
        <v>Período 1</v>
      </c>
      <c r="B1291">
        <v>144</v>
      </c>
      <c r="C1291" t="s">
        <v>1087</v>
      </c>
      <c r="D1291" t="s">
        <v>1088</v>
      </c>
      <c r="E1291" s="3" t="str">
        <f>IF(LEN(Base_Periodo1[[#This Row],[CLASS]])&gt;=7,LEFT(Base_Periodo1[[#This Row],[CLASS]],7),"")</f>
        <v>1.1.3.1</v>
      </c>
      <c r="F1291" s="3" t="str">
        <f>VLOOKUP(Base_Periodo1[[#This Row],[Aux]],Base_Contas_Balanco[#All],2,FALSE)</f>
        <v>Estoques Proprios</v>
      </c>
      <c r="G1291" s="1"/>
      <c r="H1291" s="225">
        <v>2930671.5500002233</v>
      </c>
      <c r="I1291" s="225">
        <v>1116159.5100000002</v>
      </c>
      <c r="J1291" s="225">
        <v>1623687.0400000003</v>
      </c>
      <c r="K1291" s="225">
        <v>2423144.0200002231</v>
      </c>
      <c r="L12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2423144.02</v>
      </c>
      <c r="M1291" s="225">
        <f>ROUND(IF(AND(Base_Periodo1[[#This Row],[Tipo_Linha]]="-",Base_Periodo1[[#This Row],[TIPOSALDO]]="D"),Base_Periodo1[[#This Row],[SALDO_ATUAL]]*-1,Base_Periodo1[[#This Row],[SALDO_ATUAL]]),4)</f>
        <v>2423144.02</v>
      </c>
      <c r="N1291" t="s">
        <v>396</v>
      </c>
      <c r="O1291" t="s">
        <v>397</v>
      </c>
      <c r="P1291" t="s">
        <v>397</v>
      </c>
      <c r="Q1291">
        <v>7</v>
      </c>
      <c r="R1291" s="225">
        <f>Base_Periodo1[[#This Row],[CREDITOS]]-Base_Periodo1[[#This Row],[DEBITOS]]</f>
        <v>507527.53</v>
      </c>
      <c r="S1291" s="3" t="str">
        <f>IF(ISERROR(VLOOKUP(Base_Periodo1[[#This Row],[CONTA]],BaseContasDRE[#All],4,FALSE)),"Fora do DRE",VLOOKUP(Base_Periodo1[[#This Row],[CONTA]],BaseContasDRE[#All],4,FALSE))</f>
        <v>Fora do DRE</v>
      </c>
      <c r="T1291" s="3" t="str">
        <f>IF(ISERROR(VLOOKUP(Base_Periodo1[[#This Row],[CONTA]],BaseContasDRE[#All],5,FALSE)),"Fora do DRE",VLOOKUP(Base_Periodo1[[#This Row],[CONTA]],BaseContasDRE[#All],6,FALSE))</f>
        <v>Fora do DRE</v>
      </c>
      <c r="U1291" s="3" t="str">
        <f>IF(ISERROR(VLOOKUP(Base_Periodo1[[#This Row],[CONTA]],BaseContasDRE[#All],7,FALSE)),"Fora do DRE",VLOOKUP(Base_Periodo1[[#This Row],[CONTA]],BaseContasDRE[#All],7,FALSE))</f>
        <v>Fora do DRE</v>
      </c>
      <c r="V1291" s="3" t="str">
        <f>IF(Base_Periodo1[[#This Row],[Tipo_Linha]]="Fora do DRE","Fora do DRE","( "&amp;Base_Periodo1[[#This Row],[Tipo_Linha]]&amp;" ) "&amp;Base_Periodo1[[#This Row],[Filtro]])</f>
        <v>Fora do DRE</v>
      </c>
      <c r="W1291" s="3" t="str">
        <f>LEFT(Base_Periodo1[[#This Row],[CLASS]],3)</f>
        <v>1.1</v>
      </c>
    </row>
    <row r="1292" spans="1:23" hidden="1">
      <c r="A1292" s="3" t="str">
        <f t="shared" si="20"/>
        <v>Período 1</v>
      </c>
      <c r="B1292">
        <v>145</v>
      </c>
      <c r="C1292" t="s">
        <v>1089</v>
      </c>
      <c r="D1292" t="s">
        <v>1054</v>
      </c>
      <c r="E1292" s="3" t="str">
        <f>IF(LEN(Base_Periodo1[[#This Row],[CLASS]])&gt;=7,LEFT(Base_Periodo1[[#This Row],[CLASS]],7),"")</f>
        <v>1.1.3.1</v>
      </c>
      <c r="F1292" s="3" t="str">
        <f>VLOOKUP(Base_Periodo1[[#This Row],[Aux]],Base_Contas_Balanco[#All],2,FALSE)</f>
        <v>Estoques Proprios</v>
      </c>
      <c r="G1292" s="1"/>
      <c r="H1292" s="225">
        <v>11927860.680000097</v>
      </c>
      <c r="I1292" s="225">
        <v>0</v>
      </c>
      <c r="J1292" s="225">
        <v>0</v>
      </c>
      <c r="K1292" s="225">
        <v>11927860.680000097</v>
      </c>
      <c r="L12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11927860.68</v>
      </c>
      <c r="M1292" s="225">
        <f>ROUND(IF(AND(Base_Periodo1[[#This Row],[Tipo_Linha]]="-",Base_Periodo1[[#This Row],[TIPOSALDO]]="D"),Base_Periodo1[[#This Row],[SALDO_ATUAL]]*-1,Base_Periodo1[[#This Row],[SALDO_ATUAL]]),4)</f>
        <v>11927860.68</v>
      </c>
      <c r="N1292" t="s">
        <v>396</v>
      </c>
      <c r="O1292" t="s">
        <v>397</v>
      </c>
      <c r="P1292" t="s">
        <v>397</v>
      </c>
      <c r="Q1292">
        <v>8</v>
      </c>
      <c r="R1292" s="225">
        <f>Base_Periodo1[[#This Row],[CREDITOS]]-Base_Periodo1[[#This Row],[DEBITOS]]</f>
        <v>0</v>
      </c>
      <c r="S1292" s="3" t="str">
        <f>IF(ISERROR(VLOOKUP(Base_Periodo1[[#This Row],[CONTA]],BaseContasDRE[#All],4,FALSE)),"Fora do DRE",VLOOKUP(Base_Periodo1[[#This Row],[CONTA]],BaseContasDRE[#All],4,FALSE))</f>
        <v>Fora do DRE</v>
      </c>
      <c r="T1292" s="3" t="str">
        <f>IF(ISERROR(VLOOKUP(Base_Periodo1[[#This Row],[CONTA]],BaseContasDRE[#All],5,FALSE)),"Fora do DRE",VLOOKUP(Base_Periodo1[[#This Row],[CONTA]],BaseContasDRE[#All],6,FALSE))</f>
        <v>Fora do DRE</v>
      </c>
      <c r="U1292" s="3" t="str">
        <f>IF(ISERROR(VLOOKUP(Base_Periodo1[[#This Row],[CONTA]],BaseContasDRE[#All],7,FALSE)),"Fora do DRE",VLOOKUP(Base_Periodo1[[#This Row],[CONTA]],BaseContasDRE[#All],7,FALSE))</f>
        <v>Fora do DRE</v>
      </c>
      <c r="V1292" s="3" t="str">
        <f>IF(Base_Periodo1[[#This Row],[Tipo_Linha]]="Fora do DRE","Fora do DRE","( "&amp;Base_Periodo1[[#This Row],[Tipo_Linha]]&amp;" ) "&amp;Base_Periodo1[[#This Row],[Filtro]])</f>
        <v>Fora do DRE</v>
      </c>
      <c r="W1292" s="3" t="str">
        <f>LEFT(Base_Periodo1[[#This Row],[CLASS]],3)</f>
        <v>1.1</v>
      </c>
    </row>
    <row r="1293" spans="1:23" hidden="1">
      <c r="A1293" s="3" t="str">
        <f t="shared" si="20"/>
        <v>Período 1</v>
      </c>
      <c r="B1293">
        <v>146</v>
      </c>
      <c r="C1293" t="s">
        <v>1090</v>
      </c>
      <c r="D1293" t="s">
        <v>1054</v>
      </c>
      <c r="E1293" s="3" t="str">
        <f>IF(LEN(Base_Periodo1[[#This Row],[CLASS]])&gt;=7,LEFT(Base_Periodo1[[#This Row],[CLASS]],7),"")</f>
        <v>1.1.3.1</v>
      </c>
      <c r="F1293" s="3" t="str">
        <f>VLOOKUP(Base_Periodo1[[#This Row],[Aux]],Base_Contas_Balanco[#All],2,FALSE)</f>
        <v>Estoques Proprios</v>
      </c>
      <c r="G1293" s="1">
        <v>42735</v>
      </c>
      <c r="H1293" s="225">
        <v>11927860.680000097</v>
      </c>
      <c r="I1293" s="225">
        <v>0</v>
      </c>
      <c r="J1293" s="225">
        <v>0</v>
      </c>
      <c r="K1293" s="225">
        <v>11927860.680000097</v>
      </c>
      <c r="L12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11927860.68</v>
      </c>
      <c r="M1293" s="225">
        <f>ROUND(IF(AND(Base_Periodo1[[#This Row],[Tipo_Linha]]="-",Base_Periodo1[[#This Row],[TIPOSALDO]]="D"),Base_Periodo1[[#This Row],[SALDO_ATUAL]]*-1,Base_Periodo1[[#This Row],[SALDO_ATUAL]]),4)</f>
        <v>11927860.68</v>
      </c>
      <c r="N1293" t="s">
        <v>116</v>
      </c>
      <c r="O1293" t="s">
        <v>397</v>
      </c>
      <c r="P1293" t="s">
        <v>397</v>
      </c>
      <c r="Q1293">
        <v>9</v>
      </c>
      <c r="R1293" s="225">
        <f>Base_Periodo1[[#This Row],[CREDITOS]]-Base_Periodo1[[#This Row],[DEBITOS]]</f>
        <v>0</v>
      </c>
      <c r="S1293" s="3" t="str">
        <f>IF(ISERROR(VLOOKUP(Base_Periodo1[[#This Row],[CONTA]],BaseContasDRE[#All],4,FALSE)),"Fora do DRE",VLOOKUP(Base_Periodo1[[#This Row],[CONTA]],BaseContasDRE[#All],4,FALSE))</f>
        <v>Fora do DRE</v>
      </c>
      <c r="T1293" s="3" t="str">
        <f>IF(ISERROR(VLOOKUP(Base_Periodo1[[#This Row],[CONTA]],BaseContasDRE[#All],5,FALSE)),"Fora do DRE",VLOOKUP(Base_Periodo1[[#This Row],[CONTA]],BaseContasDRE[#All],6,FALSE))</f>
        <v>Fora do DRE</v>
      </c>
      <c r="U1293" s="3" t="str">
        <f>IF(ISERROR(VLOOKUP(Base_Periodo1[[#This Row],[CONTA]],BaseContasDRE[#All],7,FALSE)),"Fora do DRE",VLOOKUP(Base_Periodo1[[#This Row],[CONTA]],BaseContasDRE[#All],7,FALSE))</f>
        <v>Fora do DRE</v>
      </c>
      <c r="V1293" s="3" t="str">
        <f>IF(Base_Periodo1[[#This Row],[Tipo_Linha]]="Fora do DRE","Fora do DRE","( "&amp;Base_Periodo1[[#This Row],[Tipo_Linha]]&amp;" ) "&amp;Base_Periodo1[[#This Row],[Filtro]])</f>
        <v>Fora do DRE</v>
      </c>
      <c r="W1293" s="3" t="str">
        <f>LEFT(Base_Periodo1[[#This Row],[CLASS]],3)</f>
        <v>1.1</v>
      </c>
    </row>
    <row r="1294" spans="1:23" hidden="1">
      <c r="A1294" s="3" t="str">
        <f t="shared" si="20"/>
        <v>Período 1</v>
      </c>
      <c r="B1294">
        <v>147</v>
      </c>
      <c r="C1294" t="s">
        <v>1091</v>
      </c>
      <c r="D1294" t="s">
        <v>1057</v>
      </c>
      <c r="E1294" s="3" t="str">
        <f>IF(LEN(Base_Periodo1[[#This Row],[CLASS]])&gt;=7,LEFT(Base_Periodo1[[#This Row],[CLASS]],7),"")</f>
        <v>1.1.3.1</v>
      </c>
      <c r="F1294" s="3" t="str">
        <f>VLOOKUP(Base_Periodo1[[#This Row],[Aux]],Base_Contas_Balanco[#All],2,FALSE)</f>
        <v>Estoques Proprios</v>
      </c>
      <c r="G1294" s="1"/>
      <c r="H1294" s="225">
        <v>4639035.7000000812</v>
      </c>
      <c r="I1294" s="225">
        <v>464875.87</v>
      </c>
      <c r="J1294" s="225">
        <v>0</v>
      </c>
      <c r="K1294" s="225">
        <v>5103911.5700000813</v>
      </c>
      <c r="L12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5103911.57</v>
      </c>
      <c r="M1294" s="225">
        <f>ROUND(IF(AND(Base_Periodo1[[#This Row],[Tipo_Linha]]="-",Base_Periodo1[[#This Row],[TIPOSALDO]]="D"),Base_Periodo1[[#This Row],[SALDO_ATUAL]]*-1,Base_Periodo1[[#This Row],[SALDO_ATUAL]]),4)</f>
        <v>5103911.57</v>
      </c>
      <c r="N1294" t="s">
        <v>396</v>
      </c>
      <c r="O1294" t="s">
        <v>397</v>
      </c>
      <c r="P1294" t="s">
        <v>397</v>
      </c>
      <c r="Q1294">
        <v>8</v>
      </c>
      <c r="R1294" s="225">
        <f>Base_Periodo1[[#This Row],[CREDITOS]]-Base_Periodo1[[#This Row],[DEBITOS]]</f>
        <v>-464875.87</v>
      </c>
      <c r="S1294" s="3" t="str">
        <f>IF(ISERROR(VLOOKUP(Base_Periodo1[[#This Row],[CONTA]],BaseContasDRE[#All],4,FALSE)),"Fora do DRE",VLOOKUP(Base_Periodo1[[#This Row],[CONTA]],BaseContasDRE[#All],4,FALSE))</f>
        <v>Fora do DRE</v>
      </c>
      <c r="T1294" s="3" t="str">
        <f>IF(ISERROR(VLOOKUP(Base_Periodo1[[#This Row],[CONTA]],BaseContasDRE[#All],5,FALSE)),"Fora do DRE",VLOOKUP(Base_Periodo1[[#This Row],[CONTA]],BaseContasDRE[#All],6,FALSE))</f>
        <v>Fora do DRE</v>
      </c>
      <c r="U1294" s="3" t="str">
        <f>IF(ISERROR(VLOOKUP(Base_Periodo1[[#This Row],[CONTA]],BaseContasDRE[#All],7,FALSE)),"Fora do DRE",VLOOKUP(Base_Periodo1[[#This Row],[CONTA]],BaseContasDRE[#All],7,FALSE))</f>
        <v>Fora do DRE</v>
      </c>
      <c r="V1294" s="3" t="str">
        <f>IF(Base_Periodo1[[#This Row],[Tipo_Linha]]="Fora do DRE","Fora do DRE","( "&amp;Base_Periodo1[[#This Row],[Tipo_Linha]]&amp;" ) "&amp;Base_Periodo1[[#This Row],[Filtro]])</f>
        <v>Fora do DRE</v>
      </c>
      <c r="W1294" s="3" t="str">
        <f>LEFT(Base_Periodo1[[#This Row],[CLASS]],3)</f>
        <v>1.1</v>
      </c>
    </row>
    <row r="1295" spans="1:23" hidden="1">
      <c r="A1295" s="3" t="str">
        <f t="shared" si="20"/>
        <v>Período 1</v>
      </c>
      <c r="B1295">
        <v>148</v>
      </c>
      <c r="C1295" t="s">
        <v>1092</v>
      </c>
      <c r="D1295" t="s">
        <v>1059</v>
      </c>
      <c r="E1295" s="3" t="str">
        <f>IF(LEN(Base_Periodo1[[#This Row],[CLASS]])&gt;=7,LEFT(Base_Periodo1[[#This Row],[CLASS]],7),"")</f>
        <v>1.1.3.1</v>
      </c>
      <c r="F1295" s="3" t="str">
        <f>VLOOKUP(Base_Periodo1[[#This Row],[Aux]],Base_Contas_Balanco[#All],2,FALSE)</f>
        <v>Estoques Proprios</v>
      </c>
      <c r="G1295" s="1">
        <v>42886</v>
      </c>
      <c r="H1295" s="225">
        <v>3920831.740000084</v>
      </c>
      <c r="I1295" s="225">
        <v>464875.87</v>
      </c>
      <c r="J1295" s="225">
        <v>0</v>
      </c>
      <c r="K1295" s="225">
        <v>4385707.6100000842</v>
      </c>
      <c r="L12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4385707.6100000003</v>
      </c>
      <c r="M1295" s="225">
        <f>ROUND(IF(AND(Base_Periodo1[[#This Row],[Tipo_Linha]]="-",Base_Periodo1[[#This Row],[TIPOSALDO]]="D"),Base_Periodo1[[#This Row],[SALDO_ATUAL]]*-1,Base_Periodo1[[#This Row],[SALDO_ATUAL]]),4)</f>
        <v>4385707.6100000003</v>
      </c>
      <c r="N1295" t="s">
        <v>116</v>
      </c>
      <c r="O1295" t="s">
        <v>397</v>
      </c>
      <c r="P1295" t="s">
        <v>397</v>
      </c>
      <c r="Q1295">
        <v>9</v>
      </c>
      <c r="R1295" s="225">
        <f>Base_Periodo1[[#This Row],[CREDITOS]]-Base_Periodo1[[#This Row],[DEBITOS]]</f>
        <v>-464875.87</v>
      </c>
      <c r="S1295" s="3" t="str">
        <f>IF(ISERROR(VLOOKUP(Base_Periodo1[[#This Row],[CONTA]],BaseContasDRE[#All],4,FALSE)),"Fora do DRE",VLOOKUP(Base_Periodo1[[#This Row],[CONTA]],BaseContasDRE[#All],4,FALSE))</f>
        <v>Fora do DRE</v>
      </c>
      <c r="T1295" s="3" t="str">
        <f>IF(ISERROR(VLOOKUP(Base_Periodo1[[#This Row],[CONTA]],BaseContasDRE[#All],5,FALSE)),"Fora do DRE",VLOOKUP(Base_Periodo1[[#This Row],[CONTA]],BaseContasDRE[#All],6,FALSE))</f>
        <v>Fora do DRE</v>
      </c>
      <c r="U1295" s="3" t="str">
        <f>IF(ISERROR(VLOOKUP(Base_Periodo1[[#This Row],[CONTA]],BaseContasDRE[#All],7,FALSE)),"Fora do DRE",VLOOKUP(Base_Periodo1[[#This Row],[CONTA]],BaseContasDRE[#All],7,FALSE))</f>
        <v>Fora do DRE</v>
      </c>
      <c r="V1295" s="3" t="str">
        <f>IF(Base_Periodo1[[#This Row],[Tipo_Linha]]="Fora do DRE","Fora do DRE","( "&amp;Base_Periodo1[[#This Row],[Tipo_Linha]]&amp;" ) "&amp;Base_Periodo1[[#This Row],[Filtro]])</f>
        <v>Fora do DRE</v>
      </c>
      <c r="W1295" s="3" t="str">
        <f>LEFT(Base_Periodo1[[#This Row],[CLASS]],3)</f>
        <v>1.1</v>
      </c>
    </row>
    <row r="1296" spans="1:23" hidden="1">
      <c r="A1296" s="3" t="str">
        <f t="shared" si="20"/>
        <v>Período 1</v>
      </c>
      <c r="B1296">
        <v>149</v>
      </c>
      <c r="C1296" t="s">
        <v>1093</v>
      </c>
      <c r="D1296" t="s">
        <v>1061</v>
      </c>
      <c r="E1296" s="3" t="str">
        <f>IF(LEN(Base_Periodo1[[#This Row],[CLASS]])&gt;=7,LEFT(Base_Periodo1[[#This Row],[CLASS]],7),"")</f>
        <v>1.1.3.1</v>
      </c>
      <c r="F1296" s="3" t="str">
        <f>VLOOKUP(Base_Periodo1[[#This Row],[Aux]],Base_Contas_Balanco[#All],2,FALSE)</f>
        <v>Estoques Proprios</v>
      </c>
      <c r="G1296" s="1">
        <v>42843</v>
      </c>
      <c r="H1296" s="225">
        <v>718203.95999999717</v>
      </c>
      <c r="I1296" s="225">
        <v>0</v>
      </c>
      <c r="J1296" s="225">
        <v>0</v>
      </c>
      <c r="K1296" s="225">
        <v>718203.95999999717</v>
      </c>
      <c r="L12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718203.96</v>
      </c>
      <c r="M1296" s="225">
        <f>ROUND(IF(AND(Base_Periodo1[[#This Row],[Tipo_Linha]]="-",Base_Periodo1[[#This Row],[TIPOSALDO]]="D"),Base_Periodo1[[#This Row],[SALDO_ATUAL]]*-1,Base_Periodo1[[#This Row],[SALDO_ATUAL]]),4)</f>
        <v>718203.96</v>
      </c>
      <c r="N1296" t="s">
        <v>116</v>
      </c>
      <c r="O1296" t="s">
        <v>397</v>
      </c>
      <c r="P1296" t="s">
        <v>397</v>
      </c>
      <c r="Q1296">
        <v>9</v>
      </c>
      <c r="R1296" s="225">
        <f>Base_Periodo1[[#This Row],[CREDITOS]]-Base_Periodo1[[#This Row],[DEBITOS]]</f>
        <v>0</v>
      </c>
      <c r="S1296" s="3" t="str">
        <f>IF(ISERROR(VLOOKUP(Base_Periodo1[[#This Row],[CONTA]],BaseContasDRE[#All],4,FALSE)),"Fora do DRE",VLOOKUP(Base_Periodo1[[#This Row],[CONTA]],BaseContasDRE[#All],4,FALSE))</f>
        <v>Fora do DRE</v>
      </c>
      <c r="T1296" s="3" t="str">
        <f>IF(ISERROR(VLOOKUP(Base_Periodo1[[#This Row],[CONTA]],BaseContasDRE[#All],5,FALSE)),"Fora do DRE",VLOOKUP(Base_Periodo1[[#This Row],[CONTA]],BaseContasDRE[#All],6,FALSE))</f>
        <v>Fora do DRE</v>
      </c>
      <c r="U1296" s="3" t="str">
        <f>IF(ISERROR(VLOOKUP(Base_Periodo1[[#This Row],[CONTA]],BaseContasDRE[#All],7,FALSE)),"Fora do DRE",VLOOKUP(Base_Periodo1[[#This Row],[CONTA]],BaseContasDRE[#All],7,FALSE))</f>
        <v>Fora do DRE</v>
      </c>
      <c r="V1296" s="3" t="str">
        <f>IF(Base_Periodo1[[#This Row],[Tipo_Linha]]="Fora do DRE","Fora do DRE","( "&amp;Base_Periodo1[[#This Row],[Tipo_Linha]]&amp;" ) "&amp;Base_Periodo1[[#This Row],[Filtro]])</f>
        <v>Fora do DRE</v>
      </c>
      <c r="W1296" s="3" t="str">
        <f>LEFT(Base_Periodo1[[#This Row],[CLASS]],3)</f>
        <v>1.1</v>
      </c>
    </row>
    <row r="1297" spans="1:23" hidden="1">
      <c r="A1297" s="3" t="str">
        <f t="shared" si="20"/>
        <v>Período 1</v>
      </c>
      <c r="B1297">
        <v>150</v>
      </c>
      <c r="C1297" t="s">
        <v>1094</v>
      </c>
      <c r="D1297" t="s">
        <v>1063</v>
      </c>
      <c r="E1297" s="3" t="str">
        <f>IF(LEN(Base_Periodo1[[#This Row],[CLASS]])&gt;=7,LEFT(Base_Periodo1[[#This Row],[CLASS]],7),"")</f>
        <v>1.1.3.1</v>
      </c>
      <c r="F1297" s="3" t="str">
        <f>VLOOKUP(Base_Periodo1[[#This Row],[Aux]],Base_Contas_Balanco[#All],2,FALSE)</f>
        <v>Estoques Proprios</v>
      </c>
      <c r="G1297" s="1"/>
      <c r="H1297" s="225">
        <v>4653545.4499999285</v>
      </c>
      <c r="I1297" s="225">
        <v>651283.64000000025</v>
      </c>
      <c r="J1297" s="225">
        <v>0</v>
      </c>
      <c r="K1297" s="225">
        <v>5304829.0899999291</v>
      </c>
      <c r="L12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5304829.09</v>
      </c>
      <c r="M1297" s="225">
        <f>ROUND(IF(AND(Base_Periodo1[[#This Row],[Tipo_Linha]]="-",Base_Periodo1[[#This Row],[TIPOSALDO]]="D"),Base_Periodo1[[#This Row],[SALDO_ATUAL]]*-1,Base_Periodo1[[#This Row],[SALDO_ATUAL]]),4)</f>
        <v>5304829.09</v>
      </c>
      <c r="N1297" t="s">
        <v>396</v>
      </c>
      <c r="O1297" t="s">
        <v>397</v>
      </c>
      <c r="P1297" t="s">
        <v>397</v>
      </c>
      <c r="Q1297">
        <v>8</v>
      </c>
      <c r="R1297" s="225">
        <f>Base_Periodo1[[#This Row],[CREDITOS]]-Base_Periodo1[[#This Row],[DEBITOS]]</f>
        <v>-651283.64000000025</v>
      </c>
      <c r="S1297" s="3" t="str">
        <f>IF(ISERROR(VLOOKUP(Base_Periodo1[[#This Row],[CONTA]],BaseContasDRE[#All],4,FALSE)),"Fora do DRE",VLOOKUP(Base_Periodo1[[#This Row],[CONTA]],BaseContasDRE[#All],4,FALSE))</f>
        <v>Fora do DRE</v>
      </c>
      <c r="T1297" s="3" t="str">
        <f>IF(ISERROR(VLOOKUP(Base_Periodo1[[#This Row],[CONTA]],BaseContasDRE[#All],5,FALSE)),"Fora do DRE",VLOOKUP(Base_Periodo1[[#This Row],[CONTA]],BaseContasDRE[#All],6,FALSE))</f>
        <v>Fora do DRE</v>
      </c>
      <c r="U1297" s="3" t="str">
        <f>IF(ISERROR(VLOOKUP(Base_Periodo1[[#This Row],[CONTA]],BaseContasDRE[#All],7,FALSE)),"Fora do DRE",VLOOKUP(Base_Periodo1[[#This Row],[CONTA]],BaseContasDRE[#All],7,FALSE))</f>
        <v>Fora do DRE</v>
      </c>
      <c r="V1297" s="3" t="str">
        <f>IF(Base_Periodo1[[#This Row],[Tipo_Linha]]="Fora do DRE","Fora do DRE","( "&amp;Base_Periodo1[[#This Row],[Tipo_Linha]]&amp;" ) "&amp;Base_Periodo1[[#This Row],[Filtro]])</f>
        <v>Fora do DRE</v>
      </c>
      <c r="W1297" s="3" t="str">
        <f>LEFT(Base_Periodo1[[#This Row],[CLASS]],3)</f>
        <v>1.1</v>
      </c>
    </row>
    <row r="1298" spans="1:23" hidden="1">
      <c r="A1298" s="3" t="str">
        <f t="shared" si="20"/>
        <v>Período 1</v>
      </c>
      <c r="B1298">
        <v>152</v>
      </c>
      <c r="C1298" t="s">
        <v>1095</v>
      </c>
      <c r="D1298" t="s">
        <v>1065</v>
      </c>
      <c r="E1298" s="3" t="str">
        <f>IF(LEN(Base_Periodo1[[#This Row],[CLASS]])&gt;=7,LEFT(Base_Periodo1[[#This Row],[CLASS]],7),"")</f>
        <v>1.1.3.1</v>
      </c>
      <c r="F1298" s="3" t="str">
        <f>VLOOKUP(Base_Periodo1[[#This Row],[Aux]],Base_Contas_Balanco[#All],2,FALSE)</f>
        <v>Estoques Proprios</v>
      </c>
      <c r="G1298" s="1">
        <v>42886</v>
      </c>
      <c r="H1298" s="225">
        <v>4653545.4499999285</v>
      </c>
      <c r="I1298" s="225">
        <v>651283.64000000025</v>
      </c>
      <c r="J1298" s="225">
        <v>0</v>
      </c>
      <c r="K1298" s="225">
        <v>5304829.0899999291</v>
      </c>
      <c r="L12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5304829.09</v>
      </c>
      <c r="M1298" s="225">
        <f>ROUND(IF(AND(Base_Periodo1[[#This Row],[Tipo_Linha]]="-",Base_Periodo1[[#This Row],[TIPOSALDO]]="D"),Base_Periodo1[[#This Row],[SALDO_ATUAL]]*-1,Base_Periodo1[[#This Row],[SALDO_ATUAL]]),4)</f>
        <v>5304829.09</v>
      </c>
      <c r="N1298" t="s">
        <v>116</v>
      </c>
      <c r="O1298" t="s">
        <v>397</v>
      </c>
      <c r="P1298" t="s">
        <v>397</v>
      </c>
      <c r="Q1298">
        <v>9</v>
      </c>
      <c r="R1298" s="225">
        <f>Base_Periodo1[[#This Row],[CREDITOS]]-Base_Periodo1[[#This Row],[DEBITOS]]</f>
        <v>-651283.64000000025</v>
      </c>
      <c r="S1298" s="3" t="str">
        <f>IF(ISERROR(VLOOKUP(Base_Periodo1[[#This Row],[CONTA]],BaseContasDRE[#All],4,FALSE)),"Fora do DRE",VLOOKUP(Base_Periodo1[[#This Row],[CONTA]],BaseContasDRE[#All],4,FALSE))</f>
        <v>Fora do DRE</v>
      </c>
      <c r="T1298" s="3" t="str">
        <f>IF(ISERROR(VLOOKUP(Base_Periodo1[[#This Row],[CONTA]],BaseContasDRE[#All],5,FALSE)),"Fora do DRE",VLOOKUP(Base_Periodo1[[#This Row],[CONTA]],BaseContasDRE[#All],6,FALSE))</f>
        <v>Fora do DRE</v>
      </c>
      <c r="U1298" s="3" t="str">
        <f>IF(ISERROR(VLOOKUP(Base_Periodo1[[#This Row],[CONTA]],BaseContasDRE[#All],7,FALSE)),"Fora do DRE",VLOOKUP(Base_Periodo1[[#This Row],[CONTA]],BaseContasDRE[#All],7,FALSE))</f>
        <v>Fora do DRE</v>
      </c>
      <c r="V1298" s="3" t="str">
        <f>IF(Base_Periodo1[[#This Row],[Tipo_Linha]]="Fora do DRE","Fora do DRE","( "&amp;Base_Periodo1[[#This Row],[Tipo_Linha]]&amp;" ) "&amp;Base_Periodo1[[#This Row],[Filtro]])</f>
        <v>Fora do DRE</v>
      </c>
      <c r="W1298" s="3" t="str">
        <f>LEFT(Base_Periodo1[[#This Row],[CLASS]],3)</f>
        <v>1.1</v>
      </c>
    </row>
    <row r="1299" spans="1:23" hidden="1">
      <c r="A1299" s="3" t="str">
        <f t="shared" si="20"/>
        <v>Período 1</v>
      </c>
      <c r="B1299">
        <v>156</v>
      </c>
      <c r="C1299" t="s">
        <v>4565</v>
      </c>
      <c r="D1299" t="s">
        <v>1096</v>
      </c>
      <c r="E1299" s="3" t="str">
        <f>IF(LEN(Base_Periodo1[[#This Row],[CLASS]])&gt;=7,LEFT(Base_Periodo1[[#This Row],[CLASS]],7),"")</f>
        <v>1.1.3.1</v>
      </c>
      <c r="F1299" s="3" t="str">
        <f>VLOOKUP(Base_Periodo1[[#This Row],[Aux]],Base_Contas_Balanco[#All],2,FALSE)</f>
        <v>Estoques Proprios</v>
      </c>
      <c r="G1299" s="1"/>
      <c r="H1299" s="225">
        <v>874048.63999999943</v>
      </c>
      <c r="I1299" s="225">
        <v>0</v>
      </c>
      <c r="J1299" s="225">
        <v>0</v>
      </c>
      <c r="K1299" s="225">
        <v>874048.63999999943</v>
      </c>
      <c r="L12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874048.64</v>
      </c>
      <c r="M1299" s="225">
        <f>ROUND(IF(AND(Base_Periodo1[[#This Row],[Tipo_Linha]]="-",Base_Periodo1[[#This Row],[TIPOSALDO]]="D"),Base_Periodo1[[#This Row],[SALDO_ATUAL]]*-1,Base_Periodo1[[#This Row],[SALDO_ATUAL]]),4)</f>
        <v>874048.64</v>
      </c>
      <c r="N1299" t="s">
        <v>396</v>
      </c>
      <c r="O1299" t="s">
        <v>397</v>
      </c>
      <c r="P1299" t="s">
        <v>397</v>
      </c>
      <c r="Q1299">
        <v>8</v>
      </c>
      <c r="R1299" s="225">
        <f>Base_Periodo1[[#This Row],[CREDITOS]]-Base_Periodo1[[#This Row],[DEBITOS]]</f>
        <v>0</v>
      </c>
      <c r="S1299" s="3" t="str">
        <f>IF(ISERROR(VLOOKUP(Base_Periodo1[[#This Row],[CONTA]],BaseContasDRE[#All],4,FALSE)),"Fora do DRE",VLOOKUP(Base_Periodo1[[#This Row],[CONTA]],BaseContasDRE[#All],4,FALSE))</f>
        <v>Fora do DRE</v>
      </c>
      <c r="T1299" s="3" t="str">
        <f>IF(ISERROR(VLOOKUP(Base_Periodo1[[#This Row],[CONTA]],BaseContasDRE[#All],5,FALSE)),"Fora do DRE",VLOOKUP(Base_Periodo1[[#This Row],[CONTA]],BaseContasDRE[#All],6,FALSE))</f>
        <v>Fora do DRE</v>
      </c>
      <c r="U1299" s="3" t="str">
        <f>IF(ISERROR(VLOOKUP(Base_Periodo1[[#This Row],[CONTA]],BaseContasDRE[#All],7,FALSE)),"Fora do DRE",VLOOKUP(Base_Periodo1[[#This Row],[CONTA]],BaseContasDRE[#All],7,FALSE))</f>
        <v>Fora do DRE</v>
      </c>
      <c r="V1299" s="3" t="str">
        <f>IF(Base_Periodo1[[#This Row],[Tipo_Linha]]="Fora do DRE","Fora do DRE","( "&amp;Base_Periodo1[[#This Row],[Tipo_Linha]]&amp;" ) "&amp;Base_Periodo1[[#This Row],[Filtro]])</f>
        <v>Fora do DRE</v>
      </c>
      <c r="W1299" s="3" t="str">
        <f>LEFT(Base_Periodo1[[#This Row],[CLASS]],3)</f>
        <v>1.1</v>
      </c>
    </row>
    <row r="1300" spans="1:23" hidden="1">
      <c r="A1300" s="3" t="str">
        <f t="shared" si="20"/>
        <v>Período 1</v>
      </c>
      <c r="B1300">
        <v>49001</v>
      </c>
      <c r="C1300" t="s">
        <v>4566</v>
      </c>
      <c r="D1300" t="s">
        <v>4567</v>
      </c>
      <c r="E1300" s="3" t="str">
        <f>IF(LEN(Base_Periodo1[[#This Row],[CLASS]])&gt;=7,LEFT(Base_Periodo1[[#This Row],[CLASS]],7),"")</f>
        <v>1.1.3.1</v>
      </c>
      <c r="F1300" s="3" t="str">
        <f>VLOOKUP(Base_Periodo1[[#This Row],[Aux]],Base_Contas_Balanco[#All],2,FALSE)</f>
        <v>Estoques Proprios</v>
      </c>
      <c r="G1300" s="1">
        <v>42855</v>
      </c>
      <c r="H1300" s="225">
        <v>874048.63999999943</v>
      </c>
      <c r="I1300" s="225">
        <v>0</v>
      </c>
      <c r="J1300" s="225">
        <v>0</v>
      </c>
      <c r="K1300" s="225">
        <v>874048.63999999943</v>
      </c>
      <c r="L13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874048.64</v>
      </c>
      <c r="M1300" s="225">
        <f>ROUND(IF(AND(Base_Periodo1[[#This Row],[Tipo_Linha]]="-",Base_Periodo1[[#This Row],[TIPOSALDO]]="D"),Base_Periodo1[[#This Row],[SALDO_ATUAL]]*-1,Base_Periodo1[[#This Row],[SALDO_ATUAL]]),4)</f>
        <v>874048.64</v>
      </c>
      <c r="N1300" t="s">
        <v>116</v>
      </c>
      <c r="O1300" t="s">
        <v>397</v>
      </c>
      <c r="P1300" t="s">
        <v>397</v>
      </c>
      <c r="Q1300">
        <v>9</v>
      </c>
      <c r="R1300" s="225">
        <f>Base_Periodo1[[#This Row],[CREDITOS]]-Base_Periodo1[[#This Row],[DEBITOS]]</f>
        <v>0</v>
      </c>
      <c r="S1300" s="3" t="str">
        <f>IF(ISERROR(VLOOKUP(Base_Periodo1[[#This Row],[CONTA]],BaseContasDRE[#All],4,FALSE)),"Fora do DRE",VLOOKUP(Base_Periodo1[[#This Row],[CONTA]],BaseContasDRE[#All],4,FALSE))</f>
        <v>Fora do DRE</v>
      </c>
      <c r="T1300" s="3" t="str">
        <f>IF(ISERROR(VLOOKUP(Base_Periodo1[[#This Row],[CONTA]],BaseContasDRE[#All],5,FALSE)),"Fora do DRE",VLOOKUP(Base_Periodo1[[#This Row],[CONTA]],BaseContasDRE[#All],6,FALSE))</f>
        <v>Fora do DRE</v>
      </c>
      <c r="U1300" s="3" t="str">
        <f>IF(ISERROR(VLOOKUP(Base_Periodo1[[#This Row],[CONTA]],BaseContasDRE[#All],7,FALSE)),"Fora do DRE",VLOOKUP(Base_Periodo1[[#This Row],[CONTA]],BaseContasDRE[#All],7,FALSE))</f>
        <v>Fora do DRE</v>
      </c>
      <c r="V1300" s="3" t="str">
        <f>IF(Base_Periodo1[[#This Row],[Tipo_Linha]]="Fora do DRE","Fora do DRE","( "&amp;Base_Periodo1[[#This Row],[Tipo_Linha]]&amp;" ) "&amp;Base_Periodo1[[#This Row],[Filtro]])</f>
        <v>Fora do DRE</v>
      </c>
      <c r="W1300" s="3" t="str">
        <f>LEFT(Base_Periodo1[[#This Row],[CLASS]],3)</f>
        <v>1.1</v>
      </c>
    </row>
    <row r="1301" spans="1:23" hidden="1">
      <c r="A1301" s="3" t="str">
        <f t="shared" si="20"/>
        <v>Período 1</v>
      </c>
      <c r="B1301">
        <v>158</v>
      </c>
      <c r="C1301" t="s">
        <v>1097</v>
      </c>
      <c r="D1301" t="s">
        <v>1067</v>
      </c>
      <c r="E1301" s="3" t="str">
        <f>IF(LEN(Base_Periodo1[[#This Row],[CLASS]])&gt;=7,LEFT(Base_Periodo1[[#This Row],[CLASS]],7),"")</f>
        <v>1.1.3.1</v>
      </c>
      <c r="F1301" s="3" t="str">
        <f>VLOOKUP(Base_Periodo1[[#This Row],[Aux]],Base_Contas_Balanco[#All],2,FALSE)</f>
        <v>Estoques Proprios</v>
      </c>
      <c r="G1301" s="1"/>
      <c r="H1301" s="225">
        <v>14510273.469999969</v>
      </c>
      <c r="I1301" s="225">
        <v>0</v>
      </c>
      <c r="J1301" s="225">
        <v>963011.73</v>
      </c>
      <c r="K1301" s="225">
        <v>15473285.199999969</v>
      </c>
      <c r="L13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-15473285.199999999</v>
      </c>
      <c r="M1301" s="225">
        <f>ROUND(IF(AND(Base_Periodo1[[#This Row],[Tipo_Linha]]="-",Base_Periodo1[[#This Row],[TIPOSALDO]]="D"),Base_Periodo1[[#This Row],[SALDO_ATUAL]]*-1,Base_Periodo1[[#This Row],[SALDO_ATUAL]]),4)</f>
        <v>15473285.199999999</v>
      </c>
      <c r="N1301" t="s">
        <v>396</v>
      </c>
      <c r="O1301" t="s">
        <v>459</v>
      </c>
      <c r="P1301" t="s">
        <v>459</v>
      </c>
      <c r="Q1301">
        <v>8</v>
      </c>
      <c r="R1301" s="225">
        <f>Base_Periodo1[[#This Row],[CREDITOS]]-Base_Periodo1[[#This Row],[DEBITOS]]</f>
        <v>963011.73</v>
      </c>
      <c r="S1301" s="3" t="str">
        <f>IF(ISERROR(VLOOKUP(Base_Periodo1[[#This Row],[CONTA]],BaseContasDRE[#All],4,FALSE)),"Fora do DRE",VLOOKUP(Base_Periodo1[[#This Row],[CONTA]],BaseContasDRE[#All],4,FALSE))</f>
        <v>Fora do DRE</v>
      </c>
      <c r="T1301" s="3" t="str">
        <f>IF(ISERROR(VLOOKUP(Base_Periodo1[[#This Row],[CONTA]],BaseContasDRE[#All],5,FALSE)),"Fora do DRE",VLOOKUP(Base_Periodo1[[#This Row],[CONTA]],BaseContasDRE[#All],6,FALSE))</f>
        <v>Fora do DRE</v>
      </c>
      <c r="U1301" s="3" t="str">
        <f>IF(ISERROR(VLOOKUP(Base_Periodo1[[#This Row],[CONTA]],BaseContasDRE[#All],7,FALSE)),"Fora do DRE",VLOOKUP(Base_Periodo1[[#This Row],[CONTA]],BaseContasDRE[#All],7,FALSE))</f>
        <v>Fora do DRE</v>
      </c>
      <c r="V1301" s="3" t="str">
        <f>IF(Base_Periodo1[[#This Row],[Tipo_Linha]]="Fora do DRE","Fora do DRE","( "&amp;Base_Periodo1[[#This Row],[Tipo_Linha]]&amp;" ) "&amp;Base_Periodo1[[#This Row],[Filtro]])</f>
        <v>Fora do DRE</v>
      </c>
      <c r="W1301" s="3" t="str">
        <f>LEFT(Base_Periodo1[[#This Row],[CLASS]],3)</f>
        <v>1.1</v>
      </c>
    </row>
    <row r="1302" spans="1:23" hidden="1">
      <c r="A1302" s="3" t="str">
        <f t="shared" si="20"/>
        <v>Período 1</v>
      </c>
      <c r="B1302">
        <v>160</v>
      </c>
      <c r="C1302" t="s">
        <v>1098</v>
      </c>
      <c r="D1302" t="s">
        <v>1070</v>
      </c>
      <c r="E1302" s="3" t="str">
        <f>IF(LEN(Base_Periodo1[[#This Row],[CLASS]])&gt;=7,LEFT(Base_Periodo1[[#This Row],[CLASS]],7),"")</f>
        <v>1.1.3.1</v>
      </c>
      <c r="F1302" s="3" t="str">
        <f>VLOOKUP(Base_Periodo1[[#This Row],[Aux]],Base_Contas_Balanco[#All],2,FALSE)</f>
        <v>Estoques Proprios</v>
      </c>
      <c r="G1302" s="1">
        <v>42886</v>
      </c>
      <c r="H1302" s="225">
        <v>14510273.469999969</v>
      </c>
      <c r="I1302" s="225">
        <v>0</v>
      </c>
      <c r="J1302" s="225">
        <v>963011.73</v>
      </c>
      <c r="K1302" s="225">
        <v>15473285.199999969</v>
      </c>
      <c r="L13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-15473285.199999999</v>
      </c>
      <c r="M1302" s="225">
        <f>ROUND(IF(AND(Base_Periodo1[[#This Row],[Tipo_Linha]]="-",Base_Periodo1[[#This Row],[TIPOSALDO]]="D"),Base_Periodo1[[#This Row],[SALDO_ATUAL]]*-1,Base_Periodo1[[#This Row],[SALDO_ATUAL]]),4)</f>
        <v>15473285.199999999</v>
      </c>
      <c r="N1302" t="s">
        <v>116</v>
      </c>
      <c r="O1302" t="s">
        <v>459</v>
      </c>
      <c r="P1302" t="s">
        <v>459</v>
      </c>
      <c r="Q1302">
        <v>9</v>
      </c>
      <c r="R1302" s="225">
        <f>Base_Periodo1[[#This Row],[CREDITOS]]-Base_Periodo1[[#This Row],[DEBITOS]]</f>
        <v>963011.73</v>
      </c>
      <c r="S1302" s="3" t="str">
        <f>IF(ISERROR(VLOOKUP(Base_Periodo1[[#This Row],[CONTA]],BaseContasDRE[#All],4,FALSE)),"Fora do DRE",VLOOKUP(Base_Periodo1[[#This Row],[CONTA]],BaseContasDRE[#All],4,FALSE))</f>
        <v>Fora do DRE</v>
      </c>
      <c r="T1302" s="3" t="str">
        <f>IF(ISERROR(VLOOKUP(Base_Periodo1[[#This Row],[CONTA]],BaseContasDRE[#All],5,FALSE)),"Fora do DRE",VLOOKUP(Base_Periodo1[[#This Row],[CONTA]],BaseContasDRE[#All],6,FALSE))</f>
        <v>Fora do DRE</v>
      </c>
      <c r="U1302" s="3" t="str">
        <f>IF(ISERROR(VLOOKUP(Base_Periodo1[[#This Row],[CONTA]],BaseContasDRE[#All],7,FALSE)),"Fora do DRE",VLOOKUP(Base_Periodo1[[#This Row],[CONTA]],BaseContasDRE[#All],7,FALSE))</f>
        <v>Fora do DRE</v>
      </c>
      <c r="V1302" s="3" t="str">
        <f>IF(Base_Periodo1[[#This Row],[Tipo_Linha]]="Fora do DRE","Fora do DRE","( "&amp;Base_Periodo1[[#This Row],[Tipo_Linha]]&amp;" ) "&amp;Base_Periodo1[[#This Row],[Filtro]])</f>
        <v>Fora do DRE</v>
      </c>
      <c r="W1302" s="3" t="str">
        <f>LEFT(Base_Periodo1[[#This Row],[CLASS]],3)</f>
        <v>1.1</v>
      </c>
    </row>
    <row r="1303" spans="1:23" hidden="1">
      <c r="A1303" s="3" t="str">
        <f t="shared" si="20"/>
        <v>Período 1</v>
      </c>
      <c r="B1303">
        <v>164</v>
      </c>
      <c r="C1303" t="s">
        <v>1099</v>
      </c>
      <c r="D1303" t="s">
        <v>1072</v>
      </c>
      <c r="E1303" s="3" t="str">
        <f>IF(LEN(Base_Periodo1[[#This Row],[CLASS]])&gt;=7,LEFT(Base_Periodo1[[#This Row],[CLASS]],7),"")</f>
        <v>1.1.3.1</v>
      </c>
      <c r="F1303" s="3" t="str">
        <f>VLOOKUP(Base_Periodo1[[#This Row],[Aux]],Base_Contas_Balanco[#All],2,FALSE)</f>
        <v>Estoques Proprios</v>
      </c>
      <c r="G1303" s="1"/>
      <c r="H1303" s="225">
        <v>4653545.4499999136</v>
      </c>
      <c r="I1303" s="225">
        <v>0</v>
      </c>
      <c r="J1303" s="225">
        <v>660675.31000000029</v>
      </c>
      <c r="K1303" s="225">
        <v>5314220.7599999141</v>
      </c>
      <c r="L13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-5314220.76</v>
      </c>
      <c r="M1303" s="225">
        <f>ROUND(IF(AND(Base_Periodo1[[#This Row],[Tipo_Linha]]="-",Base_Periodo1[[#This Row],[TIPOSALDO]]="D"),Base_Periodo1[[#This Row],[SALDO_ATUAL]]*-1,Base_Periodo1[[#This Row],[SALDO_ATUAL]]),4)</f>
        <v>5314220.76</v>
      </c>
      <c r="N1303" t="s">
        <v>396</v>
      </c>
      <c r="O1303" t="s">
        <v>459</v>
      </c>
      <c r="P1303" t="s">
        <v>459</v>
      </c>
      <c r="Q1303">
        <v>8</v>
      </c>
      <c r="R1303" s="225">
        <f>Base_Periodo1[[#This Row],[CREDITOS]]-Base_Periodo1[[#This Row],[DEBITOS]]</f>
        <v>660675.31000000029</v>
      </c>
      <c r="S1303" s="3" t="str">
        <f>IF(ISERROR(VLOOKUP(Base_Periodo1[[#This Row],[CONTA]],BaseContasDRE[#All],4,FALSE)),"Fora do DRE",VLOOKUP(Base_Periodo1[[#This Row],[CONTA]],BaseContasDRE[#All],4,FALSE))</f>
        <v>Fora do DRE</v>
      </c>
      <c r="T1303" s="3" t="str">
        <f>IF(ISERROR(VLOOKUP(Base_Periodo1[[#This Row],[CONTA]],BaseContasDRE[#All],5,FALSE)),"Fora do DRE",VLOOKUP(Base_Periodo1[[#This Row],[CONTA]],BaseContasDRE[#All],6,FALSE))</f>
        <v>Fora do DRE</v>
      </c>
      <c r="U1303" s="3" t="str">
        <f>IF(ISERROR(VLOOKUP(Base_Periodo1[[#This Row],[CONTA]],BaseContasDRE[#All],7,FALSE)),"Fora do DRE",VLOOKUP(Base_Periodo1[[#This Row],[CONTA]],BaseContasDRE[#All],7,FALSE))</f>
        <v>Fora do DRE</v>
      </c>
      <c r="V1303" s="3" t="str">
        <f>IF(Base_Periodo1[[#This Row],[Tipo_Linha]]="Fora do DRE","Fora do DRE","( "&amp;Base_Periodo1[[#This Row],[Tipo_Linha]]&amp;" ) "&amp;Base_Periodo1[[#This Row],[Filtro]])</f>
        <v>Fora do DRE</v>
      </c>
      <c r="W1303" s="3" t="str">
        <f>LEFT(Base_Periodo1[[#This Row],[CLASS]],3)</f>
        <v>1.1</v>
      </c>
    </row>
    <row r="1304" spans="1:23" hidden="1">
      <c r="A1304" s="3" t="str">
        <f t="shared" si="20"/>
        <v>Período 1</v>
      </c>
      <c r="B1304">
        <v>166</v>
      </c>
      <c r="C1304" t="s">
        <v>1100</v>
      </c>
      <c r="D1304" t="s">
        <v>1074</v>
      </c>
      <c r="E1304" s="3" t="str">
        <f>IF(LEN(Base_Periodo1[[#This Row],[CLASS]])&gt;=7,LEFT(Base_Periodo1[[#This Row],[CLASS]],7),"")</f>
        <v>1.1.3.1</v>
      </c>
      <c r="F1304" s="3" t="str">
        <f>VLOOKUP(Base_Periodo1[[#This Row],[Aux]],Base_Contas_Balanco[#All],2,FALSE)</f>
        <v>Estoques Proprios</v>
      </c>
      <c r="G1304" s="1">
        <v>42886</v>
      </c>
      <c r="H1304" s="225">
        <v>4653545.4499999136</v>
      </c>
      <c r="I1304" s="225">
        <v>0</v>
      </c>
      <c r="J1304" s="225">
        <v>660675.31000000029</v>
      </c>
      <c r="K1304" s="225">
        <v>5314220.7599999141</v>
      </c>
      <c r="L13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-5314220.76</v>
      </c>
      <c r="M1304" s="225">
        <f>ROUND(IF(AND(Base_Periodo1[[#This Row],[Tipo_Linha]]="-",Base_Periodo1[[#This Row],[TIPOSALDO]]="D"),Base_Periodo1[[#This Row],[SALDO_ATUAL]]*-1,Base_Periodo1[[#This Row],[SALDO_ATUAL]]),4)</f>
        <v>5314220.76</v>
      </c>
      <c r="N1304" t="s">
        <v>116</v>
      </c>
      <c r="O1304" t="s">
        <v>459</v>
      </c>
      <c r="P1304" t="s">
        <v>459</v>
      </c>
      <c r="Q1304">
        <v>9</v>
      </c>
      <c r="R1304" s="225">
        <f>Base_Periodo1[[#This Row],[CREDITOS]]-Base_Periodo1[[#This Row],[DEBITOS]]</f>
        <v>660675.31000000029</v>
      </c>
      <c r="S1304" s="3" t="str">
        <f>IF(ISERROR(VLOOKUP(Base_Periodo1[[#This Row],[CONTA]],BaseContasDRE[#All],4,FALSE)),"Fora do DRE",VLOOKUP(Base_Periodo1[[#This Row],[CONTA]],BaseContasDRE[#All],4,FALSE))</f>
        <v>Fora do DRE</v>
      </c>
      <c r="T1304" s="3" t="str">
        <f>IF(ISERROR(VLOOKUP(Base_Periodo1[[#This Row],[CONTA]],BaseContasDRE[#All],5,FALSE)),"Fora do DRE",VLOOKUP(Base_Periodo1[[#This Row],[CONTA]],BaseContasDRE[#All],6,FALSE))</f>
        <v>Fora do DRE</v>
      </c>
      <c r="U1304" s="3" t="str">
        <f>IF(ISERROR(VLOOKUP(Base_Periodo1[[#This Row],[CONTA]],BaseContasDRE[#All],7,FALSE)),"Fora do DRE",VLOOKUP(Base_Periodo1[[#This Row],[CONTA]],BaseContasDRE[#All],7,FALSE))</f>
        <v>Fora do DRE</v>
      </c>
      <c r="V1304" s="3" t="str">
        <f>IF(Base_Periodo1[[#This Row],[Tipo_Linha]]="Fora do DRE","Fora do DRE","( "&amp;Base_Periodo1[[#This Row],[Tipo_Linha]]&amp;" ) "&amp;Base_Periodo1[[#This Row],[Filtro]])</f>
        <v>Fora do DRE</v>
      </c>
      <c r="W1304" s="3" t="str">
        <f>LEFT(Base_Periodo1[[#This Row],[CLASS]],3)</f>
        <v>1.1</v>
      </c>
    </row>
    <row r="1305" spans="1:23" hidden="1">
      <c r="A1305" s="3" t="str">
        <f t="shared" si="20"/>
        <v>Período 1</v>
      </c>
      <c r="B1305">
        <v>186</v>
      </c>
      <c r="C1305" t="s">
        <v>1101</v>
      </c>
      <c r="D1305" t="s">
        <v>1102</v>
      </c>
      <c r="E1305" s="3" t="str">
        <f>IF(LEN(Base_Periodo1[[#This Row],[CLASS]])&gt;=7,LEFT(Base_Periodo1[[#This Row],[CLASS]],7),"")</f>
        <v>1.1.3.1</v>
      </c>
      <c r="F1305" s="3" t="str">
        <f>VLOOKUP(Base_Periodo1[[#This Row],[Aux]],Base_Contas_Balanco[#All],2,FALSE)</f>
        <v>Estoques Proprios</v>
      </c>
      <c r="G1305" s="1"/>
      <c r="I1305" s="225">
        <v>6122202.7299999995</v>
      </c>
      <c r="J1305" s="225">
        <v>5192925.95</v>
      </c>
      <c r="K1305" s="225">
        <v>929276.77999993879</v>
      </c>
      <c r="L13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929276.78</v>
      </c>
      <c r="M1305" s="225">
        <f>ROUND(IF(AND(Base_Periodo1[[#This Row],[Tipo_Linha]]="-",Base_Periodo1[[#This Row],[TIPOSALDO]]="D"),Base_Periodo1[[#This Row],[SALDO_ATUAL]]*-1,Base_Periodo1[[#This Row],[SALDO_ATUAL]]),4)</f>
        <v>929276.78</v>
      </c>
      <c r="N1305" t="s">
        <v>396</v>
      </c>
      <c r="O1305" t="s">
        <v>436</v>
      </c>
      <c r="P1305" t="s">
        <v>397</v>
      </c>
      <c r="Q1305">
        <v>7</v>
      </c>
      <c r="R1305" s="225">
        <f>Base_Periodo1[[#This Row],[CREDITOS]]-Base_Periodo1[[#This Row],[DEBITOS]]</f>
        <v>-929276.77999999933</v>
      </c>
      <c r="S1305" s="3" t="str">
        <f>IF(ISERROR(VLOOKUP(Base_Periodo1[[#This Row],[CONTA]],BaseContasDRE[#All],4,FALSE)),"Fora do DRE",VLOOKUP(Base_Periodo1[[#This Row],[CONTA]],BaseContasDRE[#All],4,FALSE))</f>
        <v>Fora do DRE</v>
      </c>
      <c r="T1305" s="3" t="str">
        <f>IF(ISERROR(VLOOKUP(Base_Periodo1[[#This Row],[CONTA]],BaseContasDRE[#All],5,FALSE)),"Fora do DRE",VLOOKUP(Base_Periodo1[[#This Row],[CONTA]],BaseContasDRE[#All],6,FALSE))</f>
        <v>Fora do DRE</v>
      </c>
      <c r="U1305" s="3" t="str">
        <f>IF(ISERROR(VLOOKUP(Base_Periodo1[[#This Row],[CONTA]],BaseContasDRE[#All],7,FALSE)),"Fora do DRE",VLOOKUP(Base_Periodo1[[#This Row],[CONTA]],BaseContasDRE[#All],7,FALSE))</f>
        <v>Fora do DRE</v>
      </c>
      <c r="V1305" s="3" t="str">
        <f>IF(Base_Periodo1[[#This Row],[Tipo_Linha]]="Fora do DRE","Fora do DRE","( "&amp;Base_Periodo1[[#This Row],[Tipo_Linha]]&amp;" ) "&amp;Base_Periodo1[[#This Row],[Filtro]])</f>
        <v>Fora do DRE</v>
      </c>
      <c r="W1305" s="3" t="str">
        <f>LEFT(Base_Periodo1[[#This Row],[CLASS]],3)</f>
        <v>1.1</v>
      </c>
    </row>
    <row r="1306" spans="1:23" hidden="1">
      <c r="A1306" s="3" t="str">
        <f t="shared" si="20"/>
        <v>Período 1</v>
      </c>
      <c r="B1306">
        <v>187</v>
      </c>
      <c r="C1306" t="s">
        <v>1103</v>
      </c>
      <c r="D1306" t="s">
        <v>1054</v>
      </c>
      <c r="E1306" s="3" t="str">
        <f>IF(LEN(Base_Periodo1[[#This Row],[CLASS]])&gt;=7,LEFT(Base_Periodo1[[#This Row],[CLASS]],7),"")</f>
        <v>1.1.3.1</v>
      </c>
      <c r="F1306" s="3" t="str">
        <f>VLOOKUP(Base_Periodo1[[#This Row],[Aux]],Base_Contas_Balanco[#All],2,FALSE)</f>
        <v>Estoques Proprios</v>
      </c>
      <c r="G1306" s="1"/>
      <c r="H1306" s="225">
        <v>176068.1400000006</v>
      </c>
      <c r="I1306" s="225">
        <v>0</v>
      </c>
      <c r="J1306" s="225">
        <v>0</v>
      </c>
      <c r="K1306" s="225">
        <v>176068.1400000006</v>
      </c>
      <c r="L13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176068.14</v>
      </c>
      <c r="M1306" s="225">
        <f>ROUND(IF(AND(Base_Periodo1[[#This Row],[Tipo_Linha]]="-",Base_Periodo1[[#This Row],[TIPOSALDO]]="D"),Base_Periodo1[[#This Row],[SALDO_ATUAL]]*-1,Base_Periodo1[[#This Row],[SALDO_ATUAL]]),4)</f>
        <v>176068.14</v>
      </c>
      <c r="N1306" t="s">
        <v>396</v>
      </c>
      <c r="O1306" t="s">
        <v>397</v>
      </c>
      <c r="P1306" t="s">
        <v>397</v>
      </c>
      <c r="Q1306">
        <v>8</v>
      </c>
      <c r="R1306" s="225">
        <f>Base_Periodo1[[#This Row],[CREDITOS]]-Base_Periodo1[[#This Row],[DEBITOS]]</f>
        <v>0</v>
      </c>
      <c r="S1306" s="3" t="str">
        <f>IF(ISERROR(VLOOKUP(Base_Periodo1[[#This Row],[CONTA]],BaseContasDRE[#All],4,FALSE)),"Fora do DRE",VLOOKUP(Base_Periodo1[[#This Row],[CONTA]],BaseContasDRE[#All],4,FALSE))</f>
        <v>Fora do DRE</v>
      </c>
      <c r="T1306" s="3" t="str">
        <f>IF(ISERROR(VLOOKUP(Base_Periodo1[[#This Row],[CONTA]],BaseContasDRE[#All],5,FALSE)),"Fora do DRE",VLOOKUP(Base_Periodo1[[#This Row],[CONTA]],BaseContasDRE[#All],6,FALSE))</f>
        <v>Fora do DRE</v>
      </c>
      <c r="U1306" s="3" t="str">
        <f>IF(ISERROR(VLOOKUP(Base_Periodo1[[#This Row],[CONTA]],BaseContasDRE[#All],7,FALSE)),"Fora do DRE",VLOOKUP(Base_Periodo1[[#This Row],[CONTA]],BaseContasDRE[#All],7,FALSE))</f>
        <v>Fora do DRE</v>
      </c>
      <c r="V1306" s="3" t="str">
        <f>IF(Base_Periodo1[[#This Row],[Tipo_Linha]]="Fora do DRE","Fora do DRE","( "&amp;Base_Periodo1[[#This Row],[Tipo_Linha]]&amp;" ) "&amp;Base_Periodo1[[#This Row],[Filtro]])</f>
        <v>Fora do DRE</v>
      </c>
      <c r="W1306" s="3" t="str">
        <f>LEFT(Base_Periodo1[[#This Row],[CLASS]],3)</f>
        <v>1.1</v>
      </c>
    </row>
    <row r="1307" spans="1:23" hidden="1">
      <c r="A1307" s="3" t="str">
        <f t="shared" si="20"/>
        <v>Período 1</v>
      </c>
      <c r="B1307">
        <v>188</v>
      </c>
      <c r="C1307" t="s">
        <v>1104</v>
      </c>
      <c r="D1307" t="s">
        <v>1054</v>
      </c>
      <c r="E1307" s="3" t="str">
        <f>IF(LEN(Base_Periodo1[[#This Row],[CLASS]])&gt;=7,LEFT(Base_Periodo1[[#This Row],[CLASS]],7),"")</f>
        <v>1.1.3.1</v>
      </c>
      <c r="F1307" s="3" t="str">
        <f>VLOOKUP(Base_Periodo1[[#This Row],[Aux]],Base_Contas_Balanco[#All],2,FALSE)</f>
        <v>Estoques Proprios</v>
      </c>
      <c r="G1307" s="1">
        <v>42735</v>
      </c>
      <c r="H1307" s="225">
        <v>176068.1400000006</v>
      </c>
      <c r="I1307" s="225">
        <v>0</v>
      </c>
      <c r="J1307" s="225">
        <v>0</v>
      </c>
      <c r="K1307" s="225">
        <v>176068.1400000006</v>
      </c>
      <c r="L13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176068.14</v>
      </c>
      <c r="M1307" s="225">
        <f>ROUND(IF(AND(Base_Periodo1[[#This Row],[Tipo_Linha]]="-",Base_Periodo1[[#This Row],[TIPOSALDO]]="D"),Base_Periodo1[[#This Row],[SALDO_ATUAL]]*-1,Base_Periodo1[[#This Row],[SALDO_ATUAL]]),4)</f>
        <v>176068.14</v>
      </c>
      <c r="N1307" t="s">
        <v>116</v>
      </c>
      <c r="O1307" t="s">
        <v>397</v>
      </c>
      <c r="P1307" t="s">
        <v>397</v>
      </c>
      <c r="Q1307">
        <v>9</v>
      </c>
      <c r="R1307" s="225">
        <f>Base_Periodo1[[#This Row],[CREDITOS]]-Base_Periodo1[[#This Row],[DEBITOS]]</f>
        <v>0</v>
      </c>
      <c r="S1307" s="3" t="str">
        <f>IF(ISERROR(VLOOKUP(Base_Periodo1[[#This Row],[CONTA]],BaseContasDRE[#All],4,FALSE)),"Fora do DRE",VLOOKUP(Base_Periodo1[[#This Row],[CONTA]],BaseContasDRE[#All],4,FALSE))</f>
        <v>Fora do DRE</v>
      </c>
      <c r="T1307" s="3" t="str">
        <f>IF(ISERROR(VLOOKUP(Base_Periodo1[[#This Row],[CONTA]],BaseContasDRE[#All],5,FALSE)),"Fora do DRE",VLOOKUP(Base_Periodo1[[#This Row],[CONTA]],BaseContasDRE[#All],6,FALSE))</f>
        <v>Fora do DRE</v>
      </c>
      <c r="U1307" s="3" t="str">
        <f>IF(ISERROR(VLOOKUP(Base_Periodo1[[#This Row],[CONTA]],BaseContasDRE[#All],7,FALSE)),"Fora do DRE",VLOOKUP(Base_Periodo1[[#This Row],[CONTA]],BaseContasDRE[#All],7,FALSE))</f>
        <v>Fora do DRE</v>
      </c>
      <c r="V1307" s="3" t="str">
        <f>IF(Base_Periodo1[[#This Row],[Tipo_Linha]]="Fora do DRE","Fora do DRE","( "&amp;Base_Periodo1[[#This Row],[Tipo_Linha]]&amp;" ) "&amp;Base_Periodo1[[#This Row],[Filtro]])</f>
        <v>Fora do DRE</v>
      </c>
      <c r="W1307" s="3" t="str">
        <f>LEFT(Base_Periodo1[[#This Row],[CLASS]],3)</f>
        <v>1.1</v>
      </c>
    </row>
    <row r="1308" spans="1:23" hidden="1">
      <c r="A1308" s="3" t="str">
        <f t="shared" si="20"/>
        <v>Período 1</v>
      </c>
      <c r="B1308">
        <v>189</v>
      </c>
      <c r="C1308" t="s">
        <v>1105</v>
      </c>
      <c r="D1308" t="s">
        <v>1057</v>
      </c>
      <c r="E1308" s="3" t="str">
        <f>IF(LEN(Base_Periodo1[[#This Row],[CLASS]])&gt;=7,LEFT(Base_Periodo1[[#This Row],[CLASS]],7),"")</f>
        <v>1.1.3.1</v>
      </c>
      <c r="F1308" s="3" t="str">
        <f>VLOOKUP(Base_Periodo1[[#This Row],[Aux]],Base_Contas_Balanco[#All],2,FALSE)</f>
        <v>Estoques Proprios</v>
      </c>
      <c r="G1308" s="1"/>
      <c r="H1308" s="225">
        <v>5207057.2099999562</v>
      </c>
      <c r="I1308" s="225">
        <v>5228955.0599999996</v>
      </c>
      <c r="J1308" s="225">
        <v>138.75</v>
      </c>
      <c r="K1308" s="225">
        <v>10435873.519999955</v>
      </c>
      <c r="L13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10435873.52</v>
      </c>
      <c r="M1308" s="225">
        <f>ROUND(IF(AND(Base_Periodo1[[#This Row],[Tipo_Linha]]="-",Base_Periodo1[[#This Row],[TIPOSALDO]]="D"),Base_Periodo1[[#This Row],[SALDO_ATUAL]]*-1,Base_Periodo1[[#This Row],[SALDO_ATUAL]]),4)</f>
        <v>10435873.52</v>
      </c>
      <c r="N1308" t="s">
        <v>396</v>
      </c>
      <c r="O1308" t="s">
        <v>397</v>
      </c>
      <c r="P1308" t="s">
        <v>397</v>
      </c>
      <c r="Q1308">
        <v>8</v>
      </c>
      <c r="R1308" s="225">
        <f>Base_Periodo1[[#This Row],[CREDITOS]]-Base_Periodo1[[#This Row],[DEBITOS]]</f>
        <v>-5228816.3099999996</v>
      </c>
      <c r="S1308" s="3" t="str">
        <f>IF(ISERROR(VLOOKUP(Base_Periodo1[[#This Row],[CONTA]],BaseContasDRE[#All],4,FALSE)),"Fora do DRE",VLOOKUP(Base_Periodo1[[#This Row],[CONTA]],BaseContasDRE[#All],4,FALSE))</f>
        <v>Fora do DRE</v>
      </c>
      <c r="T1308" s="3" t="str">
        <f>IF(ISERROR(VLOOKUP(Base_Periodo1[[#This Row],[CONTA]],BaseContasDRE[#All],5,FALSE)),"Fora do DRE",VLOOKUP(Base_Periodo1[[#This Row],[CONTA]],BaseContasDRE[#All],6,FALSE))</f>
        <v>Fora do DRE</v>
      </c>
      <c r="U1308" s="3" t="str">
        <f>IF(ISERROR(VLOOKUP(Base_Periodo1[[#This Row],[CONTA]],BaseContasDRE[#All],7,FALSE)),"Fora do DRE",VLOOKUP(Base_Periodo1[[#This Row],[CONTA]],BaseContasDRE[#All],7,FALSE))</f>
        <v>Fora do DRE</v>
      </c>
      <c r="V1308" s="3" t="str">
        <f>IF(Base_Periodo1[[#This Row],[Tipo_Linha]]="Fora do DRE","Fora do DRE","( "&amp;Base_Periodo1[[#This Row],[Tipo_Linha]]&amp;" ) "&amp;Base_Periodo1[[#This Row],[Filtro]])</f>
        <v>Fora do DRE</v>
      </c>
      <c r="W1308" s="3" t="str">
        <f>LEFT(Base_Periodo1[[#This Row],[CLASS]],3)</f>
        <v>1.1</v>
      </c>
    </row>
    <row r="1309" spans="1:23" hidden="1">
      <c r="A1309" s="3" t="str">
        <f t="shared" si="20"/>
        <v>Período 1</v>
      </c>
      <c r="B1309">
        <v>190</v>
      </c>
      <c r="C1309" t="s">
        <v>1106</v>
      </c>
      <c r="D1309" t="s">
        <v>1059</v>
      </c>
      <c r="E1309" s="3" t="str">
        <f>IF(LEN(Base_Periodo1[[#This Row],[CLASS]])&gt;=7,LEFT(Base_Periodo1[[#This Row],[CLASS]],7),"")</f>
        <v>1.1.3.1</v>
      </c>
      <c r="F1309" s="3" t="str">
        <f>VLOOKUP(Base_Periodo1[[#This Row],[Aux]],Base_Contas_Balanco[#All],2,FALSE)</f>
        <v>Estoques Proprios</v>
      </c>
      <c r="G1309" s="1">
        <v>42886</v>
      </c>
      <c r="H1309" s="225">
        <v>4773423.2299999595</v>
      </c>
      <c r="I1309" s="225">
        <v>5034613.25</v>
      </c>
      <c r="J1309" s="225">
        <v>138.75</v>
      </c>
      <c r="K1309" s="225">
        <v>9807897.7299999595</v>
      </c>
      <c r="L13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9807897.7300000004</v>
      </c>
      <c r="M1309" s="225">
        <f>ROUND(IF(AND(Base_Periodo1[[#This Row],[Tipo_Linha]]="-",Base_Periodo1[[#This Row],[TIPOSALDO]]="D"),Base_Periodo1[[#This Row],[SALDO_ATUAL]]*-1,Base_Periodo1[[#This Row],[SALDO_ATUAL]]),4)</f>
        <v>9807897.7300000004</v>
      </c>
      <c r="N1309" t="s">
        <v>116</v>
      </c>
      <c r="O1309" t="s">
        <v>397</v>
      </c>
      <c r="P1309" t="s">
        <v>397</v>
      </c>
      <c r="Q1309">
        <v>9</v>
      </c>
      <c r="R1309" s="225">
        <f>Base_Periodo1[[#This Row],[CREDITOS]]-Base_Periodo1[[#This Row],[DEBITOS]]</f>
        <v>-5034474.5</v>
      </c>
      <c r="S1309" s="3" t="str">
        <f>IF(ISERROR(VLOOKUP(Base_Periodo1[[#This Row],[CONTA]],BaseContasDRE[#All],4,FALSE)),"Fora do DRE",VLOOKUP(Base_Periodo1[[#This Row],[CONTA]],BaseContasDRE[#All],4,FALSE))</f>
        <v>Fora do DRE</v>
      </c>
      <c r="T1309" s="3" t="str">
        <f>IF(ISERROR(VLOOKUP(Base_Periodo1[[#This Row],[CONTA]],BaseContasDRE[#All],5,FALSE)),"Fora do DRE",VLOOKUP(Base_Periodo1[[#This Row],[CONTA]],BaseContasDRE[#All],6,FALSE))</f>
        <v>Fora do DRE</v>
      </c>
      <c r="U1309" s="3" t="str">
        <f>IF(ISERROR(VLOOKUP(Base_Periodo1[[#This Row],[CONTA]],BaseContasDRE[#All],7,FALSE)),"Fora do DRE",VLOOKUP(Base_Periodo1[[#This Row],[CONTA]],BaseContasDRE[#All],7,FALSE))</f>
        <v>Fora do DRE</v>
      </c>
      <c r="V1309" s="3" t="str">
        <f>IF(Base_Periodo1[[#This Row],[Tipo_Linha]]="Fora do DRE","Fora do DRE","( "&amp;Base_Periodo1[[#This Row],[Tipo_Linha]]&amp;" ) "&amp;Base_Periodo1[[#This Row],[Filtro]])</f>
        <v>Fora do DRE</v>
      </c>
      <c r="W1309" s="3" t="str">
        <f>LEFT(Base_Periodo1[[#This Row],[CLASS]],3)</f>
        <v>1.1</v>
      </c>
    </row>
    <row r="1310" spans="1:23" hidden="1">
      <c r="A1310" s="3" t="str">
        <f t="shared" si="20"/>
        <v>Período 1</v>
      </c>
      <c r="B1310">
        <v>191</v>
      </c>
      <c r="C1310" t="s">
        <v>1107</v>
      </c>
      <c r="D1310" t="s">
        <v>1061</v>
      </c>
      <c r="E1310" s="3" t="str">
        <f>IF(LEN(Base_Periodo1[[#This Row],[CLASS]])&gt;=7,LEFT(Base_Periodo1[[#This Row],[CLASS]],7),"")</f>
        <v>1.1.3.1</v>
      </c>
      <c r="F1310" s="3" t="str">
        <f>VLOOKUP(Base_Periodo1[[#This Row],[Aux]],Base_Contas_Balanco[#All],2,FALSE)</f>
        <v>Estoques Proprios</v>
      </c>
      <c r="G1310" s="1">
        <v>42886</v>
      </c>
      <c r="H1310" s="225">
        <v>433633.97999999672</v>
      </c>
      <c r="I1310" s="225">
        <v>194341.81</v>
      </c>
      <c r="J1310" s="225">
        <v>0</v>
      </c>
      <c r="K1310" s="225">
        <v>627975.78999999678</v>
      </c>
      <c r="L13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627975.79</v>
      </c>
      <c r="M1310" s="225">
        <f>ROUND(IF(AND(Base_Periodo1[[#This Row],[Tipo_Linha]]="-",Base_Periodo1[[#This Row],[TIPOSALDO]]="D"),Base_Periodo1[[#This Row],[SALDO_ATUAL]]*-1,Base_Periodo1[[#This Row],[SALDO_ATUAL]]),4)</f>
        <v>627975.79</v>
      </c>
      <c r="N1310" t="s">
        <v>116</v>
      </c>
      <c r="O1310" t="s">
        <v>397</v>
      </c>
      <c r="P1310" t="s">
        <v>397</v>
      </c>
      <c r="Q1310">
        <v>9</v>
      </c>
      <c r="R1310" s="225">
        <f>Base_Periodo1[[#This Row],[CREDITOS]]-Base_Periodo1[[#This Row],[DEBITOS]]</f>
        <v>-194341.81</v>
      </c>
      <c r="S1310" s="3" t="str">
        <f>IF(ISERROR(VLOOKUP(Base_Periodo1[[#This Row],[CONTA]],BaseContasDRE[#All],4,FALSE)),"Fora do DRE",VLOOKUP(Base_Periodo1[[#This Row],[CONTA]],BaseContasDRE[#All],4,FALSE))</f>
        <v>Fora do DRE</v>
      </c>
      <c r="T1310" s="3" t="str">
        <f>IF(ISERROR(VLOOKUP(Base_Periodo1[[#This Row],[CONTA]],BaseContasDRE[#All],5,FALSE)),"Fora do DRE",VLOOKUP(Base_Periodo1[[#This Row],[CONTA]],BaseContasDRE[#All],6,FALSE))</f>
        <v>Fora do DRE</v>
      </c>
      <c r="U1310" s="3" t="str">
        <f>IF(ISERROR(VLOOKUP(Base_Periodo1[[#This Row],[CONTA]],BaseContasDRE[#All],7,FALSE)),"Fora do DRE",VLOOKUP(Base_Periodo1[[#This Row],[CONTA]],BaseContasDRE[#All],7,FALSE))</f>
        <v>Fora do DRE</v>
      </c>
      <c r="V1310" s="3" t="str">
        <f>IF(Base_Periodo1[[#This Row],[Tipo_Linha]]="Fora do DRE","Fora do DRE","( "&amp;Base_Periodo1[[#This Row],[Tipo_Linha]]&amp;" ) "&amp;Base_Periodo1[[#This Row],[Filtro]])</f>
        <v>Fora do DRE</v>
      </c>
      <c r="W1310" s="3" t="str">
        <f>LEFT(Base_Periodo1[[#This Row],[CLASS]],3)</f>
        <v>1.1</v>
      </c>
    </row>
    <row r="1311" spans="1:23" hidden="1">
      <c r="A1311" s="3" t="str">
        <f t="shared" si="20"/>
        <v>Período 1</v>
      </c>
      <c r="B1311">
        <v>192</v>
      </c>
      <c r="C1311" t="s">
        <v>1108</v>
      </c>
      <c r="D1311" t="s">
        <v>1063</v>
      </c>
      <c r="E1311" s="3" t="str">
        <f>IF(LEN(Base_Periodo1[[#This Row],[CLASS]])&gt;=7,LEFT(Base_Periodo1[[#This Row],[CLASS]],7),"")</f>
        <v>1.1.3.1</v>
      </c>
      <c r="F1311" s="3" t="str">
        <f>VLOOKUP(Base_Periodo1[[#This Row],[Aux]],Base_Contas_Balanco[#All],2,FALSE)</f>
        <v>Estoques Proprios</v>
      </c>
      <c r="G1311" s="1"/>
      <c r="H1311" s="225">
        <v>2850661.0399999991</v>
      </c>
      <c r="I1311" s="225">
        <v>893247.67</v>
      </c>
      <c r="J1311" s="225">
        <v>0</v>
      </c>
      <c r="K1311" s="225">
        <v>3743908.709999999</v>
      </c>
      <c r="L13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3743908.71</v>
      </c>
      <c r="M1311" s="225">
        <f>ROUND(IF(AND(Base_Periodo1[[#This Row],[Tipo_Linha]]="-",Base_Periodo1[[#This Row],[TIPOSALDO]]="D"),Base_Periodo1[[#This Row],[SALDO_ATUAL]]*-1,Base_Periodo1[[#This Row],[SALDO_ATUAL]]),4)</f>
        <v>3743908.71</v>
      </c>
      <c r="N1311" t="s">
        <v>396</v>
      </c>
      <c r="O1311" t="s">
        <v>397</v>
      </c>
      <c r="P1311" t="s">
        <v>397</v>
      </c>
      <c r="Q1311">
        <v>8</v>
      </c>
      <c r="R1311" s="225">
        <f>Base_Periodo1[[#This Row],[CREDITOS]]-Base_Periodo1[[#This Row],[DEBITOS]]</f>
        <v>-893247.67</v>
      </c>
      <c r="S1311" s="3" t="str">
        <f>IF(ISERROR(VLOOKUP(Base_Periodo1[[#This Row],[CONTA]],BaseContasDRE[#All],4,FALSE)),"Fora do DRE",VLOOKUP(Base_Periodo1[[#This Row],[CONTA]],BaseContasDRE[#All],4,FALSE))</f>
        <v>Fora do DRE</v>
      </c>
      <c r="T1311" s="3" t="str">
        <f>IF(ISERROR(VLOOKUP(Base_Periodo1[[#This Row],[CONTA]],BaseContasDRE[#All],5,FALSE)),"Fora do DRE",VLOOKUP(Base_Periodo1[[#This Row],[CONTA]],BaseContasDRE[#All],6,FALSE))</f>
        <v>Fora do DRE</v>
      </c>
      <c r="U1311" s="3" t="str">
        <f>IF(ISERROR(VLOOKUP(Base_Periodo1[[#This Row],[CONTA]],BaseContasDRE[#All],7,FALSE)),"Fora do DRE",VLOOKUP(Base_Periodo1[[#This Row],[CONTA]],BaseContasDRE[#All],7,FALSE))</f>
        <v>Fora do DRE</v>
      </c>
      <c r="V1311" s="3" t="str">
        <f>IF(Base_Periodo1[[#This Row],[Tipo_Linha]]="Fora do DRE","Fora do DRE","( "&amp;Base_Periodo1[[#This Row],[Tipo_Linha]]&amp;" ) "&amp;Base_Periodo1[[#This Row],[Filtro]])</f>
        <v>Fora do DRE</v>
      </c>
      <c r="W1311" s="3" t="str">
        <f>LEFT(Base_Periodo1[[#This Row],[CLASS]],3)</f>
        <v>1.1</v>
      </c>
    </row>
    <row r="1312" spans="1:23" hidden="1">
      <c r="A1312" s="3" t="str">
        <f t="shared" si="20"/>
        <v>Período 1</v>
      </c>
      <c r="B1312">
        <v>194</v>
      </c>
      <c r="C1312" t="s">
        <v>1109</v>
      </c>
      <c r="D1312" t="s">
        <v>1065</v>
      </c>
      <c r="E1312" s="3" t="str">
        <f>IF(LEN(Base_Periodo1[[#This Row],[CLASS]])&gt;=7,LEFT(Base_Periodo1[[#This Row],[CLASS]],7),"")</f>
        <v>1.1.3.1</v>
      </c>
      <c r="F1312" s="3" t="str">
        <f>VLOOKUP(Base_Periodo1[[#This Row],[Aux]],Base_Contas_Balanco[#All],2,FALSE)</f>
        <v>Estoques Proprios</v>
      </c>
      <c r="G1312" s="1">
        <v>42886</v>
      </c>
      <c r="H1312" s="225">
        <v>2850661.0399999991</v>
      </c>
      <c r="I1312" s="225">
        <v>893247.67</v>
      </c>
      <c r="J1312" s="225">
        <v>0</v>
      </c>
      <c r="K1312" s="225">
        <v>3743908.709999999</v>
      </c>
      <c r="L13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3743908.71</v>
      </c>
      <c r="M1312" s="225">
        <f>ROUND(IF(AND(Base_Periodo1[[#This Row],[Tipo_Linha]]="-",Base_Periodo1[[#This Row],[TIPOSALDO]]="D"),Base_Periodo1[[#This Row],[SALDO_ATUAL]]*-1,Base_Periodo1[[#This Row],[SALDO_ATUAL]]),4)</f>
        <v>3743908.71</v>
      </c>
      <c r="N1312" t="s">
        <v>116</v>
      </c>
      <c r="O1312" t="s">
        <v>397</v>
      </c>
      <c r="P1312" t="s">
        <v>397</v>
      </c>
      <c r="Q1312">
        <v>9</v>
      </c>
      <c r="R1312" s="225">
        <f>Base_Periodo1[[#This Row],[CREDITOS]]-Base_Periodo1[[#This Row],[DEBITOS]]</f>
        <v>-893247.67</v>
      </c>
      <c r="S1312" s="3" t="str">
        <f>IF(ISERROR(VLOOKUP(Base_Periodo1[[#This Row],[CONTA]],BaseContasDRE[#All],4,FALSE)),"Fora do DRE",VLOOKUP(Base_Periodo1[[#This Row],[CONTA]],BaseContasDRE[#All],4,FALSE))</f>
        <v>Fora do DRE</v>
      </c>
      <c r="T1312" s="3" t="str">
        <f>IF(ISERROR(VLOOKUP(Base_Periodo1[[#This Row],[CONTA]],BaseContasDRE[#All],5,FALSE)),"Fora do DRE",VLOOKUP(Base_Periodo1[[#This Row],[CONTA]],BaseContasDRE[#All],6,FALSE))</f>
        <v>Fora do DRE</v>
      </c>
      <c r="U1312" s="3" t="str">
        <f>IF(ISERROR(VLOOKUP(Base_Periodo1[[#This Row],[CONTA]],BaseContasDRE[#All],7,FALSE)),"Fora do DRE",VLOOKUP(Base_Periodo1[[#This Row],[CONTA]],BaseContasDRE[#All],7,FALSE))</f>
        <v>Fora do DRE</v>
      </c>
      <c r="V1312" s="3" t="str">
        <f>IF(Base_Periodo1[[#This Row],[Tipo_Linha]]="Fora do DRE","Fora do DRE","( "&amp;Base_Periodo1[[#This Row],[Tipo_Linha]]&amp;" ) "&amp;Base_Periodo1[[#This Row],[Filtro]])</f>
        <v>Fora do DRE</v>
      </c>
      <c r="W1312" s="3" t="str">
        <f>LEFT(Base_Periodo1[[#This Row],[CLASS]],3)</f>
        <v>1.1</v>
      </c>
    </row>
    <row r="1313" spans="1:23" hidden="1">
      <c r="A1313" s="3" t="str">
        <f t="shared" si="20"/>
        <v>Período 1</v>
      </c>
      <c r="B1313">
        <v>24896</v>
      </c>
      <c r="C1313" t="s">
        <v>4568</v>
      </c>
      <c r="D1313" t="s">
        <v>1096</v>
      </c>
      <c r="E1313" s="3" t="str">
        <f>IF(LEN(Base_Periodo1[[#This Row],[CLASS]])&gt;=7,LEFT(Base_Periodo1[[#This Row],[CLASS]],7),"")</f>
        <v>1.1.3.1</v>
      </c>
      <c r="F1313" s="3" t="str">
        <f>VLOOKUP(Base_Periodo1[[#This Row],[Aux]],Base_Contas_Balanco[#All],2,FALSE)</f>
        <v>Estoques Proprios</v>
      </c>
      <c r="G1313" s="1"/>
      <c r="H1313" s="225">
        <v>1992829.6000000008</v>
      </c>
      <c r="I1313" s="225">
        <v>0</v>
      </c>
      <c r="J1313" s="225">
        <v>0</v>
      </c>
      <c r="K1313" s="225">
        <v>1992829.6000000008</v>
      </c>
      <c r="L13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1992829.6</v>
      </c>
      <c r="M1313" s="225">
        <f>ROUND(IF(AND(Base_Periodo1[[#This Row],[Tipo_Linha]]="-",Base_Periodo1[[#This Row],[TIPOSALDO]]="D"),Base_Periodo1[[#This Row],[SALDO_ATUAL]]*-1,Base_Periodo1[[#This Row],[SALDO_ATUAL]]),4)</f>
        <v>1992829.6</v>
      </c>
      <c r="N1313" t="s">
        <v>396</v>
      </c>
      <c r="O1313" t="s">
        <v>397</v>
      </c>
      <c r="P1313" t="s">
        <v>397</v>
      </c>
      <c r="Q1313">
        <v>8</v>
      </c>
      <c r="R1313" s="225">
        <f>Base_Periodo1[[#This Row],[CREDITOS]]-Base_Periodo1[[#This Row],[DEBITOS]]</f>
        <v>0</v>
      </c>
      <c r="S1313" s="3" t="str">
        <f>IF(ISERROR(VLOOKUP(Base_Periodo1[[#This Row],[CONTA]],BaseContasDRE[#All],4,FALSE)),"Fora do DRE",VLOOKUP(Base_Periodo1[[#This Row],[CONTA]],BaseContasDRE[#All],4,FALSE))</f>
        <v>Fora do DRE</v>
      </c>
      <c r="T1313" s="3" t="str">
        <f>IF(ISERROR(VLOOKUP(Base_Periodo1[[#This Row],[CONTA]],BaseContasDRE[#All],5,FALSE)),"Fora do DRE",VLOOKUP(Base_Periodo1[[#This Row],[CONTA]],BaseContasDRE[#All],6,FALSE))</f>
        <v>Fora do DRE</v>
      </c>
      <c r="U1313" s="3" t="str">
        <f>IF(ISERROR(VLOOKUP(Base_Periodo1[[#This Row],[CONTA]],BaseContasDRE[#All],7,FALSE)),"Fora do DRE",VLOOKUP(Base_Periodo1[[#This Row],[CONTA]],BaseContasDRE[#All],7,FALSE))</f>
        <v>Fora do DRE</v>
      </c>
      <c r="V1313" s="3" t="str">
        <f>IF(Base_Periodo1[[#This Row],[Tipo_Linha]]="Fora do DRE","Fora do DRE","( "&amp;Base_Periodo1[[#This Row],[Tipo_Linha]]&amp;" ) "&amp;Base_Periodo1[[#This Row],[Filtro]])</f>
        <v>Fora do DRE</v>
      </c>
      <c r="W1313" s="3" t="str">
        <f>LEFT(Base_Periodo1[[#This Row],[CLASS]],3)</f>
        <v>1.1</v>
      </c>
    </row>
    <row r="1314" spans="1:23" hidden="1">
      <c r="A1314" s="3" t="str">
        <f t="shared" si="20"/>
        <v>Período 1</v>
      </c>
      <c r="B1314">
        <v>49553</v>
      </c>
      <c r="C1314" t="s">
        <v>4569</v>
      </c>
      <c r="D1314" t="s">
        <v>4570</v>
      </c>
      <c r="E1314" s="3" t="str">
        <f>IF(LEN(Base_Periodo1[[#This Row],[CLASS]])&gt;=7,LEFT(Base_Periodo1[[#This Row],[CLASS]],7),"")</f>
        <v>1.1.3.1</v>
      </c>
      <c r="F1314" s="3" t="str">
        <f>VLOOKUP(Base_Periodo1[[#This Row],[Aux]],Base_Contas_Balanco[#All],2,FALSE)</f>
        <v>Estoques Proprios</v>
      </c>
      <c r="G1314" s="1">
        <v>42855</v>
      </c>
      <c r="H1314" s="225">
        <v>1992829.6000000008</v>
      </c>
      <c r="I1314" s="225">
        <v>0</v>
      </c>
      <c r="J1314" s="225">
        <v>0</v>
      </c>
      <c r="K1314" s="225">
        <v>1992829.6000000008</v>
      </c>
      <c r="L13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1992829.6</v>
      </c>
      <c r="M1314" s="225">
        <f>ROUND(IF(AND(Base_Periodo1[[#This Row],[Tipo_Linha]]="-",Base_Periodo1[[#This Row],[TIPOSALDO]]="D"),Base_Periodo1[[#This Row],[SALDO_ATUAL]]*-1,Base_Periodo1[[#This Row],[SALDO_ATUAL]]),4)</f>
        <v>1992829.6</v>
      </c>
      <c r="N1314" t="s">
        <v>116</v>
      </c>
      <c r="O1314" t="s">
        <v>397</v>
      </c>
      <c r="P1314" t="s">
        <v>397</v>
      </c>
      <c r="Q1314">
        <v>9</v>
      </c>
      <c r="R1314" s="225">
        <f>Base_Periodo1[[#This Row],[CREDITOS]]-Base_Periodo1[[#This Row],[DEBITOS]]</f>
        <v>0</v>
      </c>
      <c r="S1314" s="3" t="str">
        <f>IF(ISERROR(VLOOKUP(Base_Periodo1[[#This Row],[CONTA]],BaseContasDRE[#All],4,FALSE)),"Fora do DRE",VLOOKUP(Base_Periodo1[[#This Row],[CONTA]],BaseContasDRE[#All],4,FALSE))</f>
        <v>Fora do DRE</v>
      </c>
      <c r="T1314" s="3" t="str">
        <f>IF(ISERROR(VLOOKUP(Base_Periodo1[[#This Row],[CONTA]],BaseContasDRE[#All],5,FALSE)),"Fora do DRE",VLOOKUP(Base_Periodo1[[#This Row],[CONTA]],BaseContasDRE[#All],6,FALSE))</f>
        <v>Fora do DRE</v>
      </c>
      <c r="U1314" s="3" t="str">
        <f>IF(ISERROR(VLOOKUP(Base_Periodo1[[#This Row],[CONTA]],BaseContasDRE[#All],7,FALSE)),"Fora do DRE",VLOOKUP(Base_Periodo1[[#This Row],[CONTA]],BaseContasDRE[#All],7,FALSE))</f>
        <v>Fora do DRE</v>
      </c>
      <c r="V1314" s="3" t="str">
        <f>IF(Base_Periodo1[[#This Row],[Tipo_Linha]]="Fora do DRE","Fora do DRE","( "&amp;Base_Periodo1[[#This Row],[Tipo_Linha]]&amp;" ) "&amp;Base_Periodo1[[#This Row],[Filtro]])</f>
        <v>Fora do DRE</v>
      </c>
      <c r="W1314" s="3" t="str">
        <f>LEFT(Base_Periodo1[[#This Row],[CLASS]],3)</f>
        <v>1.1</v>
      </c>
    </row>
    <row r="1315" spans="1:23" hidden="1">
      <c r="A1315" s="3" t="str">
        <f t="shared" si="20"/>
        <v>Período 1</v>
      </c>
      <c r="B1315">
        <v>195</v>
      </c>
      <c r="C1315" t="s">
        <v>1110</v>
      </c>
      <c r="D1315" t="s">
        <v>1067</v>
      </c>
      <c r="E1315" s="3" t="str">
        <f>IF(LEN(Base_Periodo1[[#This Row],[CLASS]])&gt;=7,LEFT(Base_Periodo1[[#This Row],[CLASS]],7),"")</f>
        <v>1.1.3.1</v>
      </c>
      <c r="F1315" s="3" t="str">
        <f>VLOOKUP(Base_Periodo1[[#This Row],[Aux]],Base_Contas_Balanco[#All],2,FALSE)</f>
        <v>Estoques Proprios</v>
      </c>
      <c r="G1315" s="1"/>
      <c r="H1315" s="225">
        <v>7375954.9500000179</v>
      </c>
      <c r="I1315" s="225">
        <v>0</v>
      </c>
      <c r="J1315" s="225">
        <v>4299539.53</v>
      </c>
      <c r="K1315" s="225">
        <v>11675494.480000019</v>
      </c>
      <c r="L13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-11675494.48</v>
      </c>
      <c r="M1315" s="225">
        <f>ROUND(IF(AND(Base_Periodo1[[#This Row],[Tipo_Linha]]="-",Base_Periodo1[[#This Row],[TIPOSALDO]]="D"),Base_Periodo1[[#This Row],[SALDO_ATUAL]]*-1,Base_Periodo1[[#This Row],[SALDO_ATUAL]]),4)</f>
        <v>11675494.48</v>
      </c>
      <c r="N1315" t="s">
        <v>396</v>
      </c>
      <c r="O1315" t="s">
        <v>459</v>
      </c>
      <c r="P1315" t="s">
        <v>459</v>
      </c>
      <c r="Q1315">
        <v>8</v>
      </c>
      <c r="R1315" s="225">
        <f>Base_Periodo1[[#This Row],[CREDITOS]]-Base_Periodo1[[#This Row],[DEBITOS]]</f>
        <v>4299539.53</v>
      </c>
      <c r="S1315" s="3" t="str">
        <f>IF(ISERROR(VLOOKUP(Base_Periodo1[[#This Row],[CONTA]],BaseContasDRE[#All],4,FALSE)),"Fora do DRE",VLOOKUP(Base_Periodo1[[#This Row],[CONTA]],BaseContasDRE[#All],4,FALSE))</f>
        <v>Fora do DRE</v>
      </c>
      <c r="T1315" s="3" t="str">
        <f>IF(ISERROR(VLOOKUP(Base_Periodo1[[#This Row],[CONTA]],BaseContasDRE[#All],5,FALSE)),"Fora do DRE",VLOOKUP(Base_Periodo1[[#This Row],[CONTA]],BaseContasDRE[#All],6,FALSE))</f>
        <v>Fora do DRE</v>
      </c>
      <c r="U1315" s="3" t="str">
        <f>IF(ISERROR(VLOOKUP(Base_Periodo1[[#This Row],[CONTA]],BaseContasDRE[#All],7,FALSE)),"Fora do DRE",VLOOKUP(Base_Periodo1[[#This Row],[CONTA]],BaseContasDRE[#All],7,FALSE))</f>
        <v>Fora do DRE</v>
      </c>
      <c r="V1315" s="3" t="str">
        <f>IF(Base_Periodo1[[#This Row],[Tipo_Linha]]="Fora do DRE","Fora do DRE","( "&amp;Base_Periodo1[[#This Row],[Tipo_Linha]]&amp;" ) "&amp;Base_Periodo1[[#This Row],[Filtro]])</f>
        <v>Fora do DRE</v>
      </c>
      <c r="W1315" s="3" t="str">
        <f>LEFT(Base_Periodo1[[#This Row],[CLASS]],3)</f>
        <v>1.1</v>
      </c>
    </row>
    <row r="1316" spans="1:23" hidden="1">
      <c r="A1316" s="3" t="str">
        <f t="shared" si="20"/>
        <v>Período 1</v>
      </c>
      <c r="B1316">
        <v>197</v>
      </c>
      <c r="C1316" t="s">
        <v>1111</v>
      </c>
      <c r="D1316" t="s">
        <v>1070</v>
      </c>
      <c r="E1316" s="3" t="str">
        <f>IF(LEN(Base_Periodo1[[#This Row],[CLASS]])&gt;=7,LEFT(Base_Periodo1[[#This Row],[CLASS]],7),"")</f>
        <v>1.1.3.1</v>
      </c>
      <c r="F1316" s="3" t="str">
        <f>VLOOKUP(Base_Periodo1[[#This Row],[Aux]],Base_Contas_Balanco[#All],2,FALSE)</f>
        <v>Estoques Proprios</v>
      </c>
      <c r="G1316" s="1">
        <v>42886</v>
      </c>
      <c r="H1316" s="225">
        <v>7375954.9500000179</v>
      </c>
      <c r="I1316" s="225">
        <v>0</v>
      </c>
      <c r="J1316" s="225">
        <v>4299539.53</v>
      </c>
      <c r="K1316" s="225">
        <v>11675494.480000019</v>
      </c>
      <c r="L13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-11675494.48</v>
      </c>
      <c r="M1316" s="225">
        <f>ROUND(IF(AND(Base_Periodo1[[#This Row],[Tipo_Linha]]="-",Base_Periodo1[[#This Row],[TIPOSALDO]]="D"),Base_Periodo1[[#This Row],[SALDO_ATUAL]]*-1,Base_Periodo1[[#This Row],[SALDO_ATUAL]]),4)</f>
        <v>11675494.48</v>
      </c>
      <c r="N1316" t="s">
        <v>116</v>
      </c>
      <c r="O1316" t="s">
        <v>459</v>
      </c>
      <c r="P1316" t="s">
        <v>459</v>
      </c>
      <c r="Q1316">
        <v>9</v>
      </c>
      <c r="R1316" s="225">
        <f>Base_Periodo1[[#This Row],[CREDITOS]]-Base_Periodo1[[#This Row],[DEBITOS]]</f>
        <v>4299539.53</v>
      </c>
      <c r="S1316" s="3" t="str">
        <f>IF(ISERROR(VLOOKUP(Base_Periodo1[[#This Row],[CONTA]],BaseContasDRE[#All],4,FALSE)),"Fora do DRE",VLOOKUP(Base_Periodo1[[#This Row],[CONTA]],BaseContasDRE[#All],4,FALSE))</f>
        <v>Fora do DRE</v>
      </c>
      <c r="T1316" s="3" t="str">
        <f>IF(ISERROR(VLOOKUP(Base_Periodo1[[#This Row],[CONTA]],BaseContasDRE[#All],5,FALSE)),"Fora do DRE",VLOOKUP(Base_Periodo1[[#This Row],[CONTA]],BaseContasDRE[#All],6,FALSE))</f>
        <v>Fora do DRE</v>
      </c>
      <c r="U1316" s="3" t="str">
        <f>IF(ISERROR(VLOOKUP(Base_Periodo1[[#This Row],[CONTA]],BaseContasDRE[#All],7,FALSE)),"Fora do DRE",VLOOKUP(Base_Periodo1[[#This Row],[CONTA]],BaseContasDRE[#All],7,FALSE))</f>
        <v>Fora do DRE</v>
      </c>
      <c r="V1316" s="3" t="str">
        <f>IF(Base_Periodo1[[#This Row],[Tipo_Linha]]="Fora do DRE","Fora do DRE","( "&amp;Base_Periodo1[[#This Row],[Tipo_Linha]]&amp;" ) "&amp;Base_Periodo1[[#This Row],[Filtro]])</f>
        <v>Fora do DRE</v>
      </c>
      <c r="W1316" s="3" t="str">
        <f>LEFT(Base_Periodo1[[#This Row],[CLASS]],3)</f>
        <v>1.1</v>
      </c>
    </row>
    <row r="1317" spans="1:23" hidden="1">
      <c r="A1317" s="3" t="str">
        <f t="shared" si="20"/>
        <v>Período 1</v>
      </c>
      <c r="B1317">
        <v>198</v>
      </c>
      <c r="C1317" t="s">
        <v>4740</v>
      </c>
      <c r="D1317" t="s">
        <v>1072</v>
      </c>
      <c r="E1317" s="3" t="str">
        <f>IF(LEN(Base_Periodo1[[#This Row],[CLASS]])&gt;=7,LEFT(Base_Periodo1[[#This Row],[CLASS]],7),"")</f>
        <v>1.1.3.1</v>
      </c>
      <c r="F1317" s="3" t="str">
        <f>VLOOKUP(Base_Periodo1[[#This Row],[Aux]],Base_Contas_Balanco[#All],2,FALSE)</f>
        <v>Estoques Proprios</v>
      </c>
      <c r="G1317" s="1"/>
      <c r="H1317" s="225">
        <v>2850661.0399999991</v>
      </c>
      <c r="I1317" s="225">
        <v>0</v>
      </c>
      <c r="J1317" s="225">
        <v>893247.67</v>
      </c>
      <c r="K1317" s="225">
        <v>3743908.709999999</v>
      </c>
      <c r="L13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-3743908.71</v>
      </c>
      <c r="M1317" s="225">
        <f>ROUND(IF(AND(Base_Periodo1[[#This Row],[Tipo_Linha]]="-",Base_Periodo1[[#This Row],[TIPOSALDO]]="D"),Base_Periodo1[[#This Row],[SALDO_ATUAL]]*-1,Base_Periodo1[[#This Row],[SALDO_ATUAL]]),4)</f>
        <v>3743908.71</v>
      </c>
      <c r="N1317" t="s">
        <v>396</v>
      </c>
      <c r="O1317" t="s">
        <v>459</v>
      </c>
      <c r="P1317" t="s">
        <v>459</v>
      </c>
      <c r="Q1317">
        <v>8</v>
      </c>
      <c r="R1317" s="225">
        <f>Base_Periodo1[[#This Row],[CREDITOS]]-Base_Periodo1[[#This Row],[DEBITOS]]</f>
        <v>893247.67</v>
      </c>
      <c r="S1317" s="3" t="str">
        <f>IF(ISERROR(VLOOKUP(Base_Periodo1[[#This Row],[CONTA]],BaseContasDRE[#All],4,FALSE)),"Fora do DRE",VLOOKUP(Base_Periodo1[[#This Row],[CONTA]],BaseContasDRE[#All],4,FALSE))</f>
        <v>Fora do DRE</v>
      </c>
      <c r="T1317" s="3" t="str">
        <f>IF(ISERROR(VLOOKUP(Base_Periodo1[[#This Row],[CONTA]],BaseContasDRE[#All],5,FALSE)),"Fora do DRE",VLOOKUP(Base_Periodo1[[#This Row],[CONTA]],BaseContasDRE[#All],6,FALSE))</f>
        <v>Fora do DRE</v>
      </c>
      <c r="U1317" s="3" t="str">
        <f>IF(ISERROR(VLOOKUP(Base_Periodo1[[#This Row],[CONTA]],BaseContasDRE[#All],7,FALSE)),"Fora do DRE",VLOOKUP(Base_Periodo1[[#This Row],[CONTA]],BaseContasDRE[#All],7,FALSE))</f>
        <v>Fora do DRE</v>
      </c>
      <c r="V1317" s="3" t="str">
        <f>IF(Base_Periodo1[[#This Row],[Tipo_Linha]]="Fora do DRE","Fora do DRE","( "&amp;Base_Periodo1[[#This Row],[Tipo_Linha]]&amp;" ) "&amp;Base_Periodo1[[#This Row],[Filtro]])</f>
        <v>Fora do DRE</v>
      </c>
      <c r="W1317" s="3" t="str">
        <f>LEFT(Base_Periodo1[[#This Row],[CLASS]],3)</f>
        <v>1.1</v>
      </c>
    </row>
    <row r="1318" spans="1:23" hidden="1">
      <c r="A1318" s="3" t="str">
        <f t="shared" si="20"/>
        <v>Período 1</v>
      </c>
      <c r="B1318">
        <v>200</v>
      </c>
      <c r="C1318" t="s">
        <v>4741</v>
      </c>
      <c r="D1318" t="s">
        <v>1074</v>
      </c>
      <c r="E1318" s="3" t="str">
        <f>IF(LEN(Base_Periodo1[[#This Row],[CLASS]])&gt;=7,LEFT(Base_Periodo1[[#This Row],[CLASS]],7),"")</f>
        <v>1.1.3.1</v>
      </c>
      <c r="F1318" s="3" t="str">
        <f>VLOOKUP(Base_Periodo1[[#This Row],[Aux]],Base_Contas_Balanco[#All],2,FALSE)</f>
        <v>Estoques Proprios</v>
      </c>
      <c r="G1318" s="1">
        <v>42886</v>
      </c>
      <c r="H1318" s="225">
        <v>2850661.0399999991</v>
      </c>
      <c r="I1318" s="225">
        <v>0</v>
      </c>
      <c r="J1318" s="225">
        <v>893247.67</v>
      </c>
      <c r="K1318" s="225">
        <v>3743908.709999999</v>
      </c>
      <c r="L13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-3743908.71</v>
      </c>
      <c r="M1318" s="225">
        <f>ROUND(IF(AND(Base_Periodo1[[#This Row],[Tipo_Linha]]="-",Base_Periodo1[[#This Row],[TIPOSALDO]]="D"),Base_Periodo1[[#This Row],[SALDO_ATUAL]]*-1,Base_Periodo1[[#This Row],[SALDO_ATUAL]]),4)</f>
        <v>3743908.71</v>
      </c>
      <c r="N1318" t="s">
        <v>116</v>
      </c>
      <c r="O1318" t="s">
        <v>459</v>
      </c>
      <c r="P1318" t="s">
        <v>459</v>
      </c>
      <c r="Q1318">
        <v>9</v>
      </c>
      <c r="R1318" s="225">
        <f>Base_Periodo1[[#This Row],[CREDITOS]]-Base_Periodo1[[#This Row],[DEBITOS]]</f>
        <v>893247.67</v>
      </c>
      <c r="S1318" s="3" t="str">
        <f>IF(ISERROR(VLOOKUP(Base_Periodo1[[#This Row],[CONTA]],BaseContasDRE[#All],4,FALSE)),"Fora do DRE",VLOOKUP(Base_Periodo1[[#This Row],[CONTA]],BaseContasDRE[#All],4,FALSE))</f>
        <v>Fora do DRE</v>
      </c>
      <c r="T1318" s="3" t="str">
        <f>IF(ISERROR(VLOOKUP(Base_Periodo1[[#This Row],[CONTA]],BaseContasDRE[#All],5,FALSE)),"Fora do DRE",VLOOKUP(Base_Periodo1[[#This Row],[CONTA]],BaseContasDRE[#All],6,FALSE))</f>
        <v>Fora do DRE</v>
      </c>
      <c r="U1318" s="3" t="str">
        <f>IF(ISERROR(VLOOKUP(Base_Periodo1[[#This Row],[CONTA]],BaseContasDRE[#All],7,FALSE)),"Fora do DRE",VLOOKUP(Base_Periodo1[[#This Row],[CONTA]],BaseContasDRE[#All],7,FALSE))</f>
        <v>Fora do DRE</v>
      </c>
      <c r="V1318" s="3" t="str">
        <f>IF(Base_Periodo1[[#This Row],[Tipo_Linha]]="Fora do DRE","Fora do DRE","( "&amp;Base_Periodo1[[#This Row],[Tipo_Linha]]&amp;" ) "&amp;Base_Periodo1[[#This Row],[Filtro]])</f>
        <v>Fora do DRE</v>
      </c>
      <c r="W1318" s="3" t="str">
        <f>LEFT(Base_Periodo1[[#This Row],[CLASS]],3)</f>
        <v>1.1</v>
      </c>
    </row>
    <row r="1319" spans="1:23" hidden="1">
      <c r="A1319" s="3" t="str">
        <f t="shared" si="20"/>
        <v>Período 1</v>
      </c>
      <c r="B1319">
        <v>51978</v>
      </c>
      <c r="C1319" t="s">
        <v>5030</v>
      </c>
      <c r="D1319" t="s">
        <v>4649</v>
      </c>
      <c r="E1319" s="3" t="str">
        <f>IF(LEN(Base_Periodo1[[#This Row],[CLASS]])&gt;=7,LEFT(Base_Periodo1[[#This Row],[CLASS]],7),"")</f>
        <v>1.1.3.1</v>
      </c>
      <c r="F1319" s="3" t="str">
        <f>VLOOKUP(Base_Periodo1[[#This Row],[Aux]],Base_Contas_Balanco[#All],2,FALSE)</f>
        <v>Estoques Proprios</v>
      </c>
      <c r="G1319" s="1"/>
      <c r="H1319" s="225">
        <v>51963.749999999825</v>
      </c>
      <c r="I1319" s="225">
        <v>90672.6</v>
      </c>
      <c r="J1319" s="225">
        <v>116205.63</v>
      </c>
      <c r="K1319" s="225">
        <v>26430.719999999827</v>
      </c>
      <c r="L13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26430.720000000001</v>
      </c>
      <c r="M1319" s="225">
        <f>ROUND(IF(AND(Base_Periodo1[[#This Row],[Tipo_Linha]]="-",Base_Periodo1[[#This Row],[TIPOSALDO]]="D"),Base_Periodo1[[#This Row],[SALDO_ATUAL]]*-1,Base_Periodo1[[#This Row],[SALDO_ATUAL]]),4)</f>
        <v>26430.720000000001</v>
      </c>
      <c r="N1319" t="s">
        <v>396</v>
      </c>
      <c r="O1319" t="s">
        <v>397</v>
      </c>
      <c r="P1319" t="s">
        <v>397</v>
      </c>
      <c r="Q1319">
        <v>7</v>
      </c>
      <c r="R1319" s="225">
        <f>Base_Periodo1[[#This Row],[CREDITOS]]-Base_Periodo1[[#This Row],[DEBITOS]]</f>
        <v>25533.03</v>
      </c>
      <c r="S1319" s="3" t="str">
        <f>IF(ISERROR(VLOOKUP(Base_Periodo1[[#This Row],[CONTA]],BaseContasDRE[#All],4,FALSE)),"Fora do DRE",VLOOKUP(Base_Periodo1[[#This Row],[CONTA]],BaseContasDRE[#All],4,FALSE))</f>
        <v>Fora do DRE</v>
      </c>
      <c r="T1319" s="3" t="str">
        <f>IF(ISERROR(VLOOKUP(Base_Periodo1[[#This Row],[CONTA]],BaseContasDRE[#All],5,FALSE)),"Fora do DRE",VLOOKUP(Base_Periodo1[[#This Row],[CONTA]],BaseContasDRE[#All],6,FALSE))</f>
        <v>Fora do DRE</v>
      </c>
      <c r="U1319" s="3" t="str">
        <f>IF(ISERROR(VLOOKUP(Base_Periodo1[[#This Row],[CONTA]],BaseContasDRE[#All],7,FALSE)),"Fora do DRE",VLOOKUP(Base_Periodo1[[#This Row],[CONTA]],BaseContasDRE[#All],7,FALSE))</f>
        <v>Fora do DRE</v>
      </c>
      <c r="V1319" s="3" t="str">
        <f>IF(Base_Periodo1[[#This Row],[Tipo_Linha]]="Fora do DRE","Fora do DRE","( "&amp;Base_Periodo1[[#This Row],[Tipo_Linha]]&amp;" ) "&amp;Base_Periodo1[[#This Row],[Filtro]])</f>
        <v>Fora do DRE</v>
      </c>
      <c r="W1319" s="3" t="str">
        <f>LEFT(Base_Periodo1[[#This Row],[CLASS]],3)</f>
        <v>1.1</v>
      </c>
    </row>
    <row r="1320" spans="1:23" hidden="1">
      <c r="A1320" s="3" t="str">
        <f t="shared" si="20"/>
        <v>Período 1</v>
      </c>
      <c r="B1320">
        <v>51980</v>
      </c>
      <c r="C1320" t="s">
        <v>4650</v>
      </c>
      <c r="D1320" t="s">
        <v>1112</v>
      </c>
      <c r="E1320" s="3" t="str">
        <f>IF(LEN(Base_Periodo1[[#This Row],[CLASS]])&gt;=7,LEFT(Base_Periodo1[[#This Row],[CLASS]],7),"")</f>
        <v>1.1.3.1</v>
      </c>
      <c r="F1320" s="3" t="str">
        <f>VLOOKUP(Base_Periodo1[[#This Row],[Aux]],Base_Contas_Balanco[#All],2,FALSE)</f>
        <v>Estoques Proprios</v>
      </c>
      <c r="G1320" s="1"/>
      <c r="H1320" s="225">
        <v>27359.479999999996</v>
      </c>
      <c r="I1320" s="225">
        <v>4379.5999999999995</v>
      </c>
      <c r="J1320" s="225">
        <v>0</v>
      </c>
      <c r="K1320" s="225">
        <v>31739.079999999994</v>
      </c>
      <c r="L13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31739.08</v>
      </c>
      <c r="M1320" s="225">
        <f>ROUND(IF(AND(Base_Periodo1[[#This Row],[Tipo_Linha]]="-",Base_Periodo1[[#This Row],[TIPOSALDO]]="D"),Base_Periodo1[[#This Row],[SALDO_ATUAL]]*-1,Base_Periodo1[[#This Row],[SALDO_ATUAL]]),4)</f>
        <v>31739.08</v>
      </c>
      <c r="N1320" t="s">
        <v>396</v>
      </c>
      <c r="O1320" t="s">
        <v>397</v>
      </c>
      <c r="P1320" t="s">
        <v>397</v>
      </c>
      <c r="Q1320">
        <v>8</v>
      </c>
      <c r="R1320" s="225">
        <f>Base_Periodo1[[#This Row],[CREDITOS]]-Base_Periodo1[[#This Row],[DEBITOS]]</f>
        <v>-4379.5999999999995</v>
      </c>
      <c r="S1320" s="3" t="str">
        <f>IF(ISERROR(VLOOKUP(Base_Periodo1[[#This Row],[CONTA]],BaseContasDRE[#All],4,FALSE)),"Fora do DRE",VLOOKUP(Base_Periodo1[[#This Row],[CONTA]],BaseContasDRE[#All],4,FALSE))</f>
        <v>Fora do DRE</v>
      </c>
      <c r="T1320" s="3" t="str">
        <f>IF(ISERROR(VLOOKUP(Base_Periodo1[[#This Row],[CONTA]],BaseContasDRE[#All],5,FALSE)),"Fora do DRE",VLOOKUP(Base_Periodo1[[#This Row],[CONTA]],BaseContasDRE[#All],6,FALSE))</f>
        <v>Fora do DRE</v>
      </c>
      <c r="U1320" s="3" t="str">
        <f>IF(ISERROR(VLOOKUP(Base_Periodo1[[#This Row],[CONTA]],BaseContasDRE[#All],7,FALSE)),"Fora do DRE",VLOOKUP(Base_Periodo1[[#This Row],[CONTA]],BaseContasDRE[#All],7,FALSE))</f>
        <v>Fora do DRE</v>
      </c>
      <c r="V1320" s="3" t="str">
        <f>IF(Base_Periodo1[[#This Row],[Tipo_Linha]]="Fora do DRE","Fora do DRE","( "&amp;Base_Periodo1[[#This Row],[Tipo_Linha]]&amp;" ) "&amp;Base_Periodo1[[#This Row],[Filtro]])</f>
        <v>Fora do DRE</v>
      </c>
      <c r="W1320" s="3" t="str">
        <f>LEFT(Base_Periodo1[[#This Row],[CLASS]],3)</f>
        <v>1.1</v>
      </c>
    </row>
    <row r="1321" spans="1:23" hidden="1">
      <c r="A1321" s="3" t="str">
        <f t="shared" si="20"/>
        <v>Período 1</v>
      </c>
      <c r="B1321">
        <v>51981</v>
      </c>
      <c r="C1321" t="s">
        <v>4651</v>
      </c>
      <c r="D1321" t="s">
        <v>4652</v>
      </c>
      <c r="E1321" s="3" t="str">
        <f>IF(LEN(Base_Periodo1[[#This Row],[CLASS]])&gt;=7,LEFT(Base_Periodo1[[#This Row],[CLASS]],7),"")</f>
        <v>1.1.3.1</v>
      </c>
      <c r="F1321" s="3" t="str">
        <f>VLOOKUP(Base_Periodo1[[#This Row],[Aux]],Base_Contas_Balanco[#All],2,FALSE)</f>
        <v>Estoques Proprios</v>
      </c>
      <c r="G1321" s="1">
        <v>42881</v>
      </c>
      <c r="H1321" s="225">
        <v>6360.42</v>
      </c>
      <c r="I1321" s="225">
        <v>4379.5999999999995</v>
      </c>
      <c r="J1321" s="225">
        <v>0</v>
      </c>
      <c r="K1321" s="225">
        <v>10740.02</v>
      </c>
      <c r="L13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10740.02</v>
      </c>
      <c r="M1321" s="225">
        <f>ROUND(IF(AND(Base_Periodo1[[#This Row],[Tipo_Linha]]="-",Base_Periodo1[[#This Row],[TIPOSALDO]]="D"),Base_Periodo1[[#This Row],[SALDO_ATUAL]]*-1,Base_Periodo1[[#This Row],[SALDO_ATUAL]]),4)</f>
        <v>10740.02</v>
      </c>
      <c r="N1321" t="s">
        <v>116</v>
      </c>
      <c r="O1321" t="s">
        <v>397</v>
      </c>
      <c r="P1321" t="s">
        <v>397</v>
      </c>
      <c r="Q1321">
        <v>9</v>
      </c>
      <c r="R1321" s="225">
        <f>Base_Periodo1[[#This Row],[CREDITOS]]-Base_Periodo1[[#This Row],[DEBITOS]]</f>
        <v>-4379.5999999999995</v>
      </c>
      <c r="S1321" s="3" t="str">
        <f>IF(ISERROR(VLOOKUP(Base_Periodo1[[#This Row],[CONTA]],BaseContasDRE[#All],4,FALSE)),"Fora do DRE",VLOOKUP(Base_Periodo1[[#This Row],[CONTA]],BaseContasDRE[#All],4,FALSE))</f>
        <v>Fora do DRE</v>
      </c>
      <c r="T1321" s="3" t="str">
        <f>IF(ISERROR(VLOOKUP(Base_Periodo1[[#This Row],[CONTA]],BaseContasDRE[#All],5,FALSE)),"Fora do DRE",VLOOKUP(Base_Periodo1[[#This Row],[CONTA]],BaseContasDRE[#All],6,FALSE))</f>
        <v>Fora do DRE</v>
      </c>
      <c r="U1321" s="3" t="str">
        <f>IF(ISERROR(VLOOKUP(Base_Periodo1[[#This Row],[CONTA]],BaseContasDRE[#All],7,FALSE)),"Fora do DRE",VLOOKUP(Base_Periodo1[[#This Row],[CONTA]],BaseContasDRE[#All],7,FALSE))</f>
        <v>Fora do DRE</v>
      </c>
      <c r="V1321" s="3" t="str">
        <f>IF(Base_Periodo1[[#This Row],[Tipo_Linha]]="Fora do DRE","Fora do DRE","( "&amp;Base_Periodo1[[#This Row],[Tipo_Linha]]&amp;" ) "&amp;Base_Periodo1[[#This Row],[Filtro]])</f>
        <v>Fora do DRE</v>
      </c>
      <c r="W1321" s="3" t="str">
        <f>LEFT(Base_Periodo1[[#This Row],[CLASS]],3)</f>
        <v>1.1</v>
      </c>
    </row>
    <row r="1322" spans="1:23" hidden="1">
      <c r="A1322" s="3" t="str">
        <f t="shared" si="20"/>
        <v>Período 1</v>
      </c>
      <c r="B1322">
        <v>51982</v>
      </c>
      <c r="C1322" t="s">
        <v>4653</v>
      </c>
      <c r="D1322" t="s">
        <v>4654</v>
      </c>
      <c r="E1322" s="3" t="str">
        <f>IF(LEN(Base_Periodo1[[#This Row],[CLASS]])&gt;=7,LEFT(Base_Periodo1[[#This Row],[CLASS]],7),"")</f>
        <v>1.1.3.1</v>
      </c>
      <c r="F1322" s="3" t="str">
        <f>VLOOKUP(Base_Periodo1[[#This Row],[Aux]],Base_Contas_Balanco[#All],2,FALSE)</f>
        <v>Estoques Proprios</v>
      </c>
      <c r="G1322" s="1">
        <v>42773</v>
      </c>
      <c r="H1322" s="225">
        <v>20999.059999999998</v>
      </c>
      <c r="I1322" s="225">
        <v>0</v>
      </c>
      <c r="J1322" s="225">
        <v>0</v>
      </c>
      <c r="K1322" s="225">
        <v>20999.059999999998</v>
      </c>
      <c r="L13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20999.06</v>
      </c>
      <c r="M1322" s="225">
        <f>ROUND(IF(AND(Base_Periodo1[[#This Row],[Tipo_Linha]]="-",Base_Periodo1[[#This Row],[TIPOSALDO]]="D"),Base_Periodo1[[#This Row],[SALDO_ATUAL]]*-1,Base_Periodo1[[#This Row],[SALDO_ATUAL]]),4)</f>
        <v>20999.06</v>
      </c>
      <c r="N1322" t="s">
        <v>116</v>
      </c>
      <c r="O1322" t="s">
        <v>397</v>
      </c>
      <c r="P1322" t="s">
        <v>397</v>
      </c>
      <c r="Q1322">
        <v>9</v>
      </c>
      <c r="R1322" s="225">
        <f>Base_Periodo1[[#This Row],[CREDITOS]]-Base_Periodo1[[#This Row],[DEBITOS]]</f>
        <v>0</v>
      </c>
      <c r="S1322" s="3" t="str">
        <f>IF(ISERROR(VLOOKUP(Base_Periodo1[[#This Row],[CONTA]],BaseContasDRE[#All],4,FALSE)),"Fora do DRE",VLOOKUP(Base_Periodo1[[#This Row],[CONTA]],BaseContasDRE[#All],4,FALSE))</f>
        <v>Fora do DRE</v>
      </c>
      <c r="T1322" s="3" t="str">
        <f>IF(ISERROR(VLOOKUP(Base_Periodo1[[#This Row],[CONTA]],BaseContasDRE[#All],5,FALSE)),"Fora do DRE",VLOOKUP(Base_Periodo1[[#This Row],[CONTA]],BaseContasDRE[#All],6,FALSE))</f>
        <v>Fora do DRE</v>
      </c>
      <c r="U1322" s="3" t="str">
        <f>IF(ISERROR(VLOOKUP(Base_Periodo1[[#This Row],[CONTA]],BaseContasDRE[#All],7,FALSE)),"Fora do DRE",VLOOKUP(Base_Periodo1[[#This Row],[CONTA]],BaseContasDRE[#All],7,FALSE))</f>
        <v>Fora do DRE</v>
      </c>
      <c r="V1322" s="3" t="str">
        <f>IF(Base_Periodo1[[#This Row],[Tipo_Linha]]="Fora do DRE","Fora do DRE","( "&amp;Base_Periodo1[[#This Row],[Tipo_Linha]]&amp;" ) "&amp;Base_Periodo1[[#This Row],[Filtro]])</f>
        <v>Fora do DRE</v>
      </c>
      <c r="W1322" s="3" t="str">
        <f>LEFT(Base_Periodo1[[#This Row],[CLASS]],3)</f>
        <v>1.1</v>
      </c>
    </row>
    <row r="1323" spans="1:23" hidden="1">
      <c r="A1323" s="3" t="str">
        <f t="shared" si="20"/>
        <v>Período 1</v>
      </c>
      <c r="B1323">
        <v>52602</v>
      </c>
      <c r="C1323" t="s">
        <v>4742</v>
      </c>
      <c r="D1323" t="s">
        <v>1123</v>
      </c>
      <c r="E1323" s="3" t="str">
        <f>IF(LEN(Base_Periodo1[[#This Row],[CLASS]])&gt;=7,LEFT(Base_Periodo1[[#This Row],[CLASS]],7),"")</f>
        <v>1.1.3.1</v>
      </c>
      <c r="F1323" s="3" t="str">
        <f>VLOOKUP(Base_Periodo1[[#This Row],[Aux]],Base_Contas_Balanco[#All],2,FALSE)</f>
        <v>Estoques Proprios</v>
      </c>
      <c r="G1323" s="1"/>
      <c r="H1323" s="225">
        <v>1042080.6000000001</v>
      </c>
      <c r="I1323" s="225">
        <v>86293</v>
      </c>
      <c r="J1323" s="225">
        <v>0</v>
      </c>
      <c r="K1323" s="225">
        <v>1128373.6000000001</v>
      </c>
      <c r="L13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1128373.6000000001</v>
      </c>
      <c r="M1323" s="225">
        <f>ROUND(IF(AND(Base_Periodo1[[#This Row],[Tipo_Linha]]="-",Base_Periodo1[[#This Row],[TIPOSALDO]]="D"),Base_Periodo1[[#This Row],[SALDO_ATUAL]]*-1,Base_Periodo1[[#This Row],[SALDO_ATUAL]]),4)</f>
        <v>1128373.6000000001</v>
      </c>
      <c r="N1323" t="s">
        <v>396</v>
      </c>
      <c r="O1323" t="s">
        <v>397</v>
      </c>
      <c r="P1323" t="s">
        <v>397</v>
      </c>
      <c r="Q1323">
        <v>8</v>
      </c>
      <c r="R1323" s="225">
        <f>Base_Periodo1[[#This Row],[CREDITOS]]-Base_Periodo1[[#This Row],[DEBITOS]]</f>
        <v>-86293</v>
      </c>
      <c r="S1323" s="3" t="str">
        <f>IF(ISERROR(VLOOKUP(Base_Periodo1[[#This Row],[CONTA]],BaseContasDRE[#All],4,FALSE)),"Fora do DRE",VLOOKUP(Base_Periodo1[[#This Row],[CONTA]],BaseContasDRE[#All],4,FALSE))</f>
        <v>Fora do DRE</v>
      </c>
      <c r="T1323" s="3" t="str">
        <f>IF(ISERROR(VLOOKUP(Base_Periodo1[[#This Row],[CONTA]],BaseContasDRE[#All],5,FALSE)),"Fora do DRE",VLOOKUP(Base_Periodo1[[#This Row],[CONTA]],BaseContasDRE[#All],6,FALSE))</f>
        <v>Fora do DRE</v>
      </c>
      <c r="U1323" s="3" t="str">
        <f>IF(ISERROR(VLOOKUP(Base_Periodo1[[#This Row],[CONTA]],BaseContasDRE[#All],7,FALSE)),"Fora do DRE",VLOOKUP(Base_Periodo1[[#This Row],[CONTA]],BaseContasDRE[#All],7,FALSE))</f>
        <v>Fora do DRE</v>
      </c>
      <c r="V1323" s="3" t="str">
        <f>IF(Base_Periodo1[[#This Row],[Tipo_Linha]]="Fora do DRE","Fora do DRE","( "&amp;Base_Periodo1[[#This Row],[Tipo_Linha]]&amp;" ) "&amp;Base_Periodo1[[#This Row],[Filtro]])</f>
        <v>Fora do DRE</v>
      </c>
      <c r="W1323" s="3" t="str">
        <f>LEFT(Base_Periodo1[[#This Row],[CLASS]],3)</f>
        <v>1.1</v>
      </c>
    </row>
    <row r="1324" spans="1:23" hidden="1">
      <c r="A1324" s="3" t="str">
        <f t="shared" si="20"/>
        <v>Período 1</v>
      </c>
      <c r="B1324">
        <v>52603</v>
      </c>
      <c r="C1324" t="s">
        <v>4743</v>
      </c>
      <c r="D1324" t="s">
        <v>4744</v>
      </c>
      <c r="E1324" s="3" t="str">
        <f>IF(LEN(Base_Periodo1[[#This Row],[CLASS]])&gt;=7,LEFT(Base_Periodo1[[#This Row],[CLASS]],7),"")</f>
        <v>1.1.3.1</v>
      </c>
      <c r="F1324" s="3" t="str">
        <f>VLOOKUP(Base_Periodo1[[#This Row],[Aux]],Base_Contas_Balanco[#All],2,FALSE)</f>
        <v>Estoques Proprios</v>
      </c>
      <c r="G1324" s="1">
        <v>42885</v>
      </c>
      <c r="H1324" s="225">
        <v>1042080.6000000001</v>
      </c>
      <c r="I1324" s="225">
        <v>86293</v>
      </c>
      <c r="J1324" s="225">
        <v>0</v>
      </c>
      <c r="K1324" s="225">
        <v>1128373.6000000001</v>
      </c>
      <c r="L13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1128373.6000000001</v>
      </c>
      <c r="M1324" s="225">
        <f>ROUND(IF(AND(Base_Periodo1[[#This Row],[Tipo_Linha]]="-",Base_Periodo1[[#This Row],[TIPOSALDO]]="D"),Base_Periodo1[[#This Row],[SALDO_ATUAL]]*-1,Base_Periodo1[[#This Row],[SALDO_ATUAL]]),4)</f>
        <v>1128373.6000000001</v>
      </c>
      <c r="N1324" t="s">
        <v>116</v>
      </c>
      <c r="O1324" t="s">
        <v>397</v>
      </c>
      <c r="P1324" t="s">
        <v>397</v>
      </c>
      <c r="Q1324">
        <v>9</v>
      </c>
      <c r="R1324" s="225">
        <f>Base_Periodo1[[#This Row],[CREDITOS]]-Base_Periodo1[[#This Row],[DEBITOS]]</f>
        <v>-86293</v>
      </c>
      <c r="S1324" s="3" t="str">
        <f>IF(ISERROR(VLOOKUP(Base_Periodo1[[#This Row],[CONTA]],BaseContasDRE[#All],4,FALSE)),"Fora do DRE",VLOOKUP(Base_Periodo1[[#This Row],[CONTA]],BaseContasDRE[#All],4,FALSE))</f>
        <v>Fora do DRE</v>
      </c>
      <c r="T1324" s="3" t="str">
        <f>IF(ISERROR(VLOOKUP(Base_Periodo1[[#This Row],[CONTA]],BaseContasDRE[#All],5,FALSE)),"Fora do DRE",VLOOKUP(Base_Periodo1[[#This Row],[CONTA]],BaseContasDRE[#All],6,FALSE))</f>
        <v>Fora do DRE</v>
      </c>
      <c r="U1324" s="3" t="str">
        <f>IF(ISERROR(VLOOKUP(Base_Periodo1[[#This Row],[CONTA]],BaseContasDRE[#All],7,FALSE)),"Fora do DRE",VLOOKUP(Base_Periodo1[[#This Row],[CONTA]],BaseContasDRE[#All],7,FALSE))</f>
        <v>Fora do DRE</v>
      </c>
      <c r="V1324" s="3" t="str">
        <f>IF(Base_Periodo1[[#This Row],[Tipo_Linha]]="Fora do DRE","Fora do DRE","( "&amp;Base_Periodo1[[#This Row],[Tipo_Linha]]&amp;" ) "&amp;Base_Periodo1[[#This Row],[Filtro]])</f>
        <v>Fora do DRE</v>
      </c>
      <c r="W1324" s="3" t="str">
        <f>LEFT(Base_Periodo1[[#This Row],[CLASS]],3)</f>
        <v>1.1</v>
      </c>
    </row>
    <row r="1325" spans="1:23" hidden="1">
      <c r="A1325" s="3" t="str">
        <f t="shared" si="20"/>
        <v>Período 1</v>
      </c>
      <c r="B1325">
        <v>56700</v>
      </c>
      <c r="C1325" t="s">
        <v>5676</v>
      </c>
      <c r="D1325" t="s">
        <v>1096</v>
      </c>
      <c r="E1325" s="3" t="str">
        <f>IF(LEN(Base_Periodo1[[#This Row],[CLASS]])&gt;=7,LEFT(Base_Periodo1[[#This Row],[CLASS]],7),"")</f>
        <v>1.1.3.1</v>
      </c>
      <c r="F1325" s="3" t="str">
        <f>VLOOKUP(Base_Periodo1[[#This Row],[Aux]],Base_Contas_Balanco[#All],2,FALSE)</f>
        <v>Estoques Proprios</v>
      </c>
      <c r="G1325" s="1"/>
      <c r="H1325" s="225">
        <v>368532.12</v>
      </c>
      <c r="I1325" s="225">
        <v>0</v>
      </c>
      <c r="J1325" s="225">
        <v>0</v>
      </c>
      <c r="K1325" s="225">
        <v>368532.12</v>
      </c>
      <c r="L13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368532.12</v>
      </c>
      <c r="M1325" s="225">
        <f>ROUND(IF(AND(Base_Periodo1[[#This Row],[Tipo_Linha]]="-",Base_Periodo1[[#This Row],[TIPOSALDO]]="D"),Base_Periodo1[[#This Row],[SALDO_ATUAL]]*-1,Base_Periodo1[[#This Row],[SALDO_ATUAL]]),4)</f>
        <v>368532.12</v>
      </c>
      <c r="N1325" t="s">
        <v>396</v>
      </c>
      <c r="O1325" t="s">
        <v>397</v>
      </c>
      <c r="P1325" t="s">
        <v>397</v>
      </c>
      <c r="Q1325">
        <v>8</v>
      </c>
      <c r="R1325" s="225">
        <f>Base_Periodo1[[#This Row],[CREDITOS]]-Base_Periodo1[[#This Row],[DEBITOS]]</f>
        <v>0</v>
      </c>
      <c r="S1325" s="3" t="str">
        <f>IF(ISERROR(VLOOKUP(Base_Periodo1[[#This Row],[CONTA]],BaseContasDRE[#All],4,FALSE)),"Fora do DRE",VLOOKUP(Base_Periodo1[[#This Row],[CONTA]],BaseContasDRE[#All],4,FALSE))</f>
        <v>Fora do DRE</v>
      </c>
      <c r="T1325" s="3" t="str">
        <f>IF(ISERROR(VLOOKUP(Base_Periodo1[[#This Row],[CONTA]],BaseContasDRE[#All],5,FALSE)),"Fora do DRE",VLOOKUP(Base_Periodo1[[#This Row],[CONTA]],BaseContasDRE[#All],6,FALSE))</f>
        <v>Fora do DRE</v>
      </c>
      <c r="U1325" s="3" t="str">
        <f>IF(ISERROR(VLOOKUP(Base_Periodo1[[#This Row],[CONTA]],BaseContasDRE[#All],7,FALSE)),"Fora do DRE",VLOOKUP(Base_Periodo1[[#This Row],[CONTA]],BaseContasDRE[#All],7,FALSE))</f>
        <v>Fora do DRE</v>
      </c>
      <c r="V1325" s="3" t="str">
        <f>IF(Base_Periodo1[[#This Row],[Tipo_Linha]]="Fora do DRE","Fora do DRE","( "&amp;Base_Periodo1[[#This Row],[Tipo_Linha]]&amp;" ) "&amp;Base_Periodo1[[#This Row],[Filtro]])</f>
        <v>Fora do DRE</v>
      </c>
      <c r="W1325" s="3" t="str">
        <f>LEFT(Base_Periodo1[[#This Row],[CLASS]],3)</f>
        <v>1.1</v>
      </c>
    </row>
    <row r="1326" spans="1:23" hidden="1">
      <c r="A1326" s="3" t="str">
        <f t="shared" si="20"/>
        <v>Período 1</v>
      </c>
      <c r="B1326">
        <v>56701</v>
      </c>
      <c r="C1326" t="s">
        <v>5677</v>
      </c>
      <c r="D1326" t="s">
        <v>5678</v>
      </c>
      <c r="E1326" s="3" t="str">
        <f>IF(LEN(Base_Periodo1[[#This Row],[CLASS]])&gt;=7,LEFT(Base_Periodo1[[#This Row],[CLASS]],7),"")</f>
        <v>1.1.3.1</v>
      </c>
      <c r="F1326" s="3" t="str">
        <f>VLOOKUP(Base_Periodo1[[#This Row],[Aux]],Base_Contas_Balanco[#All],2,FALSE)</f>
        <v>Estoques Proprios</v>
      </c>
      <c r="G1326" s="1">
        <v>42825</v>
      </c>
      <c r="H1326" s="225">
        <v>368532.12</v>
      </c>
      <c r="I1326" s="225">
        <v>0</v>
      </c>
      <c r="J1326" s="225">
        <v>0</v>
      </c>
      <c r="K1326" s="225">
        <v>368532.12</v>
      </c>
      <c r="L13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368532.12</v>
      </c>
      <c r="M1326" s="225">
        <f>ROUND(IF(AND(Base_Periodo1[[#This Row],[Tipo_Linha]]="-",Base_Periodo1[[#This Row],[TIPOSALDO]]="D"),Base_Periodo1[[#This Row],[SALDO_ATUAL]]*-1,Base_Periodo1[[#This Row],[SALDO_ATUAL]]),4)</f>
        <v>368532.12</v>
      </c>
      <c r="N1326" t="s">
        <v>116</v>
      </c>
      <c r="O1326" t="s">
        <v>397</v>
      </c>
      <c r="P1326" t="s">
        <v>397</v>
      </c>
      <c r="Q1326">
        <v>9</v>
      </c>
      <c r="R1326" s="225">
        <f>Base_Periodo1[[#This Row],[CREDITOS]]-Base_Periodo1[[#This Row],[DEBITOS]]</f>
        <v>0</v>
      </c>
      <c r="S1326" s="3" t="str">
        <f>IF(ISERROR(VLOOKUP(Base_Periodo1[[#This Row],[CONTA]],BaseContasDRE[#All],4,FALSE)),"Fora do DRE",VLOOKUP(Base_Periodo1[[#This Row],[CONTA]],BaseContasDRE[#All],4,FALSE))</f>
        <v>Fora do DRE</v>
      </c>
      <c r="T1326" s="3" t="str">
        <f>IF(ISERROR(VLOOKUP(Base_Periodo1[[#This Row],[CONTA]],BaseContasDRE[#All],5,FALSE)),"Fora do DRE",VLOOKUP(Base_Periodo1[[#This Row],[CONTA]],BaseContasDRE[#All],6,FALSE))</f>
        <v>Fora do DRE</v>
      </c>
      <c r="U1326" s="3" t="str">
        <f>IF(ISERROR(VLOOKUP(Base_Periodo1[[#This Row],[CONTA]],BaseContasDRE[#All],7,FALSE)),"Fora do DRE",VLOOKUP(Base_Periodo1[[#This Row],[CONTA]],BaseContasDRE[#All],7,FALSE))</f>
        <v>Fora do DRE</v>
      </c>
      <c r="V1326" s="3" t="str">
        <f>IF(Base_Periodo1[[#This Row],[Tipo_Linha]]="Fora do DRE","Fora do DRE","( "&amp;Base_Periodo1[[#This Row],[Tipo_Linha]]&amp;" ) "&amp;Base_Periodo1[[#This Row],[Filtro]])</f>
        <v>Fora do DRE</v>
      </c>
      <c r="W1326" s="3" t="str">
        <f>LEFT(Base_Periodo1[[#This Row],[CLASS]],3)</f>
        <v>1.1</v>
      </c>
    </row>
    <row r="1327" spans="1:23" hidden="1">
      <c r="A1327" s="3" t="str">
        <f t="shared" si="20"/>
        <v>Período 1</v>
      </c>
      <c r="B1327">
        <v>52604</v>
      </c>
      <c r="C1327" t="s">
        <v>4831</v>
      </c>
      <c r="D1327" t="s">
        <v>1127</v>
      </c>
      <c r="E1327" s="3" t="str">
        <f>IF(LEN(Base_Periodo1[[#This Row],[CLASS]])&gt;=7,LEFT(Base_Periodo1[[#This Row],[CLASS]],7),"")</f>
        <v>1.1.3.1</v>
      </c>
      <c r="F1327" s="3" t="str">
        <f>VLOOKUP(Base_Periodo1[[#This Row],[Aux]],Base_Contas_Balanco[#All],2,FALSE)</f>
        <v>Estoques Proprios</v>
      </c>
      <c r="G1327" s="1"/>
      <c r="H1327" s="225">
        <v>355577.65</v>
      </c>
      <c r="I1327" s="225">
        <v>0</v>
      </c>
      <c r="J1327" s="225">
        <v>38652.630000000005</v>
      </c>
      <c r="K1327" s="225">
        <v>394230.28</v>
      </c>
      <c r="L13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-394230.28</v>
      </c>
      <c r="M1327" s="225">
        <f>ROUND(IF(AND(Base_Periodo1[[#This Row],[Tipo_Linha]]="-",Base_Periodo1[[#This Row],[TIPOSALDO]]="D"),Base_Periodo1[[#This Row],[SALDO_ATUAL]]*-1,Base_Periodo1[[#This Row],[SALDO_ATUAL]]),4)</f>
        <v>394230.28</v>
      </c>
      <c r="N1327" t="s">
        <v>396</v>
      </c>
      <c r="O1327" t="s">
        <v>459</v>
      </c>
      <c r="P1327" t="s">
        <v>459</v>
      </c>
      <c r="Q1327">
        <v>8</v>
      </c>
      <c r="R1327" s="225">
        <f>Base_Periodo1[[#This Row],[CREDITOS]]-Base_Periodo1[[#This Row],[DEBITOS]]</f>
        <v>38652.630000000005</v>
      </c>
      <c r="S1327" s="3" t="str">
        <f>IF(ISERROR(VLOOKUP(Base_Periodo1[[#This Row],[CONTA]],BaseContasDRE[#All],4,FALSE)),"Fora do DRE",VLOOKUP(Base_Periodo1[[#This Row],[CONTA]],BaseContasDRE[#All],4,FALSE))</f>
        <v>Fora do DRE</v>
      </c>
      <c r="T1327" s="3" t="str">
        <f>IF(ISERROR(VLOOKUP(Base_Periodo1[[#This Row],[CONTA]],BaseContasDRE[#All],5,FALSE)),"Fora do DRE",VLOOKUP(Base_Periodo1[[#This Row],[CONTA]],BaseContasDRE[#All],6,FALSE))</f>
        <v>Fora do DRE</v>
      </c>
      <c r="U1327" s="3" t="str">
        <f>IF(ISERROR(VLOOKUP(Base_Periodo1[[#This Row],[CONTA]],BaseContasDRE[#All],7,FALSE)),"Fora do DRE",VLOOKUP(Base_Periodo1[[#This Row],[CONTA]],BaseContasDRE[#All],7,FALSE))</f>
        <v>Fora do DRE</v>
      </c>
      <c r="V1327" s="3" t="str">
        <f>IF(Base_Periodo1[[#This Row],[Tipo_Linha]]="Fora do DRE","Fora do DRE","( "&amp;Base_Periodo1[[#This Row],[Tipo_Linha]]&amp;" ) "&amp;Base_Periodo1[[#This Row],[Filtro]])</f>
        <v>Fora do DRE</v>
      </c>
      <c r="W1327" s="3" t="str">
        <f>LEFT(Base_Periodo1[[#This Row],[CLASS]],3)</f>
        <v>1.1</v>
      </c>
    </row>
    <row r="1328" spans="1:23" hidden="1">
      <c r="A1328" s="3" t="str">
        <f t="shared" si="20"/>
        <v>Período 1</v>
      </c>
      <c r="B1328">
        <v>52605</v>
      </c>
      <c r="C1328" t="s">
        <v>4832</v>
      </c>
      <c r="D1328" t="s">
        <v>4833</v>
      </c>
      <c r="E1328" s="3" t="str">
        <f>IF(LEN(Base_Periodo1[[#This Row],[CLASS]])&gt;=7,LEFT(Base_Periodo1[[#This Row],[CLASS]],7),"")</f>
        <v>1.1.3.1</v>
      </c>
      <c r="F1328" s="3" t="str">
        <f>VLOOKUP(Base_Periodo1[[#This Row],[Aux]],Base_Contas_Balanco[#All],2,FALSE)</f>
        <v>Estoques Proprios</v>
      </c>
      <c r="G1328" s="1"/>
      <c r="H1328" s="225">
        <v>198849.53</v>
      </c>
      <c r="I1328" s="225">
        <v>0</v>
      </c>
      <c r="J1328" s="225">
        <v>20168.82</v>
      </c>
      <c r="K1328" s="225">
        <v>219018.35</v>
      </c>
      <c r="L13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-219018.35</v>
      </c>
      <c r="M1328" s="225">
        <f>ROUND(IF(AND(Base_Periodo1[[#This Row],[Tipo_Linha]]="-",Base_Periodo1[[#This Row],[TIPOSALDO]]="D"),Base_Periodo1[[#This Row],[SALDO_ATUAL]]*-1,Base_Periodo1[[#This Row],[SALDO_ATUAL]]),4)</f>
        <v>219018.35</v>
      </c>
      <c r="N1328" t="s">
        <v>116</v>
      </c>
      <c r="O1328" t="s">
        <v>459</v>
      </c>
      <c r="P1328" t="s">
        <v>459</v>
      </c>
      <c r="Q1328">
        <v>9</v>
      </c>
      <c r="R1328" s="225">
        <f>Base_Periodo1[[#This Row],[CREDITOS]]-Base_Periodo1[[#This Row],[DEBITOS]]</f>
        <v>20168.82</v>
      </c>
      <c r="S1328" s="3" t="str">
        <f>IF(ISERROR(VLOOKUP(Base_Periodo1[[#This Row],[CONTA]],BaseContasDRE[#All],4,FALSE)),"Fora do DRE",VLOOKUP(Base_Periodo1[[#This Row],[CONTA]],BaseContasDRE[#All],4,FALSE))</f>
        <v>Fora do DRE</v>
      </c>
      <c r="T1328" s="3" t="str">
        <f>IF(ISERROR(VLOOKUP(Base_Periodo1[[#This Row],[CONTA]],BaseContasDRE[#All],5,FALSE)),"Fora do DRE",VLOOKUP(Base_Periodo1[[#This Row],[CONTA]],BaseContasDRE[#All],6,FALSE))</f>
        <v>Fora do DRE</v>
      </c>
      <c r="U1328" s="3" t="str">
        <f>IF(ISERROR(VLOOKUP(Base_Periodo1[[#This Row],[CONTA]],BaseContasDRE[#All],7,FALSE)),"Fora do DRE",VLOOKUP(Base_Periodo1[[#This Row],[CONTA]],BaseContasDRE[#All],7,FALSE))</f>
        <v>Fora do DRE</v>
      </c>
      <c r="V1328" s="3" t="str">
        <f>IF(Base_Periodo1[[#This Row],[Tipo_Linha]]="Fora do DRE","Fora do DRE","( "&amp;Base_Periodo1[[#This Row],[Tipo_Linha]]&amp;" ) "&amp;Base_Periodo1[[#This Row],[Filtro]])</f>
        <v>Fora do DRE</v>
      </c>
      <c r="W1328" s="3" t="str">
        <f>LEFT(Base_Periodo1[[#This Row],[CLASS]],3)</f>
        <v>1.1</v>
      </c>
    </row>
    <row r="1329" spans="1:23" hidden="1">
      <c r="A1329" s="3" t="str">
        <f t="shared" si="20"/>
        <v>Período 1</v>
      </c>
      <c r="B1329">
        <v>52606</v>
      </c>
      <c r="C1329" t="s">
        <v>6216</v>
      </c>
      <c r="D1329" t="s">
        <v>6217</v>
      </c>
      <c r="E1329" s="3" t="str">
        <f>IF(LEN(Base_Periodo1[[#This Row],[CLASS]])&gt;=7,LEFT(Base_Periodo1[[#This Row],[CLASS]],7),"")</f>
        <v>1.1.3.1</v>
      </c>
      <c r="F1329" s="3" t="str">
        <f>VLOOKUP(Base_Periodo1[[#This Row],[Aux]],Base_Contas_Balanco[#All],2,FALSE)</f>
        <v>Estoques Proprios</v>
      </c>
      <c r="G1329" s="1"/>
      <c r="H1329" s="225">
        <v>156728.12</v>
      </c>
      <c r="I1329" s="225">
        <v>0</v>
      </c>
      <c r="J1329" s="225">
        <v>18483.810000000001</v>
      </c>
      <c r="K1329" s="225">
        <v>175211.93</v>
      </c>
      <c r="L13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-175211.93</v>
      </c>
      <c r="M1329" s="225">
        <f>ROUND(IF(AND(Base_Periodo1[[#This Row],[Tipo_Linha]]="-",Base_Periodo1[[#This Row],[TIPOSALDO]]="D"),Base_Periodo1[[#This Row],[SALDO_ATUAL]]*-1,Base_Periodo1[[#This Row],[SALDO_ATUAL]]),4)</f>
        <v>175211.93</v>
      </c>
      <c r="N1329" t="s">
        <v>116</v>
      </c>
      <c r="O1329" t="s">
        <v>459</v>
      </c>
      <c r="P1329" t="s">
        <v>459</v>
      </c>
      <c r="Q1329">
        <v>9</v>
      </c>
      <c r="R1329" s="225">
        <f>Base_Periodo1[[#This Row],[CREDITOS]]-Base_Periodo1[[#This Row],[DEBITOS]]</f>
        <v>18483.810000000001</v>
      </c>
      <c r="S1329" s="3" t="str">
        <f>IF(ISERROR(VLOOKUP(Base_Periodo1[[#This Row],[CONTA]],BaseContasDRE[#All],4,FALSE)),"Fora do DRE",VLOOKUP(Base_Periodo1[[#This Row],[CONTA]],BaseContasDRE[#All],4,FALSE))</f>
        <v>Fora do DRE</v>
      </c>
      <c r="T1329" s="3" t="str">
        <f>IF(ISERROR(VLOOKUP(Base_Periodo1[[#This Row],[CONTA]],BaseContasDRE[#All],5,FALSE)),"Fora do DRE",VLOOKUP(Base_Periodo1[[#This Row],[CONTA]],BaseContasDRE[#All],6,FALSE))</f>
        <v>Fora do DRE</v>
      </c>
      <c r="U1329" s="3" t="str">
        <f>IF(ISERROR(VLOOKUP(Base_Periodo1[[#This Row],[CONTA]],BaseContasDRE[#All],7,FALSE)),"Fora do DRE",VLOOKUP(Base_Periodo1[[#This Row],[CONTA]],BaseContasDRE[#All],7,FALSE))</f>
        <v>Fora do DRE</v>
      </c>
      <c r="V1329" s="3" t="str">
        <f>IF(Base_Periodo1[[#This Row],[Tipo_Linha]]="Fora do DRE","Fora do DRE","( "&amp;Base_Periodo1[[#This Row],[Tipo_Linha]]&amp;" ) "&amp;Base_Periodo1[[#This Row],[Filtro]])</f>
        <v>Fora do DRE</v>
      </c>
      <c r="W1329" s="3" t="str">
        <f>LEFT(Base_Periodo1[[#This Row],[CLASS]],3)</f>
        <v>1.1</v>
      </c>
    </row>
    <row r="1330" spans="1:23" hidden="1">
      <c r="A1330" s="3" t="str">
        <f t="shared" si="20"/>
        <v>Período 1</v>
      </c>
      <c r="B1330">
        <v>52607</v>
      </c>
      <c r="C1330" t="s">
        <v>4745</v>
      </c>
      <c r="D1330" t="s">
        <v>4264</v>
      </c>
      <c r="E1330" s="3" t="str">
        <f>IF(LEN(Base_Periodo1[[#This Row],[CLASS]])&gt;=7,LEFT(Base_Periodo1[[#This Row],[CLASS]],7),"")</f>
        <v>1.1.3.1</v>
      </c>
      <c r="F1330" s="3" t="str">
        <f>VLOOKUP(Base_Periodo1[[#This Row],[Aux]],Base_Contas_Balanco[#All],2,FALSE)</f>
        <v>Estoques Proprios</v>
      </c>
      <c r="G1330" s="1"/>
      <c r="H1330" s="225">
        <v>1030430.8000000003</v>
      </c>
      <c r="I1330" s="225">
        <v>0</v>
      </c>
      <c r="J1330" s="225">
        <v>77553</v>
      </c>
      <c r="K1330" s="225">
        <v>1107983.8000000003</v>
      </c>
      <c r="L13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-1107983.8</v>
      </c>
      <c r="M1330" s="225">
        <f>ROUND(IF(AND(Base_Periodo1[[#This Row],[Tipo_Linha]]="-",Base_Periodo1[[#This Row],[TIPOSALDO]]="D"),Base_Periodo1[[#This Row],[SALDO_ATUAL]]*-1,Base_Periodo1[[#This Row],[SALDO_ATUAL]]),4)</f>
        <v>1107983.8</v>
      </c>
      <c r="N1330" t="s">
        <v>396</v>
      </c>
      <c r="O1330" t="s">
        <v>459</v>
      </c>
      <c r="P1330" t="s">
        <v>459</v>
      </c>
      <c r="Q1330">
        <v>8</v>
      </c>
      <c r="R1330" s="225">
        <f>Base_Periodo1[[#This Row],[CREDITOS]]-Base_Periodo1[[#This Row],[DEBITOS]]</f>
        <v>77553</v>
      </c>
      <c r="S1330" s="3" t="str">
        <f>IF(ISERROR(VLOOKUP(Base_Periodo1[[#This Row],[CONTA]],BaseContasDRE[#All],4,FALSE)),"Fora do DRE",VLOOKUP(Base_Periodo1[[#This Row],[CONTA]],BaseContasDRE[#All],4,FALSE))</f>
        <v>Fora do DRE</v>
      </c>
      <c r="T1330" s="3" t="str">
        <f>IF(ISERROR(VLOOKUP(Base_Periodo1[[#This Row],[CONTA]],BaseContasDRE[#All],5,FALSE)),"Fora do DRE",VLOOKUP(Base_Periodo1[[#This Row],[CONTA]],BaseContasDRE[#All],6,FALSE))</f>
        <v>Fora do DRE</v>
      </c>
      <c r="U1330" s="3" t="str">
        <f>IF(ISERROR(VLOOKUP(Base_Periodo1[[#This Row],[CONTA]],BaseContasDRE[#All],7,FALSE)),"Fora do DRE",VLOOKUP(Base_Periodo1[[#This Row],[CONTA]],BaseContasDRE[#All],7,FALSE))</f>
        <v>Fora do DRE</v>
      </c>
      <c r="V1330" s="3" t="str">
        <f>IF(Base_Periodo1[[#This Row],[Tipo_Linha]]="Fora do DRE","Fora do DRE","( "&amp;Base_Periodo1[[#This Row],[Tipo_Linha]]&amp;" ) "&amp;Base_Periodo1[[#This Row],[Filtro]])</f>
        <v>Fora do DRE</v>
      </c>
      <c r="W1330" s="3" t="str">
        <f>LEFT(Base_Periodo1[[#This Row],[CLASS]],3)</f>
        <v>1.1</v>
      </c>
    </row>
    <row r="1331" spans="1:23" hidden="1">
      <c r="A1331" s="3" t="str">
        <f t="shared" si="20"/>
        <v>Período 1</v>
      </c>
      <c r="B1331">
        <v>52608</v>
      </c>
      <c r="C1331" t="s">
        <v>4746</v>
      </c>
      <c r="D1331" t="s">
        <v>4747</v>
      </c>
      <c r="E1331" s="3" t="str">
        <f>IF(LEN(Base_Periodo1[[#This Row],[CLASS]])&gt;=7,LEFT(Base_Periodo1[[#This Row],[CLASS]],7),"")</f>
        <v>1.1.3.1</v>
      </c>
      <c r="F1331" s="3" t="str">
        <f>VLOOKUP(Base_Periodo1[[#This Row],[Aux]],Base_Contas_Balanco[#All],2,FALSE)</f>
        <v>Estoques Proprios</v>
      </c>
      <c r="G1331" s="1"/>
      <c r="H1331" s="225">
        <v>1030430.8000000003</v>
      </c>
      <c r="I1331" s="225">
        <v>0</v>
      </c>
      <c r="J1331" s="225">
        <v>77553</v>
      </c>
      <c r="K1331" s="225">
        <v>1107983.8000000003</v>
      </c>
      <c r="L13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-1107983.8</v>
      </c>
      <c r="M1331" s="225">
        <f>ROUND(IF(AND(Base_Periodo1[[#This Row],[Tipo_Linha]]="-",Base_Periodo1[[#This Row],[TIPOSALDO]]="D"),Base_Periodo1[[#This Row],[SALDO_ATUAL]]*-1,Base_Periodo1[[#This Row],[SALDO_ATUAL]]),4)</f>
        <v>1107983.8</v>
      </c>
      <c r="N1331" t="s">
        <v>116</v>
      </c>
      <c r="O1331" t="s">
        <v>459</v>
      </c>
      <c r="P1331" t="s">
        <v>459</v>
      </c>
      <c r="Q1331">
        <v>9</v>
      </c>
      <c r="R1331" s="225">
        <f>Base_Periodo1[[#This Row],[CREDITOS]]-Base_Periodo1[[#This Row],[DEBITOS]]</f>
        <v>77553</v>
      </c>
      <c r="S1331" s="3" t="str">
        <f>IF(ISERROR(VLOOKUP(Base_Periodo1[[#This Row],[CONTA]],BaseContasDRE[#All],4,FALSE)),"Fora do DRE",VLOOKUP(Base_Periodo1[[#This Row],[CONTA]],BaseContasDRE[#All],4,FALSE))</f>
        <v>Fora do DRE</v>
      </c>
      <c r="T1331" s="3" t="str">
        <f>IF(ISERROR(VLOOKUP(Base_Periodo1[[#This Row],[CONTA]],BaseContasDRE[#All],5,FALSE)),"Fora do DRE",VLOOKUP(Base_Periodo1[[#This Row],[CONTA]],BaseContasDRE[#All],6,FALSE))</f>
        <v>Fora do DRE</v>
      </c>
      <c r="U1331" s="3" t="str">
        <f>IF(ISERROR(VLOOKUP(Base_Periodo1[[#This Row],[CONTA]],BaseContasDRE[#All],7,FALSE)),"Fora do DRE",VLOOKUP(Base_Periodo1[[#This Row],[CONTA]],BaseContasDRE[#All],7,FALSE))</f>
        <v>Fora do DRE</v>
      </c>
      <c r="V1331" s="3" t="str">
        <f>IF(Base_Periodo1[[#This Row],[Tipo_Linha]]="Fora do DRE","Fora do DRE","( "&amp;Base_Periodo1[[#This Row],[Tipo_Linha]]&amp;" ) "&amp;Base_Periodo1[[#This Row],[Filtro]])</f>
        <v>Fora do DRE</v>
      </c>
      <c r="W1331" s="3" t="str">
        <f>LEFT(Base_Periodo1[[#This Row],[CLASS]],3)</f>
        <v>1.1</v>
      </c>
    </row>
    <row r="1332" spans="1:23" hidden="1">
      <c r="A1332" s="3" t="str">
        <f t="shared" si="20"/>
        <v>Período 1</v>
      </c>
      <c r="B1332">
        <v>30310</v>
      </c>
      <c r="C1332" t="s">
        <v>1114</v>
      </c>
      <c r="D1332" t="s">
        <v>1115</v>
      </c>
      <c r="E1332" s="3" t="str">
        <f>IF(LEN(Base_Periodo1[[#This Row],[CLASS]])&gt;=7,LEFT(Base_Periodo1[[#This Row],[CLASS]],7),"")</f>
        <v>1.1.3.1</v>
      </c>
      <c r="F1332" s="3" t="str">
        <f>VLOOKUP(Base_Periodo1[[#This Row],[Aux]],Base_Contas_Balanco[#All],2,FALSE)</f>
        <v>Estoques Proprios</v>
      </c>
      <c r="G1332" s="1"/>
      <c r="H1332" s="225">
        <v>5255255.0600000015</v>
      </c>
      <c r="I1332" s="225">
        <v>11471896.41</v>
      </c>
      <c r="J1332" s="225">
        <v>9932399.9900000002</v>
      </c>
      <c r="K1332" s="225">
        <v>6794751.4800000023</v>
      </c>
      <c r="L13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6794751.4800000004</v>
      </c>
      <c r="M1332" s="225">
        <f>ROUND(IF(AND(Base_Periodo1[[#This Row],[Tipo_Linha]]="-",Base_Periodo1[[#This Row],[TIPOSALDO]]="D"),Base_Periodo1[[#This Row],[SALDO_ATUAL]]*-1,Base_Periodo1[[#This Row],[SALDO_ATUAL]]),4)</f>
        <v>6794751.4800000004</v>
      </c>
      <c r="N1332" t="s">
        <v>396</v>
      </c>
      <c r="O1332" t="s">
        <v>397</v>
      </c>
      <c r="P1332" t="s">
        <v>397</v>
      </c>
      <c r="Q1332">
        <v>6</v>
      </c>
      <c r="R1332" s="225">
        <f>Base_Periodo1[[#This Row],[CREDITOS]]-Base_Periodo1[[#This Row],[DEBITOS]]</f>
        <v>-1539496.42</v>
      </c>
      <c r="S1332" s="3" t="str">
        <f>IF(ISERROR(VLOOKUP(Base_Periodo1[[#This Row],[CONTA]],BaseContasDRE[#All],4,FALSE)),"Fora do DRE",VLOOKUP(Base_Periodo1[[#This Row],[CONTA]],BaseContasDRE[#All],4,FALSE))</f>
        <v>Fora do DRE</v>
      </c>
      <c r="T1332" s="3" t="str">
        <f>IF(ISERROR(VLOOKUP(Base_Periodo1[[#This Row],[CONTA]],BaseContasDRE[#All],5,FALSE)),"Fora do DRE",VLOOKUP(Base_Periodo1[[#This Row],[CONTA]],BaseContasDRE[#All],6,FALSE))</f>
        <v>Fora do DRE</v>
      </c>
      <c r="U1332" s="3" t="str">
        <f>IF(ISERROR(VLOOKUP(Base_Periodo1[[#This Row],[CONTA]],BaseContasDRE[#All],7,FALSE)),"Fora do DRE",VLOOKUP(Base_Periodo1[[#This Row],[CONTA]],BaseContasDRE[#All],7,FALSE))</f>
        <v>Fora do DRE</v>
      </c>
      <c r="V1332" s="3" t="str">
        <f>IF(Base_Periodo1[[#This Row],[Tipo_Linha]]="Fora do DRE","Fora do DRE","( "&amp;Base_Periodo1[[#This Row],[Tipo_Linha]]&amp;" ) "&amp;Base_Periodo1[[#This Row],[Filtro]])</f>
        <v>Fora do DRE</v>
      </c>
      <c r="W1332" s="3" t="str">
        <f>LEFT(Base_Periodo1[[#This Row],[CLASS]],3)</f>
        <v>1.1</v>
      </c>
    </row>
    <row r="1333" spans="1:23" hidden="1">
      <c r="A1333" s="3" t="str">
        <f t="shared" si="20"/>
        <v>Período 1</v>
      </c>
      <c r="B1333">
        <v>32184</v>
      </c>
      <c r="C1333" t="s">
        <v>1116</v>
      </c>
      <c r="D1333" t="s">
        <v>1117</v>
      </c>
      <c r="E1333" s="3" t="str">
        <f>IF(LEN(Base_Periodo1[[#This Row],[CLASS]])&gt;=7,LEFT(Base_Periodo1[[#This Row],[CLASS]],7),"")</f>
        <v>1.1.3.1</v>
      </c>
      <c r="F1333" s="3" t="str">
        <f>VLOOKUP(Base_Periodo1[[#This Row],[Aux]],Base_Contas_Balanco[#All],2,FALSE)</f>
        <v>Estoques Proprios</v>
      </c>
      <c r="G1333" s="1"/>
      <c r="H1333" s="225">
        <v>5211736.6999999862</v>
      </c>
      <c r="I1333" s="225">
        <v>10950487.24</v>
      </c>
      <c r="J1333" s="225">
        <v>9410950.8200000003</v>
      </c>
      <c r="K1333" s="225">
        <v>6751273.1199999861</v>
      </c>
      <c r="L13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6751273.1200000001</v>
      </c>
      <c r="M1333" s="225">
        <f>ROUND(IF(AND(Base_Periodo1[[#This Row],[Tipo_Linha]]="-",Base_Periodo1[[#This Row],[TIPOSALDO]]="D"),Base_Periodo1[[#This Row],[SALDO_ATUAL]]*-1,Base_Periodo1[[#This Row],[SALDO_ATUAL]]),4)</f>
        <v>6751273.1200000001</v>
      </c>
      <c r="N1333" t="s">
        <v>396</v>
      </c>
      <c r="O1333" t="s">
        <v>397</v>
      </c>
      <c r="P1333" t="s">
        <v>397</v>
      </c>
      <c r="Q1333">
        <v>7</v>
      </c>
      <c r="R1333" s="225">
        <f>Base_Periodo1[[#This Row],[CREDITOS]]-Base_Periodo1[[#This Row],[DEBITOS]]</f>
        <v>-1539536.42</v>
      </c>
      <c r="S1333" s="3" t="str">
        <f>IF(ISERROR(VLOOKUP(Base_Periodo1[[#This Row],[CONTA]],BaseContasDRE[#All],4,FALSE)),"Fora do DRE",VLOOKUP(Base_Periodo1[[#This Row],[CONTA]],BaseContasDRE[#All],4,FALSE))</f>
        <v>Fora do DRE</v>
      </c>
      <c r="T1333" s="3" t="str">
        <f>IF(ISERROR(VLOOKUP(Base_Periodo1[[#This Row],[CONTA]],BaseContasDRE[#All],5,FALSE)),"Fora do DRE",VLOOKUP(Base_Periodo1[[#This Row],[CONTA]],BaseContasDRE[#All],6,FALSE))</f>
        <v>Fora do DRE</v>
      </c>
      <c r="U1333" s="3" t="str">
        <f>IF(ISERROR(VLOOKUP(Base_Periodo1[[#This Row],[CONTA]],BaseContasDRE[#All],7,FALSE)),"Fora do DRE",VLOOKUP(Base_Periodo1[[#This Row],[CONTA]],BaseContasDRE[#All],7,FALSE))</f>
        <v>Fora do DRE</v>
      </c>
      <c r="V1333" s="3" t="str">
        <f>IF(Base_Periodo1[[#This Row],[Tipo_Linha]]="Fora do DRE","Fora do DRE","( "&amp;Base_Periodo1[[#This Row],[Tipo_Linha]]&amp;" ) "&amp;Base_Periodo1[[#This Row],[Filtro]])</f>
        <v>Fora do DRE</v>
      </c>
      <c r="W1333" s="3" t="str">
        <f>LEFT(Base_Periodo1[[#This Row],[CLASS]],3)</f>
        <v>1.1</v>
      </c>
    </row>
    <row r="1334" spans="1:23" hidden="1">
      <c r="A1334" s="3" t="str">
        <f t="shared" si="20"/>
        <v>Período 1</v>
      </c>
      <c r="B1334">
        <v>32185</v>
      </c>
      <c r="C1334" t="s">
        <v>5776</v>
      </c>
      <c r="D1334" t="s">
        <v>1054</v>
      </c>
      <c r="E1334" s="3" t="str">
        <f>IF(LEN(Base_Periodo1[[#This Row],[CLASS]])&gt;=7,LEFT(Base_Periodo1[[#This Row],[CLASS]],7),"")</f>
        <v>1.1.3.1</v>
      </c>
      <c r="F1334" s="3" t="str">
        <f>VLOOKUP(Base_Periodo1[[#This Row],[Aux]],Base_Contas_Balanco[#All],2,FALSE)</f>
        <v>Estoques Proprios</v>
      </c>
      <c r="G1334" s="1"/>
      <c r="H1334" s="225">
        <v>39873832.279999994</v>
      </c>
      <c r="I1334" s="225">
        <v>0</v>
      </c>
      <c r="J1334" s="225">
        <v>0</v>
      </c>
      <c r="K1334" s="225">
        <v>39873832.279999994</v>
      </c>
      <c r="L13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39873832.280000001</v>
      </c>
      <c r="M1334" s="225">
        <f>ROUND(IF(AND(Base_Periodo1[[#This Row],[Tipo_Linha]]="-",Base_Periodo1[[#This Row],[TIPOSALDO]]="D"),Base_Periodo1[[#This Row],[SALDO_ATUAL]]*-1,Base_Periodo1[[#This Row],[SALDO_ATUAL]]),4)</f>
        <v>39873832.280000001</v>
      </c>
      <c r="N1334" t="s">
        <v>396</v>
      </c>
      <c r="O1334" t="s">
        <v>397</v>
      </c>
      <c r="P1334" t="s">
        <v>397</v>
      </c>
      <c r="Q1334">
        <v>8</v>
      </c>
      <c r="R1334" s="225">
        <f>Base_Periodo1[[#This Row],[CREDITOS]]-Base_Periodo1[[#This Row],[DEBITOS]]</f>
        <v>0</v>
      </c>
      <c r="S1334" s="3" t="str">
        <f>IF(ISERROR(VLOOKUP(Base_Periodo1[[#This Row],[CONTA]],BaseContasDRE[#All],4,FALSE)),"Fora do DRE",VLOOKUP(Base_Periodo1[[#This Row],[CONTA]],BaseContasDRE[#All],4,FALSE))</f>
        <v>Fora do DRE</v>
      </c>
      <c r="T1334" s="3" t="str">
        <f>IF(ISERROR(VLOOKUP(Base_Periodo1[[#This Row],[CONTA]],BaseContasDRE[#All],5,FALSE)),"Fora do DRE",VLOOKUP(Base_Periodo1[[#This Row],[CONTA]],BaseContasDRE[#All],6,FALSE))</f>
        <v>Fora do DRE</v>
      </c>
      <c r="U1334" s="3" t="str">
        <f>IF(ISERROR(VLOOKUP(Base_Periodo1[[#This Row],[CONTA]],BaseContasDRE[#All],7,FALSE)),"Fora do DRE",VLOOKUP(Base_Periodo1[[#This Row],[CONTA]],BaseContasDRE[#All],7,FALSE))</f>
        <v>Fora do DRE</v>
      </c>
      <c r="V1334" s="3" t="str">
        <f>IF(Base_Periodo1[[#This Row],[Tipo_Linha]]="Fora do DRE","Fora do DRE","( "&amp;Base_Periodo1[[#This Row],[Tipo_Linha]]&amp;" ) "&amp;Base_Periodo1[[#This Row],[Filtro]])</f>
        <v>Fora do DRE</v>
      </c>
      <c r="W1334" s="3" t="str">
        <f>LEFT(Base_Periodo1[[#This Row],[CLASS]],3)</f>
        <v>1.1</v>
      </c>
    </row>
    <row r="1335" spans="1:23" hidden="1">
      <c r="A1335" s="3" t="str">
        <f t="shared" si="20"/>
        <v>Período 1</v>
      </c>
      <c r="B1335">
        <v>32186</v>
      </c>
      <c r="C1335" t="s">
        <v>5777</v>
      </c>
      <c r="D1335" t="s">
        <v>1136</v>
      </c>
      <c r="E1335" s="3" t="str">
        <f>IF(LEN(Base_Periodo1[[#This Row],[CLASS]])&gt;=7,LEFT(Base_Periodo1[[#This Row],[CLASS]],7),"")</f>
        <v>1.1.3.1</v>
      </c>
      <c r="F1335" s="3" t="str">
        <f>VLOOKUP(Base_Periodo1[[#This Row],[Aux]],Base_Contas_Balanco[#All],2,FALSE)</f>
        <v>Estoques Proprios</v>
      </c>
      <c r="G1335" s="1">
        <v>42735</v>
      </c>
      <c r="H1335" s="225">
        <v>39873832.279999994</v>
      </c>
      <c r="I1335" s="225">
        <v>0</v>
      </c>
      <c r="J1335" s="225">
        <v>0</v>
      </c>
      <c r="K1335" s="225">
        <v>39873832.279999994</v>
      </c>
      <c r="L13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39873832.280000001</v>
      </c>
      <c r="M1335" s="225">
        <f>ROUND(IF(AND(Base_Periodo1[[#This Row],[Tipo_Linha]]="-",Base_Periodo1[[#This Row],[TIPOSALDO]]="D"),Base_Periodo1[[#This Row],[SALDO_ATUAL]]*-1,Base_Periodo1[[#This Row],[SALDO_ATUAL]]),4)</f>
        <v>39873832.280000001</v>
      </c>
      <c r="N1335" t="s">
        <v>116</v>
      </c>
      <c r="O1335" t="s">
        <v>397</v>
      </c>
      <c r="P1335" t="s">
        <v>397</v>
      </c>
      <c r="Q1335">
        <v>9</v>
      </c>
      <c r="R1335" s="225">
        <f>Base_Periodo1[[#This Row],[CREDITOS]]-Base_Periodo1[[#This Row],[DEBITOS]]</f>
        <v>0</v>
      </c>
      <c r="S1335" s="3" t="str">
        <f>IF(ISERROR(VLOOKUP(Base_Periodo1[[#This Row],[CONTA]],BaseContasDRE[#All],4,FALSE)),"Fora do DRE",VLOOKUP(Base_Periodo1[[#This Row],[CONTA]],BaseContasDRE[#All],4,FALSE))</f>
        <v>Fora do DRE</v>
      </c>
      <c r="T1335" s="3" t="str">
        <f>IF(ISERROR(VLOOKUP(Base_Periodo1[[#This Row],[CONTA]],BaseContasDRE[#All],5,FALSE)),"Fora do DRE",VLOOKUP(Base_Periodo1[[#This Row],[CONTA]],BaseContasDRE[#All],6,FALSE))</f>
        <v>Fora do DRE</v>
      </c>
      <c r="U1335" s="3" t="str">
        <f>IF(ISERROR(VLOOKUP(Base_Periodo1[[#This Row],[CONTA]],BaseContasDRE[#All],7,FALSE)),"Fora do DRE",VLOOKUP(Base_Periodo1[[#This Row],[CONTA]],BaseContasDRE[#All],7,FALSE))</f>
        <v>Fora do DRE</v>
      </c>
      <c r="V1335" s="3" t="str">
        <f>IF(Base_Periodo1[[#This Row],[Tipo_Linha]]="Fora do DRE","Fora do DRE","( "&amp;Base_Periodo1[[#This Row],[Tipo_Linha]]&amp;" ) "&amp;Base_Periodo1[[#This Row],[Filtro]])</f>
        <v>Fora do DRE</v>
      </c>
      <c r="W1335" s="3" t="str">
        <f>LEFT(Base_Periodo1[[#This Row],[CLASS]],3)</f>
        <v>1.1</v>
      </c>
    </row>
    <row r="1336" spans="1:23" hidden="1">
      <c r="A1336" s="3" t="str">
        <f t="shared" si="20"/>
        <v>Período 1</v>
      </c>
      <c r="B1336">
        <v>32187</v>
      </c>
      <c r="C1336" t="s">
        <v>1118</v>
      </c>
      <c r="D1336" t="s">
        <v>1119</v>
      </c>
      <c r="E1336" s="3" t="str">
        <f>IF(LEN(Base_Periodo1[[#This Row],[CLASS]])&gt;=7,LEFT(Base_Periodo1[[#This Row],[CLASS]],7),"")</f>
        <v>1.1.3.1</v>
      </c>
      <c r="F1336" s="3" t="str">
        <f>VLOOKUP(Base_Periodo1[[#This Row],[Aux]],Base_Contas_Balanco[#All],2,FALSE)</f>
        <v>Estoques Proprios</v>
      </c>
      <c r="G1336" s="1"/>
      <c r="H1336" s="225">
        <v>10127731.559999995</v>
      </c>
      <c r="I1336" s="225">
        <v>4304887.71</v>
      </c>
      <c r="J1336" s="225">
        <v>0</v>
      </c>
      <c r="K1336" s="225">
        <v>14432619.269999996</v>
      </c>
      <c r="L13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14432619.27</v>
      </c>
      <c r="M1336" s="225">
        <f>ROUND(IF(AND(Base_Periodo1[[#This Row],[Tipo_Linha]]="-",Base_Periodo1[[#This Row],[TIPOSALDO]]="D"),Base_Periodo1[[#This Row],[SALDO_ATUAL]]*-1,Base_Periodo1[[#This Row],[SALDO_ATUAL]]),4)</f>
        <v>14432619.27</v>
      </c>
      <c r="N1336" t="s">
        <v>396</v>
      </c>
      <c r="O1336" t="s">
        <v>397</v>
      </c>
      <c r="P1336" t="s">
        <v>397</v>
      </c>
      <c r="Q1336">
        <v>8</v>
      </c>
      <c r="R1336" s="225">
        <f>Base_Periodo1[[#This Row],[CREDITOS]]-Base_Periodo1[[#This Row],[DEBITOS]]</f>
        <v>-4304887.71</v>
      </c>
      <c r="S1336" s="3" t="str">
        <f>IF(ISERROR(VLOOKUP(Base_Periodo1[[#This Row],[CONTA]],BaseContasDRE[#All],4,FALSE)),"Fora do DRE",VLOOKUP(Base_Periodo1[[#This Row],[CONTA]],BaseContasDRE[#All],4,FALSE))</f>
        <v>Fora do DRE</v>
      </c>
      <c r="T1336" s="3" t="str">
        <f>IF(ISERROR(VLOOKUP(Base_Periodo1[[#This Row],[CONTA]],BaseContasDRE[#All],5,FALSE)),"Fora do DRE",VLOOKUP(Base_Periodo1[[#This Row],[CONTA]],BaseContasDRE[#All],6,FALSE))</f>
        <v>Fora do DRE</v>
      </c>
      <c r="U1336" s="3" t="str">
        <f>IF(ISERROR(VLOOKUP(Base_Periodo1[[#This Row],[CONTA]],BaseContasDRE[#All],7,FALSE)),"Fora do DRE",VLOOKUP(Base_Periodo1[[#This Row],[CONTA]],BaseContasDRE[#All],7,FALSE))</f>
        <v>Fora do DRE</v>
      </c>
      <c r="V1336" s="3" t="str">
        <f>IF(Base_Periodo1[[#This Row],[Tipo_Linha]]="Fora do DRE","Fora do DRE","( "&amp;Base_Periodo1[[#This Row],[Tipo_Linha]]&amp;" ) "&amp;Base_Periodo1[[#This Row],[Filtro]])</f>
        <v>Fora do DRE</v>
      </c>
      <c r="W1336" s="3" t="str">
        <f>LEFT(Base_Periodo1[[#This Row],[CLASS]],3)</f>
        <v>1.1</v>
      </c>
    </row>
    <row r="1337" spans="1:23" hidden="1">
      <c r="A1337" s="3" t="str">
        <f t="shared" si="20"/>
        <v>Período 1</v>
      </c>
      <c r="B1337">
        <v>32188</v>
      </c>
      <c r="C1337" t="s">
        <v>1120</v>
      </c>
      <c r="D1337" t="s">
        <v>1121</v>
      </c>
      <c r="E1337" s="3" t="str">
        <f>IF(LEN(Base_Periodo1[[#This Row],[CLASS]])&gt;=7,LEFT(Base_Periodo1[[#This Row],[CLASS]],7),"")</f>
        <v>1.1.3.1</v>
      </c>
      <c r="F1337" s="3" t="str">
        <f>VLOOKUP(Base_Periodo1[[#This Row],[Aux]],Base_Contas_Balanco[#All],2,FALSE)</f>
        <v>Estoques Proprios</v>
      </c>
      <c r="G1337" s="1">
        <v>42886</v>
      </c>
      <c r="H1337" s="225">
        <v>10127731.559999995</v>
      </c>
      <c r="I1337" s="225">
        <v>4230254.3600000003</v>
      </c>
      <c r="J1337" s="225">
        <v>0</v>
      </c>
      <c r="K1337" s="225">
        <v>14357985.919999994</v>
      </c>
      <c r="L13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14357985.92</v>
      </c>
      <c r="M1337" s="225">
        <f>ROUND(IF(AND(Base_Periodo1[[#This Row],[Tipo_Linha]]="-",Base_Periodo1[[#This Row],[TIPOSALDO]]="D"),Base_Periodo1[[#This Row],[SALDO_ATUAL]]*-1,Base_Periodo1[[#This Row],[SALDO_ATUAL]]),4)</f>
        <v>14357985.92</v>
      </c>
      <c r="N1337" t="s">
        <v>116</v>
      </c>
      <c r="O1337" t="s">
        <v>397</v>
      </c>
      <c r="P1337" t="s">
        <v>397</v>
      </c>
      <c r="Q1337">
        <v>9</v>
      </c>
      <c r="R1337" s="225">
        <f>Base_Periodo1[[#This Row],[CREDITOS]]-Base_Periodo1[[#This Row],[DEBITOS]]</f>
        <v>-4230254.3600000003</v>
      </c>
      <c r="S1337" s="3" t="str">
        <f>IF(ISERROR(VLOOKUP(Base_Periodo1[[#This Row],[CONTA]],BaseContasDRE[#All],4,FALSE)),"Fora do DRE",VLOOKUP(Base_Periodo1[[#This Row],[CONTA]],BaseContasDRE[#All],4,FALSE))</f>
        <v>Fora do DRE</v>
      </c>
      <c r="T1337" s="3" t="str">
        <f>IF(ISERROR(VLOOKUP(Base_Periodo1[[#This Row],[CONTA]],BaseContasDRE[#All],5,FALSE)),"Fora do DRE",VLOOKUP(Base_Periodo1[[#This Row],[CONTA]],BaseContasDRE[#All],6,FALSE))</f>
        <v>Fora do DRE</v>
      </c>
      <c r="U1337" s="3" t="str">
        <f>IF(ISERROR(VLOOKUP(Base_Periodo1[[#This Row],[CONTA]],BaseContasDRE[#All],7,FALSE)),"Fora do DRE",VLOOKUP(Base_Periodo1[[#This Row],[CONTA]],BaseContasDRE[#All],7,FALSE))</f>
        <v>Fora do DRE</v>
      </c>
      <c r="V1337" s="3" t="str">
        <f>IF(Base_Periodo1[[#This Row],[Tipo_Linha]]="Fora do DRE","Fora do DRE","( "&amp;Base_Periodo1[[#This Row],[Tipo_Linha]]&amp;" ) "&amp;Base_Periodo1[[#This Row],[Filtro]])</f>
        <v>Fora do DRE</v>
      </c>
      <c r="W1337" s="3" t="str">
        <f>LEFT(Base_Periodo1[[#This Row],[CLASS]],3)</f>
        <v>1.1</v>
      </c>
    </row>
    <row r="1338" spans="1:23" hidden="1">
      <c r="A1338" s="3" t="str">
        <f t="shared" si="20"/>
        <v>Período 1</v>
      </c>
      <c r="B1338">
        <v>32189</v>
      </c>
      <c r="C1338" t="s">
        <v>6796</v>
      </c>
      <c r="D1338" t="s">
        <v>6221</v>
      </c>
      <c r="E1338" s="3" t="str">
        <f>IF(LEN(Base_Periodo1[[#This Row],[CLASS]])&gt;=7,LEFT(Base_Periodo1[[#This Row],[CLASS]],7),"")</f>
        <v>1.1.3.1</v>
      </c>
      <c r="F1338" s="3" t="str">
        <f>VLOOKUP(Base_Periodo1[[#This Row],[Aux]],Base_Contas_Balanco[#All],2,FALSE)</f>
        <v>Estoques Proprios</v>
      </c>
      <c r="G1338" s="1">
        <v>42866</v>
      </c>
      <c r="I1338" s="225">
        <v>74633.350000000006</v>
      </c>
      <c r="J1338" s="225">
        <v>0</v>
      </c>
      <c r="K1338" s="225">
        <v>74633.350000000006</v>
      </c>
      <c r="L13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74633.350000000006</v>
      </c>
      <c r="M1338" s="225">
        <f>ROUND(IF(AND(Base_Periodo1[[#This Row],[Tipo_Linha]]="-",Base_Periodo1[[#This Row],[TIPOSALDO]]="D"),Base_Periodo1[[#This Row],[SALDO_ATUAL]]*-1,Base_Periodo1[[#This Row],[SALDO_ATUAL]]),4)</f>
        <v>74633.350000000006</v>
      </c>
      <c r="N1338" t="s">
        <v>116</v>
      </c>
      <c r="O1338" t="s">
        <v>436</v>
      </c>
      <c r="P1338" t="s">
        <v>397</v>
      </c>
      <c r="Q1338">
        <v>9</v>
      </c>
      <c r="R1338" s="225">
        <f>Base_Periodo1[[#This Row],[CREDITOS]]-Base_Periodo1[[#This Row],[DEBITOS]]</f>
        <v>-74633.350000000006</v>
      </c>
      <c r="S1338" s="3" t="str">
        <f>IF(ISERROR(VLOOKUP(Base_Periodo1[[#This Row],[CONTA]],BaseContasDRE[#All],4,FALSE)),"Fora do DRE",VLOOKUP(Base_Periodo1[[#This Row],[CONTA]],BaseContasDRE[#All],4,FALSE))</f>
        <v>Fora do DRE</v>
      </c>
      <c r="T1338" s="3" t="str">
        <f>IF(ISERROR(VLOOKUP(Base_Periodo1[[#This Row],[CONTA]],BaseContasDRE[#All],5,FALSE)),"Fora do DRE",VLOOKUP(Base_Periodo1[[#This Row],[CONTA]],BaseContasDRE[#All],6,FALSE))</f>
        <v>Fora do DRE</v>
      </c>
      <c r="U1338" s="3" t="str">
        <f>IF(ISERROR(VLOOKUP(Base_Periodo1[[#This Row],[CONTA]],BaseContasDRE[#All],7,FALSE)),"Fora do DRE",VLOOKUP(Base_Periodo1[[#This Row],[CONTA]],BaseContasDRE[#All],7,FALSE))</f>
        <v>Fora do DRE</v>
      </c>
      <c r="V1338" s="3" t="str">
        <f>IF(Base_Periodo1[[#This Row],[Tipo_Linha]]="Fora do DRE","Fora do DRE","( "&amp;Base_Periodo1[[#This Row],[Tipo_Linha]]&amp;" ) "&amp;Base_Periodo1[[#This Row],[Filtro]])</f>
        <v>Fora do DRE</v>
      </c>
      <c r="W1338" s="3" t="str">
        <f>LEFT(Base_Periodo1[[#This Row],[CLASS]],3)</f>
        <v>1.1</v>
      </c>
    </row>
    <row r="1339" spans="1:23" hidden="1">
      <c r="A1339" s="3" t="str">
        <f t="shared" si="20"/>
        <v>Período 1</v>
      </c>
      <c r="B1339">
        <v>32190</v>
      </c>
      <c r="C1339" t="s">
        <v>1122</v>
      </c>
      <c r="D1339" t="s">
        <v>1123</v>
      </c>
      <c r="E1339" s="3" t="str">
        <f>IF(LEN(Base_Periodo1[[#This Row],[CLASS]])&gt;=7,LEFT(Base_Periodo1[[#This Row],[CLASS]],7),"")</f>
        <v>1.1.3.1</v>
      </c>
      <c r="F1339" s="3" t="str">
        <f>VLOOKUP(Base_Periodo1[[#This Row],[Aux]],Base_Contas_Balanco[#All],2,FALSE)</f>
        <v>Estoques Proprios</v>
      </c>
      <c r="G1339" s="1"/>
      <c r="H1339" s="225">
        <v>15623723.059999997</v>
      </c>
      <c r="I1339" s="225">
        <v>1530935.94</v>
      </c>
      <c r="J1339" s="225">
        <v>0</v>
      </c>
      <c r="K1339" s="225">
        <v>17154658.999999996</v>
      </c>
      <c r="L13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17154659</v>
      </c>
      <c r="M1339" s="225">
        <f>ROUND(IF(AND(Base_Periodo1[[#This Row],[Tipo_Linha]]="-",Base_Periodo1[[#This Row],[TIPOSALDO]]="D"),Base_Periodo1[[#This Row],[SALDO_ATUAL]]*-1,Base_Periodo1[[#This Row],[SALDO_ATUAL]]),4)</f>
        <v>17154659</v>
      </c>
      <c r="N1339" t="s">
        <v>396</v>
      </c>
      <c r="O1339" t="s">
        <v>397</v>
      </c>
      <c r="P1339" t="s">
        <v>397</v>
      </c>
      <c r="Q1339">
        <v>8</v>
      </c>
      <c r="R1339" s="225">
        <f>Base_Periodo1[[#This Row],[CREDITOS]]-Base_Periodo1[[#This Row],[DEBITOS]]</f>
        <v>-1530935.94</v>
      </c>
      <c r="S1339" s="3" t="str">
        <f>IF(ISERROR(VLOOKUP(Base_Periodo1[[#This Row],[CONTA]],BaseContasDRE[#All],4,FALSE)),"Fora do DRE",VLOOKUP(Base_Periodo1[[#This Row],[CONTA]],BaseContasDRE[#All],4,FALSE))</f>
        <v>Fora do DRE</v>
      </c>
      <c r="T1339" s="3" t="str">
        <f>IF(ISERROR(VLOOKUP(Base_Periodo1[[#This Row],[CONTA]],BaseContasDRE[#All],5,FALSE)),"Fora do DRE",VLOOKUP(Base_Periodo1[[#This Row],[CONTA]],BaseContasDRE[#All],6,FALSE))</f>
        <v>Fora do DRE</v>
      </c>
      <c r="U1339" s="3" t="str">
        <f>IF(ISERROR(VLOOKUP(Base_Periodo1[[#This Row],[CONTA]],BaseContasDRE[#All],7,FALSE)),"Fora do DRE",VLOOKUP(Base_Periodo1[[#This Row],[CONTA]],BaseContasDRE[#All],7,FALSE))</f>
        <v>Fora do DRE</v>
      </c>
      <c r="V1339" s="3" t="str">
        <f>IF(Base_Periodo1[[#This Row],[Tipo_Linha]]="Fora do DRE","Fora do DRE","( "&amp;Base_Periodo1[[#This Row],[Tipo_Linha]]&amp;" ) "&amp;Base_Periodo1[[#This Row],[Filtro]])</f>
        <v>Fora do DRE</v>
      </c>
      <c r="W1339" s="3" t="str">
        <f>LEFT(Base_Periodo1[[#This Row],[CLASS]],3)</f>
        <v>1.1</v>
      </c>
    </row>
    <row r="1340" spans="1:23" hidden="1">
      <c r="A1340" s="3" t="str">
        <f t="shared" si="20"/>
        <v>Período 1</v>
      </c>
      <c r="B1340">
        <v>32191</v>
      </c>
      <c r="C1340" t="s">
        <v>1124</v>
      </c>
      <c r="D1340" t="s">
        <v>1125</v>
      </c>
      <c r="E1340" s="3" t="str">
        <f>IF(LEN(Base_Periodo1[[#This Row],[CLASS]])&gt;=7,LEFT(Base_Periodo1[[#This Row],[CLASS]],7),"")</f>
        <v>1.1.3.1</v>
      </c>
      <c r="F1340" s="3" t="str">
        <f>VLOOKUP(Base_Periodo1[[#This Row],[Aux]],Base_Contas_Balanco[#All],2,FALSE)</f>
        <v>Estoques Proprios</v>
      </c>
      <c r="G1340" s="1">
        <v>42886</v>
      </c>
      <c r="H1340" s="225">
        <v>15623723.059999997</v>
      </c>
      <c r="I1340" s="225">
        <v>1530935.94</v>
      </c>
      <c r="J1340" s="225">
        <v>0</v>
      </c>
      <c r="K1340" s="225">
        <v>17154658.999999996</v>
      </c>
      <c r="L13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17154659</v>
      </c>
      <c r="M1340" s="225">
        <f>ROUND(IF(AND(Base_Periodo1[[#This Row],[Tipo_Linha]]="-",Base_Periodo1[[#This Row],[TIPOSALDO]]="D"),Base_Periodo1[[#This Row],[SALDO_ATUAL]]*-1,Base_Periodo1[[#This Row],[SALDO_ATUAL]]),4)</f>
        <v>17154659</v>
      </c>
      <c r="N1340" t="s">
        <v>116</v>
      </c>
      <c r="O1340" t="s">
        <v>397</v>
      </c>
      <c r="P1340" t="s">
        <v>397</v>
      </c>
      <c r="Q1340">
        <v>9</v>
      </c>
      <c r="R1340" s="225">
        <f>Base_Periodo1[[#This Row],[CREDITOS]]-Base_Periodo1[[#This Row],[DEBITOS]]</f>
        <v>-1530935.94</v>
      </c>
      <c r="S1340" s="3" t="str">
        <f>IF(ISERROR(VLOOKUP(Base_Periodo1[[#This Row],[CONTA]],BaseContasDRE[#All],4,FALSE)),"Fora do DRE",VLOOKUP(Base_Periodo1[[#This Row],[CONTA]],BaseContasDRE[#All],4,FALSE))</f>
        <v>Fora do DRE</v>
      </c>
      <c r="T1340" s="3" t="str">
        <f>IF(ISERROR(VLOOKUP(Base_Periodo1[[#This Row],[CONTA]],BaseContasDRE[#All],5,FALSE)),"Fora do DRE",VLOOKUP(Base_Periodo1[[#This Row],[CONTA]],BaseContasDRE[#All],6,FALSE))</f>
        <v>Fora do DRE</v>
      </c>
      <c r="U1340" s="3" t="str">
        <f>IF(ISERROR(VLOOKUP(Base_Periodo1[[#This Row],[CONTA]],BaseContasDRE[#All],7,FALSE)),"Fora do DRE",VLOOKUP(Base_Periodo1[[#This Row],[CONTA]],BaseContasDRE[#All],7,FALSE))</f>
        <v>Fora do DRE</v>
      </c>
      <c r="V1340" s="3" t="str">
        <f>IF(Base_Periodo1[[#This Row],[Tipo_Linha]]="Fora do DRE","Fora do DRE","( "&amp;Base_Periodo1[[#This Row],[Tipo_Linha]]&amp;" ) "&amp;Base_Periodo1[[#This Row],[Filtro]])</f>
        <v>Fora do DRE</v>
      </c>
      <c r="W1340" s="3" t="str">
        <f>LEFT(Base_Periodo1[[#This Row],[CLASS]],3)</f>
        <v>1.1</v>
      </c>
    </row>
    <row r="1341" spans="1:23" hidden="1">
      <c r="A1341" s="3" t="str">
        <f t="shared" si="20"/>
        <v>Período 1</v>
      </c>
      <c r="B1341">
        <v>55796</v>
      </c>
      <c r="C1341" t="s">
        <v>5679</v>
      </c>
      <c r="D1341" t="s">
        <v>1096</v>
      </c>
      <c r="E1341" s="3" t="str">
        <f>IF(LEN(Base_Periodo1[[#This Row],[CLASS]])&gt;=7,LEFT(Base_Periodo1[[#This Row],[CLASS]],7),"")</f>
        <v>1.1.3.1</v>
      </c>
      <c r="F1341" s="3" t="str">
        <f>VLOOKUP(Base_Periodo1[[#This Row],[Aux]],Base_Contas_Balanco[#All],2,FALSE)</f>
        <v>Estoques Proprios</v>
      </c>
      <c r="G1341" s="1"/>
      <c r="H1341" s="225">
        <v>3965747.4499999993</v>
      </c>
      <c r="I1341" s="225">
        <v>5114663.59</v>
      </c>
      <c r="J1341" s="225">
        <v>4542101.7</v>
      </c>
      <c r="K1341" s="225">
        <v>4538309.3399999989</v>
      </c>
      <c r="L13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4538309.34</v>
      </c>
      <c r="M1341" s="225">
        <f>ROUND(IF(AND(Base_Periodo1[[#This Row],[Tipo_Linha]]="-",Base_Periodo1[[#This Row],[TIPOSALDO]]="D"),Base_Periodo1[[#This Row],[SALDO_ATUAL]]*-1,Base_Periodo1[[#This Row],[SALDO_ATUAL]]),4)</f>
        <v>4538309.34</v>
      </c>
      <c r="N1341" t="s">
        <v>396</v>
      </c>
      <c r="O1341" t="s">
        <v>397</v>
      </c>
      <c r="P1341" t="s">
        <v>397</v>
      </c>
      <c r="Q1341">
        <v>8</v>
      </c>
      <c r="R1341" s="225">
        <f>Base_Periodo1[[#This Row],[CREDITOS]]-Base_Periodo1[[#This Row],[DEBITOS]]</f>
        <v>-572561.88999999966</v>
      </c>
      <c r="S1341" s="3" t="str">
        <f>IF(ISERROR(VLOOKUP(Base_Periodo1[[#This Row],[CONTA]],BaseContasDRE[#All],4,FALSE)),"Fora do DRE",VLOOKUP(Base_Periodo1[[#This Row],[CONTA]],BaseContasDRE[#All],4,FALSE))</f>
        <v>Fora do DRE</v>
      </c>
      <c r="T1341" s="3" t="str">
        <f>IF(ISERROR(VLOOKUP(Base_Periodo1[[#This Row],[CONTA]],BaseContasDRE[#All],5,FALSE)),"Fora do DRE",VLOOKUP(Base_Periodo1[[#This Row],[CONTA]],BaseContasDRE[#All],6,FALSE))</f>
        <v>Fora do DRE</v>
      </c>
      <c r="U1341" s="3" t="str">
        <f>IF(ISERROR(VLOOKUP(Base_Periodo1[[#This Row],[CONTA]],BaseContasDRE[#All],7,FALSE)),"Fora do DRE",VLOOKUP(Base_Periodo1[[#This Row],[CONTA]],BaseContasDRE[#All],7,FALSE))</f>
        <v>Fora do DRE</v>
      </c>
      <c r="V1341" s="3" t="str">
        <f>IF(Base_Periodo1[[#This Row],[Tipo_Linha]]="Fora do DRE","Fora do DRE","( "&amp;Base_Periodo1[[#This Row],[Tipo_Linha]]&amp;" ) "&amp;Base_Periodo1[[#This Row],[Filtro]])</f>
        <v>Fora do DRE</v>
      </c>
      <c r="W1341" s="3" t="str">
        <f>LEFT(Base_Periodo1[[#This Row],[CLASS]],3)</f>
        <v>1.1</v>
      </c>
    </row>
    <row r="1342" spans="1:23" hidden="1">
      <c r="A1342" s="3" t="str">
        <f t="shared" si="20"/>
        <v>Período 1</v>
      </c>
      <c r="B1342">
        <v>55797</v>
      </c>
      <c r="C1342" t="s">
        <v>5680</v>
      </c>
      <c r="D1342" t="s">
        <v>5681</v>
      </c>
      <c r="E1342" s="3" t="str">
        <f>IF(LEN(Base_Periodo1[[#This Row],[CLASS]])&gt;=7,LEFT(Base_Periodo1[[#This Row],[CLASS]],7),"")</f>
        <v>1.1.3.1</v>
      </c>
      <c r="F1342" s="3" t="str">
        <f>VLOOKUP(Base_Periodo1[[#This Row],[Aux]],Base_Contas_Balanco[#All],2,FALSE)</f>
        <v>Estoques Proprios</v>
      </c>
      <c r="G1342" s="1">
        <v>42886</v>
      </c>
      <c r="H1342" s="225">
        <v>3965747.4499999993</v>
      </c>
      <c r="I1342" s="225">
        <v>5114663.59</v>
      </c>
      <c r="J1342" s="225">
        <v>4542101.7</v>
      </c>
      <c r="K1342" s="225">
        <v>4538309.3399999989</v>
      </c>
      <c r="L13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4538309.34</v>
      </c>
      <c r="M1342" s="225">
        <f>ROUND(IF(AND(Base_Periodo1[[#This Row],[Tipo_Linha]]="-",Base_Periodo1[[#This Row],[TIPOSALDO]]="D"),Base_Periodo1[[#This Row],[SALDO_ATUAL]]*-1,Base_Periodo1[[#This Row],[SALDO_ATUAL]]),4)</f>
        <v>4538309.34</v>
      </c>
      <c r="N1342" t="s">
        <v>116</v>
      </c>
      <c r="O1342" t="s">
        <v>397</v>
      </c>
      <c r="P1342" t="s">
        <v>397</v>
      </c>
      <c r="Q1342">
        <v>9</v>
      </c>
      <c r="R1342" s="225">
        <f>Base_Periodo1[[#This Row],[CREDITOS]]-Base_Periodo1[[#This Row],[DEBITOS]]</f>
        <v>-572561.88999999966</v>
      </c>
      <c r="S1342" s="3" t="str">
        <f>IF(ISERROR(VLOOKUP(Base_Periodo1[[#This Row],[CONTA]],BaseContasDRE[#All],4,FALSE)),"Fora do DRE",VLOOKUP(Base_Periodo1[[#This Row],[CONTA]],BaseContasDRE[#All],4,FALSE))</f>
        <v>Fora do DRE</v>
      </c>
      <c r="T1342" s="3" t="str">
        <f>IF(ISERROR(VLOOKUP(Base_Periodo1[[#This Row],[CONTA]],BaseContasDRE[#All],5,FALSE)),"Fora do DRE",VLOOKUP(Base_Periodo1[[#This Row],[CONTA]],BaseContasDRE[#All],6,FALSE))</f>
        <v>Fora do DRE</v>
      </c>
      <c r="U1342" s="3" t="str">
        <f>IF(ISERROR(VLOOKUP(Base_Periodo1[[#This Row],[CONTA]],BaseContasDRE[#All],7,FALSE)),"Fora do DRE",VLOOKUP(Base_Periodo1[[#This Row],[CONTA]],BaseContasDRE[#All],7,FALSE))</f>
        <v>Fora do DRE</v>
      </c>
      <c r="V1342" s="3" t="str">
        <f>IF(Base_Periodo1[[#This Row],[Tipo_Linha]]="Fora do DRE","Fora do DRE","( "&amp;Base_Periodo1[[#This Row],[Tipo_Linha]]&amp;" ) "&amp;Base_Periodo1[[#This Row],[Filtro]])</f>
        <v>Fora do DRE</v>
      </c>
      <c r="W1342" s="3" t="str">
        <f>LEFT(Base_Periodo1[[#This Row],[CLASS]],3)</f>
        <v>1.1</v>
      </c>
    </row>
    <row r="1343" spans="1:23" hidden="1">
      <c r="A1343" s="3" t="str">
        <f t="shared" si="20"/>
        <v>Período 1</v>
      </c>
      <c r="B1343">
        <v>32194</v>
      </c>
      <c r="C1343" t="s">
        <v>1126</v>
      </c>
      <c r="D1343" t="s">
        <v>1127</v>
      </c>
      <c r="E1343" s="3" t="str">
        <f>IF(LEN(Base_Periodo1[[#This Row],[CLASS]])&gt;=7,LEFT(Base_Periodo1[[#This Row],[CLASS]],7),"")</f>
        <v>1.1.3.1</v>
      </c>
      <c r="F1343" s="3" t="str">
        <f>VLOOKUP(Base_Periodo1[[#This Row],[Aux]],Base_Contas_Balanco[#All],2,FALSE)</f>
        <v>Estoques Proprios</v>
      </c>
      <c r="G1343" s="1"/>
      <c r="H1343" s="225">
        <v>7249751.6700000055</v>
      </c>
      <c r="I1343" s="225">
        <v>0</v>
      </c>
      <c r="J1343" s="225">
        <v>0</v>
      </c>
      <c r="K1343" s="225">
        <v>7249751.6700000055</v>
      </c>
      <c r="L13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-7249751.6699999999</v>
      </c>
      <c r="M1343" s="225">
        <f>ROUND(IF(AND(Base_Periodo1[[#This Row],[Tipo_Linha]]="-",Base_Periodo1[[#This Row],[TIPOSALDO]]="D"),Base_Periodo1[[#This Row],[SALDO_ATUAL]]*-1,Base_Periodo1[[#This Row],[SALDO_ATUAL]]),4)</f>
        <v>7249751.6699999999</v>
      </c>
      <c r="N1343" t="s">
        <v>396</v>
      </c>
      <c r="O1343" t="s">
        <v>459</v>
      </c>
      <c r="P1343" t="s">
        <v>459</v>
      </c>
      <c r="Q1343">
        <v>8</v>
      </c>
      <c r="R1343" s="225">
        <f>Base_Periodo1[[#This Row],[CREDITOS]]-Base_Periodo1[[#This Row],[DEBITOS]]</f>
        <v>0</v>
      </c>
      <c r="S1343" s="3" t="str">
        <f>IF(ISERROR(VLOOKUP(Base_Periodo1[[#This Row],[CONTA]],BaseContasDRE[#All],4,FALSE)),"Fora do DRE",VLOOKUP(Base_Periodo1[[#This Row],[CONTA]],BaseContasDRE[#All],4,FALSE))</f>
        <v>Fora do DRE</v>
      </c>
      <c r="T1343" s="3" t="str">
        <f>IF(ISERROR(VLOOKUP(Base_Periodo1[[#This Row],[CONTA]],BaseContasDRE[#All],5,FALSE)),"Fora do DRE",VLOOKUP(Base_Periodo1[[#This Row],[CONTA]],BaseContasDRE[#All],6,FALSE))</f>
        <v>Fora do DRE</v>
      </c>
      <c r="U1343" s="3" t="str">
        <f>IF(ISERROR(VLOOKUP(Base_Periodo1[[#This Row],[CONTA]],BaseContasDRE[#All],7,FALSE)),"Fora do DRE",VLOOKUP(Base_Periodo1[[#This Row],[CONTA]],BaseContasDRE[#All],7,FALSE))</f>
        <v>Fora do DRE</v>
      </c>
      <c r="V1343" s="3" t="str">
        <f>IF(Base_Periodo1[[#This Row],[Tipo_Linha]]="Fora do DRE","Fora do DRE","( "&amp;Base_Periodo1[[#This Row],[Tipo_Linha]]&amp;" ) "&amp;Base_Periodo1[[#This Row],[Filtro]])</f>
        <v>Fora do DRE</v>
      </c>
      <c r="W1343" s="3" t="str">
        <f>LEFT(Base_Periodo1[[#This Row],[CLASS]],3)</f>
        <v>1.1</v>
      </c>
    </row>
    <row r="1344" spans="1:23" hidden="1">
      <c r="A1344" s="3" t="str">
        <f t="shared" si="20"/>
        <v>Período 1</v>
      </c>
      <c r="B1344">
        <v>32195</v>
      </c>
      <c r="C1344" t="s">
        <v>1128</v>
      </c>
      <c r="D1344" t="s">
        <v>1127</v>
      </c>
      <c r="E1344" s="3" t="str">
        <f>IF(LEN(Base_Periodo1[[#This Row],[CLASS]])&gt;=7,LEFT(Base_Periodo1[[#This Row],[CLASS]],7),"")</f>
        <v>1.1.3.1</v>
      </c>
      <c r="F1344" s="3" t="str">
        <f>VLOOKUP(Base_Periodo1[[#This Row],[Aux]],Base_Contas_Balanco[#All],2,FALSE)</f>
        <v>Estoques Proprios</v>
      </c>
      <c r="G1344" s="1">
        <v>42794</v>
      </c>
      <c r="H1344" s="225">
        <v>7249751.6700000055</v>
      </c>
      <c r="I1344" s="225">
        <v>0</v>
      </c>
      <c r="J1344" s="225">
        <v>0</v>
      </c>
      <c r="K1344" s="225">
        <v>7249751.6700000055</v>
      </c>
      <c r="L13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-7249751.6699999999</v>
      </c>
      <c r="M1344" s="225">
        <f>ROUND(IF(AND(Base_Periodo1[[#This Row],[Tipo_Linha]]="-",Base_Periodo1[[#This Row],[TIPOSALDO]]="D"),Base_Periodo1[[#This Row],[SALDO_ATUAL]]*-1,Base_Periodo1[[#This Row],[SALDO_ATUAL]]),4)</f>
        <v>7249751.6699999999</v>
      </c>
      <c r="N1344" t="s">
        <v>116</v>
      </c>
      <c r="O1344" t="s">
        <v>459</v>
      </c>
      <c r="P1344" t="s">
        <v>459</v>
      </c>
      <c r="Q1344">
        <v>9</v>
      </c>
      <c r="R1344" s="225">
        <f>Base_Periodo1[[#This Row],[CREDITOS]]-Base_Periodo1[[#This Row],[DEBITOS]]</f>
        <v>0</v>
      </c>
      <c r="S1344" s="3" t="str">
        <f>IF(ISERROR(VLOOKUP(Base_Periodo1[[#This Row],[CONTA]],BaseContasDRE[#All],4,FALSE)),"Fora do DRE",VLOOKUP(Base_Periodo1[[#This Row],[CONTA]],BaseContasDRE[#All],4,FALSE))</f>
        <v>Fora do DRE</v>
      </c>
      <c r="T1344" s="3" t="str">
        <f>IF(ISERROR(VLOOKUP(Base_Periodo1[[#This Row],[CONTA]],BaseContasDRE[#All],5,FALSE)),"Fora do DRE",VLOOKUP(Base_Periodo1[[#This Row],[CONTA]],BaseContasDRE[#All],6,FALSE))</f>
        <v>Fora do DRE</v>
      </c>
      <c r="U1344" s="3" t="str">
        <f>IF(ISERROR(VLOOKUP(Base_Periodo1[[#This Row],[CONTA]],BaseContasDRE[#All],7,FALSE)),"Fora do DRE",VLOOKUP(Base_Periodo1[[#This Row],[CONTA]],BaseContasDRE[#All],7,FALSE))</f>
        <v>Fora do DRE</v>
      </c>
      <c r="V1344" s="3" t="str">
        <f>IF(Base_Periodo1[[#This Row],[Tipo_Linha]]="Fora do DRE","Fora do DRE","( "&amp;Base_Periodo1[[#This Row],[Tipo_Linha]]&amp;" ) "&amp;Base_Periodo1[[#This Row],[Filtro]])</f>
        <v>Fora do DRE</v>
      </c>
      <c r="W1344" s="3" t="str">
        <f>LEFT(Base_Periodo1[[#This Row],[CLASS]],3)</f>
        <v>1.1</v>
      </c>
    </row>
    <row r="1345" spans="1:23" hidden="1">
      <c r="A1345" s="3" t="str">
        <f t="shared" si="20"/>
        <v>Período 1</v>
      </c>
      <c r="B1345">
        <v>32192</v>
      </c>
      <c r="C1345" t="s">
        <v>1129</v>
      </c>
      <c r="D1345" t="s">
        <v>1130</v>
      </c>
      <c r="E1345" s="3" t="str">
        <f>IF(LEN(Base_Periodo1[[#This Row],[CLASS]])&gt;=7,LEFT(Base_Periodo1[[#This Row],[CLASS]],7),"")</f>
        <v>1.1.3.1</v>
      </c>
      <c r="F1345" s="3" t="str">
        <f>VLOOKUP(Base_Periodo1[[#This Row],[Aux]],Base_Contas_Balanco[#All],2,FALSE)</f>
        <v>Estoques Proprios</v>
      </c>
      <c r="G1345" s="1"/>
      <c r="H1345" s="225">
        <v>16863429.379999992</v>
      </c>
      <c r="I1345" s="225">
        <v>0</v>
      </c>
      <c r="J1345" s="225">
        <v>1530935.94</v>
      </c>
      <c r="K1345" s="225">
        <v>18394365.319999993</v>
      </c>
      <c r="L13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-18394365.32</v>
      </c>
      <c r="M1345" s="225">
        <f>ROUND(IF(AND(Base_Periodo1[[#This Row],[Tipo_Linha]]="-",Base_Periodo1[[#This Row],[TIPOSALDO]]="D"),Base_Periodo1[[#This Row],[SALDO_ATUAL]]*-1,Base_Periodo1[[#This Row],[SALDO_ATUAL]]),4)</f>
        <v>18394365.32</v>
      </c>
      <c r="N1345" t="s">
        <v>396</v>
      </c>
      <c r="O1345" t="s">
        <v>459</v>
      </c>
      <c r="P1345" t="s">
        <v>459</v>
      </c>
      <c r="Q1345">
        <v>8</v>
      </c>
      <c r="R1345" s="225">
        <f>Base_Periodo1[[#This Row],[CREDITOS]]-Base_Periodo1[[#This Row],[DEBITOS]]</f>
        <v>1530935.94</v>
      </c>
      <c r="S1345" s="3" t="str">
        <f>IF(ISERROR(VLOOKUP(Base_Periodo1[[#This Row],[CONTA]],BaseContasDRE[#All],4,FALSE)),"Fora do DRE",VLOOKUP(Base_Periodo1[[#This Row],[CONTA]],BaseContasDRE[#All],4,FALSE))</f>
        <v>Fora do DRE</v>
      </c>
      <c r="T1345" s="3" t="str">
        <f>IF(ISERROR(VLOOKUP(Base_Periodo1[[#This Row],[CONTA]],BaseContasDRE[#All],5,FALSE)),"Fora do DRE",VLOOKUP(Base_Periodo1[[#This Row],[CONTA]],BaseContasDRE[#All],6,FALSE))</f>
        <v>Fora do DRE</v>
      </c>
      <c r="U1345" s="3" t="str">
        <f>IF(ISERROR(VLOOKUP(Base_Periodo1[[#This Row],[CONTA]],BaseContasDRE[#All],7,FALSE)),"Fora do DRE",VLOOKUP(Base_Periodo1[[#This Row],[CONTA]],BaseContasDRE[#All],7,FALSE))</f>
        <v>Fora do DRE</v>
      </c>
      <c r="V1345" s="3" t="str">
        <f>IF(Base_Periodo1[[#This Row],[Tipo_Linha]]="Fora do DRE","Fora do DRE","( "&amp;Base_Periodo1[[#This Row],[Tipo_Linha]]&amp;" ) "&amp;Base_Periodo1[[#This Row],[Filtro]])</f>
        <v>Fora do DRE</v>
      </c>
      <c r="W1345" s="3" t="str">
        <f>LEFT(Base_Periodo1[[#This Row],[CLASS]],3)</f>
        <v>1.1</v>
      </c>
    </row>
    <row r="1346" spans="1:23" hidden="1">
      <c r="A1346" s="3" t="str">
        <f t="shared" si="20"/>
        <v>Período 1</v>
      </c>
      <c r="B1346">
        <v>32193</v>
      </c>
      <c r="C1346" t="s">
        <v>1131</v>
      </c>
      <c r="D1346" t="s">
        <v>1074</v>
      </c>
      <c r="E1346" s="3" t="str">
        <f>IF(LEN(Base_Periodo1[[#This Row],[CLASS]])&gt;=7,LEFT(Base_Periodo1[[#This Row],[CLASS]],7),"")</f>
        <v>1.1.3.1</v>
      </c>
      <c r="F1346" s="3" t="str">
        <f>VLOOKUP(Base_Periodo1[[#This Row],[Aux]],Base_Contas_Balanco[#All],2,FALSE)</f>
        <v>Estoques Proprios</v>
      </c>
      <c r="G1346" s="1"/>
      <c r="H1346" s="225">
        <v>16863429.379999992</v>
      </c>
      <c r="I1346" s="225">
        <v>0</v>
      </c>
      <c r="J1346" s="225">
        <v>1530935.94</v>
      </c>
      <c r="K1346" s="225">
        <v>18394365.319999993</v>
      </c>
      <c r="L13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-18394365.32</v>
      </c>
      <c r="M1346" s="225">
        <f>ROUND(IF(AND(Base_Periodo1[[#This Row],[Tipo_Linha]]="-",Base_Periodo1[[#This Row],[TIPOSALDO]]="D"),Base_Periodo1[[#This Row],[SALDO_ATUAL]]*-1,Base_Periodo1[[#This Row],[SALDO_ATUAL]]),4)</f>
        <v>18394365.32</v>
      </c>
      <c r="N1346" t="s">
        <v>116</v>
      </c>
      <c r="O1346" t="s">
        <v>459</v>
      </c>
      <c r="P1346" t="s">
        <v>459</v>
      </c>
      <c r="Q1346">
        <v>9</v>
      </c>
      <c r="R1346" s="225">
        <f>Base_Periodo1[[#This Row],[CREDITOS]]-Base_Periodo1[[#This Row],[DEBITOS]]</f>
        <v>1530935.94</v>
      </c>
      <c r="S1346" s="3" t="str">
        <f>IF(ISERROR(VLOOKUP(Base_Periodo1[[#This Row],[CONTA]],BaseContasDRE[#All],4,FALSE)),"Fora do DRE",VLOOKUP(Base_Periodo1[[#This Row],[CONTA]],BaseContasDRE[#All],4,FALSE))</f>
        <v>Fora do DRE</v>
      </c>
      <c r="T1346" s="3" t="str">
        <f>IF(ISERROR(VLOOKUP(Base_Periodo1[[#This Row],[CONTA]],BaseContasDRE[#All],5,FALSE)),"Fora do DRE",VLOOKUP(Base_Periodo1[[#This Row],[CONTA]],BaseContasDRE[#All],6,FALSE))</f>
        <v>Fora do DRE</v>
      </c>
      <c r="U1346" s="3" t="str">
        <f>IF(ISERROR(VLOOKUP(Base_Periodo1[[#This Row],[CONTA]],BaseContasDRE[#All],7,FALSE)),"Fora do DRE",VLOOKUP(Base_Periodo1[[#This Row],[CONTA]],BaseContasDRE[#All],7,FALSE))</f>
        <v>Fora do DRE</v>
      </c>
      <c r="V1346" s="3" t="str">
        <f>IF(Base_Periodo1[[#This Row],[Tipo_Linha]]="Fora do DRE","Fora do DRE","( "&amp;Base_Periodo1[[#This Row],[Tipo_Linha]]&amp;" ) "&amp;Base_Periodo1[[#This Row],[Filtro]])</f>
        <v>Fora do DRE</v>
      </c>
      <c r="W1346" s="3" t="str">
        <f>LEFT(Base_Periodo1[[#This Row],[CLASS]],3)</f>
        <v>1.1</v>
      </c>
    </row>
    <row r="1347" spans="1:23" hidden="1">
      <c r="A1347" s="3" t="str">
        <f t="shared" si="20"/>
        <v>Período 1</v>
      </c>
      <c r="B1347">
        <v>33796</v>
      </c>
      <c r="C1347" t="s">
        <v>1132</v>
      </c>
      <c r="D1347" t="s">
        <v>1133</v>
      </c>
      <c r="E1347" s="3" t="str">
        <f>IF(LEN(Base_Periodo1[[#This Row],[CLASS]])&gt;=7,LEFT(Base_Periodo1[[#This Row],[CLASS]],7),"")</f>
        <v>1.1.3.1</v>
      </c>
      <c r="F1347" s="3" t="str">
        <f>VLOOKUP(Base_Periodo1[[#This Row],[Aux]],Base_Contas_Balanco[#All],2,FALSE)</f>
        <v>Estoques Proprios</v>
      </c>
      <c r="G1347" s="1"/>
      <c r="H1347" s="225">
        <v>40266116.600000001</v>
      </c>
      <c r="I1347" s="225">
        <v>0</v>
      </c>
      <c r="J1347" s="225">
        <v>3337913.18</v>
      </c>
      <c r="K1347" s="225">
        <v>43604029.780000001</v>
      </c>
      <c r="L13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-43604029.780000001</v>
      </c>
      <c r="M1347" s="225">
        <f>ROUND(IF(AND(Base_Periodo1[[#This Row],[Tipo_Linha]]="-",Base_Periodo1[[#This Row],[TIPOSALDO]]="D"),Base_Periodo1[[#This Row],[SALDO_ATUAL]]*-1,Base_Periodo1[[#This Row],[SALDO_ATUAL]]),4)</f>
        <v>43604029.780000001</v>
      </c>
      <c r="N1347" t="s">
        <v>396</v>
      </c>
      <c r="O1347" t="s">
        <v>459</v>
      </c>
      <c r="P1347" t="s">
        <v>459</v>
      </c>
      <c r="Q1347">
        <v>8</v>
      </c>
      <c r="R1347" s="225">
        <f>Base_Periodo1[[#This Row],[CREDITOS]]-Base_Periodo1[[#This Row],[DEBITOS]]</f>
        <v>3337913.18</v>
      </c>
      <c r="S1347" s="3" t="str">
        <f>IF(ISERROR(VLOOKUP(Base_Periodo1[[#This Row],[CONTA]],BaseContasDRE[#All],4,FALSE)),"Fora do DRE",VLOOKUP(Base_Periodo1[[#This Row],[CONTA]],BaseContasDRE[#All],4,FALSE))</f>
        <v>Fora do DRE</v>
      </c>
      <c r="T1347" s="3" t="str">
        <f>IF(ISERROR(VLOOKUP(Base_Periodo1[[#This Row],[CONTA]],BaseContasDRE[#All],5,FALSE)),"Fora do DRE",VLOOKUP(Base_Periodo1[[#This Row],[CONTA]],BaseContasDRE[#All],6,FALSE))</f>
        <v>Fora do DRE</v>
      </c>
      <c r="U1347" s="3" t="str">
        <f>IF(ISERROR(VLOOKUP(Base_Periodo1[[#This Row],[CONTA]],BaseContasDRE[#All],7,FALSE)),"Fora do DRE",VLOOKUP(Base_Periodo1[[#This Row],[CONTA]],BaseContasDRE[#All],7,FALSE))</f>
        <v>Fora do DRE</v>
      </c>
      <c r="V1347" s="3" t="str">
        <f>IF(Base_Periodo1[[#This Row],[Tipo_Linha]]="Fora do DRE","Fora do DRE","( "&amp;Base_Periodo1[[#This Row],[Tipo_Linha]]&amp;" ) "&amp;Base_Periodo1[[#This Row],[Filtro]])</f>
        <v>Fora do DRE</v>
      </c>
      <c r="W1347" s="3" t="str">
        <f>LEFT(Base_Periodo1[[#This Row],[CLASS]],3)</f>
        <v>1.1</v>
      </c>
    </row>
    <row r="1348" spans="1:23" hidden="1">
      <c r="A1348" s="3" t="str">
        <f t="shared" si="20"/>
        <v>Período 1</v>
      </c>
      <c r="B1348">
        <v>33797</v>
      </c>
      <c r="C1348" t="s">
        <v>1134</v>
      </c>
      <c r="D1348" t="s">
        <v>5031</v>
      </c>
      <c r="E1348" s="3" t="str">
        <f>IF(LEN(Base_Periodo1[[#This Row],[CLASS]])&gt;=7,LEFT(Base_Periodo1[[#This Row],[CLASS]],7),"")</f>
        <v>1.1.3.1</v>
      </c>
      <c r="F1348" s="3" t="str">
        <f>VLOOKUP(Base_Periodo1[[#This Row],[Aux]],Base_Contas_Balanco[#All],2,FALSE)</f>
        <v>Estoques Proprios</v>
      </c>
      <c r="G1348" s="1">
        <v>42195</v>
      </c>
      <c r="H1348" s="225">
        <v>370.35</v>
      </c>
      <c r="I1348" s="225">
        <v>0</v>
      </c>
      <c r="J1348" s="225">
        <v>0</v>
      </c>
      <c r="K1348" s="225">
        <v>370.35</v>
      </c>
      <c r="L13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-370.35</v>
      </c>
      <c r="M1348" s="225">
        <f>ROUND(IF(AND(Base_Periodo1[[#This Row],[Tipo_Linha]]="-",Base_Periodo1[[#This Row],[TIPOSALDO]]="D"),Base_Periodo1[[#This Row],[SALDO_ATUAL]]*-1,Base_Periodo1[[#This Row],[SALDO_ATUAL]]),4)</f>
        <v>370.35</v>
      </c>
      <c r="N1348" t="s">
        <v>116</v>
      </c>
      <c r="O1348" t="s">
        <v>459</v>
      </c>
      <c r="P1348" t="s">
        <v>459</v>
      </c>
      <c r="Q1348">
        <v>9</v>
      </c>
      <c r="R1348" s="225">
        <f>Base_Periodo1[[#This Row],[CREDITOS]]-Base_Periodo1[[#This Row],[DEBITOS]]</f>
        <v>0</v>
      </c>
      <c r="S1348" s="3" t="str">
        <f>IF(ISERROR(VLOOKUP(Base_Periodo1[[#This Row],[CONTA]],BaseContasDRE[#All],4,FALSE)),"Fora do DRE",VLOOKUP(Base_Periodo1[[#This Row],[CONTA]],BaseContasDRE[#All],4,FALSE))</f>
        <v>Fora do DRE</v>
      </c>
      <c r="T1348" s="3" t="str">
        <f>IF(ISERROR(VLOOKUP(Base_Periodo1[[#This Row],[CONTA]],BaseContasDRE[#All],5,FALSE)),"Fora do DRE",VLOOKUP(Base_Periodo1[[#This Row],[CONTA]],BaseContasDRE[#All],6,FALSE))</f>
        <v>Fora do DRE</v>
      </c>
      <c r="U1348" s="3" t="str">
        <f>IF(ISERROR(VLOOKUP(Base_Periodo1[[#This Row],[CONTA]],BaseContasDRE[#All],7,FALSE)),"Fora do DRE",VLOOKUP(Base_Periodo1[[#This Row],[CONTA]],BaseContasDRE[#All],7,FALSE))</f>
        <v>Fora do DRE</v>
      </c>
      <c r="V1348" s="3" t="str">
        <f>IF(Base_Periodo1[[#This Row],[Tipo_Linha]]="Fora do DRE","Fora do DRE","( "&amp;Base_Periodo1[[#This Row],[Tipo_Linha]]&amp;" ) "&amp;Base_Periodo1[[#This Row],[Filtro]])</f>
        <v>Fora do DRE</v>
      </c>
      <c r="W1348" s="3" t="str">
        <f>LEFT(Base_Periodo1[[#This Row],[CLASS]],3)</f>
        <v>1.1</v>
      </c>
    </row>
    <row r="1349" spans="1:23" hidden="1">
      <c r="A1349" s="3" t="str">
        <f t="shared" si="20"/>
        <v>Período 1</v>
      </c>
      <c r="B1349">
        <v>34003</v>
      </c>
      <c r="C1349" t="s">
        <v>1135</v>
      </c>
      <c r="D1349" t="s">
        <v>5032</v>
      </c>
      <c r="E1349" s="3" t="str">
        <f>IF(LEN(Base_Periodo1[[#This Row],[CLASS]])&gt;=7,LEFT(Base_Periodo1[[#This Row],[CLASS]],7),"")</f>
        <v>1.1.3.1</v>
      </c>
      <c r="F1349" s="3" t="str">
        <f>VLOOKUP(Base_Periodo1[[#This Row],[Aux]],Base_Contas_Balanco[#All],2,FALSE)</f>
        <v>Estoques Proprios</v>
      </c>
      <c r="G1349" s="1">
        <v>42886</v>
      </c>
      <c r="H1349" s="225">
        <v>40265746.25</v>
      </c>
      <c r="I1349" s="225">
        <v>0</v>
      </c>
      <c r="J1349" s="225">
        <v>3337913.18</v>
      </c>
      <c r="K1349" s="225">
        <v>43603659.43</v>
      </c>
      <c r="L13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-43603659.43</v>
      </c>
      <c r="M1349" s="225">
        <f>ROUND(IF(AND(Base_Periodo1[[#This Row],[Tipo_Linha]]="-",Base_Periodo1[[#This Row],[TIPOSALDO]]="D"),Base_Periodo1[[#This Row],[SALDO_ATUAL]]*-1,Base_Periodo1[[#This Row],[SALDO_ATUAL]]),4)</f>
        <v>43603659.43</v>
      </c>
      <c r="N1349" t="s">
        <v>116</v>
      </c>
      <c r="O1349" t="s">
        <v>459</v>
      </c>
      <c r="P1349" t="s">
        <v>459</v>
      </c>
      <c r="Q1349">
        <v>9</v>
      </c>
      <c r="R1349" s="225">
        <f>Base_Periodo1[[#This Row],[CREDITOS]]-Base_Periodo1[[#This Row],[DEBITOS]]</f>
        <v>3337913.18</v>
      </c>
      <c r="S1349" s="3" t="str">
        <f>IF(ISERROR(VLOOKUP(Base_Periodo1[[#This Row],[CONTA]],BaseContasDRE[#All],4,FALSE)),"Fora do DRE",VLOOKUP(Base_Periodo1[[#This Row],[CONTA]],BaseContasDRE[#All],4,FALSE))</f>
        <v>Fora do DRE</v>
      </c>
      <c r="T1349" s="3" t="str">
        <f>IF(ISERROR(VLOOKUP(Base_Periodo1[[#This Row],[CONTA]],BaseContasDRE[#All],5,FALSE)),"Fora do DRE",VLOOKUP(Base_Periodo1[[#This Row],[CONTA]],BaseContasDRE[#All],6,FALSE))</f>
        <v>Fora do DRE</v>
      </c>
      <c r="U1349" s="3" t="str">
        <f>IF(ISERROR(VLOOKUP(Base_Periodo1[[#This Row],[CONTA]],BaseContasDRE[#All],7,FALSE)),"Fora do DRE",VLOOKUP(Base_Periodo1[[#This Row],[CONTA]],BaseContasDRE[#All],7,FALSE))</f>
        <v>Fora do DRE</v>
      </c>
      <c r="V1349" s="3" t="str">
        <f>IF(Base_Periodo1[[#This Row],[Tipo_Linha]]="Fora do DRE","Fora do DRE","( "&amp;Base_Periodo1[[#This Row],[Tipo_Linha]]&amp;" ) "&amp;Base_Periodo1[[#This Row],[Filtro]])</f>
        <v>Fora do DRE</v>
      </c>
      <c r="W1349" s="3" t="str">
        <f>LEFT(Base_Periodo1[[#This Row],[CLASS]],3)</f>
        <v>1.1</v>
      </c>
    </row>
    <row r="1350" spans="1:23" hidden="1">
      <c r="A1350" s="3" t="str">
        <f t="shared" ref="A1350:A1413" si="21">"Período 1"</f>
        <v>Período 1</v>
      </c>
      <c r="B1350">
        <v>30315</v>
      </c>
      <c r="C1350" t="s">
        <v>5302</v>
      </c>
      <c r="D1350" t="s">
        <v>5303</v>
      </c>
      <c r="E1350" s="3" t="str">
        <f>IF(LEN(Base_Periodo1[[#This Row],[CLASS]])&gt;=7,LEFT(Base_Periodo1[[#This Row],[CLASS]],7),"")</f>
        <v>1.1.3.1</v>
      </c>
      <c r="F1350" s="3" t="str">
        <f>VLOOKUP(Base_Periodo1[[#This Row],[Aux]],Base_Contas_Balanco[#All],2,FALSE)</f>
        <v>Estoques Proprios</v>
      </c>
      <c r="G1350" s="1"/>
      <c r="H1350" s="225">
        <v>40.000000011874363</v>
      </c>
      <c r="I1350" s="225">
        <v>521409.17</v>
      </c>
      <c r="J1350" s="225">
        <v>521449.17</v>
      </c>
      <c r="K1350" s="225">
        <v>1.1874362826347351E-8</v>
      </c>
      <c r="L13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350" s="225">
        <f>ROUND(IF(AND(Base_Periodo1[[#This Row],[Tipo_Linha]]="-",Base_Periodo1[[#This Row],[TIPOSALDO]]="D"),Base_Periodo1[[#This Row],[SALDO_ATUAL]]*-1,Base_Periodo1[[#This Row],[SALDO_ATUAL]]),4)</f>
        <v>0</v>
      </c>
      <c r="N1350" t="s">
        <v>396</v>
      </c>
      <c r="O1350" t="s">
        <v>397</v>
      </c>
      <c r="P1350" t="s">
        <v>436</v>
      </c>
      <c r="Q1350">
        <v>7</v>
      </c>
      <c r="R1350" s="225">
        <f>Base_Periodo1[[#This Row],[CREDITOS]]-Base_Periodo1[[#This Row],[DEBITOS]]</f>
        <v>40</v>
      </c>
      <c r="S1350" s="3" t="str">
        <f>IF(ISERROR(VLOOKUP(Base_Periodo1[[#This Row],[CONTA]],BaseContasDRE[#All],4,FALSE)),"Fora do DRE",VLOOKUP(Base_Periodo1[[#This Row],[CONTA]],BaseContasDRE[#All],4,FALSE))</f>
        <v>Fora do DRE</v>
      </c>
      <c r="T1350" s="3" t="str">
        <f>IF(ISERROR(VLOOKUP(Base_Periodo1[[#This Row],[CONTA]],BaseContasDRE[#All],5,FALSE)),"Fora do DRE",VLOOKUP(Base_Periodo1[[#This Row],[CONTA]],BaseContasDRE[#All],6,FALSE))</f>
        <v>Fora do DRE</v>
      </c>
      <c r="U1350" s="3" t="str">
        <f>IF(ISERROR(VLOOKUP(Base_Periodo1[[#This Row],[CONTA]],BaseContasDRE[#All],7,FALSE)),"Fora do DRE",VLOOKUP(Base_Periodo1[[#This Row],[CONTA]],BaseContasDRE[#All],7,FALSE))</f>
        <v>Fora do DRE</v>
      </c>
      <c r="V1350" s="3" t="str">
        <f>IF(Base_Periodo1[[#This Row],[Tipo_Linha]]="Fora do DRE","Fora do DRE","( "&amp;Base_Periodo1[[#This Row],[Tipo_Linha]]&amp;" ) "&amp;Base_Periodo1[[#This Row],[Filtro]])</f>
        <v>Fora do DRE</v>
      </c>
      <c r="W1350" s="3" t="str">
        <f>LEFT(Base_Periodo1[[#This Row],[CLASS]],3)</f>
        <v>1.1</v>
      </c>
    </row>
    <row r="1351" spans="1:23" hidden="1">
      <c r="A1351" s="3" t="str">
        <f t="shared" si="21"/>
        <v>Período 1</v>
      </c>
      <c r="B1351">
        <v>30322</v>
      </c>
      <c r="C1351" t="s">
        <v>6218</v>
      </c>
      <c r="D1351" t="s">
        <v>1119</v>
      </c>
      <c r="E1351" s="3" t="str">
        <f>IF(LEN(Base_Periodo1[[#This Row],[CLASS]])&gt;=7,LEFT(Base_Periodo1[[#This Row],[CLASS]],7),"")</f>
        <v>1.1.3.1</v>
      </c>
      <c r="F1351" s="3" t="str">
        <f>VLOOKUP(Base_Periodo1[[#This Row],[Aux]],Base_Contas_Balanco[#All],2,FALSE)</f>
        <v>Estoques Proprios</v>
      </c>
      <c r="G1351" s="1"/>
      <c r="H1351" s="225">
        <v>149781.030000003</v>
      </c>
      <c r="I1351" s="225">
        <v>150698.60999999999</v>
      </c>
      <c r="J1351" s="225">
        <v>0</v>
      </c>
      <c r="K1351" s="225">
        <v>300479.64000000298</v>
      </c>
      <c r="L13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300479.64</v>
      </c>
      <c r="M1351" s="225">
        <f>ROUND(IF(AND(Base_Periodo1[[#This Row],[Tipo_Linha]]="-",Base_Periodo1[[#This Row],[TIPOSALDO]]="D"),Base_Periodo1[[#This Row],[SALDO_ATUAL]]*-1,Base_Periodo1[[#This Row],[SALDO_ATUAL]]),4)</f>
        <v>300479.64</v>
      </c>
      <c r="N1351" t="s">
        <v>396</v>
      </c>
      <c r="O1351" t="s">
        <v>397</v>
      </c>
      <c r="P1351" t="s">
        <v>397</v>
      </c>
      <c r="Q1351">
        <v>8</v>
      </c>
      <c r="R1351" s="225">
        <f>Base_Periodo1[[#This Row],[CREDITOS]]-Base_Periodo1[[#This Row],[DEBITOS]]</f>
        <v>-150698.60999999999</v>
      </c>
      <c r="S1351" s="3" t="str">
        <f>IF(ISERROR(VLOOKUP(Base_Periodo1[[#This Row],[CONTA]],BaseContasDRE[#All],4,FALSE)),"Fora do DRE",VLOOKUP(Base_Periodo1[[#This Row],[CONTA]],BaseContasDRE[#All],4,FALSE))</f>
        <v>Fora do DRE</v>
      </c>
      <c r="T1351" s="3" t="str">
        <f>IF(ISERROR(VLOOKUP(Base_Periodo1[[#This Row],[CONTA]],BaseContasDRE[#All],5,FALSE)),"Fora do DRE",VLOOKUP(Base_Periodo1[[#This Row],[CONTA]],BaseContasDRE[#All],6,FALSE))</f>
        <v>Fora do DRE</v>
      </c>
      <c r="U1351" s="3" t="str">
        <f>IF(ISERROR(VLOOKUP(Base_Periodo1[[#This Row],[CONTA]],BaseContasDRE[#All],7,FALSE)),"Fora do DRE",VLOOKUP(Base_Periodo1[[#This Row],[CONTA]],BaseContasDRE[#All],7,FALSE))</f>
        <v>Fora do DRE</v>
      </c>
      <c r="V1351" s="3" t="str">
        <f>IF(Base_Periodo1[[#This Row],[Tipo_Linha]]="Fora do DRE","Fora do DRE","( "&amp;Base_Periodo1[[#This Row],[Tipo_Linha]]&amp;" ) "&amp;Base_Periodo1[[#This Row],[Filtro]])</f>
        <v>Fora do DRE</v>
      </c>
      <c r="W1351" s="3" t="str">
        <f>LEFT(Base_Periodo1[[#This Row],[CLASS]],3)</f>
        <v>1.1</v>
      </c>
    </row>
    <row r="1352" spans="1:23" hidden="1">
      <c r="A1352" s="3" t="str">
        <f t="shared" si="21"/>
        <v>Período 1</v>
      </c>
      <c r="B1352">
        <v>30323</v>
      </c>
      <c r="C1352" t="s">
        <v>6219</v>
      </c>
      <c r="D1352" t="s">
        <v>1121</v>
      </c>
      <c r="E1352" s="3" t="str">
        <f>IF(LEN(Base_Periodo1[[#This Row],[CLASS]])&gt;=7,LEFT(Base_Periodo1[[#This Row],[CLASS]],7),"")</f>
        <v>1.1.3.1</v>
      </c>
      <c r="F1352" s="3" t="str">
        <f>VLOOKUP(Base_Periodo1[[#This Row],[Aux]],Base_Contas_Balanco[#All],2,FALSE)</f>
        <v>Estoques Proprios</v>
      </c>
      <c r="G1352" s="1">
        <v>42864</v>
      </c>
      <c r="H1352" s="225">
        <v>138815.20000000298</v>
      </c>
      <c r="I1352" s="225">
        <v>150698.60999999999</v>
      </c>
      <c r="J1352" s="225">
        <v>0</v>
      </c>
      <c r="K1352" s="225">
        <v>289513.81000000297</v>
      </c>
      <c r="L13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289513.81</v>
      </c>
      <c r="M1352" s="225">
        <f>ROUND(IF(AND(Base_Periodo1[[#This Row],[Tipo_Linha]]="-",Base_Periodo1[[#This Row],[TIPOSALDO]]="D"),Base_Periodo1[[#This Row],[SALDO_ATUAL]]*-1,Base_Periodo1[[#This Row],[SALDO_ATUAL]]),4)</f>
        <v>289513.81</v>
      </c>
      <c r="N1352" t="s">
        <v>116</v>
      </c>
      <c r="O1352" t="s">
        <v>397</v>
      </c>
      <c r="P1352" t="s">
        <v>397</v>
      </c>
      <c r="Q1352">
        <v>9</v>
      </c>
      <c r="R1352" s="225">
        <f>Base_Periodo1[[#This Row],[CREDITOS]]-Base_Periodo1[[#This Row],[DEBITOS]]</f>
        <v>-150698.60999999999</v>
      </c>
      <c r="S1352" s="3" t="str">
        <f>IF(ISERROR(VLOOKUP(Base_Periodo1[[#This Row],[CONTA]],BaseContasDRE[#All],4,FALSE)),"Fora do DRE",VLOOKUP(Base_Periodo1[[#This Row],[CONTA]],BaseContasDRE[#All],4,FALSE))</f>
        <v>Fora do DRE</v>
      </c>
      <c r="T1352" s="3" t="str">
        <f>IF(ISERROR(VLOOKUP(Base_Periodo1[[#This Row],[CONTA]],BaseContasDRE[#All],5,FALSE)),"Fora do DRE",VLOOKUP(Base_Periodo1[[#This Row],[CONTA]],BaseContasDRE[#All],6,FALSE))</f>
        <v>Fora do DRE</v>
      </c>
      <c r="U1352" s="3" t="str">
        <f>IF(ISERROR(VLOOKUP(Base_Periodo1[[#This Row],[CONTA]],BaseContasDRE[#All],7,FALSE)),"Fora do DRE",VLOOKUP(Base_Periodo1[[#This Row],[CONTA]],BaseContasDRE[#All],7,FALSE))</f>
        <v>Fora do DRE</v>
      </c>
      <c r="V1352" s="3" t="str">
        <f>IF(Base_Periodo1[[#This Row],[Tipo_Linha]]="Fora do DRE","Fora do DRE","( "&amp;Base_Periodo1[[#This Row],[Tipo_Linha]]&amp;" ) "&amp;Base_Periodo1[[#This Row],[Filtro]])</f>
        <v>Fora do DRE</v>
      </c>
      <c r="W1352" s="3" t="str">
        <f>LEFT(Base_Periodo1[[#This Row],[CLASS]],3)</f>
        <v>1.1</v>
      </c>
    </row>
    <row r="1353" spans="1:23" hidden="1">
      <c r="A1353" s="3" t="str">
        <f t="shared" si="21"/>
        <v>Período 1</v>
      </c>
      <c r="B1353">
        <v>30324</v>
      </c>
      <c r="C1353" t="s">
        <v>6220</v>
      </c>
      <c r="D1353" t="s">
        <v>6221</v>
      </c>
      <c r="E1353" s="3" t="str">
        <f>IF(LEN(Base_Periodo1[[#This Row],[CLASS]])&gt;=7,LEFT(Base_Periodo1[[#This Row],[CLASS]],7),"")</f>
        <v>1.1.3.1</v>
      </c>
      <c r="F1353" s="3" t="str">
        <f>VLOOKUP(Base_Periodo1[[#This Row],[Aux]],Base_Contas_Balanco[#All],2,FALSE)</f>
        <v>Estoques Proprios</v>
      </c>
      <c r="G1353" s="1">
        <v>42817</v>
      </c>
      <c r="H1353" s="225">
        <v>10965.830000000016</v>
      </c>
      <c r="I1353" s="225">
        <v>0</v>
      </c>
      <c r="J1353" s="225">
        <v>0</v>
      </c>
      <c r="K1353" s="225">
        <v>10965.830000000016</v>
      </c>
      <c r="L13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10965.83</v>
      </c>
      <c r="M1353" s="225">
        <f>ROUND(IF(AND(Base_Periodo1[[#This Row],[Tipo_Linha]]="-",Base_Periodo1[[#This Row],[TIPOSALDO]]="D"),Base_Periodo1[[#This Row],[SALDO_ATUAL]]*-1,Base_Periodo1[[#This Row],[SALDO_ATUAL]]),4)</f>
        <v>10965.83</v>
      </c>
      <c r="N1353" t="s">
        <v>116</v>
      </c>
      <c r="O1353" t="s">
        <v>397</v>
      </c>
      <c r="P1353" t="s">
        <v>397</v>
      </c>
      <c r="Q1353">
        <v>9</v>
      </c>
      <c r="R1353" s="225">
        <f>Base_Periodo1[[#This Row],[CREDITOS]]-Base_Periodo1[[#This Row],[DEBITOS]]</f>
        <v>0</v>
      </c>
      <c r="S1353" s="3" t="str">
        <f>IF(ISERROR(VLOOKUP(Base_Periodo1[[#This Row],[CONTA]],BaseContasDRE[#All],4,FALSE)),"Fora do DRE",VLOOKUP(Base_Periodo1[[#This Row],[CONTA]],BaseContasDRE[#All],4,FALSE))</f>
        <v>Fora do DRE</v>
      </c>
      <c r="T1353" s="3" t="str">
        <f>IF(ISERROR(VLOOKUP(Base_Periodo1[[#This Row],[CONTA]],BaseContasDRE[#All],5,FALSE)),"Fora do DRE",VLOOKUP(Base_Periodo1[[#This Row],[CONTA]],BaseContasDRE[#All],6,FALSE))</f>
        <v>Fora do DRE</v>
      </c>
      <c r="U1353" s="3" t="str">
        <f>IF(ISERROR(VLOOKUP(Base_Periodo1[[#This Row],[CONTA]],BaseContasDRE[#All],7,FALSE)),"Fora do DRE",VLOOKUP(Base_Periodo1[[#This Row],[CONTA]],BaseContasDRE[#All],7,FALSE))</f>
        <v>Fora do DRE</v>
      </c>
      <c r="V1353" s="3" t="str">
        <f>IF(Base_Periodo1[[#This Row],[Tipo_Linha]]="Fora do DRE","Fora do DRE","( "&amp;Base_Periodo1[[#This Row],[Tipo_Linha]]&amp;" ) "&amp;Base_Periodo1[[#This Row],[Filtro]])</f>
        <v>Fora do DRE</v>
      </c>
      <c r="W1353" s="3" t="str">
        <f>LEFT(Base_Periodo1[[#This Row],[CLASS]],3)</f>
        <v>1.1</v>
      </c>
    </row>
    <row r="1354" spans="1:23" hidden="1">
      <c r="A1354" s="3" t="str">
        <f t="shared" si="21"/>
        <v>Período 1</v>
      </c>
      <c r="B1354">
        <v>56702</v>
      </c>
      <c r="C1354" t="s">
        <v>5682</v>
      </c>
      <c r="D1354" t="s">
        <v>1096</v>
      </c>
      <c r="E1354" s="3" t="str">
        <f>IF(LEN(Base_Periodo1[[#This Row],[CLASS]])&gt;=7,LEFT(Base_Periodo1[[#This Row],[CLASS]],7),"")</f>
        <v>1.1.3.1</v>
      </c>
      <c r="F1354" s="3" t="str">
        <f>VLOOKUP(Base_Periodo1[[#This Row],[Aux]],Base_Contas_Balanco[#All],2,FALSE)</f>
        <v>Estoques Proprios</v>
      </c>
      <c r="G1354" s="1"/>
      <c r="H1354" s="225">
        <v>595037.75000000023</v>
      </c>
      <c r="I1354" s="225">
        <v>370710.56</v>
      </c>
      <c r="J1354" s="225">
        <v>518854.17</v>
      </c>
      <c r="K1354" s="225">
        <v>446894.14000000031</v>
      </c>
      <c r="L13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446894.14</v>
      </c>
      <c r="M1354" s="225">
        <f>ROUND(IF(AND(Base_Periodo1[[#This Row],[Tipo_Linha]]="-",Base_Periodo1[[#This Row],[TIPOSALDO]]="D"),Base_Periodo1[[#This Row],[SALDO_ATUAL]]*-1,Base_Periodo1[[#This Row],[SALDO_ATUAL]]),4)</f>
        <v>446894.14</v>
      </c>
      <c r="N1354" t="s">
        <v>396</v>
      </c>
      <c r="O1354" t="s">
        <v>397</v>
      </c>
      <c r="P1354" t="s">
        <v>397</v>
      </c>
      <c r="Q1354">
        <v>8</v>
      </c>
      <c r="R1354" s="225">
        <f>Base_Periodo1[[#This Row],[CREDITOS]]-Base_Periodo1[[#This Row],[DEBITOS]]</f>
        <v>148143.60999999999</v>
      </c>
      <c r="S1354" s="3" t="str">
        <f>IF(ISERROR(VLOOKUP(Base_Periodo1[[#This Row],[CONTA]],BaseContasDRE[#All],4,FALSE)),"Fora do DRE",VLOOKUP(Base_Periodo1[[#This Row],[CONTA]],BaseContasDRE[#All],4,FALSE))</f>
        <v>Fora do DRE</v>
      </c>
      <c r="T1354" s="3" t="str">
        <f>IF(ISERROR(VLOOKUP(Base_Periodo1[[#This Row],[CONTA]],BaseContasDRE[#All],5,FALSE)),"Fora do DRE",VLOOKUP(Base_Periodo1[[#This Row],[CONTA]],BaseContasDRE[#All],6,FALSE))</f>
        <v>Fora do DRE</v>
      </c>
      <c r="U1354" s="3" t="str">
        <f>IF(ISERROR(VLOOKUP(Base_Periodo1[[#This Row],[CONTA]],BaseContasDRE[#All],7,FALSE)),"Fora do DRE",VLOOKUP(Base_Periodo1[[#This Row],[CONTA]],BaseContasDRE[#All],7,FALSE))</f>
        <v>Fora do DRE</v>
      </c>
      <c r="V1354" s="3" t="str">
        <f>IF(Base_Periodo1[[#This Row],[Tipo_Linha]]="Fora do DRE","Fora do DRE","( "&amp;Base_Periodo1[[#This Row],[Tipo_Linha]]&amp;" ) "&amp;Base_Periodo1[[#This Row],[Filtro]])</f>
        <v>Fora do DRE</v>
      </c>
      <c r="W1354" s="3" t="str">
        <f>LEFT(Base_Periodo1[[#This Row],[CLASS]],3)</f>
        <v>1.1</v>
      </c>
    </row>
    <row r="1355" spans="1:23" hidden="1">
      <c r="A1355" s="3" t="str">
        <f t="shared" si="21"/>
        <v>Período 1</v>
      </c>
      <c r="B1355">
        <v>56703</v>
      </c>
      <c r="C1355" t="s">
        <v>5683</v>
      </c>
      <c r="D1355" t="s">
        <v>5684</v>
      </c>
      <c r="E1355" s="3" t="str">
        <f>IF(LEN(Base_Periodo1[[#This Row],[CLASS]])&gt;=7,LEFT(Base_Periodo1[[#This Row],[CLASS]],7),"")</f>
        <v>1.1.3.1</v>
      </c>
      <c r="F1355" s="3" t="str">
        <f>VLOOKUP(Base_Periodo1[[#This Row],[Aux]],Base_Contas_Balanco[#All],2,FALSE)</f>
        <v>Estoques Proprios</v>
      </c>
      <c r="G1355" s="1">
        <v>42886</v>
      </c>
      <c r="H1355" s="225">
        <v>595037.75000000023</v>
      </c>
      <c r="I1355" s="225">
        <v>370710.56</v>
      </c>
      <c r="J1355" s="225">
        <v>518854.17</v>
      </c>
      <c r="K1355" s="225">
        <v>446894.14000000031</v>
      </c>
      <c r="L13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446894.14</v>
      </c>
      <c r="M1355" s="225">
        <f>ROUND(IF(AND(Base_Periodo1[[#This Row],[Tipo_Linha]]="-",Base_Periodo1[[#This Row],[TIPOSALDO]]="D"),Base_Periodo1[[#This Row],[SALDO_ATUAL]]*-1,Base_Periodo1[[#This Row],[SALDO_ATUAL]]),4)</f>
        <v>446894.14</v>
      </c>
      <c r="N1355" t="s">
        <v>116</v>
      </c>
      <c r="O1355" t="s">
        <v>397</v>
      </c>
      <c r="P1355" t="s">
        <v>397</v>
      </c>
      <c r="Q1355">
        <v>9</v>
      </c>
      <c r="R1355" s="225">
        <f>Base_Periodo1[[#This Row],[CREDITOS]]-Base_Periodo1[[#This Row],[DEBITOS]]</f>
        <v>148143.60999999999</v>
      </c>
      <c r="S1355" s="3" t="str">
        <f>IF(ISERROR(VLOOKUP(Base_Periodo1[[#This Row],[CONTA]],BaseContasDRE[#All],4,FALSE)),"Fora do DRE",VLOOKUP(Base_Periodo1[[#This Row],[CONTA]],BaseContasDRE[#All],4,FALSE))</f>
        <v>Fora do DRE</v>
      </c>
      <c r="T1355" s="3" t="str">
        <f>IF(ISERROR(VLOOKUP(Base_Periodo1[[#This Row],[CONTA]],BaseContasDRE[#All],5,FALSE)),"Fora do DRE",VLOOKUP(Base_Periodo1[[#This Row],[CONTA]],BaseContasDRE[#All],6,FALSE))</f>
        <v>Fora do DRE</v>
      </c>
      <c r="U1355" s="3" t="str">
        <f>IF(ISERROR(VLOOKUP(Base_Periodo1[[#This Row],[CONTA]],BaseContasDRE[#All],7,FALSE)),"Fora do DRE",VLOOKUP(Base_Periodo1[[#This Row],[CONTA]],BaseContasDRE[#All],7,FALSE))</f>
        <v>Fora do DRE</v>
      </c>
      <c r="V1355" s="3" t="str">
        <f>IF(Base_Periodo1[[#This Row],[Tipo_Linha]]="Fora do DRE","Fora do DRE","( "&amp;Base_Periodo1[[#This Row],[Tipo_Linha]]&amp;" ) "&amp;Base_Periodo1[[#This Row],[Filtro]])</f>
        <v>Fora do DRE</v>
      </c>
      <c r="W1355" s="3" t="str">
        <f>LEFT(Base_Periodo1[[#This Row],[CLASS]],3)</f>
        <v>1.1</v>
      </c>
    </row>
    <row r="1356" spans="1:23" hidden="1">
      <c r="A1356" s="3" t="str">
        <f t="shared" si="21"/>
        <v>Período 1</v>
      </c>
      <c r="B1356">
        <v>31810</v>
      </c>
      <c r="C1356" t="s">
        <v>5304</v>
      </c>
      <c r="D1356" t="s">
        <v>1130</v>
      </c>
      <c r="E1356" s="3" t="str">
        <f>IF(LEN(Base_Periodo1[[#This Row],[CLASS]])&gt;=7,LEFT(Base_Periodo1[[#This Row],[CLASS]],7),"")</f>
        <v>1.1.3.1</v>
      </c>
      <c r="F1356" s="3" t="str">
        <f>VLOOKUP(Base_Periodo1[[#This Row],[Aux]],Base_Contas_Balanco[#All],2,FALSE)</f>
        <v>Estoques Proprios</v>
      </c>
      <c r="G1356" s="1"/>
      <c r="H1356" s="225">
        <v>17142.000000000466</v>
      </c>
      <c r="I1356" s="225">
        <v>0</v>
      </c>
      <c r="J1356" s="225">
        <v>2595</v>
      </c>
      <c r="K1356" s="225">
        <v>19737.000000000466</v>
      </c>
      <c r="L13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-19737</v>
      </c>
      <c r="M1356" s="225">
        <f>ROUND(IF(AND(Base_Periodo1[[#This Row],[Tipo_Linha]]="-",Base_Periodo1[[#This Row],[TIPOSALDO]]="D"),Base_Periodo1[[#This Row],[SALDO_ATUAL]]*-1,Base_Periodo1[[#This Row],[SALDO_ATUAL]]),4)</f>
        <v>19737</v>
      </c>
      <c r="N1356" t="s">
        <v>396</v>
      </c>
      <c r="O1356" t="s">
        <v>459</v>
      </c>
      <c r="P1356" t="s">
        <v>459</v>
      </c>
      <c r="Q1356">
        <v>8</v>
      </c>
      <c r="R1356" s="225">
        <f>Base_Periodo1[[#This Row],[CREDITOS]]-Base_Periodo1[[#This Row],[DEBITOS]]</f>
        <v>2595</v>
      </c>
      <c r="S1356" s="3" t="str">
        <f>IF(ISERROR(VLOOKUP(Base_Periodo1[[#This Row],[CONTA]],BaseContasDRE[#All],4,FALSE)),"Fora do DRE",VLOOKUP(Base_Periodo1[[#This Row],[CONTA]],BaseContasDRE[#All],4,FALSE))</f>
        <v>Fora do DRE</v>
      </c>
      <c r="T1356" s="3" t="str">
        <f>IF(ISERROR(VLOOKUP(Base_Periodo1[[#This Row],[CONTA]],BaseContasDRE[#All],5,FALSE)),"Fora do DRE",VLOOKUP(Base_Periodo1[[#This Row],[CONTA]],BaseContasDRE[#All],6,FALSE))</f>
        <v>Fora do DRE</v>
      </c>
      <c r="U1356" s="3" t="str">
        <f>IF(ISERROR(VLOOKUP(Base_Periodo1[[#This Row],[CONTA]],BaseContasDRE[#All],7,FALSE)),"Fora do DRE",VLOOKUP(Base_Periodo1[[#This Row],[CONTA]],BaseContasDRE[#All],7,FALSE))</f>
        <v>Fora do DRE</v>
      </c>
      <c r="V1356" s="3" t="str">
        <f>IF(Base_Periodo1[[#This Row],[Tipo_Linha]]="Fora do DRE","Fora do DRE","( "&amp;Base_Periodo1[[#This Row],[Tipo_Linha]]&amp;" ) "&amp;Base_Periodo1[[#This Row],[Filtro]])</f>
        <v>Fora do DRE</v>
      </c>
      <c r="W1356" s="3" t="str">
        <f>LEFT(Base_Periodo1[[#This Row],[CLASS]],3)</f>
        <v>1.1</v>
      </c>
    </row>
    <row r="1357" spans="1:23" hidden="1">
      <c r="A1357" s="3" t="str">
        <f t="shared" si="21"/>
        <v>Período 1</v>
      </c>
      <c r="B1357">
        <v>31638</v>
      </c>
      <c r="C1357" t="s">
        <v>5305</v>
      </c>
      <c r="D1357" t="s">
        <v>1074</v>
      </c>
      <c r="E1357" s="3" t="str">
        <f>IF(LEN(Base_Periodo1[[#This Row],[CLASS]])&gt;=7,LEFT(Base_Periodo1[[#This Row],[CLASS]],7),"")</f>
        <v>1.1.3.1</v>
      </c>
      <c r="F1357" s="3" t="str">
        <f>VLOOKUP(Base_Periodo1[[#This Row],[Aux]],Base_Contas_Balanco[#All],2,FALSE)</f>
        <v>Estoques Proprios</v>
      </c>
      <c r="G1357" s="1">
        <v>42867</v>
      </c>
      <c r="H1357" s="225">
        <v>17142.000000000466</v>
      </c>
      <c r="I1357" s="225">
        <v>0</v>
      </c>
      <c r="J1357" s="225">
        <v>2595</v>
      </c>
      <c r="K1357" s="225">
        <v>19737.000000000466</v>
      </c>
      <c r="L13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-19737</v>
      </c>
      <c r="M1357" s="225">
        <f>ROUND(IF(AND(Base_Periodo1[[#This Row],[Tipo_Linha]]="-",Base_Periodo1[[#This Row],[TIPOSALDO]]="D"),Base_Periodo1[[#This Row],[SALDO_ATUAL]]*-1,Base_Periodo1[[#This Row],[SALDO_ATUAL]]),4)</f>
        <v>19737</v>
      </c>
      <c r="N1357" t="s">
        <v>116</v>
      </c>
      <c r="O1357" t="s">
        <v>459</v>
      </c>
      <c r="P1357" t="s">
        <v>459</v>
      </c>
      <c r="Q1357">
        <v>9</v>
      </c>
      <c r="R1357" s="225">
        <f>Base_Periodo1[[#This Row],[CREDITOS]]-Base_Periodo1[[#This Row],[DEBITOS]]</f>
        <v>2595</v>
      </c>
      <c r="S1357" s="3" t="str">
        <f>IF(ISERROR(VLOOKUP(Base_Periodo1[[#This Row],[CONTA]],BaseContasDRE[#All],4,FALSE)),"Fora do DRE",VLOOKUP(Base_Periodo1[[#This Row],[CONTA]],BaseContasDRE[#All],4,FALSE))</f>
        <v>Fora do DRE</v>
      </c>
      <c r="T1357" s="3" t="str">
        <f>IF(ISERROR(VLOOKUP(Base_Periodo1[[#This Row],[CONTA]],BaseContasDRE[#All],5,FALSE)),"Fora do DRE",VLOOKUP(Base_Periodo1[[#This Row],[CONTA]],BaseContasDRE[#All],6,FALSE))</f>
        <v>Fora do DRE</v>
      </c>
      <c r="U1357" s="3" t="str">
        <f>IF(ISERROR(VLOOKUP(Base_Periodo1[[#This Row],[CONTA]],BaseContasDRE[#All],7,FALSE)),"Fora do DRE",VLOOKUP(Base_Periodo1[[#This Row],[CONTA]],BaseContasDRE[#All],7,FALSE))</f>
        <v>Fora do DRE</v>
      </c>
      <c r="V1357" s="3" t="str">
        <f>IF(Base_Periodo1[[#This Row],[Tipo_Linha]]="Fora do DRE","Fora do DRE","( "&amp;Base_Periodo1[[#This Row],[Tipo_Linha]]&amp;" ) "&amp;Base_Periodo1[[#This Row],[Filtro]])</f>
        <v>Fora do DRE</v>
      </c>
      <c r="W1357" s="3" t="str">
        <f>LEFT(Base_Periodo1[[#This Row],[CLASS]],3)</f>
        <v>1.1</v>
      </c>
    </row>
    <row r="1358" spans="1:23" hidden="1">
      <c r="A1358" s="3" t="str">
        <f t="shared" si="21"/>
        <v>Período 1</v>
      </c>
      <c r="B1358">
        <v>32967</v>
      </c>
      <c r="C1358" t="s">
        <v>1138</v>
      </c>
      <c r="D1358" t="s">
        <v>1133</v>
      </c>
      <c r="E1358" s="3" t="str">
        <f>IF(LEN(Base_Periodo1[[#This Row],[CLASS]])&gt;=7,LEFT(Base_Periodo1[[#This Row],[CLASS]],7),"")</f>
        <v>1.1.3.1</v>
      </c>
      <c r="F1358" s="3" t="str">
        <f>VLOOKUP(Base_Periodo1[[#This Row],[Aux]],Base_Contas_Balanco[#All],2,FALSE)</f>
        <v>Estoques Proprios</v>
      </c>
      <c r="G1358" s="1"/>
      <c r="H1358" s="225">
        <v>727636.77999999374</v>
      </c>
      <c r="I1358" s="225">
        <v>0</v>
      </c>
      <c r="J1358" s="225">
        <v>0</v>
      </c>
      <c r="K1358" s="225">
        <v>727636.77999999374</v>
      </c>
      <c r="L13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-727636.78</v>
      </c>
      <c r="M1358" s="225">
        <f>ROUND(IF(AND(Base_Periodo1[[#This Row],[Tipo_Linha]]="-",Base_Periodo1[[#This Row],[TIPOSALDO]]="D"),Base_Periodo1[[#This Row],[SALDO_ATUAL]]*-1,Base_Periodo1[[#This Row],[SALDO_ATUAL]]),4)</f>
        <v>727636.78</v>
      </c>
      <c r="N1358" t="s">
        <v>396</v>
      </c>
      <c r="O1358" t="s">
        <v>459</v>
      </c>
      <c r="P1358" t="s">
        <v>459</v>
      </c>
      <c r="Q1358">
        <v>8</v>
      </c>
      <c r="R1358" s="225">
        <f>Base_Periodo1[[#This Row],[CREDITOS]]-Base_Periodo1[[#This Row],[DEBITOS]]</f>
        <v>0</v>
      </c>
      <c r="S1358" s="3" t="str">
        <f>IF(ISERROR(VLOOKUP(Base_Periodo1[[#This Row],[CONTA]],BaseContasDRE[#All],4,FALSE)),"Fora do DRE",VLOOKUP(Base_Periodo1[[#This Row],[CONTA]],BaseContasDRE[#All],4,FALSE))</f>
        <v>Fora do DRE</v>
      </c>
      <c r="T1358" s="3" t="str">
        <f>IF(ISERROR(VLOOKUP(Base_Periodo1[[#This Row],[CONTA]],BaseContasDRE[#All],5,FALSE)),"Fora do DRE",VLOOKUP(Base_Periodo1[[#This Row],[CONTA]],BaseContasDRE[#All],6,FALSE))</f>
        <v>Fora do DRE</v>
      </c>
      <c r="U1358" s="3" t="str">
        <f>IF(ISERROR(VLOOKUP(Base_Periodo1[[#This Row],[CONTA]],BaseContasDRE[#All],7,FALSE)),"Fora do DRE",VLOOKUP(Base_Periodo1[[#This Row],[CONTA]],BaseContasDRE[#All],7,FALSE))</f>
        <v>Fora do DRE</v>
      </c>
      <c r="V1358" s="3" t="str">
        <f>IF(Base_Periodo1[[#This Row],[Tipo_Linha]]="Fora do DRE","Fora do DRE","( "&amp;Base_Periodo1[[#This Row],[Tipo_Linha]]&amp;" ) "&amp;Base_Periodo1[[#This Row],[Filtro]])</f>
        <v>Fora do DRE</v>
      </c>
      <c r="W1358" s="3" t="str">
        <f>LEFT(Base_Periodo1[[#This Row],[CLASS]],3)</f>
        <v>1.1</v>
      </c>
    </row>
    <row r="1359" spans="1:23" hidden="1">
      <c r="A1359" s="3" t="str">
        <f t="shared" si="21"/>
        <v>Período 1</v>
      </c>
      <c r="B1359">
        <v>32968</v>
      </c>
      <c r="C1359" t="s">
        <v>1139</v>
      </c>
      <c r="D1359" t="s">
        <v>1140</v>
      </c>
      <c r="E1359" s="3" t="str">
        <f>IF(LEN(Base_Periodo1[[#This Row],[CLASS]])&gt;=7,LEFT(Base_Periodo1[[#This Row],[CLASS]],7),"")</f>
        <v>1.1.3.1</v>
      </c>
      <c r="F1359" s="3" t="str">
        <f>VLOOKUP(Base_Periodo1[[#This Row],[Aux]],Base_Contas_Balanco[#All],2,FALSE)</f>
        <v>Estoques Proprios</v>
      </c>
      <c r="G1359" s="1">
        <v>42766</v>
      </c>
      <c r="H1359" s="225">
        <v>727636.77999999374</v>
      </c>
      <c r="I1359" s="225">
        <v>0</v>
      </c>
      <c r="J1359" s="225">
        <v>0</v>
      </c>
      <c r="K1359" s="225">
        <v>727636.77999999374</v>
      </c>
      <c r="L13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-727636.78</v>
      </c>
      <c r="M1359" s="225">
        <f>ROUND(IF(AND(Base_Periodo1[[#This Row],[Tipo_Linha]]="-",Base_Periodo1[[#This Row],[TIPOSALDO]]="D"),Base_Periodo1[[#This Row],[SALDO_ATUAL]]*-1,Base_Periodo1[[#This Row],[SALDO_ATUAL]]),4)</f>
        <v>727636.78</v>
      </c>
      <c r="N1359" t="s">
        <v>116</v>
      </c>
      <c r="O1359" t="s">
        <v>459</v>
      </c>
      <c r="P1359" t="s">
        <v>459</v>
      </c>
      <c r="Q1359">
        <v>9</v>
      </c>
      <c r="R1359" s="225">
        <f>Base_Periodo1[[#This Row],[CREDITOS]]-Base_Periodo1[[#This Row],[DEBITOS]]</f>
        <v>0</v>
      </c>
      <c r="S1359" s="3" t="str">
        <f>IF(ISERROR(VLOOKUP(Base_Periodo1[[#This Row],[CONTA]],BaseContasDRE[#All],4,FALSE)),"Fora do DRE",VLOOKUP(Base_Periodo1[[#This Row],[CONTA]],BaseContasDRE[#All],4,FALSE))</f>
        <v>Fora do DRE</v>
      </c>
      <c r="T1359" s="3" t="str">
        <f>IF(ISERROR(VLOOKUP(Base_Periodo1[[#This Row],[CONTA]],BaseContasDRE[#All],5,FALSE)),"Fora do DRE",VLOOKUP(Base_Periodo1[[#This Row],[CONTA]],BaseContasDRE[#All],6,FALSE))</f>
        <v>Fora do DRE</v>
      </c>
      <c r="U1359" s="3" t="str">
        <f>IF(ISERROR(VLOOKUP(Base_Periodo1[[#This Row],[CONTA]],BaseContasDRE[#All],7,FALSE)),"Fora do DRE",VLOOKUP(Base_Periodo1[[#This Row],[CONTA]],BaseContasDRE[#All],7,FALSE))</f>
        <v>Fora do DRE</v>
      </c>
      <c r="V1359" s="3" t="str">
        <f>IF(Base_Periodo1[[#This Row],[Tipo_Linha]]="Fora do DRE","Fora do DRE","( "&amp;Base_Periodo1[[#This Row],[Tipo_Linha]]&amp;" ) "&amp;Base_Periodo1[[#This Row],[Filtro]])</f>
        <v>Fora do DRE</v>
      </c>
      <c r="W1359" s="3" t="str">
        <f>LEFT(Base_Periodo1[[#This Row],[CLASS]],3)</f>
        <v>1.1</v>
      </c>
    </row>
    <row r="1360" spans="1:23" hidden="1">
      <c r="A1360" s="3" t="str">
        <f t="shared" si="21"/>
        <v>Período 1</v>
      </c>
      <c r="B1360">
        <v>31628</v>
      </c>
      <c r="C1360" t="s">
        <v>5685</v>
      </c>
      <c r="D1360" t="s">
        <v>5686</v>
      </c>
      <c r="E1360" s="3" t="str">
        <f>IF(LEN(Base_Periodo1[[#This Row],[CLASS]])&gt;=7,LEFT(Base_Periodo1[[#This Row],[CLASS]],7),"")</f>
        <v>1.1.3.1</v>
      </c>
      <c r="F1360" s="3" t="str">
        <f>VLOOKUP(Base_Periodo1[[#This Row],[Aux]],Base_Contas_Balanco[#All],2,FALSE)</f>
        <v>Estoques Proprios</v>
      </c>
      <c r="G1360" s="1"/>
      <c r="H1360" s="225">
        <v>43478.359999999404</v>
      </c>
      <c r="I1360" s="225">
        <v>0</v>
      </c>
      <c r="J1360" s="225">
        <v>0</v>
      </c>
      <c r="K1360" s="225">
        <v>43478.359999999404</v>
      </c>
      <c r="L13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43478.36</v>
      </c>
      <c r="M1360" s="225">
        <f>ROUND(IF(AND(Base_Periodo1[[#This Row],[Tipo_Linha]]="-",Base_Periodo1[[#This Row],[TIPOSALDO]]="D"),Base_Periodo1[[#This Row],[SALDO_ATUAL]]*-1,Base_Periodo1[[#This Row],[SALDO_ATUAL]]),4)</f>
        <v>43478.36</v>
      </c>
      <c r="N1360" t="s">
        <v>396</v>
      </c>
      <c r="O1360" t="s">
        <v>397</v>
      </c>
      <c r="P1360" t="s">
        <v>397</v>
      </c>
      <c r="Q1360">
        <v>7</v>
      </c>
      <c r="R1360" s="225">
        <f>Base_Periodo1[[#This Row],[CREDITOS]]-Base_Periodo1[[#This Row],[DEBITOS]]</f>
        <v>0</v>
      </c>
      <c r="S1360" s="3" t="str">
        <f>IF(ISERROR(VLOOKUP(Base_Periodo1[[#This Row],[CONTA]],BaseContasDRE[#All],4,FALSE)),"Fora do DRE",VLOOKUP(Base_Periodo1[[#This Row],[CONTA]],BaseContasDRE[#All],4,FALSE))</f>
        <v>Fora do DRE</v>
      </c>
      <c r="T1360" s="3" t="str">
        <f>IF(ISERROR(VLOOKUP(Base_Periodo1[[#This Row],[CONTA]],BaseContasDRE[#All],5,FALSE)),"Fora do DRE",VLOOKUP(Base_Periodo1[[#This Row],[CONTA]],BaseContasDRE[#All],6,FALSE))</f>
        <v>Fora do DRE</v>
      </c>
      <c r="U1360" s="3" t="str">
        <f>IF(ISERROR(VLOOKUP(Base_Periodo1[[#This Row],[CONTA]],BaseContasDRE[#All],7,FALSE)),"Fora do DRE",VLOOKUP(Base_Periodo1[[#This Row],[CONTA]],BaseContasDRE[#All],7,FALSE))</f>
        <v>Fora do DRE</v>
      </c>
      <c r="V1360" s="3" t="str">
        <f>IF(Base_Periodo1[[#This Row],[Tipo_Linha]]="Fora do DRE","Fora do DRE","( "&amp;Base_Periodo1[[#This Row],[Tipo_Linha]]&amp;" ) "&amp;Base_Periodo1[[#This Row],[Filtro]])</f>
        <v>Fora do DRE</v>
      </c>
      <c r="W1360" s="3" t="str">
        <f>LEFT(Base_Periodo1[[#This Row],[CLASS]],3)</f>
        <v>1.1</v>
      </c>
    </row>
    <row r="1361" spans="1:23" hidden="1">
      <c r="A1361" s="3" t="str">
        <f t="shared" si="21"/>
        <v>Período 1</v>
      </c>
      <c r="B1361">
        <v>31631</v>
      </c>
      <c r="C1361" t="s">
        <v>1141</v>
      </c>
      <c r="D1361" t="s">
        <v>1119</v>
      </c>
      <c r="E1361" s="3" t="str">
        <f>IF(LEN(Base_Periodo1[[#This Row],[CLASS]])&gt;=7,LEFT(Base_Periodo1[[#This Row],[CLASS]],7),"")</f>
        <v>1.1.3.1</v>
      </c>
      <c r="F1361" s="3" t="str">
        <f>VLOOKUP(Base_Periodo1[[#This Row],[Aux]],Base_Contas_Balanco[#All],2,FALSE)</f>
        <v>Estoques Proprios</v>
      </c>
      <c r="G1361" s="1"/>
      <c r="H1361" s="225">
        <v>4459490.3599999994</v>
      </c>
      <c r="I1361" s="225">
        <v>0</v>
      </c>
      <c r="J1361" s="225">
        <v>0</v>
      </c>
      <c r="K1361" s="225">
        <v>4459490.3599999994</v>
      </c>
      <c r="L13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4459490.3600000003</v>
      </c>
      <c r="M1361" s="225">
        <f>ROUND(IF(AND(Base_Periodo1[[#This Row],[Tipo_Linha]]="-",Base_Periodo1[[#This Row],[TIPOSALDO]]="D"),Base_Periodo1[[#This Row],[SALDO_ATUAL]]*-1,Base_Periodo1[[#This Row],[SALDO_ATUAL]]),4)</f>
        <v>4459490.3600000003</v>
      </c>
      <c r="N1361" t="s">
        <v>396</v>
      </c>
      <c r="O1361" t="s">
        <v>397</v>
      </c>
      <c r="P1361" t="s">
        <v>397</v>
      </c>
      <c r="Q1361">
        <v>8</v>
      </c>
      <c r="R1361" s="225">
        <f>Base_Periodo1[[#This Row],[CREDITOS]]-Base_Periodo1[[#This Row],[DEBITOS]]</f>
        <v>0</v>
      </c>
      <c r="S1361" s="3" t="str">
        <f>IF(ISERROR(VLOOKUP(Base_Periodo1[[#This Row],[CONTA]],BaseContasDRE[#All],4,FALSE)),"Fora do DRE",VLOOKUP(Base_Periodo1[[#This Row],[CONTA]],BaseContasDRE[#All],4,FALSE))</f>
        <v>Fora do DRE</v>
      </c>
      <c r="T1361" s="3" t="str">
        <f>IF(ISERROR(VLOOKUP(Base_Periodo1[[#This Row],[CONTA]],BaseContasDRE[#All],5,FALSE)),"Fora do DRE",VLOOKUP(Base_Periodo1[[#This Row],[CONTA]],BaseContasDRE[#All],6,FALSE))</f>
        <v>Fora do DRE</v>
      </c>
      <c r="U1361" s="3" t="str">
        <f>IF(ISERROR(VLOOKUP(Base_Periodo1[[#This Row],[CONTA]],BaseContasDRE[#All],7,FALSE)),"Fora do DRE",VLOOKUP(Base_Periodo1[[#This Row],[CONTA]],BaseContasDRE[#All],7,FALSE))</f>
        <v>Fora do DRE</v>
      </c>
      <c r="V1361" s="3" t="str">
        <f>IF(Base_Periodo1[[#This Row],[Tipo_Linha]]="Fora do DRE","Fora do DRE","( "&amp;Base_Periodo1[[#This Row],[Tipo_Linha]]&amp;" ) "&amp;Base_Periodo1[[#This Row],[Filtro]])</f>
        <v>Fora do DRE</v>
      </c>
      <c r="W1361" s="3" t="str">
        <f>LEFT(Base_Periodo1[[#This Row],[CLASS]],3)</f>
        <v>1.1</v>
      </c>
    </row>
    <row r="1362" spans="1:23" hidden="1">
      <c r="A1362" s="3" t="str">
        <f t="shared" si="21"/>
        <v>Período 1</v>
      </c>
      <c r="B1362">
        <v>31632</v>
      </c>
      <c r="C1362" t="s">
        <v>1142</v>
      </c>
      <c r="D1362" t="s">
        <v>1121</v>
      </c>
      <c r="E1362" s="3" t="str">
        <f>IF(LEN(Base_Periodo1[[#This Row],[CLASS]])&gt;=7,LEFT(Base_Periodo1[[#This Row],[CLASS]],7),"")</f>
        <v>1.1.3.1</v>
      </c>
      <c r="F1362" s="3" t="str">
        <f>VLOOKUP(Base_Periodo1[[#This Row],[Aux]],Base_Contas_Balanco[#All],2,FALSE)</f>
        <v>Estoques Proprios</v>
      </c>
      <c r="G1362" s="1">
        <v>42838</v>
      </c>
      <c r="H1362" s="225">
        <v>4459490.3599999994</v>
      </c>
      <c r="I1362" s="225">
        <v>0</v>
      </c>
      <c r="J1362" s="225">
        <v>0</v>
      </c>
      <c r="K1362" s="225">
        <v>4459490.3599999994</v>
      </c>
      <c r="L13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4459490.3600000003</v>
      </c>
      <c r="M1362" s="225">
        <f>ROUND(IF(AND(Base_Periodo1[[#This Row],[Tipo_Linha]]="-",Base_Periodo1[[#This Row],[TIPOSALDO]]="D"),Base_Periodo1[[#This Row],[SALDO_ATUAL]]*-1,Base_Periodo1[[#This Row],[SALDO_ATUAL]]),4)</f>
        <v>4459490.3600000003</v>
      </c>
      <c r="N1362" t="s">
        <v>116</v>
      </c>
      <c r="O1362" t="s">
        <v>397</v>
      </c>
      <c r="P1362" t="s">
        <v>397</v>
      </c>
      <c r="Q1362">
        <v>9</v>
      </c>
      <c r="R1362" s="225">
        <f>Base_Periodo1[[#This Row],[CREDITOS]]-Base_Periodo1[[#This Row],[DEBITOS]]</f>
        <v>0</v>
      </c>
      <c r="S1362" s="3" t="str">
        <f>IF(ISERROR(VLOOKUP(Base_Periodo1[[#This Row],[CONTA]],BaseContasDRE[#All],4,FALSE)),"Fora do DRE",VLOOKUP(Base_Periodo1[[#This Row],[CONTA]],BaseContasDRE[#All],4,FALSE))</f>
        <v>Fora do DRE</v>
      </c>
      <c r="T1362" s="3" t="str">
        <f>IF(ISERROR(VLOOKUP(Base_Periodo1[[#This Row],[CONTA]],BaseContasDRE[#All],5,FALSE)),"Fora do DRE",VLOOKUP(Base_Periodo1[[#This Row],[CONTA]],BaseContasDRE[#All],6,FALSE))</f>
        <v>Fora do DRE</v>
      </c>
      <c r="U1362" s="3" t="str">
        <f>IF(ISERROR(VLOOKUP(Base_Periodo1[[#This Row],[CONTA]],BaseContasDRE[#All],7,FALSE)),"Fora do DRE",VLOOKUP(Base_Periodo1[[#This Row],[CONTA]],BaseContasDRE[#All],7,FALSE))</f>
        <v>Fora do DRE</v>
      </c>
      <c r="V1362" s="3" t="str">
        <f>IF(Base_Periodo1[[#This Row],[Tipo_Linha]]="Fora do DRE","Fora do DRE","( "&amp;Base_Periodo1[[#This Row],[Tipo_Linha]]&amp;" ) "&amp;Base_Periodo1[[#This Row],[Filtro]])</f>
        <v>Fora do DRE</v>
      </c>
      <c r="W1362" s="3" t="str">
        <f>LEFT(Base_Periodo1[[#This Row],[CLASS]],3)</f>
        <v>1.1</v>
      </c>
    </row>
    <row r="1363" spans="1:23" hidden="1">
      <c r="A1363" s="3" t="str">
        <f t="shared" si="21"/>
        <v>Período 1</v>
      </c>
      <c r="B1363">
        <v>31806</v>
      </c>
      <c r="C1363" t="s">
        <v>1143</v>
      </c>
      <c r="D1363" t="s">
        <v>1144</v>
      </c>
      <c r="E1363" s="3" t="str">
        <f>IF(LEN(Base_Periodo1[[#This Row],[CLASS]])&gt;=7,LEFT(Base_Periodo1[[#This Row],[CLASS]],7),"")</f>
        <v>1.1.3.1</v>
      </c>
      <c r="F1363" s="3" t="str">
        <f>VLOOKUP(Base_Periodo1[[#This Row],[Aux]],Base_Contas_Balanco[#All],2,FALSE)</f>
        <v>Estoques Proprios</v>
      </c>
      <c r="G1363" s="1"/>
      <c r="H1363" s="225">
        <v>1113455.0499999998</v>
      </c>
      <c r="I1363" s="225">
        <v>0</v>
      </c>
      <c r="J1363" s="225">
        <v>0</v>
      </c>
      <c r="K1363" s="225">
        <v>1113455.0499999998</v>
      </c>
      <c r="L13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1113455.05</v>
      </c>
      <c r="M1363" s="225">
        <f>ROUND(IF(AND(Base_Periodo1[[#This Row],[Tipo_Linha]]="-",Base_Periodo1[[#This Row],[TIPOSALDO]]="D"),Base_Periodo1[[#This Row],[SALDO_ATUAL]]*-1,Base_Periodo1[[#This Row],[SALDO_ATUAL]]),4)</f>
        <v>1113455.05</v>
      </c>
      <c r="N1363" t="s">
        <v>396</v>
      </c>
      <c r="O1363" t="s">
        <v>397</v>
      </c>
      <c r="P1363" t="s">
        <v>397</v>
      </c>
      <c r="Q1363">
        <v>8</v>
      </c>
      <c r="R1363" s="225">
        <f>Base_Periodo1[[#This Row],[CREDITOS]]-Base_Periodo1[[#This Row],[DEBITOS]]</f>
        <v>0</v>
      </c>
      <c r="S1363" s="3" t="str">
        <f>IF(ISERROR(VLOOKUP(Base_Periodo1[[#This Row],[CONTA]],BaseContasDRE[#All],4,FALSE)),"Fora do DRE",VLOOKUP(Base_Periodo1[[#This Row],[CONTA]],BaseContasDRE[#All],4,FALSE))</f>
        <v>Fora do DRE</v>
      </c>
      <c r="T1363" s="3" t="str">
        <f>IF(ISERROR(VLOOKUP(Base_Periodo1[[#This Row],[CONTA]],BaseContasDRE[#All],5,FALSE)),"Fora do DRE",VLOOKUP(Base_Periodo1[[#This Row],[CONTA]],BaseContasDRE[#All],6,FALSE))</f>
        <v>Fora do DRE</v>
      </c>
      <c r="U1363" s="3" t="str">
        <f>IF(ISERROR(VLOOKUP(Base_Periodo1[[#This Row],[CONTA]],BaseContasDRE[#All],7,FALSE)),"Fora do DRE",VLOOKUP(Base_Periodo1[[#This Row],[CONTA]],BaseContasDRE[#All],7,FALSE))</f>
        <v>Fora do DRE</v>
      </c>
      <c r="V1363" s="3" t="str">
        <f>IF(Base_Periodo1[[#This Row],[Tipo_Linha]]="Fora do DRE","Fora do DRE","( "&amp;Base_Periodo1[[#This Row],[Tipo_Linha]]&amp;" ) "&amp;Base_Periodo1[[#This Row],[Filtro]])</f>
        <v>Fora do DRE</v>
      </c>
      <c r="W1363" s="3" t="str">
        <f>LEFT(Base_Periodo1[[#This Row],[CLASS]],3)</f>
        <v>1.1</v>
      </c>
    </row>
    <row r="1364" spans="1:23" hidden="1">
      <c r="A1364" s="3" t="str">
        <f t="shared" si="21"/>
        <v>Período 1</v>
      </c>
      <c r="B1364">
        <v>31807</v>
      </c>
      <c r="C1364" t="s">
        <v>1145</v>
      </c>
      <c r="D1364" t="s">
        <v>1125</v>
      </c>
      <c r="E1364" s="3" t="str">
        <f>IF(LEN(Base_Periodo1[[#This Row],[CLASS]])&gt;=7,LEFT(Base_Periodo1[[#This Row],[CLASS]],7),"")</f>
        <v>1.1.3.1</v>
      </c>
      <c r="F1364" s="3" t="str">
        <f>VLOOKUP(Base_Periodo1[[#This Row],[Aux]],Base_Contas_Balanco[#All],2,FALSE)</f>
        <v>Estoques Proprios</v>
      </c>
      <c r="G1364" s="1">
        <v>42794</v>
      </c>
      <c r="H1364" s="225">
        <v>1113455.0499999998</v>
      </c>
      <c r="I1364" s="225">
        <v>0</v>
      </c>
      <c r="J1364" s="225">
        <v>0</v>
      </c>
      <c r="K1364" s="225">
        <v>1113455.0499999998</v>
      </c>
      <c r="L13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1113455.05</v>
      </c>
      <c r="M1364" s="225">
        <f>ROUND(IF(AND(Base_Periodo1[[#This Row],[Tipo_Linha]]="-",Base_Periodo1[[#This Row],[TIPOSALDO]]="D"),Base_Periodo1[[#This Row],[SALDO_ATUAL]]*-1,Base_Periodo1[[#This Row],[SALDO_ATUAL]]),4)</f>
        <v>1113455.05</v>
      </c>
      <c r="N1364" t="s">
        <v>116</v>
      </c>
      <c r="O1364" t="s">
        <v>397</v>
      </c>
      <c r="P1364" t="s">
        <v>397</v>
      </c>
      <c r="Q1364">
        <v>9</v>
      </c>
      <c r="R1364" s="225">
        <f>Base_Periodo1[[#This Row],[CREDITOS]]-Base_Periodo1[[#This Row],[DEBITOS]]</f>
        <v>0</v>
      </c>
      <c r="S1364" s="3" t="str">
        <f>IF(ISERROR(VLOOKUP(Base_Periodo1[[#This Row],[CONTA]],BaseContasDRE[#All],4,FALSE)),"Fora do DRE",VLOOKUP(Base_Periodo1[[#This Row],[CONTA]],BaseContasDRE[#All],4,FALSE))</f>
        <v>Fora do DRE</v>
      </c>
      <c r="T1364" s="3" t="str">
        <f>IF(ISERROR(VLOOKUP(Base_Periodo1[[#This Row],[CONTA]],BaseContasDRE[#All],5,FALSE)),"Fora do DRE",VLOOKUP(Base_Periodo1[[#This Row],[CONTA]],BaseContasDRE[#All],6,FALSE))</f>
        <v>Fora do DRE</v>
      </c>
      <c r="U1364" s="3" t="str">
        <f>IF(ISERROR(VLOOKUP(Base_Periodo1[[#This Row],[CONTA]],BaseContasDRE[#All],7,FALSE)),"Fora do DRE",VLOOKUP(Base_Periodo1[[#This Row],[CONTA]],BaseContasDRE[#All],7,FALSE))</f>
        <v>Fora do DRE</v>
      </c>
      <c r="V1364" s="3" t="str">
        <f>IF(Base_Periodo1[[#This Row],[Tipo_Linha]]="Fora do DRE","Fora do DRE","( "&amp;Base_Periodo1[[#This Row],[Tipo_Linha]]&amp;" ) "&amp;Base_Periodo1[[#This Row],[Filtro]])</f>
        <v>Fora do DRE</v>
      </c>
      <c r="W1364" s="3" t="str">
        <f>LEFT(Base_Periodo1[[#This Row],[CLASS]],3)</f>
        <v>1.1</v>
      </c>
    </row>
    <row r="1365" spans="1:23" hidden="1">
      <c r="A1365" s="3" t="str">
        <f t="shared" si="21"/>
        <v>Período 1</v>
      </c>
      <c r="B1365">
        <v>56704</v>
      </c>
      <c r="C1365" t="s">
        <v>5687</v>
      </c>
      <c r="D1365" t="s">
        <v>1096</v>
      </c>
      <c r="E1365" s="3" t="str">
        <f>IF(LEN(Base_Periodo1[[#This Row],[CLASS]])&gt;=7,LEFT(Base_Periodo1[[#This Row],[CLASS]],7),"")</f>
        <v>1.1.3.1</v>
      </c>
      <c r="F1365" s="3" t="str">
        <f>VLOOKUP(Base_Periodo1[[#This Row],[Aux]],Base_Contas_Balanco[#All],2,FALSE)</f>
        <v>Estoques Proprios</v>
      </c>
      <c r="G1365" s="1"/>
      <c r="H1365" s="225">
        <v>647989.79</v>
      </c>
      <c r="I1365" s="225">
        <v>0</v>
      </c>
      <c r="J1365" s="225">
        <v>0</v>
      </c>
      <c r="K1365" s="225">
        <v>647989.79</v>
      </c>
      <c r="L13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-647989.79</v>
      </c>
      <c r="M1365" s="225">
        <f>ROUND(IF(AND(Base_Periodo1[[#This Row],[Tipo_Linha]]="-",Base_Periodo1[[#This Row],[TIPOSALDO]]="D"),Base_Periodo1[[#This Row],[SALDO_ATUAL]]*-1,Base_Periodo1[[#This Row],[SALDO_ATUAL]]),4)</f>
        <v>647989.79</v>
      </c>
      <c r="N1365" t="s">
        <v>396</v>
      </c>
      <c r="O1365" t="s">
        <v>459</v>
      </c>
      <c r="P1365" t="s">
        <v>459</v>
      </c>
      <c r="Q1365">
        <v>8</v>
      </c>
      <c r="R1365" s="225">
        <f>Base_Periodo1[[#This Row],[CREDITOS]]-Base_Periodo1[[#This Row],[DEBITOS]]</f>
        <v>0</v>
      </c>
      <c r="S1365" s="3" t="str">
        <f>IF(ISERROR(VLOOKUP(Base_Periodo1[[#This Row],[CONTA]],BaseContasDRE[#All],4,FALSE)),"Fora do DRE",VLOOKUP(Base_Periodo1[[#This Row],[CONTA]],BaseContasDRE[#All],4,FALSE))</f>
        <v>Fora do DRE</v>
      </c>
      <c r="T1365" s="3" t="str">
        <f>IF(ISERROR(VLOOKUP(Base_Periodo1[[#This Row],[CONTA]],BaseContasDRE[#All],5,FALSE)),"Fora do DRE",VLOOKUP(Base_Periodo1[[#This Row],[CONTA]],BaseContasDRE[#All],6,FALSE))</f>
        <v>Fora do DRE</v>
      </c>
      <c r="U1365" s="3" t="str">
        <f>IF(ISERROR(VLOOKUP(Base_Periodo1[[#This Row],[CONTA]],BaseContasDRE[#All],7,FALSE)),"Fora do DRE",VLOOKUP(Base_Periodo1[[#This Row],[CONTA]],BaseContasDRE[#All],7,FALSE))</f>
        <v>Fora do DRE</v>
      </c>
      <c r="V1365" s="3" t="str">
        <f>IF(Base_Periodo1[[#This Row],[Tipo_Linha]]="Fora do DRE","Fora do DRE","( "&amp;Base_Periodo1[[#This Row],[Tipo_Linha]]&amp;" ) "&amp;Base_Periodo1[[#This Row],[Filtro]])</f>
        <v>Fora do DRE</v>
      </c>
      <c r="W1365" s="3" t="str">
        <f>LEFT(Base_Periodo1[[#This Row],[CLASS]],3)</f>
        <v>1.1</v>
      </c>
    </row>
    <row r="1366" spans="1:23" hidden="1">
      <c r="A1366" s="3" t="str">
        <f t="shared" si="21"/>
        <v>Período 1</v>
      </c>
      <c r="B1366">
        <v>56705</v>
      </c>
      <c r="C1366" t="s">
        <v>5688</v>
      </c>
      <c r="D1366" t="s">
        <v>5684</v>
      </c>
      <c r="E1366" s="3" t="str">
        <f>IF(LEN(Base_Periodo1[[#This Row],[CLASS]])&gt;=7,LEFT(Base_Periodo1[[#This Row],[CLASS]],7),"")</f>
        <v>1.1.3.1</v>
      </c>
      <c r="F1366" s="3" t="str">
        <f>VLOOKUP(Base_Periodo1[[#This Row],[Aux]],Base_Contas_Balanco[#All],2,FALSE)</f>
        <v>Estoques Proprios</v>
      </c>
      <c r="G1366" s="1">
        <v>42855</v>
      </c>
      <c r="H1366" s="225">
        <v>647989.79</v>
      </c>
      <c r="I1366" s="225">
        <v>0</v>
      </c>
      <c r="J1366" s="225">
        <v>0</v>
      </c>
      <c r="K1366" s="225">
        <v>647989.79</v>
      </c>
      <c r="L13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-647989.79</v>
      </c>
      <c r="M1366" s="225">
        <f>ROUND(IF(AND(Base_Periodo1[[#This Row],[Tipo_Linha]]="-",Base_Periodo1[[#This Row],[TIPOSALDO]]="D"),Base_Periodo1[[#This Row],[SALDO_ATUAL]]*-1,Base_Periodo1[[#This Row],[SALDO_ATUAL]]),4)</f>
        <v>647989.79</v>
      </c>
      <c r="N1366" t="s">
        <v>116</v>
      </c>
      <c r="O1366" t="s">
        <v>459</v>
      </c>
      <c r="P1366" t="s">
        <v>459</v>
      </c>
      <c r="Q1366">
        <v>9</v>
      </c>
      <c r="R1366" s="225">
        <f>Base_Periodo1[[#This Row],[CREDITOS]]-Base_Periodo1[[#This Row],[DEBITOS]]</f>
        <v>0</v>
      </c>
      <c r="S1366" s="3" t="str">
        <f>IF(ISERROR(VLOOKUP(Base_Periodo1[[#This Row],[CONTA]],BaseContasDRE[#All],4,FALSE)),"Fora do DRE",VLOOKUP(Base_Periodo1[[#This Row],[CONTA]],BaseContasDRE[#All],4,FALSE))</f>
        <v>Fora do DRE</v>
      </c>
      <c r="T1366" s="3" t="str">
        <f>IF(ISERROR(VLOOKUP(Base_Periodo1[[#This Row],[CONTA]],BaseContasDRE[#All],5,FALSE)),"Fora do DRE",VLOOKUP(Base_Periodo1[[#This Row],[CONTA]],BaseContasDRE[#All],6,FALSE))</f>
        <v>Fora do DRE</v>
      </c>
      <c r="U1366" s="3" t="str">
        <f>IF(ISERROR(VLOOKUP(Base_Periodo1[[#This Row],[CONTA]],BaseContasDRE[#All],7,FALSE)),"Fora do DRE",VLOOKUP(Base_Periodo1[[#This Row],[CONTA]],BaseContasDRE[#All],7,FALSE))</f>
        <v>Fora do DRE</v>
      </c>
      <c r="V1366" s="3" t="str">
        <f>IF(Base_Periodo1[[#This Row],[Tipo_Linha]]="Fora do DRE","Fora do DRE","( "&amp;Base_Periodo1[[#This Row],[Tipo_Linha]]&amp;" ) "&amp;Base_Periodo1[[#This Row],[Filtro]])</f>
        <v>Fora do DRE</v>
      </c>
      <c r="W1366" s="3" t="str">
        <f>LEFT(Base_Periodo1[[#This Row],[CLASS]],3)</f>
        <v>1.1</v>
      </c>
    </row>
    <row r="1367" spans="1:23" hidden="1">
      <c r="A1367" s="3" t="str">
        <f t="shared" si="21"/>
        <v>Período 1</v>
      </c>
      <c r="B1367">
        <v>31637</v>
      </c>
      <c r="C1367" t="s">
        <v>1146</v>
      </c>
      <c r="D1367" t="s">
        <v>1072</v>
      </c>
      <c r="E1367" s="3" t="str">
        <f>IF(LEN(Base_Periodo1[[#This Row],[CLASS]])&gt;=7,LEFT(Base_Periodo1[[#This Row],[CLASS]],7),"")</f>
        <v>1.1.3.1</v>
      </c>
      <c r="F1367" s="3" t="str">
        <f>VLOOKUP(Base_Periodo1[[#This Row],[Aux]],Base_Contas_Balanco[#All],2,FALSE)</f>
        <v>Estoques Proprios</v>
      </c>
      <c r="G1367" s="1"/>
      <c r="H1367" s="225">
        <v>1393360.0499999996</v>
      </c>
      <c r="I1367" s="225">
        <v>0</v>
      </c>
      <c r="J1367" s="225">
        <v>0</v>
      </c>
      <c r="K1367" s="225">
        <v>1393360.0499999996</v>
      </c>
      <c r="L13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-1393360.05</v>
      </c>
      <c r="M1367" s="225">
        <f>ROUND(IF(AND(Base_Periodo1[[#This Row],[Tipo_Linha]]="-",Base_Periodo1[[#This Row],[TIPOSALDO]]="D"),Base_Periodo1[[#This Row],[SALDO_ATUAL]]*-1,Base_Periodo1[[#This Row],[SALDO_ATUAL]]),4)</f>
        <v>1393360.05</v>
      </c>
      <c r="N1367" t="s">
        <v>396</v>
      </c>
      <c r="O1367" t="s">
        <v>459</v>
      </c>
      <c r="P1367" t="s">
        <v>459</v>
      </c>
      <c r="Q1367">
        <v>8</v>
      </c>
      <c r="R1367" s="225">
        <f>Base_Periodo1[[#This Row],[CREDITOS]]-Base_Periodo1[[#This Row],[DEBITOS]]</f>
        <v>0</v>
      </c>
      <c r="S1367" s="3" t="str">
        <f>IF(ISERROR(VLOOKUP(Base_Periodo1[[#This Row],[CONTA]],BaseContasDRE[#All],4,FALSE)),"Fora do DRE",VLOOKUP(Base_Periodo1[[#This Row],[CONTA]],BaseContasDRE[#All],4,FALSE))</f>
        <v>Fora do DRE</v>
      </c>
      <c r="T1367" s="3" t="str">
        <f>IF(ISERROR(VLOOKUP(Base_Periodo1[[#This Row],[CONTA]],BaseContasDRE[#All],5,FALSE)),"Fora do DRE",VLOOKUP(Base_Periodo1[[#This Row],[CONTA]],BaseContasDRE[#All],6,FALSE))</f>
        <v>Fora do DRE</v>
      </c>
      <c r="U1367" s="3" t="str">
        <f>IF(ISERROR(VLOOKUP(Base_Periodo1[[#This Row],[CONTA]],BaseContasDRE[#All],7,FALSE)),"Fora do DRE",VLOOKUP(Base_Periodo1[[#This Row],[CONTA]],BaseContasDRE[#All],7,FALSE))</f>
        <v>Fora do DRE</v>
      </c>
      <c r="V1367" s="3" t="str">
        <f>IF(Base_Periodo1[[#This Row],[Tipo_Linha]]="Fora do DRE","Fora do DRE","( "&amp;Base_Periodo1[[#This Row],[Tipo_Linha]]&amp;" ) "&amp;Base_Periodo1[[#This Row],[Filtro]])</f>
        <v>Fora do DRE</v>
      </c>
      <c r="W1367" s="3" t="str">
        <f>LEFT(Base_Periodo1[[#This Row],[CLASS]],3)</f>
        <v>1.1</v>
      </c>
    </row>
    <row r="1368" spans="1:23" hidden="1">
      <c r="A1368" s="3" t="str">
        <f t="shared" si="21"/>
        <v>Período 1</v>
      </c>
      <c r="B1368">
        <v>31811</v>
      </c>
      <c r="C1368" t="s">
        <v>1147</v>
      </c>
      <c r="D1368" t="s">
        <v>1074</v>
      </c>
      <c r="E1368" s="3" t="str">
        <f>IF(LEN(Base_Periodo1[[#This Row],[CLASS]])&gt;=7,LEFT(Base_Periodo1[[#This Row],[CLASS]],7),"")</f>
        <v>1.1.3.1</v>
      </c>
      <c r="F1368" s="3" t="str">
        <f>VLOOKUP(Base_Periodo1[[#This Row],[Aux]],Base_Contas_Balanco[#All],2,FALSE)</f>
        <v>Estoques Proprios</v>
      </c>
      <c r="G1368" s="1">
        <v>42798</v>
      </c>
      <c r="H1368" s="225">
        <v>1393360.0499999996</v>
      </c>
      <c r="I1368" s="225">
        <v>0</v>
      </c>
      <c r="J1368" s="225">
        <v>0</v>
      </c>
      <c r="K1368" s="225">
        <v>1393360.0499999996</v>
      </c>
      <c r="L13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-1393360.05</v>
      </c>
      <c r="M1368" s="225">
        <f>ROUND(IF(AND(Base_Periodo1[[#This Row],[Tipo_Linha]]="-",Base_Periodo1[[#This Row],[TIPOSALDO]]="D"),Base_Periodo1[[#This Row],[SALDO_ATUAL]]*-1,Base_Periodo1[[#This Row],[SALDO_ATUAL]]),4)</f>
        <v>1393360.05</v>
      </c>
      <c r="N1368" t="s">
        <v>116</v>
      </c>
      <c r="O1368" t="s">
        <v>459</v>
      </c>
      <c r="P1368" t="s">
        <v>459</v>
      </c>
      <c r="Q1368">
        <v>9</v>
      </c>
      <c r="R1368" s="225">
        <f>Base_Periodo1[[#This Row],[CREDITOS]]-Base_Periodo1[[#This Row],[DEBITOS]]</f>
        <v>0</v>
      </c>
      <c r="S1368" s="3" t="str">
        <f>IF(ISERROR(VLOOKUP(Base_Periodo1[[#This Row],[CONTA]],BaseContasDRE[#All],4,FALSE)),"Fora do DRE",VLOOKUP(Base_Periodo1[[#This Row],[CONTA]],BaseContasDRE[#All],4,FALSE))</f>
        <v>Fora do DRE</v>
      </c>
      <c r="T1368" s="3" t="str">
        <f>IF(ISERROR(VLOOKUP(Base_Periodo1[[#This Row],[CONTA]],BaseContasDRE[#All],5,FALSE)),"Fora do DRE",VLOOKUP(Base_Periodo1[[#This Row],[CONTA]],BaseContasDRE[#All],6,FALSE))</f>
        <v>Fora do DRE</v>
      </c>
      <c r="U1368" s="3" t="str">
        <f>IF(ISERROR(VLOOKUP(Base_Periodo1[[#This Row],[CONTA]],BaseContasDRE[#All],7,FALSE)),"Fora do DRE",VLOOKUP(Base_Periodo1[[#This Row],[CONTA]],BaseContasDRE[#All],7,FALSE))</f>
        <v>Fora do DRE</v>
      </c>
      <c r="V1368" s="3" t="str">
        <f>IF(Base_Periodo1[[#This Row],[Tipo_Linha]]="Fora do DRE","Fora do DRE","( "&amp;Base_Periodo1[[#This Row],[Tipo_Linha]]&amp;" ) "&amp;Base_Periodo1[[#This Row],[Filtro]])</f>
        <v>Fora do DRE</v>
      </c>
      <c r="W1368" s="3" t="str">
        <f>LEFT(Base_Periodo1[[#This Row],[CLASS]],3)</f>
        <v>1.1</v>
      </c>
    </row>
    <row r="1369" spans="1:23" hidden="1">
      <c r="A1369" s="3" t="str">
        <f t="shared" si="21"/>
        <v>Período 1</v>
      </c>
      <c r="B1369">
        <v>32953</v>
      </c>
      <c r="C1369" t="s">
        <v>1148</v>
      </c>
      <c r="D1369" t="s">
        <v>1133</v>
      </c>
      <c r="E1369" s="3" t="str">
        <f>IF(LEN(Base_Periodo1[[#This Row],[CLASS]])&gt;=7,LEFT(Base_Periodo1[[#This Row],[CLASS]],7),"")</f>
        <v>1.1.3.1</v>
      </c>
      <c r="F1369" s="3" t="str">
        <f>VLOOKUP(Base_Periodo1[[#This Row],[Aux]],Base_Contas_Balanco[#All],2,FALSE)</f>
        <v>Estoques Proprios</v>
      </c>
      <c r="G1369" s="1"/>
      <c r="H1369" s="225">
        <v>3488117.21</v>
      </c>
      <c r="I1369" s="225">
        <v>0</v>
      </c>
      <c r="J1369" s="225">
        <v>0</v>
      </c>
      <c r="K1369" s="225">
        <v>3488117.21</v>
      </c>
      <c r="L13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-3488117.21</v>
      </c>
      <c r="M1369" s="225">
        <f>ROUND(IF(AND(Base_Periodo1[[#This Row],[Tipo_Linha]]="-",Base_Periodo1[[#This Row],[TIPOSALDO]]="D"),Base_Periodo1[[#This Row],[SALDO_ATUAL]]*-1,Base_Periodo1[[#This Row],[SALDO_ATUAL]]),4)</f>
        <v>3488117.21</v>
      </c>
      <c r="N1369" t="s">
        <v>396</v>
      </c>
      <c r="O1369" t="s">
        <v>459</v>
      </c>
      <c r="P1369" t="s">
        <v>459</v>
      </c>
      <c r="Q1369">
        <v>8</v>
      </c>
      <c r="R1369" s="225">
        <f>Base_Periodo1[[#This Row],[CREDITOS]]-Base_Periodo1[[#This Row],[DEBITOS]]</f>
        <v>0</v>
      </c>
      <c r="S1369" s="3" t="str">
        <f>IF(ISERROR(VLOOKUP(Base_Periodo1[[#This Row],[CONTA]],BaseContasDRE[#All],4,FALSE)),"Fora do DRE",VLOOKUP(Base_Periodo1[[#This Row],[CONTA]],BaseContasDRE[#All],4,FALSE))</f>
        <v>Fora do DRE</v>
      </c>
      <c r="T1369" s="3" t="str">
        <f>IF(ISERROR(VLOOKUP(Base_Periodo1[[#This Row],[CONTA]],BaseContasDRE[#All],5,FALSE)),"Fora do DRE",VLOOKUP(Base_Periodo1[[#This Row],[CONTA]],BaseContasDRE[#All],6,FALSE))</f>
        <v>Fora do DRE</v>
      </c>
      <c r="U1369" s="3" t="str">
        <f>IF(ISERROR(VLOOKUP(Base_Periodo1[[#This Row],[CONTA]],BaseContasDRE[#All],7,FALSE)),"Fora do DRE",VLOOKUP(Base_Periodo1[[#This Row],[CONTA]],BaseContasDRE[#All],7,FALSE))</f>
        <v>Fora do DRE</v>
      </c>
      <c r="V1369" s="3" t="str">
        <f>IF(Base_Periodo1[[#This Row],[Tipo_Linha]]="Fora do DRE","Fora do DRE","( "&amp;Base_Periodo1[[#This Row],[Tipo_Linha]]&amp;" ) "&amp;Base_Periodo1[[#This Row],[Filtro]])</f>
        <v>Fora do DRE</v>
      </c>
      <c r="W1369" s="3" t="str">
        <f>LEFT(Base_Periodo1[[#This Row],[CLASS]],3)</f>
        <v>1.1</v>
      </c>
    </row>
    <row r="1370" spans="1:23" hidden="1">
      <c r="A1370" s="3" t="str">
        <f t="shared" si="21"/>
        <v>Período 1</v>
      </c>
      <c r="B1370">
        <v>32954</v>
      </c>
      <c r="C1370" t="s">
        <v>1149</v>
      </c>
      <c r="D1370" t="s">
        <v>1140</v>
      </c>
      <c r="E1370" s="3" t="str">
        <f>IF(LEN(Base_Periodo1[[#This Row],[CLASS]])&gt;=7,LEFT(Base_Periodo1[[#This Row],[CLASS]],7),"")</f>
        <v>1.1.3.1</v>
      </c>
      <c r="F1370" s="3" t="str">
        <f>VLOOKUP(Base_Periodo1[[#This Row],[Aux]],Base_Contas_Balanco[#All],2,FALSE)</f>
        <v>Estoques Proprios</v>
      </c>
      <c r="G1370" s="1">
        <v>42825</v>
      </c>
      <c r="H1370" s="225">
        <v>3488117.21</v>
      </c>
      <c r="I1370" s="225">
        <v>0</v>
      </c>
      <c r="J1370" s="225">
        <v>0</v>
      </c>
      <c r="K1370" s="225">
        <v>3488117.21</v>
      </c>
      <c r="L13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-3488117.21</v>
      </c>
      <c r="M1370" s="225">
        <f>ROUND(IF(AND(Base_Periodo1[[#This Row],[Tipo_Linha]]="-",Base_Periodo1[[#This Row],[TIPOSALDO]]="D"),Base_Periodo1[[#This Row],[SALDO_ATUAL]]*-1,Base_Periodo1[[#This Row],[SALDO_ATUAL]]),4)</f>
        <v>3488117.21</v>
      </c>
      <c r="N1370" t="s">
        <v>116</v>
      </c>
      <c r="O1370" t="s">
        <v>459</v>
      </c>
      <c r="P1370" t="s">
        <v>459</v>
      </c>
      <c r="Q1370">
        <v>9</v>
      </c>
      <c r="R1370" s="225">
        <f>Base_Periodo1[[#This Row],[CREDITOS]]-Base_Periodo1[[#This Row],[DEBITOS]]</f>
        <v>0</v>
      </c>
      <c r="S1370" s="3" t="str">
        <f>IF(ISERROR(VLOOKUP(Base_Periodo1[[#This Row],[CONTA]],BaseContasDRE[#All],4,FALSE)),"Fora do DRE",VLOOKUP(Base_Periodo1[[#This Row],[CONTA]],BaseContasDRE[#All],4,FALSE))</f>
        <v>Fora do DRE</v>
      </c>
      <c r="T1370" s="3" t="str">
        <f>IF(ISERROR(VLOOKUP(Base_Periodo1[[#This Row],[CONTA]],BaseContasDRE[#All],5,FALSE)),"Fora do DRE",VLOOKUP(Base_Periodo1[[#This Row],[CONTA]],BaseContasDRE[#All],6,FALSE))</f>
        <v>Fora do DRE</v>
      </c>
      <c r="U1370" s="3" t="str">
        <f>IF(ISERROR(VLOOKUP(Base_Periodo1[[#This Row],[CONTA]],BaseContasDRE[#All],7,FALSE)),"Fora do DRE",VLOOKUP(Base_Periodo1[[#This Row],[CONTA]],BaseContasDRE[#All],7,FALSE))</f>
        <v>Fora do DRE</v>
      </c>
      <c r="V1370" s="3" t="str">
        <f>IF(Base_Periodo1[[#This Row],[Tipo_Linha]]="Fora do DRE","Fora do DRE","( "&amp;Base_Periodo1[[#This Row],[Tipo_Linha]]&amp;" ) "&amp;Base_Periodo1[[#This Row],[Filtro]])</f>
        <v>Fora do DRE</v>
      </c>
      <c r="W1370" s="3" t="str">
        <f>LEFT(Base_Periodo1[[#This Row],[CLASS]],3)</f>
        <v>1.1</v>
      </c>
    </row>
    <row r="1371" spans="1:23" hidden="1">
      <c r="A1371" s="3" t="str">
        <f t="shared" si="21"/>
        <v>Período 1</v>
      </c>
      <c r="B1371">
        <v>258</v>
      </c>
      <c r="C1371" t="s">
        <v>1151</v>
      </c>
      <c r="D1371" t="s">
        <v>1152</v>
      </c>
      <c r="E1371" s="3" t="str">
        <f>IF(LEN(Base_Periodo1[[#This Row],[CLASS]])&gt;=7,LEFT(Base_Periodo1[[#This Row],[CLASS]],7),"")</f>
        <v>1.1.3.1</v>
      </c>
      <c r="F1371" s="3" t="str">
        <f>VLOOKUP(Base_Periodo1[[#This Row],[Aux]],Base_Contas_Balanco[#All],2,FALSE)</f>
        <v>Estoques Proprios</v>
      </c>
      <c r="G1371" s="1"/>
      <c r="H1371" s="225">
        <v>39620930.440000162</v>
      </c>
      <c r="I1371" s="225">
        <v>12266608.219999999</v>
      </c>
      <c r="J1371" s="225">
        <v>9901600.5299999975</v>
      </c>
      <c r="K1371" s="225">
        <v>41985938.130000159</v>
      </c>
      <c r="L13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41985938.130000003</v>
      </c>
      <c r="M1371" s="225">
        <f>ROUND(IF(AND(Base_Periodo1[[#This Row],[Tipo_Linha]]="-",Base_Periodo1[[#This Row],[TIPOSALDO]]="D"),Base_Periodo1[[#This Row],[SALDO_ATUAL]]*-1,Base_Periodo1[[#This Row],[SALDO_ATUAL]]),4)</f>
        <v>41985938.130000003</v>
      </c>
      <c r="N1371" t="s">
        <v>396</v>
      </c>
      <c r="O1371" t="s">
        <v>397</v>
      </c>
      <c r="P1371" t="s">
        <v>397</v>
      </c>
      <c r="Q1371">
        <v>5</v>
      </c>
      <c r="R1371" s="225">
        <f>Base_Periodo1[[#This Row],[CREDITOS]]-Base_Periodo1[[#This Row],[DEBITOS]]</f>
        <v>-2365007.6900000013</v>
      </c>
      <c r="S1371" s="3" t="str">
        <f>IF(ISERROR(VLOOKUP(Base_Periodo1[[#This Row],[CONTA]],BaseContasDRE[#All],4,FALSE)),"Fora do DRE",VLOOKUP(Base_Periodo1[[#This Row],[CONTA]],BaseContasDRE[#All],4,FALSE))</f>
        <v>Fora do DRE</v>
      </c>
      <c r="T1371" s="3" t="str">
        <f>IF(ISERROR(VLOOKUP(Base_Periodo1[[#This Row],[CONTA]],BaseContasDRE[#All],5,FALSE)),"Fora do DRE",VLOOKUP(Base_Periodo1[[#This Row],[CONTA]],BaseContasDRE[#All],6,FALSE))</f>
        <v>Fora do DRE</v>
      </c>
      <c r="U1371" s="3" t="str">
        <f>IF(ISERROR(VLOOKUP(Base_Periodo1[[#This Row],[CONTA]],BaseContasDRE[#All],7,FALSE)),"Fora do DRE",VLOOKUP(Base_Periodo1[[#This Row],[CONTA]],BaseContasDRE[#All],7,FALSE))</f>
        <v>Fora do DRE</v>
      </c>
      <c r="V1371" s="3" t="str">
        <f>IF(Base_Periodo1[[#This Row],[Tipo_Linha]]="Fora do DRE","Fora do DRE","( "&amp;Base_Periodo1[[#This Row],[Tipo_Linha]]&amp;" ) "&amp;Base_Periodo1[[#This Row],[Filtro]])</f>
        <v>Fora do DRE</v>
      </c>
      <c r="W1371" s="3" t="str">
        <f>LEFT(Base_Periodo1[[#This Row],[CLASS]],3)</f>
        <v>1.1</v>
      </c>
    </row>
    <row r="1372" spans="1:23" hidden="1">
      <c r="A1372" s="3" t="str">
        <f t="shared" si="21"/>
        <v>Período 1</v>
      </c>
      <c r="B1372">
        <v>259</v>
      </c>
      <c r="C1372" t="s">
        <v>1153</v>
      </c>
      <c r="D1372" t="s">
        <v>1154</v>
      </c>
      <c r="E1372" s="3" t="str">
        <f>IF(LEN(Base_Periodo1[[#This Row],[CLASS]])&gt;=7,LEFT(Base_Periodo1[[#This Row],[CLASS]],7),"")</f>
        <v>1.1.3.1</v>
      </c>
      <c r="F1372" s="3" t="str">
        <f>VLOOKUP(Base_Periodo1[[#This Row],[Aux]],Base_Contas_Balanco[#All],2,FALSE)</f>
        <v>Estoques Proprios</v>
      </c>
      <c r="G1372" s="1"/>
      <c r="H1372" s="225">
        <v>30622459.25000051</v>
      </c>
      <c r="I1372" s="225">
        <v>2211181.9699999997</v>
      </c>
      <c r="J1372" s="225">
        <v>3171701.9699999997</v>
      </c>
      <c r="K1372" s="225">
        <v>29661939.25000051</v>
      </c>
      <c r="L13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29661939.25</v>
      </c>
      <c r="M1372" s="225">
        <f>ROUND(IF(AND(Base_Periodo1[[#This Row],[Tipo_Linha]]="-",Base_Periodo1[[#This Row],[TIPOSALDO]]="D"),Base_Periodo1[[#This Row],[SALDO_ATUAL]]*-1,Base_Periodo1[[#This Row],[SALDO_ATUAL]]),4)</f>
        <v>29661939.25</v>
      </c>
      <c r="N1372" t="s">
        <v>396</v>
      </c>
      <c r="O1372" t="s">
        <v>397</v>
      </c>
      <c r="P1372" t="s">
        <v>397</v>
      </c>
      <c r="Q1372">
        <v>6</v>
      </c>
      <c r="R1372" s="225">
        <f>Base_Periodo1[[#This Row],[CREDITOS]]-Base_Periodo1[[#This Row],[DEBITOS]]</f>
        <v>960520</v>
      </c>
      <c r="S1372" s="3" t="str">
        <f>IF(ISERROR(VLOOKUP(Base_Periodo1[[#This Row],[CONTA]],BaseContasDRE[#All],4,FALSE)),"Fora do DRE",VLOOKUP(Base_Periodo1[[#This Row],[CONTA]],BaseContasDRE[#All],4,FALSE))</f>
        <v>Fora do DRE</v>
      </c>
      <c r="T1372" s="3" t="str">
        <f>IF(ISERROR(VLOOKUP(Base_Periodo1[[#This Row],[CONTA]],BaseContasDRE[#All],5,FALSE)),"Fora do DRE",VLOOKUP(Base_Periodo1[[#This Row],[CONTA]],BaseContasDRE[#All],6,FALSE))</f>
        <v>Fora do DRE</v>
      </c>
      <c r="U1372" s="3" t="str">
        <f>IF(ISERROR(VLOOKUP(Base_Periodo1[[#This Row],[CONTA]],BaseContasDRE[#All],7,FALSE)),"Fora do DRE",VLOOKUP(Base_Periodo1[[#This Row],[CONTA]],BaseContasDRE[#All],7,FALSE))</f>
        <v>Fora do DRE</v>
      </c>
      <c r="V1372" s="3" t="str">
        <f>IF(Base_Periodo1[[#This Row],[Tipo_Linha]]="Fora do DRE","Fora do DRE","( "&amp;Base_Periodo1[[#This Row],[Tipo_Linha]]&amp;" ) "&amp;Base_Periodo1[[#This Row],[Filtro]])</f>
        <v>Fora do DRE</v>
      </c>
      <c r="W1372" s="3" t="str">
        <f>LEFT(Base_Periodo1[[#This Row],[CLASS]],3)</f>
        <v>1.1</v>
      </c>
    </row>
    <row r="1373" spans="1:23" hidden="1">
      <c r="A1373" s="3" t="str">
        <f t="shared" si="21"/>
        <v>Período 1</v>
      </c>
      <c r="B1373">
        <v>260</v>
      </c>
      <c r="C1373" t="s">
        <v>1155</v>
      </c>
      <c r="D1373" t="s">
        <v>1156</v>
      </c>
      <c r="E1373" s="3" t="str">
        <f>IF(LEN(Base_Periodo1[[#This Row],[CLASS]])&gt;=7,LEFT(Base_Periodo1[[#This Row],[CLASS]],7),"")</f>
        <v>1.1.3.1</v>
      </c>
      <c r="F1373" s="3" t="str">
        <f>VLOOKUP(Base_Periodo1[[#This Row],[Aux]],Base_Contas_Balanco[#All],2,FALSE)</f>
        <v>Estoques Proprios</v>
      </c>
      <c r="G1373" s="1"/>
      <c r="H1373" s="225">
        <v>7393692.1400001282</v>
      </c>
      <c r="I1373" s="225">
        <v>682236.76</v>
      </c>
      <c r="J1373" s="225">
        <v>1272438.3199999998</v>
      </c>
      <c r="K1373" s="225">
        <v>6803490.5800001286</v>
      </c>
      <c r="L13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6803490.5800000001</v>
      </c>
      <c r="M1373" s="225">
        <f>ROUND(IF(AND(Base_Periodo1[[#This Row],[Tipo_Linha]]="-",Base_Periodo1[[#This Row],[TIPOSALDO]]="D"),Base_Periodo1[[#This Row],[SALDO_ATUAL]]*-1,Base_Periodo1[[#This Row],[SALDO_ATUAL]]),4)</f>
        <v>6803490.5800000001</v>
      </c>
      <c r="N1373" t="s">
        <v>396</v>
      </c>
      <c r="O1373" t="s">
        <v>397</v>
      </c>
      <c r="P1373" t="s">
        <v>397</v>
      </c>
      <c r="Q1373">
        <v>7</v>
      </c>
      <c r="R1373" s="225">
        <f>Base_Periodo1[[#This Row],[CREDITOS]]-Base_Periodo1[[#This Row],[DEBITOS]]</f>
        <v>590201.55999999982</v>
      </c>
      <c r="S1373" s="3" t="str">
        <f>IF(ISERROR(VLOOKUP(Base_Periodo1[[#This Row],[CONTA]],BaseContasDRE[#All],4,FALSE)),"Fora do DRE",VLOOKUP(Base_Periodo1[[#This Row],[CONTA]],BaseContasDRE[#All],4,FALSE))</f>
        <v>Fora do DRE</v>
      </c>
      <c r="T1373" s="3" t="str">
        <f>IF(ISERROR(VLOOKUP(Base_Periodo1[[#This Row],[CONTA]],BaseContasDRE[#All],5,FALSE)),"Fora do DRE",VLOOKUP(Base_Periodo1[[#This Row],[CONTA]],BaseContasDRE[#All],6,FALSE))</f>
        <v>Fora do DRE</v>
      </c>
      <c r="U1373" s="3" t="str">
        <f>IF(ISERROR(VLOOKUP(Base_Periodo1[[#This Row],[CONTA]],BaseContasDRE[#All],7,FALSE)),"Fora do DRE",VLOOKUP(Base_Periodo1[[#This Row],[CONTA]],BaseContasDRE[#All],7,FALSE))</f>
        <v>Fora do DRE</v>
      </c>
      <c r="V1373" s="3" t="str">
        <f>IF(Base_Periodo1[[#This Row],[Tipo_Linha]]="Fora do DRE","Fora do DRE","( "&amp;Base_Periodo1[[#This Row],[Tipo_Linha]]&amp;" ) "&amp;Base_Periodo1[[#This Row],[Filtro]])</f>
        <v>Fora do DRE</v>
      </c>
      <c r="W1373" s="3" t="str">
        <f>LEFT(Base_Periodo1[[#This Row],[CLASS]],3)</f>
        <v>1.1</v>
      </c>
    </row>
    <row r="1374" spans="1:23" hidden="1">
      <c r="A1374" s="3" t="str">
        <f t="shared" si="21"/>
        <v>Período 1</v>
      </c>
      <c r="B1374">
        <v>261</v>
      </c>
      <c r="C1374" t="s">
        <v>1157</v>
      </c>
      <c r="D1374" t="s">
        <v>1054</v>
      </c>
      <c r="E1374" s="3" t="str">
        <f>IF(LEN(Base_Periodo1[[#This Row],[CLASS]])&gt;=7,LEFT(Base_Periodo1[[#This Row],[CLASS]],7),"")</f>
        <v>1.1.3.1</v>
      </c>
      <c r="F1374" s="3" t="str">
        <f>VLOOKUP(Base_Periodo1[[#This Row],[Aux]],Base_Contas_Balanco[#All],2,FALSE)</f>
        <v>Estoques Proprios</v>
      </c>
      <c r="G1374" s="1"/>
      <c r="H1374" s="225">
        <v>4031715.1199999899</v>
      </c>
      <c r="I1374" s="225">
        <v>0</v>
      </c>
      <c r="J1374" s="225">
        <v>0</v>
      </c>
      <c r="K1374" s="225">
        <v>4031715.1199999899</v>
      </c>
      <c r="L13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4031715.12</v>
      </c>
      <c r="M1374" s="225">
        <f>ROUND(IF(AND(Base_Periodo1[[#This Row],[Tipo_Linha]]="-",Base_Periodo1[[#This Row],[TIPOSALDO]]="D"),Base_Periodo1[[#This Row],[SALDO_ATUAL]]*-1,Base_Periodo1[[#This Row],[SALDO_ATUAL]]),4)</f>
        <v>4031715.12</v>
      </c>
      <c r="N1374" t="s">
        <v>396</v>
      </c>
      <c r="O1374" t="s">
        <v>397</v>
      </c>
      <c r="P1374" t="s">
        <v>397</v>
      </c>
      <c r="Q1374">
        <v>8</v>
      </c>
      <c r="R1374" s="225">
        <f>Base_Periodo1[[#This Row],[CREDITOS]]-Base_Periodo1[[#This Row],[DEBITOS]]</f>
        <v>0</v>
      </c>
      <c r="S1374" s="3" t="str">
        <f>IF(ISERROR(VLOOKUP(Base_Periodo1[[#This Row],[CONTA]],BaseContasDRE[#All],4,FALSE)),"Fora do DRE",VLOOKUP(Base_Periodo1[[#This Row],[CONTA]],BaseContasDRE[#All],4,FALSE))</f>
        <v>Fora do DRE</v>
      </c>
      <c r="T1374" s="3" t="str">
        <f>IF(ISERROR(VLOOKUP(Base_Periodo1[[#This Row],[CONTA]],BaseContasDRE[#All],5,FALSE)),"Fora do DRE",VLOOKUP(Base_Periodo1[[#This Row],[CONTA]],BaseContasDRE[#All],6,FALSE))</f>
        <v>Fora do DRE</v>
      </c>
      <c r="U1374" s="3" t="str">
        <f>IF(ISERROR(VLOOKUP(Base_Periodo1[[#This Row],[CONTA]],BaseContasDRE[#All],7,FALSE)),"Fora do DRE",VLOOKUP(Base_Periodo1[[#This Row],[CONTA]],BaseContasDRE[#All],7,FALSE))</f>
        <v>Fora do DRE</v>
      </c>
      <c r="V1374" s="3" t="str">
        <f>IF(Base_Periodo1[[#This Row],[Tipo_Linha]]="Fora do DRE","Fora do DRE","( "&amp;Base_Periodo1[[#This Row],[Tipo_Linha]]&amp;" ) "&amp;Base_Periodo1[[#This Row],[Filtro]])</f>
        <v>Fora do DRE</v>
      </c>
      <c r="W1374" s="3" t="str">
        <f>LEFT(Base_Periodo1[[#This Row],[CLASS]],3)</f>
        <v>1.1</v>
      </c>
    </row>
    <row r="1375" spans="1:23" hidden="1">
      <c r="A1375" s="3" t="str">
        <f t="shared" si="21"/>
        <v>Período 1</v>
      </c>
      <c r="B1375">
        <v>262</v>
      </c>
      <c r="C1375" t="s">
        <v>1158</v>
      </c>
      <c r="D1375" t="s">
        <v>1054</v>
      </c>
      <c r="E1375" s="3" t="str">
        <f>IF(LEN(Base_Periodo1[[#This Row],[CLASS]])&gt;=7,LEFT(Base_Periodo1[[#This Row],[CLASS]],7),"")</f>
        <v>1.1.3.1</v>
      </c>
      <c r="F1375" s="3" t="str">
        <f>VLOOKUP(Base_Periodo1[[#This Row],[Aux]],Base_Contas_Balanco[#All],2,FALSE)</f>
        <v>Estoques Proprios</v>
      </c>
      <c r="G1375" s="1">
        <v>42735</v>
      </c>
      <c r="H1375" s="225">
        <v>4031715.1199999899</v>
      </c>
      <c r="I1375" s="225">
        <v>0</v>
      </c>
      <c r="J1375" s="225">
        <v>0</v>
      </c>
      <c r="K1375" s="225">
        <v>4031715.1199999899</v>
      </c>
      <c r="L13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4031715.12</v>
      </c>
      <c r="M1375" s="225">
        <f>ROUND(IF(AND(Base_Periodo1[[#This Row],[Tipo_Linha]]="-",Base_Periodo1[[#This Row],[TIPOSALDO]]="D"),Base_Periodo1[[#This Row],[SALDO_ATUAL]]*-1,Base_Periodo1[[#This Row],[SALDO_ATUAL]]),4)</f>
        <v>4031715.12</v>
      </c>
      <c r="N1375" t="s">
        <v>116</v>
      </c>
      <c r="O1375" t="s">
        <v>397</v>
      </c>
      <c r="P1375" t="s">
        <v>397</v>
      </c>
      <c r="Q1375">
        <v>9</v>
      </c>
      <c r="R1375" s="225">
        <f>Base_Periodo1[[#This Row],[CREDITOS]]-Base_Periodo1[[#This Row],[DEBITOS]]</f>
        <v>0</v>
      </c>
      <c r="S1375" s="3" t="str">
        <f>IF(ISERROR(VLOOKUP(Base_Periodo1[[#This Row],[CONTA]],BaseContasDRE[#All],4,FALSE)),"Fora do DRE",VLOOKUP(Base_Periodo1[[#This Row],[CONTA]],BaseContasDRE[#All],4,FALSE))</f>
        <v>Fora do DRE</v>
      </c>
      <c r="T1375" s="3" t="str">
        <f>IF(ISERROR(VLOOKUP(Base_Periodo1[[#This Row],[CONTA]],BaseContasDRE[#All],5,FALSE)),"Fora do DRE",VLOOKUP(Base_Periodo1[[#This Row],[CONTA]],BaseContasDRE[#All],6,FALSE))</f>
        <v>Fora do DRE</v>
      </c>
      <c r="U1375" s="3" t="str">
        <f>IF(ISERROR(VLOOKUP(Base_Periodo1[[#This Row],[CONTA]],BaseContasDRE[#All],7,FALSE)),"Fora do DRE",VLOOKUP(Base_Periodo1[[#This Row],[CONTA]],BaseContasDRE[#All],7,FALSE))</f>
        <v>Fora do DRE</v>
      </c>
      <c r="V1375" s="3" t="str">
        <f>IF(Base_Periodo1[[#This Row],[Tipo_Linha]]="Fora do DRE","Fora do DRE","( "&amp;Base_Periodo1[[#This Row],[Tipo_Linha]]&amp;" ) "&amp;Base_Periodo1[[#This Row],[Filtro]])</f>
        <v>Fora do DRE</v>
      </c>
      <c r="W1375" s="3" t="str">
        <f>LEFT(Base_Periodo1[[#This Row],[CLASS]],3)</f>
        <v>1.1</v>
      </c>
    </row>
    <row r="1376" spans="1:23" hidden="1">
      <c r="A1376" s="3" t="str">
        <f t="shared" si="21"/>
        <v>Período 1</v>
      </c>
      <c r="B1376">
        <v>263</v>
      </c>
      <c r="C1376" t="s">
        <v>1159</v>
      </c>
      <c r="D1376" t="s">
        <v>1057</v>
      </c>
      <c r="E1376" s="3" t="str">
        <f>IF(LEN(Base_Periodo1[[#This Row],[CLASS]])&gt;=7,LEFT(Base_Periodo1[[#This Row],[CLASS]],7),"")</f>
        <v>1.1.3.1</v>
      </c>
      <c r="F1376" s="3" t="str">
        <f>VLOOKUP(Base_Periodo1[[#This Row],[Aux]],Base_Contas_Balanco[#All],2,FALSE)</f>
        <v>Estoques Proprios</v>
      </c>
      <c r="G1376" s="1"/>
      <c r="H1376" s="225">
        <v>6131801.9999999925</v>
      </c>
      <c r="I1376" s="225">
        <v>181795</v>
      </c>
      <c r="J1376" s="225">
        <v>0</v>
      </c>
      <c r="K1376" s="225">
        <v>6313596.9999999925</v>
      </c>
      <c r="L13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6313597</v>
      </c>
      <c r="M1376" s="225">
        <f>ROUND(IF(AND(Base_Periodo1[[#This Row],[Tipo_Linha]]="-",Base_Periodo1[[#This Row],[TIPOSALDO]]="D"),Base_Periodo1[[#This Row],[SALDO_ATUAL]]*-1,Base_Periodo1[[#This Row],[SALDO_ATUAL]]),4)</f>
        <v>6313597</v>
      </c>
      <c r="N1376" t="s">
        <v>396</v>
      </c>
      <c r="O1376" t="s">
        <v>397</v>
      </c>
      <c r="P1376" t="s">
        <v>397</v>
      </c>
      <c r="Q1376">
        <v>8</v>
      </c>
      <c r="R1376" s="225">
        <f>Base_Periodo1[[#This Row],[CREDITOS]]-Base_Periodo1[[#This Row],[DEBITOS]]</f>
        <v>-181795</v>
      </c>
      <c r="S1376" s="3" t="str">
        <f>IF(ISERROR(VLOOKUP(Base_Periodo1[[#This Row],[CONTA]],BaseContasDRE[#All],4,FALSE)),"Fora do DRE",VLOOKUP(Base_Periodo1[[#This Row],[CONTA]],BaseContasDRE[#All],4,FALSE))</f>
        <v>Fora do DRE</v>
      </c>
      <c r="T1376" s="3" t="str">
        <f>IF(ISERROR(VLOOKUP(Base_Periodo1[[#This Row],[CONTA]],BaseContasDRE[#All],5,FALSE)),"Fora do DRE",VLOOKUP(Base_Periodo1[[#This Row],[CONTA]],BaseContasDRE[#All],6,FALSE))</f>
        <v>Fora do DRE</v>
      </c>
      <c r="U1376" s="3" t="str">
        <f>IF(ISERROR(VLOOKUP(Base_Periodo1[[#This Row],[CONTA]],BaseContasDRE[#All],7,FALSE)),"Fora do DRE",VLOOKUP(Base_Periodo1[[#This Row],[CONTA]],BaseContasDRE[#All],7,FALSE))</f>
        <v>Fora do DRE</v>
      </c>
      <c r="V1376" s="3" t="str">
        <f>IF(Base_Periodo1[[#This Row],[Tipo_Linha]]="Fora do DRE","Fora do DRE","( "&amp;Base_Periodo1[[#This Row],[Tipo_Linha]]&amp;" ) "&amp;Base_Periodo1[[#This Row],[Filtro]])</f>
        <v>Fora do DRE</v>
      </c>
      <c r="W1376" s="3" t="str">
        <f>LEFT(Base_Periodo1[[#This Row],[CLASS]],3)</f>
        <v>1.1</v>
      </c>
    </row>
    <row r="1377" spans="1:23" hidden="1">
      <c r="A1377" s="3" t="str">
        <f t="shared" si="21"/>
        <v>Período 1</v>
      </c>
      <c r="B1377">
        <v>264</v>
      </c>
      <c r="C1377" t="s">
        <v>6222</v>
      </c>
      <c r="D1377" t="s">
        <v>1059</v>
      </c>
      <c r="E1377" s="3" t="str">
        <f>IF(LEN(Base_Periodo1[[#This Row],[CLASS]])&gt;=7,LEFT(Base_Periodo1[[#This Row],[CLASS]],7),"")</f>
        <v>1.1.3.1</v>
      </c>
      <c r="F1377" s="3" t="str">
        <f>VLOOKUP(Base_Periodo1[[#This Row],[Aux]],Base_Contas_Balanco[#All],2,FALSE)</f>
        <v>Estoques Proprios</v>
      </c>
      <c r="G1377" s="1">
        <v>42857</v>
      </c>
      <c r="H1377" s="225">
        <v>21503.179999999993</v>
      </c>
      <c r="I1377" s="225">
        <v>30000</v>
      </c>
      <c r="J1377" s="225">
        <v>0</v>
      </c>
      <c r="K1377" s="225">
        <v>51503.179999999993</v>
      </c>
      <c r="L13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51503.18</v>
      </c>
      <c r="M1377" s="225">
        <f>ROUND(IF(AND(Base_Periodo1[[#This Row],[Tipo_Linha]]="-",Base_Periodo1[[#This Row],[TIPOSALDO]]="D"),Base_Periodo1[[#This Row],[SALDO_ATUAL]]*-1,Base_Periodo1[[#This Row],[SALDO_ATUAL]]),4)</f>
        <v>51503.18</v>
      </c>
      <c r="N1377" t="s">
        <v>116</v>
      </c>
      <c r="O1377" t="s">
        <v>397</v>
      </c>
      <c r="P1377" t="s">
        <v>397</v>
      </c>
      <c r="Q1377">
        <v>9</v>
      </c>
      <c r="R1377" s="225">
        <f>Base_Periodo1[[#This Row],[CREDITOS]]-Base_Periodo1[[#This Row],[DEBITOS]]</f>
        <v>-30000</v>
      </c>
      <c r="S1377" s="3" t="str">
        <f>IF(ISERROR(VLOOKUP(Base_Periodo1[[#This Row],[CONTA]],BaseContasDRE[#All],4,FALSE)),"Fora do DRE",VLOOKUP(Base_Periodo1[[#This Row],[CONTA]],BaseContasDRE[#All],4,FALSE))</f>
        <v>Fora do DRE</v>
      </c>
      <c r="T1377" s="3" t="str">
        <f>IF(ISERROR(VLOOKUP(Base_Periodo1[[#This Row],[CONTA]],BaseContasDRE[#All],5,FALSE)),"Fora do DRE",VLOOKUP(Base_Periodo1[[#This Row],[CONTA]],BaseContasDRE[#All],6,FALSE))</f>
        <v>Fora do DRE</v>
      </c>
      <c r="U1377" s="3" t="str">
        <f>IF(ISERROR(VLOOKUP(Base_Periodo1[[#This Row],[CONTA]],BaseContasDRE[#All],7,FALSE)),"Fora do DRE",VLOOKUP(Base_Periodo1[[#This Row],[CONTA]],BaseContasDRE[#All],7,FALSE))</f>
        <v>Fora do DRE</v>
      </c>
      <c r="V1377" s="3" t="str">
        <f>IF(Base_Periodo1[[#This Row],[Tipo_Linha]]="Fora do DRE","Fora do DRE","( "&amp;Base_Periodo1[[#This Row],[Tipo_Linha]]&amp;" ) "&amp;Base_Periodo1[[#This Row],[Filtro]])</f>
        <v>Fora do DRE</v>
      </c>
      <c r="W1377" s="3" t="str">
        <f>LEFT(Base_Periodo1[[#This Row],[CLASS]],3)</f>
        <v>1.1</v>
      </c>
    </row>
    <row r="1378" spans="1:23" hidden="1">
      <c r="A1378" s="3" t="str">
        <f t="shared" si="21"/>
        <v>Período 1</v>
      </c>
      <c r="B1378">
        <v>265</v>
      </c>
      <c r="C1378" t="s">
        <v>1160</v>
      </c>
      <c r="D1378" t="s">
        <v>1061</v>
      </c>
      <c r="E1378" s="3" t="str">
        <f>IF(LEN(Base_Periodo1[[#This Row],[CLASS]])&gt;=7,LEFT(Base_Periodo1[[#This Row],[CLASS]],7),"")</f>
        <v>1.1.3.1</v>
      </c>
      <c r="F1378" s="3" t="str">
        <f>VLOOKUP(Base_Periodo1[[#This Row],[Aux]],Base_Contas_Balanco[#All],2,FALSE)</f>
        <v>Estoques Proprios</v>
      </c>
      <c r="G1378" s="1">
        <v>42885</v>
      </c>
      <c r="H1378" s="225">
        <v>6110298.8199999928</v>
      </c>
      <c r="I1378" s="225">
        <v>151795</v>
      </c>
      <c r="J1378" s="225">
        <v>0</v>
      </c>
      <c r="K1378" s="225">
        <v>6262093.8199999928</v>
      </c>
      <c r="L13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6262093.8200000003</v>
      </c>
      <c r="M1378" s="225">
        <f>ROUND(IF(AND(Base_Periodo1[[#This Row],[Tipo_Linha]]="-",Base_Periodo1[[#This Row],[TIPOSALDO]]="D"),Base_Periodo1[[#This Row],[SALDO_ATUAL]]*-1,Base_Periodo1[[#This Row],[SALDO_ATUAL]]),4)</f>
        <v>6262093.8200000003</v>
      </c>
      <c r="N1378" t="s">
        <v>116</v>
      </c>
      <c r="O1378" t="s">
        <v>397</v>
      </c>
      <c r="P1378" t="s">
        <v>397</v>
      </c>
      <c r="Q1378">
        <v>9</v>
      </c>
      <c r="R1378" s="225">
        <f>Base_Periodo1[[#This Row],[CREDITOS]]-Base_Periodo1[[#This Row],[DEBITOS]]</f>
        <v>-151795</v>
      </c>
      <c r="S1378" s="3" t="str">
        <f>IF(ISERROR(VLOOKUP(Base_Periodo1[[#This Row],[CONTA]],BaseContasDRE[#All],4,FALSE)),"Fora do DRE",VLOOKUP(Base_Periodo1[[#This Row],[CONTA]],BaseContasDRE[#All],4,FALSE))</f>
        <v>Fora do DRE</v>
      </c>
      <c r="T1378" s="3" t="str">
        <f>IF(ISERROR(VLOOKUP(Base_Periodo1[[#This Row],[CONTA]],BaseContasDRE[#All],5,FALSE)),"Fora do DRE",VLOOKUP(Base_Periodo1[[#This Row],[CONTA]],BaseContasDRE[#All],6,FALSE))</f>
        <v>Fora do DRE</v>
      </c>
      <c r="U1378" s="3" t="str">
        <f>IF(ISERROR(VLOOKUP(Base_Periodo1[[#This Row],[CONTA]],BaseContasDRE[#All],7,FALSE)),"Fora do DRE",VLOOKUP(Base_Periodo1[[#This Row],[CONTA]],BaseContasDRE[#All],7,FALSE))</f>
        <v>Fora do DRE</v>
      </c>
      <c r="V1378" s="3" t="str">
        <f>IF(Base_Periodo1[[#This Row],[Tipo_Linha]]="Fora do DRE","Fora do DRE","( "&amp;Base_Periodo1[[#This Row],[Tipo_Linha]]&amp;" ) "&amp;Base_Periodo1[[#This Row],[Filtro]])</f>
        <v>Fora do DRE</v>
      </c>
      <c r="W1378" s="3" t="str">
        <f>LEFT(Base_Periodo1[[#This Row],[CLASS]],3)</f>
        <v>1.1</v>
      </c>
    </row>
    <row r="1379" spans="1:23" hidden="1">
      <c r="A1379" s="3" t="str">
        <f t="shared" si="21"/>
        <v>Período 1</v>
      </c>
      <c r="B1379">
        <v>270</v>
      </c>
      <c r="C1379" t="s">
        <v>1161</v>
      </c>
      <c r="D1379" t="s">
        <v>1063</v>
      </c>
      <c r="E1379" s="3" t="str">
        <f>IF(LEN(Base_Periodo1[[#This Row],[CLASS]])&gt;=7,LEFT(Base_Periodo1[[#This Row],[CLASS]],7),"")</f>
        <v>1.1.3.1</v>
      </c>
      <c r="F1379" s="3" t="str">
        <f>VLOOKUP(Base_Periodo1[[#This Row],[Aux]],Base_Contas_Balanco[#All],2,FALSE)</f>
        <v>Estoques Proprios</v>
      </c>
      <c r="G1379" s="1"/>
      <c r="H1379" s="225">
        <v>3836484.4100001305</v>
      </c>
      <c r="I1379" s="225">
        <v>500441.76000000007</v>
      </c>
      <c r="J1379" s="225">
        <v>0</v>
      </c>
      <c r="K1379" s="225">
        <v>4336926.1700001303</v>
      </c>
      <c r="L13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4336926.17</v>
      </c>
      <c r="M1379" s="225">
        <f>ROUND(IF(AND(Base_Periodo1[[#This Row],[Tipo_Linha]]="-",Base_Periodo1[[#This Row],[TIPOSALDO]]="D"),Base_Periodo1[[#This Row],[SALDO_ATUAL]]*-1,Base_Periodo1[[#This Row],[SALDO_ATUAL]]),4)</f>
        <v>4336926.17</v>
      </c>
      <c r="N1379" t="s">
        <v>396</v>
      </c>
      <c r="O1379" t="s">
        <v>397</v>
      </c>
      <c r="P1379" t="s">
        <v>397</v>
      </c>
      <c r="Q1379">
        <v>8</v>
      </c>
      <c r="R1379" s="225">
        <f>Base_Periodo1[[#This Row],[CREDITOS]]-Base_Periodo1[[#This Row],[DEBITOS]]</f>
        <v>-500441.76000000007</v>
      </c>
      <c r="S1379" s="3" t="str">
        <f>IF(ISERROR(VLOOKUP(Base_Periodo1[[#This Row],[CONTA]],BaseContasDRE[#All],4,FALSE)),"Fora do DRE",VLOOKUP(Base_Periodo1[[#This Row],[CONTA]],BaseContasDRE[#All],4,FALSE))</f>
        <v>Fora do DRE</v>
      </c>
      <c r="T1379" s="3" t="str">
        <f>IF(ISERROR(VLOOKUP(Base_Periodo1[[#This Row],[CONTA]],BaseContasDRE[#All],5,FALSE)),"Fora do DRE",VLOOKUP(Base_Periodo1[[#This Row],[CONTA]],BaseContasDRE[#All],6,FALSE))</f>
        <v>Fora do DRE</v>
      </c>
      <c r="U1379" s="3" t="str">
        <f>IF(ISERROR(VLOOKUP(Base_Periodo1[[#This Row],[CONTA]],BaseContasDRE[#All],7,FALSE)),"Fora do DRE",VLOOKUP(Base_Periodo1[[#This Row],[CONTA]],BaseContasDRE[#All],7,FALSE))</f>
        <v>Fora do DRE</v>
      </c>
      <c r="V1379" s="3" t="str">
        <f>IF(Base_Periodo1[[#This Row],[Tipo_Linha]]="Fora do DRE","Fora do DRE","( "&amp;Base_Periodo1[[#This Row],[Tipo_Linha]]&amp;" ) "&amp;Base_Periodo1[[#This Row],[Filtro]])</f>
        <v>Fora do DRE</v>
      </c>
      <c r="W1379" s="3" t="str">
        <f>LEFT(Base_Periodo1[[#This Row],[CLASS]],3)</f>
        <v>1.1</v>
      </c>
    </row>
    <row r="1380" spans="1:23" hidden="1">
      <c r="A1380" s="3" t="str">
        <f t="shared" si="21"/>
        <v>Período 1</v>
      </c>
      <c r="B1380">
        <v>272</v>
      </c>
      <c r="C1380" t="s">
        <v>1162</v>
      </c>
      <c r="D1380" t="s">
        <v>1065</v>
      </c>
      <c r="E1380" s="3" t="str">
        <f>IF(LEN(Base_Periodo1[[#This Row],[CLASS]])&gt;=7,LEFT(Base_Periodo1[[#This Row],[CLASS]],7),"")</f>
        <v>1.1.3.1</v>
      </c>
      <c r="F1380" s="3" t="str">
        <f>VLOOKUP(Base_Periodo1[[#This Row],[Aux]],Base_Contas_Balanco[#All],2,FALSE)</f>
        <v>Estoques Proprios</v>
      </c>
      <c r="G1380" s="1">
        <v>42886</v>
      </c>
      <c r="H1380" s="225">
        <v>3836484.4100001305</v>
      </c>
      <c r="I1380" s="225">
        <v>500441.76000000007</v>
      </c>
      <c r="J1380" s="225">
        <v>0</v>
      </c>
      <c r="K1380" s="225">
        <v>4336926.1700001303</v>
      </c>
      <c r="L13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4336926.17</v>
      </c>
      <c r="M1380" s="225">
        <f>ROUND(IF(AND(Base_Periodo1[[#This Row],[Tipo_Linha]]="-",Base_Periodo1[[#This Row],[TIPOSALDO]]="D"),Base_Periodo1[[#This Row],[SALDO_ATUAL]]*-1,Base_Periodo1[[#This Row],[SALDO_ATUAL]]),4)</f>
        <v>4336926.17</v>
      </c>
      <c r="N1380" t="s">
        <v>116</v>
      </c>
      <c r="O1380" t="s">
        <v>397</v>
      </c>
      <c r="P1380" t="s">
        <v>397</v>
      </c>
      <c r="Q1380">
        <v>9</v>
      </c>
      <c r="R1380" s="225">
        <f>Base_Periodo1[[#This Row],[CREDITOS]]-Base_Periodo1[[#This Row],[DEBITOS]]</f>
        <v>-500441.76000000007</v>
      </c>
      <c r="S1380" s="3" t="str">
        <f>IF(ISERROR(VLOOKUP(Base_Periodo1[[#This Row],[CONTA]],BaseContasDRE[#All],4,FALSE)),"Fora do DRE",VLOOKUP(Base_Periodo1[[#This Row],[CONTA]],BaseContasDRE[#All],4,FALSE))</f>
        <v>Fora do DRE</v>
      </c>
      <c r="T1380" s="3" t="str">
        <f>IF(ISERROR(VLOOKUP(Base_Periodo1[[#This Row],[CONTA]],BaseContasDRE[#All],5,FALSE)),"Fora do DRE",VLOOKUP(Base_Periodo1[[#This Row],[CONTA]],BaseContasDRE[#All],6,FALSE))</f>
        <v>Fora do DRE</v>
      </c>
      <c r="U1380" s="3" t="str">
        <f>IF(ISERROR(VLOOKUP(Base_Periodo1[[#This Row],[CONTA]],BaseContasDRE[#All],7,FALSE)),"Fora do DRE",VLOOKUP(Base_Periodo1[[#This Row],[CONTA]],BaseContasDRE[#All],7,FALSE))</f>
        <v>Fora do DRE</v>
      </c>
      <c r="V1380" s="3" t="str">
        <f>IF(Base_Periodo1[[#This Row],[Tipo_Linha]]="Fora do DRE","Fora do DRE","( "&amp;Base_Periodo1[[#This Row],[Tipo_Linha]]&amp;" ) "&amp;Base_Periodo1[[#This Row],[Filtro]])</f>
        <v>Fora do DRE</v>
      </c>
      <c r="W1380" s="3" t="str">
        <f>LEFT(Base_Periodo1[[#This Row],[CLASS]],3)</f>
        <v>1.1</v>
      </c>
    </row>
    <row r="1381" spans="1:23" hidden="1">
      <c r="A1381" s="3" t="str">
        <f t="shared" si="21"/>
        <v>Período 1</v>
      </c>
      <c r="B1381">
        <v>276</v>
      </c>
      <c r="C1381" t="s">
        <v>6084</v>
      </c>
      <c r="D1381" t="s">
        <v>1096</v>
      </c>
      <c r="E1381" s="3" t="str">
        <f>IF(LEN(Base_Periodo1[[#This Row],[CLASS]])&gt;=7,LEFT(Base_Periodo1[[#This Row],[CLASS]],7),"")</f>
        <v>1.1.3.1</v>
      </c>
      <c r="F1381" s="3" t="str">
        <f>VLOOKUP(Base_Periodo1[[#This Row],[Aux]],Base_Contas_Balanco[#All],2,FALSE)</f>
        <v>Estoques Proprios</v>
      </c>
      <c r="G1381" s="1"/>
      <c r="H1381" s="225">
        <v>39861.599999999991</v>
      </c>
      <c r="I1381" s="225">
        <v>0</v>
      </c>
      <c r="J1381" s="225">
        <v>0</v>
      </c>
      <c r="K1381" s="225">
        <v>39861.599999999991</v>
      </c>
      <c r="L13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39861.599999999999</v>
      </c>
      <c r="M1381" s="225">
        <f>ROUND(IF(AND(Base_Periodo1[[#This Row],[Tipo_Linha]]="-",Base_Periodo1[[#This Row],[TIPOSALDO]]="D"),Base_Periodo1[[#This Row],[SALDO_ATUAL]]*-1,Base_Periodo1[[#This Row],[SALDO_ATUAL]]),4)</f>
        <v>39861.599999999999</v>
      </c>
      <c r="N1381" t="s">
        <v>396</v>
      </c>
      <c r="O1381" t="s">
        <v>397</v>
      </c>
      <c r="P1381" t="s">
        <v>397</v>
      </c>
      <c r="Q1381">
        <v>8</v>
      </c>
      <c r="R1381" s="225">
        <f>Base_Periodo1[[#This Row],[CREDITOS]]-Base_Periodo1[[#This Row],[DEBITOS]]</f>
        <v>0</v>
      </c>
      <c r="S1381" s="3" t="str">
        <f>IF(ISERROR(VLOOKUP(Base_Periodo1[[#This Row],[CONTA]],BaseContasDRE[#All],4,FALSE)),"Fora do DRE",VLOOKUP(Base_Periodo1[[#This Row],[CONTA]],BaseContasDRE[#All],4,FALSE))</f>
        <v>Fora do DRE</v>
      </c>
      <c r="T1381" s="3" t="str">
        <f>IF(ISERROR(VLOOKUP(Base_Periodo1[[#This Row],[CONTA]],BaseContasDRE[#All],5,FALSE)),"Fora do DRE",VLOOKUP(Base_Periodo1[[#This Row],[CONTA]],BaseContasDRE[#All],6,FALSE))</f>
        <v>Fora do DRE</v>
      </c>
      <c r="U1381" s="3" t="str">
        <f>IF(ISERROR(VLOOKUP(Base_Periodo1[[#This Row],[CONTA]],BaseContasDRE[#All],7,FALSE)),"Fora do DRE",VLOOKUP(Base_Periodo1[[#This Row],[CONTA]],BaseContasDRE[#All],7,FALSE))</f>
        <v>Fora do DRE</v>
      </c>
      <c r="V1381" s="3" t="str">
        <f>IF(Base_Periodo1[[#This Row],[Tipo_Linha]]="Fora do DRE","Fora do DRE","( "&amp;Base_Periodo1[[#This Row],[Tipo_Linha]]&amp;" ) "&amp;Base_Periodo1[[#This Row],[Filtro]])</f>
        <v>Fora do DRE</v>
      </c>
      <c r="W1381" s="3" t="str">
        <f>LEFT(Base_Periodo1[[#This Row],[CLASS]],3)</f>
        <v>1.1</v>
      </c>
    </row>
    <row r="1382" spans="1:23" hidden="1">
      <c r="A1382" s="3" t="str">
        <f t="shared" si="21"/>
        <v>Período 1</v>
      </c>
      <c r="B1382">
        <v>277</v>
      </c>
      <c r="C1382" t="s">
        <v>6085</v>
      </c>
      <c r="D1382" t="s">
        <v>1185</v>
      </c>
      <c r="E1382" s="3" t="str">
        <f>IF(LEN(Base_Periodo1[[#This Row],[CLASS]])&gt;=7,LEFT(Base_Periodo1[[#This Row],[CLASS]],7),"")</f>
        <v>1.1.3.1</v>
      </c>
      <c r="F1382" s="3" t="str">
        <f>VLOOKUP(Base_Periodo1[[#This Row],[Aux]],Base_Contas_Balanco[#All],2,FALSE)</f>
        <v>Estoques Proprios</v>
      </c>
      <c r="G1382" s="1">
        <v>42779</v>
      </c>
      <c r="H1382" s="225">
        <v>39861.599999999991</v>
      </c>
      <c r="I1382" s="225">
        <v>0</v>
      </c>
      <c r="J1382" s="225">
        <v>0</v>
      </c>
      <c r="K1382" s="225">
        <v>39861.599999999991</v>
      </c>
      <c r="L13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39861.599999999999</v>
      </c>
      <c r="M1382" s="225">
        <f>ROUND(IF(AND(Base_Periodo1[[#This Row],[Tipo_Linha]]="-",Base_Periodo1[[#This Row],[TIPOSALDO]]="D"),Base_Periodo1[[#This Row],[SALDO_ATUAL]]*-1,Base_Periodo1[[#This Row],[SALDO_ATUAL]]),4)</f>
        <v>39861.599999999999</v>
      </c>
      <c r="N1382" t="s">
        <v>116</v>
      </c>
      <c r="O1382" t="s">
        <v>397</v>
      </c>
      <c r="P1382" t="s">
        <v>397</v>
      </c>
      <c r="Q1382">
        <v>9</v>
      </c>
      <c r="R1382" s="225">
        <f>Base_Periodo1[[#This Row],[CREDITOS]]-Base_Periodo1[[#This Row],[DEBITOS]]</f>
        <v>0</v>
      </c>
      <c r="S1382" s="3" t="str">
        <f>IF(ISERROR(VLOOKUP(Base_Periodo1[[#This Row],[CONTA]],BaseContasDRE[#All],4,FALSE)),"Fora do DRE",VLOOKUP(Base_Periodo1[[#This Row],[CONTA]],BaseContasDRE[#All],4,FALSE))</f>
        <v>Fora do DRE</v>
      </c>
      <c r="T1382" s="3" t="str">
        <f>IF(ISERROR(VLOOKUP(Base_Periodo1[[#This Row],[CONTA]],BaseContasDRE[#All],5,FALSE)),"Fora do DRE",VLOOKUP(Base_Periodo1[[#This Row],[CONTA]],BaseContasDRE[#All],6,FALSE))</f>
        <v>Fora do DRE</v>
      </c>
      <c r="U1382" s="3" t="str">
        <f>IF(ISERROR(VLOOKUP(Base_Periodo1[[#This Row],[CONTA]],BaseContasDRE[#All],7,FALSE)),"Fora do DRE",VLOOKUP(Base_Periodo1[[#This Row],[CONTA]],BaseContasDRE[#All],7,FALSE))</f>
        <v>Fora do DRE</v>
      </c>
      <c r="V1382" s="3" t="str">
        <f>IF(Base_Periodo1[[#This Row],[Tipo_Linha]]="Fora do DRE","Fora do DRE","( "&amp;Base_Periodo1[[#This Row],[Tipo_Linha]]&amp;" ) "&amp;Base_Periodo1[[#This Row],[Filtro]])</f>
        <v>Fora do DRE</v>
      </c>
      <c r="W1382" s="3" t="str">
        <f>LEFT(Base_Periodo1[[#This Row],[CLASS]],3)</f>
        <v>1.1</v>
      </c>
    </row>
    <row r="1383" spans="1:23" hidden="1">
      <c r="A1383" s="3" t="str">
        <f t="shared" si="21"/>
        <v>Período 1</v>
      </c>
      <c r="B1383">
        <v>279</v>
      </c>
      <c r="C1383" t="s">
        <v>1163</v>
      </c>
      <c r="D1383" t="s">
        <v>1067</v>
      </c>
      <c r="E1383" s="3" t="str">
        <f>IF(LEN(Base_Periodo1[[#This Row],[CLASS]])&gt;=7,LEFT(Base_Periodo1[[#This Row],[CLASS]],7),"")</f>
        <v>1.1.3.1</v>
      </c>
      <c r="F1383" s="3" t="str">
        <f>VLOOKUP(Base_Periodo1[[#This Row],[Aux]],Base_Contas_Balanco[#All],2,FALSE)</f>
        <v>Estoques Proprios</v>
      </c>
      <c r="G1383" s="1"/>
      <c r="H1383" s="225">
        <v>2690042.0799999945</v>
      </c>
      <c r="I1383" s="225">
        <v>0</v>
      </c>
      <c r="J1383" s="225">
        <v>759580.61</v>
      </c>
      <c r="K1383" s="225">
        <v>3449622.6899999944</v>
      </c>
      <c r="L13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-3449622.69</v>
      </c>
      <c r="M1383" s="225">
        <f>ROUND(IF(AND(Base_Periodo1[[#This Row],[Tipo_Linha]]="-",Base_Periodo1[[#This Row],[TIPOSALDO]]="D"),Base_Periodo1[[#This Row],[SALDO_ATUAL]]*-1,Base_Periodo1[[#This Row],[SALDO_ATUAL]]),4)</f>
        <v>3449622.69</v>
      </c>
      <c r="N1383" t="s">
        <v>396</v>
      </c>
      <c r="O1383" t="s">
        <v>459</v>
      </c>
      <c r="P1383" t="s">
        <v>459</v>
      </c>
      <c r="Q1383">
        <v>8</v>
      </c>
      <c r="R1383" s="225">
        <f>Base_Periodo1[[#This Row],[CREDITOS]]-Base_Periodo1[[#This Row],[DEBITOS]]</f>
        <v>759580.61</v>
      </c>
      <c r="S1383" s="3" t="str">
        <f>IF(ISERROR(VLOOKUP(Base_Periodo1[[#This Row],[CONTA]],BaseContasDRE[#All],4,FALSE)),"Fora do DRE",VLOOKUP(Base_Periodo1[[#This Row],[CONTA]],BaseContasDRE[#All],4,FALSE))</f>
        <v>Fora do DRE</v>
      </c>
      <c r="T1383" s="3" t="str">
        <f>IF(ISERROR(VLOOKUP(Base_Periodo1[[#This Row],[CONTA]],BaseContasDRE[#All],5,FALSE)),"Fora do DRE",VLOOKUP(Base_Periodo1[[#This Row],[CONTA]],BaseContasDRE[#All],6,FALSE))</f>
        <v>Fora do DRE</v>
      </c>
      <c r="U1383" s="3" t="str">
        <f>IF(ISERROR(VLOOKUP(Base_Periodo1[[#This Row],[CONTA]],BaseContasDRE[#All],7,FALSE)),"Fora do DRE",VLOOKUP(Base_Periodo1[[#This Row],[CONTA]],BaseContasDRE[#All],7,FALSE))</f>
        <v>Fora do DRE</v>
      </c>
      <c r="V1383" s="3" t="str">
        <f>IF(Base_Periodo1[[#This Row],[Tipo_Linha]]="Fora do DRE","Fora do DRE","( "&amp;Base_Periodo1[[#This Row],[Tipo_Linha]]&amp;" ) "&amp;Base_Periodo1[[#This Row],[Filtro]])</f>
        <v>Fora do DRE</v>
      </c>
      <c r="W1383" s="3" t="str">
        <f>LEFT(Base_Periodo1[[#This Row],[CLASS]],3)</f>
        <v>1.1</v>
      </c>
    </row>
    <row r="1384" spans="1:23" hidden="1">
      <c r="A1384" s="3" t="str">
        <f t="shared" si="21"/>
        <v>Período 1</v>
      </c>
      <c r="B1384">
        <v>280</v>
      </c>
      <c r="C1384" t="s">
        <v>1164</v>
      </c>
      <c r="D1384" t="s">
        <v>1068</v>
      </c>
      <c r="E1384" s="3" t="str">
        <f>IF(LEN(Base_Periodo1[[#This Row],[CLASS]])&gt;=7,LEFT(Base_Periodo1[[#This Row],[CLASS]],7),"")</f>
        <v>1.1.3.1</v>
      </c>
      <c r="F1384" s="3" t="str">
        <f>VLOOKUP(Base_Periodo1[[#This Row],[Aux]],Base_Contas_Balanco[#All],2,FALSE)</f>
        <v>Estoques Proprios</v>
      </c>
      <c r="G1384" s="1">
        <v>42886</v>
      </c>
      <c r="H1384" s="225">
        <v>2394110.4899999946</v>
      </c>
      <c r="I1384" s="225">
        <v>0</v>
      </c>
      <c r="J1384" s="225">
        <v>675939.23</v>
      </c>
      <c r="K1384" s="225">
        <v>3070049.7199999946</v>
      </c>
      <c r="L13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-3070049.72</v>
      </c>
      <c r="M1384" s="225">
        <f>ROUND(IF(AND(Base_Periodo1[[#This Row],[Tipo_Linha]]="-",Base_Periodo1[[#This Row],[TIPOSALDO]]="D"),Base_Periodo1[[#This Row],[SALDO_ATUAL]]*-1,Base_Periodo1[[#This Row],[SALDO_ATUAL]]),4)</f>
        <v>3070049.72</v>
      </c>
      <c r="N1384" t="s">
        <v>116</v>
      </c>
      <c r="O1384" t="s">
        <v>459</v>
      </c>
      <c r="P1384" t="s">
        <v>459</v>
      </c>
      <c r="Q1384">
        <v>9</v>
      </c>
      <c r="R1384" s="225">
        <f>Base_Periodo1[[#This Row],[CREDITOS]]-Base_Periodo1[[#This Row],[DEBITOS]]</f>
        <v>675939.23</v>
      </c>
      <c r="S1384" s="3" t="str">
        <f>IF(ISERROR(VLOOKUP(Base_Periodo1[[#This Row],[CONTA]],BaseContasDRE[#All],4,FALSE)),"Fora do DRE",VLOOKUP(Base_Periodo1[[#This Row],[CONTA]],BaseContasDRE[#All],4,FALSE))</f>
        <v>Fora do DRE</v>
      </c>
      <c r="T1384" s="3" t="str">
        <f>IF(ISERROR(VLOOKUP(Base_Periodo1[[#This Row],[CONTA]],BaseContasDRE[#All],5,FALSE)),"Fora do DRE",VLOOKUP(Base_Periodo1[[#This Row],[CONTA]],BaseContasDRE[#All],6,FALSE))</f>
        <v>Fora do DRE</v>
      </c>
      <c r="U1384" s="3" t="str">
        <f>IF(ISERROR(VLOOKUP(Base_Periodo1[[#This Row],[CONTA]],BaseContasDRE[#All],7,FALSE)),"Fora do DRE",VLOOKUP(Base_Periodo1[[#This Row],[CONTA]],BaseContasDRE[#All],7,FALSE))</f>
        <v>Fora do DRE</v>
      </c>
      <c r="V1384" s="3" t="str">
        <f>IF(Base_Periodo1[[#This Row],[Tipo_Linha]]="Fora do DRE","Fora do DRE","( "&amp;Base_Periodo1[[#This Row],[Tipo_Linha]]&amp;" ) "&amp;Base_Periodo1[[#This Row],[Filtro]])</f>
        <v>Fora do DRE</v>
      </c>
      <c r="W1384" s="3" t="str">
        <f>LEFT(Base_Periodo1[[#This Row],[CLASS]],3)</f>
        <v>1.1</v>
      </c>
    </row>
    <row r="1385" spans="1:23" hidden="1">
      <c r="A1385" s="3" t="str">
        <f t="shared" si="21"/>
        <v>Período 1</v>
      </c>
      <c r="B1385">
        <v>281</v>
      </c>
      <c r="C1385" t="s">
        <v>1165</v>
      </c>
      <c r="D1385" t="s">
        <v>1070</v>
      </c>
      <c r="E1385" s="3" t="str">
        <f>IF(LEN(Base_Periodo1[[#This Row],[CLASS]])&gt;=7,LEFT(Base_Periodo1[[#This Row],[CLASS]],7),"")</f>
        <v>1.1.3.1</v>
      </c>
      <c r="F1385" s="3" t="str">
        <f>VLOOKUP(Base_Periodo1[[#This Row],[Aux]],Base_Contas_Balanco[#All],2,FALSE)</f>
        <v>Estoques Proprios</v>
      </c>
      <c r="G1385" s="1">
        <v>42886</v>
      </c>
      <c r="H1385" s="225">
        <v>295931.58999999985</v>
      </c>
      <c r="I1385" s="225">
        <v>0</v>
      </c>
      <c r="J1385" s="225">
        <v>83641.38</v>
      </c>
      <c r="K1385" s="225">
        <v>379572.96999999986</v>
      </c>
      <c r="L13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-379572.97</v>
      </c>
      <c r="M1385" s="225">
        <f>ROUND(IF(AND(Base_Periodo1[[#This Row],[Tipo_Linha]]="-",Base_Periodo1[[#This Row],[TIPOSALDO]]="D"),Base_Periodo1[[#This Row],[SALDO_ATUAL]]*-1,Base_Periodo1[[#This Row],[SALDO_ATUAL]]),4)</f>
        <v>379572.97</v>
      </c>
      <c r="N1385" t="s">
        <v>116</v>
      </c>
      <c r="O1385" t="s">
        <v>459</v>
      </c>
      <c r="P1385" t="s">
        <v>459</v>
      </c>
      <c r="Q1385">
        <v>9</v>
      </c>
      <c r="R1385" s="225">
        <f>Base_Periodo1[[#This Row],[CREDITOS]]-Base_Periodo1[[#This Row],[DEBITOS]]</f>
        <v>83641.38</v>
      </c>
      <c r="S1385" s="3" t="str">
        <f>IF(ISERROR(VLOOKUP(Base_Periodo1[[#This Row],[CONTA]],BaseContasDRE[#All],4,FALSE)),"Fora do DRE",VLOOKUP(Base_Periodo1[[#This Row],[CONTA]],BaseContasDRE[#All],4,FALSE))</f>
        <v>Fora do DRE</v>
      </c>
      <c r="T1385" s="3" t="str">
        <f>IF(ISERROR(VLOOKUP(Base_Periodo1[[#This Row],[CONTA]],BaseContasDRE[#All],5,FALSE)),"Fora do DRE",VLOOKUP(Base_Periodo1[[#This Row],[CONTA]],BaseContasDRE[#All],6,FALSE))</f>
        <v>Fora do DRE</v>
      </c>
      <c r="U1385" s="3" t="str">
        <f>IF(ISERROR(VLOOKUP(Base_Periodo1[[#This Row],[CONTA]],BaseContasDRE[#All],7,FALSE)),"Fora do DRE",VLOOKUP(Base_Periodo1[[#This Row],[CONTA]],BaseContasDRE[#All],7,FALSE))</f>
        <v>Fora do DRE</v>
      </c>
      <c r="V1385" s="3" t="str">
        <f>IF(Base_Periodo1[[#This Row],[Tipo_Linha]]="Fora do DRE","Fora do DRE","( "&amp;Base_Periodo1[[#This Row],[Tipo_Linha]]&amp;" ) "&amp;Base_Periodo1[[#This Row],[Filtro]])</f>
        <v>Fora do DRE</v>
      </c>
      <c r="W1385" s="3" t="str">
        <f>LEFT(Base_Periodo1[[#This Row],[CLASS]],3)</f>
        <v>1.1</v>
      </c>
    </row>
    <row r="1386" spans="1:23" hidden="1">
      <c r="A1386" s="3" t="str">
        <f t="shared" si="21"/>
        <v>Período 1</v>
      </c>
      <c r="B1386">
        <v>282</v>
      </c>
      <c r="C1386" t="s">
        <v>4583</v>
      </c>
      <c r="D1386" t="s">
        <v>1166</v>
      </c>
      <c r="E1386" s="3" t="str">
        <f>IF(LEN(Base_Periodo1[[#This Row],[CLASS]])&gt;=7,LEFT(Base_Periodo1[[#This Row],[CLASS]],7),"")</f>
        <v>1.1.3.1</v>
      </c>
      <c r="F1386" s="3" t="str">
        <f>VLOOKUP(Base_Periodo1[[#This Row],[Aux]],Base_Contas_Balanco[#All],2,FALSE)</f>
        <v>Estoques Proprios</v>
      </c>
      <c r="G1386" s="1"/>
      <c r="H1386" s="225">
        <v>88639.989999999816</v>
      </c>
      <c r="I1386" s="225">
        <v>0</v>
      </c>
      <c r="J1386" s="225">
        <v>0</v>
      </c>
      <c r="K1386" s="225">
        <v>88639.989999999816</v>
      </c>
      <c r="L13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-88639.99</v>
      </c>
      <c r="M1386" s="225">
        <f>ROUND(IF(AND(Base_Periodo1[[#This Row],[Tipo_Linha]]="-",Base_Periodo1[[#This Row],[TIPOSALDO]]="D"),Base_Periodo1[[#This Row],[SALDO_ATUAL]]*-1,Base_Periodo1[[#This Row],[SALDO_ATUAL]]),4)</f>
        <v>88639.99</v>
      </c>
      <c r="N1386" t="s">
        <v>396</v>
      </c>
      <c r="O1386" t="s">
        <v>459</v>
      </c>
      <c r="P1386" t="s">
        <v>459</v>
      </c>
      <c r="Q1386">
        <v>8</v>
      </c>
      <c r="R1386" s="225">
        <f>Base_Periodo1[[#This Row],[CREDITOS]]-Base_Periodo1[[#This Row],[DEBITOS]]</f>
        <v>0</v>
      </c>
      <c r="S1386" s="3" t="str">
        <f>IF(ISERROR(VLOOKUP(Base_Periodo1[[#This Row],[CONTA]],BaseContasDRE[#All],4,FALSE)),"Fora do DRE",VLOOKUP(Base_Periodo1[[#This Row],[CONTA]],BaseContasDRE[#All],4,FALSE))</f>
        <v>Fora do DRE</v>
      </c>
      <c r="T1386" s="3" t="str">
        <f>IF(ISERROR(VLOOKUP(Base_Periodo1[[#This Row],[CONTA]],BaseContasDRE[#All],5,FALSE)),"Fora do DRE",VLOOKUP(Base_Periodo1[[#This Row],[CONTA]],BaseContasDRE[#All],6,FALSE))</f>
        <v>Fora do DRE</v>
      </c>
      <c r="U1386" s="3" t="str">
        <f>IF(ISERROR(VLOOKUP(Base_Periodo1[[#This Row],[CONTA]],BaseContasDRE[#All],7,FALSE)),"Fora do DRE",VLOOKUP(Base_Periodo1[[#This Row],[CONTA]],BaseContasDRE[#All],7,FALSE))</f>
        <v>Fora do DRE</v>
      </c>
      <c r="V1386" s="3" t="str">
        <f>IF(Base_Periodo1[[#This Row],[Tipo_Linha]]="Fora do DRE","Fora do DRE","( "&amp;Base_Periodo1[[#This Row],[Tipo_Linha]]&amp;" ) "&amp;Base_Periodo1[[#This Row],[Filtro]])</f>
        <v>Fora do DRE</v>
      </c>
      <c r="W1386" s="3" t="str">
        <f>LEFT(Base_Periodo1[[#This Row],[CLASS]],3)</f>
        <v>1.1</v>
      </c>
    </row>
    <row r="1387" spans="1:23" hidden="1">
      <c r="A1387" s="3" t="str">
        <f t="shared" si="21"/>
        <v>Período 1</v>
      </c>
      <c r="B1387">
        <v>284</v>
      </c>
      <c r="C1387" t="s">
        <v>4584</v>
      </c>
      <c r="D1387" t="s">
        <v>1167</v>
      </c>
      <c r="E1387" s="3" t="str">
        <f>IF(LEN(Base_Periodo1[[#This Row],[CLASS]])&gt;=7,LEFT(Base_Periodo1[[#This Row],[CLASS]],7),"")</f>
        <v>1.1.3.1</v>
      </c>
      <c r="F1387" s="3" t="str">
        <f>VLOOKUP(Base_Periodo1[[#This Row],[Aux]],Base_Contas_Balanco[#All],2,FALSE)</f>
        <v>Estoques Proprios</v>
      </c>
      <c r="G1387" s="1">
        <v>42828</v>
      </c>
      <c r="H1387" s="225">
        <v>88639.989999999816</v>
      </c>
      <c r="I1387" s="225">
        <v>0</v>
      </c>
      <c r="J1387" s="225">
        <v>0</v>
      </c>
      <c r="K1387" s="225">
        <v>88639.989999999816</v>
      </c>
      <c r="L13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-88639.99</v>
      </c>
      <c r="M1387" s="225">
        <f>ROUND(IF(AND(Base_Periodo1[[#This Row],[Tipo_Linha]]="-",Base_Periodo1[[#This Row],[TIPOSALDO]]="D"),Base_Periodo1[[#This Row],[SALDO_ATUAL]]*-1,Base_Periodo1[[#This Row],[SALDO_ATUAL]]),4)</f>
        <v>88639.99</v>
      </c>
      <c r="N1387" t="s">
        <v>116</v>
      </c>
      <c r="O1387" t="s">
        <v>459</v>
      </c>
      <c r="P1387" t="s">
        <v>459</v>
      </c>
      <c r="Q1387">
        <v>9</v>
      </c>
      <c r="R1387" s="225">
        <f>Base_Periodo1[[#This Row],[CREDITOS]]-Base_Periodo1[[#This Row],[DEBITOS]]</f>
        <v>0</v>
      </c>
      <c r="S1387" s="3" t="str">
        <f>IF(ISERROR(VLOOKUP(Base_Periodo1[[#This Row],[CONTA]],BaseContasDRE[#All],4,FALSE)),"Fora do DRE",VLOOKUP(Base_Periodo1[[#This Row],[CONTA]],BaseContasDRE[#All],4,FALSE))</f>
        <v>Fora do DRE</v>
      </c>
      <c r="T1387" s="3" t="str">
        <f>IF(ISERROR(VLOOKUP(Base_Periodo1[[#This Row],[CONTA]],BaseContasDRE[#All],5,FALSE)),"Fora do DRE",VLOOKUP(Base_Periodo1[[#This Row],[CONTA]],BaseContasDRE[#All],6,FALSE))</f>
        <v>Fora do DRE</v>
      </c>
      <c r="U1387" s="3" t="str">
        <f>IF(ISERROR(VLOOKUP(Base_Periodo1[[#This Row],[CONTA]],BaseContasDRE[#All],7,FALSE)),"Fora do DRE",VLOOKUP(Base_Periodo1[[#This Row],[CONTA]],BaseContasDRE[#All],7,FALSE))</f>
        <v>Fora do DRE</v>
      </c>
      <c r="V1387" s="3" t="str">
        <f>IF(Base_Periodo1[[#This Row],[Tipo_Linha]]="Fora do DRE","Fora do DRE","( "&amp;Base_Periodo1[[#This Row],[Tipo_Linha]]&amp;" ) "&amp;Base_Periodo1[[#This Row],[Filtro]])</f>
        <v>Fora do DRE</v>
      </c>
      <c r="W1387" s="3" t="str">
        <f>LEFT(Base_Periodo1[[#This Row],[CLASS]],3)</f>
        <v>1.1</v>
      </c>
    </row>
    <row r="1388" spans="1:23" hidden="1">
      <c r="A1388" s="3" t="str">
        <f t="shared" si="21"/>
        <v>Período 1</v>
      </c>
      <c r="B1388">
        <v>285</v>
      </c>
      <c r="C1388" t="s">
        <v>1168</v>
      </c>
      <c r="D1388" t="s">
        <v>1072</v>
      </c>
      <c r="E1388" s="3" t="str">
        <f>IF(LEN(Base_Periodo1[[#This Row],[CLASS]])&gt;=7,LEFT(Base_Periodo1[[#This Row],[CLASS]],7),"")</f>
        <v>1.1.3.1</v>
      </c>
      <c r="F1388" s="3" t="str">
        <f>VLOOKUP(Base_Periodo1[[#This Row],[Aux]],Base_Contas_Balanco[#All],2,FALSE)</f>
        <v>Estoques Proprios</v>
      </c>
      <c r="G1388" s="1"/>
      <c r="H1388" s="225">
        <v>3836484.409999989</v>
      </c>
      <c r="I1388" s="225">
        <v>0</v>
      </c>
      <c r="J1388" s="225">
        <v>512039</v>
      </c>
      <c r="K1388" s="225">
        <v>4348523.409999989</v>
      </c>
      <c r="L13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-4348523.41</v>
      </c>
      <c r="M1388" s="225">
        <f>ROUND(IF(AND(Base_Periodo1[[#This Row],[Tipo_Linha]]="-",Base_Periodo1[[#This Row],[TIPOSALDO]]="D"),Base_Periodo1[[#This Row],[SALDO_ATUAL]]*-1,Base_Periodo1[[#This Row],[SALDO_ATUAL]]),4)</f>
        <v>4348523.41</v>
      </c>
      <c r="N1388" t="s">
        <v>396</v>
      </c>
      <c r="O1388" t="s">
        <v>459</v>
      </c>
      <c r="P1388" t="s">
        <v>459</v>
      </c>
      <c r="Q1388">
        <v>8</v>
      </c>
      <c r="R1388" s="225">
        <f>Base_Periodo1[[#This Row],[CREDITOS]]-Base_Periodo1[[#This Row],[DEBITOS]]</f>
        <v>512039</v>
      </c>
      <c r="S1388" s="3" t="str">
        <f>IF(ISERROR(VLOOKUP(Base_Periodo1[[#This Row],[CONTA]],BaseContasDRE[#All],4,FALSE)),"Fora do DRE",VLOOKUP(Base_Periodo1[[#This Row],[CONTA]],BaseContasDRE[#All],4,FALSE))</f>
        <v>Fora do DRE</v>
      </c>
      <c r="T1388" s="3" t="str">
        <f>IF(ISERROR(VLOOKUP(Base_Periodo1[[#This Row],[CONTA]],BaseContasDRE[#All],5,FALSE)),"Fora do DRE",VLOOKUP(Base_Periodo1[[#This Row],[CONTA]],BaseContasDRE[#All],6,FALSE))</f>
        <v>Fora do DRE</v>
      </c>
      <c r="U1388" s="3" t="str">
        <f>IF(ISERROR(VLOOKUP(Base_Periodo1[[#This Row],[CONTA]],BaseContasDRE[#All],7,FALSE)),"Fora do DRE",VLOOKUP(Base_Periodo1[[#This Row],[CONTA]],BaseContasDRE[#All],7,FALSE))</f>
        <v>Fora do DRE</v>
      </c>
      <c r="V1388" s="3" t="str">
        <f>IF(Base_Periodo1[[#This Row],[Tipo_Linha]]="Fora do DRE","Fora do DRE","( "&amp;Base_Periodo1[[#This Row],[Tipo_Linha]]&amp;" ) "&amp;Base_Periodo1[[#This Row],[Filtro]])</f>
        <v>Fora do DRE</v>
      </c>
      <c r="W1388" s="3" t="str">
        <f>LEFT(Base_Periodo1[[#This Row],[CLASS]],3)</f>
        <v>1.1</v>
      </c>
    </row>
    <row r="1389" spans="1:23" hidden="1">
      <c r="A1389" s="3" t="str">
        <f t="shared" si="21"/>
        <v>Período 1</v>
      </c>
      <c r="B1389">
        <v>286</v>
      </c>
      <c r="C1389" t="s">
        <v>1169</v>
      </c>
      <c r="D1389" t="s">
        <v>1074</v>
      </c>
      <c r="E1389" s="3" t="str">
        <f>IF(LEN(Base_Periodo1[[#This Row],[CLASS]])&gt;=7,LEFT(Base_Periodo1[[#This Row],[CLASS]],7),"")</f>
        <v>1.1.3.1</v>
      </c>
      <c r="F1389" s="3" t="str">
        <f>VLOOKUP(Base_Periodo1[[#This Row],[Aux]],Base_Contas_Balanco[#All],2,FALSE)</f>
        <v>Estoques Proprios</v>
      </c>
      <c r="G1389" s="1">
        <v>42886</v>
      </c>
      <c r="H1389" s="225">
        <v>3836484.409999989</v>
      </c>
      <c r="I1389" s="225">
        <v>0</v>
      </c>
      <c r="J1389" s="225">
        <v>512039</v>
      </c>
      <c r="K1389" s="225">
        <v>4348523.409999989</v>
      </c>
      <c r="L13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-4348523.41</v>
      </c>
      <c r="M1389" s="225">
        <f>ROUND(IF(AND(Base_Periodo1[[#This Row],[Tipo_Linha]]="-",Base_Periodo1[[#This Row],[TIPOSALDO]]="D"),Base_Periodo1[[#This Row],[SALDO_ATUAL]]*-1,Base_Periodo1[[#This Row],[SALDO_ATUAL]]),4)</f>
        <v>4348523.41</v>
      </c>
      <c r="N1389" t="s">
        <v>116</v>
      </c>
      <c r="O1389" t="s">
        <v>459</v>
      </c>
      <c r="P1389" t="s">
        <v>459</v>
      </c>
      <c r="Q1389">
        <v>9</v>
      </c>
      <c r="R1389" s="225">
        <f>Base_Periodo1[[#This Row],[CREDITOS]]-Base_Periodo1[[#This Row],[DEBITOS]]</f>
        <v>512039</v>
      </c>
      <c r="S1389" s="3" t="str">
        <f>IF(ISERROR(VLOOKUP(Base_Periodo1[[#This Row],[CONTA]],BaseContasDRE[#All],4,FALSE)),"Fora do DRE",VLOOKUP(Base_Periodo1[[#This Row],[CONTA]],BaseContasDRE[#All],4,FALSE))</f>
        <v>Fora do DRE</v>
      </c>
      <c r="T1389" s="3" t="str">
        <f>IF(ISERROR(VLOOKUP(Base_Periodo1[[#This Row],[CONTA]],BaseContasDRE[#All],5,FALSE)),"Fora do DRE",VLOOKUP(Base_Periodo1[[#This Row],[CONTA]],BaseContasDRE[#All],6,FALSE))</f>
        <v>Fora do DRE</v>
      </c>
      <c r="U1389" s="3" t="str">
        <f>IF(ISERROR(VLOOKUP(Base_Periodo1[[#This Row],[CONTA]],BaseContasDRE[#All],7,FALSE)),"Fora do DRE",VLOOKUP(Base_Periodo1[[#This Row],[CONTA]],BaseContasDRE[#All],7,FALSE))</f>
        <v>Fora do DRE</v>
      </c>
      <c r="V1389" s="3" t="str">
        <f>IF(Base_Periodo1[[#This Row],[Tipo_Linha]]="Fora do DRE","Fora do DRE","( "&amp;Base_Periodo1[[#This Row],[Tipo_Linha]]&amp;" ) "&amp;Base_Periodo1[[#This Row],[Filtro]])</f>
        <v>Fora do DRE</v>
      </c>
      <c r="W1389" s="3" t="str">
        <f>LEFT(Base_Periodo1[[#This Row],[CLASS]],3)</f>
        <v>1.1</v>
      </c>
    </row>
    <row r="1390" spans="1:23" hidden="1">
      <c r="A1390" s="3" t="str">
        <f t="shared" si="21"/>
        <v>Período 1</v>
      </c>
      <c r="B1390">
        <v>287</v>
      </c>
      <c r="C1390" t="s">
        <v>1170</v>
      </c>
      <c r="D1390" t="s">
        <v>1171</v>
      </c>
      <c r="E1390" s="3" t="str">
        <f>IF(LEN(Base_Periodo1[[#This Row],[CLASS]])&gt;=7,LEFT(Base_Periodo1[[#This Row],[CLASS]],7),"")</f>
        <v>1.1.3.1</v>
      </c>
      <c r="F1390" s="3" t="str">
        <f>VLOOKUP(Base_Periodo1[[#This Row],[Aux]],Base_Contas_Balanco[#All],2,FALSE)</f>
        <v>Estoques Proprios</v>
      </c>
      <c r="G1390" s="1"/>
      <c r="H1390" s="225">
        <v>12814.999999999993</v>
      </c>
      <c r="I1390" s="225">
        <v>0</v>
      </c>
      <c r="J1390" s="225">
        <v>132</v>
      </c>
      <c r="K1390" s="225">
        <v>12946.999999999993</v>
      </c>
      <c r="L13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-12947</v>
      </c>
      <c r="M1390" s="225">
        <f>ROUND(IF(AND(Base_Periodo1[[#This Row],[Tipo_Linha]]="-",Base_Periodo1[[#This Row],[TIPOSALDO]]="D"),Base_Periodo1[[#This Row],[SALDO_ATUAL]]*-1,Base_Periodo1[[#This Row],[SALDO_ATUAL]]),4)</f>
        <v>12947</v>
      </c>
      <c r="N1390" t="s">
        <v>396</v>
      </c>
      <c r="O1390" t="s">
        <v>459</v>
      </c>
      <c r="P1390" t="s">
        <v>459</v>
      </c>
      <c r="Q1390">
        <v>8</v>
      </c>
      <c r="R1390" s="225">
        <f>Base_Periodo1[[#This Row],[CREDITOS]]-Base_Periodo1[[#This Row],[DEBITOS]]</f>
        <v>132</v>
      </c>
      <c r="S1390" s="3" t="str">
        <f>IF(ISERROR(VLOOKUP(Base_Periodo1[[#This Row],[CONTA]],BaseContasDRE[#All],4,FALSE)),"Fora do DRE",VLOOKUP(Base_Periodo1[[#This Row],[CONTA]],BaseContasDRE[#All],4,FALSE))</f>
        <v>Fora do DRE</v>
      </c>
      <c r="T1390" s="3" t="str">
        <f>IF(ISERROR(VLOOKUP(Base_Periodo1[[#This Row],[CONTA]],BaseContasDRE[#All],5,FALSE)),"Fora do DRE",VLOOKUP(Base_Periodo1[[#This Row],[CONTA]],BaseContasDRE[#All],6,FALSE))</f>
        <v>Fora do DRE</v>
      </c>
      <c r="U1390" s="3" t="str">
        <f>IF(ISERROR(VLOOKUP(Base_Periodo1[[#This Row],[CONTA]],BaseContasDRE[#All],7,FALSE)),"Fora do DRE",VLOOKUP(Base_Periodo1[[#This Row],[CONTA]],BaseContasDRE[#All],7,FALSE))</f>
        <v>Fora do DRE</v>
      </c>
      <c r="V1390" s="3" t="str">
        <f>IF(Base_Periodo1[[#This Row],[Tipo_Linha]]="Fora do DRE","Fora do DRE","( "&amp;Base_Periodo1[[#This Row],[Tipo_Linha]]&amp;" ) "&amp;Base_Periodo1[[#This Row],[Filtro]])</f>
        <v>Fora do DRE</v>
      </c>
      <c r="W1390" s="3" t="str">
        <f>LEFT(Base_Periodo1[[#This Row],[CLASS]],3)</f>
        <v>1.1</v>
      </c>
    </row>
    <row r="1391" spans="1:23" hidden="1">
      <c r="A1391" s="3" t="str">
        <f t="shared" si="21"/>
        <v>Período 1</v>
      </c>
      <c r="B1391">
        <v>288</v>
      </c>
      <c r="C1391" t="s">
        <v>1172</v>
      </c>
      <c r="D1391" t="s">
        <v>1173</v>
      </c>
      <c r="E1391" s="3" t="str">
        <f>IF(LEN(Base_Periodo1[[#This Row],[CLASS]])&gt;=7,LEFT(Base_Periodo1[[#This Row],[CLASS]],7),"")</f>
        <v>1.1.3.1</v>
      </c>
      <c r="F1391" s="3" t="str">
        <f>VLOOKUP(Base_Periodo1[[#This Row],[Aux]],Base_Contas_Balanco[#All],2,FALSE)</f>
        <v>Estoques Proprios</v>
      </c>
      <c r="G1391" s="1">
        <v>42872</v>
      </c>
      <c r="H1391" s="225">
        <v>12735</v>
      </c>
      <c r="I1391" s="225">
        <v>0</v>
      </c>
      <c r="J1391" s="225">
        <v>132</v>
      </c>
      <c r="K1391" s="225">
        <v>12867</v>
      </c>
      <c r="L13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-12867</v>
      </c>
      <c r="M1391" s="225">
        <f>ROUND(IF(AND(Base_Periodo1[[#This Row],[Tipo_Linha]]="-",Base_Periodo1[[#This Row],[TIPOSALDO]]="D"),Base_Periodo1[[#This Row],[SALDO_ATUAL]]*-1,Base_Periodo1[[#This Row],[SALDO_ATUAL]]),4)</f>
        <v>12867</v>
      </c>
      <c r="N1391" t="s">
        <v>116</v>
      </c>
      <c r="O1391" t="s">
        <v>459</v>
      </c>
      <c r="P1391" t="s">
        <v>459</v>
      </c>
      <c r="Q1391">
        <v>9</v>
      </c>
      <c r="R1391" s="225">
        <f>Base_Periodo1[[#This Row],[CREDITOS]]-Base_Periodo1[[#This Row],[DEBITOS]]</f>
        <v>132</v>
      </c>
      <c r="S1391" s="3" t="str">
        <f>IF(ISERROR(VLOOKUP(Base_Periodo1[[#This Row],[CONTA]],BaseContasDRE[#All],4,FALSE)),"Fora do DRE",VLOOKUP(Base_Periodo1[[#This Row],[CONTA]],BaseContasDRE[#All],4,FALSE))</f>
        <v>Fora do DRE</v>
      </c>
      <c r="T1391" s="3" t="str">
        <f>IF(ISERROR(VLOOKUP(Base_Periodo1[[#This Row],[CONTA]],BaseContasDRE[#All],5,FALSE)),"Fora do DRE",VLOOKUP(Base_Periodo1[[#This Row],[CONTA]],BaseContasDRE[#All],6,FALSE))</f>
        <v>Fora do DRE</v>
      </c>
      <c r="U1391" s="3" t="str">
        <f>IF(ISERROR(VLOOKUP(Base_Periodo1[[#This Row],[CONTA]],BaseContasDRE[#All],7,FALSE)),"Fora do DRE",VLOOKUP(Base_Periodo1[[#This Row],[CONTA]],BaseContasDRE[#All],7,FALSE))</f>
        <v>Fora do DRE</v>
      </c>
      <c r="V1391" s="3" t="str">
        <f>IF(Base_Periodo1[[#This Row],[Tipo_Linha]]="Fora do DRE","Fora do DRE","( "&amp;Base_Periodo1[[#This Row],[Tipo_Linha]]&amp;" ) "&amp;Base_Periodo1[[#This Row],[Filtro]])</f>
        <v>Fora do DRE</v>
      </c>
      <c r="W1391" s="3" t="str">
        <f>LEFT(Base_Periodo1[[#This Row],[CLASS]],3)</f>
        <v>1.1</v>
      </c>
    </row>
    <row r="1392" spans="1:23" hidden="1">
      <c r="A1392" s="3" t="str">
        <f t="shared" si="21"/>
        <v>Período 1</v>
      </c>
      <c r="B1392">
        <v>289</v>
      </c>
      <c r="C1392" t="s">
        <v>5885</v>
      </c>
      <c r="D1392" t="s">
        <v>1174</v>
      </c>
      <c r="E1392" s="3" t="str">
        <f>IF(LEN(Base_Periodo1[[#This Row],[CLASS]])&gt;=7,LEFT(Base_Periodo1[[#This Row],[CLASS]],7),"")</f>
        <v>1.1.3.1</v>
      </c>
      <c r="F1392" s="3" t="str">
        <f>VLOOKUP(Base_Periodo1[[#This Row],[Aux]],Base_Contas_Balanco[#All],2,FALSE)</f>
        <v>Estoques Proprios</v>
      </c>
      <c r="G1392" s="1">
        <v>42775</v>
      </c>
      <c r="H1392" s="225">
        <v>79.999999999992724</v>
      </c>
      <c r="I1392" s="225">
        <v>0</v>
      </c>
      <c r="J1392" s="225">
        <v>0</v>
      </c>
      <c r="K1392" s="225">
        <v>79.999999999992724</v>
      </c>
      <c r="L13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</v>
      </c>
      <c r="M1392" s="225">
        <f>ROUND(IF(AND(Base_Periodo1[[#This Row],[Tipo_Linha]]="-",Base_Periodo1[[#This Row],[TIPOSALDO]]="D"),Base_Periodo1[[#This Row],[SALDO_ATUAL]]*-1,Base_Periodo1[[#This Row],[SALDO_ATUAL]]),4)</f>
        <v>80</v>
      </c>
      <c r="N1392" t="s">
        <v>116</v>
      </c>
      <c r="O1392" t="s">
        <v>459</v>
      </c>
      <c r="P1392" t="s">
        <v>459</v>
      </c>
      <c r="Q1392">
        <v>9</v>
      </c>
      <c r="R1392" s="225">
        <f>Base_Periodo1[[#This Row],[CREDITOS]]-Base_Periodo1[[#This Row],[DEBITOS]]</f>
        <v>0</v>
      </c>
      <c r="S1392" s="3" t="str">
        <f>IF(ISERROR(VLOOKUP(Base_Periodo1[[#This Row],[CONTA]],BaseContasDRE[#All],4,FALSE)),"Fora do DRE",VLOOKUP(Base_Periodo1[[#This Row],[CONTA]],BaseContasDRE[#All],4,FALSE))</f>
        <v>Fora do DRE</v>
      </c>
      <c r="T1392" s="3" t="str">
        <f>IF(ISERROR(VLOOKUP(Base_Periodo1[[#This Row],[CONTA]],BaseContasDRE[#All],5,FALSE)),"Fora do DRE",VLOOKUP(Base_Periodo1[[#This Row],[CONTA]],BaseContasDRE[#All],6,FALSE))</f>
        <v>Fora do DRE</v>
      </c>
      <c r="U1392" s="3" t="str">
        <f>IF(ISERROR(VLOOKUP(Base_Periodo1[[#This Row],[CONTA]],BaseContasDRE[#All],7,FALSE)),"Fora do DRE",VLOOKUP(Base_Periodo1[[#This Row],[CONTA]],BaseContasDRE[#All],7,FALSE))</f>
        <v>Fora do DRE</v>
      </c>
      <c r="V1392" s="3" t="str">
        <f>IF(Base_Periodo1[[#This Row],[Tipo_Linha]]="Fora do DRE","Fora do DRE","( "&amp;Base_Periodo1[[#This Row],[Tipo_Linha]]&amp;" ) "&amp;Base_Periodo1[[#This Row],[Filtro]])</f>
        <v>Fora do DRE</v>
      </c>
      <c r="W1392" s="3" t="str">
        <f>LEFT(Base_Periodo1[[#This Row],[CLASS]],3)</f>
        <v>1.1</v>
      </c>
    </row>
    <row r="1393" spans="1:23" hidden="1">
      <c r="A1393" s="3" t="str">
        <f t="shared" si="21"/>
        <v>Período 1</v>
      </c>
      <c r="B1393">
        <v>290</v>
      </c>
      <c r="C1393" t="s">
        <v>1175</v>
      </c>
      <c r="D1393" t="s">
        <v>1150</v>
      </c>
      <c r="E1393" s="3" t="str">
        <f>IF(LEN(Base_Periodo1[[#This Row],[CLASS]])&gt;=7,LEFT(Base_Periodo1[[#This Row],[CLASS]],7),"")</f>
        <v>1.1.3.1</v>
      </c>
      <c r="F1393" s="3" t="str">
        <f>VLOOKUP(Base_Periodo1[[#This Row],[Aux]],Base_Contas_Balanco[#All],2,FALSE)</f>
        <v>Estoques Proprios</v>
      </c>
      <c r="G1393" s="1"/>
      <c r="H1393" s="225">
        <v>18189.509999999991</v>
      </c>
      <c r="I1393" s="225">
        <v>0</v>
      </c>
      <c r="J1393" s="225">
        <v>686.71</v>
      </c>
      <c r="K1393" s="225">
        <v>18876.21999999999</v>
      </c>
      <c r="L13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-18876.22</v>
      </c>
      <c r="M1393" s="225">
        <f>ROUND(IF(AND(Base_Periodo1[[#This Row],[Tipo_Linha]]="-",Base_Periodo1[[#This Row],[TIPOSALDO]]="D"),Base_Periodo1[[#This Row],[SALDO_ATUAL]]*-1,Base_Periodo1[[#This Row],[SALDO_ATUAL]]),4)</f>
        <v>18876.22</v>
      </c>
      <c r="N1393" t="s">
        <v>396</v>
      </c>
      <c r="O1393" t="s">
        <v>459</v>
      </c>
      <c r="P1393" t="s">
        <v>459</v>
      </c>
      <c r="Q1393">
        <v>8</v>
      </c>
      <c r="R1393" s="225">
        <f>Base_Periodo1[[#This Row],[CREDITOS]]-Base_Periodo1[[#This Row],[DEBITOS]]</f>
        <v>686.71</v>
      </c>
      <c r="S1393" s="3" t="str">
        <f>IF(ISERROR(VLOOKUP(Base_Periodo1[[#This Row],[CONTA]],BaseContasDRE[#All],4,FALSE)),"Fora do DRE",VLOOKUP(Base_Periodo1[[#This Row],[CONTA]],BaseContasDRE[#All],4,FALSE))</f>
        <v>Fora do DRE</v>
      </c>
      <c r="T1393" s="3" t="str">
        <f>IF(ISERROR(VLOOKUP(Base_Periodo1[[#This Row],[CONTA]],BaseContasDRE[#All],5,FALSE)),"Fora do DRE",VLOOKUP(Base_Periodo1[[#This Row],[CONTA]],BaseContasDRE[#All],6,FALSE))</f>
        <v>Fora do DRE</v>
      </c>
      <c r="U1393" s="3" t="str">
        <f>IF(ISERROR(VLOOKUP(Base_Periodo1[[#This Row],[CONTA]],BaseContasDRE[#All],7,FALSE)),"Fora do DRE",VLOOKUP(Base_Periodo1[[#This Row],[CONTA]],BaseContasDRE[#All],7,FALSE))</f>
        <v>Fora do DRE</v>
      </c>
      <c r="V1393" s="3" t="str">
        <f>IF(Base_Periodo1[[#This Row],[Tipo_Linha]]="Fora do DRE","Fora do DRE","( "&amp;Base_Periodo1[[#This Row],[Tipo_Linha]]&amp;" ) "&amp;Base_Periodo1[[#This Row],[Filtro]])</f>
        <v>Fora do DRE</v>
      </c>
      <c r="W1393" s="3" t="str">
        <f>LEFT(Base_Periodo1[[#This Row],[CLASS]],3)</f>
        <v>1.1</v>
      </c>
    </row>
    <row r="1394" spans="1:23" hidden="1">
      <c r="A1394" s="3" t="str">
        <f t="shared" si="21"/>
        <v>Período 1</v>
      </c>
      <c r="B1394">
        <v>291</v>
      </c>
      <c r="C1394" t="s">
        <v>4655</v>
      </c>
      <c r="D1394" t="s">
        <v>1176</v>
      </c>
      <c r="E1394" s="3" t="str">
        <f>IF(LEN(Base_Periodo1[[#This Row],[CLASS]])&gt;=7,LEFT(Base_Periodo1[[#This Row],[CLASS]],7),"")</f>
        <v>1.1.3.1</v>
      </c>
      <c r="F1394" s="3" t="str">
        <f>VLOOKUP(Base_Periodo1[[#This Row],[Aux]],Base_Contas_Balanco[#All],2,FALSE)</f>
        <v>Estoques Proprios</v>
      </c>
      <c r="G1394" s="1">
        <v>42886</v>
      </c>
      <c r="H1394" s="225">
        <v>1256.8999999999905</v>
      </c>
      <c r="I1394" s="225">
        <v>0</v>
      </c>
      <c r="J1394" s="225">
        <v>686.71</v>
      </c>
      <c r="K1394" s="225">
        <v>1943.6099999999906</v>
      </c>
      <c r="L13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-1943.61</v>
      </c>
      <c r="M1394" s="225">
        <f>ROUND(IF(AND(Base_Periodo1[[#This Row],[Tipo_Linha]]="-",Base_Periodo1[[#This Row],[TIPOSALDO]]="D"),Base_Periodo1[[#This Row],[SALDO_ATUAL]]*-1,Base_Periodo1[[#This Row],[SALDO_ATUAL]]),4)</f>
        <v>1943.61</v>
      </c>
      <c r="N1394" t="s">
        <v>116</v>
      </c>
      <c r="O1394" t="s">
        <v>459</v>
      </c>
      <c r="P1394" t="s">
        <v>459</v>
      </c>
      <c r="Q1394">
        <v>9</v>
      </c>
      <c r="R1394" s="225">
        <f>Base_Periodo1[[#This Row],[CREDITOS]]-Base_Periodo1[[#This Row],[DEBITOS]]</f>
        <v>686.71</v>
      </c>
      <c r="S1394" s="3" t="str">
        <f>IF(ISERROR(VLOOKUP(Base_Periodo1[[#This Row],[CONTA]],BaseContasDRE[#All],4,FALSE)),"Fora do DRE",VLOOKUP(Base_Periodo1[[#This Row],[CONTA]],BaseContasDRE[#All],4,FALSE))</f>
        <v>Fora do DRE</v>
      </c>
      <c r="T1394" s="3" t="str">
        <f>IF(ISERROR(VLOOKUP(Base_Periodo1[[#This Row],[CONTA]],BaseContasDRE[#All],5,FALSE)),"Fora do DRE",VLOOKUP(Base_Periodo1[[#This Row],[CONTA]],BaseContasDRE[#All],6,FALSE))</f>
        <v>Fora do DRE</v>
      </c>
      <c r="U1394" s="3" t="str">
        <f>IF(ISERROR(VLOOKUP(Base_Periodo1[[#This Row],[CONTA]],BaseContasDRE[#All],7,FALSE)),"Fora do DRE",VLOOKUP(Base_Periodo1[[#This Row],[CONTA]],BaseContasDRE[#All],7,FALSE))</f>
        <v>Fora do DRE</v>
      </c>
      <c r="V1394" s="3" t="str">
        <f>IF(Base_Periodo1[[#This Row],[Tipo_Linha]]="Fora do DRE","Fora do DRE","( "&amp;Base_Periodo1[[#This Row],[Tipo_Linha]]&amp;" ) "&amp;Base_Periodo1[[#This Row],[Filtro]])</f>
        <v>Fora do DRE</v>
      </c>
      <c r="W1394" s="3" t="str">
        <f>LEFT(Base_Periodo1[[#This Row],[CLASS]],3)</f>
        <v>1.1</v>
      </c>
    </row>
    <row r="1395" spans="1:23" hidden="1">
      <c r="A1395" s="3" t="str">
        <f t="shared" si="21"/>
        <v>Período 1</v>
      </c>
      <c r="B1395">
        <v>292</v>
      </c>
      <c r="C1395" t="s">
        <v>4349</v>
      </c>
      <c r="D1395" t="s">
        <v>4350</v>
      </c>
      <c r="E1395" s="3" t="str">
        <f>IF(LEN(Base_Periodo1[[#This Row],[CLASS]])&gt;=7,LEFT(Base_Periodo1[[#This Row],[CLASS]],7),"")</f>
        <v>1.1.3.1</v>
      </c>
      <c r="F1395" s="3" t="str">
        <f>VLOOKUP(Base_Periodo1[[#This Row],[Aux]],Base_Contas_Balanco[#All],2,FALSE)</f>
        <v>Estoques Proprios</v>
      </c>
      <c r="G1395" s="1">
        <v>42753</v>
      </c>
      <c r="H1395" s="225">
        <v>16932.61</v>
      </c>
      <c r="I1395" s="225">
        <v>0</v>
      </c>
      <c r="J1395" s="225">
        <v>0</v>
      </c>
      <c r="K1395" s="225">
        <v>16932.61</v>
      </c>
      <c r="L13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-16932.61</v>
      </c>
      <c r="M1395" s="225">
        <f>ROUND(IF(AND(Base_Periodo1[[#This Row],[Tipo_Linha]]="-",Base_Periodo1[[#This Row],[TIPOSALDO]]="D"),Base_Periodo1[[#This Row],[SALDO_ATUAL]]*-1,Base_Periodo1[[#This Row],[SALDO_ATUAL]]),4)</f>
        <v>16932.61</v>
      </c>
      <c r="N1395" t="s">
        <v>116</v>
      </c>
      <c r="O1395" t="s">
        <v>459</v>
      </c>
      <c r="P1395" t="s">
        <v>459</v>
      </c>
      <c r="Q1395">
        <v>9</v>
      </c>
      <c r="R1395" s="225">
        <f>Base_Periodo1[[#This Row],[CREDITOS]]-Base_Periodo1[[#This Row],[DEBITOS]]</f>
        <v>0</v>
      </c>
      <c r="S1395" s="3" t="str">
        <f>IF(ISERROR(VLOOKUP(Base_Periodo1[[#This Row],[CONTA]],BaseContasDRE[#All],4,FALSE)),"Fora do DRE",VLOOKUP(Base_Periodo1[[#This Row],[CONTA]],BaseContasDRE[#All],4,FALSE))</f>
        <v>Fora do DRE</v>
      </c>
      <c r="T1395" s="3" t="str">
        <f>IF(ISERROR(VLOOKUP(Base_Periodo1[[#This Row],[CONTA]],BaseContasDRE[#All],5,FALSE)),"Fora do DRE",VLOOKUP(Base_Periodo1[[#This Row],[CONTA]],BaseContasDRE[#All],6,FALSE))</f>
        <v>Fora do DRE</v>
      </c>
      <c r="U1395" s="3" t="str">
        <f>IF(ISERROR(VLOOKUP(Base_Periodo1[[#This Row],[CONTA]],BaseContasDRE[#All],7,FALSE)),"Fora do DRE",VLOOKUP(Base_Periodo1[[#This Row],[CONTA]],BaseContasDRE[#All],7,FALSE))</f>
        <v>Fora do DRE</v>
      </c>
      <c r="V1395" s="3" t="str">
        <f>IF(Base_Periodo1[[#This Row],[Tipo_Linha]]="Fora do DRE","Fora do DRE","( "&amp;Base_Periodo1[[#This Row],[Tipo_Linha]]&amp;" ) "&amp;Base_Periodo1[[#This Row],[Filtro]])</f>
        <v>Fora do DRE</v>
      </c>
      <c r="W1395" s="3" t="str">
        <f>LEFT(Base_Periodo1[[#This Row],[CLASS]],3)</f>
        <v>1.1</v>
      </c>
    </row>
    <row r="1396" spans="1:23" hidden="1">
      <c r="A1396" s="3" t="str">
        <f t="shared" si="21"/>
        <v>Período 1</v>
      </c>
      <c r="B1396">
        <v>295</v>
      </c>
      <c r="C1396" t="s">
        <v>1177</v>
      </c>
      <c r="D1396" t="s">
        <v>1178</v>
      </c>
      <c r="E1396" s="3" t="str">
        <f>IF(LEN(Base_Periodo1[[#This Row],[CLASS]])&gt;=7,LEFT(Base_Periodo1[[#This Row],[CLASS]],7),"")</f>
        <v>1.1.3.1</v>
      </c>
      <c r="F1396" s="3" t="str">
        <f>VLOOKUP(Base_Periodo1[[#This Row],[Aux]],Base_Contas_Balanco[#All],2,FALSE)</f>
        <v>Estoques Proprios</v>
      </c>
      <c r="G1396" s="1"/>
      <c r="H1396" s="225">
        <v>9613278.6700002849</v>
      </c>
      <c r="I1396" s="225">
        <v>446051.9800000001</v>
      </c>
      <c r="J1396" s="225">
        <v>739775.18000000017</v>
      </c>
      <c r="K1396" s="225">
        <v>9319555.4700002857</v>
      </c>
      <c r="L13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9319555.4700000007</v>
      </c>
      <c r="M1396" s="225">
        <f>ROUND(IF(AND(Base_Periodo1[[#This Row],[Tipo_Linha]]="-",Base_Periodo1[[#This Row],[TIPOSALDO]]="D"),Base_Periodo1[[#This Row],[SALDO_ATUAL]]*-1,Base_Periodo1[[#This Row],[SALDO_ATUAL]]),4)</f>
        <v>9319555.4700000007</v>
      </c>
      <c r="N1396" t="s">
        <v>396</v>
      </c>
      <c r="O1396" t="s">
        <v>397</v>
      </c>
      <c r="P1396" t="s">
        <v>397</v>
      </c>
      <c r="Q1396">
        <v>7</v>
      </c>
      <c r="R1396" s="225">
        <f>Base_Periodo1[[#This Row],[CREDITOS]]-Base_Periodo1[[#This Row],[DEBITOS]]</f>
        <v>293723.20000000007</v>
      </c>
      <c r="S1396" s="3" t="str">
        <f>IF(ISERROR(VLOOKUP(Base_Periodo1[[#This Row],[CONTA]],BaseContasDRE[#All],4,FALSE)),"Fora do DRE",VLOOKUP(Base_Periodo1[[#This Row],[CONTA]],BaseContasDRE[#All],4,FALSE))</f>
        <v>Fora do DRE</v>
      </c>
      <c r="T1396" s="3" t="str">
        <f>IF(ISERROR(VLOOKUP(Base_Periodo1[[#This Row],[CONTA]],BaseContasDRE[#All],5,FALSE)),"Fora do DRE",VLOOKUP(Base_Periodo1[[#This Row],[CONTA]],BaseContasDRE[#All],6,FALSE))</f>
        <v>Fora do DRE</v>
      </c>
      <c r="U1396" s="3" t="str">
        <f>IF(ISERROR(VLOOKUP(Base_Periodo1[[#This Row],[CONTA]],BaseContasDRE[#All],7,FALSE)),"Fora do DRE",VLOOKUP(Base_Periodo1[[#This Row],[CONTA]],BaseContasDRE[#All],7,FALSE))</f>
        <v>Fora do DRE</v>
      </c>
      <c r="V1396" s="3" t="str">
        <f>IF(Base_Periodo1[[#This Row],[Tipo_Linha]]="Fora do DRE","Fora do DRE","( "&amp;Base_Periodo1[[#This Row],[Tipo_Linha]]&amp;" ) "&amp;Base_Periodo1[[#This Row],[Filtro]])</f>
        <v>Fora do DRE</v>
      </c>
      <c r="W1396" s="3" t="str">
        <f>LEFT(Base_Periodo1[[#This Row],[CLASS]],3)</f>
        <v>1.1</v>
      </c>
    </row>
    <row r="1397" spans="1:23" hidden="1">
      <c r="A1397" s="3" t="str">
        <f t="shared" si="21"/>
        <v>Período 1</v>
      </c>
      <c r="B1397">
        <v>296</v>
      </c>
      <c r="C1397" t="s">
        <v>1179</v>
      </c>
      <c r="D1397" t="s">
        <v>1054</v>
      </c>
      <c r="E1397" s="3" t="str">
        <f>IF(LEN(Base_Periodo1[[#This Row],[CLASS]])&gt;=7,LEFT(Base_Periodo1[[#This Row],[CLASS]],7),"")</f>
        <v>1.1.3.1</v>
      </c>
      <c r="F1397" s="3" t="str">
        <f>VLOOKUP(Base_Periodo1[[#This Row],[Aux]],Base_Contas_Balanco[#All],2,FALSE)</f>
        <v>Estoques Proprios</v>
      </c>
      <c r="G1397" s="1"/>
      <c r="H1397" s="225">
        <v>10969044.479999974</v>
      </c>
      <c r="I1397" s="225">
        <v>0</v>
      </c>
      <c r="J1397" s="225">
        <v>0</v>
      </c>
      <c r="K1397" s="225">
        <v>10969044.479999974</v>
      </c>
      <c r="L13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10969044.48</v>
      </c>
      <c r="M1397" s="225">
        <f>ROUND(IF(AND(Base_Periodo1[[#This Row],[Tipo_Linha]]="-",Base_Periodo1[[#This Row],[TIPOSALDO]]="D"),Base_Periodo1[[#This Row],[SALDO_ATUAL]]*-1,Base_Periodo1[[#This Row],[SALDO_ATUAL]]),4)</f>
        <v>10969044.48</v>
      </c>
      <c r="N1397" t="s">
        <v>396</v>
      </c>
      <c r="O1397" t="s">
        <v>397</v>
      </c>
      <c r="P1397" t="s">
        <v>397</v>
      </c>
      <c r="Q1397">
        <v>8</v>
      </c>
      <c r="R1397" s="225">
        <f>Base_Periodo1[[#This Row],[CREDITOS]]-Base_Periodo1[[#This Row],[DEBITOS]]</f>
        <v>0</v>
      </c>
      <c r="S1397" s="3" t="str">
        <f>IF(ISERROR(VLOOKUP(Base_Periodo1[[#This Row],[CONTA]],BaseContasDRE[#All],4,FALSE)),"Fora do DRE",VLOOKUP(Base_Periodo1[[#This Row],[CONTA]],BaseContasDRE[#All],4,FALSE))</f>
        <v>Fora do DRE</v>
      </c>
      <c r="T1397" s="3" t="str">
        <f>IF(ISERROR(VLOOKUP(Base_Periodo1[[#This Row],[CONTA]],BaseContasDRE[#All],5,FALSE)),"Fora do DRE",VLOOKUP(Base_Periodo1[[#This Row],[CONTA]],BaseContasDRE[#All],6,FALSE))</f>
        <v>Fora do DRE</v>
      </c>
      <c r="U1397" s="3" t="str">
        <f>IF(ISERROR(VLOOKUP(Base_Periodo1[[#This Row],[CONTA]],BaseContasDRE[#All],7,FALSE)),"Fora do DRE",VLOOKUP(Base_Periodo1[[#This Row],[CONTA]],BaseContasDRE[#All],7,FALSE))</f>
        <v>Fora do DRE</v>
      </c>
      <c r="V1397" s="3" t="str">
        <f>IF(Base_Periodo1[[#This Row],[Tipo_Linha]]="Fora do DRE","Fora do DRE","( "&amp;Base_Periodo1[[#This Row],[Tipo_Linha]]&amp;" ) "&amp;Base_Periodo1[[#This Row],[Filtro]])</f>
        <v>Fora do DRE</v>
      </c>
      <c r="W1397" s="3" t="str">
        <f>LEFT(Base_Periodo1[[#This Row],[CLASS]],3)</f>
        <v>1.1</v>
      </c>
    </row>
    <row r="1398" spans="1:23" hidden="1">
      <c r="A1398" s="3" t="str">
        <f t="shared" si="21"/>
        <v>Período 1</v>
      </c>
      <c r="B1398">
        <v>297</v>
      </c>
      <c r="C1398" t="s">
        <v>1180</v>
      </c>
      <c r="D1398" t="s">
        <v>1054</v>
      </c>
      <c r="E1398" s="3" t="str">
        <f>IF(LEN(Base_Periodo1[[#This Row],[CLASS]])&gt;=7,LEFT(Base_Periodo1[[#This Row],[CLASS]],7),"")</f>
        <v>1.1.3.1</v>
      </c>
      <c r="F1398" s="3" t="str">
        <f>VLOOKUP(Base_Periodo1[[#This Row],[Aux]],Base_Contas_Balanco[#All],2,FALSE)</f>
        <v>Estoques Proprios</v>
      </c>
      <c r="G1398" s="1">
        <v>42735</v>
      </c>
      <c r="H1398" s="225">
        <v>10969044.479999974</v>
      </c>
      <c r="I1398" s="225">
        <v>0</v>
      </c>
      <c r="J1398" s="225">
        <v>0</v>
      </c>
      <c r="K1398" s="225">
        <v>10969044.479999974</v>
      </c>
      <c r="L13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10969044.48</v>
      </c>
      <c r="M1398" s="225">
        <f>ROUND(IF(AND(Base_Periodo1[[#This Row],[Tipo_Linha]]="-",Base_Periodo1[[#This Row],[TIPOSALDO]]="D"),Base_Periodo1[[#This Row],[SALDO_ATUAL]]*-1,Base_Periodo1[[#This Row],[SALDO_ATUAL]]),4)</f>
        <v>10969044.48</v>
      </c>
      <c r="N1398" t="s">
        <v>116</v>
      </c>
      <c r="O1398" t="s">
        <v>397</v>
      </c>
      <c r="P1398" t="s">
        <v>397</v>
      </c>
      <c r="Q1398">
        <v>9</v>
      </c>
      <c r="R1398" s="225">
        <f>Base_Periodo1[[#This Row],[CREDITOS]]-Base_Periodo1[[#This Row],[DEBITOS]]</f>
        <v>0</v>
      </c>
      <c r="S1398" s="3" t="str">
        <f>IF(ISERROR(VLOOKUP(Base_Periodo1[[#This Row],[CONTA]],BaseContasDRE[#All],4,FALSE)),"Fora do DRE",VLOOKUP(Base_Periodo1[[#This Row],[CONTA]],BaseContasDRE[#All],4,FALSE))</f>
        <v>Fora do DRE</v>
      </c>
      <c r="T1398" s="3" t="str">
        <f>IF(ISERROR(VLOOKUP(Base_Periodo1[[#This Row],[CONTA]],BaseContasDRE[#All],5,FALSE)),"Fora do DRE",VLOOKUP(Base_Periodo1[[#This Row],[CONTA]],BaseContasDRE[#All],6,FALSE))</f>
        <v>Fora do DRE</v>
      </c>
      <c r="U1398" s="3" t="str">
        <f>IF(ISERROR(VLOOKUP(Base_Periodo1[[#This Row],[CONTA]],BaseContasDRE[#All],7,FALSE)),"Fora do DRE",VLOOKUP(Base_Periodo1[[#This Row],[CONTA]],BaseContasDRE[#All],7,FALSE))</f>
        <v>Fora do DRE</v>
      </c>
      <c r="V1398" s="3" t="str">
        <f>IF(Base_Periodo1[[#This Row],[Tipo_Linha]]="Fora do DRE","Fora do DRE","( "&amp;Base_Periodo1[[#This Row],[Tipo_Linha]]&amp;" ) "&amp;Base_Periodo1[[#This Row],[Filtro]])</f>
        <v>Fora do DRE</v>
      </c>
      <c r="W1398" s="3" t="str">
        <f>LEFT(Base_Periodo1[[#This Row],[CLASS]],3)</f>
        <v>1.1</v>
      </c>
    </row>
    <row r="1399" spans="1:23" hidden="1">
      <c r="A1399" s="3" t="str">
        <f t="shared" si="21"/>
        <v>Período 1</v>
      </c>
      <c r="B1399">
        <v>298</v>
      </c>
      <c r="C1399" t="s">
        <v>1181</v>
      </c>
      <c r="D1399" t="s">
        <v>1057</v>
      </c>
      <c r="E1399" s="3" t="str">
        <f>IF(LEN(Base_Periodo1[[#This Row],[CLASS]])&gt;=7,LEFT(Base_Periodo1[[#This Row],[CLASS]],7),"")</f>
        <v>1.1.3.1</v>
      </c>
      <c r="F1399" s="3" t="str">
        <f>VLOOKUP(Base_Periodo1[[#This Row],[Aux]],Base_Contas_Balanco[#All],2,FALSE)</f>
        <v>Estoques Proprios</v>
      </c>
      <c r="G1399" s="1"/>
      <c r="H1399" s="225">
        <v>3035337.3199999928</v>
      </c>
      <c r="I1399" s="225">
        <v>86703.3</v>
      </c>
      <c r="J1399" s="225">
        <v>2548.2199999999998</v>
      </c>
      <c r="K1399" s="225">
        <v>3119492.3999999925</v>
      </c>
      <c r="L13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3119492.4</v>
      </c>
      <c r="M1399" s="225">
        <f>ROUND(IF(AND(Base_Periodo1[[#This Row],[Tipo_Linha]]="-",Base_Periodo1[[#This Row],[TIPOSALDO]]="D"),Base_Periodo1[[#This Row],[SALDO_ATUAL]]*-1,Base_Periodo1[[#This Row],[SALDO_ATUAL]]),4)</f>
        <v>3119492.4</v>
      </c>
      <c r="N1399" t="s">
        <v>396</v>
      </c>
      <c r="O1399" t="s">
        <v>397</v>
      </c>
      <c r="P1399" t="s">
        <v>397</v>
      </c>
      <c r="Q1399">
        <v>8</v>
      </c>
      <c r="R1399" s="225">
        <f>Base_Periodo1[[#This Row],[CREDITOS]]-Base_Periodo1[[#This Row],[DEBITOS]]</f>
        <v>-84155.08</v>
      </c>
      <c r="S1399" s="3" t="str">
        <f>IF(ISERROR(VLOOKUP(Base_Periodo1[[#This Row],[CONTA]],BaseContasDRE[#All],4,FALSE)),"Fora do DRE",VLOOKUP(Base_Periodo1[[#This Row],[CONTA]],BaseContasDRE[#All],4,FALSE))</f>
        <v>Fora do DRE</v>
      </c>
      <c r="T1399" s="3" t="str">
        <f>IF(ISERROR(VLOOKUP(Base_Periodo1[[#This Row],[CONTA]],BaseContasDRE[#All],5,FALSE)),"Fora do DRE",VLOOKUP(Base_Periodo1[[#This Row],[CONTA]],BaseContasDRE[#All],6,FALSE))</f>
        <v>Fora do DRE</v>
      </c>
      <c r="U1399" s="3" t="str">
        <f>IF(ISERROR(VLOOKUP(Base_Periodo1[[#This Row],[CONTA]],BaseContasDRE[#All],7,FALSE)),"Fora do DRE",VLOOKUP(Base_Periodo1[[#This Row],[CONTA]],BaseContasDRE[#All],7,FALSE))</f>
        <v>Fora do DRE</v>
      </c>
      <c r="V1399" s="3" t="str">
        <f>IF(Base_Periodo1[[#This Row],[Tipo_Linha]]="Fora do DRE","Fora do DRE","( "&amp;Base_Periodo1[[#This Row],[Tipo_Linha]]&amp;" ) "&amp;Base_Periodo1[[#This Row],[Filtro]])</f>
        <v>Fora do DRE</v>
      </c>
      <c r="W1399" s="3" t="str">
        <f>LEFT(Base_Periodo1[[#This Row],[CLASS]],3)</f>
        <v>1.1</v>
      </c>
    </row>
    <row r="1400" spans="1:23" hidden="1">
      <c r="A1400" s="3" t="str">
        <f t="shared" si="21"/>
        <v>Período 1</v>
      </c>
      <c r="B1400">
        <v>299</v>
      </c>
      <c r="C1400" t="s">
        <v>6223</v>
      </c>
      <c r="D1400" t="s">
        <v>1059</v>
      </c>
      <c r="E1400" s="3" t="str">
        <f>IF(LEN(Base_Periodo1[[#This Row],[CLASS]])&gt;=7,LEFT(Base_Periodo1[[#This Row],[CLASS]],7),"")</f>
        <v>1.1.3.1</v>
      </c>
      <c r="F1400" s="3" t="str">
        <f>VLOOKUP(Base_Periodo1[[#This Row],[Aux]],Base_Contas_Balanco[#All],2,FALSE)</f>
        <v>Estoques Proprios</v>
      </c>
      <c r="G1400" s="1">
        <v>42802</v>
      </c>
      <c r="H1400" s="225">
        <v>1224</v>
      </c>
      <c r="I1400" s="225">
        <v>0</v>
      </c>
      <c r="J1400" s="225">
        <v>0</v>
      </c>
      <c r="K1400" s="225">
        <v>1224</v>
      </c>
      <c r="L14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1224</v>
      </c>
      <c r="M1400" s="225">
        <f>ROUND(IF(AND(Base_Periodo1[[#This Row],[Tipo_Linha]]="-",Base_Periodo1[[#This Row],[TIPOSALDO]]="D"),Base_Periodo1[[#This Row],[SALDO_ATUAL]]*-1,Base_Periodo1[[#This Row],[SALDO_ATUAL]]),4)</f>
        <v>1224</v>
      </c>
      <c r="N1400" t="s">
        <v>116</v>
      </c>
      <c r="O1400" t="s">
        <v>397</v>
      </c>
      <c r="P1400" t="s">
        <v>397</v>
      </c>
      <c r="Q1400">
        <v>9</v>
      </c>
      <c r="R1400" s="225">
        <f>Base_Periodo1[[#This Row],[CREDITOS]]-Base_Periodo1[[#This Row],[DEBITOS]]</f>
        <v>0</v>
      </c>
      <c r="S1400" s="3" t="str">
        <f>IF(ISERROR(VLOOKUP(Base_Periodo1[[#This Row],[CONTA]],BaseContasDRE[#All],4,FALSE)),"Fora do DRE",VLOOKUP(Base_Periodo1[[#This Row],[CONTA]],BaseContasDRE[#All],4,FALSE))</f>
        <v>Fora do DRE</v>
      </c>
      <c r="T1400" s="3" t="str">
        <f>IF(ISERROR(VLOOKUP(Base_Periodo1[[#This Row],[CONTA]],BaseContasDRE[#All],5,FALSE)),"Fora do DRE",VLOOKUP(Base_Periodo1[[#This Row],[CONTA]],BaseContasDRE[#All],6,FALSE))</f>
        <v>Fora do DRE</v>
      </c>
      <c r="U1400" s="3" t="str">
        <f>IF(ISERROR(VLOOKUP(Base_Periodo1[[#This Row],[CONTA]],BaseContasDRE[#All],7,FALSE)),"Fora do DRE",VLOOKUP(Base_Periodo1[[#This Row],[CONTA]],BaseContasDRE[#All],7,FALSE))</f>
        <v>Fora do DRE</v>
      </c>
      <c r="V1400" s="3" t="str">
        <f>IF(Base_Periodo1[[#This Row],[Tipo_Linha]]="Fora do DRE","Fora do DRE","( "&amp;Base_Periodo1[[#This Row],[Tipo_Linha]]&amp;" ) "&amp;Base_Periodo1[[#This Row],[Filtro]])</f>
        <v>Fora do DRE</v>
      </c>
      <c r="W1400" s="3" t="str">
        <f>LEFT(Base_Periodo1[[#This Row],[CLASS]],3)</f>
        <v>1.1</v>
      </c>
    </row>
    <row r="1401" spans="1:23" hidden="1">
      <c r="A1401" s="3" t="str">
        <f t="shared" si="21"/>
        <v>Período 1</v>
      </c>
      <c r="B1401">
        <v>300</v>
      </c>
      <c r="C1401" t="s">
        <v>1182</v>
      </c>
      <c r="D1401" t="s">
        <v>1061</v>
      </c>
      <c r="E1401" s="3" t="str">
        <f>IF(LEN(Base_Periodo1[[#This Row],[CLASS]])&gt;=7,LEFT(Base_Periodo1[[#This Row],[CLASS]],7),"")</f>
        <v>1.1.3.1</v>
      </c>
      <c r="F1401" s="3" t="str">
        <f>VLOOKUP(Base_Periodo1[[#This Row],[Aux]],Base_Contas_Balanco[#All],2,FALSE)</f>
        <v>Estoques Proprios</v>
      </c>
      <c r="G1401" s="1">
        <v>42880</v>
      </c>
      <c r="H1401" s="225">
        <v>3034113.3199999928</v>
      </c>
      <c r="I1401" s="225">
        <v>86703.3</v>
      </c>
      <c r="J1401" s="225">
        <v>2548.2199999999998</v>
      </c>
      <c r="K1401" s="225">
        <v>3118268.3999999925</v>
      </c>
      <c r="L14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3118268.4</v>
      </c>
      <c r="M1401" s="225">
        <f>ROUND(IF(AND(Base_Periodo1[[#This Row],[Tipo_Linha]]="-",Base_Periodo1[[#This Row],[TIPOSALDO]]="D"),Base_Periodo1[[#This Row],[SALDO_ATUAL]]*-1,Base_Periodo1[[#This Row],[SALDO_ATUAL]]),4)</f>
        <v>3118268.4</v>
      </c>
      <c r="N1401" t="s">
        <v>116</v>
      </c>
      <c r="O1401" t="s">
        <v>397</v>
      </c>
      <c r="P1401" t="s">
        <v>397</v>
      </c>
      <c r="Q1401">
        <v>9</v>
      </c>
      <c r="R1401" s="225">
        <f>Base_Periodo1[[#This Row],[CREDITOS]]-Base_Periodo1[[#This Row],[DEBITOS]]</f>
        <v>-84155.08</v>
      </c>
      <c r="S1401" s="3" t="str">
        <f>IF(ISERROR(VLOOKUP(Base_Periodo1[[#This Row],[CONTA]],BaseContasDRE[#All],4,FALSE)),"Fora do DRE",VLOOKUP(Base_Periodo1[[#This Row],[CONTA]],BaseContasDRE[#All],4,FALSE))</f>
        <v>Fora do DRE</v>
      </c>
      <c r="T1401" s="3" t="str">
        <f>IF(ISERROR(VLOOKUP(Base_Periodo1[[#This Row],[CONTA]],BaseContasDRE[#All],5,FALSE)),"Fora do DRE",VLOOKUP(Base_Periodo1[[#This Row],[CONTA]],BaseContasDRE[#All],6,FALSE))</f>
        <v>Fora do DRE</v>
      </c>
      <c r="U1401" s="3" t="str">
        <f>IF(ISERROR(VLOOKUP(Base_Periodo1[[#This Row],[CONTA]],BaseContasDRE[#All],7,FALSE)),"Fora do DRE",VLOOKUP(Base_Periodo1[[#This Row],[CONTA]],BaseContasDRE[#All],7,FALSE))</f>
        <v>Fora do DRE</v>
      </c>
      <c r="V1401" s="3" t="str">
        <f>IF(Base_Periodo1[[#This Row],[Tipo_Linha]]="Fora do DRE","Fora do DRE","( "&amp;Base_Periodo1[[#This Row],[Tipo_Linha]]&amp;" ) "&amp;Base_Periodo1[[#This Row],[Filtro]])</f>
        <v>Fora do DRE</v>
      </c>
      <c r="W1401" s="3" t="str">
        <f>LEFT(Base_Periodo1[[#This Row],[CLASS]],3)</f>
        <v>1.1</v>
      </c>
    </row>
    <row r="1402" spans="1:23" hidden="1">
      <c r="A1402" s="3" t="str">
        <f t="shared" si="21"/>
        <v>Período 1</v>
      </c>
      <c r="B1402">
        <v>303</v>
      </c>
      <c r="C1402" t="s">
        <v>1183</v>
      </c>
      <c r="D1402" t="s">
        <v>1063</v>
      </c>
      <c r="E1402" s="3" t="str">
        <f>IF(LEN(Base_Periodo1[[#This Row],[CLASS]])&gt;=7,LEFT(Base_Periodo1[[#This Row],[CLASS]],7),"")</f>
        <v>1.1.3.1</v>
      </c>
      <c r="F1402" s="3" t="str">
        <f>VLOOKUP(Base_Periodo1[[#This Row],[Aux]],Base_Contas_Balanco[#All],2,FALSE)</f>
        <v>Estoques Proprios</v>
      </c>
      <c r="G1402" s="1"/>
      <c r="H1402" s="225">
        <v>4378583.6600003317</v>
      </c>
      <c r="I1402" s="225">
        <v>359348.68000000011</v>
      </c>
      <c r="J1402" s="225">
        <v>0</v>
      </c>
      <c r="K1402" s="225">
        <v>4737932.3400003314</v>
      </c>
      <c r="L14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4737932.34</v>
      </c>
      <c r="M1402" s="225">
        <f>ROUND(IF(AND(Base_Periodo1[[#This Row],[Tipo_Linha]]="-",Base_Periodo1[[#This Row],[TIPOSALDO]]="D"),Base_Periodo1[[#This Row],[SALDO_ATUAL]]*-1,Base_Periodo1[[#This Row],[SALDO_ATUAL]]),4)</f>
        <v>4737932.34</v>
      </c>
      <c r="N1402" t="s">
        <v>396</v>
      </c>
      <c r="O1402" t="s">
        <v>397</v>
      </c>
      <c r="P1402" t="s">
        <v>397</v>
      </c>
      <c r="Q1402">
        <v>8</v>
      </c>
      <c r="R1402" s="225">
        <f>Base_Periodo1[[#This Row],[CREDITOS]]-Base_Periodo1[[#This Row],[DEBITOS]]</f>
        <v>-359348.68000000011</v>
      </c>
      <c r="S1402" s="3" t="str">
        <f>IF(ISERROR(VLOOKUP(Base_Periodo1[[#This Row],[CONTA]],BaseContasDRE[#All],4,FALSE)),"Fora do DRE",VLOOKUP(Base_Periodo1[[#This Row],[CONTA]],BaseContasDRE[#All],4,FALSE))</f>
        <v>Fora do DRE</v>
      </c>
      <c r="T1402" s="3" t="str">
        <f>IF(ISERROR(VLOOKUP(Base_Periodo1[[#This Row],[CONTA]],BaseContasDRE[#All],5,FALSE)),"Fora do DRE",VLOOKUP(Base_Periodo1[[#This Row],[CONTA]],BaseContasDRE[#All],6,FALSE))</f>
        <v>Fora do DRE</v>
      </c>
      <c r="U1402" s="3" t="str">
        <f>IF(ISERROR(VLOOKUP(Base_Periodo1[[#This Row],[CONTA]],BaseContasDRE[#All],7,FALSE)),"Fora do DRE",VLOOKUP(Base_Periodo1[[#This Row],[CONTA]],BaseContasDRE[#All],7,FALSE))</f>
        <v>Fora do DRE</v>
      </c>
      <c r="V1402" s="3" t="str">
        <f>IF(Base_Periodo1[[#This Row],[Tipo_Linha]]="Fora do DRE","Fora do DRE","( "&amp;Base_Periodo1[[#This Row],[Tipo_Linha]]&amp;" ) "&amp;Base_Periodo1[[#This Row],[Filtro]])</f>
        <v>Fora do DRE</v>
      </c>
      <c r="W1402" s="3" t="str">
        <f>LEFT(Base_Periodo1[[#This Row],[CLASS]],3)</f>
        <v>1.1</v>
      </c>
    </row>
    <row r="1403" spans="1:23" hidden="1">
      <c r="A1403" s="3" t="str">
        <f t="shared" si="21"/>
        <v>Período 1</v>
      </c>
      <c r="B1403">
        <v>305</v>
      </c>
      <c r="C1403" t="s">
        <v>1184</v>
      </c>
      <c r="D1403" t="s">
        <v>1065</v>
      </c>
      <c r="E1403" s="3" t="str">
        <f>IF(LEN(Base_Periodo1[[#This Row],[CLASS]])&gt;=7,LEFT(Base_Periodo1[[#This Row],[CLASS]],7),"")</f>
        <v>1.1.3.1</v>
      </c>
      <c r="F1403" s="3" t="str">
        <f>VLOOKUP(Base_Periodo1[[#This Row],[Aux]],Base_Contas_Balanco[#All],2,FALSE)</f>
        <v>Estoques Proprios</v>
      </c>
      <c r="G1403" s="1">
        <v>42886</v>
      </c>
      <c r="H1403" s="225">
        <v>4378583.6600003317</v>
      </c>
      <c r="I1403" s="225">
        <v>359348.68000000011</v>
      </c>
      <c r="J1403" s="225">
        <v>0</v>
      </c>
      <c r="K1403" s="225">
        <v>4737932.3400003314</v>
      </c>
      <c r="L14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4737932.34</v>
      </c>
      <c r="M1403" s="225">
        <f>ROUND(IF(AND(Base_Periodo1[[#This Row],[Tipo_Linha]]="-",Base_Periodo1[[#This Row],[TIPOSALDO]]="D"),Base_Periodo1[[#This Row],[SALDO_ATUAL]]*-1,Base_Periodo1[[#This Row],[SALDO_ATUAL]]),4)</f>
        <v>4737932.34</v>
      </c>
      <c r="N1403" t="s">
        <v>116</v>
      </c>
      <c r="O1403" t="s">
        <v>397</v>
      </c>
      <c r="P1403" t="s">
        <v>397</v>
      </c>
      <c r="Q1403">
        <v>9</v>
      </c>
      <c r="R1403" s="225">
        <f>Base_Periodo1[[#This Row],[CREDITOS]]-Base_Periodo1[[#This Row],[DEBITOS]]</f>
        <v>-359348.68000000011</v>
      </c>
      <c r="S1403" s="3" t="str">
        <f>IF(ISERROR(VLOOKUP(Base_Periodo1[[#This Row],[CONTA]],BaseContasDRE[#All],4,FALSE)),"Fora do DRE",VLOOKUP(Base_Periodo1[[#This Row],[CONTA]],BaseContasDRE[#All],4,FALSE))</f>
        <v>Fora do DRE</v>
      </c>
      <c r="T1403" s="3" t="str">
        <f>IF(ISERROR(VLOOKUP(Base_Periodo1[[#This Row],[CONTA]],BaseContasDRE[#All],5,FALSE)),"Fora do DRE",VLOOKUP(Base_Periodo1[[#This Row],[CONTA]],BaseContasDRE[#All],6,FALSE))</f>
        <v>Fora do DRE</v>
      </c>
      <c r="U1403" s="3" t="str">
        <f>IF(ISERROR(VLOOKUP(Base_Periodo1[[#This Row],[CONTA]],BaseContasDRE[#All],7,FALSE)),"Fora do DRE",VLOOKUP(Base_Periodo1[[#This Row],[CONTA]],BaseContasDRE[#All],7,FALSE))</f>
        <v>Fora do DRE</v>
      </c>
      <c r="V1403" s="3" t="str">
        <f>IF(Base_Periodo1[[#This Row],[Tipo_Linha]]="Fora do DRE","Fora do DRE","( "&amp;Base_Periodo1[[#This Row],[Tipo_Linha]]&amp;" ) "&amp;Base_Periodo1[[#This Row],[Filtro]])</f>
        <v>Fora do DRE</v>
      </c>
      <c r="W1403" s="3" t="str">
        <f>LEFT(Base_Periodo1[[#This Row],[CLASS]],3)</f>
        <v>1.1</v>
      </c>
    </row>
    <row r="1404" spans="1:23" hidden="1">
      <c r="A1404" s="3" t="str">
        <f t="shared" si="21"/>
        <v>Período 1</v>
      </c>
      <c r="B1404">
        <v>309</v>
      </c>
      <c r="C1404" t="s">
        <v>6224</v>
      </c>
      <c r="D1404" t="s">
        <v>1096</v>
      </c>
      <c r="E1404" s="3" t="str">
        <f>IF(LEN(Base_Periodo1[[#This Row],[CLASS]])&gt;=7,LEFT(Base_Periodo1[[#This Row],[CLASS]],7),"")</f>
        <v>1.1.3.1</v>
      </c>
      <c r="F1404" s="3" t="str">
        <f>VLOOKUP(Base_Periodo1[[#This Row],[Aux]],Base_Contas_Balanco[#All],2,FALSE)</f>
        <v>Estoques Proprios</v>
      </c>
      <c r="G1404" s="1"/>
      <c r="H1404" s="225">
        <v>412645.60000000021</v>
      </c>
      <c r="I1404" s="225">
        <v>0</v>
      </c>
      <c r="J1404" s="225">
        <v>0</v>
      </c>
      <c r="K1404" s="225">
        <v>412645.60000000021</v>
      </c>
      <c r="L14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412645.6</v>
      </c>
      <c r="M1404" s="225">
        <f>ROUND(IF(AND(Base_Periodo1[[#This Row],[Tipo_Linha]]="-",Base_Periodo1[[#This Row],[TIPOSALDO]]="D"),Base_Periodo1[[#This Row],[SALDO_ATUAL]]*-1,Base_Periodo1[[#This Row],[SALDO_ATUAL]]),4)</f>
        <v>412645.6</v>
      </c>
      <c r="N1404" t="s">
        <v>396</v>
      </c>
      <c r="O1404" t="s">
        <v>397</v>
      </c>
      <c r="P1404" t="s">
        <v>397</v>
      </c>
      <c r="Q1404">
        <v>8</v>
      </c>
      <c r="R1404" s="225">
        <f>Base_Periodo1[[#This Row],[CREDITOS]]-Base_Periodo1[[#This Row],[DEBITOS]]</f>
        <v>0</v>
      </c>
      <c r="S1404" s="3" t="str">
        <f>IF(ISERROR(VLOOKUP(Base_Periodo1[[#This Row],[CONTA]],BaseContasDRE[#All],4,FALSE)),"Fora do DRE",VLOOKUP(Base_Periodo1[[#This Row],[CONTA]],BaseContasDRE[#All],4,FALSE))</f>
        <v>Fora do DRE</v>
      </c>
      <c r="T1404" s="3" t="str">
        <f>IF(ISERROR(VLOOKUP(Base_Periodo1[[#This Row],[CONTA]],BaseContasDRE[#All],5,FALSE)),"Fora do DRE",VLOOKUP(Base_Periodo1[[#This Row],[CONTA]],BaseContasDRE[#All],6,FALSE))</f>
        <v>Fora do DRE</v>
      </c>
      <c r="U1404" s="3" t="str">
        <f>IF(ISERROR(VLOOKUP(Base_Periodo1[[#This Row],[CONTA]],BaseContasDRE[#All],7,FALSE)),"Fora do DRE",VLOOKUP(Base_Periodo1[[#This Row],[CONTA]],BaseContasDRE[#All],7,FALSE))</f>
        <v>Fora do DRE</v>
      </c>
      <c r="V1404" s="3" t="str">
        <f>IF(Base_Periodo1[[#This Row],[Tipo_Linha]]="Fora do DRE","Fora do DRE","( "&amp;Base_Periodo1[[#This Row],[Tipo_Linha]]&amp;" ) "&amp;Base_Periodo1[[#This Row],[Filtro]])</f>
        <v>Fora do DRE</v>
      </c>
      <c r="W1404" s="3" t="str">
        <f>LEFT(Base_Periodo1[[#This Row],[CLASS]],3)</f>
        <v>1.1</v>
      </c>
    </row>
    <row r="1405" spans="1:23" hidden="1">
      <c r="A1405" s="3" t="str">
        <f t="shared" si="21"/>
        <v>Período 1</v>
      </c>
      <c r="B1405">
        <v>311</v>
      </c>
      <c r="C1405" t="s">
        <v>6225</v>
      </c>
      <c r="D1405" t="s">
        <v>1185</v>
      </c>
      <c r="E1405" s="3" t="str">
        <f>IF(LEN(Base_Periodo1[[#This Row],[CLASS]])&gt;=7,LEFT(Base_Periodo1[[#This Row],[CLASS]],7),"")</f>
        <v>1.1.3.1</v>
      </c>
      <c r="F1405" s="3" t="str">
        <f>VLOOKUP(Base_Periodo1[[#This Row],[Aux]],Base_Contas_Balanco[#All],2,FALSE)</f>
        <v>Estoques Proprios</v>
      </c>
      <c r="G1405" s="1">
        <v>42811</v>
      </c>
      <c r="H1405" s="225">
        <v>412645.60000000021</v>
      </c>
      <c r="I1405" s="225">
        <v>0</v>
      </c>
      <c r="J1405" s="225">
        <v>0</v>
      </c>
      <c r="K1405" s="225">
        <v>412645.60000000021</v>
      </c>
      <c r="L14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412645.6</v>
      </c>
      <c r="M1405" s="225">
        <f>ROUND(IF(AND(Base_Periodo1[[#This Row],[Tipo_Linha]]="-",Base_Periodo1[[#This Row],[TIPOSALDO]]="D"),Base_Periodo1[[#This Row],[SALDO_ATUAL]]*-1,Base_Periodo1[[#This Row],[SALDO_ATUAL]]),4)</f>
        <v>412645.6</v>
      </c>
      <c r="N1405" t="s">
        <v>116</v>
      </c>
      <c r="O1405" t="s">
        <v>397</v>
      </c>
      <c r="P1405" t="s">
        <v>397</v>
      </c>
      <c r="Q1405">
        <v>9</v>
      </c>
      <c r="R1405" s="225">
        <f>Base_Periodo1[[#This Row],[CREDITOS]]-Base_Periodo1[[#This Row],[DEBITOS]]</f>
        <v>0</v>
      </c>
      <c r="S1405" s="3" t="str">
        <f>IF(ISERROR(VLOOKUP(Base_Periodo1[[#This Row],[CONTA]],BaseContasDRE[#All],4,FALSE)),"Fora do DRE",VLOOKUP(Base_Periodo1[[#This Row],[CONTA]],BaseContasDRE[#All],4,FALSE))</f>
        <v>Fora do DRE</v>
      </c>
      <c r="T1405" s="3" t="str">
        <f>IF(ISERROR(VLOOKUP(Base_Periodo1[[#This Row],[CONTA]],BaseContasDRE[#All],5,FALSE)),"Fora do DRE",VLOOKUP(Base_Periodo1[[#This Row],[CONTA]],BaseContasDRE[#All],6,FALSE))</f>
        <v>Fora do DRE</v>
      </c>
      <c r="U1405" s="3" t="str">
        <f>IF(ISERROR(VLOOKUP(Base_Periodo1[[#This Row],[CONTA]],BaseContasDRE[#All],7,FALSE)),"Fora do DRE",VLOOKUP(Base_Periodo1[[#This Row],[CONTA]],BaseContasDRE[#All],7,FALSE))</f>
        <v>Fora do DRE</v>
      </c>
      <c r="V1405" s="3" t="str">
        <f>IF(Base_Periodo1[[#This Row],[Tipo_Linha]]="Fora do DRE","Fora do DRE","( "&amp;Base_Periodo1[[#This Row],[Tipo_Linha]]&amp;" ) "&amp;Base_Periodo1[[#This Row],[Filtro]])</f>
        <v>Fora do DRE</v>
      </c>
      <c r="W1405" s="3" t="str">
        <f>LEFT(Base_Periodo1[[#This Row],[CLASS]],3)</f>
        <v>1.1</v>
      </c>
    </row>
    <row r="1406" spans="1:23" hidden="1">
      <c r="A1406" s="3" t="str">
        <f t="shared" si="21"/>
        <v>Período 1</v>
      </c>
      <c r="B1406">
        <v>313</v>
      </c>
      <c r="C1406" t="s">
        <v>1186</v>
      </c>
      <c r="D1406" t="s">
        <v>1067</v>
      </c>
      <c r="E1406" s="3" t="str">
        <f>IF(LEN(Base_Periodo1[[#This Row],[CLASS]])&gt;=7,LEFT(Base_Periodo1[[#This Row],[CLASS]],7),"")</f>
        <v>1.1.3.1</v>
      </c>
      <c r="F1406" s="3" t="str">
        <f>VLOOKUP(Base_Periodo1[[#This Row],[Aux]],Base_Contas_Balanco[#All],2,FALSE)</f>
        <v>Estoques Proprios</v>
      </c>
      <c r="G1406" s="1"/>
      <c r="H1406" s="225">
        <v>4330418.0000000158</v>
      </c>
      <c r="I1406" s="225">
        <v>0</v>
      </c>
      <c r="J1406" s="225">
        <v>71430.22</v>
      </c>
      <c r="K1406" s="225">
        <v>4401848.2200000156</v>
      </c>
      <c r="L14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-4401848.22</v>
      </c>
      <c r="M1406" s="225">
        <f>ROUND(IF(AND(Base_Periodo1[[#This Row],[Tipo_Linha]]="-",Base_Periodo1[[#This Row],[TIPOSALDO]]="D"),Base_Periodo1[[#This Row],[SALDO_ATUAL]]*-1,Base_Periodo1[[#This Row],[SALDO_ATUAL]]),4)</f>
        <v>4401848.22</v>
      </c>
      <c r="N1406" t="s">
        <v>396</v>
      </c>
      <c r="O1406" t="s">
        <v>459</v>
      </c>
      <c r="P1406" t="s">
        <v>459</v>
      </c>
      <c r="Q1406">
        <v>8</v>
      </c>
      <c r="R1406" s="225">
        <f>Base_Periodo1[[#This Row],[CREDITOS]]-Base_Periodo1[[#This Row],[DEBITOS]]</f>
        <v>71430.22</v>
      </c>
      <c r="S1406" s="3" t="str">
        <f>IF(ISERROR(VLOOKUP(Base_Periodo1[[#This Row],[CONTA]],BaseContasDRE[#All],4,FALSE)),"Fora do DRE",VLOOKUP(Base_Periodo1[[#This Row],[CONTA]],BaseContasDRE[#All],4,FALSE))</f>
        <v>Fora do DRE</v>
      </c>
      <c r="T1406" s="3" t="str">
        <f>IF(ISERROR(VLOOKUP(Base_Periodo1[[#This Row],[CONTA]],BaseContasDRE[#All],5,FALSE)),"Fora do DRE",VLOOKUP(Base_Periodo1[[#This Row],[CONTA]],BaseContasDRE[#All],6,FALSE))</f>
        <v>Fora do DRE</v>
      </c>
      <c r="U1406" s="3" t="str">
        <f>IF(ISERROR(VLOOKUP(Base_Periodo1[[#This Row],[CONTA]],BaseContasDRE[#All],7,FALSE)),"Fora do DRE",VLOOKUP(Base_Periodo1[[#This Row],[CONTA]],BaseContasDRE[#All],7,FALSE))</f>
        <v>Fora do DRE</v>
      </c>
      <c r="V1406" s="3" t="str">
        <f>IF(Base_Periodo1[[#This Row],[Tipo_Linha]]="Fora do DRE","Fora do DRE","( "&amp;Base_Periodo1[[#This Row],[Tipo_Linha]]&amp;" ) "&amp;Base_Periodo1[[#This Row],[Filtro]])</f>
        <v>Fora do DRE</v>
      </c>
      <c r="W1406" s="3" t="str">
        <f>LEFT(Base_Periodo1[[#This Row],[CLASS]],3)</f>
        <v>1.1</v>
      </c>
    </row>
    <row r="1407" spans="1:23" hidden="1">
      <c r="A1407" s="3" t="str">
        <f t="shared" si="21"/>
        <v>Período 1</v>
      </c>
      <c r="B1407">
        <v>314</v>
      </c>
      <c r="C1407" t="s">
        <v>1187</v>
      </c>
      <c r="D1407" t="s">
        <v>1068</v>
      </c>
      <c r="E1407" s="3" t="str">
        <f>IF(LEN(Base_Periodo1[[#This Row],[CLASS]])&gt;=7,LEFT(Base_Periodo1[[#This Row],[CLASS]],7),"")</f>
        <v>1.1.3.1</v>
      </c>
      <c r="F1407" s="3" t="str">
        <f>VLOOKUP(Base_Periodo1[[#This Row],[Aux]],Base_Contas_Balanco[#All],2,FALSE)</f>
        <v>Estoques Proprios</v>
      </c>
      <c r="G1407" s="1">
        <v>42886</v>
      </c>
      <c r="H1407" s="225">
        <v>4148216.0700000152</v>
      </c>
      <c r="I1407" s="225">
        <v>0</v>
      </c>
      <c r="J1407" s="225">
        <v>69962.44</v>
      </c>
      <c r="K1407" s="225">
        <v>4218178.5100000156</v>
      </c>
      <c r="L14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-4218178.51</v>
      </c>
      <c r="M1407" s="225">
        <f>ROUND(IF(AND(Base_Periodo1[[#This Row],[Tipo_Linha]]="-",Base_Periodo1[[#This Row],[TIPOSALDO]]="D"),Base_Periodo1[[#This Row],[SALDO_ATUAL]]*-1,Base_Periodo1[[#This Row],[SALDO_ATUAL]]),4)</f>
        <v>4218178.51</v>
      </c>
      <c r="N1407" t="s">
        <v>116</v>
      </c>
      <c r="O1407" t="s">
        <v>459</v>
      </c>
      <c r="P1407" t="s">
        <v>459</v>
      </c>
      <c r="Q1407">
        <v>9</v>
      </c>
      <c r="R1407" s="225">
        <f>Base_Periodo1[[#This Row],[CREDITOS]]-Base_Periodo1[[#This Row],[DEBITOS]]</f>
        <v>69962.44</v>
      </c>
      <c r="S1407" s="3" t="str">
        <f>IF(ISERROR(VLOOKUP(Base_Periodo1[[#This Row],[CONTA]],BaseContasDRE[#All],4,FALSE)),"Fora do DRE",VLOOKUP(Base_Periodo1[[#This Row],[CONTA]],BaseContasDRE[#All],4,FALSE))</f>
        <v>Fora do DRE</v>
      </c>
      <c r="T1407" s="3" t="str">
        <f>IF(ISERROR(VLOOKUP(Base_Periodo1[[#This Row],[CONTA]],BaseContasDRE[#All],5,FALSE)),"Fora do DRE",VLOOKUP(Base_Periodo1[[#This Row],[CONTA]],BaseContasDRE[#All],6,FALSE))</f>
        <v>Fora do DRE</v>
      </c>
      <c r="U1407" s="3" t="str">
        <f>IF(ISERROR(VLOOKUP(Base_Periodo1[[#This Row],[CONTA]],BaseContasDRE[#All],7,FALSE)),"Fora do DRE",VLOOKUP(Base_Periodo1[[#This Row],[CONTA]],BaseContasDRE[#All],7,FALSE))</f>
        <v>Fora do DRE</v>
      </c>
      <c r="V1407" s="3" t="str">
        <f>IF(Base_Periodo1[[#This Row],[Tipo_Linha]]="Fora do DRE","Fora do DRE","( "&amp;Base_Periodo1[[#This Row],[Tipo_Linha]]&amp;" ) "&amp;Base_Periodo1[[#This Row],[Filtro]])</f>
        <v>Fora do DRE</v>
      </c>
      <c r="W1407" s="3" t="str">
        <f>LEFT(Base_Periodo1[[#This Row],[CLASS]],3)</f>
        <v>1.1</v>
      </c>
    </row>
    <row r="1408" spans="1:23" hidden="1">
      <c r="A1408" s="3" t="str">
        <f t="shared" si="21"/>
        <v>Período 1</v>
      </c>
      <c r="B1408">
        <v>315</v>
      </c>
      <c r="C1408" t="s">
        <v>1188</v>
      </c>
      <c r="D1408" t="s">
        <v>1070</v>
      </c>
      <c r="E1408" s="3" t="str">
        <f>IF(LEN(Base_Periodo1[[#This Row],[CLASS]])&gt;=7,LEFT(Base_Periodo1[[#This Row],[CLASS]],7),"")</f>
        <v>1.1.3.1</v>
      </c>
      <c r="F1408" s="3" t="str">
        <f>VLOOKUP(Base_Periodo1[[#This Row],[Aux]],Base_Contas_Balanco[#All],2,FALSE)</f>
        <v>Estoques Proprios</v>
      </c>
      <c r="G1408" s="1">
        <v>42886</v>
      </c>
      <c r="H1408" s="225">
        <v>182201.93000000063</v>
      </c>
      <c r="I1408" s="225">
        <v>0</v>
      </c>
      <c r="J1408" s="225">
        <v>1467.78</v>
      </c>
      <c r="K1408" s="225">
        <v>183669.71000000063</v>
      </c>
      <c r="L14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-183669.71</v>
      </c>
      <c r="M1408" s="225">
        <f>ROUND(IF(AND(Base_Periodo1[[#This Row],[Tipo_Linha]]="-",Base_Periodo1[[#This Row],[TIPOSALDO]]="D"),Base_Periodo1[[#This Row],[SALDO_ATUAL]]*-1,Base_Periodo1[[#This Row],[SALDO_ATUAL]]),4)</f>
        <v>183669.71</v>
      </c>
      <c r="N1408" t="s">
        <v>116</v>
      </c>
      <c r="O1408" t="s">
        <v>459</v>
      </c>
      <c r="P1408" t="s">
        <v>459</v>
      </c>
      <c r="Q1408">
        <v>9</v>
      </c>
      <c r="R1408" s="225">
        <f>Base_Periodo1[[#This Row],[CREDITOS]]-Base_Periodo1[[#This Row],[DEBITOS]]</f>
        <v>1467.78</v>
      </c>
      <c r="S1408" s="3" t="str">
        <f>IF(ISERROR(VLOOKUP(Base_Periodo1[[#This Row],[CONTA]],BaseContasDRE[#All],4,FALSE)),"Fora do DRE",VLOOKUP(Base_Periodo1[[#This Row],[CONTA]],BaseContasDRE[#All],4,FALSE))</f>
        <v>Fora do DRE</v>
      </c>
      <c r="T1408" s="3" t="str">
        <f>IF(ISERROR(VLOOKUP(Base_Periodo1[[#This Row],[CONTA]],BaseContasDRE[#All],5,FALSE)),"Fora do DRE",VLOOKUP(Base_Periodo1[[#This Row],[CONTA]],BaseContasDRE[#All],6,FALSE))</f>
        <v>Fora do DRE</v>
      </c>
      <c r="U1408" s="3" t="str">
        <f>IF(ISERROR(VLOOKUP(Base_Periodo1[[#This Row],[CONTA]],BaseContasDRE[#All],7,FALSE)),"Fora do DRE",VLOOKUP(Base_Periodo1[[#This Row],[CONTA]],BaseContasDRE[#All],7,FALSE))</f>
        <v>Fora do DRE</v>
      </c>
      <c r="V1408" s="3" t="str">
        <f>IF(Base_Periodo1[[#This Row],[Tipo_Linha]]="Fora do DRE","Fora do DRE","( "&amp;Base_Periodo1[[#This Row],[Tipo_Linha]]&amp;" ) "&amp;Base_Periodo1[[#This Row],[Filtro]])</f>
        <v>Fora do DRE</v>
      </c>
      <c r="W1408" s="3" t="str">
        <f>LEFT(Base_Periodo1[[#This Row],[CLASS]],3)</f>
        <v>1.1</v>
      </c>
    </row>
    <row r="1409" spans="1:23" hidden="1">
      <c r="A1409" s="3" t="str">
        <f t="shared" si="21"/>
        <v>Período 1</v>
      </c>
      <c r="B1409">
        <v>316</v>
      </c>
      <c r="C1409" t="s">
        <v>4585</v>
      </c>
      <c r="D1409" t="s">
        <v>1166</v>
      </c>
      <c r="E1409" s="3" t="str">
        <f>IF(LEN(Base_Periodo1[[#This Row],[CLASS]])&gt;=7,LEFT(Base_Periodo1[[#This Row],[CLASS]],7),"")</f>
        <v>1.1.3.1</v>
      </c>
      <c r="F1409" s="3" t="str">
        <f>VLOOKUP(Base_Periodo1[[#This Row],[Aux]],Base_Contas_Balanco[#All],2,FALSE)</f>
        <v>Estoques Proprios</v>
      </c>
      <c r="G1409" s="1"/>
      <c r="H1409" s="225">
        <v>190963.97000000015</v>
      </c>
      <c r="I1409" s="225">
        <v>0</v>
      </c>
      <c r="J1409" s="225">
        <v>97185.26</v>
      </c>
      <c r="K1409" s="225">
        <v>288149.23000000016</v>
      </c>
      <c r="L14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-288149.23</v>
      </c>
      <c r="M1409" s="225">
        <f>ROUND(IF(AND(Base_Periodo1[[#This Row],[Tipo_Linha]]="-",Base_Periodo1[[#This Row],[TIPOSALDO]]="D"),Base_Periodo1[[#This Row],[SALDO_ATUAL]]*-1,Base_Periodo1[[#This Row],[SALDO_ATUAL]]),4)</f>
        <v>288149.23</v>
      </c>
      <c r="N1409" t="s">
        <v>396</v>
      </c>
      <c r="O1409" t="s">
        <v>459</v>
      </c>
      <c r="P1409" t="s">
        <v>459</v>
      </c>
      <c r="Q1409">
        <v>8</v>
      </c>
      <c r="R1409" s="225">
        <f>Base_Periodo1[[#This Row],[CREDITOS]]-Base_Periodo1[[#This Row],[DEBITOS]]</f>
        <v>97185.26</v>
      </c>
      <c r="S1409" s="3" t="str">
        <f>IF(ISERROR(VLOOKUP(Base_Periodo1[[#This Row],[CONTA]],BaseContasDRE[#All],4,FALSE)),"Fora do DRE",VLOOKUP(Base_Periodo1[[#This Row],[CONTA]],BaseContasDRE[#All],4,FALSE))</f>
        <v>Fora do DRE</v>
      </c>
      <c r="T1409" s="3" t="str">
        <f>IF(ISERROR(VLOOKUP(Base_Periodo1[[#This Row],[CONTA]],BaseContasDRE[#All],5,FALSE)),"Fora do DRE",VLOOKUP(Base_Periodo1[[#This Row],[CONTA]],BaseContasDRE[#All],6,FALSE))</f>
        <v>Fora do DRE</v>
      </c>
      <c r="U1409" s="3" t="str">
        <f>IF(ISERROR(VLOOKUP(Base_Periodo1[[#This Row],[CONTA]],BaseContasDRE[#All],7,FALSE)),"Fora do DRE",VLOOKUP(Base_Periodo1[[#This Row],[CONTA]],BaseContasDRE[#All],7,FALSE))</f>
        <v>Fora do DRE</v>
      </c>
      <c r="V1409" s="3" t="str">
        <f>IF(Base_Periodo1[[#This Row],[Tipo_Linha]]="Fora do DRE","Fora do DRE","( "&amp;Base_Periodo1[[#This Row],[Tipo_Linha]]&amp;" ) "&amp;Base_Periodo1[[#This Row],[Filtro]])</f>
        <v>Fora do DRE</v>
      </c>
      <c r="W1409" s="3" t="str">
        <f>LEFT(Base_Periodo1[[#This Row],[CLASS]],3)</f>
        <v>1.1</v>
      </c>
    </row>
    <row r="1410" spans="1:23" hidden="1">
      <c r="A1410" s="3" t="str">
        <f t="shared" si="21"/>
        <v>Período 1</v>
      </c>
      <c r="B1410">
        <v>318</v>
      </c>
      <c r="C1410" t="s">
        <v>4586</v>
      </c>
      <c r="D1410" t="s">
        <v>1167</v>
      </c>
      <c r="E1410" s="3" t="str">
        <f>IF(LEN(Base_Periodo1[[#This Row],[CLASS]])&gt;=7,LEFT(Base_Periodo1[[#This Row],[CLASS]],7),"")</f>
        <v>1.1.3.1</v>
      </c>
      <c r="F1410" s="3" t="str">
        <f>VLOOKUP(Base_Periodo1[[#This Row],[Aux]],Base_Contas_Balanco[#All],2,FALSE)</f>
        <v>Estoques Proprios</v>
      </c>
      <c r="G1410" s="1">
        <v>42872</v>
      </c>
      <c r="H1410" s="225">
        <v>190963.97000000015</v>
      </c>
      <c r="I1410" s="225">
        <v>0</v>
      </c>
      <c r="J1410" s="225">
        <v>97185.26</v>
      </c>
      <c r="K1410" s="225">
        <v>288149.23000000016</v>
      </c>
      <c r="L14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-288149.23</v>
      </c>
      <c r="M1410" s="225">
        <f>ROUND(IF(AND(Base_Periodo1[[#This Row],[Tipo_Linha]]="-",Base_Periodo1[[#This Row],[TIPOSALDO]]="D"),Base_Periodo1[[#This Row],[SALDO_ATUAL]]*-1,Base_Periodo1[[#This Row],[SALDO_ATUAL]]),4)</f>
        <v>288149.23</v>
      </c>
      <c r="N1410" t="s">
        <v>116</v>
      </c>
      <c r="O1410" t="s">
        <v>459</v>
      </c>
      <c r="P1410" t="s">
        <v>459</v>
      </c>
      <c r="Q1410">
        <v>9</v>
      </c>
      <c r="R1410" s="225">
        <f>Base_Periodo1[[#This Row],[CREDITOS]]-Base_Periodo1[[#This Row],[DEBITOS]]</f>
        <v>97185.26</v>
      </c>
      <c r="S1410" s="3" t="str">
        <f>IF(ISERROR(VLOOKUP(Base_Periodo1[[#This Row],[CONTA]],BaseContasDRE[#All],4,FALSE)),"Fora do DRE",VLOOKUP(Base_Periodo1[[#This Row],[CONTA]],BaseContasDRE[#All],4,FALSE))</f>
        <v>Fora do DRE</v>
      </c>
      <c r="T1410" s="3" t="str">
        <f>IF(ISERROR(VLOOKUP(Base_Periodo1[[#This Row],[CONTA]],BaseContasDRE[#All],5,FALSE)),"Fora do DRE",VLOOKUP(Base_Periodo1[[#This Row],[CONTA]],BaseContasDRE[#All],6,FALSE))</f>
        <v>Fora do DRE</v>
      </c>
      <c r="U1410" s="3" t="str">
        <f>IF(ISERROR(VLOOKUP(Base_Periodo1[[#This Row],[CONTA]],BaseContasDRE[#All],7,FALSE)),"Fora do DRE",VLOOKUP(Base_Periodo1[[#This Row],[CONTA]],BaseContasDRE[#All],7,FALSE))</f>
        <v>Fora do DRE</v>
      </c>
      <c r="V1410" s="3" t="str">
        <f>IF(Base_Periodo1[[#This Row],[Tipo_Linha]]="Fora do DRE","Fora do DRE","( "&amp;Base_Periodo1[[#This Row],[Tipo_Linha]]&amp;" ) "&amp;Base_Periodo1[[#This Row],[Filtro]])</f>
        <v>Fora do DRE</v>
      </c>
      <c r="W1410" s="3" t="str">
        <f>LEFT(Base_Periodo1[[#This Row],[CLASS]],3)</f>
        <v>1.1</v>
      </c>
    </row>
    <row r="1411" spans="1:23" hidden="1">
      <c r="A1411" s="3" t="str">
        <f t="shared" si="21"/>
        <v>Período 1</v>
      </c>
      <c r="B1411">
        <v>319</v>
      </c>
      <c r="C1411" t="s">
        <v>1189</v>
      </c>
      <c r="D1411" t="s">
        <v>1072</v>
      </c>
      <c r="E1411" s="3" t="str">
        <f>IF(LEN(Base_Periodo1[[#This Row],[CLASS]])&gt;=7,LEFT(Base_Periodo1[[#This Row],[CLASS]],7),"")</f>
        <v>1.1.3.1</v>
      </c>
      <c r="F1411" s="3" t="str">
        <f>VLOOKUP(Base_Periodo1[[#This Row],[Aux]],Base_Contas_Balanco[#All],2,FALSE)</f>
        <v>Estoques Proprios</v>
      </c>
      <c r="G1411" s="1"/>
      <c r="H1411" s="225">
        <v>4378583.6599999964</v>
      </c>
      <c r="I1411" s="225">
        <v>0</v>
      </c>
      <c r="J1411" s="225">
        <v>359554.86000000016</v>
      </c>
      <c r="K1411" s="225">
        <v>4738138.5199999968</v>
      </c>
      <c r="L14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-4738138.5199999996</v>
      </c>
      <c r="M1411" s="225">
        <f>ROUND(IF(AND(Base_Periodo1[[#This Row],[Tipo_Linha]]="-",Base_Periodo1[[#This Row],[TIPOSALDO]]="D"),Base_Periodo1[[#This Row],[SALDO_ATUAL]]*-1,Base_Periodo1[[#This Row],[SALDO_ATUAL]]),4)</f>
        <v>4738138.5199999996</v>
      </c>
      <c r="N1411" t="s">
        <v>396</v>
      </c>
      <c r="O1411" t="s">
        <v>459</v>
      </c>
      <c r="P1411" t="s">
        <v>459</v>
      </c>
      <c r="Q1411">
        <v>8</v>
      </c>
      <c r="R1411" s="225">
        <f>Base_Periodo1[[#This Row],[CREDITOS]]-Base_Periodo1[[#This Row],[DEBITOS]]</f>
        <v>359554.86000000016</v>
      </c>
      <c r="S1411" s="3" t="str">
        <f>IF(ISERROR(VLOOKUP(Base_Periodo1[[#This Row],[CONTA]],BaseContasDRE[#All],4,FALSE)),"Fora do DRE",VLOOKUP(Base_Periodo1[[#This Row],[CONTA]],BaseContasDRE[#All],4,FALSE))</f>
        <v>Fora do DRE</v>
      </c>
      <c r="T1411" s="3" t="str">
        <f>IF(ISERROR(VLOOKUP(Base_Periodo1[[#This Row],[CONTA]],BaseContasDRE[#All],5,FALSE)),"Fora do DRE",VLOOKUP(Base_Periodo1[[#This Row],[CONTA]],BaseContasDRE[#All],6,FALSE))</f>
        <v>Fora do DRE</v>
      </c>
      <c r="U1411" s="3" t="str">
        <f>IF(ISERROR(VLOOKUP(Base_Periodo1[[#This Row],[CONTA]],BaseContasDRE[#All],7,FALSE)),"Fora do DRE",VLOOKUP(Base_Periodo1[[#This Row],[CONTA]],BaseContasDRE[#All],7,FALSE))</f>
        <v>Fora do DRE</v>
      </c>
      <c r="V1411" s="3" t="str">
        <f>IF(Base_Periodo1[[#This Row],[Tipo_Linha]]="Fora do DRE","Fora do DRE","( "&amp;Base_Periodo1[[#This Row],[Tipo_Linha]]&amp;" ) "&amp;Base_Periodo1[[#This Row],[Filtro]])</f>
        <v>Fora do DRE</v>
      </c>
      <c r="W1411" s="3" t="str">
        <f>LEFT(Base_Periodo1[[#This Row],[CLASS]],3)</f>
        <v>1.1</v>
      </c>
    </row>
    <row r="1412" spans="1:23" hidden="1">
      <c r="A1412" s="3" t="str">
        <f t="shared" si="21"/>
        <v>Período 1</v>
      </c>
      <c r="B1412">
        <v>320</v>
      </c>
      <c r="C1412" t="s">
        <v>1190</v>
      </c>
      <c r="D1412" t="s">
        <v>1074</v>
      </c>
      <c r="E1412" s="3" t="str">
        <f>IF(LEN(Base_Periodo1[[#This Row],[CLASS]])&gt;=7,LEFT(Base_Periodo1[[#This Row],[CLASS]],7),"")</f>
        <v>1.1.3.1</v>
      </c>
      <c r="F1412" s="3" t="str">
        <f>VLOOKUP(Base_Periodo1[[#This Row],[Aux]],Base_Contas_Balanco[#All],2,FALSE)</f>
        <v>Estoques Proprios</v>
      </c>
      <c r="G1412" s="1">
        <v>42886</v>
      </c>
      <c r="H1412" s="225">
        <v>4378583.6599999964</v>
      </c>
      <c r="I1412" s="225">
        <v>0</v>
      </c>
      <c r="J1412" s="225">
        <v>359554.86000000016</v>
      </c>
      <c r="K1412" s="225">
        <v>4738138.5199999968</v>
      </c>
      <c r="L14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-4738138.5199999996</v>
      </c>
      <c r="M1412" s="225">
        <f>ROUND(IF(AND(Base_Periodo1[[#This Row],[Tipo_Linha]]="-",Base_Periodo1[[#This Row],[TIPOSALDO]]="D"),Base_Periodo1[[#This Row],[SALDO_ATUAL]]*-1,Base_Periodo1[[#This Row],[SALDO_ATUAL]]),4)</f>
        <v>4738138.5199999996</v>
      </c>
      <c r="N1412" t="s">
        <v>116</v>
      </c>
      <c r="O1412" t="s">
        <v>459</v>
      </c>
      <c r="P1412" t="s">
        <v>459</v>
      </c>
      <c r="Q1412">
        <v>9</v>
      </c>
      <c r="R1412" s="225">
        <f>Base_Periodo1[[#This Row],[CREDITOS]]-Base_Periodo1[[#This Row],[DEBITOS]]</f>
        <v>359554.86000000016</v>
      </c>
      <c r="S1412" s="3" t="str">
        <f>IF(ISERROR(VLOOKUP(Base_Periodo1[[#This Row],[CONTA]],BaseContasDRE[#All],4,FALSE)),"Fora do DRE",VLOOKUP(Base_Periodo1[[#This Row],[CONTA]],BaseContasDRE[#All],4,FALSE))</f>
        <v>Fora do DRE</v>
      </c>
      <c r="T1412" s="3" t="str">
        <f>IF(ISERROR(VLOOKUP(Base_Periodo1[[#This Row],[CONTA]],BaseContasDRE[#All],5,FALSE)),"Fora do DRE",VLOOKUP(Base_Periodo1[[#This Row],[CONTA]],BaseContasDRE[#All],6,FALSE))</f>
        <v>Fora do DRE</v>
      </c>
      <c r="U1412" s="3" t="str">
        <f>IF(ISERROR(VLOOKUP(Base_Periodo1[[#This Row],[CONTA]],BaseContasDRE[#All],7,FALSE)),"Fora do DRE",VLOOKUP(Base_Periodo1[[#This Row],[CONTA]],BaseContasDRE[#All],7,FALSE))</f>
        <v>Fora do DRE</v>
      </c>
      <c r="V1412" s="3" t="str">
        <f>IF(Base_Periodo1[[#This Row],[Tipo_Linha]]="Fora do DRE","Fora do DRE","( "&amp;Base_Periodo1[[#This Row],[Tipo_Linha]]&amp;" ) "&amp;Base_Periodo1[[#This Row],[Filtro]])</f>
        <v>Fora do DRE</v>
      </c>
      <c r="W1412" s="3" t="str">
        <f>LEFT(Base_Periodo1[[#This Row],[CLASS]],3)</f>
        <v>1.1</v>
      </c>
    </row>
    <row r="1413" spans="1:23" hidden="1">
      <c r="A1413" s="3" t="str">
        <f t="shared" si="21"/>
        <v>Período 1</v>
      </c>
      <c r="B1413">
        <v>321</v>
      </c>
      <c r="C1413" t="s">
        <v>1191</v>
      </c>
      <c r="D1413" t="s">
        <v>1171</v>
      </c>
      <c r="E1413" s="3" t="str">
        <f>IF(LEN(Base_Periodo1[[#This Row],[CLASS]])&gt;=7,LEFT(Base_Periodo1[[#This Row],[CLASS]],7),"")</f>
        <v>1.1.3.1</v>
      </c>
      <c r="F1413" s="3" t="str">
        <f>VLOOKUP(Base_Periodo1[[#This Row],[Aux]],Base_Contas_Balanco[#All],2,FALSE)</f>
        <v>Estoques Proprios</v>
      </c>
      <c r="G1413" s="1"/>
      <c r="H1413" s="225">
        <v>37073.600000000028</v>
      </c>
      <c r="I1413" s="225">
        <v>0</v>
      </c>
      <c r="J1413" s="225">
        <v>650</v>
      </c>
      <c r="K1413" s="225">
        <v>37723.600000000028</v>
      </c>
      <c r="L14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-37723.599999999999</v>
      </c>
      <c r="M1413" s="225">
        <f>ROUND(IF(AND(Base_Periodo1[[#This Row],[Tipo_Linha]]="-",Base_Periodo1[[#This Row],[TIPOSALDO]]="D"),Base_Periodo1[[#This Row],[SALDO_ATUAL]]*-1,Base_Periodo1[[#This Row],[SALDO_ATUAL]]),4)</f>
        <v>37723.599999999999</v>
      </c>
      <c r="N1413" t="s">
        <v>396</v>
      </c>
      <c r="O1413" t="s">
        <v>459</v>
      </c>
      <c r="P1413" t="s">
        <v>459</v>
      </c>
      <c r="Q1413">
        <v>8</v>
      </c>
      <c r="R1413" s="225">
        <f>Base_Periodo1[[#This Row],[CREDITOS]]-Base_Periodo1[[#This Row],[DEBITOS]]</f>
        <v>650</v>
      </c>
      <c r="S1413" s="3" t="str">
        <f>IF(ISERROR(VLOOKUP(Base_Periodo1[[#This Row],[CONTA]],BaseContasDRE[#All],4,FALSE)),"Fora do DRE",VLOOKUP(Base_Periodo1[[#This Row],[CONTA]],BaseContasDRE[#All],4,FALSE))</f>
        <v>Fora do DRE</v>
      </c>
      <c r="T1413" s="3" t="str">
        <f>IF(ISERROR(VLOOKUP(Base_Periodo1[[#This Row],[CONTA]],BaseContasDRE[#All],5,FALSE)),"Fora do DRE",VLOOKUP(Base_Periodo1[[#This Row],[CONTA]],BaseContasDRE[#All],6,FALSE))</f>
        <v>Fora do DRE</v>
      </c>
      <c r="U1413" s="3" t="str">
        <f>IF(ISERROR(VLOOKUP(Base_Periodo1[[#This Row],[CONTA]],BaseContasDRE[#All],7,FALSE)),"Fora do DRE",VLOOKUP(Base_Periodo1[[#This Row],[CONTA]],BaseContasDRE[#All],7,FALSE))</f>
        <v>Fora do DRE</v>
      </c>
      <c r="V1413" s="3" t="str">
        <f>IF(Base_Periodo1[[#This Row],[Tipo_Linha]]="Fora do DRE","Fora do DRE","( "&amp;Base_Periodo1[[#This Row],[Tipo_Linha]]&amp;" ) "&amp;Base_Periodo1[[#This Row],[Filtro]])</f>
        <v>Fora do DRE</v>
      </c>
      <c r="W1413" s="3" t="str">
        <f>LEFT(Base_Periodo1[[#This Row],[CLASS]],3)</f>
        <v>1.1</v>
      </c>
    </row>
    <row r="1414" spans="1:23" hidden="1">
      <c r="A1414" s="3" t="str">
        <f t="shared" ref="A1414:A1477" si="22">"Período 1"</f>
        <v>Período 1</v>
      </c>
      <c r="B1414">
        <v>322</v>
      </c>
      <c r="C1414" t="s">
        <v>1192</v>
      </c>
      <c r="D1414" t="s">
        <v>1173</v>
      </c>
      <c r="E1414" s="3" t="str">
        <f>IF(LEN(Base_Periodo1[[#This Row],[CLASS]])&gt;=7,LEFT(Base_Periodo1[[#This Row],[CLASS]],7),"")</f>
        <v>1.1.3.1</v>
      </c>
      <c r="F1414" s="3" t="str">
        <f>VLOOKUP(Base_Periodo1[[#This Row],[Aux]],Base_Contas_Balanco[#All],2,FALSE)</f>
        <v>Estoques Proprios</v>
      </c>
      <c r="G1414" s="1">
        <v>42858</v>
      </c>
      <c r="H1414" s="225">
        <v>36653.600000000035</v>
      </c>
      <c r="I1414" s="225">
        <v>0</v>
      </c>
      <c r="J1414" s="225">
        <v>650</v>
      </c>
      <c r="K1414" s="225">
        <v>37303.600000000035</v>
      </c>
      <c r="L14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-37303.599999999999</v>
      </c>
      <c r="M1414" s="225">
        <f>ROUND(IF(AND(Base_Periodo1[[#This Row],[Tipo_Linha]]="-",Base_Periodo1[[#This Row],[TIPOSALDO]]="D"),Base_Periodo1[[#This Row],[SALDO_ATUAL]]*-1,Base_Periodo1[[#This Row],[SALDO_ATUAL]]),4)</f>
        <v>37303.599999999999</v>
      </c>
      <c r="N1414" t="s">
        <v>116</v>
      </c>
      <c r="O1414" t="s">
        <v>459</v>
      </c>
      <c r="P1414" t="s">
        <v>459</v>
      </c>
      <c r="Q1414">
        <v>9</v>
      </c>
      <c r="R1414" s="225">
        <f>Base_Periodo1[[#This Row],[CREDITOS]]-Base_Periodo1[[#This Row],[DEBITOS]]</f>
        <v>650</v>
      </c>
      <c r="S1414" s="3" t="str">
        <f>IF(ISERROR(VLOOKUP(Base_Periodo1[[#This Row],[CONTA]],BaseContasDRE[#All],4,FALSE)),"Fora do DRE",VLOOKUP(Base_Periodo1[[#This Row],[CONTA]],BaseContasDRE[#All],4,FALSE))</f>
        <v>Fora do DRE</v>
      </c>
      <c r="T1414" s="3" t="str">
        <f>IF(ISERROR(VLOOKUP(Base_Periodo1[[#This Row],[CONTA]],BaseContasDRE[#All],5,FALSE)),"Fora do DRE",VLOOKUP(Base_Periodo1[[#This Row],[CONTA]],BaseContasDRE[#All],6,FALSE))</f>
        <v>Fora do DRE</v>
      </c>
      <c r="U1414" s="3" t="str">
        <f>IF(ISERROR(VLOOKUP(Base_Periodo1[[#This Row],[CONTA]],BaseContasDRE[#All],7,FALSE)),"Fora do DRE",VLOOKUP(Base_Periodo1[[#This Row],[CONTA]],BaseContasDRE[#All],7,FALSE))</f>
        <v>Fora do DRE</v>
      </c>
      <c r="V1414" s="3" t="str">
        <f>IF(Base_Periodo1[[#This Row],[Tipo_Linha]]="Fora do DRE","Fora do DRE","( "&amp;Base_Periodo1[[#This Row],[Tipo_Linha]]&amp;" ) "&amp;Base_Periodo1[[#This Row],[Filtro]])</f>
        <v>Fora do DRE</v>
      </c>
      <c r="W1414" s="3" t="str">
        <f>LEFT(Base_Periodo1[[#This Row],[CLASS]],3)</f>
        <v>1.1</v>
      </c>
    </row>
    <row r="1415" spans="1:23" hidden="1">
      <c r="A1415" s="3" t="str">
        <f t="shared" si="22"/>
        <v>Período 1</v>
      </c>
      <c r="B1415">
        <v>323</v>
      </c>
      <c r="C1415" t="s">
        <v>6226</v>
      </c>
      <c r="D1415" t="s">
        <v>1174</v>
      </c>
      <c r="E1415" s="3" t="str">
        <f>IF(LEN(Base_Periodo1[[#This Row],[CLASS]])&gt;=7,LEFT(Base_Periodo1[[#This Row],[CLASS]],7),"")</f>
        <v>1.1.3.1</v>
      </c>
      <c r="F1415" s="3" t="str">
        <f>VLOOKUP(Base_Periodo1[[#This Row],[Aux]],Base_Contas_Balanco[#All],2,FALSE)</f>
        <v>Estoques Proprios</v>
      </c>
      <c r="G1415" s="1">
        <v>42843</v>
      </c>
      <c r="H1415" s="225">
        <v>419.99999999999272</v>
      </c>
      <c r="I1415" s="225">
        <v>0</v>
      </c>
      <c r="J1415" s="225">
        <v>0</v>
      </c>
      <c r="K1415" s="225">
        <v>419.99999999999272</v>
      </c>
      <c r="L14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-420</v>
      </c>
      <c r="M1415" s="225">
        <f>ROUND(IF(AND(Base_Periodo1[[#This Row],[Tipo_Linha]]="-",Base_Periodo1[[#This Row],[TIPOSALDO]]="D"),Base_Periodo1[[#This Row],[SALDO_ATUAL]]*-1,Base_Periodo1[[#This Row],[SALDO_ATUAL]]),4)</f>
        <v>420</v>
      </c>
      <c r="N1415" t="s">
        <v>116</v>
      </c>
      <c r="O1415" t="s">
        <v>459</v>
      </c>
      <c r="P1415" t="s">
        <v>459</v>
      </c>
      <c r="Q1415">
        <v>9</v>
      </c>
      <c r="R1415" s="225">
        <f>Base_Periodo1[[#This Row],[CREDITOS]]-Base_Periodo1[[#This Row],[DEBITOS]]</f>
        <v>0</v>
      </c>
      <c r="S1415" s="3" t="str">
        <f>IF(ISERROR(VLOOKUP(Base_Periodo1[[#This Row],[CONTA]],BaseContasDRE[#All],4,FALSE)),"Fora do DRE",VLOOKUP(Base_Periodo1[[#This Row],[CONTA]],BaseContasDRE[#All],4,FALSE))</f>
        <v>Fora do DRE</v>
      </c>
      <c r="T1415" s="3" t="str">
        <f>IF(ISERROR(VLOOKUP(Base_Periodo1[[#This Row],[CONTA]],BaseContasDRE[#All],5,FALSE)),"Fora do DRE",VLOOKUP(Base_Periodo1[[#This Row],[CONTA]],BaseContasDRE[#All],6,FALSE))</f>
        <v>Fora do DRE</v>
      </c>
      <c r="U1415" s="3" t="str">
        <f>IF(ISERROR(VLOOKUP(Base_Periodo1[[#This Row],[CONTA]],BaseContasDRE[#All],7,FALSE)),"Fora do DRE",VLOOKUP(Base_Periodo1[[#This Row],[CONTA]],BaseContasDRE[#All],7,FALSE))</f>
        <v>Fora do DRE</v>
      </c>
      <c r="V1415" s="3" t="str">
        <f>IF(Base_Periodo1[[#This Row],[Tipo_Linha]]="Fora do DRE","Fora do DRE","( "&amp;Base_Periodo1[[#This Row],[Tipo_Linha]]&amp;" ) "&amp;Base_Periodo1[[#This Row],[Filtro]])</f>
        <v>Fora do DRE</v>
      </c>
      <c r="W1415" s="3" t="str">
        <f>LEFT(Base_Periodo1[[#This Row],[CLASS]],3)</f>
        <v>1.1</v>
      </c>
    </row>
    <row r="1416" spans="1:23" hidden="1">
      <c r="A1416" s="3" t="str">
        <f t="shared" si="22"/>
        <v>Período 1</v>
      </c>
      <c r="B1416">
        <v>324</v>
      </c>
      <c r="C1416" t="s">
        <v>4535</v>
      </c>
      <c r="D1416" t="s">
        <v>1150</v>
      </c>
      <c r="E1416" s="3" t="str">
        <f>IF(LEN(Base_Periodo1[[#This Row],[CLASS]])&gt;=7,LEFT(Base_Periodo1[[#This Row],[CLASS]],7),"")</f>
        <v>1.1.3.1</v>
      </c>
      <c r="F1416" s="3" t="str">
        <f>VLOOKUP(Base_Periodo1[[#This Row],[Aux]],Base_Contas_Balanco[#All],2,FALSE)</f>
        <v>Estoques Proprios</v>
      </c>
      <c r="G1416" s="1"/>
      <c r="H1416" s="225">
        <v>245293.1599999998</v>
      </c>
      <c r="I1416" s="225">
        <v>0</v>
      </c>
      <c r="J1416" s="225">
        <v>208406.62000000002</v>
      </c>
      <c r="K1416" s="225">
        <v>453699.7799999998</v>
      </c>
      <c r="L14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-453699.78</v>
      </c>
      <c r="M1416" s="225">
        <f>ROUND(IF(AND(Base_Periodo1[[#This Row],[Tipo_Linha]]="-",Base_Periodo1[[#This Row],[TIPOSALDO]]="D"),Base_Periodo1[[#This Row],[SALDO_ATUAL]]*-1,Base_Periodo1[[#This Row],[SALDO_ATUAL]]),4)</f>
        <v>453699.78</v>
      </c>
      <c r="N1416" t="s">
        <v>396</v>
      </c>
      <c r="O1416" t="s">
        <v>459</v>
      </c>
      <c r="P1416" t="s">
        <v>459</v>
      </c>
      <c r="Q1416">
        <v>8</v>
      </c>
      <c r="R1416" s="225">
        <f>Base_Periodo1[[#This Row],[CREDITOS]]-Base_Periodo1[[#This Row],[DEBITOS]]</f>
        <v>208406.62000000002</v>
      </c>
      <c r="S1416" s="3" t="str">
        <f>IF(ISERROR(VLOOKUP(Base_Periodo1[[#This Row],[CONTA]],BaseContasDRE[#All],4,FALSE)),"Fora do DRE",VLOOKUP(Base_Periodo1[[#This Row],[CONTA]],BaseContasDRE[#All],4,FALSE))</f>
        <v>Fora do DRE</v>
      </c>
      <c r="T1416" s="3" t="str">
        <f>IF(ISERROR(VLOOKUP(Base_Periodo1[[#This Row],[CONTA]],BaseContasDRE[#All],5,FALSE)),"Fora do DRE",VLOOKUP(Base_Periodo1[[#This Row],[CONTA]],BaseContasDRE[#All],6,FALSE))</f>
        <v>Fora do DRE</v>
      </c>
      <c r="U1416" s="3" t="str">
        <f>IF(ISERROR(VLOOKUP(Base_Periodo1[[#This Row],[CONTA]],BaseContasDRE[#All],7,FALSE)),"Fora do DRE",VLOOKUP(Base_Periodo1[[#This Row],[CONTA]],BaseContasDRE[#All],7,FALSE))</f>
        <v>Fora do DRE</v>
      </c>
      <c r="V1416" s="3" t="str">
        <f>IF(Base_Periodo1[[#This Row],[Tipo_Linha]]="Fora do DRE","Fora do DRE","( "&amp;Base_Periodo1[[#This Row],[Tipo_Linha]]&amp;" ) "&amp;Base_Periodo1[[#This Row],[Filtro]])</f>
        <v>Fora do DRE</v>
      </c>
      <c r="W1416" s="3" t="str">
        <f>LEFT(Base_Periodo1[[#This Row],[CLASS]],3)</f>
        <v>1.1</v>
      </c>
    </row>
    <row r="1417" spans="1:23" hidden="1">
      <c r="A1417" s="3" t="str">
        <f t="shared" si="22"/>
        <v>Período 1</v>
      </c>
      <c r="B1417">
        <v>325</v>
      </c>
      <c r="C1417" t="s">
        <v>4717</v>
      </c>
      <c r="D1417" t="s">
        <v>1176</v>
      </c>
      <c r="E1417" s="3" t="str">
        <f>IF(LEN(Base_Periodo1[[#This Row],[CLASS]])&gt;=7,LEFT(Base_Periodo1[[#This Row],[CLASS]],7),"")</f>
        <v>1.1.3.1</v>
      </c>
      <c r="F1417" s="3" t="str">
        <f>VLOOKUP(Base_Periodo1[[#This Row],[Aux]],Base_Contas_Balanco[#All],2,FALSE)</f>
        <v>Estoques Proprios</v>
      </c>
      <c r="G1417" s="1">
        <v>42886</v>
      </c>
      <c r="H1417" s="225">
        <v>63940.899999999907</v>
      </c>
      <c r="I1417" s="225">
        <v>0</v>
      </c>
      <c r="J1417" s="225">
        <v>27975.920000000002</v>
      </c>
      <c r="K1417" s="225">
        <v>91916.819999999905</v>
      </c>
      <c r="L14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-91916.82</v>
      </c>
      <c r="M1417" s="225">
        <f>ROUND(IF(AND(Base_Periodo1[[#This Row],[Tipo_Linha]]="-",Base_Periodo1[[#This Row],[TIPOSALDO]]="D"),Base_Periodo1[[#This Row],[SALDO_ATUAL]]*-1,Base_Periodo1[[#This Row],[SALDO_ATUAL]]),4)</f>
        <v>91916.82</v>
      </c>
      <c r="N1417" t="s">
        <v>116</v>
      </c>
      <c r="O1417" t="s">
        <v>459</v>
      </c>
      <c r="P1417" t="s">
        <v>459</v>
      </c>
      <c r="Q1417">
        <v>9</v>
      </c>
      <c r="R1417" s="225">
        <f>Base_Periodo1[[#This Row],[CREDITOS]]-Base_Periodo1[[#This Row],[DEBITOS]]</f>
        <v>27975.920000000002</v>
      </c>
      <c r="S1417" s="3" t="str">
        <f>IF(ISERROR(VLOOKUP(Base_Periodo1[[#This Row],[CONTA]],BaseContasDRE[#All],4,FALSE)),"Fora do DRE",VLOOKUP(Base_Periodo1[[#This Row],[CONTA]],BaseContasDRE[#All],4,FALSE))</f>
        <v>Fora do DRE</v>
      </c>
      <c r="T1417" s="3" t="str">
        <f>IF(ISERROR(VLOOKUP(Base_Periodo1[[#This Row],[CONTA]],BaseContasDRE[#All],5,FALSE)),"Fora do DRE",VLOOKUP(Base_Periodo1[[#This Row],[CONTA]],BaseContasDRE[#All],6,FALSE))</f>
        <v>Fora do DRE</v>
      </c>
      <c r="U1417" s="3" t="str">
        <f>IF(ISERROR(VLOOKUP(Base_Periodo1[[#This Row],[CONTA]],BaseContasDRE[#All],7,FALSE)),"Fora do DRE",VLOOKUP(Base_Periodo1[[#This Row],[CONTA]],BaseContasDRE[#All],7,FALSE))</f>
        <v>Fora do DRE</v>
      </c>
      <c r="V1417" s="3" t="str">
        <f>IF(Base_Periodo1[[#This Row],[Tipo_Linha]]="Fora do DRE","Fora do DRE","( "&amp;Base_Periodo1[[#This Row],[Tipo_Linha]]&amp;" ) "&amp;Base_Periodo1[[#This Row],[Filtro]])</f>
        <v>Fora do DRE</v>
      </c>
      <c r="W1417" s="3" t="str">
        <f>LEFT(Base_Periodo1[[#This Row],[CLASS]],3)</f>
        <v>1.1</v>
      </c>
    </row>
    <row r="1418" spans="1:23" hidden="1">
      <c r="A1418" s="3" t="str">
        <f t="shared" si="22"/>
        <v>Período 1</v>
      </c>
      <c r="B1418">
        <v>50132</v>
      </c>
      <c r="C1418" t="s">
        <v>5689</v>
      </c>
      <c r="D1418" t="s">
        <v>4350</v>
      </c>
      <c r="E1418" s="3" t="str">
        <f>IF(LEN(Base_Periodo1[[#This Row],[CLASS]])&gt;=7,LEFT(Base_Periodo1[[#This Row],[CLASS]],7),"")</f>
        <v>1.1.3.1</v>
      </c>
      <c r="F1418" s="3" t="str">
        <f>VLOOKUP(Base_Periodo1[[#This Row],[Aux]],Base_Contas_Balanco[#All],2,FALSE)</f>
        <v>Estoques Proprios</v>
      </c>
      <c r="G1418" s="1"/>
      <c r="H1418" s="225">
        <v>15921.13</v>
      </c>
      <c r="I1418" s="225">
        <v>0</v>
      </c>
      <c r="J1418" s="225">
        <v>0</v>
      </c>
      <c r="K1418" s="225">
        <v>15921.13</v>
      </c>
      <c r="L14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-15921.13</v>
      </c>
      <c r="M1418" s="225">
        <f>ROUND(IF(AND(Base_Periodo1[[#This Row],[Tipo_Linha]]="-",Base_Periodo1[[#This Row],[TIPOSALDO]]="D"),Base_Periodo1[[#This Row],[SALDO_ATUAL]]*-1,Base_Periodo1[[#This Row],[SALDO_ATUAL]]),4)</f>
        <v>15921.13</v>
      </c>
      <c r="N1418" t="s">
        <v>116</v>
      </c>
      <c r="O1418" t="s">
        <v>459</v>
      </c>
      <c r="P1418" t="s">
        <v>459</v>
      </c>
      <c r="Q1418">
        <v>9</v>
      </c>
      <c r="R1418" s="225">
        <f>Base_Periodo1[[#This Row],[CREDITOS]]-Base_Periodo1[[#This Row],[DEBITOS]]</f>
        <v>0</v>
      </c>
      <c r="S1418" s="3" t="str">
        <f>IF(ISERROR(VLOOKUP(Base_Periodo1[[#This Row],[CONTA]],BaseContasDRE[#All],4,FALSE)),"Fora do DRE",VLOOKUP(Base_Periodo1[[#This Row],[CONTA]],BaseContasDRE[#All],4,FALSE))</f>
        <v>Fora do DRE</v>
      </c>
      <c r="T1418" s="3" t="str">
        <f>IF(ISERROR(VLOOKUP(Base_Periodo1[[#This Row],[CONTA]],BaseContasDRE[#All],5,FALSE)),"Fora do DRE",VLOOKUP(Base_Periodo1[[#This Row],[CONTA]],BaseContasDRE[#All],6,FALSE))</f>
        <v>Fora do DRE</v>
      </c>
      <c r="U1418" s="3" t="str">
        <f>IF(ISERROR(VLOOKUP(Base_Periodo1[[#This Row],[CONTA]],BaseContasDRE[#All],7,FALSE)),"Fora do DRE",VLOOKUP(Base_Periodo1[[#This Row],[CONTA]],BaseContasDRE[#All],7,FALSE))</f>
        <v>Fora do DRE</v>
      </c>
      <c r="V1418" s="3" t="str">
        <f>IF(Base_Periodo1[[#This Row],[Tipo_Linha]]="Fora do DRE","Fora do DRE","( "&amp;Base_Periodo1[[#This Row],[Tipo_Linha]]&amp;" ) "&amp;Base_Periodo1[[#This Row],[Filtro]])</f>
        <v>Fora do DRE</v>
      </c>
      <c r="W1418" s="3" t="str">
        <f>LEFT(Base_Periodo1[[#This Row],[CLASS]],3)</f>
        <v>1.1</v>
      </c>
    </row>
    <row r="1419" spans="1:23" hidden="1">
      <c r="A1419" s="3" t="str">
        <f t="shared" si="22"/>
        <v>Período 1</v>
      </c>
      <c r="B1419">
        <v>33305</v>
      </c>
      <c r="C1419" t="s">
        <v>4536</v>
      </c>
      <c r="D1419" t="s">
        <v>1140</v>
      </c>
      <c r="E1419" s="3" t="str">
        <f>IF(LEN(Base_Periodo1[[#This Row],[CLASS]])&gt;=7,LEFT(Base_Periodo1[[#This Row],[CLASS]],7),"")</f>
        <v>1.1.3.1</v>
      </c>
      <c r="F1419" s="3" t="str">
        <f>VLOOKUP(Base_Periodo1[[#This Row],[Aux]],Base_Contas_Balanco[#All],2,FALSE)</f>
        <v>Estoques Proprios</v>
      </c>
      <c r="G1419" s="1">
        <v>42886</v>
      </c>
      <c r="H1419" s="225">
        <v>165431.12999999989</v>
      </c>
      <c r="I1419" s="225">
        <v>0</v>
      </c>
      <c r="J1419" s="225">
        <v>180430.7</v>
      </c>
      <c r="K1419" s="225">
        <v>345861.8299999999</v>
      </c>
      <c r="L14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-345861.83</v>
      </c>
      <c r="M1419" s="225">
        <f>ROUND(IF(AND(Base_Periodo1[[#This Row],[Tipo_Linha]]="-",Base_Periodo1[[#This Row],[TIPOSALDO]]="D"),Base_Periodo1[[#This Row],[SALDO_ATUAL]]*-1,Base_Periodo1[[#This Row],[SALDO_ATUAL]]),4)</f>
        <v>345861.83</v>
      </c>
      <c r="N1419" t="s">
        <v>116</v>
      </c>
      <c r="O1419" t="s">
        <v>459</v>
      </c>
      <c r="P1419" t="s">
        <v>459</v>
      </c>
      <c r="Q1419">
        <v>9</v>
      </c>
      <c r="R1419" s="225">
        <f>Base_Periodo1[[#This Row],[CREDITOS]]-Base_Periodo1[[#This Row],[DEBITOS]]</f>
        <v>180430.7</v>
      </c>
      <c r="S1419" s="3" t="str">
        <f>IF(ISERROR(VLOOKUP(Base_Periodo1[[#This Row],[CONTA]],BaseContasDRE[#All],4,FALSE)),"Fora do DRE",VLOOKUP(Base_Periodo1[[#This Row],[CONTA]],BaseContasDRE[#All],4,FALSE))</f>
        <v>Fora do DRE</v>
      </c>
      <c r="T1419" s="3" t="str">
        <f>IF(ISERROR(VLOOKUP(Base_Periodo1[[#This Row],[CONTA]],BaseContasDRE[#All],5,FALSE)),"Fora do DRE",VLOOKUP(Base_Periodo1[[#This Row],[CONTA]],BaseContasDRE[#All],6,FALSE))</f>
        <v>Fora do DRE</v>
      </c>
      <c r="U1419" s="3" t="str">
        <f>IF(ISERROR(VLOOKUP(Base_Periodo1[[#This Row],[CONTA]],BaseContasDRE[#All],7,FALSE)),"Fora do DRE",VLOOKUP(Base_Periodo1[[#This Row],[CONTA]],BaseContasDRE[#All],7,FALSE))</f>
        <v>Fora do DRE</v>
      </c>
      <c r="V1419" s="3" t="str">
        <f>IF(Base_Periodo1[[#This Row],[Tipo_Linha]]="Fora do DRE","Fora do DRE","( "&amp;Base_Periodo1[[#This Row],[Tipo_Linha]]&amp;" ) "&amp;Base_Periodo1[[#This Row],[Filtro]])</f>
        <v>Fora do DRE</v>
      </c>
      <c r="W1419" s="3" t="str">
        <f>LEFT(Base_Periodo1[[#This Row],[CLASS]],3)</f>
        <v>1.1</v>
      </c>
    </row>
    <row r="1420" spans="1:23" hidden="1">
      <c r="A1420" s="3" t="str">
        <f t="shared" si="22"/>
        <v>Período 1</v>
      </c>
      <c r="B1420">
        <v>328</v>
      </c>
      <c r="C1420" t="s">
        <v>1193</v>
      </c>
      <c r="D1420" t="s">
        <v>1194</v>
      </c>
      <c r="E1420" s="3" t="str">
        <f>IF(LEN(Base_Periodo1[[#This Row],[CLASS]])&gt;=7,LEFT(Base_Periodo1[[#This Row],[CLASS]],7),"")</f>
        <v>1.1.3.1</v>
      </c>
      <c r="F1420" s="3" t="str">
        <f>VLOOKUP(Base_Periodo1[[#This Row],[Aux]],Base_Contas_Balanco[#All],2,FALSE)</f>
        <v>Estoques Proprios</v>
      </c>
      <c r="G1420" s="1"/>
      <c r="H1420" s="225">
        <v>12797758.85000008</v>
      </c>
      <c r="I1420" s="225">
        <v>819218.63</v>
      </c>
      <c r="J1420" s="225">
        <v>1054625.1499999999</v>
      </c>
      <c r="K1420" s="225">
        <v>12562352.33000008</v>
      </c>
      <c r="L14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12562352.33</v>
      </c>
      <c r="M1420" s="225">
        <f>ROUND(IF(AND(Base_Periodo1[[#This Row],[Tipo_Linha]]="-",Base_Periodo1[[#This Row],[TIPOSALDO]]="D"),Base_Periodo1[[#This Row],[SALDO_ATUAL]]*-1,Base_Periodo1[[#This Row],[SALDO_ATUAL]]),4)</f>
        <v>12562352.33</v>
      </c>
      <c r="N1420" t="s">
        <v>396</v>
      </c>
      <c r="O1420" t="s">
        <v>397</v>
      </c>
      <c r="P1420" t="s">
        <v>397</v>
      </c>
      <c r="Q1420">
        <v>7</v>
      </c>
      <c r="R1420" s="225">
        <f>Base_Periodo1[[#This Row],[CREDITOS]]-Base_Periodo1[[#This Row],[DEBITOS]]</f>
        <v>235406.5199999999</v>
      </c>
      <c r="S1420" s="3" t="str">
        <f>IF(ISERROR(VLOOKUP(Base_Periodo1[[#This Row],[CONTA]],BaseContasDRE[#All],4,FALSE)),"Fora do DRE",VLOOKUP(Base_Periodo1[[#This Row],[CONTA]],BaseContasDRE[#All],4,FALSE))</f>
        <v>Fora do DRE</v>
      </c>
      <c r="T1420" s="3" t="str">
        <f>IF(ISERROR(VLOOKUP(Base_Periodo1[[#This Row],[CONTA]],BaseContasDRE[#All],5,FALSE)),"Fora do DRE",VLOOKUP(Base_Periodo1[[#This Row],[CONTA]],BaseContasDRE[#All],6,FALSE))</f>
        <v>Fora do DRE</v>
      </c>
      <c r="U1420" s="3" t="str">
        <f>IF(ISERROR(VLOOKUP(Base_Periodo1[[#This Row],[CONTA]],BaseContasDRE[#All],7,FALSE)),"Fora do DRE",VLOOKUP(Base_Periodo1[[#This Row],[CONTA]],BaseContasDRE[#All],7,FALSE))</f>
        <v>Fora do DRE</v>
      </c>
      <c r="V1420" s="3" t="str">
        <f>IF(Base_Periodo1[[#This Row],[Tipo_Linha]]="Fora do DRE","Fora do DRE","( "&amp;Base_Periodo1[[#This Row],[Tipo_Linha]]&amp;" ) "&amp;Base_Periodo1[[#This Row],[Filtro]])</f>
        <v>Fora do DRE</v>
      </c>
      <c r="W1420" s="3" t="str">
        <f>LEFT(Base_Periodo1[[#This Row],[CLASS]],3)</f>
        <v>1.1</v>
      </c>
    </row>
    <row r="1421" spans="1:23" hidden="1">
      <c r="A1421" s="3" t="str">
        <f t="shared" si="22"/>
        <v>Período 1</v>
      </c>
      <c r="B1421">
        <v>329</v>
      </c>
      <c r="C1421" t="s">
        <v>1195</v>
      </c>
      <c r="D1421" t="s">
        <v>1054</v>
      </c>
      <c r="E1421" s="3" t="str">
        <f>IF(LEN(Base_Periodo1[[#This Row],[CLASS]])&gt;=7,LEFT(Base_Periodo1[[#This Row],[CLASS]],7),"")</f>
        <v>1.1.3.1</v>
      </c>
      <c r="F1421" s="3" t="str">
        <f>VLOOKUP(Base_Periodo1[[#This Row],[Aux]],Base_Contas_Balanco[#All],2,FALSE)</f>
        <v>Estoques Proprios</v>
      </c>
      <c r="G1421" s="1"/>
      <c r="H1421" s="225">
        <v>19270927.200000018</v>
      </c>
      <c r="I1421" s="225">
        <v>0</v>
      </c>
      <c r="J1421" s="225">
        <v>0</v>
      </c>
      <c r="K1421" s="225">
        <v>19270927.200000018</v>
      </c>
      <c r="L14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19270927.199999999</v>
      </c>
      <c r="M1421" s="225">
        <f>ROUND(IF(AND(Base_Periodo1[[#This Row],[Tipo_Linha]]="-",Base_Periodo1[[#This Row],[TIPOSALDO]]="D"),Base_Periodo1[[#This Row],[SALDO_ATUAL]]*-1,Base_Periodo1[[#This Row],[SALDO_ATUAL]]),4)</f>
        <v>19270927.199999999</v>
      </c>
      <c r="N1421" t="s">
        <v>396</v>
      </c>
      <c r="O1421" t="s">
        <v>397</v>
      </c>
      <c r="P1421" t="s">
        <v>397</v>
      </c>
      <c r="Q1421">
        <v>8</v>
      </c>
      <c r="R1421" s="225">
        <f>Base_Periodo1[[#This Row],[CREDITOS]]-Base_Periodo1[[#This Row],[DEBITOS]]</f>
        <v>0</v>
      </c>
      <c r="S1421" s="3" t="str">
        <f>IF(ISERROR(VLOOKUP(Base_Periodo1[[#This Row],[CONTA]],BaseContasDRE[#All],4,FALSE)),"Fora do DRE",VLOOKUP(Base_Periodo1[[#This Row],[CONTA]],BaseContasDRE[#All],4,FALSE))</f>
        <v>Fora do DRE</v>
      </c>
      <c r="T1421" s="3" t="str">
        <f>IF(ISERROR(VLOOKUP(Base_Periodo1[[#This Row],[CONTA]],BaseContasDRE[#All],5,FALSE)),"Fora do DRE",VLOOKUP(Base_Periodo1[[#This Row],[CONTA]],BaseContasDRE[#All],6,FALSE))</f>
        <v>Fora do DRE</v>
      </c>
      <c r="U1421" s="3" t="str">
        <f>IF(ISERROR(VLOOKUP(Base_Periodo1[[#This Row],[CONTA]],BaseContasDRE[#All],7,FALSE)),"Fora do DRE",VLOOKUP(Base_Periodo1[[#This Row],[CONTA]],BaseContasDRE[#All],7,FALSE))</f>
        <v>Fora do DRE</v>
      </c>
      <c r="V1421" s="3" t="str">
        <f>IF(Base_Periodo1[[#This Row],[Tipo_Linha]]="Fora do DRE","Fora do DRE","( "&amp;Base_Periodo1[[#This Row],[Tipo_Linha]]&amp;" ) "&amp;Base_Periodo1[[#This Row],[Filtro]])</f>
        <v>Fora do DRE</v>
      </c>
      <c r="W1421" s="3" t="str">
        <f>LEFT(Base_Periodo1[[#This Row],[CLASS]],3)</f>
        <v>1.1</v>
      </c>
    </row>
    <row r="1422" spans="1:23" hidden="1">
      <c r="A1422" s="3" t="str">
        <f t="shared" si="22"/>
        <v>Período 1</v>
      </c>
      <c r="B1422">
        <v>330</v>
      </c>
      <c r="C1422" t="s">
        <v>1196</v>
      </c>
      <c r="D1422" t="s">
        <v>1054</v>
      </c>
      <c r="E1422" s="3" t="str">
        <f>IF(LEN(Base_Periodo1[[#This Row],[CLASS]])&gt;=7,LEFT(Base_Periodo1[[#This Row],[CLASS]],7),"")</f>
        <v>1.1.3.1</v>
      </c>
      <c r="F1422" s="3" t="str">
        <f>VLOOKUP(Base_Periodo1[[#This Row],[Aux]],Base_Contas_Balanco[#All],2,FALSE)</f>
        <v>Estoques Proprios</v>
      </c>
      <c r="G1422" s="1">
        <v>42735</v>
      </c>
      <c r="H1422" s="225">
        <v>19270927.200000018</v>
      </c>
      <c r="I1422" s="225">
        <v>0</v>
      </c>
      <c r="J1422" s="225">
        <v>0</v>
      </c>
      <c r="K1422" s="225">
        <v>19270927.200000018</v>
      </c>
      <c r="L14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19270927.199999999</v>
      </c>
      <c r="M1422" s="225">
        <f>ROUND(IF(AND(Base_Periodo1[[#This Row],[Tipo_Linha]]="-",Base_Periodo1[[#This Row],[TIPOSALDO]]="D"),Base_Periodo1[[#This Row],[SALDO_ATUAL]]*-1,Base_Periodo1[[#This Row],[SALDO_ATUAL]]),4)</f>
        <v>19270927.199999999</v>
      </c>
      <c r="N1422" t="s">
        <v>116</v>
      </c>
      <c r="O1422" t="s">
        <v>397</v>
      </c>
      <c r="P1422" t="s">
        <v>397</v>
      </c>
      <c r="Q1422">
        <v>9</v>
      </c>
      <c r="R1422" s="225">
        <f>Base_Periodo1[[#This Row],[CREDITOS]]-Base_Periodo1[[#This Row],[DEBITOS]]</f>
        <v>0</v>
      </c>
      <c r="S1422" s="3" t="str">
        <f>IF(ISERROR(VLOOKUP(Base_Periodo1[[#This Row],[CONTA]],BaseContasDRE[#All],4,FALSE)),"Fora do DRE",VLOOKUP(Base_Periodo1[[#This Row],[CONTA]],BaseContasDRE[#All],4,FALSE))</f>
        <v>Fora do DRE</v>
      </c>
      <c r="T1422" s="3" t="str">
        <f>IF(ISERROR(VLOOKUP(Base_Periodo1[[#This Row],[CONTA]],BaseContasDRE[#All],5,FALSE)),"Fora do DRE",VLOOKUP(Base_Periodo1[[#This Row],[CONTA]],BaseContasDRE[#All],6,FALSE))</f>
        <v>Fora do DRE</v>
      </c>
      <c r="U1422" s="3" t="str">
        <f>IF(ISERROR(VLOOKUP(Base_Periodo1[[#This Row],[CONTA]],BaseContasDRE[#All],7,FALSE)),"Fora do DRE",VLOOKUP(Base_Periodo1[[#This Row],[CONTA]],BaseContasDRE[#All],7,FALSE))</f>
        <v>Fora do DRE</v>
      </c>
      <c r="V1422" s="3" t="str">
        <f>IF(Base_Periodo1[[#This Row],[Tipo_Linha]]="Fora do DRE","Fora do DRE","( "&amp;Base_Periodo1[[#This Row],[Tipo_Linha]]&amp;" ) "&amp;Base_Periodo1[[#This Row],[Filtro]])</f>
        <v>Fora do DRE</v>
      </c>
      <c r="W1422" s="3" t="str">
        <f>LEFT(Base_Periodo1[[#This Row],[CLASS]],3)</f>
        <v>1.1</v>
      </c>
    </row>
    <row r="1423" spans="1:23" hidden="1">
      <c r="A1423" s="3" t="str">
        <f t="shared" si="22"/>
        <v>Período 1</v>
      </c>
      <c r="B1423">
        <v>331</v>
      </c>
      <c r="C1423" t="s">
        <v>1197</v>
      </c>
      <c r="D1423" t="s">
        <v>1057</v>
      </c>
      <c r="E1423" s="3" t="str">
        <f>IF(LEN(Base_Periodo1[[#This Row],[CLASS]])&gt;=7,LEFT(Base_Periodo1[[#This Row],[CLASS]],7),"")</f>
        <v>1.1.3.1</v>
      </c>
      <c r="F1423" s="3" t="str">
        <f>VLOOKUP(Base_Periodo1[[#This Row],[Aux]],Base_Contas_Balanco[#All],2,FALSE)</f>
        <v>Estoques Proprios</v>
      </c>
      <c r="G1423" s="1"/>
      <c r="H1423" s="225">
        <v>3492994.9400000423</v>
      </c>
      <c r="I1423" s="225">
        <v>315576.08999999997</v>
      </c>
      <c r="J1423" s="225">
        <v>0</v>
      </c>
      <c r="K1423" s="225">
        <v>3808571.0300000422</v>
      </c>
      <c r="L14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3808571.03</v>
      </c>
      <c r="M1423" s="225">
        <f>ROUND(IF(AND(Base_Periodo1[[#This Row],[Tipo_Linha]]="-",Base_Periodo1[[#This Row],[TIPOSALDO]]="D"),Base_Periodo1[[#This Row],[SALDO_ATUAL]]*-1,Base_Periodo1[[#This Row],[SALDO_ATUAL]]),4)</f>
        <v>3808571.03</v>
      </c>
      <c r="N1423" t="s">
        <v>396</v>
      </c>
      <c r="O1423" t="s">
        <v>397</v>
      </c>
      <c r="P1423" t="s">
        <v>397</v>
      </c>
      <c r="Q1423">
        <v>8</v>
      </c>
      <c r="R1423" s="225">
        <f>Base_Periodo1[[#This Row],[CREDITOS]]-Base_Periodo1[[#This Row],[DEBITOS]]</f>
        <v>-315576.08999999997</v>
      </c>
      <c r="S1423" s="3" t="str">
        <f>IF(ISERROR(VLOOKUP(Base_Periodo1[[#This Row],[CONTA]],BaseContasDRE[#All],4,FALSE)),"Fora do DRE",VLOOKUP(Base_Periodo1[[#This Row],[CONTA]],BaseContasDRE[#All],4,FALSE))</f>
        <v>Fora do DRE</v>
      </c>
      <c r="T1423" s="3" t="str">
        <f>IF(ISERROR(VLOOKUP(Base_Periodo1[[#This Row],[CONTA]],BaseContasDRE[#All],5,FALSE)),"Fora do DRE",VLOOKUP(Base_Periodo1[[#This Row],[CONTA]],BaseContasDRE[#All],6,FALSE))</f>
        <v>Fora do DRE</v>
      </c>
      <c r="U1423" s="3" t="str">
        <f>IF(ISERROR(VLOOKUP(Base_Periodo1[[#This Row],[CONTA]],BaseContasDRE[#All],7,FALSE)),"Fora do DRE",VLOOKUP(Base_Periodo1[[#This Row],[CONTA]],BaseContasDRE[#All],7,FALSE))</f>
        <v>Fora do DRE</v>
      </c>
      <c r="V1423" s="3" t="str">
        <f>IF(Base_Periodo1[[#This Row],[Tipo_Linha]]="Fora do DRE","Fora do DRE","( "&amp;Base_Periodo1[[#This Row],[Tipo_Linha]]&amp;" ) "&amp;Base_Periodo1[[#This Row],[Filtro]])</f>
        <v>Fora do DRE</v>
      </c>
      <c r="W1423" s="3" t="str">
        <f>LEFT(Base_Periodo1[[#This Row],[CLASS]],3)</f>
        <v>1.1</v>
      </c>
    </row>
    <row r="1424" spans="1:23" hidden="1">
      <c r="A1424" s="3" t="str">
        <f t="shared" si="22"/>
        <v>Período 1</v>
      </c>
      <c r="B1424">
        <v>332</v>
      </c>
      <c r="C1424" t="s">
        <v>6227</v>
      </c>
      <c r="D1424" t="s">
        <v>1059</v>
      </c>
      <c r="E1424" s="3" t="str">
        <f>IF(LEN(Base_Periodo1[[#This Row],[CLASS]])&gt;=7,LEFT(Base_Periodo1[[#This Row],[CLASS]],7),"")</f>
        <v>1.1.3.1</v>
      </c>
      <c r="F1424" s="3" t="str">
        <f>VLOOKUP(Base_Periodo1[[#This Row],[Aux]],Base_Contas_Balanco[#All],2,FALSE)</f>
        <v>Estoques Proprios</v>
      </c>
      <c r="G1424" s="1">
        <v>42822</v>
      </c>
      <c r="H1424" s="225">
        <v>31900</v>
      </c>
      <c r="I1424" s="225">
        <v>0</v>
      </c>
      <c r="J1424" s="225">
        <v>0</v>
      </c>
      <c r="K1424" s="225">
        <v>31900</v>
      </c>
      <c r="L14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31900</v>
      </c>
      <c r="M1424" s="225">
        <f>ROUND(IF(AND(Base_Periodo1[[#This Row],[Tipo_Linha]]="-",Base_Periodo1[[#This Row],[TIPOSALDO]]="D"),Base_Periodo1[[#This Row],[SALDO_ATUAL]]*-1,Base_Periodo1[[#This Row],[SALDO_ATUAL]]),4)</f>
        <v>31900</v>
      </c>
      <c r="N1424" t="s">
        <v>116</v>
      </c>
      <c r="O1424" t="s">
        <v>397</v>
      </c>
      <c r="P1424" t="s">
        <v>397</v>
      </c>
      <c r="Q1424">
        <v>9</v>
      </c>
      <c r="R1424" s="225">
        <f>Base_Periodo1[[#This Row],[CREDITOS]]-Base_Periodo1[[#This Row],[DEBITOS]]</f>
        <v>0</v>
      </c>
      <c r="S1424" s="3" t="str">
        <f>IF(ISERROR(VLOOKUP(Base_Periodo1[[#This Row],[CONTA]],BaseContasDRE[#All],4,FALSE)),"Fora do DRE",VLOOKUP(Base_Periodo1[[#This Row],[CONTA]],BaseContasDRE[#All],4,FALSE))</f>
        <v>Fora do DRE</v>
      </c>
      <c r="T1424" s="3" t="str">
        <f>IF(ISERROR(VLOOKUP(Base_Periodo1[[#This Row],[CONTA]],BaseContasDRE[#All],5,FALSE)),"Fora do DRE",VLOOKUP(Base_Periodo1[[#This Row],[CONTA]],BaseContasDRE[#All],6,FALSE))</f>
        <v>Fora do DRE</v>
      </c>
      <c r="U1424" s="3" t="str">
        <f>IF(ISERROR(VLOOKUP(Base_Periodo1[[#This Row],[CONTA]],BaseContasDRE[#All],7,FALSE)),"Fora do DRE",VLOOKUP(Base_Periodo1[[#This Row],[CONTA]],BaseContasDRE[#All],7,FALSE))</f>
        <v>Fora do DRE</v>
      </c>
      <c r="V1424" s="3" t="str">
        <f>IF(Base_Periodo1[[#This Row],[Tipo_Linha]]="Fora do DRE","Fora do DRE","( "&amp;Base_Periodo1[[#This Row],[Tipo_Linha]]&amp;" ) "&amp;Base_Periodo1[[#This Row],[Filtro]])</f>
        <v>Fora do DRE</v>
      </c>
      <c r="W1424" s="3" t="str">
        <f>LEFT(Base_Periodo1[[#This Row],[CLASS]],3)</f>
        <v>1.1</v>
      </c>
    </row>
    <row r="1425" spans="1:23" hidden="1">
      <c r="A1425" s="3" t="str">
        <f t="shared" si="22"/>
        <v>Período 1</v>
      </c>
      <c r="B1425">
        <v>333</v>
      </c>
      <c r="C1425" t="s">
        <v>1198</v>
      </c>
      <c r="D1425" t="s">
        <v>1061</v>
      </c>
      <c r="E1425" s="3" t="str">
        <f>IF(LEN(Base_Periodo1[[#This Row],[CLASS]])&gt;=7,LEFT(Base_Periodo1[[#This Row],[CLASS]],7),"")</f>
        <v>1.1.3.1</v>
      </c>
      <c r="F1425" s="3" t="str">
        <f>VLOOKUP(Base_Periodo1[[#This Row],[Aux]],Base_Contas_Balanco[#All],2,FALSE)</f>
        <v>Estoques Proprios</v>
      </c>
      <c r="G1425" s="1">
        <v>42881</v>
      </c>
      <c r="H1425" s="225">
        <v>3461094.9400000423</v>
      </c>
      <c r="I1425" s="225">
        <v>315576.08999999997</v>
      </c>
      <c r="J1425" s="225">
        <v>0</v>
      </c>
      <c r="K1425" s="225">
        <v>3776671.0300000422</v>
      </c>
      <c r="L14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3776671.03</v>
      </c>
      <c r="M1425" s="225">
        <f>ROUND(IF(AND(Base_Periodo1[[#This Row],[Tipo_Linha]]="-",Base_Periodo1[[#This Row],[TIPOSALDO]]="D"),Base_Periodo1[[#This Row],[SALDO_ATUAL]]*-1,Base_Periodo1[[#This Row],[SALDO_ATUAL]]),4)</f>
        <v>3776671.03</v>
      </c>
      <c r="N1425" t="s">
        <v>116</v>
      </c>
      <c r="O1425" t="s">
        <v>397</v>
      </c>
      <c r="P1425" t="s">
        <v>397</v>
      </c>
      <c r="Q1425">
        <v>9</v>
      </c>
      <c r="R1425" s="225">
        <f>Base_Periodo1[[#This Row],[CREDITOS]]-Base_Periodo1[[#This Row],[DEBITOS]]</f>
        <v>-315576.08999999997</v>
      </c>
      <c r="S1425" s="3" t="str">
        <f>IF(ISERROR(VLOOKUP(Base_Periodo1[[#This Row],[CONTA]],BaseContasDRE[#All],4,FALSE)),"Fora do DRE",VLOOKUP(Base_Periodo1[[#This Row],[CONTA]],BaseContasDRE[#All],4,FALSE))</f>
        <v>Fora do DRE</v>
      </c>
      <c r="T1425" s="3" t="str">
        <f>IF(ISERROR(VLOOKUP(Base_Periodo1[[#This Row],[CONTA]],BaseContasDRE[#All],5,FALSE)),"Fora do DRE",VLOOKUP(Base_Periodo1[[#This Row],[CONTA]],BaseContasDRE[#All],6,FALSE))</f>
        <v>Fora do DRE</v>
      </c>
      <c r="U1425" s="3" t="str">
        <f>IF(ISERROR(VLOOKUP(Base_Periodo1[[#This Row],[CONTA]],BaseContasDRE[#All],7,FALSE)),"Fora do DRE",VLOOKUP(Base_Periodo1[[#This Row],[CONTA]],BaseContasDRE[#All],7,FALSE))</f>
        <v>Fora do DRE</v>
      </c>
      <c r="V1425" s="3" t="str">
        <f>IF(Base_Periodo1[[#This Row],[Tipo_Linha]]="Fora do DRE","Fora do DRE","( "&amp;Base_Periodo1[[#This Row],[Tipo_Linha]]&amp;" ) "&amp;Base_Periodo1[[#This Row],[Filtro]])</f>
        <v>Fora do DRE</v>
      </c>
      <c r="W1425" s="3" t="str">
        <f>LEFT(Base_Periodo1[[#This Row],[CLASS]],3)</f>
        <v>1.1</v>
      </c>
    </row>
    <row r="1426" spans="1:23" hidden="1">
      <c r="A1426" s="3" t="str">
        <f t="shared" si="22"/>
        <v>Período 1</v>
      </c>
      <c r="B1426">
        <v>336</v>
      </c>
      <c r="C1426" t="s">
        <v>1199</v>
      </c>
      <c r="D1426" t="s">
        <v>1063</v>
      </c>
      <c r="E1426" s="3" t="str">
        <f>IF(LEN(Base_Periodo1[[#This Row],[CLASS]])&gt;=7,LEFT(Base_Periodo1[[#This Row],[CLASS]],7),"")</f>
        <v>1.1.3.1</v>
      </c>
      <c r="F1426" s="3" t="str">
        <f>VLOOKUP(Base_Periodo1[[#This Row],[Aux]],Base_Contas_Balanco[#All],2,FALSE)</f>
        <v>Estoques Proprios</v>
      </c>
      <c r="G1426" s="1"/>
      <c r="H1426" s="225">
        <v>8159860.980000481</v>
      </c>
      <c r="I1426" s="225">
        <v>502840.87000000005</v>
      </c>
      <c r="J1426" s="225">
        <v>0</v>
      </c>
      <c r="K1426" s="225">
        <v>8662701.8500004802</v>
      </c>
      <c r="L14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8662701.8499999996</v>
      </c>
      <c r="M1426" s="225">
        <f>ROUND(IF(AND(Base_Periodo1[[#This Row],[Tipo_Linha]]="-",Base_Periodo1[[#This Row],[TIPOSALDO]]="D"),Base_Periodo1[[#This Row],[SALDO_ATUAL]]*-1,Base_Periodo1[[#This Row],[SALDO_ATUAL]]),4)</f>
        <v>8662701.8499999996</v>
      </c>
      <c r="N1426" t="s">
        <v>396</v>
      </c>
      <c r="O1426" t="s">
        <v>397</v>
      </c>
      <c r="P1426" t="s">
        <v>397</v>
      </c>
      <c r="Q1426">
        <v>8</v>
      </c>
      <c r="R1426" s="225">
        <f>Base_Periodo1[[#This Row],[CREDITOS]]-Base_Periodo1[[#This Row],[DEBITOS]]</f>
        <v>-502840.87000000005</v>
      </c>
      <c r="S1426" s="3" t="str">
        <f>IF(ISERROR(VLOOKUP(Base_Periodo1[[#This Row],[CONTA]],BaseContasDRE[#All],4,FALSE)),"Fora do DRE",VLOOKUP(Base_Periodo1[[#This Row],[CONTA]],BaseContasDRE[#All],4,FALSE))</f>
        <v>Fora do DRE</v>
      </c>
      <c r="T1426" s="3" t="str">
        <f>IF(ISERROR(VLOOKUP(Base_Periodo1[[#This Row],[CONTA]],BaseContasDRE[#All],5,FALSE)),"Fora do DRE",VLOOKUP(Base_Periodo1[[#This Row],[CONTA]],BaseContasDRE[#All],6,FALSE))</f>
        <v>Fora do DRE</v>
      </c>
      <c r="U1426" s="3" t="str">
        <f>IF(ISERROR(VLOOKUP(Base_Periodo1[[#This Row],[CONTA]],BaseContasDRE[#All],7,FALSE)),"Fora do DRE",VLOOKUP(Base_Periodo1[[#This Row],[CONTA]],BaseContasDRE[#All],7,FALSE))</f>
        <v>Fora do DRE</v>
      </c>
      <c r="V1426" s="3" t="str">
        <f>IF(Base_Periodo1[[#This Row],[Tipo_Linha]]="Fora do DRE","Fora do DRE","( "&amp;Base_Periodo1[[#This Row],[Tipo_Linha]]&amp;" ) "&amp;Base_Periodo1[[#This Row],[Filtro]])</f>
        <v>Fora do DRE</v>
      </c>
      <c r="W1426" s="3" t="str">
        <f>LEFT(Base_Periodo1[[#This Row],[CLASS]],3)</f>
        <v>1.1</v>
      </c>
    </row>
    <row r="1427" spans="1:23" hidden="1">
      <c r="A1427" s="3" t="str">
        <f t="shared" si="22"/>
        <v>Período 1</v>
      </c>
      <c r="B1427">
        <v>338</v>
      </c>
      <c r="C1427" t="s">
        <v>1200</v>
      </c>
      <c r="D1427" t="s">
        <v>1065</v>
      </c>
      <c r="E1427" s="3" t="str">
        <f>IF(LEN(Base_Periodo1[[#This Row],[CLASS]])&gt;=7,LEFT(Base_Periodo1[[#This Row],[CLASS]],7),"")</f>
        <v>1.1.3.1</v>
      </c>
      <c r="F1427" s="3" t="str">
        <f>VLOOKUP(Base_Periodo1[[#This Row],[Aux]],Base_Contas_Balanco[#All],2,FALSE)</f>
        <v>Estoques Proprios</v>
      </c>
      <c r="G1427" s="1">
        <v>42886</v>
      </c>
      <c r="H1427" s="225">
        <v>8159860.980000481</v>
      </c>
      <c r="I1427" s="225">
        <v>502840.87000000005</v>
      </c>
      <c r="J1427" s="225">
        <v>0</v>
      </c>
      <c r="K1427" s="225">
        <v>8662701.8500004802</v>
      </c>
      <c r="L14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8662701.8499999996</v>
      </c>
      <c r="M1427" s="225">
        <f>ROUND(IF(AND(Base_Periodo1[[#This Row],[Tipo_Linha]]="-",Base_Periodo1[[#This Row],[TIPOSALDO]]="D"),Base_Periodo1[[#This Row],[SALDO_ATUAL]]*-1,Base_Periodo1[[#This Row],[SALDO_ATUAL]]),4)</f>
        <v>8662701.8499999996</v>
      </c>
      <c r="N1427" t="s">
        <v>116</v>
      </c>
      <c r="O1427" t="s">
        <v>397</v>
      </c>
      <c r="P1427" t="s">
        <v>397</v>
      </c>
      <c r="Q1427">
        <v>9</v>
      </c>
      <c r="R1427" s="225">
        <f>Base_Periodo1[[#This Row],[CREDITOS]]-Base_Periodo1[[#This Row],[DEBITOS]]</f>
        <v>-502840.87000000005</v>
      </c>
      <c r="S1427" s="3" t="str">
        <f>IF(ISERROR(VLOOKUP(Base_Periodo1[[#This Row],[CONTA]],BaseContasDRE[#All],4,FALSE)),"Fora do DRE",VLOOKUP(Base_Periodo1[[#This Row],[CONTA]],BaseContasDRE[#All],4,FALSE))</f>
        <v>Fora do DRE</v>
      </c>
      <c r="T1427" s="3" t="str">
        <f>IF(ISERROR(VLOOKUP(Base_Periodo1[[#This Row],[CONTA]],BaseContasDRE[#All],5,FALSE)),"Fora do DRE",VLOOKUP(Base_Periodo1[[#This Row],[CONTA]],BaseContasDRE[#All],6,FALSE))</f>
        <v>Fora do DRE</v>
      </c>
      <c r="U1427" s="3" t="str">
        <f>IF(ISERROR(VLOOKUP(Base_Periodo1[[#This Row],[CONTA]],BaseContasDRE[#All],7,FALSE)),"Fora do DRE",VLOOKUP(Base_Periodo1[[#This Row],[CONTA]],BaseContasDRE[#All],7,FALSE))</f>
        <v>Fora do DRE</v>
      </c>
      <c r="V1427" s="3" t="str">
        <f>IF(Base_Periodo1[[#This Row],[Tipo_Linha]]="Fora do DRE","Fora do DRE","( "&amp;Base_Periodo1[[#This Row],[Tipo_Linha]]&amp;" ) "&amp;Base_Periodo1[[#This Row],[Filtro]])</f>
        <v>Fora do DRE</v>
      </c>
      <c r="W1427" s="3" t="str">
        <f>LEFT(Base_Periodo1[[#This Row],[CLASS]],3)</f>
        <v>1.1</v>
      </c>
    </row>
    <row r="1428" spans="1:23" hidden="1">
      <c r="A1428" s="3" t="str">
        <f t="shared" si="22"/>
        <v>Período 1</v>
      </c>
      <c r="B1428">
        <v>342</v>
      </c>
      <c r="C1428" t="s">
        <v>5886</v>
      </c>
      <c r="D1428" t="s">
        <v>1096</v>
      </c>
      <c r="E1428" s="3" t="str">
        <f>IF(LEN(Base_Periodo1[[#This Row],[CLASS]])&gt;=7,LEFT(Base_Periodo1[[#This Row],[CLASS]],7),"")</f>
        <v>1.1.3.1</v>
      </c>
      <c r="F1428" s="3" t="str">
        <f>VLOOKUP(Base_Periodo1[[#This Row],[Aux]],Base_Contas_Balanco[#All],2,FALSE)</f>
        <v>Estoques Proprios</v>
      </c>
      <c r="G1428" s="1"/>
      <c r="H1428" s="225">
        <v>1945.2000000001863</v>
      </c>
      <c r="I1428" s="225">
        <v>0</v>
      </c>
      <c r="J1428" s="225">
        <v>0</v>
      </c>
      <c r="K1428" s="225">
        <v>1945.2000000001863</v>
      </c>
      <c r="L14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1945.2</v>
      </c>
      <c r="M1428" s="225">
        <f>ROUND(IF(AND(Base_Periodo1[[#This Row],[Tipo_Linha]]="-",Base_Periodo1[[#This Row],[TIPOSALDO]]="D"),Base_Periodo1[[#This Row],[SALDO_ATUAL]]*-1,Base_Periodo1[[#This Row],[SALDO_ATUAL]]),4)</f>
        <v>1945.2</v>
      </c>
      <c r="N1428" t="s">
        <v>396</v>
      </c>
      <c r="O1428" t="s">
        <v>397</v>
      </c>
      <c r="P1428" t="s">
        <v>397</v>
      </c>
      <c r="Q1428">
        <v>8</v>
      </c>
      <c r="R1428" s="225">
        <f>Base_Periodo1[[#This Row],[CREDITOS]]-Base_Periodo1[[#This Row],[DEBITOS]]</f>
        <v>0</v>
      </c>
      <c r="S1428" s="3" t="str">
        <f>IF(ISERROR(VLOOKUP(Base_Periodo1[[#This Row],[CONTA]],BaseContasDRE[#All],4,FALSE)),"Fora do DRE",VLOOKUP(Base_Periodo1[[#This Row],[CONTA]],BaseContasDRE[#All],4,FALSE))</f>
        <v>Fora do DRE</v>
      </c>
      <c r="T1428" s="3" t="str">
        <f>IF(ISERROR(VLOOKUP(Base_Periodo1[[#This Row],[CONTA]],BaseContasDRE[#All],5,FALSE)),"Fora do DRE",VLOOKUP(Base_Periodo1[[#This Row],[CONTA]],BaseContasDRE[#All],6,FALSE))</f>
        <v>Fora do DRE</v>
      </c>
      <c r="U1428" s="3" t="str">
        <f>IF(ISERROR(VLOOKUP(Base_Periodo1[[#This Row],[CONTA]],BaseContasDRE[#All],7,FALSE)),"Fora do DRE",VLOOKUP(Base_Periodo1[[#This Row],[CONTA]],BaseContasDRE[#All],7,FALSE))</f>
        <v>Fora do DRE</v>
      </c>
      <c r="V1428" s="3" t="str">
        <f>IF(Base_Periodo1[[#This Row],[Tipo_Linha]]="Fora do DRE","Fora do DRE","( "&amp;Base_Periodo1[[#This Row],[Tipo_Linha]]&amp;" ) "&amp;Base_Periodo1[[#This Row],[Filtro]])</f>
        <v>Fora do DRE</v>
      </c>
      <c r="W1428" s="3" t="str">
        <f>LEFT(Base_Periodo1[[#This Row],[CLASS]],3)</f>
        <v>1.1</v>
      </c>
    </row>
    <row r="1429" spans="1:23" hidden="1">
      <c r="A1429" s="3" t="str">
        <f t="shared" si="22"/>
        <v>Período 1</v>
      </c>
      <c r="B1429">
        <v>344</v>
      </c>
      <c r="C1429" t="s">
        <v>5887</v>
      </c>
      <c r="D1429" t="s">
        <v>1185</v>
      </c>
      <c r="E1429" s="3" t="str">
        <f>IF(LEN(Base_Periodo1[[#This Row],[CLASS]])&gt;=7,LEFT(Base_Periodo1[[#This Row],[CLASS]],7),"")</f>
        <v>1.1.3.1</v>
      </c>
      <c r="F1429" s="3" t="str">
        <f>VLOOKUP(Base_Periodo1[[#This Row],[Aux]],Base_Contas_Balanco[#All],2,FALSE)</f>
        <v>Estoques Proprios</v>
      </c>
      <c r="G1429" s="1">
        <v>42797</v>
      </c>
      <c r="H1429" s="225">
        <v>1945.2000000001863</v>
      </c>
      <c r="I1429" s="225">
        <v>0</v>
      </c>
      <c r="J1429" s="225">
        <v>0</v>
      </c>
      <c r="K1429" s="225">
        <v>1945.2000000001863</v>
      </c>
      <c r="L14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1945.2</v>
      </c>
      <c r="M1429" s="225">
        <f>ROUND(IF(AND(Base_Periodo1[[#This Row],[Tipo_Linha]]="-",Base_Periodo1[[#This Row],[TIPOSALDO]]="D"),Base_Periodo1[[#This Row],[SALDO_ATUAL]]*-1,Base_Periodo1[[#This Row],[SALDO_ATUAL]]),4)</f>
        <v>1945.2</v>
      </c>
      <c r="N1429" t="s">
        <v>116</v>
      </c>
      <c r="O1429" t="s">
        <v>397</v>
      </c>
      <c r="P1429" t="s">
        <v>397</v>
      </c>
      <c r="Q1429">
        <v>9</v>
      </c>
      <c r="R1429" s="225">
        <f>Base_Periodo1[[#This Row],[CREDITOS]]-Base_Periodo1[[#This Row],[DEBITOS]]</f>
        <v>0</v>
      </c>
      <c r="S1429" s="3" t="str">
        <f>IF(ISERROR(VLOOKUP(Base_Periodo1[[#This Row],[CONTA]],BaseContasDRE[#All],4,FALSE)),"Fora do DRE",VLOOKUP(Base_Periodo1[[#This Row],[CONTA]],BaseContasDRE[#All],4,FALSE))</f>
        <v>Fora do DRE</v>
      </c>
      <c r="T1429" s="3" t="str">
        <f>IF(ISERROR(VLOOKUP(Base_Periodo1[[#This Row],[CONTA]],BaseContasDRE[#All],5,FALSE)),"Fora do DRE",VLOOKUP(Base_Periodo1[[#This Row],[CONTA]],BaseContasDRE[#All],6,FALSE))</f>
        <v>Fora do DRE</v>
      </c>
      <c r="U1429" s="3" t="str">
        <f>IF(ISERROR(VLOOKUP(Base_Periodo1[[#This Row],[CONTA]],BaseContasDRE[#All],7,FALSE)),"Fora do DRE",VLOOKUP(Base_Periodo1[[#This Row],[CONTA]],BaseContasDRE[#All],7,FALSE))</f>
        <v>Fora do DRE</v>
      </c>
      <c r="V1429" s="3" t="str">
        <f>IF(Base_Periodo1[[#This Row],[Tipo_Linha]]="Fora do DRE","Fora do DRE","( "&amp;Base_Periodo1[[#This Row],[Tipo_Linha]]&amp;" ) "&amp;Base_Periodo1[[#This Row],[Filtro]])</f>
        <v>Fora do DRE</v>
      </c>
      <c r="W1429" s="3" t="str">
        <f>LEFT(Base_Periodo1[[#This Row],[CLASS]],3)</f>
        <v>1.1</v>
      </c>
    </row>
    <row r="1430" spans="1:23" hidden="1">
      <c r="A1430" s="3" t="str">
        <f t="shared" si="22"/>
        <v>Período 1</v>
      </c>
      <c r="B1430">
        <v>346</v>
      </c>
      <c r="C1430" t="s">
        <v>1201</v>
      </c>
      <c r="D1430" t="s">
        <v>1067</v>
      </c>
      <c r="E1430" s="3" t="str">
        <f>IF(LEN(Base_Periodo1[[#This Row],[CLASS]])&gt;=7,LEFT(Base_Periodo1[[#This Row],[CLASS]],7),"")</f>
        <v>1.1.3.1</v>
      </c>
      <c r="F1430" s="3" t="str">
        <f>VLOOKUP(Base_Periodo1[[#This Row],[Aux]],Base_Contas_Balanco[#All],2,FALSE)</f>
        <v>Estoques Proprios</v>
      </c>
      <c r="G1430" s="1"/>
      <c r="H1430" s="225">
        <v>9778116.640000008</v>
      </c>
      <c r="I1430" s="225">
        <v>0</v>
      </c>
      <c r="J1430" s="225">
        <v>429140.69</v>
      </c>
      <c r="K1430" s="225">
        <v>10207257.330000008</v>
      </c>
      <c r="L14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-10207257.33</v>
      </c>
      <c r="M1430" s="225">
        <f>ROUND(IF(AND(Base_Periodo1[[#This Row],[Tipo_Linha]]="-",Base_Periodo1[[#This Row],[TIPOSALDO]]="D"),Base_Periodo1[[#This Row],[SALDO_ATUAL]]*-1,Base_Periodo1[[#This Row],[SALDO_ATUAL]]),4)</f>
        <v>10207257.33</v>
      </c>
      <c r="N1430" t="s">
        <v>396</v>
      </c>
      <c r="O1430" t="s">
        <v>459</v>
      </c>
      <c r="P1430" t="s">
        <v>459</v>
      </c>
      <c r="Q1430">
        <v>8</v>
      </c>
      <c r="R1430" s="225">
        <f>Base_Periodo1[[#This Row],[CREDITOS]]-Base_Periodo1[[#This Row],[DEBITOS]]</f>
        <v>429140.69</v>
      </c>
      <c r="S1430" s="3" t="str">
        <f>IF(ISERROR(VLOOKUP(Base_Periodo1[[#This Row],[CONTA]],BaseContasDRE[#All],4,FALSE)),"Fora do DRE",VLOOKUP(Base_Periodo1[[#This Row],[CONTA]],BaseContasDRE[#All],4,FALSE))</f>
        <v>Fora do DRE</v>
      </c>
      <c r="T1430" s="3" t="str">
        <f>IF(ISERROR(VLOOKUP(Base_Periodo1[[#This Row],[CONTA]],BaseContasDRE[#All],5,FALSE)),"Fora do DRE",VLOOKUP(Base_Periodo1[[#This Row],[CONTA]],BaseContasDRE[#All],6,FALSE))</f>
        <v>Fora do DRE</v>
      </c>
      <c r="U1430" s="3" t="str">
        <f>IF(ISERROR(VLOOKUP(Base_Periodo1[[#This Row],[CONTA]],BaseContasDRE[#All],7,FALSE)),"Fora do DRE",VLOOKUP(Base_Periodo1[[#This Row],[CONTA]],BaseContasDRE[#All],7,FALSE))</f>
        <v>Fora do DRE</v>
      </c>
      <c r="V1430" s="3" t="str">
        <f>IF(Base_Periodo1[[#This Row],[Tipo_Linha]]="Fora do DRE","Fora do DRE","( "&amp;Base_Periodo1[[#This Row],[Tipo_Linha]]&amp;" ) "&amp;Base_Periodo1[[#This Row],[Filtro]])</f>
        <v>Fora do DRE</v>
      </c>
      <c r="W1430" s="3" t="str">
        <f>LEFT(Base_Periodo1[[#This Row],[CLASS]],3)</f>
        <v>1.1</v>
      </c>
    </row>
    <row r="1431" spans="1:23" hidden="1">
      <c r="A1431" s="3" t="str">
        <f t="shared" si="22"/>
        <v>Período 1</v>
      </c>
      <c r="B1431">
        <v>347</v>
      </c>
      <c r="C1431" t="s">
        <v>1202</v>
      </c>
      <c r="D1431" t="s">
        <v>1068</v>
      </c>
      <c r="E1431" s="3" t="str">
        <f>IF(LEN(Base_Periodo1[[#This Row],[CLASS]])&gt;=7,LEFT(Base_Periodo1[[#This Row],[CLASS]],7),"")</f>
        <v>1.1.3.1</v>
      </c>
      <c r="F1431" s="3" t="str">
        <f>VLOOKUP(Base_Periodo1[[#This Row],[Aux]],Base_Contas_Balanco[#All],2,FALSE)</f>
        <v>Estoques Proprios</v>
      </c>
      <c r="G1431" s="1">
        <v>42886</v>
      </c>
      <c r="H1431" s="225">
        <v>9211318.2900000066</v>
      </c>
      <c r="I1431" s="225">
        <v>0</v>
      </c>
      <c r="J1431" s="225">
        <v>301429.58</v>
      </c>
      <c r="K1431" s="225">
        <v>9512747.8700000066</v>
      </c>
      <c r="L14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-9512747.8699999992</v>
      </c>
      <c r="M1431" s="225">
        <f>ROUND(IF(AND(Base_Periodo1[[#This Row],[Tipo_Linha]]="-",Base_Periodo1[[#This Row],[TIPOSALDO]]="D"),Base_Periodo1[[#This Row],[SALDO_ATUAL]]*-1,Base_Periodo1[[#This Row],[SALDO_ATUAL]]),4)</f>
        <v>9512747.8699999992</v>
      </c>
      <c r="N1431" t="s">
        <v>116</v>
      </c>
      <c r="O1431" t="s">
        <v>459</v>
      </c>
      <c r="P1431" t="s">
        <v>459</v>
      </c>
      <c r="Q1431">
        <v>9</v>
      </c>
      <c r="R1431" s="225">
        <f>Base_Periodo1[[#This Row],[CREDITOS]]-Base_Periodo1[[#This Row],[DEBITOS]]</f>
        <v>301429.58</v>
      </c>
      <c r="S1431" s="3" t="str">
        <f>IF(ISERROR(VLOOKUP(Base_Periodo1[[#This Row],[CONTA]],BaseContasDRE[#All],4,FALSE)),"Fora do DRE",VLOOKUP(Base_Periodo1[[#This Row],[CONTA]],BaseContasDRE[#All],4,FALSE))</f>
        <v>Fora do DRE</v>
      </c>
      <c r="T1431" s="3" t="str">
        <f>IF(ISERROR(VLOOKUP(Base_Periodo1[[#This Row],[CONTA]],BaseContasDRE[#All],5,FALSE)),"Fora do DRE",VLOOKUP(Base_Periodo1[[#This Row],[CONTA]],BaseContasDRE[#All],6,FALSE))</f>
        <v>Fora do DRE</v>
      </c>
      <c r="U1431" s="3" t="str">
        <f>IF(ISERROR(VLOOKUP(Base_Periodo1[[#This Row],[CONTA]],BaseContasDRE[#All],7,FALSE)),"Fora do DRE",VLOOKUP(Base_Periodo1[[#This Row],[CONTA]],BaseContasDRE[#All],7,FALSE))</f>
        <v>Fora do DRE</v>
      </c>
      <c r="V1431" s="3" t="str">
        <f>IF(Base_Periodo1[[#This Row],[Tipo_Linha]]="Fora do DRE","Fora do DRE","( "&amp;Base_Periodo1[[#This Row],[Tipo_Linha]]&amp;" ) "&amp;Base_Periodo1[[#This Row],[Filtro]])</f>
        <v>Fora do DRE</v>
      </c>
      <c r="W1431" s="3" t="str">
        <f>LEFT(Base_Periodo1[[#This Row],[CLASS]],3)</f>
        <v>1.1</v>
      </c>
    </row>
    <row r="1432" spans="1:23" hidden="1">
      <c r="A1432" s="3" t="str">
        <f t="shared" si="22"/>
        <v>Período 1</v>
      </c>
      <c r="B1432">
        <v>348</v>
      </c>
      <c r="C1432" t="s">
        <v>1203</v>
      </c>
      <c r="D1432" t="s">
        <v>1070</v>
      </c>
      <c r="E1432" s="3" t="str">
        <f>IF(LEN(Base_Periodo1[[#This Row],[CLASS]])&gt;=7,LEFT(Base_Periodo1[[#This Row],[CLASS]],7),"")</f>
        <v>1.1.3.1</v>
      </c>
      <c r="F1432" s="3" t="str">
        <f>VLOOKUP(Base_Periodo1[[#This Row],[Aux]],Base_Contas_Balanco[#All],2,FALSE)</f>
        <v>Estoques Proprios</v>
      </c>
      <c r="G1432" s="1">
        <v>42886</v>
      </c>
      <c r="H1432" s="225">
        <v>566798.35000000149</v>
      </c>
      <c r="I1432" s="225">
        <v>0</v>
      </c>
      <c r="J1432" s="225">
        <v>127711.11</v>
      </c>
      <c r="K1432" s="225">
        <v>694509.46000000148</v>
      </c>
      <c r="L14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-694509.46</v>
      </c>
      <c r="M1432" s="225">
        <f>ROUND(IF(AND(Base_Periodo1[[#This Row],[Tipo_Linha]]="-",Base_Periodo1[[#This Row],[TIPOSALDO]]="D"),Base_Periodo1[[#This Row],[SALDO_ATUAL]]*-1,Base_Periodo1[[#This Row],[SALDO_ATUAL]]),4)</f>
        <v>694509.46</v>
      </c>
      <c r="N1432" t="s">
        <v>116</v>
      </c>
      <c r="O1432" t="s">
        <v>459</v>
      </c>
      <c r="P1432" t="s">
        <v>459</v>
      </c>
      <c r="Q1432">
        <v>9</v>
      </c>
      <c r="R1432" s="225">
        <f>Base_Periodo1[[#This Row],[CREDITOS]]-Base_Periodo1[[#This Row],[DEBITOS]]</f>
        <v>127711.11</v>
      </c>
      <c r="S1432" s="3" t="str">
        <f>IF(ISERROR(VLOOKUP(Base_Periodo1[[#This Row],[CONTA]],BaseContasDRE[#All],4,FALSE)),"Fora do DRE",VLOOKUP(Base_Periodo1[[#This Row],[CONTA]],BaseContasDRE[#All],4,FALSE))</f>
        <v>Fora do DRE</v>
      </c>
      <c r="T1432" s="3" t="str">
        <f>IF(ISERROR(VLOOKUP(Base_Periodo1[[#This Row],[CONTA]],BaseContasDRE[#All],5,FALSE)),"Fora do DRE",VLOOKUP(Base_Periodo1[[#This Row],[CONTA]],BaseContasDRE[#All],6,FALSE))</f>
        <v>Fora do DRE</v>
      </c>
      <c r="U1432" s="3" t="str">
        <f>IF(ISERROR(VLOOKUP(Base_Periodo1[[#This Row],[CONTA]],BaseContasDRE[#All],7,FALSE)),"Fora do DRE",VLOOKUP(Base_Periodo1[[#This Row],[CONTA]],BaseContasDRE[#All],7,FALSE))</f>
        <v>Fora do DRE</v>
      </c>
      <c r="V1432" s="3" t="str">
        <f>IF(Base_Periodo1[[#This Row],[Tipo_Linha]]="Fora do DRE","Fora do DRE","( "&amp;Base_Periodo1[[#This Row],[Tipo_Linha]]&amp;" ) "&amp;Base_Periodo1[[#This Row],[Filtro]])</f>
        <v>Fora do DRE</v>
      </c>
      <c r="W1432" s="3" t="str">
        <f>LEFT(Base_Periodo1[[#This Row],[CLASS]],3)</f>
        <v>1.1</v>
      </c>
    </row>
    <row r="1433" spans="1:23" hidden="1">
      <c r="A1433" s="3" t="str">
        <f t="shared" si="22"/>
        <v>Período 1</v>
      </c>
      <c r="B1433">
        <v>349</v>
      </c>
      <c r="C1433" t="s">
        <v>6228</v>
      </c>
      <c r="D1433" t="s">
        <v>1166</v>
      </c>
      <c r="E1433" s="3" t="str">
        <f>IF(LEN(Base_Periodo1[[#This Row],[CLASS]])&gt;=7,LEFT(Base_Periodo1[[#This Row],[CLASS]],7),"")</f>
        <v>1.1.3.1</v>
      </c>
      <c r="F1433" s="3" t="str">
        <f>VLOOKUP(Base_Periodo1[[#This Row],[Aux]],Base_Contas_Balanco[#All],2,FALSE)</f>
        <v>Estoques Proprios</v>
      </c>
      <c r="G1433" s="1"/>
      <c r="H1433" s="225">
        <v>10000.000000000466</v>
      </c>
      <c r="I1433" s="225">
        <v>801.67000000000007</v>
      </c>
      <c r="J1433" s="225">
        <v>6680.62</v>
      </c>
      <c r="K1433" s="225">
        <v>15878.950000000466</v>
      </c>
      <c r="L14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-15878.95</v>
      </c>
      <c r="M1433" s="225">
        <f>ROUND(IF(AND(Base_Periodo1[[#This Row],[Tipo_Linha]]="-",Base_Periodo1[[#This Row],[TIPOSALDO]]="D"),Base_Periodo1[[#This Row],[SALDO_ATUAL]]*-1,Base_Periodo1[[#This Row],[SALDO_ATUAL]]),4)</f>
        <v>15878.95</v>
      </c>
      <c r="N1433" t="s">
        <v>396</v>
      </c>
      <c r="O1433" t="s">
        <v>459</v>
      </c>
      <c r="P1433" t="s">
        <v>459</v>
      </c>
      <c r="Q1433">
        <v>8</v>
      </c>
      <c r="R1433" s="225">
        <f>Base_Periodo1[[#This Row],[CREDITOS]]-Base_Periodo1[[#This Row],[DEBITOS]]</f>
        <v>5878.95</v>
      </c>
      <c r="S1433" s="3" t="str">
        <f>IF(ISERROR(VLOOKUP(Base_Periodo1[[#This Row],[CONTA]],BaseContasDRE[#All],4,FALSE)),"Fora do DRE",VLOOKUP(Base_Periodo1[[#This Row],[CONTA]],BaseContasDRE[#All],4,FALSE))</f>
        <v>Fora do DRE</v>
      </c>
      <c r="T1433" s="3" t="str">
        <f>IF(ISERROR(VLOOKUP(Base_Periodo1[[#This Row],[CONTA]],BaseContasDRE[#All],5,FALSE)),"Fora do DRE",VLOOKUP(Base_Periodo1[[#This Row],[CONTA]],BaseContasDRE[#All],6,FALSE))</f>
        <v>Fora do DRE</v>
      </c>
      <c r="U1433" s="3" t="str">
        <f>IF(ISERROR(VLOOKUP(Base_Periodo1[[#This Row],[CONTA]],BaseContasDRE[#All],7,FALSE)),"Fora do DRE",VLOOKUP(Base_Periodo1[[#This Row],[CONTA]],BaseContasDRE[#All],7,FALSE))</f>
        <v>Fora do DRE</v>
      </c>
      <c r="V1433" s="3" t="str">
        <f>IF(Base_Periodo1[[#This Row],[Tipo_Linha]]="Fora do DRE","Fora do DRE","( "&amp;Base_Periodo1[[#This Row],[Tipo_Linha]]&amp;" ) "&amp;Base_Periodo1[[#This Row],[Filtro]])</f>
        <v>Fora do DRE</v>
      </c>
      <c r="W1433" s="3" t="str">
        <f>LEFT(Base_Periodo1[[#This Row],[CLASS]],3)</f>
        <v>1.1</v>
      </c>
    </row>
    <row r="1434" spans="1:23" hidden="1">
      <c r="A1434" s="3" t="str">
        <f t="shared" si="22"/>
        <v>Período 1</v>
      </c>
      <c r="B1434">
        <v>58227</v>
      </c>
      <c r="C1434" t="s">
        <v>6229</v>
      </c>
      <c r="D1434" t="s">
        <v>6230</v>
      </c>
      <c r="E1434" s="3" t="str">
        <f>IF(LEN(Base_Periodo1[[#This Row],[CLASS]])&gt;=7,LEFT(Base_Periodo1[[#This Row],[CLASS]],7),"")</f>
        <v>1.1.3.1</v>
      </c>
      <c r="F1434" s="3" t="str">
        <f>VLOOKUP(Base_Periodo1[[#This Row],[Aux]],Base_Contas_Balanco[#All],2,FALSE)</f>
        <v>Estoques Proprios</v>
      </c>
      <c r="G1434" s="1"/>
      <c r="H1434" s="225">
        <v>10000</v>
      </c>
      <c r="I1434" s="225">
        <v>0</v>
      </c>
      <c r="J1434" s="225">
        <v>0</v>
      </c>
      <c r="K1434" s="225">
        <v>10000</v>
      </c>
      <c r="L14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-10000</v>
      </c>
      <c r="M1434" s="225">
        <f>ROUND(IF(AND(Base_Periodo1[[#This Row],[Tipo_Linha]]="-",Base_Periodo1[[#This Row],[TIPOSALDO]]="D"),Base_Periodo1[[#This Row],[SALDO_ATUAL]]*-1,Base_Periodo1[[#This Row],[SALDO_ATUAL]]),4)</f>
        <v>10000</v>
      </c>
      <c r="N1434" t="s">
        <v>116</v>
      </c>
      <c r="O1434" t="s">
        <v>459</v>
      </c>
      <c r="P1434" t="s">
        <v>459</v>
      </c>
      <c r="Q1434">
        <v>9</v>
      </c>
      <c r="R1434" s="225">
        <f>Base_Periodo1[[#This Row],[CREDITOS]]-Base_Periodo1[[#This Row],[DEBITOS]]</f>
        <v>0</v>
      </c>
      <c r="S1434" s="3" t="str">
        <f>IF(ISERROR(VLOOKUP(Base_Periodo1[[#This Row],[CONTA]],BaseContasDRE[#All],4,FALSE)),"Fora do DRE",VLOOKUP(Base_Periodo1[[#This Row],[CONTA]],BaseContasDRE[#All],4,FALSE))</f>
        <v>Fora do DRE</v>
      </c>
      <c r="T1434" s="3" t="str">
        <f>IF(ISERROR(VLOOKUP(Base_Periodo1[[#This Row],[CONTA]],BaseContasDRE[#All],5,FALSE)),"Fora do DRE",VLOOKUP(Base_Periodo1[[#This Row],[CONTA]],BaseContasDRE[#All],6,FALSE))</f>
        <v>Fora do DRE</v>
      </c>
      <c r="U1434" s="3" t="str">
        <f>IF(ISERROR(VLOOKUP(Base_Periodo1[[#This Row],[CONTA]],BaseContasDRE[#All],7,FALSE)),"Fora do DRE",VLOOKUP(Base_Periodo1[[#This Row],[CONTA]],BaseContasDRE[#All],7,FALSE))</f>
        <v>Fora do DRE</v>
      </c>
      <c r="V1434" s="3" t="str">
        <f>IF(Base_Periodo1[[#This Row],[Tipo_Linha]]="Fora do DRE","Fora do DRE","( "&amp;Base_Periodo1[[#This Row],[Tipo_Linha]]&amp;" ) "&amp;Base_Periodo1[[#This Row],[Filtro]])</f>
        <v>Fora do DRE</v>
      </c>
      <c r="W1434" s="3" t="str">
        <f>LEFT(Base_Periodo1[[#This Row],[CLASS]],3)</f>
        <v>1.1</v>
      </c>
    </row>
    <row r="1435" spans="1:23" hidden="1">
      <c r="A1435" s="3" t="str">
        <f t="shared" si="22"/>
        <v>Período 1</v>
      </c>
      <c r="B1435">
        <v>350</v>
      </c>
      <c r="C1435" t="s">
        <v>6797</v>
      </c>
      <c r="D1435" t="s">
        <v>1167</v>
      </c>
      <c r="E1435" s="3" t="str">
        <f>IF(LEN(Base_Periodo1[[#This Row],[CLASS]])&gt;=7,LEFT(Base_Periodo1[[#This Row],[CLASS]],7),"")</f>
        <v>1.1.3.1</v>
      </c>
      <c r="F1435" s="3" t="str">
        <f>VLOOKUP(Base_Periodo1[[#This Row],[Aux]],Base_Contas_Balanco[#All],2,FALSE)</f>
        <v>Estoques Proprios</v>
      </c>
      <c r="G1435" s="1">
        <v>42872</v>
      </c>
      <c r="I1435" s="225">
        <v>801.67000000000007</v>
      </c>
      <c r="J1435" s="225">
        <v>6680.62</v>
      </c>
      <c r="K1435" s="225">
        <v>5878.9500000004655</v>
      </c>
      <c r="L14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-5878.95</v>
      </c>
      <c r="M1435" s="225">
        <f>ROUND(IF(AND(Base_Periodo1[[#This Row],[Tipo_Linha]]="-",Base_Periodo1[[#This Row],[TIPOSALDO]]="D"),Base_Periodo1[[#This Row],[SALDO_ATUAL]]*-1,Base_Periodo1[[#This Row],[SALDO_ATUAL]]),4)</f>
        <v>5878.95</v>
      </c>
      <c r="N1435" t="s">
        <v>116</v>
      </c>
      <c r="O1435" t="s">
        <v>436</v>
      </c>
      <c r="P1435" t="s">
        <v>459</v>
      </c>
      <c r="Q1435">
        <v>9</v>
      </c>
      <c r="R1435" s="225">
        <f>Base_Periodo1[[#This Row],[CREDITOS]]-Base_Periodo1[[#This Row],[DEBITOS]]</f>
        <v>5878.95</v>
      </c>
      <c r="S1435" s="3" t="str">
        <f>IF(ISERROR(VLOOKUP(Base_Periodo1[[#This Row],[CONTA]],BaseContasDRE[#All],4,FALSE)),"Fora do DRE",VLOOKUP(Base_Periodo1[[#This Row],[CONTA]],BaseContasDRE[#All],4,FALSE))</f>
        <v>Fora do DRE</v>
      </c>
      <c r="T1435" s="3" t="str">
        <f>IF(ISERROR(VLOOKUP(Base_Periodo1[[#This Row],[CONTA]],BaseContasDRE[#All],5,FALSE)),"Fora do DRE",VLOOKUP(Base_Periodo1[[#This Row],[CONTA]],BaseContasDRE[#All],6,FALSE))</f>
        <v>Fora do DRE</v>
      </c>
      <c r="U1435" s="3" t="str">
        <f>IF(ISERROR(VLOOKUP(Base_Periodo1[[#This Row],[CONTA]],BaseContasDRE[#All],7,FALSE)),"Fora do DRE",VLOOKUP(Base_Periodo1[[#This Row],[CONTA]],BaseContasDRE[#All],7,FALSE))</f>
        <v>Fora do DRE</v>
      </c>
      <c r="V1435" s="3" t="str">
        <f>IF(Base_Periodo1[[#This Row],[Tipo_Linha]]="Fora do DRE","Fora do DRE","( "&amp;Base_Periodo1[[#This Row],[Tipo_Linha]]&amp;" ) "&amp;Base_Periodo1[[#This Row],[Filtro]])</f>
        <v>Fora do DRE</v>
      </c>
      <c r="W1435" s="3" t="str">
        <f>LEFT(Base_Periodo1[[#This Row],[CLASS]],3)</f>
        <v>1.1</v>
      </c>
    </row>
    <row r="1436" spans="1:23" hidden="1">
      <c r="A1436" s="3" t="str">
        <f t="shared" si="22"/>
        <v>Período 1</v>
      </c>
      <c r="B1436">
        <v>351</v>
      </c>
      <c r="C1436" t="s">
        <v>1204</v>
      </c>
      <c r="D1436" t="s">
        <v>1072</v>
      </c>
      <c r="E1436" s="3" t="str">
        <f>IF(LEN(Base_Periodo1[[#This Row],[CLASS]])&gt;=7,LEFT(Base_Periodo1[[#This Row],[CLASS]],7),"")</f>
        <v>1.1.3.1</v>
      </c>
      <c r="F1436" s="3" t="str">
        <f>VLOOKUP(Base_Periodo1[[#This Row],[Aux]],Base_Contas_Balanco[#All],2,FALSE)</f>
        <v>Estoques Proprios</v>
      </c>
      <c r="G1436" s="1"/>
      <c r="H1436" s="225">
        <v>8159860.9800004512</v>
      </c>
      <c r="I1436" s="225">
        <v>0</v>
      </c>
      <c r="J1436" s="225">
        <v>503984.46999999991</v>
      </c>
      <c r="K1436" s="225">
        <v>8663845.4500004519</v>
      </c>
      <c r="L14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-8663845.4499999993</v>
      </c>
      <c r="M1436" s="225">
        <f>ROUND(IF(AND(Base_Periodo1[[#This Row],[Tipo_Linha]]="-",Base_Periodo1[[#This Row],[TIPOSALDO]]="D"),Base_Periodo1[[#This Row],[SALDO_ATUAL]]*-1,Base_Periodo1[[#This Row],[SALDO_ATUAL]]),4)</f>
        <v>8663845.4499999993</v>
      </c>
      <c r="N1436" t="s">
        <v>396</v>
      </c>
      <c r="O1436" t="s">
        <v>459</v>
      </c>
      <c r="P1436" t="s">
        <v>459</v>
      </c>
      <c r="Q1436">
        <v>8</v>
      </c>
      <c r="R1436" s="225">
        <f>Base_Periodo1[[#This Row],[CREDITOS]]-Base_Periodo1[[#This Row],[DEBITOS]]</f>
        <v>503984.46999999991</v>
      </c>
      <c r="S1436" s="3" t="str">
        <f>IF(ISERROR(VLOOKUP(Base_Periodo1[[#This Row],[CONTA]],BaseContasDRE[#All],4,FALSE)),"Fora do DRE",VLOOKUP(Base_Periodo1[[#This Row],[CONTA]],BaseContasDRE[#All],4,FALSE))</f>
        <v>Fora do DRE</v>
      </c>
      <c r="T1436" s="3" t="str">
        <f>IF(ISERROR(VLOOKUP(Base_Periodo1[[#This Row],[CONTA]],BaseContasDRE[#All],5,FALSE)),"Fora do DRE",VLOOKUP(Base_Periodo1[[#This Row],[CONTA]],BaseContasDRE[#All],6,FALSE))</f>
        <v>Fora do DRE</v>
      </c>
      <c r="U1436" s="3" t="str">
        <f>IF(ISERROR(VLOOKUP(Base_Periodo1[[#This Row],[CONTA]],BaseContasDRE[#All],7,FALSE)),"Fora do DRE",VLOOKUP(Base_Periodo1[[#This Row],[CONTA]],BaseContasDRE[#All],7,FALSE))</f>
        <v>Fora do DRE</v>
      </c>
      <c r="V1436" s="3" t="str">
        <f>IF(Base_Periodo1[[#This Row],[Tipo_Linha]]="Fora do DRE","Fora do DRE","( "&amp;Base_Periodo1[[#This Row],[Tipo_Linha]]&amp;" ) "&amp;Base_Periodo1[[#This Row],[Filtro]])</f>
        <v>Fora do DRE</v>
      </c>
      <c r="W1436" s="3" t="str">
        <f>LEFT(Base_Periodo1[[#This Row],[CLASS]],3)</f>
        <v>1.1</v>
      </c>
    </row>
    <row r="1437" spans="1:23" hidden="1">
      <c r="A1437" s="3" t="str">
        <f t="shared" si="22"/>
        <v>Período 1</v>
      </c>
      <c r="B1437">
        <v>352</v>
      </c>
      <c r="C1437" t="s">
        <v>1205</v>
      </c>
      <c r="D1437" t="s">
        <v>1074</v>
      </c>
      <c r="E1437" s="3" t="str">
        <f>IF(LEN(Base_Periodo1[[#This Row],[CLASS]])&gt;=7,LEFT(Base_Periodo1[[#This Row],[CLASS]],7),"")</f>
        <v>1.1.3.1</v>
      </c>
      <c r="F1437" s="3" t="str">
        <f>VLOOKUP(Base_Periodo1[[#This Row],[Aux]],Base_Contas_Balanco[#All],2,FALSE)</f>
        <v>Estoques Proprios</v>
      </c>
      <c r="G1437" s="1">
        <v>42886</v>
      </c>
      <c r="H1437" s="225">
        <v>8159860.9800004512</v>
      </c>
      <c r="I1437" s="225">
        <v>0</v>
      </c>
      <c r="J1437" s="225">
        <v>503984.46999999991</v>
      </c>
      <c r="K1437" s="225">
        <v>8663845.4500004519</v>
      </c>
      <c r="L14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-8663845.4499999993</v>
      </c>
      <c r="M1437" s="225">
        <f>ROUND(IF(AND(Base_Periodo1[[#This Row],[Tipo_Linha]]="-",Base_Periodo1[[#This Row],[TIPOSALDO]]="D"),Base_Periodo1[[#This Row],[SALDO_ATUAL]]*-1,Base_Periodo1[[#This Row],[SALDO_ATUAL]]),4)</f>
        <v>8663845.4499999993</v>
      </c>
      <c r="N1437" t="s">
        <v>116</v>
      </c>
      <c r="O1437" t="s">
        <v>459</v>
      </c>
      <c r="P1437" t="s">
        <v>459</v>
      </c>
      <c r="Q1437">
        <v>9</v>
      </c>
      <c r="R1437" s="225">
        <f>Base_Periodo1[[#This Row],[CREDITOS]]-Base_Periodo1[[#This Row],[DEBITOS]]</f>
        <v>503984.46999999991</v>
      </c>
      <c r="S1437" s="3" t="str">
        <f>IF(ISERROR(VLOOKUP(Base_Periodo1[[#This Row],[CONTA]],BaseContasDRE[#All],4,FALSE)),"Fora do DRE",VLOOKUP(Base_Periodo1[[#This Row],[CONTA]],BaseContasDRE[#All],4,FALSE))</f>
        <v>Fora do DRE</v>
      </c>
      <c r="T1437" s="3" t="str">
        <f>IF(ISERROR(VLOOKUP(Base_Periodo1[[#This Row],[CONTA]],BaseContasDRE[#All],5,FALSE)),"Fora do DRE",VLOOKUP(Base_Periodo1[[#This Row],[CONTA]],BaseContasDRE[#All],6,FALSE))</f>
        <v>Fora do DRE</v>
      </c>
      <c r="U1437" s="3" t="str">
        <f>IF(ISERROR(VLOOKUP(Base_Periodo1[[#This Row],[CONTA]],BaseContasDRE[#All],7,FALSE)),"Fora do DRE",VLOOKUP(Base_Periodo1[[#This Row],[CONTA]],BaseContasDRE[#All],7,FALSE))</f>
        <v>Fora do DRE</v>
      </c>
      <c r="V1437" s="3" t="str">
        <f>IF(Base_Periodo1[[#This Row],[Tipo_Linha]]="Fora do DRE","Fora do DRE","( "&amp;Base_Periodo1[[#This Row],[Tipo_Linha]]&amp;" ) "&amp;Base_Periodo1[[#This Row],[Filtro]])</f>
        <v>Fora do DRE</v>
      </c>
      <c r="W1437" s="3" t="str">
        <f>LEFT(Base_Periodo1[[#This Row],[CLASS]],3)</f>
        <v>1.1</v>
      </c>
    </row>
    <row r="1438" spans="1:23" hidden="1">
      <c r="A1438" s="3" t="str">
        <f t="shared" si="22"/>
        <v>Período 1</v>
      </c>
      <c r="B1438">
        <v>353</v>
      </c>
      <c r="C1438" t="s">
        <v>1206</v>
      </c>
      <c r="D1438" t="s">
        <v>1171</v>
      </c>
      <c r="E1438" s="3" t="str">
        <f>IF(LEN(Base_Periodo1[[#This Row],[CLASS]])&gt;=7,LEFT(Base_Periodo1[[#This Row],[CLASS]],7),"")</f>
        <v>1.1.3.1</v>
      </c>
      <c r="F1438" s="3" t="str">
        <f>VLOOKUP(Base_Periodo1[[#This Row],[Aux]],Base_Contas_Balanco[#All],2,FALSE)</f>
        <v>Estoques Proprios</v>
      </c>
      <c r="G1438" s="1"/>
      <c r="H1438" s="225">
        <v>87344.820000000065</v>
      </c>
      <c r="I1438" s="225">
        <v>0</v>
      </c>
      <c r="J1438" s="225">
        <v>0</v>
      </c>
      <c r="K1438" s="225">
        <v>87344.820000000065</v>
      </c>
      <c r="L14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-87344.82</v>
      </c>
      <c r="M1438" s="225">
        <f>ROUND(IF(AND(Base_Periodo1[[#This Row],[Tipo_Linha]]="-",Base_Periodo1[[#This Row],[TIPOSALDO]]="D"),Base_Periodo1[[#This Row],[SALDO_ATUAL]]*-1,Base_Periodo1[[#This Row],[SALDO_ATUAL]]),4)</f>
        <v>87344.82</v>
      </c>
      <c r="N1438" t="s">
        <v>396</v>
      </c>
      <c r="O1438" t="s">
        <v>459</v>
      </c>
      <c r="P1438" t="s">
        <v>459</v>
      </c>
      <c r="Q1438">
        <v>8</v>
      </c>
      <c r="R1438" s="225">
        <f>Base_Periodo1[[#This Row],[CREDITOS]]-Base_Periodo1[[#This Row],[DEBITOS]]</f>
        <v>0</v>
      </c>
      <c r="S1438" s="3" t="str">
        <f>IF(ISERROR(VLOOKUP(Base_Periodo1[[#This Row],[CONTA]],BaseContasDRE[#All],4,FALSE)),"Fora do DRE",VLOOKUP(Base_Periodo1[[#This Row],[CONTA]],BaseContasDRE[#All],4,FALSE))</f>
        <v>Fora do DRE</v>
      </c>
      <c r="T1438" s="3" t="str">
        <f>IF(ISERROR(VLOOKUP(Base_Periodo1[[#This Row],[CONTA]],BaseContasDRE[#All],5,FALSE)),"Fora do DRE",VLOOKUP(Base_Periodo1[[#This Row],[CONTA]],BaseContasDRE[#All],6,FALSE))</f>
        <v>Fora do DRE</v>
      </c>
      <c r="U1438" s="3" t="str">
        <f>IF(ISERROR(VLOOKUP(Base_Periodo1[[#This Row],[CONTA]],BaseContasDRE[#All],7,FALSE)),"Fora do DRE",VLOOKUP(Base_Periodo1[[#This Row],[CONTA]],BaseContasDRE[#All],7,FALSE))</f>
        <v>Fora do DRE</v>
      </c>
      <c r="V1438" s="3" t="str">
        <f>IF(Base_Periodo1[[#This Row],[Tipo_Linha]]="Fora do DRE","Fora do DRE","( "&amp;Base_Periodo1[[#This Row],[Tipo_Linha]]&amp;" ) "&amp;Base_Periodo1[[#This Row],[Filtro]])</f>
        <v>Fora do DRE</v>
      </c>
      <c r="W1438" s="3" t="str">
        <f>LEFT(Base_Periodo1[[#This Row],[CLASS]],3)</f>
        <v>1.1</v>
      </c>
    </row>
    <row r="1439" spans="1:23" hidden="1">
      <c r="A1439" s="3" t="str">
        <f t="shared" si="22"/>
        <v>Período 1</v>
      </c>
      <c r="B1439">
        <v>354</v>
      </c>
      <c r="C1439" t="s">
        <v>1207</v>
      </c>
      <c r="D1439" t="s">
        <v>1173</v>
      </c>
      <c r="E1439" s="3" t="str">
        <f>IF(LEN(Base_Periodo1[[#This Row],[CLASS]])&gt;=7,LEFT(Base_Periodo1[[#This Row],[CLASS]],7),"")</f>
        <v>1.1.3.1</v>
      </c>
      <c r="F1439" s="3" t="str">
        <f>VLOOKUP(Base_Periodo1[[#This Row],[Aux]],Base_Contas_Balanco[#All],2,FALSE)</f>
        <v>Estoques Proprios</v>
      </c>
      <c r="G1439" s="1">
        <v>42845</v>
      </c>
      <c r="H1439" s="225">
        <v>84719.820000000065</v>
      </c>
      <c r="I1439" s="225">
        <v>0</v>
      </c>
      <c r="J1439" s="225">
        <v>0</v>
      </c>
      <c r="K1439" s="225">
        <v>84719.820000000065</v>
      </c>
      <c r="L14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-84719.82</v>
      </c>
      <c r="M1439" s="225">
        <f>ROUND(IF(AND(Base_Periodo1[[#This Row],[Tipo_Linha]]="-",Base_Periodo1[[#This Row],[TIPOSALDO]]="D"),Base_Periodo1[[#This Row],[SALDO_ATUAL]]*-1,Base_Periodo1[[#This Row],[SALDO_ATUAL]]),4)</f>
        <v>84719.82</v>
      </c>
      <c r="N1439" t="s">
        <v>116</v>
      </c>
      <c r="O1439" t="s">
        <v>459</v>
      </c>
      <c r="P1439" t="s">
        <v>459</v>
      </c>
      <c r="Q1439">
        <v>9</v>
      </c>
      <c r="R1439" s="225">
        <f>Base_Periodo1[[#This Row],[CREDITOS]]-Base_Periodo1[[#This Row],[DEBITOS]]</f>
        <v>0</v>
      </c>
      <c r="S1439" s="3" t="str">
        <f>IF(ISERROR(VLOOKUP(Base_Periodo1[[#This Row],[CONTA]],BaseContasDRE[#All],4,FALSE)),"Fora do DRE",VLOOKUP(Base_Periodo1[[#This Row],[CONTA]],BaseContasDRE[#All],4,FALSE))</f>
        <v>Fora do DRE</v>
      </c>
      <c r="T1439" s="3" t="str">
        <f>IF(ISERROR(VLOOKUP(Base_Periodo1[[#This Row],[CONTA]],BaseContasDRE[#All],5,FALSE)),"Fora do DRE",VLOOKUP(Base_Periodo1[[#This Row],[CONTA]],BaseContasDRE[#All],6,FALSE))</f>
        <v>Fora do DRE</v>
      </c>
      <c r="U1439" s="3" t="str">
        <f>IF(ISERROR(VLOOKUP(Base_Periodo1[[#This Row],[CONTA]],BaseContasDRE[#All],7,FALSE)),"Fora do DRE",VLOOKUP(Base_Periodo1[[#This Row],[CONTA]],BaseContasDRE[#All],7,FALSE))</f>
        <v>Fora do DRE</v>
      </c>
      <c r="V1439" s="3" t="str">
        <f>IF(Base_Periodo1[[#This Row],[Tipo_Linha]]="Fora do DRE","Fora do DRE","( "&amp;Base_Periodo1[[#This Row],[Tipo_Linha]]&amp;" ) "&amp;Base_Periodo1[[#This Row],[Filtro]])</f>
        <v>Fora do DRE</v>
      </c>
      <c r="W1439" s="3" t="str">
        <f>LEFT(Base_Periodo1[[#This Row],[CLASS]],3)</f>
        <v>1.1</v>
      </c>
    </row>
    <row r="1440" spans="1:23" hidden="1">
      <c r="A1440" s="3" t="str">
        <f t="shared" si="22"/>
        <v>Período 1</v>
      </c>
      <c r="B1440">
        <v>355</v>
      </c>
      <c r="C1440" t="s">
        <v>6231</v>
      </c>
      <c r="D1440" t="s">
        <v>1174</v>
      </c>
      <c r="E1440" s="3" t="str">
        <f>IF(LEN(Base_Periodo1[[#This Row],[CLASS]])&gt;=7,LEFT(Base_Periodo1[[#This Row],[CLASS]],7),"")</f>
        <v>1.1.3.1</v>
      </c>
      <c r="F1440" s="3" t="str">
        <f>VLOOKUP(Base_Periodo1[[#This Row],[Aux]],Base_Contas_Balanco[#All],2,FALSE)</f>
        <v>Estoques Proprios</v>
      </c>
      <c r="G1440" s="1">
        <v>42847</v>
      </c>
      <c r="H1440" s="225">
        <v>2625</v>
      </c>
      <c r="I1440" s="225">
        <v>0</v>
      </c>
      <c r="J1440" s="225">
        <v>0</v>
      </c>
      <c r="K1440" s="225">
        <v>2625</v>
      </c>
      <c r="L14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-2625</v>
      </c>
      <c r="M1440" s="225">
        <f>ROUND(IF(AND(Base_Periodo1[[#This Row],[Tipo_Linha]]="-",Base_Periodo1[[#This Row],[TIPOSALDO]]="D"),Base_Periodo1[[#This Row],[SALDO_ATUAL]]*-1,Base_Periodo1[[#This Row],[SALDO_ATUAL]]),4)</f>
        <v>2625</v>
      </c>
      <c r="N1440" t="s">
        <v>116</v>
      </c>
      <c r="O1440" t="s">
        <v>459</v>
      </c>
      <c r="P1440" t="s">
        <v>459</v>
      </c>
      <c r="Q1440">
        <v>9</v>
      </c>
      <c r="R1440" s="225">
        <f>Base_Periodo1[[#This Row],[CREDITOS]]-Base_Periodo1[[#This Row],[DEBITOS]]</f>
        <v>0</v>
      </c>
      <c r="S1440" s="3" t="str">
        <f>IF(ISERROR(VLOOKUP(Base_Periodo1[[#This Row],[CONTA]],BaseContasDRE[#All],4,FALSE)),"Fora do DRE",VLOOKUP(Base_Periodo1[[#This Row],[CONTA]],BaseContasDRE[#All],4,FALSE))</f>
        <v>Fora do DRE</v>
      </c>
      <c r="T1440" s="3" t="str">
        <f>IF(ISERROR(VLOOKUP(Base_Periodo1[[#This Row],[CONTA]],BaseContasDRE[#All],5,FALSE)),"Fora do DRE",VLOOKUP(Base_Periodo1[[#This Row],[CONTA]],BaseContasDRE[#All],6,FALSE))</f>
        <v>Fora do DRE</v>
      </c>
      <c r="U1440" s="3" t="str">
        <f>IF(ISERROR(VLOOKUP(Base_Periodo1[[#This Row],[CONTA]],BaseContasDRE[#All],7,FALSE)),"Fora do DRE",VLOOKUP(Base_Periodo1[[#This Row],[CONTA]],BaseContasDRE[#All],7,FALSE))</f>
        <v>Fora do DRE</v>
      </c>
      <c r="V1440" s="3" t="str">
        <f>IF(Base_Periodo1[[#This Row],[Tipo_Linha]]="Fora do DRE","Fora do DRE","( "&amp;Base_Periodo1[[#This Row],[Tipo_Linha]]&amp;" ) "&amp;Base_Periodo1[[#This Row],[Filtro]])</f>
        <v>Fora do DRE</v>
      </c>
      <c r="W1440" s="3" t="str">
        <f>LEFT(Base_Periodo1[[#This Row],[CLASS]],3)</f>
        <v>1.1</v>
      </c>
    </row>
    <row r="1441" spans="1:23" hidden="1">
      <c r="A1441" s="3" t="str">
        <f t="shared" si="22"/>
        <v>Período 1</v>
      </c>
      <c r="B1441">
        <v>356</v>
      </c>
      <c r="C1441" t="s">
        <v>1208</v>
      </c>
      <c r="D1441" t="s">
        <v>1150</v>
      </c>
      <c r="E1441" s="3" t="str">
        <f>IF(LEN(Base_Periodo1[[#This Row],[CLASS]])&gt;=7,LEFT(Base_Periodo1[[#This Row],[CLASS]],7),"")</f>
        <v>1.1.3.1</v>
      </c>
      <c r="F1441" s="3" t="str">
        <f>VLOOKUP(Base_Periodo1[[#This Row],[Aux]],Base_Contas_Balanco[#All],2,FALSE)</f>
        <v>Estoques Proprios</v>
      </c>
      <c r="G1441" s="1"/>
      <c r="H1441" s="225">
        <v>92647.029999999446</v>
      </c>
      <c r="I1441" s="225">
        <v>0</v>
      </c>
      <c r="J1441" s="225">
        <v>114819.37</v>
      </c>
      <c r="K1441" s="225">
        <v>207466.39999999944</v>
      </c>
      <c r="L14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-207466.4</v>
      </c>
      <c r="M1441" s="225">
        <f>ROUND(IF(AND(Base_Periodo1[[#This Row],[Tipo_Linha]]="-",Base_Periodo1[[#This Row],[TIPOSALDO]]="D"),Base_Periodo1[[#This Row],[SALDO_ATUAL]]*-1,Base_Periodo1[[#This Row],[SALDO_ATUAL]]),4)</f>
        <v>207466.4</v>
      </c>
      <c r="N1441" t="s">
        <v>396</v>
      </c>
      <c r="O1441" t="s">
        <v>459</v>
      </c>
      <c r="P1441" t="s">
        <v>459</v>
      </c>
      <c r="Q1441">
        <v>8</v>
      </c>
      <c r="R1441" s="225">
        <f>Base_Periodo1[[#This Row],[CREDITOS]]-Base_Periodo1[[#This Row],[DEBITOS]]</f>
        <v>114819.37</v>
      </c>
      <c r="S1441" s="3" t="str">
        <f>IF(ISERROR(VLOOKUP(Base_Periodo1[[#This Row],[CONTA]],BaseContasDRE[#All],4,FALSE)),"Fora do DRE",VLOOKUP(Base_Periodo1[[#This Row],[CONTA]],BaseContasDRE[#All],4,FALSE))</f>
        <v>Fora do DRE</v>
      </c>
      <c r="T1441" s="3" t="str">
        <f>IF(ISERROR(VLOOKUP(Base_Periodo1[[#This Row],[CONTA]],BaseContasDRE[#All],5,FALSE)),"Fora do DRE",VLOOKUP(Base_Periodo1[[#This Row],[CONTA]],BaseContasDRE[#All],6,FALSE))</f>
        <v>Fora do DRE</v>
      </c>
      <c r="U1441" s="3" t="str">
        <f>IF(ISERROR(VLOOKUP(Base_Periodo1[[#This Row],[CONTA]],BaseContasDRE[#All],7,FALSE)),"Fora do DRE",VLOOKUP(Base_Periodo1[[#This Row],[CONTA]],BaseContasDRE[#All],7,FALSE))</f>
        <v>Fora do DRE</v>
      </c>
      <c r="V1441" s="3" t="str">
        <f>IF(Base_Periodo1[[#This Row],[Tipo_Linha]]="Fora do DRE","Fora do DRE","( "&amp;Base_Periodo1[[#This Row],[Tipo_Linha]]&amp;" ) "&amp;Base_Periodo1[[#This Row],[Filtro]])</f>
        <v>Fora do DRE</v>
      </c>
      <c r="W1441" s="3" t="str">
        <f>LEFT(Base_Periodo1[[#This Row],[CLASS]],3)</f>
        <v>1.1</v>
      </c>
    </row>
    <row r="1442" spans="1:23" hidden="1">
      <c r="A1442" s="3" t="str">
        <f t="shared" si="22"/>
        <v>Período 1</v>
      </c>
      <c r="B1442">
        <v>357</v>
      </c>
      <c r="C1442" t="s">
        <v>5258</v>
      </c>
      <c r="D1442" t="s">
        <v>1176</v>
      </c>
      <c r="E1442" s="3" t="str">
        <f>IF(LEN(Base_Periodo1[[#This Row],[CLASS]])&gt;=7,LEFT(Base_Periodo1[[#This Row],[CLASS]],7),"")</f>
        <v>1.1.3.1</v>
      </c>
      <c r="F1442" s="3" t="str">
        <f>VLOOKUP(Base_Periodo1[[#This Row],[Aux]],Base_Contas_Balanco[#All],2,FALSE)</f>
        <v>Estoques Proprios</v>
      </c>
      <c r="G1442" s="1">
        <v>42886</v>
      </c>
      <c r="H1442" s="225">
        <v>1274.4099999999999</v>
      </c>
      <c r="I1442" s="225">
        <v>0</v>
      </c>
      <c r="J1442" s="225">
        <v>1116.42</v>
      </c>
      <c r="K1442" s="225">
        <v>2390.83</v>
      </c>
      <c r="L14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-2390.83</v>
      </c>
      <c r="M1442" s="225">
        <f>ROUND(IF(AND(Base_Periodo1[[#This Row],[Tipo_Linha]]="-",Base_Periodo1[[#This Row],[TIPOSALDO]]="D"),Base_Periodo1[[#This Row],[SALDO_ATUAL]]*-1,Base_Periodo1[[#This Row],[SALDO_ATUAL]]),4)</f>
        <v>2390.83</v>
      </c>
      <c r="N1442" t="s">
        <v>116</v>
      </c>
      <c r="O1442" t="s">
        <v>459</v>
      </c>
      <c r="P1442" t="s">
        <v>459</v>
      </c>
      <c r="Q1442">
        <v>9</v>
      </c>
      <c r="R1442" s="225">
        <f>Base_Periodo1[[#This Row],[CREDITOS]]-Base_Periodo1[[#This Row],[DEBITOS]]</f>
        <v>1116.42</v>
      </c>
      <c r="S1442" s="3" t="str">
        <f>IF(ISERROR(VLOOKUP(Base_Periodo1[[#This Row],[CONTA]],BaseContasDRE[#All],4,FALSE)),"Fora do DRE",VLOOKUP(Base_Periodo1[[#This Row],[CONTA]],BaseContasDRE[#All],4,FALSE))</f>
        <v>Fora do DRE</v>
      </c>
      <c r="T1442" s="3" t="str">
        <f>IF(ISERROR(VLOOKUP(Base_Periodo1[[#This Row],[CONTA]],BaseContasDRE[#All],5,FALSE)),"Fora do DRE",VLOOKUP(Base_Periodo1[[#This Row],[CONTA]],BaseContasDRE[#All],6,FALSE))</f>
        <v>Fora do DRE</v>
      </c>
      <c r="U1442" s="3" t="str">
        <f>IF(ISERROR(VLOOKUP(Base_Periodo1[[#This Row],[CONTA]],BaseContasDRE[#All],7,FALSE)),"Fora do DRE",VLOOKUP(Base_Periodo1[[#This Row],[CONTA]],BaseContasDRE[#All],7,FALSE))</f>
        <v>Fora do DRE</v>
      </c>
      <c r="V1442" s="3" t="str">
        <f>IF(Base_Periodo1[[#This Row],[Tipo_Linha]]="Fora do DRE","Fora do DRE","( "&amp;Base_Periodo1[[#This Row],[Tipo_Linha]]&amp;" ) "&amp;Base_Periodo1[[#This Row],[Filtro]])</f>
        <v>Fora do DRE</v>
      </c>
      <c r="W1442" s="3" t="str">
        <f>LEFT(Base_Periodo1[[#This Row],[CLASS]],3)</f>
        <v>1.1</v>
      </c>
    </row>
    <row r="1443" spans="1:23" hidden="1">
      <c r="A1443" s="3" t="str">
        <f t="shared" si="22"/>
        <v>Período 1</v>
      </c>
      <c r="B1443">
        <v>358</v>
      </c>
      <c r="C1443" t="s">
        <v>4351</v>
      </c>
      <c r="D1443" t="s">
        <v>4350</v>
      </c>
      <c r="E1443" s="3" t="str">
        <f>IF(LEN(Base_Periodo1[[#This Row],[CLASS]])&gt;=7,LEFT(Base_Periodo1[[#This Row],[CLASS]],7),"")</f>
        <v>1.1.3.1</v>
      </c>
      <c r="F1443" s="3" t="str">
        <f>VLOOKUP(Base_Periodo1[[#This Row],[Aux]],Base_Contas_Balanco[#All],2,FALSE)</f>
        <v>Estoques Proprios</v>
      </c>
      <c r="G1443" s="1">
        <v>42753</v>
      </c>
      <c r="H1443" s="225">
        <v>21488.979999999996</v>
      </c>
      <c r="I1443" s="225">
        <v>0</v>
      </c>
      <c r="J1443" s="225">
        <v>0</v>
      </c>
      <c r="K1443" s="225">
        <v>21488.979999999996</v>
      </c>
      <c r="L14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-21488.98</v>
      </c>
      <c r="M1443" s="225">
        <f>ROUND(IF(AND(Base_Periodo1[[#This Row],[Tipo_Linha]]="-",Base_Periodo1[[#This Row],[TIPOSALDO]]="D"),Base_Periodo1[[#This Row],[SALDO_ATUAL]]*-1,Base_Periodo1[[#This Row],[SALDO_ATUAL]]),4)</f>
        <v>21488.98</v>
      </c>
      <c r="N1443" t="s">
        <v>116</v>
      </c>
      <c r="O1443" t="s">
        <v>459</v>
      </c>
      <c r="P1443" t="s">
        <v>459</v>
      </c>
      <c r="Q1443">
        <v>9</v>
      </c>
      <c r="R1443" s="225">
        <f>Base_Periodo1[[#This Row],[CREDITOS]]-Base_Periodo1[[#This Row],[DEBITOS]]</f>
        <v>0</v>
      </c>
      <c r="S1443" s="3" t="str">
        <f>IF(ISERROR(VLOOKUP(Base_Periodo1[[#This Row],[CONTA]],BaseContasDRE[#All],4,FALSE)),"Fora do DRE",VLOOKUP(Base_Periodo1[[#This Row],[CONTA]],BaseContasDRE[#All],4,FALSE))</f>
        <v>Fora do DRE</v>
      </c>
      <c r="T1443" s="3" t="str">
        <f>IF(ISERROR(VLOOKUP(Base_Periodo1[[#This Row],[CONTA]],BaseContasDRE[#All],5,FALSE)),"Fora do DRE",VLOOKUP(Base_Periodo1[[#This Row],[CONTA]],BaseContasDRE[#All],6,FALSE))</f>
        <v>Fora do DRE</v>
      </c>
      <c r="U1443" s="3" t="str">
        <f>IF(ISERROR(VLOOKUP(Base_Periodo1[[#This Row],[CONTA]],BaseContasDRE[#All],7,FALSE)),"Fora do DRE",VLOOKUP(Base_Periodo1[[#This Row],[CONTA]],BaseContasDRE[#All],7,FALSE))</f>
        <v>Fora do DRE</v>
      </c>
      <c r="V1443" s="3" t="str">
        <f>IF(Base_Periodo1[[#This Row],[Tipo_Linha]]="Fora do DRE","Fora do DRE","( "&amp;Base_Periodo1[[#This Row],[Tipo_Linha]]&amp;" ) "&amp;Base_Periodo1[[#This Row],[Filtro]])</f>
        <v>Fora do DRE</v>
      </c>
      <c r="W1443" s="3" t="str">
        <f>LEFT(Base_Periodo1[[#This Row],[CLASS]],3)</f>
        <v>1.1</v>
      </c>
    </row>
    <row r="1444" spans="1:23" hidden="1">
      <c r="A1444" s="3" t="str">
        <f t="shared" si="22"/>
        <v>Período 1</v>
      </c>
      <c r="B1444">
        <v>33304</v>
      </c>
      <c r="C1444" t="s">
        <v>5888</v>
      </c>
      <c r="D1444" t="s">
        <v>1140</v>
      </c>
      <c r="E1444" s="3" t="str">
        <f>IF(LEN(Base_Periodo1[[#This Row],[CLASS]])&gt;=7,LEFT(Base_Periodo1[[#This Row],[CLASS]],7),"")</f>
        <v>1.1.3.1</v>
      </c>
      <c r="F1444" s="3" t="str">
        <f>VLOOKUP(Base_Periodo1[[#This Row],[Aux]],Base_Contas_Balanco[#All],2,FALSE)</f>
        <v>Estoques Proprios</v>
      </c>
      <c r="G1444" s="1">
        <v>42886</v>
      </c>
      <c r="H1444" s="225">
        <v>69883.639999999432</v>
      </c>
      <c r="I1444" s="225">
        <v>0</v>
      </c>
      <c r="J1444" s="225">
        <v>113702.95</v>
      </c>
      <c r="K1444" s="225">
        <v>183586.58999999944</v>
      </c>
      <c r="L14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-183586.59</v>
      </c>
      <c r="M1444" s="225">
        <f>ROUND(IF(AND(Base_Periodo1[[#This Row],[Tipo_Linha]]="-",Base_Periodo1[[#This Row],[TIPOSALDO]]="D"),Base_Periodo1[[#This Row],[SALDO_ATUAL]]*-1,Base_Periodo1[[#This Row],[SALDO_ATUAL]]),4)</f>
        <v>183586.59</v>
      </c>
      <c r="N1444" t="s">
        <v>116</v>
      </c>
      <c r="O1444" t="s">
        <v>459</v>
      </c>
      <c r="P1444" t="s">
        <v>459</v>
      </c>
      <c r="Q1444">
        <v>9</v>
      </c>
      <c r="R1444" s="225">
        <f>Base_Periodo1[[#This Row],[CREDITOS]]-Base_Periodo1[[#This Row],[DEBITOS]]</f>
        <v>113702.95</v>
      </c>
      <c r="S1444" s="3" t="str">
        <f>IF(ISERROR(VLOOKUP(Base_Periodo1[[#This Row],[CONTA]],BaseContasDRE[#All],4,FALSE)),"Fora do DRE",VLOOKUP(Base_Periodo1[[#This Row],[CONTA]],BaseContasDRE[#All],4,FALSE))</f>
        <v>Fora do DRE</v>
      </c>
      <c r="T1444" s="3" t="str">
        <f>IF(ISERROR(VLOOKUP(Base_Periodo1[[#This Row],[CONTA]],BaseContasDRE[#All],5,FALSE)),"Fora do DRE",VLOOKUP(Base_Periodo1[[#This Row],[CONTA]],BaseContasDRE[#All],6,FALSE))</f>
        <v>Fora do DRE</v>
      </c>
      <c r="U1444" s="3" t="str">
        <f>IF(ISERROR(VLOOKUP(Base_Periodo1[[#This Row],[CONTA]],BaseContasDRE[#All],7,FALSE)),"Fora do DRE",VLOOKUP(Base_Periodo1[[#This Row],[CONTA]],BaseContasDRE[#All],7,FALSE))</f>
        <v>Fora do DRE</v>
      </c>
      <c r="V1444" s="3" t="str">
        <f>IF(Base_Periodo1[[#This Row],[Tipo_Linha]]="Fora do DRE","Fora do DRE","( "&amp;Base_Periodo1[[#This Row],[Tipo_Linha]]&amp;" ) "&amp;Base_Periodo1[[#This Row],[Filtro]])</f>
        <v>Fora do DRE</v>
      </c>
      <c r="W1444" s="3" t="str">
        <f>LEFT(Base_Periodo1[[#This Row],[CLASS]],3)</f>
        <v>1.1</v>
      </c>
    </row>
    <row r="1445" spans="1:23" hidden="1">
      <c r="A1445" s="3" t="str">
        <f t="shared" si="22"/>
        <v>Período 1</v>
      </c>
      <c r="B1445">
        <v>361</v>
      </c>
      <c r="C1445" t="s">
        <v>1209</v>
      </c>
      <c r="D1445" t="s">
        <v>1210</v>
      </c>
      <c r="E1445" s="3" t="str">
        <f>IF(LEN(Base_Periodo1[[#This Row],[CLASS]])&gt;=7,LEFT(Base_Periodo1[[#This Row],[CLASS]],7),"")</f>
        <v>1.1.3.1</v>
      </c>
      <c r="F1445" s="3" t="str">
        <f>VLOOKUP(Base_Periodo1[[#This Row],[Aux]],Base_Contas_Balanco[#All],2,FALSE)</f>
        <v>Estoques Proprios</v>
      </c>
      <c r="G1445" s="1"/>
      <c r="H1445" s="225">
        <v>51181.649999999623</v>
      </c>
      <c r="I1445" s="225">
        <v>2054.4299999999998</v>
      </c>
      <c r="J1445" s="225">
        <v>9017.92</v>
      </c>
      <c r="K1445" s="225">
        <v>44218.159999999625</v>
      </c>
      <c r="L14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44218.16</v>
      </c>
      <c r="M1445" s="225">
        <f>ROUND(IF(AND(Base_Periodo1[[#This Row],[Tipo_Linha]]="-",Base_Periodo1[[#This Row],[TIPOSALDO]]="D"),Base_Periodo1[[#This Row],[SALDO_ATUAL]]*-1,Base_Periodo1[[#This Row],[SALDO_ATUAL]]),4)</f>
        <v>44218.16</v>
      </c>
      <c r="N1445" t="s">
        <v>396</v>
      </c>
      <c r="O1445" t="s">
        <v>397</v>
      </c>
      <c r="P1445" t="s">
        <v>397</v>
      </c>
      <c r="Q1445">
        <v>7</v>
      </c>
      <c r="R1445" s="225">
        <f>Base_Periodo1[[#This Row],[CREDITOS]]-Base_Periodo1[[#This Row],[DEBITOS]]</f>
        <v>6963.49</v>
      </c>
      <c r="S1445" s="3" t="str">
        <f>IF(ISERROR(VLOOKUP(Base_Periodo1[[#This Row],[CONTA]],BaseContasDRE[#All],4,FALSE)),"Fora do DRE",VLOOKUP(Base_Periodo1[[#This Row],[CONTA]],BaseContasDRE[#All],4,FALSE))</f>
        <v>Fora do DRE</v>
      </c>
      <c r="T1445" s="3" t="str">
        <f>IF(ISERROR(VLOOKUP(Base_Periodo1[[#This Row],[CONTA]],BaseContasDRE[#All],5,FALSE)),"Fora do DRE",VLOOKUP(Base_Periodo1[[#This Row],[CONTA]],BaseContasDRE[#All],6,FALSE))</f>
        <v>Fora do DRE</v>
      </c>
      <c r="U1445" s="3" t="str">
        <f>IF(ISERROR(VLOOKUP(Base_Periodo1[[#This Row],[CONTA]],BaseContasDRE[#All],7,FALSE)),"Fora do DRE",VLOOKUP(Base_Periodo1[[#This Row],[CONTA]],BaseContasDRE[#All],7,FALSE))</f>
        <v>Fora do DRE</v>
      </c>
      <c r="V1445" s="3" t="str">
        <f>IF(Base_Periodo1[[#This Row],[Tipo_Linha]]="Fora do DRE","Fora do DRE","( "&amp;Base_Periodo1[[#This Row],[Tipo_Linha]]&amp;" ) "&amp;Base_Periodo1[[#This Row],[Filtro]])</f>
        <v>Fora do DRE</v>
      </c>
      <c r="W1445" s="3" t="str">
        <f>LEFT(Base_Periodo1[[#This Row],[CLASS]],3)</f>
        <v>1.1</v>
      </c>
    </row>
    <row r="1446" spans="1:23" hidden="1">
      <c r="A1446" s="3" t="str">
        <f t="shared" si="22"/>
        <v>Período 1</v>
      </c>
      <c r="B1446">
        <v>362</v>
      </c>
      <c r="C1446" t="s">
        <v>1211</v>
      </c>
      <c r="D1446" t="s">
        <v>1054</v>
      </c>
      <c r="E1446" s="3" t="str">
        <f>IF(LEN(Base_Periodo1[[#This Row],[CLASS]])&gt;=7,LEFT(Base_Periodo1[[#This Row],[CLASS]],7),"")</f>
        <v>1.1.3.1</v>
      </c>
      <c r="F1446" s="3" t="str">
        <f>VLOOKUP(Base_Periodo1[[#This Row],[Aux]],Base_Contas_Balanco[#All],2,FALSE)</f>
        <v>Estoques Proprios</v>
      </c>
      <c r="G1446" s="1"/>
      <c r="H1446" s="225">
        <v>66206.770000000251</v>
      </c>
      <c r="I1446" s="225">
        <v>0</v>
      </c>
      <c r="J1446" s="225">
        <v>0</v>
      </c>
      <c r="K1446" s="225">
        <v>66206.770000000251</v>
      </c>
      <c r="L14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66206.77</v>
      </c>
      <c r="M1446" s="225">
        <f>ROUND(IF(AND(Base_Periodo1[[#This Row],[Tipo_Linha]]="-",Base_Periodo1[[#This Row],[TIPOSALDO]]="D"),Base_Periodo1[[#This Row],[SALDO_ATUAL]]*-1,Base_Periodo1[[#This Row],[SALDO_ATUAL]]),4)</f>
        <v>66206.77</v>
      </c>
      <c r="N1446" t="s">
        <v>396</v>
      </c>
      <c r="O1446" t="s">
        <v>397</v>
      </c>
      <c r="P1446" t="s">
        <v>397</v>
      </c>
      <c r="Q1446">
        <v>8</v>
      </c>
      <c r="R1446" s="225">
        <f>Base_Periodo1[[#This Row],[CREDITOS]]-Base_Periodo1[[#This Row],[DEBITOS]]</f>
        <v>0</v>
      </c>
      <c r="S1446" s="3" t="str">
        <f>IF(ISERROR(VLOOKUP(Base_Periodo1[[#This Row],[CONTA]],BaseContasDRE[#All],4,FALSE)),"Fora do DRE",VLOOKUP(Base_Periodo1[[#This Row],[CONTA]],BaseContasDRE[#All],4,FALSE))</f>
        <v>Fora do DRE</v>
      </c>
      <c r="T1446" s="3" t="str">
        <f>IF(ISERROR(VLOOKUP(Base_Periodo1[[#This Row],[CONTA]],BaseContasDRE[#All],5,FALSE)),"Fora do DRE",VLOOKUP(Base_Periodo1[[#This Row],[CONTA]],BaseContasDRE[#All],6,FALSE))</f>
        <v>Fora do DRE</v>
      </c>
      <c r="U1446" s="3" t="str">
        <f>IF(ISERROR(VLOOKUP(Base_Periodo1[[#This Row],[CONTA]],BaseContasDRE[#All],7,FALSE)),"Fora do DRE",VLOOKUP(Base_Periodo1[[#This Row],[CONTA]],BaseContasDRE[#All],7,FALSE))</f>
        <v>Fora do DRE</v>
      </c>
      <c r="V1446" s="3" t="str">
        <f>IF(Base_Periodo1[[#This Row],[Tipo_Linha]]="Fora do DRE","Fora do DRE","( "&amp;Base_Periodo1[[#This Row],[Tipo_Linha]]&amp;" ) "&amp;Base_Periodo1[[#This Row],[Filtro]])</f>
        <v>Fora do DRE</v>
      </c>
      <c r="W1446" s="3" t="str">
        <f>LEFT(Base_Periodo1[[#This Row],[CLASS]],3)</f>
        <v>1.1</v>
      </c>
    </row>
    <row r="1447" spans="1:23" hidden="1">
      <c r="A1447" s="3" t="str">
        <f t="shared" si="22"/>
        <v>Período 1</v>
      </c>
      <c r="B1447">
        <v>363</v>
      </c>
      <c r="C1447" t="s">
        <v>1212</v>
      </c>
      <c r="D1447" t="s">
        <v>1054</v>
      </c>
      <c r="E1447" s="3" t="str">
        <f>IF(LEN(Base_Periodo1[[#This Row],[CLASS]])&gt;=7,LEFT(Base_Periodo1[[#This Row],[CLASS]],7),"")</f>
        <v>1.1.3.1</v>
      </c>
      <c r="F1447" s="3" t="str">
        <f>VLOOKUP(Base_Periodo1[[#This Row],[Aux]],Base_Contas_Balanco[#All],2,FALSE)</f>
        <v>Estoques Proprios</v>
      </c>
      <c r="G1447" s="1">
        <v>42735</v>
      </c>
      <c r="H1447" s="225">
        <v>66206.770000000251</v>
      </c>
      <c r="I1447" s="225">
        <v>0</v>
      </c>
      <c r="J1447" s="225">
        <v>0</v>
      </c>
      <c r="K1447" s="225">
        <v>66206.770000000251</v>
      </c>
      <c r="L14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66206.77</v>
      </c>
      <c r="M1447" s="225">
        <f>ROUND(IF(AND(Base_Periodo1[[#This Row],[Tipo_Linha]]="-",Base_Periodo1[[#This Row],[TIPOSALDO]]="D"),Base_Periodo1[[#This Row],[SALDO_ATUAL]]*-1,Base_Periodo1[[#This Row],[SALDO_ATUAL]]),4)</f>
        <v>66206.77</v>
      </c>
      <c r="N1447" t="s">
        <v>116</v>
      </c>
      <c r="O1447" t="s">
        <v>397</v>
      </c>
      <c r="P1447" t="s">
        <v>397</v>
      </c>
      <c r="Q1447">
        <v>9</v>
      </c>
      <c r="R1447" s="225">
        <f>Base_Periodo1[[#This Row],[CREDITOS]]-Base_Periodo1[[#This Row],[DEBITOS]]</f>
        <v>0</v>
      </c>
      <c r="S1447" s="3" t="str">
        <f>IF(ISERROR(VLOOKUP(Base_Periodo1[[#This Row],[CONTA]],BaseContasDRE[#All],4,FALSE)),"Fora do DRE",VLOOKUP(Base_Periodo1[[#This Row],[CONTA]],BaseContasDRE[#All],4,FALSE))</f>
        <v>Fora do DRE</v>
      </c>
      <c r="T1447" s="3" t="str">
        <f>IF(ISERROR(VLOOKUP(Base_Periodo1[[#This Row],[CONTA]],BaseContasDRE[#All],5,FALSE)),"Fora do DRE",VLOOKUP(Base_Periodo1[[#This Row],[CONTA]],BaseContasDRE[#All],6,FALSE))</f>
        <v>Fora do DRE</v>
      </c>
      <c r="U1447" s="3" t="str">
        <f>IF(ISERROR(VLOOKUP(Base_Periodo1[[#This Row],[CONTA]],BaseContasDRE[#All],7,FALSE)),"Fora do DRE",VLOOKUP(Base_Periodo1[[#This Row],[CONTA]],BaseContasDRE[#All],7,FALSE))</f>
        <v>Fora do DRE</v>
      </c>
      <c r="V1447" s="3" t="str">
        <f>IF(Base_Periodo1[[#This Row],[Tipo_Linha]]="Fora do DRE","Fora do DRE","( "&amp;Base_Periodo1[[#This Row],[Tipo_Linha]]&amp;" ) "&amp;Base_Periodo1[[#This Row],[Filtro]])</f>
        <v>Fora do DRE</v>
      </c>
      <c r="W1447" s="3" t="str">
        <f>LEFT(Base_Periodo1[[#This Row],[CLASS]],3)</f>
        <v>1.1</v>
      </c>
    </row>
    <row r="1448" spans="1:23" hidden="1">
      <c r="A1448" s="3" t="str">
        <f t="shared" si="22"/>
        <v>Período 1</v>
      </c>
      <c r="B1448">
        <v>364</v>
      </c>
      <c r="C1448" t="s">
        <v>5889</v>
      </c>
      <c r="D1448" t="s">
        <v>1057</v>
      </c>
      <c r="E1448" s="3" t="str">
        <f>IF(LEN(Base_Periodo1[[#This Row],[CLASS]])&gt;=7,LEFT(Base_Periodo1[[#This Row],[CLASS]],7),"")</f>
        <v>1.1.3.1</v>
      </c>
      <c r="F1448" s="3" t="str">
        <f>VLOOKUP(Base_Periodo1[[#This Row],[Aux]],Base_Contas_Balanco[#All],2,FALSE)</f>
        <v>Estoques Proprios</v>
      </c>
      <c r="G1448" s="1"/>
      <c r="H1448" s="225">
        <v>28686.209999999905</v>
      </c>
      <c r="I1448" s="225">
        <v>0</v>
      </c>
      <c r="J1448" s="225">
        <v>0</v>
      </c>
      <c r="K1448" s="225">
        <v>28686.209999999905</v>
      </c>
      <c r="L14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28686.21</v>
      </c>
      <c r="M1448" s="225">
        <f>ROUND(IF(AND(Base_Periodo1[[#This Row],[Tipo_Linha]]="-",Base_Periodo1[[#This Row],[TIPOSALDO]]="D"),Base_Periodo1[[#This Row],[SALDO_ATUAL]]*-1,Base_Periodo1[[#This Row],[SALDO_ATUAL]]),4)</f>
        <v>28686.21</v>
      </c>
      <c r="N1448" t="s">
        <v>396</v>
      </c>
      <c r="O1448" t="s">
        <v>397</v>
      </c>
      <c r="P1448" t="s">
        <v>397</v>
      </c>
      <c r="Q1448">
        <v>8</v>
      </c>
      <c r="R1448" s="225">
        <f>Base_Periodo1[[#This Row],[CREDITOS]]-Base_Periodo1[[#This Row],[DEBITOS]]</f>
        <v>0</v>
      </c>
      <c r="S1448" s="3" t="str">
        <f>IF(ISERROR(VLOOKUP(Base_Periodo1[[#This Row],[CONTA]],BaseContasDRE[#All],4,FALSE)),"Fora do DRE",VLOOKUP(Base_Periodo1[[#This Row],[CONTA]],BaseContasDRE[#All],4,FALSE))</f>
        <v>Fora do DRE</v>
      </c>
      <c r="T1448" s="3" t="str">
        <f>IF(ISERROR(VLOOKUP(Base_Periodo1[[#This Row],[CONTA]],BaseContasDRE[#All],5,FALSE)),"Fora do DRE",VLOOKUP(Base_Periodo1[[#This Row],[CONTA]],BaseContasDRE[#All],6,FALSE))</f>
        <v>Fora do DRE</v>
      </c>
      <c r="U1448" s="3" t="str">
        <f>IF(ISERROR(VLOOKUP(Base_Periodo1[[#This Row],[CONTA]],BaseContasDRE[#All],7,FALSE)),"Fora do DRE",VLOOKUP(Base_Periodo1[[#This Row],[CONTA]],BaseContasDRE[#All],7,FALSE))</f>
        <v>Fora do DRE</v>
      </c>
      <c r="V1448" s="3" t="str">
        <f>IF(Base_Periodo1[[#This Row],[Tipo_Linha]]="Fora do DRE","Fora do DRE","( "&amp;Base_Periodo1[[#This Row],[Tipo_Linha]]&amp;" ) "&amp;Base_Periodo1[[#This Row],[Filtro]])</f>
        <v>Fora do DRE</v>
      </c>
      <c r="W1448" s="3" t="str">
        <f>LEFT(Base_Periodo1[[#This Row],[CLASS]],3)</f>
        <v>1.1</v>
      </c>
    </row>
    <row r="1449" spans="1:23" hidden="1">
      <c r="A1449" s="3" t="str">
        <f t="shared" si="22"/>
        <v>Período 1</v>
      </c>
      <c r="B1449">
        <v>366</v>
      </c>
      <c r="C1449" t="s">
        <v>5890</v>
      </c>
      <c r="D1449" t="s">
        <v>1061</v>
      </c>
      <c r="E1449" s="3" t="str">
        <f>IF(LEN(Base_Periodo1[[#This Row],[CLASS]])&gt;=7,LEFT(Base_Periodo1[[#This Row],[CLASS]],7),"")</f>
        <v>1.1.3.1</v>
      </c>
      <c r="F1449" s="3" t="str">
        <f>VLOOKUP(Base_Periodo1[[#This Row],[Aux]],Base_Contas_Balanco[#All],2,FALSE)</f>
        <v>Estoques Proprios</v>
      </c>
      <c r="G1449" s="1">
        <v>42823</v>
      </c>
      <c r="H1449" s="225">
        <v>28686.209999999905</v>
      </c>
      <c r="I1449" s="225">
        <v>0</v>
      </c>
      <c r="J1449" s="225">
        <v>0</v>
      </c>
      <c r="K1449" s="225">
        <v>28686.209999999905</v>
      </c>
      <c r="L14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28686.21</v>
      </c>
      <c r="M1449" s="225">
        <f>ROUND(IF(AND(Base_Periodo1[[#This Row],[Tipo_Linha]]="-",Base_Periodo1[[#This Row],[TIPOSALDO]]="D"),Base_Periodo1[[#This Row],[SALDO_ATUAL]]*-1,Base_Periodo1[[#This Row],[SALDO_ATUAL]]),4)</f>
        <v>28686.21</v>
      </c>
      <c r="N1449" t="s">
        <v>116</v>
      </c>
      <c r="O1449" t="s">
        <v>397</v>
      </c>
      <c r="P1449" t="s">
        <v>397</v>
      </c>
      <c r="Q1449">
        <v>9</v>
      </c>
      <c r="R1449" s="225">
        <f>Base_Periodo1[[#This Row],[CREDITOS]]-Base_Periodo1[[#This Row],[DEBITOS]]</f>
        <v>0</v>
      </c>
      <c r="S1449" s="3" t="str">
        <f>IF(ISERROR(VLOOKUP(Base_Periodo1[[#This Row],[CONTA]],BaseContasDRE[#All],4,FALSE)),"Fora do DRE",VLOOKUP(Base_Periodo1[[#This Row],[CONTA]],BaseContasDRE[#All],4,FALSE))</f>
        <v>Fora do DRE</v>
      </c>
      <c r="T1449" s="3" t="str">
        <f>IF(ISERROR(VLOOKUP(Base_Periodo1[[#This Row],[CONTA]],BaseContasDRE[#All],5,FALSE)),"Fora do DRE",VLOOKUP(Base_Periodo1[[#This Row],[CONTA]],BaseContasDRE[#All],6,FALSE))</f>
        <v>Fora do DRE</v>
      </c>
      <c r="U1449" s="3" t="str">
        <f>IF(ISERROR(VLOOKUP(Base_Periodo1[[#This Row],[CONTA]],BaseContasDRE[#All],7,FALSE)),"Fora do DRE",VLOOKUP(Base_Periodo1[[#This Row],[CONTA]],BaseContasDRE[#All],7,FALSE))</f>
        <v>Fora do DRE</v>
      </c>
      <c r="V1449" s="3" t="str">
        <f>IF(Base_Periodo1[[#This Row],[Tipo_Linha]]="Fora do DRE","Fora do DRE","( "&amp;Base_Periodo1[[#This Row],[Tipo_Linha]]&amp;" ) "&amp;Base_Periodo1[[#This Row],[Filtro]])</f>
        <v>Fora do DRE</v>
      </c>
      <c r="W1449" s="3" t="str">
        <f>LEFT(Base_Periodo1[[#This Row],[CLASS]],3)</f>
        <v>1.1</v>
      </c>
    </row>
    <row r="1450" spans="1:23" hidden="1">
      <c r="A1450" s="3" t="str">
        <f t="shared" si="22"/>
        <v>Período 1</v>
      </c>
      <c r="B1450">
        <v>367</v>
      </c>
      <c r="C1450" t="s">
        <v>1213</v>
      </c>
      <c r="D1450" t="s">
        <v>1063</v>
      </c>
      <c r="E1450" s="3" t="str">
        <f>IF(LEN(Base_Periodo1[[#This Row],[CLASS]])&gt;=7,LEFT(Base_Periodo1[[#This Row],[CLASS]],7),"")</f>
        <v>1.1.3.1</v>
      </c>
      <c r="F1450" s="3" t="str">
        <f>VLOOKUP(Base_Periodo1[[#This Row],[Aux]],Base_Contas_Balanco[#All],2,FALSE)</f>
        <v>Estoques Proprios</v>
      </c>
      <c r="G1450" s="1"/>
      <c r="H1450" s="225">
        <v>53277.369999999413</v>
      </c>
      <c r="I1450" s="225">
        <v>2054.4299999999998</v>
      </c>
      <c r="J1450" s="225">
        <v>0</v>
      </c>
      <c r="K1450" s="225">
        <v>55331.799999999414</v>
      </c>
      <c r="L14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55331.8</v>
      </c>
      <c r="M1450" s="225">
        <f>ROUND(IF(AND(Base_Periodo1[[#This Row],[Tipo_Linha]]="-",Base_Periodo1[[#This Row],[TIPOSALDO]]="D"),Base_Periodo1[[#This Row],[SALDO_ATUAL]]*-1,Base_Periodo1[[#This Row],[SALDO_ATUAL]]),4)</f>
        <v>55331.8</v>
      </c>
      <c r="N1450" t="s">
        <v>396</v>
      </c>
      <c r="O1450" t="s">
        <v>397</v>
      </c>
      <c r="P1450" t="s">
        <v>397</v>
      </c>
      <c r="Q1450">
        <v>8</v>
      </c>
      <c r="R1450" s="225">
        <f>Base_Periodo1[[#This Row],[CREDITOS]]-Base_Periodo1[[#This Row],[DEBITOS]]</f>
        <v>-2054.4299999999998</v>
      </c>
      <c r="S1450" s="3" t="str">
        <f>IF(ISERROR(VLOOKUP(Base_Periodo1[[#This Row],[CONTA]],BaseContasDRE[#All],4,FALSE)),"Fora do DRE",VLOOKUP(Base_Periodo1[[#This Row],[CONTA]],BaseContasDRE[#All],4,FALSE))</f>
        <v>Fora do DRE</v>
      </c>
      <c r="T1450" s="3" t="str">
        <f>IF(ISERROR(VLOOKUP(Base_Periodo1[[#This Row],[CONTA]],BaseContasDRE[#All],5,FALSE)),"Fora do DRE",VLOOKUP(Base_Periodo1[[#This Row],[CONTA]],BaseContasDRE[#All],6,FALSE))</f>
        <v>Fora do DRE</v>
      </c>
      <c r="U1450" s="3" t="str">
        <f>IF(ISERROR(VLOOKUP(Base_Periodo1[[#This Row],[CONTA]],BaseContasDRE[#All],7,FALSE)),"Fora do DRE",VLOOKUP(Base_Periodo1[[#This Row],[CONTA]],BaseContasDRE[#All],7,FALSE))</f>
        <v>Fora do DRE</v>
      </c>
      <c r="V1450" s="3" t="str">
        <f>IF(Base_Periodo1[[#This Row],[Tipo_Linha]]="Fora do DRE","Fora do DRE","( "&amp;Base_Periodo1[[#This Row],[Tipo_Linha]]&amp;" ) "&amp;Base_Periodo1[[#This Row],[Filtro]])</f>
        <v>Fora do DRE</v>
      </c>
      <c r="W1450" s="3" t="str">
        <f>LEFT(Base_Periodo1[[#This Row],[CLASS]],3)</f>
        <v>1.1</v>
      </c>
    </row>
    <row r="1451" spans="1:23" hidden="1">
      <c r="A1451" s="3" t="str">
        <f t="shared" si="22"/>
        <v>Período 1</v>
      </c>
      <c r="B1451">
        <v>368</v>
      </c>
      <c r="C1451" t="s">
        <v>1214</v>
      </c>
      <c r="D1451" t="s">
        <v>1065</v>
      </c>
      <c r="E1451" s="3" t="str">
        <f>IF(LEN(Base_Periodo1[[#This Row],[CLASS]])&gt;=7,LEFT(Base_Periodo1[[#This Row],[CLASS]],7),"")</f>
        <v>1.1.3.1</v>
      </c>
      <c r="F1451" s="3" t="str">
        <f>VLOOKUP(Base_Periodo1[[#This Row],[Aux]],Base_Contas_Balanco[#All],2,FALSE)</f>
        <v>Estoques Proprios</v>
      </c>
      <c r="G1451" s="1">
        <v>42878</v>
      </c>
      <c r="H1451" s="225">
        <v>53277.369999999413</v>
      </c>
      <c r="I1451" s="225">
        <v>2054.4299999999998</v>
      </c>
      <c r="J1451" s="225">
        <v>0</v>
      </c>
      <c r="K1451" s="225">
        <v>55331.799999999414</v>
      </c>
      <c r="L14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55331.8</v>
      </c>
      <c r="M1451" s="225">
        <f>ROUND(IF(AND(Base_Periodo1[[#This Row],[Tipo_Linha]]="-",Base_Periodo1[[#This Row],[TIPOSALDO]]="D"),Base_Periodo1[[#This Row],[SALDO_ATUAL]]*-1,Base_Periodo1[[#This Row],[SALDO_ATUAL]]),4)</f>
        <v>55331.8</v>
      </c>
      <c r="N1451" t="s">
        <v>116</v>
      </c>
      <c r="O1451" t="s">
        <v>397</v>
      </c>
      <c r="P1451" t="s">
        <v>397</v>
      </c>
      <c r="Q1451">
        <v>9</v>
      </c>
      <c r="R1451" s="225">
        <f>Base_Periodo1[[#This Row],[CREDITOS]]-Base_Periodo1[[#This Row],[DEBITOS]]</f>
        <v>-2054.4299999999998</v>
      </c>
      <c r="S1451" s="3" t="str">
        <f>IF(ISERROR(VLOOKUP(Base_Periodo1[[#This Row],[CONTA]],BaseContasDRE[#All],4,FALSE)),"Fora do DRE",VLOOKUP(Base_Periodo1[[#This Row],[CONTA]],BaseContasDRE[#All],4,FALSE))</f>
        <v>Fora do DRE</v>
      </c>
      <c r="T1451" s="3" t="str">
        <f>IF(ISERROR(VLOOKUP(Base_Periodo1[[#This Row],[CONTA]],BaseContasDRE[#All],5,FALSE)),"Fora do DRE",VLOOKUP(Base_Periodo1[[#This Row],[CONTA]],BaseContasDRE[#All],6,FALSE))</f>
        <v>Fora do DRE</v>
      </c>
      <c r="U1451" s="3" t="str">
        <f>IF(ISERROR(VLOOKUP(Base_Periodo1[[#This Row],[CONTA]],BaseContasDRE[#All],7,FALSE)),"Fora do DRE",VLOOKUP(Base_Periodo1[[#This Row],[CONTA]],BaseContasDRE[#All],7,FALSE))</f>
        <v>Fora do DRE</v>
      </c>
      <c r="V1451" s="3" t="str">
        <f>IF(Base_Periodo1[[#This Row],[Tipo_Linha]]="Fora do DRE","Fora do DRE","( "&amp;Base_Periodo1[[#This Row],[Tipo_Linha]]&amp;" ) "&amp;Base_Periodo1[[#This Row],[Filtro]])</f>
        <v>Fora do DRE</v>
      </c>
      <c r="W1451" s="3" t="str">
        <f>LEFT(Base_Periodo1[[#This Row],[CLASS]],3)</f>
        <v>1.1</v>
      </c>
    </row>
    <row r="1452" spans="1:23" hidden="1">
      <c r="A1452" s="3" t="str">
        <f t="shared" si="22"/>
        <v>Período 1</v>
      </c>
      <c r="B1452">
        <v>369</v>
      </c>
      <c r="C1452" t="s">
        <v>6232</v>
      </c>
      <c r="D1452" t="s">
        <v>6233</v>
      </c>
      <c r="E1452" s="3" t="str">
        <f>IF(LEN(Base_Periodo1[[#This Row],[CLASS]])&gt;=7,LEFT(Base_Periodo1[[#This Row],[CLASS]],7),"")</f>
        <v>1.1.3.1</v>
      </c>
      <c r="F1452" s="3" t="str">
        <f>VLOOKUP(Base_Periodo1[[#This Row],[Aux]],Base_Contas_Balanco[#All],2,FALSE)</f>
        <v>Estoques Proprios</v>
      </c>
      <c r="G1452" s="1"/>
      <c r="H1452" s="225">
        <v>1975</v>
      </c>
      <c r="I1452" s="225">
        <v>0</v>
      </c>
      <c r="J1452" s="225">
        <v>0</v>
      </c>
      <c r="K1452" s="225">
        <v>1975</v>
      </c>
      <c r="L14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-1975</v>
      </c>
      <c r="M1452" s="225">
        <f>ROUND(IF(AND(Base_Periodo1[[#This Row],[Tipo_Linha]]="-",Base_Periodo1[[#This Row],[TIPOSALDO]]="D"),Base_Periodo1[[#This Row],[SALDO_ATUAL]]*-1,Base_Periodo1[[#This Row],[SALDO_ATUAL]]),4)</f>
        <v>1975</v>
      </c>
      <c r="N1452" t="s">
        <v>396</v>
      </c>
      <c r="O1452" t="s">
        <v>459</v>
      </c>
      <c r="P1452" t="s">
        <v>459</v>
      </c>
      <c r="Q1452">
        <v>8</v>
      </c>
      <c r="R1452" s="225">
        <f>Base_Periodo1[[#This Row],[CREDITOS]]-Base_Periodo1[[#This Row],[DEBITOS]]</f>
        <v>0</v>
      </c>
      <c r="S1452" s="3" t="str">
        <f>IF(ISERROR(VLOOKUP(Base_Periodo1[[#This Row],[CONTA]],BaseContasDRE[#All],4,FALSE)),"Fora do DRE",VLOOKUP(Base_Periodo1[[#This Row],[CONTA]],BaseContasDRE[#All],4,FALSE))</f>
        <v>Fora do DRE</v>
      </c>
      <c r="T1452" s="3" t="str">
        <f>IF(ISERROR(VLOOKUP(Base_Periodo1[[#This Row],[CONTA]],BaseContasDRE[#All],5,FALSE)),"Fora do DRE",VLOOKUP(Base_Periodo1[[#This Row],[CONTA]],BaseContasDRE[#All],6,FALSE))</f>
        <v>Fora do DRE</v>
      </c>
      <c r="U1452" s="3" t="str">
        <f>IF(ISERROR(VLOOKUP(Base_Periodo1[[#This Row],[CONTA]],BaseContasDRE[#All],7,FALSE)),"Fora do DRE",VLOOKUP(Base_Periodo1[[#This Row],[CONTA]],BaseContasDRE[#All],7,FALSE))</f>
        <v>Fora do DRE</v>
      </c>
      <c r="V1452" s="3" t="str">
        <f>IF(Base_Periodo1[[#This Row],[Tipo_Linha]]="Fora do DRE","Fora do DRE","( "&amp;Base_Periodo1[[#This Row],[Tipo_Linha]]&amp;" ) "&amp;Base_Periodo1[[#This Row],[Filtro]])</f>
        <v>Fora do DRE</v>
      </c>
      <c r="W1452" s="3" t="str">
        <f>LEFT(Base_Periodo1[[#This Row],[CLASS]],3)</f>
        <v>1.1</v>
      </c>
    </row>
    <row r="1453" spans="1:23" hidden="1">
      <c r="A1453" s="3" t="str">
        <f t="shared" si="22"/>
        <v>Período 1</v>
      </c>
      <c r="B1453">
        <v>371</v>
      </c>
      <c r="C1453" t="s">
        <v>6234</v>
      </c>
      <c r="D1453" t="s">
        <v>6235</v>
      </c>
      <c r="E1453" s="3" t="str">
        <f>IF(LEN(Base_Periodo1[[#This Row],[CLASS]])&gt;=7,LEFT(Base_Periodo1[[#This Row],[CLASS]],7),"")</f>
        <v>1.1.3.1</v>
      </c>
      <c r="F1453" s="3" t="str">
        <f>VLOOKUP(Base_Periodo1[[#This Row],[Aux]],Base_Contas_Balanco[#All],2,FALSE)</f>
        <v>Estoques Proprios</v>
      </c>
      <c r="G1453" s="1"/>
      <c r="H1453" s="225">
        <v>1975</v>
      </c>
      <c r="I1453" s="225">
        <v>0</v>
      </c>
      <c r="J1453" s="225">
        <v>0</v>
      </c>
      <c r="K1453" s="225">
        <v>1975</v>
      </c>
      <c r="L14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-1975</v>
      </c>
      <c r="M1453" s="225">
        <f>ROUND(IF(AND(Base_Periodo1[[#This Row],[Tipo_Linha]]="-",Base_Periodo1[[#This Row],[TIPOSALDO]]="D"),Base_Periodo1[[#This Row],[SALDO_ATUAL]]*-1,Base_Periodo1[[#This Row],[SALDO_ATUAL]]),4)</f>
        <v>1975</v>
      </c>
      <c r="N1453" t="s">
        <v>116</v>
      </c>
      <c r="O1453" t="s">
        <v>459</v>
      </c>
      <c r="P1453" t="s">
        <v>459</v>
      </c>
      <c r="Q1453">
        <v>9</v>
      </c>
      <c r="R1453" s="225">
        <f>Base_Periodo1[[#This Row],[CREDITOS]]-Base_Periodo1[[#This Row],[DEBITOS]]</f>
        <v>0</v>
      </c>
      <c r="S1453" s="3" t="str">
        <f>IF(ISERROR(VLOOKUP(Base_Periodo1[[#This Row],[CONTA]],BaseContasDRE[#All],4,FALSE)),"Fora do DRE",VLOOKUP(Base_Periodo1[[#This Row],[CONTA]],BaseContasDRE[#All],4,FALSE))</f>
        <v>Fora do DRE</v>
      </c>
      <c r="T1453" s="3" t="str">
        <f>IF(ISERROR(VLOOKUP(Base_Periodo1[[#This Row],[CONTA]],BaseContasDRE[#All],5,FALSE)),"Fora do DRE",VLOOKUP(Base_Periodo1[[#This Row],[CONTA]],BaseContasDRE[#All],6,FALSE))</f>
        <v>Fora do DRE</v>
      </c>
      <c r="U1453" s="3" t="str">
        <f>IF(ISERROR(VLOOKUP(Base_Periodo1[[#This Row],[CONTA]],BaseContasDRE[#All],7,FALSE)),"Fora do DRE",VLOOKUP(Base_Periodo1[[#This Row],[CONTA]],BaseContasDRE[#All],7,FALSE))</f>
        <v>Fora do DRE</v>
      </c>
      <c r="V1453" s="3" t="str">
        <f>IF(Base_Periodo1[[#This Row],[Tipo_Linha]]="Fora do DRE","Fora do DRE","( "&amp;Base_Periodo1[[#This Row],[Tipo_Linha]]&amp;" ) "&amp;Base_Periodo1[[#This Row],[Filtro]])</f>
        <v>Fora do DRE</v>
      </c>
      <c r="W1453" s="3" t="str">
        <f>LEFT(Base_Periodo1[[#This Row],[CLASS]],3)</f>
        <v>1.1</v>
      </c>
    </row>
    <row r="1454" spans="1:23" hidden="1">
      <c r="A1454" s="3" t="str">
        <f t="shared" si="22"/>
        <v>Período 1</v>
      </c>
      <c r="B1454">
        <v>375</v>
      </c>
      <c r="C1454" t="s">
        <v>1215</v>
      </c>
      <c r="D1454" t="s">
        <v>1067</v>
      </c>
      <c r="E1454" s="3" t="str">
        <f>IF(LEN(Base_Periodo1[[#This Row],[CLASS]])&gt;=7,LEFT(Base_Periodo1[[#This Row],[CLASS]],7),"")</f>
        <v>1.1.3.1</v>
      </c>
      <c r="F1454" s="3" t="str">
        <f>VLOOKUP(Base_Periodo1[[#This Row],[Aux]],Base_Contas_Balanco[#All],2,FALSE)</f>
        <v>Estoques Proprios</v>
      </c>
      <c r="G1454" s="1"/>
      <c r="H1454" s="225">
        <v>40782.279999999897</v>
      </c>
      <c r="I1454" s="225">
        <v>0</v>
      </c>
      <c r="J1454" s="225">
        <v>6963.49</v>
      </c>
      <c r="K1454" s="225">
        <v>47745.769999999895</v>
      </c>
      <c r="L14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-47745.77</v>
      </c>
      <c r="M1454" s="225">
        <f>ROUND(IF(AND(Base_Periodo1[[#This Row],[Tipo_Linha]]="-",Base_Periodo1[[#This Row],[TIPOSALDO]]="D"),Base_Periodo1[[#This Row],[SALDO_ATUAL]]*-1,Base_Periodo1[[#This Row],[SALDO_ATUAL]]),4)</f>
        <v>47745.77</v>
      </c>
      <c r="N1454" t="s">
        <v>396</v>
      </c>
      <c r="O1454" t="s">
        <v>459</v>
      </c>
      <c r="P1454" t="s">
        <v>459</v>
      </c>
      <c r="Q1454">
        <v>8</v>
      </c>
      <c r="R1454" s="225">
        <f>Base_Periodo1[[#This Row],[CREDITOS]]-Base_Periodo1[[#This Row],[DEBITOS]]</f>
        <v>6963.49</v>
      </c>
      <c r="S1454" s="3" t="str">
        <f>IF(ISERROR(VLOOKUP(Base_Periodo1[[#This Row],[CONTA]],BaseContasDRE[#All],4,FALSE)),"Fora do DRE",VLOOKUP(Base_Periodo1[[#This Row],[CONTA]],BaseContasDRE[#All],4,FALSE))</f>
        <v>Fora do DRE</v>
      </c>
      <c r="T1454" s="3" t="str">
        <f>IF(ISERROR(VLOOKUP(Base_Periodo1[[#This Row],[CONTA]],BaseContasDRE[#All],5,FALSE)),"Fora do DRE",VLOOKUP(Base_Periodo1[[#This Row],[CONTA]],BaseContasDRE[#All],6,FALSE))</f>
        <v>Fora do DRE</v>
      </c>
      <c r="U1454" s="3" t="str">
        <f>IF(ISERROR(VLOOKUP(Base_Periodo1[[#This Row],[CONTA]],BaseContasDRE[#All],7,FALSE)),"Fora do DRE",VLOOKUP(Base_Periodo1[[#This Row],[CONTA]],BaseContasDRE[#All],7,FALSE))</f>
        <v>Fora do DRE</v>
      </c>
      <c r="V1454" s="3" t="str">
        <f>IF(Base_Periodo1[[#This Row],[Tipo_Linha]]="Fora do DRE","Fora do DRE","( "&amp;Base_Periodo1[[#This Row],[Tipo_Linha]]&amp;" ) "&amp;Base_Periodo1[[#This Row],[Filtro]])</f>
        <v>Fora do DRE</v>
      </c>
      <c r="W1454" s="3" t="str">
        <f>LEFT(Base_Periodo1[[#This Row],[CLASS]],3)</f>
        <v>1.1</v>
      </c>
    </row>
    <row r="1455" spans="1:23" hidden="1">
      <c r="A1455" s="3" t="str">
        <f t="shared" si="22"/>
        <v>Período 1</v>
      </c>
      <c r="B1455">
        <v>376</v>
      </c>
      <c r="C1455" t="s">
        <v>1216</v>
      </c>
      <c r="D1455" t="s">
        <v>1068</v>
      </c>
      <c r="E1455" s="3" t="str">
        <f>IF(LEN(Base_Periodo1[[#This Row],[CLASS]])&gt;=7,LEFT(Base_Periodo1[[#This Row],[CLASS]],7),"")</f>
        <v>1.1.3.1</v>
      </c>
      <c r="F1455" s="3" t="str">
        <f>VLOOKUP(Base_Periodo1[[#This Row],[Aux]],Base_Contas_Balanco[#All],2,FALSE)</f>
        <v>Estoques Proprios</v>
      </c>
      <c r="G1455" s="1">
        <v>42886</v>
      </c>
      <c r="H1455" s="225">
        <v>37996.149999999907</v>
      </c>
      <c r="I1455" s="225">
        <v>0</v>
      </c>
      <c r="J1455" s="225">
        <v>6752.54</v>
      </c>
      <c r="K1455" s="225">
        <v>44748.689999999908</v>
      </c>
      <c r="L14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-44748.69</v>
      </c>
      <c r="M1455" s="225">
        <f>ROUND(IF(AND(Base_Periodo1[[#This Row],[Tipo_Linha]]="-",Base_Periodo1[[#This Row],[TIPOSALDO]]="D"),Base_Periodo1[[#This Row],[SALDO_ATUAL]]*-1,Base_Periodo1[[#This Row],[SALDO_ATUAL]]),4)</f>
        <v>44748.69</v>
      </c>
      <c r="N1455" t="s">
        <v>116</v>
      </c>
      <c r="O1455" t="s">
        <v>459</v>
      </c>
      <c r="P1455" t="s">
        <v>459</v>
      </c>
      <c r="Q1455">
        <v>9</v>
      </c>
      <c r="R1455" s="225">
        <f>Base_Periodo1[[#This Row],[CREDITOS]]-Base_Periodo1[[#This Row],[DEBITOS]]</f>
        <v>6752.54</v>
      </c>
      <c r="S1455" s="3" t="str">
        <f>IF(ISERROR(VLOOKUP(Base_Periodo1[[#This Row],[CONTA]],BaseContasDRE[#All],4,FALSE)),"Fora do DRE",VLOOKUP(Base_Periodo1[[#This Row],[CONTA]],BaseContasDRE[#All],4,FALSE))</f>
        <v>Fora do DRE</v>
      </c>
      <c r="T1455" s="3" t="str">
        <f>IF(ISERROR(VLOOKUP(Base_Periodo1[[#This Row],[CONTA]],BaseContasDRE[#All],5,FALSE)),"Fora do DRE",VLOOKUP(Base_Periodo1[[#This Row],[CONTA]],BaseContasDRE[#All],6,FALSE))</f>
        <v>Fora do DRE</v>
      </c>
      <c r="U1455" s="3" t="str">
        <f>IF(ISERROR(VLOOKUP(Base_Periodo1[[#This Row],[CONTA]],BaseContasDRE[#All],7,FALSE)),"Fora do DRE",VLOOKUP(Base_Periodo1[[#This Row],[CONTA]],BaseContasDRE[#All],7,FALSE))</f>
        <v>Fora do DRE</v>
      </c>
      <c r="V1455" s="3" t="str">
        <f>IF(Base_Periodo1[[#This Row],[Tipo_Linha]]="Fora do DRE","Fora do DRE","( "&amp;Base_Periodo1[[#This Row],[Tipo_Linha]]&amp;" ) "&amp;Base_Periodo1[[#This Row],[Filtro]])</f>
        <v>Fora do DRE</v>
      </c>
      <c r="W1455" s="3" t="str">
        <f>LEFT(Base_Periodo1[[#This Row],[CLASS]],3)</f>
        <v>1.1</v>
      </c>
    </row>
    <row r="1456" spans="1:23" hidden="1">
      <c r="A1456" s="3" t="str">
        <f t="shared" si="22"/>
        <v>Período 1</v>
      </c>
      <c r="B1456">
        <v>377</v>
      </c>
      <c r="C1456" t="s">
        <v>4429</v>
      </c>
      <c r="D1456" t="s">
        <v>1070</v>
      </c>
      <c r="E1456" s="3" t="str">
        <f>IF(LEN(Base_Periodo1[[#This Row],[CLASS]])&gt;=7,LEFT(Base_Periodo1[[#This Row],[CLASS]],7),"")</f>
        <v>1.1.3.1</v>
      </c>
      <c r="F1456" s="3" t="str">
        <f>VLOOKUP(Base_Periodo1[[#This Row],[Aux]],Base_Contas_Balanco[#All],2,FALSE)</f>
        <v>Estoques Proprios</v>
      </c>
      <c r="G1456" s="1">
        <v>42886</v>
      </c>
      <c r="H1456" s="225">
        <v>2786.1299999999937</v>
      </c>
      <c r="I1456" s="225">
        <v>0</v>
      </c>
      <c r="J1456" s="225">
        <v>210.95</v>
      </c>
      <c r="K1456" s="225">
        <v>2997.0799999999936</v>
      </c>
      <c r="L14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-2997.08</v>
      </c>
      <c r="M1456" s="225">
        <f>ROUND(IF(AND(Base_Periodo1[[#This Row],[Tipo_Linha]]="-",Base_Periodo1[[#This Row],[TIPOSALDO]]="D"),Base_Periodo1[[#This Row],[SALDO_ATUAL]]*-1,Base_Periodo1[[#This Row],[SALDO_ATUAL]]),4)</f>
        <v>2997.08</v>
      </c>
      <c r="N1456" t="s">
        <v>116</v>
      </c>
      <c r="O1456" t="s">
        <v>459</v>
      </c>
      <c r="P1456" t="s">
        <v>459</v>
      </c>
      <c r="Q1456">
        <v>9</v>
      </c>
      <c r="R1456" s="225">
        <f>Base_Periodo1[[#This Row],[CREDITOS]]-Base_Periodo1[[#This Row],[DEBITOS]]</f>
        <v>210.95</v>
      </c>
      <c r="S1456" s="3" t="str">
        <f>IF(ISERROR(VLOOKUP(Base_Periodo1[[#This Row],[CONTA]],BaseContasDRE[#All],4,FALSE)),"Fora do DRE",VLOOKUP(Base_Periodo1[[#This Row],[CONTA]],BaseContasDRE[#All],4,FALSE))</f>
        <v>Fora do DRE</v>
      </c>
      <c r="T1456" s="3" t="str">
        <f>IF(ISERROR(VLOOKUP(Base_Periodo1[[#This Row],[CONTA]],BaseContasDRE[#All],5,FALSE)),"Fora do DRE",VLOOKUP(Base_Periodo1[[#This Row],[CONTA]],BaseContasDRE[#All],6,FALSE))</f>
        <v>Fora do DRE</v>
      </c>
      <c r="U1456" s="3" t="str">
        <f>IF(ISERROR(VLOOKUP(Base_Periodo1[[#This Row],[CONTA]],BaseContasDRE[#All],7,FALSE)),"Fora do DRE",VLOOKUP(Base_Periodo1[[#This Row],[CONTA]],BaseContasDRE[#All],7,FALSE))</f>
        <v>Fora do DRE</v>
      </c>
      <c r="V1456" s="3" t="str">
        <f>IF(Base_Periodo1[[#This Row],[Tipo_Linha]]="Fora do DRE","Fora do DRE","( "&amp;Base_Periodo1[[#This Row],[Tipo_Linha]]&amp;" ) "&amp;Base_Periodo1[[#This Row],[Filtro]])</f>
        <v>Fora do DRE</v>
      </c>
      <c r="W1456" s="3" t="str">
        <f>LEFT(Base_Periodo1[[#This Row],[CLASS]],3)</f>
        <v>1.1</v>
      </c>
    </row>
    <row r="1457" spans="1:23" hidden="1">
      <c r="A1457" s="3" t="str">
        <f t="shared" si="22"/>
        <v>Período 1</v>
      </c>
      <c r="B1457">
        <v>378</v>
      </c>
      <c r="C1457" t="s">
        <v>1217</v>
      </c>
      <c r="D1457" t="s">
        <v>1072</v>
      </c>
      <c r="E1457" s="3" t="str">
        <f>IF(LEN(Base_Periodo1[[#This Row],[CLASS]])&gt;=7,LEFT(Base_Periodo1[[#This Row],[CLASS]],7),"")</f>
        <v>1.1.3.1</v>
      </c>
      <c r="F1457" s="3" t="str">
        <f>VLOOKUP(Base_Periodo1[[#This Row],[Aux]],Base_Contas_Balanco[#All],2,FALSE)</f>
        <v>Estoques Proprios</v>
      </c>
      <c r="G1457" s="1"/>
      <c r="H1457" s="225">
        <v>53277.370000000054</v>
      </c>
      <c r="I1457" s="225">
        <v>0</v>
      </c>
      <c r="J1457" s="225">
        <v>2054.4299999999998</v>
      </c>
      <c r="K1457" s="225">
        <v>55331.800000000054</v>
      </c>
      <c r="L14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-55331.8</v>
      </c>
      <c r="M1457" s="225">
        <f>ROUND(IF(AND(Base_Periodo1[[#This Row],[Tipo_Linha]]="-",Base_Periodo1[[#This Row],[TIPOSALDO]]="D"),Base_Periodo1[[#This Row],[SALDO_ATUAL]]*-1,Base_Periodo1[[#This Row],[SALDO_ATUAL]]),4)</f>
        <v>55331.8</v>
      </c>
      <c r="N1457" t="s">
        <v>396</v>
      </c>
      <c r="O1457" t="s">
        <v>459</v>
      </c>
      <c r="P1457" t="s">
        <v>459</v>
      </c>
      <c r="Q1457">
        <v>8</v>
      </c>
      <c r="R1457" s="225">
        <f>Base_Periodo1[[#This Row],[CREDITOS]]-Base_Periodo1[[#This Row],[DEBITOS]]</f>
        <v>2054.4299999999998</v>
      </c>
      <c r="S1457" s="3" t="str">
        <f>IF(ISERROR(VLOOKUP(Base_Periodo1[[#This Row],[CONTA]],BaseContasDRE[#All],4,FALSE)),"Fora do DRE",VLOOKUP(Base_Periodo1[[#This Row],[CONTA]],BaseContasDRE[#All],4,FALSE))</f>
        <v>Fora do DRE</v>
      </c>
      <c r="T1457" s="3" t="str">
        <f>IF(ISERROR(VLOOKUP(Base_Periodo1[[#This Row],[CONTA]],BaseContasDRE[#All],5,FALSE)),"Fora do DRE",VLOOKUP(Base_Periodo1[[#This Row],[CONTA]],BaseContasDRE[#All],6,FALSE))</f>
        <v>Fora do DRE</v>
      </c>
      <c r="U1457" s="3" t="str">
        <f>IF(ISERROR(VLOOKUP(Base_Periodo1[[#This Row],[CONTA]],BaseContasDRE[#All],7,FALSE)),"Fora do DRE",VLOOKUP(Base_Periodo1[[#This Row],[CONTA]],BaseContasDRE[#All],7,FALSE))</f>
        <v>Fora do DRE</v>
      </c>
      <c r="V1457" s="3" t="str">
        <f>IF(Base_Periodo1[[#This Row],[Tipo_Linha]]="Fora do DRE","Fora do DRE","( "&amp;Base_Periodo1[[#This Row],[Tipo_Linha]]&amp;" ) "&amp;Base_Periodo1[[#This Row],[Filtro]])</f>
        <v>Fora do DRE</v>
      </c>
      <c r="W1457" s="3" t="str">
        <f>LEFT(Base_Periodo1[[#This Row],[CLASS]],3)</f>
        <v>1.1</v>
      </c>
    </row>
    <row r="1458" spans="1:23" hidden="1">
      <c r="A1458" s="3" t="str">
        <f t="shared" si="22"/>
        <v>Período 1</v>
      </c>
      <c r="B1458">
        <v>380</v>
      </c>
      <c r="C1458" t="s">
        <v>1218</v>
      </c>
      <c r="D1458" t="s">
        <v>1074</v>
      </c>
      <c r="E1458" s="3" t="str">
        <f>IF(LEN(Base_Periodo1[[#This Row],[CLASS]])&gt;=7,LEFT(Base_Periodo1[[#This Row],[CLASS]],7),"")</f>
        <v>1.1.3.1</v>
      </c>
      <c r="F1458" s="3" t="str">
        <f>VLOOKUP(Base_Periodo1[[#This Row],[Aux]],Base_Contas_Balanco[#All],2,FALSE)</f>
        <v>Estoques Proprios</v>
      </c>
      <c r="G1458" s="1">
        <v>42878</v>
      </c>
      <c r="H1458" s="225">
        <v>53277.370000000054</v>
      </c>
      <c r="I1458" s="225">
        <v>0</v>
      </c>
      <c r="J1458" s="225">
        <v>2054.4299999999998</v>
      </c>
      <c r="K1458" s="225">
        <v>55331.800000000054</v>
      </c>
      <c r="L14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-55331.8</v>
      </c>
      <c r="M1458" s="225">
        <f>ROUND(IF(AND(Base_Periodo1[[#This Row],[Tipo_Linha]]="-",Base_Periodo1[[#This Row],[TIPOSALDO]]="D"),Base_Periodo1[[#This Row],[SALDO_ATUAL]]*-1,Base_Periodo1[[#This Row],[SALDO_ATUAL]]),4)</f>
        <v>55331.8</v>
      </c>
      <c r="N1458" t="s">
        <v>116</v>
      </c>
      <c r="O1458" t="s">
        <v>459</v>
      </c>
      <c r="P1458" t="s">
        <v>459</v>
      </c>
      <c r="Q1458">
        <v>9</v>
      </c>
      <c r="R1458" s="225">
        <f>Base_Periodo1[[#This Row],[CREDITOS]]-Base_Periodo1[[#This Row],[DEBITOS]]</f>
        <v>2054.4299999999998</v>
      </c>
      <c r="S1458" s="3" t="str">
        <f>IF(ISERROR(VLOOKUP(Base_Periodo1[[#This Row],[CONTA]],BaseContasDRE[#All],4,FALSE)),"Fora do DRE",VLOOKUP(Base_Periodo1[[#This Row],[CONTA]],BaseContasDRE[#All],4,FALSE))</f>
        <v>Fora do DRE</v>
      </c>
      <c r="T1458" s="3" t="str">
        <f>IF(ISERROR(VLOOKUP(Base_Periodo1[[#This Row],[CONTA]],BaseContasDRE[#All],5,FALSE)),"Fora do DRE",VLOOKUP(Base_Periodo1[[#This Row],[CONTA]],BaseContasDRE[#All],6,FALSE))</f>
        <v>Fora do DRE</v>
      </c>
      <c r="U1458" s="3" t="str">
        <f>IF(ISERROR(VLOOKUP(Base_Periodo1[[#This Row],[CONTA]],BaseContasDRE[#All],7,FALSE)),"Fora do DRE",VLOOKUP(Base_Periodo1[[#This Row],[CONTA]],BaseContasDRE[#All],7,FALSE))</f>
        <v>Fora do DRE</v>
      </c>
      <c r="V1458" s="3" t="str">
        <f>IF(Base_Periodo1[[#This Row],[Tipo_Linha]]="Fora do DRE","Fora do DRE","( "&amp;Base_Periodo1[[#This Row],[Tipo_Linha]]&amp;" ) "&amp;Base_Periodo1[[#This Row],[Filtro]])</f>
        <v>Fora do DRE</v>
      </c>
      <c r="W1458" s="3" t="str">
        <f>LEFT(Base_Periodo1[[#This Row],[CLASS]],3)</f>
        <v>1.1</v>
      </c>
    </row>
    <row r="1459" spans="1:23" hidden="1">
      <c r="A1459" s="3" t="str">
        <f t="shared" si="22"/>
        <v>Período 1</v>
      </c>
      <c r="B1459">
        <v>381</v>
      </c>
      <c r="C1459" t="s">
        <v>4748</v>
      </c>
      <c r="D1459" t="s">
        <v>1171</v>
      </c>
      <c r="E1459" s="3" t="str">
        <f>IF(LEN(Base_Periodo1[[#This Row],[CLASS]])&gt;=7,LEFT(Base_Periodo1[[#This Row],[CLASS]],7),"")</f>
        <v>1.1.3.1</v>
      </c>
      <c r="F1459" s="3" t="str">
        <f>VLOOKUP(Base_Periodo1[[#This Row],[Aux]],Base_Contas_Balanco[#All],2,FALSE)</f>
        <v>Estoques Proprios</v>
      </c>
      <c r="G1459" s="1"/>
      <c r="H1459" s="225">
        <v>954.05000000000109</v>
      </c>
      <c r="I1459" s="225">
        <v>0</v>
      </c>
      <c r="J1459" s="225">
        <v>0</v>
      </c>
      <c r="K1459" s="225">
        <v>954.05000000000109</v>
      </c>
      <c r="L14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-954.05</v>
      </c>
      <c r="M1459" s="225">
        <f>ROUND(IF(AND(Base_Periodo1[[#This Row],[Tipo_Linha]]="-",Base_Periodo1[[#This Row],[TIPOSALDO]]="D"),Base_Periodo1[[#This Row],[SALDO_ATUAL]]*-1,Base_Periodo1[[#This Row],[SALDO_ATUAL]]),4)</f>
        <v>954.05</v>
      </c>
      <c r="N1459" t="s">
        <v>396</v>
      </c>
      <c r="O1459" t="s">
        <v>459</v>
      </c>
      <c r="P1459" t="s">
        <v>459</v>
      </c>
      <c r="Q1459">
        <v>8</v>
      </c>
      <c r="R1459" s="225">
        <f>Base_Periodo1[[#This Row],[CREDITOS]]-Base_Periodo1[[#This Row],[DEBITOS]]</f>
        <v>0</v>
      </c>
      <c r="S1459" s="3" t="str">
        <f>IF(ISERROR(VLOOKUP(Base_Periodo1[[#This Row],[CONTA]],BaseContasDRE[#All],4,FALSE)),"Fora do DRE",VLOOKUP(Base_Periodo1[[#This Row],[CONTA]],BaseContasDRE[#All],4,FALSE))</f>
        <v>Fora do DRE</v>
      </c>
      <c r="T1459" s="3" t="str">
        <f>IF(ISERROR(VLOOKUP(Base_Periodo1[[#This Row],[CONTA]],BaseContasDRE[#All],5,FALSE)),"Fora do DRE",VLOOKUP(Base_Periodo1[[#This Row],[CONTA]],BaseContasDRE[#All],6,FALSE))</f>
        <v>Fora do DRE</v>
      </c>
      <c r="U1459" s="3" t="str">
        <f>IF(ISERROR(VLOOKUP(Base_Periodo1[[#This Row],[CONTA]],BaseContasDRE[#All],7,FALSE)),"Fora do DRE",VLOOKUP(Base_Periodo1[[#This Row],[CONTA]],BaseContasDRE[#All],7,FALSE))</f>
        <v>Fora do DRE</v>
      </c>
      <c r="V1459" s="3" t="str">
        <f>IF(Base_Periodo1[[#This Row],[Tipo_Linha]]="Fora do DRE","Fora do DRE","( "&amp;Base_Periodo1[[#This Row],[Tipo_Linha]]&amp;" ) "&amp;Base_Periodo1[[#This Row],[Filtro]])</f>
        <v>Fora do DRE</v>
      </c>
      <c r="W1459" s="3" t="str">
        <f>LEFT(Base_Periodo1[[#This Row],[CLASS]],3)</f>
        <v>1.1</v>
      </c>
    </row>
    <row r="1460" spans="1:23" hidden="1">
      <c r="A1460" s="3" t="str">
        <f t="shared" si="22"/>
        <v>Período 1</v>
      </c>
      <c r="B1460">
        <v>382</v>
      </c>
      <c r="C1460" t="s">
        <v>4749</v>
      </c>
      <c r="D1460" t="s">
        <v>1173</v>
      </c>
      <c r="E1460" s="3" t="str">
        <f>IF(LEN(Base_Periodo1[[#This Row],[CLASS]])&gt;=7,LEFT(Base_Periodo1[[#This Row],[CLASS]],7),"")</f>
        <v>1.1.3.1</v>
      </c>
      <c r="F1460" s="3" t="str">
        <f>VLOOKUP(Base_Periodo1[[#This Row],[Aux]],Base_Contas_Balanco[#All],2,FALSE)</f>
        <v>Estoques Proprios</v>
      </c>
      <c r="G1460" s="1">
        <v>42798</v>
      </c>
      <c r="H1460" s="225">
        <v>954.05000000000109</v>
      </c>
      <c r="I1460" s="225">
        <v>0</v>
      </c>
      <c r="J1460" s="225">
        <v>0</v>
      </c>
      <c r="K1460" s="225">
        <v>954.05000000000109</v>
      </c>
      <c r="L14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-954.05</v>
      </c>
      <c r="M1460" s="225">
        <f>ROUND(IF(AND(Base_Periodo1[[#This Row],[Tipo_Linha]]="-",Base_Periodo1[[#This Row],[TIPOSALDO]]="D"),Base_Periodo1[[#This Row],[SALDO_ATUAL]]*-1,Base_Periodo1[[#This Row],[SALDO_ATUAL]]),4)</f>
        <v>954.05</v>
      </c>
      <c r="N1460" t="s">
        <v>116</v>
      </c>
      <c r="O1460" t="s">
        <v>459</v>
      </c>
      <c r="P1460" t="s">
        <v>459</v>
      </c>
      <c r="Q1460">
        <v>9</v>
      </c>
      <c r="R1460" s="225">
        <f>Base_Periodo1[[#This Row],[CREDITOS]]-Base_Periodo1[[#This Row],[DEBITOS]]</f>
        <v>0</v>
      </c>
      <c r="S1460" s="3" t="str">
        <f>IF(ISERROR(VLOOKUP(Base_Periodo1[[#This Row],[CONTA]],BaseContasDRE[#All],4,FALSE)),"Fora do DRE",VLOOKUP(Base_Periodo1[[#This Row],[CONTA]],BaseContasDRE[#All],4,FALSE))</f>
        <v>Fora do DRE</v>
      </c>
      <c r="T1460" s="3" t="str">
        <f>IF(ISERROR(VLOOKUP(Base_Periodo1[[#This Row],[CONTA]],BaseContasDRE[#All],5,FALSE)),"Fora do DRE",VLOOKUP(Base_Periodo1[[#This Row],[CONTA]],BaseContasDRE[#All],6,FALSE))</f>
        <v>Fora do DRE</v>
      </c>
      <c r="U1460" s="3" t="str">
        <f>IF(ISERROR(VLOOKUP(Base_Periodo1[[#This Row],[CONTA]],BaseContasDRE[#All],7,FALSE)),"Fora do DRE",VLOOKUP(Base_Periodo1[[#This Row],[CONTA]],BaseContasDRE[#All],7,FALSE))</f>
        <v>Fora do DRE</v>
      </c>
      <c r="V1460" s="3" t="str">
        <f>IF(Base_Periodo1[[#This Row],[Tipo_Linha]]="Fora do DRE","Fora do DRE","( "&amp;Base_Periodo1[[#This Row],[Tipo_Linha]]&amp;" ) "&amp;Base_Periodo1[[#This Row],[Filtro]])</f>
        <v>Fora do DRE</v>
      </c>
      <c r="W1460" s="3" t="str">
        <f>LEFT(Base_Periodo1[[#This Row],[CLASS]],3)</f>
        <v>1.1</v>
      </c>
    </row>
    <row r="1461" spans="1:23" hidden="1">
      <c r="A1461" s="3" t="str">
        <f t="shared" si="22"/>
        <v>Período 1</v>
      </c>
      <c r="B1461">
        <v>389</v>
      </c>
      <c r="C1461" t="s">
        <v>1219</v>
      </c>
      <c r="D1461" t="s">
        <v>1220</v>
      </c>
      <c r="E1461" s="3" t="str">
        <f>IF(LEN(Base_Periodo1[[#This Row],[CLASS]])&gt;=7,LEFT(Base_Periodo1[[#This Row],[CLASS]],7),"")</f>
        <v>1.1.3.1</v>
      </c>
      <c r="F1461" s="3" t="str">
        <f>VLOOKUP(Base_Periodo1[[#This Row],[Aux]],Base_Contas_Balanco[#All],2,FALSE)</f>
        <v>Estoques Proprios</v>
      </c>
      <c r="G1461" s="1"/>
      <c r="H1461" s="225">
        <v>47643.66000000044</v>
      </c>
      <c r="I1461" s="225">
        <v>0</v>
      </c>
      <c r="J1461" s="225">
        <v>0</v>
      </c>
      <c r="K1461" s="225">
        <v>47643.66000000044</v>
      </c>
      <c r="L14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47643.66</v>
      </c>
      <c r="M1461" s="225">
        <f>ROUND(IF(AND(Base_Periodo1[[#This Row],[Tipo_Linha]]="-",Base_Periodo1[[#This Row],[TIPOSALDO]]="D"),Base_Periodo1[[#This Row],[SALDO_ATUAL]]*-1,Base_Periodo1[[#This Row],[SALDO_ATUAL]]),4)</f>
        <v>47643.66</v>
      </c>
      <c r="N1461" t="s">
        <v>396</v>
      </c>
      <c r="O1461" t="s">
        <v>397</v>
      </c>
      <c r="P1461" t="s">
        <v>397</v>
      </c>
      <c r="Q1461">
        <v>7</v>
      </c>
      <c r="R1461" s="225">
        <f>Base_Periodo1[[#This Row],[CREDITOS]]-Base_Periodo1[[#This Row],[DEBITOS]]</f>
        <v>0</v>
      </c>
      <c r="S1461" s="3" t="str">
        <f>IF(ISERROR(VLOOKUP(Base_Periodo1[[#This Row],[CONTA]],BaseContasDRE[#All],4,FALSE)),"Fora do DRE",VLOOKUP(Base_Periodo1[[#This Row],[CONTA]],BaseContasDRE[#All],4,FALSE))</f>
        <v>Fora do DRE</v>
      </c>
      <c r="T1461" s="3" t="str">
        <f>IF(ISERROR(VLOOKUP(Base_Periodo1[[#This Row],[CONTA]],BaseContasDRE[#All],5,FALSE)),"Fora do DRE",VLOOKUP(Base_Periodo1[[#This Row],[CONTA]],BaseContasDRE[#All],6,FALSE))</f>
        <v>Fora do DRE</v>
      </c>
      <c r="U1461" s="3" t="str">
        <f>IF(ISERROR(VLOOKUP(Base_Periodo1[[#This Row],[CONTA]],BaseContasDRE[#All],7,FALSE)),"Fora do DRE",VLOOKUP(Base_Periodo1[[#This Row],[CONTA]],BaseContasDRE[#All],7,FALSE))</f>
        <v>Fora do DRE</v>
      </c>
      <c r="V1461" s="3" t="str">
        <f>IF(Base_Periodo1[[#This Row],[Tipo_Linha]]="Fora do DRE","Fora do DRE","( "&amp;Base_Periodo1[[#This Row],[Tipo_Linha]]&amp;" ) "&amp;Base_Periodo1[[#This Row],[Filtro]])</f>
        <v>Fora do DRE</v>
      </c>
      <c r="W1461" s="3" t="str">
        <f>LEFT(Base_Periodo1[[#This Row],[CLASS]],3)</f>
        <v>1.1</v>
      </c>
    </row>
    <row r="1462" spans="1:23" hidden="1">
      <c r="A1462" s="3" t="str">
        <f t="shared" si="22"/>
        <v>Período 1</v>
      </c>
      <c r="B1462">
        <v>390</v>
      </c>
      <c r="C1462" t="s">
        <v>1221</v>
      </c>
      <c r="D1462" t="s">
        <v>1054</v>
      </c>
      <c r="E1462" s="3" t="str">
        <f>IF(LEN(Base_Periodo1[[#This Row],[CLASS]])&gt;=7,LEFT(Base_Periodo1[[#This Row],[CLASS]],7),"")</f>
        <v>1.1.3.1</v>
      </c>
      <c r="F1462" s="3" t="str">
        <f>VLOOKUP(Base_Periodo1[[#This Row],[Aux]],Base_Contas_Balanco[#All],2,FALSE)</f>
        <v>Estoques Proprios</v>
      </c>
      <c r="G1462" s="1"/>
      <c r="H1462" s="225">
        <v>47643.659999999916</v>
      </c>
      <c r="I1462" s="225">
        <v>0</v>
      </c>
      <c r="J1462" s="225">
        <v>0</v>
      </c>
      <c r="K1462" s="225">
        <v>47643.659999999916</v>
      </c>
      <c r="L14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47643.66</v>
      </c>
      <c r="M1462" s="225">
        <f>ROUND(IF(AND(Base_Periodo1[[#This Row],[Tipo_Linha]]="-",Base_Periodo1[[#This Row],[TIPOSALDO]]="D"),Base_Periodo1[[#This Row],[SALDO_ATUAL]]*-1,Base_Periodo1[[#This Row],[SALDO_ATUAL]]),4)</f>
        <v>47643.66</v>
      </c>
      <c r="N1462" t="s">
        <v>396</v>
      </c>
      <c r="O1462" t="s">
        <v>397</v>
      </c>
      <c r="P1462" t="s">
        <v>397</v>
      </c>
      <c r="Q1462">
        <v>8</v>
      </c>
      <c r="R1462" s="225">
        <f>Base_Periodo1[[#This Row],[CREDITOS]]-Base_Periodo1[[#This Row],[DEBITOS]]</f>
        <v>0</v>
      </c>
      <c r="S1462" s="3" t="str">
        <f>IF(ISERROR(VLOOKUP(Base_Periodo1[[#This Row],[CONTA]],BaseContasDRE[#All],4,FALSE)),"Fora do DRE",VLOOKUP(Base_Periodo1[[#This Row],[CONTA]],BaseContasDRE[#All],4,FALSE))</f>
        <v>Fora do DRE</v>
      </c>
      <c r="T1462" s="3" t="str">
        <f>IF(ISERROR(VLOOKUP(Base_Periodo1[[#This Row],[CONTA]],BaseContasDRE[#All],5,FALSE)),"Fora do DRE",VLOOKUP(Base_Periodo1[[#This Row],[CONTA]],BaseContasDRE[#All],6,FALSE))</f>
        <v>Fora do DRE</v>
      </c>
      <c r="U1462" s="3" t="str">
        <f>IF(ISERROR(VLOOKUP(Base_Periodo1[[#This Row],[CONTA]],BaseContasDRE[#All],7,FALSE)),"Fora do DRE",VLOOKUP(Base_Periodo1[[#This Row],[CONTA]],BaseContasDRE[#All],7,FALSE))</f>
        <v>Fora do DRE</v>
      </c>
      <c r="V1462" s="3" t="str">
        <f>IF(Base_Periodo1[[#This Row],[Tipo_Linha]]="Fora do DRE","Fora do DRE","( "&amp;Base_Periodo1[[#This Row],[Tipo_Linha]]&amp;" ) "&amp;Base_Periodo1[[#This Row],[Filtro]])</f>
        <v>Fora do DRE</v>
      </c>
      <c r="W1462" s="3" t="str">
        <f>LEFT(Base_Periodo1[[#This Row],[CLASS]],3)</f>
        <v>1.1</v>
      </c>
    </row>
    <row r="1463" spans="1:23" hidden="1">
      <c r="A1463" s="3" t="str">
        <f t="shared" si="22"/>
        <v>Período 1</v>
      </c>
      <c r="B1463">
        <v>391</v>
      </c>
      <c r="C1463" t="s">
        <v>1222</v>
      </c>
      <c r="D1463" t="s">
        <v>1054</v>
      </c>
      <c r="E1463" s="3" t="str">
        <f>IF(LEN(Base_Periodo1[[#This Row],[CLASS]])&gt;=7,LEFT(Base_Periodo1[[#This Row],[CLASS]],7),"")</f>
        <v>1.1.3.1</v>
      </c>
      <c r="F1463" s="3" t="str">
        <f>VLOOKUP(Base_Periodo1[[#This Row],[Aux]],Base_Contas_Balanco[#All],2,FALSE)</f>
        <v>Estoques Proprios</v>
      </c>
      <c r="G1463" s="1">
        <v>42735</v>
      </c>
      <c r="H1463" s="225">
        <v>47643.659999999916</v>
      </c>
      <c r="I1463" s="225">
        <v>0</v>
      </c>
      <c r="J1463" s="225">
        <v>0</v>
      </c>
      <c r="K1463" s="225">
        <v>47643.659999999916</v>
      </c>
      <c r="L14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47643.66</v>
      </c>
      <c r="M1463" s="225">
        <f>ROUND(IF(AND(Base_Periodo1[[#This Row],[Tipo_Linha]]="-",Base_Periodo1[[#This Row],[TIPOSALDO]]="D"),Base_Periodo1[[#This Row],[SALDO_ATUAL]]*-1,Base_Periodo1[[#This Row],[SALDO_ATUAL]]),4)</f>
        <v>47643.66</v>
      </c>
      <c r="N1463" t="s">
        <v>116</v>
      </c>
      <c r="O1463" t="s">
        <v>397</v>
      </c>
      <c r="P1463" t="s">
        <v>397</v>
      </c>
      <c r="Q1463">
        <v>9</v>
      </c>
      <c r="R1463" s="225">
        <f>Base_Periodo1[[#This Row],[CREDITOS]]-Base_Periodo1[[#This Row],[DEBITOS]]</f>
        <v>0</v>
      </c>
      <c r="S1463" s="3" t="str">
        <f>IF(ISERROR(VLOOKUP(Base_Periodo1[[#This Row],[CONTA]],BaseContasDRE[#All],4,FALSE)),"Fora do DRE",VLOOKUP(Base_Periodo1[[#This Row],[CONTA]],BaseContasDRE[#All],4,FALSE))</f>
        <v>Fora do DRE</v>
      </c>
      <c r="T1463" s="3" t="str">
        <f>IF(ISERROR(VLOOKUP(Base_Periodo1[[#This Row],[CONTA]],BaseContasDRE[#All],5,FALSE)),"Fora do DRE",VLOOKUP(Base_Periodo1[[#This Row],[CONTA]],BaseContasDRE[#All],6,FALSE))</f>
        <v>Fora do DRE</v>
      </c>
      <c r="U1463" s="3" t="str">
        <f>IF(ISERROR(VLOOKUP(Base_Periodo1[[#This Row],[CONTA]],BaseContasDRE[#All],7,FALSE)),"Fora do DRE",VLOOKUP(Base_Periodo1[[#This Row],[CONTA]],BaseContasDRE[#All],7,FALSE))</f>
        <v>Fora do DRE</v>
      </c>
      <c r="V1463" s="3" t="str">
        <f>IF(Base_Periodo1[[#This Row],[Tipo_Linha]]="Fora do DRE","Fora do DRE","( "&amp;Base_Periodo1[[#This Row],[Tipo_Linha]]&amp;" ) "&amp;Base_Periodo1[[#This Row],[Filtro]])</f>
        <v>Fora do DRE</v>
      </c>
      <c r="W1463" s="3" t="str">
        <f>LEFT(Base_Periodo1[[#This Row],[CLASS]],3)</f>
        <v>1.1</v>
      </c>
    </row>
    <row r="1464" spans="1:23" hidden="1">
      <c r="A1464" s="3" t="str">
        <f t="shared" si="22"/>
        <v>Período 1</v>
      </c>
      <c r="B1464">
        <v>394</v>
      </c>
      <c r="C1464" t="s">
        <v>6236</v>
      </c>
      <c r="D1464" t="s">
        <v>1063</v>
      </c>
      <c r="E1464" s="3" t="str">
        <f>IF(LEN(Base_Periodo1[[#This Row],[CLASS]])&gt;=7,LEFT(Base_Periodo1[[#This Row],[CLASS]],7),"")</f>
        <v>1.1.3.1</v>
      </c>
      <c r="F1464" s="3" t="str">
        <f>VLOOKUP(Base_Periodo1[[#This Row],[Aux]],Base_Contas_Balanco[#All],2,FALSE)</f>
        <v>Estoques Proprios</v>
      </c>
      <c r="G1464" s="1"/>
      <c r="H1464" s="225">
        <v>8478.6300000002375</v>
      </c>
      <c r="I1464" s="225">
        <v>0</v>
      </c>
      <c r="J1464" s="225">
        <v>0</v>
      </c>
      <c r="K1464" s="225">
        <v>8478.6300000002375</v>
      </c>
      <c r="L14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8478.6299999999992</v>
      </c>
      <c r="M1464" s="225">
        <f>ROUND(IF(AND(Base_Periodo1[[#This Row],[Tipo_Linha]]="-",Base_Periodo1[[#This Row],[TIPOSALDO]]="D"),Base_Periodo1[[#This Row],[SALDO_ATUAL]]*-1,Base_Periodo1[[#This Row],[SALDO_ATUAL]]),4)</f>
        <v>8478.6299999999992</v>
      </c>
      <c r="N1464" t="s">
        <v>396</v>
      </c>
      <c r="O1464" t="s">
        <v>397</v>
      </c>
      <c r="P1464" t="s">
        <v>397</v>
      </c>
      <c r="Q1464">
        <v>8</v>
      </c>
      <c r="R1464" s="225">
        <f>Base_Periodo1[[#This Row],[CREDITOS]]-Base_Periodo1[[#This Row],[DEBITOS]]</f>
        <v>0</v>
      </c>
      <c r="S1464" s="3" t="str">
        <f>IF(ISERROR(VLOOKUP(Base_Periodo1[[#This Row],[CONTA]],BaseContasDRE[#All],4,FALSE)),"Fora do DRE",VLOOKUP(Base_Periodo1[[#This Row],[CONTA]],BaseContasDRE[#All],4,FALSE))</f>
        <v>Fora do DRE</v>
      </c>
      <c r="T1464" s="3" t="str">
        <f>IF(ISERROR(VLOOKUP(Base_Periodo1[[#This Row],[CONTA]],BaseContasDRE[#All],5,FALSE)),"Fora do DRE",VLOOKUP(Base_Periodo1[[#This Row],[CONTA]],BaseContasDRE[#All],6,FALSE))</f>
        <v>Fora do DRE</v>
      </c>
      <c r="U1464" s="3" t="str">
        <f>IF(ISERROR(VLOOKUP(Base_Periodo1[[#This Row],[CONTA]],BaseContasDRE[#All],7,FALSE)),"Fora do DRE",VLOOKUP(Base_Periodo1[[#This Row],[CONTA]],BaseContasDRE[#All],7,FALSE))</f>
        <v>Fora do DRE</v>
      </c>
      <c r="V1464" s="3" t="str">
        <f>IF(Base_Periodo1[[#This Row],[Tipo_Linha]]="Fora do DRE","Fora do DRE","( "&amp;Base_Periodo1[[#This Row],[Tipo_Linha]]&amp;" ) "&amp;Base_Periodo1[[#This Row],[Filtro]])</f>
        <v>Fora do DRE</v>
      </c>
      <c r="W1464" s="3" t="str">
        <f>LEFT(Base_Periodo1[[#This Row],[CLASS]],3)</f>
        <v>1.1</v>
      </c>
    </row>
    <row r="1465" spans="1:23" hidden="1">
      <c r="A1465" s="3" t="str">
        <f t="shared" si="22"/>
        <v>Período 1</v>
      </c>
      <c r="B1465">
        <v>396</v>
      </c>
      <c r="C1465" t="s">
        <v>6237</v>
      </c>
      <c r="D1465" t="s">
        <v>1065</v>
      </c>
      <c r="E1465" s="3" t="str">
        <f>IF(LEN(Base_Periodo1[[#This Row],[CLASS]])&gt;=7,LEFT(Base_Periodo1[[#This Row],[CLASS]],7),"")</f>
        <v>1.1.3.1</v>
      </c>
      <c r="F1465" s="3" t="str">
        <f>VLOOKUP(Base_Periodo1[[#This Row],[Aux]],Base_Contas_Balanco[#All],2,FALSE)</f>
        <v>Estoques Proprios</v>
      </c>
      <c r="G1465" s="1">
        <v>42808</v>
      </c>
      <c r="H1465" s="225">
        <v>8478.6300000002375</v>
      </c>
      <c r="I1465" s="225">
        <v>0</v>
      </c>
      <c r="J1465" s="225">
        <v>0</v>
      </c>
      <c r="K1465" s="225">
        <v>8478.6300000002375</v>
      </c>
      <c r="L14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8478.6299999999992</v>
      </c>
      <c r="M1465" s="225">
        <f>ROUND(IF(AND(Base_Periodo1[[#This Row],[Tipo_Linha]]="-",Base_Periodo1[[#This Row],[TIPOSALDO]]="D"),Base_Periodo1[[#This Row],[SALDO_ATUAL]]*-1,Base_Periodo1[[#This Row],[SALDO_ATUAL]]),4)</f>
        <v>8478.6299999999992</v>
      </c>
      <c r="N1465" t="s">
        <v>116</v>
      </c>
      <c r="O1465" t="s">
        <v>397</v>
      </c>
      <c r="P1465" t="s">
        <v>397</v>
      </c>
      <c r="Q1465">
        <v>9</v>
      </c>
      <c r="R1465" s="225">
        <f>Base_Periodo1[[#This Row],[CREDITOS]]-Base_Periodo1[[#This Row],[DEBITOS]]</f>
        <v>0</v>
      </c>
      <c r="S1465" s="3" t="str">
        <f>IF(ISERROR(VLOOKUP(Base_Periodo1[[#This Row],[CONTA]],BaseContasDRE[#All],4,FALSE)),"Fora do DRE",VLOOKUP(Base_Periodo1[[#This Row],[CONTA]],BaseContasDRE[#All],4,FALSE))</f>
        <v>Fora do DRE</v>
      </c>
      <c r="T1465" s="3" t="str">
        <f>IF(ISERROR(VLOOKUP(Base_Periodo1[[#This Row],[CONTA]],BaseContasDRE[#All],5,FALSE)),"Fora do DRE",VLOOKUP(Base_Periodo1[[#This Row],[CONTA]],BaseContasDRE[#All],6,FALSE))</f>
        <v>Fora do DRE</v>
      </c>
      <c r="U1465" s="3" t="str">
        <f>IF(ISERROR(VLOOKUP(Base_Periodo1[[#This Row],[CONTA]],BaseContasDRE[#All],7,FALSE)),"Fora do DRE",VLOOKUP(Base_Periodo1[[#This Row],[CONTA]],BaseContasDRE[#All],7,FALSE))</f>
        <v>Fora do DRE</v>
      </c>
      <c r="V1465" s="3" t="str">
        <f>IF(Base_Periodo1[[#This Row],[Tipo_Linha]]="Fora do DRE","Fora do DRE","( "&amp;Base_Periodo1[[#This Row],[Tipo_Linha]]&amp;" ) "&amp;Base_Periodo1[[#This Row],[Filtro]])</f>
        <v>Fora do DRE</v>
      </c>
      <c r="W1465" s="3" t="str">
        <f>LEFT(Base_Periodo1[[#This Row],[CLASS]],3)</f>
        <v>1.1</v>
      </c>
    </row>
    <row r="1466" spans="1:23" hidden="1">
      <c r="A1466" s="3" t="str">
        <f t="shared" si="22"/>
        <v>Período 1</v>
      </c>
      <c r="B1466">
        <v>403</v>
      </c>
      <c r="C1466" t="s">
        <v>6238</v>
      </c>
      <c r="D1466" t="s">
        <v>1072</v>
      </c>
      <c r="E1466" s="3" t="str">
        <f>IF(LEN(Base_Periodo1[[#This Row],[CLASS]])&gt;=7,LEFT(Base_Periodo1[[#This Row],[CLASS]],7),"")</f>
        <v>1.1.3.1</v>
      </c>
      <c r="F1466" s="3" t="str">
        <f>VLOOKUP(Base_Periodo1[[#This Row],[Aux]],Base_Contas_Balanco[#All],2,FALSE)</f>
        <v>Estoques Proprios</v>
      </c>
      <c r="G1466" s="1"/>
      <c r="H1466" s="225">
        <v>8478.6299999996554</v>
      </c>
      <c r="I1466" s="225">
        <v>0</v>
      </c>
      <c r="J1466" s="225">
        <v>0</v>
      </c>
      <c r="K1466" s="225">
        <v>8478.6299999996554</v>
      </c>
      <c r="L14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-8478.6299999999992</v>
      </c>
      <c r="M1466" s="225">
        <f>ROUND(IF(AND(Base_Periodo1[[#This Row],[Tipo_Linha]]="-",Base_Periodo1[[#This Row],[TIPOSALDO]]="D"),Base_Periodo1[[#This Row],[SALDO_ATUAL]]*-1,Base_Periodo1[[#This Row],[SALDO_ATUAL]]),4)</f>
        <v>8478.6299999999992</v>
      </c>
      <c r="N1466" t="s">
        <v>396</v>
      </c>
      <c r="O1466" t="s">
        <v>459</v>
      </c>
      <c r="P1466" t="s">
        <v>459</v>
      </c>
      <c r="Q1466">
        <v>8</v>
      </c>
      <c r="R1466" s="225">
        <f>Base_Periodo1[[#This Row],[CREDITOS]]-Base_Periodo1[[#This Row],[DEBITOS]]</f>
        <v>0</v>
      </c>
      <c r="S1466" s="3" t="str">
        <f>IF(ISERROR(VLOOKUP(Base_Periodo1[[#This Row],[CONTA]],BaseContasDRE[#All],4,FALSE)),"Fora do DRE",VLOOKUP(Base_Periodo1[[#This Row],[CONTA]],BaseContasDRE[#All],4,FALSE))</f>
        <v>Fora do DRE</v>
      </c>
      <c r="T1466" s="3" t="str">
        <f>IF(ISERROR(VLOOKUP(Base_Periodo1[[#This Row],[CONTA]],BaseContasDRE[#All],5,FALSE)),"Fora do DRE",VLOOKUP(Base_Periodo1[[#This Row],[CONTA]],BaseContasDRE[#All],6,FALSE))</f>
        <v>Fora do DRE</v>
      </c>
      <c r="U1466" s="3" t="str">
        <f>IF(ISERROR(VLOOKUP(Base_Periodo1[[#This Row],[CONTA]],BaseContasDRE[#All],7,FALSE)),"Fora do DRE",VLOOKUP(Base_Periodo1[[#This Row],[CONTA]],BaseContasDRE[#All],7,FALSE))</f>
        <v>Fora do DRE</v>
      </c>
      <c r="V1466" s="3" t="str">
        <f>IF(Base_Periodo1[[#This Row],[Tipo_Linha]]="Fora do DRE","Fora do DRE","( "&amp;Base_Periodo1[[#This Row],[Tipo_Linha]]&amp;" ) "&amp;Base_Periodo1[[#This Row],[Filtro]])</f>
        <v>Fora do DRE</v>
      </c>
      <c r="W1466" s="3" t="str">
        <f>LEFT(Base_Periodo1[[#This Row],[CLASS]],3)</f>
        <v>1.1</v>
      </c>
    </row>
    <row r="1467" spans="1:23" hidden="1">
      <c r="A1467" s="3" t="str">
        <f t="shared" si="22"/>
        <v>Período 1</v>
      </c>
      <c r="B1467">
        <v>404</v>
      </c>
      <c r="C1467" t="s">
        <v>6239</v>
      </c>
      <c r="D1467" t="s">
        <v>1074</v>
      </c>
      <c r="E1467" s="3" t="str">
        <f>IF(LEN(Base_Periodo1[[#This Row],[CLASS]])&gt;=7,LEFT(Base_Periodo1[[#This Row],[CLASS]],7),"")</f>
        <v>1.1.3.1</v>
      </c>
      <c r="F1467" s="3" t="str">
        <f>VLOOKUP(Base_Periodo1[[#This Row],[Aux]],Base_Contas_Balanco[#All],2,FALSE)</f>
        <v>Estoques Proprios</v>
      </c>
      <c r="G1467" s="1">
        <v>42808</v>
      </c>
      <c r="H1467" s="225">
        <v>8478.6299999996554</v>
      </c>
      <c r="I1467" s="225">
        <v>0</v>
      </c>
      <c r="J1467" s="225">
        <v>0</v>
      </c>
      <c r="K1467" s="225">
        <v>8478.6299999996554</v>
      </c>
      <c r="L14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-8478.6299999999992</v>
      </c>
      <c r="M1467" s="225">
        <f>ROUND(IF(AND(Base_Periodo1[[#This Row],[Tipo_Linha]]="-",Base_Periodo1[[#This Row],[TIPOSALDO]]="D"),Base_Periodo1[[#This Row],[SALDO_ATUAL]]*-1,Base_Periodo1[[#This Row],[SALDO_ATUAL]]),4)</f>
        <v>8478.6299999999992</v>
      </c>
      <c r="N1467" t="s">
        <v>116</v>
      </c>
      <c r="O1467" t="s">
        <v>459</v>
      </c>
      <c r="P1467" t="s">
        <v>459</v>
      </c>
      <c r="Q1467">
        <v>9</v>
      </c>
      <c r="R1467" s="225">
        <f>Base_Periodo1[[#This Row],[CREDITOS]]-Base_Periodo1[[#This Row],[DEBITOS]]</f>
        <v>0</v>
      </c>
      <c r="S1467" s="3" t="str">
        <f>IF(ISERROR(VLOOKUP(Base_Periodo1[[#This Row],[CONTA]],BaseContasDRE[#All],4,FALSE)),"Fora do DRE",VLOOKUP(Base_Periodo1[[#This Row],[CONTA]],BaseContasDRE[#All],4,FALSE))</f>
        <v>Fora do DRE</v>
      </c>
      <c r="T1467" s="3" t="str">
        <f>IF(ISERROR(VLOOKUP(Base_Periodo1[[#This Row],[CONTA]],BaseContasDRE[#All],5,FALSE)),"Fora do DRE",VLOOKUP(Base_Periodo1[[#This Row],[CONTA]],BaseContasDRE[#All],6,FALSE))</f>
        <v>Fora do DRE</v>
      </c>
      <c r="U1467" s="3" t="str">
        <f>IF(ISERROR(VLOOKUP(Base_Periodo1[[#This Row],[CONTA]],BaseContasDRE[#All],7,FALSE)),"Fora do DRE",VLOOKUP(Base_Periodo1[[#This Row],[CONTA]],BaseContasDRE[#All],7,FALSE))</f>
        <v>Fora do DRE</v>
      </c>
      <c r="V1467" s="3" t="str">
        <f>IF(Base_Periodo1[[#This Row],[Tipo_Linha]]="Fora do DRE","Fora do DRE","( "&amp;Base_Periodo1[[#This Row],[Tipo_Linha]]&amp;" ) "&amp;Base_Periodo1[[#This Row],[Filtro]])</f>
        <v>Fora do DRE</v>
      </c>
      <c r="W1467" s="3" t="str">
        <f>LEFT(Base_Periodo1[[#This Row],[CLASS]],3)</f>
        <v>1.1</v>
      </c>
    </row>
    <row r="1468" spans="1:23" hidden="1">
      <c r="A1468" s="3" t="str">
        <f t="shared" si="22"/>
        <v>Período 1</v>
      </c>
      <c r="B1468">
        <v>409</v>
      </c>
      <c r="C1468" t="s">
        <v>1223</v>
      </c>
      <c r="D1468" t="s">
        <v>1224</v>
      </c>
      <c r="E1468" s="3" t="str">
        <f>IF(LEN(Base_Periodo1[[#This Row],[CLASS]])&gt;=7,LEFT(Base_Periodo1[[#This Row],[CLASS]],7),"")</f>
        <v>1.1.3.1</v>
      </c>
      <c r="F1468" s="3" t="str">
        <f>VLOOKUP(Base_Periodo1[[#This Row],[Aux]],Base_Contas_Balanco[#All],2,FALSE)</f>
        <v>Estoques Proprios</v>
      </c>
      <c r="G1468" s="1"/>
      <c r="H1468" s="225">
        <v>716697.40000000945</v>
      </c>
      <c r="I1468" s="225">
        <v>261620.17</v>
      </c>
      <c r="J1468" s="225">
        <v>95845.400000000009</v>
      </c>
      <c r="K1468" s="225">
        <v>882472.17000000947</v>
      </c>
      <c r="L14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882472.17</v>
      </c>
      <c r="M1468" s="225">
        <f>ROUND(IF(AND(Base_Periodo1[[#This Row],[Tipo_Linha]]="-",Base_Periodo1[[#This Row],[TIPOSALDO]]="D"),Base_Periodo1[[#This Row],[SALDO_ATUAL]]*-1,Base_Periodo1[[#This Row],[SALDO_ATUAL]]),4)</f>
        <v>882472.17</v>
      </c>
      <c r="N1468" t="s">
        <v>396</v>
      </c>
      <c r="O1468" t="s">
        <v>397</v>
      </c>
      <c r="P1468" t="s">
        <v>397</v>
      </c>
      <c r="Q1468">
        <v>7</v>
      </c>
      <c r="R1468" s="225">
        <f>Base_Periodo1[[#This Row],[CREDITOS]]-Base_Periodo1[[#This Row],[DEBITOS]]</f>
        <v>-165774.77000000002</v>
      </c>
      <c r="S1468" s="3" t="str">
        <f>IF(ISERROR(VLOOKUP(Base_Periodo1[[#This Row],[CONTA]],BaseContasDRE[#All],4,FALSE)),"Fora do DRE",VLOOKUP(Base_Periodo1[[#This Row],[CONTA]],BaseContasDRE[#All],4,FALSE))</f>
        <v>Fora do DRE</v>
      </c>
      <c r="T1468" s="3" t="str">
        <f>IF(ISERROR(VLOOKUP(Base_Periodo1[[#This Row],[CONTA]],BaseContasDRE[#All],5,FALSE)),"Fora do DRE",VLOOKUP(Base_Periodo1[[#This Row],[CONTA]],BaseContasDRE[#All],6,FALSE))</f>
        <v>Fora do DRE</v>
      </c>
      <c r="U1468" s="3" t="str">
        <f>IF(ISERROR(VLOOKUP(Base_Periodo1[[#This Row],[CONTA]],BaseContasDRE[#All],7,FALSE)),"Fora do DRE",VLOOKUP(Base_Periodo1[[#This Row],[CONTA]],BaseContasDRE[#All],7,FALSE))</f>
        <v>Fora do DRE</v>
      </c>
      <c r="V1468" s="3" t="str">
        <f>IF(Base_Periodo1[[#This Row],[Tipo_Linha]]="Fora do DRE","Fora do DRE","( "&amp;Base_Periodo1[[#This Row],[Tipo_Linha]]&amp;" ) "&amp;Base_Periodo1[[#This Row],[Filtro]])</f>
        <v>Fora do DRE</v>
      </c>
      <c r="W1468" s="3" t="str">
        <f>LEFT(Base_Periodo1[[#This Row],[CLASS]],3)</f>
        <v>1.1</v>
      </c>
    </row>
    <row r="1469" spans="1:23" hidden="1">
      <c r="A1469" s="3" t="str">
        <f t="shared" si="22"/>
        <v>Período 1</v>
      </c>
      <c r="B1469">
        <v>410</v>
      </c>
      <c r="C1469" t="s">
        <v>1225</v>
      </c>
      <c r="D1469" t="s">
        <v>1054</v>
      </c>
      <c r="E1469" s="3" t="str">
        <f>IF(LEN(Base_Periodo1[[#This Row],[CLASS]])&gt;=7,LEFT(Base_Periodo1[[#This Row],[CLASS]],7),"")</f>
        <v>1.1.3.1</v>
      </c>
      <c r="F1469" s="3" t="str">
        <f>VLOOKUP(Base_Periodo1[[#This Row],[Aux]],Base_Contas_Balanco[#All],2,FALSE)</f>
        <v>Estoques Proprios</v>
      </c>
      <c r="G1469" s="1"/>
      <c r="H1469" s="225">
        <v>1070970.9300000006</v>
      </c>
      <c r="I1469" s="225">
        <v>0</v>
      </c>
      <c r="J1469" s="225">
        <v>0</v>
      </c>
      <c r="K1469" s="225">
        <v>1070970.9300000006</v>
      </c>
      <c r="L14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1070970.93</v>
      </c>
      <c r="M1469" s="225">
        <f>ROUND(IF(AND(Base_Periodo1[[#This Row],[Tipo_Linha]]="-",Base_Periodo1[[#This Row],[TIPOSALDO]]="D"),Base_Periodo1[[#This Row],[SALDO_ATUAL]]*-1,Base_Periodo1[[#This Row],[SALDO_ATUAL]]),4)</f>
        <v>1070970.93</v>
      </c>
      <c r="N1469" t="s">
        <v>396</v>
      </c>
      <c r="O1469" t="s">
        <v>397</v>
      </c>
      <c r="P1469" t="s">
        <v>397</v>
      </c>
      <c r="Q1469">
        <v>8</v>
      </c>
      <c r="R1469" s="225">
        <f>Base_Periodo1[[#This Row],[CREDITOS]]-Base_Periodo1[[#This Row],[DEBITOS]]</f>
        <v>0</v>
      </c>
      <c r="S1469" s="3" t="str">
        <f>IF(ISERROR(VLOOKUP(Base_Periodo1[[#This Row],[CONTA]],BaseContasDRE[#All],4,FALSE)),"Fora do DRE",VLOOKUP(Base_Periodo1[[#This Row],[CONTA]],BaseContasDRE[#All],4,FALSE))</f>
        <v>Fora do DRE</v>
      </c>
      <c r="T1469" s="3" t="str">
        <f>IF(ISERROR(VLOOKUP(Base_Periodo1[[#This Row],[CONTA]],BaseContasDRE[#All],5,FALSE)),"Fora do DRE",VLOOKUP(Base_Periodo1[[#This Row],[CONTA]],BaseContasDRE[#All],6,FALSE))</f>
        <v>Fora do DRE</v>
      </c>
      <c r="U1469" s="3" t="str">
        <f>IF(ISERROR(VLOOKUP(Base_Periodo1[[#This Row],[CONTA]],BaseContasDRE[#All],7,FALSE)),"Fora do DRE",VLOOKUP(Base_Periodo1[[#This Row],[CONTA]],BaseContasDRE[#All],7,FALSE))</f>
        <v>Fora do DRE</v>
      </c>
      <c r="V1469" s="3" t="str">
        <f>IF(Base_Periodo1[[#This Row],[Tipo_Linha]]="Fora do DRE","Fora do DRE","( "&amp;Base_Periodo1[[#This Row],[Tipo_Linha]]&amp;" ) "&amp;Base_Periodo1[[#This Row],[Filtro]])</f>
        <v>Fora do DRE</v>
      </c>
      <c r="W1469" s="3" t="str">
        <f>LEFT(Base_Periodo1[[#This Row],[CLASS]],3)</f>
        <v>1.1</v>
      </c>
    </row>
    <row r="1470" spans="1:23" hidden="1">
      <c r="A1470" s="3" t="str">
        <f t="shared" si="22"/>
        <v>Período 1</v>
      </c>
      <c r="B1470">
        <v>411</v>
      </c>
      <c r="C1470" t="s">
        <v>1226</v>
      </c>
      <c r="D1470" t="s">
        <v>1054</v>
      </c>
      <c r="E1470" s="3" t="str">
        <f>IF(LEN(Base_Periodo1[[#This Row],[CLASS]])&gt;=7,LEFT(Base_Periodo1[[#This Row],[CLASS]],7),"")</f>
        <v>1.1.3.1</v>
      </c>
      <c r="F1470" s="3" t="str">
        <f>VLOOKUP(Base_Periodo1[[#This Row],[Aux]],Base_Contas_Balanco[#All],2,FALSE)</f>
        <v>Estoques Proprios</v>
      </c>
      <c r="G1470" s="1">
        <v>42735</v>
      </c>
      <c r="H1470" s="225">
        <v>1070970.9300000006</v>
      </c>
      <c r="I1470" s="225">
        <v>0</v>
      </c>
      <c r="J1470" s="225">
        <v>0</v>
      </c>
      <c r="K1470" s="225">
        <v>1070970.9300000006</v>
      </c>
      <c r="L14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1070970.93</v>
      </c>
      <c r="M1470" s="225">
        <f>ROUND(IF(AND(Base_Periodo1[[#This Row],[Tipo_Linha]]="-",Base_Periodo1[[#This Row],[TIPOSALDO]]="D"),Base_Periodo1[[#This Row],[SALDO_ATUAL]]*-1,Base_Periodo1[[#This Row],[SALDO_ATUAL]]),4)</f>
        <v>1070970.93</v>
      </c>
      <c r="N1470" t="s">
        <v>116</v>
      </c>
      <c r="O1470" t="s">
        <v>397</v>
      </c>
      <c r="P1470" t="s">
        <v>397</v>
      </c>
      <c r="Q1470">
        <v>9</v>
      </c>
      <c r="R1470" s="225">
        <f>Base_Periodo1[[#This Row],[CREDITOS]]-Base_Periodo1[[#This Row],[DEBITOS]]</f>
        <v>0</v>
      </c>
      <c r="S1470" s="3" t="str">
        <f>IF(ISERROR(VLOOKUP(Base_Periodo1[[#This Row],[CONTA]],BaseContasDRE[#All],4,FALSE)),"Fora do DRE",VLOOKUP(Base_Periodo1[[#This Row],[CONTA]],BaseContasDRE[#All],4,FALSE))</f>
        <v>Fora do DRE</v>
      </c>
      <c r="T1470" s="3" t="str">
        <f>IF(ISERROR(VLOOKUP(Base_Periodo1[[#This Row],[CONTA]],BaseContasDRE[#All],5,FALSE)),"Fora do DRE",VLOOKUP(Base_Periodo1[[#This Row],[CONTA]],BaseContasDRE[#All],6,FALSE))</f>
        <v>Fora do DRE</v>
      </c>
      <c r="U1470" s="3" t="str">
        <f>IF(ISERROR(VLOOKUP(Base_Periodo1[[#This Row],[CONTA]],BaseContasDRE[#All],7,FALSE)),"Fora do DRE",VLOOKUP(Base_Periodo1[[#This Row],[CONTA]],BaseContasDRE[#All],7,FALSE))</f>
        <v>Fora do DRE</v>
      </c>
      <c r="V1470" s="3" t="str">
        <f>IF(Base_Periodo1[[#This Row],[Tipo_Linha]]="Fora do DRE","Fora do DRE","( "&amp;Base_Periodo1[[#This Row],[Tipo_Linha]]&amp;" ) "&amp;Base_Periodo1[[#This Row],[Filtro]])</f>
        <v>Fora do DRE</v>
      </c>
      <c r="W1470" s="3" t="str">
        <f>LEFT(Base_Periodo1[[#This Row],[CLASS]],3)</f>
        <v>1.1</v>
      </c>
    </row>
    <row r="1471" spans="1:23" hidden="1">
      <c r="A1471" s="3" t="str">
        <f t="shared" si="22"/>
        <v>Período 1</v>
      </c>
      <c r="B1471">
        <v>412</v>
      </c>
      <c r="C1471" t="s">
        <v>1227</v>
      </c>
      <c r="D1471" t="s">
        <v>1057</v>
      </c>
      <c r="E1471" s="3" t="str">
        <f>IF(LEN(Base_Periodo1[[#This Row],[CLASS]])&gt;=7,LEFT(Base_Periodo1[[#This Row],[CLASS]],7),"")</f>
        <v>1.1.3.1</v>
      </c>
      <c r="F1471" s="3" t="str">
        <f>VLOOKUP(Base_Periodo1[[#This Row],[Aux]],Base_Contas_Balanco[#All],2,FALSE)</f>
        <v>Estoques Proprios</v>
      </c>
      <c r="G1471" s="1"/>
      <c r="H1471" s="225">
        <v>407042.20000000298</v>
      </c>
      <c r="I1471" s="225">
        <v>183600</v>
      </c>
      <c r="J1471" s="225">
        <v>0</v>
      </c>
      <c r="K1471" s="225">
        <v>590642.20000000298</v>
      </c>
      <c r="L14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590642.19999999995</v>
      </c>
      <c r="M1471" s="225">
        <f>ROUND(IF(AND(Base_Periodo1[[#This Row],[Tipo_Linha]]="-",Base_Periodo1[[#This Row],[TIPOSALDO]]="D"),Base_Periodo1[[#This Row],[SALDO_ATUAL]]*-1,Base_Periodo1[[#This Row],[SALDO_ATUAL]]),4)</f>
        <v>590642.19999999995</v>
      </c>
      <c r="N1471" t="s">
        <v>396</v>
      </c>
      <c r="O1471" t="s">
        <v>397</v>
      </c>
      <c r="P1471" t="s">
        <v>397</v>
      </c>
      <c r="Q1471">
        <v>8</v>
      </c>
      <c r="R1471" s="225">
        <f>Base_Periodo1[[#This Row],[CREDITOS]]-Base_Periodo1[[#This Row],[DEBITOS]]</f>
        <v>-183600</v>
      </c>
      <c r="S1471" s="3" t="str">
        <f>IF(ISERROR(VLOOKUP(Base_Periodo1[[#This Row],[CONTA]],BaseContasDRE[#All],4,FALSE)),"Fora do DRE",VLOOKUP(Base_Periodo1[[#This Row],[CONTA]],BaseContasDRE[#All],4,FALSE))</f>
        <v>Fora do DRE</v>
      </c>
      <c r="T1471" s="3" t="str">
        <f>IF(ISERROR(VLOOKUP(Base_Periodo1[[#This Row],[CONTA]],BaseContasDRE[#All],5,FALSE)),"Fora do DRE",VLOOKUP(Base_Periodo1[[#This Row],[CONTA]],BaseContasDRE[#All],6,FALSE))</f>
        <v>Fora do DRE</v>
      </c>
      <c r="U1471" s="3" t="str">
        <f>IF(ISERROR(VLOOKUP(Base_Periodo1[[#This Row],[CONTA]],BaseContasDRE[#All],7,FALSE)),"Fora do DRE",VLOOKUP(Base_Periodo1[[#This Row],[CONTA]],BaseContasDRE[#All],7,FALSE))</f>
        <v>Fora do DRE</v>
      </c>
      <c r="V1471" s="3" t="str">
        <f>IF(Base_Periodo1[[#This Row],[Tipo_Linha]]="Fora do DRE","Fora do DRE","( "&amp;Base_Periodo1[[#This Row],[Tipo_Linha]]&amp;" ) "&amp;Base_Periodo1[[#This Row],[Filtro]])</f>
        <v>Fora do DRE</v>
      </c>
      <c r="W1471" s="3" t="str">
        <f>LEFT(Base_Periodo1[[#This Row],[CLASS]],3)</f>
        <v>1.1</v>
      </c>
    </row>
    <row r="1472" spans="1:23" hidden="1">
      <c r="A1472" s="3" t="str">
        <f t="shared" si="22"/>
        <v>Período 1</v>
      </c>
      <c r="B1472">
        <v>414</v>
      </c>
      <c r="C1472" t="s">
        <v>1228</v>
      </c>
      <c r="D1472" t="s">
        <v>1061</v>
      </c>
      <c r="E1472" s="3" t="str">
        <f>IF(LEN(Base_Periodo1[[#This Row],[CLASS]])&gt;=7,LEFT(Base_Periodo1[[#This Row],[CLASS]],7),"")</f>
        <v>1.1.3.1</v>
      </c>
      <c r="F1472" s="3" t="str">
        <f>VLOOKUP(Base_Periodo1[[#This Row],[Aux]],Base_Contas_Balanco[#All],2,FALSE)</f>
        <v>Estoques Proprios</v>
      </c>
      <c r="G1472" s="1">
        <v>42860</v>
      </c>
      <c r="H1472" s="225">
        <v>407042.20000000298</v>
      </c>
      <c r="I1472" s="225">
        <v>183600</v>
      </c>
      <c r="J1472" s="225">
        <v>0</v>
      </c>
      <c r="K1472" s="225">
        <v>590642.20000000298</v>
      </c>
      <c r="L14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590642.19999999995</v>
      </c>
      <c r="M1472" s="225">
        <f>ROUND(IF(AND(Base_Periodo1[[#This Row],[Tipo_Linha]]="-",Base_Periodo1[[#This Row],[TIPOSALDO]]="D"),Base_Periodo1[[#This Row],[SALDO_ATUAL]]*-1,Base_Periodo1[[#This Row],[SALDO_ATUAL]]),4)</f>
        <v>590642.19999999995</v>
      </c>
      <c r="N1472" t="s">
        <v>116</v>
      </c>
      <c r="O1472" t="s">
        <v>397</v>
      </c>
      <c r="P1472" t="s">
        <v>397</v>
      </c>
      <c r="Q1472">
        <v>9</v>
      </c>
      <c r="R1472" s="225">
        <f>Base_Periodo1[[#This Row],[CREDITOS]]-Base_Periodo1[[#This Row],[DEBITOS]]</f>
        <v>-183600</v>
      </c>
      <c r="S1472" s="3" t="str">
        <f>IF(ISERROR(VLOOKUP(Base_Periodo1[[#This Row],[CONTA]],BaseContasDRE[#All],4,FALSE)),"Fora do DRE",VLOOKUP(Base_Periodo1[[#This Row],[CONTA]],BaseContasDRE[#All],4,FALSE))</f>
        <v>Fora do DRE</v>
      </c>
      <c r="T1472" s="3" t="str">
        <f>IF(ISERROR(VLOOKUP(Base_Periodo1[[#This Row],[CONTA]],BaseContasDRE[#All],5,FALSE)),"Fora do DRE",VLOOKUP(Base_Periodo1[[#This Row],[CONTA]],BaseContasDRE[#All],6,FALSE))</f>
        <v>Fora do DRE</v>
      </c>
      <c r="U1472" s="3" t="str">
        <f>IF(ISERROR(VLOOKUP(Base_Periodo1[[#This Row],[CONTA]],BaseContasDRE[#All],7,FALSE)),"Fora do DRE",VLOOKUP(Base_Periodo1[[#This Row],[CONTA]],BaseContasDRE[#All],7,FALSE))</f>
        <v>Fora do DRE</v>
      </c>
      <c r="V1472" s="3" t="str">
        <f>IF(Base_Periodo1[[#This Row],[Tipo_Linha]]="Fora do DRE","Fora do DRE","( "&amp;Base_Periodo1[[#This Row],[Tipo_Linha]]&amp;" ) "&amp;Base_Periodo1[[#This Row],[Filtro]])</f>
        <v>Fora do DRE</v>
      </c>
      <c r="W1472" s="3" t="str">
        <f>LEFT(Base_Periodo1[[#This Row],[CLASS]],3)</f>
        <v>1.1</v>
      </c>
    </row>
    <row r="1473" spans="1:23" hidden="1">
      <c r="A1473" s="3" t="str">
        <f t="shared" si="22"/>
        <v>Período 1</v>
      </c>
      <c r="B1473">
        <v>415</v>
      </c>
      <c r="C1473" t="s">
        <v>1229</v>
      </c>
      <c r="D1473" t="s">
        <v>1063</v>
      </c>
      <c r="E1473" s="3" t="str">
        <f>IF(LEN(Base_Periodo1[[#This Row],[CLASS]])&gt;=7,LEFT(Base_Periodo1[[#This Row],[CLASS]],7),"")</f>
        <v>1.1.3.1</v>
      </c>
      <c r="F1473" s="3" t="str">
        <f>VLOOKUP(Base_Periodo1[[#This Row],[Aux]],Base_Contas_Balanco[#All],2,FALSE)</f>
        <v>Estoques Proprios</v>
      </c>
      <c r="G1473" s="1"/>
      <c r="H1473" s="225">
        <v>464333.55000000633</v>
      </c>
      <c r="I1473" s="225">
        <v>70676.170000000013</v>
      </c>
      <c r="J1473" s="225">
        <v>0</v>
      </c>
      <c r="K1473" s="225">
        <v>535009.72000000637</v>
      </c>
      <c r="L14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535009.72</v>
      </c>
      <c r="M1473" s="225">
        <f>ROUND(IF(AND(Base_Periodo1[[#This Row],[Tipo_Linha]]="-",Base_Periodo1[[#This Row],[TIPOSALDO]]="D"),Base_Periodo1[[#This Row],[SALDO_ATUAL]]*-1,Base_Periodo1[[#This Row],[SALDO_ATUAL]]),4)</f>
        <v>535009.72</v>
      </c>
      <c r="N1473" t="s">
        <v>396</v>
      </c>
      <c r="O1473" t="s">
        <v>397</v>
      </c>
      <c r="P1473" t="s">
        <v>397</v>
      </c>
      <c r="Q1473">
        <v>8</v>
      </c>
      <c r="R1473" s="225">
        <f>Base_Periodo1[[#This Row],[CREDITOS]]-Base_Periodo1[[#This Row],[DEBITOS]]</f>
        <v>-70676.170000000013</v>
      </c>
      <c r="S1473" s="3" t="str">
        <f>IF(ISERROR(VLOOKUP(Base_Periodo1[[#This Row],[CONTA]],BaseContasDRE[#All],4,FALSE)),"Fora do DRE",VLOOKUP(Base_Periodo1[[#This Row],[CONTA]],BaseContasDRE[#All],4,FALSE))</f>
        <v>Fora do DRE</v>
      </c>
      <c r="T1473" s="3" t="str">
        <f>IF(ISERROR(VLOOKUP(Base_Periodo1[[#This Row],[CONTA]],BaseContasDRE[#All],5,FALSE)),"Fora do DRE",VLOOKUP(Base_Periodo1[[#This Row],[CONTA]],BaseContasDRE[#All],6,FALSE))</f>
        <v>Fora do DRE</v>
      </c>
      <c r="U1473" s="3" t="str">
        <f>IF(ISERROR(VLOOKUP(Base_Periodo1[[#This Row],[CONTA]],BaseContasDRE[#All],7,FALSE)),"Fora do DRE",VLOOKUP(Base_Periodo1[[#This Row],[CONTA]],BaseContasDRE[#All],7,FALSE))</f>
        <v>Fora do DRE</v>
      </c>
      <c r="V1473" s="3" t="str">
        <f>IF(Base_Periodo1[[#This Row],[Tipo_Linha]]="Fora do DRE","Fora do DRE","( "&amp;Base_Periodo1[[#This Row],[Tipo_Linha]]&amp;" ) "&amp;Base_Periodo1[[#This Row],[Filtro]])</f>
        <v>Fora do DRE</v>
      </c>
      <c r="W1473" s="3" t="str">
        <f>LEFT(Base_Periodo1[[#This Row],[CLASS]],3)</f>
        <v>1.1</v>
      </c>
    </row>
    <row r="1474" spans="1:23" hidden="1">
      <c r="A1474" s="3" t="str">
        <f t="shared" si="22"/>
        <v>Período 1</v>
      </c>
      <c r="B1474">
        <v>417</v>
      </c>
      <c r="C1474" t="s">
        <v>1230</v>
      </c>
      <c r="D1474" t="s">
        <v>1065</v>
      </c>
      <c r="E1474" s="3" t="str">
        <f>IF(LEN(Base_Periodo1[[#This Row],[CLASS]])&gt;=7,LEFT(Base_Periodo1[[#This Row],[CLASS]],7),"")</f>
        <v>1.1.3.1</v>
      </c>
      <c r="F1474" s="3" t="str">
        <f>VLOOKUP(Base_Periodo1[[#This Row],[Aux]],Base_Contas_Balanco[#All],2,FALSE)</f>
        <v>Estoques Proprios</v>
      </c>
      <c r="G1474" s="1">
        <v>42886</v>
      </c>
      <c r="H1474" s="225">
        <v>464333.55000000633</v>
      </c>
      <c r="I1474" s="225">
        <v>70676.170000000013</v>
      </c>
      <c r="J1474" s="225">
        <v>0</v>
      </c>
      <c r="K1474" s="225">
        <v>535009.72000000637</v>
      </c>
      <c r="L14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535009.72</v>
      </c>
      <c r="M1474" s="225">
        <f>ROUND(IF(AND(Base_Periodo1[[#This Row],[Tipo_Linha]]="-",Base_Periodo1[[#This Row],[TIPOSALDO]]="D"),Base_Periodo1[[#This Row],[SALDO_ATUAL]]*-1,Base_Periodo1[[#This Row],[SALDO_ATUAL]]),4)</f>
        <v>535009.72</v>
      </c>
      <c r="N1474" t="s">
        <v>116</v>
      </c>
      <c r="O1474" t="s">
        <v>397</v>
      </c>
      <c r="P1474" t="s">
        <v>397</v>
      </c>
      <c r="Q1474">
        <v>9</v>
      </c>
      <c r="R1474" s="225">
        <f>Base_Periodo1[[#This Row],[CREDITOS]]-Base_Periodo1[[#This Row],[DEBITOS]]</f>
        <v>-70676.170000000013</v>
      </c>
      <c r="S1474" s="3" t="str">
        <f>IF(ISERROR(VLOOKUP(Base_Periodo1[[#This Row],[CONTA]],BaseContasDRE[#All],4,FALSE)),"Fora do DRE",VLOOKUP(Base_Periodo1[[#This Row],[CONTA]],BaseContasDRE[#All],4,FALSE))</f>
        <v>Fora do DRE</v>
      </c>
      <c r="T1474" s="3" t="str">
        <f>IF(ISERROR(VLOOKUP(Base_Periodo1[[#This Row],[CONTA]],BaseContasDRE[#All],5,FALSE)),"Fora do DRE",VLOOKUP(Base_Periodo1[[#This Row],[CONTA]],BaseContasDRE[#All],6,FALSE))</f>
        <v>Fora do DRE</v>
      </c>
      <c r="U1474" s="3" t="str">
        <f>IF(ISERROR(VLOOKUP(Base_Periodo1[[#This Row],[CONTA]],BaseContasDRE[#All],7,FALSE)),"Fora do DRE",VLOOKUP(Base_Periodo1[[#This Row],[CONTA]],BaseContasDRE[#All],7,FALSE))</f>
        <v>Fora do DRE</v>
      </c>
      <c r="V1474" s="3" t="str">
        <f>IF(Base_Periodo1[[#This Row],[Tipo_Linha]]="Fora do DRE","Fora do DRE","( "&amp;Base_Periodo1[[#This Row],[Tipo_Linha]]&amp;" ) "&amp;Base_Periodo1[[#This Row],[Filtro]])</f>
        <v>Fora do DRE</v>
      </c>
      <c r="W1474" s="3" t="str">
        <f>LEFT(Base_Periodo1[[#This Row],[CLASS]],3)</f>
        <v>1.1</v>
      </c>
    </row>
    <row r="1475" spans="1:23" hidden="1">
      <c r="A1475" s="3" t="str">
        <f t="shared" si="22"/>
        <v>Período 1</v>
      </c>
      <c r="B1475">
        <v>421</v>
      </c>
      <c r="C1475" t="s">
        <v>6240</v>
      </c>
      <c r="D1475" t="s">
        <v>1096</v>
      </c>
      <c r="E1475" s="3" t="str">
        <f>IF(LEN(Base_Periodo1[[#This Row],[CLASS]])&gt;=7,LEFT(Base_Periodo1[[#This Row],[CLASS]],7),"")</f>
        <v>1.1.3.1</v>
      </c>
      <c r="F1475" s="3" t="str">
        <f>VLOOKUP(Base_Periodo1[[#This Row],[Aux]],Base_Contas_Balanco[#All],2,FALSE)</f>
        <v>Estoques Proprios</v>
      </c>
      <c r="G1475" s="1"/>
      <c r="I1475" s="225">
        <v>7344</v>
      </c>
      <c r="J1475" s="225">
        <v>0</v>
      </c>
      <c r="K1475" s="225">
        <v>7344</v>
      </c>
      <c r="L14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7344</v>
      </c>
      <c r="M1475" s="225">
        <f>ROUND(IF(AND(Base_Periodo1[[#This Row],[Tipo_Linha]]="-",Base_Periodo1[[#This Row],[TIPOSALDO]]="D"),Base_Periodo1[[#This Row],[SALDO_ATUAL]]*-1,Base_Periodo1[[#This Row],[SALDO_ATUAL]]),4)</f>
        <v>7344</v>
      </c>
      <c r="N1475" t="s">
        <v>396</v>
      </c>
      <c r="O1475" t="s">
        <v>436</v>
      </c>
      <c r="P1475" t="s">
        <v>397</v>
      </c>
      <c r="Q1475">
        <v>8</v>
      </c>
      <c r="R1475" s="225">
        <f>Base_Periodo1[[#This Row],[CREDITOS]]-Base_Periodo1[[#This Row],[DEBITOS]]</f>
        <v>-7344</v>
      </c>
      <c r="S1475" s="3" t="str">
        <f>IF(ISERROR(VLOOKUP(Base_Periodo1[[#This Row],[CONTA]],BaseContasDRE[#All],4,FALSE)),"Fora do DRE",VLOOKUP(Base_Periodo1[[#This Row],[CONTA]],BaseContasDRE[#All],4,FALSE))</f>
        <v>Fora do DRE</v>
      </c>
      <c r="T1475" s="3" t="str">
        <f>IF(ISERROR(VLOOKUP(Base_Periodo1[[#This Row],[CONTA]],BaseContasDRE[#All],5,FALSE)),"Fora do DRE",VLOOKUP(Base_Periodo1[[#This Row],[CONTA]],BaseContasDRE[#All],6,FALSE))</f>
        <v>Fora do DRE</v>
      </c>
      <c r="U1475" s="3" t="str">
        <f>IF(ISERROR(VLOOKUP(Base_Periodo1[[#This Row],[CONTA]],BaseContasDRE[#All],7,FALSE)),"Fora do DRE",VLOOKUP(Base_Periodo1[[#This Row],[CONTA]],BaseContasDRE[#All],7,FALSE))</f>
        <v>Fora do DRE</v>
      </c>
      <c r="V1475" s="3" t="str">
        <f>IF(Base_Periodo1[[#This Row],[Tipo_Linha]]="Fora do DRE","Fora do DRE","( "&amp;Base_Periodo1[[#This Row],[Tipo_Linha]]&amp;" ) "&amp;Base_Periodo1[[#This Row],[Filtro]])</f>
        <v>Fora do DRE</v>
      </c>
      <c r="W1475" s="3" t="str">
        <f>LEFT(Base_Periodo1[[#This Row],[CLASS]],3)</f>
        <v>1.1</v>
      </c>
    </row>
    <row r="1476" spans="1:23" hidden="1">
      <c r="A1476" s="3" t="str">
        <f t="shared" si="22"/>
        <v>Período 1</v>
      </c>
      <c r="B1476">
        <v>423</v>
      </c>
      <c r="C1476" t="s">
        <v>6241</v>
      </c>
      <c r="D1476" t="s">
        <v>1185</v>
      </c>
      <c r="E1476" s="3" t="str">
        <f>IF(LEN(Base_Periodo1[[#This Row],[CLASS]])&gt;=7,LEFT(Base_Periodo1[[#This Row],[CLASS]],7),"")</f>
        <v>1.1.3.1</v>
      </c>
      <c r="F1476" s="3" t="str">
        <f>VLOOKUP(Base_Periodo1[[#This Row],[Aux]],Base_Contas_Balanco[#All],2,FALSE)</f>
        <v>Estoques Proprios</v>
      </c>
      <c r="G1476" s="1">
        <v>42860</v>
      </c>
      <c r="I1476" s="225">
        <v>7344</v>
      </c>
      <c r="J1476" s="225">
        <v>0</v>
      </c>
      <c r="K1476" s="225">
        <v>7344</v>
      </c>
      <c r="L14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7344</v>
      </c>
      <c r="M1476" s="225">
        <f>ROUND(IF(AND(Base_Periodo1[[#This Row],[Tipo_Linha]]="-",Base_Periodo1[[#This Row],[TIPOSALDO]]="D"),Base_Periodo1[[#This Row],[SALDO_ATUAL]]*-1,Base_Periodo1[[#This Row],[SALDO_ATUAL]]),4)</f>
        <v>7344</v>
      </c>
      <c r="N1476" t="s">
        <v>116</v>
      </c>
      <c r="O1476" t="s">
        <v>436</v>
      </c>
      <c r="P1476" t="s">
        <v>397</v>
      </c>
      <c r="Q1476">
        <v>9</v>
      </c>
      <c r="R1476" s="225">
        <f>Base_Periodo1[[#This Row],[CREDITOS]]-Base_Periodo1[[#This Row],[DEBITOS]]</f>
        <v>-7344</v>
      </c>
      <c r="S1476" s="3" t="str">
        <f>IF(ISERROR(VLOOKUP(Base_Periodo1[[#This Row],[CONTA]],BaseContasDRE[#All],4,FALSE)),"Fora do DRE",VLOOKUP(Base_Periodo1[[#This Row],[CONTA]],BaseContasDRE[#All],4,FALSE))</f>
        <v>Fora do DRE</v>
      </c>
      <c r="T1476" s="3" t="str">
        <f>IF(ISERROR(VLOOKUP(Base_Periodo1[[#This Row],[CONTA]],BaseContasDRE[#All],5,FALSE)),"Fora do DRE",VLOOKUP(Base_Periodo1[[#This Row],[CONTA]],BaseContasDRE[#All],6,FALSE))</f>
        <v>Fora do DRE</v>
      </c>
      <c r="U1476" s="3" t="str">
        <f>IF(ISERROR(VLOOKUP(Base_Periodo1[[#This Row],[CONTA]],BaseContasDRE[#All],7,FALSE)),"Fora do DRE",VLOOKUP(Base_Periodo1[[#This Row],[CONTA]],BaseContasDRE[#All],7,FALSE))</f>
        <v>Fora do DRE</v>
      </c>
      <c r="V1476" s="3" t="str">
        <f>IF(Base_Periodo1[[#This Row],[Tipo_Linha]]="Fora do DRE","Fora do DRE","( "&amp;Base_Periodo1[[#This Row],[Tipo_Linha]]&amp;" ) "&amp;Base_Periodo1[[#This Row],[Filtro]])</f>
        <v>Fora do DRE</v>
      </c>
      <c r="W1476" s="3" t="str">
        <f>LEFT(Base_Periodo1[[#This Row],[CLASS]],3)</f>
        <v>1.1</v>
      </c>
    </row>
    <row r="1477" spans="1:23" hidden="1">
      <c r="A1477" s="3" t="str">
        <f t="shared" si="22"/>
        <v>Período 1</v>
      </c>
      <c r="B1477">
        <v>425</v>
      </c>
      <c r="C1477" t="s">
        <v>1231</v>
      </c>
      <c r="D1477" t="s">
        <v>1067</v>
      </c>
      <c r="E1477" s="3" t="str">
        <f>IF(LEN(Base_Periodo1[[#This Row],[CLASS]])&gt;=7,LEFT(Base_Periodo1[[#This Row],[CLASS]],7),"")</f>
        <v>1.1.3.1</v>
      </c>
      <c r="F1477" s="3" t="str">
        <f>VLOOKUP(Base_Periodo1[[#This Row],[Aux]],Base_Contas_Balanco[#All],2,FALSE)</f>
        <v>Estoques Proprios</v>
      </c>
      <c r="G1477" s="1"/>
      <c r="H1477" s="225">
        <v>427446.1599999998</v>
      </c>
      <c r="I1477" s="225">
        <v>0</v>
      </c>
      <c r="J1477" s="225">
        <v>23819.23</v>
      </c>
      <c r="K1477" s="225">
        <v>451265.38999999978</v>
      </c>
      <c r="L14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-451265.39</v>
      </c>
      <c r="M1477" s="225">
        <f>ROUND(IF(AND(Base_Periodo1[[#This Row],[Tipo_Linha]]="-",Base_Periodo1[[#This Row],[TIPOSALDO]]="D"),Base_Periodo1[[#This Row],[SALDO_ATUAL]]*-1,Base_Periodo1[[#This Row],[SALDO_ATUAL]]),4)</f>
        <v>451265.39</v>
      </c>
      <c r="N1477" t="s">
        <v>396</v>
      </c>
      <c r="O1477" t="s">
        <v>459</v>
      </c>
      <c r="P1477" t="s">
        <v>459</v>
      </c>
      <c r="Q1477">
        <v>8</v>
      </c>
      <c r="R1477" s="225">
        <f>Base_Periodo1[[#This Row],[CREDITOS]]-Base_Periodo1[[#This Row],[DEBITOS]]</f>
        <v>23819.23</v>
      </c>
      <c r="S1477" s="3" t="str">
        <f>IF(ISERROR(VLOOKUP(Base_Periodo1[[#This Row],[CONTA]],BaseContasDRE[#All],4,FALSE)),"Fora do DRE",VLOOKUP(Base_Periodo1[[#This Row],[CONTA]],BaseContasDRE[#All],4,FALSE))</f>
        <v>Fora do DRE</v>
      </c>
      <c r="T1477" s="3" t="str">
        <f>IF(ISERROR(VLOOKUP(Base_Periodo1[[#This Row],[CONTA]],BaseContasDRE[#All],5,FALSE)),"Fora do DRE",VLOOKUP(Base_Periodo1[[#This Row],[CONTA]],BaseContasDRE[#All],6,FALSE))</f>
        <v>Fora do DRE</v>
      </c>
      <c r="U1477" s="3" t="str">
        <f>IF(ISERROR(VLOOKUP(Base_Periodo1[[#This Row],[CONTA]],BaseContasDRE[#All],7,FALSE)),"Fora do DRE",VLOOKUP(Base_Periodo1[[#This Row],[CONTA]],BaseContasDRE[#All],7,FALSE))</f>
        <v>Fora do DRE</v>
      </c>
      <c r="V1477" s="3" t="str">
        <f>IF(Base_Periodo1[[#This Row],[Tipo_Linha]]="Fora do DRE","Fora do DRE","( "&amp;Base_Periodo1[[#This Row],[Tipo_Linha]]&amp;" ) "&amp;Base_Periodo1[[#This Row],[Filtro]])</f>
        <v>Fora do DRE</v>
      </c>
      <c r="W1477" s="3" t="str">
        <f>LEFT(Base_Periodo1[[#This Row],[CLASS]],3)</f>
        <v>1.1</v>
      </c>
    </row>
    <row r="1478" spans="1:23" hidden="1">
      <c r="A1478" s="3" t="str">
        <f t="shared" ref="A1478:A1541" si="23">"Período 1"</f>
        <v>Período 1</v>
      </c>
      <c r="B1478">
        <v>426</v>
      </c>
      <c r="C1478" t="s">
        <v>1232</v>
      </c>
      <c r="D1478" t="s">
        <v>1068</v>
      </c>
      <c r="E1478" s="3" t="str">
        <f>IF(LEN(Base_Periodo1[[#This Row],[CLASS]])&gt;=7,LEFT(Base_Periodo1[[#This Row],[CLASS]],7),"")</f>
        <v>1.1.3.1</v>
      </c>
      <c r="F1478" s="3" t="str">
        <f>VLOOKUP(Base_Periodo1[[#This Row],[Aux]],Base_Contas_Balanco[#All],2,FALSE)</f>
        <v>Estoques Proprios</v>
      </c>
      <c r="G1478" s="1">
        <v>42886</v>
      </c>
      <c r="H1478" s="225">
        <v>413096.94999999972</v>
      </c>
      <c r="I1478" s="225">
        <v>0</v>
      </c>
      <c r="J1478" s="225">
        <v>23079.91</v>
      </c>
      <c r="K1478" s="225">
        <v>436176.85999999969</v>
      </c>
      <c r="L14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-436176.86</v>
      </c>
      <c r="M1478" s="225">
        <f>ROUND(IF(AND(Base_Periodo1[[#This Row],[Tipo_Linha]]="-",Base_Periodo1[[#This Row],[TIPOSALDO]]="D"),Base_Periodo1[[#This Row],[SALDO_ATUAL]]*-1,Base_Periodo1[[#This Row],[SALDO_ATUAL]]),4)</f>
        <v>436176.86</v>
      </c>
      <c r="N1478" t="s">
        <v>116</v>
      </c>
      <c r="O1478" t="s">
        <v>459</v>
      </c>
      <c r="P1478" t="s">
        <v>459</v>
      </c>
      <c r="Q1478">
        <v>9</v>
      </c>
      <c r="R1478" s="225">
        <f>Base_Periodo1[[#This Row],[CREDITOS]]-Base_Periodo1[[#This Row],[DEBITOS]]</f>
        <v>23079.91</v>
      </c>
      <c r="S1478" s="3" t="str">
        <f>IF(ISERROR(VLOOKUP(Base_Periodo1[[#This Row],[CONTA]],BaseContasDRE[#All],4,FALSE)),"Fora do DRE",VLOOKUP(Base_Periodo1[[#This Row],[CONTA]],BaseContasDRE[#All],4,FALSE))</f>
        <v>Fora do DRE</v>
      </c>
      <c r="T1478" s="3" t="str">
        <f>IF(ISERROR(VLOOKUP(Base_Periodo1[[#This Row],[CONTA]],BaseContasDRE[#All],5,FALSE)),"Fora do DRE",VLOOKUP(Base_Periodo1[[#This Row],[CONTA]],BaseContasDRE[#All],6,FALSE))</f>
        <v>Fora do DRE</v>
      </c>
      <c r="U1478" s="3" t="str">
        <f>IF(ISERROR(VLOOKUP(Base_Periodo1[[#This Row],[CONTA]],BaseContasDRE[#All],7,FALSE)),"Fora do DRE",VLOOKUP(Base_Periodo1[[#This Row],[CONTA]],BaseContasDRE[#All],7,FALSE))</f>
        <v>Fora do DRE</v>
      </c>
      <c r="V1478" s="3" t="str">
        <f>IF(Base_Periodo1[[#This Row],[Tipo_Linha]]="Fora do DRE","Fora do DRE","( "&amp;Base_Periodo1[[#This Row],[Tipo_Linha]]&amp;" ) "&amp;Base_Periodo1[[#This Row],[Filtro]])</f>
        <v>Fora do DRE</v>
      </c>
      <c r="W1478" s="3" t="str">
        <f>LEFT(Base_Periodo1[[#This Row],[CLASS]],3)</f>
        <v>1.1</v>
      </c>
    </row>
    <row r="1479" spans="1:23" hidden="1">
      <c r="A1479" s="3" t="str">
        <f t="shared" si="23"/>
        <v>Período 1</v>
      </c>
      <c r="B1479">
        <v>427</v>
      </c>
      <c r="C1479" t="s">
        <v>1233</v>
      </c>
      <c r="D1479" t="s">
        <v>1070</v>
      </c>
      <c r="E1479" s="3" t="str">
        <f>IF(LEN(Base_Periodo1[[#This Row],[CLASS]])&gt;=7,LEFT(Base_Periodo1[[#This Row],[CLASS]],7),"")</f>
        <v>1.1.3.1</v>
      </c>
      <c r="F1479" s="3" t="str">
        <f>VLOOKUP(Base_Periodo1[[#This Row],[Aux]],Base_Contas_Balanco[#All],2,FALSE)</f>
        <v>Estoques Proprios</v>
      </c>
      <c r="G1479" s="1">
        <v>42886</v>
      </c>
      <c r="H1479" s="225">
        <v>14349.210000000079</v>
      </c>
      <c r="I1479" s="225">
        <v>0</v>
      </c>
      <c r="J1479" s="225">
        <v>739.32</v>
      </c>
      <c r="K1479" s="225">
        <v>15088.530000000079</v>
      </c>
      <c r="L14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-15088.53</v>
      </c>
      <c r="M1479" s="225">
        <f>ROUND(IF(AND(Base_Periodo1[[#This Row],[Tipo_Linha]]="-",Base_Periodo1[[#This Row],[TIPOSALDO]]="D"),Base_Periodo1[[#This Row],[SALDO_ATUAL]]*-1,Base_Periodo1[[#This Row],[SALDO_ATUAL]]),4)</f>
        <v>15088.53</v>
      </c>
      <c r="N1479" t="s">
        <v>116</v>
      </c>
      <c r="O1479" t="s">
        <v>459</v>
      </c>
      <c r="P1479" t="s">
        <v>459</v>
      </c>
      <c r="Q1479">
        <v>9</v>
      </c>
      <c r="R1479" s="225">
        <f>Base_Periodo1[[#This Row],[CREDITOS]]-Base_Periodo1[[#This Row],[DEBITOS]]</f>
        <v>739.32</v>
      </c>
      <c r="S1479" s="3" t="str">
        <f>IF(ISERROR(VLOOKUP(Base_Periodo1[[#This Row],[CONTA]],BaseContasDRE[#All],4,FALSE)),"Fora do DRE",VLOOKUP(Base_Periodo1[[#This Row],[CONTA]],BaseContasDRE[#All],4,FALSE))</f>
        <v>Fora do DRE</v>
      </c>
      <c r="T1479" s="3" t="str">
        <f>IF(ISERROR(VLOOKUP(Base_Periodo1[[#This Row],[CONTA]],BaseContasDRE[#All],5,FALSE)),"Fora do DRE",VLOOKUP(Base_Periodo1[[#This Row],[CONTA]],BaseContasDRE[#All],6,FALSE))</f>
        <v>Fora do DRE</v>
      </c>
      <c r="U1479" s="3" t="str">
        <f>IF(ISERROR(VLOOKUP(Base_Periodo1[[#This Row],[CONTA]],BaseContasDRE[#All],7,FALSE)),"Fora do DRE",VLOOKUP(Base_Periodo1[[#This Row],[CONTA]],BaseContasDRE[#All],7,FALSE))</f>
        <v>Fora do DRE</v>
      </c>
      <c r="V1479" s="3" t="str">
        <f>IF(Base_Periodo1[[#This Row],[Tipo_Linha]]="Fora do DRE","Fora do DRE","( "&amp;Base_Periodo1[[#This Row],[Tipo_Linha]]&amp;" ) "&amp;Base_Periodo1[[#This Row],[Filtro]])</f>
        <v>Fora do DRE</v>
      </c>
      <c r="W1479" s="3" t="str">
        <f>LEFT(Base_Periodo1[[#This Row],[CLASS]],3)</f>
        <v>1.1</v>
      </c>
    </row>
    <row r="1480" spans="1:23" hidden="1">
      <c r="A1480" s="3" t="str">
        <f t="shared" si="23"/>
        <v>Período 1</v>
      </c>
      <c r="B1480">
        <v>428</v>
      </c>
      <c r="C1480" t="s">
        <v>5690</v>
      </c>
      <c r="D1480" t="s">
        <v>1166</v>
      </c>
      <c r="E1480" s="3" t="str">
        <f>IF(LEN(Base_Periodo1[[#This Row],[CLASS]])&gt;=7,LEFT(Base_Periodo1[[#This Row],[CLASS]],7),"")</f>
        <v>1.1.3.1</v>
      </c>
      <c r="F1480" s="3" t="str">
        <f>VLOOKUP(Base_Periodo1[[#This Row],[Aux]],Base_Contas_Balanco[#All],2,FALSE)</f>
        <v>Estoques Proprios</v>
      </c>
      <c r="G1480" s="1"/>
      <c r="H1480" s="225">
        <v>326944.2</v>
      </c>
      <c r="I1480" s="225">
        <v>0</v>
      </c>
      <c r="J1480" s="225">
        <v>0</v>
      </c>
      <c r="K1480" s="225">
        <v>326944.2</v>
      </c>
      <c r="L14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-326944.2</v>
      </c>
      <c r="M1480" s="225">
        <f>ROUND(IF(AND(Base_Periodo1[[#This Row],[Tipo_Linha]]="-",Base_Periodo1[[#This Row],[TIPOSALDO]]="D"),Base_Periodo1[[#This Row],[SALDO_ATUAL]]*-1,Base_Periodo1[[#This Row],[SALDO_ATUAL]]),4)</f>
        <v>326944.2</v>
      </c>
      <c r="N1480" t="s">
        <v>396</v>
      </c>
      <c r="O1480" t="s">
        <v>459</v>
      </c>
      <c r="P1480" t="s">
        <v>459</v>
      </c>
      <c r="Q1480">
        <v>8</v>
      </c>
      <c r="R1480" s="225">
        <f>Base_Periodo1[[#This Row],[CREDITOS]]-Base_Periodo1[[#This Row],[DEBITOS]]</f>
        <v>0</v>
      </c>
      <c r="S1480" s="3" t="str">
        <f>IF(ISERROR(VLOOKUP(Base_Periodo1[[#This Row],[CONTA]],BaseContasDRE[#All],4,FALSE)),"Fora do DRE",VLOOKUP(Base_Periodo1[[#This Row],[CONTA]],BaseContasDRE[#All],4,FALSE))</f>
        <v>Fora do DRE</v>
      </c>
      <c r="T1480" s="3" t="str">
        <f>IF(ISERROR(VLOOKUP(Base_Periodo1[[#This Row],[CONTA]],BaseContasDRE[#All],5,FALSE)),"Fora do DRE",VLOOKUP(Base_Periodo1[[#This Row],[CONTA]],BaseContasDRE[#All],6,FALSE))</f>
        <v>Fora do DRE</v>
      </c>
      <c r="U1480" s="3" t="str">
        <f>IF(ISERROR(VLOOKUP(Base_Periodo1[[#This Row],[CONTA]],BaseContasDRE[#All],7,FALSE)),"Fora do DRE",VLOOKUP(Base_Periodo1[[#This Row],[CONTA]],BaseContasDRE[#All],7,FALSE))</f>
        <v>Fora do DRE</v>
      </c>
      <c r="V1480" s="3" t="str">
        <f>IF(Base_Periodo1[[#This Row],[Tipo_Linha]]="Fora do DRE","Fora do DRE","( "&amp;Base_Periodo1[[#This Row],[Tipo_Linha]]&amp;" ) "&amp;Base_Periodo1[[#This Row],[Filtro]])</f>
        <v>Fora do DRE</v>
      </c>
      <c r="W1480" s="3" t="str">
        <f>LEFT(Base_Periodo1[[#This Row],[CLASS]],3)</f>
        <v>1.1</v>
      </c>
    </row>
    <row r="1481" spans="1:23" hidden="1">
      <c r="A1481" s="3" t="str">
        <f t="shared" si="23"/>
        <v>Período 1</v>
      </c>
      <c r="B1481">
        <v>10450</v>
      </c>
      <c r="C1481" t="s">
        <v>5691</v>
      </c>
      <c r="D1481" t="s">
        <v>5692</v>
      </c>
      <c r="E1481" s="3" t="str">
        <f>IF(LEN(Base_Periodo1[[#This Row],[CLASS]])&gt;=7,LEFT(Base_Periodo1[[#This Row],[CLASS]],7),"")</f>
        <v>1.1.3.1</v>
      </c>
      <c r="F1481" s="3" t="str">
        <f>VLOOKUP(Base_Periodo1[[#This Row],[Aux]],Base_Contas_Balanco[#All],2,FALSE)</f>
        <v>Estoques Proprios</v>
      </c>
      <c r="G1481" s="1"/>
      <c r="H1481" s="225">
        <v>326944.2</v>
      </c>
      <c r="I1481" s="225">
        <v>0</v>
      </c>
      <c r="J1481" s="225">
        <v>0</v>
      </c>
      <c r="K1481" s="225">
        <v>326944.2</v>
      </c>
      <c r="L14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-326944.2</v>
      </c>
      <c r="M1481" s="225">
        <f>ROUND(IF(AND(Base_Periodo1[[#This Row],[Tipo_Linha]]="-",Base_Periodo1[[#This Row],[TIPOSALDO]]="D"),Base_Periodo1[[#This Row],[SALDO_ATUAL]]*-1,Base_Periodo1[[#This Row],[SALDO_ATUAL]]),4)</f>
        <v>326944.2</v>
      </c>
      <c r="N1481" t="s">
        <v>116</v>
      </c>
      <c r="O1481" t="s">
        <v>459</v>
      </c>
      <c r="P1481" t="s">
        <v>459</v>
      </c>
      <c r="Q1481">
        <v>9</v>
      </c>
      <c r="R1481" s="225">
        <f>Base_Periodo1[[#This Row],[CREDITOS]]-Base_Periodo1[[#This Row],[DEBITOS]]</f>
        <v>0</v>
      </c>
      <c r="S1481" s="3" t="str">
        <f>IF(ISERROR(VLOOKUP(Base_Periodo1[[#This Row],[CONTA]],BaseContasDRE[#All],4,FALSE)),"Fora do DRE",VLOOKUP(Base_Periodo1[[#This Row],[CONTA]],BaseContasDRE[#All],4,FALSE))</f>
        <v>Fora do DRE</v>
      </c>
      <c r="T1481" s="3" t="str">
        <f>IF(ISERROR(VLOOKUP(Base_Periodo1[[#This Row],[CONTA]],BaseContasDRE[#All],5,FALSE)),"Fora do DRE",VLOOKUP(Base_Periodo1[[#This Row],[CONTA]],BaseContasDRE[#All],6,FALSE))</f>
        <v>Fora do DRE</v>
      </c>
      <c r="U1481" s="3" t="str">
        <f>IF(ISERROR(VLOOKUP(Base_Periodo1[[#This Row],[CONTA]],BaseContasDRE[#All],7,FALSE)),"Fora do DRE",VLOOKUP(Base_Periodo1[[#This Row],[CONTA]],BaseContasDRE[#All],7,FALSE))</f>
        <v>Fora do DRE</v>
      </c>
      <c r="V1481" s="3" t="str">
        <f>IF(Base_Periodo1[[#This Row],[Tipo_Linha]]="Fora do DRE","Fora do DRE","( "&amp;Base_Periodo1[[#This Row],[Tipo_Linha]]&amp;" ) "&amp;Base_Periodo1[[#This Row],[Filtro]])</f>
        <v>Fora do DRE</v>
      </c>
      <c r="W1481" s="3" t="str">
        <f>LEFT(Base_Periodo1[[#This Row],[CLASS]],3)</f>
        <v>1.1</v>
      </c>
    </row>
    <row r="1482" spans="1:23" hidden="1">
      <c r="A1482" s="3" t="str">
        <f t="shared" si="23"/>
        <v>Período 1</v>
      </c>
      <c r="B1482">
        <v>430</v>
      </c>
      <c r="C1482" t="s">
        <v>1234</v>
      </c>
      <c r="D1482" t="s">
        <v>1072</v>
      </c>
      <c r="E1482" s="3" t="str">
        <f>IF(LEN(Base_Periodo1[[#This Row],[CLASS]])&gt;=7,LEFT(Base_Periodo1[[#This Row],[CLASS]],7),"")</f>
        <v>1.1.3.1</v>
      </c>
      <c r="F1482" s="3" t="str">
        <f>VLOOKUP(Base_Periodo1[[#This Row],[Aux]],Base_Contas_Balanco[#All],2,FALSE)</f>
        <v>Estoques Proprios</v>
      </c>
      <c r="G1482" s="1"/>
      <c r="H1482" s="225">
        <v>464333.55000000075</v>
      </c>
      <c r="I1482" s="225">
        <v>0</v>
      </c>
      <c r="J1482" s="225">
        <v>70676.170000000013</v>
      </c>
      <c r="K1482" s="225">
        <v>535009.72000000079</v>
      </c>
      <c r="L14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-535009.72</v>
      </c>
      <c r="M1482" s="225">
        <f>ROUND(IF(AND(Base_Periodo1[[#This Row],[Tipo_Linha]]="-",Base_Periodo1[[#This Row],[TIPOSALDO]]="D"),Base_Periodo1[[#This Row],[SALDO_ATUAL]]*-1,Base_Periodo1[[#This Row],[SALDO_ATUAL]]),4)</f>
        <v>535009.72</v>
      </c>
      <c r="N1482" t="s">
        <v>396</v>
      </c>
      <c r="O1482" t="s">
        <v>459</v>
      </c>
      <c r="P1482" t="s">
        <v>459</v>
      </c>
      <c r="Q1482">
        <v>8</v>
      </c>
      <c r="R1482" s="225">
        <f>Base_Periodo1[[#This Row],[CREDITOS]]-Base_Periodo1[[#This Row],[DEBITOS]]</f>
        <v>70676.170000000013</v>
      </c>
      <c r="S1482" s="3" t="str">
        <f>IF(ISERROR(VLOOKUP(Base_Periodo1[[#This Row],[CONTA]],BaseContasDRE[#All],4,FALSE)),"Fora do DRE",VLOOKUP(Base_Periodo1[[#This Row],[CONTA]],BaseContasDRE[#All],4,FALSE))</f>
        <v>Fora do DRE</v>
      </c>
      <c r="T1482" s="3" t="str">
        <f>IF(ISERROR(VLOOKUP(Base_Periodo1[[#This Row],[CONTA]],BaseContasDRE[#All],5,FALSE)),"Fora do DRE",VLOOKUP(Base_Periodo1[[#This Row],[CONTA]],BaseContasDRE[#All],6,FALSE))</f>
        <v>Fora do DRE</v>
      </c>
      <c r="U1482" s="3" t="str">
        <f>IF(ISERROR(VLOOKUP(Base_Periodo1[[#This Row],[CONTA]],BaseContasDRE[#All],7,FALSE)),"Fora do DRE",VLOOKUP(Base_Periodo1[[#This Row],[CONTA]],BaseContasDRE[#All],7,FALSE))</f>
        <v>Fora do DRE</v>
      </c>
      <c r="V1482" s="3" t="str">
        <f>IF(Base_Periodo1[[#This Row],[Tipo_Linha]]="Fora do DRE","Fora do DRE","( "&amp;Base_Periodo1[[#This Row],[Tipo_Linha]]&amp;" ) "&amp;Base_Periodo1[[#This Row],[Filtro]])</f>
        <v>Fora do DRE</v>
      </c>
      <c r="W1482" s="3" t="str">
        <f>LEFT(Base_Periodo1[[#This Row],[CLASS]],3)</f>
        <v>1.1</v>
      </c>
    </row>
    <row r="1483" spans="1:23" hidden="1">
      <c r="A1483" s="3" t="str">
        <f t="shared" si="23"/>
        <v>Período 1</v>
      </c>
      <c r="B1483">
        <v>431</v>
      </c>
      <c r="C1483" t="s">
        <v>1235</v>
      </c>
      <c r="D1483" t="s">
        <v>1074</v>
      </c>
      <c r="E1483" s="3" t="str">
        <f>IF(LEN(Base_Periodo1[[#This Row],[CLASS]])&gt;=7,LEFT(Base_Periodo1[[#This Row],[CLASS]],7),"")</f>
        <v>1.1.3.1</v>
      </c>
      <c r="F1483" s="3" t="str">
        <f>VLOOKUP(Base_Periodo1[[#This Row],[Aux]],Base_Contas_Balanco[#All],2,FALSE)</f>
        <v>Estoques Proprios</v>
      </c>
      <c r="G1483" s="1">
        <v>42886</v>
      </c>
      <c r="H1483" s="225">
        <v>464333.55000000075</v>
      </c>
      <c r="I1483" s="225">
        <v>0</v>
      </c>
      <c r="J1483" s="225">
        <v>70676.170000000013</v>
      </c>
      <c r="K1483" s="225">
        <v>535009.72000000079</v>
      </c>
      <c r="L14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-535009.72</v>
      </c>
      <c r="M1483" s="225">
        <f>ROUND(IF(AND(Base_Periodo1[[#This Row],[Tipo_Linha]]="-",Base_Periodo1[[#This Row],[TIPOSALDO]]="D"),Base_Periodo1[[#This Row],[SALDO_ATUAL]]*-1,Base_Periodo1[[#This Row],[SALDO_ATUAL]]),4)</f>
        <v>535009.72</v>
      </c>
      <c r="N1483" t="s">
        <v>116</v>
      </c>
      <c r="O1483" t="s">
        <v>459</v>
      </c>
      <c r="P1483" t="s">
        <v>459</v>
      </c>
      <c r="Q1483">
        <v>9</v>
      </c>
      <c r="R1483" s="225">
        <f>Base_Periodo1[[#This Row],[CREDITOS]]-Base_Periodo1[[#This Row],[DEBITOS]]</f>
        <v>70676.170000000013</v>
      </c>
      <c r="S1483" s="3" t="str">
        <f>IF(ISERROR(VLOOKUP(Base_Periodo1[[#This Row],[CONTA]],BaseContasDRE[#All],4,FALSE)),"Fora do DRE",VLOOKUP(Base_Periodo1[[#This Row],[CONTA]],BaseContasDRE[#All],4,FALSE))</f>
        <v>Fora do DRE</v>
      </c>
      <c r="T1483" s="3" t="str">
        <f>IF(ISERROR(VLOOKUP(Base_Periodo1[[#This Row],[CONTA]],BaseContasDRE[#All],5,FALSE)),"Fora do DRE",VLOOKUP(Base_Periodo1[[#This Row],[CONTA]],BaseContasDRE[#All],6,FALSE))</f>
        <v>Fora do DRE</v>
      </c>
      <c r="U1483" s="3" t="str">
        <f>IF(ISERROR(VLOOKUP(Base_Periodo1[[#This Row],[CONTA]],BaseContasDRE[#All],7,FALSE)),"Fora do DRE",VLOOKUP(Base_Periodo1[[#This Row],[CONTA]],BaseContasDRE[#All],7,FALSE))</f>
        <v>Fora do DRE</v>
      </c>
      <c r="V1483" s="3" t="str">
        <f>IF(Base_Periodo1[[#This Row],[Tipo_Linha]]="Fora do DRE","Fora do DRE","( "&amp;Base_Periodo1[[#This Row],[Tipo_Linha]]&amp;" ) "&amp;Base_Periodo1[[#This Row],[Filtro]])</f>
        <v>Fora do DRE</v>
      </c>
      <c r="W1483" s="3" t="str">
        <f>LEFT(Base_Periodo1[[#This Row],[CLASS]],3)</f>
        <v>1.1</v>
      </c>
    </row>
    <row r="1484" spans="1:23" hidden="1">
      <c r="A1484" s="3" t="str">
        <f t="shared" si="23"/>
        <v>Período 1</v>
      </c>
      <c r="B1484">
        <v>432</v>
      </c>
      <c r="C1484" t="s">
        <v>1236</v>
      </c>
      <c r="D1484" t="s">
        <v>1171</v>
      </c>
      <c r="E1484" s="3" t="str">
        <f>IF(LEN(Base_Periodo1[[#This Row],[CLASS]])&gt;=7,LEFT(Base_Periodo1[[#This Row],[CLASS]],7),"")</f>
        <v>1.1.3.1</v>
      </c>
      <c r="F1484" s="3" t="str">
        <f>VLOOKUP(Base_Periodo1[[#This Row],[Aux]],Base_Contas_Balanco[#All],2,FALSE)</f>
        <v>Estoques Proprios</v>
      </c>
      <c r="G1484" s="1"/>
      <c r="H1484" s="225">
        <v>6034.3600000000006</v>
      </c>
      <c r="I1484" s="225">
        <v>0</v>
      </c>
      <c r="J1484" s="225">
        <v>1350</v>
      </c>
      <c r="K1484" s="225">
        <v>7384.3600000000006</v>
      </c>
      <c r="L14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-7384.36</v>
      </c>
      <c r="M1484" s="225">
        <f>ROUND(IF(AND(Base_Periodo1[[#This Row],[Tipo_Linha]]="-",Base_Periodo1[[#This Row],[TIPOSALDO]]="D"),Base_Periodo1[[#This Row],[SALDO_ATUAL]]*-1,Base_Periodo1[[#This Row],[SALDO_ATUAL]]),4)</f>
        <v>7384.36</v>
      </c>
      <c r="N1484" t="s">
        <v>396</v>
      </c>
      <c r="O1484" t="s">
        <v>459</v>
      </c>
      <c r="P1484" t="s">
        <v>459</v>
      </c>
      <c r="Q1484">
        <v>8</v>
      </c>
      <c r="R1484" s="225">
        <f>Base_Periodo1[[#This Row],[CREDITOS]]-Base_Periodo1[[#This Row],[DEBITOS]]</f>
        <v>1350</v>
      </c>
      <c r="S1484" s="3" t="str">
        <f>IF(ISERROR(VLOOKUP(Base_Periodo1[[#This Row],[CONTA]],BaseContasDRE[#All],4,FALSE)),"Fora do DRE",VLOOKUP(Base_Periodo1[[#This Row],[CONTA]],BaseContasDRE[#All],4,FALSE))</f>
        <v>Fora do DRE</v>
      </c>
      <c r="T1484" s="3" t="str">
        <f>IF(ISERROR(VLOOKUP(Base_Periodo1[[#This Row],[CONTA]],BaseContasDRE[#All],5,FALSE)),"Fora do DRE",VLOOKUP(Base_Periodo1[[#This Row],[CONTA]],BaseContasDRE[#All],6,FALSE))</f>
        <v>Fora do DRE</v>
      </c>
      <c r="U1484" s="3" t="str">
        <f>IF(ISERROR(VLOOKUP(Base_Periodo1[[#This Row],[CONTA]],BaseContasDRE[#All],7,FALSE)),"Fora do DRE",VLOOKUP(Base_Periodo1[[#This Row],[CONTA]],BaseContasDRE[#All],7,FALSE))</f>
        <v>Fora do DRE</v>
      </c>
      <c r="V1484" s="3" t="str">
        <f>IF(Base_Periodo1[[#This Row],[Tipo_Linha]]="Fora do DRE","Fora do DRE","( "&amp;Base_Periodo1[[#This Row],[Tipo_Linha]]&amp;" ) "&amp;Base_Periodo1[[#This Row],[Filtro]])</f>
        <v>Fora do DRE</v>
      </c>
      <c r="W1484" s="3" t="str">
        <f>LEFT(Base_Periodo1[[#This Row],[CLASS]],3)</f>
        <v>1.1</v>
      </c>
    </row>
    <row r="1485" spans="1:23" hidden="1">
      <c r="A1485" s="3" t="str">
        <f t="shared" si="23"/>
        <v>Período 1</v>
      </c>
      <c r="B1485">
        <v>433</v>
      </c>
      <c r="C1485" t="s">
        <v>1237</v>
      </c>
      <c r="D1485" t="s">
        <v>1173</v>
      </c>
      <c r="E1485" s="3" t="str">
        <f>IF(LEN(Base_Periodo1[[#This Row],[CLASS]])&gt;=7,LEFT(Base_Periodo1[[#This Row],[CLASS]],7),"")</f>
        <v>1.1.3.1</v>
      </c>
      <c r="F1485" s="3" t="str">
        <f>VLOOKUP(Base_Periodo1[[#This Row],[Aux]],Base_Contas_Balanco[#All],2,FALSE)</f>
        <v>Estoques Proprios</v>
      </c>
      <c r="G1485" s="1">
        <v>42871</v>
      </c>
      <c r="H1485" s="225">
        <v>5658.3600000000006</v>
      </c>
      <c r="I1485" s="225">
        <v>0</v>
      </c>
      <c r="J1485" s="225">
        <v>1350</v>
      </c>
      <c r="K1485" s="225">
        <v>7008.3600000000006</v>
      </c>
      <c r="L14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-7008.36</v>
      </c>
      <c r="M1485" s="225">
        <f>ROUND(IF(AND(Base_Periodo1[[#This Row],[Tipo_Linha]]="-",Base_Periodo1[[#This Row],[TIPOSALDO]]="D"),Base_Periodo1[[#This Row],[SALDO_ATUAL]]*-1,Base_Periodo1[[#This Row],[SALDO_ATUAL]]),4)</f>
        <v>7008.36</v>
      </c>
      <c r="N1485" t="s">
        <v>116</v>
      </c>
      <c r="O1485" t="s">
        <v>459</v>
      </c>
      <c r="P1485" t="s">
        <v>459</v>
      </c>
      <c r="Q1485">
        <v>9</v>
      </c>
      <c r="R1485" s="225">
        <f>Base_Periodo1[[#This Row],[CREDITOS]]-Base_Periodo1[[#This Row],[DEBITOS]]</f>
        <v>1350</v>
      </c>
      <c r="S1485" s="3" t="str">
        <f>IF(ISERROR(VLOOKUP(Base_Periodo1[[#This Row],[CONTA]],BaseContasDRE[#All],4,FALSE)),"Fora do DRE",VLOOKUP(Base_Periodo1[[#This Row],[CONTA]],BaseContasDRE[#All],4,FALSE))</f>
        <v>Fora do DRE</v>
      </c>
      <c r="T1485" s="3" t="str">
        <f>IF(ISERROR(VLOOKUP(Base_Periodo1[[#This Row],[CONTA]],BaseContasDRE[#All],5,FALSE)),"Fora do DRE",VLOOKUP(Base_Periodo1[[#This Row],[CONTA]],BaseContasDRE[#All],6,FALSE))</f>
        <v>Fora do DRE</v>
      </c>
      <c r="U1485" s="3" t="str">
        <f>IF(ISERROR(VLOOKUP(Base_Periodo1[[#This Row],[CONTA]],BaseContasDRE[#All],7,FALSE)),"Fora do DRE",VLOOKUP(Base_Periodo1[[#This Row],[CONTA]],BaseContasDRE[#All],7,FALSE))</f>
        <v>Fora do DRE</v>
      </c>
      <c r="V1485" s="3" t="str">
        <f>IF(Base_Periodo1[[#This Row],[Tipo_Linha]]="Fora do DRE","Fora do DRE","( "&amp;Base_Periodo1[[#This Row],[Tipo_Linha]]&amp;" ) "&amp;Base_Periodo1[[#This Row],[Filtro]])</f>
        <v>Fora do DRE</v>
      </c>
      <c r="W1485" s="3" t="str">
        <f>LEFT(Base_Periodo1[[#This Row],[CLASS]],3)</f>
        <v>1.1</v>
      </c>
    </row>
    <row r="1486" spans="1:23" hidden="1">
      <c r="A1486" s="3" t="str">
        <f t="shared" si="23"/>
        <v>Período 1</v>
      </c>
      <c r="B1486">
        <v>434</v>
      </c>
      <c r="C1486" t="s">
        <v>4923</v>
      </c>
      <c r="D1486" t="s">
        <v>1174</v>
      </c>
      <c r="E1486" s="3" t="str">
        <f>IF(LEN(Base_Periodo1[[#This Row],[CLASS]])&gt;=7,LEFT(Base_Periodo1[[#This Row],[CLASS]],7),"")</f>
        <v>1.1.3.1</v>
      </c>
      <c r="F1486" s="3" t="str">
        <f>VLOOKUP(Base_Periodo1[[#This Row],[Aux]],Base_Contas_Balanco[#All],2,FALSE)</f>
        <v>Estoques Proprios</v>
      </c>
      <c r="G1486" s="1">
        <v>42782</v>
      </c>
      <c r="H1486" s="225">
        <v>376</v>
      </c>
      <c r="I1486" s="225">
        <v>0</v>
      </c>
      <c r="J1486" s="225">
        <v>0</v>
      </c>
      <c r="K1486" s="225">
        <v>376</v>
      </c>
      <c r="L14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-376</v>
      </c>
      <c r="M1486" s="225">
        <f>ROUND(IF(AND(Base_Periodo1[[#This Row],[Tipo_Linha]]="-",Base_Periodo1[[#This Row],[TIPOSALDO]]="D"),Base_Periodo1[[#This Row],[SALDO_ATUAL]]*-1,Base_Periodo1[[#This Row],[SALDO_ATUAL]]),4)</f>
        <v>376</v>
      </c>
      <c r="N1486" t="s">
        <v>116</v>
      </c>
      <c r="O1486" t="s">
        <v>459</v>
      </c>
      <c r="P1486" t="s">
        <v>459</v>
      </c>
      <c r="Q1486">
        <v>9</v>
      </c>
      <c r="R1486" s="225">
        <f>Base_Periodo1[[#This Row],[CREDITOS]]-Base_Periodo1[[#This Row],[DEBITOS]]</f>
        <v>0</v>
      </c>
      <c r="S1486" s="3" t="str">
        <f>IF(ISERROR(VLOOKUP(Base_Periodo1[[#This Row],[CONTA]],BaseContasDRE[#All],4,FALSE)),"Fora do DRE",VLOOKUP(Base_Periodo1[[#This Row],[CONTA]],BaseContasDRE[#All],4,FALSE))</f>
        <v>Fora do DRE</v>
      </c>
      <c r="T1486" s="3" t="str">
        <f>IF(ISERROR(VLOOKUP(Base_Periodo1[[#This Row],[CONTA]],BaseContasDRE[#All],5,FALSE)),"Fora do DRE",VLOOKUP(Base_Periodo1[[#This Row],[CONTA]],BaseContasDRE[#All],6,FALSE))</f>
        <v>Fora do DRE</v>
      </c>
      <c r="U1486" s="3" t="str">
        <f>IF(ISERROR(VLOOKUP(Base_Periodo1[[#This Row],[CONTA]],BaseContasDRE[#All],7,FALSE)),"Fora do DRE",VLOOKUP(Base_Periodo1[[#This Row],[CONTA]],BaseContasDRE[#All],7,FALSE))</f>
        <v>Fora do DRE</v>
      </c>
      <c r="V1486" s="3" t="str">
        <f>IF(Base_Periodo1[[#This Row],[Tipo_Linha]]="Fora do DRE","Fora do DRE","( "&amp;Base_Periodo1[[#This Row],[Tipo_Linha]]&amp;" ) "&amp;Base_Periodo1[[#This Row],[Filtro]])</f>
        <v>Fora do DRE</v>
      </c>
      <c r="W1486" s="3" t="str">
        <f>LEFT(Base_Periodo1[[#This Row],[CLASS]],3)</f>
        <v>1.1</v>
      </c>
    </row>
    <row r="1487" spans="1:23" hidden="1">
      <c r="A1487" s="3" t="str">
        <f t="shared" si="23"/>
        <v>Período 1</v>
      </c>
      <c r="B1487">
        <v>52498</v>
      </c>
      <c r="C1487" t="s">
        <v>4718</v>
      </c>
      <c r="D1487" t="s">
        <v>4719</v>
      </c>
      <c r="E1487" s="3" t="str">
        <f>IF(LEN(Base_Periodo1[[#This Row],[CLASS]])&gt;=7,LEFT(Base_Periodo1[[#This Row],[CLASS]],7),"")</f>
        <v>1.1.3.1</v>
      </c>
      <c r="F1487" s="3" t="str">
        <f>VLOOKUP(Base_Periodo1[[#This Row],[Aux]],Base_Contas_Balanco[#All],2,FALSE)</f>
        <v>Estoques Proprios</v>
      </c>
      <c r="G1487" s="1"/>
      <c r="H1487" s="225">
        <v>891.01</v>
      </c>
      <c r="I1487" s="225">
        <v>0</v>
      </c>
      <c r="J1487" s="225">
        <v>0</v>
      </c>
      <c r="K1487" s="225">
        <v>891.01</v>
      </c>
      <c r="L14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-891.01</v>
      </c>
      <c r="M1487" s="225">
        <f>ROUND(IF(AND(Base_Periodo1[[#This Row],[Tipo_Linha]]="-",Base_Periodo1[[#This Row],[TIPOSALDO]]="D"),Base_Periodo1[[#This Row],[SALDO_ATUAL]]*-1,Base_Periodo1[[#This Row],[SALDO_ATUAL]]),4)</f>
        <v>891.01</v>
      </c>
      <c r="N1487" t="s">
        <v>396</v>
      </c>
      <c r="O1487" t="s">
        <v>459</v>
      </c>
      <c r="P1487" t="s">
        <v>459</v>
      </c>
      <c r="Q1487">
        <v>8</v>
      </c>
      <c r="R1487" s="225">
        <f>Base_Periodo1[[#This Row],[CREDITOS]]-Base_Periodo1[[#This Row],[DEBITOS]]</f>
        <v>0</v>
      </c>
      <c r="S1487" s="3" t="str">
        <f>IF(ISERROR(VLOOKUP(Base_Periodo1[[#This Row],[CONTA]],BaseContasDRE[#All],4,FALSE)),"Fora do DRE",VLOOKUP(Base_Periodo1[[#This Row],[CONTA]],BaseContasDRE[#All],4,FALSE))</f>
        <v>Fora do DRE</v>
      </c>
      <c r="T1487" s="3" t="str">
        <f>IF(ISERROR(VLOOKUP(Base_Periodo1[[#This Row],[CONTA]],BaseContasDRE[#All],5,FALSE)),"Fora do DRE",VLOOKUP(Base_Periodo1[[#This Row],[CONTA]],BaseContasDRE[#All],6,FALSE))</f>
        <v>Fora do DRE</v>
      </c>
      <c r="U1487" s="3" t="str">
        <f>IF(ISERROR(VLOOKUP(Base_Periodo1[[#This Row],[CONTA]],BaseContasDRE[#All],7,FALSE)),"Fora do DRE",VLOOKUP(Base_Periodo1[[#This Row],[CONTA]],BaseContasDRE[#All],7,FALSE))</f>
        <v>Fora do DRE</v>
      </c>
      <c r="V1487" s="3" t="str">
        <f>IF(Base_Periodo1[[#This Row],[Tipo_Linha]]="Fora do DRE","Fora do DRE","( "&amp;Base_Periodo1[[#This Row],[Tipo_Linha]]&amp;" ) "&amp;Base_Periodo1[[#This Row],[Filtro]])</f>
        <v>Fora do DRE</v>
      </c>
      <c r="W1487" s="3" t="str">
        <f>LEFT(Base_Periodo1[[#This Row],[CLASS]],3)</f>
        <v>1.1</v>
      </c>
    </row>
    <row r="1488" spans="1:23" hidden="1">
      <c r="A1488" s="3" t="str">
        <f t="shared" si="23"/>
        <v>Período 1</v>
      </c>
      <c r="B1488">
        <v>52509</v>
      </c>
      <c r="C1488" t="s">
        <v>4720</v>
      </c>
      <c r="D1488" t="s">
        <v>1176</v>
      </c>
      <c r="E1488" s="3" t="str">
        <f>IF(LEN(Base_Periodo1[[#This Row],[CLASS]])&gt;=7,LEFT(Base_Periodo1[[#This Row],[CLASS]],7),"")</f>
        <v>1.1.3.1</v>
      </c>
      <c r="F1488" s="3" t="str">
        <f>VLOOKUP(Base_Periodo1[[#This Row],[Aux]],Base_Contas_Balanco[#All],2,FALSE)</f>
        <v>Estoques Proprios</v>
      </c>
      <c r="G1488" s="1">
        <v>42825</v>
      </c>
      <c r="H1488" s="225">
        <v>376.26</v>
      </c>
      <c r="I1488" s="225">
        <v>0</v>
      </c>
      <c r="J1488" s="225">
        <v>0</v>
      </c>
      <c r="K1488" s="225">
        <v>376.26</v>
      </c>
      <c r="L14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-376.26</v>
      </c>
      <c r="M1488" s="225">
        <f>ROUND(IF(AND(Base_Periodo1[[#This Row],[Tipo_Linha]]="-",Base_Periodo1[[#This Row],[TIPOSALDO]]="D"),Base_Periodo1[[#This Row],[SALDO_ATUAL]]*-1,Base_Periodo1[[#This Row],[SALDO_ATUAL]]),4)</f>
        <v>376.26</v>
      </c>
      <c r="N1488" t="s">
        <v>116</v>
      </c>
      <c r="O1488" t="s">
        <v>459</v>
      </c>
      <c r="P1488" t="s">
        <v>459</v>
      </c>
      <c r="Q1488">
        <v>9</v>
      </c>
      <c r="R1488" s="225">
        <f>Base_Periodo1[[#This Row],[CREDITOS]]-Base_Periodo1[[#This Row],[DEBITOS]]</f>
        <v>0</v>
      </c>
      <c r="S1488" s="3" t="str">
        <f>IF(ISERROR(VLOOKUP(Base_Periodo1[[#This Row],[CONTA]],BaseContasDRE[#All],4,FALSE)),"Fora do DRE",VLOOKUP(Base_Periodo1[[#This Row],[CONTA]],BaseContasDRE[#All],4,FALSE))</f>
        <v>Fora do DRE</v>
      </c>
      <c r="T1488" s="3" t="str">
        <f>IF(ISERROR(VLOOKUP(Base_Periodo1[[#This Row],[CONTA]],BaseContasDRE[#All],5,FALSE)),"Fora do DRE",VLOOKUP(Base_Periodo1[[#This Row],[CONTA]],BaseContasDRE[#All],6,FALSE))</f>
        <v>Fora do DRE</v>
      </c>
      <c r="U1488" s="3" t="str">
        <f>IF(ISERROR(VLOOKUP(Base_Periodo1[[#This Row],[CONTA]],BaseContasDRE[#All],7,FALSE)),"Fora do DRE",VLOOKUP(Base_Periodo1[[#This Row],[CONTA]],BaseContasDRE[#All],7,FALSE))</f>
        <v>Fora do DRE</v>
      </c>
      <c r="V1488" s="3" t="str">
        <f>IF(Base_Periodo1[[#This Row],[Tipo_Linha]]="Fora do DRE","Fora do DRE","( "&amp;Base_Periodo1[[#This Row],[Tipo_Linha]]&amp;" ) "&amp;Base_Periodo1[[#This Row],[Filtro]])</f>
        <v>Fora do DRE</v>
      </c>
      <c r="W1488" s="3" t="str">
        <f>LEFT(Base_Periodo1[[#This Row],[CLASS]],3)</f>
        <v>1.1</v>
      </c>
    </row>
    <row r="1489" spans="1:23" hidden="1">
      <c r="A1489" s="3" t="str">
        <f t="shared" si="23"/>
        <v>Período 1</v>
      </c>
      <c r="B1489">
        <v>56172</v>
      </c>
      <c r="C1489" t="s">
        <v>5693</v>
      </c>
      <c r="D1489" t="s">
        <v>4350</v>
      </c>
      <c r="E1489" s="3" t="str">
        <f>IF(LEN(Base_Periodo1[[#This Row],[CLASS]])&gt;=7,LEFT(Base_Periodo1[[#This Row],[CLASS]],7),"")</f>
        <v>1.1.3.1</v>
      </c>
      <c r="F1489" s="3" t="str">
        <f>VLOOKUP(Base_Periodo1[[#This Row],[Aux]],Base_Contas_Balanco[#All],2,FALSE)</f>
        <v>Estoques Proprios</v>
      </c>
      <c r="G1489" s="1"/>
      <c r="H1489" s="225">
        <v>514.75</v>
      </c>
      <c r="I1489" s="225">
        <v>0</v>
      </c>
      <c r="J1489" s="225">
        <v>0</v>
      </c>
      <c r="K1489" s="225">
        <v>514.75</v>
      </c>
      <c r="L14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-514.75</v>
      </c>
      <c r="M1489" s="225">
        <f>ROUND(IF(AND(Base_Periodo1[[#This Row],[Tipo_Linha]]="-",Base_Periodo1[[#This Row],[TIPOSALDO]]="D"),Base_Periodo1[[#This Row],[SALDO_ATUAL]]*-1,Base_Periodo1[[#This Row],[SALDO_ATUAL]]),4)</f>
        <v>514.75</v>
      </c>
      <c r="N1489" t="s">
        <v>116</v>
      </c>
      <c r="O1489" t="s">
        <v>459</v>
      </c>
      <c r="P1489" t="s">
        <v>459</v>
      </c>
      <c r="Q1489">
        <v>9</v>
      </c>
      <c r="R1489" s="225">
        <f>Base_Periodo1[[#This Row],[CREDITOS]]-Base_Periodo1[[#This Row],[DEBITOS]]</f>
        <v>0</v>
      </c>
      <c r="S1489" s="3" t="str">
        <f>IF(ISERROR(VLOOKUP(Base_Periodo1[[#This Row],[CONTA]],BaseContasDRE[#All],4,FALSE)),"Fora do DRE",VLOOKUP(Base_Periodo1[[#This Row],[CONTA]],BaseContasDRE[#All],4,FALSE))</f>
        <v>Fora do DRE</v>
      </c>
      <c r="T1489" s="3" t="str">
        <f>IF(ISERROR(VLOOKUP(Base_Periodo1[[#This Row],[CONTA]],BaseContasDRE[#All],5,FALSE)),"Fora do DRE",VLOOKUP(Base_Periodo1[[#This Row],[CONTA]],BaseContasDRE[#All],6,FALSE))</f>
        <v>Fora do DRE</v>
      </c>
      <c r="U1489" s="3" t="str">
        <f>IF(ISERROR(VLOOKUP(Base_Periodo1[[#This Row],[CONTA]],BaseContasDRE[#All],7,FALSE)),"Fora do DRE",VLOOKUP(Base_Periodo1[[#This Row],[CONTA]],BaseContasDRE[#All],7,FALSE))</f>
        <v>Fora do DRE</v>
      </c>
      <c r="V1489" s="3" t="str">
        <f>IF(Base_Periodo1[[#This Row],[Tipo_Linha]]="Fora do DRE","Fora do DRE","( "&amp;Base_Periodo1[[#This Row],[Tipo_Linha]]&amp;" ) "&amp;Base_Periodo1[[#This Row],[Filtro]])</f>
        <v>Fora do DRE</v>
      </c>
      <c r="W1489" s="3" t="str">
        <f>LEFT(Base_Periodo1[[#This Row],[CLASS]],3)</f>
        <v>1.1</v>
      </c>
    </row>
    <row r="1490" spans="1:23" hidden="1">
      <c r="A1490" s="3" t="str">
        <f t="shared" si="23"/>
        <v>Período 1</v>
      </c>
      <c r="B1490">
        <v>437</v>
      </c>
      <c r="C1490" t="s">
        <v>1238</v>
      </c>
      <c r="D1490" t="s">
        <v>1239</v>
      </c>
      <c r="E1490" s="3" t="str">
        <f>IF(LEN(Base_Periodo1[[#This Row],[CLASS]])&gt;=7,LEFT(Base_Periodo1[[#This Row],[CLASS]],7),"")</f>
        <v>1.1.3.1</v>
      </c>
      <c r="F1490" s="3" t="str">
        <f>VLOOKUP(Base_Periodo1[[#This Row],[Aux]],Base_Contas_Balanco[#All],2,FALSE)</f>
        <v>Estoques Proprios</v>
      </c>
      <c r="G1490" s="1"/>
      <c r="H1490" s="225">
        <v>2206.8800000000097</v>
      </c>
      <c r="I1490" s="225">
        <v>0</v>
      </c>
      <c r="J1490" s="225">
        <v>0</v>
      </c>
      <c r="K1490" s="225">
        <v>2206.8800000000097</v>
      </c>
      <c r="L14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2206.88</v>
      </c>
      <c r="M1490" s="225">
        <f>ROUND(IF(AND(Base_Periodo1[[#This Row],[Tipo_Linha]]="-",Base_Periodo1[[#This Row],[TIPOSALDO]]="D"),Base_Periodo1[[#This Row],[SALDO_ATUAL]]*-1,Base_Periodo1[[#This Row],[SALDO_ATUAL]]),4)</f>
        <v>2206.88</v>
      </c>
      <c r="N1490" t="s">
        <v>396</v>
      </c>
      <c r="O1490" t="s">
        <v>397</v>
      </c>
      <c r="P1490" t="s">
        <v>397</v>
      </c>
      <c r="Q1490">
        <v>7</v>
      </c>
      <c r="R1490" s="225">
        <f>Base_Periodo1[[#This Row],[CREDITOS]]-Base_Periodo1[[#This Row],[DEBITOS]]</f>
        <v>0</v>
      </c>
      <c r="S1490" s="3" t="str">
        <f>IF(ISERROR(VLOOKUP(Base_Periodo1[[#This Row],[CONTA]],BaseContasDRE[#All],4,FALSE)),"Fora do DRE",VLOOKUP(Base_Periodo1[[#This Row],[CONTA]],BaseContasDRE[#All],4,FALSE))</f>
        <v>Fora do DRE</v>
      </c>
      <c r="T1490" s="3" t="str">
        <f>IF(ISERROR(VLOOKUP(Base_Periodo1[[#This Row],[CONTA]],BaseContasDRE[#All],5,FALSE)),"Fora do DRE",VLOOKUP(Base_Periodo1[[#This Row],[CONTA]],BaseContasDRE[#All],6,FALSE))</f>
        <v>Fora do DRE</v>
      </c>
      <c r="U1490" s="3" t="str">
        <f>IF(ISERROR(VLOOKUP(Base_Periodo1[[#This Row],[CONTA]],BaseContasDRE[#All],7,FALSE)),"Fora do DRE",VLOOKUP(Base_Periodo1[[#This Row],[CONTA]],BaseContasDRE[#All],7,FALSE))</f>
        <v>Fora do DRE</v>
      </c>
      <c r="V1490" s="3" t="str">
        <f>IF(Base_Periodo1[[#This Row],[Tipo_Linha]]="Fora do DRE","Fora do DRE","( "&amp;Base_Periodo1[[#This Row],[Tipo_Linha]]&amp;" ) "&amp;Base_Periodo1[[#This Row],[Filtro]])</f>
        <v>Fora do DRE</v>
      </c>
      <c r="W1490" s="3" t="str">
        <f>LEFT(Base_Periodo1[[#This Row],[CLASS]],3)</f>
        <v>1.1</v>
      </c>
    </row>
    <row r="1491" spans="1:23" hidden="1">
      <c r="A1491" s="3" t="str">
        <f t="shared" si="23"/>
        <v>Período 1</v>
      </c>
      <c r="B1491">
        <v>438</v>
      </c>
      <c r="C1491" t="s">
        <v>1240</v>
      </c>
      <c r="D1491" t="s">
        <v>1054</v>
      </c>
      <c r="E1491" s="3" t="str">
        <f>IF(LEN(Base_Periodo1[[#This Row],[CLASS]])&gt;=7,LEFT(Base_Periodo1[[#This Row],[CLASS]],7),"")</f>
        <v>1.1.3.1</v>
      </c>
      <c r="F1491" s="3" t="str">
        <f>VLOOKUP(Base_Periodo1[[#This Row],[Aux]],Base_Contas_Balanco[#All],2,FALSE)</f>
        <v>Estoques Proprios</v>
      </c>
      <c r="G1491" s="1"/>
      <c r="H1491" s="225">
        <v>1680.3800000000047</v>
      </c>
      <c r="I1491" s="225">
        <v>0</v>
      </c>
      <c r="J1491" s="225">
        <v>0</v>
      </c>
      <c r="K1491" s="225">
        <v>1680.3800000000047</v>
      </c>
      <c r="L14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1680.38</v>
      </c>
      <c r="M1491" s="225">
        <f>ROUND(IF(AND(Base_Periodo1[[#This Row],[Tipo_Linha]]="-",Base_Periodo1[[#This Row],[TIPOSALDO]]="D"),Base_Periodo1[[#This Row],[SALDO_ATUAL]]*-1,Base_Periodo1[[#This Row],[SALDO_ATUAL]]),4)</f>
        <v>1680.38</v>
      </c>
      <c r="N1491" t="s">
        <v>396</v>
      </c>
      <c r="O1491" t="s">
        <v>397</v>
      </c>
      <c r="P1491" t="s">
        <v>397</v>
      </c>
      <c r="Q1491">
        <v>8</v>
      </c>
      <c r="R1491" s="225">
        <f>Base_Periodo1[[#This Row],[CREDITOS]]-Base_Periodo1[[#This Row],[DEBITOS]]</f>
        <v>0</v>
      </c>
      <c r="S1491" s="3" t="str">
        <f>IF(ISERROR(VLOOKUP(Base_Periodo1[[#This Row],[CONTA]],BaseContasDRE[#All],4,FALSE)),"Fora do DRE",VLOOKUP(Base_Periodo1[[#This Row],[CONTA]],BaseContasDRE[#All],4,FALSE))</f>
        <v>Fora do DRE</v>
      </c>
      <c r="T1491" s="3" t="str">
        <f>IF(ISERROR(VLOOKUP(Base_Periodo1[[#This Row],[CONTA]],BaseContasDRE[#All],5,FALSE)),"Fora do DRE",VLOOKUP(Base_Periodo1[[#This Row],[CONTA]],BaseContasDRE[#All],6,FALSE))</f>
        <v>Fora do DRE</v>
      </c>
      <c r="U1491" s="3" t="str">
        <f>IF(ISERROR(VLOOKUP(Base_Periodo1[[#This Row],[CONTA]],BaseContasDRE[#All],7,FALSE)),"Fora do DRE",VLOOKUP(Base_Periodo1[[#This Row],[CONTA]],BaseContasDRE[#All],7,FALSE))</f>
        <v>Fora do DRE</v>
      </c>
      <c r="V1491" s="3" t="str">
        <f>IF(Base_Periodo1[[#This Row],[Tipo_Linha]]="Fora do DRE","Fora do DRE","( "&amp;Base_Periodo1[[#This Row],[Tipo_Linha]]&amp;" ) "&amp;Base_Periodo1[[#This Row],[Filtro]])</f>
        <v>Fora do DRE</v>
      </c>
      <c r="W1491" s="3" t="str">
        <f>LEFT(Base_Periodo1[[#This Row],[CLASS]],3)</f>
        <v>1.1</v>
      </c>
    </row>
    <row r="1492" spans="1:23" hidden="1">
      <c r="A1492" s="3" t="str">
        <f t="shared" si="23"/>
        <v>Período 1</v>
      </c>
      <c r="B1492">
        <v>439</v>
      </c>
      <c r="C1492" t="s">
        <v>1241</v>
      </c>
      <c r="D1492" t="s">
        <v>1054</v>
      </c>
      <c r="E1492" s="3" t="str">
        <f>IF(LEN(Base_Periodo1[[#This Row],[CLASS]])&gt;=7,LEFT(Base_Periodo1[[#This Row],[CLASS]],7),"")</f>
        <v>1.1.3.1</v>
      </c>
      <c r="F1492" s="3" t="str">
        <f>VLOOKUP(Base_Periodo1[[#This Row],[Aux]],Base_Contas_Balanco[#All],2,FALSE)</f>
        <v>Estoques Proprios</v>
      </c>
      <c r="G1492" s="1">
        <v>42735</v>
      </c>
      <c r="H1492" s="225">
        <v>1680.3800000000047</v>
      </c>
      <c r="I1492" s="225">
        <v>0</v>
      </c>
      <c r="J1492" s="225">
        <v>0</v>
      </c>
      <c r="K1492" s="225">
        <v>1680.3800000000047</v>
      </c>
      <c r="L14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1680.38</v>
      </c>
      <c r="M1492" s="225">
        <f>ROUND(IF(AND(Base_Periodo1[[#This Row],[Tipo_Linha]]="-",Base_Periodo1[[#This Row],[TIPOSALDO]]="D"),Base_Periodo1[[#This Row],[SALDO_ATUAL]]*-1,Base_Periodo1[[#This Row],[SALDO_ATUAL]]),4)</f>
        <v>1680.38</v>
      </c>
      <c r="N1492" t="s">
        <v>116</v>
      </c>
      <c r="O1492" t="s">
        <v>397</v>
      </c>
      <c r="P1492" t="s">
        <v>397</v>
      </c>
      <c r="Q1492">
        <v>9</v>
      </c>
      <c r="R1492" s="225">
        <f>Base_Periodo1[[#This Row],[CREDITOS]]-Base_Periodo1[[#This Row],[DEBITOS]]</f>
        <v>0</v>
      </c>
      <c r="S1492" s="3" t="str">
        <f>IF(ISERROR(VLOOKUP(Base_Periodo1[[#This Row],[CONTA]],BaseContasDRE[#All],4,FALSE)),"Fora do DRE",VLOOKUP(Base_Periodo1[[#This Row],[CONTA]],BaseContasDRE[#All],4,FALSE))</f>
        <v>Fora do DRE</v>
      </c>
      <c r="T1492" s="3" t="str">
        <f>IF(ISERROR(VLOOKUP(Base_Periodo1[[#This Row],[CONTA]],BaseContasDRE[#All],5,FALSE)),"Fora do DRE",VLOOKUP(Base_Periodo1[[#This Row],[CONTA]],BaseContasDRE[#All],6,FALSE))</f>
        <v>Fora do DRE</v>
      </c>
      <c r="U1492" s="3" t="str">
        <f>IF(ISERROR(VLOOKUP(Base_Periodo1[[#This Row],[CONTA]],BaseContasDRE[#All],7,FALSE)),"Fora do DRE",VLOOKUP(Base_Periodo1[[#This Row],[CONTA]],BaseContasDRE[#All],7,FALSE))</f>
        <v>Fora do DRE</v>
      </c>
      <c r="V1492" s="3" t="str">
        <f>IF(Base_Periodo1[[#This Row],[Tipo_Linha]]="Fora do DRE","Fora do DRE","( "&amp;Base_Periodo1[[#This Row],[Tipo_Linha]]&amp;" ) "&amp;Base_Periodo1[[#This Row],[Filtro]])</f>
        <v>Fora do DRE</v>
      </c>
      <c r="W1492" s="3" t="str">
        <f>LEFT(Base_Periodo1[[#This Row],[CLASS]],3)</f>
        <v>1.1</v>
      </c>
    </row>
    <row r="1493" spans="1:23" hidden="1">
      <c r="A1493" s="3" t="str">
        <f t="shared" si="23"/>
        <v>Período 1</v>
      </c>
      <c r="B1493">
        <v>9070</v>
      </c>
      <c r="C1493" t="s">
        <v>4656</v>
      </c>
      <c r="D1493" t="s">
        <v>1112</v>
      </c>
      <c r="E1493" s="3" t="str">
        <f>IF(LEN(Base_Periodo1[[#This Row],[CLASS]])&gt;=7,LEFT(Base_Periodo1[[#This Row],[CLASS]],7),"")</f>
        <v>1.1.3.1</v>
      </c>
      <c r="F1493" s="3" t="str">
        <f>VLOOKUP(Base_Periodo1[[#This Row],[Aux]],Base_Contas_Balanco[#All],2,FALSE)</f>
        <v>Estoques Proprios</v>
      </c>
      <c r="G1493" s="1"/>
      <c r="H1493" s="225">
        <v>991.76000000000204</v>
      </c>
      <c r="I1493" s="225">
        <v>0</v>
      </c>
      <c r="J1493" s="225">
        <v>0</v>
      </c>
      <c r="K1493" s="225">
        <v>991.76000000000204</v>
      </c>
      <c r="L14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991.76</v>
      </c>
      <c r="M1493" s="225">
        <f>ROUND(IF(AND(Base_Periodo1[[#This Row],[Tipo_Linha]]="-",Base_Periodo1[[#This Row],[TIPOSALDO]]="D"),Base_Periodo1[[#This Row],[SALDO_ATUAL]]*-1,Base_Periodo1[[#This Row],[SALDO_ATUAL]]),4)</f>
        <v>991.76</v>
      </c>
      <c r="N1493" t="s">
        <v>396</v>
      </c>
      <c r="O1493" t="s">
        <v>397</v>
      </c>
      <c r="P1493" t="s">
        <v>397</v>
      </c>
      <c r="Q1493">
        <v>8</v>
      </c>
      <c r="R1493" s="225">
        <f>Base_Periodo1[[#This Row],[CREDITOS]]-Base_Periodo1[[#This Row],[DEBITOS]]</f>
        <v>0</v>
      </c>
      <c r="S1493" s="3" t="str">
        <f>IF(ISERROR(VLOOKUP(Base_Periodo1[[#This Row],[CONTA]],BaseContasDRE[#All],4,FALSE)),"Fora do DRE",VLOOKUP(Base_Periodo1[[#This Row],[CONTA]],BaseContasDRE[#All],4,FALSE))</f>
        <v>Fora do DRE</v>
      </c>
      <c r="T1493" s="3" t="str">
        <f>IF(ISERROR(VLOOKUP(Base_Periodo1[[#This Row],[CONTA]],BaseContasDRE[#All],5,FALSE)),"Fora do DRE",VLOOKUP(Base_Periodo1[[#This Row],[CONTA]],BaseContasDRE[#All],6,FALSE))</f>
        <v>Fora do DRE</v>
      </c>
      <c r="U1493" s="3" t="str">
        <f>IF(ISERROR(VLOOKUP(Base_Periodo1[[#This Row],[CONTA]],BaseContasDRE[#All],7,FALSE)),"Fora do DRE",VLOOKUP(Base_Periodo1[[#This Row],[CONTA]],BaseContasDRE[#All],7,FALSE))</f>
        <v>Fora do DRE</v>
      </c>
      <c r="V1493" s="3" t="str">
        <f>IF(Base_Periodo1[[#This Row],[Tipo_Linha]]="Fora do DRE","Fora do DRE","( "&amp;Base_Periodo1[[#This Row],[Tipo_Linha]]&amp;" ) "&amp;Base_Periodo1[[#This Row],[Filtro]])</f>
        <v>Fora do DRE</v>
      </c>
      <c r="W1493" s="3" t="str">
        <f>LEFT(Base_Periodo1[[#This Row],[CLASS]],3)</f>
        <v>1.1</v>
      </c>
    </row>
    <row r="1494" spans="1:23" hidden="1">
      <c r="A1494" s="3" t="str">
        <f t="shared" si="23"/>
        <v>Período 1</v>
      </c>
      <c r="B1494">
        <v>9071</v>
      </c>
      <c r="C1494" t="s">
        <v>4657</v>
      </c>
      <c r="D1494" t="s">
        <v>1242</v>
      </c>
      <c r="E1494" s="3" t="str">
        <f>IF(LEN(Base_Periodo1[[#This Row],[CLASS]])&gt;=7,LEFT(Base_Periodo1[[#This Row],[CLASS]],7),"")</f>
        <v>1.1.3.1</v>
      </c>
      <c r="F1494" s="3" t="str">
        <f>VLOOKUP(Base_Periodo1[[#This Row],[Aux]],Base_Contas_Balanco[#All],2,FALSE)</f>
        <v>Estoques Proprios</v>
      </c>
      <c r="G1494" s="1">
        <v>42747</v>
      </c>
      <c r="H1494" s="225">
        <v>991.76000000000204</v>
      </c>
      <c r="I1494" s="225">
        <v>0</v>
      </c>
      <c r="J1494" s="225">
        <v>0</v>
      </c>
      <c r="K1494" s="225">
        <v>991.76000000000204</v>
      </c>
      <c r="L14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991.76</v>
      </c>
      <c r="M1494" s="225">
        <f>ROUND(IF(AND(Base_Periodo1[[#This Row],[Tipo_Linha]]="-",Base_Periodo1[[#This Row],[TIPOSALDO]]="D"),Base_Periodo1[[#This Row],[SALDO_ATUAL]]*-1,Base_Periodo1[[#This Row],[SALDO_ATUAL]]),4)</f>
        <v>991.76</v>
      </c>
      <c r="N1494" t="s">
        <v>116</v>
      </c>
      <c r="O1494" t="s">
        <v>397</v>
      </c>
      <c r="P1494" t="s">
        <v>397</v>
      </c>
      <c r="Q1494">
        <v>9</v>
      </c>
      <c r="R1494" s="225">
        <f>Base_Periodo1[[#This Row],[CREDITOS]]-Base_Periodo1[[#This Row],[DEBITOS]]</f>
        <v>0</v>
      </c>
      <c r="S1494" s="3" t="str">
        <f>IF(ISERROR(VLOOKUP(Base_Periodo1[[#This Row],[CONTA]],BaseContasDRE[#All],4,FALSE)),"Fora do DRE",VLOOKUP(Base_Periodo1[[#This Row],[CONTA]],BaseContasDRE[#All],4,FALSE))</f>
        <v>Fora do DRE</v>
      </c>
      <c r="T1494" s="3" t="str">
        <f>IF(ISERROR(VLOOKUP(Base_Periodo1[[#This Row],[CONTA]],BaseContasDRE[#All],5,FALSE)),"Fora do DRE",VLOOKUP(Base_Periodo1[[#This Row],[CONTA]],BaseContasDRE[#All],6,FALSE))</f>
        <v>Fora do DRE</v>
      </c>
      <c r="U1494" s="3" t="str">
        <f>IF(ISERROR(VLOOKUP(Base_Periodo1[[#This Row],[CONTA]],BaseContasDRE[#All],7,FALSE)),"Fora do DRE",VLOOKUP(Base_Periodo1[[#This Row],[CONTA]],BaseContasDRE[#All],7,FALSE))</f>
        <v>Fora do DRE</v>
      </c>
      <c r="V1494" s="3" t="str">
        <f>IF(Base_Periodo1[[#This Row],[Tipo_Linha]]="Fora do DRE","Fora do DRE","( "&amp;Base_Periodo1[[#This Row],[Tipo_Linha]]&amp;" ) "&amp;Base_Periodo1[[#This Row],[Filtro]])</f>
        <v>Fora do DRE</v>
      </c>
      <c r="W1494" s="3" t="str">
        <f>LEFT(Base_Periodo1[[#This Row],[CLASS]],3)</f>
        <v>1.1</v>
      </c>
    </row>
    <row r="1495" spans="1:23" hidden="1">
      <c r="A1495" s="3" t="str">
        <f t="shared" si="23"/>
        <v>Período 1</v>
      </c>
      <c r="B1495">
        <v>440</v>
      </c>
      <c r="C1495" t="s">
        <v>4658</v>
      </c>
      <c r="D1495" t="s">
        <v>1063</v>
      </c>
      <c r="E1495" s="3" t="str">
        <f>IF(LEN(Base_Periodo1[[#This Row],[CLASS]])&gt;=7,LEFT(Base_Periodo1[[#This Row],[CLASS]],7),"")</f>
        <v>1.1.3.1</v>
      </c>
      <c r="F1495" s="3" t="str">
        <f>VLOOKUP(Base_Periodo1[[#This Row],[Aux]],Base_Contas_Balanco[#All],2,FALSE)</f>
        <v>Estoques Proprios</v>
      </c>
      <c r="G1495" s="1"/>
      <c r="H1495" s="225">
        <v>630.08999999999833</v>
      </c>
      <c r="I1495" s="225">
        <v>0</v>
      </c>
      <c r="J1495" s="225">
        <v>0</v>
      </c>
      <c r="K1495" s="225">
        <v>630.08999999999833</v>
      </c>
      <c r="L14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630.09</v>
      </c>
      <c r="M1495" s="225">
        <f>ROUND(IF(AND(Base_Periodo1[[#This Row],[Tipo_Linha]]="-",Base_Periodo1[[#This Row],[TIPOSALDO]]="D"),Base_Periodo1[[#This Row],[SALDO_ATUAL]]*-1,Base_Periodo1[[#This Row],[SALDO_ATUAL]]),4)</f>
        <v>630.09</v>
      </c>
      <c r="N1495" t="s">
        <v>396</v>
      </c>
      <c r="O1495" t="s">
        <v>397</v>
      </c>
      <c r="P1495" t="s">
        <v>397</v>
      </c>
      <c r="Q1495">
        <v>8</v>
      </c>
      <c r="R1495" s="225">
        <f>Base_Periodo1[[#This Row],[CREDITOS]]-Base_Periodo1[[#This Row],[DEBITOS]]</f>
        <v>0</v>
      </c>
      <c r="S1495" s="3" t="str">
        <f>IF(ISERROR(VLOOKUP(Base_Periodo1[[#This Row],[CONTA]],BaseContasDRE[#All],4,FALSE)),"Fora do DRE",VLOOKUP(Base_Periodo1[[#This Row],[CONTA]],BaseContasDRE[#All],4,FALSE))</f>
        <v>Fora do DRE</v>
      </c>
      <c r="T1495" s="3" t="str">
        <f>IF(ISERROR(VLOOKUP(Base_Periodo1[[#This Row],[CONTA]],BaseContasDRE[#All],5,FALSE)),"Fora do DRE",VLOOKUP(Base_Periodo1[[#This Row],[CONTA]],BaseContasDRE[#All],6,FALSE))</f>
        <v>Fora do DRE</v>
      </c>
      <c r="U1495" s="3" t="str">
        <f>IF(ISERROR(VLOOKUP(Base_Periodo1[[#This Row],[CONTA]],BaseContasDRE[#All],7,FALSE)),"Fora do DRE",VLOOKUP(Base_Periodo1[[#This Row],[CONTA]],BaseContasDRE[#All],7,FALSE))</f>
        <v>Fora do DRE</v>
      </c>
      <c r="V1495" s="3" t="str">
        <f>IF(Base_Periodo1[[#This Row],[Tipo_Linha]]="Fora do DRE","Fora do DRE","( "&amp;Base_Periodo1[[#This Row],[Tipo_Linha]]&amp;" ) "&amp;Base_Periodo1[[#This Row],[Filtro]])</f>
        <v>Fora do DRE</v>
      </c>
      <c r="W1495" s="3" t="str">
        <f>LEFT(Base_Periodo1[[#This Row],[CLASS]],3)</f>
        <v>1.1</v>
      </c>
    </row>
    <row r="1496" spans="1:23" hidden="1">
      <c r="A1496" s="3" t="str">
        <f t="shared" si="23"/>
        <v>Período 1</v>
      </c>
      <c r="B1496">
        <v>441</v>
      </c>
      <c r="C1496" t="s">
        <v>4659</v>
      </c>
      <c r="D1496" t="s">
        <v>1065</v>
      </c>
      <c r="E1496" s="3" t="str">
        <f>IF(LEN(Base_Periodo1[[#This Row],[CLASS]])&gt;=7,LEFT(Base_Periodo1[[#This Row],[CLASS]],7),"")</f>
        <v>1.1.3.1</v>
      </c>
      <c r="F1496" s="3" t="str">
        <f>VLOOKUP(Base_Periodo1[[#This Row],[Aux]],Base_Contas_Balanco[#All],2,FALSE)</f>
        <v>Estoques Proprios</v>
      </c>
      <c r="G1496" s="1">
        <v>42758</v>
      </c>
      <c r="H1496" s="225">
        <v>630.08999999999833</v>
      </c>
      <c r="I1496" s="225">
        <v>0</v>
      </c>
      <c r="J1496" s="225">
        <v>0</v>
      </c>
      <c r="K1496" s="225">
        <v>630.08999999999833</v>
      </c>
      <c r="L14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630.09</v>
      </c>
      <c r="M1496" s="225">
        <f>ROUND(IF(AND(Base_Periodo1[[#This Row],[Tipo_Linha]]="-",Base_Periodo1[[#This Row],[TIPOSALDO]]="D"),Base_Periodo1[[#This Row],[SALDO_ATUAL]]*-1,Base_Periodo1[[#This Row],[SALDO_ATUAL]]),4)</f>
        <v>630.09</v>
      </c>
      <c r="N1496" t="s">
        <v>116</v>
      </c>
      <c r="O1496" t="s">
        <v>397</v>
      </c>
      <c r="P1496" t="s">
        <v>397</v>
      </c>
      <c r="Q1496">
        <v>9</v>
      </c>
      <c r="R1496" s="225">
        <f>Base_Periodo1[[#This Row],[CREDITOS]]-Base_Periodo1[[#This Row],[DEBITOS]]</f>
        <v>0</v>
      </c>
      <c r="S1496" s="3" t="str">
        <f>IF(ISERROR(VLOOKUP(Base_Periodo1[[#This Row],[CONTA]],BaseContasDRE[#All],4,FALSE)),"Fora do DRE",VLOOKUP(Base_Periodo1[[#This Row],[CONTA]],BaseContasDRE[#All],4,FALSE))</f>
        <v>Fora do DRE</v>
      </c>
      <c r="T1496" s="3" t="str">
        <f>IF(ISERROR(VLOOKUP(Base_Periodo1[[#This Row],[CONTA]],BaseContasDRE[#All],5,FALSE)),"Fora do DRE",VLOOKUP(Base_Periodo1[[#This Row],[CONTA]],BaseContasDRE[#All],6,FALSE))</f>
        <v>Fora do DRE</v>
      </c>
      <c r="U1496" s="3" t="str">
        <f>IF(ISERROR(VLOOKUP(Base_Periodo1[[#This Row],[CONTA]],BaseContasDRE[#All],7,FALSE)),"Fora do DRE",VLOOKUP(Base_Periodo1[[#This Row],[CONTA]],BaseContasDRE[#All],7,FALSE))</f>
        <v>Fora do DRE</v>
      </c>
      <c r="V1496" s="3" t="str">
        <f>IF(Base_Periodo1[[#This Row],[Tipo_Linha]]="Fora do DRE","Fora do DRE","( "&amp;Base_Periodo1[[#This Row],[Tipo_Linha]]&amp;" ) "&amp;Base_Periodo1[[#This Row],[Filtro]])</f>
        <v>Fora do DRE</v>
      </c>
      <c r="W1496" s="3" t="str">
        <f>LEFT(Base_Periodo1[[#This Row],[CLASS]],3)</f>
        <v>1.1</v>
      </c>
    </row>
    <row r="1497" spans="1:23" hidden="1">
      <c r="A1497" s="3" t="str">
        <f t="shared" si="23"/>
        <v>Período 1</v>
      </c>
      <c r="B1497">
        <v>442</v>
      </c>
      <c r="C1497" t="s">
        <v>4430</v>
      </c>
      <c r="D1497" t="s">
        <v>1067</v>
      </c>
      <c r="E1497" s="3" t="str">
        <f>IF(LEN(Base_Periodo1[[#This Row],[CLASS]])&gt;=7,LEFT(Base_Periodo1[[#This Row],[CLASS]],7),"")</f>
        <v>1.1.3.1</v>
      </c>
      <c r="F1497" s="3" t="str">
        <f>VLOOKUP(Base_Periodo1[[#This Row],[Aux]],Base_Contas_Balanco[#All],2,FALSE)</f>
        <v>Estoques Proprios</v>
      </c>
      <c r="G1497" s="1"/>
      <c r="H1497" s="225">
        <v>338.24999999999682</v>
      </c>
      <c r="I1497" s="225">
        <v>0</v>
      </c>
      <c r="J1497" s="225">
        <v>0</v>
      </c>
      <c r="K1497" s="225">
        <v>338.24999999999682</v>
      </c>
      <c r="L14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-338.25</v>
      </c>
      <c r="M1497" s="225">
        <f>ROUND(IF(AND(Base_Periodo1[[#This Row],[Tipo_Linha]]="-",Base_Periodo1[[#This Row],[TIPOSALDO]]="D"),Base_Periodo1[[#This Row],[SALDO_ATUAL]]*-1,Base_Periodo1[[#This Row],[SALDO_ATUAL]]),4)</f>
        <v>338.25</v>
      </c>
      <c r="N1497" t="s">
        <v>396</v>
      </c>
      <c r="O1497" t="s">
        <v>459</v>
      </c>
      <c r="P1497" t="s">
        <v>459</v>
      </c>
      <c r="Q1497">
        <v>8</v>
      </c>
      <c r="R1497" s="225">
        <f>Base_Periodo1[[#This Row],[CREDITOS]]-Base_Periodo1[[#This Row],[DEBITOS]]</f>
        <v>0</v>
      </c>
      <c r="S1497" s="3" t="str">
        <f>IF(ISERROR(VLOOKUP(Base_Periodo1[[#This Row],[CONTA]],BaseContasDRE[#All],4,FALSE)),"Fora do DRE",VLOOKUP(Base_Periodo1[[#This Row],[CONTA]],BaseContasDRE[#All],4,FALSE))</f>
        <v>Fora do DRE</v>
      </c>
      <c r="T1497" s="3" t="str">
        <f>IF(ISERROR(VLOOKUP(Base_Periodo1[[#This Row],[CONTA]],BaseContasDRE[#All],5,FALSE)),"Fora do DRE",VLOOKUP(Base_Periodo1[[#This Row],[CONTA]],BaseContasDRE[#All],6,FALSE))</f>
        <v>Fora do DRE</v>
      </c>
      <c r="U1497" s="3" t="str">
        <f>IF(ISERROR(VLOOKUP(Base_Periodo1[[#This Row],[CONTA]],BaseContasDRE[#All],7,FALSE)),"Fora do DRE",VLOOKUP(Base_Periodo1[[#This Row],[CONTA]],BaseContasDRE[#All],7,FALSE))</f>
        <v>Fora do DRE</v>
      </c>
      <c r="V1497" s="3" t="str">
        <f>IF(Base_Periodo1[[#This Row],[Tipo_Linha]]="Fora do DRE","Fora do DRE","( "&amp;Base_Periodo1[[#This Row],[Tipo_Linha]]&amp;" ) "&amp;Base_Periodo1[[#This Row],[Filtro]])</f>
        <v>Fora do DRE</v>
      </c>
      <c r="W1497" s="3" t="str">
        <f>LEFT(Base_Periodo1[[#This Row],[CLASS]],3)</f>
        <v>1.1</v>
      </c>
    </row>
    <row r="1498" spans="1:23" hidden="1">
      <c r="A1498" s="3" t="str">
        <f t="shared" si="23"/>
        <v>Período 1</v>
      </c>
      <c r="B1498">
        <v>443</v>
      </c>
      <c r="C1498" t="s">
        <v>5404</v>
      </c>
      <c r="D1498" t="s">
        <v>1068</v>
      </c>
      <c r="E1498" s="3" t="str">
        <f>IF(LEN(Base_Periodo1[[#This Row],[CLASS]])&gt;=7,LEFT(Base_Periodo1[[#This Row],[CLASS]],7),"")</f>
        <v>1.1.3.1</v>
      </c>
      <c r="F1498" s="3" t="str">
        <f>VLOOKUP(Base_Periodo1[[#This Row],[Aux]],Base_Contas_Balanco[#All],2,FALSE)</f>
        <v>Estoques Proprios</v>
      </c>
      <c r="G1498" s="1">
        <v>42886</v>
      </c>
      <c r="H1498" s="225">
        <v>33.820000000000164</v>
      </c>
      <c r="I1498" s="225">
        <v>0</v>
      </c>
      <c r="J1498" s="225">
        <v>0</v>
      </c>
      <c r="K1498" s="225">
        <v>33.820000000000164</v>
      </c>
      <c r="L14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-33.82</v>
      </c>
      <c r="M1498" s="225">
        <f>ROUND(IF(AND(Base_Periodo1[[#This Row],[Tipo_Linha]]="-",Base_Periodo1[[#This Row],[TIPOSALDO]]="D"),Base_Periodo1[[#This Row],[SALDO_ATUAL]]*-1,Base_Periodo1[[#This Row],[SALDO_ATUAL]]),4)</f>
        <v>33.82</v>
      </c>
      <c r="N1498" t="s">
        <v>116</v>
      </c>
      <c r="O1498" t="s">
        <v>459</v>
      </c>
      <c r="P1498" t="s">
        <v>459</v>
      </c>
      <c r="Q1498">
        <v>9</v>
      </c>
      <c r="R1498" s="225">
        <f>Base_Periodo1[[#This Row],[CREDITOS]]-Base_Periodo1[[#This Row],[DEBITOS]]</f>
        <v>0</v>
      </c>
      <c r="S1498" s="3" t="str">
        <f>IF(ISERROR(VLOOKUP(Base_Periodo1[[#This Row],[CONTA]],BaseContasDRE[#All],4,FALSE)),"Fora do DRE",VLOOKUP(Base_Periodo1[[#This Row],[CONTA]],BaseContasDRE[#All],4,FALSE))</f>
        <v>Fora do DRE</v>
      </c>
      <c r="T1498" s="3" t="str">
        <f>IF(ISERROR(VLOOKUP(Base_Periodo1[[#This Row],[CONTA]],BaseContasDRE[#All],5,FALSE)),"Fora do DRE",VLOOKUP(Base_Periodo1[[#This Row],[CONTA]],BaseContasDRE[#All],6,FALSE))</f>
        <v>Fora do DRE</v>
      </c>
      <c r="U1498" s="3" t="str">
        <f>IF(ISERROR(VLOOKUP(Base_Periodo1[[#This Row],[CONTA]],BaseContasDRE[#All],7,FALSE)),"Fora do DRE",VLOOKUP(Base_Periodo1[[#This Row],[CONTA]],BaseContasDRE[#All],7,FALSE))</f>
        <v>Fora do DRE</v>
      </c>
      <c r="V1498" s="3" t="str">
        <f>IF(Base_Periodo1[[#This Row],[Tipo_Linha]]="Fora do DRE","Fora do DRE","( "&amp;Base_Periodo1[[#This Row],[Tipo_Linha]]&amp;" ) "&amp;Base_Periodo1[[#This Row],[Filtro]])</f>
        <v>Fora do DRE</v>
      </c>
      <c r="W1498" s="3" t="str">
        <f>LEFT(Base_Periodo1[[#This Row],[CLASS]],3)</f>
        <v>1.1</v>
      </c>
    </row>
    <row r="1499" spans="1:23" hidden="1">
      <c r="A1499" s="3" t="str">
        <f t="shared" si="23"/>
        <v>Período 1</v>
      </c>
      <c r="B1499">
        <v>444</v>
      </c>
      <c r="C1499" t="s">
        <v>5891</v>
      </c>
      <c r="D1499" t="s">
        <v>1070</v>
      </c>
      <c r="E1499" s="3" t="str">
        <f>IF(LEN(Base_Periodo1[[#This Row],[CLASS]])&gt;=7,LEFT(Base_Periodo1[[#This Row],[CLASS]],7),"")</f>
        <v>1.1.3.1</v>
      </c>
      <c r="F1499" s="3" t="str">
        <f>VLOOKUP(Base_Periodo1[[#This Row],[Aux]],Base_Contas_Balanco[#All],2,FALSE)</f>
        <v>Estoques Proprios</v>
      </c>
      <c r="G1499" s="1">
        <v>42886</v>
      </c>
      <c r="H1499" s="225">
        <v>304.42999999999665</v>
      </c>
      <c r="I1499" s="225">
        <v>0</v>
      </c>
      <c r="J1499" s="225">
        <v>0</v>
      </c>
      <c r="K1499" s="225">
        <v>304.42999999999665</v>
      </c>
      <c r="L14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-304.43</v>
      </c>
      <c r="M1499" s="225">
        <f>ROUND(IF(AND(Base_Periodo1[[#This Row],[Tipo_Linha]]="-",Base_Periodo1[[#This Row],[TIPOSALDO]]="D"),Base_Periodo1[[#This Row],[SALDO_ATUAL]]*-1,Base_Periodo1[[#This Row],[SALDO_ATUAL]]),4)</f>
        <v>304.43</v>
      </c>
      <c r="N1499" t="s">
        <v>116</v>
      </c>
      <c r="O1499" t="s">
        <v>459</v>
      </c>
      <c r="P1499" t="s">
        <v>459</v>
      </c>
      <c r="Q1499">
        <v>9</v>
      </c>
      <c r="R1499" s="225">
        <f>Base_Periodo1[[#This Row],[CREDITOS]]-Base_Periodo1[[#This Row],[DEBITOS]]</f>
        <v>0</v>
      </c>
      <c r="S1499" s="3" t="str">
        <f>IF(ISERROR(VLOOKUP(Base_Periodo1[[#This Row],[CONTA]],BaseContasDRE[#All],4,FALSE)),"Fora do DRE",VLOOKUP(Base_Periodo1[[#This Row],[CONTA]],BaseContasDRE[#All],4,FALSE))</f>
        <v>Fora do DRE</v>
      </c>
      <c r="T1499" s="3" t="str">
        <f>IF(ISERROR(VLOOKUP(Base_Periodo1[[#This Row],[CONTA]],BaseContasDRE[#All],5,FALSE)),"Fora do DRE",VLOOKUP(Base_Periodo1[[#This Row],[CONTA]],BaseContasDRE[#All],6,FALSE))</f>
        <v>Fora do DRE</v>
      </c>
      <c r="U1499" s="3" t="str">
        <f>IF(ISERROR(VLOOKUP(Base_Periodo1[[#This Row],[CONTA]],BaseContasDRE[#All],7,FALSE)),"Fora do DRE",VLOOKUP(Base_Periodo1[[#This Row],[CONTA]],BaseContasDRE[#All],7,FALSE))</f>
        <v>Fora do DRE</v>
      </c>
      <c r="V1499" s="3" t="str">
        <f>IF(Base_Periodo1[[#This Row],[Tipo_Linha]]="Fora do DRE","Fora do DRE","( "&amp;Base_Periodo1[[#This Row],[Tipo_Linha]]&amp;" ) "&amp;Base_Periodo1[[#This Row],[Filtro]])</f>
        <v>Fora do DRE</v>
      </c>
      <c r="W1499" s="3" t="str">
        <f>LEFT(Base_Periodo1[[#This Row],[CLASS]],3)</f>
        <v>1.1</v>
      </c>
    </row>
    <row r="1500" spans="1:23" hidden="1">
      <c r="A1500" s="3" t="str">
        <f t="shared" si="23"/>
        <v>Período 1</v>
      </c>
      <c r="B1500">
        <v>445</v>
      </c>
      <c r="C1500" t="s">
        <v>4660</v>
      </c>
      <c r="D1500" t="s">
        <v>1072</v>
      </c>
      <c r="E1500" s="3" t="str">
        <f>IF(LEN(Base_Periodo1[[#This Row],[CLASS]])&gt;=7,LEFT(Base_Periodo1[[#This Row],[CLASS]],7),"")</f>
        <v>1.1.3.1</v>
      </c>
      <c r="F1500" s="3" t="str">
        <f>VLOOKUP(Base_Periodo1[[#This Row],[Aux]],Base_Contas_Balanco[#All],2,FALSE)</f>
        <v>Estoques Proprios</v>
      </c>
      <c r="G1500" s="1"/>
      <c r="H1500" s="225">
        <v>630.08999999999833</v>
      </c>
      <c r="I1500" s="225">
        <v>0</v>
      </c>
      <c r="J1500" s="225">
        <v>0</v>
      </c>
      <c r="K1500" s="225">
        <v>630.08999999999833</v>
      </c>
      <c r="L15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-630.09</v>
      </c>
      <c r="M1500" s="225">
        <f>ROUND(IF(AND(Base_Periodo1[[#This Row],[Tipo_Linha]]="-",Base_Periodo1[[#This Row],[TIPOSALDO]]="D"),Base_Periodo1[[#This Row],[SALDO_ATUAL]]*-1,Base_Periodo1[[#This Row],[SALDO_ATUAL]]),4)</f>
        <v>630.09</v>
      </c>
      <c r="N1500" t="s">
        <v>396</v>
      </c>
      <c r="O1500" t="s">
        <v>459</v>
      </c>
      <c r="P1500" t="s">
        <v>459</v>
      </c>
      <c r="Q1500">
        <v>8</v>
      </c>
      <c r="R1500" s="225">
        <f>Base_Periodo1[[#This Row],[CREDITOS]]-Base_Periodo1[[#This Row],[DEBITOS]]</f>
        <v>0</v>
      </c>
      <c r="S1500" s="3" t="str">
        <f>IF(ISERROR(VLOOKUP(Base_Periodo1[[#This Row],[CONTA]],BaseContasDRE[#All],4,FALSE)),"Fora do DRE",VLOOKUP(Base_Periodo1[[#This Row],[CONTA]],BaseContasDRE[#All],4,FALSE))</f>
        <v>Fora do DRE</v>
      </c>
      <c r="T1500" s="3" t="str">
        <f>IF(ISERROR(VLOOKUP(Base_Periodo1[[#This Row],[CONTA]],BaseContasDRE[#All],5,FALSE)),"Fora do DRE",VLOOKUP(Base_Periodo1[[#This Row],[CONTA]],BaseContasDRE[#All],6,FALSE))</f>
        <v>Fora do DRE</v>
      </c>
      <c r="U1500" s="3" t="str">
        <f>IF(ISERROR(VLOOKUP(Base_Periodo1[[#This Row],[CONTA]],BaseContasDRE[#All],7,FALSE)),"Fora do DRE",VLOOKUP(Base_Periodo1[[#This Row],[CONTA]],BaseContasDRE[#All],7,FALSE))</f>
        <v>Fora do DRE</v>
      </c>
      <c r="V1500" s="3" t="str">
        <f>IF(Base_Periodo1[[#This Row],[Tipo_Linha]]="Fora do DRE","Fora do DRE","( "&amp;Base_Periodo1[[#This Row],[Tipo_Linha]]&amp;" ) "&amp;Base_Periodo1[[#This Row],[Filtro]])</f>
        <v>Fora do DRE</v>
      </c>
      <c r="W1500" s="3" t="str">
        <f>LEFT(Base_Periodo1[[#This Row],[CLASS]],3)</f>
        <v>1.1</v>
      </c>
    </row>
    <row r="1501" spans="1:23" hidden="1">
      <c r="A1501" s="3" t="str">
        <f t="shared" si="23"/>
        <v>Período 1</v>
      </c>
      <c r="B1501">
        <v>446</v>
      </c>
      <c r="C1501" t="s">
        <v>4661</v>
      </c>
      <c r="D1501" t="s">
        <v>1074</v>
      </c>
      <c r="E1501" s="3" t="str">
        <f>IF(LEN(Base_Periodo1[[#This Row],[CLASS]])&gt;=7,LEFT(Base_Periodo1[[#This Row],[CLASS]],7),"")</f>
        <v>1.1.3.1</v>
      </c>
      <c r="F1501" s="3" t="str">
        <f>VLOOKUP(Base_Periodo1[[#This Row],[Aux]],Base_Contas_Balanco[#All],2,FALSE)</f>
        <v>Estoques Proprios</v>
      </c>
      <c r="G1501" s="1">
        <v>42758</v>
      </c>
      <c r="H1501" s="225">
        <v>630.08999999999833</v>
      </c>
      <c r="I1501" s="225">
        <v>0</v>
      </c>
      <c r="J1501" s="225">
        <v>0</v>
      </c>
      <c r="K1501" s="225">
        <v>630.08999999999833</v>
      </c>
      <c r="L15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-630.09</v>
      </c>
      <c r="M1501" s="225">
        <f>ROUND(IF(AND(Base_Periodo1[[#This Row],[Tipo_Linha]]="-",Base_Periodo1[[#This Row],[TIPOSALDO]]="D"),Base_Periodo1[[#This Row],[SALDO_ATUAL]]*-1,Base_Periodo1[[#This Row],[SALDO_ATUAL]]),4)</f>
        <v>630.09</v>
      </c>
      <c r="N1501" t="s">
        <v>116</v>
      </c>
      <c r="O1501" t="s">
        <v>459</v>
      </c>
      <c r="P1501" t="s">
        <v>459</v>
      </c>
      <c r="Q1501">
        <v>9</v>
      </c>
      <c r="R1501" s="225">
        <f>Base_Periodo1[[#This Row],[CREDITOS]]-Base_Periodo1[[#This Row],[DEBITOS]]</f>
        <v>0</v>
      </c>
      <c r="S1501" s="3" t="str">
        <f>IF(ISERROR(VLOOKUP(Base_Periodo1[[#This Row],[CONTA]],BaseContasDRE[#All],4,FALSE)),"Fora do DRE",VLOOKUP(Base_Periodo1[[#This Row],[CONTA]],BaseContasDRE[#All],4,FALSE))</f>
        <v>Fora do DRE</v>
      </c>
      <c r="T1501" s="3" t="str">
        <f>IF(ISERROR(VLOOKUP(Base_Periodo1[[#This Row],[CONTA]],BaseContasDRE[#All],5,FALSE)),"Fora do DRE",VLOOKUP(Base_Periodo1[[#This Row],[CONTA]],BaseContasDRE[#All],6,FALSE))</f>
        <v>Fora do DRE</v>
      </c>
      <c r="U1501" s="3" t="str">
        <f>IF(ISERROR(VLOOKUP(Base_Periodo1[[#This Row],[CONTA]],BaseContasDRE[#All],7,FALSE)),"Fora do DRE",VLOOKUP(Base_Periodo1[[#This Row],[CONTA]],BaseContasDRE[#All],7,FALSE))</f>
        <v>Fora do DRE</v>
      </c>
      <c r="V1501" s="3" t="str">
        <f>IF(Base_Periodo1[[#This Row],[Tipo_Linha]]="Fora do DRE","Fora do DRE","( "&amp;Base_Periodo1[[#This Row],[Tipo_Linha]]&amp;" ) "&amp;Base_Periodo1[[#This Row],[Filtro]])</f>
        <v>Fora do DRE</v>
      </c>
      <c r="W1501" s="3" t="str">
        <f>LEFT(Base_Periodo1[[#This Row],[CLASS]],3)</f>
        <v>1.1</v>
      </c>
    </row>
    <row r="1502" spans="1:23" hidden="1">
      <c r="A1502" s="3" t="str">
        <f t="shared" si="23"/>
        <v>Período 1</v>
      </c>
      <c r="B1502">
        <v>447</v>
      </c>
      <c r="C1502" t="s">
        <v>4801</v>
      </c>
      <c r="D1502" t="s">
        <v>1150</v>
      </c>
      <c r="E1502" s="3" t="str">
        <f>IF(LEN(Base_Periodo1[[#This Row],[CLASS]])&gt;=7,LEFT(Base_Periodo1[[#This Row],[CLASS]],7),"")</f>
        <v>1.1.3.1</v>
      </c>
      <c r="F1502" s="3" t="str">
        <f>VLOOKUP(Base_Periodo1[[#This Row],[Aux]],Base_Contas_Balanco[#All],2,FALSE)</f>
        <v>Estoques Proprios</v>
      </c>
      <c r="G1502" s="1"/>
      <c r="H1502" s="225">
        <v>127.01000000000022</v>
      </c>
      <c r="I1502" s="225">
        <v>0</v>
      </c>
      <c r="J1502" s="225">
        <v>0</v>
      </c>
      <c r="K1502" s="225">
        <v>127.01000000000022</v>
      </c>
      <c r="L15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-127.01</v>
      </c>
      <c r="M1502" s="225">
        <f>ROUND(IF(AND(Base_Periodo1[[#This Row],[Tipo_Linha]]="-",Base_Periodo1[[#This Row],[TIPOSALDO]]="D"),Base_Periodo1[[#This Row],[SALDO_ATUAL]]*-1,Base_Periodo1[[#This Row],[SALDO_ATUAL]]),4)</f>
        <v>127.01</v>
      </c>
      <c r="N1502" t="s">
        <v>396</v>
      </c>
      <c r="O1502" t="s">
        <v>459</v>
      </c>
      <c r="P1502" t="s">
        <v>459</v>
      </c>
      <c r="Q1502">
        <v>8</v>
      </c>
      <c r="R1502" s="225">
        <f>Base_Periodo1[[#This Row],[CREDITOS]]-Base_Periodo1[[#This Row],[DEBITOS]]</f>
        <v>0</v>
      </c>
      <c r="S1502" s="3" t="str">
        <f>IF(ISERROR(VLOOKUP(Base_Periodo1[[#This Row],[CONTA]],BaseContasDRE[#All],4,FALSE)),"Fora do DRE",VLOOKUP(Base_Periodo1[[#This Row],[CONTA]],BaseContasDRE[#All],4,FALSE))</f>
        <v>Fora do DRE</v>
      </c>
      <c r="T1502" s="3" t="str">
        <f>IF(ISERROR(VLOOKUP(Base_Periodo1[[#This Row],[CONTA]],BaseContasDRE[#All],5,FALSE)),"Fora do DRE",VLOOKUP(Base_Periodo1[[#This Row],[CONTA]],BaseContasDRE[#All],6,FALSE))</f>
        <v>Fora do DRE</v>
      </c>
      <c r="U1502" s="3" t="str">
        <f>IF(ISERROR(VLOOKUP(Base_Periodo1[[#This Row],[CONTA]],BaseContasDRE[#All],7,FALSE)),"Fora do DRE",VLOOKUP(Base_Periodo1[[#This Row],[CONTA]],BaseContasDRE[#All],7,FALSE))</f>
        <v>Fora do DRE</v>
      </c>
      <c r="V1502" s="3" t="str">
        <f>IF(Base_Periodo1[[#This Row],[Tipo_Linha]]="Fora do DRE","Fora do DRE","( "&amp;Base_Periodo1[[#This Row],[Tipo_Linha]]&amp;" ) "&amp;Base_Periodo1[[#This Row],[Filtro]])</f>
        <v>Fora do DRE</v>
      </c>
      <c r="W1502" s="3" t="str">
        <f>LEFT(Base_Periodo1[[#This Row],[CLASS]],3)</f>
        <v>1.1</v>
      </c>
    </row>
    <row r="1503" spans="1:23" hidden="1">
      <c r="A1503" s="3" t="str">
        <f t="shared" si="23"/>
        <v>Período 1</v>
      </c>
      <c r="B1503">
        <v>448</v>
      </c>
      <c r="C1503" t="s">
        <v>4802</v>
      </c>
      <c r="D1503" t="s">
        <v>1176</v>
      </c>
      <c r="E1503" s="3" t="str">
        <f>IF(LEN(Base_Periodo1[[#This Row],[CLASS]])&gt;=7,LEFT(Base_Periodo1[[#This Row],[CLASS]],7),"")</f>
        <v>1.1.3.1</v>
      </c>
      <c r="F1503" s="3" t="str">
        <f>VLOOKUP(Base_Periodo1[[#This Row],[Aux]],Base_Contas_Balanco[#All],2,FALSE)</f>
        <v>Estoques Proprios</v>
      </c>
      <c r="G1503" s="1">
        <v>42794</v>
      </c>
      <c r="H1503" s="225">
        <v>127.01000000000022</v>
      </c>
      <c r="I1503" s="225">
        <v>0</v>
      </c>
      <c r="J1503" s="225">
        <v>0</v>
      </c>
      <c r="K1503" s="225">
        <v>127.01000000000022</v>
      </c>
      <c r="L15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-127.01</v>
      </c>
      <c r="M1503" s="225">
        <f>ROUND(IF(AND(Base_Periodo1[[#This Row],[Tipo_Linha]]="-",Base_Periodo1[[#This Row],[TIPOSALDO]]="D"),Base_Periodo1[[#This Row],[SALDO_ATUAL]]*-1,Base_Periodo1[[#This Row],[SALDO_ATUAL]]),4)</f>
        <v>127.01</v>
      </c>
      <c r="N1503" t="s">
        <v>116</v>
      </c>
      <c r="O1503" t="s">
        <v>459</v>
      </c>
      <c r="P1503" t="s">
        <v>459</v>
      </c>
      <c r="Q1503">
        <v>9</v>
      </c>
      <c r="R1503" s="225">
        <f>Base_Periodo1[[#This Row],[CREDITOS]]-Base_Periodo1[[#This Row],[DEBITOS]]</f>
        <v>0</v>
      </c>
      <c r="S1503" s="3" t="str">
        <f>IF(ISERROR(VLOOKUP(Base_Periodo1[[#This Row],[CONTA]],BaseContasDRE[#All],4,FALSE)),"Fora do DRE",VLOOKUP(Base_Periodo1[[#This Row],[CONTA]],BaseContasDRE[#All],4,FALSE))</f>
        <v>Fora do DRE</v>
      </c>
      <c r="T1503" s="3" t="str">
        <f>IF(ISERROR(VLOOKUP(Base_Periodo1[[#This Row],[CONTA]],BaseContasDRE[#All],5,FALSE)),"Fora do DRE",VLOOKUP(Base_Periodo1[[#This Row],[CONTA]],BaseContasDRE[#All],6,FALSE))</f>
        <v>Fora do DRE</v>
      </c>
      <c r="U1503" s="3" t="str">
        <f>IF(ISERROR(VLOOKUP(Base_Periodo1[[#This Row],[CONTA]],BaseContasDRE[#All],7,FALSE)),"Fora do DRE",VLOOKUP(Base_Periodo1[[#This Row],[CONTA]],BaseContasDRE[#All],7,FALSE))</f>
        <v>Fora do DRE</v>
      </c>
      <c r="V1503" s="3" t="str">
        <f>IF(Base_Periodo1[[#This Row],[Tipo_Linha]]="Fora do DRE","Fora do DRE","( "&amp;Base_Periodo1[[#This Row],[Tipo_Linha]]&amp;" ) "&amp;Base_Periodo1[[#This Row],[Filtro]])</f>
        <v>Fora do DRE</v>
      </c>
      <c r="W1503" s="3" t="str">
        <f>LEFT(Base_Periodo1[[#This Row],[CLASS]],3)</f>
        <v>1.1</v>
      </c>
    </row>
    <row r="1504" spans="1:23" hidden="1">
      <c r="A1504" s="3" t="str">
        <f t="shared" si="23"/>
        <v>Período 1</v>
      </c>
      <c r="B1504">
        <v>451</v>
      </c>
      <c r="C1504" t="s">
        <v>1243</v>
      </c>
      <c r="D1504" t="s">
        <v>1244</v>
      </c>
      <c r="E1504" s="3" t="str">
        <f>IF(LEN(Base_Periodo1[[#This Row],[CLASS]])&gt;=7,LEFT(Base_Periodo1[[#This Row],[CLASS]],7),"")</f>
        <v>1.1.3.1</v>
      </c>
      <c r="F1504" s="3" t="str">
        <f>VLOOKUP(Base_Periodo1[[#This Row],[Aux]],Base_Contas_Balanco[#All],2,FALSE)</f>
        <v>Estoques Proprios</v>
      </c>
      <c r="G1504" s="1"/>
      <c r="H1504" s="225">
        <v>304884.54999985243</v>
      </c>
      <c r="I1504" s="225">
        <v>1223693.5999999999</v>
      </c>
      <c r="J1504" s="225">
        <v>756054.29999999981</v>
      </c>
      <c r="K1504" s="225">
        <v>772523.84999985248</v>
      </c>
      <c r="L15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772523.85</v>
      </c>
      <c r="M1504" s="225">
        <f>ROUND(IF(AND(Base_Periodo1[[#This Row],[Tipo_Linha]]="-",Base_Periodo1[[#This Row],[TIPOSALDO]]="D"),Base_Periodo1[[#This Row],[SALDO_ATUAL]]*-1,Base_Periodo1[[#This Row],[SALDO_ATUAL]]),4)</f>
        <v>772523.85</v>
      </c>
      <c r="N1504" t="s">
        <v>396</v>
      </c>
      <c r="O1504" t="s">
        <v>397</v>
      </c>
      <c r="P1504" t="s">
        <v>397</v>
      </c>
      <c r="Q1504">
        <v>6</v>
      </c>
      <c r="R1504" s="225">
        <f>Base_Periodo1[[#This Row],[CREDITOS]]-Base_Periodo1[[#This Row],[DEBITOS]]</f>
        <v>-467639.30000000005</v>
      </c>
      <c r="S1504" s="3" t="str">
        <f>IF(ISERROR(VLOOKUP(Base_Periodo1[[#This Row],[CONTA]],BaseContasDRE[#All],4,FALSE)),"Fora do DRE",VLOOKUP(Base_Periodo1[[#This Row],[CONTA]],BaseContasDRE[#All],4,FALSE))</f>
        <v>Fora do DRE</v>
      </c>
      <c r="T1504" s="3" t="str">
        <f>IF(ISERROR(VLOOKUP(Base_Periodo1[[#This Row],[CONTA]],BaseContasDRE[#All],5,FALSE)),"Fora do DRE",VLOOKUP(Base_Periodo1[[#This Row],[CONTA]],BaseContasDRE[#All],6,FALSE))</f>
        <v>Fora do DRE</v>
      </c>
      <c r="U1504" s="3" t="str">
        <f>IF(ISERROR(VLOOKUP(Base_Periodo1[[#This Row],[CONTA]],BaseContasDRE[#All],7,FALSE)),"Fora do DRE",VLOOKUP(Base_Periodo1[[#This Row],[CONTA]],BaseContasDRE[#All],7,FALSE))</f>
        <v>Fora do DRE</v>
      </c>
      <c r="V1504" s="3" t="str">
        <f>IF(Base_Periodo1[[#This Row],[Tipo_Linha]]="Fora do DRE","Fora do DRE","( "&amp;Base_Periodo1[[#This Row],[Tipo_Linha]]&amp;" ) "&amp;Base_Periodo1[[#This Row],[Filtro]])</f>
        <v>Fora do DRE</v>
      </c>
      <c r="W1504" s="3" t="str">
        <f>LEFT(Base_Periodo1[[#This Row],[CLASS]],3)</f>
        <v>1.1</v>
      </c>
    </row>
    <row r="1505" spans="1:23" hidden="1">
      <c r="A1505" s="3" t="str">
        <f t="shared" si="23"/>
        <v>Período 1</v>
      </c>
      <c r="B1505">
        <v>453</v>
      </c>
      <c r="C1505" t="s">
        <v>1246</v>
      </c>
      <c r="D1505" t="s">
        <v>1054</v>
      </c>
      <c r="E1505" s="3" t="str">
        <f>IF(LEN(Base_Periodo1[[#This Row],[CLASS]])&gt;=7,LEFT(Base_Periodo1[[#This Row],[CLASS]],7),"")</f>
        <v>1.1.3.1</v>
      </c>
      <c r="F1505" s="3" t="str">
        <f>VLOOKUP(Base_Periodo1[[#This Row],[Aux]],Base_Contas_Balanco[#All],2,FALSE)</f>
        <v>Estoques Proprios</v>
      </c>
      <c r="G1505" s="1"/>
      <c r="H1505" s="225">
        <v>627167.11000000685</v>
      </c>
      <c r="I1505" s="225">
        <v>0</v>
      </c>
      <c r="J1505" s="225">
        <v>0</v>
      </c>
      <c r="K1505" s="225">
        <v>627167.11000000685</v>
      </c>
      <c r="L15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627167.11</v>
      </c>
      <c r="M1505" s="225">
        <f>ROUND(IF(AND(Base_Periodo1[[#This Row],[Tipo_Linha]]="-",Base_Periodo1[[#This Row],[TIPOSALDO]]="D"),Base_Periodo1[[#This Row],[SALDO_ATUAL]]*-1,Base_Periodo1[[#This Row],[SALDO_ATUAL]]),4)</f>
        <v>627167.11</v>
      </c>
      <c r="N1505" t="s">
        <v>396</v>
      </c>
      <c r="O1505" t="s">
        <v>397</v>
      </c>
      <c r="P1505" t="s">
        <v>397</v>
      </c>
      <c r="Q1505">
        <v>8</v>
      </c>
      <c r="R1505" s="225">
        <f>Base_Periodo1[[#This Row],[CREDITOS]]-Base_Periodo1[[#This Row],[DEBITOS]]</f>
        <v>0</v>
      </c>
      <c r="S1505" s="3" t="str">
        <f>IF(ISERROR(VLOOKUP(Base_Periodo1[[#This Row],[CONTA]],BaseContasDRE[#All],4,FALSE)),"Fora do DRE",VLOOKUP(Base_Periodo1[[#This Row],[CONTA]],BaseContasDRE[#All],4,FALSE))</f>
        <v>Fora do DRE</v>
      </c>
      <c r="T1505" s="3" t="str">
        <f>IF(ISERROR(VLOOKUP(Base_Periodo1[[#This Row],[CONTA]],BaseContasDRE[#All],5,FALSE)),"Fora do DRE",VLOOKUP(Base_Periodo1[[#This Row],[CONTA]],BaseContasDRE[#All],6,FALSE))</f>
        <v>Fora do DRE</v>
      </c>
      <c r="U1505" s="3" t="str">
        <f>IF(ISERROR(VLOOKUP(Base_Periodo1[[#This Row],[CONTA]],BaseContasDRE[#All],7,FALSE)),"Fora do DRE",VLOOKUP(Base_Periodo1[[#This Row],[CONTA]],BaseContasDRE[#All],7,FALSE))</f>
        <v>Fora do DRE</v>
      </c>
      <c r="V1505" s="3" t="str">
        <f>IF(Base_Periodo1[[#This Row],[Tipo_Linha]]="Fora do DRE","Fora do DRE","( "&amp;Base_Periodo1[[#This Row],[Tipo_Linha]]&amp;" ) "&amp;Base_Periodo1[[#This Row],[Filtro]])</f>
        <v>Fora do DRE</v>
      </c>
      <c r="W1505" s="3" t="str">
        <f>LEFT(Base_Periodo1[[#This Row],[CLASS]],3)</f>
        <v>1.1</v>
      </c>
    </row>
    <row r="1506" spans="1:23" hidden="1">
      <c r="A1506" s="3" t="str">
        <f t="shared" si="23"/>
        <v>Período 1</v>
      </c>
      <c r="B1506">
        <v>454</v>
      </c>
      <c r="C1506" t="s">
        <v>1247</v>
      </c>
      <c r="D1506" t="s">
        <v>1054</v>
      </c>
      <c r="E1506" s="3" t="str">
        <f>IF(LEN(Base_Periodo1[[#This Row],[CLASS]])&gt;=7,LEFT(Base_Periodo1[[#This Row],[CLASS]],7),"")</f>
        <v>1.1.3.1</v>
      </c>
      <c r="F1506" s="3" t="str">
        <f>VLOOKUP(Base_Periodo1[[#This Row],[Aux]],Base_Contas_Balanco[#All],2,FALSE)</f>
        <v>Estoques Proprios</v>
      </c>
      <c r="G1506" s="1">
        <v>42735</v>
      </c>
      <c r="H1506" s="225">
        <v>627167.11000000685</v>
      </c>
      <c r="I1506" s="225">
        <v>0</v>
      </c>
      <c r="J1506" s="225">
        <v>0</v>
      </c>
      <c r="K1506" s="225">
        <v>627167.11000000685</v>
      </c>
      <c r="L15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627167.11</v>
      </c>
      <c r="M1506" s="225">
        <f>ROUND(IF(AND(Base_Periodo1[[#This Row],[Tipo_Linha]]="-",Base_Periodo1[[#This Row],[TIPOSALDO]]="D"),Base_Periodo1[[#This Row],[SALDO_ATUAL]]*-1,Base_Periodo1[[#This Row],[SALDO_ATUAL]]),4)</f>
        <v>627167.11</v>
      </c>
      <c r="N1506" t="s">
        <v>116</v>
      </c>
      <c r="O1506" t="s">
        <v>397</v>
      </c>
      <c r="P1506" t="s">
        <v>397</v>
      </c>
      <c r="Q1506">
        <v>9</v>
      </c>
      <c r="R1506" s="225">
        <f>Base_Periodo1[[#This Row],[CREDITOS]]-Base_Periodo1[[#This Row],[DEBITOS]]</f>
        <v>0</v>
      </c>
      <c r="S1506" s="3" t="str">
        <f>IF(ISERROR(VLOOKUP(Base_Periodo1[[#This Row],[CONTA]],BaseContasDRE[#All],4,FALSE)),"Fora do DRE",VLOOKUP(Base_Periodo1[[#This Row],[CONTA]],BaseContasDRE[#All],4,FALSE))</f>
        <v>Fora do DRE</v>
      </c>
      <c r="T1506" s="3" t="str">
        <f>IF(ISERROR(VLOOKUP(Base_Periodo1[[#This Row],[CONTA]],BaseContasDRE[#All],5,FALSE)),"Fora do DRE",VLOOKUP(Base_Periodo1[[#This Row],[CONTA]],BaseContasDRE[#All],6,FALSE))</f>
        <v>Fora do DRE</v>
      </c>
      <c r="U1506" s="3" t="str">
        <f>IF(ISERROR(VLOOKUP(Base_Periodo1[[#This Row],[CONTA]],BaseContasDRE[#All],7,FALSE)),"Fora do DRE",VLOOKUP(Base_Periodo1[[#This Row],[CONTA]],BaseContasDRE[#All],7,FALSE))</f>
        <v>Fora do DRE</v>
      </c>
      <c r="V1506" s="3" t="str">
        <f>IF(Base_Periodo1[[#This Row],[Tipo_Linha]]="Fora do DRE","Fora do DRE","( "&amp;Base_Periodo1[[#This Row],[Tipo_Linha]]&amp;" ) "&amp;Base_Periodo1[[#This Row],[Filtro]])</f>
        <v>Fora do DRE</v>
      </c>
      <c r="W1506" s="3" t="str">
        <f>LEFT(Base_Periodo1[[#This Row],[CLASS]],3)</f>
        <v>1.1</v>
      </c>
    </row>
    <row r="1507" spans="1:23" hidden="1">
      <c r="A1507" s="3" t="str">
        <f t="shared" si="23"/>
        <v>Período 1</v>
      </c>
      <c r="B1507">
        <v>455</v>
      </c>
      <c r="C1507" t="s">
        <v>5892</v>
      </c>
      <c r="D1507" t="s">
        <v>1057</v>
      </c>
      <c r="E1507" s="3" t="str">
        <f>IF(LEN(Base_Periodo1[[#This Row],[CLASS]])&gt;=7,LEFT(Base_Periodo1[[#This Row],[CLASS]],7),"")</f>
        <v>1.1.3.1</v>
      </c>
      <c r="F1507" s="3" t="str">
        <f>VLOOKUP(Base_Periodo1[[#This Row],[Aux]],Base_Contas_Balanco[#All],2,FALSE)</f>
        <v>Estoques Proprios</v>
      </c>
      <c r="G1507" s="1"/>
      <c r="H1507" s="225">
        <v>21546.239999977872</v>
      </c>
      <c r="I1507" s="225">
        <v>0</v>
      </c>
      <c r="J1507" s="225">
        <v>0</v>
      </c>
      <c r="K1507" s="225">
        <v>21546.239999977872</v>
      </c>
      <c r="L15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21546.240000000002</v>
      </c>
      <c r="M1507" s="225">
        <f>ROUND(IF(AND(Base_Periodo1[[#This Row],[Tipo_Linha]]="-",Base_Periodo1[[#This Row],[TIPOSALDO]]="D"),Base_Periodo1[[#This Row],[SALDO_ATUAL]]*-1,Base_Periodo1[[#This Row],[SALDO_ATUAL]]),4)</f>
        <v>21546.240000000002</v>
      </c>
      <c r="N1507" t="s">
        <v>396</v>
      </c>
      <c r="O1507" t="s">
        <v>397</v>
      </c>
      <c r="P1507" t="s">
        <v>397</v>
      </c>
      <c r="Q1507">
        <v>8</v>
      </c>
      <c r="R1507" s="225">
        <f>Base_Periodo1[[#This Row],[CREDITOS]]-Base_Periodo1[[#This Row],[DEBITOS]]</f>
        <v>0</v>
      </c>
      <c r="S1507" s="3" t="str">
        <f>IF(ISERROR(VLOOKUP(Base_Periodo1[[#This Row],[CONTA]],BaseContasDRE[#All],4,FALSE)),"Fora do DRE",VLOOKUP(Base_Periodo1[[#This Row],[CONTA]],BaseContasDRE[#All],4,FALSE))</f>
        <v>Fora do DRE</v>
      </c>
      <c r="T1507" s="3" t="str">
        <f>IF(ISERROR(VLOOKUP(Base_Periodo1[[#This Row],[CONTA]],BaseContasDRE[#All],5,FALSE)),"Fora do DRE",VLOOKUP(Base_Periodo1[[#This Row],[CONTA]],BaseContasDRE[#All],6,FALSE))</f>
        <v>Fora do DRE</v>
      </c>
      <c r="U1507" s="3" t="str">
        <f>IF(ISERROR(VLOOKUP(Base_Periodo1[[#This Row],[CONTA]],BaseContasDRE[#All],7,FALSE)),"Fora do DRE",VLOOKUP(Base_Periodo1[[#This Row],[CONTA]],BaseContasDRE[#All],7,FALSE))</f>
        <v>Fora do DRE</v>
      </c>
      <c r="V1507" s="3" t="str">
        <f>IF(Base_Periodo1[[#This Row],[Tipo_Linha]]="Fora do DRE","Fora do DRE","( "&amp;Base_Periodo1[[#This Row],[Tipo_Linha]]&amp;" ) "&amp;Base_Periodo1[[#This Row],[Filtro]])</f>
        <v>Fora do DRE</v>
      </c>
      <c r="W1507" s="3" t="str">
        <f>LEFT(Base_Periodo1[[#This Row],[CLASS]],3)</f>
        <v>1.1</v>
      </c>
    </row>
    <row r="1508" spans="1:23" hidden="1">
      <c r="A1508" s="3" t="str">
        <f t="shared" si="23"/>
        <v>Período 1</v>
      </c>
      <c r="B1508">
        <v>456</v>
      </c>
      <c r="C1508" t="s">
        <v>6242</v>
      </c>
      <c r="D1508" t="s">
        <v>1059</v>
      </c>
      <c r="E1508" s="3" t="str">
        <f>IF(LEN(Base_Periodo1[[#This Row],[CLASS]])&gt;=7,LEFT(Base_Periodo1[[#This Row],[CLASS]],7),"")</f>
        <v>1.1.3.1</v>
      </c>
      <c r="F1508" s="3" t="str">
        <f>VLOOKUP(Base_Periodo1[[#This Row],[Aux]],Base_Contas_Balanco[#All],2,FALSE)</f>
        <v>Estoques Proprios</v>
      </c>
      <c r="G1508" s="1">
        <v>42855</v>
      </c>
      <c r="H1508" s="225">
        <v>954.48000000230968</v>
      </c>
      <c r="I1508" s="225">
        <v>0</v>
      </c>
      <c r="J1508" s="225">
        <v>0</v>
      </c>
      <c r="K1508" s="225">
        <v>954.48000000230968</v>
      </c>
      <c r="L15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954.48</v>
      </c>
      <c r="M1508" s="225">
        <f>ROUND(IF(AND(Base_Periodo1[[#This Row],[Tipo_Linha]]="-",Base_Periodo1[[#This Row],[TIPOSALDO]]="D"),Base_Periodo1[[#This Row],[SALDO_ATUAL]]*-1,Base_Periodo1[[#This Row],[SALDO_ATUAL]]),4)</f>
        <v>954.48</v>
      </c>
      <c r="N1508" t="s">
        <v>116</v>
      </c>
      <c r="O1508" t="s">
        <v>397</v>
      </c>
      <c r="P1508" t="s">
        <v>397</v>
      </c>
      <c r="Q1508">
        <v>9</v>
      </c>
      <c r="R1508" s="225">
        <f>Base_Periodo1[[#This Row],[CREDITOS]]-Base_Periodo1[[#This Row],[DEBITOS]]</f>
        <v>0</v>
      </c>
      <c r="S1508" s="3" t="str">
        <f>IF(ISERROR(VLOOKUP(Base_Periodo1[[#This Row],[CONTA]],BaseContasDRE[#All],4,FALSE)),"Fora do DRE",VLOOKUP(Base_Periodo1[[#This Row],[CONTA]],BaseContasDRE[#All],4,FALSE))</f>
        <v>Fora do DRE</v>
      </c>
      <c r="T1508" s="3" t="str">
        <f>IF(ISERROR(VLOOKUP(Base_Periodo1[[#This Row],[CONTA]],BaseContasDRE[#All],5,FALSE)),"Fora do DRE",VLOOKUP(Base_Periodo1[[#This Row],[CONTA]],BaseContasDRE[#All],6,FALSE))</f>
        <v>Fora do DRE</v>
      </c>
      <c r="U1508" s="3" t="str">
        <f>IF(ISERROR(VLOOKUP(Base_Periodo1[[#This Row],[CONTA]],BaseContasDRE[#All],7,FALSE)),"Fora do DRE",VLOOKUP(Base_Periodo1[[#This Row],[CONTA]],BaseContasDRE[#All],7,FALSE))</f>
        <v>Fora do DRE</v>
      </c>
      <c r="V1508" s="3" t="str">
        <f>IF(Base_Periodo1[[#This Row],[Tipo_Linha]]="Fora do DRE","Fora do DRE","( "&amp;Base_Periodo1[[#This Row],[Tipo_Linha]]&amp;" ) "&amp;Base_Periodo1[[#This Row],[Filtro]])</f>
        <v>Fora do DRE</v>
      </c>
      <c r="W1508" s="3" t="str">
        <f>LEFT(Base_Periodo1[[#This Row],[CLASS]],3)</f>
        <v>1.1</v>
      </c>
    </row>
    <row r="1509" spans="1:23" hidden="1">
      <c r="A1509" s="3" t="str">
        <f t="shared" si="23"/>
        <v>Período 1</v>
      </c>
      <c r="B1509">
        <v>457</v>
      </c>
      <c r="C1509" t="s">
        <v>5893</v>
      </c>
      <c r="D1509" t="s">
        <v>1061</v>
      </c>
      <c r="E1509" s="3" t="str">
        <f>IF(LEN(Base_Periodo1[[#This Row],[CLASS]])&gt;=7,LEFT(Base_Periodo1[[#This Row],[CLASS]],7),"")</f>
        <v>1.1.3.1</v>
      </c>
      <c r="F1509" s="3" t="str">
        <f>VLOOKUP(Base_Periodo1[[#This Row],[Aux]],Base_Contas_Balanco[#All],2,FALSE)</f>
        <v>Estoques Proprios</v>
      </c>
      <c r="G1509" s="1">
        <v>42779</v>
      </c>
      <c r="H1509" s="225">
        <v>20591.759999975562</v>
      </c>
      <c r="I1509" s="225">
        <v>0</v>
      </c>
      <c r="J1509" s="225">
        <v>0</v>
      </c>
      <c r="K1509" s="225">
        <v>20591.759999975562</v>
      </c>
      <c r="L15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20591.759999999998</v>
      </c>
      <c r="M1509" s="225">
        <f>ROUND(IF(AND(Base_Periodo1[[#This Row],[Tipo_Linha]]="-",Base_Periodo1[[#This Row],[TIPOSALDO]]="D"),Base_Periodo1[[#This Row],[SALDO_ATUAL]]*-1,Base_Periodo1[[#This Row],[SALDO_ATUAL]]),4)</f>
        <v>20591.759999999998</v>
      </c>
      <c r="N1509" t="s">
        <v>116</v>
      </c>
      <c r="O1509" t="s">
        <v>397</v>
      </c>
      <c r="P1509" t="s">
        <v>397</v>
      </c>
      <c r="Q1509">
        <v>9</v>
      </c>
      <c r="R1509" s="225">
        <f>Base_Periodo1[[#This Row],[CREDITOS]]-Base_Periodo1[[#This Row],[DEBITOS]]</f>
        <v>0</v>
      </c>
      <c r="S1509" s="3" t="str">
        <f>IF(ISERROR(VLOOKUP(Base_Periodo1[[#This Row],[CONTA]],BaseContasDRE[#All],4,FALSE)),"Fora do DRE",VLOOKUP(Base_Periodo1[[#This Row],[CONTA]],BaseContasDRE[#All],4,FALSE))</f>
        <v>Fora do DRE</v>
      </c>
      <c r="T1509" s="3" t="str">
        <f>IF(ISERROR(VLOOKUP(Base_Periodo1[[#This Row],[CONTA]],BaseContasDRE[#All],5,FALSE)),"Fora do DRE",VLOOKUP(Base_Periodo1[[#This Row],[CONTA]],BaseContasDRE[#All],6,FALSE))</f>
        <v>Fora do DRE</v>
      </c>
      <c r="U1509" s="3" t="str">
        <f>IF(ISERROR(VLOOKUP(Base_Periodo1[[#This Row],[CONTA]],BaseContasDRE[#All],7,FALSE)),"Fora do DRE",VLOOKUP(Base_Periodo1[[#This Row],[CONTA]],BaseContasDRE[#All],7,FALSE))</f>
        <v>Fora do DRE</v>
      </c>
      <c r="V1509" s="3" t="str">
        <f>IF(Base_Periodo1[[#This Row],[Tipo_Linha]]="Fora do DRE","Fora do DRE","( "&amp;Base_Periodo1[[#This Row],[Tipo_Linha]]&amp;" ) "&amp;Base_Periodo1[[#This Row],[Filtro]])</f>
        <v>Fora do DRE</v>
      </c>
      <c r="W1509" s="3" t="str">
        <f>LEFT(Base_Periodo1[[#This Row],[CLASS]],3)</f>
        <v>1.1</v>
      </c>
    </row>
    <row r="1510" spans="1:23" hidden="1">
      <c r="A1510" s="3" t="str">
        <f t="shared" si="23"/>
        <v>Período 1</v>
      </c>
      <c r="B1510">
        <v>460</v>
      </c>
      <c r="C1510" t="s">
        <v>1248</v>
      </c>
      <c r="D1510" t="s">
        <v>1063</v>
      </c>
      <c r="E1510" s="3" t="str">
        <f>IF(LEN(Base_Periodo1[[#This Row],[CLASS]])&gt;=7,LEFT(Base_Periodo1[[#This Row],[CLASS]],7),"")</f>
        <v>1.1.3.1</v>
      </c>
      <c r="F1510" s="3" t="str">
        <f>VLOOKUP(Base_Periodo1[[#This Row],[Aux]],Base_Contas_Balanco[#All],2,FALSE)</f>
        <v>Estoques Proprios</v>
      </c>
      <c r="G1510" s="1"/>
      <c r="H1510" s="225">
        <v>641264.50999999419</v>
      </c>
      <c r="I1510" s="225">
        <v>0</v>
      </c>
      <c r="J1510" s="225">
        <v>0</v>
      </c>
      <c r="K1510" s="225">
        <v>641264.50999999419</v>
      </c>
      <c r="L15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641264.51</v>
      </c>
      <c r="M1510" s="225">
        <f>ROUND(IF(AND(Base_Periodo1[[#This Row],[Tipo_Linha]]="-",Base_Periodo1[[#This Row],[TIPOSALDO]]="D"),Base_Periodo1[[#This Row],[SALDO_ATUAL]]*-1,Base_Periodo1[[#This Row],[SALDO_ATUAL]]),4)</f>
        <v>641264.51</v>
      </c>
      <c r="N1510" t="s">
        <v>396</v>
      </c>
      <c r="O1510" t="s">
        <v>397</v>
      </c>
      <c r="P1510" t="s">
        <v>397</v>
      </c>
      <c r="Q1510">
        <v>8</v>
      </c>
      <c r="R1510" s="225">
        <f>Base_Periodo1[[#This Row],[CREDITOS]]-Base_Periodo1[[#This Row],[DEBITOS]]</f>
        <v>0</v>
      </c>
      <c r="S1510" s="3" t="str">
        <f>IF(ISERROR(VLOOKUP(Base_Periodo1[[#This Row],[CONTA]],BaseContasDRE[#All],4,FALSE)),"Fora do DRE",VLOOKUP(Base_Periodo1[[#This Row],[CONTA]],BaseContasDRE[#All],4,FALSE))</f>
        <v>Fora do DRE</v>
      </c>
      <c r="T1510" s="3" t="str">
        <f>IF(ISERROR(VLOOKUP(Base_Periodo1[[#This Row],[CONTA]],BaseContasDRE[#All],5,FALSE)),"Fora do DRE",VLOOKUP(Base_Periodo1[[#This Row],[CONTA]],BaseContasDRE[#All],6,FALSE))</f>
        <v>Fora do DRE</v>
      </c>
      <c r="U1510" s="3" t="str">
        <f>IF(ISERROR(VLOOKUP(Base_Periodo1[[#This Row],[CONTA]],BaseContasDRE[#All],7,FALSE)),"Fora do DRE",VLOOKUP(Base_Periodo1[[#This Row],[CONTA]],BaseContasDRE[#All],7,FALSE))</f>
        <v>Fora do DRE</v>
      </c>
      <c r="V1510" s="3" t="str">
        <f>IF(Base_Periodo1[[#This Row],[Tipo_Linha]]="Fora do DRE","Fora do DRE","( "&amp;Base_Periodo1[[#This Row],[Tipo_Linha]]&amp;" ) "&amp;Base_Periodo1[[#This Row],[Filtro]])</f>
        <v>Fora do DRE</v>
      </c>
      <c r="W1510" s="3" t="str">
        <f>LEFT(Base_Periodo1[[#This Row],[CLASS]],3)</f>
        <v>1.1</v>
      </c>
    </row>
    <row r="1511" spans="1:23" hidden="1">
      <c r="A1511" s="3" t="str">
        <f t="shared" si="23"/>
        <v>Período 1</v>
      </c>
      <c r="B1511">
        <v>461</v>
      </c>
      <c r="C1511" t="s">
        <v>1249</v>
      </c>
      <c r="D1511" t="s">
        <v>1065</v>
      </c>
      <c r="E1511" s="3" t="str">
        <f>IF(LEN(Base_Periodo1[[#This Row],[CLASS]])&gt;=7,LEFT(Base_Periodo1[[#This Row],[CLASS]],7),"")</f>
        <v>1.1.3.1</v>
      </c>
      <c r="F1511" s="3" t="str">
        <f>VLOOKUP(Base_Periodo1[[#This Row],[Aux]],Base_Contas_Balanco[#All],2,FALSE)</f>
        <v>Estoques Proprios</v>
      </c>
      <c r="G1511" s="1">
        <v>42843</v>
      </c>
      <c r="H1511" s="225">
        <v>641264.50999999419</v>
      </c>
      <c r="I1511" s="225">
        <v>0</v>
      </c>
      <c r="J1511" s="225">
        <v>0</v>
      </c>
      <c r="K1511" s="225">
        <v>641264.50999999419</v>
      </c>
      <c r="L15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641264.51</v>
      </c>
      <c r="M1511" s="225">
        <f>ROUND(IF(AND(Base_Periodo1[[#This Row],[Tipo_Linha]]="-",Base_Periodo1[[#This Row],[TIPOSALDO]]="D"),Base_Periodo1[[#This Row],[SALDO_ATUAL]]*-1,Base_Periodo1[[#This Row],[SALDO_ATUAL]]),4)</f>
        <v>641264.51</v>
      </c>
      <c r="N1511" t="s">
        <v>116</v>
      </c>
      <c r="O1511" t="s">
        <v>397</v>
      </c>
      <c r="P1511" t="s">
        <v>397</v>
      </c>
      <c r="Q1511">
        <v>9</v>
      </c>
      <c r="R1511" s="225">
        <f>Base_Periodo1[[#This Row],[CREDITOS]]-Base_Periodo1[[#This Row],[DEBITOS]]</f>
        <v>0</v>
      </c>
      <c r="S1511" s="3" t="str">
        <f>IF(ISERROR(VLOOKUP(Base_Periodo1[[#This Row],[CONTA]],BaseContasDRE[#All],4,FALSE)),"Fora do DRE",VLOOKUP(Base_Periodo1[[#This Row],[CONTA]],BaseContasDRE[#All],4,FALSE))</f>
        <v>Fora do DRE</v>
      </c>
      <c r="T1511" s="3" t="str">
        <f>IF(ISERROR(VLOOKUP(Base_Periodo1[[#This Row],[CONTA]],BaseContasDRE[#All],5,FALSE)),"Fora do DRE",VLOOKUP(Base_Periodo1[[#This Row],[CONTA]],BaseContasDRE[#All],6,FALSE))</f>
        <v>Fora do DRE</v>
      </c>
      <c r="U1511" s="3" t="str">
        <f>IF(ISERROR(VLOOKUP(Base_Periodo1[[#This Row],[CONTA]],BaseContasDRE[#All],7,FALSE)),"Fora do DRE",VLOOKUP(Base_Periodo1[[#This Row],[CONTA]],BaseContasDRE[#All],7,FALSE))</f>
        <v>Fora do DRE</v>
      </c>
      <c r="V1511" s="3" t="str">
        <f>IF(Base_Periodo1[[#This Row],[Tipo_Linha]]="Fora do DRE","Fora do DRE","( "&amp;Base_Periodo1[[#This Row],[Tipo_Linha]]&amp;" ) "&amp;Base_Periodo1[[#This Row],[Filtro]])</f>
        <v>Fora do DRE</v>
      </c>
      <c r="W1511" s="3" t="str">
        <f>LEFT(Base_Periodo1[[#This Row],[CLASS]],3)</f>
        <v>1.1</v>
      </c>
    </row>
    <row r="1512" spans="1:23" hidden="1">
      <c r="A1512" s="3" t="str">
        <f t="shared" si="23"/>
        <v>Período 1</v>
      </c>
      <c r="B1512">
        <v>468</v>
      </c>
      <c r="C1512" t="s">
        <v>1250</v>
      </c>
      <c r="D1512" t="s">
        <v>1067</v>
      </c>
      <c r="E1512" s="3" t="str">
        <f>IF(LEN(Base_Periodo1[[#This Row],[CLASS]])&gt;=7,LEFT(Base_Periodo1[[#This Row],[CLASS]],7),"")</f>
        <v>1.1.3.1</v>
      </c>
      <c r="F1512" s="3" t="str">
        <f>VLOOKUP(Base_Periodo1[[#This Row],[Aux]],Base_Contas_Balanco[#All],2,FALSE)</f>
        <v>Estoques Proprios</v>
      </c>
      <c r="G1512" s="1"/>
      <c r="H1512" s="225">
        <v>577837.77000000514</v>
      </c>
      <c r="I1512" s="225">
        <v>0</v>
      </c>
      <c r="J1512" s="225">
        <v>0</v>
      </c>
      <c r="K1512" s="225">
        <v>577837.77000000514</v>
      </c>
      <c r="L15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-577837.77</v>
      </c>
      <c r="M1512" s="225">
        <f>ROUND(IF(AND(Base_Periodo1[[#This Row],[Tipo_Linha]]="-",Base_Periodo1[[#This Row],[TIPOSALDO]]="D"),Base_Periodo1[[#This Row],[SALDO_ATUAL]]*-1,Base_Periodo1[[#This Row],[SALDO_ATUAL]]),4)</f>
        <v>577837.77</v>
      </c>
      <c r="N1512" t="s">
        <v>396</v>
      </c>
      <c r="O1512" t="s">
        <v>459</v>
      </c>
      <c r="P1512" t="s">
        <v>459</v>
      </c>
      <c r="Q1512">
        <v>8</v>
      </c>
      <c r="R1512" s="225">
        <f>Base_Periodo1[[#This Row],[CREDITOS]]-Base_Periodo1[[#This Row],[DEBITOS]]</f>
        <v>0</v>
      </c>
      <c r="S1512" s="3" t="str">
        <f>IF(ISERROR(VLOOKUP(Base_Periodo1[[#This Row],[CONTA]],BaseContasDRE[#All],4,FALSE)),"Fora do DRE",VLOOKUP(Base_Periodo1[[#This Row],[CONTA]],BaseContasDRE[#All],4,FALSE))</f>
        <v>Fora do DRE</v>
      </c>
      <c r="T1512" s="3" t="str">
        <f>IF(ISERROR(VLOOKUP(Base_Periodo1[[#This Row],[CONTA]],BaseContasDRE[#All],5,FALSE)),"Fora do DRE",VLOOKUP(Base_Periodo1[[#This Row],[CONTA]],BaseContasDRE[#All],6,FALSE))</f>
        <v>Fora do DRE</v>
      </c>
      <c r="U1512" s="3" t="str">
        <f>IF(ISERROR(VLOOKUP(Base_Periodo1[[#This Row],[CONTA]],BaseContasDRE[#All],7,FALSE)),"Fora do DRE",VLOOKUP(Base_Periodo1[[#This Row],[CONTA]],BaseContasDRE[#All],7,FALSE))</f>
        <v>Fora do DRE</v>
      </c>
      <c r="V1512" s="3" t="str">
        <f>IF(Base_Periodo1[[#This Row],[Tipo_Linha]]="Fora do DRE","Fora do DRE","( "&amp;Base_Periodo1[[#This Row],[Tipo_Linha]]&amp;" ) "&amp;Base_Periodo1[[#This Row],[Filtro]])</f>
        <v>Fora do DRE</v>
      </c>
      <c r="W1512" s="3" t="str">
        <f>LEFT(Base_Periodo1[[#This Row],[CLASS]],3)</f>
        <v>1.1</v>
      </c>
    </row>
    <row r="1513" spans="1:23" hidden="1">
      <c r="A1513" s="3" t="str">
        <f t="shared" si="23"/>
        <v>Período 1</v>
      </c>
      <c r="B1513">
        <v>469</v>
      </c>
      <c r="C1513" t="s">
        <v>1251</v>
      </c>
      <c r="D1513" t="s">
        <v>1068</v>
      </c>
      <c r="E1513" s="3" t="str">
        <f>IF(LEN(Base_Periodo1[[#This Row],[CLASS]])&gt;=7,LEFT(Base_Periodo1[[#This Row],[CLASS]],7),"")</f>
        <v>1.1.3.1</v>
      </c>
      <c r="F1513" s="3" t="str">
        <f>VLOOKUP(Base_Periodo1[[#This Row],[Aux]],Base_Contas_Balanco[#All],2,FALSE)</f>
        <v>Estoques Proprios</v>
      </c>
      <c r="G1513" s="1">
        <v>42855</v>
      </c>
      <c r="H1513" s="225">
        <v>441822.25000000373</v>
      </c>
      <c r="I1513" s="225">
        <v>0</v>
      </c>
      <c r="J1513" s="225">
        <v>0</v>
      </c>
      <c r="K1513" s="225">
        <v>441822.25000000373</v>
      </c>
      <c r="L15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-441822.25</v>
      </c>
      <c r="M1513" s="225">
        <f>ROUND(IF(AND(Base_Periodo1[[#This Row],[Tipo_Linha]]="-",Base_Periodo1[[#This Row],[TIPOSALDO]]="D"),Base_Periodo1[[#This Row],[SALDO_ATUAL]]*-1,Base_Periodo1[[#This Row],[SALDO_ATUAL]]),4)</f>
        <v>441822.25</v>
      </c>
      <c r="N1513" t="s">
        <v>116</v>
      </c>
      <c r="O1513" t="s">
        <v>459</v>
      </c>
      <c r="P1513" t="s">
        <v>459</v>
      </c>
      <c r="Q1513">
        <v>9</v>
      </c>
      <c r="R1513" s="225">
        <f>Base_Periodo1[[#This Row],[CREDITOS]]-Base_Periodo1[[#This Row],[DEBITOS]]</f>
        <v>0</v>
      </c>
      <c r="S1513" s="3" t="str">
        <f>IF(ISERROR(VLOOKUP(Base_Periodo1[[#This Row],[CONTA]],BaseContasDRE[#All],4,FALSE)),"Fora do DRE",VLOOKUP(Base_Periodo1[[#This Row],[CONTA]],BaseContasDRE[#All],4,FALSE))</f>
        <v>Fora do DRE</v>
      </c>
      <c r="T1513" s="3" t="str">
        <f>IF(ISERROR(VLOOKUP(Base_Periodo1[[#This Row],[CONTA]],BaseContasDRE[#All],5,FALSE)),"Fora do DRE",VLOOKUP(Base_Periodo1[[#This Row],[CONTA]],BaseContasDRE[#All],6,FALSE))</f>
        <v>Fora do DRE</v>
      </c>
      <c r="U1513" s="3" t="str">
        <f>IF(ISERROR(VLOOKUP(Base_Periodo1[[#This Row],[CONTA]],BaseContasDRE[#All],7,FALSE)),"Fora do DRE",VLOOKUP(Base_Periodo1[[#This Row],[CONTA]],BaseContasDRE[#All],7,FALSE))</f>
        <v>Fora do DRE</v>
      </c>
      <c r="V1513" s="3" t="str">
        <f>IF(Base_Periodo1[[#This Row],[Tipo_Linha]]="Fora do DRE","Fora do DRE","( "&amp;Base_Periodo1[[#This Row],[Tipo_Linha]]&amp;" ) "&amp;Base_Periodo1[[#This Row],[Filtro]])</f>
        <v>Fora do DRE</v>
      </c>
      <c r="W1513" s="3" t="str">
        <f>LEFT(Base_Periodo1[[#This Row],[CLASS]],3)</f>
        <v>1.1</v>
      </c>
    </row>
    <row r="1514" spans="1:23" hidden="1">
      <c r="A1514" s="3" t="str">
        <f t="shared" si="23"/>
        <v>Período 1</v>
      </c>
      <c r="B1514">
        <v>470</v>
      </c>
      <c r="C1514" t="s">
        <v>1252</v>
      </c>
      <c r="D1514" t="s">
        <v>1070</v>
      </c>
      <c r="E1514" s="3" t="str">
        <f>IF(LEN(Base_Periodo1[[#This Row],[CLASS]])&gt;=7,LEFT(Base_Periodo1[[#This Row],[CLASS]],7),"")</f>
        <v>1.1.3.1</v>
      </c>
      <c r="F1514" s="3" t="str">
        <f>VLOOKUP(Base_Periodo1[[#This Row],[Aux]],Base_Contas_Balanco[#All],2,FALSE)</f>
        <v>Estoques Proprios</v>
      </c>
      <c r="G1514" s="1">
        <v>42855</v>
      </c>
      <c r="H1514" s="225">
        <v>136015.52000000142</v>
      </c>
      <c r="I1514" s="225">
        <v>0</v>
      </c>
      <c r="J1514" s="225">
        <v>0</v>
      </c>
      <c r="K1514" s="225">
        <v>136015.52000000142</v>
      </c>
      <c r="L15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-136015.51999999999</v>
      </c>
      <c r="M1514" s="225">
        <f>ROUND(IF(AND(Base_Periodo1[[#This Row],[Tipo_Linha]]="-",Base_Periodo1[[#This Row],[TIPOSALDO]]="D"),Base_Periodo1[[#This Row],[SALDO_ATUAL]]*-1,Base_Periodo1[[#This Row],[SALDO_ATUAL]]),4)</f>
        <v>136015.51999999999</v>
      </c>
      <c r="N1514" t="s">
        <v>116</v>
      </c>
      <c r="O1514" t="s">
        <v>459</v>
      </c>
      <c r="P1514" t="s">
        <v>459</v>
      </c>
      <c r="Q1514">
        <v>9</v>
      </c>
      <c r="R1514" s="225">
        <f>Base_Periodo1[[#This Row],[CREDITOS]]-Base_Periodo1[[#This Row],[DEBITOS]]</f>
        <v>0</v>
      </c>
      <c r="S1514" s="3" t="str">
        <f>IF(ISERROR(VLOOKUP(Base_Periodo1[[#This Row],[CONTA]],BaseContasDRE[#All],4,FALSE)),"Fora do DRE",VLOOKUP(Base_Periodo1[[#This Row],[CONTA]],BaseContasDRE[#All],4,FALSE))</f>
        <v>Fora do DRE</v>
      </c>
      <c r="T1514" s="3" t="str">
        <f>IF(ISERROR(VLOOKUP(Base_Periodo1[[#This Row],[CONTA]],BaseContasDRE[#All],5,FALSE)),"Fora do DRE",VLOOKUP(Base_Periodo1[[#This Row],[CONTA]],BaseContasDRE[#All],6,FALSE))</f>
        <v>Fora do DRE</v>
      </c>
      <c r="U1514" s="3" t="str">
        <f>IF(ISERROR(VLOOKUP(Base_Periodo1[[#This Row],[CONTA]],BaseContasDRE[#All],7,FALSE)),"Fora do DRE",VLOOKUP(Base_Periodo1[[#This Row],[CONTA]],BaseContasDRE[#All],7,FALSE))</f>
        <v>Fora do DRE</v>
      </c>
      <c r="V1514" s="3" t="str">
        <f>IF(Base_Periodo1[[#This Row],[Tipo_Linha]]="Fora do DRE","Fora do DRE","( "&amp;Base_Periodo1[[#This Row],[Tipo_Linha]]&amp;" ) "&amp;Base_Periodo1[[#This Row],[Filtro]])</f>
        <v>Fora do DRE</v>
      </c>
      <c r="W1514" s="3" t="str">
        <f>LEFT(Base_Periodo1[[#This Row],[CLASS]],3)</f>
        <v>1.1</v>
      </c>
    </row>
    <row r="1515" spans="1:23" hidden="1">
      <c r="A1515" s="3" t="str">
        <f t="shared" si="23"/>
        <v>Período 1</v>
      </c>
      <c r="B1515">
        <v>471</v>
      </c>
      <c r="C1515" t="s">
        <v>6243</v>
      </c>
      <c r="D1515" t="s">
        <v>1166</v>
      </c>
      <c r="E1515" s="3" t="str">
        <f>IF(LEN(Base_Periodo1[[#This Row],[CLASS]])&gt;=7,LEFT(Base_Periodo1[[#This Row],[CLASS]],7),"")</f>
        <v>1.1.3.1</v>
      </c>
      <c r="F1515" s="3" t="str">
        <f>VLOOKUP(Base_Periodo1[[#This Row],[Aux]],Base_Contas_Balanco[#All],2,FALSE)</f>
        <v>Estoques Proprios</v>
      </c>
      <c r="G1515" s="1"/>
      <c r="H1515" s="225">
        <v>10786.160000000003</v>
      </c>
      <c r="I1515" s="225">
        <v>0</v>
      </c>
      <c r="J1515" s="225">
        <v>0</v>
      </c>
      <c r="K1515" s="225">
        <v>10786.160000000003</v>
      </c>
      <c r="L15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-10786.16</v>
      </c>
      <c r="M1515" s="225">
        <f>ROUND(IF(AND(Base_Periodo1[[#This Row],[Tipo_Linha]]="-",Base_Periodo1[[#This Row],[TIPOSALDO]]="D"),Base_Periodo1[[#This Row],[SALDO_ATUAL]]*-1,Base_Periodo1[[#This Row],[SALDO_ATUAL]]),4)</f>
        <v>10786.16</v>
      </c>
      <c r="N1515" t="s">
        <v>396</v>
      </c>
      <c r="O1515" t="s">
        <v>459</v>
      </c>
      <c r="P1515" t="s">
        <v>459</v>
      </c>
      <c r="Q1515">
        <v>8</v>
      </c>
      <c r="R1515" s="225">
        <f>Base_Periodo1[[#This Row],[CREDITOS]]-Base_Periodo1[[#This Row],[DEBITOS]]</f>
        <v>0</v>
      </c>
      <c r="S1515" s="3" t="str">
        <f>IF(ISERROR(VLOOKUP(Base_Periodo1[[#This Row],[CONTA]],BaseContasDRE[#All],4,FALSE)),"Fora do DRE",VLOOKUP(Base_Periodo1[[#This Row],[CONTA]],BaseContasDRE[#All],4,FALSE))</f>
        <v>Fora do DRE</v>
      </c>
      <c r="T1515" s="3" t="str">
        <f>IF(ISERROR(VLOOKUP(Base_Periodo1[[#This Row],[CONTA]],BaseContasDRE[#All],5,FALSE)),"Fora do DRE",VLOOKUP(Base_Periodo1[[#This Row],[CONTA]],BaseContasDRE[#All],6,FALSE))</f>
        <v>Fora do DRE</v>
      </c>
      <c r="U1515" s="3" t="str">
        <f>IF(ISERROR(VLOOKUP(Base_Periodo1[[#This Row],[CONTA]],BaseContasDRE[#All],7,FALSE)),"Fora do DRE",VLOOKUP(Base_Periodo1[[#This Row],[CONTA]],BaseContasDRE[#All],7,FALSE))</f>
        <v>Fora do DRE</v>
      </c>
      <c r="V1515" s="3" t="str">
        <f>IF(Base_Periodo1[[#This Row],[Tipo_Linha]]="Fora do DRE","Fora do DRE","( "&amp;Base_Periodo1[[#This Row],[Tipo_Linha]]&amp;" ) "&amp;Base_Periodo1[[#This Row],[Filtro]])</f>
        <v>Fora do DRE</v>
      </c>
      <c r="W1515" s="3" t="str">
        <f>LEFT(Base_Periodo1[[#This Row],[CLASS]],3)</f>
        <v>1.1</v>
      </c>
    </row>
    <row r="1516" spans="1:23" hidden="1">
      <c r="A1516" s="3" t="str">
        <f t="shared" si="23"/>
        <v>Período 1</v>
      </c>
      <c r="B1516">
        <v>473</v>
      </c>
      <c r="C1516" t="s">
        <v>6244</v>
      </c>
      <c r="D1516" t="s">
        <v>1167</v>
      </c>
      <c r="E1516" s="3" t="str">
        <f>IF(LEN(Base_Periodo1[[#This Row],[CLASS]])&gt;=7,LEFT(Base_Periodo1[[#This Row],[CLASS]],7),"")</f>
        <v>1.1.3.1</v>
      </c>
      <c r="F1516" s="3" t="str">
        <f>VLOOKUP(Base_Periodo1[[#This Row],[Aux]],Base_Contas_Balanco[#All],2,FALSE)</f>
        <v>Estoques Proprios</v>
      </c>
      <c r="G1516" s="1">
        <v>42809</v>
      </c>
      <c r="H1516" s="225">
        <v>10786.160000000003</v>
      </c>
      <c r="I1516" s="225">
        <v>0</v>
      </c>
      <c r="J1516" s="225">
        <v>0</v>
      </c>
      <c r="K1516" s="225">
        <v>10786.160000000003</v>
      </c>
      <c r="L15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-10786.16</v>
      </c>
      <c r="M1516" s="225">
        <f>ROUND(IF(AND(Base_Periodo1[[#This Row],[Tipo_Linha]]="-",Base_Periodo1[[#This Row],[TIPOSALDO]]="D"),Base_Periodo1[[#This Row],[SALDO_ATUAL]]*-1,Base_Periodo1[[#This Row],[SALDO_ATUAL]]),4)</f>
        <v>10786.16</v>
      </c>
      <c r="N1516" t="s">
        <v>116</v>
      </c>
      <c r="O1516" t="s">
        <v>459</v>
      </c>
      <c r="P1516" t="s">
        <v>459</v>
      </c>
      <c r="Q1516">
        <v>9</v>
      </c>
      <c r="R1516" s="225">
        <f>Base_Periodo1[[#This Row],[CREDITOS]]-Base_Periodo1[[#This Row],[DEBITOS]]</f>
        <v>0</v>
      </c>
      <c r="S1516" s="3" t="str">
        <f>IF(ISERROR(VLOOKUP(Base_Periodo1[[#This Row],[CONTA]],BaseContasDRE[#All],4,FALSE)),"Fora do DRE",VLOOKUP(Base_Periodo1[[#This Row],[CONTA]],BaseContasDRE[#All],4,FALSE))</f>
        <v>Fora do DRE</v>
      </c>
      <c r="T1516" s="3" t="str">
        <f>IF(ISERROR(VLOOKUP(Base_Periodo1[[#This Row],[CONTA]],BaseContasDRE[#All],5,FALSE)),"Fora do DRE",VLOOKUP(Base_Periodo1[[#This Row],[CONTA]],BaseContasDRE[#All],6,FALSE))</f>
        <v>Fora do DRE</v>
      </c>
      <c r="U1516" s="3" t="str">
        <f>IF(ISERROR(VLOOKUP(Base_Periodo1[[#This Row],[CONTA]],BaseContasDRE[#All],7,FALSE)),"Fora do DRE",VLOOKUP(Base_Periodo1[[#This Row],[CONTA]],BaseContasDRE[#All],7,FALSE))</f>
        <v>Fora do DRE</v>
      </c>
      <c r="V1516" s="3" t="str">
        <f>IF(Base_Periodo1[[#This Row],[Tipo_Linha]]="Fora do DRE","Fora do DRE","( "&amp;Base_Periodo1[[#This Row],[Tipo_Linha]]&amp;" ) "&amp;Base_Periodo1[[#This Row],[Filtro]])</f>
        <v>Fora do DRE</v>
      </c>
      <c r="W1516" s="3" t="str">
        <f>LEFT(Base_Periodo1[[#This Row],[CLASS]],3)</f>
        <v>1.1</v>
      </c>
    </row>
    <row r="1517" spans="1:23" hidden="1">
      <c r="A1517" s="3" t="str">
        <f t="shared" si="23"/>
        <v>Período 1</v>
      </c>
      <c r="B1517">
        <v>474</v>
      </c>
      <c r="C1517" t="s">
        <v>1253</v>
      </c>
      <c r="D1517" t="s">
        <v>1072</v>
      </c>
      <c r="E1517" s="3" t="str">
        <f>IF(LEN(Base_Periodo1[[#This Row],[CLASS]])&gt;=7,LEFT(Base_Periodo1[[#This Row],[CLASS]],7),"")</f>
        <v>1.1.3.1</v>
      </c>
      <c r="F1517" s="3" t="str">
        <f>VLOOKUP(Base_Periodo1[[#This Row],[Aux]],Base_Contas_Balanco[#All],2,FALSE)</f>
        <v>Estoques Proprios</v>
      </c>
      <c r="G1517" s="1"/>
      <c r="H1517" s="225">
        <v>641264.51000001281</v>
      </c>
      <c r="I1517" s="225">
        <v>0</v>
      </c>
      <c r="J1517" s="225">
        <v>0</v>
      </c>
      <c r="K1517" s="225">
        <v>641264.51000001281</v>
      </c>
      <c r="L15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-641264.51</v>
      </c>
      <c r="M1517" s="225">
        <f>ROUND(IF(AND(Base_Periodo1[[#This Row],[Tipo_Linha]]="-",Base_Periodo1[[#This Row],[TIPOSALDO]]="D"),Base_Periodo1[[#This Row],[SALDO_ATUAL]]*-1,Base_Periodo1[[#This Row],[SALDO_ATUAL]]),4)</f>
        <v>641264.51</v>
      </c>
      <c r="N1517" t="s">
        <v>396</v>
      </c>
      <c r="O1517" t="s">
        <v>459</v>
      </c>
      <c r="P1517" t="s">
        <v>459</v>
      </c>
      <c r="Q1517">
        <v>8</v>
      </c>
      <c r="R1517" s="225">
        <f>Base_Periodo1[[#This Row],[CREDITOS]]-Base_Periodo1[[#This Row],[DEBITOS]]</f>
        <v>0</v>
      </c>
      <c r="S1517" s="3" t="str">
        <f>IF(ISERROR(VLOOKUP(Base_Periodo1[[#This Row],[CONTA]],BaseContasDRE[#All],4,FALSE)),"Fora do DRE",VLOOKUP(Base_Periodo1[[#This Row],[CONTA]],BaseContasDRE[#All],4,FALSE))</f>
        <v>Fora do DRE</v>
      </c>
      <c r="T1517" s="3" t="str">
        <f>IF(ISERROR(VLOOKUP(Base_Periodo1[[#This Row],[CONTA]],BaseContasDRE[#All],5,FALSE)),"Fora do DRE",VLOOKUP(Base_Periodo1[[#This Row],[CONTA]],BaseContasDRE[#All],6,FALSE))</f>
        <v>Fora do DRE</v>
      </c>
      <c r="U1517" s="3" t="str">
        <f>IF(ISERROR(VLOOKUP(Base_Periodo1[[#This Row],[CONTA]],BaseContasDRE[#All],7,FALSE)),"Fora do DRE",VLOOKUP(Base_Periodo1[[#This Row],[CONTA]],BaseContasDRE[#All],7,FALSE))</f>
        <v>Fora do DRE</v>
      </c>
      <c r="V1517" s="3" t="str">
        <f>IF(Base_Periodo1[[#This Row],[Tipo_Linha]]="Fora do DRE","Fora do DRE","( "&amp;Base_Periodo1[[#This Row],[Tipo_Linha]]&amp;" ) "&amp;Base_Periodo1[[#This Row],[Filtro]])</f>
        <v>Fora do DRE</v>
      </c>
      <c r="W1517" s="3" t="str">
        <f>LEFT(Base_Periodo1[[#This Row],[CLASS]],3)</f>
        <v>1.1</v>
      </c>
    </row>
    <row r="1518" spans="1:23" hidden="1">
      <c r="A1518" s="3" t="str">
        <f t="shared" si="23"/>
        <v>Período 1</v>
      </c>
      <c r="B1518">
        <v>475</v>
      </c>
      <c r="C1518" t="s">
        <v>1254</v>
      </c>
      <c r="D1518" t="s">
        <v>1074</v>
      </c>
      <c r="E1518" s="3" t="str">
        <f>IF(LEN(Base_Periodo1[[#This Row],[CLASS]])&gt;=7,LEFT(Base_Periodo1[[#This Row],[CLASS]],7),"")</f>
        <v>1.1.3.1</v>
      </c>
      <c r="F1518" s="3" t="str">
        <f>VLOOKUP(Base_Periodo1[[#This Row],[Aux]],Base_Contas_Balanco[#All],2,FALSE)</f>
        <v>Estoques Proprios</v>
      </c>
      <c r="G1518" s="1">
        <v>42842</v>
      </c>
      <c r="H1518" s="225">
        <v>641264.51000001281</v>
      </c>
      <c r="I1518" s="225">
        <v>0</v>
      </c>
      <c r="J1518" s="225">
        <v>0</v>
      </c>
      <c r="K1518" s="225">
        <v>641264.51000001281</v>
      </c>
      <c r="L15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-641264.51</v>
      </c>
      <c r="M1518" s="225">
        <f>ROUND(IF(AND(Base_Periodo1[[#This Row],[Tipo_Linha]]="-",Base_Periodo1[[#This Row],[TIPOSALDO]]="D"),Base_Periodo1[[#This Row],[SALDO_ATUAL]]*-1,Base_Periodo1[[#This Row],[SALDO_ATUAL]]),4)</f>
        <v>641264.51</v>
      </c>
      <c r="N1518" t="s">
        <v>116</v>
      </c>
      <c r="O1518" t="s">
        <v>459</v>
      </c>
      <c r="P1518" t="s">
        <v>459</v>
      </c>
      <c r="Q1518">
        <v>9</v>
      </c>
      <c r="R1518" s="225">
        <f>Base_Periodo1[[#This Row],[CREDITOS]]-Base_Periodo1[[#This Row],[DEBITOS]]</f>
        <v>0</v>
      </c>
      <c r="S1518" s="3" t="str">
        <f>IF(ISERROR(VLOOKUP(Base_Periodo1[[#This Row],[CONTA]],BaseContasDRE[#All],4,FALSE)),"Fora do DRE",VLOOKUP(Base_Periodo1[[#This Row],[CONTA]],BaseContasDRE[#All],4,FALSE))</f>
        <v>Fora do DRE</v>
      </c>
      <c r="T1518" s="3" t="str">
        <f>IF(ISERROR(VLOOKUP(Base_Periodo1[[#This Row],[CONTA]],BaseContasDRE[#All],5,FALSE)),"Fora do DRE",VLOOKUP(Base_Periodo1[[#This Row],[CONTA]],BaseContasDRE[#All],6,FALSE))</f>
        <v>Fora do DRE</v>
      </c>
      <c r="U1518" s="3" t="str">
        <f>IF(ISERROR(VLOOKUP(Base_Periodo1[[#This Row],[CONTA]],BaseContasDRE[#All],7,FALSE)),"Fora do DRE",VLOOKUP(Base_Periodo1[[#This Row],[CONTA]],BaseContasDRE[#All],7,FALSE))</f>
        <v>Fora do DRE</v>
      </c>
      <c r="V1518" s="3" t="str">
        <f>IF(Base_Periodo1[[#This Row],[Tipo_Linha]]="Fora do DRE","Fora do DRE","( "&amp;Base_Periodo1[[#This Row],[Tipo_Linha]]&amp;" ) "&amp;Base_Periodo1[[#This Row],[Filtro]])</f>
        <v>Fora do DRE</v>
      </c>
      <c r="W1518" s="3" t="str">
        <f>LEFT(Base_Periodo1[[#This Row],[CLASS]],3)</f>
        <v>1.1</v>
      </c>
    </row>
    <row r="1519" spans="1:23" hidden="1">
      <c r="A1519" s="3" t="str">
        <f t="shared" si="23"/>
        <v>Período 1</v>
      </c>
      <c r="B1519">
        <v>476</v>
      </c>
      <c r="C1519" t="s">
        <v>1255</v>
      </c>
      <c r="D1519" t="s">
        <v>1171</v>
      </c>
      <c r="E1519" s="3" t="str">
        <f>IF(LEN(Base_Periodo1[[#This Row],[CLASS]])&gt;=7,LEFT(Base_Periodo1[[#This Row],[CLASS]],7),"")</f>
        <v>1.1.3.1</v>
      </c>
      <c r="F1519" s="3" t="str">
        <f>VLOOKUP(Base_Periodo1[[#This Row],[Aux]],Base_Contas_Balanco[#All],2,FALSE)</f>
        <v>Estoques Proprios</v>
      </c>
      <c r="G1519" s="1"/>
      <c r="H1519" s="225">
        <v>60089.419999999984</v>
      </c>
      <c r="I1519" s="225">
        <v>0</v>
      </c>
      <c r="J1519" s="225">
        <v>0</v>
      </c>
      <c r="K1519" s="225">
        <v>60089.419999999984</v>
      </c>
      <c r="L15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-60089.42</v>
      </c>
      <c r="M1519" s="225">
        <f>ROUND(IF(AND(Base_Periodo1[[#This Row],[Tipo_Linha]]="-",Base_Periodo1[[#This Row],[TIPOSALDO]]="D"),Base_Periodo1[[#This Row],[SALDO_ATUAL]]*-1,Base_Periodo1[[#This Row],[SALDO_ATUAL]]),4)</f>
        <v>60089.42</v>
      </c>
      <c r="N1519" t="s">
        <v>396</v>
      </c>
      <c r="O1519" t="s">
        <v>459</v>
      </c>
      <c r="P1519" t="s">
        <v>459</v>
      </c>
      <c r="Q1519">
        <v>8</v>
      </c>
      <c r="R1519" s="225">
        <f>Base_Periodo1[[#This Row],[CREDITOS]]-Base_Periodo1[[#This Row],[DEBITOS]]</f>
        <v>0</v>
      </c>
      <c r="S1519" s="3" t="str">
        <f>IF(ISERROR(VLOOKUP(Base_Periodo1[[#This Row],[CONTA]],BaseContasDRE[#All],4,FALSE)),"Fora do DRE",VLOOKUP(Base_Periodo1[[#This Row],[CONTA]],BaseContasDRE[#All],4,FALSE))</f>
        <v>Fora do DRE</v>
      </c>
      <c r="T1519" s="3" t="str">
        <f>IF(ISERROR(VLOOKUP(Base_Periodo1[[#This Row],[CONTA]],BaseContasDRE[#All],5,FALSE)),"Fora do DRE",VLOOKUP(Base_Periodo1[[#This Row],[CONTA]],BaseContasDRE[#All],6,FALSE))</f>
        <v>Fora do DRE</v>
      </c>
      <c r="U1519" s="3" t="str">
        <f>IF(ISERROR(VLOOKUP(Base_Periodo1[[#This Row],[CONTA]],BaseContasDRE[#All],7,FALSE)),"Fora do DRE",VLOOKUP(Base_Periodo1[[#This Row],[CONTA]],BaseContasDRE[#All],7,FALSE))</f>
        <v>Fora do DRE</v>
      </c>
      <c r="V1519" s="3" t="str">
        <f>IF(Base_Periodo1[[#This Row],[Tipo_Linha]]="Fora do DRE","Fora do DRE","( "&amp;Base_Periodo1[[#This Row],[Tipo_Linha]]&amp;" ) "&amp;Base_Periodo1[[#This Row],[Filtro]])</f>
        <v>Fora do DRE</v>
      </c>
      <c r="W1519" s="3" t="str">
        <f>LEFT(Base_Periodo1[[#This Row],[CLASS]],3)</f>
        <v>1.1</v>
      </c>
    </row>
    <row r="1520" spans="1:23" hidden="1">
      <c r="A1520" s="3" t="str">
        <f t="shared" si="23"/>
        <v>Período 1</v>
      </c>
      <c r="B1520">
        <v>477</v>
      </c>
      <c r="C1520" t="s">
        <v>1256</v>
      </c>
      <c r="D1520" t="s">
        <v>1173</v>
      </c>
      <c r="E1520" s="3" t="str">
        <f>IF(LEN(Base_Periodo1[[#This Row],[CLASS]])&gt;=7,LEFT(Base_Periodo1[[#This Row],[CLASS]],7),"")</f>
        <v>1.1.3.1</v>
      </c>
      <c r="F1520" s="3" t="str">
        <f>VLOOKUP(Base_Periodo1[[#This Row],[Aux]],Base_Contas_Balanco[#All],2,FALSE)</f>
        <v>Estoques Proprios</v>
      </c>
      <c r="G1520" s="1">
        <v>42776</v>
      </c>
      <c r="H1520" s="225">
        <v>60089.419999999984</v>
      </c>
      <c r="I1520" s="225">
        <v>0</v>
      </c>
      <c r="J1520" s="225">
        <v>0</v>
      </c>
      <c r="K1520" s="225">
        <v>60089.419999999984</v>
      </c>
      <c r="L15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-60089.42</v>
      </c>
      <c r="M1520" s="225">
        <f>ROUND(IF(AND(Base_Periodo1[[#This Row],[Tipo_Linha]]="-",Base_Periodo1[[#This Row],[TIPOSALDO]]="D"),Base_Periodo1[[#This Row],[SALDO_ATUAL]]*-1,Base_Periodo1[[#This Row],[SALDO_ATUAL]]),4)</f>
        <v>60089.42</v>
      </c>
      <c r="N1520" t="s">
        <v>116</v>
      </c>
      <c r="O1520" t="s">
        <v>459</v>
      </c>
      <c r="P1520" t="s">
        <v>459</v>
      </c>
      <c r="Q1520">
        <v>9</v>
      </c>
      <c r="R1520" s="225">
        <f>Base_Periodo1[[#This Row],[CREDITOS]]-Base_Periodo1[[#This Row],[DEBITOS]]</f>
        <v>0</v>
      </c>
      <c r="S1520" s="3" t="str">
        <f>IF(ISERROR(VLOOKUP(Base_Periodo1[[#This Row],[CONTA]],BaseContasDRE[#All],4,FALSE)),"Fora do DRE",VLOOKUP(Base_Periodo1[[#This Row],[CONTA]],BaseContasDRE[#All],4,FALSE))</f>
        <v>Fora do DRE</v>
      </c>
      <c r="T1520" s="3" t="str">
        <f>IF(ISERROR(VLOOKUP(Base_Periodo1[[#This Row],[CONTA]],BaseContasDRE[#All],5,FALSE)),"Fora do DRE",VLOOKUP(Base_Periodo1[[#This Row],[CONTA]],BaseContasDRE[#All],6,FALSE))</f>
        <v>Fora do DRE</v>
      </c>
      <c r="U1520" s="3" t="str">
        <f>IF(ISERROR(VLOOKUP(Base_Periodo1[[#This Row],[CONTA]],BaseContasDRE[#All],7,FALSE)),"Fora do DRE",VLOOKUP(Base_Periodo1[[#This Row],[CONTA]],BaseContasDRE[#All],7,FALSE))</f>
        <v>Fora do DRE</v>
      </c>
      <c r="V1520" s="3" t="str">
        <f>IF(Base_Periodo1[[#This Row],[Tipo_Linha]]="Fora do DRE","Fora do DRE","( "&amp;Base_Periodo1[[#This Row],[Tipo_Linha]]&amp;" ) "&amp;Base_Periodo1[[#This Row],[Filtro]])</f>
        <v>Fora do DRE</v>
      </c>
      <c r="W1520" s="3" t="str">
        <f>LEFT(Base_Periodo1[[#This Row],[CLASS]],3)</f>
        <v>1.1</v>
      </c>
    </row>
    <row r="1521" spans="1:23" hidden="1">
      <c r="A1521" s="3" t="str">
        <f t="shared" si="23"/>
        <v>Período 1</v>
      </c>
      <c r="B1521">
        <v>481</v>
      </c>
      <c r="C1521" t="s">
        <v>1257</v>
      </c>
      <c r="D1521" t="s">
        <v>1258</v>
      </c>
      <c r="E1521" s="3" t="str">
        <f>IF(LEN(Base_Periodo1[[#This Row],[CLASS]])&gt;=7,LEFT(Base_Periodo1[[#This Row],[CLASS]],7),"")</f>
        <v>1.1.3.1</v>
      </c>
      <c r="F1521" s="3" t="str">
        <f>VLOOKUP(Base_Periodo1[[#This Row],[Aux]],Base_Contas_Balanco[#All],2,FALSE)</f>
        <v>Estoques Proprios</v>
      </c>
      <c r="G1521" s="1"/>
      <c r="H1521" s="225">
        <v>156513.23999988404</v>
      </c>
      <c r="I1521" s="225">
        <v>0</v>
      </c>
      <c r="J1521" s="225">
        <v>2200</v>
      </c>
      <c r="K1521" s="225">
        <v>154313.23999988404</v>
      </c>
      <c r="L15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154313.24</v>
      </c>
      <c r="M1521" s="225">
        <f>ROUND(IF(AND(Base_Periodo1[[#This Row],[Tipo_Linha]]="-",Base_Periodo1[[#This Row],[TIPOSALDO]]="D"),Base_Periodo1[[#This Row],[SALDO_ATUAL]]*-1,Base_Periodo1[[#This Row],[SALDO_ATUAL]]),4)</f>
        <v>154313.24</v>
      </c>
      <c r="N1521" t="s">
        <v>396</v>
      </c>
      <c r="O1521" t="s">
        <v>397</v>
      </c>
      <c r="P1521" t="s">
        <v>397</v>
      </c>
      <c r="Q1521">
        <v>7</v>
      </c>
      <c r="R1521" s="225">
        <f>Base_Periodo1[[#This Row],[CREDITOS]]-Base_Periodo1[[#This Row],[DEBITOS]]</f>
        <v>2200</v>
      </c>
      <c r="S1521" s="3" t="str">
        <f>IF(ISERROR(VLOOKUP(Base_Periodo1[[#This Row],[CONTA]],BaseContasDRE[#All],4,FALSE)),"Fora do DRE",VLOOKUP(Base_Periodo1[[#This Row],[CONTA]],BaseContasDRE[#All],4,FALSE))</f>
        <v>Fora do DRE</v>
      </c>
      <c r="T1521" s="3" t="str">
        <f>IF(ISERROR(VLOOKUP(Base_Periodo1[[#This Row],[CONTA]],BaseContasDRE[#All],5,FALSE)),"Fora do DRE",VLOOKUP(Base_Periodo1[[#This Row],[CONTA]],BaseContasDRE[#All],6,FALSE))</f>
        <v>Fora do DRE</v>
      </c>
      <c r="U1521" s="3" t="str">
        <f>IF(ISERROR(VLOOKUP(Base_Periodo1[[#This Row],[CONTA]],BaseContasDRE[#All],7,FALSE)),"Fora do DRE",VLOOKUP(Base_Periodo1[[#This Row],[CONTA]],BaseContasDRE[#All],7,FALSE))</f>
        <v>Fora do DRE</v>
      </c>
      <c r="V1521" s="3" t="str">
        <f>IF(Base_Periodo1[[#This Row],[Tipo_Linha]]="Fora do DRE","Fora do DRE","( "&amp;Base_Periodo1[[#This Row],[Tipo_Linha]]&amp;" ) "&amp;Base_Periodo1[[#This Row],[Filtro]])</f>
        <v>Fora do DRE</v>
      </c>
      <c r="W1521" s="3" t="str">
        <f>LEFT(Base_Periodo1[[#This Row],[CLASS]],3)</f>
        <v>1.1</v>
      </c>
    </row>
    <row r="1522" spans="1:23" hidden="1">
      <c r="A1522" s="3" t="str">
        <f t="shared" si="23"/>
        <v>Período 1</v>
      </c>
      <c r="B1522">
        <v>482</v>
      </c>
      <c r="C1522" t="s">
        <v>1259</v>
      </c>
      <c r="D1522" t="s">
        <v>1054</v>
      </c>
      <c r="E1522" s="3" t="str">
        <f>IF(LEN(Base_Periodo1[[#This Row],[CLASS]])&gt;=7,LEFT(Base_Periodo1[[#This Row],[CLASS]],7),"")</f>
        <v>1.1.3.1</v>
      </c>
      <c r="F1522" s="3" t="str">
        <f>VLOOKUP(Base_Periodo1[[#This Row],[Aux]],Base_Contas_Balanco[#All],2,FALSE)</f>
        <v>Estoques Proprios</v>
      </c>
      <c r="G1522" s="1"/>
      <c r="H1522" s="225">
        <v>976852.17999999225</v>
      </c>
      <c r="I1522" s="225">
        <v>0</v>
      </c>
      <c r="J1522" s="225">
        <v>0</v>
      </c>
      <c r="K1522" s="225">
        <v>976852.17999999225</v>
      </c>
      <c r="L15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976852.18</v>
      </c>
      <c r="M1522" s="225">
        <f>ROUND(IF(AND(Base_Periodo1[[#This Row],[Tipo_Linha]]="-",Base_Periodo1[[#This Row],[TIPOSALDO]]="D"),Base_Periodo1[[#This Row],[SALDO_ATUAL]]*-1,Base_Periodo1[[#This Row],[SALDO_ATUAL]]),4)</f>
        <v>976852.18</v>
      </c>
      <c r="N1522" t="s">
        <v>396</v>
      </c>
      <c r="O1522" t="s">
        <v>397</v>
      </c>
      <c r="P1522" t="s">
        <v>397</v>
      </c>
      <c r="Q1522">
        <v>8</v>
      </c>
      <c r="R1522" s="225">
        <f>Base_Periodo1[[#This Row],[CREDITOS]]-Base_Periodo1[[#This Row],[DEBITOS]]</f>
        <v>0</v>
      </c>
      <c r="S1522" s="3" t="str">
        <f>IF(ISERROR(VLOOKUP(Base_Periodo1[[#This Row],[CONTA]],BaseContasDRE[#All],4,FALSE)),"Fora do DRE",VLOOKUP(Base_Periodo1[[#This Row],[CONTA]],BaseContasDRE[#All],4,FALSE))</f>
        <v>Fora do DRE</v>
      </c>
      <c r="T1522" s="3" t="str">
        <f>IF(ISERROR(VLOOKUP(Base_Periodo1[[#This Row],[CONTA]],BaseContasDRE[#All],5,FALSE)),"Fora do DRE",VLOOKUP(Base_Periodo1[[#This Row],[CONTA]],BaseContasDRE[#All],6,FALSE))</f>
        <v>Fora do DRE</v>
      </c>
      <c r="U1522" s="3" t="str">
        <f>IF(ISERROR(VLOOKUP(Base_Periodo1[[#This Row],[CONTA]],BaseContasDRE[#All],7,FALSE)),"Fora do DRE",VLOOKUP(Base_Periodo1[[#This Row],[CONTA]],BaseContasDRE[#All],7,FALSE))</f>
        <v>Fora do DRE</v>
      </c>
      <c r="V1522" s="3" t="str">
        <f>IF(Base_Periodo1[[#This Row],[Tipo_Linha]]="Fora do DRE","Fora do DRE","( "&amp;Base_Periodo1[[#This Row],[Tipo_Linha]]&amp;" ) "&amp;Base_Periodo1[[#This Row],[Filtro]])</f>
        <v>Fora do DRE</v>
      </c>
      <c r="W1522" s="3" t="str">
        <f>LEFT(Base_Periodo1[[#This Row],[CLASS]],3)</f>
        <v>1.1</v>
      </c>
    </row>
    <row r="1523" spans="1:23" hidden="1">
      <c r="A1523" s="3" t="str">
        <f t="shared" si="23"/>
        <v>Período 1</v>
      </c>
      <c r="B1523">
        <v>483</v>
      </c>
      <c r="C1523" t="s">
        <v>1260</v>
      </c>
      <c r="D1523" t="s">
        <v>1054</v>
      </c>
      <c r="E1523" s="3" t="str">
        <f>IF(LEN(Base_Periodo1[[#This Row],[CLASS]])&gt;=7,LEFT(Base_Periodo1[[#This Row],[CLASS]],7),"")</f>
        <v>1.1.3.1</v>
      </c>
      <c r="F1523" s="3" t="str">
        <f>VLOOKUP(Base_Periodo1[[#This Row],[Aux]],Base_Contas_Balanco[#All],2,FALSE)</f>
        <v>Estoques Proprios</v>
      </c>
      <c r="G1523" s="1">
        <v>42735</v>
      </c>
      <c r="H1523" s="225">
        <v>976852.17999999225</v>
      </c>
      <c r="I1523" s="225">
        <v>0</v>
      </c>
      <c r="J1523" s="225">
        <v>0</v>
      </c>
      <c r="K1523" s="225">
        <v>976852.17999999225</v>
      </c>
      <c r="L15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976852.18</v>
      </c>
      <c r="M1523" s="225">
        <f>ROUND(IF(AND(Base_Periodo1[[#This Row],[Tipo_Linha]]="-",Base_Periodo1[[#This Row],[TIPOSALDO]]="D"),Base_Periodo1[[#This Row],[SALDO_ATUAL]]*-1,Base_Periodo1[[#This Row],[SALDO_ATUAL]]),4)</f>
        <v>976852.18</v>
      </c>
      <c r="N1523" t="s">
        <v>116</v>
      </c>
      <c r="O1523" t="s">
        <v>397</v>
      </c>
      <c r="P1523" t="s">
        <v>397</v>
      </c>
      <c r="Q1523">
        <v>9</v>
      </c>
      <c r="R1523" s="225">
        <f>Base_Periodo1[[#This Row],[CREDITOS]]-Base_Periodo1[[#This Row],[DEBITOS]]</f>
        <v>0</v>
      </c>
      <c r="S1523" s="3" t="str">
        <f>IF(ISERROR(VLOOKUP(Base_Periodo1[[#This Row],[CONTA]],BaseContasDRE[#All],4,FALSE)),"Fora do DRE",VLOOKUP(Base_Periodo1[[#This Row],[CONTA]],BaseContasDRE[#All],4,FALSE))</f>
        <v>Fora do DRE</v>
      </c>
      <c r="T1523" s="3" t="str">
        <f>IF(ISERROR(VLOOKUP(Base_Periodo1[[#This Row],[CONTA]],BaseContasDRE[#All],5,FALSE)),"Fora do DRE",VLOOKUP(Base_Periodo1[[#This Row],[CONTA]],BaseContasDRE[#All],6,FALSE))</f>
        <v>Fora do DRE</v>
      </c>
      <c r="U1523" s="3" t="str">
        <f>IF(ISERROR(VLOOKUP(Base_Periodo1[[#This Row],[CONTA]],BaseContasDRE[#All],7,FALSE)),"Fora do DRE",VLOOKUP(Base_Periodo1[[#This Row],[CONTA]],BaseContasDRE[#All],7,FALSE))</f>
        <v>Fora do DRE</v>
      </c>
      <c r="V1523" s="3" t="str">
        <f>IF(Base_Periodo1[[#This Row],[Tipo_Linha]]="Fora do DRE","Fora do DRE","( "&amp;Base_Periodo1[[#This Row],[Tipo_Linha]]&amp;" ) "&amp;Base_Periodo1[[#This Row],[Filtro]])</f>
        <v>Fora do DRE</v>
      </c>
      <c r="W1523" s="3" t="str">
        <f>LEFT(Base_Periodo1[[#This Row],[CLASS]],3)</f>
        <v>1.1</v>
      </c>
    </row>
    <row r="1524" spans="1:23" hidden="1">
      <c r="A1524" s="3" t="str">
        <f t="shared" si="23"/>
        <v>Período 1</v>
      </c>
      <c r="B1524">
        <v>484</v>
      </c>
      <c r="C1524" t="s">
        <v>1261</v>
      </c>
      <c r="D1524" t="s">
        <v>1057</v>
      </c>
      <c r="E1524" s="3" t="str">
        <f>IF(LEN(Base_Periodo1[[#This Row],[CLASS]])&gt;=7,LEFT(Base_Periodo1[[#This Row],[CLASS]],7),"")</f>
        <v>1.1.3.1</v>
      </c>
      <c r="F1524" s="3" t="str">
        <f>VLOOKUP(Base_Periodo1[[#This Row],[Aux]],Base_Contas_Balanco[#All],2,FALSE)</f>
        <v>Estoques Proprios</v>
      </c>
      <c r="G1524" s="1"/>
      <c r="H1524" s="225">
        <v>851334.36999995634</v>
      </c>
      <c r="I1524" s="225">
        <v>0</v>
      </c>
      <c r="J1524" s="225">
        <v>0</v>
      </c>
      <c r="K1524" s="225">
        <v>851334.36999995634</v>
      </c>
      <c r="L15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851334.37</v>
      </c>
      <c r="M1524" s="225">
        <f>ROUND(IF(AND(Base_Periodo1[[#This Row],[Tipo_Linha]]="-",Base_Periodo1[[#This Row],[TIPOSALDO]]="D"),Base_Periodo1[[#This Row],[SALDO_ATUAL]]*-1,Base_Periodo1[[#This Row],[SALDO_ATUAL]]),4)</f>
        <v>851334.37</v>
      </c>
      <c r="N1524" t="s">
        <v>396</v>
      </c>
      <c r="O1524" t="s">
        <v>397</v>
      </c>
      <c r="P1524" t="s">
        <v>397</v>
      </c>
      <c r="Q1524">
        <v>8</v>
      </c>
      <c r="R1524" s="225">
        <f>Base_Periodo1[[#This Row],[CREDITOS]]-Base_Periodo1[[#This Row],[DEBITOS]]</f>
        <v>0</v>
      </c>
      <c r="S1524" s="3" t="str">
        <f>IF(ISERROR(VLOOKUP(Base_Periodo1[[#This Row],[CONTA]],BaseContasDRE[#All],4,FALSE)),"Fora do DRE",VLOOKUP(Base_Periodo1[[#This Row],[CONTA]],BaseContasDRE[#All],4,FALSE))</f>
        <v>Fora do DRE</v>
      </c>
      <c r="T1524" s="3" t="str">
        <f>IF(ISERROR(VLOOKUP(Base_Periodo1[[#This Row],[CONTA]],BaseContasDRE[#All],5,FALSE)),"Fora do DRE",VLOOKUP(Base_Periodo1[[#This Row],[CONTA]],BaseContasDRE[#All],6,FALSE))</f>
        <v>Fora do DRE</v>
      </c>
      <c r="U1524" s="3" t="str">
        <f>IF(ISERROR(VLOOKUP(Base_Periodo1[[#This Row],[CONTA]],BaseContasDRE[#All],7,FALSE)),"Fora do DRE",VLOOKUP(Base_Periodo1[[#This Row],[CONTA]],BaseContasDRE[#All],7,FALSE))</f>
        <v>Fora do DRE</v>
      </c>
      <c r="V1524" s="3" t="str">
        <f>IF(Base_Periodo1[[#This Row],[Tipo_Linha]]="Fora do DRE","Fora do DRE","( "&amp;Base_Periodo1[[#This Row],[Tipo_Linha]]&amp;" ) "&amp;Base_Periodo1[[#This Row],[Filtro]])</f>
        <v>Fora do DRE</v>
      </c>
      <c r="W1524" s="3" t="str">
        <f>LEFT(Base_Periodo1[[#This Row],[CLASS]],3)</f>
        <v>1.1</v>
      </c>
    </row>
    <row r="1525" spans="1:23" hidden="1">
      <c r="A1525" s="3" t="str">
        <f t="shared" si="23"/>
        <v>Período 1</v>
      </c>
      <c r="B1525">
        <v>486</v>
      </c>
      <c r="C1525" t="s">
        <v>1262</v>
      </c>
      <c r="D1525" t="s">
        <v>1061</v>
      </c>
      <c r="E1525" s="3" t="str">
        <f>IF(LEN(Base_Periodo1[[#This Row],[CLASS]])&gt;=7,LEFT(Base_Periodo1[[#This Row],[CLASS]],7),"")</f>
        <v>1.1.3.1</v>
      </c>
      <c r="F1525" s="3" t="str">
        <f>VLOOKUP(Base_Periodo1[[#This Row],[Aux]],Base_Contas_Balanco[#All],2,FALSE)</f>
        <v>Estoques Proprios</v>
      </c>
      <c r="G1525" s="1">
        <v>42779</v>
      </c>
      <c r="H1525" s="225">
        <v>851334.36999995634</v>
      </c>
      <c r="I1525" s="225">
        <v>0</v>
      </c>
      <c r="J1525" s="225">
        <v>0</v>
      </c>
      <c r="K1525" s="225">
        <v>851334.36999995634</v>
      </c>
      <c r="L15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851334.37</v>
      </c>
      <c r="M1525" s="225">
        <f>ROUND(IF(AND(Base_Periodo1[[#This Row],[Tipo_Linha]]="-",Base_Periodo1[[#This Row],[TIPOSALDO]]="D"),Base_Periodo1[[#This Row],[SALDO_ATUAL]]*-1,Base_Periodo1[[#This Row],[SALDO_ATUAL]]),4)</f>
        <v>851334.37</v>
      </c>
      <c r="N1525" t="s">
        <v>116</v>
      </c>
      <c r="O1525" t="s">
        <v>397</v>
      </c>
      <c r="P1525" t="s">
        <v>397</v>
      </c>
      <c r="Q1525">
        <v>9</v>
      </c>
      <c r="R1525" s="225">
        <f>Base_Periodo1[[#This Row],[CREDITOS]]-Base_Periodo1[[#This Row],[DEBITOS]]</f>
        <v>0</v>
      </c>
      <c r="S1525" s="3" t="str">
        <f>IF(ISERROR(VLOOKUP(Base_Periodo1[[#This Row],[CONTA]],BaseContasDRE[#All],4,FALSE)),"Fora do DRE",VLOOKUP(Base_Periodo1[[#This Row],[CONTA]],BaseContasDRE[#All],4,FALSE))</f>
        <v>Fora do DRE</v>
      </c>
      <c r="T1525" s="3" t="str">
        <f>IF(ISERROR(VLOOKUP(Base_Periodo1[[#This Row],[CONTA]],BaseContasDRE[#All],5,FALSE)),"Fora do DRE",VLOOKUP(Base_Periodo1[[#This Row],[CONTA]],BaseContasDRE[#All],6,FALSE))</f>
        <v>Fora do DRE</v>
      </c>
      <c r="U1525" s="3" t="str">
        <f>IF(ISERROR(VLOOKUP(Base_Periodo1[[#This Row],[CONTA]],BaseContasDRE[#All],7,FALSE)),"Fora do DRE",VLOOKUP(Base_Periodo1[[#This Row],[CONTA]],BaseContasDRE[#All],7,FALSE))</f>
        <v>Fora do DRE</v>
      </c>
      <c r="V1525" s="3" t="str">
        <f>IF(Base_Periodo1[[#This Row],[Tipo_Linha]]="Fora do DRE","Fora do DRE","( "&amp;Base_Periodo1[[#This Row],[Tipo_Linha]]&amp;" ) "&amp;Base_Periodo1[[#This Row],[Filtro]])</f>
        <v>Fora do DRE</v>
      </c>
      <c r="W1525" s="3" t="str">
        <f>LEFT(Base_Periodo1[[#This Row],[CLASS]],3)</f>
        <v>1.1</v>
      </c>
    </row>
    <row r="1526" spans="1:23" hidden="1">
      <c r="A1526" s="3" t="str">
        <f t="shared" si="23"/>
        <v>Período 1</v>
      </c>
      <c r="B1526">
        <v>490</v>
      </c>
      <c r="C1526" t="s">
        <v>1263</v>
      </c>
      <c r="D1526" t="s">
        <v>1063</v>
      </c>
      <c r="E1526" s="3" t="str">
        <f>IF(LEN(Base_Periodo1[[#This Row],[CLASS]])&gt;=7,LEFT(Base_Periodo1[[#This Row],[CLASS]],7),"")</f>
        <v>1.1.3.1</v>
      </c>
      <c r="F1526" s="3" t="str">
        <f>VLOOKUP(Base_Periodo1[[#This Row],[Aux]],Base_Contas_Balanco[#All],2,FALSE)</f>
        <v>Estoques Proprios</v>
      </c>
      <c r="G1526" s="1"/>
      <c r="H1526" s="225">
        <v>1507052.3399999291</v>
      </c>
      <c r="I1526" s="225">
        <v>0</v>
      </c>
      <c r="J1526" s="225">
        <v>0</v>
      </c>
      <c r="K1526" s="225">
        <v>1507052.3399999291</v>
      </c>
      <c r="L15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1507052.34</v>
      </c>
      <c r="M1526" s="225">
        <f>ROUND(IF(AND(Base_Periodo1[[#This Row],[Tipo_Linha]]="-",Base_Periodo1[[#This Row],[TIPOSALDO]]="D"),Base_Periodo1[[#This Row],[SALDO_ATUAL]]*-1,Base_Periodo1[[#This Row],[SALDO_ATUAL]]),4)</f>
        <v>1507052.34</v>
      </c>
      <c r="N1526" t="s">
        <v>396</v>
      </c>
      <c r="O1526" t="s">
        <v>397</v>
      </c>
      <c r="P1526" t="s">
        <v>397</v>
      </c>
      <c r="Q1526">
        <v>8</v>
      </c>
      <c r="R1526" s="225">
        <f>Base_Periodo1[[#This Row],[CREDITOS]]-Base_Periodo1[[#This Row],[DEBITOS]]</f>
        <v>0</v>
      </c>
      <c r="S1526" s="3" t="str">
        <f>IF(ISERROR(VLOOKUP(Base_Periodo1[[#This Row],[CONTA]],BaseContasDRE[#All],4,FALSE)),"Fora do DRE",VLOOKUP(Base_Periodo1[[#This Row],[CONTA]],BaseContasDRE[#All],4,FALSE))</f>
        <v>Fora do DRE</v>
      </c>
      <c r="T1526" s="3" t="str">
        <f>IF(ISERROR(VLOOKUP(Base_Periodo1[[#This Row],[CONTA]],BaseContasDRE[#All],5,FALSE)),"Fora do DRE",VLOOKUP(Base_Periodo1[[#This Row],[CONTA]],BaseContasDRE[#All],6,FALSE))</f>
        <v>Fora do DRE</v>
      </c>
      <c r="U1526" s="3" t="str">
        <f>IF(ISERROR(VLOOKUP(Base_Periodo1[[#This Row],[CONTA]],BaseContasDRE[#All],7,FALSE)),"Fora do DRE",VLOOKUP(Base_Periodo1[[#This Row],[CONTA]],BaseContasDRE[#All],7,FALSE))</f>
        <v>Fora do DRE</v>
      </c>
      <c r="V1526" s="3" t="str">
        <f>IF(Base_Periodo1[[#This Row],[Tipo_Linha]]="Fora do DRE","Fora do DRE","( "&amp;Base_Periodo1[[#This Row],[Tipo_Linha]]&amp;" ) "&amp;Base_Periodo1[[#This Row],[Filtro]])</f>
        <v>Fora do DRE</v>
      </c>
      <c r="W1526" s="3" t="str">
        <f>LEFT(Base_Periodo1[[#This Row],[CLASS]],3)</f>
        <v>1.1</v>
      </c>
    </row>
    <row r="1527" spans="1:23" hidden="1">
      <c r="A1527" s="3" t="str">
        <f t="shared" si="23"/>
        <v>Período 1</v>
      </c>
      <c r="B1527">
        <v>491</v>
      </c>
      <c r="C1527" t="s">
        <v>1264</v>
      </c>
      <c r="D1527" t="s">
        <v>1065</v>
      </c>
      <c r="E1527" s="3" t="str">
        <f>IF(LEN(Base_Periodo1[[#This Row],[CLASS]])&gt;=7,LEFT(Base_Periodo1[[#This Row],[CLASS]],7),"")</f>
        <v>1.1.3.1</v>
      </c>
      <c r="F1527" s="3" t="str">
        <f>VLOOKUP(Base_Periodo1[[#This Row],[Aux]],Base_Contas_Balanco[#All],2,FALSE)</f>
        <v>Estoques Proprios</v>
      </c>
      <c r="G1527" s="1">
        <v>42850</v>
      </c>
      <c r="H1527" s="225">
        <v>1507052.3399999291</v>
      </c>
      <c r="I1527" s="225">
        <v>0</v>
      </c>
      <c r="J1527" s="225">
        <v>0</v>
      </c>
      <c r="K1527" s="225">
        <v>1507052.3399999291</v>
      </c>
      <c r="L15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1507052.34</v>
      </c>
      <c r="M1527" s="225">
        <f>ROUND(IF(AND(Base_Periodo1[[#This Row],[Tipo_Linha]]="-",Base_Periodo1[[#This Row],[TIPOSALDO]]="D"),Base_Periodo1[[#This Row],[SALDO_ATUAL]]*-1,Base_Periodo1[[#This Row],[SALDO_ATUAL]]),4)</f>
        <v>1507052.34</v>
      </c>
      <c r="N1527" t="s">
        <v>116</v>
      </c>
      <c r="O1527" t="s">
        <v>397</v>
      </c>
      <c r="P1527" t="s">
        <v>397</v>
      </c>
      <c r="Q1527">
        <v>9</v>
      </c>
      <c r="R1527" s="225">
        <f>Base_Periodo1[[#This Row],[CREDITOS]]-Base_Periodo1[[#This Row],[DEBITOS]]</f>
        <v>0</v>
      </c>
      <c r="S1527" s="3" t="str">
        <f>IF(ISERROR(VLOOKUP(Base_Periodo1[[#This Row],[CONTA]],BaseContasDRE[#All],4,FALSE)),"Fora do DRE",VLOOKUP(Base_Periodo1[[#This Row],[CONTA]],BaseContasDRE[#All],4,FALSE))</f>
        <v>Fora do DRE</v>
      </c>
      <c r="T1527" s="3" t="str">
        <f>IF(ISERROR(VLOOKUP(Base_Periodo1[[#This Row],[CONTA]],BaseContasDRE[#All],5,FALSE)),"Fora do DRE",VLOOKUP(Base_Periodo1[[#This Row],[CONTA]],BaseContasDRE[#All],6,FALSE))</f>
        <v>Fora do DRE</v>
      </c>
      <c r="U1527" s="3" t="str">
        <f>IF(ISERROR(VLOOKUP(Base_Periodo1[[#This Row],[CONTA]],BaseContasDRE[#All],7,FALSE)),"Fora do DRE",VLOOKUP(Base_Periodo1[[#This Row],[CONTA]],BaseContasDRE[#All],7,FALSE))</f>
        <v>Fora do DRE</v>
      </c>
      <c r="V1527" s="3" t="str">
        <f>IF(Base_Periodo1[[#This Row],[Tipo_Linha]]="Fora do DRE","Fora do DRE","( "&amp;Base_Periodo1[[#This Row],[Tipo_Linha]]&amp;" ) "&amp;Base_Periodo1[[#This Row],[Filtro]])</f>
        <v>Fora do DRE</v>
      </c>
      <c r="W1527" s="3" t="str">
        <f>LEFT(Base_Periodo1[[#This Row],[CLASS]],3)</f>
        <v>1.1</v>
      </c>
    </row>
    <row r="1528" spans="1:23" hidden="1">
      <c r="A1528" s="3" t="str">
        <f t="shared" si="23"/>
        <v>Período 1</v>
      </c>
      <c r="B1528">
        <v>495</v>
      </c>
      <c r="C1528" t="s">
        <v>5033</v>
      </c>
      <c r="D1528" t="s">
        <v>1096</v>
      </c>
      <c r="E1528" s="3" t="str">
        <f>IF(LEN(Base_Periodo1[[#This Row],[CLASS]])&gt;=7,LEFT(Base_Periodo1[[#This Row],[CLASS]],7),"")</f>
        <v>1.1.3.1</v>
      </c>
      <c r="F1528" s="3" t="str">
        <f>VLOOKUP(Base_Periodo1[[#This Row],[Aux]],Base_Contas_Balanco[#All],2,FALSE)</f>
        <v>Estoques Proprios</v>
      </c>
      <c r="G1528" s="1"/>
      <c r="H1528" s="225">
        <v>63274.200000000012</v>
      </c>
      <c r="I1528" s="225">
        <v>0</v>
      </c>
      <c r="J1528" s="225">
        <v>0</v>
      </c>
      <c r="K1528" s="225">
        <v>63274.200000000012</v>
      </c>
      <c r="L15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63274.2</v>
      </c>
      <c r="M1528" s="225">
        <f>ROUND(IF(AND(Base_Periodo1[[#This Row],[Tipo_Linha]]="-",Base_Periodo1[[#This Row],[TIPOSALDO]]="D"),Base_Periodo1[[#This Row],[SALDO_ATUAL]]*-1,Base_Periodo1[[#This Row],[SALDO_ATUAL]]),4)</f>
        <v>63274.2</v>
      </c>
      <c r="N1528" t="s">
        <v>396</v>
      </c>
      <c r="O1528" t="s">
        <v>397</v>
      </c>
      <c r="P1528" t="s">
        <v>397</v>
      </c>
      <c r="Q1528">
        <v>8</v>
      </c>
      <c r="R1528" s="225">
        <f>Base_Periodo1[[#This Row],[CREDITOS]]-Base_Periodo1[[#This Row],[DEBITOS]]</f>
        <v>0</v>
      </c>
      <c r="S1528" s="3" t="str">
        <f>IF(ISERROR(VLOOKUP(Base_Periodo1[[#This Row],[CONTA]],BaseContasDRE[#All],4,FALSE)),"Fora do DRE",VLOOKUP(Base_Periodo1[[#This Row],[CONTA]],BaseContasDRE[#All],4,FALSE))</f>
        <v>Fora do DRE</v>
      </c>
      <c r="T1528" s="3" t="str">
        <f>IF(ISERROR(VLOOKUP(Base_Periodo1[[#This Row],[CONTA]],BaseContasDRE[#All],5,FALSE)),"Fora do DRE",VLOOKUP(Base_Periodo1[[#This Row],[CONTA]],BaseContasDRE[#All],6,FALSE))</f>
        <v>Fora do DRE</v>
      </c>
      <c r="U1528" s="3" t="str">
        <f>IF(ISERROR(VLOOKUP(Base_Periodo1[[#This Row],[CONTA]],BaseContasDRE[#All],7,FALSE)),"Fora do DRE",VLOOKUP(Base_Periodo1[[#This Row],[CONTA]],BaseContasDRE[#All],7,FALSE))</f>
        <v>Fora do DRE</v>
      </c>
      <c r="V1528" s="3" t="str">
        <f>IF(Base_Periodo1[[#This Row],[Tipo_Linha]]="Fora do DRE","Fora do DRE","( "&amp;Base_Periodo1[[#This Row],[Tipo_Linha]]&amp;" ) "&amp;Base_Periodo1[[#This Row],[Filtro]])</f>
        <v>Fora do DRE</v>
      </c>
      <c r="W1528" s="3" t="str">
        <f>LEFT(Base_Periodo1[[#This Row],[CLASS]],3)</f>
        <v>1.1</v>
      </c>
    </row>
    <row r="1529" spans="1:23" hidden="1">
      <c r="A1529" s="3" t="str">
        <f t="shared" si="23"/>
        <v>Período 1</v>
      </c>
      <c r="B1529">
        <v>496</v>
      </c>
      <c r="C1529" t="s">
        <v>5034</v>
      </c>
      <c r="D1529" t="s">
        <v>1185</v>
      </c>
      <c r="E1529" s="3" t="str">
        <f>IF(LEN(Base_Periodo1[[#This Row],[CLASS]])&gt;=7,LEFT(Base_Periodo1[[#This Row],[CLASS]],7),"")</f>
        <v>1.1.3.1</v>
      </c>
      <c r="F1529" s="3" t="str">
        <f>VLOOKUP(Base_Periodo1[[#This Row],[Aux]],Base_Contas_Balanco[#All],2,FALSE)</f>
        <v>Estoques Proprios</v>
      </c>
      <c r="G1529" s="1">
        <v>42758</v>
      </c>
      <c r="H1529" s="225">
        <v>63274.200000000012</v>
      </c>
      <c r="I1529" s="225">
        <v>0</v>
      </c>
      <c r="J1529" s="225">
        <v>0</v>
      </c>
      <c r="K1529" s="225">
        <v>63274.200000000012</v>
      </c>
      <c r="L15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63274.2</v>
      </c>
      <c r="M1529" s="225">
        <f>ROUND(IF(AND(Base_Periodo1[[#This Row],[Tipo_Linha]]="-",Base_Periodo1[[#This Row],[TIPOSALDO]]="D"),Base_Periodo1[[#This Row],[SALDO_ATUAL]]*-1,Base_Periodo1[[#This Row],[SALDO_ATUAL]]),4)</f>
        <v>63274.2</v>
      </c>
      <c r="N1529" t="s">
        <v>116</v>
      </c>
      <c r="O1529" t="s">
        <v>397</v>
      </c>
      <c r="P1529" t="s">
        <v>397</v>
      </c>
      <c r="Q1529">
        <v>9</v>
      </c>
      <c r="R1529" s="225">
        <f>Base_Periodo1[[#This Row],[CREDITOS]]-Base_Periodo1[[#This Row],[DEBITOS]]</f>
        <v>0</v>
      </c>
      <c r="S1529" s="3" t="str">
        <f>IF(ISERROR(VLOOKUP(Base_Periodo1[[#This Row],[CONTA]],BaseContasDRE[#All],4,FALSE)),"Fora do DRE",VLOOKUP(Base_Periodo1[[#This Row],[CONTA]],BaseContasDRE[#All],4,FALSE))</f>
        <v>Fora do DRE</v>
      </c>
      <c r="T1529" s="3" t="str">
        <f>IF(ISERROR(VLOOKUP(Base_Periodo1[[#This Row],[CONTA]],BaseContasDRE[#All],5,FALSE)),"Fora do DRE",VLOOKUP(Base_Periodo1[[#This Row],[CONTA]],BaseContasDRE[#All],6,FALSE))</f>
        <v>Fora do DRE</v>
      </c>
      <c r="U1529" s="3" t="str">
        <f>IF(ISERROR(VLOOKUP(Base_Periodo1[[#This Row],[CONTA]],BaseContasDRE[#All],7,FALSE)),"Fora do DRE",VLOOKUP(Base_Periodo1[[#This Row],[CONTA]],BaseContasDRE[#All],7,FALSE))</f>
        <v>Fora do DRE</v>
      </c>
      <c r="V1529" s="3" t="str">
        <f>IF(Base_Periodo1[[#This Row],[Tipo_Linha]]="Fora do DRE","Fora do DRE","( "&amp;Base_Periodo1[[#This Row],[Tipo_Linha]]&amp;" ) "&amp;Base_Periodo1[[#This Row],[Filtro]])</f>
        <v>Fora do DRE</v>
      </c>
      <c r="W1529" s="3" t="str">
        <f>LEFT(Base_Periodo1[[#This Row],[CLASS]],3)</f>
        <v>1.1</v>
      </c>
    </row>
    <row r="1530" spans="1:23" hidden="1">
      <c r="A1530" s="3" t="str">
        <f t="shared" si="23"/>
        <v>Período 1</v>
      </c>
      <c r="B1530">
        <v>497</v>
      </c>
      <c r="C1530" t="s">
        <v>1265</v>
      </c>
      <c r="D1530" t="s">
        <v>1067</v>
      </c>
      <c r="E1530" s="3" t="str">
        <f>IF(LEN(Base_Periodo1[[#This Row],[CLASS]])&gt;=7,LEFT(Base_Periodo1[[#This Row],[CLASS]],7),"")</f>
        <v>1.1.3.1</v>
      </c>
      <c r="F1530" s="3" t="str">
        <f>VLOOKUP(Base_Periodo1[[#This Row],[Aux]],Base_Contas_Balanco[#All],2,FALSE)</f>
        <v>Estoques Proprios</v>
      </c>
      <c r="G1530" s="1"/>
      <c r="H1530" s="225">
        <v>1634174.5399999968</v>
      </c>
      <c r="I1530" s="225">
        <v>0</v>
      </c>
      <c r="J1530" s="225">
        <v>0</v>
      </c>
      <c r="K1530" s="225">
        <v>1634174.5399999968</v>
      </c>
      <c r="L15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-1634174.54</v>
      </c>
      <c r="M1530" s="225">
        <f>ROUND(IF(AND(Base_Periodo1[[#This Row],[Tipo_Linha]]="-",Base_Periodo1[[#This Row],[TIPOSALDO]]="D"),Base_Periodo1[[#This Row],[SALDO_ATUAL]]*-1,Base_Periodo1[[#This Row],[SALDO_ATUAL]]),4)</f>
        <v>1634174.54</v>
      </c>
      <c r="N1530" t="s">
        <v>396</v>
      </c>
      <c r="O1530" t="s">
        <v>459</v>
      </c>
      <c r="P1530" t="s">
        <v>459</v>
      </c>
      <c r="Q1530">
        <v>8</v>
      </c>
      <c r="R1530" s="225">
        <f>Base_Periodo1[[#This Row],[CREDITOS]]-Base_Periodo1[[#This Row],[DEBITOS]]</f>
        <v>0</v>
      </c>
      <c r="S1530" s="3" t="str">
        <f>IF(ISERROR(VLOOKUP(Base_Periodo1[[#This Row],[CONTA]],BaseContasDRE[#All],4,FALSE)),"Fora do DRE",VLOOKUP(Base_Periodo1[[#This Row],[CONTA]],BaseContasDRE[#All],4,FALSE))</f>
        <v>Fora do DRE</v>
      </c>
      <c r="T1530" s="3" t="str">
        <f>IF(ISERROR(VLOOKUP(Base_Periodo1[[#This Row],[CONTA]],BaseContasDRE[#All],5,FALSE)),"Fora do DRE",VLOOKUP(Base_Periodo1[[#This Row],[CONTA]],BaseContasDRE[#All],6,FALSE))</f>
        <v>Fora do DRE</v>
      </c>
      <c r="U1530" s="3" t="str">
        <f>IF(ISERROR(VLOOKUP(Base_Periodo1[[#This Row],[CONTA]],BaseContasDRE[#All],7,FALSE)),"Fora do DRE",VLOOKUP(Base_Periodo1[[#This Row],[CONTA]],BaseContasDRE[#All],7,FALSE))</f>
        <v>Fora do DRE</v>
      </c>
      <c r="V1530" s="3" t="str">
        <f>IF(Base_Periodo1[[#This Row],[Tipo_Linha]]="Fora do DRE","Fora do DRE","( "&amp;Base_Periodo1[[#This Row],[Tipo_Linha]]&amp;" ) "&amp;Base_Periodo1[[#This Row],[Filtro]])</f>
        <v>Fora do DRE</v>
      </c>
      <c r="W1530" s="3" t="str">
        <f>LEFT(Base_Periodo1[[#This Row],[CLASS]],3)</f>
        <v>1.1</v>
      </c>
    </row>
    <row r="1531" spans="1:23" hidden="1">
      <c r="A1531" s="3" t="str">
        <f t="shared" si="23"/>
        <v>Período 1</v>
      </c>
      <c r="B1531">
        <v>498</v>
      </c>
      <c r="C1531" t="s">
        <v>1266</v>
      </c>
      <c r="D1531" t="s">
        <v>1068</v>
      </c>
      <c r="E1531" s="3" t="str">
        <f>IF(LEN(Base_Periodo1[[#This Row],[CLASS]])&gt;=7,LEFT(Base_Periodo1[[#This Row],[CLASS]],7),"")</f>
        <v>1.1.3.1</v>
      </c>
      <c r="F1531" s="3" t="str">
        <f>VLOOKUP(Base_Periodo1[[#This Row],[Aux]],Base_Contas_Balanco[#All],2,FALSE)</f>
        <v>Estoques Proprios</v>
      </c>
      <c r="G1531" s="1">
        <v>42825</v>
      </c>
      <c r="H1531" s="225">
        <v>1484389.1599999964</v>
      </c>
      <c r="I1531" s="225">
        <v>0</v>
      </c>
      <c r="J1531" s="225">
        <v>0</v>
      </c>
      <c r="K1531" s="225">
        <v>1484389.1599999964</v>
      </c>
      <c r="L15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-1484389.16</v>
      </c>
      <c r="M1531" s="225">
        <f>ROUND(IF(AND(Base_Periodo1[[#This Row],[Tipo_Linha]]="-",Base_Periodo1[[#This Row],[TIPOSALDO]]="D"),Base_Periodo1[[#This Row],[SALDO_ATUAL]]*-1,Base_Periodo1[[#This Row],[SALDO_ATUAL]]),4)</f>
        <v>1484389.16</v>
      </c>
      <c r="N1531" t="s">
        <v>116</v>
      </c>
      <c r="O1531" t="s">
        <v>459</v>
      </c>
      <c r="P1531" t="s">
        <v>459</v>
      </c>
      <c r="Q1531">
        <v>9</v>
      </c>
      <c r="R1531" s="225">
        <f>Base_Periodo1[[#This Row],[CREDITOS]]-Base_Periodo1[[#This Row],[DEBITOS]]</f>
        <v>0</v>
      </c>
      <c r="S1531" s="3" t="str">
        <f>IF(ISERROR(VLOOKUP(Base_Periodo1[[#This Row],[CONTA]],BaseContasDRE[#All],4,FALSE)),"Fora do DRE",VLOOKUP(Base_Periodo1[[#This Row],[CONTA]],BaseContasDRE[#All],4,FALSE))</f>
        <v>Fora do DRE</v>
      </c>
      <c r="T1531" s="3" t="str">
        <f>IF(ISERROR(VLOOKUP(Base_Periodo1[[#This Row],[CONTA]],BaseContasDRE[#All],5,FALSE)),"Fora do DRE",VLOOKUP(Base_Periodo1[[#This Row],[CONTA]],BaseContasDRE[#All],6,FALSE))</f>
        <v>Fora do DRE</v>
      </c>
      <c r="U1531" s="3" t="str">
        <f>IF(ISERROR(VLOOKUP(Base_Periodo1[[#This Row],[CONTA]],BaseContasDRE[#All],7,FALSE)),"Fora do DRE",VLOOKUP(Base_Periodo1[[#This Row],[CONTA]],BaseContasDRE[#All],7,FALSE))</f>
        <v>Fora do DRE</v>
      </c>
      <c r="V1531" s="3" t="str">
        <f>IF(Base_Periodo1[[#This Row],[Tipo_Linha]]="Fora do DRE","Fora do DRE","( "&amp;Base_Periodo1[[#This Row],[Tipo_Linha]]&amp;" ) "&amp;Base_Periodo1[[#This Row],[Filtro]])</f>
        <v>Fora do DRE</v>
      </c>
      <c r="W1531" s="3" t="str">
        <f>LEFT(Base_Periodo1[[#This Row],[CLASS]],3)</f>
        <v>1.1</v>
      </c>
    </row>
    <row r="1532" spans="1:23" hidden="1">
      <c r="A1532" s="3" t="str">
        <f t="shared" si="23"/>
        <v>Período 1</v>
      </c>
      <c r="B1532">
        <v>499</v>
      </c>
      <c r="C1532" t="s">
        <v>1267</v>
      </c>
      <c r="D1532" t="s">
        <v>1070</v>
      </c>
      <c r="E1532" s="3" t="str">
        <f>IF(LEN(Base_Periodo1[[#This Row],[CLASS]])&gt;=7,LEFT(Base_Periodo1[[#This Row],[CLASS]],7),"")</f>
        <v>1.1.3.1</v>
      </c>
      <c r="F1532" s="3" t="str">
        <f>VLOOKUP(Base_Periodo1[[#This Row],[Aux]],Base_Contas_Balanco[#All],2,FALSE)</f>
        <v>Estoques Proprios</v>
      </c>
      <c r="G1532" s="1">
        <v>42825</v>
      </c>
      <c r="H1532" s="225">
        <v>149785.38000000035</v>
      </c>
      <c r="I1532" s="225">
        <v>0</v>
      </c>
      <c r="J1532" s="225">
        <v>0</v>
      </c>
      <c r="K1532" s="225">
        <v>149785.38000000035</v>
      </c>
      <c r="L15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-149785.38</v>
      </c>
      <c r="M1532" s="225">
        <f>ROUND(IF(AND(Base_Periodo1[[#This Row],[Tipo_Linha]]="-",Base_Periodo1[[#This Row],[TIPOSALDO]]="D"),Base_Periodo1[[#This Row],[SALDO_ATUAL]]*-1,Base_Periodo1[[#This Row],[SALDO_ATUAL]]),4)</f>
        <v>149785.38</v>
      </c>
      <c r="N1532" t="s">
        <v>116</v>
      </c>
      <c r="O1532" t="s">
        <v>459</v>
      </c>
      <c r="P1532" t="s">
        <v>459</v>
      </c>
      <c r="Q1532">
        <v>9</v>
      </c>
      <c r="R1532" s="225">
        <f>Base_Periodo1[[#This Row],[CREDITOS]]-Base_Periodo1[[#This Row],[DEBITOS]]</f>
        <v>0</v>
      </c>
      <c r="S1532" s="3" t="str">
        <f>IF(ISERROR(VLOOKUP(Base_Periodo1[[#This Row],[CONTA]],BaseContasDRE[#All],4,FALSE)),"Fora do DRE",VLOOKUP(Base_Periodo1[[#This Row],[CONTA]],BaseContasDRE[#All],4,FALSE))</f>
        <v>Fora do DRE</v>
      </c>
      <c r="T1532" s="3" t="str">
        <f>IF(ISERROR(VLOOKUP(Base_Periodo1[[#This Row],[CONTA]],BaseContasDRE[#All],5,FALSE)),"Fora do DRE",VLOOKUP(Base_Periodo1[[#This Row],[CONTA]],BaseContasDRE[#All],6,FALSE))</f>
        <v>Fora do DRE</v>
      </c>
      <c r="U1532" s="3" t="str">
        <f>IF(ISERROR(VLOOKUP(Base_Periodo1[[#This Row],[CONTA]],BaseContasDRE[#All],7,FALSE)),"Fora do DRE",VLOOKUP(Base_Periodo1[[#This Row],[CONTA]],BaseContasDRE[#All],7,FALSE))</f>
        <v>Fora do DRE</v>
      </c>
      <c r="V1532" s="3" t="str">
        <f>IF(Base_Periodo1[[#This Row],[Tipo_Linha]]="Fora do DRE","Fora do DRE","( "&amp;Base_Periodo1[[#This Row],[Tipo_Linha]]&amp;" ) "&amp;Base_Periodo1[[#This Row],[Filtro]])</f>
        <v>Fora do DRE</v>
      </c>
      <c r="W1532" s="3" t="str">
        <f>LEFT(Base_Periodo1[[#This Row],[CLASS]],3)</f>
        <v>1.1</v>
      </c>
    </row>
    <row r="1533" spans="1:23" hidden="1">
      <c r="A1533" s="3" t="str">
        <f t="shared" si="23"/>
        <v>Período 1</v>
      </c>
      <c r="B1533">
        <v>500</v>
      </c>
      <c r="C1533" t="s">
        <v>6245</v>
      </c>
      <c r="D1533" t="s">
        <v>1166</v>
      </c>
      <c r="E1533" s="3" t="str">
        <f>IF(LEN(Base_Periodo1[[#This Row],[CLASS]])&gt;=7,LEFT(Base_Periodo1[[#This Row],[CLASS]],7),"")</f>
        <v>1.1.3.1</v>
      </c>
      <c r="F1533" s="3" t="str">
        <f>VLOOKUP(Base_Periodo1[[#This Row],[Aux]],Base_Contas_Balanco[#All],2,FALSE)</f>
        <v>Estoques Proprios</v>
      </c>
      <c r="G1533" s="1"/>
      <c r="H1533" s="225">
        <v>30636.510000000941</v>
      </c>
      <c r="I1533" s="225">
        <v>0</v>
      </c>
      <c r="J1533" s="225">
        <v>0</v>
      </c>
      <c r="K1533" s="225">
        <v>30636.510000000941</v>
      </c>
      <c r="L15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-30636.51</v>
      </c>
      <c r="M1533" s="225">
        <f>ROUND(IF(AND(Base_Periodo1[[#This Row],[Tipo_Linha]]="-",Base_Periodo1[[#This Row],[TIPOSALDO]]="D"),Base_Periodo1[[#This Row],[SALDO_ATUAL]]*-1,Base_Periodo1[[#This Row],[SALDO_ATUAL]]),4)</f>
        <v>30636.51</v>
      </c>
      <c r="N1533" t="s">
        <v>396</v>
      </c>
      <c r="O1533" t="s">
        <v>459</v>
      </c>
      <c r="P1533" t="s">
        <v>459</v>
      </c>
      <c r="Q1533">
        <v>8</v>
      </c>
      <c r="R1533" s="225">
        <f>Base_Periodo1[[#This Row],[CREDITOS]]-Base_Periodo1[[#This Row],[DEBITOS]]</f>
        <v>0</v>
      </c>
      <c r="S1533" s="3" t="str">
        <f>IF(ISERROR(VLOOKUP(Base_Periodo1[[#This Row],[CONTA]],BaseContasDRE[#All],4,FALSE)),"Fora do DRE",VLOOKUP(Base_Periodo1[[#This Row],[CONTA]],BaseContasDRE[#All],4,FALSE))</f>
        <v>Fora do DRE</v>
      </c>
      <c r="T1533" s="3" t="str">
        <f>IF(ISERROR(VLOOKUP(Base_Periodo1[[#This Row],[CONTA]],BaseContasDRE[#All],5,FALSE)),"Fora do DRE",VLOOKUP(Base_Periodo1[[#This Row],[CONTA]],BaseContasDRE[#All],6,FALSE))</f>
        <v>Fora do DRE</v>
      </c>
      <c r="U1533" s="3" t="str">
        <f>IF(ISERROR(VLOOKUP(Base_Periodo1[[#This Row],[CONTA]],BaseContasDRE[#All],7,FALSE)),"Fora do DRE",VLOOKUP(Base_Periodo1[[#This Row],[CONTA]],BaseContasDRE[#All],7,FALSE))</f>
        <v>Fora do DRE</v>
      </c>
      <c r="V1533" s="3" t="str">
        <f>IF(Base_Periodo1[[#This Row],[Tipo_Linha]]="Fora do DRE","Fora do DRE","( "&amp;Base_Periodo1[[#This Row],[Tipo_Linha]]&amp;" ) "&amp;Base_Periodo1[[#This Row],[Filtro]])</f>
        <v>Fora do DRE</v>
      </c>
      <c r="W1533" s="3" t="str">
        <f>LEFT(Base_Periodo1[[#This Row],[CLASS]],3)</f>
        <v>1.1</v>
      </c>
    </row>
    <row r="1534" spans="1:23" hidden="1">
      <c r="A1534" s="3" t="str">
        <f t="shared" si="23"/>
        <v>Período 1</v>
      </c>
      <c r="B1534">
        <v>501</v>
      </c>
      <c r="C1534" t="s">
        <v>6246</v>
      </c>
      <c r="D1534" t="s">
        <v>1167</v>
      </c>
      <c r="E1534" s="3" t="str">
        <f>IF(LEN(Base_Periodo1[[#This Row],[CLASS]])&gt;=7,LEFT(Base_Periodo1[[#This Row],[CLASS]],7),"")</f>
        <v>1.1.3.1</v>
      </c>
      <c r="F1534" s="3" t="str">
        <f>VLOOKUP(Base_Periodo1[[#This Row],[Aux]],Base_Contas_Balanco[#All],2,FALSE)</f>
        <v>Estoques Proprios</v>
      </c>
      <c r="G1534" s="1">
        <v>42850</v>
      </c>
      <c r="H1534" s="225">
        <v>30636.510000000941</v>
      </c>
      <c r="I1534" s="225">
        <v>0</v>
      </c>
      <c r="J1534" s="225">
        <v>0</v>
      </c>
      <c r="K1534" s="225">
        <v>30636.510000000941</v>
      </c>
      <c r="L15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-30636.51</v>
      </c>
      <c r="M1534" s="225">
        <f>ROUND(IF(AND(Base_Periodo1[[#This Row],[Tipo_Linha]]="-",Base_Periodo1[[#This Row],[TIPOSALDO]]="D"),Base_Periodo1[[#This Row],[SALDO_ATUAL]]*-1,Base_Periodo1[[#This Row],[SALDO_ATUAL]]),4)</f>
        <v>30636.51</v>
      </c>
      <c r="N1534" t="s">
        <v>116</v>
      </c>
      <c r="O1534" t="s">
        <v>459</v>
      </c>
      <c r="P1534" t="s">
        <v>459</v>
      </c>
      <c r="Q1534">
        <v>9</v>
      </c>
      <c r="R1534" s="225">
        <f>Base_Periodo1[[#This Row],[CREDITOS]]-Base_Periodo1[[#This Row],[DEBITOS]]</f>
        <v>0</v>
      </c>
      <c r="S1534" s="3" t="str">
        <f>IF(ISERROR(VLOOKUP(Base_Periodo1[[#This Row],[CONTA]],BaseContasDRE[#All],4,FALSE)),"Fora do DRE",VLOOKUP(Base_Periodo1[[#This Row],[CONTA]],BaseContasDRE[#All],4,FALSE))</f>
        <v>Fora do DRE</v>
      </c>
      <c r="T1534" s="3" t="str">
        <f>IF(ISERROR(VLOOKUP(Base_Periodo1[[#This Row],[CONTA]],BaseContasDRE[#All],5,FALSE)),"Fora do DRE",VLOOKUP(Base_Periodo1[[#This Row],[CONTA]],BaseContasDRE[#All],6,FALSE))</f>
        <v>Fora do DRE</v>
      </c>
      <c r="U1534" s="3" t="str">
        <f>IF(ISERROR(VLOOKUP(Base_Periodo1[[#This Row],[CONTA]],BaseContasDRE[#All],7,FALSE)),"Fora do DRE",VLOOKUP(Base_Periodo1[[#This Row],[CONTA]],BaseContasDRE[#All],7,FALSE))</f>
        <v>Fora do DRE</v>
      </c>
      <c r="V1534" s="3" t="str">
        <f>IF(Base_Periodo1[[#This Row],[Tipo_Linha]]="Fora do DRE","Fora do DRE","( "&amp;Base_Periodo1[[#This Row],[Tipo_Linha]]&amp;" ) "&amp;Base_Periodo1[[#This Row],[Filtro]])</f>
        <v>Fora do DRE</v>
      </c>
      <c r="W1534" s="3" t="str">
        <f>LEFT(Base_Periodo1[[#This Row],[CLASS]],3)</f>
        <v>1.1</v>
      </c>
    </row>
    <row r="1535" spans="1:23" hidden="1">
      <c r="A1535" s="3" t="str">
        <f t="shared" si="23"/>
        <v>Período 1</v>
      </c>
      <c r="B1535">
        <v>502</v>
      </c>
      <c r="C1535" t="s">
        <v>1268</v>
      </c>
      <c r="D1535" t="s">
        <v>1072</v>
      </c>
      <c r="E1535" s="3" t="str">
        <f>IF(LEN(Base_Periodo1[[#This Row],[CLASS]])&gt;=7,LEFT(Base_Periodo1[[#This Row],[CLASS]],7),"")</f>
        <v>1.1.3.1</v>
      </c>
      <c r="F1535" s="3" t="str">
        <f>VLOOKUP(Base_Periodo1[[#This Row],[Aux]],Base_Contas_Balanco[#All],2,FALSE)</f>
        <v>Estoques Proprios</v>
      </c>
      <c r="G1535" s="1"/>
      <c r="H1535" s="225">
        <v>1507052.3399999961</v>
      </c>
      <c r="I1535" s="225">
        <v>0</v>
      </c>
      <c r="J1535" s="225">
        <v>0</v>
      </c>
      <c r="K1535" s="225">
        <v>1507052.3399999961</v>
      </c>
      <c r="L15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-1507052.34</v>
      </c>
      <c r="M1535" s="225">
        <f>ROUND(IF(AND(Base_Periodo1[[#This Row],[Tipo_Linha]]="-",Base_Periodo1[[#This Row],[TIPOSALDO]]="D"),Base_Periodo1[[#This Row],[SALDO_ATUAL]]*-1,Base_Periodo1[[#This Row],[SALDO_ATUAL]]),4)</f>
        <v>1507052.34</v>
      </c>
      <c r="N1535" t="s">
        <v>396</v>
      </c>
      <c r="O1535" t="s">
        <v>459</v>
      </c>
      <c r="P1535" t="s">
        <v>459</v>
      </c>
      <c r="Q1535">
        <v>8</v>
      </c>
      <c r="R1535" s="225">
        <f>Base_Periodo1[[#This Row],[CREDITOS]]-Base_Periodo1[[#This Row],[DEBITOS]]</f>
        <v>0</v>
      </c>
      <c r="S1535" s="3" t="str">
        <f>IF(ISERROR(VLOOKUP(Base_Periodo1[[#This Row],[CONTA]],BaseContasDRE[#All],4,FALSE)),"Fora do DRE",VLOOKUP(Base_Periodo1[[#This Row],[CONTA]],BaseContasDRE[#All],4,FALSE))</f>
        <v>Fora do DRE</v>
      </c>
      <c r="T1535" s="3" t="str">
        <f>IF(ISERROR(VLOOKUP(Base_Periodo1[[#This Row],[CONTA]],BaseContasDRE[#All],5,FALSE)),"Fora do DRE",VLOOKUP(Base_Periodo1[[#This Row],[CONTA]],BaseContasDRE[#All],6,FALSE))</f>
        <v>Fora do DRE</v>
      </c>
      <c r="U1535" s="3" t="str">
        <f>IF(ISERROR(VLOOKUP(Base_Periodo1[[#This Row],[CONTA]],BaseContasDRE[#All],7,FALSE)),"Fora do DRE",VLOOKUP(Base_Periodo1[[#This Row],[CONTA]],BaseContasDRE[#All],7,FALSE))</f>
        <v>Fora do DRE</v>
      </c>
      <c r="V1535" s="3" t="str">
        <f>IF(Base_Periodo1[[#This Row],[Tipo_Linha]]="Fora do DRE","Fora do DRE","( "&amp;Base_Periodo1[[#This Row],[Tipo_Linha]]&amp;" ) "&amp;Base_Periodo1[[#This Row],[Filtro]])</f>
        <v>Fora do DRE</v>
      </c>
      <c r="W1535" s="3" t="str">
        <f>LEFT(Base_Periodo1[[#This Row],[CLASS]],3)</f>
        <v>1.1</v>
      </c>
    </row>
    <row r="1536" spans="1:23" hidden="1">
      <c r="A1536" s="3" t="str">
        <f t="shared" si="23"/>
        <v>Período 1</v>
      </c>
      <c r="B1536">
        <v>503</v>
      </c>
      <c r="C1536" t="s">
        <v>1269</v>
      </c>
      <c r="D1536" t="s">
        <v>1074</v>
      </c>
      <c r="E1536" s="3" t="str">
        <f>IF(LEN(Base_Periodo1[[#This Row],[CLASS]])&gt;=7,LEFT(Base_Periodo1[[#This Row],[CLASS]],7),"")</f>
        <v>1.1.3.1</v>
      </c>
      <c r="F1536" s="3" t="str">
        <f>VLOOKUP(Base_Periodo1[[#This Row],[Aux]],Base_Contas_Balanco[#All],2,FALSE)</f>
        <v>Estoques Proprios</v>
      </c>
      <c r="G1536" s="1">
        <v>42850</v>
      </c>
      <c r="H1536" s="225">
        <v>1507052.3399999961</v>
      </c>
      <c r="I1536" s="225">
        <v>0</v>
      </c>
      <c r="J1536" s="225">
        <v>0</v>
      </c>
      <c r="K1536" s="225">
        <v>1507052.3399999961</v>
      </c>
      <c r="L15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-1507052.34</v>
      </c>
      <c r="M1536" s="225">
        <f>ROUND(IF(AND(Base_Periodo1[[#This Row],[Tipo_Linha]]="-",Base_Periodo1[[#This Row],[TIPOSALDO]]="D"),Base_Periodo1[[#This Row],[SALDO_ATUAL]]*-1,Base_Periodo1[[#This Row],[SALDO_ATUAL]]),4)</f>
        <v>1507052.34</v>
      </c>
      <c r="N1536" t="s">
        <v>116</v>
      </c>
      <c r="O1536" t="s">
        <v>459</v>
      </c>
      <c r="P1536" t="s">
        <v>459</v>
      </c>
      <c r="Q1536">
        <v>9</v>
      </c>
      <c r="R1536" s="225">
        <f>Base_Periodo1[[#This Row],[CREDITOS]]-Base_Periodo1[[#This Row],[DEBITOS]]</f>
        <v>0</v>
      </c>
      <c r="S1536" s="3" t="str">
        <f>IF(ISERROR(VLOOKUP(Base_Periodo1[[#This Row],[CONTA]],BaseContasDRE[#All],4,FALSE)),"Fora do DRE",VLOOKUP(Base_Periodo1[[#This Row],[CONTA]],BaseContasDRE[#All],4,FALSE))</f>
        <v>Fora do DRE</v>
      </c>
      <c r="T1536" s="3" t="str">
        <f>IF(ISERROR(VLOOKUP(Base_Periodo1[[#This Row],[CONTA]],BaseContasDRE[#All],5,FALSE)),"Fora do DRE",VLOOKUP(Base_Periodo1[[#This Row],[CONTA]],BaseContasDRE[#All],6,FALSE))</f>
        <v>Fora do DRE</v>
      </c>
      <c r="U1536" s="3" t="str">
        <f>IF(ISERROR(VLOOKUP(Base_Periodo1[[#This Row],[CONTA]],BaseContasDRE[#All],7,FALSE)),"Fora do DRE",VLOOKUP(Base_Periodo1[[#This Row],[CONTA]],BaseContasDRE[#All],7,FALSE))</f>
        <v>Fora do DRE</v>
      </c>
      <c r="V1536" s="3" t="str">
        <f>IF(Base_Periodo1[[#This Row],[Tipo_Linha]]="Fora do DRE","Fora do DRE","( "&amp;Base_Periodo1[[#This Row],[Tipo_Linha]]&amp;" ) "&amp;Base_Periodo1[[#This Row],[Filtro]])</f>
        <v>Fora do DRE</v>
      </c>
      <c r="W1536" s="3" t="str">
        <f>LEFT(Base_Periodo1[[#This Row],[CLASS]],3)</f>
        <v>1.1</v>
      </c>
    </row>
    <row r="1537" spans="1:23" hidden="1">
      <c r="A1537" s="3" t="str">
        <f t="shared" si="23"/>
        <v>Período 1</v>
      </c>
      <c r="B1537">
        <v>504</v>
      </c>
      <c r="C1537" t="s">
        <v>1270</v>
      </c>
      <c r="D1537" t="s">
        <v>1171</v>
      </c>
      <c r="E1537" s="3" t="str">
        <f>IF(LEN(Base_Periodo1[[#This Row],[CLASS]])&gt;=7,LEFT(Base_Periodo1[[#This Row],[CLASS]],7),"")</f>
        <v>1.1.3.1</v>
      </c>
      <c r="F1537" s="3" t="str">
        <f>VLOOKUP(Base_Periodo1[[#This Row],[Aux]],Base_Contas_Balanco[#All],2,FALSE)</f>
        <v>Estoques Proprios</v>
      </c>
      <c r="G1537" s="1"/>
      <c r="H1537" s="225">
        <v>70136.460000000021</v>
      </c>
      <c r="I1537" s="225">
        <v>0</v>
      </c>
      <c r="J1537" s="225">
        <v>2200</v>
      </c>
      <c r="K1537" s="225">
        <v>72336.460000000021</v>
      </c>
      <c r="L15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-72336.460000000006</v>
      </c>
      <c r="M1537" s="225">
        <f>ROUND(IF(AND(Base_Periodo1[[#This Row],[Tipo_Linha]]="-",Base_Periodo1[[#This Row],[TIPOSALDO]]="D"),Base_Periodo1[[#This Row],[SALDO_ATUAL]]*-1,Base_Periodo1[[#This Row],[SALDO_ATUAL]]),4)</f>
        <v>72336.460000000006</v>
      </c>
      <c r="N1537" t="s">
        <v>396</v>
      </c>
      <c r="O1537" t="s">
        <v>459</v>
      </c>
      <c r="P1537" t="s">
        <v>459</v>
      </c>
      <c r="Q1537">
        <v>8</v>
      </c>
      <c r="R1537" s="225">
        <f>Base_Periodo1[[#This Row],[CREDITOS]]-Base_Periodo1[[#This Row],[DEBITOS]]</f>
        <v>2200</v>
      </c>
      <c r="S1537" s="3" t="str">
        <f>IF(ISERROR(VLOOKUP(Base_Periodo1[[#This Row],[CONTA]],BaseContasDRE[#All],4,FALSE)),"Fora do DRE",VLOOKUP(Base_Periodo1[[#This Row],[CONTA]],BaseContasDRE[#All],4,FALSE))</f>
        <v>Fora do DRE</v>
      </c>
      <c r="T1537" s="3" t="str">
        <f>IF(ISERROR(VLOOKUP(Base_Periodo1[[#This Row],[CONTA]],BaseContasDRE[#All],5,FALSE)),"Fora do DRE",VLOOKUP(Base_Periodo1[[#This Row],[CONTA]],BaseContasDRE[#All],6,FALSE))</f>
        <v>Fora do DRE</v>
      </c>
      <c r="U1537" s="3" t="str">
        <f>IF(ISERROR(VLOOKUP(Base_Periodo1[[#This Row],[CONTA]],BaseContasDRE[#All],7,FALSE)),"Fora do DRE",VLOOKUP(Base_Periodo1[[#This Row],[CONTA]],BaseContasDRE[#All],7,FALSE))</f>
        <v>Fora do DRE</v>
      </c>
      <c r="V1537" s="3" t="str">
        <f>IF(Base_Periodo1[[#This Row],[Tipo_Linha]]="Fora do DRE","Fora do DRE","( "&amp;Base_Periodo1[[#This Row],[Tipo_Linha]]&amp;" ) "&amp;Base_Periodo1[[#This Row],[Filtro]])</f>
        <v>Fora do DRE</v>
      </c>
      <c r="W1537" s="3" t="str">
        <f>LEFT(Base_Periodo1[[#This Row],[CLASS]],3)</f>
        <v>1.1</v>
      </c>
    </row>
    <row r="1538" spans="1:23" hidden="1">
      <c r="A1538" s="3" t="str">
        <f t="shared" si="23"/>
        <v>Período 1</v>
      </c>
      <c r="B1538">
        <v>505</v>
      </c>
      <c r="C1538" t="s">
        <v>1271</v>
      </c>
      <c r="D1538" t="s">
        <v>1173</v>
      </c>
      <c r="E1538" s="3" t="str">
        <f>IF(LEN(Base_Periodo1[[#This Row],[CLASS]])&gt;=7,LEFT(Base_Periodo1[[#This Row],[CLASS]],7),"")</f>
        <v>1.1.3.1</v>
      </c>
      <c r="F1538" s="3" t="str">
        <f>VLOOKUP(Base_Periodo1[[#This Row],[Aux]],Base_Contas_Balanco[#All],2,FALSE)</f>
        <v>Estoques Proprios</v>
      </c>
      <c r="G1538" s="1">
        <v>42864</v>
      </c>
      <c r="H1538" s="225">
        <v>70136.460000000021</v>
      </c>
      <c r="I1538" s="225">
        <v>0</v>
      </c>
      <c r="J1538" s="225">
        <v>2200</v>
      </c>
      <c r="K1538" s="225">
        <v>72336.460000000021</v>
      </c>
      <c r="L15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-72336.460000000006</v>
      </c>
      <c r="M1538" s="225">
        <f>ROUND(IF(AND(Base_Periodo1[[#This Row],[Tipo_Linha]]="-",Base_Periodo1[[#This Row],[TIPOSALDO]]="D"),Base_Periodo1[[#This Row],[SALDO_ATUAL]]*-1,Base_Periodo1[[#This Row],[SALDO_ATUAL]]),4)</f>
        <v>72336.460000000006</v>
      </c>
      <c r="N1538" t="s">
        <v>116</v>
      </c>
      <c r="O1538" t="s">
        <v>459</v>
      </c>
      <c r="P1538" t="s">
        <v>459</v>
      </c>
      <c r="Q1538">
        <v>9</v>
      </c>
      <c r="R1538" s="225">
        <f>Base_Periodo1[[#This Row],[CREDITOS]]-Base_Periodo1[[#This Row],[DEBITOS]]</f>
        <v>2200</v>
      </c>
      <c r="S1538" s="3" t="str">
        <f>IF(ISERROR(VLOOKUP(Base_Periodo1[[#This Row],[CONTA]],BaseContasDRE[#All],4,FALSE)),"Fora do DRE",VLOOKUP(Base_Periodo1[[#This Row],[CONTA]],BaseContasDRE[#All],4,FALSE))</f>
        <v>Fora do DRE</v>
      </c>
      <c r="T1538" s="3" t="str">
        <f>IF(ISERROR(VLOOKUP(Base_Periodo1[[#This Row],[CONTA]],BaseContasDRE[#All],5,FALSE)),"Fora do DRE",VLOOKUP(Base_Periodo1[[#This Row],[CONTA]],BaseContasDRE[#All],6,FALSE))</f>
        <v>Fora do DRE</v>
      </c>
      <c r="U1538" s="3" t="str">
        <f>IF(ISERROR(VLOOKUP(Base_Periodo1[[#This Row],[CONTA]],BaseContasDRE[#All],7,FALSE)),"Fora do DRE",VLOOKUP(Base_Periodo1[[#This Row],[CONTA]],BaseContasDRE[#All],7,FALSE))</f>
        <v>Fora do DRE</v>
      </c>
      <c r="V1538" s="3" t="str">
        <f>IF(Base_Periodo1[[#This Row],[Tipo_Linha]]="Fora do DRE","Fora do DRE","( "&amp;Base_Periodo1[[#This Row],[Tipo_Linha]]&amp;" ) "&amp;Base_Periodo1[[#This Row],[Filtro]])</f>
        <v>Fora do DRE</v>
      </c>
      <c r="W1538" s="3" t="str">
        <f>LEFT(Base_Periodo1[[#This Row],[CLASS]],3)</f>
        <v>1.1</v>
      </c>
    </row>
    <row r="1539" spans="1:23" hidden="1">
      <c r="A1539" s="3" t="str">
        <f t="shared" si="23"/>
        <v>Período 1</v>
      </c>
      <c r="B1539">
        <v>509</v>
      </c>
      <c r="C1539" t="s">
        <v>6247</v>
      </c>
      <c r="D1539" t="s">
        <v>1272</v>
      </c>
      <c r="E1539" s="3" t="str">
        <f>IF(LEN(Base_Periodo1[[#This Row],[CLASS]])&gt;=7,LEFT(Base_Periodo1[[#This Row],[CLASS]],7),"")</f>
        <v>1.1.3.1</v>
      </c>
      <c r="F1539" s="3" t="str">
        <f>VLOOKUP(Base_Periodo1[[#This Row],[Aux]],Base_Contas_Balanco[#All],2,FALSE)</f>
        <v>Estoques Proprios</v>
      </c>
      <c r="G1539" s="1"/>
      <c r="H1539" s="225">
        <v>108009.5900000073</v>
      </c>
      <c r="I1539" s="225">
        <v>847727.77999999991</v>
      </c>
      <c r="J1539" s="225">
        <v>721303.89999999991</v>
      </c>
      <c r="K1539" s="225">
        <v>234433.47000000731</v>
      </c>
      <c r="L15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234433.47</v>
      </c>
      <c r="M1539" s="225">
        <f>ROUND(IF(AND(Base_Periodo1[[#This Row],[Tipo_Linha]]="-",Base_Periodo1[[#This Row],[TIPOSALDO]]="D"),Base_Periodo1[[#This Row],[SALDO_ATUAL]]*-1,Base_Periodo1[[#This Row],[SALDO_ATUAL]]),4)</f>
        <v>234433.47</v>
      </c>
      <c r="N1539" t="s">
        <v>396</v>
      </c>
      <c r="O1539" t="s">
        <v>397</v>
      </c>
      <c r="P1539" t="s">
        <v>397</v>
      </c>
      <c r="Q1539">
        <v>7</v>
      </c>
      <c r="R1539" s="225">
        <f>Base_Periodo1[[#This Row],[CREDITOS]]-Base_Periodo1[[#This Row],[DEBITOS]]</f>
        <v>-126423.88</v>
      </c>
      <c r="S1539" s="3" t="str">
        <f>IF(ISERROR(VLOOKUP(Base_Periodo1[[#This Row],[CONTA]],BaseContasDRE[#All],4,FALSE)),"Fora do DRE",VLOOKUP(Base_Periodo1[[#This Row],[CONTA]],BaseContasDRE[#All],4,FALSE))</f>
        <v>Fora do DRE</v>
      </c>
      <c r="T1539" s="3" t="str">
        <f>IF(ISERROR(VLOOKUP(Base_Periodo1[[#This Row],[CONTA]],BaseContasDRE[#All],5,FALSE)),"Fora do DRE",VLOOKUP(Base_Periodo1[[#This Row],[CONTA]],BaseContasDRE[#All],6,FALSE))</f>
        <v>Fora do DRE</v>
      </c>
      <c r="U1539" s="3" t="str">
        <f>IF(ISERROR(VLOOKUP(Base_Periodo1[[#This Row],[CONTA]],BaseContasDRE[#All],7,FALSE)),"Fora do DRE",VLOOKUP(Base_Periodo1[[#This Row],[CONTA]],BaseContasDRE[#All],7,FALSE))</f>
        <v>Fora do DRE</v>
      </c>
      <c r="V1539" s="3" t="str">
        <f>IF(Base_Periodo1[[#This Row],[Tipo_Linha]]="Fora do DRE","Fora do DRE","( "&amp;Base_Periodo1[[#This Row],[Tipo_Linha]]&amp;" ) "&amp;Base_Periodo1[[#This Row],[Filtro]])</f>
        <v>Fora do DRE</v>
      </c>
      <c r="W1539" s="3" t="str">
        <f>LEFT(Base_Periodo1[[#This Row],[CLASS]],3)</f>
        <v>1.1</v>
      </c>
    </row>
    <row r="1540" spans="1:23" hidden="1">
      <c r="A1540" s="3" t="str">
        <f t="shared" si="23"/>
        <v>Período 1</v>
      </c>
      <c r="B1540">
        <v>512</v>
      </c>
      <c r="C1540" t="s">
        <v>6248</v>
      </c>
      <c r="D1540" t="s">
        <v>1057</v>
      </c>
      <c r="E1540" s="3" t="str">
        <f>IF(LEN(Base_Periodo1[[#This Row],[CLASS]])&gt;=7,LEFT(Base_Periodo1[[#This Row],[CLASS]],7),"")</f>
        <v>1.1.3.1</v>
      </c>
      <c r="F1540" s="3" t="str">
        <f>VLOOKUP(Base_Periodo1[[#This Row],[Aux]],Base_Contas_Balanco[#All],2,FALSE)</f>
        <v>Estoques Proprios</v>
      </c>
      <c r="G1540" s="1"/>
      <c r="H1540" s="225">
        <v>341145.46000000276</v>
      </c>
      <c r="I1540" s="225">
        <v>450936.23</v>
      </c>
      <c r="J1540" s="225">
        <v>8542.94</v>
      </c>
      <c r="K1540" s="225">
        <v>783538.75000000279</v>
      </c>
      <c r="L15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783538.75</v>
      </c>
      <c r="M1540" s="225">
        <f>ROUND(IF(AND(Base_Periodo1[[#This Row],[Tipo_Linha]]="-",Base_Periodo1[[#This Row],[TIPOSALDO]]="D"),Base_Periodo1[[#This Row],[SALDO_ATUAL]]*-1,Base_Periodo1[[#This Row],[SALDO_ATUAL]]),4)</f>
        <v>783538.75</v>
      </c>
      <c r="N1540" t="s">
        <v>396</v>
      </c>
      <c r="O1540" t="s">
        <v>397</v>
      </c>
      <c r="P1540" t="s">
        <v>397</v>
      </c>
      <c r="Q1540">
        <v>8</v>
      </c>
      <c r="R1540" s="225">
        <f>Base_Periodo1[[#This Row],[CREDITOS]]-Base_Periodo1[[#This Row],[DEBITOS]]</f>
        <v>-442393.29</v>
      </c>
      <c r="S1540" s="3" t="str">
        <f>IF(ISERROR(VLOOKUP(Base_Periodo1[[#This Row],[CONTA]],BaseContasDRE[#All],4,FALSE)),"Fora do DRE",VLOOKUP(Base_Periodo1[[#This Row],[CONTA]],BaseContasDRE[#All],4,FALSE))</f>
        <v>Fora do DRE</v>
      </c>
      <c r="T1540" s="3" t="str">
        <f>IF(ISERROR(VLOOKUP(Base_Periodo1[[#This Row],[CONTA]],BaseContasDRE[#All],5,FALSE)),"Fora do DRE",VLOOKUP(Base_Periodo1[[#This Row],[CONTA]],BaseContasDRE[#All],6,FALSE))</f>
        <v>Fora do DRE</v>
      </c>
      <c r="U1540" s="3" t="str">
        <f>IF(ISERROR(VLOOKUP(Base_Periodo1[[#This Row],[CONTA]],BaseContasDRE[#All],7,FALSE)),"Fora do DRE",VLOOKUP(Base_Periodo1[[#This Row],[CONTA]],BaseContasDRE[#All],7,FALSE))</f>
        <v>Fora do DRE</v>
      </c>
      <c r="V1540" s="3" t="str">
        <f>IF(Base_Periodo1[[#This Row],[Tipo_Linha]]="Fora do DRE","Fora do DRE","( "&amp;Base_Periodo1[[#This Row],[Tipo_Linha]]&amp;" ) "&amp;Base_Periodo1[[#This Row],[Filtro]])</f>
        <v>Fora do DRE</v>
      </c>
      <c r="W1540" s="3" t="str">
        <f>LEFT(Base_Periodo1[[#This Row],[CLASS]],3)</f>
        <v>1.1</v>
      </c>
    </row>
    <row r="1541" spans="1:23" hidden="1">
      <c r="A1541" s="3" t="str">
        <f t="shared" si="23"/>
        <v>Período 1</v>
      </c>
      <c r="B1541">
        <v>513</v>
      </c>
      <c r="C1541" t="s">
        <v>6249</v>
      </c>
      <c r="D1541" t="s">
        <v>1059</v>
      </c>
      <c r="E1541" s="3" t="str">
        <f>IF(LEN(Base_Periodo1[[#This Row],[CLASS]])&gt;=7,LEFT(Base_Periodo1[[#This Row],[CLASS]],7),"")</f>
        <v>1.1.3.1</v>
      </c>
      <c r="F1541" s="3" t="str">
        <f>VLOOKUP(Base_Periodo1[[#This Row],[Aux]],Base_Contas_Balanco[#All],2,FALSE)</f>
        <v>Estoques Proprios</v>
      </c>
      <c r="G1541" s="1">
        <v>42886</v>
      </c>
      <c r="H1541" s="225">
        <v>16810.260000000708</v>
      </c>
      <c r="I1541" s="225">
        <v>204639.63</v>
      </c>
      <c r="J1541" s="225">
        <v>651.16</v>
      </c>
      <c r="K1541" s="225">
        <v>220798.73000000071</v>
      </c>
      <c r="L15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220798.73</v>
      </c>
      <c r="M1541" s="225">
        <f>ROUND(IF(AND(Base_Periodo1[[#This Row],[Tipo_Linha]]="-",Base_Periodo1[[#This Row],[TIPOSALDO]]="D"),Base_Periodo1[[#This Row],[SALDO_ATUAL]]*-1,Base_Periodo1[[#This Row],[SALDO_ATUAL]]),4)</f>
        <v>220798.73</v>
      </c>
      <c r="N1541" t="s">
        <v>116</v>
      </c>
      <c r="O1541" t="s">
        <v>397</v>
      </c>
      <c r="P1541" t="s">
        <v>397</v>
      </c>
      <c r="Q1541">
        <v>9</v>
      </c>
      <c r="R1541" s="225">
        <f>Base_Periodo1[[#This Row],[CREDITOS]]-Base_Periodo1[[#This Row],[DEBITOS]]</f>
        <v>-203988.47</v>
      </c>
      <c r="S1541" s="3" t="str">
        <f>IF(ISERROR(VLOOKUP(Base_Periodo1[[#This Row],[CONTA]],BaseContasDRE[#All],4,FALSE)),"Fora do DRE",VLOOKUP(Base_Periodo1[[#This Row],[CONTA]],BaseContasDRE[#All],4,FALSE))</f>
        <v>Fora do DRE</v>
      </c>
      <c r="T1541" s="3" t="str">
        <f>IF(ISERROR(VLOOKUP(Base_Periodo1[[#This Row],[CONTA]],BaseContasDRE[#All],5,FALSE)),"Fora do DRE",VLOOKUP(Base_Periodo1[[#This Row],[CONTA]],BaseContasDRE[#All],6,FALSE))</f>
        <v>Fora do DRE</v>
      </c>
      <c r="U1541" s="3" t="str">
        <f>IF(ISERROR(VLOOKUP(Base_Periodo1[[#This Row],[CONTA]],BaseContasDRE[#All],7,FALSE)),"Fora do DRE",VLOOKUP(Base_Periodo1[[#This Row],[CONTA]],BaseContasDRE[#All],7,FALSE))</f>
        <v>Fora do DRE</v>
      </c>
      <c r="V1541" s="3" t="str">
        <f>IF(Base_Periodo1[[#This Row],[Tipo_Linha]]="Fora do DRE","Fora do DRE","( "&amp;Base_Periodo1[[#This Row],[Tipo_Linha]]&amp;" ) "&amp;Base_Periodo1[[#This Row],[Filtro]])</f>
        <v>Fora do DRE</v>
      </c>
      <c r="W1541" s="3" t="str">
        <f>LEFT(Base_Periodo1[[#This Row],[CLASS]],3)</f>
        <v>1.1</v>
      </c>
    </row>
    <row r="1542" spans="1:23" hidden="1">
      <c r="A1542" s="3" t="str">
        <f t="shared" ref="A1542:A1605" si="24">"Período 1"</f>
        <v>Período 1</v>
      </c>
      <c r="B1542">
        <v>514</v>
      </c>
      <c r="C1542" t="s">
        <v>6250</v>
      </c>
      <c r="D1542" t="s">
        <v>1061</v>
      </c>
      <c r="E1542" s="3" t="str">
        <f>IF(LEN(Base_Periodo1[[#This Row],[CLASS]])&gt;=7,LEFT(Base_Periodo1[[#This Row],[CLASS]],7),"")</f>
        <v>1.1.3.1</v>
      </c>
      <c r="F1542" s="3" t="str">
        <f>VLOOKUP(Base_Periodo1[[#This Row],[Aux]],Base_Contas_Balanco[#All],2,FALSE)</f>
        <v>Estoques Proprios</v>
      </c>
      <c r="G1542" s="1">
        <v>42884</v>
      </c>
      <c r="H1542" s="225">
        <v>324335.20000000205</v>
      </c>
      <c r="I1542" s="225">
        <v>246296.6</v>
      </c>
      <c r="J1542" s="225">
        <v>7891.7800000000007</v>
      </c>
      <c r="K1542" s="225">
        <v>562740.020000002</v>
      </c>
      <c r="L15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562740.02</v>
      </c>
      <c r="M1542" s="225">
        <f>ROUND(IF(AND(Base_Periodo1[[#This Row],[Tipo_Linha]]="-",Base_Periodo1[[#This Row],[TIPOSALDO]]="D"),Base_Periodo1[[#This Row],[SALDO_ATUAL]]*-1,Base_Periodo1[[#This Row],[SALDO_ATUAL]]),4)</f>
        <v>562740.02</v>
      </c>
      <c r="N1542" t="s">
        <v>116</v>
      </c>
      <c r="O1542" t="s">
        <v>397</v>
      </c>
      <c r="P1542" t="s">
        <v>397</v>
      </c>
      <c r="Q1542">
        <v>9</v>
      </c>
      <c r="R1542" s="225">
        <f>Base_Periodo1[[#This Row],[CREDITOS]]-Base_Periodo1[[#This Row],[DEBITOS]]</f>
        <v>-238404.82</v>
      </c>
      <c r="S1542" s="3" t="str">
        <f>IF(ISERROR(VLOOKUP(Base_Periodo1[[#This Row],[CONTA]],BaseContasDRE[#All],4,FALSE)),"Fora do DRE",VLOOKUP(Base_Periodo1[[#This Row],[CONTA]],BaseContasDRE[#All],4,FALSE))</f>
        <v>Fora do DRE</v>
      </c>
      <c r="T1542" s="3" t="str">
        <f>IF(ISERROR(VLOOKUP(Base_Periodo1[[#This Row],[CONTA]],BaseContasDRE[#All],5,FALSE)),"Fora do DRE",VLOOKUP(Base_Periodo1[[#This Row],[CONTA]],BaseContasDRE[#All],6,FALSE))</f>
        <v>Fora do DRE</v>
      </c>
      <c r="U1542" s="3" t="str">
        <f>IF(ISERROR(VLOOKUP(Base_Periodo1[[#This Row],[CONTA]],BaseContasDRE[#All],7,FALSE)),"Fora do DRE",VLOOKUP(Base_Periodo1[[#This Row],[CONTA]],BaseContasDRE[#All],7,FALSE))</f>
        <v>Fora do DRE</v>
      </c>
      <c r="V1542" s="3" t="str">
        <f>IF(Base_Periodo1[[#This Row],[Tipo_Linha]]="Fora do DRE","Fora do DRE","( "&amp;Base_Periodo1[[#This Row],[Tipo_Linha]]&amp;" ) "&amp;Base_Periodo1[[#This Row],[Filtro]])</f>
        <v>Fora do DRE</v>
      </c>
      <c r="W1542" s="3" t="str">
        <f>LEFT(Base_Periodo1[[#This Row],[CLASS]],3)</f>
        <v>1.1</v>
      </c>
    </row>
    <row r="1543" spans="1:23" hidden="1">
      <c r="A1543" s="3" t="str">
        <f t="shared" si="24"/>
        <v>Período 1</v>
      </c>
      <c r="B1543">
        <v>515</v>
      </c>
      <c r="C1543" t="s">
        <v>6251</v>
      </c>
      <c r="D1543" t="s">
        <v>1063</v>
      </c>
      <c r="E1543" s="3" t="str">
        <f>IF(LEN(Base_Periodo1[[#This Row],[CLASS]])&gt;=7,LEFT(Base_Periodo1[[#This Row],[CLASS]],7),"")</f>
        <v>1.1.3.1</v>
      </c>
      <c r="F1543" s="3" t="str">
        <f>VLOOKUP(Base_Periodo1[[#This Row],[Aux]],Base_Contas_Balanco[#All],2,FALSE)</f>
        <v>Estoques Proprios</v>
      </c>
      <c r="G1543" s="1"/>
      <c r="H1543" s="225">
        <v>21499.300000002608</v>
      </c>
      <c r="I1543" s="225">
        <v>396435.54999999993</v>
      </c>
      <c r="J1543" s="225">
        <v>0</v>
      </c>
      <c r="K1543" s="225">
        <v>417934.85000000254</v>
      </c>
      <c r="L15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417934.85</v>
      </c>
      <c r="M1543" s="225">
        <f>ROUND(IF(AND(Base_Periodo1[[#This Row],[Tipo_Linha]]="-",Base_Periodo1[[#This Row],[TIPOSALDO]]="D"),Base_Periodo1[[#This Row],[SALDO_ATUAL]]*-1,Base_Periodo1[[#This Row],[SALDO_ATUAL]]),4)</f>
        <v>417934.85</v>
      </c>
      <c r="N1543" t="s">
        <v>396</v>
      </c>
      <c r="O1543" t="s">
        <v>397</v>
      </c>
      <c r="P1543" t="s">
        <v>397</v>
      </c>
      <c r="Q1543">
        <v>8</v>
      </c>
      <c r="R1543" s="225">
        <f>Base_Periodo1[[#This Row],[CREDITOS]]-Base_Periodo1[[#This Row],[DEBITOS]]</f>
        <v>-396435.54999999993</v>
      </c>
      <c r="S1543" s="3" t="str">
        <f>IF(ISERROR(VLOOKUP(Base_Periodo1[[#This Row],[CONTA]],BaseContasDRE[#All],4,FALSE)),"Fora do DRE",VLOOKUP(Base_Periodo1[[#This Row],[CONTA]],BaseContasDRE[#All],4,FALSE))</f>
        <v>Fora do DRE</v>
      </c>
      <c r="T1543" s="3" t="str">
        <f>IF(ISERROR(VLOOKUP(Base_Periodo1[[#This Row],[CONTA]],BaseContasDRE[#All],5,FALSE)),"Fora do DRE",VLOOKUP(Base_Periodo1[[#This Row],[CONTA]],BaseContasDRE[#All],6,FALSE))</f>
        <v>Fora do DRE</v>
      </c>
      <c r="U1543" s="3" t="str">
        <f>IF(ISERROR(VLOOKUP(Base_Periodo1[[#This Row],[CONTA]],BaseContasDRE[#All],7,FALSE)),"Fora do DRE",VLOOKUP(Base_Periodo1[[#This Row],[CONTA]],BaseContasDRE[#All],7,FALSE))</f>
        <v>Fora do DRE</v>
      </c>
      <c r="V1543" s="3" t="str">
        <f>IF(Base_Periodo1[[#This Row],[Tipo_Linha]]="Fora do DRE","Fora do DRE","( "&amp;Base_Periodo1[[#This Row],[Tipo_Linha]]&amp;" ) "&amp;Base_Periodo1[[#This Row],[Filtro]])</f>
        <v>Fora do DRE</v>
      </c>
      <c r="W1543" s="3" t="str">
        <f>LEFT(Base_Periodo1[[#This Row],[CLASS]],3)</f>
        <v>1.1</v>
      </c>
    </row>
    <row r="1544" spans="1:23" hidden="1">
      <c r="A1544" s="3" t="str">
        <f t="shared" si="24"/>
        <v>Período 1</v>
      </c>
      <c r="B1544">
        <v>516</v>
      </c>
      <c r="C1544" t="s">
        <v>6252</v>
      </c>
      <c r="D1544" t="s">
        <v>1065</v>
      </c>
      <c r="E1544" s="3" t="str">
        <f>IF(LEN(Base_Periodo1[[#This Row],[CLASS]])&gt;=7,LEFT(Base_Periodo1[[#This Row],[CLASS]],7),"")</f>
        <v>1.1.3.1</v>
      </c>
      <c r="F1544" s="3" t="str">
        <f>VLOOKUP(Base_Periodo1[[#This Row],[Aux]],Base_Contas_Balanco[#All],2,FALSE)</f>
        <v>Estoques Proprios</v>
      </c>
      <c r="G1544" s="1">
        <v>42880</v>
      </c>
      <c r="H1544" s="225">
        <v>21499.300000002608</v>
      </c>
      <c r="I1544" s="225">
        <v>396435.54999999993</v>
      </c>
      <c r="J1544" s="225">
        <v>0</v>
      </c>
      <c r="K1544" s="225">
        <v>417934.85000000254</v>
      </c>
      <c r="L15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417934.85</v>
      </c>
      <c r="M1544" s="225">
        <f>ROUND(IF(AND(Base_Periodo1[[#This Row],[Tipo_Linha]]="-",Base_Periodo1[[#This Row],[TIPOSALDO]]="D"),Base_Periodo1[[#This Row],[SALDO_ATUAL]]*-1,Base_Periodo1[[#This Row],[SALDO_ATUAL]]),4)</f>
        <v>417934.85</v>
      </c>
      <c r="N1544" t="s">
        <v>116</v>
      </c>
      <c r="O1544" t="s">
        <v>397</v>
      </c>
      <c r="P1544" t="s">
        <v>397</v>
      </c>
      <c r="Q1544">
        <v>9</v>
      </c>
      <c r="R1544" s="225">
        <f>Base_Periodo1[[#This Row],[CREDITOS]]-Base_Periodo1[[#This Row],[DEBITOS]]</f>
        <v>-396435.54999999993</v>
      </c>
      <c r="S1544" s="3" t="str">
        <f>IF(ISERROR(VLOOKUP(Base_Periodo1[[#This Row],[CONTA]],BaseContasDRE[#All],4,FALSE)),"Fora do DRE",VLOOKUP(Base_Periodo1[[#This Row],[CONTA]],BaseContasDRE[#All],4,FALSE))</f>
        <v>Fora do DRE</v>
      </c>
      <c r="T1544" s="3" t="str">
        <f>IF(ISERROR(VLOOKUP(Base_Periodo1[[#This Row],[CONTA]],BaseContasDRE[#All],5,FALSE)),"Fora do DRE",VLOOKUP(Base_Periodo1[[#This Row],[CONTA]],BaseContasDRE[#All],6,FALSE))</f>
        <v>Fora do DRE</v>
      </c>
      <c r="U1544" s="3" t="str">
        <f>IF(ISERROR(VLOOKUP(Base_Periodo1[[#This Row],[CONTA]],BaseContasDRE[#All],7,FALSE)),"Fora do DRE",VLOOKUP(Base_Periodo1[[#This Row],[CONTA]],BaseContasDRE[#All],7,FALSE))</f>
        <v>Fora do DRE</v>
      </c>
      <c r="V1544" s="3" t="str">
        <f>IF(Base_Periodo1[[#This Row],[Tipo_Linha]]="Fora do DRE","Fora do DRE","( "&amp;Base_Periodo1[[#This Row],[Tipo_Linha]]&amp;" ) "&amp;Base_Periodo1[[#This Row],[Filtro]])</f>
        <v>Fora do DRE</v>
      </c>
      <c r="W1544" s="3" t="str">
        <f>LEFT(Base_Periodo1[[#This Row],[CLASS]],3)</f>
        <v>1.1</v>
      </c>
    </row>
    <row r="1545" spans="1:23" hidden="1">
      <c r="A1545" s="3" t="str">
        <f t="shared" si="24"/>
        <v>Período 1</v>
      </c>
      <c r="B1545">
        <v>14011</v>
      </c>
      <c r="C1545" t="s">
        <v>6798</v>
      </c>
      <c r="D1545" t="s">
        <v>6667</v>
      </c>
      <c r="E1545" s="3" t="str">
        <f>IF(LEN(Base_Periodo1[[#This Row],[CLASS]])&gt;=7,LEFT(Base_Periodo1[[#This Row],[CLASS]],7),"")</f>
        <v>1.1.3.1</v>
      </c>
      <c r="F1545" s="3" t="str">
        <f>VLOOKUP(Base_Periodo1[[#This Row],[Aux]],Base_Contas_Balanco[#All],2,FALSE)</f>
        <v>Estoques Proprios</v>
      </c>
      <c r="G1545" s="1"/>
      <c r="I1545" s="225">
        <v>356</v>
      </c>
      <c r="J1545" s="225">
        <v>17.09</v>
      </c>
      <c r="K1545" s="225">
        <v>338.91</v>
      </c>
      <c r="L15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338.91</v>
      </c>
      <c r="M1545" s="225">
        <f>ROUND(IF(AND(Base_Periodo1[[#This Row],[Tipo_Linha]]="-",Base_Periodo1[[#This Row],[TIPOSALDO]]="D"),Base_Periodo1[[#This Row],[SALDO_ATUAL]]*-1,Base_Periodo1[[#This Row],[SALDO_ATUAL]]),4)</f>
        <v>338.91</v>
      </c>
      <c r="N1545" t="s">
        <v>396</v>
      </c>
      <c r="O1545" t="s">
        <v>436</v>
      </c>
      <c r="P1545" t="s">
        <v>397</v>
      </c>
      <c r="Q1545">
        <v>8</v>
      </c>
      <c r="R1545" s="225">
        <f>Base_Periodo1[[#This Row],[CREDITOS]]-Base_Periodo1[[#This Row],[DEBITOS]]</f>
        <v>-338.91</v>
      </c>
      <c r="S1545" s="3" t="str">
        <f>IF(ISERROR(VLOOKUP(Base_Periodo1[[#This Row],[CONTA]],BaseContasDRE[#All],4,FALSE)),"Fora do DRE",VLOOKUP(Base_Periodo1[[#This Row],[CONTA]],BaseContasDRE[#All],4,FALSE))</f>
        <v>Fora do DRE</v>
      </c>
      <c r="T1545" s="3" t="str">
        <f>IF(ISERROR(VLOOKUP(Base_Periodo1[[#This Row],[CONTA]],BaseContasDRE[#All],5,FALSE)),"Fora do DRE",VLOOKUP(Base_Periodo1[[#This Row],[CONTA]],BaseContasDRE[#All],6,FALSE))</f>
        <v>Fora do DRE</v>
      </c>
      <c r="U1545" s="3" t="str">
        <f>IF(ISERROR(VLOOKUP(Base_Periodo1[[#This Row],[CONTA]],BaseContasDRE[#All],7,FALSE)),"Fora do DRE",VLOOKUP(Base_Periodo1[[#This Row],[CONTA]],BaseContasDRE[#All],7,FALSE))</f>
        <v>Fora do DRE</v>
      </c>
      <c r="V1545" s="3" t="str">
        <f>IF(Base_Periodo1[[#This Row],[Tipo_Linha]]="Fora do DRE","Fora do DRE","( "&amp;Base_Periodo1[[#This Row],[Tipo_Linha]]&amp;" ) "&amp;Base_Periodo1[[#This Row],[Filtro]])</f>
        <v>Fora do DRE</v>
      </c>
      <c r="W1545" s="3" t="str">
        <f>LEFT(Base_Periodo1[[#This Row],[CLASS]],3)</f>
        <v>1.1</v>
      </c>
    </row>
    <row r="1546" spans="1:23" hidden="1">
      <c r="A1546" s="3" t="str">
        <f t="shared" si="24"/>
        <v>Período 1</v>
      </c>
      <c r="B1546">
        <v>14013</v>
      </c>
      <c r="C1546" t="s">
        <v>6799</v>
      </c>
      <c r="D1546" t="s">
        <v>6800</v>
      </c>
      <c r="E1546" s="3" t="str">
        <f>IF(LEN(Base_Periodo1[[#This Row],[CLASS]])&gt;=7,LEFT(Base_Periodo1[[#This Row],[CLASS]],7),"")</f>
        <v>1.1.3.1</v>
      </c>
      <c r="F1546" s="3" t="str">
        <f>VLOOKUP(Base_Periodo1[[#This Row],[Aux]],Base_Contas_Balanco[#All],2,FALSE)</f>
        <v>Estoques Proprios</v>
      </c>
      <c r="G1546" s="1">
        <v>42867</v>
      </c>
      <c r="I1546" s="225">
        <v>356</v>
      </c>
      <c r="J1546" s="225">
        <v>17.09</v>
      </c>
      <c r="K1546" s="225">
        <v>338.91</v>
      </c>
      <c r="L15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338.91</v>
      </c>
      <c r="M1546" s="225">
        <f>ROUND(IF(AND(Base_Periodo1[[#This Row],[Tipo_Linha]]="-",Base_Periodo1[[#This Row],[TIPOSALDO]]="D"),Base_Periodo1[[#This Row],[SALDO_ATUAL]]*-1,Base_Periodo1[[#This Row],[SALDO_ATUAL]]),4)</f>
        <v>338.91</v>
      </c>
      <c r="N1546" t="s">
        <v>116</v>
      </c>
      <c r="O1546" t="s">
        <v>436</v>
      </c>
      <c r="P1546" t="s">
        <v>397</v>
      </c>
      <c r="Q1546">
        <v>9</v>
      </c>
      <c r="R1546" s="225">
        <f>Base_Periodo1[[#This Row],[CREDITOS]]-Base_Periodo1[[#This Row],[DEBITOS]]</f>
        <v>-338.91</v>
      </c>
      <c r="S1546" s="3" t="str">
        <f>IF(ISERROR(VLOOKUP(Base_Periodo1[[#This Row],[CONTA]],BaseContasDRE[#All],4,FALSE)),"Fora do DRE",VLOOKUP(Base_Periodo1[[#This Row],[CONTA]],BaseContasDRE[#All],4,FALSE))</f>
        <v>Fora do DRE</v>
      </c>
      <c r="T1546" s="3" t="str">
        <f>IF(ISERROR(VLOOKUP(Base_Periodo1[[#This Row],[CONTA]],BaseContasDRE[#All],5,FALSE)),"Fora do DRE",VLOOKUP(Base_Periodo1[[#This Row],[CONTA]],BaseContasDRE[#All],6,FALSE))</f>
        <v>Fora do DRE</v>
      </c>
      <c r="U1546" s="3" t="str">
        <f>IF(ISERROR(VLOOKUP(Base_Periodo1[[#This Row],[CONTA]],BaseContasDRE[#All],7,FALSE)),"Fora do DRE",VLOOKUP(Base_Periodo1[[#This Row],[CONTA]],BaseContasDRE[#All],7,FALSE))</f>
        <v>Fora do DRE</v>
      </c>
      <c r="V1546" s="3" t="str">
        <f>IF(Base_Periodo1[[#This Row],[Tipo_Linha]]="Fora do DRE","Fora do DRE","( "&amp;Base_Periodo1[[#This Row],[Tipo_Linha]]&amp;" ) "&amp;Base_Periodo1[[#This Row],[Filtro]])</f>
        <v>Fora do DRE</v>
      </c>
      <c r="W1546" s="3" t="str">
        <f>LEFT(Base_Periodo1[[#This Row],[CLASS]],3)</f>
        <v>1.1</v>
      </c>
    </row>
    <row r="1547" spans="1:23" hidden="1">
      <c r="A1547" s="3" t="str">
        <f t="shared" si="24"/>
        <v>Período 1</v>
      </c>
      <c r="B1547">
        <v>520</v>
      </c>
      <c r="C1547" t="s">
        <v>6253</v>
      </c>
      <c r="D1547" t="s">
        <v>1067</v>
      </c>
      <c r="E1547" s="3" t="str">
        <f>IF(LEN(Base_Periodo1[[#This Row],[CLASS]])&gt;=7,LEFT(Base_Periodo1[[#This Row],[CLASS]],7),"")</f>
        <v>1.1.3.1</v>
      </c>
      <c r="F1547" s="3" t="str">
        <f>VLOOKUP(Base_Periodo1[[#This Row],[Aux]],Base_Contas_Balanco[#All],2,FALSE)</f>
        <v>Estoques Proprios</v>
      </c>
      <c r="G1547" s="1"/>
      <c r="H1547" s="225">
        <v>219529.25999999978</v>
      </c>
      <c r="I1547" s="225">
        <v>0</v>
      </c>
      <c r="J1547" s="225">
        <v>329914.93</v>
      </c>
      <c r="K1547" s="225">
        <v>549444.18999999971</v>
      </c>
      <c r="L15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-549444.18999999994</v>
      </c>
      <c r="M1547" s="225">
        <f>ROUND(IF(AND(Base_Periodo1[[#This Row],[Tipo_Linha]]="-",Base_Periodo1[[#This Row],[TIPOSALDO]]="D"),Base_Periodo1[[#This Row],[SALDO_ATUAL]]*-1,Base_Periodo1[[#This Row],[SALDO_ATUAL]]),4)</f>
        <v>549444.18999999994</v>
      </c>
      <c r="N1547" t="s">
        <v>396</v>
      </c>
      <c r="O1547" t="s">
        <v>459</v>
      </c>
      <c r="P1547" t="s">
        <v>459</v>
      </c>
      <c r="Q1547">
        <v>8</v>
      </c>
      <c r="R1547" s="225">
        <f>Base_Periodo1[[#This Row],[CREDITOS]]-Base_Periodo1[[#This Row],[DEBITOS]]</f>
        <v>329914.93</v>
      </c>
      <c r="S1547" s="3" t="str">
        <f>IF(ISERROR(VLOOKUP(Base_Periodo1[[#This Row],[CONTA]],BaseContasDRE[#All],4,FALSE)),"Fora do DRE",VLOOKUP(Base_Periodo1[[#This Row],[CONTA]],BaseContasDRE[#All],4,FALSE))</f>
        <v>Fora do DRE</v>
      </c>
      <c r="T1547" s="3" t="str">
        <f>IF(ISERROR(VLOOKUP(Base_Periodo1[[#This Row],[CONTA]],BaseContasDRE[#All],5,FALSE)),"Fora do DRE",VLOOKUP(Base_Periodo1[[#This Row],[CONTA]],BaseContasDRE[#All],6,FALSE))</f>
        <v>Fora do DRE</v>
      </c>
      <c r="U1547" s="3" t="str">
        <f>IF(ISERROR(VLOOKUP(Base_Periodo1[[#This Row],[CONTA]],BaseContasDRE[#All],7,FALSE)),"Fora do DRE",VLOOKUP(Base_Periodo1[[#This Row],[CONTA]],BaseContasDRE[#All],7,FALSE))</f>
        <v>Fora do DRE</v>
      </c>
      <c r="V1547" s="3" t="str">
        <f>IF(Base_Periodo1[[#This Row],[Tipo_Linha]]="Fora do DRE","Fora do DRE","( "&amp;Base_Periodo1[[#This Row],[Tipo_Linha]]&amp;" ) "&amp;Base_Periodo1[[#This Row],[Filtro]])</f>
        <v>Fora do DRE</v>
      </c>
      <c r="W1547" s="3" t="str">
        <f>LEFT(Base_Periodo1[[#This Row],[CLASS]],3)</f>
        <v>1.1</v>
      </c>
    </row>
    <row r="1548" spans="1:23" hidden="1">
      <c r="A1548" s="3" t="str">
        <f t="shared" si="24"/>
        <v>Período 1</v>
      </c>
      <c r="B1548">
        <v>521</v>
      </c>
      <c r="C1548" t="s">
        <v>6254</v>
      </c>
      <c r="D1548" t="s">
        <v>1068</v>
      </c>
      <c r="E1548" s="3" t="str">
        <f>IF(LEN(Base_Periodo1[[#This Row],[CLASS]])&gt;=7,LEFT(Base_Periodo1[[#This Row],[CLASS]],7),"")</f>
        <v>1.1.3.1</v>
      </c>
      <c r="F1548" s="3" t="str">
        <f>VLOOKUP(Base_Periodo1[[#This Row],[Aux]],Base_Contas_Balanco[#All],2,FALSE)</f>
        <v>Estoques Proprios</v>
      </c>
      <c r="G1548" s="1">
        <v>42886</v>
      </c>
      <c r="H1548" s="225">
        <v>40899.490000000224</v>
      </c>
      <c r="I1548" s="225">
        <v>0</v>
      </c>
      <c r="J1548" s="225">
        <v>185268.05</v>
      </c>
      <c r="K1548" s="225">
        <v>226167.54000000021</v>
      </c>
      <c r="L15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-226167.54</v>
      </c>
      <c r="M1548" s="225">
        <f>ROUND(IF(AND(Base_Periodo1[[#This Row],[Tipo_Linha]]="-",Base_Periodo1[[#This Row],[TIPOSALDO]]="D"),Base_Periodo1[[#This Row],[SALDO_ATUAL]]*-1,Base_Periodo1[[#This Row],[SALDO_ATUAL]]),4)</f>
        <v>226167.54</v>
      </c>
      <c r="N1548" t="s">
        <v>116</v>
      </c>
      <c r="O1548" t="s">
        <v>459</v>
      </c>
      <c r="P1548" t="s">
        <v>459</v>
      </c>
      <c r="Q1548">
        <v>9</v>
      </c>
      <c r="R1548" s="225">
        <f>Base_Periodo1[[#This Row],[CREDITOS]]-Base_Periodo1[[#This Row],[DEBITOS]]</f>
        <v>185268.05</v>
      </c>
      <c r="S1548" s="3" t="str">
        <f>IF(ISERROR(VLOOKUP(Base_Periodo1[[#This Row],[CONTA]],BaseContasDRE[#All],4,FALSE)),"Fora do DRE",VLOOKUP(Base_Periodo1[[#This Row],[CONTA]],BaseContasDRE[#All],4,FALSE))</f>
        <v>Fora do DRE</v>
      </c>
      <c r="T1548" s="3" t="str">
        <f>IF(ISERROR(VLOOKUP(Base_Periodo1[[#This Row],[CONTA]],BaseContasDRE[#All],5,FALSE)),"Fora do DRE",VLOOKUP(Base_Periodo1[[#This Row],[CONTA]],BaseContasDRE[#All],6,FALSE))</f>
        <v>Fora do DRE</v>
      </c>
      <c r="U1548" s="3" t="str">
        <f>IF(ISERROR(VLOOKUP(Base_Periodo1[[#This Row],[CONTA]],BaseContasDRE[#All],7,FALSE)),"Fora do DRE",VLOOKUP(Base_Periodo1[[#This Row],[CONTA]],BaseContasDRE[#All],7,FALSE))</f>
        <v>Fora do DRE</v>
      </c>
      <c r="V1548" s="3" t="str">
        <f>IF(Base_Periodo1[[#This Row],[Tipo_Linha]]="Fora do DRE","Fora do DRE","( "&amp;Base_Periodo1[[#This Row],[Tipo_Linha]]&amp;" ) "&amp;Base_Periodo1[[#This Row],[Filtro]])</f>
        <v>Fora do DRE</v>
      </c>
      <c r="W1548" s="3" t="str">
        <f>LEFT(Base_Periodo1[[#This Row],[CLASS]],3)</f>
        <v>1.1</v>
      </c>
    </row>
    <row r="1549" spans="1:23" hidden="1">
      <c r="A1549" s="3" t="str">
        <f t="shared" si="24"/>
        <v>Período 1</v>
      </c>
      <c r="B1549">
        <v>522</v>
      </c>
      <c r="C1549" t="s">
        <v>6255</v>
      </c>
      <c r="D1549" t="s">
        <v>1070</v>
      </c>
      <c r="E1549" s="3" t="str">
        <f>IF(LEN(Base_Periodo1[[#This Row],[CLASS]])&gt;=7,LEFT(Base_Periodo1[[#This Row],[CLASS]],7),"")</f>
        <v>1.1.3.1</v>
      </c>
      <c r="F1549" s="3" t="str">
        <f>VLOOKUP(Base_Periodo1[[#This Row],[Aux]],Base_Contas_Balanco[#All],2,FALSE)</f>
        <v>Estoques Proprios</v>
      </c>
      <c r="G1549" s="1">
        <v>42886</v>
      </c>
      <c r="H1549" s="225">
        <v>178629.76999999955</v>
      </c>
      <c r="I1549" s="225">
        <v>0</v>
      </c>
      <c r="J1549" s="225">
        <v>144646.88</v>
      </c>
      <c r="K1549" s="225">
        <v>323276.64999999956</v>
      </c>
      <c r="L15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-323276.65000000002</v>
      </c>
      <c r="M1549" s="225">
        <f>ROUND(IF(AND(Base_Periodo1[[#This Row],[Tipo_Linha]]="-",Base_Periodo1[[#This Row],[TIPOSALDO]]="D"),Base_Periodo1[[#This Row],[SALDO_ATUAL]]*-1,Base_Periodo1[[#This Row],[SALDO_ATUAL]]),4)</f>
        <v>323276.65000000002</v>
      </c>
      <c r="N1549" t="s">
        <v>116</v>
      </c>
      <c r="O1549" t="s">
        <v>459</v>
      </c>
      <c r="P1549" t="s">
        <v>459</v>
      </c>
      <c r="Q1549">
        <v>9</v>
      </c>
      <c r="R1549" s="225">
        <f>Base_Periodo1[[#This Row],[CREDITOS]]-Base_Periodo1[[#This Row],[DEBITOS]]</f>
        <v>144646.88</v>
      </c>
      <c r="S1549" s="3" t="str">
        <f>IF(ISERROR(VLOOKUP(Base_Periodo1[[#This Row],[CONTA]],BaseContasDRE[#All],4,FALSE)),"Fora do DRE",VLOOKUP(Base_Periodo1[[#This Row],[CONTA]],BaseContasDRE[#All],4,FALSE))</f>
        <v>Fora do DRE</v>
      </c>
      <c r="T1549" s="3" t="str">
        <f>IF(ISERROR(VLOOKUP(Base_Periodo1[[#This Row],[CONTA]],BaseContasDRE[#All],5,FALSE)),"Fora do DRE",VLOOKUP(Base_Periodo1[[#This Row],[CONTA]],BaseContasDRE[#All],6,FALSE))</f>
        <v>Fora do DRE</v>
      </c>
      <c r="U1549" s="3" t="str">
        <f>IF(ISERROR(VLOOKUP(Base_Periodo1[[#This Row],[CONTA]],BaseContasDRE[#All],7,FALSE)),"Fora do DRE",VLOOKUP(Base_Periodo1[[#This Row],[CONTA]],BaseContasDRE[#All],7,FALSE))</f>
        <v>Fora do DRE</v>
      </c>
      <c r="V1549" s="3" t="str">
        <f>IF(Base_Periodo1[[#This Row],[Tipo_Linha]]="Fora do DRE","Fora do DRE","( "&amp;Base_Periodo1[[#This Row],[Tipo_Linha]]&amp;" ) "&amp;Base_Periodo1[[#This Row],[Filtro]])</f>
        <v>Fora do DRE</v>
      </c>
      <c r="W1549" s="3" t="str">
        <f>LEFT(Base_Periodo1[[#This Row],[CLASS]],3)</f>
        <v>1.1</v>
      </c>
    </row>
    <row r="1550" spans="1:23" hidden="1">
      <c r="A1550" s="3" t="str">
        <f t="shared" si="24"/>
        <v>Período 1</v>
      </c>
      <c r="B1550">
        <v>526</v>
      </c>
      <c r="C1550" t="s">
        <v>6256</v>
      </c>
      <c r="D1550" t="s">
        <v>1072</v>
      </c>
      <c r="E1550" s="3" t="str">
        <f>IF(LEN(Base_Periodo1[[#This Row],[CLASS]])&gt;=7,LEFT(Base_Periodo1[[#This Row],[CLASS]],7),"")</f>
        <v>1.1.3.1</v>
      </c>
      <c r="F1550" s="3" t="str">
        <f>VLOOKUP(Base_Periodo1[[#This Row],[Aux]],Base_Contas_Balanco[#All],2,FALSE)</f>
        <v>Estoques Proprios</v>
      </c>
      <c r="G1550" s="1"/>
      <c r="H1550" s="225">
        <v>35105.909999998286</v>
      </c>
      <c r="I1550" s="225">
        <v>0</v>
      </c>
      <c r="J1550" s="225">
        <v>382828.93999999994</v>
      </c>
      <c r="K1550" s="225">
        <v>417934.84999999823</v>
      </c>
      <c r="L15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-417934.85</v>
      </c>
      <c r="M1550" s="225">
        <f>ROUND(IF(AND(Base_Periodo1[[#This Row],[Tipo_Linha]]="-",Base_Periodo1[[#This Row],[TIPOSALDO]]="D"),Base_Periodo1[[#This Row],[SALDO_ATUAL]]*-1,Base_Periodo1[[#This Row],[SALDO_ATUAL]]),4)</f>
        <v>417934.85</v>
      </c>
      <c r="N1550" t="s">
        <v>396</v>
      </c>
      <c r="O1550" t="s">
        <v>459</v>
      </c>
      <c r="P1550" t="s">
        <v>459</v>
      </c>
      <c r="Q1550">
        <v>8</v>
      </c>
      <c r="R1550" s="225">
        <f>Base_Periodo1[[#This Row],[CREDITOS]]-Base_Periodo1[[#This Row],[DEBITOS]]</f>
        <v>382828.93999999994</v>
      </c>
      <c r="S1550" s="3" t="str">
        <f>IF(ISERROR(VLOOKUP(Base_Periodo1[[#This Row],[CONTA]],BaseContasDRE[#All],4,FALSE)),"Fora do DRE",VLOOKUP(Base_Periodo1[[#This Row],[CONTA]],BaseContasDRE[#All],4,FALSE))</f>
        <v>Fora do DRE</v>
      </c>
      <c r="T1550" s="3" t="str">
        <f>IF(ISERROR(VLOOKUP(Base_Periodo1[[#This Row],[CONTA]],BaseContasDRE[#All],5,FALSE)),"Fora do DRE",VLOOKUP(Base_Periodo1[[#This Row],[CONTA]],BaseContasDRE[#All],6,FALSE))</f>
        <v>Fora do DRE</v>
      </c>
      <c r="U1550" s="3" t="str">
        <f>IF(ISERROR(VLOOKUP(Base_Periodo1[[#This Row],[CONTA]],BaseContasDRE[#All],7,FALSE)),"Fora do DRE",VLOOKUP(Base_Periodo1[[#This Row],[CONTA]],BaseContasDRE[#All],7,FALSE))</f>
        <v>Fora do DRE</v>
      </c>
      <c r="V1550" s="3" t="str">
        <f>IF(Base_Periodo1[[#This Row],[Tipo_Linha]]="Fora do DRE","Fora do DRE","( "&amp;Base_Periodo1[[#This Row],[Tipo_Linha]]&amp;" ) "&amp;Base_Periodo1[[#This Row],[Filtro]])</f>
        <v>Fora do DRE</v>
      </c>
      <c r="W1550" s="3" t="str">
        <f>LEFT(Base_Periodo1[[#This Row],[CLASS]],3)</f>
        <v>1.1</v>
      </c>
    </row>
    <row r="1551" spans="1:23" hidden="1">
      <c r="A1551" s="3" t="str">
        <f t="shared" si="24"/>
        <v>Período 1</v>
      </c>
      <c r="B1551">
        <v>527</v>
      </c>
      <c r="C1551" t="s">
        <v>6257</v>
      </c>
      <c r="D1551" t="s">
        <v>1074</v>
      </c>
      <c r="E1551" s="3" t="str">
        <f>IF(LEN(Base_Periodo1[[#This Row],[CLASS]])&gt;=7,LEFT(Base_Periodo1[[#This Row],[CLASS]],7),"")</f>
        <v>1.1.3.1</v>
      </c>
      <c r="F1551" s="3" t="str">
        <f>VLOOKUP(Base_Periodo1[[#This Row],[Aux]],Base_Contas_Balanco[#All],2,FALSE)</f>
        <v>Estoques Proprios</v>
      </c>
      <c r="G1551" s="1">
        <v>42879</v>
      </c>
      <c r="H1551" s="225">
        <v>35105.909999998286</v>
      </c>
      <c r="I1551" s="225">
        <v>0</v>
      </c>
      <c r="J1551" s="225">
        <v>382828.93999999994</v>
      </c>
      <c r="K1551" s="225">
        <v>417934.84999999823</v>
      </c>
      <c r="L15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-417934.85</v>
      </c>
      <c r="M1551" s="225">
        <f>ROUND(IF(AND(Base_Periodo1[[#This Row],[Tipo_Linha]]="-",Base_Periodo1[[#This Row],[TIPOSALDO]]="D"),Base_Periodo1[[#This Row],[SALDO_ATUAL]]*-1,Base_Periodo1[[#This Row],[SALDO_ATUAL]]),4)</f>
        <v>417934.85</v>
      </c>
      <c r="N1551" t="s">
        <v>116</v>
      </c>
      <c r="O1551" t="s">
        <v>459</v>
      </c>
      <c r="P1551" t="s">
        <v>459</v>
      </c>
      <c r="Q1551">
        <v>9</v>
      </c>
      <c r="R1551" s="225">
        <f>Base_Periodo1[[#This Row],[CREDITOS]]-Base_Periodo1[[#This Row],[DEBITOS]]</f>
        <v>382828.93999999994</v>
      </c>
      <c r="S1551" s="3" t="str">
        <f>IF(ISERROR(VLOOKUP(Base_Periodo1[[#This Row],[CONTA]],BaseContasDRE[#All],4,FALSE)),"Fora do DRE",VLOOKUP(Base_Periodo1[[#This Row],[CONTA]],BaseContasDRE[#All],4,FALSE))</f>
        <v>Fora do DRE</v>
      </c>
      <c r="T1551" s="3" t="str">
        <f>IF(ISERROR(VLOOKUP(Base_Periodo1[[#This Row],[CONTA]],BaseContasDRE[#All],5,FALSE)),"Fora do DRE",VLOOKUP(Base_Periodo1[[#This Row],[CONTA]],BaseContasDRE[#All],6,FALSE))</f>
        <v>Fora do DRE</v>
      </c>
      <c r="U1551" s="3" t="str">
        <f>IF(ISERROR(VLOOKUP(Base_Periodo1[[#This Row],[CONTA]],BaseContasDRE[#All],7,FALSE)),"Fora do DRE",VLOOKUP(Base_Periodo1[[#This Row],[CONTA]],BaseContasDRE[#All],7,FALSE))</f>
        <v>Fora do DRE</v>
      </c>
      <c r="V1551" s="3" t="str">
        <f>IF(Base_Periodo1[[#This Row],[Tipo_Linha]]="Fora do DRE","Fora do DRE","( "&amp;Base_Periodo1[[#This Row],[Tipo_Linha]]&amp;" ) "&amp;Base_Periodo1[[#This Row],[Filtro]])</f>
        <v>Fora do DRE</v>
      </c>
      <c r="W1551" s="3" t="str">
        <f>LEFT(Base_Periodo1[[#This Row],[CLASS]],3)</f>
        <v>1.1</v>
      </c>
    </row>
    <row r="1552" spans="1:23" hidden="1">
      <c r="A1552" s="3" t="str">
        <f t="shared" si="24"/>
        <v>Período 1</v>
      </c>
      <c r="B1552">
        <v>532</v>
      </c>
      <c r="C1552" t="s">
        <v>5035</v>
      </c>
      <c r="D1552" t="s">
        <v>1273</v>
      </c>
      <c r="E1552" s="3" t="str">
        <f>IF(LEN(Base_Periodo1[[#This Row],[CLASS]])&gt;=7,LEFT(Base_Periodo1[[#This Row],[CLASS]],7),"")</f>
        <v>1.1.3.1</v>
      </c>
      <c r="F1552" s="3" t="str">
        <f>VLOOKUP(Base_Periodo1[[#This Row],[Aux]],Base_Contas_Balanco[#All],2,FALSE)</f>
        <v>Estoques Proprios</v>
      </c>
      <c r="G1552" s="1"/>
      <c r="H1552" s="225">
        <v>8262.6899999999732</v>
      </c>
      <c r="I1552" s="225">
        <v>5780</v>
      </c>
      <c r="J1552" s="225">
        <v>1380</v>
      </c>
      <c r="K1552" s="225">
        <v>12662.689999999973</v>
      </c>
      <c r="L15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12662.69</v>
      </c>
      <c r="M1552" s="225">
        <f>ROUND(IF(AND(Base_Periodo1[[#This Row],[Tipo_Linha]]="-",Base_Periodo1[[#This Row],[TIPOSALDO]]="D"),Base_Periodo1[[#This Row],[SALDO_ATUAL]]*-1,Base_Periodo1[[#This Row],[SALDO_ATUAL]]),4)</f>
        <v>12662.69</v>
      </c>
      <c r="N1552" t="s">
        <v>396</v>
      </c>
      <c r="O1552" t="s">
        <v>397</v>
      </c>
      <c r="P1552" t="s">
        <v>397</v>
      </c>
      <c r="Q1552">
        <v>7</v>
      </c>
      <c r="R1552" s="225">
        <f>Base_Periodo1[[#This Row],[CREDITOS]]-Base_Periodo1[[#This Row],[DEBITOS]]</f>
        <v>-4400</v>
      </c>
      <c r="S1552" s="3" t="str">
        <f>IF(ISERROR(VLOOKUP(Base_Periodo1[[#This Row],[CONTA]],BaseContasDRE[#All],4,FALSE)),"Fora do DRE",VLOOKUP(Base_Periodo1[[#This Row],[CONTA]],BaseContasDRE[#All],4,FALSE))</f>
        <v>Fora do DRE</v>
      </c>
      <c r="T1552" s="3" t="str">
        <f>IF(ISERROR(VLOOKUP(Base_Periodo1[[#This Row],[CONTA]],BaseContasDRE[#All],5,FALSE)),"Fora do DRE",VLOOKUP(Base_Periodo1[[#This Row],[CONTA]],BaseContasDRE[#All],6,FALSE))</f>
        <v>Fora do DRE</v>
      </c>
      <c r="U1552" s="3" t="str">
        <f>IF(ISERROR(VLOOKUP(Base_Periodo1[[#This Row],[CONTA]],BaseContasDRE[#All],7,FALSE)),"Fora do DRE",VLOOKUP(Base_Periodo1[[#This Row],[CONTA]],BaseContasDRE[#All],7,FALSE))</f>
        <v>Fora do DRE</v>
      </c>
      <c r="V1552" s="3" t="str">
        <f>IF(Base_Periodo1[[#This Row],[Tipo_Linha]]="Fora do DRE","Fora do DRE","( "&amp;Base_Periodo1[[#This Row],[Tipo_Linha]]&amp;" ) "&amp;Base_Periodo1[[#This Row],[Filtro]])</f>
        <v>Fora do DRE</v>
      </c>
      <c r="W1552" s="3" t="str">
        <f>LEFT(Base_Periodo1[[#This Row],[CLASS]],3)</f>
        <v>1.1</v>
      </c>
    </row>
    <row r="1553" spans="1:23" hidden="1">
      <c r="A1553" s="3" t="str">
        <f t="shared" si="24"/>
        <v>Período 1</v>
      </c>
      <c r="B1553">
        <v>533</v>
      </c>
      <c r="C1553" t="s">
        <v>1274</v>
      </c>
      <c r="D1553" t="s">
        <v>1054</v>
      </c>
      <c r="E1553" s="3" t="str">
        <f>IF(LEN(Base_Periodo1[[#This Row],[CLASS]])&gt;=7,LEFT(Base_Periodo1[[#This Row],[CLASS]],7),"")</f>
        <v>1.1.3.1</v>
      </c>
      <c r="F1553" s="3" t="str">
        <f>VLOOKUP(Base_Periodo1[[#This Row],[Aux]],Base_Contas_Balanco[#All],2,FALSE)</f>
        <v>Estoques Proprios</v>
      </c>
      <c r="G1553" s="1"/>
      <c r="H1553" s="225">
        <v>3427.1999999992549</v>
      </c>
      <c r="I1553" s="225">
        <v>0</v>
      </c>
      <c r="J1553" s="225">
        <v>0</v>
      </c>
      <c r="K1553" s="225">
        <v>3427.1999999992549</v>
      </c>
      <c r="L15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3427.2</v>
      </c>
      <c r="M1553" s="225">
        <f>ROUND(IF(AND(Base_Periodo1[[#This Row],[Tipo_Linha]]="-",Base_Periodo1[[#This Row],[TIPOSALDO]]="D"),Base_Periodo1[[#This Row],[SALDO_ATUAL]]*-1,Base_Periodo1[[#This Row],[SALDO_ATUAL]]),4)</f>
        <v>3427.2</v>
      </c>
      <c r="N1553" t="s">
        <v>396</v>
      </c>
      <c r="O1553" t="s">
        <v>397</v>
      </c>
      <c r="P1553" t="s">
        <v>397</v>
      </c>
      <c r="Q1553">
        <v>8</v>
      </c>
      <c r="R1553" s="225">
        <f>Base_Periodo1[[#This Row],[CREDITOS]]-Base_Periodo1[[#This Row],[DEBITOS]]</f>
        <v>0</v>
      </c>
      <c r="S1553" s="3" t="str">
        <f>IF(ISERROR(VLOOKUP(Base_Periodo1[[#This Row],[CONTA]],BaseContasDRE[#All],4,FALSE)),"Fora do DRE",VLOOKUP(Base_Periodo1[[#This Row],[CONTA]],BaseContasDRE[#All],4,FALSE))</f>
        <v>Fora do DRE</v>
      </c>
      <c r="T1553" s="3" t="str">
        <f>IF(ISERROR(VLOOKUP(Base_Periodo1[[#This Row],[CONTA]],BaseContasDRE[#All],5,FALSE)),"Fora do DRE",VLOOKUP(Base_Periodo1[[#This Row],[CONTA]],BaseContasDRE[#All],6,FALSE))</f>
        <v>Fora do DRE</v>
      </c>
      <c r="U1553" s="3" t="str">
        <f>IF(ISERROR(VLOOKUP(Base_Periodo1[[#This Row],[CONTA]],BaseContasDRE[#All],7,FALSE)),"Fora do DRE",VLOOKUP(Base_Periodo1[[#This Row],[CONTA]],BaseContasDRE[#All],7,FALSE))</f>
        <v>Fora do DRE</v>
      </c>
      <c r="V1553" s="3" t="str">
        <f>IF(Base_Periodo1[[#This Row],[Tipo_Linha]]="Fora do DRE","Fora do DRE","( "&amp;Base_Periodo1[[#This Row],[Tipo_Linha]]&amp;" ) "&amp;Base_Periodo1[[#This Row],[Filtro]])</f>
        <v>Fora do DRE</v>
      </c>
      <c r="W1553" s="3" t="str">
        <f>LEFT(Base_Periodo1[[#This Row],[CLASS]],3)</f>
        <v>1.1</v>
      </c>
    </row>
    <row r="1554" spans="1:23" hidden="1">
      <c r="A1554" s="3" t="str">
        <f t="shared" si="24"/>
        <v>Período 1</v>
      </c>
      <c r="B1554">
        <v>534</v>
      </c>
      <c r="C1554" t="s">
        <v>1275</v>
      </c>
      <c r="D1554" t="s">
        <v>1054</v>
      </c>
      <c r="E1554" s="3" t="str">
        <f>IF(LEN(Base_Periodo1[[#This Row],[CLASS]])&gt;=7,LEFT(Base_Periodo1[[#This Row],[CLASS]],7),"")</f>
        <v>1.1.3.1</v>
      </c>
      <c r="F1554" s="3" t="str">
        <f>VLOOKUP(Base_Periodo1[[#This Row],[Aux]],Base_Contas_Balanco[#All],2,FALSE)</f>
        <v>Estoques Proprios</v>
      </c>
      <c r="G1554" s="1">
        <v>42735</v>
      </c>
      <c r="H1554" s="225">
        <v>3427.1999999992549</v>
      </c>
      <c r="I1554" s="225">
        <v>0</v>
      </c>
      <c r="J1554" s="225">
        <v>0</v>
      </c>
      <c r="K1554" s="225">
        <v>3427.1999999992549</v>
      </c>
      <c r="L15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3427.2</v>
      </c>
      <c r="M1554" s="225">
        <f>ROUND(IF(AND(Base_Periodo1[[#This Row],[Tipo_Linha]]="-",Base_Periodo1[[#This Row],[TIPOSALDO]]="D"),Base_Periodo1[[#This Row],[SALDO_ATUAL]]*-1,Base_Periodo1[[#This Row],[SALDO_ATUAL]]),4)</f>
        <v>3427.2</v>
      </c>
      <c r="N1554" t="s">
        <v>116</v>
      </c>
      <c r="O1554" t="s">
        <v>397</v>
      </c>
      <c r="P1554" t="s">
        <v>397</v>
      </c>
      <c r="Q1554">
        <v>9</v>
      </c>
      <c r="R1554" s="225">
        <f>Base_Periodo1[[#This Row],[CREDITOS]]-Base_Periodo1[[#This Row],[DEBITOS]]</f>
        <v>0</v>
      </c>
      <c r="S1554" s="3" t="str">
        <f>IF(ISERROR(VLOOKUP(Base_Periodo1[[#This Row],[CONTA]],BaseContasDRE[#All],4,FALSE)),"Fora do DRE",VLOOKUP(Base_Periodo1[[#This Row],[CONTA]],BaseContasDRE[#All],4,FALSE))</f>
        <v>Fora do DRE</v>
      </c>
      <c r="T1554" s="3" t="str">
        <f>IF(ISERROR(VLOOKUP(Base_Periodo1[[#This Row],[CONTA]],BaseContasDRE[#All],5,FALSE)),"Fora do DRE",VLOOKUP(Base_Periodo1[[#This Row],[CONTA]],BaseContasDRE[#All],6,FALSE))</f>
        <v>Fora do DRE</v>
      </c>
      <c r="U1554" s="3" t="str">
        <f>IF(ISERROR(VLOOKUP(Base_Periodo1[[#This Row],[CONTA]],BaseContasDRE[#All],7,FALSE)),"Fora do DRE",VLOOKUP(Base_Periodo1[[#This Row],[CONTA]],BaseContasDRE[#All],7,FALSE))</f>
        <v>Fora do DRE</v>
      </c>
      <c r="V1554" s="3" t="str">
        <f>IF(Base_Periodo1[[#This Row],[Tipo_Linha]]="Fora do DRE","Fora do DRE","( "&amp;Base_Periodo1[[#This Row],[Tipo_Linha]]&amp;" ) "&amp;Base_Periodo1[[#This Row],[Filtro]])</f>
        <v>Fora do DRE</v>
      </c>
      <c r="W1554" s="3" t="str">
        <f>LEFT(Base_Periodo1[[#This Row],[CLASS]],3)</f>
        <v>1.1</v>
      </c>
    </row>
    <row r="1555" spans="1:23" hidden="1">
      <c r="A1555" s="3" t="str">
        <f t="shared" si="24"/>
        <v>Período 1</v>
      </c>
      <c r="B1555">
        <v>18703</v>
      </c>
      <c r="C1555" t="s">
        <v>1276</v>
      </c>
      <c r="D1555" t="s">
        <v>1112</v>
      </c>
      <c r="E1555" s="3" t="str">
        <f>IF(LEN(Base_Periodo1[[#This Row],[CLASS]])&gt;=7,LEFT(Base_Periodo1[[#This Row],[CLASS]],7),"")</f>
        <v>1.1.3.1</v>
      </c>
      <c r="F1555" s="3" t="str">
        <f>VLOOKUP(Base_Periodo1[[#This Row],[Aux]],Base_Contas_Balanco[#All],2,FALSE)</f>
        <v>Estoques Proprios</v>
      </c>
      <c r="G1555" s="1"/>
      <c r="H1555" s="225">
        <v>45939.219999999972</v>
      </c>
      <c r="I1555" s="225">
        <v>5780</v>
      </c>
      <c r="J1555" s="225">
        <v>672.15</v>
      </c>
      <c r="K1555" s="225">
        <v>51047.069999999971</v>
      </c>
      <c r="L15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51047.07</v>
      </c>
      <c r="M1555" s="225">
        <f>ROUND(IF(AND(Base_Periodo1[[#This Row],[Tipo_Linha]]="-",Base_Periodo1[[#This Row],[TIPOSALDO]]="D"),Base_Periodo1[[#This Row],[SALDO_ATUAL]]*-1,Base_Periodo1[[#This Row],[SALDO_ATUAL]]),4)</f>
        <v>51047.07</v>
      </c>
      <c r="N1555" t="s">
        <v>396</v>
      </c>
      <c r="O1555" t="s">
        <v>397</v>
      </c>
      <c r="P1555" t="s">
        <v>397</v>
      </c>
      <c r="Q1555">
        <v>8</v>
      </c>
      <c r="R1555" s="225">
        <f>Base_Periodo1[[#This Row],[CREDITOS]]-Base_Periodo1[[#This Row],[DEBITOS]]</f>
        <v>-5107.8500000000004</v>
      </c>
      <c r="S1555" s="3" t="str">
        <f>IF(ISERROR(VLOOKUP(Base_Periodo1[[#This Row],[CONTA]],BaseContasDRE[#All],4,FALSE)),"Fora do DRE",VLOOKUP(Base_Periodo1[[#This Row],[CONTA]],BaseContasDRE[#All],4,FALSE))</f>
        <v>Fora do DRE</v>
      </c>
      <c r="T1555" s="3" t="str">
        <f>IF(ISERROR(VLOOKUP(Base_Periodo1[[#This Row],[CONTA]],BaseContasDRE[#All],5,FALSE)),"Fora do DRE",VLOOKUP(Base_Periodo1[[#This Row],[CONTA]],BaseContasDRE[#All],6,FALSE))</f>
        <v>Fora do DRE</v>
      </c>
      <c r="U1555" s="3" t="str">
        <f>IF(ISERROR(VLOOKUP(Base_Periodo1[[#This Row],[CONTA]],BaseContasDRE[#All],7,FALSE)),"Fora do DRE",VLOOKUP(Base_Periodo1[[#This Row],[CONTA]],BaseContasDRE[#All],7,FALSE))</f>
        <v>Fora do DRE</v>
      </c>
      <c r="V1555" s="3" t="str">
        <f>IF(Base_Periodo1[[#This Row],[Tipo_Linha]]="Fora do DRE","Fora do DRE","( "&amp;Base_Periodo1[[#This Row],[Tipo_Linha]]&amp;" ) "&amp;Base_Periodo1[[#This Row],[Filtro]])</f>
        <v>Fora do DRE</v>
      </c>
      <c r="W1555" s="3" t="str">
        <f>LEFT(Base_Periodo1[[#This Row],[CLASS]],3)</f>
        <v>1.1</v>
      </c>
    </row>
    <row r="1556" spans="1:23" hidden="1">
      <c r="A1556" s="3" t="str">
        <f t="shared" si="24"/>
        <v>Período 1</v>
      </c>
      <c r="B1556">
        <v>18704</v>
      </c>
      <c r="C1556" t="s">
        <v>5894</v>
      </c>
      <c r="D1556" t="s">
        <v>1113</v>
      </c>
      <c r="E1556" s="3" t="str">
        <f>IF(LEN(Base_Periodo1[[#This Row],[CLASS]])&gt;=7,LEFT(Base_Periodo1[[#This Row],[CLASS]],7),"")</f>
        <v>1.1.3.1</v>
      </c>
      <c r="F1556" s="3" t="str">
        <f>VLOOKUP(Base_Periodo1[[#This Row],[Aux]],Base_Contas_Balanco[#All],2,FALSE)</f>
        <v>Estoques Proprios</v>
      </c>
      <c r="G1556" s="1">
        <v>42794</v>
      </c>
      <c r="H1556" s="225">
        <v>4929.2199999999721</v>
      </c>
      <c r="I1556" s="225">
        <v>0</v>
      </c>
      <c r="J1556" s="225">
        <v>0</v>
      </c>
      <c r="K1556" s="225">
        <v>4929.2199999999721</v>
      </c>
      <c r="L15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4929.22</v>
      </c>
      <c r="M1556" s="225">
        <f>ROUND(IF(AND(Base_Periodo1[[#This Row],[Tipo_Linha]]="-",Base_Periodo1[[#This Row],[TIPOSALDO]]="D"),Base_Periodo1[[#This Row],[SALDO_ATUAL]]*-1,Base_Periodo1[[#This Row],[SALDO_ATUAL]]),4)</f>
        <v>4929.22</v>
      </c>
      <c r="N1556" t="s">
        <v>116</v>
      </c>
      <c r="O1556" t="s">
        <v>397</v>
      </c>
      <c r="P1556" t="s">
        <v>397</v>
      </c>
      <c r="Q1556">
        <v>9</v>
      </c>
      <c r="R1556" s="225">
        <f>Base_Periodo1[[#This Row],[CREDITOS]]-Base_Periodo1[[#This Row],[DEBITOS]]</f>
        <v>0</v>
      </c>
      <c r="S1556" s="3" t="str">
        <f>IF(ISERROR(VLOOKUP(Base_Periodo1[[#This Row],[CONTA]],BaseContasDRE[#All],4,FALSE)),"Fora do DRE",VLOOKUP(Base_Periodo1[[#This Row],[CONTA]],BaseContasDRE[#All],4,FALSE))</f>
        <v>Fora do DRE</v>
      </c>
      <c r="T1556" s="3" t="str">
        <f>IF(ISERROR(VLOOKUP(Base_Periodo1[[#This Row],[CONTA]],BaseContasDRE[#All],5,FALSE)),"Fora do DRE",VLOOKUP(Base_Periodo1[[#This Row],[CONTA]],BaseContasDRE[#All],6,FALSE))</f>
        <v>Fora do DRE</v>
      </c>
      <c r="U1556" s="3" t="str">
        <f>IF(ISERROR(VLOOKUP(Base_Periodo1[[#This Row],[CONTA]],BaseContasDRE[#All],7,FALSE)),"Fora do DRE",VLOOKUP(Base_Periodo1[[#This Row],[CONTA]],BaseContasDRE[#All],7,FALSE))</f>
        <v>Fora do DRE</v>
      </c>
      <c r="V1556" s="3" t="str">
        <f>IF(Base_Periodo1[[#This Row],[Tipo_Linha]]="Fora do DRE","Fora do DRE","( "&amp;Base_Periodo1[[#This Row],[Tipo_Linha]]&amp;" ) "&amp;Base_Periodo1[[#This Row],[Filtro]])</f>
        <v>Fora do DRE</v>
      </c>
      <c r="W1556" s="3" t="str">
        <f>LEFT(Base_Periodo1[[#This Row],[CLASS]],3)</f>
        <v>1.1</v>
      </c>
    </row>
    <row r="1557" spans="1:23" hidden="1">
      <c r="A1557" s="3" t="str">
        <f t="shared" si="24"/>
        <v>Período 1</v>
      </c>
      <c r="B1557">
        <v>18705</v>
      </c>
      <c r="C1557" t="s">
        <v>1277</v>
      </c>
      <c r="D1557" t="s">
        <v>1242</v>
      </c>
      <c r="E1557" s="3" t="str">
        <f>IF(LEN(Base_Periodo1[[#This Row],[CLASS]])&gt;=7,LEFT(Base_Periodo1[[#This Row],[CLASS]],7),"")</f>
        <v>1.1.3.1</v>
      </c>
      <c r="F1557" s="3" t="str">
        <f>VLOOKUP(Base_Periodo1[[#This Row],[Aux]],Base_Contas_Balanco[#All],2,FALSE)</f>
        <v>Estoques Proprios</v>
      </c>
      <c r="G1557" s="1">
        <v>42880</v>
      </c>
      <c r="H1557" s="225">
        <v>41010</v>
      </c>
      <c r="I1557" s="225">
        <v>5780</v>
      </c>
      <c r="J1557" s="225">
        <v>672.15</v>
      </c>
      <c r="K1557" s="225">
        <v>46117.85</v>
      </c>
      <c r="L15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46117.85</v>
      </c>
      <c r="M1557" s="225">
        <f>ROUND(IF(AND(Base_Periodo1[[#This Row],[Tipo_Linha]]="-",Base_Periodo1[[#This Row],[TIPOSALDO]]="D"),Base_Periodo1[[#This Row],[SALDO_ATUAL]]*-1,Base_Periodo1[[#This Row],[SALDO_ATUAL]]),4)</f>
        <v>46117.85</v>
      </c>
      <c r="N1557" t="s">
        <v>116</v>
      </c>
      <c r="O1557" t="s">
        <v>397</v>
      </c>
      <c r="P1557" t="s">
        <v>397</v>
      </c>
      <c r="Q1557">
        <v>9</v>
      </c>
      <c r="R1557" s="225">
        <f>Base_Periodo1[[#This Row],[CREDITOS]]-Base_Periodo1[[#This Row],[DEBITOS]]</f>
        <v>-5107.8500000000004</v>
      </c>
      <c r="S1557" s="3" t="str">
        <f>IF(ISERROR(VLOOKUP(Base_Periodo1[[#This Row],[CONTA]],BaseContasDRE[#All],4,FALSE)),"Fora do DRE",VLOOKUP(Base_Periodo1[[#This Row],[CONTA]],BaseContasDRE[#All],4,FALSE))</f>
        <v>Fora do DRE</v>
      </c>
      <c r="T1557" s="3" t="str">
        <f>IF(ISERROR(VLOOKUP(Base_Periodo1[[#This Row],[CONTA]],BaseContasDRE[#All],5,FALSE)),"Fora do DRE",VLOOKUP(Base_Periodo1[[#This Row],[CONTA]],BaseContasDRE[#All],6,FALSE))</f>
        <v>Fora do DRE</v>
      </c>
      <c r="U1557" s="3" t="str">
        <f>IF(ISERROR(VLOOKUP(Base_Periodo1[[#This Row],[CONTA]],BaseContasDRE[#All],7,FALSE)),"Fora do DRE",VLOOKUP(Base_Periodo1[[#This Row],[CONTA]],BaseContasDRE[#All],7,FALSE))</f>
        <v>Fora do DRE</v>
      </c>
      <c r="V1557" s="3" t="str">
        <f>IF(Base_Periodo1[[#This Row],[Tipo_Linha]]="Fora do DRE","Fora do DRE","( "&amp;Base_Periodo1[[#This Row],[Tipo_Linha]]&amp;" ) "&amp;Base_Periodo1[[#This Row],[Filtro]])</f>
        <v>Fora do DRE</v>
      </c>
      <c r="W1557" s="3" t="str">
        <f>LEFT(Base_Periodo1[[#This Row],[CLASS]],3)</f>
        <v>1.1</v>
      </c>
    </row>
    <row r="1558" spans="1:23" hidden="1">
      <c r="A1558" s="3" t="str">
        <f t="shared" si="24"/>
        <v>Período 1</v>
      </c>
      <c r="B1558">
        <v>537</v>
      </c>
      <c r="C1558" t="s">
        <v>5895</v>
      </c>
      <c r="D1558" t="s">
        <v>1063</v>
      </c>
      <c r="E1558" s="3" t="str">
        <f>IF(LEN(Base_Periodo1[[#This Row],[CLASS]])&gt;=7,LEFT(Base_Periodo1[[#This Row],[CLASS]],7),"")</f>
        <v>1.1.3.1</v>
      </c>
      <c r="F1558" s="3" t="str">
        <f>VLOOKUP(Base_Periodo1[[#This Row],[Aux]],Base_Contas_Balanco[#All],2,FALSE)</f>
        <v>Estoques Proprios</v>
      </c>
      <c r="G1558" s="1"/>
      <c r="H1558" s="225">
        <v>64867.199999999721</v>
      </c>
      <c r="I1558" s="225">
        <v>0</v>
      </c>
      <c r="J1558" s="225">
        <v>0</v>
      </c>
      <c r="K1558" s="225">
        <v>64867.199999999721</v>
      </c>
      <c r="L15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64867.199999999997</v>
      </c>
      <c r="M1558" s="225">
        <f>ROUND(IF(AND(Base_Periodo1[[#This Row],[Tipo_Linha]]="-",Base_Periodo1[[#This Row],[TIPOSALDO]]="D"),Base_Periodo1[[#This Row],[SALDO_ATUAL]]*-1,Base_Periodo1[[#This Row],[SALDO_ATUAL]]),4)</f>
        <v>64867.199999999997</v>
      </c>
      <c r="N1558" t="s">
        <v>396</v>
      </c>
      <c r="O1558" t="s">
        <v>397</v>
      </c>
      <c r="P1558" t="s">
        <v>397</v>
      </c>
      <c r="Q1558">
        <v>8</v>
      </c>
      <c r="R1558" s="225">
        <f>Base_Periodo1[[#This Row],[CREDITOS]]-Base_Periodo1[[#This Row],[DEBITOS]]</f>
        <v>0</v>
      </c>
      <c r="S1558" s="3" t="str">
        <f>IF(ISERROR(VLOOKUP(Base_Periodo1[[#This Row],[CONTA]],BaseContasDRE[#All],4,FALSE)),"Fora do DRE",VLOOKUP(Base_Periodo1[[#This Row],[CONTA]],BaseContasDRE[#All],4,FALSE))</f>
        <v>Fora do DRE</v>
      </c>
      <c r="T1558" s="3" t="str">
        <f>IF(ISERROR(VLOOKUP(Base_Periodo1[[#This Row],[CONTA]],BaseContasDRE[#All],5,FALSE)),"Fora do DRE",VLOOKUP(Base_Periodo1[[#This Row],[CONTA]],BaseContasDRE[#All],6,FALSE))</f>
        <v>Fora do DRE</v>
      </c>
      <c r="U1558" s="3" t="str">
        <f>IF(ISERROR(VLOOKUP(Base_Periodo1[[#This Row],[CONTA]],BaseContasDRE[#All],7,FALSE)),"Fora do DRE",VLOOKUP(Base_Periodo1[[#This Row],[CONTA]],BaseContasDRE[#All],7,FALSE))</f>
        <v>Fora do DRE</v>
      </c>
      <c r="V1558" s="3" t="str">
        <f>IF(Base_Periodo1[[#This Row],[Tipo_Linha]]="Fora do DRE","Fora do DRE","( "&amp;Base_Periodo1[[#This Row],[Tipo_Linha]]&amp;" ) "&amp;Base_Periodo1[[#This Row],[Filtro]])</f>
        <v>Fora do DRE</v>
      </c>
      <c r="W1558" s="3" t="str">
        <f>LEFT(Base_Periodo1[[#This Row],[CLASS]],3)</f>
        <v>1.1</v>
      </c>
    </row>
    <row r="1559" spans="1:23" hidden="1">
      <c r="A1559" s="3" t="str">
        <f t="shared" si="24"/>
        <v>Período 1</v>
      </c>
      <c r="B1559">
        <v>538</v>
      </c>
      <c r="C1559" t="s">
        <v>5896</v>
      </c>
      <c r="D1559" t="s">
        <v>1065</v>
      </c>
      <c r="E1559" s="3" t="str">
        <f>IF(LEN(Base_Periodo1[[#This Row],[CLASS]])&gt;=7,LEFT(Base_Periodo1[[#This Row],[CLASS]],7),"")</f>
        <v>1.1.3.1</v>
      </c>
      <c r="F1559" s="3" t="str">
        <f>VLOOKUP(Base_Periodo1[[#This Row],[Aux]],Base_Contas_Balanco[#All],2,FALSE)</f>
        <v>Estoques Proprios</v>
      </c>
      <c r="G1559" s="1">
        <v>42843</v>
      </c>
      <c r="H1559" s="225">
        <v>64867.199999999721</v>
      </c>
      <c r="I1559" s="225">
        <v>0</v>
      </c>
      <c r="J1559" s="225">
        <v>0</v>
      </c>
      <c r="K1559" s="225">
        <v>64867.199999999721</v>
      </c>
      <c r="L15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64867.199999999997</v>
      </c>
      <c r="M1559" s="225">
        <f>ROUND(IF(AND(Base_Periodo1[[#This Row],[Tipo_Linha]]="-",Base_Periodo1[[#This Row],[TIPOSALDO]]="D"),Base_Periodo1[[#This Row],[SALDO_ATUAL]]*-1,Base_Periodo1[[#This Row],[SALDO_ATUAL]]),4)</f>
        <v>64867.199999999997</v>
      </c>
      <c r="N1559" t="s">
        <v>116</v>
      </c>
      <c r="O1559" t="s">
        <v>397</v>
      </c>
      <c r="P1559" t="s">
        <v>397</v>
      </c>
      <c r="Q1559">
        <v>9</v>
      </c>
      <c r="R1559" s="225">
        <f>Base_Periodo1[[#This Row],[CREDITOS]]-Base_Periodo1[[#This Row],[DEBITOS]]</f>
        <v>0</v>
      </c>
      <c r="S1559" s="3" t="str">
        <f>IF(ISERROR(VLOOKUP(Base_Periodo1[[#This Row],[CONTA]],BaseContasDRE[#All],4,FALSE)),"Fora do DRE",VLOOKUP(Base_Periodo1[[#This Row],[CONTA]],BaseContasDRE[#All],4,FALSE))</f>
        <v>Fora do DRE</v>
      </c>
      <c r="T1559" s="3" t="str">
        <f>IF(ISERROR(VLOOKUP(Base_Periodo1[[#This Row],[CONTA]],BaseContasDRE[#All],5,FALSE)),"Fora do DRE",VLOOKUP(Base_Periodo1[[#This Row],[CONTA]],BaseContasDRE[#All],6,FALSE))</f>
        <v>Fora do DRE</v>
      </c>
      <c r="U1559" s="3" t="str">
        <f>IF(ISERROR(VLOOKUP(Base_Periodo1[[#This Row],[CONTA]],BaseContasDRE[#All],7,FALSE)),"Fora do DRE",VLOOKUP(Base_Periodo1[[#This Row],[CONTA]],BaseContasDRE[#All],7,FALSE))</f>
        <v>Fora do DRE</v>
      </c>
      <c r="V1559" s="3" t="str">
        <f>IF(Base_Periodo1[[#This Row],[Tipo_Linha]]="Fora do DRE","Fora do DRE","( "&amp;Base_Periodo1[[#This Row],[Tipo_Linha]]&amp;" ) "&amp;Base_Periodo1[[#This Row],[Filtro]])</f>
        <v>Fora do DRE</v>
      </c>
      <c r="W1559" s="3" t="str">
        <f>LEFT(Base_Periodo1[[#This Row],[CLASS]],3)</f>
        <v>1.1</v>
      </c>
    </row>
    <row r="1560" spans="1:23" hidden="1">
      <c r="A1560" s="3" t="str">
        <f t="shared" si="24"/>
        <v>Período 1</v>
      </c>
      <c r="B1560">
        <v>542</v>
      </c>
      <c r="C1560" t="s">
        <v>5897</v>
      </c>
      <c r="D1560" t="s">
        <v>1067</v>
      </c>
      <c r="E1560" s="3" t="str">
        <f>IF(LEN(Base_Periodo1[[#This Row],[CLASS]])&gt;=7,LEFT(Base_Periodo1[[#This Row],[CLASS]],7),"")</f>
        <v>1.1.3.1</v>
      </c>
      <c r="F1560" s="3" t="str">
        <f>VLOOKUP(Base_Periodo1[[#This Row],[Aux]],Base_Contas_Balanco[#All],2,FALSE)</f>
        <v>Estoques Proprios</v>
      </c>
      <c r="G1560" s="1"/>
      <c r="H1560" s="225">
        <v>41103.729999999719</v>
      </c>
      <c r="I1560" s="225">
        <v>0</v>
      </c>
      <c r="J1560" s="225">
        <v>707.85</v>
      </c>
      <c r="K1560" s="225">
        <v>41811.579999999718</v>
      </c>
      <c r="L15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-41811.58</v>
      </c>
      <c r="M1560" s="225">
        <f>ROUND(IF(AND(Base_Periodo1[[#This Row],[Tipo_Linha]]="-",Base_Periodo1[[#This Row],[TIPOSALDO]]="D"),Base_Periodo1[[#This Row],[SALDO_ATUAL]]*-1,Base_Periodo1[[#This Row],[SALDO_ATUAL]]),4)</f>
        <v>41811.58</v>
      </c>
      <c r="N1560" t="s">
        <v>396</v>
      </c>
      <c r="O1560" t="s">
        <v>459</v>
      </c>
      <c r="P1560" t="s">
        <v>459</v>
      </c>
      <c r="Q1560">
        <v>8</v>
      </c>
      <c r="R1560" s="225">
        <f>Base_Periodo1[[#This Row],[CREDITOS]]-Base_Periodo1[[#This Row],[DEBITOS]]</f>
        <v>707.85</v>
      </c>
      <c r="S1560" s="3" t="str">
        <f>IF(ISERROR(VLOOKUP(Base_Periodo1[[#This Row],[CONTA]],BaseContasDRE[#All],4,FALSE)),"Fora do DRE",VLOOKUP(Base_Periodo1[[#This Row],[CONTA]],BaseContasDRE[#All],4,FALSE))</f>
        <v>Fora do DRE</v>
      </c>
      <c r="T1560" s="3" t="str">
        <f>IF(ISERROR(VLOOKUP(Base_Periodo1[[#This Row],[CONTA]],BaseContasDRE[#All],5,FALSE)),"Fora do DRE",VLOOKUP(Base_Periodo1[[#This Row],[CONTA]],BaseContasDRE[#All],6,FALSE))</f>
        <v>Fora do DRE</v>
      </c>
      <c r="U1560" s="3" t="str">
        <f>IF(ISERROR(VLOOKUP(Base_Periodo1[[#This Row],[CONTA]],BaseContasDRE[#All],7,FALSE)),"Fora do DRE",VLOOKUP(Base_Periodo1[[#This Row],[CONTA]],BaseContasDRE[#All],7,FALSE))</f>
        <v>Fora do DRE</v>
      </c>
      <c r="V1560" s="3" t="str">
        <f>IF(Base_Periodo1[[#This Row],[Tipo_Linha]]="Fora do DRE","Fora do DRE","( "&amp;Base_Periodo1[[#This Row],[Tipo_Linha]]&amp;" ) "&amp;Base_Periodo1[[#This Row],[Filtro]])</f>
        <v>Fora do DRE</v>
      </c>
      <c r="W1560" s="3" t="str">
        <f>LEFT(Base_Periodo1[[#This Row],[CLASS]],3)</f>
        <v>1.1</v>
      </c>
    </row>
    <row r="1561" spans="1:23" hidden="1">
      <c r="A1561" s="3" t="str">
        <f t="shared" si="24"/>
        <v>Período 1</v>
      </c>
      <c r="B1561">
        <v>543</v>
      </c>
      <c r="C1561" t="s">
        <v>5898</v>
      </c>
      <c r="D1561" t="s">
        <v>1068</v>
      </c>
      <c r="E1561" s="3" t="str">
        <f>IF(LEN(Base_Periodo1[[#This Row],[CLASS]])&gt;=7,LEFT(Base_Periodo1[[#This Row],[CLASS]],7),"")</f>
        <v>1.1.3.1</v>
      </c>
      <c r="F1561" s="3" t="str">
        <f>VLOOKUP(Base_Periodo1[[#This Row],[Aux]],Base_Contas_Balanco[#All],2,FALSE)</f>
        <v>Estoques Proprios</v>
      </c>
      <c r="G1561" s="1">
        <v>42886</v>
      </c>
      <c r="H1561" s="225">
        <v>40912.399999999674</v>
      </c>
      <c r="I1561" s="225">
        <v>0</v>
      </c>
      <c r="J1561" s="225">
        <v>0</v>
      </c>
      <c r="K1561" s="225">
        <v>40912.399999999674</v>
      </c>
      <c r="L15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-40912.400000000001</v>
      </c>
      <c r="M1561" s="225">
        <f>ROUND(IF(AND(Base_Periodo1[[#This Row],[Tipo_Linha]]="-",Base_Periodo1[[#This Row],[TIPOSALDO]]="D"),Base_Periodo1[[#This Row],[SALDO_ATUAL]]*-1,Base_Periodo1[[#This Row],[SALDO_ATUAL]]),4)</f>
        <v>40912.400000000001</v>
      </c>
      <c r="N1561" t="s">
        <v>116</v>
      </c>
      <c r="O1561" t="s">
        <v>459</v>
      </c>
      <c r="P1561" t="s">
        <v>459</v>
      </c>
      <c r="Q1561">
        <v>9</v>
      </c>
      <c r="R1561" s="225">
        <f>Base_Periodo1[[#This Row],[CREDITOS]]-Base_Periodo1[[#This Row],[DEBITOS]]</f>
        <v>0</v>
      </c>
      <c r="S1561" s="3" t="str">
        <f>IF(ISERROR(VLOOKUP(Base_Periodo1[[#This Row],[CONTA]],BaseContasDRE[#All],4,FALSE)),"Fora do DRE",VLOOKUP(Base_Periodo1[[#This Row],[CONTA]],BaseContasDRE[#All],4,FALSE))</f>
        <v>Fora do DRE</v>
      </c>
      <c r="T1561" s="3" t="str">
        <f>IF(ISERROR(VLOOKUP(Base_Periodo1[[#This Row],[CONTA]],BaseContasDRE[#All],5,FALSE)),"Fora do DRE",VLOOKUP(Base_Periodo1[[#This Row],[CONTA]],BaseContasDRE[#All],6,FALSE))</f>
        <v>Fora do DRE</v>
      </c>
      <c r="U1561" s="3" t="str">
        <f>IF(ISERROR(VLOOKUP(Base_Periodo1[[#This Row],[CONTA]],BaseContasDRE[#All],7,FALSE)),"Fora do DRE",VLOOKUP(Base_Periodo1[[#This Row],[CONTA]],BaseContasDRE[#All],7,FALSE))</f>
        <v>Fora do DRE</v>
      </c>
      <c r="V1561" s="3" t="str">
        <f>IF(Base_Periodo1[[#This Row],[Tipo_Linha]]="Fora do DRE","Fora do DRE","( "&amp;Base_Periodo1[[#This Row],[Tipo_Linha]]&amp;" ) "&amp;Base_Periodo1[[#This Row],[Filtro]])</f>
        <v>Fora do DRE</v>
      </c>
      <c r="W1561" s="3" t="str">
        <f>LEFT(Base_Periodo1[[#This Row],[CLASS]],3)</f>
        <v>1.1</v>
      </c>
    </row>
    <row r="1562" spans="1:23" hidden="1">
      <c r="A1562" s="3" t="str">
        <f t="shared" si="24"/>
        <v>Período 1</v>
      </c>
      <c r="B1562">
        <v>544</v>
      </c>
      <c r="C1562" t="s">
        <v>6258</v>
      </c>
      <c r="D1562" t="s">
        <v>1070</v>
      </c>
      <c r="E1562" s="3" t="str">
        <f>IF(LEN(Base_Periodo1[[#This Row],[CLASS]])&gt;=7,LEFT(Base_Periodo1[[#This Row],[CLASS]],7),"")</f>
        <v>1.1.3.1</v>
      </c>
      <c r="F1562" s="3" t="str">
        <f>VLOOKUP(Base_Periodo1[[#This Row],[Aux]],Base_Contas_Balanco[#All],2,FALSE)</f>
        <v>Estoques Proprios</v>
      </c>
      <c r="G1562" s="1">
        <v>42886</v>
      </c>
      <c r="H1562" s="225">
        <v>191.3300000000454</v>
      </c>
      <c r="I1562" s="225">
        <v>0</v>
      </c>
      <c r="J1562" s="225">
        <v>707.85</v>
      </c>
      <c r="K1562" s="225">
        <v>899.18000000004542</v>
      </c>
      <c r="L15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-899.18</v>
      </c>
      <c r="M1562" s="225">
        <f>ROUND(IF(AND(Base_Periodo1[[#This Row],[Tipo_Linha]]="-",Base_Periodo1[[#This Row],[TIPOSALDO]]="D"),Base_Periodo1[[#This Row],[SALDO_ATUAL]]*-1,Base_Periodo1[[#This Row],[SALDO_ATUAL]]),4)</f>
        <v>899.18</v>
      </c>
      <c r="N1562" t="s">
        <v>116</v>
      </c>
      <c r="O1562" t="s">
        <v>459</v>
      </c>
      <c r="P1562" t="s">
        <v>459</v>
      </c>
      <c r="Q1562">
        <v>9</v>
      </c>
      <c r="R1562" s="225">
        <f>Base_Periodo1[[#This Row],[CREDITOS]]-Base_Periodo1[[#This Row],[DEBITOS]]</f>
        <v>707.85</v>
      </c>
      <c r="S1562" s="3" t="str">
        <f>IF(ISERROR(VLOOKUP(Base_Periodo1[[#This Row],[CONTA]],BaseContasDRE[#All],4,FALSE)),"Fora do DRE",VLOOKUP(Base_Periodo1[[#This Row],[CONTA]],BaseContasDRE[#All],4,FALSE))</f>
        <v>Fora do DRE</v>
      </c>
      <c r="T1562" s="3" t="str">
        <f>IF(ISERROR(VLOOKUP(Base_Periodo1[[#This Row],[CONTA]],BaseContasDRE[#All],5,FALSE)),"Fora do DRE",VLOOKUP(Base_Periodo1[[#This Row],[CONTA]],BaseContasDRE[#All],6,FALSE))</f>
        <v>Fora do DRE</v>
      </c>
      <c r="U1562" s="3" t="str">
        <f>IF(ISERROR(VLOOKUP(Base_Periodo1[[#This Row],[CONTA]],BaseContasDRE[#All],7,FALSE)),"Fora do DRE",VLOOKUP(Base_Periodo1[[#This Row],[CONTA]],BaseContasDRE[#All],7,FALSE))</f>
        <v>Fora do DRE</v>
      </c>
      <c r="V1562" s="3" t="str">
        <f>IF(Base_Periodo1[[#This Row],[Tipo_Linha]]="Fora do DRE","Fora do DRE","( "&amp;Base_Periodo1[[#This Row],[Tipo_Linha]]&amp;" ) "&amp;Base_Periodo1[[#This Row],[Filtro]])</f>
        <v>Fora do DRE</v>
      </c>
      <c r="W1562" s="3" t="str">
        <f>LEFT(Base_Periodo1[[#This Row],[CLASS]],3)</f>
        <v>1.1</v>
      </c>
    </row>
    <row r="1563" spans="1:23" hidden="1">
      <c r="A1563" s="3" t="str">
        <f t="shared" si="24"/>
        <v>Período 1</v>
      </c>
      <c r="B1563">
        <v>547</v>
      </c>
      <c r="C1563" t="s">
        <v>5899</v>
      </c>
      <c r="D1563" t="s">
        <v>1072</v>
      </c>
      <c r="E1563" s="3" t="str">
        <f>IF(LEN(Base_Periodo1[[#This Row],[CLASS]])&gt;=7,LEFT(Base_Periodo1[[#This Row],[CLASS]],7),"")</f>
        <v>1.1.3.1</v>
      </c>
      <c r="F1563" s="3" t="str">
        <f>VLOOKUP(Base_Periodo1[[#This Row],[Aux]],Base_Contas_Balanco[#All],2,FALSE)</f>
        <v>Estoques Proprios</v>
      </c>
      <c r="G1563" s="1"/>
      <c r="H1563" s="225">
        <v>64867.199999999255</v>
      </c>
      <c r="I1563" s="225">
        <v>0</v>
      </c>
      <c r="J1563" s="225">
        <v>0</v>
      </c>
      <c r="K1563" s="225">
        <v>64867.199999999255</v>
      </c>
      <c r="L15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-64867.199999999997</v>
      </c>
      <c r="M1563" s="225">
        <f>ROUND(IF(AND(Base_Periodo1[[#This Row],[Tipo_Linha]]="-",Base_Periodo1[[#This Row],[TIPOSALDO]]="D"),Base_Periodo1[[#This Row],[SALDO_ATUAL]]*-1,Base_Periodo1[[#This Row],[SALDO_ATUAL]]),4)</f>
        <v>64867.199999999997</v>
      </c>
      <c r="N1563" t="s">
        <v>396</v>
      </c>
      <c r="O1563" t="s">
        <v>459</v>
      </c>
      <c r="P1563" t="s">
        <v>459</v>
      </c>
      <c r="Q1563">
        <v>8</v>
      </c>
      <c r="R1563" s="225">
        <f>Base_Periodo1[[#This Row],[CREDITOS]]-Base_Periodo1[[#This Row],[DEBITOS]]</f>
        <v>0</v>
      </c>
      <c r="S1563" s="3" t="str">
        <f>IF(ISERROR(VLOOKUP(Base_Periodo1[[#This Row],[CONTA]],BaseContasDRE[#All],4,FALSE)),"Fora do DRE",VLOOKUP(Base_Periodo1[[#This Row],[CONTA]],BaseContasDRE[#All],4,FALSE))</f>
        <v>Fora do DRE</v>
      </c>
      <c r="T1563" s="3" t="str">
        <f>IF(ISERROR(VLOOKUP(Base_Periodo1[[#This Row],[CONTA]],BaseContasDRE[#All],5,FALSE)),"Fora do DRE",VLOOKUP(Base_Periodo1[[#This Row],[CONTA]],BaseContasDRE[#All],6,FALSE))</f>
        <v>Fora do DRE</v>
      </c>
      <c r="U1563" s="3" t="str">
        <f>IF(ISERROR(VLOOKUP(Base_Periodo1[[#This Row],[CONTA]],BaseContasDRE[#All],7,FALSE)),"Fora do DRE",VLOOKUP(Base_Periodo1[[#This Row],[CONTA]],BaseContasDRE[#All],7,FALSE))</f>
        <v>Fora do DRE</v>
      </c>
      <c r="V1563" s="3" t="str">
        <f>IF(Base_Periodo1[[#This Row],[Tipo_Linha]]="Fora do DRE","Fora do DRE","( "&amp;Base_Periodo1[[#This Row],[Tipo_Linha]]&amp;" ) "&amp;Base_Periodo1[[#This Row],[Filtro]])</f>
        <v>Fora do DRE</v>
      </c>
      <c r="W1563" s="3" t="str">
        <f>LEFT(Base_Periodo1[[#This Row],[CLASS]],3)</f>
        <v>1.1</v>
      </c>
    </row>
    <row r="1564" spans="1:23" hidden="1">
      <c r="A1564" s="3" t="str">
        <f t="shared" si="24"/>
        <v>Período 1</v>
      </c>
      <c r="B1564">
        <v>548</v>
      </c>
      <c r="C1564" t="s">
        <v>5900</v>
      </c>
      <c r="D1564" t="s">
        <v>1074</v>
      </c>
      <c r="E1564" s="3" t="str">
        <f>IF(LEN(Base_Periodo1[[#This Row],[CLASS]])&gt;=7,LEFT(Base_Periodo1[[#This Row],[CLASS]],7),"")</f>
        <v>1.1.3.1</v>
      </c>
      <c r="F1564" s="3" t="str">
        <f>VLOOKUP(Base_Periodo1[[#This Row],[Aux]],Base_Contas_Balanco[#All],2,FALSE)</f>
        <v>Estoques Proprios</v>
      </c>
      <c r="G1564" s="1">
        <v>42842</v>
      </c>
      <c r="H1564" s="225">
        <v>64867.199999999255</v>
      </c>
      <c r="I1564" s="225">
        <v>0</v>
      </c>
      <c r="J1564" s="225">
        <v>0</v>
      </c>
      <c r="K1564" s="225">
        <v>64867.199999999255</v>
      </c>
      <c r="L15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-64867.199999999997</v>
      </c>
      <c r="M1564" s="225">
        <f>ROUND(IF(AND(Base_Periodo1[[#This Row],[Tipo_Linha]]="-",Base_Periodo1[[#This Row],[TIPOSALDO]]="D"),Base_Periodo1[[#This Row],[SALDO_ATUAL]]*-1,Base_Periodo1[[#This Row],[SALDO_ATUAL]]),4)</f>
        <v>64867.199999999997</v>
      </c>
      <c r="N1564" t="s">
        <v>116</v>
      </c>
      <c r="O1564" t="s">
        <v>459</v>
      </c>
      <c r="P1564" t="s">
        <v>459</v>
      </c>
      <c r="Q1564">
        <v>9</v>
      </c>
      <c r="R1564" s="225">
        <f>Base_Periodo1[[#This Row],[CREDITOS]]-Base_Periodo1[[#This Row],[DEBITOS]]</f>
        <v>0</v>
      </c>
      <c r="S1564" s="3" t="str">
        <f>IF(ISERROR(VLOOKUP(Base_Periodo1[[#This Row],[CONTA]],BaseContasDRE[#All],4,FALSE)),"Fora do DRE",VLOOKUP(Base_Periodo1[[#This Row],[CONTA]],BaseContasDRE[#All],4,FALSE))</f>
        <v>Fora do DRE</v>
      </c>
      <c r="T1564" s="3" t="str">
        <f>IF(ISERROR(VLOOKUP(Base_Periodo1[[#This Row],[CONTA]],BaseContasDRE[#All],5,FALSE)),"Fora do DRE",VLOOKUP(Base_Periodo1[[#This Row],[CONTA]],BaseContasDRE[#All],6,FALSE))</f>
        <v>Fora do DRE</v>
      </c>
      <c r="U1564" s="3" t="str">
        <f>IF(ISERROR(VLOOKUP(Base_Periodo1[[#This Row],[CONTA]],BaseContasDRE[#All],7,FALSE)),"Fora do DRE",VLOOKUP(Base_Periodo1[[#This Row],[CONTA]],BaseContasDRE[#All],7,FALSE))</f>
        <v>Fora do DRE</v>
      </c>
      <c r="V1564" s="3" t="str">
        <f>IF(Base_Periodo1[[#This Row],[Tipo_Linha]]="Fora do DRE","Fora do DRE","( "&amp;Base_Periodo1[[#This Row],[Tipo_Linha]]&amp;" ) "&amp;Base_Periodo1[[#This Row],[Filtro]])</f>
        <v>Fora do DRE</v>
      </c>
      <c r="W1564" s="3" t="str">
        <f>LEFT(Base_Periodo1[[#This Row],[CLASS]],3)</f>
        <v>1.1</v>
      </c>
    </row>
    <row r="1565" spans="1:23" hidden="1">
      <c r="A1565" s="3" t="str">
        <f t="shared" si="24"/>
        <v>Período 1</v>
      </c>
      <c r="B1565">
        <v>569</v>
      </c>
      <c r="C1565" t="s">
        <v>1279</v>
      </c>
      <c r="D1565" t="s">
        <v>1280</v>
      </c>
      <c r="E1565" s="3" t="str">
        <f>IF(LEN(Base_Periodo1[[#This Row],[CLASS]])&gt;=7,LEFT(Base_Periodo1[[#This Row],[CLASS]],7),"")</f>
        <v>1.1.3.1</v>
      </c>
      <c r="F1565" s="3" t="str">
        <f>VLOOKUP(Base_Periodo1[[#This Row],[Aux]],Base_Contas_Balanco[#All],2,FALSE)</f>
        <v>Estoques Proprios</v>
      </c>
      <c r="G1565" s="1"/>
      <c r="H1565" s="225">
        <v>11041.500000000053</v>
      </c>
      <c r="I1565" s="225">
        <v>0</v>
      </c>
      <c r="J1565" s="225">
        <v>0</v>
      </c>
      <c r="K1565" s="225">
        <v>11041.500000000053</v>
      </c>
      <c r="L15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11041.5</v>
      </c>
      <c r="M1565" s="225">
        <f>ROUND(IF(AND(Base_Periodo1[[#This Row],[Tipo_Linha]]="-",Base_Periodo1[[#This Row],[TIPOSALDO]]="D"),Base_Periodo1[[#This Row],[SALDO_ATUAL]]*-1,Base_Periodo1[[#This Row],[SALDO_ATUAL]]),4)</f>
        <v>11041.5</v>
      </c>
      <c r="N1565" t="s">
        <v>396</v>
      </c>
      <c r="O1565" t="s">
        <v>397</v>
      </c>
      <c r="P1565" t="s">
        <v>397</v>
      </c>
      <c r="Q1565">
        <v>7</v>
      </c>
      <c r="R1565" s="225">
        <f>Base_Periodo1[[#This Row],[CREDITOS]]-Base_Periodo1[[#This Row],[DEBITOS]]</f>
        <v>0</v>
      </c>
      <c r="S1565" s="3" t="str">
        <f>IF(ISERROR(VLOOKUP(Base_Periodo1[[#This Row],[CONTA]],BaseContasDRE[#All],4,FALSE)),"Fora do DRE",VLOOKUP(Base_Periodo1[[#This Row],[CONTA]],BaseContasDRE[#All],4,FALSE))</f>
        <v>Fora do DRE</v>
      </c>
      <c r="T1565" s="3" t="str">
        <f>IF(ISERROR(VLOOKUP(Base_Periodo1[[#This Row],[CONTA]],BaseContasDRE[#All],5,FALSE)),"Fora do DRE",VLOOKUP(Base_Periodo1[[#This Row],[CONTA]],BaseContasDRE[#All],6,FALSE))</f>
        <v>Fora do DRE</v>
      </c>
      <c r="U1565" s="3" t="str">
        <f>IF(ISERROR(VLOOKUP(Base_Periodo1[[#This Row],[CONTA]],BaseContasDRE[#All],7,FALSE)),"Fora do DRE",VLOOKUP(Base_Periodo1[[#This Row],[CONTA]],BaseContasDRE[#All],7,FALSE))</f>
        <v>Fora do DRE</v>
      </c>
      <c r="V1565" s="3" t="str">
        <f>IF(Base_Periodo1[[#This Row],[Tipo_Linha]]="Fora do DRE","Fora do DRE","( "&amp;Base_Periodo1[[#This Row],[Tipo_Linha]]&amp;" ) "&amp;Base_Periodo1[[#This Row],[Filtro]])</f>
        <v>Fora do DRE</v>
      </c>
      <c r="W1565" s="3" t="str">
        <f>LEFT(Base_Periodo1[[#This Row],[CLASS]],3)</f>
        <v>1.1</v>
      </c>
    </row>
    <row r="1566" spans="1:23" hidden="1">
      <c r="A1566" s="3" t="str">
        <f t="shared" si="24"/>
        <v>Período 1</v>
      </c>
      <c r="B1566">
        <v>570</v>
      </c>
      <c r="C1566" t="s">
        <v>4352</v>
      </c>
      <c r="D1566" t="s">
        <v>1054</v>
      </c>
      <c r="E1566" s="3" t="str">
        <f>IF(LEN(Base_Periodo1[[#This Row],[CLASS]])&gt;=7,LEFT(Base_Periodo1[[#This Row],[CLASS]],7),"")</f>
        <v>1.1.3.1</v>
      </c>
      <c r="F1566" s="3" t="str">
        <f>VLOOKUP(Base_Periodo1[[#This Row],[Aux]],Base_Contas_Balanco[#All],2,FALSE)</f>
        <v>Estoques Proprios</v>
      </c>
      <c r="G1566" s="1"/>
      <c r="H1566" s="225">
        <v>17176.590000000084</v>
      </c>
      <c r="I1566" s="225">
        <v>0</v>
      </c>
      <c r="J1566" s="225">
        <v>0</v>
      </c>
      <c r="K1566" s="225">
        <v>17176.590000000084</v>
      </c>
      <c r="L15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17176.59</v>
      </c>
      <c r="M1566" s="225">
        <f>ROUND(IF(AND(Base_Periodo1[[#This Row],[Tipo_Linha]]="-",Base_Periodo1[[#This Row],[TIPOSALDO]]="D"),Base_Periodo1[[#This Row],[SALDO_ATUAL]]*-1,Base_Periodo1[[#This Row],[SALDO_ATUAL]]),4)</f>
        <v>17176.59</v>
      </c>
      <c r="N1566" t="s">
        <v>396</v>
      </c>
      <c r="O1566" t="s">
        <v>397</v>
      </c>
      <c r="P1566" t="s">
        <v>397</v>
      </c>
      <c r="Q1566">
        <v>8</v>
      </c>
      <c r="R1566" s="225">
        <f>Base_Periodo1[[#This Row],[CREDITOS]]-Base_Periodo1[[#This Row],[DEBITOS]]</f>
        <v>0</v>
      </c>
      <c r="S1566" s="3" t="str">
        <f>IF(ISERROR(VLOOKUP(Base_Periodo1[[#This Row],[CONTA]],BaseContasDRE[#All],4,FALSE)),"Fora do DRE",VLOOKUP(Base_Periodo1[[#This Row],[CONTA]],BaseContasDRE[#All],4,FALSE))</f>
        <v>Fora do DRE</v>
      </c>
      <c r="T1566" s="3" t="str">
        <f>IF(ISERROR(VLOOKUP(Base_Periodo1[[#This Row],[CONTA]],BaseContasDRE[#All],5,FALSE)),"Fora do DRE",VLOOKUP(Base_Periodo1[[#This Row],[CONTA]],BaseContasDRE[#All],6,FALSE))</f>
        <v>Fora do DRE</v>
      </c>
      <c r="U1566" s="3" t="str">
        <f>IF(ISERROR(VLOOKUP(Base_Periodo1[[#This Row],[CONTA]],BaseContasDRE[#All],7,FALSE)),"Fora do DRE",VLOOKUP(Base_Periodo1[[#This Row],[CONTA]],BaseContasDRE[#All],7,FALSE))</f>
        <v>Fora do DRE</v>
      </c>
      <c r="V1566" s="3" t="str">
        <f>IF(Base_Periodo1[[#This Row],[Tipo_Linha]]="Fora do DRE","Fora do DRE","( "&amp;Base_Periodo1[[#This Row],[Tipo_Linha]]&amp;" ) "&amp;Base_Periodo1[[#This Row],[Filtro]])</f>
        <v>Fora do DRE</v>
      </c>
      <c r="W1566" s="3" t="str">
        <f>LEFT(Base_Periodo1[[#This Row],[CLASS]],3)</f>
        <v>1.1</v>
      </c>
    </row>
    <row r="1567" spans="1:23" hidden="1">
      <c r="A1567" s="3" t="str">
        <f t="shared" si="24"/>
        <v>Período 1</v>
      </c>
      <c r="B1567">
        <v>571</v>
      </c>
      <c r="C1567" t="s">
        <v>4353</v>
      </c>
      <c r="D1567" t="s">
        <v>1054</v>
      </c>
      <c r="E1567" s="3" t="str">
        <f>IF(LEN(Base_Periodo1[[#This Row],[CLASS]])&gt;=7,LEFT(Base_Periodo1[[#This Row],[CLASS]],7),"")</f>
        <v>1.1.3.1</v>
      </c>
      <c r="F1567" s="3" t="str">
        <f>VLOOKUP(Base_Periodo1[[#This Row],[Aux]],Base_Contas_Balanco[#All],2,FALSE)</f>
        <v>Estoques Proprios</v>
      </c>
      <c r="G1567" s="1">
        <v>42735</v>
      </c>
      <c r="H1567" s="225">
        <v>17176.590000000084</v>
      </c>
      <c r="I1567" s="225">
        <v>0</v>
      </c>
      <c r="J1567" s="225">
        <v>0</v>
      </c>
      <c r="K1567" s="225">
        <v>17176.590000000084</v>
      </c>
      <c r="L15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17176.59</v>
      </c>
      <c r="M1567" s="225">
        <f>ROUND(IF(AND(Base_Periodo1[[#This Row],[Tipo_Linha]]="-",Base_Periodo1[[#This Row],[TIPOSALDO]]="D"),Base_Periodo1[[#This Row],[SALDO_ATUAL]]*-1,Base_Periodo1[[#This Row],[SALDO_ATUAL]]),4)</f>
        <v>17176.59</v>
      </c>
      <c r="N1567" t="s">
        <v>116</v>
      </c>
      <c r="O1567" t="s">
        <v>397</v>
      </c>
      <c r="P1567" t="s">
        <v>397</v>
      </c>
      <c r="Q1567">
        <v>9</v>
      </c>
      <c r="R1567" s="225">
        <f>Base_Periodo1[[#This Row],[CREDITOS]]-Base_Periodo1[[#This Row],[DEBITOS]]</f>
        <v>0</v>
      </c>
      <c r="S1567" s="3" t="str">
        <f>IF(ISERROR(VLOOKUP(Base_Periodo1[[#This Row],[CONTA]],BaseContasDRE[#All],4,FALSE)),"Fora do DRE",VLOOKUP(Base_Periodo1[[#This Row],[CONTA]],BaseContasDRE[#All],4,FALSE))</f>
        <v>Fora do DRE</v>
      </c>
      <c r="T1567" s="3" t="str">
        <f>IF(ISERROR(VLOOKUP(Base_Periodo1[[#This Row],[CONTA]],BaseContasDRE[#All],5,FALSE)),"Fora do DRE",VLOOKUP(Base_Periodo1[[#This Row],[CONTA]],BaseContasDRE[#All],6,FALSE))</f>
        <v>Fora do DRE</v>
      </c>
      <c r="U1567" s="3" t="str">
        <f>IF(ISERROR(VLOOKUP(Base_Periodo1[[#This Row],[CONTA]],BaseContasDRE[#All],7,FALSE)),"Fora do DRE",VLOOKUP(Base_Periodo1[[#This Row],[CONTA]],BaseContasDRE[#All],7,FALSE))</f>
        <v>Fora do DRE</v>
      </c>
      <c r="V1567" s="3" t="str">
        <f>IF(Base_Periodo1[[#This Row],[Tipo_Linha]]="Fora do DRE","Fora do DRE","( "&amp;Base_Periodo1[[#This Row],[Tipo_Linha]]&amp;" ) "&amp;Base_Periodo1[[#This Row],[Filtro]])</f>
        <v>Fora do DRE</v>
      </c>
      <c r="W1567" s="3" t="str">
        <f>LEFT(Base_Periodo1[[#This Row],[CLASS]],3)</f>
        <v>1.1</v>
      </c>
    </row>
    <row r="1568" spans="1:23" hidden="1">
      <c r="A1568" s="3" t="str">
        <f t="shared" si="24"/>
        <v>Período 1</v>
      </c>
      <c r="B1568">
        <v>572</v>
      </c>
      <c r="C1568" t="s">
        <v>5901</v>
      </c>
      <c r="D1568" t="s">
        <v>1057</v>
      </c>
      <c r="E1568" s="3" t="str">
        <f>IF(LEN(Base_Periodo1[[#This Row],[CLASS]])&gt;=7,LEFT(Base_Periodo1[[#This Row],[CLASS]],7),"")</f>
        <v>1.1.3.1</v>
      </c>
      <c r="F1568" s="3" t="str">
        <f>VLOOKUP(Base_Periodo1[[#This Row],[Aux]],Base_Contas_Balanco[#All],2,FALSE)</f>
        <v>Estoques Proprios</v>
      </c>
      <c r="G1568" s="1"/>
      <c r="H1568" s="225">
        <v>8208</v>
      </c>
      <c r="I1568" s="225">
        <v>0</v>
      </c>
      <c r="J1568" s="225">
        <v>0</v>
      </c>
      <c r="K1568" s="225">
        <v>8208</v>
      </c>
      <c r="L15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8208</v>
      </c>
      <c r="M1568" s="225">
        <f>ROUND(IF(AND(Base_Periodo1[[#This Row],[Tipo_Linha]]="-",Base_Periodo1[[#This Row],[TIPOSALDO]]="D"),Base_Periodo1[[#This Row],[SALDO_ATUAL]]*-1,Base_Periodo1[[#This Row],[SALDO_ATUAL]]),4)</f>
        <v>8208</v>
      </c>
      <c r="N1568" t="s">
        <v>396</v>
      </c>
      <c r="O1568" t="s">
        <v>397</v>
      </c>
      <c r="P1568" t="s">
        <v>397</v>
      </c>
      <c r="Q1568">
        <v>8</v>
      </c>
      <c r="R1568" s="225">
        <f>Base_Periodo1[[#This Row],[CREDITOS]]-Base_Periodo1[[#This Row],[DEBITOS]]</f>
        <v>0</v>
      </c>
      <c r="S1568" s="3" t="str">
        <f>IF(ISERROR(VLOOKUP(Base_Periodo1[[#This Row],[CONTA]],BaseContasDRE[#All],4,FALSE)),"Fora do DRE",VLOOKUP(Base_Periodo1[[#This Row],[CONTA]],BaseContasDRE[#All],4,FALSE))</f>
        <v>Fora do DRE</v>
      </c>
      <c r="T1568" s="3" t="str">
        <f>IF(ISERROR(VLOOKUP(Base_Periodo1[[#This Row],[CONTA]],BaseContasDRE[#All],5,FALSE)),"Fora do DRE",VLOOKUP(Base_Periodo1[[#This Row],[CONTA]],BaseContasDRE[#All],6,FALSE))</f>
        <v>Fora do DRE</v>
      </c>
      <c r="U1568" s="3" t="str">
        <f>IF(ISERROR(VLOOKUP(Base_Periodo1[[#This Row],[CONTA]],BaseContasDRE[#All],7,FALSE)),"Fora do DRE",VLOOKUP(Base_Periodo1[[#This Row],[CONTA]],BaseContasDRE[#All],7,FALSE))</f>
        <v>Fora do DRE</v>
      </c>
      <c r="V1568" s="3" t="str">
        <f>IF(Base_Periodo1[[#This Row],[Tipo_Linha]]="Fora do DRE","Fora do DRE","( "&amp;Base_Periodo1[[#This Row],[Tipo_Linha]]&amp;" ) "&amp;Base_Periodo1[[#This Row],[Filtro]])</f>
        <v>Fora do DRE</v>
      </c>
      <c r="W1568" s="3" t="str">
        <f>LEFT(Base_Periodo1[[#This Row],[CLASS]],3)</f>
        <v>1.1</v>
      </c>
    </row>
    <row r="1569" spans="1:23" hidden="1">
      <c r="A1569" s="3" t="str">
        <f t="shared" si="24"/>
        <v>Período 1</v>
      </c>
      <c r="B1569">
        <v>573</v>
      </c>
      <c r="C1569" t="s">
        <v>5902</v>
      </c>
      <c r="D1569" t="s">
        <v>1059</v>
      </c>
      <c r="E1569" s="3" t="str">
        <f>IF(LEN(Base_Periodo1[[#This Row],[CLASS]])&gt;=7,LEFT(Base_Periodo1[[#This Row],[CLASS]],7),"")</f>
        <v>1.1.3.1</v>
      </c>
      <c r="F1569" s="3" t="str">
        <f>VLOOKUP(Base_Periodo1[[#This Row],[Aux]],Base_Contas_Balanco[#All],2,FALSE)</f>
        <v>Estoques Proprios</v>
      </c>
      <c r="G1569" s="1">
        <v>42782</v>
      </c>
      <c r="H1569" s="225">
        <v>8208</v>
      </c>
      <c r="I1569" s="225">
        <v>0</v>
      </c>
      <c r="J1569" s="225">
        <v>0</v>
      </c>
      <c r="K1569" s="225">
        <v>8208</v>
      </c>
      <c r="L15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8208</v>
      </c>
      <c r="M1569" s="225">
        <f>ROUND(IF(AND(Base_Periodo1[[#This Row],[Tipo_Linha]]="-",Base_Periodo1[[#This Row],[TIPOSALDO]]="D"),Base_Periodo1[[#This Row],[SALDO_ATUAL]]*-1,Base_Periodo1[[#This Row],[SALDO_ATUAL]]),4)</f>
        <v>8208</v>
      </c>
      <c r="N1569" t="s">
        <v>116</v>
      </c>
      <c r="O1569" t="s">
        <v>397</v>
      </c>
      <c r="P1569" t="s">
        <v>397</v>
      </c>
      <c r="Q1569">
        <v>9</v>
      </c>
      <c r="R1569" s="225">
        <f>Base_Periodo1[[#This Row],[CREDITOS]]-Base_Periodo1[[#This Row],[DEBITOS]]</f>
        <v>0</v>
      </c>
      <c r="S1569" s="3" t="str">
        <f>IF(ISERROR(VLOOKUP(Base_Periodo1[[#This Row],[CONTA]],BaseContasDRE[#All],4,FALSE)),"Fora do DRE",VLOOKUP(Base_Periodo1[[#This Row],[CONTA]],BaseContasDRE[#All],4,FALSE))</f>
        <v>Fora do DRE</v>
      </c>
      <c r="T1569" s="3" t="str">
        <f>IF(ISERROR(VLOOKUP(Base_Periodo1[[#This Row],[CONTA]],BaseContasDRE[#All],5,FALSE)),"Fora do DRE",VLOOKUP(Base_Periodo1[[#This Row],[CONTA]],BaseContasDRE[#All],6,FALSE))</f>
        <v>Fora do DRE</v>
      </c>
      <c r="U1569" s="3" t="str">
        <f>IF(ISERROR(VLOOKUP(Base_Periodo1[[#This Row],[CONTA]],BaseContasDRE[#All],7,FALSE)),"Fora do DRE",VLOOKUP(Base_Periodo1[[#This Row],[CONTA]],BaseContasDRE[#All],7,FALSE))</f>
        <v>Fora do DRE</v>
      </c>
      <c r="V1569" s="3" t="str">
        <f>IF(Base_Periodo1[[#This Row],[Tipo_Linha]]="Fora do DRE","Fora do DRE","( "&amp;Base_Periodo1[[#This Row],[Tipo_Linha]]&amp;" ) "&amp;Base_Periodo1[[#This Row],[Filtro]])</f>
        <v>Fora do DRE</v>
      </c>
      <c r="W1569" s="3" t="str">
        <f>LEFT(Base_Periodo1[[#This Row],[CLASS]],3)</f>
        <v>1.1</v>
      </c>
    </row>
    <row r="1570" spans="1:23" hidden="1">
      <c r="A1570" s="3" t="str">
        <f t="shared" si="24"/>
        <v>Período 1</v>
      </c>
      <c r="B1570">
        <v>574</v>
      </c>
      <c r="C1570" t="s">
        <v>6259</v>
      </c>
      <c r="D1570" t="s">
        <v>1063</v>
      </c>
      <c r="E1570" s="3" t="str">
        <f>IF(LEN(Base_Periodo1[[#This Row],[CLASS]])&gt;=7,LEFT(Base_Periodo1[[#This Row],[CLASS]],7),"")</f>
        <v>1.1.3.1</v>
      </c>
      <c r="F1570" s="3" t="str">
        <f>VLOOKUP(Base_Periodo1[[#This Row],[Aux]],Base_Contas_Balanco[#All],2,FALSE)</f>
        <v>Estoques Proprios</v>
      </c>
      <c r="G1570" s="1"/>
      <c r="H1570" s="225">
        <v>19363.199999999953</v>
      </c>
      <c r="I1570" s="225">
        <v>0</v>
      </c>
      <c r="J1570" s="225">
        <v>0</v>
      </c>
      <c r="K1570" s="225">
        <v>19363.199999999953</v>
      </c>
      <c r="L15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19363.2</v>
      </c>
      <c r="M1570" s="225">
        <f>ROUND(IF(AND(Base_Periodo1[[#This Row],[Tipo_Linha]]="-",Base_Periodo1[[#This Row],[TIPOSALDO]]="D"),Base_Periodo1[[#This Row],[SALDO_ATUAL]]*-1,Base_Periodo1[[#This Row],[SALDO_ATUAL]]),4)</f>
        <v>19363.2</v>
      </c>
      <c r="N1570" t="s">
        <v>396</v>
      </c>
      <c r="O1570" t="s">
        <v>397</v>
      </c>
      <c r="P1570" t="s">
        <v>397</v>
      </c>
      <c r="Q1570">
        <v>8</v>
      </c>
      <c r="R1570" s="225">
        <f>Base_Periodo1[[#This Row],[CREDITOS]]-Base_Periodo1[[#This Row],[DEBITOS]]</f>
        <v>0</v>
      </c>
      <c r="S1570" s="3" t="str">
        <f>IF(ISERROR(VLOOKUP(Base_Periodo1[[#This Row],[CONTA]],BaseContasDRE[#All],4,FALSE)),"Fora do DRE",VLOOKUP(Base_Periodo1[[#This Row],[CONTA]],BaseContasDRE[#All],4,FALSE))</f>
        <v>Fora do DRE</v>
      </c>
      <c r="T1570" s="3" t="str">
        <f>IF(ISERROR(VLOOKUP(Base_Periodo1[[#This Row],[CONTA]],BaseContasDRE[#All],5,FALSE)),"Fora do DRE",VLOOKUP(Base_Periodo1[[#This Row],[CONTA]],BaseContasDRE[#All],6,FALSE))</f>
        <v>Fora do DRE</v>
      </c>
      <c r="U1570" s="3" t="str">
        <f>IF(ISERROR(VLOOKUP(Base_Periodo1[[#This Row],[CONTA]],BaseContasDRE[#All],7,FALSE)),"Fora do DRE",VLOOKUP(Base_Periodo1[[#This Row],[CONTA]],BaseContasDRE[#All],7,FALSE))</f>
        <v>Fora do DRE</v>
      </c>
      <c r="V1570" s="3" t="str">
        <f>IF(Base_Periodo1[[#This Row],[Tipo_Linha]]="Fora do DRE","Fora do DRE","( "&amp;Base_Periodo1[[#This Row],[Tipo_Linha]]&amp;" ) "&amp;Base_Periodo1[[#This Row],[Filtro]])</f>
        <v>Fora do DRE</v>
      </c>
      <c r="W1570" s="3" t="str">
        <f>LEFT(Base_Periodo1[[#This Row],[CLASS]],3)</f>
        <v>1.1</v>
      </c>
    </row>
    <row r="1571" spans="1:23" hidden="1">
      <c r="A1571" s="3" t="str">
        <f t="shared" si="24"/>
        <v>Período 1</v>
      </c>
      <c r="B1571">
        <v>575</v>
      </c>
      <c r="C1571" t="s">
        <v>6260</v>
      </c>
      <c r="D1571" t="s">
        <v>1065</v>
      </c>
      <c r="E1571" s="3" t="str">
        <f>IF(LEN(Base_Periodo1[[#This Row],[CLASS]])&gt;=7,LEFT(Base_Periodo1[[#This Row],[CLASS]],7),"")</f>
        <v>1.1.3.1</v>
      </c>
      <c r="F1571" s="3" t="str">
        <f>VLOOKUP(Base_Periodo1[[#This Row],[Aux]],Base_Contas_Balanco[#All],2,FALSE)</f>
        <v>Estoques Proprios</v>
      </c>
      <c r="G1571" s="1">
        <v>42849</v>
      </c>
      <c r="H1571" s="225">
        <v>19363.199999999953</v>
      </c>
      <c r="I1571" s="225">
        <v>0</v>
      </c>
      <c r="J1571" s="225">
        <v>0</v>
      </c>
      <c r="K1571" s="225">
        <v>19363.199999999953</v>
      </c>
      <c r="L15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19363.2</v>
      </c>
      <c r="M1571" s="225">
        <f>ROUND(IF(AND(Base_Periodo1[[#This Row],[Tipo_Linha]]="-",Base_Periodo1[[#This Row],[TIPOSALDO]]="D"),Base_Periodo1[[#This Row],[SALDO_ATUAL]]*-1,Base_Periodo1[[#This Row],[SALDO_ATUAL]]),4)</f>
        <v>19363.2</v>
      </c>
      <c r="N1571" t="s">
        <v>116</v>
      </c>
      <c r="O1571" t="s">
        <v>397</v>
      </c>
      <c r="P1571" t="s">
        <v>397</v>
      </c>
      <c r="Q1571">
        <v>9</v>
      </c>
      <c r="R1571" s="225">
        <f>Base_Periodo1[[#This Row],[CREDITOS]]-Base_Periodo1[[#This Row],[DEBITOS]]</f>
        <v>0</v>
      </c>
      <c r="S1571" s="3" t="str">
        <f>IF(ISERROR(VLOOKUP(Base_Periodo1[[#This Row],[CONTA]],BaseContasDRE[#All],4,FALSE)),"Fora do DRE",VLOOKUP(Base_Periodo1[[#This Row],[CONTA]],BaseContasDRE[#All],4,FALSE))</f>
        <v>Fora do DRE</v>
      </c>
      <c r="T1571" s="3" t="str">
        <f>IF(ISERROR(VLOOKUP(Base_Periodo1[[#This Row],[CONTA]],BaseContasDRE[#All],5,FALSE)),"Fora do DRE",VLOOKUP(Base_Periodo1[[#This Row],[CONTA]],BaseContasDRE[#All],6,FALSE))</f>
        <v>Fora do DRE</v>
      </c>
      <c r="U1571" s="3" t="str">
        <f>IF(ISERROR(VLOOKUP(Base_Periodo1[[#This Row],[CONTA]],BaseContasDRE[#All],7,FALSE)),"Fora do DRE",VLOOKUP(Base_Periodo1[[#This Row],[CONTA]],BaseContasDRE[#All],7,FALSE))</f>
        <v>Fora do DRE</v>
      </c>
      <c r="V1571" s="3" t="str">
        <f>IF(Base_Periodo1[[#This Row],[Tipo_Linha]]="Fora do DRE","Fora do DRE","( "&amp;Base_Periodo1[[#This Row],[Tipo_Linha]]&amp;" ) "&amp;Base_Periodo1[[#This Row],[Filtro]])</f>
        <v>Fora do DRE</v>
      </c>
      <c r="W1571" s="3" t="str">
        <f>LEFT(Base_Periodo1[[#This Row],[CLASS]],3)</f>
        <v>1.1</v>
      </c>
    </row>
    <row r="1572" spans="1:23" hidden="1">
      <c r="A1572" s="3" t="str">
        <f t="shared" si="24"/>
        <v>Período 1</v>
      </c>
      <c r="B1572">
        <v>578</v>
      </c>
      <c r="C1572" t="s">
        <v>5903</v>
      </c>
      <c r="D1572" t="s">
        <v>1067</v>
      </c>
      <c r="E1572" s="3" t="str">
        <f>IF(LEN(Base_Periodo1[[#This Row],[CLASS]])&gt;=7,LEFT(Base_Periodo1[[#This Row],[CLASS]],7),"")</f>
        <v>1.1.3.1</v>
      </c>
      <c r="F1572" s="3" t="str">
        <f>VLOOKUP(Base_Periodo1[[#This Row],[Aux]],Base_Contas_Balanco[#All],2,FALSE)</f>
        <v>Estoques Proprios</v>
      </c>
      <c r="G1572" s="1"/>
      <c r="H1572" s="225">
        <v>9663.6900000000314</v>
      </c>
      <c r="I1572" s="225">
        <v>0</v>
      </c>
      <c r="J1572" s="225">
        <v>0</v>
      </c>
      <c r="K1572" s="225">
        <v>9663.6900000000314</v>
      </c>
      <c r="L15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-9663.69</v>
      </c>
      <c r="M1572" s="225">
        <f>ROUND(IF(AND(Base_Periodo1[[#This Row],[Tipo_Linha]]="-",Base_Periodo1[[#This Row],[TIPOSALDO]]="D"),Base_Periodo1[[#This Row],[SALDO_ATUAL]]*-1,Base_Periodo1[[#This Row],[SALDO_ATUAL]]),4)</f>
        <v>9663.69</v>
      </c>
      <c r="N1572" t="s">
        <v>396</v>
      </c>
      <c r="O1572" t="s">
        <v>459</v>
      </c>
      <c r="P1572" t="s">
        <v>459</v>
      </c>
      <c r="Q1572">
        <v>8</v>
      </c>
      <c r="R1572" s="225">
        <f>Base_Periodo1[[#This Row],[CREDITOS]]-Base_Periodo1[[#This Row],[DEBITOS]]</f>
        <v>0</v>
      </c>
      <c r="S1572" s="3" t="str">
        <f>IF(ISERROR(VLOOKUP(Base_Periodo1[[#This Row],[CONTA]],BaseContasDRE[#All],4,FALSE)),"Fora do DRE",VLOOKUP(Base_Periodo1[[#This Row],[CONTA]],BaseContasDRE[#All],4,FALSE))</f>
        <v>Fora do DRE</v>
      </c>
      <c r="T1572" s="3" t="str">
        <f>IF(ISERROR(VLOOKUP(Base_Periodo1[[#This Row],[CONTA]],BaseContasDRE[#All],5,FALSE)),"Fora do DRE",VLOOKUP(Base_Periodo1[[#This Row],[CONTA]],BaseContasDRE[#All],6,FALSE))</f>
        <v>Fora do DRE</v>
      </c>
      <c r="U1572" s="3" t="str">
        <f>IF(ISERROR(VLOOKUP(Base_Periodo1[[#This Row],[CONTA]],BaseContasDRE[#All],7,FALSE)),"Fora do DRE",VLOOKUP(Base_Periodo1[[#This Row],[CONTA]],BaseContasDRE[#All],7,FALSE))</f>
        <v>Fora do DRE</v>
      </c>
      <c r="V1572" s="3" t="str">
        <f>IF(Base_Periodo1[[#This Row],[Tipo_Linha]]="Fora do DRE","Fora do DRE","( "&amp;Base_Periodo1[[#This Row],[Tipo_Linha]]&amp;" ) "&amp;Base_Periodo1[[#This Row],[Filtro]])</f>
        <v>Fora do DRE</v>
      </c>
      <c r="W1572" s="3" t="str">
        <f>LEFT(Base_Periodo1[[#This Row],[CLASS]],3)</f>
        <v>1.1</v>
      </c>
    </row>
    <row r="1573" spans="1:23" hidden="1">
      <c r="A1573" s="3" t="str">
        <f t="shared" si="24"/>
        <v>Período 1</v>
      </c>
      <c r="B1573">
        <v>579</v>
      </c>
      <c r="C1573" t="s">
        <v>5904</v>
      </c>
      <c r="D1573" t="s">
        <v>1068</v>
      </c>
      <c r="E1573" s="3" t="str">
        <f>IF(LEN(Base_Periodo1[[#This Row],[CLASS]])&gt;=7,LEFT(Base_Periodo1[[#This Row],[CLASS]],7),"")</f>
        <v>1.1.3.1</v>
      </c>
      <c r="F1573" s="3" t="str">
        <f>VLOOKUP(Base_Periodo1[[#This Row],[Aux]],Base_Contas_Balanco[#All],2,FALSE)</f>
        <v>Estoques Proprios</v>
      </c>
      <c r="G1573" s="1">
        <v>42855</v>
      </c>
      <c r="H1573" s="225">
        <v>3612.5700000000361</v>
      </c>
      <c r="I1573" s="225">
        <v>0</v>
      </c>
      <c r="J1573" s="225">
        <v>0</v>
      </c>
      <c r="K1573" s="225">
        <v>3612.5700000000361</v>
      </c>
      <c r="L15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-3612.57</v>
      </c>
      <c r="M1573" s="225">
        <f>ROUND(IF(AND(Base_Periodo1[[#This Row],[Tipo_Linha]]="-",Base_Periodo1[[#This Row],[TIPOSALDO]]="D"),Base_Periodo1[[#This Row],[SALDO_ATUAL]]*-1,Base_Periodo1[[#This Row],[SALDO_ATUAL]]),4)</f>
        <v>3612.57</v>
      </c>
      <c r="N1573" t="s">
        <v>116</v>
      </c>
      <c r="O1573" t="s">
        <v>459</v>
      </c>
      <c r="P1573" t="s">
        <v>459</v>
      </c>
      <c r="Q1573">
        <v>9</v>
      </c>
      <c r="R1573" s="225">
        <f>Base_Periodo1[[#This Row],[CREDITOS]]-Base_Periodo1[[#This Row],[DEBITOS]]</f>
        <v>0</v>
      </c>
      <c r="S1573" s="3" t="str">
        <f>IF(ISERROR(VLOOKUP(Base_Periodo1[[#This Row],[CONTA]],BaseContasDRE[#All],4,FALSE)),"Fora do DRE",VLOOKUP(Base_Periodo1[[#This Row],[CONTA]],BaseContasDRE[#All],4,FALSE))</f>
        <v>Fora do DRE</v>
      </c>
      <c r="T1573" s="3" t="str">
        <f>IF(ISERROR(VLOOKUP(Base_Periodo1[[#This Row],[CONTA]],BaseContasDRE[#All],5,FALSE)),"Fora do DRE",VLOOKUP(Base_Periodo1[[#This Row],[CONTA]],BaseContasDRE[#All],6,FALSE))</f>
        <v>Fora do DRE</v>
      </c>
      <c r="U1573" s="3" t="str">
        <f>IF(ISERROR(VLOOKUP(Base_Periodo1[[#This Row],[CONTA]],BaseContasDRE[#All],7,FALSE)),"Fora do DRE",VLOOKUP(Base_Periodo1[[#This Row],[CONTA]],BaseContasDRE[#All],7,FALSE))</f>
        <v>Fora do DRE</v>
      </c>
      <c r="V1573" s="3" t="str">
        <f>IF(Base_Periodo1[[#This Row],[Tipo_Linha]]="Fora do DRE","Fora do DRE","( "&amp;Base_Periodo1[[#This Row],[Tipo_Linha]]&amp;" ) "&amp;Base_Periodo1[[#This Row],[Filtro]])</f>
        <v>Fora do DRE</v>
      </c>
      <c r="W1573" s="3" t="str">
        <f>LEFT(Base_Periodo1[[#This Row],[CLASS]],3)</f>
        <v>1.1</v>
      </c>
    </row>
    <row r="1574" spans="1:23" hidden="1">
      <c r="A1574" s="3" t="str">
        <f t="shared" si="24"/>
        <v>Período 1</v>
      </c>
      <c r="B1574">
        <v>580</v>
      </c>
      <c r="C1574" t="s">
        <v>6261</v>
      </c>
      <c r="D1574" t="s">
        <v>1070</v>
      </c>
      <c r="E1574" s="3" t="str">
        <f>IF(LEN(Base_Periodo1[[#This Row],[CLASS]])&gt;=7,LEFT(Base_Periodo1[[#This Row],[CLASS]],7),"")</f>
        <v>1.1.3.1</v>
      </c>
      <c r="F1574" s="3" t="str">
        <f>VLOOKUP(Base_Periodo1[[#This Row],[Aux]],Base_Contas_Balanco[#All],2,FALSE)</f>
        <v>Estoques Proprios</v>
      </c>
      <c r="G1574" s="1">
        <v>42855</v>
      </c>
      <c r="H1574" s="225">
        <v>6051.1199999999953</v>
      </c>
      <c r="I1574" s="225">
        <v>0</v>
      </c>
      <c r="J1574" s="225">
        <v>0</v>
      </c>
      <c r="K1574" s="225">
        <v>6051.1199999999953</v>
      </c>
      <c r="L15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-6051.12</v>
      </c>
      <c r="M1574" s="225">
        <f>ROUND(IF(AND(Base_Periodo1[[#This Row],[Tipo_Linha]]="-",Base_Periodo1[[#This Row],[TIPOSALDO]]="D"),Base_Periodo1[[#This Row],[SALDO_ATUAL]]*-1,Base_Periodo1[[#This Row],[SALDO_ATUAL]]),4)</f>
        <v>6051.12</v>
      </c>
      <c r="N1574" t="s">
        <v>116</v>
      </c>
      <c r="O1574" t="s">
        <v>459</v>
      </c>
      <c r="P1574" t="s">
        <v>459</v>
      </c>
      <c r="Q1574">
        <v>9</v>
      </c>
      <c r="R1574" s="225">
        <f>Base_Periodo1[[#This Row],[CREDITOS]]-Base_Periodo1[[#This Row],[DEBITOS]]</f>
        <v>0</v>
      </c>
      <c r="S1574" s="3" t="str">
        <f>IF(ISERROR(VLOOKUP(Base_Periodo1[[#This Row],[CONTA]],BaseContasDRE[#All],4,FALSE)),"Fora do DRE",VLOOKUP(Base_Periodo1[[#This Row],[CONTA]],BaseContasDRE[#All],4,FALSE))</f>
        <v>Fora do DRE</v>
      </c>
      <c r="T1574" s="3" t="str">
        <f>IF(ISERROR(VLOOKUP(Base_Periodo1[[#This Row],[CONTA]],BaseContasDRE[#All],5,FALSE)),"Fora do DRE",VLOOKUP(Base_Periodo1[[#This Row],[CONTA]],BaseContasDRE[#All],6,FALSE))</f>
        <v>Fora do DRE</v>
      </c>
      <c r="U1574" s="3" t="str">
        <f>IF(ISERROR(VLOOKUP(Base_Periodo1[[#This Row],[CONTA]],BaseContasDRE[#All],7,FALSE)),"Fora do DRE",VLOOKUP(Base_Periodo1[[#This Row],[CONTA]],BaseContasDRE[#All],7,FALSE))</f>
        <v>Fora do DRE</v>
      </c>
      <c r="V1574" s="3" t="str">
        <f>IF(Base_Periodo1[[#This Row],[Tipo_Linha]]="Fora do DRE","Fora do DRE","( "&amp;Base_Periodo1[[#This Row],[Tipo_Linha]]&amp;" ) "&amp;Base_Periodo1[[#This Row],[Filtro]])</f>
        <v>Fora do DRE</v>
      </c>
      <c r="W1574" s="3" t="str">
        <f>LEFT(Base_Periodo1[[#This Row],[CLASS]],3)</f>
        <v>1.1</v>
      </c>
    </row>
    <row r="1575" spans="1:23" hidden="1">
      <c r="A1575" s="3" t="str">
        <f t="shared" si="24"/>
        <v>Período 1</v>
      </c>
      <c r="B1575">
        <v>581</v>
      </c>
      <c r="C1575" t="s">
        <v>6262</v>
      </c>
      <c r="D1575" t="s">
        <v>1072</v>
      </c>
      <c r="E1575" s="3" t="str">
        <f>IF(LEN(Base_Periodo1[[#This Row],[CLASS]])&gt;=7,LEFT(Base_Periodo1[[#This Row],[CLASS]],7),"")</f>
        <v>1.1.3.1</v>
      </c>
      <c r="F1575" s="3" t="str">
        <f>VLOOKUP(Base_Periodo1[[#This Row],[Aux]],Base_Contas_Balanco[#All],2,FALSE)</f>
        <v>Estoques Proprios</v>
      </c>
      <c r="G1575" s="1"/>
      <c r="H1575" s="225">
        <v>19363.199999999953</v>
      </c>
      <c r="I1575" s="225">
        <v>0</v>
      </c>
      <c r="J1575" s="225">
        <v>0</v>
      </c>
      <c r="K1575" s="225">
        <v>19363.199999999953</v>
      </c>
      <c r="L15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-19363.2</v>
      </c>
      <c r="M1575" s="225">
        <f>ROUND(IF(AND(Base_Periodo1[[#This Row],[Tipo_Linha]]="-",Base_Periodo1[[#This Row],[TIPOSALDO]]="D"),Base_Periodo1[[#This Row],[SALDO_ATUAL]]*-1,Base_Periodo1[[#This Row],[SALDO_ATUAL]]),4)</f>
        <v>19363.2</v>
      </c>
      <c r="N1575" t="s">
        <v>396</v>
      </c>
      <c r="O1575" t="s">
        <v>459</v>
      </c>
      <c r="P1575" t="s">
        <v>459</v>
      </c>
      <c r="Q1575">
        <v>8</v>
      </c>
      <c r="R1575" s="225">
        <f>Base_Periodo1[[#This Row],[CREDITOS]]-Base_Periodo1[[#This Row],[DEBITOS]]</f>
        <v>0</v>
      </c>
      <c r="S1575" s="3" t="str">
        <f>IF(ISERROR(VLOOKUP(Base_Periodo1[[#This Row],[CONTA]],BaseContasDRE[#All],4,FALSE)),"Fora do DRE",VLOOKUP(Base_Periodo1[[#This Row],[CONTA]],BaseContasDRE[#All],4,FALSE))</f>
        <v>Fora do DRE</v>
      </c>
      <c r="T1575" s="3" t="str">
        <f>IF(ISERROR(VLOOKUP(Base_Periodo1[[#This Row],[CONTA]],BaseContasDRE[#All],5,FALSE)),"Fora do DRE",VLOOKUP(Base_Periodo1[[#This Row],[CONTA]],BaseContasDRE[#All],6,FALSE))</f>
        <v>Fora do DRE</v>
      </c>
      <c r="U1575" s="3" t="str">
        <f>IF(ISERROR(VLOOKUP(Base_Periodo1[[#This Row],[CONTA]],BaseContasDRE[#All],7,FALSE)),"Fora do DRE",VLOOKUP(Base_Periodo1[[#This Row],[CONTA]],BaseContasDRE[#All],7,FALSE))</f>
        <v>Fora do DRE</v>
      </c>
      <c r="V1575" s="3" t="str">
        <f>IF(Base_Periodo1[[#This Row],[Tipo_Linha]]="Fora do DRE","Fora do DRE","( "&amp;Base_Periodo1[[#This Row],[Tipo_Linha]]&amp;" ) "&amp;Base_Periodo1[[#This Row],[Filtro]])</f>
        <v>Fora do DRE</v>
      </c>
      <c r="W1575" s="3" t="str">
        <f>LEFT(Base_Periodo1[[#This Row],[CLASS]],3)</f>
        <v>1.1</v>
      </c>
    </row>
    <row r="1576" spans="1:23" hidden="1">
      <c r="A1576" s="3" t="str">
        <f t="shared" si="24"/>
        <v>Período 1</v>
      </c>
      <c r="B1576">
        <v>582</v>
      </c>
      <c r="C1576" t="s">
        <v>6263</v>
      </c>
      <c r="D1576" t="s">
        <v>1074</v>
      </c>
      <c r="E1576" s="3" t="str">
        <f>IF(LEN(Base_Periodo1[[#This Row],[CLASS]])&gt;=7,LEFT(Base_Periodo1[[#This Row],[CLASS]],7),"")</f>
        <v>1.1.3.1</v>
      </c>
      <c r="F1576" s="3" t="str">
        <f>VLOOKUP(Base_Periodo1[[#This Row],[Aux]],Base_Contas_Balanco[#All],2,FALSE)</f>
        <v>Estoques Proprios</v>
      </c>
      <c r="G1576" s="1">
        <v>42849</v>
      </c>
      <c r="H1576" s="225">
        <v>19363.199999999953</v>
      </c>
      <c r="I1576" s="225">
        <v>0</v>
      </c>
      <c r="J1576" s="225">
        <v>0</v>
      </c>
      <c r="K1576" s="225">
        <v>19363.199999999953</v>
      </c>
      <c r="L15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-19363.2</v>
      </c>
      <c r="M1576" s="225">
        <f>ROUND(IF(AND(Base_Periodo1[[#This Row],[Tipo_Linha]]="-",Base_Periodo1[[#This Row],[TIPOSALDO]]="D"),Base_Periodo1[[#This Row],[SALDO_ATUAL]]*-1,Base_Periodo1[[#This Row],[SALDO_ATUAL]]),4)</f>
        <v>19363.2</v>
      </c>
      <c r="N1576" t="s">
        <v>116</v>
      </c>
      <c r="O1576" t="s">
        <v>459</v>
      </c>
      <c r="P1576" t="s">
        <v>459</v>
      </c>
      <c r="Q1576">
        <v>9</v>
      </c>
      <c r="R1576" s="225">
        <f>Base_Periodo1[[#This Row],[CREDITOS]]-Base_Periodo1[[#This Row],[DEBITOS]]</f>
        <v>0</v>
      </c>
      <c r="S1576" s="3" t="str">
        <f>IF(ISERROR(VLOOKUP(Base_Periodo1[[#This Row],[CONTA]],BaseContasDRE[#All],4,FALSE)),"Fora do DRE",VLOOKUP(Base_Periodo1[[#This Row],[CONTA]],BaseContasDRE[#All],4,FALSE))</f>
        <v>Fora do DRE</v>
      </c>
      <c r="T1576" s="3" t="str">
        <f>IF(ISERROR(VLOOKUP(Base_Periodo1[[#This Row],[CONTA]],BaseContasDRE[#All],5,FALSE)),"Fora do DRE",VLOOKUP(Base_Periodo1[[#This Row],[CONTA]],BaseContasDRE[#All],6,FALSE))</f>
        <v>Fora do DRE</v>
      </c>
      <c r="U1576" s="3" t="str">
        <f>IF(ISERROR(VLOOKUP(Base_Periodo1[[#This Row],[CONTA]],BaseContasDRE[#All],7,FALSE)),"Fora do DRE",VLOOKUP(Base_Periodo1[[#This Row],[CONTA]],BaseContasDRE[#All],7,FALSE))</f>
        <v>Fora do DRE</v>
      </c>
      <c r="V1576" s="3" t="str">
        <f>IF(Base_Periodo1[[#This Row],[Tipo_Linha]]="Fora do DRE","Fora do DRE","( "&amp;Base_Periodo1[[#This Row],[Tipo_Linha]]&amp;" ) "&amp;Base_Periodo1[[#This Row],[Filtro]])</f>
        <v>Fora do DRE</v>
      </c>
      <c r="W1576" s="3" t="str">
        <f>LEFT(Base_Periodo1[[#This Row],[CLASS]],3)</f>
        <v>1.1</v>
      </c>
    </row>
    <row r="1577" spans="1:23" hidden="1">
      <c r="A1577" s="3" t="str">
        <f t="shared" si="24"/>
        <v>Período 1</v>
      </c>
      <c r="B1577">
        <v>53333</v>
      </c>
      <c r="C1577" t="s">
        <v>4834</v>
      </c>
      <c r="D1577" t="s">
        <v>4835</v>
      </c>
      <c r="E1577" s="3" t="str">
        <f>IF(LEN(Base_Periodo1[[#This Row],[CLASS]])&gt;=7,LEFT(Base_Periodo1[[#This Row],[CLASS]],7),"")</f>
        <v>1.1.3.1</v>
      </c>
      <c r="F1577" s="3" t="str">
        <f>VLOOKUP(Base_Periodo1[[#This Row],[Aux]],Base_Contas_Balanco[#All],2,FALSE)</f>
        <v>Estoques Proprios</v>
      </c>
      <c r="G1577" s="1"/>
      <c r="H1577" s="225">
        <v>4679.3999999999996</v>
      </c>
      <c r="I1577" s="225">
        <v>0</v>
      </c>
      <c r="J1577" s="225">
        <v>0</v>
      </c>
      <c r="K1577" s="225">
        <v>4679.3999999999996</v>
      </c>
      <c r="L15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-4679.3999999999996</v>
      </c>
      <c r="M1577" s="225">
        <f>ROUND(IF(AND(Base_Periodo1[[#This Row],[Tipo_Linha]]="-",Base_Periodo1[[#This Row],[TIPOSALDO]]="D"),Base_Periodo1[[#This Row],[SALDO_ATUAL]]*-1,Base_Periodo1[[#This Row],[SALDO_ATUAL]]),4)</f>
        <v>4679.3999999999996</v>
      </c>
      <c r="N1577" t="s">
        <v>396</v>
      </c>
      <c r="O1577" t="s">
        <v>459</v>
      </c>
      <c r="P1577" t="s">
        <v>459</v>
      </c>
      <c r="Q1577">
        <v>8</v>
      </c>
      <c r="R1577" s="225">
        <f>Base_Periodo1[[#This Row],[CREDITOS]]-Base_Periodo1[[#This Row],[DEBITOS]]</f>
        <v>0</v>
      </c>
      <c r="S1577" s="3" t="str">
        <f>IF(ISERROR(VLOOKUP(Base_Periodo1[[#This Row],[CONTA]],BaseContasDRE[#All],4,FALSE)),"Fora do DRE",VLOOKUP(Base_Periodo1[[#This Row],[CONTA]],BaseContasDRE[#All],4,FALSE))</f>
        <v>Fora do DRE</v>
      </c>
      <c r="T1577" s="3" t="str">
        <f>IF(ISERROR(VLOOKUP(Base_Periodo1[[#This Row],[CONTA]],BaseContasDRE[#All],5,FALSE)),"Fora do DRE",VLOOKUP(Base_Periodo1[[#This Row],[CONTA]],BaseContasDRE[#All],6,FALSE))</f>
        <v>Fora do DRE</v>
      </c>
      <c r="U1577" s="3" t="str">
        <f>IF(ISERROR(VLOOKUP(Base_Periodo1[[#This Row],[CONTA]],BaseContasDRE[#All],7,FALSE)),"Fora do DRE",VLOOKUP(Base_Periodo1[[#This Row],[CONTA]],BaseContasDRE[#All],7,FALSE))</f>
        <v>Fora do DRE</v>
      </c>
      <c r="V1577" s="3" t="str">
        <f>IF(Base_Periodo1[[#This Row],[Tipo_Linha]]="Fora do DRE","Fora do DRE","( "&amp;Base_Periodo1[[#This Row],[Tipo_Linha]]&amp;" ) "&amp;Base_Periodo1[[#This Row],[Filtro]])</f>
        <v>Fora do DRE</v>
      </c>
      <c r="W1577" s="3" t="str">
        <f>LEFT(Base_Periodo1[[#This Row],[CLASS]],3)</f>
        <v>1.1</v>
      </c>
    </row>
    <row r="1578" spans="1:23" hidden="1">
      <c r="A1578" s="3" t="str">
        <f t="shared" si="24"/>
        <v>Período 1</v>
      </c>
      <c r="B1578">
        <v>53334</v>
      </c>
      <c r="C1578" t="s">
        <v>4836</v>
      </c>
      <c r="D1578" t="s">
        <v>4837</v>
      </c>
      <c r="E1578" s="3" t="str">
        <f>IF(LEN(Base_Periodo1[[#This Row],[CLASS]])&gt;=7,LEFT(Base_Periodo1[[#This Row],[CLASS]],7),"")</f>
        <v>1.1.3.1</v>
      </c>
      <c r="F1578" s="3" t="str">
        <f>VLOOKUP(Base_Periodo1[[#This Row],[Aux]],Base_Contas_Balanco[#All],2,FALSE)</f>
        <v>Estoques Proprios</v>
      </c>
      <c r="G1578" s="1">
        <v>42816</v>
      </c>
      <c r="H1578" s="225">
        <v>4679.3999999999996</v>
      </c>
      <c r="I1578" s="225">
        <v>0</v>
      </c>
      <c r="J1578" s="225">
        <v>0</v>
      </c>
      <c r="K1578" s="225">
        <v>4679.3999999999996</v>
      </c>
      <c r="L15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-4679.3999999999996</v>
      </c>
      <c r="M1578" s="225">
        <f>ROUND(IF(AND(Base_Periodo1[[#This Row],[Tipo_Linha]]="-",Base_Periodo1[[#This Row],[TIPOSALDO]]="D"),Base_Periodo1[[#This Row],[SALDO_ATUAL]]*-1,Base_Periodo1[[#This Row],[SALDO_ATUAL]]),4)</f>
        <v>4679.3999999999996</v>
      </c>
      <c r="N1578" t="s">
        <v>116</v>
      </c>
      <c r="O1578" t="s">
        <v>459</v>
      </c>
      <c r="P1578" t="s">
        <v>459</v>
      </c>
      <c r="Q1578">
        <v>9</v>
      </c>
      <c r="R1578" s="225">
        <f>Base_Periodo1[[#This Row],[CREDITOS]]-Base_Periodo1[[#This Row],[DEBITOS]]</f>
        <v>0</v>
      </c>
      <c r="S1578" s="3" t="str">
        <f>IF(ISERROR(VLOOKUP(Base_Periodo1[[#This Row],[CONTA]],BaseContasDRE[#All],4,FALSE)),"Fora do DRE",VLOOKUP(Base_Periodo1[[#This Row],[CONTA]],BaseContasDRE[#All],4,FALSE))</f>
        <v>Fora do DRE</v>
      </c>
      <c r="T1578" s="3" t="str">
        <f>IF(ISERROR(VLOOKUP(Base_Periodo1[[#This Row],[CONTA]],BaseContasDRE[#All],5,FALSE)),"Fora do DRE",VLOOKUP(Base_Periodo1[[#This Row],[CONTA]],BaseContasDRE[#All],6,FALSE))</f>
        <v>Fora do DRE</v>
      </c>
      <c r="U1578" s="3" t="str">
        <f>IF(ISERROR(VLOOKUP(Base_Periodo1[[#This Row],[CONTA]],BaseContasDRE[#All],7,FALSE)),"Fora do DRE",VLOOKUP(Base_Periodo1[[#This Row],[CONTA]],BaseContasDRE[#All],7,FALSE))</f>
        <v>Fora do DRE</v>
      </c>
      <c r="V1578" s="3" t="str">
        <f>IF(Base_Periodo1[[#This Row],[Tipo_Linha]]="Fora do DRE","Fora do DRE","( "&amp;Base_Periodo1[[#This Row],[Tipo_Linha]]&amp;" ) "&amp;Base_Periodo1[[#This Row],[Filtro]])</f>
        <v>Fora do DRE</v>
      </c>
      <c r="W1578" s="3" t="str">
        <f>LEFT(Base_Periodo1[[#This Row],[CLASS]],3)</f>
        <v>1.1</v>
      </c>
    </row>
    <row r="1579" spans="1:23" hidden="1">
      <c r="A1579" s="3" t="str">
        <f t="shared" si="24"/>
        <v>Período 1</v>
      </c>
      <c r="B1579">
        <v>585</v>
      </c>
      <c r="C1579" t="s">
        <v>1281</v>
      </c>
      <c r="D1579" t="s">
        <v>1282</v>
      </c>
      <c r="E1579" s="3" t="str">
        <f>IF(LEN(Base_Periodo1[[#This Row],[CLASS]])&gt;=7,LEFT(Base_Periodo1[[#This Row],[CLASS]],7),"")</f>
        <v>1.1.3.1</v>
      </c>
      <c r="F1579" s="3" t="str">
        <f>VLOOKUP(Base_Periodo1[[#This Row],[Aux]],Base_Contas_Balanco[#All],2,FALSE)</f>
        <v>Estoques Proprios</v>
      </c>
      <c r="G1579" s="1"/>
      <c r="H1579" s="225">
        <v>4278.5299999999916</v>
      </c>
      <c r="I1579" s="225">
        <v>0</v>
      </c>
      <c r="J1579" s="225">
        <v>478.53</v>
      </c>
      <c r="K1579" s="225">
        <v>3799.9999999999918</v>
      </c>
      <c r="L15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3800</v>
      </c>
      <c r="M1579" s="225">
        <f>ROUND(IF(AND(Base_Periodo1[[#This Row],[Tipo_Linha]]="-",Base_Periodo1[[#This Row],[TIPOSALDO]]="D"),Base_Periodo1[[#This Row],[SALDO_ATUAL]]*-1,Base_Periodo1[[#This Row],[SALDO_ATUAL]]),4)</f>
        <v>3800</v>
      </c>
      <c r="N1579" t="s">
        <v>396</v>
      </c>
      <c r="O1579" t="s">
        <v>397</v>
      </c>
      <c r="P1579" t="s">
        <v>397</v>
      </c>
      <c r="Q1579">
        <v>7</v>
      </c>
      <c r="R1579" s="225">
        <f>Base_Periodo1[[#This Row],[CREDITOS]]-Base_Periodo1[[#This Row],[DEBITOS]]</f>
        <v>478.53</v>
      </c>
      <c r="S1579" s="3" t="str">
        <f>IF(ISERROR(VLOOKUP(Base_Periodo1[[#This Row],[CONTA]],BaseContasDRE[#All],4,FALSE)),"Fora do DRE",VLOOKUP(Base_Periodo1[[#This Row],[CONTA]],BaseContasDRE[#All],4,FALSE))</f>
        <v>Fora do DRE</v>
      </c>
      <c r="T1579" s="3" t="str">
        <f>IF(ISERROR(VLOOKUP(Base_Periodo1[[#This Row],[CONTA]],BaseContasDRE[#All],5,FALSE)),"Fora do DRE",VLOOKUP(Base_Periodo1[[#This Row],[CONTA]],BaseContasDRE[#All],6,FALSE))</f>
        <v>Fora do DRE</v>
      </c>
      <c r="U1579" s="3" t="str">
        <f>IF(ISERROR(VLOOKUP(Base_Periodo1[[#This Row],[CONTA]],BaseContasDRE[#All],7,FALSE)),"Fora do DRE",VLOOKUP(Base_Periodo1[[#This Row],[CONTA]],BaseContasDRE[#All],7,FALSE))</f>
        <v>Fora do DRE</v>
      </c>
      <c r="V1579" s="3" t="str">
        <f>IF(Base_Periodo1[[#This Row],[Tipo_Linha]]="Fora do DRE","Fora do DRE","( "&amp;Base_Periodo1[[#This Row],[Tipo_Linha]]&amp;" ) "&amp;Base_Periodo1[[#This Row],[Filtro]])</f>
        <v>Fora do DRE</v>
      </c>
      <c r="W1579" s="3" t="str">
        <f>LEFT(Base_Periodo1[[#This Row],[CLASS]],3)</f>
        <v>1.1</v>
      </c>
    </row>
    <row r="1580" spans="1:23" hidden="1">
      <c r="A1580" s="3" t="str">
        <f t="shared" si="24"/>
        <v>Período 1</v>
      </c>
      <c r="B1580">
        <v>586</v>
      </c>
      <c r="C1580" t="s">
        <v>1283</v>
      </c>
      <c r="D1580" t="s">
        <v>1054</v>
      </c>
      <c r="E1580" s="3" t="str">
        <f>IF(LEN(Base_Periodo1[[#This Row],[CLASS]])&gt;=7,LEFT(Base_Periodo1[[#This Row],[CLASS]],7),"")</f>
        <v>1.1.3.1</v>
      </c>
      <c r="F1580" s="3" t="str">
        <f>VLOOKUP(Base_Periodo1[[#This Row],[Aux]],Base_Contas_Balanco[#All],2,FALSE)</f>
        <v>Estoques Proprios</v>
      </c>
      <c r="G1580" s="1"/>
      <c r="H1580" s="225">
        <v>1584</v>
      </c>
      <c r="I1580" s="225">
        <v>0</v>
      </c>
      <c r="J1580" s="225">
        <v>0</v>
      </c>
      <c r="K1580" s="225">
        <v>1584</v>
      </c>
      <c r="L15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1584</v>
      </c>
      <c r="M1580" s="225">
        <f>ROUND(IF(AND(Base_Periodo1[[#This Row],[Tipo_Linha]]="-",Base_Periodo1[[#This Row],[TIPOSALDO]]="D"),Base_Periodo1[[#This Row],[SALDO_ATUAL]]*-1,Base_Periodo1[[#This Row],[SALDO_ATUAL]]),4)</f>
        <v>1584</v>
      </c>
      <c r="N1580" t="s">
        <v>396</v>
      </c>
      <c r="O1580" t="s">
        <v>397</v>
      </c>
      <c r="P1580" t="s">
        <v>397</v>
      </c>
      <c r="Q1580">
        <v>8</v>
      </c>
      <c r="R1580" s="225">
        <f>Base_Periodo1[[#This Row],[CREDITOS]]-Base_Periodo1[[#This Row],[DEBITOS]]</f>
        <v>0</v>
      </c>
      <c r="S1580" s="3" t="str">
        <f>IF(ISERROR(VLOOKUP(Base_Periodo1[[#This Row],[CONTA]],BaseContasDRE[#All],4,FALSE)),"Fora do DRE",VLOOKUP(Base_Periodo1[[#This Row],[CONTA]],BaseContasDRE[#All],4,FALSE))</f>
        <v>Fora do DRE</v>
      </c>
      <c r="T1580" s="3" t="str">
        <f>IF(ISERROR(VLOOKUP(Base_Periodo1[[#This Row],[CONTA]],BaseContasDRE[#All],5,FALSE)),"Fora do DRE",VLOOKUP(Base_Periodo1[[#This Row],[CONTA]],BaseContasDRE[#All],6,FALSE))</f>
        <v>Fora do DRE</v>
      </c>
      <c r="U1580" s="3" t="str">
        <f>IF(ISERROR(VLOOKUP(Base_Periodo1[[#This Row],[CONTA]],BaseContasDRE[#All],7,FALSE)),"Fora do DRE",VLOOKUP(Base_Periodo1[[#This Row],[CONTA]],BaseContasDRE[#All],7,FALSE))</f>
        <v>Fora do DRE</v>
      </c>
      <c r="V1580" s="3" t="str">
        <f>IF(Base_Periodo1[[#This Row],[Tipo_Linha]]="Fora do DRE","Fora do DRE","( "&amp;Base_Periodo1[[#This Row],[Tipo_Linha]]&amp;" ) "&amp;Base_Periodo1[[#This Row],[Filtro]])</f>
        <v>Fora do DRE</v>
      </c>
      <c r="W1580" s="3" t="str">
        <f>LEFT(Base_Periodo1[[#This Row],[CLASS]],3)</f>
        <v>1.1</v>
      </c>
    </row>
    <row r="1581" spans="1:23" hidden="1">
      <c r="A1581" s="3" t="str">
        <f t="shared" si="24"/>
        <v>Período 1</v>
      </c>
      <c r="B1581">
        <v>587</v>
      </c>
      <c r="C1581" t="s">
        <v>1284</v>
      </c>
      <c r="D1581" t="s">
        <v>1054</v>
      </c>
      <c r="E1581" s="3" t="str">
        <f>IF(LEN(Base_Periodo1[[#This Row],[CLASS]])&gt;=7,LEFT(Base_Periodo1[[#This Row],[CLASS]],7),"")</f>
        <v>1.1.3.1</v>
      </c>
      <c r="F1581" s="3" t="str">
        <f>VLOOKUP(Base_Periodo1[[#This Row],[Aux]],Base_Contas_Balanco[#All],2,FALSE)</f>
        <v>Estoques Proprios</v>
      </c>
      <c r="G1581" s="1">
        <v>42735</v>
      </c>
      <c r="H1581" s="225">
        <v>1584</v>
      </c>
      <c r="I1581" s="225">
        <v>0</v>
      </c>
      <c r="J1581" s="225">
        <v>0</v>
      </c>
      <c r="K1581" s="225">
        <v>1584</v>
      </c>
      <c r="L15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1584</v>
      </c>
      <c r="M1581" s="225">
        <f>ROUND(IF(AND(Base_Periodo1[[#This Row],[Tipo_Linha]]="-",Base_Periodo1[[#This Row],[TIPOSALDO]]="D"),Base_Periodo1[[#This Row],[SALDO_ATUAL]]*-1,Base_Periodo1[[#This Row],[SALDO_ATUAL]]),4)</f>
        <v>1584</v>
      </c>
      <c r="N1581" t="s">
        <v>116</v>
      </c>
      <c r="O1581" t="s">
        <v>397</v>
      </c>
      <c r="P1581" t="s">
        <v>397</v>
      </c>
      <c r="Q1581">
        <v>9</v>
      </c>
      <c r="R1581" s="225">
        <f>Base_Periodo1[[#This Row],[CREDITOS]]-Base_Periodo1[[#This Row],[DEBITOS]]</f>
        <v>0</v>
      </c>
      <c r="S1581" s="3" t="str">
        <f>IF(ISERROR(VLOOKUP(Base_Periodo1[[#This Row],[CONTA]],BaseContasDRE[#All],4,FALSE)),"Fora do DRE",VLOOKUP(Base_Periodo1[[#This Row],[CONTA]],BaseContasDRE[#All],4,FALSE))</f>
        <v>Fora do DRE</v>
      </c>
      <c r="T1581" s="3" t="str">
        <f>IF(ISERROR(VLOOKUP(Base_Periodo1[[#This Row],[CONTA]],BaseContasDRE[#All],5,FALSE)),"Fora do DRE",VLOOKUP(Base_Periodo1[[#This Row],[CONTA]],BaseContasDRE[#All],6,FALSE))</f>
        <v>Fora do DRE</v>
      </c>
      <c r="U1581" s="3" t="str">
        <f>IF(ISERROR(VLOOKUP(Base_Periodo1[[#This Row],[CONTA]],BaseContasDRE[#All],7,FALSE)),"Fora do DRE",VLOOKUP(Base_Periodo1[[#This Row],[CONTA]],BaseContasDRE[#All],7,FALSE))</f>
        <v>Fora do DRE</v>
      </c>
      <c r="V1581" s="3" t="str">
        <f>IF(Base_Periodo1[[#This Row],[Tipo_Linha]]="Fora do DRE","Fora do DRE","( "&amp;Base_Periodo1[[#This Row],[Tipo_Linha]]&amp;" ) "&amp;Base_Periodo1[[#This Row],[Filtro]])</f>
        <v>Fora do DRE</v>
      </c>
      <c r="W1581" s="3" t="str">
        <f>LEFT(Base_Periodo1[[#This Row],[CLASS]],3)</f>
        <v>1.1</v>
      </c>
    </row>
    <row r="1582" spans="1:23" hidden="1">
      <c r="A1582" s="3" t="str">
        <f t="shared" si="24"/>
        <v>Período 1</v>
      </c>
      <c r="B1582">
        <v>10934</v>
      </c>
      <c r="C1582" t="s">
        <v>5199</v>
      </c>
      <c r="D1582" t="s">
        <v>1112</v>
      </c>
      <c r="E1582" s="3" t="str">
        <f>IF(LEN(Base_Periodo1[[#This Row],[CLASS]])&gt;=7,LEFT(Base_Periodo1[[#This Row],[CLASS]],7),"")</f>
        <v>1.1.3.1</v>
      </c>
      <c r="F1582" s="3" t="str">
        <f>VLOOKUP(Base_Periodo1[[#This Row],[Aux]],Base_Contas_Balanco[#All],2,FALSE)</f>
        <v>Estoques Proprios</v>
      </c>
      <c r="G1582" s="1"/>
      <c r="H1582" s="225">
        <v>14639.999999999985</v>
      </c>
      <c r="I1582" s="225">
        <v>0</v>
      </c>
      <c r="J1582" s="225">
        <v>0</v>
      </c>
      <c r="K1582" s="225">
        <v>14639.999999999985</v>
      </c>
      <c r="L15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14640</v>
      </c>
      <c r="M1582" s="225">
        <f>ROUND(IF(AND(Base_Periodo1[[#This Row],[Tipo_Linha]]="-",Base_Periodo1[[#This Row],[TIPOSALDO]]="D"),Base_Periodo1[[#This Row],[SALDO_ATUAL]]*-1,Base_Periodo1[[#This Row],[SALDO_ATUAL]]),4)</f>
        <v>14640</v>
      </c>
      <c r="N1582" t="s">
        <v>396</v>
      </c>
      <c r="O1582" t="s">
        <v>397</v>
      </c>
      <c r="P1582" t="s">
        <v>397</v>
      </c>
      <c r="Q1582">
        <v>8</v>
      </c>
      <c r="R1582" s="225">
        <f>Base_Periodo1[[#This Row],[CREDITOS]]-Base_Periodo1[[#This Row],[DEBITOS]]</f>
        <v>0</v>
      </c>
      <c r="S1582" s="3" t="str">
        <f>IF(ISERROR(VLOOKUP(Base_Periodo1[[#This Row],[CONTA]],BaseContasDRE[#All],4,FALSE)),"Fora do DRE",VLOOKUP(Base_Periodo1[[#This Row],[CONTA]],BaseContasDRE[#All],4,FALSE))</f>
        <v>Fora do DRE</v>
      </c>
      <c r="T1582" s="3" t="str">
        <f>IF(ISERROR(VLOOKUP(Base_Periodo1[[#This Row],[CONTA]],BaseContasDRE[#All],5,FALSE)),"Fora do DRE",VLOOKUP(Base_Periodo1[[#This Row],[CONTA]],BaseContasDRE[#All],6,FALSE))</f>
        <v>Fora do DRE</v>
      </c>
      <c r="U1582" s="3" t="str">
        <f>IF(ISERROR(VLOOKUP(Base_Periodo1[[#This Row],[CONTA]],BaseContasDRE[#All],7,FALSE)),"Fora do DRE",VLOOKUP(Base_Periodo1[[#This Row],[CONTA]],BaseContasDRE[#All],7,FALSE))</f>
        <v>Fora do DRE</v>
      </c>
      <c r="V1582" s="3" t="str">
        <f>IF(Base_Periodo1[[#This Row],[Tipo_Linha]]="Fora do DRE","Fora do DRE","( "&amp;Base_Periodo1[[#This Row],[Tipo_Linha]]&amp;" ) "&amp;Base_Periodo1[[#This Row],[Filtro]])</f>
        <v>Fora do DRE</v>
      </c>
      <c r="W1582" s="3" t="str">
        <f>LEFT(Base_Periodo1[[#This Row],[CLASS]],3)</f>
        <v>1.1</v>
      </c>
    </row>
    <row r="1583" spans="1:23" hidden="1">
      <c r="A1583" s="3" t="str">
        <f t="shared" si="24"/>
        <v>Período 1</v>
      </c>
      <c r="B1583">
        <v>10936</v>
      </c>
      <c r="C1583" t="s">
        <v>5200</v>
      </c>
      <c r="D1583" t="s">
        <v>1242</v>
      </c>
      <c r="E1583" s="3" t="str">
        <f>IF(LEN(Base_Periodo1[[#This Row],[CLASS]])&gt;=7,LEFT(Base_Periodo1[[#This Row],[CLASS]],7),"")</f>
        <v>1.1.3.1</v>
      </c>
      <c r="F1583" s="3" t="str">
        <f>VLOOKUP(Base_Periodo1[[#This Row],[Aux]],Base_Contas_Balanco[#All],2,FALSE)</f>
        <v>Estoques Proprios</v>
      </c>
      <c r="G1583" s="1">
        <v>42796</v>
      </c>
      <c r="H1583" s="225">
        <v>14639.999999999985</v>
      </c>
      <c r="I1583" s="225">
        <v>0</v>
      </c>
      <c r="J1583" s="225">
        <v>0</v>
      </c>
      <c r="K1583" s="225">
        <v>14639.999999999985</v>
      </c>
      <c r="L15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14640</v>
      </c>
      <c r="M1583" s="225">
        <f>ROUND(IF(AND(Base_Periodo1[[#This Row],[Tipo_Linha]]="-",Base_Periodo1[[#This Row],[TIPOSALDO]]="D"),Base_Periodo1[[#This Row],[SALDO_ATUAL]]*-1,Base_Periodo1[[#This Row],[SALDO_ATUAL]]),4)</f>
        <v>14640</v>
      </c>
      <c r="N1583" t="s">
        <v>116</v>
      </c>
      <c r="O1583" t="s">
        <v>397</v>
      </c>
      <c r="P1583" t="s">
        <v>397</v>
      </c>
      <c r="Q1583">
        <v>9</v>
      </c>
      <c r="R1583" s="225">
        <f>Base_Periodo1[[#This Row],[CREDITOS]]-Base_Periodo1[[#This Row],[DEBITOS]]</f>
        <v>0</v>
      </c>
      <c r="S1583" s="3" t="str">
        <f>IF(ISERROR(VLOOKUP(Base_Periodo1[[#This Row],[CONTA]],BaseContasDRE[#All],4,FALSE)),"Fora do DRE",VLOOKUP(Base_Periodo1[[#This Row],[CONTA]],BaseContasDRE[#All],4,FALSE))</f>
        <v>Fora do DRE</v>
      </c>
      <c r="T1583" s="3" t="str">
        <f>IF(ISERROR(VLOOKUP(Base_Periodo1[[#This Row],[CONTA]],BaseContasDRE[#All],5,FALSE)),"Fora do DRE",VLOOKUP(Base_Periodo1[[#This Row],[CONTA]],BaseContasDRE[#All],6,FALSE))</f>
        <v>Fora do DRE</v>
      </c>
      <c r="U1583" s="3" t="str">
        <f>IF(ISERROR(VLOOKUP(Base_Periodo1[[#This Row],[CONTA]],BaseContasDRE[#All],7,FALSE)),"Fora do DRE",VLOOKUP(Base_Periodo1[[#This Row],[CONTA]],BaseContasDRE[#All],7,FALSE))</f>
        <v>Fora do DRE</v>
      </c>
      <c r="V1583" s="3" t="str">
        <f>IF(Base_Periodo1[[#This Row],[Tipo_Linha]]="Fora do DRE","Fora do DRE","( "&amp;Base_Periodo1[[#This Row],[Tipo_Linha]]&amp;" ) "&amp;Base_Periodo1[[#This Row],[Filtro]])</f>
        <v>Fora do DRE</v>
      </c>
      <c r="W1583" s="3" t="str">
        <f>LEFT(Base_Periodo1[[#This Row],[CLASS]],3)</f>
        <v>1.1</v>
      </c>
    </row>
    <row r="1584" spans="1:23" hidden="1">
      <c r="A1584" s="3" t="str">
        <f t="shared" si="24"/>
        <v>Período 1</v>
      </c>
      <c r="B1584">
        <v>588</v>
      </c>
      <c r="C1584" t="s">
        <v>1285</v>
      </c>
      <c r="D1584" t="s">
        <v>1063</v>
      </c>
      <c r="E1584" s="3" t="str">
        <f>IF(LEN(Base_Periodo1[[#This Row],[CLASS]])&gt;=7,LEFT(Base_Periodo1[[#This Row],[CLASS]],7),"")</f>
        <v>1.1.3.1</v>
      </c>
      <c r="F1584" s="3" t="str">
        <f>VLOOKUP(Base_Periodo1[[#This Row],[Aux]],Base_Contas_Balanco[#All],2,FALSE)</f>
        <v>Estoques Proprios</v>
      </c>
      <c r="G1584" s="1"/>
      <c r="H1584" s="225">
        <v>14310.660000000062</v>
      </c>
      <c r="I1584" s="225">
        <v>0</v>
      </c>
      <c r="J1584" s="225">
        <v>0</v>
      </c>
      <c r="K1584" s="225">
        <v>14310.660000000062</v>
      </c>
      <c r="L15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14310.66</v>
      </c>
      <c r="M1584" s="225">
        <f>ROUND(IF(AND(Base_Periodo1[[#This Row],[Tipo_Linha]]="-",Base_Periodo1[[#This Row],[TIPOSALDO]]="D"),Base_Periodo1[[#This Row],[SALDO_ATUAL]]*-1,Base_Periodo1[[#This Row],[SALDO_ATUAL]]),4)</f>
        <v>14310.66</v>
      </c>
      <c r="N1584" t="s">
        <v>396</v>
      </c>
      <c r="O1584" t="s">
        <v>397</v>
      </c>
      <c r="P1584" t="s">
        <v>397</v>
      </c>
      <c r="Q1584">
        <v>8</v>
      </c>
      <c r="R1584" s="225">
        <f>Base_Periodo1[[#This Row],[CREDITOS]]-Base_Periodo1[[#This Row],[DEBITOS]]</f>
        <v>0</v>
      </c>
      <c r="S1584" s="3" t="str">
        <f>IF(ISERROR(VLOOKUP(Base_Periodo1[[#This Row],[CONTA]],BaseContasDRE[#All],4,FALSE)),"Fora do DRE",VLOOKUP(Base_Periodo1[[#This Row],[CONTA]],BaseContasDRE[#All],4,FALSE))</f>
        <v>Fora do DRE</v>
      </c>
      <c r="T1584" s="3" t="str">
        <f>IF(ISERROR(VLOOKUP(Base_Periodo1[[#This Row],[CONTA]],BaseContasDRE[#All],5,FALSE)),"Fora do DRE",VLOOKUP(Base_Periodo1[[#This Row],[CONTA]],BaseContasDRE[#All],6,FALSE))</f>
        <v>Fora do DRE</v>
      </c>
      <c r="U1584" s="3" t="str">
        <f>IF(ISERROR(VLOOKUP(Base_Periodo1[[#This Row],[CONTA]],BaseContasDRE[#All],7,FALSE)),"Fora do DRE",VLOOKUP(Base_Periodo1[[#This Row],[CONTA]],BaseContasDRE[#All],7,FALSE))</f>
        <v>Fora do DRE</v>
      </c>
      <c r="V1584" s="3" t="str">
        <f>IF(Base_Periodo1[[#This Row],[Tipo_Linha]]="Fora do DRE","Fora do DRE","( "&amp;Base_Periodo1[[#This Row],[Tipo_Linha]]&amp;" ) "&amp;Base_Periodo1[[#This Row],[Filtro]])</f>
        <v>Fora do DRE</v>
      </c>
      <c r="W1584" s="3" t="str">
        <f>LEFT(Base_Periodo1[[#This Row],[CLASS]],3)</f>
        <v>1.1</v>
      </c>
    </row>
    <row r="1585" spans="1:23" hidden="1">
      <c r="A1585" s="3" t="str">
        <f t="shared" si="24"/>
        <v>Período 1</v>
      </c>
      <c r="B1585">
        <v>589</v>
      </c>
      <c r="C1585" t="s">
        <v>1286</v>
      </c>
      <c r="D1585" t="s">
        <v>1065</v>
      </c>
      <c r="E1585" s="3" t="str">
        <f>IF(LEN(Base_Periodo1[[#This Row],[CLASS]])&gt;=7,LEFT(Base_Periodo1[[#This Row],[CLASS]],7),"")</f>
        <v>1.1.3.1</v>
      </c>
      <c r="F1585" s="3" t="str">
        <f>VLOOKUP(Base_Periodo1[[#This Row],[Aux]],Base_Contas_Balanco[#All],2,FALSE)</f>
        <v>Estoques Proprios</v>
      </c>
      <c r="G1585" s="1">
        <v>42843</v>
      </c>
      <c r="H1585" s="225">
        <v>14310.660000000062</v>
      </c>
      <c r="I1585" s="225">
        <v>0</v>
      </c>
      <c r="J1585" s="225">
        <v>0</v>
      </c>
      <c r="K1585" s="225">
        <v>14310.660000000062</v>
      </c>
      <c r="L15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14310.66</v>
      </c>
      <c r="M1585" s="225">
        <f>ROUND(IF(AND(Base_Periodo1[[#This Row],[Tipo_Linha]]="-",Base_Periodo1[[#This Row],[TIPOSALDO]]="D"),Base_Periodo1[[#This Row],[SALDO_ATUAL]]*-1,Base_Periodo1[[#This Row],[SALDO_ATUAL]]),4)</f>
        <v>14310.66</v>
      </c>
      <c r="N1585" t="s">
        <v>116</v>
      </c>
      <c r="O1585" t="s">
        <v>397</v>
      </c>
      <c r="P1585" t="s">
        <v>397</v>
      </c>
      <c r="Q1585">
        <v>9</v>
      </c>
      <c r="R1585" s="225">
        <f>Base_Periodo1[[#This Row],[CREDITOS]]-Base_Periodo1[[#This Row],[DEBITOS]]</f>
        <v>0</v>
      </c>
      <c r="S1585" s="3" t="str">
        <f>IF(ISERROR(VLOOKUP(Base_Periodo1[[#This Row],[CONTA]],BaseContasDRE[#All],4,FALSE)),"Fora do DRE",VLOOKUP(Base_Periodo1[[#This Row],[CONTA]],BaseContasDRE[#All],4,FALSE))</f>
        <v>Fora do DRE</v>
      </c>
      <c r="T1585" s="3" t="str">
        <f>IF(ISERROR(VLOOKUP(Base_Periodo1[[#This Row],[CONTA]],BaseContasDRE[#All],5,FALSE)),"Fora do DRE",VLOOKUP(Base_Periodo1[[#This Row],[CONTA]],BaseContasDRE[#All],6,FALSE))</f>
        <v>Fora do DRE</v>
      </c>
      <c r="U1585" s="3" t="str">
        <f>IF(ISERROR(VLOOKUP(Base_Periodo1[[#This Row],[CONTA]],BaseContasDRE[#All],7,FALSE)),"Fora do DRE",VLOOKUP(Base_Periodo1[[#This Row],[CONTA]],BaseContasDRE[#All],7,FALSE))</f>
        <v>Fora do DRE</v>
      </c>
      <c r="V1585" s="3" t="str">
        <f>IF(Base_Periodo1[[#This Row],[Tipo_Linha]]="Fora do DRE","Fora do DRE","( "&amp;Base_Periodo1[[#This Row],[Tipo_Linha]]&amp;" ) "&amp;Base_Periodo1[[#This Row],[Filtro]])</f>
        <v>Fora do DRE</v>
      </c>
      <c r="W1585" s="3" t="str">
        <f>LEFT(Base_Periodo1[[#This Row],[CLASS]],3)</f>
        <v>1.1</v>
      </c>
    </row>
    <row r="1586" spans="1:23" hidden="1">
      <c r="A1586" s="3" t="str">
        <f t="shared" si="24"/>
        <v>Período 1</v>
      </c>
      <c r="B1586">
        <v>592</v>
      </c>
      <c r="C1586" t="s">
        <v>1287</v>
      </c>
      <c r="D1586" t="s">
        <v>1067</v>
      </c>
      <c r="E1586" s="3" t="str">
        <f>IF(LEN(Base_Periodo1[[#This Row],[CLASS]])&gt;=7,LEFT(Base_Periodo1[[#This Row],[CLASS]],7),"")</f>
        <v>1.1.3.1</v>
      </c>
      <c r="F1586" s="3" t="str">
        <f>VLOOKUP(Base_Periodo1[[#This Row],[Aux]],Base_Contas_Balanco[#All],2,FALSE)</f>
        <v>Estoques Proprios</v>
      </c>
      <c r="G1586" s="1"/>
      <c r="H1586" s="225">
        <v>11945.469999999996</v>
      </c>
      <c r="I1586" s="225">
        <v>0</v>
      </c>
      <c r="J1586" s="225">
        <v>478.53</v>
      </c>
      <c r="K1586" s="225">
        <v>12423.999999999996</v>
      </c>
      <c r="L15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-12424</v>
      </c>
      <c r="M1586" s="225">
        <f>ROUND(IF(AND(Base_Periodo1[[#This Row],[Tipo_Linha]]="-",Base_Periodo1[[#This Row],[TIPOSALDO]]="D"),Base_Periodo1[[#This Row],[SALDO_ATUAL]]*-1,Base_Periodo1[[#This Row],[SALDO_ATUAL]]),4)</f>
        <v>12424</v>
      </c>
      <c r="N1586" t="s">
        <v>396</v>
      </c>
      <c r="O1586" t="s">
        <v>459</v>
      </c>
      <c r="P1586" t="s">
        <v>459</v>
      </c>
      <c r="Q1586">
        <v>8</v>
      </c>
      <c r="R1586" s="225">
        <f>Base_Periodo1[[#This Row],[CREDITOS]]-Base_Periodo1[[#This Row],[DEBITOS]]</f>
        <v>478.53</v>
      </c>
      <c r="S1586" s="3" t="str">
        <f>IF(ISERROR(VLOOKUP(Base_Periodo1[[#This Row],[CONTA]],BaseContasDRE[#All],4,FALSE)),"Fora do DRE",VLOOKUP(Base_Periodo1[[#This Row],[CONTA]],BaseContasDRE[#All],4,FALSE))</f>
        <v>Fora do DRE</v>
      </c>
      <c r="T1586" s="3" t="str">
        <f>IF(ISERROR(VLOOKUP(Base_Periodo1[[#This Row],[CONTA]],BaseContasDRE[#All],5,FALSE)),"Fora do DRE",VLOOKUP(Base_Periodo1[[#This Row],[CONTA]],BaseContasDRE[#All],6,FALSE))</f>
        <v>Fora do DRE</v>
      </c>
      <c r="U1586" s="3" t="str">
        <f>IF(ISERROR(VLOOKUP(Base_Periodo1[[#This Row],[CONTA]],BaseContasDRE[#All],7,FALSE)),"Fora do DRE",VLOOKUP(Base_Periodo1[[#This Row],[CONTA]],BaseContasDRE[#All],7,FALSE))</f>
        <v>Fora do DRE</v>
      </c>
      <c r="V1586" s="3" t="str">
        <f>IF(Base_Periodo1[[#This Row],[Tipo_Linha]]="Fora do DRE","Fora do DRE","( "&amp;Base_Periodo1[[#This Row],[Tipo_Linha]]&amp;" ) "&amp;Base_Periodo1[[#This Row],[Filtro]])</f>
        <v>Fora do DRE</v>
      </c>
      <c r="W1586" s="3" t="str">
        <f>LEFT(Base_Periodo1[[#This Row],[CLASS]],3)</f>
        <v>1.1</v>
      </c>
    </row>
    <row r="1587" spans="1:23" hidden="1">
      <c r="A1587" s="3" t="str">
        <f t="shared" si="24"/>
        <v>Período 1</v>
      </c>
      <c r="B1587">
        <v>593</v>
      </c>
      <c r="C1587" t="s">
        <v>1288</v>
      </c>
      <c r="D1587" t="s">
        <v>1068</v>
      </c>
      <c r="E1587" s="3" t="str">
        <f>IF(LEN(Base_Periodo1[[#This Row],[CLASS]])&gt;=7,LEFT(Base_Periodo1[[#This Row],[CLASS]],7),"")</f>
        <v>1.1.3.1</v>
      </c>
      <c r="F1587" s="3" t="str">
        <f>VLOOKUP(Base_Periodo1[[#This Row],[Aux]],Base_Contas_Balanco[#All],2,FALSE)</f>
        <v>Estoques Proprios</v>
      </c>
      <c r="G1587" s="1">
        <v>42886</v>
      </c>
      <c r="H1587" s="225">
        <v>11921.339999999997</v>
      </c>
      <c r="I1587" s="225">
        <v>0</v>
      </c>
      <c r="J1587" s="225">
        <v>0</v>
      </c>
      <c r="K1587" s="225">
        <v>11921.339999999997</v>
      </c>
      <c r="L15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-11921.34</v>
      </c>
      <c r="M1587" s="225">
        <f>ROUND(IF(AND(Base_Periodo1[[#This Row],[Tipo_Linha]]="-",Base_Periodo1[[#This Row],[TIPOSALDO]]="D"),Base_Periodo1[[#This Row],[SALDO_ATUAL]]*-1,Base_Periodo1[[#This Row],[SALDO_ATUAL]]),4)</f>
        <v>11921.34</v>
      </c>
      <c r="N1587" t="s">
        <v>116</v>
      </c>
      <c r="O1587" t="s">
        <v>459</v>
      </c>
      <c r="P1587" t="s">
        <v>459</v>
      </c>
      <c r="Q1587">
        <v>9</v>
      </c>
      <c r="R1587" s="225">
        <f>Base_Periodo1[[#This Row],[CREDITOS]]-Base_Periodo1[[#This Row],[DEBITOS]]</f>
        <v>0</v>
      </c>
      <c r="S1587" s="3" t="str">
        <f>IF(ISERROR(VLOOKUP(Base_Periodo1[[#This Row],[CONTA]],BaseContasDRE[#All],4,FALSE)),"Fora do DRE",VLOOKUP(Base_Periodo1[[#This Row],[CONTA]],BaseContasDRE[#All],4,FALSE))</f>
        <v>Fora do DRE</v>
      </c>
      <c r="T1587" s="3" t="str">
        <f>IF(ISERROR(VLOOKUP(Base_Periodo1[[#This Row],[CONTA]],BaseContasDRE[#All],5,FALSE)),"Fora do DRE",VLOOKUP(Base_Periodo1[[#This Row],[CONTA]],BaseContasDRE[#All],6,FALSE))</f>
        <v>Fora do DRE</v>
      </c>
      <c r="U1587" s="3" t="str">
        <f>IF(ISERROR(VLOOKUP(Base_Periodo1[[#This Row],[CONTA]],BaseContasDRE[#All],7,FALSE)),"Fora do DRE",VLOOKUP(Base_Periodo1[[#This Row],[CONTA]],BaseContasDRE[#All],7,FALSE))</f>
        <v>Fora do DRE</v>
      </c>
      <c r="V1587" s="3" t="str">
        <f>IF(Base_Periodo1[[#This Row],[Tipo_Linha]]="Fora do DRE","Fora do DRE","( "&amp;Base_Periodo1[[#This Row],[Tipo_Linha]]&amp;" ) "&amp;Base_Periodo1[[#This Row],[Filtro]])</f>
        <v>Fora do DRE</v>
      </c>
      <c r="W1587" s="3" t="str">
        <f>LEFT(Base_Periodo1[[#This Row],[CLASS]],3)</f>
        <v>1.1</v>
      </c>
    </row>
    <row r="1588" spans="1:23" hidden="1">
      <c r="A1588" s="3" t="str">
        <f t="shared" si="24"/>
        <v>Período 1</v>
      </c>
      <c r="B1588">
        <v>594</v>
      </c>
      <c r="C1588" t="s">
        <v>6264</v>
      </c>
      <c r="D1588" t="s">
        <v>1070</v>
      </c>
      <c r="E1588" s="3" t="str">
        <f>IF(LEN(Base_Periodo1[[#This Row],[CLASS]])&gt;=7,LEFT(Base_Periodo1[[#This Row],[CLASS]],7),"")</f>
        <v>1.1.3.1</v>
      </c>
      <c r="F1588" s="3" t="str">
        <f>VLOOKUP(Base_Periodo1[[#This Row],[Aux]],Base_Contas_Balanco[#All],2,FALSE)</f>
        <v>Estoques Proprios</v>
      </c>
      <c r="G1588" s="1">
        <v>42886</v>
      </c>
      <c r="H1588" s="225">
        <v>24.1299999999992</v>
      </c>
      <c r="I1588" s="225">
        <v>0</v>
      </c>
      <c r="J1588" s="225">
        <v>478.53</v>
      </c>
      <c r="K1588" s="225">
        <v>502.65999999999917</v>
      </c>
      <c r="L15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-502.66</v>
      </c>
      <c r="M1588" s="225">
        <f>ROUND(IF(AND(Base_Periodo1[[#This Row],[Tipo_Linha]]="-",Base_Periodo1[[#This Row],[TIPOSALDO]]="D"),Base_Periodo1[[#This Row],[SALDO_ATUAL]]*-1,Base_Periodo1[[#This Row],[SALDO_ATUAL]]),4)</f>
        <v>502.66</v>
      </c>
      <c r="N1588" t="s">
        <v>116</v>
      </c>
      <c r="O1588" t="s">
        <v>459</v>
      </c>
      <c r="P1588" t="s">
        <v>459</v>
      </c>
      <c r="Q1588">
        <v>9</v>
      </c>
      <c r="R1588" s="225">
        <f>Base_Periodo1[[#This Row],[CREDITOS]]-Base_Periodo1[[#This Row],[DEBITOS]]</f>
        <v>478.53</v>
      </c>
      <c r="S1588" s="3" t="str">
        <f>IF(ISERROR(VLOOKUP(Base_Periodo1[[#This Row],[CONTA]],BaseContasDRE[#All],4,FALSE)),"Fora do DRE",VLOOKUP(Base_Periodo1[[#This Row],[CONTA]],BaseContasDRE[#All],4,FALSE))</f>
        <v>Fora do DRE</v>
      </c>
      <c r="T1588" s="3" t="str">
        <f>IF(ISERROR(VLOOKUP(Base_Periodo1[[#This Row],[CONTA]],BaseContasDRE[#All],5,FALSE)),"Fora do DRE",VLOOKUP(Base_Periodo1[[#This Row],[CONTA]],BaseContasDRE[#All],6,FALSE))</f>
        <v>Fora do DRE</v>
      </c>
      <c r="U1588" s="3" t="str">
        <f>IF(ISERROR(VLOOKUP(Base_Periodo1[[#This Row],[CONTA]],BaseContasDRE[#All],7,FALSE)),"Fora do DRE",VLOOKUP(Base_Periodo1[[#This Row],[CONTA]],BaseContasDRE[#All],7,FALSE))</f>
        <v>Fora do DRE</v>
      </c>
      <c r="V1588" s="3" t="str">
        <f>IF(Base_Periodo1[[#This Row],[Tipo_Linha]]="Fora do DRE","Fora do DRE","( "&amp;Base_Periodo1[[#This Row],[Tipo_Linha]]&amp;" ) "&amp;Base_Periodo1[[#This Row],[Filtro]])</f>
        <v>Fora do DRE</v>
      </c>
      <c r="W1588" s="3" t="str">
        <f>LEFT(Base_Periodo1[[#This Row],[CLASS]],3)</f>
        <v>1.1</v>
      </c>
    </row>
    <row r="1589" spans="1:23" hidden="1">
      <c r="A1589" s="3" t="str">
        <f t="shared" si="24"/>
        <v>Período 1</v>
      </c>
      <c r="B1589">
        <v>597</v>
      </c>
      <c r="C1589" t="s">
        <v>1289</v>
      </c>
      <c r="D1589" t="s">
        <v>1072</v>
      </c>
      <c r="E1589" s="3" t="str">
        <f>IF(LEN(Base_Periodo1[[#This Row],[CLASS]])&gt;=7,LEFT(Base_Periodo1[[#This Row],[CLASS]],7),"")</f>
        <v>1.1.3.1</v>
      </c>
      <c r="F1589" s="3" t="str">
        <f>VLOOKUP(Base_Periodo1[[#This Row],[Aux]],Base_Contas_Balanco[#All],2,FALSE)</f>
        <v>Estoques Proprios</v>
      </c>
      <c r="G1589" s="1"/>
      <c r="H1589" s="225">
        <v>14310.660000000062</v>
      </c>
      <c r="I1589" s="225">
        <v>0</v>
      </c>
      <c r="J1589" s="225">
        <v>0</v>
      </c>
      <c r="K1589" s="225">
        <v>14310.660000000062</v>
      </c>
      <c r="L15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-14310.66</v>
      </c>
      <c r="M1589" s="225">
        <f>ROUND(IF(AND(Base_Periodo1[[#This Row],[Tipo_Linha]]="-",Base_Periodo1[[#This Row],[TIPOSALDO]]="D"),Base_Periodo1[[#This Row],[SALDO_ATUAL]]*-1,Base_Periodo1[[#This Row],[SALDO_ATUAL]]),4)</f>
        <v>14310.66</v>
      </c>
      <c r="N1589" t="s">
        <v>396</v>
      </c>
      <c r="O1589" t="s">
        <v>459</v>
      </c>
      <c r="P1589" t="s">
        <v>459</v>
      </c>
      <c r="Q1589">
        <v>8</v>
      </c>
      <c r="R1589" s="225">
        <f>Base_Periodo1[[#This Row],[CREDITOS]]-Base_Periodo1[[#This Row],[DEBITOS]]</f>
        <v>0</v>
      </c>
      <c r="S1589" s="3" t="str">
        <f>IF(ISERROR(VLOOKUP(Base_Periodo1[[#This Row],[CONTA]],BaseContasDRE[#All],4,FALSE)),"Fora do DRE",VLOOKUP(Base_Periodo1[[#This Row],[CONTA]],BaseContasDRE[#All],4,FALSE))</f>
        <v>Fora do DRE</v>
      </c>
      <c r="T1589" s="3" t="str">
        <f>IF(ISERROR(VLOOKUP(Base_Periodo1[[#This Row],[CONTA]],BaseContasDRE[#All],5,FALSE)),"Fora do DRE",VLOOKUP(Base_Periodo1[[#This Row],[CONTA]],BaseContasDRE[#All],6,FALSE))</f>
        <v>Fora do DRE</v>
      </c>
      <c r="U1589" s="3" t="str">
        <f>IF(ISERROR(VLOOKUP(Base_Periodo1[[#This Row],[CONTA]],BaseContasDRE[#All],7,FALSE)),"Fora do DRE",VLOOKUP(Base_Periodo1[[#This Row],[CONTA]],BaseContasDRE[#All],7,FALSE))</f>
        <v>Fora do DRE</v>
      </c>
      <c r="V1589" s="3" t="str">
        <f>IF(Base_Periodo1[[#This Row],[Tipo_Linha]]="Fora do DRE","Fora do DRE","( "&amp;Base_Periodo1[[#This Row],[Tipo_Linha]]&amp;" ) "&amp;Base_Periodo1[[#This Row],[Filtro]])</f>
        <v>Fora do DRE</v>
      </c>
      <c r="W1589" s="3" t="str">
        <f>LEFT(Base_Periodo1[[#This Row],[CLASS]],3)</f>
        <v>1.1</v>
      </c>
    </row>
    <row r="1590" spans="1:23" hidden="1">
      <c r="A1590" s="3" t="str">
        <f t="shared" si="24"/>
        <v>Período 1</v>
      </c>
      <c r="B1590">
        <v>598</v>
      </c>
      <c r="C1590" t="s">
        <v>1290</v>
      </c>
      <c r="D1590" t="s">
        <v>1074</v>
      </c>
      <c r="E1590" s="3" t="str">
        <f>IF(LEN(Base_Periodo1[[#This Row],[CLASS]])&gt;=7,LEFT(Base_Periodo1[[#This Row],[CLASS]],7),"")</f>
        <v>1.1.3.1</v>
      </c>
      <c r="F1590" s="3" t="str">
        <f>VLOOKUP(Base_Periodo1[[#This Row],[Aux]],Base_Contas_Balanco[#All],2,FALSE)</f>
        <v>Estoques Proprios</v>
      </c>
      <c r="G1590" s="1">
        <v>42842</v>
      </c>
      <c r="H1590" s="225">
        <v>14310.660000000062</v>
      </c>
      <c r="I1590" s="225">
        <v>0</v>
      </c>
      <c r="J1590" s="225">
        <v>0</v>
      </c>
      <c r="K1590" s="225">
        <v>14310.660000000062</v>
      </c>
      <c r="L15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-14310.66</v>
      </c>
      <c r="M1590" s="225">
        <f>ROUND(IF(AND(Base_Periodo1[[#This Row],[Tipo_Linha]]="-",Base_Periodo1[[#This Row],[TIPOSALDO]]="D"),Base_Periodo1[[#This Row],[SALDO_ATUAL]]*-1,Base_Periodo1[[#This Row],[SALDO_ATUAL]]),4)</f>
        <v>14310.66</v>
      </c>
      <c r="N1590" t="s">
        <v>116</v>
      </c>
      <c r="O1590" t="s">
        <v>459</v>
      </c>
      <c r="P1590" t="s">
        <v>459</v>
      </c>
      <c r="Q1590">
        <v>9</v>
      </c>
      <c r="R1590" s="225">
        <f>Base_Periodo1[[#This Row],[CREDITOS]]-Base_Periodo1[[#This Row],[DEBITOS]]</f>
        <v>0</v>
      </c>
      <c r="S1590" s="3" t="str">
        <f>IF(ISERROR(VLOOKUP(Base_Periodo1[[#This Row],[CONTA]],BaseContasDRE[#All],4,FALSE)),"Fora do DRE",VLOOKUP(Base_Periodo1[[#This Row],[CONTA]],BaseContasDRE[#All],4,FALSE))</f>
        <v>Fora do DRE</v>
      </c>
      <c r="T1590" s="3" t="str">
        <f>IF(ISERROR(VLOOKUP(Base_Periodo1[[#This Row],[CONTA]],BaseContasDRE[#All],5,FALSE)),"Fora do DRE",VLOOKUP(Base_Periodo1[[#This Row],[CONTA]],BaseContasDRE[#All],6,FALSE))</f>
        <v>Fora do DRE</v>
      </c>
      <c r="U1590" s="3" t="str">
        <f>IF(ISERROR(VLOOKUP(Base_Periodo1[[#This Row],[CONTA]],BaseContasDRE[#All],7,FALSE)),"Fora do DRE",VLOOKUP(Base_Periodo1[[#This Row],[CONTA]],BaseContasDRE[#All],7,FALSE))</f>
        <v>Fora do DRE</v>
      </c>
      <c r="V1590" s="3" t="str">
        <f>IF(Base_Periodo1[[#This Row],[Tipo_Linha]]="Fora do DRE","Fora do DRE","( "&amp;Base_Periodo1[[#This Row],[Tipo_Linha]]&amp;" ) "&amp;Base_Periodo1[[#This Row],[Filtro]])</f>
        <v>Fora do DRE</v>
      </c>
      <c r="W1590" s="3" t="str">
        <f>LEFT(Base_Periodo1[[#This Row],[CLASS]],3)</f>
        <v>1.1</v>
      </c>
    </row>
    <row r="1591" spans="1:23" hidden="1">
      <c r="A1591" s="3" t="str">
        <f t="shared" si="24"/>
        <v>Período 1</v>
      </c>
      <c r="B1591">
        <v>609</v>
      </c>
      <c r="C1591" t="s">
        <v>6801</v>
      </c>
      <c r="D1591" t="s">
        <v>4750</v>
      </c>
      <c r="E1591" s="3" t="str">
        <f>IF(LEN(Base_Periodo1[[#This Row],[CLASS]])&gt;=7,LEFT(Base_Periodo1[[#This Row],[CLASS]],7),"")</f>
        <v>1.1.3.1</v>
      </c>
      <c r="F1591" s="3" t="str">
        <f>VLOOKUP(Base_Periodo1[[#This Row],[Aux]],Base_Contas_Balanco[#All],2,FALSE)</f>
        <v>Estoques Proprios</v>
      </c>
      <c r="G1591" s="1"/>
      <c r="I1591" s="225">
        <v>339660</v>
      </c>
      <c r="J1591" s="225">
        <v>0</v>
      </c>
      <c r="K1591" s="225">
        <v>339660</v>
      </c>
      <c r="L15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339660</v>
      </c>
      <c r="M1591" s="225">
        <f>ROUND(IF(AND(Base_Periodo1[[#This Row],[Tipo_Linha]]="-",Base_Periodo1[[#This Row],[TIPOSALDO]]="D"),Base_Periodo1[[#This Row],[SALDO_ATUAL]]*-1,Base_Periodo1[[#This Row],[SALDO_ATUAL]]),4)</f>
        <v>339660</v>
      </c>
      <c r="N1591" t="s">
        <v>396</v>
      </c>
      <c r="O1591" t="s">
        <v>436</v>
      </c>
      <c r="P1591" t="s">
        <v>397</v>
      </c>
      <c r="Q1591">
        <v>7</v>
      </c>
      <c r="R1591" s="225">
        <f>Base_Periodo1[[#This Row],[CREDITOS]]-Base_Periodo1[[#This Row],[DEBITOS]]</f>
        <v>-339660</v>
      </c>
      <c r="S1591" s="3" t="str">
        <f>IF(ISERROR(VLOOKUP(Base_Periodo1[[#This Row],[CONTA]],BaseContasDRE[#All],4,FALSE)),"Fora do DRE",VLOOKUP(Base_Periodo1[[#This Row],[CONTA]],BaseContasDRE[#All],4,FALSE))</f>
        <v>Fora do DRE</v>
      </c>
      <c r="T1591" s="3" t="str">
        <f>IF(ISERROR(VLOOKUP(Base_Periodo1[[#This Row],[CONTA]],BaseContasDRE[#All],5,FALSE)),"Fora do DRE",VLOOKUP(Base_Periodo1[[#This Row],[CONTA]],BaseContasDRE[#All],6,FALSE))</f>
        <v>Fora do DRE</v>
      </c>
      <c r="U1591" s="3" t="str">
        <f>IF(ISERROR(VLOOKUP(Base_Periodo1[[#This Row],[CONTA]],BaseContasDRE[#All],7,FALSE)),"Fora do DRE",VLOOKUP(Base_Periodo1[[#This Row],[CONTA]],BaseContasDRE[#All],7,FALSE))</f>
        <v>Fora do DRE</v>
      </c>
      <c r="V1591" s="3" t="str">
        <f>IF(Base_Periodo1[[#This Row],[Tipo_Linha]]="Fora do DRE","Fora do DRE","( "&amp;Base_Periodo1[[#This Row],[Tipo_Linha]]&amp;" ) "&amp;Base_Periodo1[[#This Row],[Filtro]])</f>
        <v>Fora do DRE</v>
      </c>
      <c r="W1591" s="3" t="str">
        <f>LEFT(Base_Periodo1[[#This Row],[CLASS]],3)</f>
        <v>1.1</v>
      </c>
    </row>
    <row r="1592" spans="1:23" hidden="1">
      <c r="A1592" s="3" t="str">
        <f t="shared" si="24"/>
        <v>Período 1</v>
      </c>
      <c r="B1592">
        <v>612</v>
      </c>
      <c r="C1592" t="s">
        <v>6802</v>
      </c>
      <c r="D1592" t="s">
        <v>1057</v>
      </c>
      <c r="E1592" s="3" t="str">
        <f>IF(LEN(Base_Periodo1[[#This Row],[CLASS]])&gt;=7,LEFT(Base_Periodo1[[#This Row],[CLASS]],7),"")</f>
        <v>1.1.3.1</v>
      </c>
      <c r="F1592" s="3" t="str">
        <f>VLOOKUP(Base_Periodo1[[#This Row],[Aux]],Base_Contas_Balanco[#All],2,FALSE)</f>
        <v>Estoques Proprios</v>
      </c>
      <c r="G1592" s="1"/>
      <c r="I1592" s="225">
        <v>339660</v>
      </c>
      <c r="J1592" s="225">
        <v>0</v>
      </c>
      <c r="K1592" s="225">
        <v>339660</v>
      </c>
      <c r="L15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339660</v>
      </c>
      <c r="M1592" s="225">
        <f>ROUND(IF(AND(Base_Periodo1[[#This Row],[Tipo_Linha]]="-",Base_Periodo1[[#This Row],[TIPOSALDO]]="D"),Base_Periodo1[[#This Row],[SALDO_ATUAL]]*-1,Base_Periodo1[[#This Row],[SALDO_ATUAL]]),4)</f>
        <v>339660</v>
      </c>
      <c r="N1592" t="s">
        <v>396</v>
      </c>
      <c r="O1592" t="s">
        <v>436</v>
      </c>
      <c r="P1592" t="s">
        <v>397</v>
      </c>
      <c r="Q1592">
        <v>8</v>
      </c>
      <c r="R1592" s="225">
        <f>Base_Periodo1[[#This Row],[CREDITOS]]-Base_Periodo1[[#This Row],[DEBITOS]]</f>
        <v>-339660</v>
      </c>
      <c r="S1592" s="3" t="str">
        <f>IF(ISERROR(VLOOKUP(Base_Periodo1[[#This Row],[CONTA]],BaseContasDRE[#All],4,FALSE)),"Fora do DRE",VLOOKUP(Base_Periodo1[[#This Row],[CONTA]],BaseContasDRE[#All],4,FALSE))</f>
        <v>Fora do DRE</v>
      </c>
      <c r="T1592" s="3" t="str">
        <f>IF(ISERROR(VLOOKUP(Base_Periodo1[[#This Row],[CONTA]],BaseContasDRE[#All],5,FALSE)),"Fora do DRE",VLOOKUP(Base_Periodo1[[#This Row],[CONTA]],BaseContasDRE[#All],6,FALSE))</f>
        <v>Fora do DRE</v>
      </c>
      <c r="U1592" s="3" t="str">
        <f>IF(ISERROR(VLOOKUP(Base_Periodo1[[#This Row],[CONTA]],BaseContasDRE[#All],7,FALSE)),"Fora do DRE",VLOOKUP(Base_Periodo1[[#This Row],[CONTA]],BaseContasDRE[#All],7,FALSE))</f>
        <v>Fora do DRE</v>
      </c>
      <c r="V1592" s="3" t="str">
        <f>IF(Base_Periodo1[[#This Row],[Tipo_Linha]]="Fora do DRE","Fora do DRE","( "&amp;Base_Periodo1[[#This Row],[Tipo_Linha]]&amp;" ) "&amp;Base_Periodo1[[#This Row],[Filtro]])</f>
        <v>Fora do DRE</v>
      </c>
      <c r="W1592" s="3" t="str">
        <f>LEFT(Base_Periodo1[[#This Row],[CLASS]],3)</f>
        <v>1.1</v>
      </c>
    </row>
    <row r="1593" spans="1:23" hidden="1">
      <c r="A1593" s="3" t="str">
        <f t="shared" si="24"/>
        <v>Período 1</v>
      </c>
      <c r="B1593">
        <v>613</v>
      </c>
      <c r="C1593" t="s">
        <v>6803</v>
      </c>
      <c r="D1593" t="s">
        <v>1059</v>
      </c>
      <c r="E1593" s="3" t="str">
        <f>IF(LEN(Base_Periodo1[[#This Row],[CLASS]])&gt;=7,LEFT(Base_Periodo1[[#This Row],[CLASS]],7),"")</f>
        <v>1.1.3.1</v>
      </c>
      <c r="F1593" s="3" t="str">
        <f>VLOOKUP(Base_Periodo1[[#This Row],[Aux]],Base_Contas_Balanco[#All],2,FALSE)</f>
        <v>Estoques Proprios</v>
      </c>
      <c r="G1593" s="1">
        <v>42880</v>
      </c>
      <c r="I1593" s="225">
        <v>339660</v>
      </c>
      <c r="J1593" s="225">
        <v>0</v>
      </c>
      <c r="K1593" s="225">
        <v>339660</v>
      </c>
      <c r="L15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339660</v>
      </c>
      <c r="M1593" s="225">
        <f>ROUND(IF(AND(Base_Periodo1[[#This Row],[Tipo_Linha]]="-",Base_Periodo1[[#This Row],[TIPOSALDO]]="D"),Base_Periodo1[[#This Row],[SALDO_ATUAL]]*-1,Base_Periodo1[[#This Row],[SALDO_ATUAL]]),4)</f>
        <v>339660</v>
      </c>
      <c r="N1593" t="s">
        <v>116</v>
      </c>
      <c r="O1593" t="s">
        <v>436</v>
      </c>
      <c r="P1593" t="s">
        <v>397</v>
      </c>
      <c r="Q1593">
        <v>9</v>
      </c>
      <c r="R1593" s="225">
        <f>Base_Periodo1[[#This Row],[CREDITOS]]-Base_Periodo1[[#This Row],[DEBITOS]]</f>
        <v>-339660</v>
      </c>
      <c r="S1593" s="3" t="str">
        <f>IF(ISERROR(VLOOKUP(Base_Periodo1[[#This Row],[CONTA]],BaseContasDRE[#All],4,FALSE)),"Fora do DRE",VLOOKUP(Base_Periodo1[[#This Row],[CONTA]],BaseContasDRE[#All],4,FALSE))</f>
        <v>Fora do DRE</v>
      </c>
      <c r="T1593" s="3" t="str">
        <f>IF(ISERROR(VLOOKUP(Base_Periodo1[[#This Row],[CONTA]],BaseContasDRE[#All],5,FALSE)),"Fora do DRE",VLOOKUP(Base_Periodo1[[#This Row],[CONTA]],BaseContasDRE[#All],6,FALSE))</f>
        <v>Fora do DRE</v>
      </c>
      <c r="U1593" s="3" t="str">
        <f>IF(ISERROR(VLOOKUP(Base_Periodo1[[#This Row],[CONTA]],BaseContasDRE[#All],7,FALSE)),"Fora do DRE",VLOOKUP(Base_Periodo1[[#This Row],[CONTA]],BaseContasDRE[#All],7,FALSE))</f>
        <v>Fora do DRE</v>
      </c>
      <c r="V1593" s="3" t="str">
        <f>IF(Base_Periodo1[[#This Row],[Tipo_Linha]]="Fora do DRE","Fora do DRE","( "&amp;Base_Periodo1[[#This Row],[Tipo_Linha]]&amp;" ) "&amp;Base_Periodo1[[#This Row],[Filtro]])</f>
        <v>Fora do DRE</v>
      </c>
      <c r="W1593" s="3" t="str">
        <f>LEFT(Base_Periodo1[[#This Row],[CLASS]],3)</f>
        <v>1.1</v>
      </c>
    </row>
    <row r="1594" spans="1:23" hidden="1">
      <c r="A1594" s="3" t="str">
        <f t="shared" si="24"/>
        <v>Período 1</v>
      </c>
      <c r="B1594">
        <v>630</v>
      </c>
      <c r="C1594" t="s">
        <v>1291</v>
      </c>
      <c r="D1594" t="s">
        <v>1292</v>
      </c>
      <c r="E1594" s="3" t="str">
        <f>IF(LEN(Base_Periodo1[[#This Row],[CLASS]])&gt;=7,LEFT(Base_Periodo1[[#This Row],[CLASS]],7),"")</f>
        <v>1.1.3.1</v>
      </c>
      <c r="F1594" s="3" t="str">
        <f>VLOOKUP(Base_Periodo1[[#This Row],[Aux]],Base_Contas_Balanco[#All],2,FALSE)</f>
        <v>Estoques Proprios</v>
      </c>
      <c r="G1594" s="1"/>
      <c r="H1594" s="225">
        <v>16779.000000000022</v>
      </c>
      <c r="I1594" s="225">
        <v>30525.82</v>
      </c>
      <c r="J1594" s="225">
        <v>30691.87</v>
      </c>
      <c r="K1594" s="225">
        <v>16612.950000000023</v>
      </c>
      <c r="L15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16612.95</v>
      </c>
      <c r="M1594" s="225">
        <f>ROUND(IF(AND(Base_Periodo1[[#This Row],[Tipo_Linha]]="-",Base_Periodo1[[#This Row],[TIPOSALDO]]="D"),Base_Periodo1[[#This Row],[SALDO_ATUAL]]*-1,Base_Periodo1[[#This Row],[SALDO_ATUAL]]),4)</f>
        <v>16612.95</v>
      </c>
      <c r="N1594" t="s">
        <v>396</v>
      </c>
      <c r="O1594" t="s">
        <v>397</v>
      </c>
      <c r="P1594" t="s">
        <v>397</v>
      </c>
      <c r="Q1594">
        <v>7</v>
      </c>
      <c r="R1594" s="225">
        <f>Base_Periodo1[[#This Row],[CREDITOS]]-Base_Periodo1[[#This Row],[DEBITOS]]</f>
        <v>166.04999999999927</v>
      </c>
      <c r="S1594" s="3" t="str">
        <f>IF(ISERROR(VLOOKUP(Base_Periodo1[[#This Row],[CONTA]],BaseContasDRE[#All],4,FALSE)),"Fora do DRE",VLOOKUP(Base_Periodo1[[#This Row],[CONTA]],BaseContasDRE[#All],4,FALSE))</f>
        <v>Fora do DRE</v>
      </c>
      <c r="T1594" s="3" t="str">
        <f>IF(ISERROR(VLOOKUP(Base_Periodo1[[#This Row],[CONTA]],BaseContasDRE[#All],5,FALSE)),"Fora do DRE",VLOOKUP(Base_Periodo1[[#This Row],[CONTA]],BaseContasDRE[#All],6,FALSE))</f>
        <v>Fora do DRE</v>
      </c>
      <c r="U1594" s="3" t="str">
        <f>IF(ISERROR(VLOOKUP(Base_Periodo1[[#This Row],[CONTA]],BaseContasDRE[#All],7,FALSE)),"Fora do DRE",VLOOKUP(Base_Periodo1[[#This Row],[CONTA]],BaseContasDRE[#All],7,FALSE))</f>
        <v>Fora do DRE</v>
      </c>
      <c r="V1594" s="3" t="str">
        <f>IF(Base_Periodo1[[#This Row],[Tipo_Linha]]="Fora do DRE","Fora do DRE","( "&amp;Base_Periodo1[[#This Row],[Tipo_Linha]]&amp;" ) "&amp;Base_Periodo1[[#This Row],[Filtro]])</f>
        <v>Fora do DRE</v>
      </c>
      <c r="W1594" s="3" t="str">
        <f>LEFT(Base_Periodo1[[#This Row],[CLASS]],3)</f>
        <v>1.1</v>
      </c>
    </row>
    <row r="1595" spans="1:23" hidden="1">
      <c r="A1595" s="3" t="str">
        <f t="shared" si="24"/>
        <v>Período 1</v>
      </c>
      <c r="B1595">
        <v>20932</v>
      </c>
      <c r="C1595" t="s">
        <v>1293</v>
      </c>
      <c r="D1595" t="s">
        <v>1054</v>
      </c>
      <c r="E1595" s="3" t="str">
        <f>IF(LEN(Base_Periodo1[[#This Row],[CLASS]])&gt;=7,LEFT(Base_Periodo1[[#This Row],[CLASS]],7),"")</f>
        <v>1.1.3.1</v>
      </c>
      <c r="F1595" s="3" t="str">
        <f>VLOOKUP(Base_Periodo1[[#This Row],[Aux]],Base_Contas_Balanco[#All],2,FALSE)</f>
        <v>Estoques Proprios</v>
      </c>
      <c r="G1595" s="1"/>
      <c r="H1595" s="225">
        <v>23436.360000000015</v>
      </c>
      <c r="I1595" s="225">
        <v>0</v>
      </c>
      <c r="J1595" s="225">
        <v>0</v>
      </c>
      <c r="K1595" s="225">
        <v>23436.360000000015</v>
      </c>
      <c r="L15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23436.36</v>
      </c>
      <c r="M1595" s="225">
        <f>ROUND(IF(AND(Base_Periodo1[[#This Row],[Tipo_Linha]]="-",Base_Periodo1[[#This Row],[TIPOSALDO]]="D"),Base_Periodo1[[#This Row],[SALDO_ATUAL]]*-1,Base_Periodo1[[#This Row],[SALDO_ATUAL]]),4)</f>
        <v>23436.36</v>
      </c>
      <c r="N1595" t="s">
        <v>396</v>
      </c>
      <c r="O1595" t="s">
        <v>397</v>
      </c>
      <c r="P1595" t="s">
        <v>397</v>
      </c>
      <c r="Q1595">
        <v>8</v>
      </c>
      <c r="R1595" s="225">
        <f>Base_Periodo1[[#This Row],[CREDITOS]]-Base_Periodo1[[#This Row],[DEBITOS]]</f>
        <v>0</v>
      </c>
      <c r="S1595" s="3" t="str">
        <f>IF(ISERROR(VLOOKUP(Base_Periodo1[[#This Row],[CONTA]],BaseContasDRE[#All],4,FALSE)),"Fora do DRE",VLOOKUP(Base_Periodo1[[#This Row],[CONTA]],BaseContasDRE[#All],4,FALSE))</f>
        <v>Fora do DRE</v>
      </c>
      <c r="T1595" s="3" t="str">
        <f>IF(ISERROR(VLOOKUP(Base_Periodo1[[#This Row],[CONTA]],BaseContasDRE[#All],5,FALSE)),"Fora do DRE",VLOOKUP(Base_Periodo1[[#This Row],[CONTA]],BaseContasDRE[#All],6,FALSE))</f>
        <v>Fora do DRE</v>
      </c>
      <c r="U1595" s="3" t="str">
        <f>IF(ISERROR(VLOOKUP(Base_Periodo1[[#This Row],[CONTA]],BaseContasDRE[#All],7,FALSE)),"Fora do DRE",VLOOKUP(Base_Periodo1[[#This Row],[CONTA]],BaseContasDRE[#All],7,FALSE))</f>
        <v>Fora do DRE</v>
      </c>
      <c r="V1595" s="3" t="str">
        <f>IF(Base_Periodo1[[#This Row],[Tipo_Linha]]="Fora do DRE","Fora do DRE","( "&amp;Base_Periodo1[[#This Row],[Tipo_Linha]]&amp;" ) "&amp;Base_Periodo1[[#This Row],[Filtro]])</f>
        <v>Fora do DRE</v>
      </c>
      <c r="W1595" s="3" t="str">
        <f>LEFT(Base_Periodo1[[#This Row],[CLASS]],3)</f>
        <v>1.1</v>
      </c>
    </row>
    <row r="1596" spans="1:23" hidden="1">
      <c r="A1596" s="3" t="str">
        <f t="shared" si="24"/>
        <v>Período 1</v>
      </c>
      <c r="B1596">
        <v>20933</v>
      </c>
      <c r="C1596" t="s">
        <v>1294</v>
      </c>
      <c r="D1596" t="s">
        <v>1054</v>
      </c>
      <c r="E1596" s="3" t="str">
        <f>IF(LEN(Base_Periodo1[[#This Row],[CLASS]])&gt;=7,LEFT(Base_Periodo1[[#This Row],[CLASS]],7),"")</f>
        <v>1.1.3.1</v>
      </c>
      <c r="F1596" s="3" t="str">
        <f>VLOOKUP(Base_Periodo1[[#This Row],[Aux]],Base_Contas_Balanco[#All],2,FALSE)</f>
        <v>Estoques Proprios</v>
      </c>
      <c r="G1596" s="1">
        <v>42735</v>
      </c>
      <c r="H1596" s="225">
        <v>23436.360000000015</v>
      </c>
      <c r="I1596" s="225">
        <v>0</v>
      </c>
      <c r="J1596" s="225">
        <v>0</v>
      </c>
      <c r="K1596" s="225">
        <v>23436.360000000015</v>
      </c>
      <c r="L15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23436.36</v>
      </c>
      <c r="M1596" s="225">
        <f>ROUND(IF(AND(Base_Periodo1[[#This Row],[Tipo_Linha]]="-",Base_Periodo1[[#This Row],[TIPOSALDO]]="D"),Base_Periodo1[[#This Row],[SALDO_ATUAL]]*-1,Base_Periodo1[[#This Row],[SALDO_ATUAL]]),4)</f>
        <v>23436.36</v>
      </c>
      <c r="N1596" t="s">
        <v>116</v>
      </c>
      <c r="O1596" t="s">
        <v>397</v>
      </c>
      <c r="P1596" t="s">
        <v>397</v>
      </c>
      <c r="Q1596">
        <v>9</v>
      </c>
      <c r="R1596" s="225">
        <f>Base_Periodo1[[#This Row],[CREDITOS]]-Base_Periodo1[[#This Row],[DEBITOS]]</f>
        <v>0</v>
      </c>
      <c r="S1596" s="3" t="str">
        <f>IF(ISERROR(VLOOKUP(Base_Periodo1[[#This Row],[CONTA]],BaseContasDRE[#All],4,FALSE)),"Fora do DRE",VLOOKUP(Base_Periodo1[[#This Row],[CONTA]],BaseContasDRE[#All],4,FALSE))</f>
        <v>Fora do DRE</v>
      </c>
      <c r="T1596" s="3" t="str">
        <f>IF(ISERROR(VLOOKUP(Base_Periodo1[[#This Row],[CONTA]],BaseContasDRE[#All],5,FALSE)),"Fora do DRE",VLOOKUP(Base_Periodo1[[#This Row],[CONTA]],BaseContasDRE[#All],6,FALSE))</f>
        <v>Fora do DRE</v>
      </c>
      <c r="U1596" s="3" t="str">
        <f>IF(ISERROR(VLOOKUP(Base_Periodo1[[#This Row],[CONTA]],BaseContasDRE[#All],7,FALSE)),"Fora do DRE",VLOOKUP(Base_Periodo1[[#This Row],[CONTA]],BaseContasDRE[#All],7,FALSE))</f>
        <v>Fora do DRE</v>
      </c>
      <c r="V1596" s="3" t="str">
        <f>IF(Base_Periodo1[[#This Row],[Tipo_Linha]]="Fora do DRE","Fora do DRE","( "&amp;Base_Periodo1[[#This Row],[Tipo_Linha]]&amp;" ) "&amp;Base_Periodo1[[#This Row],[Filtro]])</f>
        <v>Fora do DRE</v>
      </c>
      <c r="W1596" s="3" t="str">
        <f>LEFT(Base_Periodo1[[#This Row],[CLASS]],3)</f>
        <v>1.1</v>
      </c>
    </row>
    <row r="1597" spans="1:23" hidden="1">
      <c r="A1597" s="3" t="str">
        <f t="shared" si="24"/>
        <v>Período 1</v>
      </c>
      <c r="B1597">
        <v>36335</v>
      </c>
      <c r="C1597" t="s">
        <v>6265</v>
      </c>
      <c r="D1597" t="s">
        <v>1112</v>
      </c>
      <c r="E1597" s="3" t="str">
        <f>IF(LEN(Base_Periodo1[[#This Row],[CLASS]])&gt;=7,LEFT(Base_Periodo1[[#This Row],[CLASS]],7),"")</f>
        <v>1.1.3.1</v>
      </c>
      <c r="F1597" s="3" t="str">
        <f>VLOOKUP(Base_Periodo1[[#This Row],[Aux]],Base_Contas_Balanco[#All],2,FALSE)</f>
        <v>Estoques Proprios</v>
      </c>
      <c r="G1597" s="1"/>
      <c r="H1597" s="225">
        <v>53400</v>
      </c>
      <c r="I1597" s="225">
        <v>15147</v>
      </c>
      <c r="J1597" s="225">
        <v>727.06</v>
      </c>
      <c r="K1597" s="225">
        <v>67819.94</v>
      </c>
      <c r="L15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67819.94</v>
      </c>
      <c r="M1597" s="225">
        <f>ROUND(IF(AND(Base_Periodo1[[#This Row],[Tipo_Linha]]="-",Base_Periodo1[[#This Row],[TIPOSALDO]]="D"),Base_Periodo1[[#This Row],[SALDO_ATUAL]]*-1,Base_Periodo1[[#This Row],[SALDO_ATUAL]]),4)</f>
        <v>67819.94</v>
      </c>
      <c r="N1597" t="s">
        <v>396</v>
      </c>
      <c r="O1597" t="s">
        <v>397</v>
      </c>
      <c r="P1597" t="s">
        <v>397</v>
      </c>
      <c r="Q1597">
        <v>8</v>
      </c>
      <c r="R1597" s="225">
        <f>Base_Periodo1[[#This Row],[CREDITOS]]-Base_Periodo1[[#This Row],[DEBITOS]]</f>
        <v>-14419.94</v>
      </c>
      <c r="S1597" s="3" t="str">
        <f>IF(ISERROR(VLOOKUP(Base_Periodo1[[#This Row],[CONTA]],BaseContasDRE[#All],4,FALSE)),"Fora do DRE",VLOOKUP(Base_Periodo1[[#This Row],[CONTA]],BaseContasDRE[#All],4,FALSE))</f>
        <v>Fora do DRE</v>
      </c>
      <c r="T1597" s="3" t="str">
        <f>IF(ISERROR(VLOOKUP(Base_Periodo1[[#This Row],[CONTA]],BaseContasDRE[#All],5,FALSE)),"Fora do DRE",VLOOKUP(Base_Periodo1[[#This Row],[CONTA]],BaseContasDRE[#All],6,FALSE))</f>
        <v>Fora do DRE</v>
      </c>
      <c r="U1597" s="3" t="str">
        <f>IF(ISERROR(VLOOKUP(Base_Periodo1[[#This Row],[CONTA]],BaseContasDRE[#All],7,FALSE)),"Fora do DRE",VLOOKUP(Base_Periodo1[[#This Row],[CONTA]],BaseContasDRE[#All],7,FALSE))</f>
        <v>Fora do DRE</v>
      </c>
      <c r="V1597" s="3" t="str">
        <f>IF(Base_Periodo1[[#This Row],[Tipo_Linha]]="Fora do DRE","Fora do DRE","( "&amp;Base_Periodo1[[#This Row],[Tipo_Linha]]&amp;" ) "&amp;Base_Periodo1[[#This Row],[Filtro]])</f>
        <v>Fora do DRE</v>
      </c>
      <c r="W1597" s="3" t="str">
        <f>LEFT(Base_Periodo1[[#This Row],[CLASS]],3)</f>
        <v>1.1</v>
      </c>
    </row>
    <row r="1598" spans="1:23" hidden="1">
      <c r="A1598" s="3" t="str">
        <f t="shared" si="24"/>
        <v>Período 1</v>
      </c>
      <c r="B1598">
        <v>36336</v>
      </c>
      <c r="C1598" t="s">
        <v>6266</v>
      </c>
      <c r="D1598" t="s">
        <v>1113</v>
      </c>
      <c r="E1598" s="3" t="str">
        <f>IF(LEN(Base_Periodo1[[#This Row],[CLASS]])&gt;=7,LEFT(Base_Periodo1[[#This Row],[CLASS]],7),"")</f>
        <v>1.1.3.1</v>
      </c>
      <c r="F1598" s="3" t="str">
        <f>VLOOKUP(Base_Periodo1[[#This Row],[Aux]],Base_Contas_Balanco[#All],2,FALSE)</f>
        <v>Estoques Proprios</v>
      </c>
      <c r="G1598" s="1">
        <v>42822</v>
      </c>
      <c r="H1598" s="225">
        <v>53400</v>
      </c>
      <c r="I1598" s="225">
        <v>0</v>
      </c>
      <c r="J1598" s="225">
        <v>0</v>
      </c>
      <c r="K1598" s="225">
        <v>53400</v>
      </c>
      <c r="L15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53400</v>
      </c>
      <c r="M1598" s="225">
        <f>ROUND(IF(AND(Base_Periodo1[[#This Row],[Tipo_Linha]]="-",Base_Periodo1[[#This Row],[TIPOSALDO]]="D"),Base_Periodo1[[#This Row],[SALDO_ATUAL]]*-1,Base_Periodo1[[#This Row],[SALDO_ATUAL]]),4)</f>
        <v>53400</v>
      </c>
      <c r="N1598" t="s">
        <v>116</v>
      </c>
      <c r="O1598" t="s">
        <v>397</v>
      </c>
      <c r="P1598" t="s">
        <v>397</v>
      </c>
      <c r="Q1598">
        <v>9</v>
      </c>
      <c r="R1598" s="225">
        <f>Base_Periodo1[[#This Row],[CREDITOS]]-Base_Periodo1[[#This Row],[DEBITOS]]</f>
        <v>0</v>
      </c>
      <c r="S1598" s="3" t="str">
        <f>IF(ISERROR(VLOOKUP(Base_Periodo1[[#This Row],[CONTA]],BaseContasDRE[#All],4,FALSE)),"Fora do DRE",VLOOKUP(Base_Periodo1[[#This Row],[CONTA]],BaseContasDRE[#All],4,FALSE))</f>
        <v>Fora do DRE</v>
      </c>
      <c r="T1598" s="3" t="str">
        <f>IF(ISERROR(VLOOKUP(Base_Periodo1[[#This Row],[CONTA]],BaseContasDRE[#All],5,FALSE)),"Fora do DRE",VLOOKUP(Base_Periodo1[[#This Row],[CONTA]],BaseContasDRE[#All],6,FALSE))</f>
        <v>Fora do DRE</v>
      </c>
      <c r="U1598" s="3" t="str">
        <f>IF(ISERROR(VLOOKUP(Base_Periodo1[[#This Row],[CONTA]],BaseContasDRE[#All],7,FALSE)),"Fora do DRE",VLOOKUP(Base_Periodo1[[#This Row],[CONTA]],BaseContasDRE[#All],7,FALSE))</f>
        <v>Fora do DRE</v>
      </c>
      <c r="V1598" s="3" t="str">
        <f>IF(Base_Periodo1[[#This Row],[Tipo_Linha]]="Fora do DRE","Fora do DRE","( "&amp;Base_Periodo1[[#This Row],[Tipo_Linha]]&amp;" ) "&amp;Base_Periodo1[[#This Row],[Filtro]])</f>
        <v>Fora do DRE</v>
      </c>
      <c r="W1598" s="3" t="str">
        <f>LEFT(Base_Periodo1[[#This Row],[CLASS]],3)</f>
        <v>1.1</v>
      </c>
    </row>
    <row r="1599" spans="1:23" hidden="1">
      <c r="A1599" s="3" t="str">
        <f t="shared" si="24"/>
        <v>Período 1</v>
      </c>
      <c r="B1599">
        <v>36337</v>
      </c>
      <c r="C1599" t="s">
        <v>6804</v>
      </c>
      <c r="D1599" t="s">
        <v>6805</v>
      </c>
      <c r="E1599" s="3" t="str">
        <f>IF(LEN(Base_Periodo1[[#This Row],[CLASS]])&gt;=7,LEFT(Base_Periodo1[[#This Row],[CLASS]],7),"")</f>
        <v>1.1.3.1</v>
      </c>
      <c r="F1599" s="3" t="str">
        <f>VLOOKUP(Base_Periodo1[[#This Row],[Aux]],Base_Contas_Balanco[#All],2,FALSE)</f>
        <v>Estoques Proprios</v>
      </c>
      <c r="G1599" s="1">
        <v>42874</v>
      </c>
      <c r="I1599" s="225">
        <v>15147</v>
      </c>
      <c r="J1599" s="225">
        <v>727.06</v>
      </c>
      <c r="K1599" s="225">
        <v>14419.94</v>
      </c>
      <c r="L15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14419.94</v>
      </c>
      <c r="M1599" s="225">
        <f>ROUND(IF(AND(Base_Periodo1[[#This Row],[Tipo_Linha]]="-",Base_Periodo1[[#This Row],[TIPOSALDO]]="D"),Base_Periodo1[[#This Row],[SALDO_ATUAL]]*-1,Base_Periodo1[[#This Row],[SALDO_ATUAL]]),4)</f>
        <v>14419.94</v>
      </c>
      <c r="N1599" t="s">
        <v>116</v>
      </c>
      <c r="O1599" t="s">
        <v>436</v>
      </c>
      <c r="P1599" t="s">
        <v>397</v>
      </c>
      <c r="Q1599">
        <v>9</v>
      </c>
      <c r="R1599" s="225">
        <f>Base_Periodo1[[#This Row],[CREDITOS]]-Base_Periodo1[[#This Row],[DEBITOS]]</f>
        <v>-14419.94</v>
      </c>
      <c r="S1599" s="3" t="str">
        <f>IF(ISERROR(VLOOKUP(Base_Periodo1[[#This Row],[CONTA]],BaseContasDRE[#All],4,FALSE)),"Fora do DRE",VLOOKUP(Base_Periodo1[[#This Row],[CONTA]],BaseContasDRE[#All],4,FALSE))</f>
        <v>Fora do DRE</v>
      </c>
      <c r="T1599" s="3" t="str">
        <f>IF(ISERROR(VLOOKUP(Base_Periodo1[[#This Row],[CONTA]],BaseContasDRE[#All],5,FALSE)),"Fora do DRE",VLOOKUP(Base_Periodo1[[#This Row],[CONTA]],BaseContasDRE[#All],6,FALSE))</f>
        <v>Fora do DRE</v>
      </c>
      <c r="U1599" s="3" t="str">
        <f>IF(ISERROR(VLOOKUP(Base_Periodo1[[#This Row],[CONTA]],BaseContasDRE[#All],7,FALSE)),"Fora do DRE",VLOOKUP(Base_Periodo1[[#This Row],[CONTA]],BaseContasDRE[#All],7,FALSE))</f>
        <v>Fora do DRE</v>
      </c>
      <c r="V1599" s="3" t="str">
        <f>IF(Base_Periodo1[[#This Row],[Tipo_Linha]]="Fora do DRE","Fora do DRE","( "&amp;Base_Periodo1[[#This Row],[Tipo_Linha]]&amp;" ) "&amp;Base_Periodo1[[#This Row],[Filtro]])</f>
        <v>Fora do DRE</v>
      </c>
      <c r="W1599" s="3" t="str">
        <f>LEFT(Base_Periodo1[[#This Row],[CLASS]],3)</f>
        <v>1.1</v>
      </c>
    </row>
    <row r="1600" spans="1:23" hidden="1">
      <c r="A1600" s="3" t="str">
        <f t="shared" si="24"/>
        <v>Período 1</v>
      </c>
      <c r="B1600">
        <v>631</v>
      </c>
      <c r="C1600" t="s">
        <v>1295</v>
      </c>
      <c r="D1600" t="s">
        <v>1063</v>
      </c>
      <c r="E1600" s="3" t="str">
        <f>IF(LEN(Base_Periodo1[[#This Row],[CLASS]])&gt;=7,LEFT(Base_Periodo1[[#This Row],[CLASS]],7),"")</f>
        <v>1.1.3.1</v>
      </c>
      <c r="F1600" s="3" t="str">
        <f>VLOOKUP(Base_Periodo1[[#This Row],[Aux]],Base_Contas_Balanco[#All],2,FALSE)</f>
        <v>Estoques Proprios</v>
      </c>
      <c r="G1600" s="1"/>
      <c r="H1600" s="225">
        <v>72349.409999999974</v>
      </c>
      <c r="I1600" s="225">
        <v>15378.82</v>
      </c>
      <c r="J1600" s="225">
        <v>0</v>
      </c>
      <c r="K1600" s="225">
        <v>87728.229999999981</v>
      </c>
      <c r="L16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87728.23</v>
      </c>
      <c r="M1600" s="225">
        <f>ROUND(IF(AND(Base_Periodo1[[#This Row],[Tipo_Linha]]="-",Base_Periodo1[[#This Row],[TIPOSALDO]]="D"),Base_Periodo1[[#This Row],[SALDO_ATUAL]]*-1,Base_Periodo1[[#This Row],[SALDO_ATUAL]]),4)</f>
        <v>87728.23</v>
      </c>
      <c r="N1600" t="s">
        <v>396</v>
      </c>
      <c r="O1600" t="s">
        <v>397</v>
      </c>
      <c r="P1600" t="s">
        <v>397</v>
      </c>
      <c r="Q1600">
        <v>8</v>
      </c>
      <c r="R1600" s="225">
        <f>Base_Periodo1[[#This Row],[CREDITOS]]-Base_Periodo1[[#This Row],[DEBITOS]]</f>
        <v>-15378.82</v>
      </c>
      <c r="S1600" s="3" t="str">
        <f>IF(ISERROR(VLOOKUP(Base_Periodo1[[#This Row],[CONTA]],BaseContasDRE[#All],4,FALSE)),"Fora do DRE",VLOOKUP(Base_Periodo1[[#This Row],[CONTA]],BaseContasDRE[#All],4,FALSE))</f>
        <v>Fora do DRE</v>
      </c>
      <c r="T1600" s="3" t="str">
        <f>IF(ISERROR(VLOOKUP(Base_Periodo1[[#This Row],[CONTA]],BaseContasDRE[#All],5,FALSE)),"Fora do DRE",VLOOKUP(Base_Periodo1[[#This Row],[CONTA]],BaseContasDRE[#All],6,FALSE))</f>
        <v>Fora do DRE</v>
      </c>
      <c r="U1600" s="3" t="str">
        <f>IF(ISERROR(VLOOKUP(Base_Periodo1[[#This Row],[CONTA]],BaseContasDRE[#All],7,FALSE)),"Fora do DRE",VLOOKUP(Base_Periodo1[[#This Row],[CONTA]],BaseContasDRE[#All],7,FALSE))</f>
        <v>Fora do DRE</v>
      </c>
      <c r="V1600" s="3" t="str">
        <f>IF(Base_Periodo1[[#This Row],[Tipo_Linha]]="Fora do DRE","Fora do DRE","( "&amp;Base_Periodo1[[#This Row],[Tipo_Linha]]&amp;" ) "&amp;Base_Periodo1[[#This Row],[Filtro]])</f>
        <v>Fora do DRE</v>
      </c>
      <c r="W1600" s="3" t="str">
        <f>LEFT(Base_Periodo1[[#This Row],[CLASS]],3)</f>
        <v>1.1</v>
      </c>
    </row>
    <row r="1601" spans="1:23" hidden="1">
      <c r="A1601" s="3" t="str">
        <f t="shared" si="24"/>
        <v>Período 1</v>
      </c>
      <c r="B1601">
        <v>632</v>
      </c>
      <c r="C1601" t="s">
        <v>1296</v>
      </c>
      <c r="D1601" t="s">
        <v>1065</v>
      </c>
      <c r="E1601" s="3" t="str">
        <f>IF(LEN(Base_Periodo1[[#This Row],[CLASS]])&gt;=7,LEFT(Base_Periodo1[[#This Row],[CLASS]],7),"")</f>
        <v>1.1.3.1</v>
      </c>
      <c r="F1601" s="3" t="str">
        <f>VLOOKUP(Base_Periodo1[[#This Row],[Aux]],Base_Contas_Balanco[#All],2,FALSE)</f>
        <v>Estoques Proprios</v>
      </c>
      <c r="G1601" s="1">
        <v>42877</v>
      </c>
      <c r="H1601" s="225">
        <v>72349.409999999974</v>
      </c>
      <c r="I1601" s="225">
        <v>15378.82</v>
      </c>
      <c r="J1601" s="225">
        <v>0</v>
      </c>
      <c r="K1601" s="225">
        <v>87728.229999999981</v>
      </c>
      <c r="L16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87728.23</v>
      </c>
      <c r="M1601" s="225">
        <f>ROUND(IF(AND(Base_Periodo1[[#This Row],[Tipo_Linha]]="-",Base_Periodo1[[#This Row],[TIPOSALDO]]="D"),Base_Periodo1[[#This Row],[SALDO_ATUAL]]*-1,Base_Periodo1[[#This Row],[SALDO_ATUAL]]),4)</f>
        <v>87728.23</v>
      </c>
      <c r="N1601" t="s">
        <v>116</v>
      </c>
      <c r="O1601" t="s">
        <v>397</v>
      </c>
      <c r="P1601" t="s">
        <v>397</v>
      </c>
      <c r="Q1601">
        <v>9</v>
      </c>
      <c r="R1601" s="225">
        <f>Base_Periodo1[[#This Row],[CREDITOS]]-Base_Periodo1[[#This Row],[DEBITOS]]</f>
        <v>-15378.82</v>
      </c>
      <c r="S1601" s="3" t="str">
        <f>IF(ISERROR(VLOOKUP(Base_Periodo1[[#This Row],[CONTA]],BaseContasDRE[#All],4,FALSE)),"Fora do DRE",VLOOKUP(Base_Periodo1[[#This Row],[CONTA]],BaseContasDRE[#All],4,FALSE))</f>
        <v>Fora do DRE</v>
      </c>
      <c r="T1601" s="3" t="str">
        <f>IF(ISERROR(VLOOKUP(Base_Periodo1[[#This Row],[CONTA]],BaseContasDRE[#All],5,FALSE)),"Fora do DRE",VLOOKUP(Base_Periodo1[[#This Row],[CONTA]],BaseContasDRE[#All],6,FALSE))</f>
        <v>Fora do DRE</v>
      </c>
      <c r="U1601" s="3" t="str">
        <f>IF(ISERROR(VLOOKUP(Base_Periodo1[[#This Row],[CONTA]],BaseContasDRE[#All],7,FALSE)),"Fora do DRE",VLOOKUP(Base_Periodo1[[#This Row],[CONTA]],BaseContasDRE[#All],7,FALSE))</f>
        <v>Fora do DRE</v>
      </c>
      <c r="V1601" s="3" t="str">
        <f>IF(Base_Periodo1[[#This Row],[Tipo_Linha]]="Fora do DRE","Fora do DRE","( "&amp;Base_Periodo1[[#This Row],[Tipo_Linha]]&amp;" ) "&amp;Base_Periodo1[[#This Row],[Filtro]])</f>
        <v>Fora do DRE</v>
      </c>
      <c r="W1601" s="3" t="str">
        <f>LEFT(Base_Periodo1[[#This Row],[CLASS]],3)</f>
        <v>1.1</v>
      </c>
    </row>
    <row r="1602" spans="1:23" hidden="1">
      <c r="A1602" s="3" t="str">
        <f t="shared" si="24"/>
        <v>Período 1</v>
      </c>
      <c r="B1602">
        <v>633</v>
      </c>
      <c r="C1602" t="s">
        <v>1297</v>
      </c>
      <c r="D1602" t="s">
        <v>1067</v>
      </c>
      <c r="E1602" s="3" t="str">
        <f>IF(LEN(Base_Periodo1[[#This Row],[CLASS]])&gt;=7,LEFT(Base_Periodo1[[#This Row],[CLASS]],7),"")</f>
        <v>1.1.3.1</v>
      </c>
      <c r="F1602" s="3" t="str">
        <f>VLOOKUP(Base_Periodo1[[#This Row],[Aux]],Base_Contas_Balanco[#All],2,FALSE)</f>
        <v>Estoques Proprios</v>
      </c>
      <c r="G1602" s="1"/>
      <c r="H1602" s="225">
        <v>60057.359999999993</v>
      </c>
      <c r="I1602" s="225">
        <v>0</v>
      </c>
      <c r="J1602" s="225">
        <v>2201.9899999999998</v>
      </c>
      <c r="K1602" s="225">
        <v>62259.349999999991</v>
      </c>
      <c r="L16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-62259.35</v>
      </c>
      <c r="M1602" s="225">
        <f>ROUND(IF(AND(Base_Periodo1[[#This Row],[Tipo_Linha]]="-",Base_Periodo1[[#This Row],[TIPOSALDO]]="D"),Base_Periodo1[[#This Row],[SALDO_ATUAL]]*-1,Base_Periodo1[[#This Row],[SALDO_ATUAL]]),4)</f>
        <v>62259.35</v>
      </c>
      <c r="N1602" t="s">
        <v>396</v>
      </c>
      <c r="O1602" t="s">
        <v>459</v>
      </c>
      <c r="P1602" t="s">
        <v>459</v>
      </c>
      <c r="Q1602">
        <v>8</v>
      </c>
      <c r="R1602" s="225">
        <f>Base_Periodo1[[#This Row],[CREDITOS]]-Base_Periodo1[[#This Row],[DEBITOS]]</f>
        <v>2201.9899999999998</v>
      </c>
      <c r="S1602" s="3" t="str">
        <f>IF(ISERROR(VLOOKUP(Base_Periodo1[[#This Row],[CONTA]],BaseContasDRE[#All],4,FALSE)),"Fora do DRE",VLOOKUP(Base_Periodo1[[#This Row],[CONTA]],BaseContasDRE[#All],4,FALSE))</f>
        <v>Fora do DRE</v>
      </c>
      <c r="T1602" s="3" t="str">
        <f>IF(ISERROR(VLOOKUP(Base_Periodo1[[#This Row],[CONTA]],BaseContasDRE[#All],5,FALSE)),"Fora do DRE",VLOOKUP(Base_Periodo1[[#This Row],[CONTA]],BaseContasDRE[#All],6,FALSE))</f>
        <v>Fora do DRE</v>
      </c>
      <c r="U1602" s="3" t="str">
        <f>IF(ISERROR(VLOOKUP(Base_Periodo1[[#This Row],[CONTA]],BaseContasDRE[#All],7,FALSE)),"Fora do DRE",VLOOKUP(Base_Periodo1[[#This Row],[CONTA]],BaseContasDRE[#All],7,FALSE))</f>
        <v>Fora do DRE</v>
      </c>
      <c r="V1602" s="3" t="str">
        <f>IF(Base_Periodo1[[#This Row],[Tipo_Linha]]="Fora do DRE","Fora do DRE","( "&amp;Base_Periodo1[[#This Row],[Tipo_Linha]]&amp;" ) "&amp;Base_Periodo1[[#This Row],[Filtro]])</f>
        <v>Fora do DRE</v>
      </c>
      <c r="W1602" s="3" t="str">
        <f>LEFT(Base_Periodo1[[#This Row],[CLASS]],3)</f>
        <v>1.1</v>
      </c>
    </row>
    <row r="1603" spans="1:23" hidden="1">
      <c r="A1603" s="3" t="str">
        <f t="shared" si="24"/>
        <v>Período 1</v>
      </c>
      <c r="B1603">
        <v>634</v>
      </c>
      <c r="C1603" t="s">
        <v>1298</v>
      </c>
      <c r="D1603" t="s">
        <v>1068</v>
      </c>
      <c r="E1603" s="3" t="str">
        <f>IF(LEN(Base_Periodo1[[#This Row],[CLASS]])&gt;=7,LEFT(Base_Periodo1[[#This Row],[CLASS]],7),"")</f>
        <v>1.1.3.1</v>
      </c>
      <c r="F1603" s="3" t="str">
        <f>VLOOKUP(Base_Periodo1[[#This Row],[Aux]],Base_Contas_Balanco[#All],2,FALSE)</f>
        <v>Estoques Proprios</v>
      </c>
      <c r="G1603" s="1">
        <v>42886</v>
      </c>
      <c r="H1603" s="225">
        <v>53416.149999999994</v>
      </c>
      <c r="I1603" s="225">
        <v>0</v>
      </c>
      <c r="J1603" s="225">
        <v>2201.9899999999998</v>
      </c>
      <c r="K1603" s="225">
        <v>55618.139999999992</v>
      </c>
      <c r="L16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-55618.14</v>
      </c>
      <c r="M1603" s="225">
        <f>ROUND(IF(AND(Base_Periodo1[[#This Row],[Tipo_Linha]]="-",Base_Periodo1[[#This Row],[TIPOSALDO]]="D"),Base_Periodo1[[#This Row],[SALDO_ATUAL]]*-1,Base_Periodo1[[#This Row],[SALDO_ATUAL]]),4)</f>
        <v>55618.14</v>
      </c>
      <c r="N1603" t="s">
        <v>116</v>
      </c>
      <c r="O1603" t="s">
        <v>459</v>
      </c>
      <c r="P1603" t="s">
        <v>459</v>
      </c>
      <c r="Q1603">
        <v>9</v>
      </c>
      <c r="R1603" s="225">
        <f>Base_Periodo1[[#This Row],[CREDITOS]]-Base_Periodo1[[#This Row],[DEBITOS]]</f>
        <v>2201.9899999999998</v>
      </c>
      <c r="S1603" s="3" t="str">
        <f>IF(ISERROR(VLOOKUP(Base_Periodo1[[#This Row],[CONTA]],BaseContasDRE[#All],4,FALSE)),"Fora do DRE",VLOOKUP(Base_Periodo1[[#This Row],[CONTA]],BaseContasDRE[#All],4,FALSE))</f>
        <v>Fora do DRE</v>
      </c>
      <c r="T1603" s="3" t="str">
        <f>IF(ISERROR(VLOOKUP(Base_Periodo1[[#This Row],[CONTA]],BaseContasDRE[#All],5,FALSE)),"Fora do DRE",VLOOKUP(Base_Periodo1[[#This Row],[CONTA]],BaseContasDRE[#All],6,FALSE))</f>
        <v>Fora do DRE</v>
      </c>
      <c r="U1603" s="3" t="str">
        <f>IF(ISERROR(VLOOKUP(Base_Periodo1[[#This Row],[CONTA]],BaseContasDRE[#All],7,FALSE)),"Fora do DRE",VLOOKUP(Base_Periodo1[[#This Row],[CONTA]],BaseContasDRE[#All],7,FALSE))</f>
        <v>Fora do DRE</v>
      </c>
      <c r="V1603" s="3" t="str">
        <f>IF(Base_Periodo1[[#This Row],[Tipo_Linha]]="Fora do DRE","Fora do DRE","( "&amp;Base_Periodo1[[#This Row],[Tipo_Linha]]&amp;" ) "&amp;Base_Periodo1[[#This Row],[Filtro]])</f>
        <v>Fora do DRE</v>
      </c>
      <c r="W1603" s="3" t="str">
        <f>LEFT(Base_Periodo1[[#This Row],[CLASS]],3)</f>
        <v>1.1</v>
      </c>
    </row>
    <row r="1604" spans="1:23" hidden="1">
      <c r="A1604" s="3" t="str">
        <f t="shared" si="24"/>
        <v>Período 1</v>
      </c>
      <c r="B1604">
        <v>635</v>
      </c>
      <c r="C1604" t="s">
        <v>1299</v>
      </c>
      <c r="D1604" t="s">
        <v>1070</v>
      </c>
      <c r="E1604" s="3" t="str">
        <f>IF(LEN(Base_Periodo1[[#This Row],[CLASS]])&gt;=7,LEFT(Base_Periodo1[[#This Row],[CLASS]],7),"")</f>
        <v>1.1.3.1</v>
      </c>
      <c r="F1604" s="3" t="str">
        <f>VLOOKUP(Base_Periodo1[[#This Row],[Aux]],Base_Contas_Balanco[#All],2,FALSE)</f>
        <v>Estoques Proprios</v>
      </c>
      <c r="G1604" s="1">
        <v>42886</v>
      </c>
      <c r="H1604" s="225">
        <v>6641.2099999999973</v>
      </c>
      <c r="I1604" s="225">
        <v>0</v>
      </c>
      <c r="J1604" s="225">
        <v>0</v>
      </c>
      <c r="K1604" s="225">
        <v>6641.2099999999973</v>
      </c>
      <c r="L16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-6641.21</v>
      </c>
      <c r="M1604" s="225">
        <f>ROUND(IF(AND(Base_Periodo1[[#This Row],[Tipo_Linha]]="-",Base_Periodo1[[#This Row],[TIPOSALDO]]="D"),Base_Periodo1[[#This Row],[SALDO_ATUAL]]*-1,Base_Periodo1[[#This Row],[SALDO_ATUAL]]),4)</f>
        <v>6641.21</v>
      </c>
      <c r="N1604" t="s">
        <v>116</v>
      </c>
      <c r="O1604" t="s">
        <v>459</v>
      </c>
      <c r="P1604" t="s">
        <v>459</v>
      </c>
      <c r="Q1604">
        <v>9</v>
      </c>
      <c r="R1604" s="225">
        <f>Base_Periodo1[[#This Row],[CREDITOS]]-Base_Periodo1[[#This Row],[DEBITOS]]</f>
        <v>0</v>
      </c>
      <c r="S1604" s="3" t="str">
        <f>IF(ISERROR(VLOOKUP(Base_Periodo1[[#This Row],[CONTA]],BaseContasDRE[#All],4,FALSE)),"Fora do DRE",VLOOKUP(Base_Periodo1[[#This Row],[CONTA]],BaseContasDRE[#All],4,FALSE))</f>
        <v>Fora do DRE</v>
      </c>
      <c r="T1604" s="3" t="str">
        <f>IF(ISERROR(VLOOKUP(Base_Periodo1[[#This Row],[CONTA]],BaseContasDRE[#All],5,FALSE)),"Fora do DRE",VLOOKUP(Base_Periodo1[[#This Row],[CONTA]],BaseContasDRE[#All],6,FALSE))</f>
        <v>Fora do DRE</v>
      </c>
      <c r="U1604" s="3" t="str">
        <f>IF(ISERROR(VLOOKUP(Base_Periodo1[[#This Row],[CONTA]],BaseContasDRE[#All],7,FALSE)),"Fora do DRE",VLOOKUP(Base_Periodo1[[#This Row],[CONTA]],BaseContasDRE[#All],7,FALSE))</f>
        <v>Fora do DRE</v>
      </c>
      <c r="V1604" s="3" t="str">
        <f>IF(Base_Periodo1[[#This Row],[Tipo_Linha]]="Fora do DRE","Fora do DRE","( "&amp;Base_Periodo1[[#This Row],[Tipo_Linha]]&amp;" ) "&amp;Base_Periodo1[[#This Row],[Filtro]])</f>
        <v>Fora do DRE</v>
      </c>
      <c r="W1604" s="3" t="str">
        <f>LEFT(Base_Periodo1[[#This Row],[CLASS]],3)</f>
        <v>1.1</v>
      </c>
    </row>
    <row r="1605" spans="1:23" hidden="1">
      <c r="A1605" s="3" t="str">
        <f t="shared" si="24"/>
        <v>Período 1</v>
      </c>
      <c r="B1605">
        <v>58929</v>
      </c>
      <c r="C1605" t="s">
        <v>6806</v>
      </c>
      <c r="D1605" t="s">
        <v>1166</v>
      </c>
      <c r="E1605" s="3" t="str">
        <f>IF(LEN(Base_Periodo1[[#This Row],[CLASS]])&gt;=7,LEFT(Base_Periodo1[[#This Row],[CLASS]],7),"")</f>
        <v>1.1.3.1</v>
      </c>
      <c r="F1605" s="3" t="str">
        <f>VLOOKUP(Base_Periodo1[[#This Row],[Aux]],Base_Contas_Balanco[#All],2,FALSE)</f>
        <v>Estoques Proprios</v>
      </c>
      <c r="G1605" s="1"/>
      <c r="I1605" s="225">
        <v>0</v>
      </c>
      <c r="J1605" s="225">
        <v>12384</v>
      </c>
      <c r="K1605" s="225">
        <v>12384</v>
      </c>
      <c r="L16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-12384</v>
      </c>
      <c r="M1605" s="225">
        <f>ROUND(IF(AND(Base_Periodo1[[#This Row],[Tipo_Linha]]="-",Base_Periodo1[[#This Row],[TIPOSALDO]]="D"),Base_Periodo1[[#This Row],[SALDO_ATUAL]]*-1,Base_Periodo1[[#This Row],[SALDO_ATUAL]]),4)</f>
        <v>12384</v>
      </c>
      <c r="N1605" t="s">
        <v>396</v>
      </c>
      <c r="O1605" t="s">
        <v>436</v>
      </c>
      <c r="P1605" t="s">
        <v>459</v>
      </c>
      <c r="Q1605">
        <v>8</v>
      </c>
      <c r="R1605" s="225">
        <f>Base_Periodo1[[#This Row],[CREDITOS]]-Base_Periodo1[[#This Row],[DEBITOS]]</f>
        <v>12384</v>
      </c>
      <c r="S1605" s="3" t="str">
        <f>IF(ISERROR(VLOOKUP(Base_Periodo1[[#This Row],[CONTA]],BaseContasDRE[#All],4,FALSE)),"Fora do DRE",VLOOKUP(Base_Periodo1[[#This Row],[CONTA]],BaseContasDRE[#All],4,FALSE))</f>
        <v>Fora do DRE</v>
      </c>
      <c r="T1605" s="3" t="str">
        <f>IF(ISERROR(VLOOKUP(Base_Periodo1[[#This Row],[CONTA]],BaseContasDRE[#All],5,FALSE)),"Fora do DRE",VLOOKUP(Base_Periodo1[[#This Row],[CONTA]],BaseContasDRE[#All],6,FALSE))</f>
        <v>Fora do DRE</v>
      </c>
      <c r="U1605" s="3" t="str">
        <f>IF(ISERROR(VLOOKUP(Base_Periodo1[[#This Row],[CONTA]],BaseContasDRE[#All],7,FALSE)),"Fora do DRE",VLOOKUP(Base_Periodo1[[#This Row],[CONTA]],BaseContasDRE[#All],7,FALSE))</f>
        <v>Fora do DRE</v>
      </c>
      <c r="V1605" s="3" t="str">
        <f>IF(Base_Periodo1[[#This Row],[Tipo_Linha]]="Fora do DRE","Fora do DRE","( "&amp;Base_Periodo1[[#This Row],[Tipo_Linha]]&amp;" ) "&amp;Base_Periodo1[[#This Row],[Filtro]])</f>
        <v>Fora do DRE</v>
      </c>
      <c r="W1605" s="3" t="str">
        <f>LEFT(Base_Periodo1[[#This Row],[CLASS]],3)</f>
        <v>1.1</v>
      </c>
    </row>
    <row r="1606" spans="1:23" hidden="1">
      <c r="A1606" s="3" t="str">
        <f t="shared" ref="A1606:A1669" si="25">"Período 1"</f>
        <v>Período 1</v>
      </c>
      <c r="B1606">
        <v>58931</v>
      </c>
      <c r="C1606" t="s">
        <v>6807</v>
      </c>
      <c r="D1606" t="s">
        <v>6230</v>
      </c>
      <c r="E1606" s="3" t="str">
        <f>IF(LEN(Base_Periodo1[[#This Row],[CLASS]])&gt;=7,LEFT(Base_Periodo1[[#This Row],[CLASS]],7),"")</f>
        <v>1.1.3.1</v>
      </c>
      <c r="F1606" s="3" t="str">
        <f>VLOOKUP(Base_Periodo1[[#This Row],[Aux]],Base_Contas_Balanco[#All],2,FALSE)</f>
        <v>Estoques Proprios</v>
      </c>
      <c r="G1606" s="1"/>
      <c r="I1606" s="225">
        <v>0</v>
      </c>
      <c r="J1606" s="225">
        <v>12384</v>
      </c>
      <c r="K1606" s="225">
        <v>12384</v>
      </c>
      <c r="L16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-12384</v>
      </c>
      <c r="M1606" s="225">
        <f>ROUND(IF(AND(Base_Periodo1[[#This Row],[Tipo_Linha]]="-",Base_Periodo1[[#This Row],[TIPOSALDO]]="D"),Base_Periodo1[[#This Row],[SALDO_ATUAL]]*-1,Base_Periodo1[[#This Row],[SALDO_ATUAL]]),4)</f>
        <v>12384</v>
      </c>
      <c r="N1606" t="s">
        <v>116</v>
      </c>
      <c r="O1606" t="s">
        <v>436</v>
      </c>
      <c r="P1606" t="s">
        <v>459</v>
      </c>
      <c r="Q1606">
        <v>9</v>
      </c>
      <c r="R1606" s="225">
        <f>Base_Periodo1[[#This Row],[CREDITOS]]-Base_Periodo1[[#This Row],[DEBITOS]]</f>
        <v>12384</v>
      </c>
      <c r="S1606" s="3" t="str">
        <f>IF(ISERROR(VLOOKUP(Base_Periodo1[[#This Row],[CONTA]],BaseContasDRE[#All],4,FALSE)),"Fora do DRE",VLOOKUP(Base_Periodo1[[#This Row],[CONTA]],BaseContasDRE[#All],4,FALSE))</f>
        <v>Fora do DRE</v>
      </c>
      <c r="T1606" s="3" t="str">
        <f>IF(ISERROR(VLOOKUP(Base_Periodo1[[#This Row],[CONTA]],BaseContasDRE[#All],5,FALSE)),"Fora do DRE",VLOOKUP(Base_Periodo1[[#This Row],[CONTA]],BaseContasDRE[#All],6,FALSE))</f>
        <v>Fora do DRE</v>
      </c>
      <c r="U1606" s="3" t="str">
        <f>IF(ISERROR(VLOOKUP(Base_Periodo1[[#This Row],[CONTA]],BaseContasDRE[#All],7,FALSE)),"Fora do DRE",VLOOKUP(Base_Periodo1[[#This Row],[CONTA]],BaseContasDRE[#All],7,FALSE))</f>
        <v>Fora do DRE</v>
      </c>
      <c r="V1606" s="3" t="str">
        <f>IF(Base_Periodo1[[#This Row],[Tipo_Linha]]="Fora do DRE","Fora do DRE","( "&amp;Base_Periodo1[[#This Row],[Tipo_Linha]]&amp;" ) "&amp;Base_Periodo1[[#This Row],[Filtro]])</f>
        <v>Fora do DRE</v>
      </c>
      <c r="W1606" s="3" t="str">
        <f>LEFT(Base_Periodo1[[#This Row],[CLASS]],3)</f>
        <v>1.1</v>
      </c>
    </row>
    <row r="1607" spans="1:23" hidden="1">
      <c r="A1607" s="3" t="str">
        <f t="shared" si="25"/>
        <v>Período 1</v>
      </c>
      <c r="B1607">
        <v>636</v>
      </c>
      <c r="C1607" t="s">
        <v>1300</v>
      </c>
      <c r="D1607" t="s">
        <v>1072</v>
      </c>
      <c r="E1607" s="3" t="str">
        <f>IF(LEN(Base_Periodo1[[#This Row],[CLASS]])&gt;=7,LEFT(Base_Periodo1[[#This Row],[CLASS]],7),"")</f>
        <v>1.1.3.1</v>
      </c>
      <c r="F1607" s="3" t="str">
        <f>VLOOKUP(Base_Periodo1[[#This Row],[Aux]],Base_Contas_Balanco[#All],2,FALSE)</f>
        <v>Estoques Proprios</v>
      </c>
      <c r="G1607" s="1"/>
      <c r="H1607" s="225">
        <v>72349.409999999974</v>
      </c>
      <c r="I1607" s="225">
        <v>0</v>
      </c>
      <c r="J1607" s="225">
        <v>15378.82</v>
      </c>
      <c r="K1607" s="225">
        <v>87728.229999999981</v>
      </c>
      <c r="L16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-87728.23</v>
      </c>
      <c r="M1607" s="225">
        <f>ROUND(IF(AND(Base_Periodo1[[#This Row],[Tipo_Linha]]="-",Base_Periodo1[[#This Row],[TIPOSALDO]]="D"),Base_Periodo1[[#This Row],[SALDO_ATUAL]]*-1,Base_Periodo1[[#This Row],[SALDO_ATUAL]]),4)</f>
        <v>87728.23</v>
      </c>
      <c r="N1607" t="s">
        <v>396</v>
      </c>
      <c r="O1607" t="s">
        <v>459</v>
      </c>
      <c r="P1607" t="s">
        <v>459</v>
      </c>
      <c r="Q1607">
        <v>8</v>
      </c>
      <c r="R1607" s="225">
        <f>Base_Periodo1[[#This Row],[CREDITOS]]-Base_Periodo1[[#This Row],[DEBITOS]]</f>
        <v>15378.82</v>
      </c>
      <c r="S1607" s="3" t="str">
        <f>IF(ISERROR(VLOOKUP(Base_Periodo1[[#This Row],[CONTA]],BaseContasDRE[#All],4,FALSE)),"Fora do DRE",VLOOKUP(Base_Periodo1[[#This Row],[CONTA]],BaseContasDRE[#All],4,FALSE))</f>
        <v>Fora do DRE</v>
      </c>
      <c r="T1607" s="3" t="str">
        <f>IF(ISERROR(VLOOKUP(Base_Periodo1[[#This Row],[CONTA]],BaseContasDRE[#All],5,FALSE)),"Fora do DRE",VLOOKUP(Base_Periodo1[[#This Row],[CONTA]],BaseContasDRE[#All],6,FALSE))</f>
        <v>Fora do DRE</v>
      </c>
      <c r="U1607" s="3" t="str">
        <f>IF(ISERROR(VLOOKUP(Base_Periodo1[[#This Row],[CONTA]],BaseContasDRE[#All],7,FALSE)),"Fora do DRE",VLOOKUP(Base_Periodo1[[#This Row],[CONTA]],BaseContasDRE[#All],7,FALSE))</f>
        <v>Fora do DRE</v>
      </c>
      <c r="V1607" s="3" t="str">
        <f>IF(Base_Periodo1[[#This Row],[Tipo_Linha]]="Fora do DRE","Fora do DRE","( "&amp;Base_Periodo1[[#This Row],[Tipo_Linha]]&amp;" ) "&amp;Base_Periodo1[[#This Row],[Filtro]])</f>
        <v>Fora do DRE</v>
      </c>
      <c r="W1607" s="3" t="str">
        <f>LEFT(Base_Periodo1[[#This Row],[CLASS]],3)</f>
        <v>1.1</v>
      </c>
    </row>
    <row r="1608" spans="1:23" hidden="1">
      <c r="A1608" s="3" t="str">
        <f t="shared" si="25"/>
        <v>Período 1</v>
      </c>
      <c r="B1608">
        <v>637</v>
      </c>
      <c r="C1608" t="s">
        <v>1301</v>
      </c>
      <c r="D1608" t="s">
        <v>1074</v>
      </c>
      <c r="E1608" s="3" t="str">
        <f>IF(LEN(Base_Periodo1[[#This Row],[CLASS]])&gt;=7,LEFT(Base_Periodo1[[#This Row],[CLASS]],7),"")</f>
        <v>1.1.3.1</v>
      </c>
      <c r="F1608" s="3" t="str">
        <f>VLOOKUP(Base_Periodo1[[#This Row],[Aux]],Base_Contas_Balanco[#All],2,FALSE)</f>
        <v>Estoques Proprios</v>
      </c>
      <c r="G1608" s="1">
        <v>42874</v>
      </c>
      <c r="H1608" s="225">
        <v>72349.409999999974</v>
      </c>
      <c r="I1608" s="225">
        <v>0</v>
      </c>
      <c r="J1608" s="225">
        <v>15378.82</v>
      </c>
      <c r="K1608" s="225">
        <v>87728.229999999981</v>
      </c>
      <c r="L16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-87728.23</v>
      </c>
      <c r="M1608" s="225">
        <f>ROUND(IF(AND(Base_Periodo1[[#This Row],[Tipo_Linha]]="-",Base_Periodo1[[#This Row],[TIPOSALDO]]="D"),Base_Periodo1[[#This Row],[SALDO_ATUAL]]*-1,Base_Periodo1[[#This Row],[SALDO_ATUAL]]),4)</f>
        <v>87728.23</v>
      </c>
      <c r="N1608" t="s">
        <v>116</v>
      </c>
      <c r="O1608" t="s">
        <v>459</v>
      </c>
      <c r="P1608" t="s">
        <v>459</v>
      </c>
      <c r="Q1608">
        <v>9</v>
      </c>
      <c r="R1608" s="225">
        <f>Base_Periodo1[[#This Row],[CREDITOS]]-Base_Periodo1[[#This Row],[DEBITOS]]</f>
        <v>15378.82</v>
      </c>
      <c r="S1608" s="3" t="str">
        <f>IF(ISERROR(VLOOKUP(Base_Periodo1[[#This Row],[CONTA]],BaseContasDRE[#All],4,FALSE)),"Fora do DRE",VLOOKUP(Base_Periodo1[[#This Row],[CONTA]],BaseContasDRE[#All],4,FALSE))</f>
        <v>Fora do DRE</v>
      </c>
      <c r="T1608" s="3" t="str">
        <f>IF(ISERROR(VLOOKUP(Base_Periodo1[[#This Row],[CONTA]],BaseContasDRE[#All],5,FALSE)),"Fora do DRE",VLOOKUP(Base_Periodo1[[#This Row],[CONTA]],BaseContasDRE[#All],6,FALSE))</f>
        <v>Fora do DRE</v>
      </c>
      <c r="U1608" s="3" t="str">
        <f>IF(ISERROR(VLOOKUP(Base_Periodo1[[#This Row],[CONTA]],BaseContasDRE[#All],7,FALSE)),"Fora do DRE",VLOOKUP(Base_Periodo1[[#This Row],[CONTA]],BaseContasDRE[#All],7,FALSE))</f>
        <v>Fora do DRE</v>
      </c>
      <c r="V1608" s="3" t="str">
        <f>IF(Base_Periodo1[[#This Row],[Tipo_Linha]]="Fora do DRE","Fora do DRE","( "&amp;Base_Periodo1[[#This Row],[Tipo_Linha]]&amp;" ) "&amp;Base_Periodo1[[#This Row],[Filtro]])</f>
        <v>Fora do DRE</v>
      </c>
      <c r="W1608" s="3" t="str">
        <f>LEFT(Base_Periodo1[[#This Row],[CLASS]],3)</f>
        <v>1.1</v>
      </c>
    </row>
    <row r="1609" spans="1:23" hidden="1">
      <c r="A1609" s="3" t="str">
        <f t="shared" si="25"/>
        <v>Período 1</v>
      </c>
      <c r="B1609">
        <v>640</v>
      </c>
      <c r="C1609" t="s">
        <v>1302</v>
      </c>
      <c r="D1609" t="s">
        <v>1303</v>
      </c>
      <c r="E1609" s="3" t="str">
        <f>IF(LEN(Base_Periodo1[[#This Row],[CLASS]])&gt;=7,LEFT(Base_Periodo1[[#This Row],[CLASS]],7),"")</f>
        <v>1.1.3.1</v>
      </c>
      <c r="F1609" s="3" t="str">
        <f>VLOOKUP(Base_Periodo1[[#This Row],[Aux]],Base_Contas_Balanco[#All],2,FALSE)</f>
        <v>Estoques Proprios</v>
      </c>
      <c r="G1609" s="1"/>
      <c r="H1609" s="225">
        <v>8656030.8199997935</v>
      </c>
      <c r="I1609" s="225">
        <v>8831732.6499999985</v>
      </c>
      <c r="J1609" s="225">
        <v>5973844.2599999998</v>
      </c>
      <c r="K1609" s="225">
        <v>11513919.20999979</v>
      </c>
      <c r="L16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11513919.210000001</v>
      </c>
      <c r="M1609" s="225">
        <f>ROUND(IF(AND(Base_Periodo1[[#This Row],[Tipo_Linha]]="-",Base_Periodo1[[#This Row],[TIPOSALDO]]="D"),Base_Periodo1[[#This Row],[SALDO_ATUAL]]*-1,Base_Periodo1[[#This Row],[SALDO_ATUAL]]),4)</f>
        <v>11513919.210000001</v>
      </c>
      <c r="N1609" t="s">
        <v>396</v>
      </c>
      <c r="O1609" t="s">
        <v>397</v>
      </c>
      <c r="P1609" t="s">
        <v>397</v>
      </c>
      <c r="Q1609">
        <v>6</v>
      </c>
      <c r="R1609" s="225">
        <f>Base_Periodo1[[#This Row],[CREDITOS]]-Base_Periodo1[[#This Row],[DEBITOS]]</f>
        <v>-2857888.3899999987</v>
      </c>
      <c r="S1609" s="3" t="str">
        <f>IF(ISERROR(VLOOKUP(Base_Periodo1[[#This Row],[CONTA]],BaseContasDRE[#All],4,FALSE)),"Fora do DRE",VLOOKUP(Base_Periodo1[[#This Row],[CONTA]],BaseContasDRE[#All],4,FALSE))</f>
        <v>Fora do DRE</v>
      </c>
      <c r="T1609" s="3" t="str">
        <f>IF(ISERROR(VLOOKUP(Base_Periodo1[[#This Row],[CONTA]],BaseContasDRE[#All],5,FALSE)),"Fora do DRE",VLOOKUP(Base_Periodo1[[#This Row],[CONTA]],BaseContasDRE[#All],6,FALSE))</f>
        <v>Fora do DRE</v>
      </c>
      <c r="U1609" s="3" t="str">
        <f>IF(ISERROR(VLOOKUP(Base_Periodo1[[#This Row],[CONTA]],BaseContasDRE[#All],7,FALSE)),"Fora do DRE",VLOOKUP(Base_Periodo1[[#This Row],[CONTA]],BaseContasDRE[#All],7,FALSE))</f>
        <v>Fora do DRE</v>
      </c>
      <c r="V1609" s="3" t="str">
        <f>IF(Base_Periodo1[[#This Row],[Tipo_Linha]]="Fora do DRE","Fora do DRE","( "&amp;Base_Periodo1[[#This Row],[Tipo_Linha]]&amp;" ) "&amp;Base_Periodo1[[#This Row],[Filtro]])</f>
        <v>Fora do DRE</v>
      </c>
      <c r="W1609" s="3" t="str">
        <f>LEFT(Base_Periodo1[[#This Row],[CLASS]],3)</f>
        <v>1.1</v>
      </c>
    </row>
    <row r="1610" spans="1:23" hidden="1">
      <c r="A1610" s="3" t="str">
        <f t="shared" si="25"/>
        <v>Período 1</v>
      </c>
      <c r="B1610">
        <v>641</v>
      </c>
      <c r="C1610" t="s">
        <v>1304</v>
      </c>
      <c r="D1610" t="s">
        <v>1305</v>
      </c>
      <c r="E1610" s="3" t="str">
        <f>IF(LEN(Base_Periodo1[[#This Row],[CLASS]])&gt;=7,LEFT(Base_Periodo1[[#This Row],[CLASS]],7),"")</f>
        <v>1.1.3.1</v>
      </c>
      <c r="F1610" s="3" t="str">
        <f>VLOOKUP(Base_Periodo1[[#This Row],[Aux]],Base_Contas_Balanco[#All],2,FALSE)</f>
        <v>Estoques Proprios</v>
      </c>
      <c r="G1610" s="1"/>
      <c r="H1610" s="225">
        <v>2013081.9999997059</v>
      </c>
      <c r="I1610" s="225">
        <v>6258944.3999999994</v>
      </c>
      <c r="J1610" s="225">
        <v>4108089.53</v>
      </c>
      <c r="K1610" s="225">
        <v>4163936.8699997053</v>
      </c>
      <c r="L16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4163936.87</v>
      </c>
      <c r="M1610" s="225">
        <f>ROUND(IF(AND(Base_Periodo1[[#This Row],[Tipo_Linha]]="-",Base_Periodo1[[#This Row],[TIPOSALDO]]="D"),Base_Periodo1[[#This Row],[SALDO_ATUAL]]*-1,Base_Periodo1[[#This Row],[SALDO_ATUAL]]),4)</f>
        <v>4163936.87</v>
      </c>
      <c r="N1610" t="s">
        <v>396</v>
      </c>
      <c r="O1610" t="s">
        <v>397</v>
      </c>
      <c r="P1610" t="s">
        <v>397</v>
      </c>
      <c r="Q1610">
        <v>7</v>
      </c>
      <c r="R1610" s="225">
        <f>Base_Periodo1[[#This Row],[CREDITOS]]-Base_Periodo1[[#This Row],[DEBITOS]]</f>
        <v>-2150854.8699999996</v>
      </c>
      <c r="S1610" s="3" t="str">
        <f>IF(ISERROR(VLOOKUP(Base_Periodo1[[#This Row],[CONTA]],BaseContasDRE[#All],4,FALSE)),"Fora do DRE",VLOOKUP(Base_Periodo1[[#This Row],[CONTA]],BaseContasDRE[#All],4,FALSE))</f>
        <v>Fora do DRE</v>
      </c>
      <c r="T1610" s="3" t="str">
        <f>IF(ISERROR(VLOOKUP(Base_Periodo1[[#This Row],[CONTA]],BaseContasDRE[#All],5,FALSE)),"Fora do DRE",VLOOKUP(Base_Periodo1[[#This Row],[CONTA]],BaseContasDRE[#All],6,FALSE))</f>
        <v>Fora do DRE</v>
      </c>
      <c r="U1610" s="3" t="str">
        <f>IF(ISERROR(VLOOKUP(Base_Periodo1[[#This Row],[CONTA]],BaseContasDRE[#All],7,FALSE)),"Fora do DRE",VLOOKUP(Base_Periodo1[[#This Row],[CONTA]],BaseContasDRE[#All],7,FALSE))</f>
        <v>Fora do DRE</v>
      </c>
      <c r="V1610" s="3" t="str">
        <f>IF(Base_Periodo1[[#This Row],[Tipo_Linha]]="Fora do DRE","Fora do DRE","( "&amp;Base_Periodo1[[#This Row],[Tipo_Linha]]&amp;" ) "&amp;Base_Periodo1[[#This Row],[Filtro]])</f>
        <v>Fora do DRE</v>
      </c>
      <c r="W1610" s="3" t="str">
        <f>LEFT(Base_Periodo1[[#This Row],[CLASS]],3)</f>
        <v>1.1</v>
      </c>
    </row>
    <row r="1611" spans="1:23" hidden="1">
      <c r="A1611" s="3" t="str">
        <f t="shared" si="25"/>
        <v>Período 1</v>
      </c>
      <c r="B1611">
        <v>642</v>
      </c>
      <c r="C1611" t="s">
        <v>1306</v>
      </c>
      <c r="D1611" t="s">
        <v>1054</v>
      </c>
      <c r="E1611" s="3" t="str">
        <f>IF(LEN(Base_Periodo1[[#This Row],[CLASS]])&gt;=7,LEFT(Base_Periodo1[[#This Row],[CLASS]],7),"")</f>
        <v>1.1.3.1</v>
      </c>
      <c r="F1611" s="3" t="str">
        <f>VLOOKUP(Base_Periodo1[[#This Row],[Aux]],Base_Contas_Balanco[#All],2,FALSE)</f>
        <v>Estoques Proprios</v>
      </c>
      <c r="G1611" s="1"/>
      <c r="H1611" s="225">
        <v>2594719.0199999809</v>
      </c>
      <c r="I1611" s="225">
        <v>0</v>
      </c>
      <c r="J1611" s="225">
        <v>0</v>
      </c>
      <c r="K1611" s="225">
        <v>2594719.0199999809</v>
      </c>
      <c r="L16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2594719.02</v>
      </c>
      <c r="M1611" s="225">
        <f>ROUND(IF(AND(Base_Periodo1[[#This Row],[Tipo_Linha]]="-",Base_Periodo1[[#This Row],[TIPOSALDO]]="D"),Base_Periodo1[[#This Row],[SALDO_ATUAL]]*-1,Base_Periodo1[[#This Row],[SALDO_ATUAL]]),4)</f>
        <v>2594719.02</v>
      </c>
      <c r="N1611" t="s">
        <v>396</v>
      </c>
      <c r="O1611" t="s">
        <v>397</v>
      </c>
      <c r="P1611" t="s">
        <v>397</v>
      </c>
      <c r="Q1611">
        <v>8</v>
      </c>
      <c r="R1611" s="225">
        <f>Base_Periodo1[[#This Row],[CREDITOS]]-Base_Periodo1[[#This Row],[DEBITOS]]</f>
        <v>0</v>
      </c>
      <c r="S1611" s="3" t="str">
        <f>IF(ISERROR(VLOOKUP(Base_Periodo1[[#This Row],[CONTA]],BaseContasDRE[#All],4,FALSE)),"Fora do DRE",VLOOKUP(Base_Periodo1[[#This Row],[CONTA]],BaseContasDRE[#All],4,FALSE))</f>
        <v>Fora do DRE</v>
      </c>
      <c r="T1611" s="3" t="str">
        <f>IF(ISERROR(VLOOKUP(Base_Periodo1[[#This Row],[CONTA]],BaseContasDRE[#All],5,FALSE)),"Fora do DRE",VLOOKUP(Base_Periodo1[[#This Row],[CONTA]],BaseContasDRE[#All],6,FALSE))</f>
        <v>Fora do DRE</v>
      </c>
      <c r="U1611" s="3" t="str">
        <f>IF(ISERROR(VLOOKUP(Base_Periodo1[[#This Row],[CONTA]],BaseContasDRE[#All],7,FALSE)),"Fora do DRE",VLOOKUP(Base_Periodo1[[#This Row],[CONTA]],BaseContasDRE[#All],7,FALSE))</f>
        <v>Fora do DRE</v>
      </c>
      <c r="V1611" s="3" t="str">
        <f>IF(Base_Periodo1[[#This Row],[Tipo_Linha]]="Fora do DRE","Fora do DRE","( "&amp;Base_Periodo1[[#This Row],[Tipo_Linha]]&amp;" ) "&amp;Base_Periodo1[[#This Row],[Filtro]])</f>
        <v>Fora do DRE</v>
      </c>
      <c r="W1611" s="3" t="str">
        <f>LEFT(Base_Periodo1[[#This Row],[CLASS]],3)</f>
        <v>1.1</v>
      </c>
    </row>
    <row r="1612" spans="1:23" hidden="1">
      <c r="A1612" s="3" t="str">
        <f t="shared" si="25"/>
        <v>Período 1</v>
      </c>
      <c r="B1612">
        <v>643</v>
      </c>
      <c r="C1612" t="s">
        <v>1307</v>
      </c>
      <c r="D1612" t="s">
        <v>1054</v>
      </c>
      <c r="E1612" s="3" t="str">
        <f>IF(LEN(Base_Periodo1[[#This Row],[CLASS]])&gt;=7,LEFT(Base_Periodo1[[#This Row],[CLASS]],7),"")</f>
        <v>1.1.3.1</v>
      </c>
      <c r="F1612" s="3" t="str">
        <f>VLOOKUP(Base_Periodo1[[#This Row],[Aux]],Base_Contas_Balanco[#All],2,FALSE)</f>
        <v>Estoques Proprios</v>
      </c>
      <c r="G1612" s="1">
        <v>42735</v>
      </c>
      <c r="H1612" s="225">
        <v>2594719.0199999809</v>
      </c>
      <c r="I1612" s="225">
        <v>0</v>
      </c>
      <c r="J1612" s="225">
        <v>0</v>
      </c>
      <c r="K1612" s="225">
        <v>2594719.0199999809</v>
      </c>
      <c r="L16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2594719.02</v>
      </c>
      <c r="M1612" s="225">
        <f>ROUND(IF(AND(Base_Periodo1[[#This Row],[Tipo_Linha]]="-",Base_Periodo1[[#This Row],[TIPOSALDO]]="D"),Base_Periodo1[[#This Row],[SALDO_ATUAL]]*-1,Base_Periodo1[[#This Row],[SALDO_ATUAL]]),4)</f>
        <v>2594719.02</v>
      </c>
      <c r="N1612" t="s">
        <v>116</v>
      </c>
      <c r="O1612" t="s">
        <v>397</v>
      </c>
      <c r="P1612" t="s">
        <v>397</v>
      </c>
      <c r="Q1612">
        <v>9</v>
      </c>
      <c r="R1612" s="225">
        <f>Base_Periodo1[[#This Row],[CREDITOS]]-Base_Periodo1[[#This Row],[DEBITOS]]</f>
        <v>0</v>
      </c>
      <c r="S1612" s="3" t="str">
        <f>IF(ISERROR(VLOOKUP(Base_Periodo1[[#This Row],[CONTA]],BaseContasDRE[#All],4,FALSE)),"Fora do DRE",VLOOKUP(Base_Periodo1[[#This Row],[CONTA]],BaseContasDRE[#All],4,FALSE))</f>
        <v>Fora do DRE</v>
      </c>
      <c r="T1612" s="3" t="str">
        <f>IF(ISERROR(VLOOKUP(Base_Periodo1[[#This Row],[CONTA]],BaseContasDRE[#All],5,FALSE)),"Fora do DRE",VLOOKUP(Base_Periodo1[[#This Row],[CONTA]],BaseContasDRE[#All],6,FALSE))</f>
        <v>Fora do DRE</v>
      </c>
      <c r="U1612" s="3" t="str">
        <f>IF(ISERROR(VLOOKUP(Base_Periodo1[[#This Row],[CONTA]],BaseContasDRE[#All],7,FALSE)),"Fora do DRE",VLOOKUP(Base_Periodo1[[#This Row],[CONTA]],BaseContasDRE[#All],7,FALSE))</f>
        <v>Fora do DRE</v>
      </c>
      <c r="V1612" s="3" t="str">
        <f>IF(Base_Periodo1[[#This Row],[Tipo_Linha]]="Fora do DRE","Fora do DRE","( "&amp;Base_Periodo1[[#This Row],[Tipo_Linha]]&amp;" ) "&amp;Base_Periodo1[[#This Row],[Filtro]])</f>
        <v>Fora do DRE</v>
      </c>
      <c r="W1612" s="3" t="str">
        <f>LEFT(Base_Periodo1[[#This Row],[CLASS]],3)</f>
        <v>1.1</v>
      </c>
    </row>
    <row r="1613" spans="1:23" hidden="1">
      <c r="A1613" s="3" t="str">
        <f t="shared" si="25"/>
        <v>Período 1</v>
      </c>
      <c r="B1613">
        <v>644</v>
      </c>
      <c r="C1613" t="s">
        <v>1308</v>
      </c>
      <c r="D1613" t="s">
        <v>1057</v>
      </c>
      <c r="E1613" s="3" t="str">
        <f>IF(LEN(Base_Periodo1[[#This Row],[CLASS]])&gt;=7,LEFT(Base_Periodo1[[#This Row],[CLASS]],7),"")</f>
        <v>1.1.3.1</v>
      </c>
      <c r="F1613" s="3" t="str">
        <f>VLOOKUP(Base_Periodo1[[#This Row],[Aux]],Base_Contas_Balanco[#All],2,FALSE)</f>
        <v>Estoques Proprios</v>
      </c>
      <c r="G1613" s="1"/>
      <c r="H1613" s="225">
        <v>4711476.1999997841</v>
      </c>
      <c r="I1613" s="225">
        <v>4109753.9399999995</v>
      </c>
      <c r="J1613" s="225">
        <v>32074.430000000008</v>
      </c>
      <c r="K1613" s="225">
        <v>8789155.7099997848</v>
      </c>
      <c r="L16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8789155.7100000009</v>
      </c>
      <c r="M1613" s="225">
        <f>ROUND(IF(AND(Base_Periodo1[[#This Row],[Tipo_Linha]]="-",Base_Periodo1[[#This Row],[TIPOSALDO]]="D"),Base_Periodo1[[#This Row],[SALDO_ATUAL]]*-1,Base_Periodo1[[#This Row],[SALDO_ATUAL]]),4)</f>
        <v>8789155.7100000009</v>
      </c>
      <c r="N1613" t="s">
        <v>396</v>
      </c>
      <c r="O1613" t="s">
        <v>397</v>
      </c>
      <c r="P1613" t="s">
        <v>397</v>
      </c>
      <c r="Q1613">
        <v>8</v>
      </c>
      <c r="R1613" s="225">
        <f>Base_Periodo1[[#This Row],[CREDITOS]]-Base_Periodo1[[#This Row],[DEBITOS]]</f>
        <v>-4077679.5099999993</v>
      </c>
      <c r="S1613" s="3" t="str">
        <f>IF(ISERROR(VLOOKUP(Base_Periodo1[[#This Row],[CONTA]],BaseContasDRE[#All],4,FALSE)),"Fora do DRE",VLOOKUP(Base_Periodo1[[#This Row],[CONTA]],BaseContasDRE[#All],4,FALSE))</f>
        <v>Fora do DRE</v>
      </c>
      <c r="T1613" s="3" t="str">
        <f>IF(ISERROR(VLOOKUP(Base_Periodo1[[#This Row],[CONTA]],BaseContasDRE[#All],5,FALSE)),"Fora do DRE",VLOOKUP(Base_Periodo1[[#This Row],[CONTA]],BaseContasDRE[#All],6,FALSE))</f>
        <v>Fora do DRE</v>
      </c>
      <c r="U1613" s="3" t="str">
        <f>IF(ISERROR(VLOOKUP(Base_Periodo1[[#This Row],[CONTA]],BaseContasDRE[#All],7,FALSE)),"Fora do DRE",VLOOKUP(Base_Periodo1[[#This Row],[CONTA]],BaseContasDRE[#All],7,FALSE))</f>
        <v>Fora do DRE</v>
      </c>
      <c r="V1613" s="3" t="str">
        <f>IF(Base_Periodo1[[#This Row],[Tipo_Linha]]="Fora do DRE","Fora do DRE","( "&amp;Base_Periodo1[[#This Row],[Tipo_Linha]]&amp;" ) "&amp;Base_Periodo1[[#This Row],[Filtro]])</f>
        <v>Fora do DRE</v>
      </c>
      <c r="W1613" s="3" t="str">
        <f>LEFT(Base_Periodo1[[#This Row],[CLASS]],3)</f>
        <v>1.1</v>
      </c>
    </row>
    <row r="1614" spans="1:23" hidden="1">
      <c r="A1614" s="3" t="str">
        <f t="shared" si="25"/>
        <v>Período 1</v>
      </c>
      <c r="B1614">
        <v>645</v>
      </c>
      <c r="C1614" t="s">
        <v>1309</v>
      </c>
      <c r="D1614" t="s">
        <v>1059</v>
      </c>
      <c r="E1614" s="3" t="str">
        <f>IF(LEN(Base_Periodo1[[#This Row],[CLASS]])&gt;=7,LEFT(Base_Periodo1[[#This Row],[CLASS]],7),"")</f>
        <v>1.1.3.1</v>
      </c>
      <c r="F1614" s="3" t="str">
        <f>VLOOKUP(Base_Periodo1[[#This Row],[Aux]],Base_Contas_Balanco[#All],2,FALSE)</f>
        <v>Estoques Proprios</v>
      </c>
      <c r="G1614" s="1">
        <v>42886</v>
      </c>
      <c r="H1614" s="225">
        <v>250616.24000001419</v>
      </c>
      <c r="I1614" s="225">
        <v>243761.78999999986</v>
      </c>
      <c r="J1614" s="225">
        <v>29030.420000000006</v>
      </c>
      <c r="K1614" s="225">
        <v>465347.61000001407</v>
      </c>
      <c r="L16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465347.61</v>
      </c>
      <c r="M1614" s="225">
        <f>ROUND(IF(AND(Base_Periodo1[[#This Row],[Tipo_Linha]]="-",Base_Periodo1[[#This Row],[TIPOSALDO]]="D"),Base_Periodo1[[#This Row],[SALDO_ATUAL]]*-1,Base_Periodo1[[#This Row],[SALDO_ATUAL]]),4)</f>
        <v>465347.61</v>
      </c>
      <c r="N1614" t="s">
        <v>116</v>
      </c>
      <c r="O1614" t="s">
        <v>397</v>
      </c>
      <c r="P1614" t="s">
        <v>397</v>
      </c>
      <c r="Q1614">
        <v>9</v>
      </c>
      <c r="R1614" s="225">
        <f>Base_Periodo1[[#This Row],[CREDITOS]]-Base_Periodo1[[#This Row],[DEBITOS]]</f>
        <v>-214731.36999999985</v>
      </c>
      <c r="S1614" s="3" t="str">
        <f>IF(ISERROR(VLOOKUP(Base_Periodo1[[#This Row],[CONTA]],BaseContasDRE[#All],4,FALSE)),"Fora do DRE",VLOOKUP(Base_Periodo1[[#This Row],[CONTA]],BaseContasDRE[#All],4,FALSE))</f>
        <v>Fora do DRE</v>
      </c>
      <c r="T1614" s="3" t="str">
        <f>IF(ISERROR(VLOOKUP(Base_Periodo1[[#This Row],[CONTA]],BaseContasDRE[#All],5,FALSE)),"Fora do DRE",VLOOKUP(Base_Periodo1[[#This Row],[CONTA]],BaseContasDRE[#All],6,FALSE))</f>
        <v>Fora do DRE</v>
      </c>
      <c r="U1614" s="3" t="str">
        <f>IF(ISERROR(VLOOKUP(Base_Periodo1[[#This Row],[CONTA]],BaseContasDRE[#All],7,FALSE)),"Fora do DRE",VLOOKUP(Base_Periodo1[[#This Row],[CONTA]],BaseContasDRE[#All],7,FALSE))</f>
        <v>Fora do DRE</v>
      </c>
      <c r="V1614" s="3" t="str">
        <f>IF(Base_Periodo1[[#This Row],[Tipo_Linha]]="Fora do DRE","Fora do DRE","( "&amp;Base_Periodo1[[#This Row],[Tipo_Linha]]&amp;" ) "&amp;Base_Periodo1[[#This Row],[Filtro]])</f>
        <v>Fora do DRE</v>
      </c>
      <c r="W1614" s="3" t="str">
        <f>LEFT(Base_Periodo1[[#This Row],[CLASS]],3)</f>
        <v>1.1</v>
      </c>
    </row>
    <row r="1615" spans="1:23" hidden="1">
      <c r="A1615" s="3" t="str">
        <f t="shared" si="25"/>
        <v>Período 1</v>
      </c>
      <c r="B1615">
        <v>646</v>
      </c>
      <c r="C1615" t="s">
        <v>1310</v>
      </c>
      <c r="D1615" t="s">
        <v>1061</v>
      </c>
      <c r="E1615" s="3" t="str">
        <f>IF(LEN(Base_Periodo1[[#This Row],[CLASS]])&gt;=7,LEFT(Base_Periodo1[[#This Row],[CLASS]],7),"")</f>
        <v>1.1.3.1</v>
      </c>
      <c r="F1615" s="3" t="str">
        <f>VLOOKUP(Base_Periodo1[[#This Row],[Aux]],Base_Contas_Balanco[#All],2,FALSE)</f>
        <v>Estoques Proprios</v>
      </c>
      <c r="G1615" s="1">
        <v>42886</v>
      </c>
      <c r="H1615" s="225">
        <v>4460859.9599997699</v>
      </c>
      <c r="I1615" s="225">
        <v>3865992.1499999994</v>
      </c>
      <c r="J1615" s="225">
        <v>3044.0100000000007</v>
      </c>
      <c r="K1615" s="225">
        <v>8323808.0999997696</v>
      </c>
      <c r="L16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8323808.0999999996</v>
      </c>
      <c r="M1615" s="225">
        <f>ROUND(IF(AND(Base_Periodo1[[#This Row],[Tipo_Linha]]="-",Base_Periodo1[[#This Row],[TIPOSALDO]]="D"),Base_Periodo1[[#This Row],[SALDO_ATUAL]]*-1,Base_Periodo1[[#This Row],[SALDO_ATUAL]]),4)</f>
        <v>8323808.0999999996</v>
      </c>
      <c r="N1615" t="s">
        <v>116</v>
      </c>
      <c r="O1615" t="s">
        <v>397</v>
      </c>
      <c r="P1615" t="s">
        <v>397</v>
      </c>
      <c r="Q1615">
        <v>9</v>
      </c>
      <c r="R1615" s="225">
        <f>Base_Periodo1[[#This Row],[CREDITOS]]-Base_Periodo1[[#This Row],[DEBITOS]]</f>
        <v>-3862948.1399999997</v>
      </c>
      <c r="S1615" s="3" t="str">
        <f>IF(ISERROR(VLOOKUP(Base_Periodo1[[#This Row],[CONTA]],BaseContasDRE[#All],4,FALSE)),"Fora do DRE",VLOOKUP(Base_Periodo1[[#This Row],[CONTA]],BaseContasDRE[#All],4,FALSE))</f>
        <v>Fora do DRE</v>
      </c>
      <c r="T1615" s="3" t="str">
        <f>IF(ISERROR(VLOOKUP(Base_Periodo1[[#This Row],[CONTA]],BaseContasDRE[#All],5,FALSE)),"Fora do DRE",VLOOKUP(Base_Periodo1[[#This Row],[CONTA]],BaseContasDRE[#All],6,FALSE))</f>
        <v>Fora do DRE</v>
      </c>
      <c r="U1615" s="3" t="str">
        <f>IF(ISERROR(VLOOKUP(Base_Periodo1[[#This Row],[CONTA]],BaseContasDRE[#All],7,FALSE)),"Fora do DRE",VLOOKUP(Base_Periodo1[[#This Row],[CONTA]],BaseContasDRE[#All],7,FALSE))</f>
        <v>Fora do DRE</v>
      </c>
      <c r="V1615" s="3" t="str">
        <f>IF(Base_Periodo1[[#This Row],[Tipo_Linha]]="Fora do DRE","Fora do DRE","( "&amp;Base_Periodo1[[#This Row],[Tipo_Linha]]&amp;" ) "&amp;Base_Periodo1[[#This Row],[Filtro]])</f>
        <v>Fora do DRE</v>
      </c>
      <c r="W1615" s="3" t="str">
        <f>LEFT(Base_Periodo1[[#This Row],[CLASS]],3)</f>
        <v>1.1</v>
      </c>
    </row>
    <row r="1616" spans="1:23" hidden="1">
      <c r="A1616" s="3" t="str">
        <f t="shared" si="25"/>
        <v>Período 1</v>
      </c>
      <c r="B1616">
        <v>649</v>
      </c>
      <c r="C1616" t="s">
        <v>1311</v>
      </c>
      <c r="D1616" t="s">
        <v>1063</v>
      </c>
      <c r="E1616" s="3" t="str">
        <f>IF(LEN(Base_Periodo1[[#This Row],[CLASS]])&gt;=7,LEFT(Base_Periodo1[[#This Row],[CLASS]],7),"")</f>
        <v>1.1.3.1</v>
      </c>
      <c r="F1616" s="3" t="str">
        <f>VLOOKUP(Base_Periodo1[[#This Row],[Aux]],Base_Contas_Balanco[#All],2,FALSE)</f>
        <v>Estoques Proprios</v>
      </c>
      <c r="G1616" s="1"/>
      <c r="H1616" s="225">
        <v>3309230.019999817</v>
      </c>
      <c r="I1616" s="225">
        <v>2149190.46</v>
      </c>
      <c r="J1616" s="225">
        <v>0</v>
      </c>
      <c r="K1616" s="225">
        <v>5458420.479999817</v>
      </c>
      <c r="L16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5458420.4800000004</v>
      </c>
      <c r="M1616" s="225">
        <f>ROUND(IF(AND(Base_Periodo1[[#This Row],[Tipo_Linha]]="-",Base_Periodo1[[#This Row],[TIPOSALDO]]="D"),Base_Periodo1[[#This Row],[SALDO_ATUAL]]*-1,Base_Periodo1[[#This Row],[SALDO_ATUAL]]),4)</f>
        <v>5458420.4800000004</v>
      </c>
      <c r="N1616" t="s">
        <v>396</v>
      </c>
      <c r="O1616" t="s">
        <v>397</v>
      </c>
      <c r="P1616" t="s">
        <v>397</v>
      </c>
      <c r="Q1616">
        <v>8</v>
      </c>
      <c r="R1616" s="225">
        <f>Base_Periodo1[[#This Row],[CREDITOS]]-Base_Periodo1[[#This Row],[DEBITOS]]</f>
        <v>-2149190.46</v>
      </c>
      <c r="S1616" s="3" t="str">
        <f>IF(ISERROR(VLOOKUP(Base_Periodo1[[#This Row],[CONTA]],BaseContasDRE[#All],4,FALSE)),"Fora do DRE",VLOOKUP(Base_Periodo1[[#This Row],[CONTA]],BaseContasDRE[#All],4,FALSE))</f>
        <v>Fora do DRE</v>
      </c>
      <c r="T1616" s="3" t="str">
        <f>IF(ISERROR(VLOOKUP(Base_Periodo1[[#This Row],[CONTA]],BaseContasDRE[#All],5,FALSE)),"Fora do DRE",VLOOKUP(Base_Periodo1[[#This Row],[CONTA]],BaseContasDRE[#All],6,FALSE))</f>
        <v>Fora do DRE</v>
      </c>
      <c r="U1616" s="3" t="str">
        <f>IF(ISERROR(VLOOKUP(Base_Periodo1[[#This Row],[CONTA]],BaseContasDRE[#All],7,FALSE)),"Fora do DRE",VLOOKUP(Base_Periodo1[[#This Row],[CONTA]],BaseContasDRE[#All],7,FALSE))</f>
        <v>Fora do DRE</v>
      </c>
      <c r="V1616" s="3" t="str">
        <f>IF(Base_Periodo1[[#This Row],[Tipo_Linha]]="Fora do DRE","Fora do DRE","( "&amp;Base_Periodo1[[#This Row],[Tipo_Linha]]&amp;" ) "&amp;Base_Periodo1[[#This Row],[Filtro]])</f>
        <v>Fora do DRE</v>
      </c>
      <c r="W1616" s="3" t="str">
        <f>LEFT(Base_Periodo1[[#This Row],[CLASS]],3)</f>
        <v>1.1</v>
      </c>
    </row>
    <row r="1617" spans="1:23" hidden="1">
      <c r="A1617" s="3" t="str">
        <f t="shared" si="25"/>
        <v>Período 1</v>
      </c>
      <c r="B1617">
        <v>651</v>
      </c>
      <c r="C1617" t="s">
        <v>1312</v>
      </c>
      <c r="D1617" t="s">
        <v>1065</v>
      </c>
      <c r="E1617" s="3" t="str">
        <f>IF(LEN(Base_Periodo1[[#This Row],[CLASS]])&gt;=7,LEFT(Base_Periodo1[[#This Row],[CLASS]],7),"")</f>
        <v>1.1.3.1</v>
      </c>
      <c r="F1617" s="3" t="str">
        <f>VLOOKUP(Base_Periodo1[[#This Row],[Aux]],Base_Contas_Balanco[#All],2,FALSE)</f>
        <v>Estoques Proprios</v>
      </c>
      <c r="G1617" s="1">
        <v>42885</v>
      </c>
      <c r="H1617" s="225">
        <v>3309230.019999817</v>
      </c>
      <c r="I1617" s="225">
        <v>2149190.46</v>
      </c>
      <c r="J1617" s="225">
        <v>0</v>
      </c>
      <c r="K1617" s="225">
        <v>5458420.479999817</v>
      </c>
      <c r="L16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5458420.4800000004</v>
      </c>
      <c r="M1617" s="225">
        <f>ROUND(IF(AND(Base_Periodo1[[#This Row],[Tipo_Linha]]="-",Base_Periodo1[[#This Row],[TIPOSALDO]]="D"),Base_Periodo1[[#This Row],[SALDO_ATUAL]]*-1,Base_Periodo1[[#This Row],[SALDO_ATUAL]]),4)</f>
        <v>5458420.4800000004</v>
      </c>
      <c r="N1617" t="s">
        <v>116</v>
      </c>
      <c r="O1617" t="s">
        <v>397</v>
      </c>
      <c r="P1617" t="s">
        <v>397</v>
      </c>
      <c r="Q1617">
        <v>9</v>
      </c>
      <c r="R1617" s="225">
        <f>Base_Periodo1[[#This Row],[CREDITOS]]-Base_Periodo1[[#This Row],[DEBITOS]]</f>
        <v>-2149190.46</v>
      </c>
      <c r="S1617" s="3" t="str">
        <f>IF(ISERROR(VLOOKUP(Base_Periodo1[[#This Row],[CONTA]],BaseContasDRE[#All],4,FALSE)),"Fora do DRE",VLOOKUP(Base_Periodo1[[#This Row],[CONTA]],BaseContasDRE[#All],4,FALSE))</f>
        <v>Fora do DRE</v>
      </c>
      <c r="T1617" s="3" t="str">
        <f>IF(ISERROR(VLOOKUP(Base_Periodo1[[#This Row],[CONTA]],BaseContasDRE[#All],5,FALSE)),"Fora do DRE",VLOOKUP(Base_Periodo1[[#This Row],[CONTA]],BaseContasDRE[#All],6,FALSE))</f>
        <v>Fora do DRE</v>
      </c>
      <c r="U1617" s="3" t="str">
        <f>IF(ISERROR(VLOOKUP(Base_Periodo1[[#This Row],[CONTA]],BaseContasDRE[#All],7,FALSE)),"Fora do DRE",VLOOKUP(Base_Periodo1[[#This Row],[CONTA]],BaseContasDRE[#All],7,FALSE))</f>
        <v>Fora do DRE</v>
      </c>
      <c r="V1617" s="3" t="str">
        <f>IF(Base_Periodo1[[#This Row],[Tipo_Linha]]="Fora do DRE","Fora do DRE","( "&amp;Base_Periodo1[[#This Row],[Tipo_Linha]]&amp;" ) "&amp;Base_Periodo1[[#This Row],[Filtro]])</f>
        <v>Fora do DRE</v>
      </c>
      <c r="W1617" s="3" t="str">
        <f>LEFT(Base_Periodo1[[#This Row],[CLASS]],3)</f>
        <v>1.1</v>
      </c>
    </row>
    <row r="1618" spans="1:23" hidden="1">
      <c r="A1618" s="3" t="str">
        <f t="shared" si="25"/>
        <v>Período 1</v>
      </c>
      <c r="B1618">
        <v>655</v>
      </c>
      <c r="C1618" t="s">
        <v>5905</v>
      </c>
      <c r="D1618" t="s">
        <v>1096</v>
      </c>
      <c r="E1618" s="3" t="str">
        <f>IF(LEN(Base_Periodo1[[#This Row],[CLASS]])&gt;=7,LEFT(Base_Periodo1[[#This Row],[CLASS]],7),"")</f>
        <v>1.1.3.1</v>
      </c>
      <c r="F1618" s="3" t="str">
        <f>VLOOKUP(Base_Periodo1[[#This Row],[Aux]],Base_Contas_Balanco[#All],2,FALSE)</f>
        <v>Estoques Proprios</v>
      </c>
      <c r="G1618" s="1"/>
      <c r="H1618" s="225">
        <v>66484</v>
      </c>
      <c r="I1618" s="225">
        <v>0</v>
      </c>
      <c r="J1618" s="225">
        <v>0</v>
      </c>
      <c r="K1618" s="225">
        <v>66484</v>
      </c>
      <c r="L16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66484</v>
      </c>
      <c r="M1618" s="225">
        <f>ROUND(IF(AND(Base_Periodo1[[#This Row],[Tipo_Linha]]="-",Base_Periodo1[[#This Row],[TIPOSALDO]]="D"),Base_Periodo1[[#This Row],[SALDO_ATUAL]]*-1,Base_Periodo1[[#This Row],[SALDO_ATUAL]]),4)</f>
        <v>66484</v>
      </c>
      <c r="N1618" t="s">
        <v>396</v>
      </c>
      <c r="O1618" t="s">
        <v>397</v>
      </c>
      <c r="P1618" t="s">
        <v>397</v>
      </c>
      <c r="Q1618">
        <v>8</v>
      </c>
      <c r="R1618" s="225">
        <f>Base_Periodo1[[#This Row],[CREDITOS]]-Base_Periodo1[[#This Row],[DEBITOS]]</f>
        <v>0</v>
      </c>
      <c r="S1618" s="3" t="str">
        <f>IF(ISERROR(VLOOKUP(Base_Periodo1[[#This Row],[CONTA]],BaseContasDRE[#All],4,FALSE)),"Fora do DRE",VLOOKUP(Base_Periodo1[[#This Row],[CONTA]],BaseContasDRE[#All],4,FALSE))</f>
        <v>Fora do DRE</v>
      </c>
      <c r="T1618" s="3" t="str">
        <f>IF(ISERROR(VLOOKUP(Base_Periodo1[[#This Row],[CONTA]],BaseContasDRE[#All],5,FALSE)),"Fora do DRE",VLOOKUP(Base_Periodo1[[#This Row],[CONTA]],BaseContasDRE[#All],6,FALSE))</f>
        <v>Fora do DRE</v>
      </c>
      <c r="U1618" s="3" t="str">
        <f>IF(ISERROR(VLOOKUP(Base_Periodo1[[#This Row],[CONTA]],BaseContasDRE[#All],7,FALSE)),"Fora do DRE",VLOOKUP(Base_Periodo1[[#This Row],[CONTA]],BaseContasDRE[#All],7,FALSE))</f>
        <v>Fora do DRE</v>
      </c>
      <c r="V1618" s="3" t="str">
        <f>IF(Base_Periodo1[[#This Row],[Tipo_Linha]]="Fora do DRE","Fora do DRE","( "&amp;Base_Periodo1[[#This Row],[Tipo_Linha]]&amp;" ) "&amp;Base_Periodo1[[#This Row],[Filtro]])</f>
        <v>Fora do DRE</v>
      </c>
      <c r="W1618" s="3" t="str">
        <f>LEFT(Base_Periodo1[[#This Row],[CLASS]],3)</f>
        <v>1.1</v>
      </c>
    </row>
    <row r="1619" spans="1:23" hidden="1">
      <c r="A1619" s="3" t="str">
        <f t="shared" si="25"/>
        <v>Período 1</v>
      </c>
      <c r="B1619">
        <v>656</v>
      </c>
      <c r="C1619" t="s">
        <v>5906</v>
      </c>
      <c r="D1619" t="s">
        <v>3592</v>
      </c>
      <c r="E1619" s="3" t="str">
        <f>IF(LEN(Base_Periodo1[[#This Row],[CLASS]])&gt;=7,LEFT(Base_Periodo1[[#This Row],[CLASS]],7),"")</f>
        <v>1.1.3.1</v>
      </c>
      <c r="F1619" s="3" t="str">
        <f>VLOOKUP(Base_Periodo1[[#This Row],[Aux]],Base_Contas_Balanco[#All],2,FALSE)</f>
        <v>Estoques Proprios</v>
      </c>
      <c r="G1619" s="1">
        <v>42789</v>
      </c>
      <c r="H1619" s="225">
        <v>66484</v>
      </c>
      <c r="I1619" s="225">
        <v>0</v>
      </c>
      <c r="J1619" s="225">
        <v>0</v>
      </c>
      <c r="K1619" s="225">
        <v>66484</v>
      </c>
      <c r="L16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66484</v>
      </c>
      <c r="M1619" s="225">
        <f>ROUND(IF(AND(Base_Periodo1[[#This Row],[Tipo_Linha]]="-",Base_Periodo1[[#This Row],[TIPOSALDO]]="D"),Base_Periodo1[[#This Row],[SALDO_ATUAL]]*-1,Base_Periodo1[[#This Row],[SALDO_ATUAL]]),4)</f>
        <v>66484</v>
      </c>
      <c r="N1619" t="s">
        <v>116</v>
      </c>
      <c r="O1619" t="s">
        <v>397</v>
      </c>
      <c r="P1619" t="s">
        <v>397</v>
      </c>
      <c r="Q1619">
        <v>9</v>
      </c>
      <c r="R1619" s="225">
        <f>Base_Periodo1[[#This Row],[CREDITOS]]-Base_Periodo1[[#This Row],[DEBITOS]]</f>
        <v>0</v>
      </c>
      <c r="S1619" s="3" t="str">
        <f>IF(ISERROR(VLOOKUP(Base_Periodo1[[#This Row],[CONTA]],BaseContasDRE[#All],4,FALSE)),"Fora do DRE",VLOOKUP(Base_Periodo1[[#This Row],[CONTA]],BaseContasDRE[#All],4,FALSE))</f>
        <v>Fora do DRE</v>
      </c>
      <c r="T1619" s="3" t="str">
        <f>IF(ISERROR(VLOOKUP(Base_Periodo1[[#This Row],[CONTA]],BaseContasDRE[#All],5,FALSE)),"Fora do DRE",VLOOKUP(Base_Periodo1[[#This Row],[CONTA]],BaseContasDRE[#All],6,FALSE))</f>
        <v>Fora do DRE</v>
      </c>
      <c r="U1619" s="3" t="str">
        <f>IF(ISERROR(VLOOKUP(Base_Periodo1[[#This Row],[CONTA]],BaseContasDRE[#All],7,FALSE)),"Fora do DRE",VLOOKUP(Base_Periodo1[[#This Row],[CONTA]],BaseContasDRE[#All],7,FALSE))</f>
        <v>Fora do DRE</v>
      </c>
      <c r="V1619" s="3" t="str">
        <f>IF(Base_Periodo1[[#This Row],[Tipo_Linha]]="Fora do DRE","Fora do DRE","( "&amp;Base_Periodo1[[#This Row],[Tipo_Linha]]&amp;" ) "&amp;Base_Periodo1[[#This Row],[Filtro]])</f>
        <v>Fora do DRE</v>
      </c>
      <c r="W1619" s="3" t="str">
        <f>LEFT(Base_Periodo1[[#This Row],[CLASS]],3)</f>
        <v>1.1</v>
      </c>
    </row>
    <row r="1620" spans="1:23" hidden="1">
      <c r="A1620" s="3" t="str">
        <f t="shared" si="25"/>
        <v>Período 1</v>
      </c>
      <c r="B1620">
        <v>658</v>
      </c>
      <c r="C1620" t="s">
        <v>1313</v>
      </c>
      <c r="D1620" t="s">
        <v>1067</v>
      </c>
      <c r="E1620" s="3" t="str">
        <f>IF(LEN(Base_Periodo1[[#This Row],[CLASS]])&gt;=7,LEFT(Base_Periodo1[[#This Row],[CLASS]],7),"")</f>
        <v>1.1.3.1</v>
      </c>
      <c r="F1620" s="3" t="str">
        <f>VLOOKUP(Base_Periodo1[[#This Row],[Aux]],Base_Contas_Balanco[#All],2,FALSE)</f>
        <v>Estoques Proprios</v>
      </c>
      <c r="G1620" s="1"/>
      <c r="H1620" s="225">
        <v>5262830.7699999791</v>
      </c>
      <c r="I1620" s="225">
        <v>0</v>
      </c>
      <c r="J1620" s="225">
        <v>1964932.3099999998</v>
      </c>
      <c r="K1620" s="225">
        <v>7227763.0799999787</v>
      </c>
      <c r="L16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-7227763.0800000001</v>
      </c>
      <c r="M1620" s="225">
        <f>ROUND(IF(AND(Base_Periodo1[[#This Row],[Tipo_Linha]]="-",Base_Periodo1[[#This Row],[TIPOSALDO]]="D"),Base_Periodo1[[#This Row],[SALDO_ATUAL]]*-1,Base_Periodo1[[#This Row],[SALDO_ATUAL]]),4)</f>
        <v>7227763.0800000001</v>
      </c>
      <c r="N1620" t="s">
        <v>396</v>
      </c>
      <c r="O1620" t="s">
        <v>459</v>
      </c>
      <c r="P1620" t="s">
        <v>459</v>
      </c>
      <c r="Q1620">
        <v>8</v>
      </c>
      <c r="R1620" s="225">
        <f>Base_Periodo1[[#This Row],[CREDITOS]]-Base_Periodo1[[#This Row],[DEBITOS]]</f>
        <v>1964932.3099999998</v>
      </c>
      <c r="S1620" s="3" t="str">
        <f>IF(ISERROR(VLOOKUP(Base_Periodo1[[#This Row],[CONTA]],BaseContasDRE[#All],4,FALSE)),"Fora do DRE",VLOOKUP(Base_Periodo1[[#This Row],[CONTA]],BaseContasDRE[#All],4,FALSE))</f>
        <v>Fora do DRE</v>
      </c>
      <c r="T1620" s="3" t="str">
        <f>IF(ISERROR(VLOOKUP(Base_Periodo1[[#This Row],[CONTA]],BaseContasDRE[#All],5,FALSE)),"Fora do DRE",VLOOKUP(Base_Periodo1[[#This Row],[CONTA]],BaseContasDRE[#All],6,FALSE))</f>
        <v>Fora do DRE</v>
      </c>
      <c r="U1620" s="3" t="str">
        <f>IF(ISERROR(VLOOKUP(Base_Periodo1[[#This Row],[CONTA]],BaseContasDRE[#All],7,FALSE)),"Fora do DRE",VLOOKUP(Base_Periodo1[[#This Row],[CONTA]],BaseContasDRE[#All],7,FALSE))</f>
        <v>Fora do DRE</v>
      </c>
      <c r="V1620" s="3" t="str">
        <f>IF(Base_Periodo1[[#This Row],[Tipo_Linha]]="Fora do DRE","Fora do DRE","( "&amp;Base_Periodo1[[#This Row],[Tipo_Linha]]&amp;" ) "&amp;Base_Periodo1[[#This Row],[Filtro]])</f>
        <v>Fora do DRE</v>
      </c>
      <c r="W1620" s="3" t="str">
        <f>LEFT(Base_Periodo1[[#This Row],[CLASS]],3)</f>
        <v>1.1</v>
      </c>
    </row>
    <row r="1621" spans="1:23" hidden="1">
      <c r="A1621" s="3" t="str">
        <f t="shared" si="25"/>
        <v>Período 1</v>
      </c>
      <c r="B1621">
        <v>659</v>
      </c>
      <c r="C1621" t="s">
        <v>1314</v>
      </c>
      <c r="D1621" t="s">
        <v>1068</v>
      </c>
      <c r="E1621" s="3" t="str">
        <f>IF(LEN(Base_Periodo1[[#This Row],[CLASS]])&gt;=7,LEFT(Base_Periodo1[[#This Row],[CLASS]],7),"")</f>
        <v>1.1.3.1</v>
      </c>
      <c r="F1621" s="3" t="str">
        <f>VLOOKUP(Base_Periodo1[[#This Row],[Aux]],Base_Contas_Balanco[#All],2,FALSE)</f>
        <v>Estoques Proprios</v>
      </c>
      <c r="G1621" s="1">
        <v>42886</v>
      </c>
      <c r="H1621" s="225">
        <v>4842863.5499999821</v>
      </c>
      <c r="I1621" s="225">
        <v>0</v>
      </c>
      <c r="J1621" s="225">
        <v>1863328.66</v>
      </c>
      <c r="K1621" s="225">
        <v>6706192.2099999823</v>
      </c>
      <c r="L16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-6706192.21</v>
      </c>
      <c r="M1621" s="225">
        <f>ROUND(IF(AND(Base_Periodo1[[#This Row],[Tipo_Linha]]="-",Base_Periodo1[[#This Row],[TIPOSALDO]]="D"),Base_Periodo1[[#This Row],[SALDO_ATUAL]]*-1,Base_Periodo1[[#This Row],[SALDO_ATUAL]]),4)</f>
        <v>6706192.21</v>
      </c>
      <c r="N1621" t="s">
        <v>116</v>
      </c>
      <c r="O1621" t="s">
        <v>459</v>
      </c>
      <c r="P1621" t="s">
        <v>459</v>
      </c>
      <c r="Q1621">
        <v>9</v>
      </c>
      <c r="R1621" s="225">
        <f>Base_Periodo1[[#This Row],[CREDITOS]]-Base_Periodo1[[#This Row],[DEBITOS]]</f>
        <v>1863328.66</v>
      </c>
      <c r="S1621" s="3" t="str">
        <f>IF(ISERROR(VLOOKUP(Base_Periodo1[[#This Row],[CONTA]],BaseContasDRE[#All],4,FALSE)),"Fora do DRE",VLOOKUP(Base_Periodo1[[#This Row],[CONTA]],BaseContasDRE[#All],4,FALSE))</f>
        <v>Fora do DRE</v>
      </c>
      <c r="T1621" s="3" t="str">
        <f>IF(ISERROR(VLOOKUP(Base_Periodo1[[#This Row],[CONTA]],BaseContasDRE[#All],5,FALSE)),"Fora do DRE",VLOOKUP(Base_Periodo1[[#This Row],[CONTA]],BaseContasDRE[#All],6,FALSE))</f>
        <v>Fora do DRE</v>
      </c>
      <c r="U1621" s="3" t="str">
        <f>IF(ISERROR(VLOOKUP(Base_Periodo1[[#This Row],[CONTA]],BaseContasDRE[#All],7,FALSE)),"Fora do DRE",VLOOKUP(Base_Periodo1[[#This Row],[CONTA]],BaseContasDRE[#All],7,FALSE))</f>
        <v>Fora do DRE</v>
      </c>
      <c r="V1621" s="3" t="str">
        <f>IF(Base_Periodo1[[#This Row],[Tipo_Linha]]="Fora do DRE","Fora do DRE","( "&amp;Base_Periodo1[[#This Row],[Tipo_Linha]]&amp;" ) "&amp;Base_Periodo1[[#This Row],[Filtro]])</f>
        <v>Fora do DRE</v>
      </c>
      <c r="W1621" s="3" t="str">
        <f>LEFT(Base_Periodo1[[#This Row],[CLASS]],3)</f>
        <v>1.1</v>
      </c>
    </row>
    <row r="1622" spans="1:23" hidden="1">
      <c r="A1622" s="3" t="str">
        <f t="shared" si="25"/>
        <v>Período 1</v>
      </c>
      <c r="B1622">
        <v>660</v>
      </c>
      <c r="C1622" t="s">
        <v>1315</v>
      </c>
      <c r="D1622" t="s">
        <v>1070</v>
      </c>
      <c r="E1622" s="3" t="str">
        <f>IF(LEN(Base_Periodo1[[#This Row],[CLASS]])&gt;=7,LEFT(Base_Periodo1[[#This Row],[CLASS]],7),"")</f>
        <v>1.1.3.1</v>
      </c>
      <c r="F1622" s="3" t="str">
        <f>VLOOKUP(Base_Periodo1[[#This Row],[Aux]],Base_Contas_Balanco[#All],2,FALSE)</f>
        <v>Estoques Proprios</v>
      </c>
      <c r="G1622" s="1">
        <v>42886</v>
      </c>
      <c r="H1622" s="225">
        <v>419967.21999999695</v>
      </c>
      <c r="I1622" s="225">
        <v>0</v>
      </c>
      <c r="J1622" s="225">
        <v>101603.65</v>
      </c>
      <c r="K1622" s="225">
        <v>521570.86999999697</v>
      </c>
      <c r="L16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-521570.87</v>
      </c>
      <c r="M1622" s="225">
        <f>ROUND(IF(AND(Base_Periodo1[[#This Row],[Tipo_Linha]]="-",Base_Periodo1[[#This Row],[TIPOSALDO]]="D"),Base_Periodo1[[#This Row],[SALDO_ATUAL]]*-1,Base_Periodo1[[#This Row],[SALDO_ATUAL]]),4)</f>
        <v>521570.87</v>
      </c>
      <c r="N1622" t="s">
        <v>116</v>
      </c>
      <c r="O1622" t="s">
        <v>459</v>
      </c>
      <c r="P1622" t="s">
        <v>459</v>
      </c>
      <c r="Q1622">
        <v>9</v>
      </c>
      <c r="R1622" s="225">
        <f>Base_Periodo1[[#This Row],[CREDITOS]]-Base_Periodo1[[#This Row],[DEBITOS]]</f>
        <v>101603.65</v>
      </c>
      <c r="S1622" s="3" t="str">
        <f>IF(ISERROR(VLOOKUP(Base_Periodo1[[#This Row],[CONTA]],BaseContasDRE[#All],4,FALSE)),"Fora do DRE",VLOOKUP(Base_Periodo1[[#This Row],[CONTA]],BaseContasDRE[#All],4,FALSE))</f>
        <v>Fora do DRE</v>
      </c>
      <c r="T1622" s="3" t="str">
        <f>IF(ISERROR(VLOOKUP(Base_Periodo1[[#This Row],[CONTA]],BaseContasDRE[#All],5,FALSE)),"Fora do DRE",VLOOKUP(Base_Periodo1[[#This Row],[CONTA]],BaseContasDRE[#All],6,FALSE))</f>
        <v>Fora do DRE</v>
      </c>
      <c r="U1622" s="3" t="str">
        <f>IF(ISERROR(VLOOKUP(Base_Periodo1[[#This Row],[CONTA]],BaseContasDRE[#All],7,FALSE)),"Fora do DRE",VLOOKUP(Base_Periodo1[[#This Row],[CONTA]],BaseContasDRE[#All],7,FALSE))</f>
        <v>Fora do DRE</v>
      </c>
      <c r="V1622" s="3" t="str">
        <f>IF(Base_Periodo1[[#This Row],[Tipo_Linha]]="Fora do DRE","Fora do DRE","( "&amp;Base_Periodo1[[#This Row],[Tipo_Linha]]&amp;" ) "&amp;Base_Periodo1[[#This Row],[Filtro]])</f>
        <v>Fora do DRE</v>
      </c>
      <c r="W1622" s="3" t="str">
        <f>LEFT(Base_Periodo1[[#This Row],[CLASS]],3)</f>
        <v>1.1</v>
      </c>
    </row>
    <row r="1623" spans="1:23" hidden="1">
      <c r="A1623" s="3" t="str">
        <f t="shared" si="25"/>
        <v>Período 1</v>
      </c>
      <c r="B1623">
        <v>661</v>
      </c>
      <c r="C1623" t="s">
        <v>6267</v>
      </c>
      <c r="D1623" t="s">
        <v>1166</v>
      </c>
      <c r="E1623" s="3" t="str">
        <f>IF(LEN(Base_Periodo1[[#This Row],[CLASS]])&gt;=7,LEFT(Base_Periodo1[[#This Row],[CLASS]],7),"")</f>
        <v>1.1.3.1</v>
      </c>
      <c r="F1623" s="3" t="str">
        <f>VLOOKUP(Base_Periodo1[[#This Row],[Aux]],Base_Contas_Balanco[#All],2,FALSE)</f>
        <v>Estoques Proprios</v>
      </c>
      <c r="G1623" s="1"/>
      <c r="H1623" s="225">
        <v>82348.400000000023</v>
      </c>
      <c r="I1623" s="225">
        <v>0</v>
      </c>
      <c r="J1623" s="225">
        <v>0</v>
      </c>
      <c r="K1623" s="225">
        <v>82348.400000000023</v>
      </c>
      <c r="L16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-82348.399999999994</v>
      </c>
      <c r="M1623" s="225">
        <f>ROUND(IF(AND(Base_Periodo1[[#This Row],[Tipo_Linha]]="-",Base_Periodo1[[#This Row],[TIPOSALDO]]="D"),Base_Periodo1[[#This Row],[SALDO_ATUAL]]*-1,Base_Periodo1[[#This Row],[SALDO_ATUAL]]),4)</f>
        <v>82348.399999999994</v>
      </c>
      <c r="N1623" t="s">
        <v>396</v>
      </c>
      <c r="O1623" t="s">
        <v>459</v>
      </c>
      <c r="P1623" t="s">
        <v>459</v>
      </c>
      <c r="Q1623">
        <v>8</v>
      </c>
      <c r="R1623" s="225">
        <f>Base_Periodo1[[#This Row],[CREDITOS]]-Base_Periodo1[[#This Row],[DEBITOS]]</f>
        <v>0</v>
      </c>
      <c r="S1623" s="3" t="str">
        <f>IF(ISERROR(VLOOKUP(Base_Periodo1[[#This Row],[CONTA]],BaseContasDRE[#All],4,FALSE)),"Fora do DRE",VLOOKUP(Base_Periodo1[[#This Row],[CONTA]],BaseContasDRE[#All],4,FALSE))</f>
        <v>Fora do DRE</v>
      </c>
      <c r="T1623" s="3" t="str">
        <f>IF(ISERROR(VLOOKUP(Base_Periodo1[[#This Row],[CONTA]],BaseContasDRE[#All],5,FALSE)),"Fora do DRE",VLOOKUP(Base_Periodo1[[#This Row],[CONTA]],BaseContasDRE[#All],6,FALSE))</f>
        <v>Fora do DRE</v>
      </c>
      <c r="U1623" s="3" t="str">
        <f>IF(ISERROR(VLOOKUP(Base_Periodo1[[#This Row],[CONTA]],BaseContasDRE[#All],7,FALSE)),"Fora do DRE",VLOOKUP(Base_Periodo1[[#This Row],[CONTA]],BaseContasDRE[#All],7,FALSE))</f>
        <v>Fora do DRE</v>
      </c>
      <c r="V1623" s="3" t="str">
        <f>IF(Base_Periodo1[[#This Row],[Tipo_Linha]]="Fora do DRE","Fora do DRE","( "&amp;Base_Periodo1[[#This Row],[Tipo_Linha]]&amp;" ) "&amp;Base_Periodo1[[#This Row],[Filtro]])</f>
        <v>Fora do DRE</v>
      </c>
      <c r="W1623" s="3" t="str">
        <f>LEFT(Base_Periodo1[[#This Row],[CLASS]],3)</f>
        <v>1.1</v>
      </c>
    </row>
    <row r="1624" spans="1:23" hidden="1">
      <c r="A1624" s="3" t="str">
        <f t="shared" si="25"/>
        <v>Período 1</v>
      </c>
      <c r="B1624">
        <v>663</v>
      </c>
      <c r="C1624" t="s">
        <v>6268</v>
      </c>
      <c r="D1624" t="s">
        <v>1167</v>
      </c>
      <c r="E1624" s="3" t="str">
        <f>IF(LEN(Base_Periodo1[[#This Row],[CLASS]])&gt;=7,LEFT(Base_Periodo1[[#This Row],[CLASS]],7),"")</f>
        <v>1.1.3.1</v>
      </c>
      <c r="F1624" s="3" t="str">
        <f>VLOOKUP(Base_Periodo1[[#This Row],[Aux]],Base_Contas_Balanco[#All],2,FALSE)</f>
        <v>Estoques Proprios</v>
      </c>
      <c r="G1624" s="1">
        <v>42838</v>
      </c>
      <c r="H1624" s="225">
        <v>82348.400000000023</v>
      </c>
      <c r="I1624" s="225">
        <v>0</v>
      </c>
      <c r="J1624" s="225">
        <v>0</v>
      </c>
      <c r="K1624" s="225">
        <v>82348.400000000023</v>
      </c>
      <c r="L16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-82348.399999999994</v>
      </c>
      <c r="M1624" s="225">
        <f>ROUND(IF(AND(Base_Periodo1[[#This Row],[Tipo_Linha]]="-",Base_Periodo1[[#This Row],[TIPOSALDO]]="D"),Base_Periodo1[[#This Row],[SALDO_ATUAL]]*-1,Base_Periodo1[[#This Row],[SALDO_ATUAL]]),4)</f>
        <v>82348.399999999994</v>
      </c>
      <c r="N1624" t="s">
        <v>116</v>
      </c>
      <c r="O1624" t="s">
        <v>459</v>
      </c>
      <c r="P1624" t="s">
        <v>459</v>
      </c>
      <c r="Q1624">
        <v>9</v>
      </c>
      <c r="R1624" s="225">
        <f>Base_Periodo1[[#This Row],[CREDITOS]]-Base_Periodo1[[#This Row],[DEBITOS]]</f>
        <v>0</v>
      </c>
      <c r="S1624" s="3" t="str">
        <f>IF(ISERROR(VLOOKUP(Base_Periodo1[[#This Row],[CONTA]],BaseContasDRE[#All],4,FALSE)),"Fora do DRE",VLOOKUP(Base_Periodo1[[#This Row],[CONTA]],BaseContasDRE[#All],4,FALSE))</f>
        <v>Fora do DRE</v>
      </c>
      <c r="T1624" s="3" t="str">
        <f>IF(ISERROR(VLOOKUP(Base_Periodo1[[#This Row],[CONTA]],BaseContasDRE[#All],5,FALSE)),"Fora do DRE",VLOOKUP(Base_Periodo1[[#This Row],[CONTA]],BaseContasDRE[#All],6,FALSE))</f>
        <v>Fora do DRE</v>
      </c>
      <c r="U1624" s="3" t="str">
        <f>IF(ISERROR(VLOOKUP(Base_Periodo1[[#This Row],[CONTA]],BaseContasDRE[#All],7,FALSE)),"Fora do DRE",VLOOKUP(Base_Periodo1[[#This Row],[CONTA]],BaseContasDRE[#All],7,FALSE))</f>
        <v>Fora do DRE</v>
      </c>
      <c r="V1624" s="3" t="str">
        <f>IF(Base_Periodo1[[#This Row],[Tipo_Linha]]="Fora do DRE","Fora do DRE","( "&amp;Base_Periodo1[[#This Row],[Tipo_Linha]]&amp;" ) "&amp;Base_Periodo1[[#This Row],[Filtro]])</f>
        <v>Fora do DRE</v>
      </c>
      <c r="W1624" s="3" t="str">
        <f>LEFT(Base_Periodo1[[#This Row],[CLASS]],3)</f>
        <v>1.1</v>
      </c>
    </row>
    <row r="1625" spans="1:23" hidden="1">
      <c r="A1625" s="3" t="str">
        <f t="shared" si="25"/>
        <v>Período 1</v>
      </c>
      <c r="B1625">
        <v>664</v>
      </c>
      <c r="C1625" t="s">
        <v>1316</v>
      </c>
      <c r="D1625" t="s">
        <v>1072</v>
      </c>
      <c r="E1625" s="3" t="str">
        <f>IF(LEN(Base_Periodo1[[#This Row],[CLASS]])&gt;=7,LEFT(Base_Periodo1[[#This Row],[CLASS]],7),"")</f>
        <v>1.1.3.1</v>
      </c>
      <c r="F1625" s="3" t="str">
        <f>VLOOKUP(Base_Periodo1[[#This Row],[Aux]],Base_Contas_Balanco[#All],2,FALSE)</f>
        <v>Estoques Proprios</v>
      </c>
      <c r="G1625" s="1"/>
      <c r="H1625" s="225">
        <v>3278841.5299998969</v>
      </c>
      <c r="I1625" s="225">
        <v>0</v>
      </c>
      <c r="J1625" s="225">
        <v>2109859.46</v>
      </c>
      <c r="K1625" s="225">
        <v>5388700.9899998968</v>
      </c>
      <c r="L16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-5388700.9900000002</v>
      </c>
      <c r="M1625" s="225">
        <f>ROUND(IF(AND(Base_Periodo1[[#This Row],[Tipo_Linha]]="-",Base_Periodo1[[#This Row],[TIPOSALDO]]="D"),Base_Periodo1[[#This Row],[SALDO_ATUAL]]*-1,Base_Periodo1[[#This Row],[SALDO_ATUAL]]),4)</f>
        <v>5388700.9900000002</v>
      </c>
      <c r="N1625" t="s">
        <v>396</v>
      </c>
      <c r="O1625" t="s">
        <v>459</v>
      </c>
      <c r="P1625" t="s">
        <v>459</v>
      </c>
      <c r="Q1625">
        <v>8</v>
      </c>
      <c r="R1625" s="225">
        <f>Base_Periodo1[[#This Row],[CREDITOS]]-Base_Periodo1[[#This Row],[DEBITOS]]</f>
        <v>2109859.46</v>
      </c>
      <c r="S1625" s="3" t="str">
        <f>IF(ISERROR(VLOOKUP(Base_Periodo1[[#This Row],[CONTA]],BaseContasDRE[#All],4,FALSE)),"Fora do DRE",VLOOKUP(Base_Periodo1[[#This Row],[CONTA]],BaseContasDRE[#All],4,FALSE))</f>
        <v>Fora do DRE</v>
      </c>
      <c r="T1625" s="3" t="str">
        <f>IF(ISERROR(VLOOKUP(Base_Periodo1[[#This Row],[CONTA]],BaseContasDRE[#All],5,FALSE)),"Fora do DRE",VLOOKUP(Base_Periodo1[[#This Row],[CONTA]],BaseContasDRE[#All],6,FALSE))</f>
        <v>Fora do DRE</v>
      </c>
      <c r="U1625" s="3" t="str">
        <f>IF(ISERROR(VLOOKUP(Base_Periodo1[[#This Row],[CONTA]],BaseContasDRE[#All],7,FALSE)),"Fora do DRE",VLOOKUP(Base_Periodo1[[#This Row],[CONTA]],BaseContasDRE[#All],7,FALSE))</f>
        <v>Fora do DRE</v>
      </c>
      <c r="V1625" s="3" t="str">
        <f>IF(Base_Periodo1[[#This Row],[Tipo_Linha]]="Fora do DRE","Fora do DRE","( "&amp;Base_Periodo1[[#This Row],[Tipo_Linha]]&amp;" ) "&amp;Base_Periodo1[[#This Row],[Filtro]])</f>
        <v>Fora do DRE</v>
      </c>
      <c r="W1625" s="3" t="str">
        <f>LEFT(Base_Periodo1[[#This Row],[CLASS]],3)</f>
        <v>1.1</v>
      </c>
    </row>
    <row r="1626" spans="1:23" hidden="1">
      <c r="A1626" s="3" t="str">
        <f t="shared" si="25"/>
        <v>Período 1</v>
      </c>
      <c r="B1626">
        <v>665</v>
      </c>
      <c r="C1626" t="s">
        <v>1317</v>
      </c>
      <c r="D1626" t="s">
        <v>1074</v>
      </c>
      <c r="E1626" s="3" t="str">
        <f>IF(LEN(Base_Periodo1[[#This Row],[CLASS]])&gt;=7,LEFT(Base_Periodo1[[#This Row],[CLASS]],7),"")</f>
        <v>1.1.3.1</v>
      </c>
      <c r="F1626" s="3" t="str">
        <f>VLOOKUP(Base_Periodo1[[#This Row],[Aux]],Base_Contas_Balanco[#All],2,FALSE)</f>
        <v>Estoques Proprios</v>
      </c>
      <c r="G1626" s="1">
        <v>42884</v>
      </c>
      <c r="H1626" s="225">
        <v>3278841.5299998969</v>
      </c>
      <c r="I1626" s="225">
        <v>0</v>
      </c>
      <c r="J1626" s="225">
        <v>2109859.46</v>
      </c>
      <c r="K1626" s="225">
        <v>5388700.9899998968</v>
      </c>
      <c r="L16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-5388700.9900000002</v>
      </c>
      <c r="M1626" s="225">
        <f>ROUND(IF(AND(Base_Periodo1[[#This Row],[Tipo_Linha]]="-",Base_Periodo1[[#This Row],[TIPOSALDO]]="D"),Base_Periodo1[[#This Row],[SALDO_ATUAL]]*-1,Base_Periodo1[[#This Row],[SALDO_ATUAL]]),4)</f>
        <v>5388700.9900000002</v>
      </c>
      <c r="N1626" t="s">
        <v>116</v>
      </c>
      <c r="O1626" t="s">
        <v>459</v>
      </c>
      <c r="P1626" t="s">
        <v>459</v>
      </c>
      <c r="Q1626">
        <v>9</v>
      </c>
      <c r="R1626" s="225">
        <f>Base_Periodo1[[#This Row],[CREDITOS]]-Base_Periodo1[[#This Row],[DEBITOS]]</f>
        <v>2109859.46</v>
      </c>
      <c r="S1626" s="3" t="str">
        <f>IF(ISERROR(VLOOKUP(Base_Periodo1[[#This Row],[CONTA]],BaseContasDRE[#All],4,FALSE)),"Fora do DRE",VLOOKUP(Base_Periodo1[[#This Row],[CONTA]],BaseContasDRE[#All],4,FALSE))</f>
        <v>Fora do DRE</v>
      </c>
      <c r="T1626" s="3" t="str">
        <f>IF(ISERROR(VLOOKUP(Base_Periodo1[[#This Row],[CONTA]],BaseContasDRE[#All],5,FALSE)),"Fora do DRE",VLOOKUP(Base_Periodo1[[#This Row],[CONTA]],BaseContasDRE[#All],6,FALSE))</f>
        <v>Fora do DRE</v>
      </c>
      <c r="U1626" s="3" t="str">
        <f>IF(ISERROR(VLOOKUP(Base_Periodo1[[#This Row],[CONTA]],BaseContasDRE[#All],7,FALSE)),"Fora do DRE",VLOOKUP(Base_Periodo1[[#This Row],[CONTA]],BaseContasDRE[#All],7,FALSE))</f>
        <v>Fora do DRE</v>
      </c>
      <c r="V1626" s="3" t="str">
        <f>IF(Base_Periodo1[[#This Row],[Tipo_Linha]]="Fora do DRE","Fora do DRE","( "&amp;Base_Periodo1[[#This Row],[Tipo_Linha]]&amp;" ) "&amp;Base_Periodo1[[#This Row],[Filtro]])</f>
        <v>Fora do DRE</v>
      </c>
      <c r="W1626" s="3" t="str">
        <f>LEFT(Base_Periodo1[[#This Row],[CLASS]],3)</f>
        <v>1.1</v>
      </c>
    </row>
    <row r="1627" spans="1:23" hidden="1">
      <c r="A1627" s="3" t="str">
        <f t="shared" si="25"/>
        <v>Período 1</v>
      </c>
      <c r="B1627">
        <v>666</v>
      </c>
      <c r="C1627" t="s">
        <v>1318</v>
      </c>
      <c r="D1627" t="s">
        <v>1171</v>
      </c>
      <c r="E1627" s="3" t="str">
        <f>IF(LEN(Base_Periodo1[[#This Row],[CLASS]])&gt;=7,LEFT(Base_Periodo1[[#This Row],[CLASS]],7),"")</f>
        <v>1.1.3.1</v>
      </c>
      <c r="F1627" s="3" t="str">
        <f>VLOOKUP(Base_Periodo1[[#This Row],[Aux]],Base_Contas_Balanco[#All],2,FALSE)</f>
        <v>Estoques Proprios</v>
      </c>
      <c r="G1627" s="1"/>
      <c r="H1627" s="225">
        <v>44423.679999999993</v>
      </c>
      <c r="I1627" s="225">
        <v>0</v>
      </c>
      <c r="J1627" s="225">
        <v>1223.33</v>
      </c>
      <c r="K1627" s="225">
        <v>45647.009999999995</v>
      </c>
      <c r="L16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-45647.01</v>
      </c>
      <c r="M1627" s="225">
        <f>ROUND(IF(AND(Base_Periodo1[[#This Row],[Tipo_Linha]]="-",Base_Periodo1[[#This Row],[TIPOSALDO]]="D"),Base_Periodo1[[#This Row],[SALDO_ATUAL]]*-1,Base_Periodo1[[#This Row],[SALDO_ATUAL]]),4)</f>
        <v>45647.01</v>
      </c>
      <c r="N1627" t="s">
        <v>396</v>
      </c>
      <c r="O1627" t="s">
        <v>459</v>
      </c>
      <c r="P1627" t="s">
        <v>459</v>
      </c>
      <c r="Q1627">
        <v>8</v>
      </c>
      <c r="R1627" s="225">
        <f>Base_Periodo1[[#This Row],[CREDITOS]]-Base_Periodo1[[#This Row],[DEBITOS]]</f>
        <v>1223.33</v>
      </c>
      <c r="S1627" s="3" t="str">
        <f>IF(ISERROR(VLOOKUP(Base_Periodo1[[#This Row],[CONTA]],BaseContasDRE[#All],4,FALSE)),"Fora do DRE",VLOOKUP(Base_Periodo1[[#This Row],[CONTA]],BaseContasDRE[#All],4,FALSE))</f>
        <v>Fora do DRE</v>
      </c>
      <c r="T1627" s="3" t="str">
        <f>IF(ISERROR(VLOOKUP(Base_Periodo1[[#This Row],[CONTA]],BaseContasDRE[#All],5,FALSE)),"Fora do DRE",VLOOKUP(Base_Periodo1[[#This Row],[CONTA]],BaseContasDRE[#All],6,FALSE))</f>
        <v>Fora do DRE</v>
      </c>
      <c r="U1627" s="3" t="str">
        <f>IF(ISERROR(VLOOKUP(Base_Periodo1[[#This Row],[CONTA]],BaseContasDRE[#All],7,FALSE)),"Fora do DRE",VLOOKUP(Base_Periodo1[[#This Row],[CONTA]],BaseContasDRE[#All],7,FALSE))</f>
        <v>Fora do DRE</v>
      </c>
      <c r="V1627" s="3" t="str">
        <f>IF(Base_Periodo1[[#This Row],[Tipo_Linha]]="Fora do DRE","Fora do DRE","( "&amp;Base_Periodo1[[#This Row],[Tipo_Linha]]&amp;" ) "&amp;Base_Periodo1[[#This Row],[Filtro]])</f>
        <v>Fora do DRE</v>
      </c>
      <c r="W1627" s="3" t="str">
        <f>LEFT(Base_Periodo1[[#This Row],[CLASS]],3)</f>
        <v>1.1</v>
      </c>
    </row>
    <row r="1628" spans="1:23" hidden="1">
      <c r="A1628" s="3" t="str">
        <f t="shared" si="25"/>
        <v>Período 1</v>
      </c>
      <c r="B1628">
        <v>667</v>
      </c>
      <c r="C1628" t="s">
        <v>1319</v>
      </c>
      <c r="D1628" t="s">
        <v>1173</v>
      </c>
      <c r="E1628" s="3" t="str">
        <f>IF(LEN(Base_Periodo1[[#This Row],[CLASS]])&gt;=7,LEFT(Base_Periodo1[[#This Row],[CLASS]],7),"")</f>
        <v>1.1.3.1</v>
      </c>
      <c r="F1628" s="3" t="str">
        <f>VLOOKUP(Base_Periodo1[[#This Row],[Aux]],Base_Contas_Balanco[#All],2,FALSE)</f>
        <v>Estoques Proprios</v>
      </c>
      <c r="G1628" s="1">
        <v>42865</v>
      </c>
      <c r="H1628" s="225">
        <v>43623.679999999993</v>
      </c>
      <c r="I1628" s="225">
        <v>0</v>
      </c>
      <c r="J1628" s="225">
        <v>1223.33</v>
      </c>
      <c r="K1628" s="225">
        <v>44847.009999999995</v>
      </c>
      <c r="L16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-44847.01</v>
      </c>
      <c r="M1628" s="225">
        <f>ROUND(IF(AND(Base_Periodo1[[#This Row],[Tipo_Linha]]="-",Base_Periodo1[[#This Row],[TIPOSALDO]]="D"),Base_Periodo1[[#This Row],[SALDO_ATUAL]]*-1,Base_Periodo1[[#This Row],[SALDO_ATUAL]]),4)</f>
        <v>44847.01</v>
      </c>
      <c r="N1628" t="s">
        <v>116</v>
      </c>
      <c r="O1628" t="s">
        <v>459</v>
      </c>
      <c r="P1628" t="s">
        <v>459</v>
      </c>
      <c r="Q1628">
        <v>9</v>
      </c>
      <c r="R1628" s="225">
        <f>Base_Periodo1[[#This Row],[CREDITOS]]-Base_Periodo1[[#This Row],[DEBITOS]]</f>
        <v>1223.33</v>
      </c>
      <c r="S1628" s="3" t="str">
        <f>IF(ISERROR(VLOOKUP(Base_Periodo1[[#This Row],[CONTA]],BaseContasDRE[#All],4,FALSE)),"Fora do DRE",VLOOKUP(Base_Periodo1[[#This Row],[CONTA]],BaseContasDRE[#All],4,FALSE))</f>
        <v>Fora do DRE</v>
      </c>
      <c r="T1628" s="3" t="str">
        <f>IF(ISERROR(VLOOKUP(Base_Periodo1[[#This Row],[CONTA]],BaseContasDRE[#All],5,FALSE)),"Fora do DRE",VLOOKUP(Base_Periodo1[[#This Row],[CONTA]],BaseContasDRE[#All],6,FALSE))</f>
        <v>Fora do DRE</v>
      </c>
      <c r="U1628" s="3" t="str">
        <f>IF(ISERROR(VLOOKUP(Base_Periodo1[[#This Row],[CONTA]],BaseContasDRE[#All],7,FALSE)),"Fora do DRE",VLOOKUP(Base_Periodo1[[#This Row],[CONTA]],BaseContasDRE[#All],7,FALSE))</f>
        <v>Fora do DRE</v>
      </c>
      <c r="V1628" s="3" t="str">
        <f>IF(Base_Periodo1[[#This Row],[Tipo_Linha]]="Fora do DRE","Fora do DRE","( "&amp;Base_Periodo1[[#This Row],[Tipo_Linha]]&amp;" ) "&amp;Base_Periodo1[[#This Row],[Filtro]])</f>
        <v>Fora do DRE</v>
      </c>
      <c r="W1628" s="3" t="str">
        <f>LEFT(Base_Periodo1[[#This Row],[CLASS]],3)</f>
        <v>1.1</v>
      </c>
    </row>
    <row r="1629" spans="1:23" hidden="1">
      <c r="A1629" s="3" t="str">
        <f t="shared" si="25"/>
        <v>Período 1</v>
      </c>
      <c r="B1629">
        <v>668</v>
      </c>
      <c r="C1629" t="s">
        <v>5907</v>
      </c>
      <c r="D1629" t="s">
        <v>1174</v>
      </c>
      <c r="E1629" s="3" t="str">
        <f>IF(LEN(Base_Periodo1[[#This Row],[CLASS]])&gt;=7,LEFT(Base_Periodo1[[#This Row],[CLASS]],7),"")</f>
        <v>1.1.3.1</v>
      </c>
      <c r="F1629" s="3" t="str">
        <f>VLOOKUP(Base_Periodo1[[#This Row],[Aux]],Base_Contas_Balanco[#All],2,FALSE)</f>
        <v>Estoques Proprios</v>
      </c>
      <c r="G1629" s="1">
        <v>42777</v>
      </c>
      <c r="H1629" s="225">
        <v>800</v>
      </c>
      <c r="I1629" s="225">
        <v>0</v>
      </c>
      <c r="J1629" s="225">
        <v>0</v>
      </c>
      <c r="K1629" s="225">
        <v>800</v>
      </c>
      <c r="L16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-800</v>
      </c>
      <c r="M1629" s="225">
        <f>ROUND(IF(AND(Base_Periodo1[[#This Row],[Tipo_Linha]]="-",Base_Periodo1[[#This Row],[TIPOSALDO]]="D"),Base_Periodo1[[#This Row],[SALDO_ATUAL]]*-1,Base_Periodo1[[#This Row],[SALDO_ATUAL]]),4)</f>
        <v>800</v>
      </c>
      <c r="N1629" t="s">
        <v>116</v>
      </c>
      <c r="O1629" t="s">
        <v>459</v>
      </c>
      <c r="P1629" t="s">
        <v>459</v>
      </c>
      <c r="Q1629">
        <v>9</v>
      </c>
      <c r="R1629" s="225">
        <f>Base_Periodo1[[#This Row],[CREDITOS]]-Base_Periodo1[[#This Row],[DEBITOS]]</f>
        <v>0</v>
      </c>
      <c r="S1629" s="3" t="str">
        <f>IF(ISERROR(VLOOKUP(Base_Periodo1[[#This Row],[CONTA]],BaseContasDRE[#All],4,FALSE)),"Fora do DRE",VLOOKUP(Base_Periodo1[[#This Row],[CONTA]],BaseContasDRE[#All],4,FALSE))</f>
        <v>Fora do DRE</v>
      </c>
      <c r="T1629" s="3" t="str">
        <f>IF(ISERROR(VLOOKUP(Base_Periodo1[[#This Row],[CONTA]],BaseContasDRE[#All],5,FALSE)),"Fora do DRE",VLOOKUP(Base_Periodo1[[#This Row],[CONTA]],BaseContasDRE[#All],6,FALSE))</f>
        <v>Fora do DRE</v>
      </c>
      <c r="U1629" s="3" t="str">
        <f>IF(ISERROR(VLOOKUP(Base_Periodo1[[#This Row],[CONTA]],BaseContasDRE[#All],7,FALSE)),"Fora do DRE",VLOOKUP(Base_Periodo1[[#This Row],[CONTA]],BaseContasDRE[#All],7,FALSE))</f>
        <v>Fora do DRE</v>
      </c>
      <c r="V1629" s="3" t="str">
        <f>IF(Base_Periodo1[[#This Row],[Tipo_Linha]]="Fora do DRE","Fora do DRE","( "&amp;Base_Periodo1[[#This Row],[Tipo_Linha]]&amp;" ) "&amp;Base_Periodo1[[#This Row],[Filtro]])</f>
        <v>Fora do DRE</v>
      </c>
      <c r="W1629" s="3" t="str">
        <f>LEFT(Base_Periodo1[[#This Row],[CLASS]],3)</f>
        <v>1.1</v>
      </c>
    </row>
    <row r="1630" spans="1:23" hidden="1">
      <c r="A1630" s="3" t="str">
        <f t="shared" si="25"/>
        <v>Período 1</v>
      </c>
      <c r="B1630">
        <v>669</v>
      </c>
      <c r="C1630" t="s">
        <v>4803</v>
      </c>
      <c r="D1630" t="s">
        <v>1150</v>
      </c>
      <c r="E1630" s="3" t="str">
        <f>IF(LEN(Base_Periodo1[[#This Row],[CLASS]])&gt;=7,LEFT(Base_Periodo1[[#This Row],[CLASS]],7),"")</f>
        <v>1.1.3.1</v>
      </c>
      <c r="F1630" s="3" t="str">
        <f>VLOOKUP(Base_Periodo1[[#This Row],[Aux]],Base_Contas_Balanco[#All],2,FALSE)</f>
        <v>Estoques Proprios</v>
      </c>
      <c r="G1630" s="1"/>
      <c r="H1630" s="225">
        <v>382.85999999999967</v>
      </c>
      <c r="I1630" s="225">
        <v>0</v>
      </c>
      <c r="J1630" s="225">
        <v>0</v>
      </c>
      <c r="K1630" s="225">
        <v>382.85999999999967</v>
      </c>
      <c r="L16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-382.86</v>
      </c>
      <c r="M1630" s="225">
        <f>ROUND(IF(AND(Base_Periodo1[[#This Row],[Tipo_Linha]]="-",Base_Periodo1[[#This Row],[TIPOSALDO]]="D"),Base_Periodo1[[#This Row],[SALDO_ATUAL]]*-1,Base_Periodo1[[#This Row],[SALDO_ATUAL]]),4)</f>
        <v>382.86</v>
      </c>
      <c r="N1630" t="s">
        <v>396</v>
      </c>
      <c r="O1630" t="s">
        <v>459</v>
      </c>
      <c r="P1630" t="s">
        <v>459</v>
      </c>
      <c r="Q1630">
        <v>8</v>
      </c>
      <c r="R1630" s="225">
        <f>Base_Periodo1[[#This Row],[CREDITOS]]-Base_Periodo1[[#This Row],[DEBITOS]]</f>
        <v>0</v>
      </c>
      <c r="S1630" s="3" t="str">
        <f>IF(ISERROR(VLOOKUP(Base_Periodo1[[#This Row],[CONTA]],BaseContasDRE[#All],4,FALSE)),"Fora do DRE",VLOOKUP(Base_Periodo1[[#This Row],[CONTA]],BaseContasDRE[#All],4,FALSE))</f>
        <v>Fora do DRE</v>
      </c>
      <c r="T1630" s="3" t="str">
        <f>IF(ISERROR(VLOOKUP(Base_Periodo1[[#This Row],[CONTA]],BaseContasDRE[#All],5,FALSE)),"Fora do DRE",VLOOKUP(Base_Periodo1[[#This Row],[CONTA]],BaseContasDRE[#All],6,FALSE))</f>
        <v>Fora do DRE</v>
      </c>
      <c r="U1630" s="3" t="str">
        <f>IF(ISERROR(VLOOKUP(Base_Periodo1[[#This Row],[CONTA]],BaseContasDRE[#All],7,FALSE)),"Fora do DRE",VLOOKUP(Base_Periodo1[[#This Row],[CONTA]],BaseContasDRE[#All],7,FALSE))</f>
        <v>Fora do DRE</v>
      </c>
      <c r="V1630" s="3" t="str">
        <f>IF(Base_Periodo1[[#This Row],[Tipo_Linha]]="Fora do DRE","Fora do DRE","( "&amp;Base_Periodo1[[#This Row],[Tipo_Linha]]&amp;" ) "&amp;Base_Periodo1[[#This Row],[Filtro]])</f>
        <v>Fora do DRE</v>
      </c>
      <c r="W1630" s="3" t="str">
        <f>LEFT(Base_Periodo1[[#This Row],[CLASS]],3)</f>
        <v>1.1</v>
      </c>
    </row>
    <row r="1631" spans="1:23" hidden="1">
      <c r="A1631" s="3" t="str">
        <f t="shared" si="25"/>
        <v>Período 1</v>
      </c>
      <c r="B1631">
        <v>670</v>
      </c>
      <c r="C1631" t="s">
        <v>4804</v>
      </c>
      <c r="D1631" t="s">
        <v>1176</v>
      </c>
      <c r="E1631" s="3" t="str">
        <f>IF(LEN(Base_Periodo1[[#This Row],[CLASS]])&gt;=7,LEFT(Base_Periodo1[[#This Row],[CLASS]],7),"")</f>
        <v>1.1.3.1</v>
      </c>
      <c r="F1631" s="3" t="str">
        <f>VLOOKUP(Base_Periodo1[[#This Row],[Aux]],Base_Contas_Balanco[#All],2,FALSE)</f>
        <v>Estoques Proprios</v>
      </c>
      <c r="G1631" s="1">
        <v>42825</v>
      </c>
      <c r="H1631" s="225">
        <v>382.85999999999967</v>
      </c>
      <c r="I1631" s="225">
        <v>0</v>
      </c>
      <c r="J1631" s="225">
        <v>0</v>
      </c>
      <c r="K1631" s="225">
        <v>382.85999999999967</v>
      </c>
      <c r="L16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-382.86</v>
      </c>
      <c r="M1631" s="225">
        <f>ROUND(IF(AND(Base_Periodo1[[#This Row],[Tipo_Linha]]="-",Base_Periodo1[[#This Row],[TIPOSALDO]]="D"),Base_Periodo1[[#This Row],[SALDO_ATUAL]]*-1,Base_Periodo1[[#This Row],[SALDO_ATUAL]]),4)</f>
        <v>382.86</v>
      </c>
      <c r="N1631" t="s">
        <v>116</v>
      </c>
      <c r="O1631" t="s">
        <v>459</v>
      </c>
      <c r="P1631" t="s">
        <v>459</v>
      </c>
      <c r="Q1631">
        <v>9</v>
      </c>
      <c r="R1631" s="225">
        <f>Base_Periodo1[[#This Row],[CREDITOS]]-Base_Periodo1[[#This Row],[DEBITOS]]</f>
        <v>0</v>
      </c>
      <c r="S1631" s="3" t="str">
        <f>IF(ISERROR(VLOOKUP(Base_Periodo1[[#This Row],[CONTA]],BaseContasDRE[#All],4,FALSE)),"Fora do DRE",VLOOKUP(Base_Periodo1[[#This Row],[CONTA]],BaseContasDRE[#All],4,FALSE))</f>
        <v>Fora do DRE</v>
      </c>
      <c r="T1631" s="3" t="str">
        <f>IF(ISERROR(VLOOKUP(Base_Periodo1[[#This Row],[CONTA]],BaseContasDRE[#All],5,FALSE)),"Fora do DRE",VLOOKUP(Base_Periodo1[[#This Row],[CONTA]],BaseContasDRE[#All],6,FALSE))</f>
        <v>Fora do DRE</v>
      </c>
      <c r="U1631" s="3" t="str">
        <f>IF(ISERROR(VLOOKUP(Base_Periodo1[[#This Row],[CONTA]],BaseContasDRE[#All],7,FALSE)),"Fora do DRE",VLOOKUP(Base_Periodo1[[#This Row],[CONTA]],BaseContasDRE[#All],7,FALSE))</f>
        <v>Fora do DRE</v>
      </c>
      <c r="V1631" s="3" t="str">
        <f>IF(Base_Periodo1[[#This Row],[Tipo_Linha]]="Fora do DRE","Fora do DRE","( "&amp;Base_Periodo1[[#This Row],[Tipo_Linha]]&amp;" ) "&amp;Base_Periodo1[[#This Row],[Filtro]])</f>
        <v>Fora do DRE</v>
      </c>
      <c r="W1631" s="3" t="str">
        <f>LEFT(Base_Periodo1[[#This Row],[CLASS]],3)</f>
        <v>1.1</v>
      </c>
    </row>
    <row r="1632" spans="1:23" hidden="1">
      <c r="A1632" s="3" t="str">
        <f t="shared" si="25"/>
        <v>Período 1</v>
      </c>
      <c r="B1632">
        <v>674</v>
      </c>
      <c r="C1632" t="s">
        <v>1320</v>
      </c>
      <c r="D1632" t="s">
        <v>1321</v>
      </c>
      <c r="E1632" s="3" t="str">
        <f>IF(LEN(Base_Periodo1[[#This Row],[CLASS]])&gt;=7,LEFT(Base_Periodo1[[#This Row],[CLASS]],7),"")</f>
        <v>1.1.3.1</v>
      </c>
      <c r="F1632" s="3" t="str">
        <f>VLOOKUP(Base_Periodo1[[#This Row],[Aux]],Base_Contas_Balanco[#All],2,FALSE)</f>
        <v>Estoques Proprios</v>
      </c>
      <c r="G1632" s="1"/>
      <c r="H1632" s="225">
        <v>234914.95000007586</v>
      </c>
      <c r="I1632" s="225">
        <v>973647.94</v>
      </c>
      <c r="J1632" s="225">
        <v>643383.14999999991</v>
      </c>
      <c r="K1632" s="225">
        <v>565179.74000007589</v>
      </c>
      <c r="L16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565179.74</v>
      </c>
      <c r="M1632" s="225">
        <f>ROUND(IF(AND(Base_Periodo1[[#This Row],[Tipo_Linha]]="-",Base_Periodo1[[#This Row],[TIPOSALDO]]="D"),Base_Periodo1[[#This Row],[SALDO_ATUAL]]*-1,Base_Periodo1[[#This Row],[SALDO_ATUAL]]),4)</f>
        <v>565179.74</v>
      </c>
      <c r="N1632" t="s">
        <v>396</v>
      </c>
      <c r="O1632" t="s">
        <v>397</v>
      </c>
      <c r="P1632" t="s">
        <v>397</v>
      </c>
      <c r="Q1632">
        <v>7</v>
      </c>
      <c r="R1632" s="225">
        <f>Base_Periodo1[[#This Row],[CREDITOS]]-Base_Periodo1[[#This Row],[DEBITOS]]</f>
        <v>-330264.79000000004</v>
      </c>
      <c r="S1632" s="3" t="str">
        <f>IF(ISERROR(VLOOKUP(Base_Periodo1[[#This Row],[CONTA]],BaseContasDRE[#All],4,FALSE)),"Fora do DRE",VLOOKUP(Base_Periodo1[[#This Row],[CONTA]],BaseContasDRE[#All],4,FALSE))</f>
        <v>Fora do DRE</v>
      </c>
      <c r="T1632" s="3" t="str">
        <f>IF(ISERROR(VLOOKUP(Base_Periodo1[[#This Row],[CONTA]],BaseContasDRE[#All],5,FALSE)),"Fora do DRE",VLOOKUP(Base_Periodo1[[#This Row],[CONTA]],BaseContasDRE[#All],6,FALSE))</f>
        <v>Fora do DRE</v>
      </c>
      <c r="U1632" s="3" t="str">
        <f>IF(ISERROR(VLOOKUP(Base_Periodo1[[#This Row],[CONTA]],BaseContasDRE[#All],7,FALSE)),"Fora do DRE",VLOOKUP(Base_Periodo1[[#This Row],[CONTA]],BaseContasDRE[#All],7,FALSE))</f>
        <v>Fora do DRE</v>
      </c>
      <c r="V1632" s="3" t="str">
        <f>IF(Base_Periodo1[[#This Row],[Tipo_Linha]]="Fora do DRE","Fora do DRE","( "&amp;Base_Periodo1[[#This Row],[Tipo_Linha]]&amp;" ) "&amp;Base_Periodo1[[#This Row],[Filtro]])</f>
        <v>Fora do DRE</v>
      </c>
      <c r="W1632" s="3" t="str">
        <f>LEFT(Base_Periodo1[[#This Row],[CLASS]],3)</f>
        <v>1.1</v>
      </c>
    </row>
    <row r="1633" spans="1:23" hidden="1">
      <c r="A1633" s="3" t="str">
        <f t="shared" si="25"/>
        <v>Período 1</v>
      </c>
      <c r="B1633">
        <v>675</v>
      </c>
      <c r="C1633" t="s">
        <v>1322</v>
      </c>
      <c r="D1633" t="s">
        <v>1054</v>
      </c>
      <c r="E1633" s="3" t="str">
        <f>IF(LEN(Base_Periodo1[[#This Row],[CLASS]])&gt;=7,LEFT(Base_Periodo1[[#This Row],[CLASS]],7),"")</f>
        <v>1.1.3.1</v>
      </c>
      <c r="F1633" s="3" t="str">
        <f>VLOOKUP(Base_Periodo1[[#This Row],[Aux]],Base_Contas_Balanco[#All],2,FALSE)</f>
        <v>Estoques Proprios</v>
      </c>
      <c r="G1633" s="1"/>
      <c r="H1633" s="225">
        <v>301808.02000001073</v>
      </c>
      <c r="I1633" s="225">
        <v>0</v>
      </c>
      <c r="J1633" s="225">
        <v>0</v>
      </c>
      <c r="K1633" s="225">
        <v>301808.02000001073</v>
      </c>
      <c r="L16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301808.02</v>
      </c>
      <c r="M1633" s="225">
        <f>ROUND(IF(AND(Base_Periodo1[[#This Row],[Tipo_Linha]]="-",Base_Periodo1[[#This Row],[TIPOSALDO]]="D"),Base_Periodo1[[#This Row],[SALDO_ATUAL]]*-1,Base_Periodo1[[#This Row],[SALDO_ATUAL]]),4)</f>
        <v>301808.02</v>
      </c>
      <c r="N1633" t="s">
        <v>396</v>
      </c>
      <c r="O1633" t="s">
        <v>397</v>
      </c>
      <c r="P1633" t="s">
        <v>397</v>
      </c>
      <c r="Q1633">
        <v>8</v>
      </c>
      <c r="R1633" s="225">
        <f>Base_Periodo1[[#This Row],[CREDITOS]]-Base_Periodo1[[#This Row],[DEBITOS]]</f>
        <v>0</v>
      </c>
      <c r="S1633" s="3" t="str">
        <f>IF(ISERROR(VLOOKUP(Base_Periodo1[[#This Row],[CONTA]],BaseContasDRE[#All],4,FALSE)),"Fora do DRE",VLOOKUP(Base_Periodo1[[#This Row],[CONTA]],BaseContasDRE[#All],4,FALSE))</f>
        <v>Fora do DRE</v>
      </c>
      <c r="T1633" s="3" t="str">
        <f>IF(ISERROR(VLOOKUP(Base_Periodo1[[#This Row],[CONTA]],BaseContasDRE[#All],5,FALSE)),"Fora do DRE",VLOOKUP(Base_Periodo1[[#This Row],[CONTA]],BaseContasDRE[#All],6,FALSE))</f>
        <v>Fora do DRE</v>
      </c>
      <c r="U1633" s="3" t="str">
        <f>IF(ISERROR(VLOOKUP(Base_Periodo1[[#This Row],[CONTA]],BaseContasDRE[#All],7,FALSE)),"Fora do DRE",VLOOKUP(Base_Periodo1[[#This Row],[CONTA]],BaseContasDRE[#All],7,FALSE))</f>
        <v>Fora do DRE</v>
      </c>
      <c r="V1633" s="3" t="str">
        <f>IF(Base_Periodo1[[#This Row],[Tipo_Linha]]="Fora do DRE","Fora do DRE","( "&amp;Base_Periodo1[[#This Row],[Tipo_Linha]]&amp;" ) "&amp;Base_Periodo1[[#This Row],[Filtro]])</f>
        <v>Fora do DRE</v>
      </c>
      <c r="W1633" s="3" t="str">
        <f>LEFT(Base_Periodo1[[#This Row],[CLASS]],3)</f>
        <v>1.1</v>
      </c>
    </row>
    <row r="1634" spans="1:23" hidden="1">
      <c r="A1634" s="3" t="str">
        <f t="shared" si="25"/>
        <v>Período 1</v>
      </c>
      <c r="B1634">
        <v>676</v>
      </c>
      <c r="C1634" t="s">
        <v>1323</v>
      </c>
      <c r="D1634" t="s">
        <v>1054</v>
      </c>
      <c r="E1634" s="3" t="str">
        <f>IF(LEN(Base_Periodo1[[#This Row],[CLASS]])&gt;=7,LEFT(Base_Periodo1[[#This Row],[CLASS]],7),"")</f>
        <v>1.1.3.1</v>
      </c>
      <c r="F1634" s="3" t="str">
        <f>VLOOKUP(Base_Periodo1[[#This Row],[Aux]],Base_Contas_Balanco[#All],2,FALSE)</f>
        <v>Estoques Proprios</v>
      </c>
      <c r="G1634" s="1">
        <v>42735</v>
      </c>
      <c r="H1634" s="225">
        <v>301808.02000001073</v>
      </c>
      <c r="I1634" s="225">
        <v>0</v>
      </c>
      <c r="J1634" s="225">
        <v>0</v>
      </c>
      <c r="K1634" s="225">
        <v>301808.02000001073</v>
      </c>
      <c r="L16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301808.02</v>
      </c>
      <c r="M1634" s="225">
        <f>ROUND(IF(AND(Base_Periodo1[[#This Row],[Tipo_Linha]]="-",Base_Periodo1[[#This Row],[TIPOSALDO]]="D"),Base_Periodo1[[#This Row],[SALDO_ATUAL]]*-1,Base_Periodo1[[#This Row],[SALDO_ATUAL]]),4)</f>
        <v>301808.02</v>
      </c>
      <c r="N1634" t="s">
        <v>116</v>
      </c>
      <c r="O1634" t="s">
        <v>397</v>
      </c>
      <c r="P1634" t="s">
        <v>397</v>
      </c>
      <c r="Q1634">
        <v>9</v>
      </c>
      <c r="R1634" s="225">
        <f>Base_Periodo1[[#This Row],[CREDITOS]]-Base_Periodo1[[#This Row],[DEBITOS]]</f>
        <v>0</v>
      </c>
      <c r="S1634" s="3" t="str">
        <f>IF(ISERROR(VLOOKUP(Base_Periodo1[[#This Row],[CONTA]],BaseContasDRE[#All],4,FALSE)),"Fora do DRE",VLOOKUP(Base_Periodo1[[#This Row],[CONTA]],BaseContasDRE[#All],4,FALSE))</f>
        <v>Fora do DRE</v>
      </c>
      <c r="T1634" s="3" t="str">
        <f>IF(ISERROR(VLOOKUP(Base_Periodo1[[#This Row],[CONTA]],BaseContasDRE[#All],5,FALSE)),"Fora do DRE",VLOOKUP(Base_Periodo1[[#This Row],[CONTA]],BaseContasDRE[#All],6,FALSE))</f>
        <v>Fora do DRE</v>
      </c>
      <c r="U1634" s="3" t="str">
        <f>IF(ISERROR(VLOOKUP(Base_Periodo1[[#This Row],[CONTA]],BaseContasDRE[#All],7,FALSE)),"Fora do DRE",VLOOKUP(Base_Periodo1[[#This Row],[CONTA]],BaseContasDRE[#All],7,FALSE))</f>
        <v>Fora do DRE</v>
      </c>
      <c r="V1634" s="3" t="str">
        <f>IF(Base_Periodo1[[#This Row],[Tipo_Linha]]="Fora do DRE","Fora do DRE","( "&amp;Base_Periodo1[[#This Row],[Tipo_Linha]]&amp;" ) "&amp;Base_Periodo1[[#This Row],[Filtro]])</f>
        <v>Fora do DRE</v>
      </c>
      <c r="W1634" s="3" t="str">
        <f>LEFT(Base_Periodo1[[#This Row],[CLASS]],3)</f>
        <v>1.1</v>
      </c>
    </row>
    <row r="1635" spans="1:23" hidden="1">
      <c r="A1635" s="3" t="str">
        <f t="shared" si="25"/>
        <v>Período 1</v>
      </c>
      <c r="B1635">
        <v>677</v>
      </c>
      <c r="C1635" t="s">
        <v>1324</v>
      </c>
      <c r="D1635" t="s">
        <v>1057</v>
      </c>
      <c r="E1635" s="3" t="str">
        <f>IF(LEN(Base_Periodo1[[#This Row],[CLASS]])&gt;=7,LEFT(Base_Periodo1[[#This Row],[CLASS]],7),"")</f>
        <v>1.1.3.1</v>
      </c>
      <c r="F1635" s="3" t="str">
        <f>VLOOKUP(Base_Periodo1[[#This Row],[Aux]],Base_Contas_Balanco[#All],2,FALSE)</f>
        <v>Estoques Proprios</v>
      </c>
      <c r="G1635" s="1"/>
      <c r="H1635" s="225">
        <v>2364350.6800000011</v>
      </c>
      <c r="I1635" s="225">
        <v>599107.73</v>
      </c>
      <c r="J1635" s="225">
        <v>5696.6500000000015</v>
      </c>
      <c r="K1635" s="225">
        <v>2957761.7600000012</v>
      </c>
      <c r="L16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2957761.76</v>
      </c>
      <c r="M1635" s="225">
        <f>ROUND(IF(AND(Base_Periodo1[[#This Row],[Tipo_Linha]]="-",Base_Periodo1[[#This Row],[TIPOSALDO]]="D"),Base_Periodo1[[#This Row],[SALDO_ATUAL]]*-1,Base_Periodo1[[#This Row],[SALDO_ATUAL]]),4)</f>
        <v>2957761.76</v>
      </c>
      <c r="N1635" t="s">
        <v>396</v>
      </c>
      <c r="O1635" t="s">
        <v>397</v>
      </c>
      <c r="P1635" t="s">
        <v>397</v>
      </c>
      <c r="Q1635">
        <v>8</v>
      </c>
      <c r="R1635" s="225">
        <f>Base_Periodo1[[#This Row],[CREDITOS]]-Base_Periodo1[[#This Row],[DEBITOS]]</f>
        <v>-593411.07999999996</v>
      </c>
      <c r="S1635" s="3" t="str">
        <f>IF(ISERROR(VLOOKUP(Base_Periodo1[[#This Row],[CONTA]],BaseContasDRE[#All],4,FALSE)),"Fora do DRE",VLOOKUP(Base_Periodo1[[#This Row],[CONTA]],BaseContasDRE[#All],4,FALSE))</f>
        <v>Fora do DRE</v>
      </c>
      <c r="T1635" s="3" t="str">
        <f>IF(ISERROR(VLOOKUP(Base_Periodo1[[#This Row],[CONTA]],BaseContasDRE[#All],5,FALSE)),"Fora do DRE",VLOOKUP(Base_Periodo1[[#This Row],[CONTA]],BaseContasDRE[#All],6,FALSE))</f>
        <v>Fora do DRE</v>
      </c>
      <c r="U1635" s="3" t="str">
        <f>IF(ISERROR(VLOOKUP(Base_Periodo1[[#This Row],[CONTA]],BaseContasDRE[#All],7,FALSE)),"Fora do DRE",VLOOKUP(Base_Periodo1[[#This Row],[CONTA]],BaseContasDRE[#All],7,FALSE))</f>
        <v>Fora do DRE</v>
      </c>
      <c r="V1635" s="3" t="str">
        <f>IF(Base_Periodo1[[#This Row],[Tipo_Linha]]="Fora do DRE","Fora do DRE","( "&amp;Base_Periodo1[[#This Row],[Tipo_Linha]]&amp;" ) "&amp;Base_Periodo1[[#This Row],[Filtro]])</f>
        <v>Fora do DRE</v>
      </c>
      <c r="W1635" s="3" t="str">
        <f>LEFT(Base_Periodo1[[#This Row],[CLASS]],3)</f>
        <v>1.1</v>
      </c>
    </row>
    <row r="1636" spans="1:23" hidden="1">
      <c r="A1636" s="3" t="str">
        <f t="shared" si="25"/>
        <v>Período 1</v>
      </c>
      <c r="B1636">
        <v>678</v>
      </c>
      <c r="C1636" t="s">
        <v>1325</v>
      </c>
      <c r="D1636" t="s">
        <v>1059</v>
      </c>
      <c r="E1636" s="3" t="str">
        <f>IF(LEN(Base_Periodo1[[#This Row],[CLASS]])&gt;=7,LEFT(Base_Periodo1[[#This Row],[CLASS]],7),"")</f>
        <v>1.1.3.1</v>
      </c>
      <c r="F1636" s="3" t="str">
        <f>VLOOKUP(Base_Periodo1[[#This Row],[Aux]],Base_Contas_Balanco[#All],2,FALSE)</f>
        <v>Estoques Proprios</v>
      </c>
      <c r="G1636" s="1">
        <v>42886</v>
      </c>
      <c r="H1636" s="225">
        <v>98309.790000000619</v>
      </c>
      <c r="I1636" s="225">
        <v>38602.380000000005</v>
      </c>
      <c r="J1636" s="225">
        <v>5696.6500000000015</v>
      </c>
      <c r="K1636" s="225">
        <v>131215.52000000063</v>
      </c>
      <c r="L16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131215.51999999999</v>
      </c>
      <c r="M1636" s="225">
        <f>ROUND(IF(AND(Base_Periodo1[[#This Row],[Tipo_Linha]]="-",Base_Periodo1[[#This Row],[TIPOSALDO]]="D"),Base_Periodo1[[#This Row],[SALDO_ATUAL]]*-1,Base_Periodo1[[#This Row],[SALDO_ATUAL]]),4)</f>
        <v>131215.51999999999</v>
      </c>
      <c r="N1636" t="s">
        <v>116</v>
      </c>
      <c r="O1636" t="s">
        <v>397</v>
      </c>
      <c r="P1636" t="s">
        <v>397</v>
      </c>
      <c r="Q1636">
        <v>9</v>
      </c>
      <c r="R1636" s="225">
        <f>Base_Periodo1[[#This Row],[CREDITOS]]-Base_Periodo1[[#This Row],[DEBITOS]]</f>
        <v>-32905.730000000003</v>
      </c>
      <c r="S1636" s="3" t="str">
        <f>IF(ISERROR(VLOOKUP(Base_Periodo1[[#This Row],[CONTA]],BaseContasDRE[#All],4,FALSE)),"Fora do DRE",VLOOKUP(Base_Periodo1[[#This Row],[CONTA]],BaseContasDRE[#All],4,FALSE))</f>
        <v>Fora do DRE</v>
      </c>
      <c r="T1636" s="3" t="str">
        <f>IF(ISERROR(VLOOKUP(Base_Periodo1[[#This Row],[CONTA]],BaseContasDRE[#All],5,FALSE)),"Fora do DRE",VLOOKUP(Base_Periodo1[[#This Row],[CONTA]],BaseContasDRE[#All],6,FALSE))</f>
        <v>Fora do DRE</v>
      </c>
      <c r="U1636" s="3" t="str">
        <f>IF(ISERROR(VLOOKUP(Base_Periodo1[[#This Row],[CONTA]],BaseContasDRE[#All],7,FALSE)),"Fora do DRE",VLOOKUP(Base_Periodo1[[#This Row],[CONTA]],BaseContasDRE[#All],7,FALSE))</f>
        <v>Fora do DRE</v>
      </c>
      <c r="V1636" s="3" t="str">
        <f>IF(Base_Periodo1[[#This Row],[Tipo_Linha]]="Fora do DRE","Fora do DRE","( "&amp;Base_Periodo1[[#This Row],[Tipo_Linha]]&amp;" ) "&amp;Base_Periodo1[[#This Row],[Filtro]])</f>
        <v>Fora do DRE</v>
      </c>
      <c r="W1636" s="3" t="str">
        <f>LEFT(Base_Periodo1[[#This Row],[CLASS]],3)</f>
        <v>1.1</v>
      </c>
    </row>
    <row r="1637" spans="1:23" hidden="1">
      <c r="A1637" s="3" t="str">
        <f t="shared" si="25"/>
        <v>Período 1</v>
      </c>
      <c r="B1637">
        <v>679</v>
      </c>
      <c r="C1637" t="s">
        <v>1326</v>
      </c>
      <c r="D1637" t="s">
        <v>1061</v>
      </c>
      <c r="E1637" s="3" t="str">
        <f>IF(LEN(Base_Periodo1[[#This Row],[CLASS]])&gt;=7,LEFT(Base_Periodo1[[#This Row],[CLASS]],7),"")</f>
        <v>1.1.3.1</v>
      </c>
      <c r="F1637" s="3" t="str">
        <f>VLOOKUP(Base_Periodo1[[#This Row],[Aux]],Base_Contas_Balanco[#All],2,FALSE)</f>
        <v>Estoques Proprios</v>
      </c>
      <c r="G1637" s="1">
        <v>42884</v>
      </c>
      <c r="H1637" s="225">
        <v>2266040.8900000006</v>
      </c>
      <c r="I1637" s="225">
        <v>560505.35</v>
      </c>
      <c r="J1637" s="225">
        <v>0</v>
      </c>
      <c r="K1637" s="225">
        <v>2826546.2400000007</v>
      </c>
      <c r="L16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2826546.24</v>
      </c>
      <c r="M1637" s="225">
        <f>ROUND(IF(AND(Base_Periodo1[[#This Row],[Tipo_Linha]]="-",Base_Periodo1[[#This Row],[TIPOSALDO]]="D"),Base_Periodo1[[#This Row],[SALDO_ATUAL]]*-1,Base_Periodo1[[#This Row],[SALDO_ATUAL]]),4)</f>
        <v>2826546.24</v>
      </c>
      <c r="N1637" t="s">
        <v>116</v>
      </c>
      <c r="O1637" t="s">
        <v>397</v>
      </c>
      <c r="P1637" t="s">
        <v>397</v>
      </c>
      <c r="Q1637">
        <v>9</v>
      </c>
      <c r="R1637" s="225">
        <f>Base_Periodo1[[#This Row],[CREDITOS]]-Base_Periodo1[[#This Row],[DEBITOS]]</f>
        <v>-560505.35</v>
      </c>
      <c r="S1637" s="3" t="str">
        <f>IF(ISERROR(VLOOKUP(Base_Periodo1[[#This Row],[CONTA]],BaseContasDRE[#All],4,FALSE)),"Fora do DRE",VLOOKUP(Base_Periodo1[[#This Row],[CONTA]],BaseContasDRE[#All],4,FALSE))</f>
        <v>Fora do DRE</v>
      </c>
      <c r="T1637" s="3" t="str">
        <f>IF(ISERROR(VLOOKUP(Base_Periodo1[[#This Row],[CONTA]],BaseContasDRE[#All],5,FALSE)),"Fora do DRE",VLOOKUP(Base_Periodo1[[#This Row],[CONTA]],BaseContasDRE[#All],6,FALSE))</f>
        <v>Fora do DRE</v>
      </c>
      <c r="U1637" s="3" t="str">
        <f>IF(ISERROR(VLOOKUP(Base_Periodo1[[#This Row],[CONTA]],BaseContasDRE[#All],7,FALSE)),"Fora do DRE",VLOOKUP(Base_Periodo1[[#This Row],[CONTA]],BaseContasDRE[#All],7,FALSE))</f>
        <v>Fora do DRE</v>
      </c>
      <c r="V1637" s="3" t="str">
        <f>IF(Base_Periodo1[[#This Row],[Tipo_Linha]]="Fora do DRE","Fora do DRE","( "&amp;Base_Periodo1[[#This Row],[Tipo_Linha]]&amp;" ) "&amp;Base_Periodo1[[#This Row],[Filtro]])</f>
        <v>Fora do DRE</v>
      </c>
      <c r="W1637" s="3" t="str">
        <f>LEFT(Base_Periodo1[[#This Row],[CLASS]],3)</f>
        <v>1.1</v>
      </c>
    </row>
    <row r="1638" spans="1:23" hidden="1">
      <c r="A1638" s="3" t="str">
        <f t="shared" si="25"/>
        <v>Período 1</v>
      </c>
      <c r="B1638">
        <v>684</v>
      </c>
      <c r="C1638" t="s">
        <v>1327</v>
      </c>
      <c r="D1638" t="s">
        <v>1063</v>
      </c>
      <c r="E1638" s="3" t="str">
        <f>IF(LEN(Base_Periodo1[[#This Row],[CLASS]])&gt;=7,LEFT(Base_Periodo1[[#This Row],[CLASS]],7),"")</f>
        <v>1.1.3.1</v>
      </c>
      <c r="F1638" s="3" t="str">
        <f>VLOOKUP(Base_Periodo1[[#This Row],[Aux]],Base_Contas_Balanco[#All],2,FALSE)</f>
        <v>Estoques Proprios</v>
      </c>
      <c r="G1638" s="1"/>
      <c r="H1638" s="225">
        <v>1037594.7600000054</v>
      </c>
      <c r="I1638" s="225">
        <v>374540.20999999996</v>
      </c>
      <c r="J1638" s="225">
        <v>0</v>
      </c>
      <c r="K1638" s="225">
        <v>1412134.9700000053</v>
      </c>
      <c r="L16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1412134.97</v>
      </c>
      <c r="M1638" s="225">
        <f>ROUND(IF(AND(Base_Periodo1[[#This Row],[Tipo_Linha]]="-",Base_Periodo1[[#This Row],[TIPOSALDO]]="D"),Base_Periodo1[[#This Row],[SALDO_ATUAL]]*-1,Base_Periodo1[[#This Row],[SALDO_ATUAL]]),4)</f>
        <v>1412134.97</v>
      </c>
      <c r="N1638" t="s">
        <v>396</v>
      </c>
      <c r="O1638" t="s">
        <v>397</v>
      </c>
      <c r="P1638" t="s">
        <v>397</v>
      </c>
      <c r="Q1638">
        <v>8</v>
      </c>
      <c r="R1638" s="225">
        <f>Base_Periodo1[[#This Row],[CREDITOS]]-Base_Periodo1[[#This Row],[DEBITOS]]</f>
        <v>-374540.20999999996</v>
      </c>
      <c r="S1638" s="3" t="str">
        <f>IF(ISERROR(VLOOKUP(Base_Periodo1[[#This Row],[CONTA]],BaseContasDRE[#All],4,FALSE)),"Fora do DRE",VLOOKUP(Base_Periodo1[[#This Row],[CONTA]],BaseContasDRE[#All],4,FALSE))</f>
        <v>Fora do DRE</v>
      </c>
      <c r="T1638" s="3" t="str">
        <f>IF(ISERROR(VLOOKUP(Base_Periodo1[[#This Row],[CONTA]],BaseContasDRE[#All],5,FALSE)),"Fora do DRE",VLOOKUP(Base_Periodo1[[#This Row],[CONTA]],BaseContasDRE[#All],6,FALSE))</f>
        <v>Fora do DRE</v>
      </c>
      <c r="U1638" s="3" t="str">
        <f>IF(ISERROR(VLOOKUP(Base_Periodo1[[#This Row],[CONTA]],BaseContasDRE[#All],7,FALSE)),"Fora do DRE",VLOOKUP(Base_Periodo1[[#This Row],[CONTA]],BaseContasDRE[#All],7,FALSE))</f>
        <v>Fora do DRE</v>
      </c>
      <c r="V1638" s="3" t="str">
        <f>IF(Base_Periodo1[[#This Row],[Tipo_Linha]]="Fora do DRE","Fora do DRE","( "&amp;Base_Periodo1[[#This Row],[Tipo_Linha]]&amp;" ) "&amp;Base_Periodo1[[#This Row],[Filtro]])</f>
        <v>Fora do DRE</v>
      </c>
      <c r="W1638" s="3" t="str">
        <f>LEFT(Base_Periodo1[[#This Row],[CLASS]],3)</f>
        <v>1.1</v>
      </c>
    </row>
    <row r="1639" spans="1:23" hidden="1">
      <c r="A1639" s="3" t="str">
        <f t="shared" si="25"/>
        <v>Período 1</v>
      </c>
      <c r="B1639">
        <v>685</v>
      </c>
      <c r="C1639" t="s">
        <v>1328</v>
      </c>
      <c r="D1639" t="s">
        <v>1065</v>
      </c>
      <c r="E1639" s="3" t="str">
        <f>IF(LEN(Base_Periodo1[[#This Row],[CLASS]])&gt;=7,LEFT(Base_Periodo1[[#This Row],[CLASS]],7),"")</f>
        <v>1.1.3.1</v>
      </c>
      <c r="F1639" s="3" t="str">
        <f>VLOOKUP(Base_Periodo1[[#This Row],[Aux]],Base_Contas_Balanco[#All],2,FALSE)</f>
        <v>Estoques Proprios</v>
      </c>
      <c r="G1639" s="1">
        <v>42886</v>
      </c>
      <c r="H1639" s="225">
        <v>1037594.7600000054</v>
      </c>
      <c r="I1639" s="225">
        <v>374540.20999999996</v>
      </c>
      <c r="J1639" s="225">
        <v>0</v>
      </c>
      <c r="K1639" s="225">
        <v>1412134.9700000053</v>
      </c>
      <c r="L16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1412134.97</v>
      </c>
      <c r="M1639" s="225">
        <f>ROUND(IF(AND(Base_Periodo1[[#This Row],[Tipo_Linha]]="-",Base_Periodo1[[#This Row],[TIPOSALDO]]="D"),Base_Periodo1[[#This Row],[SALDO_ATUAL]]*-1,Base_Periodo1[[#This Row],[SALDO_ATUAL]]),4)</f>
        <v>1412134.97</v>
      </c>
      <c r="N1639" t="s">
        <v>116</v>
      </c>
      <c r="O1639" t="s">
        <v>397</v>
      </c>
      <c r="P1639" t="s">
        <v>397</v>
      </c>
      <c r="Q1639">
        <v>9</v>
      </c>
      <c r="R1639" s="225">
        <f>Base_Periodo1[[#This Row],[CREDITOS]]-Base_Periodo1[[#This Row],[DEBITOS]]</f>
        <v>-374540.20999999996</v>
      </c>
      <c r="S1639" s="3" t="str">
        <f>IF(ISERROR(VLOOKUP(Base_Periodo1[[#This Row],[CONTA]],BaseContasDRE[#All],4,FALSE)),"Fora do DRE",VLOOKUP(Base_Periodo1[[#This Row],[CONTA]],BaseContasDRE[#All],4,FALSE))</f>
        <v>Fora do DRE</v>
      </c>
      <c r="T1639" s="3" t="str">
        <f>IF(ISERROR(VLOOKUP(Base_Periodo1[[#This Row],[CONTA]],BaseContasDRE[#All],5,FALSE)),"Fora do DRE",VLOOKUP(Base_Periodo1[[#This Row],[CONTA]],BaseContasDRE[#All],6,FALSE))</f>
        <v>Fora do DRE</v>
      </c>
      <c r="U1639" s="3" t="str">
        <f>IF(ISERROR(VLOOKUP(Base_Periodo1[[#This Row],[CONTA]],BaseContasDRE[#All],7,FALSE)),"Fora do DRE",VLOOKUP(Base_Periodo1[[#This Row],[CONTA]],BaseContasDRE[#All],7,FALSE))</f>
        <v>Fora do DRE</v>
      </c>
      <c r="V1639" s="3" t="str">
        <f>IF(Base_Periodo1[[#This Row],[Tipo_Linha]]="Fora do DRE","Fora do DRE","( "&amp;Base_Periodo1[[#This Row],[Tipo_Linha]]&amp;" ) "&amp;Base_Periodo1[[#This Row],[Filtro]])</f>
        <v>Fora do DRE</v>
      </c>
      <c r="W1639" s="3" t="str">
        <f>LEFT(Base_Periodo1[[#This Row],[CLASS]],3)</f>
        <v>1.1</v>
      </c>
    </row>
    <row r="1640" spans="1:23" hidden="1">
      <c r="A1640" s="3" t="str">
        <f t="shared" si="25"/>
        <v>Período 1</v>
      </c>
      <c r="B1640">
        <v>691</v>
      </c>
      <c r="C1640" t="s">
        <v>1329</v>
      </c>
      <c r="D1640" t="s">
        <v>1067</v>
      </c>
      <c r="E1640" s="3" t="str">
        <f>IF(LEN(Base_Periodo1[[#This Row],[CLASS]])&gt;=7,LEFT(Base_Periodo1[[#This Row],[CLASS]],7),"")</f>
        <v>1.1.3.1</v>
      </c>
      <c r="F1640" s="3" t="str">
        <f>VLOOKUP(Base_Periodo1[[#This Row],[Aux]],Base_Contas_Balanco[#All],2,FALSE)</f>
        <v>Estoques Proprios</v>
      </c>
      <c r="G1640" s="1"/>
      <c r="H1640" s="225">
        <v>2429166.2600000105</v>
      </c>
      <c r="I1640" s="225">
        <v>0</v>
      </c>
      <c r="J1640" s="225">
        <v>263146.28999999998</v>
      </c>
      <c r="K1640" s="225">
        <v>2692312.5500000105</v>
      </c>
      <c r="L16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-2692312.55</v>
      </c>
      <c r="M1640" s="225">
        <f>ROUND(IF(AND(Base_Periodo1[[#This Row],[Tipo_Linha]]="-",Base_Periodo1[[#This Row],[TIPOSALDO]]="D"),Base_Periodo1[[#This Row],[SALDO_ATUAL]]*-1,Base_Periodo1[[#This Row],[SALDO_ATUAL]]),4)</f>
        <v>2692312.55</v>
      </c>
      <c r="N1640" t="s">
        <v>396</v>
      </c>
      <c r="O1640" t="s">
        <v>459</v>
      </c>
      <c r="P1640" t="s">
        <v>459</v>
      </c>
      <c r="Q1640">
        <v>8</v>
      </c>
      <c r="R1640" s="225">
        <f>Base_Periodo1[[#This Row],[CREDITOS]]-Base_Periodo1[[#This Row],[DEBITOS]]</f>
        <v>263146.28999999998</v>
      </c>
      <c r="S1640" s="3" t="str">
        <f>IF(ISERROR(VLOOKUP(Base_Periodo1[[#This Row],[CONTA]],BaseContasDRE[#All],4,FALSE)),"Fora do DRE",VLOOKUP(Base_Periodo1[[#This Row],[CONTA]],BaseContasDRE[#All],4,FALSE))</f>
        <v>Fora do DRE</v>
      </c>
      <c r="T1640" s="3" t="str">
        <f>IF(ISERROR(VLOOKUP(Base_Periodo1[[#This Row],[CONTA]],BaseContasDRE[#All],5,FALSE)),"Fora do DRE",VLOOKUP(Base_Periodo1[[#This Row],[CONTA]],BaseContasDRE[#All],6,FALSE))</f>
        <v>Fora do DRE</v>
      </c>
      <c r="U1640" s="3" t="str">
        <f>IF(ISERROR(VLOOKUP(Base_Periodo1[[#This Row],[CONTA]],BaseContasDRE[#All],7,FALSE)),"Fora do DRE",VLOOKUP(Base_Periodo1[[#This Row],[CONTA]],BaseContasDRE[#All],7,FALSE))</f>
        <v>Fora do DRE</v>
      </c>
      <c r="V1640" s="3" t="str">
        <f>IF(Base_Periodo1[[#This Row],[Tipo_Linha]]="Fora do DRE","Fora do DRE","( "&amp;Base_Periodo1[[#This Row],[Tipo_Linha]]&amp;" ) "&amp;Base_Periodo1[[#This Row],[Filtro]])</f>
        <v>Fora do DRE</v>
      </c>
      <c r="W1640" s="3" t="str">
        <f>LEFT(Base_Periodo1[[#This Row],[CLASS]],3)</f>
        <v>1.1</v>
      </c>
    </row>
    <row r="1641" spans="1:23" hidden="1">
      <c r="A1641" s="3" t="str">
        <f t="shared" si="25"/>
        <v>Período 1</v>
      </c>
      <c r="B1641">
        <v>692</v>
      </c>
      <c r="C1641" t="s">
        <v>1330</v>
      </c>
      <c r="D1641" t="s">
        <v>1068</v>
      </c>
      <c r="E1641" s="3" t="str">
        <f>IF(LEN(Base_Periodo1[[#This Row],[CLASS]])&gt;=7,LEFT(Base_Periodo1[[#This Row],[CLASS]],7),"")</f>
        <v>1.1.3.1</v>
      </c>
      <c r="F1641" s="3" t="str">
        <f>VLOOKUP(Base_Periodo1[[#This Row],[Aux]],Base_Contas_Balanco[#All],2,FALSE)</f>
        <v>Estoques Proprios</v>
      </c>
      <c r="G1641" s="1">
        <v>42886</v>
      </c>
      <c r="H1641" s="225">
        <v>2340866.9200000092</v>
      </c>
      <c r="I1641" s="225">
        <v>0</v>
      </c>
      <c r="J1641" s="225">
        <v>263146.28999999998</v>
      </c>
      <c r="K1641" s="225">
        <v>2604013.2100000093</v>
      </c>
      <c r="L16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-2604013.21</v>
      </c>
      <c r="M1641" s="225">
        <f>ROUND(IF(AND(Base_Periodo1[[#This Row],[Tipo_Linha]]="-",Base_Periodo1[[#This Row],[TIPOSALDO]]="D"),Base_Periodo1[[#This Row],[SALDO_ATUAL]]*-1,Base_Periodo1[[#This Row],[SALDO_ATUAL]]),4)</f>
        <v>2604013.21</v>
      </c>
      <c r="N1641" t="s">
        <v>116</v>
      </c>
      <c r="O1641" t="s">
        <v>459</v>
      </c>
      <c r="P1641" t="s">
        <v>459</v>
      </c>
      <c r="Q1641">
        <v>9</v>
      </c>
      <c r="R1641" s="225">
        <f>Base_Periodo1[[#This Row],[CREDITOS]]-Base_Periodo1[[#This Row],[DEBITOS]]</f>
        <v>263146.28999999998</v>
      </c>
      <c r="S1641" s="3" t="str">
        <f>IF(ISERROR(VLOOKUP(Base_Periodo1[[#This Row],[CONTA]],BaseContasDRE[#All],4,FALSE)),"Fora do DRE",VLOOKUP(Base_Periodo1[[#This Row],[CONTA]],BaseContasDRE[#All],4,FALSE))</f>
        <v>Fora do DRE</v>
      </c>
      <c r="T1641" s="3" t="str">
        <f>IF(ISERROR(VLOOKUP(Base_Periodo1[[#This Row],[CONTA]],BaseContasDRE[#All],5,FALSE)),"Fora do DRE",VLOOKUP(Base_Periodo1[[#This Row],[CONTA]],BaseContasDRE[#All],6,FALSE))</f>
        <v>Fora do DRE</v>
      </c>
      <c r="U1641" s="3" t="str">
        <f>IF(ISERROR(VLOOKUP(Base_Periodo1[[#This Row],[CONTA]],BaseContasDRE[#All],7,FALSE)),"Fora do DRE",VLOOKUP(Base_Periodo1[[#This Row],[CONTA]],BaseContasDRE[#All],7,FALSE))</f>
        <v>Fora do DRE</v>
      </c>
      <c r="V1641" s="3" t="str">
        <f>IF(Base_Periodo1[[#This Row],[Tipo_Linha]]="Fora do DRE","Fora do DRE","( "&amp;Base_Periodo1[[#This Row],[Tipo_Linha]]&amp;" ) "&amp;Base_Periodo1[[#This Row],[Filtro]])</f>
        <v>Fora do DRE</v>
      </c>
      <c r="W1641" s="3" t="str">
        <f>LEFT(Base_Periodo1[[#This Row],[CLASS]],3)</f>
        <v>1.1</v>
      </c>
    </row>
    <row r="1642" spans="1:23" hidden="1">
      <c r="A1642" s="3" t="str">
        <f t="shared" si="25"/>
        <v>Período 1</v>
      </c>
      <c r="B1642">
        <v>693</v>
      </c>
      <c r="C1642" t="s">
        <v>1331</v>
      </c>
      <c r="D1642" t="s">
        <v>1070</v>
      </c>
      <c r="E1642" s="3" t="str">
        <f>IF(LEN(Base_Periodo1[[#This Row],[CLASS]])&gt;=7,LEFT(Base_Periodo1[[#This Row],[CLASS]],7),"")</f>
        <v>1.1.3.1</v>
      </c>
      <c r="F1642" s="3" t="str">
        <f>VLOOKUP(Base_Periodo1[[#This Row],[Aux]],Base_Contas_Balanco[#All],2,FALSE)</f>
        <v>Estoques Proprios</v>
      </c>
      <c r="G1642" s="1">
        <v>42886</v>
      </c>
      <c r="H1642" s="225">
        <v>88299.340000001248</v>
      </c>
      <c r="I1642" s="225">
        <v>0</v>
      </c>
      <c r="J1642" s="225">
        <v>0</v>
      </c>
      <c r="K1642" s="225">
        <v>88299.340000001248</v>
      </c>
      <c r="L16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-88299.34</v>
      </c>
      <c r="M1642" s="225">
        <f>ROUND(IF(AND(Base_Periodo1[[#This Row],[Tipo_Linha]]="-",Base_Periodo1[[#This Row],[TIPOSALDO]]="D"),Base_Periodo1[[#This Row],[SALDO_ATUAL]]*-1,Base_Periodo1[[#This Row],[SALDO_ATUAL]]),4)</f>
        <v>88299.34</v>
      </c>
      <c r="N1642" t="s">
        <v>116</v>
      </c>
      <c r="O1642" t="s">
        <v>459</v>
      </c>
      <c r="P1642" t="s">
        <v>459</v>
      </c>
      <c r="Q1642">
        <v>9</v>
      </c>
      <c r="R1642" s="225">
        <f>Base_Periodo1[[#This Row],[CREDITOS]]-Base_Periodo1[[#This Row],[DEBITOS]]</f>
        <v>0</v>
      </c>
      <c r="S1642" s="3" t="str">
        <f>IF(ISERROR(VLOOKUP(Base_Periodo1[[#This Row],[CONTA]],BaseContasDRE[#All],4,FALSE)),"Fora do DRE",VLOOKUP(Base_Periodo1[[#This Row],[CONTA]],BaseContasDRE[#All],4,FALSE))</f>
        <v>Fora do DRE</v>
      </c>
      <c r="T1642" s="3" t="str">
        <f>IF(ISERROR(VLOOKUP(Base_Periodo1[[#This Row],[CONTA]],BaseContasDRE[#All],5,FALSE)),"Fora do DRE",VLOOKUP(Base_Periodo1[[#This Row],[CONTA]],BaseContasDRE[#All],6,FALSE))</f>
        <v>Fora do DRE</v>
      </c>
      <c r="U1642" s="3" t="str">
        <f>IF(ISERROR(VLOOKUP(Base_Periodo1[[#This Row],[CONTA]],BaseContasDRE[#All],7,FALSE)),"Fora do DRE",VLOOKUP(Base_Periodo1[[#This Row],[CONTA]],BaseContasDRE[#All],7,FALSE))</f>
        <v>Fora do DRE</v>
      </c>
      <c r="V1642" s="3" t="str">
        <f>IF(Base_Periodo1[[#This Row],[Tipo_Linha]]="Fora do DRE","Fora do DRE","( "&amp;Base_Periodo1[[#This Row],[Tipo_Linha]]&amp;" ) "&amp;Base_Periodo1[[#This Row],[Filtro]])</f>
        <v>Fora do DRE</v>
      </c>
      <c r="W1642" s="3" t="str">
        <f>LEFT(Base_Periodo1[[#This Row],[CLASS]],3)</f>
        <v>1.1</v>
      </c>
    </row>
    <row r="1643" spans="1:23" hidden="1">
      <c r="A1643" s="3" t="str">
        <f t="shared" si="25"/>
        <v>Período 1</v>
      </c>
      <c r="B1643">
        <v>696</v>
      </c>
      <c r="C1643" t="s">
        <v>1332</v>
      </c>
      <c r="D1643" t="s">
        <v>1072</v>
      </c>
      <c r="E1643" s="3" t="str">
        <f>IF(LEN(Base_Periodo1[[#This Row],[CLASS]])&gt;=7,LEFT(Base_Periodo1[[#This Row],[CLASS]],7),"")</f>
        <v>1.1.3.1</v>
      </c>
      <c r="F1643" s="3" t="str">
        <f>VLOOKUP(Base_Periodo1[[#This Row],[Aux]],Base_Contas_Balanco[#All],2,FALSE)</f>
        <v>Estoques Proprios</v>
      </c>
      <c r="G1643" s="1"/>
      <c r="H1643" s="225">
        <v>1037594.7599999309</v>
      </c>
      <c r="I1643" s="225">
        <v>0</v>
      </c>
      <c r="J1643" s="225">
        <v>374540.20999999996</v>
      </c>
      <c r="K1643" s="225">
        <v>1412134.9699999308</v>
      </c>
      <c r="L16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-1412134.97</v>
      </c>
      <c r="M1643" s="225">
        <f>ROUND(IF(AND(Base_Periodo1[[#This Row],[Tipo_Linha]]="-",Base_Periodo1[[#This Row],[TIPOSALDO]]="D"),Base_Periodo1[[#This Row],[SALDO_ATUAL]]*-1,Base_Periodo1[[#This Row],[SALDO_ATUAL]]),4)</f>
        <v>1412134.97</v>
      </c>
      <c r="N1643" t="s">
        <v>396</v>
      </c>
      <c r="O1643" t="s">
        <v>459</v>
      </c>
      <c r="P1643" t="s">
        <v>459</v>
      </c>
      <c r="Q1643">
        <v>8</v>
      </c>
      <c r="R1643" s="225">
        <f>Base_Periodo1[[#This Row],[CREDITOS]]-Base_Periodo1[[#This Row],[DEBITOS]]</f>
        <v>374540.20999999996</v>
      </c>
      <c r="S1643" s="3" t="str">
        <f>IF(ISERROR(VLOOKUP(Base_Periodo1[[#This Row],[CONTA]],BaseContasDRE[#All],4,FALSE)),"Fora do DRE",VLOOKUP(Base_Periodo1[[#This Row],[CONTA]],BaseContasDRE[#All],4,FALSE))</f>
        <v>Fora do DRE</v>
      </c>
      <c r="T1643" s="3" t="str">
        <f>IF(ISERROR(VLOOKUP(Base_Periodo1[[#This Row],[CONTA]],BaseContasDRE[#All],5,FALSE)),"Fora do DRE",VLOOKUP(Base_Periodo1[[#This Row],[CONTA]],BaseContasDRE[#All],6,FALSE))</f>
        <v>Fora do DRE</v>
      </c>
      <c r="U1643" s="3" t="str">
        <f>IF(ISERROR(VLOOKUP(Base_Periodo1[[#This Row],[CONTA]],BaseContasDRE[#All],7,FALSE)),"Fora do DRE",VLOOKUP(Base_Periodo1[[#This Row],[CONTA]],BaseContasDRE[#All],7,FALSE))</f>
        <v>Fora do DRE</v>
      </c>
      <c r="V1643" s="3" t="str">
        <f>IF(Base_Periodo1[[#This Row],[Tipo_Linha]]="Fora do DRE","Fora do DRE","( "&amp;Base_Periodo1[[#This Row],[Tipo_Linha]]&amp;" ) "&amp;Base_Periodo1[[#This Row],[Filtro]])</f>
        <v>Fora do DRE</v>
      </c>
      <c r="W1643" s="3" t="str">
        <f>LEFT(Base_Periodo1[[#This Row],[CLASS]],3)</f>
        <v>1.1</v>
      </c>
    </row>
    <row r="1644" spans="1:23" hidden="1">
      <c r="A1644" s="3" t="str">
        <f t="shared" si="25"/>
        <v>Período 1</v>
      </c>
      <c r="B1644">
        <v>697</v>
      </c>
      <c r="C1644" t="s">
        <v>1333</v>
      </c>
      <c r="D1644" t="s">
        <v>1074</v>
      </c>
      <c r="E1644" s="3" t="str">
        <f>IF(LEN(Base_Periodo1[[#This Row],[CLASS]])&gt;=7,LEFT(Base_Periodo1[[#This Row],[CLASS]],7),"")</f>
        <v>1.1.3.1</v>
      </c>
      <c r="F1644" s="3" t="str">
        <f>VLOOKUP(Base_Periodo1[[#This Row],[Aux]],Base_Contas_Balanco[#All],2,FALSE)</f>
        <v>Estoques Proprios</v>
      </c>
      <c r="G1644" s="1">
        <v>42886</v>
      </c>
      <c r="H1644" s="225">
        <v>1037594.7599999309</v>
      </c>
      <c r="I1644" s="225">
        <v>0</v>
      </c>
      <c r="J1644" s="225">
        <v>374540.20999999996</v>
      </c>
      <c r="K1644" s="225">
        <v>1412134.9699999308</v>
      </c>
      <c r="L16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-1412134.97</v>
      </c>
      <c r="M1644" s="225">
        <f>ROUND(IF(AND(Base_Periodo1[[#This Row],[Tipo_Linha]]="-",Base_Periodo1[[#This Row],[TIPOSALDO]]="D"),Base_Periodo1[[#This Row],[SALDO_ATUAL]]*-1,Base_Periodo1[[#This Row],[SALDO_ATUAL]]),4)</f>
        <v>1412134.97</v>
      </c>
      <c r="N1644" t="s">
        <v>116</v>
      </c>
      <c r="O1644" t="s">
        <v>459</v>
      </c>
      <c r="P1644" t="s">
        <v>459</v>
      </c>
      <c r="Q1644">
        <v>9</v>
      </c>
      <c r="R1644" s="225">
        <f>Base_Periodo1[[#This Row],[CREDITOS]]-Base_Periodo1[[#This Row],[DEBITOS]]</f>
        <v>374540.20999999996</v>
      </c>
      <c r="S1644" s="3" t="str">
        <f>IF(ISERROR(VLOOKUP(Base_Periodo1[[#This Row],[CONTA]],BaseContasDRE[#All],4,FALSE)),"Fora do DRE",VLOOKUP(Base_Periodo1[[#This Row],[CONTA]],BaseContasDRE[#All],4,FALSE))</f>
        <v>Fora do DRE</v>
      </c>
      <c r="T1644" s="3" t="str">
        <f>IF(ISERROR(VLOOKUP(Base_Periodo1[[#This Row],[CONTA]],BaseContasDRE[#All],5,FALSE)),"Fora do DRE",VLOOKUP(Base_Periodo1[[#This Row],[CONTA]],BaseContasDRE[#All],6,FALSE))</f>
        <v>Fora do DRE</v>
      </c>
      <c r="U1644" s="3" t="str">
        <f>IF(ISERROR(VLOOKUP(Base_Periodo1[[#This Row],[CONTA]],BaseContasDRE[#All],7,FALSE)),"Fora do DRE",VLOOKUP(Base_Periodo1[[#This Row],[CONTA]],BaseContasDRE[#All],7,FALSE))</f>
        <v>Fora do DRE</v>
      </c>
      <c r="V1644" s="3" t="str">
        <f>IF(Base_Periodo1[[#This Row],[Tipo_Linha]]="Fora do DRE","Fora do DRE","( "&amp;Base_Periodo1[[#This Row],[Tipo_Linha]]&amp;" ) "&amp;Base_Periodo1[[#This Row],[Filtro]])</f>
        <v>Fora do DRE</v>
      </c>
      <c r="W1644" s="3" t="str">
        <f>LEFT(Base_Periodo1[[#This Row],[CLASS]],3)</f>
        <v>1.1</v>
      </c>
    </row>
    <row r="1645" spans="1:23" hidden="1">
      <c r="A1645" s="3" t="str">
        <f t="shared" si="25"/>
        <v>Período 1</v>
      </c>
      <c r="B1645">
        <v>698</v>
      </c>
      <c r="C1645" t="s">
        <v>5908</v>
      </c>
      <c r="D1645" t="s">
        <v>1171</v>
      </c>
      <c r="E1645" s="3" t="str">
        <f>IF(LEN(Base_Periodo1[[#This Row],[CLASS]])&gt;=7,LEFT(Base_Periodo1[[#This Row],[CLASS]],7),"")</f>
        <v>1.1.3.1</v>
      </c>
      <c r="F1645" s="3" t="str">
        <f>VLOOKUP(Base_Periodo1[[#This Row],[Aux]],Base_Contas_Balanco[#All],2,FALSE)</f>
        <v>Estoques Proprios</v>
      </c>
      <c r="G1645" s="1"/>
      <c r="H1645" s="225">
        <v>2014.6599999999962</v>
      </c>
      <c r="I1645" s="225">
        <v>0</v>
      </c>
      <c r="J1645" s="225">
        <v>0</v>
      </c>
      <c r="K1645" s="225">
        <v>2014.6599999999962</v>
      </c>
      <c r="L16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-2014.66</v>
      </c>
      <c r="M1645" s="225">
        <f>ROUND(IF(AND(Base_Periodo1[[#This Row],[Tipo_Linha]]="-",Base_Periodo1[[#This Row],[TIPOSALDO]]="D"),Base_Periodo1[[#This Row],[SALDO_ATUAL]]*-1,Base_Periodo1[[#This Row],[SALDO_ATUAL]]),4)</f>
        <v>2014.66</v>
      </c>
      <c r="N1645" t="s">
        <v>396</v>
      </c>
      <c r="O1645" t="s">
        <v>459</v>
      </c>
      <c r="P1645" t="s">
        <v>459</v>
      </c>
      <c r="Q1645">
        <v>8</v>
      </c>
      <c r="R1645" s="225">
        <f>Base_Periodo1[[#This Row],[CREDITOS]]-Base_Periodo1[[#This Row],[DEBITOS]]</f>
        <v>0</v>
      </c>
      <c r="S1645" s="3" t="str">
        <f>IF(ISERROR(VLOOKUP(Base_Periodo1[[#This Row],[CONTA]],BaseContasDRE[#All],4,FALSE)),"Fora do DRE",VLOOKUP(Base_Periodo1[[#This Row],[CONTA]],BaseContasDRE[#All],4,FALSE))</f>
        <v>Fora do DRE</v>
      </c>
      <c r="T1645" s="3" t="str">
        <f>IF(ISERROR(VLOOKUP(Base_Periodo1[[#This Row],[CONTA]],BaseContasDRE[#All],5,FALSE)),"Fora do DRE",VLOOKUP(Base_Periodo1[[#This Row],[CONTA]],BaseContasDRE[#All],6,FALSE))</f>
        <v>Fora do DRE</v>
      </c>
      <c r="U1645" s="3" t="str">
        <f>IF(ISERROR(VLOOKUP(Base_Periodo1[[#This Row],[CONTA]],BaseContasDRE[#All],7,FALSE)),"Fora do DRE",VLOOKUP(Base_Periodo1[[#This Row],[CONTA]],BaseContasDRE[#All],7,FALSE))</f>
        <v>Fora do DRE</v>
      </c>
      <c r="V1645" s="3" t="str">
        <f>IF(Base_Periodo1[[#This Row],[Tipo_Linha]]="Fora do DRE","Fora do DRE","( "&amp;Base_Periodo1[[#This Row],[Tipo_Linha]]&amp;" ) "&amp;Base_Periodo1[[#This Row],[Filtro]])</f>
        <v>Fora do DRE</v>
      </c>
      <c r="W1645" s="3" t="str">
        <f>LEFT(Base_Periodo1[[#This Row],[CLASS]],3)</f>
        <v>1.1</v>
      </c>
    </row>
    <row r="1646" spans="1:23" hidden="1">
      <c r="A1646" s="3" t="str">
        <f t="shared" si="25"/>
        <v>Período 1</v>
      </c>
      <c r="B1646">
        <v>699</v>
      </c>
      <c r="C1646" t="s">
        <v>5909</v>
      </c>
      <c r="D1646" t="s">
        <v>1173</v>
      </c>
      <c r="E1646" s="3" t="str">
        <f>IF(LEN(Base_Periodo1[[#This Row],[CLASS]])&gt;=7,LEFT(Base_Periodo1[[#This Row],[CLASS]],7),"")</f>
        <v>1.1.3.1</v>
      </c>
      <c r="F1646" s="3" t="str">
        <f>VLOOKUP(Base_Periodo1[[#This Row],[Aux]],Base_Contas_Balanco[#All],2,FALSE)</f>
        <v>Estoques Proprios</v>
      </c>
      <c r="G1646" s="1">
        <v>42845</v>
      </c>
      <c r="H1646" s="225">
        <v>2014.6599999999962</v>
      </c>
      <c r="I1646" s="225">
        <v>0</v>
      </c>
      <c r="J1646" s="225">
        <v>0</v>
      </c>
      <c r="K1646" s="225">
        <v>2014.6599999999962</v>
      </c>
      <c r="L16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-2014.66</v>
      </c>
      <c r="M1646" s="225">
        <f>ROUND(IF(AND(Base_Periodo1[[#This Row],[Tipo_Linha]]="-",Base_Periodo1[[#This Row],[TIPOSALDO]]="D"),Base_Periodo1[[#This Row],[SALDO_ATUAL]]*-1,Base_Periodo1[[#This Row],[SALDO_ATUAL]]),4)</f>
        <v>2014.66</v>
      </c>
      <c r="N1646" t="s">
        <v>116</v>
      </c>
      <c r="O1646" t="s">
        <v>459</v>
      </c>
      <c r="P1646" t="s">
        <v>459</v>
      </c>
      <c r="Q1646">
        <v>9</v>
      </c>
      <c r="R1646" s="225">
        <f>Base_Periodo1[[#This Row],[CREDITOS]]-Base_Periodo1[[#This Row],[DEBITOS]]</f>
        <v>0</v>
      </c>
      <c r="S1646" s="3" t="str">
        <f>IF(ISERROR(VLOOKUP(Base_Periodo1[[#This Row],[CONTA]],BaseContasDRE[#All],4,FALSE)),"Fora do DRE",VLOOKUP(Base_Periodo1[[#This Row],[CONTA]],BaseContasDRE[#All],4,FALSE))</f>
        <v>Fora do DRE</v>
      </c>
      <c r="T1646" s="3" t="str">
        <f>IF(ISERROR(VLOOKUP(Base_Periodo1[[#This Row],[CONTA]],BaseContasDRE[#All],5,FALSE)),"Fora do DRE",VLOOKUP(Base_Periodo1[[#This Row],[CONTA]],BaseContasDRE[#All],6,FALSE))</f>
        <v>Fora do DRE</v>
      </c>
      <c r="U1646" s="3" t="str">
        <f>IF(ISERROR(VLOOKUP(Base_Periodo1[[#This Row],[CONTA]],BaseContasDRE[#All],7,FALSE)),"Fora do DRE",VLOOKUP(Base_Periodo1[[#This Row],[CONTA]],BaseContasDRE[#All],7,FALSE))</f>
        <v>Fora do DRE</v>
      </c>
      <c r="V1646" s="3" t="str">
        <f>IF(Base_Periodo1[[#This Row],[Tipo_Linha]]="Fora do DRE","Fora do DRE","( "&amp;Base_Periodo1[[#This Row],[Tipo_Linha]]&amp;" ) "&amp;Base_Periodo1[[#This Row],[Filtro]])</f>
        <v>Fora do DRE</v>
      </c>
      <c r="W1646" s="3" t="str">
        <f>LEFT(Base_Periodo1[[#This Row],[CLASS]],3)</f>
        <v>1.1</v>
      </c>
    </row>
    <row r="1647" spans="1:23" hidden="1">
      <c r="A1647" s="3" t="str">
        <f t="shared" si="25"/>
        <v>Período 1</v>
      </c>
      <c r="B1647">
        <v>701</v>
      </c>
      <c r="C1647" t="s">
        <v>6269</v>
      </c>
      <c r="D1647" t="s">
        <v>1150</v>
      </c>
      <c r="E1647" s="3" t="str">
        <f>IF(LEN(Base_Periodo1[[#This Row],[CLASS]])&gt;=7,LEFT(Base_Periodo1[[#This Row],[CLASS]],7),"")</f>
        <v>1.1.3.1</v>
      </c>
      <c r="F1647" s="3" t="str">
        <f>VLOOKUP(Base_Periodo1[[#This Row],[Aux]],Base_Contas_Balanco[#All],2,FALSE)</f>
        <v>Estoques Proprios</v>
      </c>
      <c r="G1647" s="1"/>
      <c r="H1647" s="225">
        <v>62.830000000000013</v>
      </c>
      <c r="I1647" s="225">
        <v>0</v>
      </c>
      <c r="J1647" s="225">
        <v>0</v>
      </c>
      <c r="K1647" s="225">
        <v>62.830000000000013</v>
      </c>
      <c r="L16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-62.83</v>
      </c>
      <c r="M1647" s="225">
        <f>ROUND(IF(AND(Base_Periodo1[[#This Row],[Tipo_Linha]]="-",Base_Periodo1[[#This Row],[TIPOSALDO]]="D"),Base_Periodo1[[#This Row],[SALDO_ATUAL]]*-1,Base_Periodo1[[#This Row],[SALDO_ATUAL]]),4)</f>
        <v>62.83</v>
      </c>
      <c r="N1647" t="s">
        <v>396</v>
      </c>
      <c r="O1647" t="s">
        <v>459</v>
      </c>
      <c r="P1647" t="s">
        <v>459</v>
      </c>
      <c r="Q1647">
        <v>8</v>
      </c>
      <c r="R1647" s="225">
        <f>Base_Periodo1[[#This Row],[CREDITOS]]-Base_Periodo1[[#This Row],[DEBITOS]]</f>
        <v>0</v>
      </c>
      <c r="S1647" s="3" t="str">
        <f>IF(ISERROR(VLOOKUP(Base_Periodo1[[#This Row],[CONTA]],BaseContasDRE[#All],4,FALSE)),"Fora do DRE",VLOOKUP(Base_Periodo1[[#This Row],[CONTA]],BaseContasDRE[#All],4,FALSE))</f>
        <v>Fora do DRE</v>
      </c>
      <c r="T1647" s="3" t="str">
        <f>IF(ISERROR(VLOOKUP(Base_Periodo1[[#This Row],[CONTA]],BaseContasDRE[#All],5,FALSE)),"Fora do DRE",VLOOKUP(Base_Periodo1[[#This Row],[CONTA]],BaseContasDRE[#All],6,FALSE))</f>
        <v>Fora do DRE</v>
      </c>
      <c r="U1647" s="3" t="str">
        <f>IF(ISERROR(VLOOKUP(Base_Periodo1[[#This Row],[CONTA]],BaseContasDRE[#All],7,FALSE)),"Fora do DRE",VLOOKUP(Base_Periodo1[[#This Row],[CONTA]],BaseContasDRE[#All],7,FALSE))</f>
        <v>Fora do DRE</v>
      </c>
      <c r="V1647" s="3" t="str">
        <f>IF(Base_Periodo1[[#This Row],[Tipo_Linha]]="Fora do DRE","Fora do DRE","( "&amp;Base_Periodo1[[#This Row],[Tipo_Linha]]&amp;" ) "&amp;Base_Periodo1[[#This Row],[Filtro]])</f>
        <v>Fora do DRE</v>
      </c>
      <c r="W1647" s="3" t="str">
        <f>LEFT(Base_Periodo1[[#This Row],[CLASS]],3)</f>
        <v>1.1</v>
      </c>
    </row>
    <row r="1648" spans="1:23" hidden="1">
      <c r="A1648" s="3" t="str">
        <f t="shared" si="25"/>
        <v>Período 1</v>
      </c>
      <c r="B1648">
        <v>702</v>
      </c>
      <c r="C1648" t="s">
        <v>6270</v>
      </c>
      <c r="D1648" t="s">
        <v>6271</v>
      </c>
      <c r="E1648" s="3" t="str">
        <f>IF(LEN(Base_Periodo1[[#This Row],[CLASS]])&gt;=7,LEFT(Base_Periodo1[[#This Row],[CLASS]],7),"")</f>
        <v>1.1.3.1</v>
      </c>
      <c r="F1648" s="3" t="str">
        <f>VLOOKUP(Base_Periodo1[[#This Row],[Aux]],Base_Contas_Balanco[#All],2,FALSE)</f>
        <v>Estoques Proprios</v>
      </c>
      <c r="G1648" s="1">
        <v>42825</v>
      </c>
      <c r="H1648" s="225">
        <v>62.830000000000013</v>
      </c>
      <c r="I1648" s="225">
        <v>0</v>
      </c>
      <c r="J1648" s="225">
        <v>0</v>
      </c>
      <c r="K1648" s="225">
        <v>62.830000000000013</v>
      </c>
      <c r="L16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-62.83</v>
      </c>
      <c r="M1648" s="225">
        <f>ROUND(IF(AND(Base_Periodo1[[#This Row],[Tipo_Linha]]="-",Base_Periodo1[[#This Row],[TIPOSALDO]]="D"),Base_Periodo1[[#This Row],[SALDO_ATUAL]]*-1,Base_Periodo1[[#This Row],[SALDO_ATUAL]]),4)</f>
        <v>62.83</v>
      </c>
      <c r="N1648" t="s">
        <v>116</v>
      </c>
      <c r="O1648" t="s">
        <v>459</v>
      </c>
      <c r="P1648" t="s">
        <v>459</v>
      </c>
      <c r="Q1648">
        <v>9</v>
      </c>
      <c r="R1648" s="225">
        <f>Base_Periodo1[[#This Row],[CREDITOS]]-Base_Periodo1[[#This Row],[DEBITOS]]</f>
        <v>0</v>
      </c>
      <c r="S1648" s="3" t="str">
        <f>IF(ISERROR(VLOOKUP(Base_Periodo1[[#This Row],[CONTA]],BaseContasDRE[#All],4,FALSE)),"Fora do DRE",VLOOKUP(Base_Periodo1[[#This Row],[CONTA]],BaseContasDRE[#All],4,FALSE))</f>
        <v>Fora do DRE</v>
      </c>
      <c r="T1648" s="3" t="str">
        <f>IF(ISERROR(VLOOKUP(Base_Periodo1[[#This Row],[CONTA]],BaseContasDRE[#All],5,FALSE)),"Fora do DRE",VLOOKUP(Base_Periodo1[[#This Row],[CONTA]],BaseContasDRE[#All],6,FALSE))</f>
        <v>Fora do DRE</v>
      </c>
      <c r="U1648" s="3" t="str">
        <f>IF(ISERROR(VLOOKUP(Base_Periodo1[[#This Row],[CONTA]],BaseContasDRE[#All],7,FALSE)),"Fora do DRE",VLOOKUP(Base_Periodo1[[#This Row],[CONTA]],BaseContasDRE[#All],7,FALSE))</f>
        <v>Fora do DRE</v>
      </c>
      <c r="V1648" s="3" t="str">
        <f>IF(Base_Periodo1[[#This Row],[Tipo_Linha]]="Fora do DRE","Fora do DRE","( "&amp;Base_Periodo1[[#This Row],[Tipo_Linha]]&amp;" ) "&amp;Base_Periodo1[[#This Row],[Filtro]])</f>
        <v>Fora do DRE</v>
      </c>
      <c r="W1648" s="3" t="str">
        <f>LEFT(Base_Periodo1[[#This Row],[CLASS]],3)</f>
        <v>1.1</v>
      </c>
    </row>
    <row r="1649" spans="1:23" hidden="1">
      <c r="A1649" s="3" t="str">
        <f t="shared" si="25"/>
        <v>Período 1</v>
      </c>
      <c r="B1649">
        <v>737</v>
      </c>
      <c r="C1649" t="s">
        <v>1335</v>
      </c>
      <c r="D1649" t="s">
        <v>1336</v>
      </c>
      <c r="E1649" s="3" t="str">
        <f>IF(LEN(Base_Periodo1[[#This Row],[CLASS]])&gt;=7,LEFT(Base_Periodo1[[#This Row],[CLASS]],7),"")</f>
        <v>1.1.3.1</v>
      </c>
      <c r="F1649" s="3" t="str">
        <f>VLOOKUP(Base_Periodo1[[#This Row],[Aux]],Base_Contas_Balanco[#All],2,FALSE)</f>
        <v>Estoques Proprios</v>
      </c>
      <c r="G1649" s="1"/>
      <c r="H1649" s="225">
        <v>118711.86000009718</v>
      </c>
      <c r="I1649" s="225">
        <v>422881.20000000007</v>
      </c>
      <c r="J1649" s="225">
        <v>291041.78999999998</v>
      </c>
      <c r="K1649" s="225">
        <v>250551.27000009728</v>
      </c>
      <c r="L16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250551.27</v>
      </c>
      <c r="M1649" s="225">
        <f>ROUND(IF(AND(Base_Periodo1[[#This Row],[Tipo_Linha]]="-",Base_Periodo1[[#This Row],[TIPOSALDO]]="D"),Base_Periodo1[[#This Row],[SALDO_ATUAL]]*-1,Base_Periodo1[[#This Row],[SALDO_ATUAL]]),4)</f>
        <v>250551.27</v>
      </c>
      <c r="N1649" t="s">
        <v>396</v>
      </c>
      <c r="O1649" t="s">
        <v>397</v>
      </c>
      <c r="P1649" t="s">
        <v>397</v>
      </c>
      <c r="Q1649">
        <v>7</v>
      </c>
      <c r="R1649" s="225">
        <f>Base_Periodo1[[#This Row],[CREDITOS]]-Base_Periodo1[[#This Row],[DEBITOS]]</f>
        <v>-131839.41000000009</v>
      </c>
      <c r="S1649" s="3" t="str">
        <f>IF(ISERROR(VLOOKUP(Base_Periodo1[[#This Row],[CONTA]],BaseContasDRE[#All],4,FALSE)),"Fora do DRE",VLOOKUP(Base_Periodo1[[#This Row],[CONTA]],BaseContasDRE[#All],4,FALSE))</f>
        <v>Fora do DRE</v>
      </c>
      <c r="T1649" s="3" t="str">
        <f>IF(ISERROR(VLOOKUP(Base_Periodo1[[#This Row],[CONTA]],BaseContasDRE[#All],5,FALSE)),"Fora do DRE",VLOOKUP(Base_Periodo1[[#This Row],[CONTA]],BaseContasDRE[#All],6,FALSE))</f>
        <v>Fora do DRE</v>
      </c>
      <c r="U1649" s="3" t="str">
        <f>IF(ISERROR(VLOOKUP(Base_Periodo1[[#This Row],[CONTA]],BaseContasDRE[#All],7,FALSE)),"Fora do DRE",VLOOKUP(Base_Periodo1[[#This Row],[CONTA]],BaseContasDRE[#All],7,FALSE))</f>
        <v>Fora do DRE</v>
      </c>
      <c r="V1649" s="3" t="str">
        <f>IF(Base_Periodo1[[#This Row],[Tipo_Linha]]="Fora do DRE","Fora do DRE","( "&amp;Base_Periodo1[[#This Row],[Tipo_Linha]]&amp;" ) "&amp;Base_Periodo1[[#This Row],[Filtro]])</f>
        <v>Fora do DRE</v>
      </c>
      <c r="W1649" s="3" t="str">
        <f>LEFT(Base_Periodo1[[#This Row],[CLASS]],3)</f>
        <v>1.1</v>
      </c>
    </row>
    <row r="1650" spans="1:23" hidden="1">
      <c r="A1650" s="3" t="str">
        <f t="shared" si="25"/>
        <v>Período 1</v>
      </c>
      <c r="B1650">
        <v>738</v>
      </c>
      <c r="C1650" t="s">
        <v>1337</v>
      </c>
      <c r="D1650" t="s">
        <v>1054</v>
      </c>
      <c r="E1650" s="3" t="str">
        <f>IF(LEN(Base_Periodo1[[#This Row],[CLASS]])&gt;=7,LEFT(Base_Periodo1[[#This Row],[CLASS]],7),"")</f>
        <v>1.1.3.1</v>
      </c>
      <c r="F1650" s="3" t="str">
        <f>VLOOKUP(Base_Periodo1[[#This Row],[Aux]],Base_Contas_Balanco[#All],2,FALSE)</f>
        <v>Estoques Proprios</v>
      </c>
      <c r="G1650" s="1"/>
      <c r="H1650" s="225">
        <v>115913.66000001132</v>
      </c>
      <c r="I1650" s="225">
        <v>0</v>
      </c>
      <c r="J1650" s="225">
        <v>0</v>
      </c>
      <c r="K1650" s="225">
        <v>115913.66000001132</v>
      </c>
      <c r="L16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115913.66</v>
      </c>
      <c r="M1650" s="225">
        <f>ROUND(IF(AND(Base_Periodo1[[#This Row],[Tipo_Linha]]="-",Base_Periodo1[[#This Row],[TIPOSALDO]]="D"),Base_Periodo1[[#This Row],[SALDO_ATUAL]]*-1,Base_Periodo1[[#This Row],[SALDO_ATUAL]]),4)</f>
        <v>115913.66</v>
      </c>
      <c r="N1650" t="s">
        <v>396</v>
      </c>
      <c r="O1650" t="s">
        <v>397</v>
      </c>
      <c r="P1650" t="s">
        <v>397</v>
      </c>
      <c r="Q1650">
        <v>8</v>
      </c>
      <c r="R1650" s="225">
        <f>Base_Periodo1[[#This Row],[CREDITOS]]-Base_Periodo1[[#This Row],[DEBITOS]]</f>
        <v>0</v>
      </c>
      <c r="S1650" s="3" t="str">
        <f>IF(ISERROR(VLOOKUP(Base_Periodo1[[#This Row],[CONTA]],BaseContasDRE[#All],4,FALSE)),"Fora do DRE",VLOOKUP(Base_Periodo1[[#This Row],[CONTA]],BaseContasDRE[#All],4,FALSE))</f>
        <v>Fora do DRE</v>
      </c>
      <c r="T1650" s="3" t="str">
        <f>IF(ISERROR(VLOOKUP(Base_Periodo1[[#This Row],[CONTA]],BaseContasDRE[#All],5,FALSE)),"Fora do DRE",VLOOKUP(Base_Periodo1[[#This Row],[CONTA]],BaseContasDRE[#All],6,FALSE))</f>
        <v>Fora do DRE</v>
      </c>
      <c r="U1650" s="3" t="str">
        <f>IF(ISERROR(VLOOKUP(Base_Periodo1[[#This Row],[CONTA]],BaseContasDRE[#All],7,FALSE)),"Fora do DRE",VLOOKUP(Base_Periodo1[[#This Row],[CONTA]],BaseContasDRE[#All],7,FALSE))</f>
        <v>Fora do DRE</v>
      </c>
      <c r="V1650" s="3" t="str">
        <f>IF(Base_Periodo1[[#This Row],[Tipo_Linha]]="Fora do DRE","Fora do DRE","( "&amp;Base_Periodo1[[#This Row],[Tipo_Linha]]&amp;" ) "&amp;Base_Periodo1[[#This Row],[Filtro]])</f>
        <v>Fora do DRE</v>
      </c>
      <c r="W1650" s="3" t="str">
        <f>LEFT(Base_Periodo1[[#This Row],[CLASS]],3)</f>
        <v>1.1</v>
      </c>
    </row>
    <row r="1651" spans="1:23" hidden="1">
      <c r="A1651" s="3" t="str">
        <f t="shared" si="25"/>
        <v>Período 1</v>
      </c>
      <c r="B1651">
        <v>739</v>
      </c>
      <c r="C1651" t="s">
        <v>1338</v>
      </c>
      <c r="D1651" t="s">
        <v>1054</v>
      </c>
      <c r="E1651" s="3" t="str">
        <f>IF(LEN(Base_Periodo1[[#This Row],[CLASS]])&gt;=7,LEFT(Base_Periodo1[[#This Row],[CLASS]],7),"")</f>
        <v>1.1.3.1</v>
      </c>
      <c r="F1651" s="3" t="str">
        <f>VLOOKUP(Base_Periodo1[[#This Row],[Aux]],Base_Contas_Balanco[#All],2,FALSE)</f>
        <v>Estoques Proprios</v>
      </c>
      <c r="G1651" s="1">
        <v>42735</v>
      </c>
      <c r="H1651" s="225">
        <v>115913.66000001132</v>
      </c>
      <c r="I1651" s="225">
        <v>0</v>
      </c>
      <c r="J1651" s="225">
        <v>0</v>
      </c>
      <c r="K1651" s="225">
        <v>115913.66000001132</v>
      </c>
      <c r="L16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115913.66</v>
      </c>
      <c r="M1651" s="225">
        <f>ROUND(IF(AND(Base_Periodo1[[#This Row],[Tipo_Linha]]="-",Base_Periodo1[[#This Row],[TIPOSALDO]]="D"),Base_Periodo1[[#This Row],[SALDO_ATUAL]]*-1,Base_Periodo1[[#This Row],[SALDO_ATUAL]]),4)</f>
        <v>115913.66</v>
      </c>
      <c r="N1651" t="s">
        <v>116</v>
      </c>
      <c r="O1651" t="s">
        <v>397</v>
      </c>
      <c r="P1651" t="s">
        <v>397</v>
      </c>
      <c r="Q1651">
        <v>9</v>
      </c>
      <c r="R1651" s="225">
        <f>Base_Periodo1[[#This Row],[CREDITOS]]-Base_Periodo1[[#This Row],[DEBITOS]]</f>
        <v>0</v>
      </c>
      <c r="S1651" s="3" t="str">
        <f>IF(ISERROR(VLOOKUP(Base_Periodo1[[#This Row],[CONTA]],BaseContasDRE[#All],4,FALSE)),"Fora do DRE",VLOOKUP(Base_Periodo1[[#This Row],[CONTA]],BaseContasDRE[#All],4,FALSE))</f>
        <v>Fora do DRE</v>
      </c>
      <c r="T1651" s="3" t="str">
        <f>IF(ISERROR(VLOOKUP(Base_Periodo1[[#This Row],[CONTA]],BaseContasDRE[#All],5,FALSE)),"Fora do DRE",VLOOKUP(Base_Periodo1[[#This Row],[CONTA]],BaseContasDRE[#All],6,FALSE))</f>
        <v>Fora do DRE</v>
      </c>
      <c r="U1651" s="3" t="str">
        <f>IF(ISERROR(VLOOKUP(Base_Periodo1[[#This Row],[CONTA]],BaseContasDRE[#All],7,FALSE)),"Fora do DRE",VLOOKUP(Base_Periodo1[[#This Row],[CONTA]],BaseContasDRE[#All],7,FALSE))</f>
        <v>Fora do DRE</v>
      </c>
      <c r="V1651" s="3" t="str">
        <f>IF(Base_Periodo1[[#This Row],[Tipo_Linha]]="Fora do DRE","Fora do DRE","( "&amp;Base_Periodo1[[#This Row],[Tipo_Linha]]&amp;" ) "&amp;Base_Periodo1[[#This Row],[Filtro]])</f>
        <v>Fora do DRE</v>
      </c>
      <c r="W1651" s="3" t="str">
        <f>LEFT(Base_Periodo1[[#This Row],[CLASS]],3)</f>
        <v>1.1</v>
      </c>
    </row>
    <row r="1652" spans="1:23" hidden="1">
      <c r="A1652" s="3" t="str">
        <f t="shared" si="25"/>
        <v>Período 1</v>
      </c>
      <c r="B1652">
        <v>740</v>
      </c>
      <c r="C1652" t="s">
        <v>1339</v>
      </c>
      <c r="D1652" t="s">
        <v>1057</v>
      </c>
      <c r="E1652" s="3" t="str">
        <f>IF(LEN(Base_Periodo1[[#This Row],[CLASS]])&gt;=7,LEFT(Base_Periodo1[[#This Row],[CLASS]],7),"")</f>
        <v>1.1.3.1</v>
      </c>
      <c r="F1652" s="3" t="str">
        <f>VLOOKUP(Base_Periodo1[[#This Row],[Aux]],Base_Contas_Balanco[#All],2,FALSE)</f>
        <v>Estoques Proprios</v>
      </c>
      <c r="G1652" s="1"/>
      <c r="H1652" s="225">
        <v>284381.06000002101</v>
      </c>
      <c r="I1652" s="225">
        <v>274951.58</v>
      </c>
      <c r="J1652" s="225">
        <v>1698.46</v>
      </c>
      <c r="K1652" s="225">
        <v>557634.18000002112</v>
      </c>
      <c r="L16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557634.18000000005</v>
      </c>
      <c r="M1652" s="225">
        <f>ROUND(IF(AND(Base_Periodo1[[#This Row],[Tipo_Linha]]="-",Base_Periodo1[[#This Row],[TIPOSALDO]]="D"),Base_Periodo1[[#This Row],[SALDO_ATUAL]]*-1,Base_Periodo1[[#This Row],[SALDO_ATUAL]]),4)</f>
        <v>557634.18000000005</v>
      </c>
      <c r="N1652" t="s">
        <v>396</v>
      </c>
      <c r="O1652" t="s">
        <v>397</v>
      </c>
      <c r="P1652" t="s">
        <v>397</v>
      </c>
      <c r="Q1652">
        <v>8</v>
      </c>
      <c r="R1652" s="225">
        <f>Base_Periodo1[[#This Row],[CREDITOS]]-Base_Periodo1[[#This Row],[DEBITOS]]</f>
        <v>-273253.12</v>
      </c>
      <c r="S1652" s="3" t="str">
        <f>IF(ISERROR(VLOOKUP(Base_Periodo1[[#This Row],[CONTA]],BaseContasDRE[#All],4,FALSE)),"Fora do DRE",VLOOKUP(Base_Periodo1[[#This Row],[CONTA]],BaseContasDRE[#All],4,FALSE))</f>
        <v>Fora do DRE</v>
      </c>
      <c r="T1652" s="3" t="str">
        <f>IF(ISERROR(VLOOKUP(Base_Periodo1[[#This Row],[CONTA]],BaseContasDRE[#All],5,FALSE)),"Fora do DRE",VLOOKUP(Base_Periodo1[[#This Row],[CONTA]],BaseContasDRE[#All],6,FALSE))</f>
        <v>Fora do DRE</v>
      </c>
      <c r="U1652" s="3" t="str">
        <f>IF(ISERROR(VLOOKUP(Base_Periodo1[[#This Row],[CONTA]],BaseContasDRE[#All],7,FALSE)),"Fora do DRE",VLOOKUP(Base_Periodo1[[#This Row],[CONTA]],BaseContasDRE[#All],7,FALSE))</f>
        <v>Fora do DRE</v>
      </c>
      <c r="V1652" s="3" t="str">
        <f>IF(Base_Periodo1[[#This Row],[Tipo_Linha]]="Fora do DRE","Fora do DRE","( "&amp;Base_Periodo1[[#This Row],[Tipo_Linha]]&amp;" ) "&amp;Base_Periodo1[[#This Row],[Filtro]])</f>
        <v>Fora do DRE</v>
      </c>
      <c r="W1652" s="3" t="str">
        <f>LEFT(Base_Periodo1[[#This Row],[CLASS]],3)</f>
        <v>1.1</v>
      </c>
    </row>
    <row r="1653" spans="1:23" hidden="1">
      <c r="A1653" s="3" t="str">
        <f t="shared" si="25"/>
        <v>Período 1</v>
      </c>
      <c r="B1653">
        <v>742</v>
      </c>
      <c r="C1653" t="s">
        <v>1340</v>
      </c>
      <c r="D1653" t="s">
        <v>1061</v>
      </c>
      <c r="E1653" s="3" t="str">
        <f>IF(LEN(Base_Periodo1[[#This Row],[CLASS]])&gt;=7,LEFT(Base_Periodo1[[#This Row],[CLASS]],7),"")</f>
        <v>1.1.3.1</v>
      </c>
      <c r="F1653" s="3" t="str">
        <f>VLOOKUP(Base_Periodo1[[#This Row],[Aux]],Base_Contas_Balanco[#All],2,FALSE)</f>
        <v>Estoques Proprios</v>
      </c>
      <c r="G1653" s="1">
        <v>42886</v>
      </c>
      <c r="H1653" s="225">
        <v>284381.06000002101</v>
      </c>
      <c r="I1653" s="225">
        <v>274951.58</v>
      </c>
      <c r="J1653" s="225">
        <v>1698.46</v>
      </c>
      <c r="K1653" s="225">
        <v>557634.18000002112</v>
      </c>
      <c r="L16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557634.18000000005</v>
      </c>
      <c r="M1653" s="225">
        <f>ROUND(IF(AND(Base_Periodo1[[#This Row],[Tipo_Linha]]="-",Base_Periodo1[[#This Row],[TIPOSALDO]]="D"),Base_Periodo1[[#This Row],[SALDO_ATUAL]]*-1,Base_Periodo1[[#This Row],[SALDO_ATUAL]]),4)</f>
        <v>557634.18000000005</v>
      </c>
      <c r="N1653" t="s">
        <v>116</v>
      </c>
      <c r="O1653" t="s">
        <v>397</v>
      </c>
      <c r="P1653" t="s">
        <v>397</v>
      </c>
      <c r="Q1653">
        <v>9</v>
      </c>
      <c r="R1653" s="225">
        <f>Base_Periodo1[[#This Row],[CREDITOS]]-Base_Periodo1[[#This Row],[DEBITOS]]</f>
        <v>-273253.12</v>
      </c>
      <c r="S1653" s="3" t="str">
        <f>IF(ISERROR(VLOOKUP(Base_Periodo1[[#This Row],[CONTA]],BaseContasDRE[#All],4,FALSE)),"Fora do DRE",VLOOKUP(Base_Periodo1[[#This Row],[CONTA]],BaseContasDRE[#All],4,FALSE))</f>
        <v>Fora do DRE</v>
      </c>
      <c r="T1653" s="3" t="str">
        <f>IF(ISERROR(VLOOKUP(Base_Periodo1[[#This Row],[CONTA]],BaseContasDRE[#All],5,FALSE)),"Fora do DRE",VLOOKUP(Base_Periodo1[[#This Row],[CONTA]],BaseContasDRE[#All],6,FALSE))</f>
        <v>Fora do DRE</v>
      </c>
      <c r="U1653" s="3" t="str">
        <f>IF(ISERROR(VLOOKUP(Base_Periodo1[[#This Row],[CONTA]],BaseContasDRE[#All],7,FALSE)),"Fora do DRE",VLOOKUP(Base_Periodo1[[#This Row],[CONTA]],BaseContasDRE[#All],7,FALSE))</f>
        <v>Fora do DRE</v>
      </c>
      <c r="V1653" s="3" t="str">
        <f>IF(Base_Periodo1[[#This Row],[Tipo_Linha]]="Fora do DRE","Fora do DRE","( "&amp;Base_Periodo1[[#This Row],[Tipo_Linha]]&amp;" ) "&amp;Base_Periodo1[[#This Row],[Filtro]])</f>
        <v>Fora do DRE</v>
      </c>
      <c r="W1653" s="3" t="str">
        <f>LEFT(Base_Periodo1[[#This Row],[CLASS]],3)</f>
        <v>1.1</v>
      </c>
    </row>
    <row r="1654" spans="1:23" hidden="1">
      <c r="A1654" s="3" t="str">
        <f t="shared" si="25"/>
        <v>Período 1</v>
      </c>
      <c r="B1654">
        <v>747</v>
      </c>
      <c r="C1654" t="s">
        <v>1341</v>
      </c>
      <c r="D1654" t="s">
        <v>1063</v>
      </c>
      <c r="E1654" s="3" t="str">
        <f>IF(LEN(Base_Periodo1[[#This Row],[CLASS]])&gt;=7,LEFT(Base_Periodo1[[#This Row],[CLASS]],7),"")</f>
        <v>1.1.3.1</v>
      </c>
      <c r="F1654" s="3" t="str">
        <f>VLOOKUP(Base_Periodo1[[#This Row],[Aux]],Base_Contas_Balanco[#All],2,FALSE)</f>
        <v>Estoques Proprios</v>
      </c>
      <c r="G1654" s="1"/>
      <c r="H1654" s="225">
        <v>320751.36000007018</v>
      </c>
      <c r="I1654" s="225">
        <v>147929.62000000002</v>
      </c>
      <c r="J1654" s="225">
        <v>0</v>
      </c>
      <c r="K1654" s="225">
        <v>468680.98000007018</v>
      </c>
      <c r="L16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468680.98</v>
      </c>
      <c r="M1654" s="225">
        <f>ROUND(IF(AND(Base_Periodo1[[#This Row],[Tipo_Linha]]="-",Base_Periodo1[[#This Row],[TIPOSALDO]]="D"),Base_Periodo1[[#This Row],[SALDO_ATUAL]]*-1,Base_Periodo1[[#This Row],[SALDO_ATUAL]]),4)</f>
        <v>468680.98</v>
      </c>
      <c r="N1654" t="s">
        <v>396</v>
      </c>
      <c r="O1654" t="s">
        <v>397</v>
      </c>
      <c r="P1654" t="s">
        <v>397</v>
      </c>
      <c r="Q1654">
        <v>8</v>
      </c>
      <c r="R1654" s="225">
        <f>Base_Periodo1[[#This Row],[CREDITOS]]-Base_Periodo1[[#This Row],[DEBITOS]]</f>
        <v>-147929.62000000002</v>
      </c>
      <c r="S1654" s="3" t="str">
        <f>IF(ISERROR(VLOOKUP(Base_Periodo1[[#This Row],[CONTA]],BaseContasDRE[#All],4,FALSE)),"Fora do DRE",VLOOKUP(Base_Periodo1[[#This Row],[CONTA]],BaseContasDRE[#All],4,FALSE))</f>
        <v>Fora do DRE</v>
      </c>
      <c r="T1654" s="3" t="str">
        <f>IF(ISERROR(VLOOKUP(Base_Periodo1[[#This Row],[CONTA]],BaseContasDRE[#All],5,FALSE)),"Fora do DRE",VLOOKUP(Base_Periodo1[[#This Row],[CONTA]],BaseContasDRE[#All],6,FALSE))</f>
        <v>Fora do DRE</v>
      </c>
      <c r="U1654" s="3" t="str">
        <f>IF(ISERROR(VLOOKUP(Base_Periodo1[[#This Row],[CONTA]],BaseContasDRE[#All],7,FALSE)),"Fora do DRE",VLOOKUP(Base_Periodo1[[#This Row],[CONTA]],BaseContasDRE[#All],7,FALSE))</f>
        <v>Fora do DRE</v>
      </c>
      <c r="V1654" s="3" t="str">
        <f>IF(Base_Periodo1[[#This Row],[Tipo_Linha]]="Fora do DRE","Fora do DRE","( "&amp;Base_Periodo1[[#This Row],[Tipo_Linha]]&amp;" ) "&amp;Base_Periodo1[[#This Row],[Filtro]])</f>
        <v>Fora do DRE</v>
      </c>
      <c r="W1654" s="3" t="str">
        <f>LEFT(Base_Periodo1[[#This Row],[CLASS]],3)</f>
        <v>1.1</v>
      </c>
    </row>
    <row r="1655" spans="1:23" hidden="1">
      <c r="A1655" s="3" t="str">
        <f t="shared" si="25"/>
        <v>Período 1</v>
      </c>
      <c r="B1655">
        <v>748</v>
      </c>
      <c r="C1655" t="s">
        <v>1342</v>
      </c>
      <c r="D1655" t="s">
        <v>1065</v>
      </c>
      <c r="E1655" s="3" t="str">
        <f>IF(LEN(Base_Periodo1[[#This Row],[CLASS]])&gt;=7,LEFT(Base_Periodo1[[#This Row],[CLASS]],7),"")</f>
        <v>1.1.3.1</v>
      </c>
      <c r="F1655" s="3" t="str">
        <f>VLOOKUP(Base_Periodo1[[#This Row],[Aux]],Base_Contas_Balanco[#All],2,FALSE)</f>
        <v>Estoques Proprios</v>
      </c>
      <c r="G1655" s="1">
        <v>42884</v>
      </c>
      <c r="H1655" s="225">
        <v>320751.36000007018</v>
      </c>
      <c r="I1655" s="225">
        <v>147929.62000000002</v>
      </c>
      <c r="J1655" s="225">
        <v>0</v>
      </c>
      <c r="K1655" s="225">
        <v>468680.98000007018</v>
      </c>
      <c r="L16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468680.98</v>
      </c>
      <c r="M1655" s="225">
        <f>ROUND(IF(AND(Base_Periodo1[[#This Row],[Tipo_Linha]]="-",Base_Periodo1[[#This Row],[TIPOSALDO]]="D"),Base_Periodo1[[#This Row],[SALDO_ATUAL]]*-1,Base_Periodo1[[#This Row],[SALDO_ATUAL]]),4)</f>
        <v>468680.98</v>
      </c>
      <c r="N1655" t="s">
        <v>116</v>
      </c>
      <c r="O1655" t="s">
        <v>397</v>
      </c>
      <c r="P1655" t="s">
        <v>397</v>
      </c>
      <c r="Q1655">
        <v>9</v>
      </c>
      <c r="R1655" s="225">
        <f>Base_Periodo1[[#This Row],[CREDITOS]]-Base_Periodo1[[#This Row],[DEBITOS]]</f>
        <v>-147929.62000000002</v>
      </c>
      <c r="S1655" s="3" t="str">
        <f>IF(ISERROR(VLOOKUP(Base_Periodo1[[#This Row],[CONTA]],BaseContasDRE[#All],4,FALSE)),"Fora do DRE",VLOOKUP(Base_Periodo1[[#This Row],[CONTA]],BaseContasDRE[#All],4,FALSE))</f>
        <v>Fora do DRE</v>
      </c>
      <c r="T1655" s="3" t="str">
        <f>IF(ISERROR(VLOOKUP(Base_Periodo1[[#This Row],[CONTA]],BaseContasDRE[#All],5,FALSE)),"Fora do DRE",VLOOKUP(Base_Periodo1[[#This Row],[CONTA]],BaseContasDRE[#All],6,FALSE))</f>
        <v>Fora do DRE</v>
      </c>
      <c r="U1655" s="3" t="str">
        <f>IF(ISERROR(VLOOKUP(Base_Periodo1[[#This Row],[CONTA]],BaseContasDRE[#All],7,FALSE)),"Fora do DRE",VLOOKUP(Base_Periodo1[[#This Row],[CONTA]],BaseContasDRE[#All],7,FALSE))</f>
        <v>Fora do DRE</v>
      </c>
      <c r="V1655" s="3" t="str">
        <f>IF(Base_Periodo1[[#This Row],[Tipo_Linha]]="Fora do DRE","Fora do DRE","( "&amp;Base_Periodo1[[#This Row],[Tipo_Linha]]&amp;" ) "&amp;Base_Periodo1[[#This Row],[Filtro]])</f>
        <v>Fora do DRE</v>
      </c>
      <c r="W1655" s="3" t="str">
        <f>LEFT(Base_Periodo1[[#This Row],[CLASS]],3)</f>
        <v>1.1</v>
      </c>
    </row>
    <row r="1656" spans="1:23" hidden="1">
      <c r="A1656" s="3" t="str">
        <f t="shared" si="25"/>
        <v>Período 1</v>
      </c>
      <c r="B1656">
        <v>752</v>
      </c>
      <c r="C1656" t="s">
        <v>1343</v>
      </c>
      <c r="D1656" t="s">
        <v>1067</v>
      </c>
      <c r="E1656" s="3" t="str">
        <f>IF(LEN(Base_Periodo1[[#This Row],[CLASS]])&gt;=7,LEFT(Base_Periodo1[[#This Row],[CLASS]],7),"")</f>
        <v>1.1.3.1</v>
      </c>
      <c r="F1656" s="3" t="str">
        <f>VLOOKUP(Base_Periodo1[[#This Row],[Aux]],Base_Contas_Balanco[#All],2,FALSE)</f>
        <v>Estoques Proprios</v>
      </c>
      <c r="G1656" s="1"/>
      <c r="H1656" s="225">
        <v>313036.61999999848</v>
      </c>
      <c r="I1656" s="225">
        <v>0</v>
      </c>
      <c r="J1656" s="225">
        <v>141413.71</v>
      </c>
      <c r="K1656" s="225">
        <v>454450.32999999844</v>
      </c>
      <c r="L16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-454450.33</v>
      </c>
      <c r="M1656" s="225">
        <f>ROUND(IF(AND(Base_Periodo1[[#This Row],[Tipo_Linha]]="-",Base_Periodo1[[#This Row],[TIPOSALDO]]="D"),Base_Periodo1[[#This Row],[SALDO_ATUAL]]*-1,Base_Periodo1[[#This Row],[SALDO_ATUAL]]),4)</f>
        <v>454450.33</v>
      </c>
      <c r="N1656" t="s">
        <v>396</v>
      </c>
      <c r="O1656" t="s">
        <v>459</v>
      </c>
      <c r="P1656" t="s">
        <v>459</v>
      </c>
      <c r="Q1656">
        <v>8</v>
      </c>
      <c r="R1656" s="225">
        <f>Base_Periodo1[[#This Row],[CREDITOS]]-Base_Periodo1[[#This Row],[DEBITOS]]</f>
        <v>141413.71</v>
      </c>
      <c r="S1656" s="3" t="str">
        <f>IF(ISERROR(VLOOKUP(Base_Periodo1[[#This Row],[CONTA]],BaseContasDRE[#All],4,FALSE)),"Fora do DRE",VLOOKUP(Base_Periodo1[[#This Row],[CONTA]],BaseContasDRE[#All],4,FALSE))</f>
        <v>Fora do DRE</v>
      </c>
      <c r="T1656" s="3" t="str">
        <f>IF(ISERROR(VLOOKUP(Base_Periodo1[[#This Row],[CONTA]],BaseContasDRE[#All],5,FALSE)),"Fora do DRE",VLOOKUP(Base_Periodo1[[#This Row],[CONTA]],BaseContasDRE[#All],6,FALSE))</f>
        <v>Fora do DRE</v>
      </c>
      <c r="U1656" s="3" t="str">
        <f>IF(ISERROR(VLOOKUP(Base_Periodo1[[#This Row],[CONTA]],BaseContasDRE[#All],7,FALSE)),"Fora do DRE",VLOOKUP(Base_Periodo1[[#This Row],[CONTA]],BaseContasDRE[#All],7,FALSE))</f>
        <v>Fora do DRE</v>
      </c>
      <c r="V1656" s="3" t="str">
        <f>IF(Base_Periodo1[[#This Row],[Tipo_Linha]]="Fora do DRE","Fora do DRE","( "&amp;Base_Periodo1[[#This Row],[Tipo_Linha]]&amp;" ) "&amp;Base_Periodo1[[#This Row],[Filtro]])</f>
        <v>Fora do DRE</v>
      </c>
      <c r="W1656" s="3" t="str">
        <f>LEFT(Base_Periodo1[[#This Row],[CLASS]],3)</f>
        <v>1.1</v>
      </c>
    </row>
    <row r="1657" spans="1:23" hidden="1">
      <c r="A1657" s="3" t="str">
        <f t="shared" si="25"/>
        <v>Período 1</v>
      </c>
      <c r="B1657">
        <v>753</v>
      </c>
      <c r="C1657" t="s">
        <v>1344</v>
      </c>
      <c r="D1657" t="s">
        <v>1068</v>
      </c>
      <c r="E1657" s="3" t="str">
        <f>IF(LEN(Base_Periodo1[[#This Row],[CLASS]])&gt;=7,LEFT(Base_Periodo1[[#This Row],[CLASS]],7),"")</f>
        <v>1.1.3.1</v>
      </c>
      <c r="F1657" s="3" t="str">
        <f>VLOOKUP(Base_Periodo1[[#This Row],[Aux]],Base_Contas_Balanco[#All],2,FALSE)</f>
        <v>Estoques Proprios</v>
      </c>
      <c r="G1657" s="1">
        <v>42886</v>
      </c>
      <c r="H1657" s="225">
        <v>312226.48999999836</v>
      </c>
      <c r="I1657" s="225">
        <v>0</v>
      </c>
      <c r="J1657" s="225">
        <v>17074.04</v>
      </c>
      <c r="K1657" s="225">
        <v>329300.52999999834</v>
      </c>
      <c r="L16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-329300.53000000003</v>
      </c>
      <c r="M1657" s="225">
        <f>ROUND(IF(AND(Base_Periodo1[[#This Row],[Tipo_Linha]]="-",Base_Periodo1[[#This Row],[TIPOSALDO]]="D"),Base_Periodo1[[#This Row],[SALDO_ATUAL]]*-1,Base_Periodo1[[#This Row],[SALDO_ATUAL]]),4)</f>
        <v>329300.53000000003</v>
      </c>
      <c r="N1657" t="s">
        <v>116</v>
      </c>
      <c r="O1657" t="s">
        <v>459</v>
      </c>
      <c r="P1657" t="s">
        <v>459</v>
      </c>
      <c r="Q1657">
        <v>9</v>
      </c>
      <c r="R1657" s="225">
        <f>Base_Periodo1[[#This Row],[CREDITOS]]-Base_Periodo1[[#This Row],[DEBITOS]]</f>
        <v>17074.04</v>
      </c>
      <c r="S1657" s="3" t="str">
        <f>IF(ISERROR(VLOOKUP(Base_Periodo1[[#This Row],[CONTA]],BaseContasDRE[#All],4,FALSE)),"Fora do DRE",VLOOKUP(Base_Periodo1[[#This Row],[CONTA]],BaseContasDRE[#All],4,FALSE))</f>
        <v>Fora do DRE</v>
      </c>
      <c r="T1657" s="3" t="str">
        <f>IF(ISERROR(VLOOKUP(Base_Periodo1[[#This Row],[CONTA]],BaseContasDRE[#All],5,FALSE)),"Fora do DRE",VLOOKUP(Base_Periodo1[[#This Row],[CONTA]],BaseContasDRE[#All],6,FALSE))</f>
        <v>Fora do DRE</v>
      </c>
      <c r="U1657" s="3" t="str">
        <f>IF(ISERROR(VLOOKUP(Base_Periodo1[[#This Row],[CONTA]],BaseContasDRE[#All],7,FALSE)),"Fora do DRE",VLOOKUP(Base_Periodo1[[#This Row],[CONTA]],BaseContasDRE[#All],7,FALSE))</f>
        <v>Fora do DRE</v>
      </c>
      <c r="V1657" s="3" t="str">
        <f>IF(Base_Periodo1[[#This Row],[Tipo_Linha]]="Fora do DRE","Fora do DRE","( "&amp;Base_Periodo1[[#This Row],[Tipo_Linha]]&amp;" ) "&amp;Base_Periodo1[[#This Row],[Filtro]])</f>
        <v>Fora do DRE</v>
      </c>
      <c r="W1657" s="3" t="str">
        <f>LEFT(Base_Periodo1[[#This Row],[CLASS]],3)</f>
        <v>1.1</v>
      </c>
    </row>
    <row r="1658" spans="1:23" hidden="1">
      <c r="A1658" s="3" t="str">
        <f t="shared" si="25"/>
        <v>Período 1</v>
      </c>
      <c r="B1658">
        <v>754</v>
      </c>
      <c r="C1658" t="s">
        <v>1345</v>
      </c>
      <c r="D1658" t="s">
        <v>1070</v>
      </c>
      <c r="E1658" s="3" t="str">
        <f>IF(LEN(Base_Periodo1[[#This Row],[CLASS]])&gt;=7,LEFT(Base_Periodo1[[#This Row],[CLASS]],7),"")</f>
        <v>1.1.3.1</v>
      </c>
      <c r="F1658" s="3" t="str">
        <f>VLOOKUP(Base_Periodo1[[#This Row],[Aux]],Base_Contas_Balanco[#All],2,FALSE)</f>
        <v>Estoques Proprios</v>
      </c>
      <c r="G1658" s="1">
        <v>42886</v>
      </c>
      <c r="H1658" s="225">
        <v>810.13000000012107</v>
      </c>
      <c r="I1658" s="225">
        <v>0</v>
      </c>
      <c r="J1658" s="225">
        <v>124339.67</v>
      </c>
      <c r="K1658" s="225">
        <v>125149.80000000012</v>
      </c>
      <c r="L16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-125149.8</v>
      </c>
      <c r="M1658" s="225">
        <f>ROUND(IF(AND(Base_Periodo1[[#This Row],[Tipo_Linha]]="-",Base_Periodo1[[#This Row],[TIPOSALDO]]="D"),Base_Periodo1[[#This Row],[SALDO_ATUAL]]*-1,Base_Periodo1[[#This Row],[SALDO_ATUAL]]),4)</f>
        <v>125149.8</v>
      </c>
      <c r="N1658" t="s">
        <v>116</v>
      </c>
      <c r="O1658" t="s">
        <v>459</v>
      </c>
      <c r="P1658" t="s">
        <v>459</v>
      </c>
      <c r="Q1658">
        <v>9</v>
      </c>
      <c r="R1658" s="225">
        <f>Base_Periodo1[[#This Row],[CREDITOS]]-Base_Periodo1[[#This Row],[DEBITOS]]</f>
        <v>124339.67</v>
      </c>
      <c r="S1658" s="3" t="str">
        <f>IF(ISERROR(VLOOKUP(Base_Periodo1[[#This Row],[CONTA]],BaseContasDRE[#All],4,FALSE)),"Fora do DRE",VLOOKUP(Base_Periodo1[[#This Row],[CONTA]],BaseContasDRE[#All],4,FALSE))</f>
        <v>Fora do DRE</v>
      </c>
      <c r="T1658" s="3" t="str">
        <f>IF(ISERROR(VLOOKUP(Base_Periodo1[[#This Row],[CONTA]],BaseContasDRE[#All],5,FALSE)),"Fora do DRE",VLOOKUP(Base_Periodo1[[#This Row],[CONTA]],BaseContasDRE[#All],6,FALSE))</f>
        <v>Fora do DRE</v>
      </c>
      <c r="U1658" s="3" t="str">
        <f>IF(ISERROR(VLOOKUP(Base_Periodo1[[#This Row],[CONTA]],BaseContasDRE[#All],7,FALSE)),"Fora do DRE",VLOOKUP(Base_Periodo1[[#This Row],[CONTA]],BaseContasDRE[#All],7,FALSE))</f>
        <v>Fora do DRE</v>
      </c>
      <c r="V1658" s="3" t="str">
        <f>IF(Base_Periodo1[[#This Row],[Tipo_Linha]]="Fora do DRE","Fora do DRE","( "&amp;Base_Periodo1[[#This Row],[Tipo_Linha]]&amp;" ) "&amp;Base_Periodo1[[#This Row],[Filtro]])</f>
        <v>Fora do DRE</v>
      </c>
      <c r="W1658" s="3" t="str">
        <f>LEFT(Base_Periodo1[[#This Row],[CLASS]],3)</f>
        <v>1.1</v>
      </c>
    </row>
    <row r="1659" spans="1:23" hidden="1">
      <c r="A1659" s="3" t="str">
        <f t="shared" si="25"/>
        <v>Período 1</v>
      </c>
      <c r="B1659">
        <v>757</v>
      </c>
      <c r="C1659" t="s">
        <v>1346</v>
      </c>
      <c r="D1659" t="s">
        <v>1072</v>
      </c>
      <c r="E1659" s="3" t="str">
        <f>IF(LEN(Base_Periodo1[[#This Row],[CLASS]])&gt;=7,LEFT(Base_Periodo1[[#This Row],[CLASS]],7),"")</f>
        <v>1.1.3.1</v>
      </c>
      <c r="F1659" s="3" t="str">
        <f>VLOOKUP(Base_Periodo1[[#This Row],[Aux]],Base_Contas_Balanco[#All],2,FALSE)</f>
        <v>Estoques Proprios</v>
      </c>
      <c r="G1659" s="1"/>
      <c r="H1659" s="225">
        <v>288006.36000000685</v>
      </c>
      <c r="I1659" s="225">
        <v>0</v>
      </c>
      <c r="J1659" s="225">
        <v>147929.62</v>
      </c>
      <c r="K1659" s="225">
        <v>435935.98000000685</v>
      </c>
      <c r="L16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-435935.98</v>
      </c>
      <c r="M1659" s="225">
        <f>ROUND(IF(AND(Base_Periodo1[[#This Row],[Tipo_Linha]]="-",Base_Periodo1[[#This Row],[TIPOSALDO]]="D"),Base_Periodo1[[#This Row],[SALDO_ATUAL]]*-1,Base_Periodo1[[#This Row],[SALDO_ATUAL]]),4)</f>
        <v>435935.98</v>
      </c>
      <c r="N1659" t="s">
        <v>396</v>
      </c>
      <c r="O1659" t="s">
        <v>459</v>
      </c>
      <c r="P1659" t="s">
        <v>459</v>
      </c>
      <c r="Q1659">
        <v>8</v>
      </c>
      <c r="R1659" s="225">
        <f>Base_Periodo1[[#This Row],[CREDITOS]]-Base_Periodo1[[#This Row],[DEBITOS]]</f>
        <v>147929.62</v>
      </c>
      <c r="S1659" s="3" t="str">
        <f>IF(ISERROR(VLOOKUP(Base_Periodo1[[#This Row],[CONTA]],BaseContasDRE[#All],4,FALSE)),"Fora do DRE",VLOOKUP(Base_Periodo1[[#This Row],[CONTA]],BaseContasDRE[#All],4,FALSE))</f>
        <v>Fora do DRE</v>
      </c>
      <c r="T1659" s="3" t="str">
        <f>IF(ISERROR(VLOOKUP(Base_Periodo1[[#This Row],[CONTA]],BaseContasDRE[#All],5,FALSE)),"Fora do DRE",VLOOKUP(Base_Periodo1[[#This Row],[CONTA]],BaseContasDRE[#All],6,FALSE))</f>
        <v>Fora do DRE</v>
      </c>
      <c r="U1659" s="3" t="str">
        <f>IF(ISERROR(VLOOKUP(Base_Periodo1[[#This Row],[CONTA]],BaseContasDRE[#All],7,FALSE)),"Fora do DRE",VLOOKUP(Base_Periodo1[[#This Row],[CONTA]],BaseContasDRE[#All],7,FALSE))</f>
        <v>Fora do DRE</v>
      </c>
      <c r="V1659" s="3" t="str">
        <f>IF(Base_Periodo1[[#This Row],[Tipo_Linha]]="Fora do DRE","Fora do DRE","( "&amp;Base_Periodo1[[#This Row],[Tipo_Linha]]&amp;" ) "&amp;Base_Periodo1[[#This Row],[Filtro]])</f>
        <v>Fora do DRE</v>
      </c>
      <c r="W1659" s="3" t="str">
        <f>LEFT(Base_Periodo1[[#This Row],[CLASS]],3)</f>
        <v>1.1</v>
      </c>
    </row>
    <row r="1660" spans="1:23" hidden="1">
      <c r="A1660" s="3" t="str">
        <f t="shared" si="25"/>
        <v>Período 1</v>
      </c>
      <c r="B1660">
        <v>758</v>
      </c>
      <c r="C1660" t="s">
        <v>1347</v>
      </c>
      <c r="D1660" t="s">
        <v>1074</v>
      </c>
      <c r="E1660" s="3" t="str">
        <f>IF(LEN(Base_Periodo1[[#This Row],[CLASS]])&gt;=7,LEFT(Base_Periodo1[[#This Row],[CLASS]],7),"")</f>
        <v>1.1.3.1</v>
      </c>
      <c r="F1660" s="3" t="str">
        <f>VLOOKUP(Base_Periodo1[[#This Row],[Aux]],Base_Contas_Balanco[#All],2,FALSE)</f>
        <v>Estoques Proprios</v>
      </c>
      <c r="G1660" s="1">
        <v>42884</v>
      </c>
      <c r="H1660" s="225">
        <v>288006.36000000685</v>
      </c>
      <c r="I1660" s="225">
        <v>0</v>
      </c>
      <c r="J1660" s="225">
        <v>147929.62</v>
      </c>
      <c r="K1660" s="225">
        <v>435935.98000000685</v>
      </c>
      <c r="L16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-435935.98</v>
      </c>
      <c r="M1660" s="225">
        <f>ROUND(IF(AND(Base_Periodo1[[#This Row],[Tipo_Linha]]="-",Base_Periodo1[[#This Row],[TIPOSALDO]]="D"),Base_Periodo1[[#This Row],[SALDO_ATUAL]]*-1,Base_Periodo1[[#This Row],[SALDO_ATUAL]]),4)</f>
        <v>435935.98</v>
      </c>
      <c r="N1660" t="s">
        <v>116</v>
      </c>
      <c r="O1660" t="s">
        <v>459</v>
      </c>
      <c r="P1660" t="s">
        <v>459</v>
      </c>
      <c r="Q1660">
        <v>9</v>
      </c>
      <c r="R1660" s="225">
        <f>Base_Periodo1[[#This Row],[CREDITOS]]-Base_Periodo1[[#This Row],[DEBITOS]]</f>
        <v>147929.62</v>
      </c>
      <c r="S1660" s="3" t="str">
        <f>IF(ISERROR(VLOOKUP(Base_Periodo1[[#This Row],[CONTA]],BaseContasDRE[#All],4,FALSE)),"Fora do DRE",VLOOKUP(Base_Periodo1[[#This Row],[CONTA]],BaseContasDRE[#All],4,FALSE))</f>
        <v>Fora do DRE</v>
      </c>
      <c r="T1660" s="3" t="str">
        <f>IF(ISERROR(VLOOKUP(Base_Periodo1[[#This Row],[CONTA]],BaseContasDRE[#All],5,FALSE)),"Fora do DRE",VLOOKUP(Base_Periodo1[[#This Row],[CONTA]],BaseContasDRE[#All],6,FALSE))</f>
        <v>Fora do DRE</v>
      </c>
      <c r="U1660" s="3" t="str">
        <f>IF(ISERROR(VLOOKUP(Base_Periodo1[[#This Row],[CONTA]],BaseContasDRE[#All],7,FALSE)),"Fora do DRE",VLOOKUP(Base_Periodo1[[#This Row],[CONTA]],BaseContasDRE[#All],7,FALSE))</f>
        <v>Fora do DRE</v>
      </c>
      <c r="V1660" s="3" t="str">
        <f>IF(Base_Periodo1[[#This Row],[Tipo_Linha]]="Fora do DRE","Fora do DRE","( "&amp;Base_Periodo1[[#This Row],[Tipo_Linha]]&amp;" ) "&amp;Base_Periodo1[[#This Row],[Filtro]])</f>
        <v>Fora do DRE</v>
      </c>
      <c r="W1660" s="3" t="str">
        <f>LEFT(Base_Periodo1[[#This Row],[CLASS]],3)</f>
        <v>1.1</v>
      </c>
    </row>
    <row r="1661" spans="1:23" hidden="1">
      <c r="A1661" s="3" t="str">
        <f t="shared" si="25"/>
        <v>Período 1</v>
      </c>
      <c r="B1661">
        <v>759</v>
      </c>
      <c r="C1661" t="s">
        <v>5910</v>
      </c>
      <c r="D1661" t="s">
        <v>1171</v>
      </c>
      <c r="E1661" s="3" t="str">
        <f>IF(LEN(Base_Periodo1[[#This Row],[CLASS]])&gt;=7,LEFT(Base_Periodo1[[#This Row],[CLASS]],7),"")</f>
        <v>1.1.3.1</v>
      </c>
      <c r="F1661" s="3" t="str">
        <f>VLOOKUP(Base_Periodo1[[#This Row],[Aux]],Base_Contas_Balanco[#All],2,FALSE)</f>
        <v>Estoques Proprios</v>
      </c>
      <c r="G1661" s="1"/>
      <c r="H1661" s="225">
        <v>1291.2400000000016</v>
      </c>
      <c r="I1661" s="225">
        <v>0</v>
      </c>
      <c r="J1661" s="225">
        <v>0</v>
      </c>
      <c r="K1661" s="225">
        <v>1291.2400000000016</v>
      </c>
      <c r="L16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-1291.24</v>
      </c>
      <c r="M1661" s="225">
        <f>ROUND(IF(AND(Base_Periodo1[[#This Row],[Tipo_Linha]]="-",Base_Periodo1[[#This Row],[TIPOSALDO]]="D"),Base_Periodo1[[#This Row],[SALDO_ATUAL]]*-1,Base_Periodo1[[#This Row],[SALDO_ATUAL]]),4)</f>
        <v>1291.24</v>
      </c>
      <c r="N1661" t="s">
        <v>396</v>
      </c>
      <c r="O1661" t="s">
        <v>459</v>
      </c>
      <c r="P1661" t="s">
        <v>459</v>
      </c>
      <c r="Q1661">
        <v>8</v>
      </c>
      <c r="R1661" s="225">
        <f>Base_Periodo1[[#This Row],[CREDITOS]]-Base_Periodo1[[#This Row],[DEBITOS]]</f>
        <v>0</v>
      </c>
      <c r="S1661" s="3" t="str">
        <f>IF(ISERROR(VLOOKUP(Base_Periodo1[[#This Row],[CONTA]],BaseContasDRE[#All],4,FALSE)),"Fora do DRE",VLOOKUP(Base_Periodo1[[#This Row],[CONTA]],BaseContasDRE[#All],4,FALSE))</f>
        <v>Fora do DRE</v>
      </c>
      <c r="T1661" s="3" t="str">
        <f>IF(ISERROR(VLOOKUP(Base_Periodo1[[#This Row],[CONTA]],BaseContasDRE[#All],5,FALSE)),"Fora do DRE",VLOOKUP(Base_Periodo1[[#This Row],[CONTA]],BaseContasDRE[#All],6,FALSE))</f>
        <v>Fora do DRE</v>
      </c>
      <c r="U1661" s="3" t="str">
        <f>IF(ISERROR(VLOOKUP(Base_Periodo1[[#This Row],[CONTA]],BaseContasDRE[#All],7,FALSE)),"Fora do DRE",VLOOKUP(Base_Periodo1[[#This Row],[CONTA]],BaseContasDRE[#All],7,FALSE))</f>
        <v>Fora do DRE</v>
      </c>
      <c r="V1661" s="3" t="str">
        <f>IF(Base_Periodo1[[#This Row],[Tipo_Linha]]="Fora do DRE","Fora do DRE","( "&amp;Base_Periodo1[[#This Row],[Tipo_Linha]]&amp;" ) "&amp;Base_Periodo1[[#This Row],[Filtro]])</f>
        <v>Fora do DRE</v>
      </c>
      <c r="W1661" s="3" t="str">
        <f>LEFT(Base_Periodo1[[#This Row],[CLASS]],3)</f>
        <v>1.1</v>
      </c>
    </row>
    <row r="1662" spans="1:23" hidden="1">
      <c r="A1662" s="3" t="str">
        <f t="shared" si="25"/>
        <v>Período 1</v>
      </c>
      <c r="B1662">
        <v>760</v>
      </c>
      <c r="C1662" t="s">
        <v>5911</v>
      </c>
      <c r="D1662" t="s">
        <v>1173</v>
      </c>
      <c r="E1662" s="3" t="str">
        <f>IF(LEN(Base_Periodo1[[#This Row],[CLASS]])&gt;=7,LEFT(Base_Periodo1[[#This Row],[CLASS]],7),"")</f>
        <v>1.1.3.1</v>
      </c>
      <c r="F1662" s="3" t="str">
        <f>VLOOKUP(Base_Periodo1[[#This Row],[Aux]],Base_Contas_Balanco[#All],2,FALSE)</f>
        <v>Estoques Proprios</v>
      </c>
      <c r="G1662" s="1">
        <v>42775</v>
      </c>
      <c r="H1662" s="225">
        <v>1291.2400000000016</v>
      </c>
      <c r="I1662" s="225">
        <v>0</v>
      </c>
      <c r="J1662" s="225">
        <v>0</v>
      </c>
      <c r="K1662" s="225">
        <v>1291.2400000000016</v>
      </c>
      <c r="L16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-1291.24</v>
      </c>
      <c r="M1662" s="225">
        <f>ROUND(IF(AND(Base_Periodo1[[#This Row],[Tipo_Linha]]="-",Base_Periodo1[[#This Row],[TIPOSALDO]]="D"),Base_Periodo1[[#This Row],[SALDO_ATUAL]]*-1,Base_Periodo1[[#This Row],[SALDO_ATUAL]]),4)</f>
        <v>1291.24</v>
      </c>
      <c r="N1662" t="s">
        <v>116</v>
      </c>
      <c r="O1662" t="s">
        <v>459</v>
      </c>
      <c r="P1662" t="s">
        <v>459</v>
      </c>
      <c r="Q1662">
        <v>9</v>
      </c>
      <c r="R1662" s="225">
        <f>Base_Periodo1[[#This Row],[CREDITOS]]-Base_Periodo1[[#This Row],[DEBITOS]]</f>
        <v>0</v>
      </c>
      <c r="S1662" s="3" t="str">
        <f>IF(ISERROR(VLOOKUP(Base_Periodo1[[#This Row],[CONTA]],BaseContasDRE[#All],4,FALSE)),"Fora do DRE",VLOOKUP(Base_Periodo1[[#This Row],[CONTA]],BaseContasDRE[#All],4,FALSE))</f>
        <v>Fora do DRE</v>
      </c>
      <c r="T1662" s="3" t="str">
        <f>IF(ISERROR(VLOOKUP(Base_Periodo1[[#This Row],[CONTA]],BaseContasDRE[#All],5,FALSE)),"Fora do DRE",VLOOKUP(Base_Periodo1[[#This Row],[CONTA]],BaseContasDRE[#All],6,FALSE))</f>
        <v>Fora do DRE</v>
      </c>
      <c r="U1662" s="3" t="str">
        <f>IF(ISERROR(VLOOKUP(Base_Periodo1[[#This Row],[CONTA]],BaseContasDRE[#All],7,FALSE)),"Fora do DRE",VLOOKUP(Base_Periodo1[[#This Row],[CONTA]],BaseContasDRE[#All],7,FALSE))</f>
        <v>Fora do DRE</v>
      </c>
      <c r="V1662" s="3" t="str">
        <f>IF(Base_Periodo1[[#This Row],[Tipo_Linha]]="Fora do DRE","Fora do DRE","( "&amp;Base_Periodo1[[#This Row],[Tipo_Linha]]&amp;" ) "&amp;Base_Periodo1[[#This Row],[Filtro]])</f>
        <v>Fora do DRE</v>
      </c>
      <c r="W1662" s="3" t="str">
        <f>LEFT(Base_Periodo1[[#This Row],[CLASS]],3)</f>
        <v>1.1</v>
      </c>
    </row>
    <row r="1663" spans="1:23" hidden="1">
      <c r="A1663" s="3" t="str">
        <f t="shared" si="25"/>
        <v>Período 1</v>
      </c>
      <c r="B1663">
        <v>792</v>
      </c>
      <c r="C1663" t="s">
        <v>1348</v>
      </c>
      <c r="D1663" t="s">
        <v>321</v>
      </c>
      <c r="E1663" s="3" t="str">
        <f>IF(LEN(Base_Periodo1[[#This Row],[CLASS]])&gt;=7,LEFT(Base_Periodo1[[#This Row],[CLASS]],7),"")</f>
        <v>1.1.3.1</v>
      </c>
      <c r="F1663" s="3" t="str">
        <f>VLOOKUP(Base_Periodo1[[#This Row],[Aux]],Base_Contas_Balanco[#All],2,FALSE)</f>
        <v>Estoques Proprios</v>
      </c>
      <c r="G1663" s="1"/>
      <c r="H1663" s="225">
        <v>159493.98000000458</v>
      </c>
      <c r="I1663" s="225">
        <v>330383.54000000004</v>
      </c>
      <c r="J1663" s="225">
        <v>241385.56</v>
      </c>
      <c r="K1663" s="225">
        <v>248491.96000000462</v>
      </c>
      <c r="L16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248491.96</v>
      </c>
      <c r="M1663" s="225">
        <f>ROUND(IF(AND(Base_Periodo1[[#This Row],[Tipo_Linha]]="-",Base_Periodo1[[#This Row],[TIPOSALDO]]="D"),Base_Periodo1[[#This Row],[SALDO_ATUAL]]*-1,Base_Periodo1[[#This Row],[SALDO_ATUAL]]),4)</f>
        <v>248491.96</v>
      </c>
      <c r="N1663" t="s">
        <v>396</v>
      </c>
      <c r="O1663" t="s">
        <v>397</v>
      </c>
      <c r="P1663" t="s">
        <v>397</v>
      </c>
      <c r="Q1663">
        <v>7</v>
      </c>
      <c r="R1663" s="225">
        <f>Base_Periodo1[[#This Row],[CREDITOS]]-Base_Periodo1[[#This Row],[DEBITOS]]</f>
        <v>-88997.98000000004</v>
      </c>
      <c r="S1663" s="3" t="str">
        <f>IF(ISERROR(VLOOKUP(Base_Periodo1[[#This Row],[CONTA]],BaseContasDRE[#All],4,FALSE)),"Fora do DRE",VLOOKUP(Base_Periodo1[[#This Row],[CONTA]],BaseContasDRE[#All],4,FALSE))</f>
        <v>Fora do DRE</v>
      </c>
      <c r="T1663" s="3" t="str">
        <f>IF(ISERROR(VLOOKUP(Base_Periodo1[[#This Row],[CONTA]],BaseContasDRE[#All],5,FALSE)),"Fora do DRE",VLOOKUP(Base_Periodo1[[#This Row],[CONTA]],BaseContasDRE[#All],6,FALSE))</f>
        <v>Fora do DRE</v>
      </c>
      <c r="U1663" s="3" t="str">
        <f>IF(ISERROR(VLOOKUP(Base_Periodo1[[#This Row],[CONTA]],BaseContasDRE[#All],7,FALSE)),"Fora do DRE",VLOOKUP(Base_Periodo1[[#This Row],[CONTA]],BaseContasDRE[#All],7,FALSE))</f>
        <v>Fora do DRE</v>
      </c>
      <c r="V1663" s="3" t="str">
        <f>IF(Base_Periodo1[[#This Row],[Tipo_Linha]]="Fora do DRE","Fora do DRE","( "&amp;Base_Periodo1[[#This Row],[Tipo_Linha]]&amp;" ) "&amp;Base_Periodo1[[#This Row],[Filtro]])</f>
        <v>Fora do DRE</v>
      </c>
      <c r="W1663" s="3" t="str">
        <f>LEFT(Base_Periodo1[[#This Row],[CLASS]],3)</f>
        <v>1.1</v>
      </c>
    </row>
    <row r="1664" spans="1:23" hidden="1">
      <c r="A1664" s="3" t="str">
        <f t="shared" si="25"/>
        <v>Período 1</v>
      </c>
      <c r="B1664">
        <v>793</v>
      </c>
      <c r="C1664" t="s">
        <v>1349</v>
      </c>
      <c r="D1664" t="s">
        <v>1054</v>
      </c>
      <c r="E1664" s="3" t="str">
        <f>IF(LEN(Base_Periodo1[[#This Row],[CLASS]])&gt;=7,LEFT(Base_Periodo1[[#This Row],[CLASS]],7),"")</f>
        <v>1.1.3.1</v>
      </c>
      <c r="F1664" s="3" t="str">
        <f>VLOOKUP(Base_Periodo1[[#This Row],[Aux]],Base_Contas_Balanco[#All],2,FALSE)</f>
        <v>Estoques Proprios</v>
      </c>
      <c r="G1664" s="1"/>
      <c r="H1664" s="225">
        <v>85361.419999998063</v>
      </c>
      <c r="I1664" s="225">
        <v>0</v>
      </c>
      <c r="J1664" s="225">
        <v>0</v>
      </c>
      <c r="K1664" s="225">
        <v>85361.419999998063</v>
      </c>
      <c r="L16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85361.42</v>
      </c>
      <c r="M1664" s="225">
        <f>ROUND(IF(AND(Base_Periodo1[[#This Row],[Tipo_Linha]]="-",Base_Periodo1[[#This Row],[TIPOSALDO]]="D"),Base_Periodo1[[#This Row],[SALDO_ATUAL]]*-1,Base_Periodo1[[#This Row],[SALDO_ATUAL]]),4)</f>
        <v>85361.42</v>
      </c>
      <c r="N1664" t="s">
        <v>396</v>
      </c>
      <c r="O1664" t="s">
        <v>397</v>
      </c>
      <c r="P1664" t="s">
        <v>397</v>
      </c>
      <c r="Q1664">
        <v>8</v>
      </c>
      <c r="R1664" s="225">
        <f>Base_Periodo1[[#This Row],[CREDITOS]]-Base_Periodo1[[#This Row],[DEBITOS]]</f>
        <v>0</v>
      </c>
      <c r="S1664" s="3" t="str">
        <f>IF(ISERROR(VLOOKUP(Base_Periodo1[[#This Row],[CONTA]],BaseContasDRE[#All],4,FALSE)),"Fora do DRE",VLOOKUP(Base_Periodo1[[#This Row],[CONTA]],BaseContasDRE[#All],4,FALSE))</f>
        <v>Fora do DRE</v>
      </c>
      <c r="T1664" s="3" t="str">
        <f>IF(ISERROR(VLOOKUP(Base_Periodo1[[#This Row],[CONTA]],BaseContasDRE[#All],5,FALSE)),"Fora do DRE",VLOOKUP(Base_Periodo1[[#This Row],[CONTA]],BaseContasDRE[#All],6,FALSE))</f>
        <v>Fora do DRE</v>
      </c>
      <c r="U1664" s="3" t="str">
        <f>IF(ISERROR(VLOOKUP(Base_Periodo1[[#This Row],[CONTA]],BaseContasDRE[#All],7,FALSE)),"Fora do DRE",VLOOKUP(Base_Periodo1[[#This Row],[CONTA]],BaseContasDRE[#All],7,FALSE))</f>
        <v>Fora do DRE</v>
      </c>
      <c r="V1664" s="3" t="str">
        <f>IF(Base_Periodo1[[#This Row],[Tipo_Linha]]="Fora do DRE","Fora do DRE","( "&amp;Base_Periodo1[[#This Row],[Tipo_Linha]]&amp;" ) "&amp;Base_Periodo1[[#This Row],[Filtro]])</f>
        <v>Fora do DRE</v>
      </c>
      <c r="W1664" s="3" t="str">
        <f>LEFT(Base_Periodo1[[#This Row],[CLASS]],3)</f>
        <v>1.1</v>
      </c>
    </row>
    <row r="1665" spans="1:23" hidden="1">
      <c r="A1665" s="3" t="str">
        <f t="shared" si="25"/>
        <v>Período 1</v>
      </c>
      <c r="B1665">
        <v>794</v>
      </c>
      <c r="C1665" t="s">
        <v>1350</v>
      </c>
      <c r="D1665" t="s">
        <v>1054</v>
      </c>
      <c r="E1665" s="3" t="str">
        <f>IF(LEN(Base_Periodo1[[#This Row],[CLASS]])&gt;=7,LEFT(Base_Periodo1[[#This Row],[CLASS]],7),"")</f>
        <v>1.1.3.1</v>
      </c>
      <c r="F1665" s="3" t="str">
        <f>VLOOKUP(Base_Periodo1[[#This Row],[Aux]],Base_Contas_Balanco[#All],2,FALSE)</f>
        <v>Estoques Proprios</v>
      </c>
      <c r="G1665" s="1">
        <v>42735</v>
      </c>
      <c r="H1665" s="225">
        <v>85361.419999998063</v>
      </c>
      <c r="I1665" s="225">
        <v>0</v>
      </c>
      <c r="J1665" s="225">
        <v>0</v>
      </c>
      <c r="K1665" s="225">
        <v>85361.419999998063</v>
      </c>
      <c r="L16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85361.42</v>
      </c>
      <c r="M1665" s="225">
        <f>ROUND(IF(AND(Base_Periodo1[[#This Row],[Tipo_Linha]]="-",Base_Periodo1[[#This Row],[TIPOSALDO]]="D"),Base_Periodo1[[#This Row],[SALDO_ATUAL]]*-1,Base_Periodo1[[#This Row],[SALDO_ATUAL]]),4)</f>
        <v>85361.42</v>
      </c>
      <c r="N1665" t="s">
        <v>116</v>
      </c>
      <c r="O1665" t="s">
        <v>397</v>
      </c>
      <c r="P1665" t="s">
        <v>397</v>
      </c>
      <c r="Q1665">
        <v>9</v>
      </c>
      <c r="R1665" s="225">
        <f>Base_Periodo1[[#This Row],[CREDITOS]]-Base_Periodo1[[#This Row],[DEBITOS]]</f>
        <v>0</v>
      </c>
      <c r="S1665" s="3" t="str">
        <f>IF(ISERROR(VLOOKUP(Base_Periodo1[[#This Row],[CONTA]],BaseContasDRE[#All],4,FALSE)),"Fora do DRE",VLOOKUP(Base_Periodo1[[#This Row],[CONTA]],BaseContasDRE[#All],4,FALSE))</f>
        <v>Fora do DRE</v>
      </c>
      <c r="T1665" s="3" t="str">
        <f>IF(ISERROR(VLOOKUP(Base_Periodo1[[#This Row],[CONTA]],BaseContasDRE[#All],5,FALSE)),"Fora do DRE",VLOOKUP(Base_Periodo1[[#This Row],[CONTA]],BaseContasDRE[#All],6,FALSE))</f>
        <v>Fora do DRE</v>
      </c>
      <c r="U1665" s="3" t="str">
        <f>IF(ISERROR(VLOOKUP(Base_Periodo1[[#This Row],[CONTA]],BaseContasDRE[#All],7,FALSE)),"Fora do DRE",VLOOKUP(Base_Periodo1[[#This Row],[CONTA]],BaseContasDRE[#All],7,FALSE))</f>
        <v>Fora do DRE</v>
      </c>
      <c r="V1665" s="3" t="str">
        <f>IF(Base_Periodo1[[#This Row],[Tipo_Linha]]="Fora do DRE","Fora do DRE","( "&amp;Base_Periodo1[[#This Row],[Tipo_Linha]]&amp;" ) "&amp;Base_Periodo1[[#This Row],[Filtro]])</f>
        <v>Fora do DRE</v>
      </c>
      <c r="W1665" s="3" t="str">
        <f>LEFT(Base_Periodo1[[#This Row],[CLASS]],3)</f>
        <v>1.1</v>
      </c>
    </row>
    <row r="1666" spans="1:23" hidden="1">
      <c r="A1666" s="3" t="str">
        <f t="shared" si="25"/>
        <v>Período 1</v>
      </c>
      <c r="B1666">
        <v>795</v>
      </c>
      <c r="C1666" t="s">
        <v>4587</v>
      </c>
      <c r="D1666" t="s">
        <v>1057</v>
      </c>
      <c r="E1666" s="3" t="str">
        <f>IF(LEN(Base_Periodo1[[#This Row],[CLASS]])&gt;=7,LEFT(Base_Periodo1[[#This Row],[CLASS]],7),"")</f>
        <v>1.1.3.1</v>
      </c>
      <c r="F1666" s="3" t="str">
        <f>VLOOKUP(Base_Periodo1[[#This Row],[Aux]],Base_Contas_Balanco[#All],2,FALSE)</f>
        <v>Estoques Proprios</v>
      </c>
      <c r="G1666" s="1"/>
      <c r="H1666" s="225">
        <v>385109.30999999901</v>
      </c>
      <c r="I1666" s="225">
        <v>194475.6</v>
      </c>
      <c r="J1666" s="225">
        <v>927.09</v>
      </c>
      <c r="K1666" s="225">
        <v>578657.81999999902</v>
      </c>
      <c r="L16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578657.81999999995</v>
      </c>
      <c r="M1666" s="225">
        <f>ROUND(IF(AND(Base_Periodo1[[#This Row],[Tipo_Linha]]="-",Base_Periodo1[[#This Row],[TIPOSALDO]]="D"),Base_Periodo1[[#This Row],[SALDO_ATUAL]]*-1,Base_Periodo1[[#This Row],[SALDO_ATUAL]]),4)</f>
        <v>578657.81999999995</v>
      </c>
      <c r="N1666" t="s">
        <v>396</v>
      </c>
      <c r="O1666" t="s">
        <v>397</v>
      </c>
      <c r="P1666" t="s">
        <v>397</v>
      </c>
      <c r="Q1666">
        <v>8</v>
      </c>
      <c r="R1666" s="225">
        <f>Base_Periodo1[[#This Row],[CREDITOS]]-Base_Periodo1[[#This Row],[DEBITOS]]</f>
        <v>-193548.51</v>
      </c>
      <c r="S1666" s="3" t="str">
        <f>IF(ISERROR(VLOOKUP(Base_Periodo1[[#This Row],[CONTA]],BaseContasDRE[#All],4,FALSE)),"Fora do DRE",VLOOKUP(Base_Periodo1[[#This Row],[CONTA]],BaseContasDRE[#All],4,FALSE))</f>
        <v>Fora do DRE</v>
      </c>
      <c r="T1666" s="3" t="str">
        <f>IF(ISERROR(VLOOKUP(Base_Periodo1[[#This Row],[CONTA]],BaseContasDRE[#All],5,FALSE)),"Fora do DRE",VLOOKUP(Base_Periodo1[[#This Row],[CONTA]],BaseContasDRE[#All],6,FALSE))</f>
        <v>Fora do DRE</v>
      </c>
      <c r="U1666" s="3" t="str">
        <f>IF(ISERROR(VLOOKUP(Base_Periodo1[[#This Row],[CONTA]],BaseContasDRE[#All],7,FALSE)),"Fora do DRE",VLOOKUP(Base_Periodo1[[#This Row],[CONTA]],BaseContasDRE[#All],7,FALSE))</f>
        <v>Fora do DRE</v>
      </c>
      <c r="V1666" s="3" t="str">
        <f>IF(Base_Periodo1[[#This Row],[Tipo_Linha]]="Fora do DRE","Fora do DRE","( "&amp;Base_Periodo1[[#This Row],[Tipo_Linha]]&amp;" ) "&amp;Base_Periodo1[[#This Row],[Filtro]])</f>
        <v>Fora do DRE</v>
      </c>
      <c r="W1666" s="3" t="str">
        <f>LEFT(Base_Periodo1[[#This Row],[CLASS]],3)</f>
        <v>1.1</v>
      </c>
    </row>
    <row r="1667" spans="1:23" hidden="1">
      <c r="A1667" s="3" t="str">
        <f t="shared" si="25"/>
        <v>Período 1</v>
      </c>
      <c r="B1667">
        <v>47906</v>
      </c>
      <c r="C1667" t="s">
        <v>4588</v>
      </c>
      <c r="D1667" t="s">
        <v>1059</v>
      </c>
      <c r="E1667" s="3" t="str">
        <f>IF(LEN(Base_Periodo1[[#This Row],[CLASS]])&gt;=7,LEFT(Base_Periodo1[[#This Row],[CLASS]],7),"")</f>
        <v>1.1.3.1</v>
      </c>
      <c r="F1667" s="3" t="str">
        <f>VLOOKUP(Base_Periodo1[[#This Row],[Aux]],Base_Contas_Balanco[#All],2,FALSE)</f>
        <v>Estoques Proprios</v>
      </c>
      <c r="G1667" s="1">
        <v>42886</v>
      </c>
      <c r="H1667" s="225">
        <v>20035.019999999931</v>
      </c>
      <c r="I1667" s="225">
        <v>10022.6</v>
      </c>
      <c r="J1667" s="225">
        <v>0</v>
      </c>
      <c r="K1667" s="225">
        <v>30057.61999999993</v>
      </c>
      <c r="L16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30057.62</v>
      </c>
      <c r="M1667" s="225">
        <f>ROUND(IF(AND(Base_Periodo1[[#This Row],[Tipo_Linha]]="-",Base_Periodo1[[#This Row],[TIPOSALDO]]="D"),Base_Periodo1[[#This Row],[SALDO_ATUAL]]*-1,Base_Periodo1[[#This Row],[SALDO_ATUAL]]),4)</f>
        <v>30057.62</v>
      </c>
      <c r="N1667" t="s">
        <v>116</v>
      </c>
      <c r="O1667" t="s">
        <v>397</v>
      </c>
      <c r="P1667" t="s">
        <v>397</v>
      </c>
      <c r="Q1667">
        <v>9</v>
      </c>
      <c r="R1667" s="225">
        <f>Base_Periodo1[[#This Row],[CREDITOS]]-Base_Periodo1[[#This Row],[DEBITOS]]</f>
        <v>-10022.6</v>
      </c>
      <c r="S1667" s="3" t="str">
        <f>IF(ISERROR(VLOOKUP(Base_Periodo1[[#This Row],[CONTA]],BaseContasDRE[#All],4,FALSE)),"Fora do DRE",VLOOKUP(Base_Periodo1[[#This Row],[CONTA]],BaseContasDRE[#All],4,FALSE))</f>
        <v>Fora do DRE</v>
      </c>
      <c r="T1667" s="3" t="str">
        <f>IF(ISERROR(VLOOKUP(Base_Periodo1[[#This Row],[CONTA]],BaseContasDRE[#All],5,FALSE)),"Fora do DRE",VLOOKUP(Base_Periodo1[[#This Row],[CONTA]],BaseContasDRE[#All],6,FALSE))</f>
        <v>Fora do DRE</v>
      </c>
      <c r="U1667" s="3" t="str">
        <f>IF(ISERROR(VLOOKUP(Base_Periodo1[[#This Row],[CONTA]],BaseContasDRE[#All],7,FALSE)),"Fora do DRE",VLOOKUP(Base_Periodo1[[#This Row],[CONTA]],BaseContasDRE[#All],7,FALSE))</f>
        <v>Fora do DRE</v>
      </c>
      <c r="V1667" s="3" t="str">
        <f>IF(Base_Periodo1[[#This Row],[Tipo_Linha]]="Fora do DRE","Fora do DRE","( "&amp;Base_Periodo1[[#This Row],[Tipo_Linha]]&amp;" ) "&amp;Base_Periodo1[[#This Row],[Filtro]])</f>
        <v>Fora do DRE</v>
      </c>
      <c r="W1667" s="3" t="str">
        <f>LEFT(Base_Periodo1[[#This Row],[CLASS]],3)</f>
        <v>1.1</v>
      </c>
    </row>
    <row r="1668" spans="1:23" hidden="1">
      <c r="A1668" s="3" t="str">
        <f t="shared" si="25"/>
        <v>Período 1</v>
      </c>
      <c r="B1668">
        <v>796</v>
      </c>
      <c r="C1668" t="s">
        <v>4589</v>
      </c>
      <c r="D1668" t="s">
        <v>1061</v>
      </c>
      <c r="E1668" s="3" t="str">
        <f>IF(LEN(Base_Periodo1[[#This Row],[CLASS]])&gt;=7,LEFT(Base_Periodo1[[#This Row],[CLASS]],7),"")</f>
        <v>1.1.3.1</v>
      </c>
      <c r="F1668" s="3" t="str">
        <f>VLOOKUP(Base_Periodo1[[#This Row],[Aux]],Base_Contas_Balanco[#All],2,FALSE)</f>
        <v>Estoques Proprios</v>
      </c>
      <c r="G1668" s="1">
        <v>42886</v>
      </c>
      <c r="H1668" s="225">
        <v>365074.28999999911</v>
      </c>
      <c r="I1668" s="225">
        <v>184453</v>
      </c>
      <c r="J1668" s="225">
        <v>927.09</v>
      </c>
      <c r="K1668" s="225">
        <v>548600.19999999914</v>
      </c>
      <c r="L16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548600.19999999995</v>
      </c>
      <c r="M1668" s="225">
        <f>ROUND(IF(AND(Base_Periodo1[[#This Row],[Tipo_Linha]]="-",Base_Periodo1[[#This Row],[TIPOSALDO]]="D"),Base_Periodo1[[#This Row],[SALDO_ATUAL]]*-1,Base_Periodo1[[#This Row],[SALDO_ATUAL]]),4)</f>
        <v>548600.19999999995</v>
      </c>
      <c r="N1668" t="s">
        <v>116</v>
      </c>
      <c r="O1668" t="s">
        <v>397</v>
      </c>
      <c r="P1668" t="s">
        <v>397</v>
      </c>
      <c r="Q1668">
        <v>9</v>
      </c>
      <c r="R1668" s="225">
        <f>Base_Periodo1[[#This Row],[CREDITOS]]-Base_Periodo1[[#This Row],[DEBITOS]]</f>
        <v>-183525.91</v>
      </c>
      <c r="S1668" s="3" t="str">
        <f>IF(ISERROR(VLOOKUP(Base_Periodo1[[#This Row],[CONTA]],BaseContasDRE[#All],4,FALSE)),"Fora do DRE",VLOOKUP(Base_Periodo1[[#This Row],[CONTA]],BaseContasDRE[#All],4,FALSE))</f>
        <v>Fora do DRE</v>
      </c>
      <c r="T1668" s="3" t="str">
        <f>IF(ISERROR(VLOOKUP(Base_Periodo1[[#This Row],[CONTA]],BaseContasDRE[#All],5,FALSE)),"Fora do DRE",VLOOKUP(Base_Periodo1[[#This Row],[CONTA]],BaseContasDRE[#All],6,FALSE))</f>
        <v>Fora do DRE</v>
      </c>
      <c r="U1668" s="3" t="str">
        <f>IF(ISERROR(VLOOKUP(Base_Periodo1[[#This Row],[CONTA]],BaseContasDRE[#All],7,FALSE)),"Fora do DRE",VLOOKUP(Base_Periodo1[[#This Row],[CONTA]],BaseContasDRE[#All],7,FALSE))</f>
        <v>Fora do DRE</v>
      </c>
      <c r="V1668" s="3" t="str">
        <f>IF(Base_Periodo1[[#This Row],[Tipo_Linha]]="Fora do DRE","Fora do DRE","( "&amp;Base_Periodo1[[#This Row],[Tipo_Linha]]&amp;" ) "&amp;Base_Periodo1[[#This Row],[Filtro]])</f>
        <v>Fora do DRE</v>
      </c>
      <c r="W1668" s="3" t="str">
        <f>LEFT(Base_Periodo1[[#This Row],[CLASS]],3)</f>
        <v>1.1</v>
      </c>
    </row>
    <row r="1669" spans="1:23" hidden="1">
      <c r="A1669" s="3" t="str">
        <f t="shared" si="25"/>
        <v>Período 1</v>
      </c>
      <c r="B1669">
        <v>799</v>
      </c>
      <c r="C1669" t="s">
        <v>4590</v>
      </c>
      <c r="D1669" t="s">
        <v>1063</v>
      </c>
      <c r="E1669" s="3" t="str">
        <f>IF(LEN(Base_Periodo1[[#This Row],[CLASS]])&gt;=7,LEFT(Base_Periodo1[[#This Row],[CLASS]],7),"")</f>
        <v>1.1.3.1</v>
      </c>
      <c r="F1669" s="3" t="str">
        <f>VLOOKUP(Base_Periodo1[[#This Row],[Aux]],Base_Contas_Balanco[#All],2,FALSE)</f>
        <v>Estoques Proprios</v>
      </c>
      <c r="G1669" s="1"/>
      <c r="H1669" s="225">
        <v>392013.37000000291</v>
      </c>
      <c r="I1669" s="225">
        <v>135907.94</v>
      </c>
      <c r="J1669" s="225">
        <v>0</v>
      </c>
      <c r="K1669" s="225">
        <v>527921.31000000285</v>
      </c>
      <c r="L16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527921.31000000006</v>
      </c>
      <c r="M1669" s="225">
        <f>ROUND(IF(AND(Base_Periodo1[[#This Row],[Tipo_Linha]]="-",Base_Periodo1[[#This Row],[TIPOSALDO]]="D"),Base_Periodo1[[#This Row],[SALDO_ATUAL]]*-1,Base_Periodo1[[#This Row],[SALDO_ATUAL]]),4)</f>
        <v>527921.31000000006</v>
      </c>
      <c r="N1669" t="s">
        <v>396</v>
      </c>
      <c r="O1669" t="s">
        <v>397</v>
      </c>
      <c r="P1669" t="s">
        <v>397</v>
      </c>
      <c r="Q1669">
        <v>8</v>
      </c>
      <c r="R1669" s="225">
        <f>Base_Periodo1[[#This Row],[CREDITOS]]-Base_Periodo1[[#This Row],[DEBITOS]]</f>
        <v>-135907.94</v>
      </c>
      <c r="S1669" s="3" t="str">
        <f>IF(ISERROR(VLOOKUP(Base_Periodo1[[#This Row],[CONTA]],BaseContasDRE[#All],4,FALSE)),"Fora do DRE",VLOOKUP(Base_Periodo1[[#This Row],[CONTA]],BaseContasDRE[#All],4,FALSE))</f>
        <v>Fora do DRE</v>
      </c>
      <c r="T1669" s="3" t="str">
        <f>IF(ISERROR(VLOOKUP(Base_Periodo1[[#This Row],[CONTA]],BaseContasDRE[#All],5,FALSE)),"Fora do DRE",VLOOKUP(Base_Periodo1[[#This Row],[CONTA]],BaseContasDRE[#All],6,FALSE))</f>
        <v>Fora do DRE</v>
      </c>
      <c r="U1669" s="3" t="str">
        <f>IF(ISERROR(VLOOKUP(Base_Periodo1[[#This Row],[CONTA]],BaseContasDRE[#All],7,FALSE)),"Fora do DRE",VLOOKUP(Base_Periodo1[[#This Row],[CONTA]],BaseContasDRE[#All],7,FALSE))</f>
        <v>Fora do DRE</v>
      </c>
      <c r="V1669" s="3" t="str">
        <f>IF(Base_Periodo1[[#This Row],[Tipo_Linha]]="Fora do DRE","Fora do DRE","( "&amp;Base_Periodo1[[#This Row],[Tipo_Linha]]&amp;" ) "&amp;Base_Periodo1[[#This Row],[Filtro]])</f>
        <v>Fora do DRE</v>
      </c>
      <c r="W1669" s="3" t="str">
        <f>LEFT(Base_Periodo1[[#This Row],[CLASS]],3)</f>
        <v>1.1</v>
      </c>
    </row>
    <row r="1670" spans="1:23" hidden="1">
      <c r="A1670" s="3" t="str">
        <f t="shared" ref="A1670:A1733" si="26">"Período 1"</f>
        <v>Período 1</v>
      </c>
      <c r="B1670">
        <v>800</v>
      </c>
      <c r="C1670" t="s">
        <v>4591</v>
      </c>
      <c r="D1670" t="s">
        <v>1065</v>
      </c>
      <c r="E1670" s="3" t="str">
        <f>IF(LEN(Base_Periodo1[[#This Row],[CLASS]])&gt;=7,LEFT(Base_Periodo1[[#This Row],[CLASS]],7),"")</f>
        <v>1.1.3.1</v>
      </c>
      <c r="F1670" s="3" t="str">
        <f>VLOOKUP(Base_Periodo1[[#This Row],[Aux]],Base_Contas_Balanco[#All],2,FALSE)</f>
        <v>Estoques Proprios</v>
      </c>
      <c r="G1670" s="1">
        <v>42881</v>
      </c>
      <c r="H1670" s="225">
        <v>392013.37000000291</v>
      </c>
      <c r="I1670" s="225">
        <v>135907.94</v>
      </c>
      <c r="J1670" s="225">
        <v>0</v>
      </c>
      <c r="K1670" s="225">
        <v>527921.31000000285</v>
      </c>
      <c r="L16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527921.31000000006</v>
      </c>
      <c r="M1670" s="225">
        <f>ROUND(IF(AND(Base_Periodo1[[#This Row],[Tipo_Linha]]="-",Base_Periodo1[[#This Row],[TIPOSALDO]]="D"),Base_Periodo1[[#This Row],[SALDO_ATUAL]]*-1,Base_Periodo1[[#This Row],[SALDO_ATUAL]]),4)</f>
        <v>527921.31000000006</v>
      </c>
      <c r="N1670" t="s">
        <v>116</v>
      </c>
      <c r="O1670" t="s">
        <v>397</v>
      </c>
      <c r="P1670" t="s">
        <v>397</v>
      </c>
      <c r="Q1670">
        <v>9</v>
      </c>
      <c r="R1670" s="225">
        <f>Base_Periodo1[[#This Row],[CREDITOS]]-Base_Periodo1[[#This Row],[DEBITOS]]</f>
        <v>-135907.94</v>
      </c>
      <c r="S1670" s="3" t="str">
        <f>IF(ISERROR(VLOOKUP(Base_Periodo1[[#This Row],[CONTA]],BaseContasDRE[#All],4,FALSE)),"Fora do DRE",VLOOKUP(Base_Periodo1[[#This Row],[CONTA]],BaseContasDRE[#All],4,FALSE))</f>
        <v>Fora do DRE</v>
      </c>
      <c r="T1670" s="3" t="str">
        <f>IF(ISERROR(VLOOKUP(Base_Periodo1[[#This Row],[CONTA]],BaseContasDRE[#All],5,FALSE)),"Fora do DRE",VLOOKUP(Base_Periodo1[[#This Row],[CONTA]],BaseContasDRE[#All],6,FALSE))</f>
        <v>Fora do DRE</v>
      </c>
      <c r="U1670" s="3" t="str">
        <f>IF(ISERROR(VLOOKUP(Base_Periodo1[[#This Row],[CONTA]],BaseContasDRE[#All],7,FALSE)),"Fora do DRE",VLOOKUP(Base_Periodo1[[#This Row],[CONTA]],BaseContasDRE[#All],7,FALSE))</f>
        <v>Fora do DRE</v>
      </c>
      <c r="V1670" s="3" t="str">
        <f>IF(Base_Periodo1[[#This Row],[Tipo_Linha]]="Fora do DRE","Fora do DRE","( "&amp;Base_Periodo1[[#This Row],[Tipo_Linha]]&amp;" ) "&amp;Base_Periodo1[[#This Row],[Filtro]])</f>
        <v>Fora do DRE</v>
      </c>
      <c r="W1670" s="3" t="str">
        <f>LEFT(Base_Periodo1[[#This Row],[CLASS]],3)</f>
        <v>1.1</v>
      </c>
    </row>
    <row r="1671" spans="1:23" hidden="1">
      <c r="A1671" s="3" t="str">
        <f t="shared" si="26"/>
        <v>Período 1</v>
      </c>
      <c r="B1671">
        <v>803</v>
      </c>
      <c r="C1671" t="s">
        <v>1351</v>
      </c>
      <c r="D1671" t="s">
        <v>1067</v>
      </c>
      <c r="E1671" s="3" t="str">
        <f>IF(LEN(Base_Periodo1[[#This Row],[CLASS]])&gt;=7,LEFT(Base_Periodo1[[#This Row],[CLASS]],7),"")</f>
        <v>1.1.3.1</v>
      </c>
      <c r="F1671" s="3" t="str">
        <f>VLOOKUP(Base_Periodo1[[#This Row],[Aux]],Base_Contas_Balanco[#All],2,FALSE)</f>
        <v>Estoques Proprios</v>
      </c>
      <c r="G1671" s="1"/>
      <c r="H1671" s="225">
        <v>352490.74999999994</v>
      </c>
      <c r="I1671" s="225">
        <v>0</v>
      </c>
      <c r="J1671" s="225">
        <v>104550.53</v>
      </c>
      <c r="K1671" s="225">
        <v>457041.27999999991</v>
      </c>
      <c r="L16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-457041.28</v>
      </c>
      <c r="M1671" s="225">
        <f>ROUND(IF(AND(Base_Periodo1[[#This Row],[Tipo_Linha]]="-",Base_Periodo1[[#This Row],[TIPOSALDO]]="D"),Base_Periodo1[[#This Row],[SALDO_ATUAL]]*-1,Base_Periodo1[[#This Row],[SALDO_ATUAL]]),4)</f>
        <v>457041.28</v>
      </c>
      <c r="N1671" t="s">
        <v>396</v>
      </c>
      <c r="O1671" t="s">
        <v>459</v>
      </c>
      <c r="P1671" t="s">
        <v>459</v>
      </c>
      <c r="Q1671">
        <v>8</v>
      </c>
      <c r="R1671" s="225">
        <f>Base_Periodo1[[#This Row],[CREDITOS]]-Base_Periodo1[[#This Row],[DEBITOS]]</f>
        <v>104550.53</v>
      </c>
      <c r="S1671" s="3" t="str">
        <f>IF(ISERROR(VLOOKUP(Base_Periodo1[[#This Row],[CONTA]],BaseContasDRE[#All],4,FALSE)),"Fora do DRE",VLOOKUP(Base_Periodo1[[#This Row],[CONTA]],BaseContasDRE[#All],4,FALSE))</f>
        <v>Fora do DRE</v>
      </c>
      <c r="T1671" s="3" t="str">
        <f>IF(ISERROR(VLOOKUP(Base_Periodo1[[#This Row],[CONTA]],BaseContasDRE[#All],5,FALSE)),"Fora do DRE",VLOOKUP(Base_Periodo1[[#This Row],[CONTA]],BaseContasDRE[#All],6,FALSE))</f>
        <v>Fora do DRE</v>
      </c>
      <c r="U1671" s="3" t="str">
        <f>IF(ISERROR(VLOOKUP(Base_Periodo1[[#This Row],[CONTA]],BaseContasDRE[#All],7,FALSE)),"Fora do DRE",VLOOKUP(Base_Periodo1[[#This Row],[CONTA]],BaseContasDRE[#All],7,FALSE))</f>
        <v>Fora do DRE</v>
      </c>
      <c r="V1671" s="3" t="str">
        <f>IF(Base_Periodo1[[#This Row],[Tipo_Linha]]="Fora do DRE","Fora do DRE","( "&amp;Base_Periodo1[[#This Row],[Tipo_Linha]]&amp;" ) "&amp;Base_Periodo1[[#This Row],[Filtro]])</f>
        <v>Fora do DRE</v>
      </c>
      <c r="W1671" s="3" t="str">
        <f>LEFT(Base_Periodo1[[#This Row],[CLASS]],3)</f>
        <v>1.1</v>
      </c>
    </row>
    <row r="1672" spans="1:23" hidden="1">
      <c r="A1672" s="3" t="str">
        <f t="shared" si="26"/>
        <v>Período 1</v>
      </c>
      <c r="B1672">
        <v>804</v>
      </c>
      <c r="C1672" t="s">
        <v>1352</v>
      </c>
      <c r="D1672" t="s">
        <v>1068</v>
      </c>
      <c r="E1672" s="3" t="str">
        <f>IF(LEN(Base_Periodo1[[#This Row],[CLASS]])&gt;=7,LEFT(Base_Periodo1[[#This Row],[CLASS]],7),"")</f>
        <v>1.1.3.1</v>
      </c>
      <c r="F1672" s="3" t="str">
        <f>VLOOKUP(Base_Periodo1[[#This Row],[Aux]],Base_Contas_Balanco[#All],2,FALSE)</f>
        <v>Estoques Proprios</v>
      </c>
      <c r="G1672" s="1">
        <v>42886</v>
      </c>
      <c r="H1672" s="225">
        <v>352490.75</v>
      </c>
      <c r="I1672" s="225">
        <v>0</v>
      </c>
      <c r="J1672" s="225">
        <v>104550.53</v>
      </c>
      <c r="K1672" s="225">
        <v>457041.28</v>
      </c>
      <c r="L16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-457041.28</v>
      </c>
      <c r="M1672" s="225">
        <f>ROUND(IF(AND(Base_Periodo1[[#This Row],[Tipo_Linha]]="-",Base_Periodo1[[#This Row],[TIPOSALDO]]="D"),Base_Periodo1[[#This Row],[SALDO_ATUAL]]*-1,Base_Periodo1[[#This Row],[SALDO_ATUAL]]),4)</f>
        <v>457041.28</v>
      </c>
      <c r="N1672" t="s">
        <v>116</v>
      </c>
      <c r="O1672" t="s">
        <v>459</v>
      </c>
      <c r="P1672" t="s">
        <v>459</v>
      </c>
      <c r="Q1672">
        <v>9</v>
      </c>
      <c r="R1672" s="225">
        <f>Base_Periodo1[[#This Row],[CREDITOS]]-Base_Periodo1[[#This Row],[DEBITOS]]</f>
        <v>104550.53</v>
      </c>
      <c r="S1672" s="3" t="str">
        <f>IF(ISERROR(VLOOKUP(Base_Periodo1[[#This Row],[CONTA]],BaseContasDRE[#All],4,FALSE)),"Fora do DRE",VLOOKUP(Base_Periodo1[[#This Row],[CONTA]],BaseContasDRE[#All],4,FALSE))</f>
        <v>Fora do DRE</v>
      </c>
      <c r="T1672" s="3" t="str">
        <f>IF(ISERROR(VLOOKUP(Base_Periodo1[[#This Row],[CONTA]],BaseContasDRE[#All],5,FALSE)),"Fora do DRE",VLOOKUP(Base_Periodo1[[#This Row],[CONTA]],BaseContasDRE[#All],6,FALSE))</f>
        <v>Fora do DRE</v>
      </c>
      <c r="U1672" s="3" t="str">
        <f>IF(ISERROR(VLOOKUP(Base_Periodo1[[#This Row],[CONTA]],BaseContasDRE[#All],7,FALSE)),"Fora do DRE",VLOOKUP(Base_Periodo1[[#This Row],[CONTA]],BaseContasDRE[#All],7,FALSE))</f>
        <v>Fora do DRE</v>
      </c>
      <c r="V1672" s="3" t="str">
        <f>IF(Base_Periodo1[[#This Row],[Tipo_Linha]]="Fora do DRE","Fora do DRE","( "&amp;Base_Periodo1[[#This Row],[Tipo_Linha]]&amp;" ) "&amp;Base_Periodo1[[#This Row],[Filtro]])</f>
        <v>Fora do DRE</v>
      </c>
      <c r="W1672" s="3" t="str">
        <f>LEFT(Base_Periodo1[[#This Row],[CLASS]],3)</f>
        <v>1.1</v>
      </c>
    </row>
    <row r="1673" spans="1:23" hidden="1">
      <c r="A1673" s="3" t="str">
        <f t="shared" si="26"/>
        <v>Período 1</v>
      </c>
      <c r="B1673">
        <v>806</v>
      </c>
      <c r="C1673" t="s">
        <v>4592</v>
      </c>
      <c r="D1673" t="s">
        <v>1072</v>
      </c>
      <c r="E1673" s="3" t="str">
        <f>IF(LEN(Base_Periodo1[[#This Row],[CLASS]])&gt;=7,LEFT(Base_Periodo1[[#This Row],[CLASS]],7),"")</f>
        <v>1.1.3.1</v>
      </c>
      <c r="F1673" s="3" t="str">
        <f>VLOOKUP(Base_Periodo1[[#This Row],[Aux]],Base_Contas_Balanco[#All],2,FALSE)</f>
        <v>Estoques Proprios</v>
      </c>
      <c r="G1673" s="1"/>
      <c r="H1673" s="225">
        <v>350499.36999999546</v>
      </c>
      <c r="I1673" s="225">
        <v>0</v>
      </c>
      <c r="J1673" s="225">
        <v>135907.94</v>
      </c>
      <c r="K1673" s="225">
        <v>486407.30999999546</v>
      </c>
      <c r="L16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-486407.31</v>
      </c>
      <c r="M1673" s="225">
        <f>ROUND(IF(AND(Base_Periodo1[[#This Row],[Tipo_Linha]]="-",Base_Periodo1[[#This Row],[TIPOSALDO]]="D"),Base_Periodo1[[#This Row],[SALDO_ATUAL]]*-1,Base_Periodo1[[#This Row],[SALDO_ATUAL]]),4)</f>
        <v>486407.31</v>
      </c>
      <c r="N1673" t="s">
        <v>396</v>
      </c>
      <c r="O1673" t="s">
        <v>459</v>
      </c>
      <c r="P1673" t="s">
        <v>459</v>
      </c>
      <c r="Q1673">
        <v>8</v>
      </c>
      <c r="R1673" s="225">
        <f>Base_Periodo1[[#This Row],[CREDITOS]]-Base_Periodo1[[#This Row],[DEBITOS]]</f>
        <v>135907.94</v>
      </c>
      <c r="S1673" s="3" t="str">
        <f>IF(ISERROR(VLOOKUP(Base_Periodo1[[#This Row],[CONTA]],BaseContasDRE[#All],4,FALSE)),"Fora do DRE",VLOOKUP(Base_Periodo1[[#This Row],[CONTA]],BaseContasDRE[#All],4,FALSE))</f>
        <v>Fora do DRE</v>
      </c>
      <c r="T1673" s="3" t="str">
        <f>IF(ISERROR(VLOOKUP(Base_Periodo1[[#This Row],[CONTA]],BaseContasDRE[#All],5,FALSE)),"Fora do DRE",VLOOKUP(Base_Periodo1[[#This Row],[CONTA]],BaseContasDRE[#All],6,FALSE))</f>
        <v>Fora do DRE</v>
      </c>
      <c r="U1673" s="3" t="str">
        <f>IF(ISERROR(VLOOKUP(Base_Periodo1[[#This Row],[CONTA]],BaseContasDRE[#All],7,FALSE)),"Fora do DRE",VLOOKUP(Base_Periodo1[[#This Row],[CONTA]],BaseContasDRE[#All],7,FALSE))</f>
        <v>Fora do DRE</v>
      </c>
      <c r="V1673" s="3" t="str">
        <f>IF(Base_Periodo1[[#This Row],[Tipo_Linha]]="Fora do DRE","Fora do DRE","( "&amp;Base_Periodo1[[#This Row],[Tipo_Linha]]&amp;" ) "&amp;Base_Periodo1[[#This Row],[Filtro]])</f>
        <v>Fora do DRE</v>
      </c>
      <c r="W1673" s="3" t="str">
        <f>LEFT(Base_Periodo1[[#This Row],[CLASS]],3)</f>
        <v>1.1</v>
      </c>
    </row>
    <row r="1674" spans="1:23" hidden="1">
      <c r="A1674" s="3" t="str">
        <f t="shared" si="26"/>
        <v>Período 1</v>
      </c>
      <c r="B1674">
        <v>807</v>
      </c>
      <c r="C1674" t="s">
        <v>4593</v>
      </c>
      <c r="D1674" t="s">
        <v>1074</v>
      </c>
      <c r="E1674" s="3" t="str">
        <f>IF(LEN(Base_Periodo1[[#This Row],[CLASS]])&gt;=7,LEFT(Base_Periodo1[[#This Row],[CLASS]],7),"")</f>
        <v>1.1.3.1</v>
      </c>
      <c r="F1674" s="3" t="str">
        <f>VLOOKUP(Base_Periodo1[[#This Row],[Aux]],Base_Contas_Balanco[#All],2,FALSE)</f>
        <v>Estoques Proprios</v>
      </c>
      <c r="G1674" s="1">
        <v>42880</v>
      </c>
      <c r="H1674" s="225">
        <v>350499.36999999546</v>
      </c>
      <c r="I1674" s="225">
        <v>0</v>
      </c>
      <c r="J1674" s="225">
        <v>135907.94</v>
      </c>
      <c r="K1674" s="225">
        <v>486407.30999999546</v>
      </c>
      <c r="L16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-486407.31</v>
      </c>
      <c r="M1674" s="225">
        <f>ROUND(IF(AND(Base_Periodo1[[#This Row],[Tipo_Linha]]="-",Base_Periodo1[[#This Row],[TIPOSALDO]]="D"),Base_Periodo1[[#This Row],[SALDO_ATUAL]]*-1,Base_Periodo1[[#This Row],[SALDO_ATUAL]]),4)</f>
        <v>486407.31</v>
      </c>
      <c r="N1674" t="s">
        <v>116</v>
      </c>
      <c r="O1674" t="s">
        <v>459</v>
      </c>
      <c r="P1674" t="s">
        <v>459</v>
      </c>
      <c r="Q1674">
        <v>9</v>
      </c>
      <c r="R1674" s="225">
        <f>Base_Periodo1[[#This Row],[CREDITOS]]-Base_Periodo1[[#This Row],[DEBITOS]]</f>
        <v>135907.94</v>
      </c>
      <c r="S1674" s="3" t="str">
        <f>IF(ISERROR(VLOOKUP(Base_Periodo1[[#This Row],[CONTA]],BaseContasDRE[#All],4,FALSE)),"Fora do DRE",VLOOKUP(Base_Periodo1[[#This Row],[CONTA]],BaseContasDRE[#All],4,FALSE))</f>
        <v>Fora do DRE</v>
      </c>
      <c r="T1674" s="3" t="str">
        <f>IF(ISERROR(VLOOKUP(Base_Periodo1[[#This Row],[CONTA]],BaseContasDRE[#All],5,FALSE)),"Fora do DRE",VLOOKUP(Base_Periodo1[[#This Row],[CONTA]],BaseContasDRE[#All],6,FALSE))</f>
        <v>Fora do DRE</v>
      </c>
      <c r="U1674" s="3" t="str">
        <f>IF(ISERROR(VLOOKUP(Base_Periodo1[[#This Row],[CONTA]],BaseContasDRE[#All],7,FALSE)),"Fora do DRE",VLOOKUP(Base_Periodo1[[#This Row],[CONTA]],BaseContasDRE[#All],7,FALSE))</f>
        <v>Fora do DRE</v>
      </c>
      <c r="V1674" s="3" t="str">
        <f>IF(Base_Periodo1[[#This Row],[Tipo_Linha]]="Fora do DRE","Fora do DRE","( "&amp;Base_Periodo1[[#This Row],[Tipo_Linha]]&amp;" ) "&amp;Base_Periodo1[[#This Row],[Filtro]])</f>
        <v>Fora do DRE</v>
      </c>
      <c r="W1674" s="3" t="str">
        <f>LEFT(Base_Periodo1[[#This Row],[CLASS]],3)</f>
        <v>1.1</v>
      </c>
    </row>
    <row r="1675" spans="1:23" hidden="1">
      <c r="A1675" s="3" t="str">
        <f t="shared" si="26"/>
        <v>Período 1</v>
      </c>
      <c r="B1675">
        <v>831</v>
      </c>
      <c r="C1675" t="s">
        <v>6808</v>
      </c>
      <c r="D1675" t="s">
        <v>5590</v>
      </c>
      <c r="E1675" s="3" t="str">
        <f>IF(LEN(Base_Periodo1[[#This Row],[CLASS]])&gt;=7,LEFT(Base_Periodo1[[#This Row],[CLASS]],7),"")</f>
        <v>1.1.3.1</v>
      </c>
      <c r="F1675" s="3" t="str">
        <f>VLOOKUP(Base_Periodo1[[#This Row],[Aux]],Base_Contas_Balanco[#All],2,FALSE)</f>
        <v>Estoques Proprios</v>
      </c>
      <c r="G1675" s="1"/>
      <c r="I1675" s="225">
        <v>58266.13</v>
      </c>
      <c r="J1675" s="225">
        <v>457.71</v>
      </c>
      <c r="K1675" s="225">
        <v>57808.420000000464</v>
      </c>
      <c r="L16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57808.42</v>
      </c>
      <c r="M1675" s="225">
        <f>ROUND(IF(AND(Base_Periodo1[[#This Row],[Tipo_Linha]]="-",Base_Periodo1[[#This Row],[TIPOSALDO]]="D"),Base_Periodo1[[#This Row],[SALDO_ATUAL]]*-1,Base_Periodo1[[#This Row],[SALDO_ATUAL]]),4)</f>
        <v>57808.42</v>
      </c>
      <c r="N1675" t="s">
        <v>396</v>
      </c>
      <c r="O1675" t="s">
        <v>436</v>
      </c>
      <c r="P1675" t="s">
        <v>397</v>
      </c>
      <c r="Q1675">
        <v>7</v>
      </c>
      <c r="R1675" s="225">
        <f>Base_Periodo1[[#This Row],[CREDITOS]]-Base_Periodo1[[#This Row],[DEBITOS]]</f>
        <v>-57808.42</v>
      </c>
      <c r="S1675" s="3" t="str">
        <f>IF(ISERROR(VLOOKUP(Base_Periodo1[[#This Row],[CONTA]],BaseContasDRE[#All],4,FALSE)),"Fora do DRE",VLOOKUP(Base_Periodo1[[#This Row],[CONTA]],BaseContasDRE[#All],4,FALSE))</f>
        <v>Fora do DRE</v>
      </c>
      <c r="T1675" s="3" t="str">
        <f>IF(ISERROR(VLOOKUP(Base_Periodo1[[#This Row],[CONTA]],BaseContasDRE[#All],5,FALSE)),"Fora do DRE",VLOOKUP(Base_Periodo1[[#This Row],[CONTA]],BaseContasDRE[#All],6,FALSE))</f>
        <v>Fora do DRE</v>
      </c>
      <c r="U1675" s="3" t="str">
        <f>IF(ISERROR(VLOOKUP(Base_Periodo1[[#This Row],[CONTA]],BaseContasDRE[#All],7,FALSE)),"Fora do DRE",VLOOKUP(Base_Periodo1[[#This Row],[CONTA]],BaseContasDRE[#All],7,FALSE))</f>
        <v>Fora do DRE</v>
      </c>
      <c r="V1675" s="3" t="str">
        <f>IF(Base_Periodo1[[#This Row],[Tipo_Linha]]="Fora do DRE","Fora do DRE","( "&amp;Base_Periodo1[[#This Row],[Tipo_Linha]]&amp;" ) "&amp;Base_Periodo1[[#This Row],[Filtro]])</f>
        <v>Fora do DRE</v>
      </c>
      <c r="W1675" s="3" t="str">
        <f>LEFT(Base_Periodo1[[#This Row],[CLASS]],3)</f>
        <v>1.1</v>
      </c>
    </row>
    <row r="1676" spans="1:23" hidden="1">
      <c r="A1676" s="3" t="str">
        <f t="shared" si="26"/>
        <v>Período 1</v>
      </c>
      <c r="B1676">
        <v>9126</v>
      </c>
      <c r="C1676" t="s">
        <v>6809</v>
      </c>
      <c r="D1676" t="s">
        <v>1112</v>
      </c>
      <c r="E1676" s="3" t="str">
        <f>IF(LEN(Base_Periodo1[[#This Row],[CLASS]])&gt;=7,LEFT(Base_Periodo1[[#This Row],[CLASS]],7),"")</f>
        <v>1.1.3.1</v>
      </c>
      <c r="F1676" s="3" t="str">
        <f>VLOOKUP(Base_Periodo1[[#This Row],[Aux]],Base_Contas_Balanco[#All],2,FALSE)</f>
        <v>Estoques Proprios</v>
      </c>
      <c r="G1676" s="1"/>
      <c r="I1676" s="225">
        <v>58266.13</v>
      </c>
      <c r="J1676" s="225">
        <v>457.71</v>
      </c>
      <c r="K1676" s="225">
        <v>57808.420000000231</v>
      </c>
      <c r="L16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57808.42</v>
      </c>
      <c r="M1676" s="225">
        <f>ROUND(IF(AND(Base_Periodo1[[#This Row],[Tipo_Linha]]="-",Base_Periodo1[[#This Row],[TIPOSALDO]]="D"),Base_Periodo1[[#This Row],[SALDO_ATUAL]]*-1,Base_Periodo1[[#This Row],[SALDO_ATUAL]]),4)</f>
        <v>57808.42</v>
      </c>
      <c r="N1676" t="s">
        <v>396</v>
      </c>
      <c r="O1676" t="s">
        <v>436</v>
      </c>
      <c r="P1676" t="s">
        <v>397</v>
      </c>
      <c r="Q1676">
        <v>8</v>
      </c>
      <c r="R1676" s="225">
        <f>Base_Periodo1[[#This Row],[CREDITOS]]-Base_Periodo1[[#This Row],[DEBITOS]]</f>
        <v>-57808.42</v>
      </c>
      <c r="S1676" s="3" t="str">
        <f>IF(ISERROR(VLOOKUP(Base_Periodo1[[#This Row],[CONTA]],BaseContasDRE[#All],4,FALSE)),"Fora do DRE",VLOOKUP(Base_Periodo1[[#This Row],[CONTA]],BaseContasDRE[#All],4,FALSE))</f>
        <v>Fora do DRE</v>
      </c>
      <c r="T1676" s="3" t="str">
        <f>IF(ISERROR(VLOOKUP(Base_Periodo1[[#This Row],[CONTA]],BaseContasDRE[#All],5,FALSE)),"Fora do DRE",VLOOKUP(Base_Periodo1[[#This Row],[CONTA]],BaseContasDRE[#All],6,FALSE))</f>
        <v>Fora do DRE</v>
      </c>
      <c r="U1676" s="3" t="str">
        <f>IF(ISERROR(VLOOKUP(Base_Periodo1[[#This Row],[CONTA]],BaseContasDRE[#All],7,FALSE)),"Fora do DRE",VLOOKUP(Base_Periodo1[[#This Row],[CONTA]],BaseContasDRE[#All],7,FALSE))</f>
        <v>Fora do DRE</v>
      </c>
      <c r="V1676" s="3" t="str">
        <f>IF(Base_Periodo1[[#This Row],[Tipo_Linha]]="Fora do DRE","Fora do DRE","( "&amp;Base_Periodo1[[#This Row],[Tipo_Linha]]&amp;" ) "&amp;Base_Periodo1[[#This Row],[Filtro]])</f>
        <v>Fora do DRE</v>
      </c>
      <c r="W1676" s="3" t="str">
        <f>LEFT(Base_Periodo1[[#This Row],[CLASS]],3)</f>
        <v>1.1</v>
      </c>
    </row>
    <row r="1677" spans="1:23" hidden="1">
      <c r="A1677" s="3" t="str">
        <f t="shared" si="26"/>
        <v>Período 1</v>
      </c>
      <c r="B1677">
        <v>59544</v>
      </c>
      <c r="C1677" t="s">
        <v>6810</v>
      </c>
      <c r="D1677" t="s">
        <v>1113</v>
      </c>
      <c r="E1677" s="3" t="str">
        <f>IF(LEN(Base_Periodo1[[#This Row],[CLASS]])&gt;=7,LEFT(Base_Periodo1[[#This Row],[CLASS]],7),"")</f>
        <v>1.1.3.1</v>
      </c>
      <c r="F1677" s="3" t="str">
        <f>VLOOKUP(Base_Periodo1[[#This Row],[Aux]],Base_Contas_Balanco[#All],2,FALSE)</f>
        <v>Estoques Proprios</v>
      </c>
      <c r="G1677" s="1">
        <v>42886</v>
      </c>
      <c r="I1677" s="225">
        <v>3386.13</v>
      </c>
      <c r="J1677" s="225">
        <v>457.71</v>
      </c>
      <c r="K1677" s="225">
        <v>2928.42</v>
      </c>
      <c r="L16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2928.42</v>
      </c>
      <c r="M1677" s="225">
        <f>ROUND(IF(AND(Base_Periodo1[[#This Row],[Tipo_Linha]]="-",Base_Periodo1[[#This Row],[TIPOSALDO]]="D"),Base_Periodo1[[#This Row],[SALDO_ATUAL]]*-1,Base_Periodo1[[#This Row],[SALDO_ATUAL]]),4)</f>
        <v>2928.42</v>
      </c>
      <c r="N1677" t="s">
        <v>116</v>
      </c>
      <c r="O1677" t="s">
        <v>436</v>
      </c>
      <c r="P1677" t="s">
        <v>397</v>
      </c>
      <c r="Q1677">
        <v>9</v>
      </c>
      <c r="R1677" s="225">
        <f>Base_Periodo1[[#This Row],[CREDITOS]]-Base_Periodo1[[#This Row],[DEBITOS]]</f>
        <v>-2928.42</v>
      </c>
      <c r="S1677" s="3" t="str">
        <f>IF(ISERROR(VLOOKUP(Base_Periodo1[[#This Row],[CONTA]],BaseContasDRE[#All],4,FALSE)),"Fora do DRE",VLOOKUP(Base_Periodo1[[#This Row],[CONTA]],BaseContasDRE[#All],4,FALSE))</f>
        <v>Fora do DRE</v>
      </c>
      <c r="T1677" s="3" t="str">
        <f>IF(ISERROR(VLOOKUP(Base_Periodo1[[#This Row],[CONTA]],BaseContasDRE[#All],5,FALSE)),"Fora do DRE",VLOOKUP(Base_Periodo1[[#This Row],[CONTA]],BaseContasDRE[#All],6,FALSE))</f>
        <v>Fora do DRE</v>
      </c>
      <c r="U1677" s="3" t="str">
        <f>IF(ISERROR(VLOOKUP(Base_Periodo1[[#This Row],[CONTA]],BaseContasDRE[#All],7,FALSE)),"Fora do DRE",VLOOKUP(Base_Periodo1[[#This Row],[CONTA]],BaseContasDRE[#All],7,FALSE))</f>
        <v>Fora do DRE</v>
      </c>
      <c r="V1677" s="3" t="str">
        <f>IF(Base_Periodo1[[#This Row],[Tipo_Linha]]="Fora do DRE","Fora do DRE","( "&amp;Base_Periodo1[[#This Row],[Tipo_Linha]]&amp;" ) "&amp;Base_Periodo1[[#This Row],[Filtro]])</f>
        <v>Fora do DRE</v>
      </c>
      <c r="W1677" s="3" t="str">
        <f>LEFT(Base_Periodo1[[#This Row],[CLASS]],3)</f>
        <v>1.1</v>
      </c>
    </row>
    <row r="1678" spans="1:23" hidden="1">
      <c r="A1678" s="3" t="str">
        <f t="shared" si="26"/>
        <v>Período 1</v>
      </c>
      <c r="B1678">
        <v>9127</v>
      </c>
      <c r="C1678" t="s">
        <v>6811</v>
      </c>
      <c r="D1678" t="s">
        <v>1242</v>
      </c>
      <c r="E1678" s="3" t="str">
        <f>IF(LEN(Base_Periodo1[[#This Row],[CLASS]])&gt;=7,LEFT(Base_Periodo1[[#This Row],[CLASS]],7),"")</f>
        <v>1.1.3.1</v>
      </c>
      <c r="F1678" s="3" t="str">
        <f>VLOOKUP(Base_Periodo1[[#This Row],[Aux]],Base_Contas_Balanco[#All],2,FALSE)</f>
        <v>Estoques Proprios</v>
      </c>
      <c r="G1678" s="1">
        <v>42884</v>
      </c>
      <c r="I1678" s="225">
        <v>54880</v>
      </c>
      <c r="J1678" s="225">
        <v>0</v>
      </c>
      <c r="K1678" s="225">
        <v>54880.000000000233</v>
      </c>
      <c r="L16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54880</v>
      </c>
      <c r="M1678" s="225">
        <f>ROUND(IF(AND(Base_Periodo1[[#This Row],[Tipo_Linha]]="-",Base_Periodo1[[#This Row],[TIPOSALDO]]="D"),Base_Periodo1[[#This Row],[SALDO_ATUAL]]*-1,Base_Periodo1[[#This Row],[SALDO_ATUAL]]),4)</f>
        <v>54880</v>
      </c>
      <c r="N1678" t="s">
        <v>116</v>
      </c>
      <c r="O1678" t="s">
        <v>436</v>
      </c>
      <c r="P1678" t="s">
        <v>397</v>
      </c>
      <c r="Q1678">
        <v>9</v>
      </c>
      <c r="R1678" s="225">
        <f>Base_Periodo1[[#This Row],[CREDITOS]]-Base_Periodo1[[#This Row],[DEBITOS]]</f>
        <v>-54880</v>
      </c>
      <c r="S1678" s="3" t="str">
        <f>IF(ISERROR(VLOOKUP(Base_Periodo1[[#This Row],[CONTA]],BaseContasDRE[#All],4,FALSE)),"Fora do DRE",VLOOKUP(Base_Periodo1[[#This Row],[CONTA]],BaseContasDRE[#All],4,FALSE))</f>
        <v>Fora do DRE</v>
      </c>
      <c r="T1678" s="3" t="str">
        <f>IF(ISERROR(VLOOKUP(Base_Periodo1[[#This Row],[CONTA]],BaseContasDRE[#All],5,FALSE)),"Fora do DRE",VLOOKUP(Base_Periodo1[[#This Row],[CONTA]],BaseContasDRE[#All],6,FALSE))</f>
        <v>Fora do DRE</v>
      </c>
      <c r="U1678" s="3" t="str">
        <f>IF(ISERROR(VLOOKUP(Base_Periodo1[[#This Row],[CONTA]],BaseContasDRE[#All],7,FALSE)),"Fora do DRE",VLOOKUP(Base_Periodo1[[#This Row],[CONTA]],BaseContasDRE[#All],7,FALSE))</f>
        <v>Fora do DRE</v>
      </c>
      <c r="V1678" s="3" t="str">
        <f>IF(Base_Periodo1[[#This Row],[Tipo_Linha]]="Fora do DRE","Fora do DRE","( "&amp;Base_Periodo1[[#This Row],[Tipo_Linha]]&amp;" ) "&amp;Base_Periodo1[[#This Row],[Filtro]])</f>
        <v>Fora do DRE</v>
      </c>
      <c r="W1678" s="3" t="str">
        <f>LEFT(Base_Periodo1[[#This Row],[CLASS]],3)</f>
        <v>1.1</v>
      </c>
    </row>
    <row r="1679" spans="1:23" hidden="1">
      <c r="A1679" s="3" t="str">
        <f t="shared" si="26"/>
        <v>Período 1</v>
      </c>
      <c r="B1679">
        <v>848</v>
      </c>
      <c r="C1679" t="s">
        <v>1353</v>
      </c>
      <c r="D1679" t="s">
        <v>1354</v>
      </c>
      <c r="E1679" s="3" t="str">
        <f>IF(LEN(Base_Periodo1[[#This Row],[CLASS]])&gt;=7,LEFT(Base_Periodo1[[#This Row],[CLASS]],7),"")</f>
        <v>1.1.3.1</v>
      </c>
      <c r="F1679" s="3" t="str">
        <f>VLOOKUP(Base_Periodo1[[#This Row],[Aux]],Base_Contas_Balanco[#All],2,FALSE)</f>
        <v>Estoques Proprios</v>
      </c>
      <c r="G1679" s="1"/>
      <c r="H1679" s="225">
        <v>153831.64000000223</v>
      </c>
      <c r="I1679" s="225">
        <v>592762.46</v>
      </c>
      <c r="J1679" s="225">
        <v>528429.33000000007</v>
      </c>
      <c r="K1679" s="225">
        <v>218164.77000000211</v>
      </c>
      <c r="L16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218164.77</v>
      </c>
      <c r="M1679" s="225">
        <f>ROUND(IF(AND(Base_Periodo1[[#This Row],[Tipo_Linha]]="-",Base_Periodo1[[#This Row],[TIPOSALDO]]="D"),Base_Periodo1[[#This Row],[SALDO_ATUAL]]*-1,Base_Periodo1[[#This Row],[SALDO_ATUAL]]),4)</f>
        <v>218164.77</v>
      </c>
      <c r="N1679" t="s">
        <v>396</v>
      </c>
      <c r="O1679" t="s">
        <v>397</v>
      </c>
      <c r="P1679" t="s">
        <v>397</v>
      </c>
      <c r="Q1679">
        <v>7</v>
      </c>
      <c r="R1679" s="225">
        <f>Base_Periodo1[[#This Row],[CREDITOS]]-Base_Periodo1[[#This Row],[DEBITOS]]</f>
        <v>-64333.129999999888</v>
      </c>
      <c r="S1679" s="3" t="str">
        <f>IF(ISERROR(VLOOKUP(Base_Periodo1[[#This Row],[CONTA]],BaseContasDRE[#All],4,FALSE)),"Fora do DRE",VLOOKUP(Base_Periodo1[[#This Row],[CONTA]],BaseContasDRE[#All],4,FALSE))</f>
        <v>Fora do DRE</v>
      </c>
      <c r="T1679" s="3" t="str">
        <f>IF(ISERROR(VLOOKUP(Base_Periodo1[[#This Row],[CONTA]],BaseContasDRE[#All],5,FALSE)),"Fora do DRE",VLOOKUP(Base_Periodo1[[#This Row],[CONTA]],BaseContasDRE[#All],6,FALSE))</f>
        <v>Fora do DRE</v>
      </c>
      <c r="U1679" s="3" t="str">
        <f>IF(ISERROR(VLOOKUP(Base_Periodo1[[#This Row],[CONTA]],BaseContasDRE[#All],7,FALSE)),"Fora do DRE",VLOOKUP(Base_Periodo1[[#This Row],[CONTA]],BaseContasDRE[#All],7,FALSE))</f>
        <v>Fora do DRE</v>
      </c>
      <c r="V1679" s="3" t="str">
        <f>IF(Base_Periodo1[[#This Row],[Tipo_Linha]]="Fora do DRE","Fora do DRE","( "&amp;Base_Periodo1[[#This Row],[Tipo_Linha]]&amp;" ) "&amp;Base_Periodo1[[#This Row],[Filtro]])</f>
        <v>Fora do DRE</v>
      </c>
      <c r="W1679" s="3" t="str">
        <f>LEFT(Base_Periodo1[[#This Row],[CLASS]],3)</f>
        <v>1.1</v>
      </c>
    </row>
    <row r="1680" spans="1:23" hidden="1">
      <c r="A1680" s="3" t="str">
        <f t="shared" si="26"/>
        <v>Período 1</v>
      </c>
      <c r="B1680">
        <v>849</v>
      </c>
      <c r="C1680" t="s">
        <v>1355</v>
      </c>
      <c r="D1680" t="s">
        <v>1054</v>
      </c>
      <c r="E1680" s="3" t="str">
        <f>IF(LEN(Base_Periodo1[[#This Row],[CLASS]])&gt;=7,LEFT(Base_Periodo1[[#This Row],[CLASS]],7),"")</f>
        <v>1.1.3.1</v>
      </c>
      <c r="F1680" s="3" t="str">
        <f>VLOOKUP(Base_Periodo1[[#This Row],[Aux]],Base_Contas_Balanco[#All],2,FALSE)</f>
        <v>Estoques Proprios</v>
      </c>
      <c r="G1680" s="1"/>
      <c r="H1680" s="225">
        <v>92066.909999999218</v>
      </c>
      <c r="I1680" s="225">
        <v>0</v>
      </c>
      <c r="J1680" s="225">
        <v>0</v>
      </c>
      <c r="K1680" s="225">
        <v>92066.909999999218</v>
      </c>
      <c r="L16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92066.91</v>
      </c>
      <c r="M1680" s="225">
        <f>ROUND(IF(AND(Base_Periodo1[[#This Row],[Tipo_Linha]]="-",Base_Periodo1[[#This Row],[TIPOSALDO]]="D"),Base_Periodo1[[#This Row],[SALDO_ATUAL]]*-1,Base_Periodo1[[#This Row],[SALDO_ATUAL]]),4)</f>
        <v>92066.91</v>
      </c>
      <c r="N1680" t="s">
        <v>396</v>
      </c>
      <c r="O1680" t="s">
        <v>397</v>
      </c>
      <c r="P1680" t="s">
        <v>397</v>
      </c>
      <c r="Q1680">
        <v>8</v>
      </c>
      <c r="R1680" s="225">
        <f>Base_Periodo1[[#This Row],[CREDITOS]]-Base_Periodo1[[#This Row],[DEBITOS]]</f>
        <v>0</v>
      </c>
      <c r="S1680" s="3" t="str">
        <f>IF(ISERROR(VLOOKUP(Base_Periodo1[[#This Row],[CONTA]],BaseContasDRE[#All],4,FALSE)),"Fora do DRE",VLOOKUP(Base_Periodo1[[#This Row],[CONTA]],BaseContasDRE[#All],4,FALSE))</f>
        <v>Fora do DRE</v>
      </c>
      <c r="T1680" s="3" t="str">
        <f>IF(ISERROR(VLOOKUP(Base_Periodo1[[#This Row],[CONTA]],BaseContasDRE[#All],5,FALSE)),"Fora do DRE",VLOOKUP(Base_Periodo1[[#This Row],[CONTA]],BaseContasDRE[#All],6,FALSE))</f>
        <v>Fora do DRE</v>
      </c>
      <c r="U1680" s="3" t="str">
        <f>IF(ISERROR(VLOOKUP(Base_Periodo1[[#This Row],[CONTA]],BaseContasDRE[#All],7,FALSE)),"Fora do DRE",VLOOKUP(Base_Periodo1[[#This Row],[CONTA]],BaseContasDRE[#All],7,FALSE))</f>
        <v>Fora do DRE</v>
      </c>
      <c r="V1680" s="3" t="str">
        <f>IF(Base_Periodo1[[#This Row],[Tipo_Linha]]="Fora do DRE","Fora do DRE","( "&amp;Base_Periodo1[[#This Row],[Tipo_Linha]]&amp;" ) "&amp;Base_Periodo1[[#This Row],[Filtro]])</f>
        <v>Fora do DRE</v>
      </c>
      <c r="W1680" s="3" t="str">
        <f>LEFT(Base_Periodo1[[#This Row],[CLASS]],3)</f>
        <v>1.1</v>
      </c>
    </row>
    <row r="1681" spans="1:23" hidden="1">
      <c r="A1681" s="3" t="str">
        <f t="shared" si="26"/>
        <v>Período 1</v>
      </c>
      <c r="B1681">
        <v>850</v>
      </c>
      <c r="C1681" t="s">
        <v>1356</v>
      </c>
      <c r="D1681" t="s">
        <v>1054</v>
      </c>
      <c r="E1681" s="3" t="str">
        <f>IF(LEN(Base_Periodo1[[#This Row],[CLASS]])&gt;=7,LEFT(Base_Periodo1[[#This Row],[CLASS]],7),"")</f>
        <v>1.1.3.1</v>
      </c>
      <c r="F1681" s="3" t="str">
        <f>VLOOKUP(Base_Periodo1[[#This Row],[Aux]],Base_Contas_Balanco[#All],2,FALSE)</f>
        <v>Estoques Proprios</v>
      </c>
      <c r="G1681" s="1">
        <v>42735</v>
      </c>
      <c r="H1681" s="225">
        <v>92066.909999999218</v>
      </c>
      <c r="I1681" s="225">
        <v>0</v>
      </c>
      <c r="J1681" s="225">
        <v>0</v>
      </c>
      <c r="K1681" s="225">
        <v>92066.909999999218</v>
      </c>
      <c r="L16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92066.91</v>
      </c>
      <c r="M1681" s="225">
        <f>ROUND(IF(AND(Base_Periodo1[[#This Row],[Tipo_Linha]]="-",Base_Periodo1[[#This Row],[TIPOSALDO]]="D"),Base_Periodo1[[#This Row],[SALDO_ATUAL]]*-1,Base_Periodo1[[#This Row],[SALDO_ATUAL]]),4)</f>
        <v>92066.91</v>
      </c>
      <c r="N1681" t="s">
        <v>116</v>
      </c>
      <c r="O1681" t="s">
        <v>397</v>
      </c>
      <c r="P1681" t="s">
        <v>397</v>
      </c>
      <c r="Q1681">
        <v>9</v>
      </c>
      <c r="R1681" s="225">
        <f>Base_Periodo1[[#This Row],[CREDITOS]]-Base_Periodo1[[#This Row],[DEBITOS]]</f>
        <v>0</v>
      </c>
      <c r="S1681" s="3" t="str">
        <f>IF(ISERROR(VLOOKUP(Base_Periodo1[[#This Row],[CONTA]],BaseContasDRE[#All],4,FALSE)),"Fora do DRE",VLOOKUP(Base_Periodo1[[#This Row],[CONTA]],BaseContasDRE[#All],4,FALSE))</f>
        <v>Fora do DRE</v>
      </c>
      <c r="T1681" s="3" t="str">
        <f>IF(ISERROR(VLOOKUP(Base_Periodo1[[#This Row],[CONTA]],BaseContasDRE[#All],5,FALSE)),"Fora do DRE",VLOOKUP(Base_Periodo1[[#This Row],[CONTA]],BaseContasDRE[#All],6,FALSE))</f>
        <v>Fora do DRE</v>
      </c>
      <c r="U1681" s="3" t="str">
        <f>IF(ISERROR(VLOOKUP(Base_Periodo1[[#This Row],[CONTA]],BaseContasDRE[#All],7,FALSE)),"Fora do DRE",VLOOKUP(Base_Periodo1[[#This Row],[CONTA]],BaseContasDRE[#All],7,FALSE))</f>
        <v>Fora do DRE</v>
      </c>
      <c r="V1681" s="3" t="str">
        <f>IF(Base_Periodo1[[#This Row],[Tipo_Linha]]="Fora do DRE","Fora do DRE","( "&amp;Base_Periodo1[[#This Row],[Tipo_Linha]]&amp;" ) "&amp;Base_Periodo1[[#This Row],[Filtro]])</f>
        <v>Fora do DRE</v>
      </c>
      <c r="W1681" s="3" t="str">
        <f>LEFT(Base_Periodo1[[#This Row],[CLASS]],3)</f>
        <v>1.1</v>
      </c>
    </row>
    <row r="1682" spans="1:23" hidden="1">
      <c r="A1682" s="3" t="str">
        <f t="shared" si="26"/>
        <v>Período 1</v>
      </c>
      <c r="B1682">
        <v>851</v>
      </c>
      <c r="C1682" t="s">
        <v>4431</v>
      </c>
      <c r="D1682" t="s">
        <v>1057</v>
      </c>
      <c r="E1682" s="3" t="str">
        <f>IF(LEN(Base_Periodo1[[#This Row],[CLASS]])&gt;=7,LEFT(Base_Periodo1[[#This Row],[CLASS]],7),"")</f>
        <v>1.1.3.1</v>
      </c>
      <c r="F1682" s="3" t="str">
        <f>VLOOKUP(Base_Periodo1[[#This Row],[Aux]],Base_Contas_Balanco[#All],2,FALSE)</f>
        <v>Estoques Proprios</v>
      </c>
      <c r="G1682" s="1"/>
      <c r="H1682" s="225">
        <v>444140.9700000044</v>
      </c>
      <c r="I1682" s="225">
        <v>518392.8</v>
      </c>
      <c r="J1682" s="225">
        <v>27671.840000000029</v>
      </c>
      <c r="K1682" s="225">
        <v>934861.93000000436</v>
      </c>
      <c r="L16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934861.93</v>
      </c>
      <c r="M1682" s="225">
        <f>ROUND(IF(AND(Base_Periodo1[[#This Row],[Tipo_Linha]]="-",Base_Periodo1[[#This Row],[TIPOSALDO]]="D"),Base_Periodo1[[#This Row],[SALDO_ATUAL]]*-1,Base_Periodo1[[#This Row],[SALDO_ATUAL]]),4)</f>
        <v>934861.93</v>
      </c>
      <c r="N1682" t="s">
        <v>396</v>
      </c>
      <c r="O1682" t="s">
        <v>397</v>
      </c>
      <c r="P1682" t="s">
        <v>397</v>
      </c>
      <c r="Q1682">
        <v>8</v>
      </c>
      <c r="R1682" s="225">
        <f>Base_Periodo1[[#This Row],[CREDITOS]]-Base_Periodo1[[#This Row],[DEBITOS]]</f>
        <v>-490720.95999999996</v>
      </c>
      <c r="S1682" s="3" t="str">
        <f>IF(ISERROR(VLOOKUP(Base_Periodo1[[#This Row],[CONTA]],BaseContasDRE[#All],4,FALSE)),"Fora do DRE",VLOOKUP(Base_Periodo1[[#This Row],[CONTA]],BaseContasDRE[#All],4,FALSE))</f>
        <v>Fora do DRE</v>
      </c>
      <c r="T1682" s="3" t="str">
        <f>IF(ISERROR(VLOOKUP(Base_Periodo1[[#This Row],[CONTA]],BaseContasDRE[#All],5,FALSE)),"Fora do DRE",VLOOKUP(Base_Periodo1[[#This Row],[CONTA]],BaseContasDRE[#All],6,FALSE))</f>
        <v>Fora do DRE</v>
      </c>
      <c r="U1682" s="3" t="str">
        <f>IF(ISERROR(VLOOKUP(Base_Periodo1[[#This Row],[CONTA]],BaseContasDRE[#All],7,FALSE)),"Fora do DRE",VLOOKUP(Base_Periodo1[[#This Row],[CONTA]],BaseContasDRE[#All],7,FALSE))</f>
        <v>Fora do DRE</v>
      </c>
      <c r="V1682" s="3" t="str">
        <f>IF(Base_Periodo1[[#This Row],[Tipo_Linha]]="Fora do DRE","Fora do DRE","( "&amp;Base_Periodo1[[#This Row],[Tipo_Linha]]&amp;" ) "&amp;Base_Periodo1[[#This Row],[Filtro]])</f>
        <v>Fora do DRE</v>
      </c>
      <c r="W1682" s="3" t="str">
        <f>LEFT(Base_Periodo1[[#This Row],[CLASS]],3)</f>
        <v>1.1</v>
      </c>
    </row>
    <row r="1683" spans="1:23" hidden="1">
      <c r="A1683" s="3" t="str">
        <f t="shared" si="26"/>
        <v>Período 1</v>
      </c>
      <c r="B1683">
        <v>47868</v>
      </c>
      <c r="C1683" t="s">
        <v>4432</v>
      </c>
      <c r="D1683" t="s">
        <v>1059</v>
      </c>
      <c r="E1683" s="3" t="str">
        <f>IF(LEN(Base_Periodo1[[#This Row],[CLASS]])&gt;=7,LEFT(Base_Periodo1[[#This Row],[CLASS]],7),"")</f>
        <v>1.1.3.1</v>
      </c>
      <c r="F1683" s="3" t="str">
        <f>VLOOKUP(Base_Periodo1[[#This Row],[Aux]],Base_Contas_Balanco[#All],2,FALSE)</f>
        <v>Estoques Proprios</v>
      </c>
      <c r="G1683" s="1">
        <v>42886</v>
      </c>
      <c r="H1683" s="225">
        <v>241027.71000000043</v>
      </c>
      <c r="I1683" s="225">
        <v>298163.99999999994</v>
      </c>
      <c r="J1683" s="225">
        <v>27671.840000000029</v>
      </c>
      <c r="K1683" s="225">
        <v>511519.8700000004</v>
      </c>
      <c r="L16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511519.87</v>
      </c>
      <c r="M1683" s="225">
        <f>ROUND(IF(AND(Base_Periodo1[[#This Row],[Tipo_Linha]]="-",Base_Periodo1[[#This Row],[TIPOSALDO]]="D"),Base_Periodo1[[#This Row],[SALDO_ATUAL]]*-1,Base_Periodo1[[#This Row],[SALDO_ATUAL]]),4)</f>
        <v>511519.87</v>
      </c>
      <c r="N1683" t="s">
        <v>116</v>
      </c>
      <c r="O1683" t="s">
        <v>397</v>
      </c>
      <c r="P1683" t="s">
        <v>397</v>
      </c>
      <c r="Q1683">
        <v>9</v>
      </c>
      <c r="R1683" s="225">
        <f>Base_Periodo1[[#This Row],[CREDITOS]]-Base_Periodo1[[#This Row],[DEBITOS]]</f>
        <v>-270492.15999999992</v>
      </c>
      <c r="S1683" s="3" t="str">
        <f>IF(ISERROR(VLOOKUP(Base_Periodo1[[#This Row],[CONTA]],BaseContasDRE[#All],4,FALSE)),"Fora do DRE",VLOOKUP(Base_Periodo1[[#This Row],[CONTA]],BaseContasDRE[#All],4,FALSE))</f>
        <v>Fora do DRE</v>
      </c>
      <c r="T1683" s="3" t="str">
        <f>IF(ISERROR(VLOOKUP(Base_Periodo1[[#This Row],[CONTA]],BaseContasDRE[#All],5,FALSE)),"Fora do DRE",VLOOKUP(Base_Periodo1[[#This Row],[CONTA]],BaseContasDRE[#All],6,FALSE))</f>
        <v>Fora do DRE</v>
      </c>
      <c r="U1683" s="3" t="str">
        <f>IF(ISERROR(VLOOKUP(Base_Periodo1[[#This Row],[CONTA]],BaseContasDRE[#All],7,FALSE)),"Fora do DRE",VLOOKUP(Base_Periodo1[[#This Row],[CONTA]],BaseContasDRE[#All],7,FALSE))</f>
        <v>Fora do DRE</v>
      </c>
      <c r="V1683" s="3" t="str">
        <f>IF(Base_Periodo1[[#This Row],[Tipo_Linha]]="Fora do DRE","Fora do DRE","( "&amp;Base_Periodo1[[#This Row],[Tipo_Linha]]&amp;" ) "&amp;Base_Periodo1[[#This Row],[Filtro]])</f>
        <v>Fora do DRE</v>
      </c>
      <c r="W1683" s="3" t="str">
        <f>LEFT(Base_Periodo1[[#This Row],[CLASS]],3)</f>
        <v>1.1</v>
      </c>
    </row>
    <row r="1684" spans="1:23" hidden="1">
      <c r="A1684" s="3" t="str">
        <f t="shared" si="26"/>
        <v>Período 1</v>
      </c>
      <c r="B1684">
        <v>852</v>
      </c>
      <c r="C1684" t="s">
        <v>4433</v>
      </c>
      <c r="D1684" t="s">
        <v>1061</v>
      </c>
      <c r="E1684" s="3" t="str">
        <f>IF(LEN(Base_Periodo1[[#This Row],[CLASS]])&gt;=7,LEFT(Base_Periodo1[[#This Row],[CLASS]],7),"")</f>
        <v>1.1.3.1</v>
      </c>
      <c r="F1684" s="3" t="str">
        <f>VLOOKUP(Base_Periodo1[[#This Row],[Aux]],Base_Contas_Balanco[#All],2,FALSE)</f>
        <v>Estoques Proprios</v>
      </c>
      <c r="G1684" s="1">
        <v>42886</v>
      </c>
      <c r="H1684" s="225">
        <v>203113.26000000397</v>
      </c>
      <c r="I1684" s="225">
        <v>220228.80000000005</v>
      </c>
      <c r="J1684" s="225">
        <v>0</v>
      </c>
      <c r="K1684" s="225">
        <v>423342.06000000401</v>
      </c>
      <c r="L16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423342.06</v>
      </c>
      <c r="M1684" s="225">
        <f>ROUND(IF(AND(Base_Periodo1[[#This Row],[Tipo_Linha]]="-",Base_Periodo1[[#This Row],[TIPOSALDO]]="D"),Base_Periodo1[[#This Row],[SALDO_ATUAL]]*-1,Base_Periodo1[[#This Row],[SALDO_ATUAL]]),4)</f>
        <v>423342.06</v>
      </c>
      <c r="N1684" t="s">
        <v>116</v>
      </c>
      <c r="O1684" t="s">
        <v>397</v>
      </c>
      <c r="P1684" t="s">
        <v>397</v>
      </c>
      <c r="Q1684">
        <v>9</v>
      </c>
      <c r="R1684" s="225">
        <f>Base_Periodo1[[#This Row],[CREDITOS]]-Base_Periodo1[[#This Row],[DEBITOS]]</f>
        <v>-220228.80000000005</v>
      </c>
      <c r="S1684" s="3" t="str">
        <f>IF(ISERROR(VLOOKUP(Base_Periodo1[[#This Row],[CONTA]],BaseContasDRE[#All],4,FALSE)),"Fora do DRE",VLOOKUP(Base_Periodo1[[#This Row],[CONTA]],BaseContasDRE[#All],4,FALSE))</f>
        <v>Fora do DRE</v>
      </c>
      <c r="T1684" s="3" t="str">
        <f>IF(ISERROR(VLOOKUP(Base_Periodo1[[#This Row],[CONTA]],BaseContasDRE[#All],5,FALSE)),"Fora do DRE",VLOOKUP(Base_Periodo1[[#This Row],[CONTA]],BaseContasDRE[#All],6,FALSE))</f>
        <v>Fora do DRE</v>
      </c>
      <c r="U1684" s="3" t="str">
        <f>IF(ISERROR(VLOOKUP(Base_Periodo1[[#This Row],[CONTA]],BaseContasDRE[#All],7,FALSE)),"Fora do DRE",VLOOKUP(Base_Periodo1[[#This Row],[CONTA]],BaseContasDRE[#All],7,FALSE))</f>
        <v>Fora do DRE</v>
      </c>
      <c r="V1684" s="3" t="str">
        <f>IF(Base_Periodo1[[#This Row],[Tipo_Linha]]="Fora do DRE","Fora do DRE","( "&amp;Base_Periodo1[[#This Row],[Tipo_Linha]]&amp;" ) "&amp;Base_Periodo1[[#This Row],[Filtro]])</f>
        <v>Fora do DRE</v>
      </c>
      <c r="W1684" s="3" t="str">
        <f>LEFT(Base_Periodo1[[#This Row],[CLASS]],3)</f>
        <v>1.1</v>
      </c>
    </row>
    <row r="1685" spans="1:23" hidden="1">
      <c r="A1685" s="3" t="str">
        <f t="shared" si="26"/>
        <v>Período 1</v>
      </c>
      <c r="B1685">
        <v>855</v>
      </c>
      <c r="C1685" t="s">
        <v>1357</v>
      </c>
      <c r="D1685" t="s">
        <v>1063</v>
      </c>
      <c r="E1685" s="3" t="str">
        <f>IF(LEN(Base_Periodo1[[#This Row],[CLASS]])&gt;=7,LEFT(Base_Periodo1[[#This Row],[CLASS]],7),"")</f>
        <v>1.1.3.1</v>
      </c>
      <c r="F1685" s="3" t="str">
        <f>VLOOKUP(Base_Periodo1[[#This Row],[Aux]],Base_Contas_Balanco[#All],2,FALSE)</f>
        <v>Estoques Proprios</v>
      </c>
      <c r="G1685" s="1"/>
      <c r="H1685" s="225">
        <v>70354.679999997839</v>
      </c>
      <c r="I1685" s="225">
        <v>74369.660000000018</v>
      </c>
      <c r="J1685" s="225">
        <v>0</v>
      </c>
      <c r="K1685" s="225">
        <v>144724.33999999787</v>
      </c>
      <c r="L16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144724.34</v>
      </c>
      <c r="M1685" s="225">
        <f>ROUND(IF(AND(Base_Periodo1[[#This Row],[Tipo_Linha]]="-",Base_Periodo1[[#This Row],[TIPOSALDO]]="D"),Base_Periodo1[[#This Row],[SALDO_ATUAL]]*-1,Base_Periodo1[[#This Row],[SALDO_ATUAL]]),4)</f>
        <v>144724.34</v>
      </c>
      <c r="N1685" t="s">
        <v>396</v>
      </c>
      <c r="O1685" t="s">
        <v>397</v>
      </c>
      <c r="P1685" t="s">
        <v>397</v>
      </c>
      <c r="Q1685">
        <v>8</v>
      </c>
      <c r="R1685" s="225">
        <f>Base_Periodo1[[#This Row],[CREDITOS]]-Base_Periodo1[[#This Row],[DEBITOS]]</f>
        <v>-74369.660000000018</v>
      </c>
      <c r="S1685" s="3" t="str">
        <f>IF(ISERROR(VLOOKUP(Base_Periodo1[[#This Row],[CONTA]],BaseContasDRE[#All],4,FALSE)),"Fora do DRE",VLOOKUP(Base_Periodo1[[#This Row],[CONTA]],BaseContasDRE[#All],4,FALSE))</f>
        <v>Fora do DRE</v>
      </c>
      <c r="T1685" s="3" t="str">
        <f>IF(ISERROR(VLOOKUP(Base_Periodo1[[#This Row],[CONTA]],BaseContasDRE[#All],5,FALSE)),"Fora do DRE",VLOOKUP(Base_Periodo1[[#This Row],[CONTA]],BaseContasDRE[#All],6,FALSE))</f>
        <v>Fora do DRE</v>
      </c>
      <c r="U1685" s="3" t="str">
        <f>IF(ISERROR(VLOOKUP(Base_Periodo1[[#This Row],[CONTA]],BaseContasDRE[#All],7,FALSE)),"Fora do DRE",VLOOKUP(Base_Periodo1[[#This Row],[CONTA]],BaseContasDRE[#All],7,FALSE))</f>
        <v>Fora do DRE</v>
      </c>
      <c r="V1685" s="3" t="str">
        <f>IF(Base_Periodo1[[#This Row],[Tipo_Linha]]="Fora do DRE","Fora do DRE","( "&amp;Base_Periodo1[[#This Row],[Tipo_Linha]]&amp;" ) "&amp;Base_Periodo1[[#This Row],[Filtro]])</f>
        <v>Fora do DRE</v>
      </c>
      <c r="W1685" s="3" t="str">
        <f>LEFT(Base_Periodo1[[#This Row],[CLASS]],3)</f>
        <v>1.1</v>
      </c>
    </row>
    <row r="1686" spans="1:23" hidden="1">
      <c r="A1686" s="3" t="str">
        <f t="shared" si="26"/>
        <v>Período 1</v>
      </c>
      <c r="B1686">
        <v>856</v>
      </c>
      <c r="C1686" t="s">
        <v>1358</v>
      </c>
      <c r="D1686" t="s">
        <v>1065</v>
      </c>
      <c r="E1686" s="3" t="str">
        <f>IF(LEN(Base_Periodo1[[#This Row],[CLASS]])&gt;=7,LEFT(Base_Periodo1[[#This Row],[CLASS]],7),"")</f>
        <v>1.1.3.1</v>
      </c>
      <c r="F1686" s="3" t="str">
        <f>VLOOKUP(Base_Periodo1[[#This Row],[Aux]],Base_Contas_Balanco[#All],2,FALSE)</f>
        <v>Estoques Proprios</v>
      </c>
      <c r="G1686" s="1">
        <v>42885</v>
      </c>
      <c r="H1686" s="225">
        <v>70354.679999997839</v>
      </c>
      <c r="I1686" s="225">
        <v>74369.660000000018</v>
      </c>
      <c r="J1686" s="225">
        <v>0</v>
      </c>
      <c r="K1686" s="225">
        <v>144724.33999999787</v>
      </c>
      <c r="L16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144724.34</v>
      </c>
      <c r="M1686" s="225">
        <f>ROUND(IF(AND(Base_Periodo1[[#This Row],[Tipo_Linha]]="-",Base_Periodo1[[#This Row],[TIPOSALDO]]="D"),Base_Periodo1[[#This Row],[SALDO_ATUAL]]*-1,Base_Periodo1[[#This Row],[SALDO_ATUAL]]),4)</f>
        <v>144724.34</v>
      </c>
      <c r="N1686" t="s">
        <v>116</v>
      </c>
      <c r="O1686" t="s">
        <v>397</v>
      </c>
      <c r="P1686" t="s">
        <v>397</v>
      </c>
      <c r="Q1686">
        <v>9</v>
      </c>
      <c r="R1686" s="225">
        <f>Base_Periodo1[[#This Row],[CREDITOS]]-Base_Periodo1[[#This Row],[DEBITOS]]</f>
        <v>-74369.660000000018</v>
      </c>
      <c r="S1686" s="3" t="str">
        <f>IF(ISERROR(VLOOKUP(Base_Periodo1[[#This Row],[CONTA]],BaseContasDRE[#All],4,FALSE)),"Fora do DRE",VLOOKUP(Base_Periodo1[[#This Row],[CONTA]],BaseContasDRE[#All],4,FALSE))</f>
        <v>Fora do DRE</v>
      </c>
      <c r="T1686" s="3" t="str">
        <f>IF(ISERROR(VLOOKUP(Base_Periodo1[[#This Row],[CONTA]],BaseContasDRE[#All],5,FALSE)),"Fora do DRE",VLOOKUP(Base_Periodo1[[#This Row],[CONTA]],BaseContasDRE[#All],6,FALSE))</f>
        <v>Fora do DRE</v>
      </c>
      <c r="U1686" s="3" t="str">
        <f>IF(ISERROR(VLOOKUP(Base_Periodo1[[#This Row],[CONTA]],BaseContasDRE[#All],7,FALSE)),"Fora do DRE",VLOOKUP(Base_Periodo1[[#This Row],[CONTA]],BaseContasDRE[#All],7,FALSE))</f>
        <v>Fora do DRE</v>
      </c>
      <c r="V1686" s="3" t="str">
        <f>IF(Base_Periodo1[[#This Row],[Tipo_Linha]]="Fora do DRE","Fora do DRE","( "&amp;Base_Periodo1[[#This Row],[Tipo_Linha]]&amp;" ) "&amp;Base_Periodo1[[#This Row],[Filtro]])</f>
        <v>Fora do DRE</v>
      </c>
      <c r="W1686" s="3" t="str">
        <f>LEFT(Base_Periodo1[[#This Row],[CLASS]],3)</f>
        <v>1.1</v>
      </c>
    </row>
    <row r="1687" spans="1:23" hidden="1">
      <c r="A1687" s="3" t="str">
        <f t="shared" si="26"/>
        <v>Período 1</v>
      </c>
      <c r="B1687">
        <v>860</v>
      </c>
      <c r="C1687" t="s">
        <v>1359</v>
      </c>
      <c r="D1687" t="s">
        <v>1067</v>
      </c>
      <c r="E1687" s="3" t="str">
        <f>IF(LEN(Base_Periodo1[[#This Row],[CLASS]])&gt;=7,LEFT(Base_Periodo1[[#This Row],[CLASS]],7),"")</f>
        <v>1.1.3.1</v>
      </c>
      <c r="F1687" s="3" t="str">
        <f>VLOOKUP(Base_Periodo1[[#This Row],[Aux]],Base_Contas_Balanco[#All],2,FALSE)</f>
        <v>Estoques Proprios</v>
      </c>
      <c r="G1687" s="1"/>
      <c r="H1687" s="225">
        <v>381656.29000000138</v>
      </c>
      <c r="I1687" s="225">
        <v>0</v>
      </c>
      <c r="J1687" s="225">
        <v>426387.83</v>
      </c>
      <c r="K1687" s="225">
        <v>808044.12000000139</v>
      </c>
      <c r="L16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-808044.12</v>
      </c>
      <c r="M1687" s="225">
        <f>ROUND(IF(AND(Base_Periodo1[[#This Row],[Tipo_Linha]]="-",Base_Periodo1[[#This Row],[TIPOSALDO]]="D"),Base_Periodo1[[#This Row],[SALDO_ATUAL]]*-1,Base_Periodo1[[#This Row],[SALDO_ATUAL]]),4)</f>
        <v>808044.12</v>
      </c>
      <c r="N1687" t="s">
        <v>396</v>
      </c>
      <c r="O1687" t="s">
        <v>459</v>
      </c>
      <c r="P1687" t="s">
        <v>459</v>
      </c>
      <c r="Q1687">
        <v>8</v>
      </c>
      <c r="R1687" s="225">
        <f>Base_Periodo1[[#This Row],[CREDITOS]]-Base_Periodo1[[#This Row],[DEBITOS]]</f>
        <v>426387.83</v>
      </c>
      <c r="S1687" s="3" t="str">
        <f>IF(ISERROR(VLOOKUP(Base_Periodo1[[#This Row],[CONTA]],BaseContasDRE[#All],4,FALSE)),"Fora do DRE",VLOOKUP(Base_Periodo1[[#This Row],[CONTA]],BaseContasDRE[#All],4,FALSE))</f>
        <v>Fora do DRE</v>
      </c>
      <c r="T1687" s="3" t="str">
        <f>IF(ISERROR(VLOOKUP(Base_Periodo1[[#This Row],[CONTA]],BaseContasDRE[#All],5,FALSE)),"Fora do DRE",VLOOKUP(Base_Periodo1[[#This Row],[CONTA]],BaseContasDRE[#All],6,FALSE))</f>
        <v>Fora do DRE</v>
      </c>
      <c r="U1687" s="3" t="str">
        <f>IF(ISERROR(VLOOKUP(Base_Periodo1[[#This Row],[CONTA]],BaseContasDRE[#All],7,FALSE)),"Fora do DRE",VLOOKUP(Base_Periodo1[[#This Row],[CONTA]],BaseContasDRE[#All],7,FALSE))</f>
        <v>Fora do DRE</v>
      </c>
      <c r="V1687" s="3" t="str">
        <f>IF(Base_Periodo1[[#This Row],[Tipo_Linha]]="Fora do DRE","Fora do DRE","( "&amp;Base_Periodo1[[#This Row],[Tipo_Linha]]&amp;" ) "&amp;Base_Periodo1[[#This Row],[Filtro]])</f>
        <v>Fora do DRE</v>
      </c>
      <c r="W1687" s="3" t="str">
        <f>LEFT(Base_Periodo1[[#This Row],[CLASS]],3)</f>
        <v>1.1</v>
      </c>
    </row>
    <row r="1688" spans="1:23" hidden="1">
      <c r="A1688" s="3" t="str">
        <f t="shared" si="26"/>
        <v>Período 1</v>
      </c>
      <c r="B1688">
        <v>861</v>
      </c>
      <c r="C1688" t="s">
        <v>1360</v>
      </c>
      <c r="D1688" t="s">
        <v>1068</v>
      </c>
      <c r="E1688" s="3" t="str">
        <f>IF(LEN(Base_Periodo1[[#This Row],[CLASS]])&gt;=7,LEFT(Base_Periodo1[[#This Row],[CLASS]],7),"")</f>
        <v>1.1.3.1</v>
      </c>
      <c r="F1688" s="3" t="str">
        <f>VLOOKUP(Base_Periodo1[[#This Row],[Aux]],Base_Contas_Balanco[#All],2,FALSE)</f>
        <v>Estoques Proprios</v>
      </c>
      <c r="G1688" s="1">
        <v>42886</v>
      </c>
      <c r="H1688" s="225">
        <v>380487.46000000136</v>
      </c>
      <c r="I1688" s="225">
        <v>0</v>
      </c>
      <c r="J1688" s="225">
        <v>426387.83</v>
      </c>
      <c r="K1688" s="225">
        <v>806875.29000000143</v>
      </c>
      <c r="L16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-806875.29</v>
      </c>
      <c r="M1688" s="225">
        <f>ROUND(IF(AND(Base_Periodo1[[#This Row],[Tipo_Linha]]="-",Base_Periodo1[[#This Row],[TIPOSALDO]]="D"),Base_Periodo1[[#This Row],[SALDO_ATUAL]]*-1,Base_Periodo1[[#This Row],[SALDO_ATUAL]]),4)</f>
        <v>806875.29</v>
      </c>
      <c r="N1688" t="s">
        <v>116</v>
      </c>
      <c r="O1688" t="s">
        <v>459</v>
      </c>
      <c r="P1688" t="s">
        <v>459</v>
      </c>
      <c r="Q1688">
        <v>9</v>
      </c>
      <c r="R1688" s="225">
        <f>Base_Periodo1[[#This Row],[CREDITOS]]-Base_Periodo1[[#This Row],[DEBITOS]]</f>
        <v>426387.83</v>
      </c>
      <c r="S1688" s="3" t="str">
        <f>IF(ISERROR(VLOOKUP(Base_Periodo1[[#This Row],[CONTA]],BaseContasDRE[#All],4,FALSE)),"Fora do DRE",VLOOKUP(Base_Periodo1[[#This Row],[CONTA]],BaseContasDRE[#All],4,FALSE))</f>
        <v>Fora do DRE</v>
      </c>
      <c r="T1688" s="3" t="str">
        <f>IF(ISERROR(VLOOKUP(Base_Periodo1[[#This Row],[CONTA]],BaseContasDRE[#All],5,FALSE)),"Fora do DRE",VLOOKUP(Base_Periodo1[[#This Row],[CONTA]],BaseContasDRE[#All],6,FALSE))</f>
        <v>Fora do DRE</v>
      </c>
      <c r="U1688" s="3" t="str">
        <f>IF(ISERROR(VLOOKUP(Base_Periodo1[[#This Row],[CONTA]],BaseContasDRE[#All],7,FALSE)),"Fora do DRE",VLOOKUP(Base_Periodo1[[#This Row],[CONTA]],BaseContasDRE[#All],7,FALSE))</f>
        <v>Fora do DRE</v>
      </c>
      <c r="V1688" s="3" t="str">
        <f>IF(Base_Periodo1[[#This Row],[Tipo_Linha]]="Fora do DRE","Fora do DRE","( "&amp;Base_Periodo1[[#This Row],[Tipo_Linha]]&amp;" ) "&amp;Base_Periodo1[[#This Row],[Filtro]])</f>
        <v>Fora do DRE</v>
      </c>
      <c r="W1688" s="3" t="str">
        <f>LEFT(Base_Periodo1[[#This Row],[CLASS]],3)</f>
        <v>1.1</v>
      </c>
    </row>
    <row r="1689" spans="1:23" hidden="1">
      <c r="A1689" s="3" t="str">
        <f t="shared" si="26"/>
        <v>Período 1</v>
      </c>
      <c r="B1689">
        <v>862</v>
      </c>
      <c r="C1689" t="s">
        <v>6272</v>
      </c>
      <c r="D1689" t="s">
        <v>1070</v>
      </c>
      <c r="E1689" s="3" t="str">
        <f>IF(LEN(Base_Periodo1[[#This Row],[CLASS]])&gt;=7,LEFT(Base_Periodo1[[#This Row],[CLASS]],7),"")</f>
        <v>1.1.3.1</v>
      </c>
      <c r="F1689" s="3" t="str">
        <f>VLOOKUP(Base_Periodo1[[#This Row],[Aux]],Base_Contas_Balanco[#All],2,FALSE)</f>
        <v>Estoques Proprios</v>
      </c>
      <c r="G1689" s="1">
        <v>42886</v>
      </c>
      <c r="H1689" s="225">
        <v>1168.8300000000163</v>
      </c>
      <c r="I1689" s="225">
        <v>0</v>
      </c>
      <c r="J1689" s="225">
        <v>0</v>
      </c>
      <c r="K1689" s="225">
        <v>1168.8300000000163</v>
      </c>
      <c r="L16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-1168.83</v>
      </c>
      <c r="M1689" s="225">
        <f>ROUND(IF(AND(Base_Periodo1[[#This Row],[Tipo_Linha]]="-",Base_Periodo1[[#This Row],[TIPOSALDO]]="D"),Base_Periodo1[[#This Row],[SALDO_ATUAL]]*-1,Base_Periodo1[[#This Row],[SALDO_ATUAL]]),4)</f>
        <v>1168.83</v>
      </c>
      <c r="N1689" t="s">
        <v>116</v>
      </c>
      <c r="O1689" t="s">
        <v>459</v>
      </c>
      <c r="P1689" t="s">
        <v>459</v>
      </c>
      <c r="Q1689">
        <v>9</v>
      </c>
      <c r="R1689" s="225">
        <f>Base_Periodo1[[#This Row],[CREDITOS]]-Base_Periodo1[[#This Row],[DEBITOS]]</f>
        <v>0</v>
      </c>
      <c r="S1689" s="3" t="str">
        <f>IF(ISERROR(VLOOKUP(Base_Periodo1[[#This Row],[CONTA]],BaseContasDRE[#All],4,FALSE)),"Fora do DRE",VLOOKUP(Base_Periodo1[[#This Row],[CONTA]],BaseContasDRE[#All],4,FALSE))</f>
        <v>Fora do DRE</v>
      </c>
      <c r="T1689" s="3" t="str">
        <f>IF(ISERROR(VLOOKUP(Base_Periodo1[[#This Row],[CONTA]],BaseContasDRE[#All],5,FALSE)),"Fora do DRE",VLOOKUP(Base_Periodo1[[#This Row],[CONTA]],BaseContasDRE[#All],6,FALSE))</f>
        <v>Fora do DRE</v>
      </c>
      <c r="U1689" s="3" t="str">
        <f>IF(ISERROR(VLOOKUP(Base_Periodo1[[#This Row],[CONTA]],BaseContasDRE[#All],7,FALSE)),"Fora do DRE",VLOOKUP(Base_Periodo1[[#This Row],[CONTA]],BaseContasDRE[#All],7,FALSE))</f>
        <v>Fora do DRE</v>
      </c>
      <c r="V1689" s="3" t="str">
        <f>IF(Base_Periodo1[[#This Row],[Tipo_Linha]]="Fora do DRE","Fora do DRE","( "&amp;Base_Periodo1[[#This Row],[Tipo_Linha]]&amp;" ) "&amp;Base_Periodo1[[#This Row],[Filtro]])</f>
        <v>Fora do DRE</v>
      </c>
      <c r="W1689" s="3" t="str">
        <f>LEFT(Base_Periodo1[[#This Row],[CLASS]],3)</f>
        <v>1.1</v>
      </c>
    </row>
    <row r="1690" spans="1:23" hidden="1">
      <c r="A1690" s="3" t="str">
        <f t="shared" si="26"/>
        <v>Período 1</v>
      </c>
      <c r="B1690">
        <v>863</v>
      </c>
      <c r="C1690" t="s">
        <v>1361</v>
      </c>
      <c r="D1690" t="s">
        <v>1072</v>
      </c>
      <c r="E1690" s="3" t="str">
        <f>IF(LEN(Base_Periodo1[[#This Row],[CLASS]])&gt;=7,LEFT(Base_Periodo1[[#This Row],[CLASS]],7),"")</f>
        <v>1.1.3.1</v>
      </c>
      <c r="F1690" s="3" t="str">
        <f>VLOOKUP(Base_Periodo1[[#This Row],[Aux]],Base_Contas_Balanco[#All],2,FALSE)</f>
        <v>Estoques Proprios</v>
      </c>
      <c r="G1690" s="1"/>
      <c r="H1690" s="225">
        <v>70354.679999997839</v>
      </c>
      <c r="I1690" s="225">
        <v>0</v>
      </c>
      <c r="J1690" s="225">
        <v>74369.66</v>
      </c>
      <c r="K1690" s="225">
        <v>144724.33999999784</v>
      </c>
      <c r="L16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-144724.34</v>
      </c>
      <c r="M1690" s="225">
        <f>ROUND(IF(AND(Base_Periodo1[[#This Row],[Tipo_Linha]]="-",Base_Periodo1[[#This Row],[TIPOSALDO]]="D"),Base_Periodo1[[#This Row],[SALDO_ATUAL]]*-1,Base_Periodo1[[#This Row],[SALDO_ATUAL]]),4)</f>
        <v>144724.34</v>
      </c>
      <c r="N1690" t="s">
        <v>396</v>
      </c>
      <c r="O1690" t="s">
        <v>459</v>
      </c>
      <c r="P1690" t="s">
        <v>459</v>
      </c>
      <c r="Q1690">
        <v>8</v>
      </c>
      <c r="R1690" s="225">
        <f>Base_Periodo1[[#This Row],[CREDITOS]]-Base_Periodo1[[#This Row],[DEBITOS]]</f>
        <v>74369.66</v>
      </c>
      <c r="S1690" s="3" t="str">
        <f>IF(ISERROR(VLOOKUP(Base_Periodo1[[#This Row],[CONTA]],BaseContasDRE[#All],4,FALSE)),"Fora do DRE",VLOOKUP(Base_Periodo1[[#This Row],[CONTA]],BaseContasDRE[#All],4,FALSE))</f>
        <v>Fora do DRE</v>
      </c>
      <c r="T1690" s="3" t="str">
        <f>IF(ISERROR(VLOOKUP(Base_Periodo1[[#This Row],[CONTA]],BaseContasDRE[#All],5,FALSE)),"Fora do DRE",VLOOKUP(Base_Periodo1[[#This Row],[CONTA]],BaseContasDRE[#All],6,FALSE))</f>
        <v>Fora do DRE</v>
      </c>
      <c r="U1690" s="3" t="str">
        <f>IF(ISERROR(VLOOKUP(Base_Periodo1[[#This Row],[CONTA]],BaseContasDRE[#All],7,FALSE)),"Fora do DRE",VLOOKUP(Base_Periodo1[[#This Row],[CONTA]],BaseContasDRE[#All],7,FALSE))</f>
        <v>Fora do DRE</v>
      </c>
      <c r="V1690" s="3" t="str">
        <f>IF(Base_Periodo1[[#This Row],[Tipo_Linha]]="Fora do DRE","Fora do DRE","( "&amp;Base_Periodo1[[#This Row],[Tipo_Linha]]&amp;" ) "&amp;Base_Periodo1[[#This Row],[Filtro]])</f>
        <v>Fora do DRE</v>
      </c>
      <c r="W1690" s="3" t="str">
        <f>LEFT(Base_Periodo1[[#This Row],[CLASS]],3)</f>
        <v>1.1</v>
      </c>
    </row>
    <row r="1691" spans="1:23" hidden="1">
      <c r="A1691" s="3" t="str">
        <f t="shared" si="26"/>
        <v>Período 1</v>
      </c>
      <c r="B1691">
        <v>864</v>
      </c>
      <c r="C1691" t="s">
        <v>1362</v>
      </c>
      <c r="D1691" t="s">
        <v>1074</v>
      </c>
      <c r="E1691" s="3" t="str">
        <f>IF(LEN(Base_Periodo1[[#This Row],[CLASS]])&gt;=7,LEFT(Base_Periodo1[[#This Row],[CLASS]],7),"")</f>
        <v>1.1.3.1</v>
      </c>
      <c r="F1691" s="3" t="str">
        <f>VLOOKUP(Base_Periodo1[[#This Row],[Aux]],Base_Contas_Balanco[#All],2,FALSE)</f>
        <v>Estoques Proprios</v>
      </c>
      <c r="G1691" s="1">
        <v>42885</v>
      </c>
      <c r="H1691" s="225">
        <v>70354.679999997839</v>
      </c>
      <c r="I1691" s="225">
        <v>0</v>
      </c>
      <c r="J1691" s="225">
        <v>74369.66</v>
      </c>
      <c r="K1691" s="225">
        <v>144724.33999999784</v>
      </c>
      <c r="L16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-144724.34</v>
      </c>
      <c r="M1691" s="225">
        <f>ROUND(IF(AND(Base_Periodo1[[#This Row],[Tipo_Linha]]="-",Base_Periodo1[[#This Row],[TIPOSALDO]]="D"),Base_Periodo1[[#This Row],[SALDO_ATUAL]]*-1,Base_Periodo1[[#This Row],[SALDO_ATUAL]]),4)</f>
        <v>144724.34</v>
      </c>
      <c r="N1691" t="s">
        <v>116</v>
      </c>
      <c r="O1691" t="s">
        <v>459</v>
      </c>
      <c r="P1691" t="s">
        <v>459</v>
      </c>
      <c r="Q1691">
        <v>9</v>
      </c>
      <c r="R1691" s="225">
        <f>Base_Periodo1[[#This Row],[CREDITOS]]-Base_Periodo1[[#This Row],[DEBITOS]]</f>
        <v>74369.66</v>
      </c>
      <c r="S1691" s="3" t="str">
        <f>IF(ISERROR(VLOOKUP(Base_Periodo1[[#This Row],[CONTA]],BaseContasDRE[#All],4,FALSE)),"Fora do DRE",VLOOKUP(Base_Periodo1[[#This Row],[CONTA]],BaseContasDRE[#All],4,FALSE))</f>
        <v>Fora do DRE</v>
      </c>
      <c r="T1691" s="3" t="str">
        <f>IF(ISERROR(VLOOKUP(Base_Periodo1[[#This Row],[CONTA]],BaseContasDRE[#All],5,FALSE)),"Fora do DRE",VLOOKUP(Base_Periodo1[[#This Row],[CONTA]],BaseContasDRE[#All],6,FALSE))</f>
        <v>Fora do DRE</v>
      </c>
      <c r="U1691" s="3" t="str">
        <f>IF(ISERROR(VLOOKUP(Base_Periodo1[[#This Row],[CONTA]],BaseContasDRE[#All],7,FALSE)),"Fora do DRE",VLOOKUP(Base_Periodo1[[#This Row],[CONTA]],BaseContasDRE[#All],7,FALSE))</f>
        <v>Fora do DRE</v>
      </c>
      <c r="V1691" s="3" t="str">
        <f>IF(Base_Periodo1[[#This Row],[Tipo_Linha]]="Fora do DRE","Fora do DRE","( "&amp;Base_Periodo1[[#This Row],[Tipo_Linha]]&amp;" ) "&amp;Base_Periodo1[[#This Row],[Filtro]])</f>
        <v>Fora do DRE</v>
      </c>
      <c r="W1691" s="3" t="str">
        <f>LEFT(Base_Periodo1[[#This Row],[CLASS]],3)</f>
        <v>1.1</v>
      </c>
    </row>
    <row r="1692" spans="1:23" hidden="1">
      <c r="A1692" s="3" t="str">
        <f t="shared" si="26"/>
        <v>Período 1</v>
      </c>
      <c r="B1692">
        <v>865</v>
      </c>
      <c r="C1692" t="s">
        <v>6273</v>
      </c>
      <c r="D1692" t="s">
        <v>1171</v>
      </c>
      <c r="E1692" s="3" t="str">
        <f>IF(LEN(Base_Periodo1[[#This Row],[CLASS]])&gt;=7,LEFT(Base_Periodo1[[#This Row],[CLASS]],7),"")</f>
        <v>1.1.3.1</v>
      </c>
      <c r="F1692" s="3" t="str">
        <f>VLOOKUP(Base_Periodo1[[#This Row],[Aux]],Base_Contas_Balanco[#All],2,FALSE)</f>
        <v>Estoques Proprios</v>
      </c>
      <c r="G1692" s="1"/>
      <c r="H1692" s="225">
        <v>719.95000000000027</v>
      </c>
      <c r="I1692" s="225">
        <v>0</v>
      </c>
      <c r="J1692" s="225">
        <v>0</v>
      </c>
      <c r="K1692" s="225">
        <v>719.95000000000027</v>
      </c>
      <c r="L16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-719.95</v>
      </c>
      <c r="M1692" s="225">
        <f>ROUND(IF(AND(Base_Periodo1[[#This Row],[Tipo_Linha]]="-",Base_Periodo1[[#This Row],[TIPOSALDO]]="D"),Base_Periodo1[[#This Row],[SALDO_ATUAL]]*-1,Base_Periodo1[[#This Row],[SALDO_ATUAL]]),4)</f>
        <v>719.95</v>
      </c>
      <c r="N1692" t="s">
        <v>396</v>
      </c>
      <c r="O1692" t="s">
        <v>459</v>
      </c>
      <c r="P1692" t="s">
        <v>459</v>
      </c>
      <c r="Q1692">
        <v>8</v>
      </c>
      <c r="R1692" s="225">
        <f>Base_Periodo1[[#This Row],[CREDITOS]]-Base_Periodo1[[#This Row],[DEBITOS]]</f>
        <v>0</v>
      </c>
      <c r="S1692" s="3" t="str">
        <f>IF(ISERROR(VLOOKUP(Base_Periodo1[[#This Row],[CONTA]],BaseContasDRE[#All],4,FALSE)),"Fora do DRE",VLOOKUP(Base_Periodo1[[#This Row],[CONTA]],BaseContasDRE[#All],4,FALSE))</f>
        <v>Fora do DRE</v>
      </c>
      <c r="T1692" s="3" t="str">
        <f>IF(ISERROR(VLOOKUP(Base_Periodo1[[#This Row],[CONTA]],BaseContasDRE[#All],5,FALSE)),"Fora do DRE",VLOOKUP(Base_Periodo1[[#This Row],[CONTA]],BaseContasDRE[#All],6,FALSE))</f>
        <v>Fora do DRE</v>
      </c>
      <c r="U1692" s="3" t="str">
        <f>IF(ISERROR(VLOOKUP(Base_Periodo1[[#This Row],[CONTA]],BaseContasDRE[#All],7,FALSE)),"Fora do DRE",VLOOKUP(Base_Periodo1[[#This Row],[CONTA]],BaseContasDRE[#All],7,FALSE))</f>
        <v>Fora do DRE</v>
      </c>
      <c r="V1692" s="3" t="str">
        <f>IF(Base_Periodo1[[#This Row],[Tipo_Linha]]="Fora do DRE","Fora do DRE","( "&amp;Base_Periodo1[[#This Row],[Tipo_Linha]]&amp;" ) "&amp;Base_Periodo1[[#This Row],[Filtro]])</f>
        <v>Fora do DRE</v>
      </c>
      <c r="W1692" s="3" t="str">
        <f>LEFT(Base_Periodo1[[#This Row],[CLASS]],3)</f>
        <v>1.1</v>
      </c>
    </row>
    <row r="1693" spans="1:23" hidden="1">
      <c r="A1693" s="3" t="str">
        <f t="shared" si="26"/>
        <v>Período 1</v>
      </c>
      <c r="B1693">
        <v>866</v>
      </c>
      <c r="C1693" t="s">
        <v>6274</v>
      </c>
      <c r="D1693" t="s">
        <v>1174</v>
      </c>
      <c r="E1693" s="3" t="str">
        <f>IF(LEN(Base_Periodo1[[#This Row],[CLASS]])&gt;=7,LEFT(Base_Periodo1[[#This Row],[CLASS]],7),"")</f>
        <v>1.1.3.1</v>
      </c>
      <c r="F1693" s="3" t="str">
        <f>VLOOKUP(Base_Periodo1[[#This Row],[Aux]],Base_Contas_Balanco[#All],2,FALSE)</f>
        <v>Estoques Proprios</v>
      </c>
      <c r="G1693" s="1">
        <v>42831</v>
      </c>
      <c r="H1693" s="225">
        <v>719.95000000000027</v>
      </c>
      <c r="I1693" s="225">
        <v>0</v>
      </c>
      <c r="J1693" s="225">
        <v>0</v>
      </c>
      <c r="K1693" s="225">
        <v>719.95000000000027</v>
      </c>
      <c r="L16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-719.95</v>
      </c>
      <c r="M1693" s="225">
        <f>ROUND(IF(AND(Base_Periodo1[[#This Row],[Tipo_Linha]]="-",Base_Periodo1[[#This Row],[TIPOSALDO]]="D"),Base_Periodo1[[#This Row],[SALDO_ATUAL]]*-1,Base_Periodo1[[#This Row],[SALDO_ATUAL]]),4)</f>
        <v>719.95</v>
      </c>
      <c r="N1693" t="s">
        <v>116</v>
      </c>
      <c r="O1693" t="s">
        <v>459</v>
      </c>
      <c r="P1693" t="s">
        <v>459</v>
      </c>
      <c r="Q1693">
        <v>9</v>
      </c>
      <c r="R1693" s="225">
        <f>Base_Periodo1[[#This Row],[CREDITOS]]-Base_Periodo1[[#This Row],[DEBITOS]]</f>
        <v>0</v>
      </c>
      <c r="S1693" s="3" t="str">
        <f>IF(ISERROR(VLOOKUP(Base_Periodo1[[#This Row],[CONTA]],BaseContasDRE[#All],4,FALSE)),"Fora do DRE",VLOOKUP(Base_Periodo1[[#This Row],[CONTA]],BaseContasDRE[#All],4,FALSE))</f>
        <v>Fora do DRE</v>
      </c>
      <c r="T1693" s="3" t="str">
        <f>IF(ISERROR(VLOOKUP(Base_Periodo1[[#This Row],[CONTA]],BaseContasDRE[#All],5,FALSE)),"Fora do DRE",VLOOKUP(Base_Periodo1[[#This Row],[CONTA]],BaseContasDRE[#All],6,FALSE))</f>
        <v>Fora do DRE</v>
      </c>
      <c r="U1693" s="3" t="str">
        <f>IF(ISERROR(VLOOKUP(Base_Periodo1[[#This Row],[CONTA]],BaseContasDRE[#All],7,FALSE)),"Fora do DRE",VLOOKUP(Base_Periodo1[[#This Row],[CONTA]],BaseContasDRE[#All],7,FALSE))</f>
        <v>Fora do DRE</v>
      </c>
      <c r="V1693" s="3" t="str">
        <f>IF(Base_Periodo1[[#This Row],[Tipo_Linha]]="Fora do DRE","Fora do DRE","( "&amp;Base_Periodo1[[#This Row],[Tipo_Linha]]&amp;" ) "&amp;Base_Periodo1[[#This Row],[Filtro]])</f>
        <v>Fora do DRE</v>
      </c>
      <c r="W1693" s="3" t="str">
        <f>LEFT(Base_Periodo1[[#This Row],[CLASS]],3)</f>
        <v>1.1</v>
      </c>
    </row>
    <row r="1694" spans="1:23" hidden="1">
      <c r="A1694" s="3" t="str">
        <f t="shared" si="26"/>
        <v>Período 1</v>
      </c>
      <c r="B1694">
        <v>871</v>
      </c>
      <c r="C1694" t="s">
        <v>1363</v>
      </c>
      <c r="D1694" t="s">
        <v>1364</v>
      </c>
      <c r="E1694" s="3" t="str">
        <f>IF(LEN(Base_Periodo1[[#This Row],[CLASS]])&gt;=7,LEFT(Base_Periodo1[[#This Row],[CLASS]],7),"")</f>
        <v>1.1.3.1</v>
      </c>
      <c r="F1694" s="3" t="str">
        <f>VLOOKUP(Base_Periodo1[[#This Row],[Aux]],Base_Contas_Balanco[#All],2,FALSE)</f>
        <v>Estoques Proprios</v>
      </c>
      <c r="G1694" s="1"/>
      <c r="H1694" s="225">
        <v>5975996.389999914</v>
      </c>
      <c r="I1694" s="225">
        <v>194846.97999999998</v>
      </c>
      <c r="J1694" s="225">
        <v>161057.19</v>
      </c>
      <c r="K1694" s="225">
        <v>6009786.1799999131</v>
      </c>
      <c r="L16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6009786.1799999997</v>
      </c>
      <c r="M1694" s="225">
        <f>ROUND(IF(AND(Base_Periodo1[[#This Row],[Tipo_Linha]]="-",Base_Periodo1[[#This Row],[TIPOSALDO]]="D"),Base_Periodo1[[#This Row],[SALDO_ATUAL]]*-1,Base_Periodo1[[#This Row],[SALDO_ATUAL]]),4)</f>
        <v>6009786.1799999997</v>
      </c>
      <c r="N1694" t="s">
        <v>396</v>
      </c>
      <c r="O1694" t="s">
        <v>397</v>
      </c>
      <c r="P1694" t="s">
        <v>397</v>
      </c>
      <c r="Q1694">
        <v>7</v>
      </c>
      <c r="R1694" s="225">
        <f>Base_Periodo1[[#This Row],[CREDITOS]]-Base_Periodo1[[#This Row],[DEBITOS]]</f>
        <v>-33789.789999999979</v>
      </c>
      <c r="S1694" s="3" t="str">
        <f>IF(ISERROR(VLOOKUP(Base_Periodo1[[#This Row],[CONTA]],BaseContasDRE[#All],4,FALSE)),"Fora do DRE",VLOOKUP(Base_Periodo1[[#This Row],[CONTA]],BaseContasDRE[#All],4,FALSE))</f>
        <v>Fora do DRE</v>
      </c>
      <c r="T1694" s="3" t="str">
        <f>IF(ISERROR(VLOOKUP(Base_Periodo1[[#This Row],[CONTA]],BaseContasDRE[#All],5,FALSE)),"Fora do DRE",VLOOKUP(Base_Periodo1[[#This Row],[CONTA]],BaseContasDRE[#All],6,FALSE))</f>
        <v>Fora do DRE</v>
      </c>
      <c r="U1694" s="3" t="str">
        <f>IF(ISERROR(VLOOKUP(Base_Periodo1[[#This Row],[CONTA]],BaseContasDRE[#All],7,FALSE)),"Fora do DRE",VLOOKUP(Base_Periodo1[[#This Row],[CONTA]],BaseContasDRE[#All],7,FALSE))</f>
        <v>Fora do DRE</v>
      </c>
      <c r="V1694" s="3" t="str">
        <f>IF(Base_Periodo1[[#This Row],[Tipo_Linha]]="Fora do DRE","Fora do DRE","( "&amp;Base_Periodo1[[#This Row],[Tipo_Linha]]&amp;" ) "&amp;Base_Periodo1[[#This Row],[Filtro]])</f>
        <v>Fora do DRE</v>
      </c>
      <c r="W1694" s="3" t="str">
        <f>LEFT(Base_Periodo1[[#This Row],[CLASS]],3)</f>
        <v>1.1</v>
      </c>
    </row>
    <row r="1695" spans="1:23" hidden="1">
      <c r="A1695" s="3" t="str">
        <f t="shared" si="26"/>
        <v>Período 1</v>
      </c>
      <c r="B1695">
        <v>872</v>
      </c>
      <c r="C1695" t="s">
        <v>1365</v>
      </c>
      <c r="D1695" t="s">
        <v>1054</v>
      </c>
      <c r="E1695" s="3" t="str">
        <f>IF(LEN(Base_Periodo1[[#This Row],[CLASS]])&gt;=7,LEFT(Base_Periodo1[[#This Row],[CLASS]],7),"")</f>
        <v>1.1.3.1</v>
      </c>
      <c r="F1695" s="3" t="str">
        <f>VLOOKUP(Base_Periodo1[[#This Row],[Aux]],Base_Contas_Balanco[#All],2,FALSE)</f>
        <v>Estoques Proprios</v>
      </c>
      <c r="G1695" s="1"/>
      <c r="H1695" s="225">
        <v>7400895.1900000051</v>
      </c>
      <c r="I1695" s="225">
        <v>0</v>
      </c>
      <c r="J1695" s="225">
        <v>0</v>
      </c>
      <c r="K1695" s="225">
        <v>7400895.1900000051</v>
      </c>
      <c r="L16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7400895.1900000004</v>
      </c>
      <c r="M1695" s="225">
        <f>ROUND(IF(AND(Base_Periodo1[[#This Row],[Tipo_Linha]]="-",Base_Periodo1[[#This Row],[TIPOSALDO]]="D"),Base_Periodo1[[#This Row],[SALDO_ATUAL]]*-1,Base_Periodo1[[#This Row],[SALDO_ATUAL]]),4)</f>
        <v>7400895.1900000004</v>
      </c>
      <c r="N1695" t="s">
        <v>396</v>
      </c>
      <c r="O1695" t="s">
        <v>397</v>
      </c>
      <c r="P1695" t="s">
        <v>397</v>
      </c>
      <c r="Q1695">
        <v>8</v>
      </c>
      <c r="R1695" s="225">
        <f>Base_Periodo1[[#This Row],[CREDITOS]]-Base_Periodo1[[#This Row],[DEBITOS]]</f>
        <v>0</v>
      </c>
      <c r="S1695" s="3" t="str">
        <f>IF(ISERROR(VLOOKUP(Base_Periodo1[[#This Row],[CONTA]],BaseContasDRE[#All],4,FALSE)),"Fora do DRE",VLOOKUP(Base_Periodo1[[#This Row],[CONTA]],BaseContasDRE[#All],4,FALSE))</f>
        <v>Fora do DRE</v>
      </c>
      <c r="T1695" s="3" t="str">
        <f>IF(ISERROR(VLOOKUP(Base_Periodo1[[#This Row],[CONTA]],BaseContasDRE[#All],5,FALSE)),"Fora do DRE",VLOOKUP(Base_Periodo1[[#This Row],[CONTA]],BaseContasDRE[#All],6,FALSE))</f>
        <v>Fora do DRE</v>
      </c>
      <c r="U1695" s="3" t="str">
        <f>IF(ISERROR(VLOOKUP(Base_Periodo1[[#This Row],[CONTA]],BaseContasDRE[#All],7,FALSE)),"Fora do DRE",VLOOKUP(Base_Periodo1[[#This Row],[CONTA]],BaseContasDRE[#All],7,FALSE))</f>
        <v>Fora do DRE</v>
      </c>
      <c r="V1695" s="3" t="str">
        <f>IF(Base_Periodo1[[#This Row],[Tipo_Linha]]="Fora do DRE","Fora do DRE","( "&amp;Base_Periodo1[[#This Row],[Tipo_Linha]]&amp;" ) "&amp;Base_Periodo1[[#This Row],[Filtro]])</f>
        <v>Fora do DRE</v>
      </c>
      <c r="W1695" s="3" t="str">
        <f>LEFT(Base_Periodo1[[#This Row],[CLASS]],3)</f>
        <v>1.1</v>
      </c>
    </row>
    <row r="1696" spans="1:23" hidden="1">
      <c r="A1696" s="3" t="str">
        <f t="shared" si="26"/>
        <v>Período 1</v>
      </c>
      <c r="B1696">
        <v>873</v>
      </c>
      <c r="C1696" t="s">
        <v>1366</v>
      </c>
      <c r="D1696" t="s">
        <v>1054</v>
      </c>
      <c r="E1696" s="3" t="str">
        <f>IF(LEN(Base_Periodo1[[#This Row],[CLASS]])&gt;=7,LEFT(Base_Periodo1[[#This Row],[CLASS]],7),"")</f>
        <v>1.1.3.1</v>
      </c>
      <c r="F1696" s="3" t="str">
        <f>VLOOKUP(Base_Periodo1[[#This Row],[Aux]],Base_Contas_Balanco[#All],2,FALSE)</f>
        <v>Estoques Proprios</v>
      </c>
      <c r="G1696" s="1">
        <v>42735</v>
      </c>
      <c r="H1696" s="225">
        <v>7400895.1900000051</v>
      </c>
      <c r="I1696" s="225">
        <v>0</v>
      </c>
      <c r="J1696" s="225">
        <v>0</v>
      </c>
      <c r="K1696" s="225">
        <v>7400895.1900000051</v>
      </c>
      <c r="L16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7400895.1900000004</v>
      </c>
      <c r="M1696" s="225">
        <f>ROUND(IF(AND(Base_Periodo1[[#This Row],[Tipo_Linha]]="-",Base_Periodo1[[#This Row],[TIPOSALDO]]="D"),Base_Periodo1[[#This Row],[SALDO_ATUAL]]*-1,Base_Periodo1[[#This Row],[SALDO_ATUAL]]),4)</f>
        <v>7400895.1900000004</v>
      </c>
      <c r="N1696" t="s">
        <v>116</v>
      </c>
      <c r="O1696" t="s">
        <v>397</v>
      </c>
      <c r="P1696" t="s">
        <v>397</v>
      </c>
      <c r="Q1696">
        <v>9</v>
      </c>
      <c r="R1696" s="225">
        <f>Base_Periodo1[[#This Row],[CREDITOS]]-Base_Periodo1[[#This Row],[DEBITOS]]</f>
        <v>0</v>
      </c>
      <c r="S1696" s="3" t="str">
        <f>IF(ISERROR(VLOOKUP(Base_Periodo1[[#This Row],[CONTA]],BaseContasDRE[#All],4,FALSE)),"Fora do DRE",VLOOKUP(Base_Periodo1[[#This Row],[CONTA]],BaseContasDRE[#All],4,FALSE))</f>
        <v>Fora do DRE</v>
      </c>
      <c r="T1696" s="3" t="str">
        <f>IF(ISERROR(VLOOKUP(Base_Periodo1[[#This Row],[CONTA]],BaseContasDRE[#All],5,FALSE)),"Fora do DRE",VLOOKUP(Base_Periodo1[[#This Row],[CONTA]],BaseContasDRE[#All],6,FALSE))</f>
        <v>Fora do DRE</v>
      </c>
      <c r="U1696" s="3" t="str">
        <f>IF(ISERROR(VLOOKUP(Base_Periodo1[[#This Row],[CONTA]],BaseContasDRE[#All],7,FALSE)),"Fora do DRE",VLOOKUP(Base_Periodo1[[#This Row],[CONTA]],BaseContasDRE[#All],7,FALSE))</f>
        <v>Fora do DRE</v>
      </c>
      <c r="V1696" s="3" t="str">
        <f>IF(Base_Periodo1[[#This Row],[Tipo_Linha]]="Fora do DRE","Fora do DRE","( "&amp;Base_Periodo1[[#This Row],[Tipo_Linha]]&amp;" ) "&amp;Base_Periodo1[[#This Row],[Filtro]])</f>
        <v>Fora do DRE</v>
      </c>
      <c r="W1696" s="3" t="str">
        <f>LEFT(Base_Periodo1[[#This Row],[CLASS]],3)</f>
        <v>1.1</v>
      </c>
    </row>
    <row r="1697" spans="1:23" hidden="1">
      <c r="A1697" s="3" t="str">
        <f t="shared" si="26"/>
        <v>Período 1</v>
      </c>
      <c r="B1697">
        <v>874</v>
      </c>
      <c r="C1697" t="s">
        <v>1367</v>
      </c>
      <c r="D1697" t="s">
        <v>1057</v>
      </c>
      <c r="E1697" s="3" t="str">
        <f>IF(LEN(Base_Periodo1[[#This Row],[CLASS]])&gt;=7,LEFT(Base_Periodo1[[#This Row],[CLASS]],7),"")</f>
        <v>1.1.3.1</v>
      </c>
      <c r="F1697" s="3" t="str">
        <f>VLOOKUP(Base_Periodo1[[#This Row],[Aux]],Base_Contas_Balanco[#All],2,FALSE)</f>
        <v>Estoques Proprios</v>
      </c>
      <c r="G1697" s="1"/>
      <c r="H1697" s="225">
        <v>176337.37999999896</v>
      </c>
      <c r="I1697" s="225">
        <v>54960.1</v>
      </c>
      <c r="J1697" s="225">
        <v>4616.6499999999996</v>
      </c>
      <c r="K1697" s="225">
        <v>226680.82999999897</v>
      </c>
      <c r="L16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226680.83</v>
      </c>
      <c r="M1697" s="225">
        <f>ROUND(IF(AND(Base_Periodo1[[#This Row],[Tipo_Linha]]="-",Base_Periodo1[[#This Row],[TIPOSALDO]]="D"),Base_Periodo1[[#This Row],[SALDO_ATUAL]]*-1,Base_Periodo1[[#This Row],[SALDO_ATUAL]]),4)</f>
        <v>226680.83</v>
      </c>
      <c r="N1697" t="s">
        <v>396</v>
      </c>
      <c r="O1697" t="s">
        <v>397</v>
      </c>
      <c r="P1697" t="s">
        <v>397</v>
      </c>
      <c r="Q1697">
        <v>8</v>
      </c>
      <c r="R1697" s="225">
        <f>Base_Periodo1[[#This Row],[CREDITOS]]-Base_Periodo1[[#This Row],[DEBITOS]]</f>
        <v>-50343.45</v>
      </c>
      <c r="S1697" s="3" t="str">
        <f>IF(ISERROR(VLOOKUP(Base_Periodo1[[#This Row],[CONTA]],BaseContasDRE[#All],4,FALSE)),"Fora do DRE",VLOOKUP(Base_Periodo1[[#This Row],[CONTA]],BaseContasDRE[#All],4,FALSE))</f>
        <v>Fora do DRE</v>
      </c>
      <c r="T1697" s="3" t="str">
        <f>IF(ISERROR(VLOOKUP(Base_Periodo1[[#This Row],[CONTA]],BaseContasDRE[#All],5,FALSE)),"Fora do DRE",VLOOKUP(Base_Periodo1[[#This Row],[CONTA]],BaseContasDRE[#All],6,FALSE))</f>
        <v>Fora do DRE</v>
      </c>
      <c r="U1697" s="3" t="str">
        <f>IF(ISERROR(VLOOKUP(Base_Periodo1[[#This Row],[CONTA]],BaseContasDRE[#All],7,FALSE)),"Fora do DRE",VLOOKUP(Base_Periodo1[[#This Row],[CONTA]],BaseContasDRE[#All],7,FALSE))</f>
        <v>Fora do DRE</v>
      </c>
      <c r="V1697" s="3" t="str">
        <f>IF(Base_Periodo1[[#This Row],[Tipo_Linha]]="Fora do DRE","Fora do DRE","( "&amp;Base_Periodo1[[#This Row],[Tipo_Linha]]&amp;" ) "&amp;Base_Periodo1[[#This Row],[Filtro]])</f>
        <v>Fora do DRE</v>
      </c>
      <c r="W1697" s="3" t="str">
        <f>LEFT(Base_Periodo1[[#This Row],[CLASS]],3)</f>
        <v>1.1</v>
      </c>
    </row>
    <row r="1698" spans="1:23" hidden="1">
      <c r="A1698" s="3" t="str">
        <f t="shared" si="26"/>
        <v>Período 1</v>
      </c>
      <c r="B1698">
        <v>47855</v>
      </c>
      <c r="C1698" t="s">
        <v>6275</v>
      </c>
      <c r="D1698" t="s">
        <v>1059</v>
      </c>
      <c r="E1698" s="3" t="str">
        <f>IF(LEN(Base_Periodo1[[#This Row],[CLASS]])&gt;=7,LEFT(Base_Periodo1[[#This Row],[CLASS]],7),"")</f>
        <v>1.1.3.1</v>
      </c>
      <c r="F1698" s="3" t="str">
        <f>VLOOKUP(Base_Periodo1[[#This Row],[Aux]],Base_Contas_Balanco[#All],2,FALSE)</f>
        <v>Estoques Proprios</v>
      </c>
      <c r="G1698" s="1">
        <v>42851</v>
      </c>
      <c r="H1698" s="225">
        <v>16420</v>
      </c>
      <c r="I1698" s="225">
        <v>0</v>
      </c>
      <c r="J1698" s="225">
        <v>0</v>
      </c>
      <c r="K1698" s="225">
        <v>16420</v>
      </c>
      <c r="L16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16420</v>
      </c>
      <c r="M1698" s="225">
        <f>ROUND(IF(AND(Base_Periodo1[[#This Row],[Tipo_Linha]]="-",Base_Periodo1[[#This Row],[TIPOSALDO]]="D"),Base_Periodo1[[#This Row],[SALDO_ATUAL]]*-1,Base_Periodo1[[#This Row],[SALDO_ATUAL]]),4)</f>
        <v>16420</v>
      </c>
      <c r="N1698" t="s">
        <v>116</v>
      </c>
      <c r="O1698" t="s">
        <v>397</v>
      </c>
      <c r="P1698" t="s">
        <v>397</v>
      </c>
      <c r="Q1698">
        <v>9</v>
      </c>
      <c r="R1698" s="225">
        <f>Base_Periodo1[[#This Row],[CREDITOS]]-Base_Periodo1[[#This Row],[DEBITOS]]</f>
        <v>0</v>
      </c>
      <c r="S1698" s="3" t="str">
        <f>IF(ISERROR(VLOOKUP(Base_Periodo1[[#This Row],[CONTA]],BaseContasDRE[#All],4,FALSE)),"Fora do DRE",VLOOKUP(Base_Periodo1[[#This Row],[CONTA]],BaseContasDRE[#All],4,FALSE))</f>
        <v>Fora do DRE</v>
      </c>
      <c r="T1698" s="3" t="str">
        <f>IF(ISERROR(VLOOKUP(Base_Periodo1[[#This Row],[CONTA]],BaseContasDRE[#All],5,FALSE)),"Fora do DRE",VLOOKUP(Base_Periodo1[[#This Row],[CONTA]],BaseContasDRE[#All],6,FALSE))</f>
        <v>Fora do DRE</v>
      </c>
      <c r="U1698" s="3" t="str">
        <f>IF(ISERROR(VLOOKUP(Base_Periodo1[[#This Row],[CONTA]],BaseContasDRE[#All],7,FALSE)),"Fora do DRE",VLOOKUP(Base_Periodo1[[#This Row],[CONTA]],BaseContasDRE[#All],7,FALSE))</f>
        <v>Fora do DRE</v>
      </c>
      <c r="V1698" s="3" t="str">
        <f>IF(Base_Periodo1[[#This Row],[Tipo_Linha]]="Fora do DRE","Fora do DRE","( "&amp;Base_Periodo1[[#This Row],[Tipo_Linha]]&amp;" ) "&amp;Base_Periodo1[[#This Row],[Filtro]])</f>
        <v>Fora do DRE</v>
      </c>
      <c r="W1698" s="3" t="str">
        <f>LEFT(Base_Periodo1[[#This Row],[CLASS]],3)</f>
        <v>1.1</v>
      </c>
    </row>
    <row r="1699" spans="1:23" hidden="1">
      <c r="A1699" s="3" t="str">
        <f t="shared" si="26"/>
        <v>Período 1</v>
      </c>
      <c r="B1699">
        <v>875</v>
      </c>
      <c r="C1699" t="s">
        <v>1368</v>
      </c>
      <c r="D1699" t="s">
        <v>1061</v>
      </c>
      <c r="E1699" s="3" t="str">
        <f>IF(LEN(Base_Periodo1[[#This Row],[CLASS]])&gt;=7,LEFT(Base_Periodo1[[#This Row],[CLASS]],7),"")</f>
        <v>1.1.3.1</v>
      </c>
      <c r="F1699" s="3" t="str">
        <f>VLOOKUP(Base_Periodo1[[#This Row],[Aux]],Base_Contas_Balanco[#All],2,FALSE)</f>
        <v>Estoques Proprios</v>
      </c>
      <c r="G1699" s="1">
        <v>42879</v>
      </c>
      <c r="H1699" s="225">
        <v>159917.37999999896</v>
      </c>
      <c r="I1699" s="225">
        <v>54960.1</v>
      </c>
      <c r="J1699" s="225">
        <v>4616.6499999999996</v>
      </c>
      <c r="K1699" s="225">
        <v>210260.82999999897</v>
      </c>
      <c r="L16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210260.83</v>
      </c>
      <c r="M1699" s="225">
        <f>ROUND(IF(AND(Base_Periodo1[[#This Row],[Tipo_Linha]]="-",Base_Periodo1[[#This Row],[TIPOSALDO]]="D"),Base_Periodo1[[#This Row],[SALDO_ATUAL]]*-1,Base_Periodo1[[#This Row],[SALDO_ATUAL]]),4)</f>
        <v>210260.83</v>
      </c>
      <c r="N1699" t="s">
        <v>116</v>
      </c>
      <c r="O1699" t="s">
        <v>397</v>
      </c>
      <c r="P1699" t="s">
        <v>397</v>
      </c>
      <c r="Q1699">
        <v>9</v>
      </c>
      <c r="R1699" s="225">
        <f>Base_Periodo1[[#This Row],[CREDITOS]]-Base_Periodo1[[#This Row],[DEBITOS]]</f>
        <v>-50343.45</v>
      </c>
      <c r="S1699" s="3" t="str">
        <f>IF(ISERROR(VLOOKUP(Base_Periodo1[[#This Row],[CONTA]],BaseContasDRE[#All],4,FALSE)),"Fora do DRE",VLOOKUP(Base_Periodo1[[#This Row],[CONTA]],BaseContasDRE[#All],4,FALSE))</f>
        <v>Fora do DRE</v>
      </c>
      <c r="T1699" s="3" t="str">
        <f>IF(ISERROR(VLOOKUP(Base_Periodo1[[#This Row],[CONTA]],BaseContasDRE[#All],5,FALSE)),"Fora do DRE",VLOOKUP(Base_Periodo1[[#This Row],[CONTA]],BaseContasDRE[#All],6,FALSE))</f>
        <v>Fora do DRE</v>
      </c>
      <c r="U1699" s="3" t="str">
        <f>IF(ISERROR(VLOOKUP(Base_Periodo1[[#This Row],[CONTA]],BaseContasDRE[#All],7,FALSE)),"Fora do DRE",VLOOKUP(Base_Periodo1[[#This Row],[CONTA]],BaseContasDRE[#All],7,FALSE))</f>
        <v>Fora do DRE</v>
      </c>
      <c r="V1699" s="3" t="str">
        <f>IF(Base_Periodo1[[#This Row],[Tipo_Linha]]="Fora do DRE","Fora do DRE","( "&amp;Base_Periodo1[[#This Row],[Tipo_Linha]]&amp;" ) "&amp;Base_Periodo1[[#This Row],[Filtro]])</f>
        <v>Fora do DRE</v>
      </c>
      <c r="W1699" s="3" t="str">
        <f>LEFT(Base_Periodo1[[#This Row],[CLASS]],3)</f>
        <v>1.1</v>
      </c>
    </row>
    <row r="1700" spans="1:23" hidden="1">
      <c r="A1700" s="3" t="str">
        <f t="shared" si="26"/>
        <v>Período 1</v>
      </c>
      <c r="B1700">
        <v>878</v>
      </c>
      <c r="C1700" t="s">
        <v>1369</v>
      </c>
      <c r="D1700" t="s">
        <v>1063</v>
      </c>
      <c r="E1700" s="3" t="str">
        <f>IF(LEN(Base_Periodo1[[#This Row],[CLASS]])&gt;=7,LEFT(Base_Periodo1[[#This Row],[CLASS]],7),"")</f>
        <v>1.1.3.1</v>
      </c>
      <c r="F1700" s="3" t="str">
        <f>VLOOKUP(Base_Periodo1[[#This Row],[Aux]],Base_Contas_Balanco[#All],2,FALSE)</f>
        <v>Estoques Proprios</v>
      </c>
      <c r="G1700" s="1"/>
      <c r="H1700" s="225">
        <v>1200878.4899998978</v>
      </c>
      <c r="I1700" s="225">
        <v>104607.68000000001</v>
      </c>
      <c r="J1700" s="225">
        <v>0</v>
      </c>
      <c r="K1700" s="225">
        <v>1305486.1699998977</v>
      </c>
      <c r="L17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1305486.17</v>
      </c>
      <c r="M1700" s="225">
        <f>ROUND(IF(AND(Base_Periodo1[[#This Row],[Tipo_Linha]]="-",Base_Periodo1[[#This Row],[TIPOSALDO]]="D"),Base_Periodo1[[#This Row],[SALDO_ATUAL]]*-1,Base_Periodo1[[#This Row],[SALDO_ATUAL]]),4)</f>
        <v>1305486.17</v>
      </c>
      <c r="N1700" t="s">
        <v>396</v>
      </c>
      <c r="O1700" t="s">
        <v>397</v>
      </c>
      <c r="P1700" t="s">
        <v>397</v>
      </c>
      <c r="Q1700">
        <v>8</v>
      </c>
      <c r="R1700" s="225">
        <f>Base_Periodo1[[#This Row],[CREDITOS]]-Base_Periodo1[[#This Row],[DEBITOS]]</f>
        <v>-104607.68000000001</v>
      </c>
      <c r="S1700" s="3" t="str">
        <f>IF(ISERROR(VLOOKUP(Base_Periodo1[[#This Row],[CONTA]],BaseContasDRE[#All],4,FALSE)),"Fora do DRE",VLOOKUP(Base_Periodo1[[#This Row],[CONTA]],BaseContasDRE[#All],4,FALSE))</f>
        <v>Fora do DRE</v>
      </c>
      <c r="T1700" s="3" t="str">
        <f>IF(ISERROR(VLOOKUP(Base_Periodo1[[#This Row],[CONTA]],BaseContasDRE[#All],5,FALSE)),"Fora do DRE",VLOOKUP(Base_Periodo1[[#This Row],[CONTA]],BaseContasDRE[#All],6,FALSE))</f>
        <v>Fora do DRE</v>
      </c>
      <c r="U1700" s="3" t="str">
        <f>IF(ISERROR(VLOOKUP(Base_Periodo1[[#This Row],[CONTA]],BaseContasDRE[#All],7,FALSE)),"Fora do DRE",VLOOKUP(Base_Periodo1[[#This Row],[CONTA]],BaseContasDRE[#All],7,FALSE))</f>
        <v>Fora do DRE</v>
      </c>
      <c r="V1700" s="3" t="str">
        <f>IF(Base_Periodo1[[#This Row],[Tipo_Linha]]="Fora do DRE","Fora do DRE","( "&amp;Base_Periodo1[[#This Row],[Tipo_Linha]]&amp;" ) "&amp;Base_Periodo1[[#This Row],[Filtro]])</f>
        <v>Fora do DRE</v>
      </c>
      <c r="W1700" s="3" t="str">
        <f>LEFT(Base_Periodo1[[#This Row],[CLASS]],3)</f>
        <v>1.1</v>
      </c>
    </row>
    <row r="1701" spans="1:23" hidden="1">
      <c r="A1701" s="3" t="str">
        <f t="shared" si="26"/>
        <v>Período 1</v>
      </c>
      <c r="B1701">
        <v>879</v>
      </c>
      <c r="C1701" t="s">
        <v>1370</v>
      </c>
      <c r="D1701" t="s">
        <v>1065</v>
      </c>
      <c r="E1701" s="3" t="str">
        <f>IF(LEN(Base_Periodo1[[#This Row],[CLASS]])&gt;=7,LEFT(Base_Periodo1[[#This Row],[CLASS]],7),"")</f>
        <v>1.1.3.1</v>
      </c>
      <c r="F1701" s="3" t="str">
        <f>VLOOKUP(Base_Periodo1[[#This Row],[Aux]],Base_Contas_Balanco[#All],2,FALSE)</f>
        <v>Estoques Proprios</v>
      </c>
      <c r="G1701" s="1">
        <v>42886</v>
      </c>
      <c r="H1701" s="225">
        <v>1200878.4899998978</v>
      </c>
      <c r="I1701" s="225">
        <v>104607.68000000001</v>
      </c>
      <c r="J1701" s="225">
        <v>0</v>
      </c>
      <c r="K1701" s="225">
        <v>1305486.1699998977</v>
      </c>
      <c r="L17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1305486.17</v>
      </c>
      <c r="M1701" s="225">
        <f>ROUND(IF(AND(Base_Periodo1[[#This Row],[Tipo_Linha]]="-",Base_Periodo1[[#This Row],[TIPOSALDO]]="D"),Base_Periodo1[[#This Row],[SALDO_ATUAL]]*-1,Base_Periodo1[[#This Row],[SALDO_ATUAL]]),4)</f>
        <v>1305486.17</v>
      </c>
      <c r="N1701" t="s">
        <v>116</v>
      </c>
      <c r="O1701" t="s">
        <v>397</v>
      </c>
      <c r="P1701" t="s">
        <v>397</v>
      </c>
      <c r="Q1701">
        <v>9</v>
      </c>
      <c r="R1701" s="225">
        <f>Base_Periodo1[[#This Row],[CREDITOS]]-Base_Periodo1[[#This Row],[DEBITOS]]</f>
        <v>-104607.68000000001</v>
      </c>
      <c r="S1701" s="3" t="str">
        <f>IF(ISERROR(VLOOKUP(Base_Periodo1[[#This Row],[CONTA]],BaseContasDRE[#All],4,FALSE)),"Fora do DRE",VLOOKUP(Base_Periodo1[[#This Row],[CONTA]],BaseContasDRE[#All],4,FALSE))</f>
        <v>Fora do DRE</v>
      </c>
      <c r="T1701" s="3" t="str">
        <f>IF(ISERROR(VLOOKUP(Base_Periodo1[[#This Row],[CONTA]],BaseContasDRE[#All],5,FALSE)),"Fora do DRE",VLOOKUP(Base_Periodo1[[#This Row],[CONTA]],BaseContasDRE[#All],6,FALSE))</f>
        <v>Fora do DRE</v>
      </c>
      <c r="U1701" s="3" t="str">
        <f>IF(ISERROR(VLOOKUP(Base_Periodo1[[#This Row],[CONTA]],BaseContasDRE[#All],7,FALSE)),"Fora do DRE",VLOOKUP(Base_Periodo1[[#This Row],[CONTA]],BaseContasDRE[#All],7,FALSE))</f>
        <v>Fora do DRE</v>
      </c>
      <c r="V1701" s="3" t="str">
        <f>IF(Base_Periodo1[[#This Row],[Tipo_Linha]]="Fora do DRE","Fora do DRE","( "&amp;Base_Periodo1[[#This Row],[Tipo_Linha]]&amp;" ) "&amp;Base_Periodo1[[#This Row],[Filtro]])</f>
        <v>Fora do DRE</v>
      </c>
      <c r="W1701" s="3" t="str">
        <f>LEFT(Base_Periodo1[[#This Row],[CLASS]],3)</f>
        <v>1.1</v>
      </c>
    </row>
    <row r="1702" spans="1:23" hidden="1">
      <c r="A1702" s="3" t="str">
        <f t="shared" si="26"/>
        <v>Período 1</v>
      </c>
      <c r="B1702">
        <v>57160</v>
      </c>
      <c r="C1702" t="s">
        <v>6276</v>
      </c>
      <c r="D1702" t="s">
        <v>1096</v>
      </c>
      <c r="E1702" s="3" t="str">
        <f>IF(LEN(Base_Periodo1[[#This Row],[CLASS]])&gt;=7,LEFT(Base_Periodo1[[#This Row],[CLASS]],7),"")</f>
        <v>1.1.3.1</v>
      </c>
      <c r="F1702" s="3" t="str">
        <f>VLOOKUP(Base_Periodo1[[#This Row],[Aux]],Base_Contas_Balanco[#All],2,FALSE)</f>
        <v>Estoques Proprios</v>
      </c>
      <c r="G1702" s="1"/>
      <c r="H1702" s="225">
        <v>117127.5</v>
      </c>
      <c r="I1702" s="225">
        <v>35279.199999999997</v>
      </c>
      <c r="J1702" s="225">
        <v>0</v>
      </c>
      <c r="K1702" s="225">
        <v>152406.70000000001</v>
      </c>
      <c r="L17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152406.70000000001</v>
      </c>
      <c r="M1702" s="225">
        <f>ROUND(IF(AND(Base_Periodo1[[#This Row],[Tipo_Linha]]="-",Base_Periodo1[[#This Row],[TIPOSALDO]]="D"),Base_Periodo1[[#This Row],[SALDO_ATUAL]]*-1,Base_Periodo1[[#This Row],[SALDO_ATUAL]]),4)</f>
        <v>152406.70000000001</v>
      </c>
      <c r="N1702" t="s">
        <v>396</v>
      </c>
      <c r="O1702" t="s">
        <v>397</v>
      </c>
      <c r="P1702" t="s">
        <v>397</v>
      </c>
      <c r="Q1702">
        <v>8</v>
      </c>
      <c r="R1702" s="225">
        <f>Base_Periodo1[[#This Row],[CREDITOS]]-Base_Periodo1[[#This Row],[DEBITOS]]</f>
        <v>-35279.199999999997</v>
      </c>
      <c r="S1702" s="3" t="str">
        <f>IF(ISERROR(VLOOKUP(Base_Periodo1[[#This Row],[CONTA]],BaseContasDRE[#All],4,FALSE)),"Fora do DRE",VLOOKUP(Base_Periodo1[[#This Row],[CONTA]],BaseContasDRE[#All],4,FALSE))</f>
        <v>Fora do DRE</v>
      </c>
      <c r="T1702" s="3" t="str">
        <f>IF(ISERROR(VLOOKUP(Base_Periodo1[[#This Row],[CONTA]],BaseContasDRE[#All],5,FALSE)),"Fora do DRE",VLOOKUP(Base_Periodo1[[#This Row],[CONTA]],BaseContasDRE[#All],6,FALSE))</f>
        <v>Fora do DRE</v>
      </c>
      <c r="U1702" s="3" t="str">
        <f>IF(ISERROR(VLOOKUP(Base_Periodo1[[#This Row],[CONTA]],BaseContasDRE[#All],7,FALSE)),"Fora do DRE",VLOOKUP(Base_Periodo1[[#This Row],[CONTA]],BaseContasDRE[#All],7,FALSE))</f>
        <v>Fora do DRE</v>
      </c>
      <c r="V1702" s="3" t="str">
        <f>IF(Base_Periodo1[[#This Row],[Tipo_Linha]]="Fora do DRE","Fora do DRE","( "&amp;Base_Periodo1[[#This Row],[Tipo_Linha]]&amp;" ) "&amp;Base_Periodo1[[#This Row],[Filtro]])</f>
        <v>Fora do DRE</v>
      </c>
      <c r="W1702" s="3" t="str">
        <f>LEFT(Base_Periodo1[[#This Row],[CLASS]],3)</f>
        <v>1.1</v>
      </c>
    </row>
    <row r="1703" spans="1:23" hidden="1">
      <c r="A1703" s="3" t="str">
        <f t="shared" si="26"/>
        <v>Período 1</v>
      </c>
      <c r="B1703">
        <v>57161</v>
      </c>
      <c r="C1703" t="s">
        <v>6277</v>
      </c>
      <c r="D1703" t="s">
        <v>6278</v>
      </c>
      <c r="E1703" s="3" t="str">
        <f>IF(LEN(Base_Periodo1[[#This Row],[CLASS]])&gt;=7,LEFT(Base_Periodo1[[#This Row],[CLASS]],7),"")</f>
        <v>1.1.3.1</v>
      </c>
      <c r="F1703" s="3" t="str">
        <f>VLOOKUP(Base_Periodo1[[#This Row],[Aux]],Base_Contas_Balanco[#All],2,FALSE)</f>
        <v>Estoques Proprios</v>
      </c>
      <c r="G1703" s="1">
        <v>42879</v>
      </c>
      <c r="H1703" s="225">
        <v>117127.5</v>
      </c>
      <c r="I1703" s="225">
        <v>35279.199999999997</v>
      </c>
      <c r="J1703" s="225">
        <v>0</v>
      </c>
      <c r="K1703" s="225">
        <v>152406.70000000001</v>
      </c>
      <c r="L17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152406.70000000001</v>
      </c>
      <c r="M1703" s="225">
        <f>ROUND(IF(AND(Base_Periodo1[[#This Row],[Tipo_Linha]]="-",Base_Periodo1[[#This Row],[TIPOSALDO]]="D"),Base_Periodo1[[#This Row],[SALDO_ATUAL]]*-1,Base_Periodo1[[#This Row],[SALDO_ATUAL]]),4)</f>
        <v>152406.70000000001</v>
      </c>
      <c r="N1703" t="s">
        <v>116</v>
      </c>
      <c r="O1703" t="s">
        <v>397</v>
      </c>
      <c r="P1703" t="s">
        <v>397</v>
      </c>
      <c r="Q1703">
        <v>9</v>
      </c>
      <c r="R1703" s="225">
        <f>Base_Periodo1[[#This Row],[CREDITOS]]-Base_Periodo1[[#This Row],[DEBITOS]]</f>
        <v>-35279.199999999997</v>
      </c>
      <c r="S1703" s="3" t="str">
        <f>IF(ISERROR(VLOOKUP(Base_Periodo1[[#This Row],[CONTA]],BaseContasDRE[#All],4,FALSE)),"Fora do DRE",VLOOKUP(Base_Periodo1[[#This Row],[CONTA]],BaseContasDRE[#All],4,FALSE))</f>
        <v>Fora do DRE</v>
      </c>
      <c r="T1703" s="3" t="str">
        <f>IF(ISERROR(VLOOKUP(Base_Periodo1[[#This Row],[CONTA]],BaseContasDRE[#All],5,FALSE)),"Fora do DRE",VLOOKUP(Base_Periodo1[[#This Row],[CONTA]],BaseContasDRE[#All],6,FALSE))</f>
        <v>Fora do DRE</v>
      </c>
      <c r="U1703" s="3" t="str">
        <f>IF(ISERROR(VLOOKUP(Base_Periodo1[[#This Row],[CONTA]],BaseContasDRE[#All],7,FALSE)),"Fora do DRE",VLOOKUP(Base_Periodo1[[#This Row],[CONTA]],BaseContasDRE[#All],7,FALSE))</f>
        <v>Fora do DRE</v>
      </c>
      <c r="V1703" s="3" t="str">
        <f>IF(Base_Periodo1[[#This Row],[Tipo_Linha]]="Fora do DRE","Fora do DRE","( "&amp;Base_Periodo1[[#This Row],[Tipo_Linha]]&amp;" ) "&amp;Base_Periodo1[[#This Row],[Filtro]])</f>
        <v>Fora do DRE</v>
      </c>
      <c r="W1703" s="3" t="str">
        <f>LEFT(Base_Periodo1[[#This Row],[CLASS]],3)</f>
        <v>1.1</v>
      </c>
    </row>
    <row r="1704" spans="1:23" hidden="1">
      <c r="A1704" s="3" t="str">
        <f t="shared" si="26"/>
        <v>Período 1</v>
      </c>
      <c r="B1704">
        <v>883</v>
      </c>
      <c r="C1704" t="s">
        <v>1371</v>
      </c>
      <c r="D1704" t="s">
        <v>1067</v>
      </c>
      <c r="E1704" s="3" t="str">
        <f>IF(LEN(Base_Periodo1[[#This Row],[CLASS]])&gt;=7,LEFT(Base_Periodo1[[#This Row],[CLASS]],7),"")</f>
        <v>1.1.3.1</v>
      </c>
      <c r="F1704" s="3" t="str">
        <f>VLOOKUP(Base_Periodo1[[#This Row],[Aux]],Base_Contas_Balanco[#All],2,FALSE)</f>
        <v>Estoques Proprios</v>
      </c>
      <c r="G1704" s="1"/>
      <c r="H1704" s="225">
        <v>1496547.8599999952</v>
      </c>
      <c r="I1704" s="225">
        <v>0</v>
      </c>
      <c r="J1704" s="225">
        <v>0</v>
      </c>
      <c r="K1704" s="225">
        <v>1496547.8599999952</v>
      </c>
      <c r="L17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-1496547.86</v>
      </c>
      <c r="M1704" s="225">
        <f>ROUND(IF(AND(Base_Periodo1[[#This Row],[Tipo_Linha]]="-",Base_Periodo1[[#This Row],[TIPOSALDO]]="D"),Base_Periodo1[[#This Row],[SALDO_ATUAL]]*-1,Base_Periodo1[[#This Row],[SALDO_ATUAL]]),4)</f>
        <v>1496547.86</v>
      </c>
      <c r="N1704" t="s">
        <v>396</v>
      </c>
      <c r="O1704" t="s">
        <v>459</v>
      </c>
      <c r="P1704" t="s">
        <v>459</v>
      </c>
      <c r="Q1704">
        <v>8</v>
      </c>
      <c r="R1704" s="225">
        <f>Base_Periodo1[[#This Row],[CREDITOS]]-Base_Periodo1[[#This Row],[DEBITOS]]</f>
        <v>0</v>
      </c>
      <c r="S1704" s="3" t="str">
        <f>IF(ISERROR(VLOOKUP(Base_Periodo1[[#This Row],[CONTA]],BaseContasDRE[#All],4,FALSE)),"Fora do DRE",VLOOKUP(Base_Periodo1[[#This Row],[CONTA]],BaseContasDRE[#All],4,FALSE))</f>
        <v>Fora do DRE</v>
      </c>
      <c r="T1704" s="3" t="str">
        <f>IF(ISERROR(VLOOKUP(Base_Periodo1[[#This Row],[CONTA]],BaseContasDRE[#All],5,FALSE)),"Fora do DRE",VLOOKUP(Base_Periodo1[[#This Row],[CONTA]],BaseContasDRE[#All],6,FALSE))</f>
        <v>Fora do DRE</v>
      </c>
      <c r="U1704" s="3" t="str">
        <f>IF(ISERROR(VLOOKUP(Base_Periodo1[[#This Row],[CONTA]],BaseContasDRE[#All],7,FALSE)),"Fora do DRE",VLOOKUP(Base_Periodo1[[#This Row],[CONTA]],BaseContasDRE[#All],7,FALSE))</f>
        <v>Fora do DRE</v>
      </c>
      <c r="V1704" s="3" t="str">
        <f>IF(Base_Periodo1[[#This Row],[Tipo_Linha]]="Fora do DRE","Fora do DRE","( "&amp;Base_Periodo1[[#This Row],[Tipo_Linha]]&amp;" ) "&amp;Base_Periodo1[[#This Row],[Filtro]])</f>
        <v>Fora do DRE</v>
      </c>
      <c r="W1704" s="3" t="str">
        <f>LEFT(Base_Periodo1[[#This Row],[CLASS]],3)</f>
        <v>1.1</v>
      </c>
    </row>
    <row r="1705" spans="1:23" hidden="1">
      <c r="A1705" s="3" t="str">
        <f t="shared" si="26"/>
        <v>Período 1</v>
      </c>
      <c r="B1705">
        <v>884</v>
      </c>
      <c r="C1705" t="s">
        <v>1372</v>
      </c>
      <c r="D1705" t="s">
        <v>1068</v>
      </c>
      <c r="E1705" s="3" t="str">
        <f>IF(LEN(Base_Periodo1[[#This Row],[CLASS]])&gt;=7,LEFT(Base_Periodo1[[#This Row],[CLASS]],7),"")</f>
        <v>1.1.3.1</v>
      </c>
      <c r="F1705" s="3" t="str">
        <f>VLOOKUP(Base_Periodo1[[#This Row],[Aux]],Base_Contas_Balanco[#All],2,FALSE)</f>
        <v>Estoques Proprios</v>
      </c>
      <c r="G1705" s="1">
        <v>42855</v>
      </c>
      <c r="H1705" s="225">
        <v>1398571.1299999952</v>
      </c>
      <c r="I1705" s="225">
        <v>0</v>
      </c>
      <c r="J1705" s="225">
        <v>0</v>
      </c>
      <c r="K1705" s="225">
        <v>1398571.1299999952</v>
      </c>
      <c r="L17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-1398571.13</v>
      </c>
      <c r="M1705" s="225">
        <f>ROUND(IF(AND(Base_Periodo1[[#This Row],[Tipo_Linha]]="-",Base_Periodo1[[#This Row],[TIPOSALDO]]="D"),Base_Periodo1[[#This Row],[SALDO_ATUAL]]*-1,Base_Periodo1[[#This Row],[SALDO_ATUAL]]),4)</f>
        <v>1398571.13</v>
      </c>
      <c r="N1705" t="s">
        <v>116</v>
      </c>
      <c r="O1705" t="s">
        <v>459</v>
      </c>
      <c r="P1705" t="s">
        <v>459</v>
      </c>
      <c r="Q1705">
        <v>9</v>
      </c>
      <c r="R1705" s="225">
        <f>Base_Periodo1[[#This Row],[CREDITOS]]-Base_Periodo1[[#This Row],[DEBITOS]]</f>
        <v>0</v>
      </c>
      <c r="S1705" s="3" t="str">
        <f>IF(ISERROR(VLOOKUP(Base_Periodo1[[#This Row],[CONTA]],BaseContasDRE[#All],4,FALSE)),"Fora do DRE",VLOOKUP(Base_Periodo1[[#This Row],[CONTA]],BaseContasDRE[#All],4,FALSE))</f>
        <v>Fora do DRE</v>
      </c>
      <c r="T1705" s="3" t="str">
        <f>IF(ISERROR(VLOOKUP(Base_Periodo1[[#This Row],[CONTA]],BaseContasDRE[#All],5,FALSE)),"Fora do DRE",VLOOKUP(Base_Periodo1[[#This Row],[CONTA]],BaseContasDRE[#All],6,FALSE))</f>
        <v>Fora do DRE</v>
      </c>
      <c r="U1705" s="3" t="str">
        <f>IF(ISERROR(VLOOKUP(Base_Periodo1[[#This Row],[CONTA]],BaseContasDRE[#All],7,FALSE)),"Fora do DRE",VLOOKUP(Base_Periodo1[[#This Row],[CONTA]],BaseContasDRE[#All],7,FALSE))</f>
        <v>Fora do DRE</v>
      </c>
      <c r="V1705" s="3" t="str">
        <f>IF(Base_Periodo1[[#This Row],[Tipo_Linha]]="Fora do DRE","Fora do DRE","( "&amp;Base_Periodo1[[#This Row],[Tipo_Linha]]&amp;" ) "&amp;Base_Periodo1[[#This Row],[Filtro]])</f>
        <v>Fora do DRE</v>
      </c>
      <c r="W1705" s="3" t="str">
        <f>LEFT(Base_Periodo1[[#This Row],[CLASS]],3)</f>
        <v>1.1</v>
      </c>
    </row>
    <row r="1706" spans="1:23" hidden="1">
      <c r="A1706" s="3" t="str">
        <f t="shared" si="26"/>
        <v>Período 1</v>
      </c>
      <c r="B1706">
        <v>885</v>
      </c>
      <c r="C1706" t="s">
        <v>1373</v>
      </c>
      <c r="D1706" t="s">
        <v>1070</v>
      </c>
      <c r="E1706" s="3" t="str">
        <f>IF(LEN(Base_Periodo1[[#This Row],[CLASS]])&gt;=7,LEFT(Base_Periodo1[[#This Row],[CLASS]],7),"")</f>
        <v>1.1.3.1</v>
      </c>
      <c r="F1706" s="3" t="str">
        <f>VLOOKUP(Base_Periodo1[[#This Row],[Aux]],Base_Contas_Balanco[#All],2,FALSE)</f>
        <v>Estoques Proprios</v>
      </c>
      <c r="G1706" s="1">
        <v>42855</v>
      </c>
      <c r="H1706" s="225">
        <v>97976.729999999981</v>
      </c>
      <c r="I1706" s="225">
        <v>0</v>
      </c>
      <c r="J1706" s="225">
        <v>0</v>
      </c>
      <c r="K1706" s="225">
        <v>97976.729999999981</v>
      </c>
      <c r="L17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-97976.73</v>
      </c>
      <c r="M1706" s="225">
        <f>ROUND(IF(AND(Base_Periodo1[[#This Row],[Tipo_Linha]]="-",Base_Periodo1[[#This Row],[TIPOSALDO]]="D"),Base_Periodo1[[#This Row],[SALDO_ATUAL]]*-1,Base_Periodo1[[#This Row],[SALDO_ATUAL]]),4)</f>
        <v>97976.73</v>
      </c>
      <c r="N1706" t="s">
        <v>116</v>
      </c>
      <c r="O1706" t="s">
        <v>459</v>
      </c>
      <c r="P1706" t="s">
        <v>459</v>
      </c>
      <c r="Q1706">
        <v>9</v>
      </c>
      <c r="R1706" s="225">
        <f>Base_Periodo1[[#This Row],[CREDITOS]]-Base_Periodo1[[#This Row],[DEBITOS]]</f>
        <v>0</v>
      </c>
      <c r="S1706" s="3" t="str">
        <f>IF(ISERROR(VLOOKUP(Base_Periodo1[[#This Row],[CONTA]],BaseContasDRE[#All],4,FALSE)),"Fora do DRE",VLOOKUP(Base_Periodo1[[#This Row],[CONTA]],BaseContasDRE[#All],4,FALSE))</f>
        <v>Fora do DRE</v>
      </c>
      <c r="T1706" s="3" t="str">
        <f>IF(ISERROR(VLOOKUP(Base_Periodo1[[#This Row],[CONTA]],BaseContasDRE[#All],5,FALSE)),"Fora do DRE",VLOOKUP(Base_Periodo1[[#This Row],[CONTA]],BaseContasDRE[#All],6,FALSE))</f>
        <v>Fora do DRE</v>
      </c>
      <c r="U1706" s="3" t="str">
        <f>IF(ISERROR(VLOOKUP(Base_Periodo1[[#This Row],[CONTA]],BaseContasDRE[#All],7,FALSE)),"Fora do DRE",VLOOKUP(Base_Periodo1[[#This Row],[CONTA]],BaseContasDRE[#All],7,FALSE))</f>
        <v>Fora do DRE</v>
      </c>
      <c r="V1706" s="3" t="str">
        <f>IF(Base_Periodo1[[#This Row],[Tipo_Linha]]="Fora do DRE","Fora do DRE","( "&amp;Base_Periodo1[[#This Row],[Tipo_Linha]]&amp;" ) "&amp;Base_Periodo1[[#This Row],[Filtro]])</f>
        <v>Fora do DRE</v>
      </c>
      <c r="W1706" s="3" t="str">
        <f>LEFT(Base_Periodo1[[#This Row],[CLASS]],3)</f>
        <v>1.1</v>
      </c>
    </row>
    <row r="1707" spans="1:23" hidden="1">
      <c r="A1707" s="3" t="str">
        <f t="shared" si="26"/>
        <v>Período 1</v>
      </c>
      <c r="B1707">
        <v>55057</v>
      </c>
      <c r="C1707" t="s">
        <v>6812</v>
      </c>
      <c r="D1707" t="s">
        <v>6813</v>
      </c>
      <c r="E1707" s="3" t="str">
        <f>IF(LEN(Base_Periodo1[[#This Row],[CLASS]])&gt;=7,LEFT(Base_Periodo1[[#This Row],[CLASS]],7),"")</f>
        <v>1.1.3.1</v>
      </c>
      <c r="F1707" s="3" t="str">
        <f>VLOOKUP(Base_Periodo1[[#This Row],[Aux]],Base_Contas_Balanco[#All],2,FALSE)</f>
        <v>Estoques Proprios</v>
      </c>
      <c r="G1707" s="1"/>
      <c r="H1707" s="225">
        <v>50343.449999999953</v>
      </c>
      <c r="I1707" s="225">
        <v>0</v>
      </c>
      <c r="J1707" s="225">
        <v>0</v>
      </c>
      <c r="K1707" s="225">
        <v>50343.449999999953</v>
      </c>
      <c r="L17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-50343.45</v>
      </c>
      <c r="M1707" s="225">
        <f>ROUND(IF(AND(Base_Periodo1[[#This Row],[Tipo_Linha]]="-",Base_Periodo1[[#This Row],[TIPOSALDO]]="D"),Base_Periodo1[[#This Row],[SALDO_ATUAL]]*-1,Base_Periodo1[[#This Row],[SALDO_ATUAL]]),4)</f>
        <v>50343.45</v>
      </c>
      <c r="N1707" t="s">
        <v>396</v>
      </c>
      <c r="O1707" t="s">
        <v>459</v>
      </c>
      <c r="P1707" t="s">
        <v>459</v>
      </c>
      <c r="Q1707">
        <v>8</v>
      </c>
      <c r="R1707" s="225">
        <f>Base_Periodo1[[#This Row],[CREDITOS]]-Base_Periodo1[[#This Row],[DEBITOS]]</f>
        <v>0</v>
      </c>
      <c r="S1707" s="3" t="str">
        <f>IF(ISERROR(VLOOKUP(Base_Periodo1[[#This Row],[CONTA]],BaseContasDRE[#All],4,FALSE)),"Fora do DRE",VLOOKUP(Base_Periodo1[[#This Row],[CONTA]],BaseContasDRE[#All],4,FALSE))</f>
        <v>Fora do DRE</v>
      </c>
      <c r="T1707" s="3" t="str">
        <f>IF(ISERROR(VLOOKUP(Base_Periodo1[[#This Row],[CONTA]],BaseContasDRE[#All],5,FALSE)),"Fora do DRE",VLOOKUP(Base_Periodo1[[#This Row],[CONTA]],BaseContasDRE[#All],6,FALSE))</f>
        <v>Fora do DRE</v>
      </c>
      <c r="U1707" s="3" t="str">
        <f>IF(ISERROR(VLOOKUP(Base_Periodo1[[#This Row],[CONTA]],BaseContasDRE[#All],7,FALSE)),"Fora do DRE",VLOOKUP(Base_Periodo1[[#This Row],[CONTA]],BaseContasDRE[#All],7,FALSE))</f>
        <v>Fora do DRE</v>
      </c>
      <c r="V1707" s="3" t="str">
        <f>IF(Base_Periodo1[[#This Row],[Tipo_Linha]]="Fora do DRE","Fora do DRE","( "&amp;Base_Periodo1[[#This Row],[Tipo_Linha]]&amp;" ) "&amp;Base_Periodo1[[#This Row],[Filtro]])</f>
        <v>Fora do DRE</v>
      </c>
      <c r="W1707" s="3" t="str">
        <f>LEFT(Base_Periodo1[[#This Row],[CLASS]],3)</f>
        <v>1.1</v>
      </c>
    </row>
    <row r="1708" spans="1:23" hidden="1">
      <c r="A1708" s="3" t="str">
        <f t="shared" si="26"/>
        <v>Período 1</v>
      </c>
      <c r="B1708">
        <v>55058</v>
      </c>
      <c r="C1708" t="s">
        <v>6814</v>
      </c>
      <c r="D1708" t="s">
        <v>6815</v>
      </c>
      <c r="E1708" s="3" t="str">
        <f>IF(LEN(Base_Periodo1[[#This Row],[CLASS]])&gt;=7,LEFT(Base_Periodo1[[#This Row],[CLASS]],7),"")</f>
        <v>1.1.3.1</v>
      </c>
      <c r="F1708" s="3" t="str">
        <f>VLOOKUP(Base_Periodo1[[#This Row],[Aux]],Base_Contas_Balanco[#All],2,FALSE)</f>
        <v>Estoques Proprios</v>
      </c>
      <c r="G1708" s="1">
        <v>42851</v>
      </c>
      <c r="H1708" s="225">
        <v>50343.449999999953</v>
      </c>
      <c r="I1708" s="225">
        <v>0</v>
      </c>
      <c r="J1708" s="225">
        <v>0</v>
      </c>
      <c r="K1708" s="225">
        <v>50343.449999999953</v>
      </c>
      <c r="L17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-50343.45</v>
      </c>
      <c r="M1708" s="225">
        <f>ROUND(IF(AND(Base_Periodo1[[#This Row],[Tipo_Linha]]="-",Base_Periodo1[[#This Row],[TIPOSALDO]]="D"),Base_Periodo1[[#This Row],[SALDO_ATUAL]]*-1,Base_Periodo1[[#This Row],[SALDO_ATUAL]]),4)</f>
        <v>50343.45</v>
      </c>
      <c r="N1708" t="s">
        <v>116</v>
      </c>
      <c r="O1708" t="s">
        <v>459</v>
      </c>
      <c r="P1708" t="s">
        <v>459</v>
      </c>
      <c r="Q1708">
        <v>9</v>
      </c>
      <c r="R1708" s="225">
        <f>Base_Periodo1[[#This Row],[CREDITOS]]-Base_Periodo1[[#This Row],[DEBITOS]]</f>
        <v>0</v>
      </c>
      <c r="S1708" s="3" t="str">
        <f>IF(ISERROR(VLOOKUP(Base_Periodo1[[#This Row],[CONTA]],BaseContasDRE[#All],4,FALSE)),"Fora do DRE",VLOOKUP(Base_Periodo1[[#This Row],[CONTA]],BaseContasDRE[#All],4,FALSE))</f>
        <v>Fora do DRE</v>
      </c>
      <c r="T1708" s="3" t="str">
        <f>IF(ISERROR(VLOOKUP(Base_Periodo1[[#This Row],[CONTA]],BaseContasDRE[#All],5,FALSE)),"Fora do DRE",VLOOKUP(Base_Periodo1[[#This Row],[CONTA]],BaseContasDRE[#All],6,FALSE))</f>
        <v>Fora do DRE</v>
      </c>
      <c r="U1708" s="3" t="str">
        <f>IF(ISERROR(VLOOKUP(Base_Periodo1[[#This Row],[CONTA]],BaseContasDRE[#All],7,FALSE)),"Fora do DRE",VLOOKUP(Base_Periodo1[[#This Row],[CONTA]],BaseContasDRE[#All],7,FALSE))</f>
        <v>Fora do DRE</v>
      </c>
      <c r="V1708" s="3" t="str">
        <f>IF(Base_Periodo1[[#This Row],[Tipo_Linha]]="Fora do DRE","Fora do DRE","( "&amp;Base_Periodo1[[#This Row],[Tipo_Linha]]&amp;" ) "&amp;Base_Periodo1[[#This Row],[Filtro]])</f>
        <v>Fora do DRE</v>
      </c>
      <c r="W1708" s="3" t="str">
        <f>LEFT(Base_Periodo1[[#This Row],[CLASS]],3)</f>
        <v>1.1</v>
      </c>
    </row>
    <row r="1709" spans="1:23" hidden="1">
      <c r="A1709" s="3" t="str">
        <f t="shared" si="26"/>
        <v>Período 1</v>
      </c>
      <c r="B1709">
        <v>886</v>
      </c>
      <c r="C1709" t="s">
        <v>1374</v>
      </c>
      <c r="D1709" t="s">
        <v>1072</v>
      </c>
      <c r="E1709" s="3" t="str">
        <f>IF(LEN(Base_Periodo1[[#This Row],[CLASS]])&gt;=7,LEFT(Base_Periodo1[[#This Row],[CLASS]],7),"")</f>
        <v>1.1.3.1</v>
      </c>
      <c r="F1709" s="3" t="str">
        <f>VLOOKUP(Base_Periodo1[[#This Row],[Aux]],Base_Contas_Balanco[#All],2,FALSE)</f>
        <v>Estoques Proprios</v>
      </c>
      <c r="G1709" s="1"/>
      <c r="H1709" s="225">
        <v>1200878.4899999909</v>
      </c>
      <c r="I1709" s="225">
        <v>0</v>
      </c>
      <c r="J1709" s="225">
        <v>104607.68000000001</v>
      </c>
      <c r="K1709" s="225">
        <v>1305486.1699999908</v>
      </c>
      <c r="L17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-1305486.17</v>
      </c>
      <c r="M1709" s="225">
        <f>ROUND(IF(AND(Base_Periodo1[[#This Row],[Tipo_Linha]]="-",Base_Periodo1[[#This Row],[TIPOSALDO]]="D"),Base_Periodo1[[#This Row],[SALDO_ATUAL]]*-1,Base_Periodo1[[#This Row],[SALDO_ATUAL]]),4)</f>
        <v>1305486.17</v>
      </c>
      <c r="N1709" t="s">
        <v>396</v>
      </c>
      <c r="O1709" t="s">
        <v>459</v>
      </c>
      <c r="P1709" t="s">
        <v>459</v>
      </c>
      <c r="Q1709">
        <v>8</v>
      </c>
      <c r="R1709" s="225">
        <f>Base_Periodo1[[#This Row],[CREDITOS]]-Base_Periodo1[[#This Row],[DEBITOS]]</f>
        <v>104607.68000000001</v>
      </c>
      <c r="S1709" s="3" t="str">
        <f>IF(ISERROR(VLOOKUP(Base_Periodo1[[#This Row],[CONTA]],BaseContasDRE[#All],4,FALSE)),"Fora do DRE",VLOOKUP(Base_Periodo1[[#This Row],[CONTA]],BaseContasDRE[#All],4,FALSE))</f>
        <v>Fora do DRE</v>
      </c>
      <c r="T1709" s="3" t="str">
        <f>IF(ISERROR(VLOOKUP(Base_Periodo1[[#This Row],[CONTA]],BaseContasDRE[#All],5,FALSE)),"Fora do DRE",VLOOKUP(Base_Periodo1[[#This Row],[CONTA]],BaseContasDRE[#All],6,FALSE))</f>
        <v>Fora do DRE</v>
      </c>
      <c r="U1709" s="3" t="str">
        <f>IF(ISERROR(VLOOKUP(Base_Periodo1[[#This Row],[CONTA]],BaseContasDRE[#All],7,FALSE)),"Fora do DRE",VLOOKUP(Base_Periodo1[[#This Row],[CONTA]],BaseContasDRE[#All],7,FALSE))</f>
        <v>Fora do DRE</v>
      </c>
      <c r="V1709" s="3" t="str">
        <f>IF(Base_Periodo1[[#This Row],[Tipo_Linha]]="Fora do DRE","Fora do DRE","( "&amp;Base_Periodo1[[#This Row],[Tipo_Linha]]&amp;" ) "&amp;Base_Periodo1[[#This Row],[Filtro]])</f>
        <v>Fora do DRE</v>
      </c>
      <c r="W1709" s="3" t="str">
        <f>LEFT(Base_Periodo1[[#This Row],[CLASS]],3)</f>
        <v>1.1</v>
      </c>
    </row>
    <row r="1710" spans="1:23" hidden="1">
      <c r="A1710" s="3" t="str">
        <f t="shared" si="26"/>
        <v>Período 1</v>
      </c>
      <c r="B1710">
        <v>887</v>
      </c>
      <c r="C1710" t="s">
        <v>1375</v>
      </c>
      <c r="D1710" t="s">
        <v>1074</v>
      </c>
      <c r="E1710" s="3" t="str">
        <f>IF(LEN(Base_Periodo1[[#This Row],[CLASS]])&gt;=7,LEFT(Base_Periodo1[[#This Row],[CLASS]],7),"")</f>
        <v>1.1.3.1</v>
      </c>
      <c r="F1710" s="3" t="str">
        <f>VLOOKUP(Base_Periodo1[[#This Row],[Aux]],Base_Contas_Balanco[#All],2,FALSE)</f>
        <v>Estoques Proprios</v>
      </c>
      <c r="G1710" s="1">
        <v>42886</v>
      </c>
      <c r="H1710" s="225">
        <v>1200878.4899999909</v>
      </c>
      <c r="I1710" s="225">
        <v>0</v>
      </c>
      <c r="J1710" s="225">
        <v>104607.68000000001</v>
      </c>
      <c r="K1710" s="225">
        <v>1305486.1699999908</v>
      </c>
      <c r="L17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-1305486.17</v>
      </c>
      <c r="M1710" s="225">
        <f>ROUND(IF(AND(Base_Periodo1[[#This Row],[Tipo_Linha]]="-",Base_Periodo1[[#This Row],[TIPOSALDO]]="D"),Base_Periodo1[[#This Row],[SALDO_ATUAL]]*-1,Base_Periodo1[[#This Row],[SALDO_ATUAL]]),4)</f>
        <v>1305486.17</v>
      </c>
      <c r="N1710" t="s">
        <v>116</v>
      </c>
      <c r="O1710" t="s">
        <v>459</v>
      </c>
      <c r="P1710" t="s">
        <v>459</v>
      </c>
      <c r="Q1710">
        <v>9</v>
      </c>
      <c r="R1710" s="225">
        <f>Base_Periodo1[[#This Row],[CREDITOS]]-Base_Periodo1[[#This Row],[DEBITOS]]</f>
        <v>104607.68000000001</v>
      </c>
      <c r="S1710" s="3" t="str">
        <f>IF(ISERROR(VLOOKUP(Base_Periodo1[[#This Row],[CONTA]],BaseContasDRE[#All],4,FALSE)),"Fora do DRE",VLOOKUP(Base_Periodo1[[#This Row],[CONTA]],BaseContasDRE[#All],4,FALSE))</f>
        <v>Fora do DRE</v>
      </c>
      <c r="T1710" s="3" t="str">
        <f>IF(ISERROR(VLOOKUP(Base_Periodo1[[#This Row],[CONTA]],BaseContasDRE[#All],5,FALSE)),"Fora do DRE",VLOOKUP(Base_Periodo1[[#This Row],[CONTA]],BaseContasDRE[#All],6,FALSE))</f>
        <v>Fora do DRE</v>
      </c>
      <c r="U1710" s="3" t="str">
        <f>IF(ISERROR(VLOOKUP(Base_Periodo1[[#This Row],[CONTA]],BaseContasDRE[#All],7,FALSE)),"Fora do DRE",VLOOKUP(Base_Periodo1[[#This Row],[CONTA]],BaseContasDRE[#All],7,FALSE))</f>
        <v>Fora do DRE</v>
      </c>
      <c r="V1710" s="3" t="str">
        <f>IF(Base_Periodo1[[#This Row],[Tipo_Linha]]="Fora do DRE","Fora do DRE","( "&amp;Base_Periodo1[[#This Row],[Tipo_Linha]]&amp;" ) "&amp;Base_Periodo1[[#This Row],[Filtro]])</f>
        <v>Fora do DRE</v>
      </c>
      <c r="W1710" s="3" t="str">
        <f>LEFT(Base_Periodo1[[#This Row],[CLASS]],3)</f>
        <v>1.1</v>
      </c>
    </row>
    <row r="1711" spans="1:23" hidden="1">
      <c r="A1711" s="3" t="str">
        <f t="shared" si="26"/>
        <v>Período 1</v>
      </c>
      <c r="B1711">
        <v>888</v>
      </c>
      <c r="C1711" t="s">
        <v>1376</v>
      </c>
      <c r="D1711" t="s">
        <v>1171</v>
      </c>
      <c r="E1711" s="3" t="str">
        <f>IF(LEN(Base_Periodo1[[#This Row],[CLASS]])&gt;=7,LEFT(Base_Periodo1[[#This Row],[CLASS]],7),"")</f>
        <v>1.1.3.1</v>
      </c>
      <c r="F1711" s="3" t="str">
        <f>VLOOKUP(Base_Periodo1[[#This Row],[Aux]],Base_Contas_Balanco[#All],2,FALSE)</f>
        <v>Estoques Proprios</v>
      </c>
      <c r="G1711" s="1"/>
      <c r="H1711" s="225">
        <v>95841.020000000717</v>
      </c>
      <c r="I1711" s="225">
        <v>0</v>
      </c>
      <c r="J1711" s="225">
        <v>9869.5499999999993</v>
      </c>
      <c r="K1711" s="225">
        <v>105710.57000000072</v>
      </c>
      <c r="L17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-105710.57</v>
      </c>
      <c r="M1711" s="225">
        <f>ROUND(IF(AND(Base_Periodo1[[#This Row],[Tipo_Linha]]="-",Base_Periodo1[[#This Row],[TIPOSALDO]]="D"),Base_Periodo1[[#This Row],[SALDO_ATUAL]]*-1,Base_Periodo1[[#This Row],[SALDO_ATUAL]]),4)</f>
        <v>105710.57</v>
      </c>
      <c r="N1711" t="s">
        <v>396</v>
      </c>
      <c r="O1711" t="s">
        <v>459</v>
      </c>
      <c r="P1711" t="s">
        <v>459</v>
      </c>
      <c r="Q1711">
        <v>8</v>
      </c>
      <c r="R1711" s="225">
        <f>Base_Periodo1[[#This Row],[CREDITOS]]-Base_Periodo1[[#This Row],[DEBITOS]]</f>
        <v>9869.5499999999993</v>
      </c>
      <c r="S1711" s="3" t="str">
        <f>IF(ISERROR(VLOOKUP(Base_Periodo1[[#This Row],[CONTA]],BaseContasDRE[#All],4,FALSE)),"Fora do DRE",VLOOKUP(Base_Periodo1[[#This Row],[CONTA]],BaseContasDRE[#All],4,FALSE))</f>
        <v>Fora do DRE</v>
      </c>
      <c r="T1711" s="3" t="str">
        <f>IF(ISERROR(VLOOKUP(Base_Periodo1[[#This Row],[CONTA]],BaseContasDRE[#All],5,FALSE)),"Fora do DRE",VLOOKUP(Base_Periodo1[[#This Row],[CONTA]],BaseContasDRE[#All],6,FALSE))</f>
        <v>Fora do DRE</v>
      </c>
      <c r="U1711" s="3" t="str">
        <f>IF(ISERROR(VLOOKUP(Base_Periodo1[[#This Row],[CONTA]],BaseContasDRE[#All],7,FALSE)),"Fora do DRE",VLOOKUP(Base_Periodo1[[#This Row],[CONTA]],BaseContasDRE[#All],7,FALSE))</f>
        <v>Fora do DRE</v>
      </c>
      <c r="V1711" s="3" t="str">
        <f>IF(Base_Periodo1[[#This Row],[Tipo_Linha]]="Fora do DRE","Fora do DRE","( "&amp;Base_Periodo1[[#This Row],[Tipo_Linha]]&amp;" ) "&amp;Base_Periodo1[[#This Row],[Filtro]])</f>
        <v>Fora do DRE</v>
      </c>
      <c r="W1711" s="3" t="str">
        <f>LEFT(Base_Periodo1[[#This Row],[CLASS]],3)</f>
        <v>1.1</v>
      </c>
    </row>
    <row r="1712" spans="1:23" hidden="1">
      <c r="A1712" s="3" t="str">
        <f t="shared" si="26"/>
        <v>Período 1</v>
      </c>
      <c r="B1712">
        <v>10882</v>
      </c>
      <c r="C1712" t="s">
        <v>1377</v>
      </c>
      <c r="D1712" t="s">
        <v>1378</v>
      </c>
      <c r="E1712" s="3" t="str">
        <f>IF(LEN(Base_Periodo1[[#This Row],[CLASS]])&gt;=7,LEFT(Base_Periodo1[[#This Row],[CLASS]],7),"")</f>
        <v>1.1.3.1</v>
      </c>
      <c r="F1712" s="3" t="str">
        <f>VLOOKUP(Base_Periodo1[[#This Row],[Aux]],Base_Contas_Balanco[#All],2,FALSE)</f>
        <v>Estoques Proprios</v>
      </c>
      <c r="G1712" s="1">
        <v>42874</v>
      </c>
      <c r="H1712" s="225">
        <v>93796.520000000717</v>
      </c>
      <c r="I1712" s="225">
        <v>0</v>
      </c>
      <c r="J1712" s="225">
        <v>9869.5499999999993</v>
      </c>
      <c r="K1712" s="225">
        <v>103666.07000000072</v>
      </c>
      <c r="L17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-103666.07</v>
      </c>
      <c r="M1712" s="225">
        <f>ROUND(IF(AND(Base_Periodo1[[#This Row],[Tipo_Linha]]="-",Base_Periodo1[[#This Row],[TIPOSALDO]]="D"),Base_Periodo1[[#This Row],[SALDO_ATUAL]]*-1,Base_Periodo1[[#This Row],[SALDO_ATUAL]]),4)</f>
        <v>103666.07</v>
      </c>
      <c r="N1712" t="s">
        <v>116</v>
      </c>
      <c r="O1712" t="s">
        <v>459</v>
      </c>
      <c r="P1712" t="s">
        <v>459</v>
      </c>
      <c r="Q1712">
        <v>9</v>
      </c>
      <c r="R1712" s="225">
        <f>Base_Periodo1[[#This Row],[CREDITOS]]-Base_Periodo1[[#This Row],[DEBITOS]]</f>
        <v>9869.5499999999993</v>
      </c>
      <c r="S1712" s="3" t="str">
        <f>IF(ISERROR(VLOOKUP(Base_Periodo1[[#This Row],[CONTA]],BaseContasDRE[#All],4,FALSE)),"Fora do DRE",VLOOKUP(Base_Periodo1[[#This Row],[CONTA]],BaseContasDRE[#All],4,FALSE))</f>
        <v>Fora do DRE</v>
      </c>
      <c r="T1712" s="3" t="str">
        <f>IF(ISERROR(VLOOKUP(Base_Periodo1[[#This Row],[CONTA]],BaseContasDRE[#All],5,FALSE)),"Fora do DRE",VLOOKUP(Base_Periodo1[[#This Row],[CONTA]],BaseContasDRE[#All],6,FALSE))</f>
        <v>Fora do DRE</v>
      </c>
      <c r="U1712" s="3" t="str">
        <f>IF(ISERROR(VLOOKUP(Base_Periodo1[[#This Row],[CONTA]],BaseContasDRE[#All],7,FALSE)),"Fora do DRE",VLOOKUP(Base_Periodo1[[#This Row],[CONTA]],BaseContasDRE[#All],7,FALSE))</f>
        <v>Fora do DRE</v>
      </c>
      <c r="V1712" s="3" t="str">
        <f>IF(Base_Periodo1[[#This Row],[Tipo_Linha]]="Fora do DRE","Fora do DRE","( "&amp;Base_Periodo1[[#This Row],[Tipo_Linha]]&amp;" ) "&amp;Base_Periodo1[[#This Row],[Filtro]])</f>
        <v>Fora do DRE</v>
      </c>
      <c r="W1712" s="3" t="str">
        <f>LEFT(Base_Periodo1[[#This Row],[CLASS]],3)</f>
        <v>1.1</v>
      </c>
    </row>
    <row r="1713" spans="1:23" hidden="1">
      <c r="A1713" s="3" t="str">
        <f t="shared" si="26"/>
        <v>Período 1</v>
      </c>
      <c r="B1713">
        <v>889</v>
      </c>
      <c r="C1713" t="s">
        <v>1379</v>
      </c>
      <c r="D1713" t="s">
        <v>1174</v>
      </c>
      <c r="E1713" s="3" t="str">
        <f>IF(LEN(Base_Periodo1[[#This Row],[CLASS]])&gt;=7,LEFT(Base_Periodo1[[#This Row],[CLASS]],7),"")</f>
        <v>1.1.3.1</v>
      </c>
      <c r="F1713" s="3" t="str">
        <f>VLOOKUP(Base_Periodo1[[#This Row],[Aux]],Base_Contas_Balanco[#All],2,FALSE)</f>
        <v>Estoques Proprios</v>
      </c>
      <c r="G1713" s="1">
        <v>42773</v>
      </c>
      <c r="H1713" s="225">
        <v>2044.5</v>
      </c>
      <c r="I1713" s="225">
        <v>0</v>
      </c>
      <c r="J1713" s="225">
        <v>0</v>
      </c>
      <c r="K1713" s="225">
        <v>2044.5</v>
      </c>
      <c r="L17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-2044.5</v>
      </c>
      <c r="M1713" s="225">
        <f>ROUND(IF(AND(Base_Periodo1[[#This Row],[Tipo_Linha]]="-",Base_Periodo1[[#This Row],[TIPOSALDO]]="D"),Base_Periodo1[[#This Row],[SALDO_ATUAL]]*-1,Base_Periodo1[[#This Row],[SALDO_ATUAL]]),4)</f>
        <v>2044.5</v>
      </c>
      <c r="N1713" t="s">
        <v>116</v>
      </c>
      <c r="O1713" t="s">
        <v>459</v>
      </c>
      <c r="P1713" t="s">
        <v>459</v>
      </c>
      <c r="Q1713">
        <v>9</v>
      </c>
      <c r="R1713" s="225">
        <f>Base_Periodo1[[#This Row],[CREDITOS]]-Base_Periodo1[[#This Row],[DEBITOS]]</f>
        <v>0</v>
      </c>
      <c r="S1713" s="3" t="str">
        <f>IF(ISERROR(VLOOKUP(Base_Periodo1[[#This Row],[CONTA]],BaseContasDRE[#All],4,FALSE)),"Fora do DRE",VLOOKUP(Base_Periodo1[[#This Row],[CONTA]],BaseContasDRE[#All],4,FALSE))</f>
        <v>Fora do DRE</v>
      </c>
      <c r="T1713" s="3" t="str">
        <f>IF(ISERROR(VLOOKUP(Base_Periodo1[[#This Row],[CONTA]],BaseContasDRE[#All],5,FALSE)),"Fora do DRE",VLOOKUP(Base_Periodo1[[#This Row],[CONTA]],BaseContasDRE[#All],6,FALSE))</f>
        <v>Fora do DRE</v>
      </c>
      <c r="U1713" s="3" t="str">
        <f>IF(ISERROR(VLOOKUP(Base_Periodo1[[#This Row],[CONTA]],BaseContasDRE[#All],7,FALSE)),"Fora do DRE",VLOOKUP(Base_Periodo1[[#This Row],[CONTA]],BaseContasDRE[#All],7,FALSE))</f>
        <v>Fora do DRE</v>
      </c>
      <c r="V1713" s="3" t="str">
        <f>IF(Base_Periodo1[[#This Row],[Tipo_Linha]]="Fora do DRE","Fora do DRE","( "&amp;Base_Periodo1[[#This Row],[Tipo_Linha]]&amp;" ) "&amp;Base_Periodo1[[#This Row],[Filtro]])</f>
        <v>Fora do DRE</v>
      </c>
      <c r="W1713" s="3" t="str">
        <f>LEFT(Base_Periodo1[[#This Row],[CLASS]],3)</f>
        <v>1.1</v>
      </c>
    </row>
    <row r="1714" spans="1:23" hidden="1">
      <c r="A1714" s="3" t="str">
        <f t="shared" si="26"/>
        <v>Período 1</v>
      </c>
      <c r="B1714">
        <v>27529</v>
      </c>
      <c r="C1714" t="s">
        <v>4537</v>
      </c>
      <c r="D1714" t="s">
        <v>1150</v>
      </c>
      <c r="E1714" s="3" t="str">
        <f>IF(LEN(Base_Periodo1[[#This Row],[CLASS]])&gt;=7,LEFT(Base_Periodo1[[#This Row],[CLASS]],7),"")</f>
        <v>1.1.3.1</v>
      </c>
      <c r="F1714" s="3" t="str">
        <f>VLOOKUP(Base_Periodo1[[#This Row],[Aux]],Base_Contas_Balanco[#All],2,FALSE)</f>
        <v>Estoques Proprios</v>
      </c>
      <c r="G1714" s="1"/>
      <c r="H1714" s="225">
        <v>75631.349999999977</v>
      </c>
      <c r="I1714" s="225">
        <v>0</v>
      </c>
      <c r="J1714" s="225">
        <v>41963.31</v>
      </c>
      <c r="K1714" s="225">
        <v>117594.65999999997</v>
      </c>
      <c r="L17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-117594.66</v>
      </c>
      <c r="M1714" s="225">
        <f>ROUND(IF(AND(Base_Periodo1[[#This Row],[Tipo_Linha]]="-",Base_Periodo1[[#This Row],[TIPOSALDO]]="D"),Base_Periodo1[[#This Row],[SALDO_ATUAL]]*-1,Base_Periodo1[[#This Row],[SALDO_ATUAL]]),4)</f>
        <v>117594.66</v>
      </c>
      <c r="N1714" t="s">
        <v>396</v>
      </c>
      <c r="O1714" t="s">
        <v>459</v>
      </c>
      <c r="P1714" t="s">
        <v>459</v>
      </c>
      <c r="Q1714">
        <v>8</v>
      </c>
      <c r="R1714" s="225">
        <f>Base_Periodo1[[#This Row],[CREDITOS]]-Base_Periodo1[[#This Row],[DEBITOS]]</f>
        <v>41963.31</v>
      </c>
      <c r="S1714" s="3" t="str">
        <f>IF(ISERROR(VLOOKUP(Base_Periodo1[[#This Row],[CONTA]],BaseContasDRE[#All],4,FALSE)),"Fora do DRE",VLOOKUP(Base_Periodo1[[#This Row],[CONTA]],BaseContasDRE[#All],4,FALSE))</f>
        <v>Fora do DRE</v>
      </c>
      <c r="T1714" s="3" t="str">
        <f>IF(ISERROR(VLOOKUP(Base_Periodo1[[#This Row],[CONTA]],BaseContasDRE[#All],5,FALSE)),"Fora do DRE",VLOOKUP(Base_Periodo1[[#This Row],[CONTA]],BaseContasDRE[#All],6,FALSE))</f>
        <v>Fora do DRE</v>
      </c>
      <c r="U1714" s="3" t="str">
        <f>IF(ISERROR(VLOOKUP(Base_Periodo1[[#This Row],[CONTA]],BaseContasDRE[#All],7,FALSE)),"Fora do DRE",VLOOKUP(Base_Periodo1[[#This Row],[CONTA]],BaseContasDRE[#All],7,FALSE))</f>
        <v>Fora do DRE</v>
      </c>
      <c r="V1714" s="3" t="str">
        <f>IF(Base_Periodo1[[#This Row],[Tipo_Linha]]="Fora do DRE","Fora do DRE","( "&amp;Base_Periodo1[[#This Row],[Tipo_Linha]]&amp;" ) "&amp;Base_Periodo1[[#This Row],[Filtro]])</f>
        <v>Fora do DRE</v>
      </c>
      <c r="W1714" s="3" t="str">
        <f>LEFT(Base_Periodo1[[#This Row],[CLASS]],3)</f>
        <v>1.1</v>
      </c>
    </row>
    <row r="1715" spans="1:23" hidden="1">
      <c r="A1715" s="3" t="str">
        <f t="shared" si="26"/>
        <v>Período 1</v>
      </c>
      <c r="B1715">
        <v>27530</v>
      </c>
      <c r="C1715" t="s">
        <v>6816</v>
      </c>
      <c r="D1715" t="s">
        <v>1176</v>
      </c>
      <c r="E1715" s="3" t="str">
        <f>IF(LEN(Base_Periodo1[[#This Row],[CLASS]])&gt;=7,LEFT(Base_Periodo1[[#This Row],[CLASS]],7),"")</f>
        <v>1.1.3.1</v>
      </c>
      <c r="F1715" s="3" t="str">
        <f>VLOOKUP(Base_Periodo1[[#This Row],[Aux]],Base_Contas_Balanco[#All],2,FALSE)</f>
        <v>Estoques Proprios</v>
      </c>
      <c r="G1715" s="1">
        <v>42886</v>
      </c>
      <c r="I1715" s="225">
        <v>0</v>
      </c>
      <c r="J1715" s="225">
        <v>248.13</v>
      </c>
      <c r="K1715" s="225">
        <v>248.13</v>
      </c>
      <c r="L17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-248.13</v>
      </c>
      <c r="M1715" s="225">
        <f>ROUND(IF(AND(Base_Periodo1[[#This Row],[Tipo_Linha]]="-",Base_Periodo1[[#This Row],[TIPOSALDO]]="D"),Base_Periodo1[[#This Row],[SALDO_ATUAL]]*-1,Base_Periodo1[[#This Row],[SALDO_ATUAL]]),4)</f>
        <v>248.13</v>
      </c>
      <c r="N1715" t="s">
        <v>116</v>
      </c>
      <c r="O1715" t="s">
        <v>436</v>
      </c>
      <c r="P1715" t="s">
        <v>459</v>
      </c>
      <c r="Q1715">
        <v>9</v>
      </c>
      <c r="R1715" s="225">
        <f>Base_Periodo1[[#This Row],[CREDITOS]]-Base_Periodo1[[#This Row],[DEBITOS]]</f>
        <v>248.13</v>
      </c>
      <c r="S1715" s="3" t="str">
        <f>IF(ISERROR(VLOOKUP(Base_Periodo1[[#This Row],[CONTA]],BaseContasDRE[#All],4,FALSE)),"Fora do DRE",VLOOKUP(Base_Periodo1[[#This Row],[CONTA]],BaseContasDRE[#All],4,FALSE))</f>
        <v>Fora do DRE</v>
      </c>
      <c r="T1715" s="3" t="str">
        <f>IF(ISERROR(VLOOKUP(Base_Periodo1[[#This Row],[CONTA]],BaseContasDRE[#All],5,FALSE)),"Fora do DRE",VLOOKUP(Base_Periodo1[[#This Row],[CONTA]],BaseContasDRE[#All],6,FALSE))</f>
        <v>Fora do DRE</v>
      </c>
      <c r="U1715" s="3" t="str">
        <f>IF(ISERROR(VLOOKUP(Base_Periodo1[[#This Row],[CONTA]],BaseContasDRE[#All],7,FALSE)),"Fora do DRE",VLOOKUP(Base_Periodo1[[#This Row],[CONTA]],BaseContasDRE[#All],7,FALSE))</f>
        <v>Fora do DRE</v>
      </c>
      <c r="V1715" s="3" t="str">
        <f>IF(Base_Periodo1[[#This Row],[Tipo_Linha]]="Fora do DRE","Fora do DRE","( "&amp;Base_Periodo1[[#This Row],[Tipo_Linha]]&amp;" ) "&amp;Base_Periodo1[[#This Row],[Filtro]])</f>
        <v>Fora do DRE</v>
      </c>
      <c r="W1715" s="3" t="str">
        <f>LEFT(Base_Periodo1[[#This Row],[CLASS]],3)</f>
        <v>1.1</v>
      </c>
    </row>
    <row r="1716" spans="1:23" hidden="1">
      <c r="A1716" s="3" t="str">
        <f t="shared" si="26"/>
        <v>Período 1</v>
      </c>
      <c r="B1716">
        <v>33773</v>
      </c>
      <c r="C1716" t="s">
        <v>4538</v>
      </c>
      <c r="D1716" t="s">
        <v>1140</v>
      </c>
      <c r="E1716" s="3" t="str">
        <f>IF(LEN(Base_Periodo1[[#This Row],[CLASS]])&gt;=7,LEFT(Base_Periodo1[[#This Row],[CLASS]],7),"")</f>
        <v>1.1.3.1</v>
      </c>
      <c r="F1716" s="3" t="str">
        <f>VLOOKUP(Base_Periodo1[[#This Row],[Aux]],Base_Contas_Balanco[#All],2,FALSE)</f>
        <v>Estoques Proprios</v>
      </c>
      <c r="G1716" s="1">
        <v>42886</v>
      </c>
      <c r="H1716" s="225">
        <v>75631.349999999977</v>
      </c>
      <c r="I1716" s="225">
        <v>0</v>
      </c>
      <c r="J1716" s="225">
        <v>41715.18</v>
      </c>
      <c r="K1716" s="225">
        <v>117346.52999999997</v>
      </c>
      <c r="L17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-117346.53</v>
      </c>
      <c r="M1716" s="225">
        <f>ROUND(IF(AND(Base_Periodo1[[#This Row],[Tipo_Linha]]="-",Base_Periodo1[[#This Row],[TIPOSALDO]]="D"),Base_Periodo1[[#This Row],[SALDO_ATUAL]]*-1,Base_Periodo1[[#This Row],[SALDO_ATUAL]]),4)</f>
        <v>117346.53</v>
      </c>
      <c r="N1716" t="s">
        <v>116</v>
      </c>
      <c r="O1716" t="s">
        <v>459</v>
      </c>
      <c r="P1716" t="s">
        <v>459</v>
      </c>
      <c r="Q1716">
        <v>9</v>
      </c>
      <c r="R1716" s="225">
        <f>Base_Periodo1[[#This Row],[CREDITOS]]-Base_Periodo1[[#This Row],[DEBITOS]]</f>
        <v>41715.18</v>
      </c>
      <c r="S1716" s="3" t="str">
        <f>IF(ISERROR(VLOOKUP(Base_Periodo1[[#This Row],[CONTA]],BaseContasDRE[#All],4,FALSE)),"Fora do DRE",VLOOKUP(Base_Periodo1[[#This Row],[CONTA]],BaseContasDRE[#All],4,FALSE))</f>
        <v>Fora do DRE</v>
      </c>
      <c r="T1716" s="3" t="str">
        <f>IF(ISERROR(VLOOKUP(Base_Periodo1[[#This Row],[CONTA]],BaseContasDRE[#All],5,FALSE)),"Fora do DRE",VLOOKUP(Base_Periodo1[[#This Row],[CONTA]],BaseContasDRE[#All],6,FALSE))</f>
        <v>Fora do DRE</v>
      </c>
      <c r="U1716" s="3" t="str">
        <f>IF(ISERROR(VLOOKUP(Base_Periodo1[[#This Row],[CONTA]],BaseContasDRE[#All],7,FALSE)),"Fora do DRE",VLOOKUP(Base_Periodo1[[#This Row],[CONTA]],BaseContasDRE[#All],7,FALSE))</f>
        <v>Fora do DRE</v>
      </c>
      <c r="V1716" s="3" t="str">
        <f>IF(Base_Periodo1[[#This Row],[Tipo_Linha]]="Fora do DRE","Fora do DRE","( "&amp;Base_Periodo1[[#This Row],[Tipo_Linha]]&amp;" ) "&amp;Base_Periodo1[[#This Row],[Filtro]])</f>
        <v>Fora do DRE</v>
      </c>
      <c r="W1716" s="3" t="str">
        <f>LEFT(Base_Periodo1[[#This Row],[CLASS]],3)</f>
        <v>1.1</v>
      </c>
    </row>
    <row r="1717" spans="1:23" hidden="1">
      <c r="A1717" s="3" t="str">
        <f t="shared" si="26"/>
        <v>Período 1</v>
      </c>
      <c r="B1717">
        <v>939</v>
      </c>
      <c r="C1717" t="s">
        <v>4924</v>
      </c>
      <c r="D1717" t="s">
        <v>4925</v>
      </c>
      <c r="E1717" s="3" t="str">
        <f>IF(LEN(Base_Periodo1[[#This Row],[CLASS]])&gt;=7,LEFT(Base_Periodo1[[#This Row],[CLASS]],7),"")</f>
        <v>1.1.3.1</v>
      </c>
      <c r="F1717" s="3" t="str">
        <f>VLOOKUP(Base_Periodo1[[#This Row],[Aux]],Base_Contas_Balanco[#All],2,FALSE)</f>
        <v>Estoques Proprios</v>
      </c>
      <c r="G1717" s="1"/>
      <c r="H1717" s="225">
        <v>37555.819999999971</v>
      </c>
      <c r="I1717" s="225">
        <v>0</v>
      </c>
      <c r="J1717" s="225">
        <v>0</v>
      </c>
      <c r="K1717" s="225">
        <v>37555.819999999971</v>
      </c>
      <c r="L17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37555.82</v>
      </c>
      <c r="M1717" s="225">
        <f>ROUND(IF(AND(Base_Periodo1[[#This Row],[Tipo_Linha]]="-",Base_Periodo1[[#This Row],[TIPOSALDO]]="D"),Base_Periodo1[[#This Row],[SALDO_ATUAL]]*-1,Base_Periodo1[[#This Row],[SALDO_ATUAL]]),4)</f>
        <v>37555.82</v>
      </c>
      <c r="N1717" t="s">
        <v>396</v>
      </c>
      <c r="O1717" t="s">
        <v>397</v>
      </c>
      <c r="P1717" t="s">
        <v>397</v>
      </c>
      <c r="Q1717">
        <v>6</v>
      </c>
      <c r="R1717" s="225">
        <f>Base_Periodo1[[#This Row],[CREDITOS]]-Base_Periodo1[[#This Row],[DEBITOS]]</f>
        <v>0</v>
      </c>
      <c r="S1717" s="3" t="str">
        <f>IF(ISERROR(VLOOKUP(Base_Periodo1[[#This Row],[CONTA]],BaseContasDRE[#All],4,FALSE)),"Fora do DRE",VLOOKUP(Base_Periodo1[[#This Row],[CONTA]],BaseContasDRE[#All],4,FALSE))</f>
        <v>Fora do DRE</v>
      </c>
      <c r="T1717" s="3" t="str">
        <f>IF(ISERROR(VLOOKUP(Base_Periodo1[[#This Row],[CONTA]],BaseContasDRE[#All],5,FALSE)),"Fora do DRE",VLOOKUP(Base_Periodo1[[#This Row],[CONTA]],BaseContasDRE[#All],6,FALSE))</f>
        <v>Fora do DRE</v>
      </c>
      <c r="U1717" s="3" t="str">
        <f>IF(ISERROR(VLOOKUP(Base_Periodo1[[#This Row],[CONTA]],BaseContasDRE[#All],7,FALSE)),"Fora do DRE",VLOOKUP(Base_Periodo1[[#This Row],[CONTA]],BaseContasDRE[#All],7,FALSE))</f>
        <v>Fora do DRE</v>
      </c>
      <c r="V1717" s="3" t="str">
        <f>IF(Base_Periodo1[[#This Row],[Tipo_Linha]]="Fora do DRE","Fora do DRE","( "&amp;Base_Periodo1[[#This Row],[Tipo_Linha]]&amp;" ) "&amp;Base_Periodo1[[#This Row],[Filtro]])</f>
        <v>Fora do DRE</v>
      </c>
      <c r="W1717" s="3" t="str">
        <f>LEFT(Base_Periodo1[[#This Row],[CLASS]],3)</f>
        <v>1.1</v>
      </c>
    </row>
    <row r="1718" spans="1:23" hidden="1">
      <c r="A1718" s="3" t="str">
        <f t="shared" si="26"/>
        <v>Período 1</v>
      </c>
      <c r="B1718">
        <v>940</v>
      </c>
      <c r="C1718" t="s">
        <v>4926</v>
      </c>
      <c r="D1718" t="s">
        <v>4927</v>
      </c>
      <c r="E1718" s="3" t="str">
        <f>IF(LEN(Base_Periodo1[[#This Row],[CLASS]])&gt;=7,LEFT(Base_Periodo1[[#This Row],[CLASS]],7),"")</f>
        <v>1.1.3.1</v>
      </c>
      <c r="F1718" s="3" t="str">
        <f>VLOOKUP(Base_Periodo1[[#This Row],[Aux]],Base_Contas_Balanco[#All],2,FALSE)</f>
        <v>Estoques Proprios</v>
      </c>
      <c r="G1718" s="1"/>
      <c r="H1718" s="225">
        <v>37555.819999999971</v>
      </c>
      <c r="I1718" s="225">
        <v>0</v>
      </c>
      <c r="J1718" s="225">
        <v>0</v>
      </c>
      <c r="K1718" s="225">
        <v>37555.819999999971</v>
      </c>
      <c r="L17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37555.82</v>
      </c>
      <c r="M1718" s="225">
        <f>ROUND(IF(AND(Base_Periodo1[[#This Row],[Tipo_Linha]]="-",Base_Periodo1[[#This Row],[TIPOSALDO]]="D"),Base_Periodo1[[#This Row],[SALDO_ATUAL]]*-1,Base_Periodo1[[#This Row],[SALDO_ATUAL]]),4)</f>
        <v>37555.82</v>
      </c>
      <c r="N1718" t="s">
        <v>396</v>
      </c>
      <c r="O1718" t="s">
        <v>397</v>
      </c>
      <c r="P1718" t="s">
        <v>397</v>
      </c>
      <c r="Q1718">
        <v>7</v>
      </c>
      <c r="R1718" s="225">
        <f>Base_Periodo1[[#This Row],[CREDITOS]]-Base_Periodo1[[#This Row],[DEBITOS]]</f>
        <v>0</v>
      </c>
      <c r="S1718" s="3" t="str">
        <f>IF(ISERROR(VLOOKUP(Base_Periodo1[[#This Row],[CONTA]],BaseContasDRE[#All],4,FALSE)),"Fora do DRE",VLOOKUP(Base_Periodo1[[#This Row],[CONTA]],BaseContasDRE[#All],4,FALSE))</f>
        <v>Fora do DRE</v>
      </c>
      <c r="T1718" s="3" t="str">
        <f>IF(ISERROR(VLOOKUP(Base_Periodo1[[#This Row],[CONTA]],BaseContasDRE[#All],5,FALSE)),"Fora do DRE",VLOOKUP(Base_Periodo1[[#This Row],[CONTA]],BaseContasDRE[#All],6,FALSE))</f>
        <v>Fora do DRE</v>
      </c>
      <c r="U1718" s="3" t="str">
        <f>IF(ISERROR(VLOOKUP(Base_Periodo1[[#This Row],[CONTA]],BaseContasDRE[#All],7,FALSE)),"Fora do DRE",VLOOKUP(Base_Periodo1[[#This Row],[CONTA]],BaseContasDRE[#All],7,FALSE))</f>
        <v>Fora do DRE</v>
      </c>
      <c r="V1718" s="3" t="str">
        <f>IF(Base_Periodo1[[#This Row],[Tipo_Linha]]="Fora do DRE","Fora do DRE","( "&amp;Base_Periodo1[[#This Row],[Tipo_Linha]]&amp;" ) "&amp;Base_Periodo1[[#This Row],[Filtro]])</f>
        <v>Fora do DRE</v>
      </c>
      <c r="W1718" s="3" t="str">
        <f>LEFT(Base_Periodo1[[#This Row],[CLASS]],3)</f>
        <v>1.1</v>
      </c>
    </row>
    <row r="1719" spans="1:23" hidden="1">
      <c r="A1719" s="3" t="str">
        <f t="shared" si="26"/>
        <v>Período 1</v>
      </c>
      <c r="B1719">
        <v>941</v>
      </c>
      <c r="C1719" t="s">
        <v>5778</v>
      </c>
      <c r="D1719" t="s">
        <v>1054</v>
      </c>
      <c r="E1719" s="3" t="str">
        <f>IF(LEN(Base_Periodo1[[#This Row],[CLASS]])&gt;=7,LEFT(Base_Periodo1[[#This Row],[CLASS]],7),"")</f>
        <v>1.1.3.1</v>
      </c>
      <c r="F1719" s="3" t="str">
        <f>VLOOKUP(Base_Periodo1[[#This Row],[Aux]],Base_Contas_Balanco[#All],2,FALSE)</f>
        <v>Estoques Proprios</v>
      </c>
      <c r="G1719" s="1"/>
      <c r="H1719" s="225">
        <v>40489.059999999983</v>
      </c>
      <c r="I1719" s="225">
        <v>0</v>
      </c>
      <c r="J1719" s="225">
        <v>0</v>
      </c>
      <c r="K1719" s="225">
        <v>40489.059999999983</v>
      </c>
      <c r="L17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40489.06</v>
      </c>
      <c r="M1719" s="225">
        <f>ROUND(IF(AND(Base_Periodo1[[#This Row],[Tipo_Linha]]="-",Base_Periodo1[[#This Row],[TIPOSALDO]]="D"),Base_Periodo1[[#This Row],[SALDO_ATUAL]]*-1,Base_Periodo1[[#This Row],[SALDO_ATUAL]]),4)</f>
        <v>40489.06</v>
      </c>
      <c r="N1719" t="s">
        <v>396</v>
      </c>
      <c r="O1719" t="s">
        <v>397</v>
      </c>
      <c r="P1719" t="s">
        <v>397</v>
      </c>
      <c r="Q1719">
        <v>8</v>
      </c>
      <c r="R1719" s="225">
        <f>Base_Periodo1[[#This Row],[CREDITOS]]-Base_Periodo1[[#This Row],[DEBITOS]]</f>
        <v>0</v>
      </c>
      <c r="S1719" s="3" t="str">
        <f>IF(ISERROR(VLOOKUP(Base_Periodo1[[#This Row],[CONTA]],BaseContasDRE[#All],4,FALSE)),"Fora do DRE",VLOOKUP(Base_Periodo1[[#This Row],[CONTA]],BaseContasDRE[#All],4,FALSE))</f>
        <v>Fora do DRE</v>
      </c>
      <c r="T1719" s="3" t="str">
        <f>IF(ISERROR(VLOOKUP(Base_Periodo1[[#This Row],[CONTA]],BaseContasDRE[#All],5,FALSE)),"Fora do DRE",VLOOKUP(Base_Periodo1[[#This Row],[CONTA]],BaseContasDRE[#All],6,FALSE))</f>
        <v>Fora do DRE</v>
      </c>
      <c r="U1719" s="3" t="str">
        <f>IF(ISERROR(VLOOKUP(Base_Periodo1[[#This Row],[CONTA]],BaseContasDRE[#All],7,FALSE)),"Fora do DRE",VLOOKUP(Base_Periodo1[[#This Row],[CONTA]],BaseContasDRE[#All],7,FALSE))</f>
        <v>Fora do DRE</v>
      </c>
      <c r="V1719" s="3" t="str">
        <f>IF(Base_Periodo1[[#This Row],[Tipo_Linha]]="Fora do DRE","Fora do DRE","( "&amp;Base_Periodo1[[#This Row],[Tipo_Linha]]&amp;" ) "&amp;Base_Periodo1[[#This Row],[Filtro]])</f>
        <v>Fora do DRE</v>
      </c>
      <c r="W1719" s="3" t="str">
        <f>LEFT(Base_Periodo1[[#This Row],[CLASS]],3)</f>
        <v>1.1</v>
      </c>
    </row>
    <row r="1720" spans="1:23" hidden="1">
      <c r="A1720" s="3" t="str">
        <f t="shared" si="26"/>
        <v>Período 1</v>
      </c>
      <c r="B1720">
        <v>942</v>
      </c>
      <c r="C1720" t="s">
        <v>5779</v>
      </c>
      <c r="D1720" t="s">
        <v>1054</v>
      </c>
      <c r="E1720" s="3" t="str">
        <f>IF(LEN(Base_Periodo1[[#This Row],[CLASS]])&gt;=7,LEFT(Base_Periodo1[[#This Row],[CLASS]],7),"")</f>
        <v>1.1.3.1</v>
      </c>
      <c r="F1720" s="3" t="str">
        <f>VLOOKUP(Base_Periodo1[[#This Row],[Aux]],Base_Contas_Balanco[#All],2,FALSE)</f>
        <v>Estoques Proprios</v>
      </c>
      <c r="G1720" s="1">
        <v>42735</v>
      </c>
      <c r="H1720" s="225">
        <v>40489.059999999983</v>
      </c>
      <c r="I1720" s="225">
        <v>0</v>
      </c>
      <c r="J1720" s="225">
        <v>0</v>
      </c>
      <c r="K1720" s="225">
        <v>40489.059999999983</v>
      </c>
      <c r="L17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40489.06</v>
      </c>
      <c r="M1720" s="225">
        <f>ROUND(IF(AND(Base_Periodo1[[#This Row],[Tipo_Linha]]="-",Base_Periodo1[[#This Row],[TIPOSALDO]]="D"),Base_Periodo1[[#This Row],[SALDO_ATUAL]]*-1,Base_Periodo1[[#This Row],[SALDO_ATUAL]]),4)</f>
        <v>40489.06</v>
      </c>
      <c r="N1720" t="s">
        <v>116</v>
      </c>
      <c r="O1720" t="s">
        <v>397</v>
      </c>
      <c r="P1720" t="s">
        <v>397</v>
      </c>
      <c r="Q1720">
        <v>9</v>
      </c>
      <c r="R1720" s="225">
        <f>Base_Periodo1[[#This Row],[CREDITOS]]-Base_Periodo1[[#This Row],[DEBITOS]]</f>
        <v>0</v>
      </c>
      <c r="S1720" s="3" t="str">
        <f>IF(ISERROR(VLOOKUP(Base_Periodo1[[#This Row],[CONTA]],BaseContasDRE[#All],4,FALSE)),"Fora do DRE",VLOOKUP(Base_Periodo1[[#This Row],[CONTA]],BaseContasDRE[#All],4,FALSE))</f>
        <v>Fora do DRE</v>
      </c>
      <c r="T1720" s="3" t="str">
        <f>IF(ISERROR(VLOOKUP(Base_Periodo1[[#This Row],[CONTA]],BaseContasDRE[#All],5,FALSE)),"Fora do DRE",VLOOKUP(Base_Periodo1[[#This Row],[CONTA]],BaseContasDRE[#All],6,FALSE))</f>
        <v>Fora do DRE</v>
      </c>
      <c r="U1720" s="3" t="str">
        <f>IF(ISERROR(VLOOKUP(Base_Periodo1[[#This Row],[CONTA]],BaseContasDRE[#All],7,FALSE)),"Fora do DRE",VLOOKUP(Base_Periodo1[[#This Row],[CONTA]],BaseContasDRE[#All],7,FALSE))</f>
        <v>Fora do DRE</v>
      </c>
      <c r="V1720" s="3" t="str">
        <f>IF(Base_Periodo1[[#This Row],[Tipo_Linha]]="Fora do DRE","Fora do DRE","( "&amp;Base_Periodo1[[#This Row],[Tipo_Linha]]&amp;" ) "&amp;Base_Periodo1[[#This Row],[Filtro]])</f>
        <v>Fora do DRE</v>
      </c>
      <c r="W1720" s="3" t="str">
        <f>LEFT(Base_Periodo1[[#This Row],[CLASS]],3)</f>
        <v>1.1</v>
      </c>
    </row>
    <row r="1721" spans="1:23" hidden="1">
      <c r="A1721" s="3" t="str">
        <f t="shared" si="26"/>
        <v>Período 1</v>
      </c>
      <c r="B1721">
        <v>945</v>
      </c>
      <c r="C1721" t="s">
        <v>5306</v>
      </c>
      <c r="D1721" t="s">
        <v>1063</v>
      </c>
      <c r="E1721" s="3" t="str">
        <f>IF(LEN(Base_Periodo1[[#This Row],[CLASS]])&gt;=7,LEFT(Base_Periodo1[[#This Row],[CLASS]],7),"")</f>
        <v>1.1.3.1</v>
      </c>
      <c r="F1721" s="3" t="str">
        <f>VLOOKUP(Base_Periodo1[[#This Row],[Aux]],Base_Contas_Balanco[#All],2,FALSE)</f>
        <v>Estoques Proprios</v>
      </c>
      <c r="G1721" s="1"/>
      <c r="H1721" s="225">
        <v>2701.9300000000021</v>
      </c>
      <c r="I1721" s="225">
        <v>0</v>
      </c>
      <c r="J1721" s="225">
        <v>0</v>
      </c>
      <c r="K1721" s="225">
        <v>2701.9300000000021</v>
      </c>
      <c r="L17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2701.93</v>
      </c>
      <c r="M1721" s="225">
        <f>ROUND(IF(AND(Base_Periodo1[[#This Row],[Tipo_Linha]]="-",Base_Periodo1[[#This Row],[TIPOSALDO]]="D"),Base_Periodo1[[#This Row],[SALDO_ATUAL]]*-1,Base_Periodo1[[#This Row],[SALDO_ATUAL]]),4)</f>
        <v>2701.93</v>
      </c>
      <c r="N1721" t="s">
        <v>396</v>
      </c>
      <c r="O1721" t="s">
        <v>397</v>
      </c>
      <c r="P1721" t="s">
        <v>397</v>
      </c>
      <c r="Q1721">
        <v>8</v>
      </c>
      <c r="R1721" s="225">
        <f>Base_Periodo1[[#This Row],[CREDITOS]]-Base_Periodo1[[#This Row],[DEBITOS]]</f>
        <v>0</v>
      </c>
      <c r="S1721" s="3" t="str">
        <f>IF(ISERROR(VLOOKUP(Base_Periodo1[[#This Row],[CONTA]],BaseContasDRE[#All],4,FALSE)),"Fora do DRE",VLOOKUP(Base_Periodo1[[#This Row],[CONTA]],BaseContasDRE[#All],4,FALSE))</f>
        <v>Fora do DRE</v>
      </c>
      <c r="T1721" s="3" t="str">
        <f>IF(ISERROR(VLOOKUP(Base_Periodo1[[#This Row],[CONTA]],BaseContasDRE[#All],5,FALSE)),"Fora do DRE",VLOOKUP(Base_Periodo1[[#This Row],[CONTA]],BaseContasDRE[#All],6,FALSE))</f>
        <v>Fora do DRE</v>
      </c>
      <c r="U1721" s="3" t="str">
        <f>IF(ISERROR(VLOOKUP(Base_Periodo1[[#This Row],[CONTA]],BaseContasDRE[#All],7,FALSE)),"Fora do DRE",VLOOKUP(Base_Periodo1[[#This Row],[CONTA]],BaseContasDRE[#All],7,FALSE))</f>
        <v>Fora do DRE</v>
      </c>
      <c r="V1721" s="3" t="str">
        <f>IF(Base_Periodo1[[#This Row],[Tipo_Linha]]="Fora do DRE","Fora do DRE","( "&amp;Base_Periodo1[[#This Row],[Tipo_Linha]]&amp;" ) "&amp;Base_Periodo1[[#This Row],[Filtro]])</f>
        <v>Fora do DRE</v>
      </c>
      <c r="W1721" s="3" t="str">
        <f>LEFT(Base_Periodo1[[#This Row],[CLASS]],3)</f>
        <v>1.1</v>
      </c>
    </row>
    <row r="1722" spans="1:23" hidden="1">
      <c r="A1722" s="3" t="str">
        <f t="shared" si="26"/>
        <v>Período 1</v>
      </c>
      <c r="B1722">
        <v>946</v>
      </c>
      <c r="C1722" t="s">
        <v>5307</v>
      </c>
      <c r="D1722" t="s">
        <v>1065</v>
      </c>
      <c r="E1722" s="3" t="str">
        <f>IF(LEN(Base_Periodo1[[#This Row],[CLASS]])&gt;=7,LEFT(Base_Periodo1[[#This Row],[CLASS]],7),"")</f>
        <v>1.1.3.1</v>
      </c>
      <c r="F1722" s="3" t="str">
        <f>VLOOKUP(Base_Periodo1[[#This Row],[Aux]],Base_Contas_Balanco[#All],2,FALSE)</f>
        <v>Estoques Proprios</v>
      </c>
      <c r="G1722" s="1">
        <v>42747</v>
      </c>
      <c r="H1722" s="225">
        <v>2701.9300000000021</v>
      </c>
      <c r="I1722" s="225">
        <v>0</v>
      </c>
      <c r="J1722" s="225">
        <v>0</v>
      </c>
      <c r="K1722" s="225">
        <v>2701.9300000000021</v>
      </c>
      <c r="L17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2701.93</v>
      </c>
      <c r="M1722" s="225">
        <f>ROUND(IF(AND(Base_Periodo1[[#This Row],[Tipo_Linha]]="-",Base_Periodo1[[#This Row],[TIPOSALDO]]="D"),Base_Periodo1[[#This Row],[SALDO_ATUAL]]*-1,Base_Periodo1[[#This Row],[SALDO_ATUAL]]),4)</f>
        <v>2701.93</v>
      </c>
      <c r="N1722" t="s">
        <v>116</v>
      </c>
      <c r="O1722" t="s">
        <v>397</v>
      </c>
      <c r="P1722" t="s">
        <v>397</v>
      </c>
      <c r="Q1722">
        <v>9</v>
      </c>
      <c r="R1722" s="225">
        <f>Base_Periodo1[[#This Row],[CREDITOS]]-Base_Periodo1[[#This Row],[DEBITOS]]</f>
        <v>0</v>
      </c>
      <c r="S1722" s="3" t="str">
        <f>IF(ISERROR(VLOOKUP(Base_Periodo1[[#This Row],[CONTA]],BaseContasDRE[#All],4,FALSE)),"Fora do DRE",VLOOKUP(Base_Periodo1[[#This Row],[CONTA]],BaseContasDRE[#All],4,FALSE))</f>
        <v>Fora do DRE</v>
      </c>
      <c r="T1722" s="3" t="str">
        <f>IF(ISERROR(VLOOKUP(Base_Periodo1[[#This Row],[CONTA]],BaseContasDRE[#All],5,FALSE)),"Fora do DRE",VLOOKUP(Base_Periodo1[[#This Row],[CONTA]],BaseContasDRE[#All],6,FALSE))</f>
        <v>Fora do DRE</v>
      </c>
      <c r="U1722" s="3" t="str">
        <f>IF(ISERROR(VLOOKUP(Base_Periodo1[[#This Row],[CONTA]],BaseContasDRE[#All],7,FALSE)),"Fora do DRE",VLOOKUP(Base_Periodo1[[#This Row],[CONTA]],BaseContasDRE[#All],7,FALSE))</f>
        <v>Fora do DRE</v>
      </c>
      <c r="V1722" s="3" t="str">
        <f>IF(Base_Periodo1[[#This Row],[Tipo_Linha]]="Fora do DRE","Fora do DRE","( "&amp;Base_Periodo1[[#This Row],[Tipo_Linha]]&amp;" ) "&amp;Base_Periodo1[[#This Row],[Filtro]])</f>
        <v>Fora do DRE</v>
      </c>
      <c r="W1722" s="3" t="str">
        <f>LEFT(Base_Periodo1[[#This Row],[CLASS]],3)</f>
        <v>1.1</v>
      </c>
    </row>
    <row r="1723" spans="1:23" hidden="1">
      <c r="A1723" s="3" t="str">
        <f t="shared" si="26"/>
        <v>Período 1</v>
      </c>
      <c r="B1723">
        <v>953</v>
      </c>
      <c r="C1723" t="s">
        <v>5201</v>
      </c>
      <c r="D1723" t="s">
        <v>1067</v>
      </c>
      <c r="E1723" s="3" t="str">
        <f>IF(LEN(Base_Periodo1[[#This Row],[CLASS]])&gt;=7,LEFT(Base_Periodo1[[#This Row],[CLASS]],7),"")</f>
        <v>1.1.3.1</v>
      </c>
      <c r="F1723" s="3" t="str">
        <f>VLOOKUP(Base_Periodo1[[#This Row],[Aux]],Base_Contas_Balanco[#All],2,FALSE)</f>
        <v>Estoques Proprios</v>
      </c>
      <c r="G1723" s="1"/>
      <c r="H1723" s="225">
        <v>2933.2400000000016</v>
      </c>
      <c r="I1723" s="225">
        <v>0</v>
      </c>
      <c r="J1723" s="225">
        <v>0</v>
      </c>
      <c r="K1723" s="225">
        <v>2933.2400000000016</v>
      </c>
      <c r="L17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-2933.24</v>
      </c>
      <c r="M1723" s="225">
        <f>ROUND(IF(AND(Base_Periodo1[[#This Row],[Tipo_Linha]]="-",Base_Periodo1[[#This Row],[TIPOSALDO]]="D"),Base_Periodo1[[#This Row],[SALDO_ATUAL]]*-1,Base_Periodo1[[#This Row],[SALDO_ATUAL]]),4)</f>
        <v>2933.24</v>
      </c>
      <c r="N1723" t="s">
        <v>396</v>
      </c>
      <c r="O1723" t="s">
        <v>459</v>
      </c>
      <c r="P1723" t="s">
        <v>459</v>
      </c>
      <c r="Q1723">
        <v>8</v>
      </c>
      <c r="R1723" s="225">
        <f>Base_Periodo1[[#This Row],[CREDITOS]]-Base_Periodo1[[#This Row],[DEBITOS]]</f>
        <v>0</v>
      </c>
      <c r="S1723" s="3" t="str">
        <f>IF(ISERROR(VLOOKUP(Base_Periodo1[[#This Row],[CONTA]],BaseContasDRE[#All],4,FALSE)),"Fora do DRE",VLOOKUP(Base_Periodo1[[#This Row],[CONTA]],BaseContasDRE[#All],4,FALSE))</f>
        <v>Fora do DRE</v>
      </c>
      <c r="T1723" s="3" t="str">
        <f>IF(ISERROR(VLOOKUP(Base_Periodo1[[#This Row],[CONTA]],BaseContasDRE[#All],5,FALSE)),"Fora do DRE",VLOOKUP(Base_Periodo1[[#This Row],[CONTA]],BaseContasDRE[#All],6,FALSE))</f>
        <v>Fora do DRE</v>
      </c>
      <c r="U1723" s="3" t="str">
        <f>IF(ISERROR(VLOOKUP(Base_Periodo1[[#This Row],[CONTA]],BaseContasDRE[#All],7,FALSE)),"Fora do DRE",VLOOKUP(Base_Periodo1[[#This Row],[CONTA]],BaseContasDRE[#All],7,FALSE))</f>
        <v>Fora do DRE</v>
      </c>
      <c r="V1723" s="3" t="str">
        <f>IF(Base_Periodo1[[#This Row],[Tipo_Linha]]="Fora do DRE","Fora do DRE","( "&amp;Base_Periodo1[[#This Row],[Tipo_Linha]]&amp;" ) "&amp;Base_Periodo1[[#This Row],[Filtro]])</f>
        <v>Fora do DRE</v>
      </c>
      <c r="W1723" s="3" t="str">
        <f>LEFT(Base_Periodo1[[#This Row],[CLASS]],3)</f>
        <v>1.1</v>
      </c>
    </row>
    <row r="1724" spans="1:23" hidden="1">
      <c r="A1724" s="3" t="str">
        <f t="shared" si="26"/>
        <v>Período 1</v>
      </c>
      <c r="B1724">
        <v>954</v>
      </c>
      <c r="C1724" t="s">
        <v>5202</v>
      </c>
      <c r="D1724" t="s">
        <v>1068</v>
      </c>
      <c r="E1724" s="3" t="str">
        <f>IF(LEN(Base_Periodo1[[#This Row],[CLASS]])&gt;=7,LEFT(Base_Periodo1[[#This Row],[CLASS]],7),"")</f>
        <v>1.1.3.1</v>
      </c>
      <c r="F1724" s="3" t="str">
        <f>VLOOKUP(Base_Periodo1[[#This Row],[Aux]],Base_Contas_Balanco[#All],2,FALSE)</f>
        <v>Estoques Proprios</v>
      </c>
      <c r="G1724" s="1">
        <v>42766</v>
      </c>
      <c r="H1724" s="225">
        <v>2933.2400000000016</v>
      </c>
      <c r="I1724" s="225">
        <v>0</v>
      </c>
      <c r="J1724" s="225">
        <v>0</v>
      </c>
      <c r="K1724" s="225">
        <v>2933.2400000000016</v>
      </c>
      <c r="L17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-2933.24</v>
      </c>
      <c r="M1724" s="225">
        <f>ROUND(IF(AND(Base_Periodo1[[#This Row],[Tipo_Linha]]="-",Base_Periodo1[[#This Row],[TIPOSALDO]]="D"),Base_Periodo1[[#This Row],[SALDO_ATUAL]]*-1,Base_Periodo1[[#This Row],[SALDO_ATUAL]]),4)</f>
        <v>2933.24</v>
      </c>
      <c r="N1724" t="s">
        <v>116</v>
      </c>
      <c r="O1724" t="s">
        <v>459</v>
      </c>
      <c r="P1724" t="s">
        <v>459</v>
      </c>
      <c r="Q1724">
        <v>9</v>
      </c>
      <c r="R1724" s="225">
        <f>Base_Periodo1[[#This Row],[CREDITOS]]-Base_Periodo1[[#This Row],[DEBITOS]]</f>
        <v>0</v>
      </c>
      <c r="S1724" s="3" t="str">
        <f>IF(ISERROR(VLOOKUP(Base_Periodo1[[#This Row],[CONTA]],BaseContasDRE[#All],4,FALSE)),"Fora do DRE",VLOOKUP(Base_Periodo1[[#This Row],[CONTA]],BaseContasDRE[#All],4,FALSE))</f>
        <v>Fora do DRE</v>
      </c>
      <c r="T1724" s="3" t="str">
        <f>IF(ISERROR(VLOOKUP(Base_Periodo1[[#This Row],[CONTA]],BaseContasDRE[#All],5,FALSE)),"Fora do DRE",VLOOKUP(Base_Periodo1[[#This Row],[CONTA]],BaseContasDRE[#All],6,FALSE))</f>
        <v>Fora do DRE</v>
      </c>
      <c r="U1724" s="3" t="str">
        <f>IF(ISERROR(VLOOKUP(Base_Periodo1[[#This Row],[CONTA]],BaseContasDRE[#All],7,FALSE)),"Fora do DRE",VLOOKUP(Base_Periodo1[[#This Row],[CONTA]],BaseContasDRE[#All],7,FALSE))</f>
        <v>Fora do DRE</v>
      </c>
      <c r="V1724" s="3" t="str">
        <f>IF(Base_Periodo1[[#This Row],[Tipo_Linha]]="Fora do DRE","Fora do DRE","( "&amp;Base_Periodo1[[#This Row],[Tipo_Linha]]&amp;" ) "&amp;Base_Periodo1[[#This Row],[Filtro]])</f>
        <v>Fora do DRE</v>
      </c>
      <c r="W1724" s="3" t="str">
        <f>LEFT(Base_Periodo1[[#This Row],[CLASS]],3)</f>
        <v>1.1</v>
      </c>
    </row>
    <row r="1725" spans="1:23" hidden="1">
      <c r="A1725" s="3" t="str">
        <f t="shared" si="26"/>
        <v>Período 1</v>
      </c>
      <c r="B1725">
        <v>959</v>
      </c>
      <c r="C1725" t="s">
        <v>5308</v>
      </c>
      <c r="D1725" t="s">
        <v>1072</v>
      </c>
      <c r="E1725" s="3" t="str">
        <f>IF(LEN(Base_Periodo1[[#This Row],[CLASS]])&gt;=7,LEFT(Base_Periodo1[[#This Row],[CLASS]],7),"")</f>
        <v>1.1.3.1</v>
      </c>
      <c r="F1725" s="3" t="str">
        <f>VLOOKUP(Base_Periodo1[[#This Row],[Aux]],Base_Contas_Balanco[#All],2,FALSE)</f>
        <v>Estoques Proprios</v>
      </c>
      <c r="G1725" s="1"/>
      <c r="H1725" s="225">
        <v>2701.9300000000021</v>
      </c>
      <c r="I1725" s="225">
        <v>0</v>
      </c>
      <c r="J1725" s="225">
        <v>0</v>
      </c>
      <c r="K1725" s="225">
        <v>2701.9300000000021</v>
      </c>
      <c r="L17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-2701.93</v>
      </c>
      <c r="M1725" s="225">
        <f>ROUND(IF(AND(Base_Periodo1[[#This Row],[Tipo_Linha]]="-",Base_Periodo1[[#This Row],[TIPOSALDO]]="D"),Base_Periodo1[[#This Row],[SALDO_ATUAL]]*-1,Base_Periodo1[[#This Row],[SALDO_ATUAL]]),4)</f>
        <v>2701.93</v>
      </c>
      <c r="N1725" t="s">
        <v>396</v>
      </c>
      <c r="O1725" t="s">
        <v>459</v>
      </c>
      <c r="P1725" t="s">
        <v>459</v>
      </c>
      <c r="Q1725">
        <v>8</v>
      </c>
      <c r="R1725" s="225">
        <f>Base_Periodo1[[#This Row],[CREDITOS]]-Base_Periodo1[[#This Row],[DEBITOS]]</f>
        <v>0</v>
      </c>
      <c r="S1725" s="3" t="str">
        <f>IF(ISERROR(VLOOKUP(Base_Periodo1[[#This Row],[CONTA]],BaseContasDRE[#All],4,FALSE)),"Fora do DRE",VLOOKUP(Base_Periodo1[[#This Row],[CONTA]],BaseContasDRE[#All],4,FALSE))</f>
        <v>Fora do DRE</v>
      </c>
      <c r="T1725" s="3" t="str">
        <f>IF(ISERROR(VLOOKUP(Base_Periodo1[[#This Row],[CONTA]],BaseContasDRE[#All],5,FALSE)),"Fora do DRE",VLOOKUP(Base_Periodo1[[#This Row],[CONTA]],BaseContasDRE[#All],6,FALSE))</f>
        <v>Fora do DRE</v>
      </c>
      <c r="U1725" s="3" t="str">
        <f>IF(ISERROR(VLOOKUP(Base_Periodo1[[#This Row],[CONTA]],BaseContasDRE[#All],7,FALSE)),"Fora do DRE",VLOOKUP(Base_Periodo1[[#This Row],[CONTA]],BaseContasDRE[#All],7,FALSE))</f>
        <v>Fora do DRE</v>
      </c>
      <c r="V1725" s="3" t="str">
        <f>IF(Base_Periodo1[[#This Row],[Tipo_Linha]]="Fora do DRE","Fora do DRE","( "&amp;Base_Periodo1[[#This Row],[Tipo_Linha]]&amp;" ) "&amp;Base_Periodo1[[#This Row],[Filtro]])</f>
        <v>Fora do DRE</v>
      </c>
      <c r="W1725" s="3" t="str">
        <f>LEFT(Base_Periodo1[[#This Row],[CLASS]],3)</f>
        <v>1.1</v>
      </c>
    </row>
    <row r="1726" spans="1:23" hidden="1">
      <c r="A1726" s="3" t="str">
        <f t="shared" si="26"/>
        <v>Período 1</v>
      </c>
      <c r="B1726">
        <v>960</v>
      </c>
      <c r="C1726" t="s">
        <v>5309</v>
      </c>
      <c r="D1726" t="s">
        <v>1074</v>
      </c>
      <c r="E1726" s="3" t="str">
        <f>IF(LEN(Base_Periodo1[[#This Row],[CLASS]])&gt;=7,LEFT(Base_Periodo1[[#This Row],[CLASS]],7),"")</f>
        <v>1.1.3.1</v>
      </c>
      <c r="F1726" s="3" t="str">
        <f>VLOOKUP(Base_Periodo1[[#This Row],[Aux]],Base_Contas_Balanco[#All],2,FALSE)</f>
        <v>Estoques Proprios</v>
      </c>
      <c r="G1726" s="1">
        <v>42747</v>
      </c>
      <c r="H1726" s="225">
        <v>2701.9300000000021</v>
      </c>
      <c r="I1726" s="225">
        <v>0</v>
      </c>
      <c r="J1726" s="225">
        <v>0</v>
      </c>
      <c r="K1726" s="225">
        <v>2701.9300000000021</v>
      </c>
      <c r="L17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-2701.93</v>
      </c>
      <c r="M1726" s="225">
        <f>ROUND(IF(AND(Base_Periodo1[[#This Row],[Tipo_Linha]]="-",Base_Periodo1[[#This Row],[TIPOSALDO]]="D"),Base_Periodo1[[#This Row],[SALDO_ATUAL]]*-1,Base_Periodo1[[#This Row],[SALDO_ATUAL]]),4)</f>
        <v>2701.93</v>
      </c>
      <c r="N1726" t="s">
        <v>116</v>
      </c>
      <c r="O1726" t="s">
        <v>459</v>
      </c>
      <c r="P1726" t="s">
        <v>459</v>
      </c>
      <c r="Q1726">
        <v>9</v>
      </c>
      <c r="R1726" s="225">
        <f>Base_Periodo1[[#This Row],[CREDITOS]]-Base_Periodo1[[#This Row],[DEBITOS]]</f>
        <v>0</v>
      </c>
      <c r="S1726" s="3" t="str">
        <f>IF(ISERROR(VLOOKUP(Base_Periodo1[[#This Row],[CONTA]],BaseContasDRE[#All],4,FALSE)),"Fora do DRE",VLOOKUP(Base_Periodo1[[#This Row],[CONTA]],BaseContasDRE[#All],4,FALSE))</f>
        <v>Fora do DRE</v>
      </c>
      <c r="T1726" s="3" t="str">
        <f>IF(ISERROR(VLOOKUP(Base_Periodo1[[#This Row],[CONTA]],BaseContasDRE[#All],5,FALSE)),"Fora do DRE",VLOOKUP(Base_Periodo1[[#This Row],[CONTA]],BaseContasDRE[#All],6,FALSE))</f>
        <v>Fora do DRE</v>
      </c>
      <c r="U1726" s="3" t="str">
        <f>IF(ISERROR(VLOOKUP(Base_Periodo1[[#This Row],[CONTA]],BaseContasDRE[#All],7,FALSE)),"Fora do DRE",VLOOKUP(Base_Periodo1[[#This Row],[CONTA]],BaseContasDRE[#All],7,FALSE))</f>
        <v>Fora do DRE</v>
      </c>
      <c r="V1726" s="3" t="str">
        <f>IF(Base_Periodo1[[#This Row],[Tipo_Linha]]="Fora do DRE","Fora do DRE","( "&amp;Base_Periodo1[[#This Row],[Tipo_Linha]]&amp;" ) "&amp;Base_Periodo1[[#This Row],[Filtro]])</f>
        <v>Fora do DRE</v>
      </c>
      <c r="W1726" s="3" t="str">
        <f>LEFT(Base_Periodo1[[#This Row],[CLASS]],3)</f>
        <v>1.1</v>
      </c>
    </row>
    <row r="1727" spans="1:23" hidden="1">
      <c r="A1727" s="3" t="str">
        <f t="shared" si="26"/>
        <v>Período 1</v>
      </c>
      <c r="B1727">
        <v>991</v>
      </c>
      <c r="C1727" t="s">
        <v>1380</v>
      </c>
      <c r="D1727" t="s">
        <v>1381</v>
      </c>
      <c r="E1727" s="3" t="str">
        <f>IF(LEN(Base_Periodo1[[#This Row],[CLASS]])&gt;=7,LEFT(Base_Periodo1[[#This Row],[CLASS]],7),"")</f>
        <v>1.1.3.1</v>
      </c>
      <c r="F1727" s="3" t="str">
        <f>VLOOKUP(Base_Periodo1[[#This Row],[Aux]],Base_Contas_Balanco[#All],2,FALSE)</f>
        <v>Estoques Proprios</v>
      </c>
      <c r="G1727" s="1"/>
      <c r="H1727" s="225">
        <v>1290193.3599999989</v>
      </c>
      <c r="I1727" s="225">
        <v>136798.64000000001</v>
      </c>
      <c r="J1727" s="225">
        <v>131161.85</v>
      </c>
      <c r="K1727" s="225">
        <v>1295830.149999999</v>
      </c>
      <c r="L17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1295830.1499999999</v>
      </c>
      <c r="M1727" s="225">
        <f>ROUND(IF(AND(Base_Periodo1[[#This Row],[Tipo_Linha]]="-",Base_Periodo1[[#This Row],[TIPOSALDO]]="D"),Base_Periodo1[[#This Row],[SALDO_ATUAL]]*-1,Base_Periodo1[[#This Row],[SALDO_ATUAL]]),4)</f>
        <v>1295830.1499999999</v>
      </c>
      <c r="N1727" t="s">
        <v>396</v>
      </c>
      <c r="O1727" t="s">
        <v>397</v>
      </c>
      <c r="P1727" t="s">
        <v>397</v>
      </c>
      <c r="Q1727">
        <v>5</v>
      </c>
      <c r="R1727" s="225">
        <f>Base_Periodo1[[#This Row],[CREDITOS]]-Base_Periodo1[[#This Row],[DEBITOS]]</f>
        <v>-5636.7900000000081</v>
      </c>
      <c r="S1727" s="3" t="str">
        <f>IF(ISERROR(VLOOKUP(Base_Periodo1[[#This Row],[CONTA]],BaseContasDRE[#All],4,FALSE)),"Fora do DRE",VLOOKUP(Base_Periodo1[[#This Row],[CONTA]],BaseContasDRE[#All],4,FALSE))</f>
        <v>Fora do DRE</v>
      </c>
      <c r="T1727" s="3" t="str">
        <f>IF(ISERROR(VLOOKUP(Base_Periodo1[[#This Row],[CONTA]],BaseContasDRE[#All],5,FALSE)),"Fora do DRE",VLOOKUP(Base_Periodo1[[#This Row],[CONTA]],BaseContasDRE[#All],6,FALSE))</f>
        <v>Fora do DRE</v>
      </c>
      <c r="U1727" s="3" t="str">
        <f>IF(ISERROR(VLOOKUP(Base_Periodo1[[#This Row],[CONTA]],BaseContasDRE[#All],7,FALSE)),"Fora do DRE",VLOOKUP(Base_Periodo1[[#This Row],[CONTA]],BaseContasDRE[#All],7,FALSE))</f>
        <v>Fora do DRE</v>
      </c>
      <c r="V1727" s="3" t="str">
        <f>IF(Base_Periodo1[[#This Row],[Tipo_Linha]]="Fora do DRE","Fora do DRE","( "&amp;Base_Periodo1[[#This Row],[Tipo_Linha]]&amp;" ) "&amp;Base_Periodo1[[#This Row],[Filtro]])</f>
        <v>Fora do DRE</v>
      </c>
      <c r="W1727" s="3" t="str">
        <f>LEFT(Base_Periodo1[[#This Row],[CLASS]],3)</f>
        <v>1.1</v>
      </c>
    </row>
    <row r="1728" spans="1:23" hidden="1">
      <c r="A1728" s="3" t="str">
        <f t="shared" si="26"/>
        <v>Período 1</v>
      </c>
      <c r="B1728">
        <v>992</v>
      </c>
      <c r="C1728" t="s">
        <v>1382</v>
      </c>
      <c r="D1728" t="s">
        <v>1383</v>
      </c>
      <c r="E1728" s="3" t="str">
        <f>IF(LEN(Base_Periodo1[[#This Row],[CLASS]])&gt;=7,LEFT(Base_Periodo1[[#This Row],[CLASS]],7),"")</f>
        <v>1.1.3.1</v>
      </c>
      <c r="F1728" s="3" t="str">
        <f>VLOOKUP(Base_Periodo1[[#This Row],[Aux]],Base_Contas_Balanco[#All],2,FALSE)</f>
        <v>Estoques Proprios</v>
      </c>
      <c r="G1728" s="1"/>
      <c r="H1728" s="225">
        <v>1290193.3599999989</v>
      </c>
      <c r="I1728" s="225">
        <v>136798.64000000001</v>
      </c>
      <c r="J1728" s="225">
        <v>131161.85</v>
      </c>
      <c r="K1728" s="225">
        <v>1295830.149999999</v>
      </c>
      <c r="L17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1295830.1499999999</v>
      </c>
      <c r="M1728" s="225">
        <f>ROUND(IF(AND(Base_Periodo1[[#This Row],[Tipo_Linha]]="-",Base_Periodo1[[#This Row],[TIPOSALDO]]="D"),Base_Periodo1[[#This Row],[SALDO_ATUAL]]*-1,Base_Periodo1[[#This Row],[SALDO_ATUAL]]),4)</f>
        <v>1295830.1499999999</v>
      </c>
      <c r="N1728" t="s">
        <v>396</v>
      </c>
      <c r="O1728" t="s">
        <v>397</v>
      </c>
      <c r="P1728" t="s">
        <v>397</v>
      </c>
      <c r="Q1728">
        <v>6</v>
      </c>
      <c r="R1728" s="225">
        <f>Base_Periodo1[[#This Row],[CREDITOS]]-Base_Periodo1[[#This Row],[DEBITOS]]</f>
        <v>-5636.7900000000081</v>
      </c>
      <c r="S1728" s="3" t="str">
        <f>IF(ISERROR(VLOOKUP(Base_Periodo1[[#This Row],[CONTA]],BaseContasDRE[#All],4,FALSE)),"Fora do DRE",VLOOKUP(Base_Periodo1[[#This Row],[CONTA]],BaseContasDRE[#All],4,FALSE))</f>
        <v>Fora do DRE</v>
      </c>
      <c r="T1728" s="3" t="str">
        <f>IF(ISERROR(VLOOKUP(Base_Periodo1[[#This Row],[CONTA]],BaseContasDRE[#All],5,FALSE)),"Fora do DRE",VLOOKUP(Base_Periodo1[[#This Row],[CONTA]],BaseContasDRE[#All],6,FALSE))</f>
        <v>Fora do DRE</v>
      </c>
      <c r="U1728" s="3" t="str">
        <f>IF(ISERROR(VLOOKUP(Base_Periodo1[[#This Row],[CONTA]],BaseContasDRE[#All],7,FALSE)),"Fora do DRE",VLOOKUP(Base_Periodo1[[#This Row],[CONTA]],BaseContasDRE[#All],7,FALSE))</f>
        <v>Fora do DRE</v>
      </c>
      <c r="V1728" s="3" t="str">
        <f>IF(Base_Periodo1[[#This Row],[Tipo_Linha]]="Fora do DRE","Fora do DRE","( "&amp;Base_Periodo1[[#This Row],[Tipo_Linha]]&amp;" ) "&amp;Base_Periodo1[[#This Row],[Filtro]])</f>
        <v>Fora do DRE</v>
      </c>
      <c r="W1728" s="3" t="str">
        <f>LEFT(Base_Periodo1[[#This Row],[CLASS]],3)</f>
        <v>1.1</v>
      </c>
    </row>
    <row r="1729" spans="1:23" hidden="1">
      <c r="A1729" s="3" t="str">
        <f t="shared" si="26"/>
        <v>Período 1</v>
      </c>
      <c r="B1729">
        <v>999</v>
      </c>
      <c r="C1729" t="s">
        <v>1384</v>
      </c>
      <c r="D1729" t="s">
        <v>1385</v>
      </c>
      <c r="E1729" s="3" t="str">
        <f>IF(LEN(Base_Periodo1[[#This Row],[CLASS]])&gt;=7,LEFT(Base_Periodo1[[#This Row],[CLASS]],7),"")</f>
        <v>1.1.3.1</v>
      </c>
      <c r="F1729" s="3" t="str">
        <f>VLOOKUP(Base_Periodo1[[#This Row],[Aux]],Base_Contas_Balanco[#All],2,FALSE)</f>
        <v>Estoques Proprios</v>
      </c>
      <c r="G1729" s="1"/>
      <c r="H1729" s="225">
        <v>3385.1000000000058</v>
      </c>
      <c r="I1729" s="225">
        <v>0</v>
      </c>
      <c r="J1729" s="225">
        <v>0</v>
      </c>
      <c r="K1729" s="225">
        <v>3385.1000000000058</v>
      </c>
      <c r="L17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3385.1</v>
      </c>
      <c r="M1729" s="225">
        <f>ROUND(IF(AND(Base_Periodo1[[#This Row],[Tipo_Linha]]="-",Base_Periodo1[[#This Row],[TIPOSALDO]]="D"),Base_Periodo1[[#This Row],[SALDO_ATUAL]]*-1,Base_Periodo1[[#This Row],[SALDO_ATUAL]]),4)</f>
        <v>3385.1</v>
      </c>
      <c r="N1729" t="s">
        <v>396</v>
      </c>
      <c r="O1729" t="s">
        <v>397</v>
      </c>
      <c r="P1729" t="s">
        <v>397</v>
      </c>
      <c r="Q1729">
        <v>7</v>
      </c>
      <c r="R1729" s="225">
        <f>Base_Periodo1[[#This Row],[CREDITOS]]-Base_Periodo1[[#This Row],[DEBITOS]]</f>
        <v>0</v>
      </c>
      <c r="S1729" s="3" t="str">
        <f>IF(ISERROR(VLOOKUP(Base_Periodo1[[#This Row],[CONTA]],BaseContasDRE[#All],4,FALSE)),"Fora do DRE",VLOOKUP(Base_Periodo1[[#This Row],[CONTA]],BaseContasDRE[#All],4,FALSE))</f>
        <v>Fora do DRE</v>
      </c>
      <c r="T1729" s="3" t="str">
        <f>IF(ISERROR(VLOOKUP(Base_Periodo1[[#This Row],[CONTA]],BaseContasDRE[#All],5,FALSE)),"Fora do DRE",VLOOKUP(Base_Periodo1[[#This Row],[CONTA]],BaseContasDRE[#All],6,FALSE))</f>
        <v>Fora do DRE</v>
      </c>
      <c r="U1729" s="3" t="str">
        <f>IF(ISERROR(VLOOKUP(Base_Periodo1[[#This Row],[CONTA]],BaseContasDRE[#All],7,FALSE)),"Fora do DRE",VLOOKUP(Base_Periodo1[[#This Row],[CONTA]],BaseContasDRE[#All],7,FALSE))</f>
        <v>Fora do DRE</v>
      </c>
      <c r="V1729" s="3" t="str">
        <f>IF(Base_Periodo1[[#This Row],[Tipo_Linha]]="Fora do DRE","Fora do DRE","( "&amp;Base_Periodo1[[#This Row],[Tipo_Linha]]&amp;" ) "&amp;Base_Periodo1[[#This Row],[Filtro]])</f>
        <v>Fora do DRE</v>
      </c>
      <c r="W1729" s="3" t="str">
        <f>LEFT(Base_Periodo1[[#This Row],[CLASS]],3)</f>
        <v>1.1</v>
      </c>
    </row>
    <row r="1730" spans="1:23" hidden="1">
      <c r="A1730" s="3" t="str">
        <f t="shared" si="26"/>
        <v>Período 1</v>
      </c>
      <c r="B1730">
        <v>1000</v>
      </c>
      <c r="C1730" t="s">
        <v>1386</v>
      </c>
      <c r="D1730" t="s">
        <v>1054</v>
      </c>
      <c r="E1730" s="3" t="str">
        <f>IF(LEN(Base_Periodo1[[#This Row],[CLASS]])&gt;=7,LEFT(Base_Periodo1[[#This Row],[CLASS]],7),"")</f>
        <v>1.1.3.1</v>
      </c>
      <c r="F1730" s="3" t="str">
        <f>VLOOKUP(Base_Periodo1[[#This Row],[Aux]],Base_Contas_Balanco[#All],2,FALSE)</f>
        <v>Estoques Proprios</v>
      </c>
      <c r="G1730" s="1"/>
      <c r="H1730" s="225">
        <v>3465.8899999999994</v>
      </c>
      <c r="I1730" s="225">
        <v>0</v>
      </c>
      <c r="J1730" s="225">
        <v>0</v>
      </c>
      <c r="K1730" s="225">
        <v>3465.8899999999994</v>
      </c>
      <c r="L17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3465.89</v>
      </c>
      <c r="M1730" s="225">
        <f>ROUND(IF(AND(Base_Periodo1[[#This Row],[Tipo_Linha]]="-",Base_Periodo1[[#This Row],[TIPOSALDO]]="D"),Base_Periodo1[[#This Row],[SALDO_ATUAL]]*-1,Base_Periodo1[[#This Row],[SALDO_ATUAL]]),4)</f>
        <v>3465.89</v>
      </c>
      <c r="N1730" t="s">
        <v>396</v>
      </c>
      <c r="O1730" t="s">
        <v>397</v>
      </c>
      <c r="P1730" t="s">
        <v>397</v>
      </c>
      <c r="Q1730">
        <v>8</v>
      </c>
      <c r="R1730" s="225">
        <f>Base_Periodo1[[#This Row],[CREDITOS]]-Base_Periodo1[[#This Row],[DEBITOS]]</f>
        <v>0</v>
      </c>
      <c r="S1730" s="3" t="str">
        <f>IF(ISERROR(VLOOKUP(Base_Periodo1[[#This Row],[CONTA]],BaseContasDRE[#All],4,FALSE)),"Fora do DRE",VLOOKUP(Base_Periodo1[[#This Row],[CONTA]],BaseContasDRE[#All],4,FALSE))</f>
        <v>Fora do DRE</v>
      </c>
      <c r="T1730" s="3" t="str">
        <f>IF(ISERROR(VLOOKUP(Base_Periodo1[[#This Row],[CONTA]],BaseContasDRE[#All],5,FALSE)),"Fora do DRE",VLOOKUP(Base_Periodo1[[#This Row],[CONTA]],BaseContasDRE[#All],6,FALSE))</f>
        <v>Fora do DRE</v>
      </c>
      <c r="U1730" s="3" t="str">
        <f>IF(ISERROR(VLOOKUP(Base_Periodo1[[#This Row],[CONTA]],BaseContasDRE[#All],7,FALSE)),"Fora do DRE",VLOOKUP(Base_Periodo1[[#This Row],[CONTA]],BaseContasDRE[#All],7,FALSE))</f>
        <v>Fora do DRE</v>
      </c>
      <c r="V1730" s="3" t="str">
        <f>IF(Base_Periodo1[[#This Row],[Tipo_Linha]]="Fora do DRE","Fora do DRE","( "&amp;Base_Periodo1[[#This Row],[Tipo_Linha]]&amp;" ) "&amp;Base_Periodo1[[#This Row],[Filtro]])</f>
        <v>Fora do DRE</v>
      </c>
      <c r="W1730" s="3" t="str">
        <f>LEFT(Base_Periodo1[[#This Row],[CLASS]],3)</f>
        <v>1.1</v>
      </c>
    </row>
    <row r="1731" spans="1:23" hidden="1">
      <c r="A1731" s="3" t="str">
        <f t="shared" si="26"/>
        <v>Período 1</v>
      </c>
      <c r="B1731">
        <v>1001</v>
      </c>
      <c r="C1731" t="s">
        <v>1387</v>
      </c>
      <c r="D1731" t="s">
        <v>1054</v>
      </c>
      <c r="E1731" s="3" t="str">
        <f>IF(LEN(Base_Periodo1[[#This Row],[CLASS]])&gt;=7,LEFT(Base_Periodo1[[#This Row],[CLASS]],7),"")</f>
        <v>1.1.3.1</v>
      </c>
      <c r="F1731" s="3" t="str">
        <f>VLOOKUP(Base_Periodo1[[#This Row],[Aux]],Base_Contas_Balanco[#All],2,FALSE)</f>
        <v>Estoques Proprios</v>
      </c>
      <c r="G1731" s="1">
        <v>42735</v>
      </c>
      <c r="H1731" s="225">
        <v>3465.8899999999994</v>
      </c>
      <c r="I1731" s="225">
        <v>0</v>
      </c>
      <c r="J1731" s="225">
        <v>0</v>
      </c>
      <c r="K1731" s="225">
        <v>3465.8899999999994</v>
      </c>
      <c r="L17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3465.89</v>
      </c>
      <c r="M1731" s="225">
        <f>ROUND(IF(AND(Base_Periodo1[[#This Row],[Tipo_Linha]]="-",Base_Periodo1[[#This Row],[TIPOSALDO]]="D"),Base_Periodo1[[#This Row],[SALDO_ATUAL]]*-1,Base_Periodo1[[#This Row],[SALDO_ATUAL]]),4)</f>
        <v>3465.89</v>
      </c>
      <c r="N1731" t="s">
        <v>116</v>
      </c>
      <c r="O1731" t="s">
        <v>397</v>
      </c>
      <c r="P1731" t="s">
        <v>397</v>
      </c>
      <c r="Q1731">
        <v>9</v>
      </c>
      <c r="R1731" s="225">
        <f>Base_Periodo1[[#This Row],[CREDITOS]]-Base_Periodo1[[#This Row],[DEBITOS]]</f>
        <v>0</v>
      </c>
      <c r="S1731" s="3" t="str">
        <f>IF(ISERROR(VLOOKUP(Base_Periodo1[[#This Row],[CONTA]],BaseContasDRE[#All],4,FALSE)),"Fora do DRE",VLOOKUP(Base_Periodo1[[#This Row],[CONTA]],BaseContasDRE[#All],4,FALSE))</f>
        <v>Fora do DRE</v>
      </c>
      <c r="T1731" s="3" t="str">
        <f>IF(ISERROR(VLOOKUP(Base_Periodo1[[#This Row],[CONTA]],BaseContasDRE[#All],5,FALSE)),"Fora do DRE",VLOOKUP(Base_Periodo1[[#This Row],[CONTA]],BaseContasDRE[#All],6,FALSE))</f>
        <v>Fora do DRE</v>
      </c>
      <c r="U1731" s="3" t="str">
        <f>IF(ISERROR(VLOOKUP(Base_Periodo1[[#This Row],[CONTA]],BaseContasDRE[#All],7,FALSE)),"Fora do DRE",VLOOKUP(Base_Periodo1[[#This Row],[CONTA]],BaseContasDRE[#All],7,FALSE))</f>
        <v>Fora do DRE</v>
      </c>
      <c r="V1731" s="3" t="str">
        <f>IF(Base_Periodo1[[#This Row],[Tipo_Linha]]="Fora do DRE","Fora do DRE","( "&amp;Base_Periodo1[[#This Row],[Tipo_Linha]]&amp;" ) "&amp;Base_Periodo1[[#This Row],[Filtro]])</f>
        <v>Fora do DRE</v>
      </c>
      <c r="W1731" s="3" t="str">
        <f>LEFT(Base_Periodo1[[#This Row],[CLASS]],3)</f>
        <v>1.1</v>
      </c>
    </row>
    <row r="1732" spans="1:23" hidden="1">
      <c r="A1732" s="3" t="str">
        <f t="shared" si="26"/>
        <v>Período 1</v>
      </c>
      <c r="B1732">
        <v>1004</v>
      </c>
      <c r="C1732" t="s">
        <v>5912</v>
      </c>
      <c r="D1732" t="s">
        <v>1063</v>
      </c>
      <c r="E1732" s="3" t="str">
        <f>IF(LEN(Base_Periodo1[[#This Row],[CLASS]])&gt;=7,LEFT(Base_Periodo1[[#This Row],[CLASS]],7),"")</f>
        <v>1.1.3.1</v>
      </c>
      <c r="F1732" s="3" t="str">
        <f>VLOOKUP(Base_Periodo1[[#This Row],[Aux]],Base_Contas_Balanco[#All],2,FALSE)</f>
        <v>Estoques Proprios</v>
      </c>
      <c r="G1732" s="1"/>
      <c r="H1732" s="225">
        <v>80.790000000008149</v>
      </c>
      <c r="I1732" s="225">
        <v>0</v>
      </c>
      <c r="J1732" s="225">
        <v>0</v>
      </c>
      <c r="K1732" s="225">
        <v>80.790000000008149</v>
      </c>
      <c r="L17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80.790000000000006</v>
      </c>
      <c r="M1732" s="225">
        <f>ROUND(IF(AND(Base_Periodo1[[#This Row],[Tipo_Linha]]="-",Base_Periodo1[[#This Row],[TIPOSALDO]]="D"),Base_Periodo1[[#This Row],[SALDO_ATUAL]]*-1,Base_Periodo1[[#This Row],[SALDO_ATUAL]]),4)</f>
        <v>80.790000000000006</v>
      </c>
      <c r="N1732" t="s">
        <v>396</v>
      </c>
      <c r="O1732" t="s">
        <v>397</v>
      </c>
      <c r="P1732" t="s">
        <v>397</v>
      </c>
      <c r="Q1732">
        <v>8</v>
      </c>
      <c r="R1732" s="225">
        <f>Base_Periodo1[[#This Row],[CREDITOS]]-Base_Periodo1[[#This Row],[DEBITOS]]</f>
        <v>0</v>
      </c>
      <c r="S1732" s="3" t="str">
        <f>IF(ISERROR(VLOOKUP(Base_Periodo1[[#This Row],[CONTA]],BaseContasDRE[#All],4,FALSE)),"Fora do DRE",VLOOKUP(Base_Periodo1[[#This Row],[CONTA]],BaseContasDRE[#All],4,FALSE))</f>
        <v>Fora do DRE</v>
      </c>
      <c r="T1732" s="3" t="str">
        <f>IF(ISERROR(VLOOKUP(Base_Periodo1[[#This Row],[CONTA]],BaseContasDRE[#All],5,FALSE)),"Fora do DRE",VLOOKUP(Base_Periodo1[[#This Row],[CONTA]],BaseContasDRE[#All],6,FALSE))</f>
        <v>Fora do DRE</v>
      </c>
      <c r="U1732" s="3" t="str">
        <f>IF(ISERROR(VLOOKUP(Base_Periodo1[[#This Row],[CONTA]],BaseContasDRE[#All],7,FALSE)),"Fora do DRE",VLOOKUP(Base_Periodo1[[#This Row],[CONTA]],BaseContasDRE[#All],7,FALSE))</f>
        <v>Fora do DRE</v>
      </c>
      <c r="V1732" s="3" t="str">
        <f>IF(Base_Periodo1[[#This Row],[Tipo_Linha]]="Fora do DRE","Fora do DRE","( "&amp;Base_Periodo1[[#This Row],[Tipo_Linha]]&amp;" ) "&amp;Base_Periodo1[[#This Row],[Filtro]])</f>
        <v>Fora do DRE</v>
      </c>
      <c r="W1732" s="3" t="str">
        <f>LEFT(Base_Periodo1[[#This Row],[CLASS]],3)</f>
        <v>1.1</v>
      </c>
    </row>
    <row r="1733" spans="1:23" hidden="1">
      <c r="A1733" s="3" t="str">
        <f t="shared" si="26"/>
        <v>Período 1</v>
      </c>
      <c r="B1733">
        <v>1005</v>
      </c>
      <c r="C1733" t="s">
        <v>5913</v>
      </c>
      <c r="D1733" t="s">
        <v>1065</v>
      </c>
      <c r="E1733" s="3" t="str">
        <f>IF(LEN(Base_Periodo1[[#This Row],[CLASS]])&gt;=7,LEFT(Base_Periodo1[[#This Row],[CLASS]],7),"")</f>
        <v>1.1.3.1</v>
      </c>
      <c r="F1733" s="3" t="str">
        <f>VLOOKUP(Base_Periodo1[[#This Row],[Aux]],Base_Contas_Balanco[#All],2,FALSE)</f>
        <v>Estoques Proprios</v>
      </c>
      <c r="G1733" s="1">
        <v>42781</v>
      </c>
      <c r="H1733" s="225">
        <v>80.790000000008149</v>
      </c>
      <c r="I1733" s="225">
        <v>0</v>
      </c>
      <c r="J1733" s="225">
        <v>0</v>
      </c>
      <c r="K1733" s="225">
        <v>80.790000000008149</v>
      </c>
      <c r="L17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80.790000000000006</v>
      </c>
      <c r="M1733" s="225">
        <f>ROUND(IF(AND(Base_Periodo1[[#This Row],[Tipo_Linha]]="-",Base_Periodo1[[#This Row],[TIPOSALDO]]="D"),Base_Periodo1[[#This Row],[SALDO_ATUAL]]*-1,Base_Periodo1[[#This Row],[SALDO_ATUAL]]),4)</f>
        <v>80.790000000000006</v>
      </c>
      <c r="N1733" t="s">
        <v>116</v>
      </c>
      <c r="O1733" t="s">
        <v>397</v>
      </c>
      <c r="P1733" t="s">
        <v>397</v>
      </c>
      <c r="Q1733">
        <v>9</v>
      </c>
      <c r="R1733" s="225">
        <f>Base_Periodo1[[#This Row],[CREDITOS]]-Base_Periodo1[[#This Row],[DEBITOS]]</f>
        <v>0</v>
      </c>
      <c r="S1733" s="3" t="str">
        <f>IF(ISERROR(VLOOKUP(Base_Periodo1[[#This Row],[CONTA]],BaseContasDRE[#All],4,FALSE)),"Fora do DRE",VLOOKUP(Base_Periodo1[[#This Row],[CONTA]],BaseContasDRE[#All],4,FALSE))</f>
        <v>Fora do DRE</v>
      </c>
      <c r="T1733" s="3" t="str">
        <f>IF(ISERROR(VLOOKUP(Base_Periodo1[[#This Row],[CONTA]],BaseContasDRE[#All],5,FALSE)),"Fora do DRE",VLOOKUP(Base_Periodo1[[#This Row],[CONTA]],BaseContasDRE[#All],6,FALSE))</f>
        <v>Fora do DRE</v>
      </c>
      <c r="U1733" s="3" t="str">
        <f>IF(ISERROR(VLOOKUP(Base_Periodo1[[#This Row],[CONTA]],BaseContasDRE[#All],7,FALSE)),"Fora do DRE",VLOOKUP(Base_Periodo1[[#This Row],[CONTA]],BaseContasDRE[#All],7,FALSE))</f>
        <v>Fora do DRE</v>
      </c>
      <c r="V1733" s="3" t="str">
        <f>IF(Base_Periodo1[[#This Row],[Tipo_Linha]]="Fora do DRE","Fora do DRE","( "&amp;Base_Periodo1[[#This Row],[Tipo_Linha]]&amp;" ) "&amp;Base_Periodo1[[#This Row],[Filtro]])</f>
        <v>Fora do DRE</v>
      </c>
      <c r="W1733" s="3" t="str">
        <f>LEFT(Base_Periodo1[[#This Row],[CLASS]],3)</f>
        <v>1.1</v>
      </c>
    </row>
    <row r="1734" spans="1:23" hidden="1">
      <c r="A1734" s="3" t="str">
        <f t="shared" ref="A1734:A1797" si="27">"Período 1"</f>
        <v>Período 1</v>
      </c>
      <c r="B1734">
        <v>1009</v>
      </c>
      <c r="C1734" t="s">
        <v>5914</v>
      </c>
      <c r="D1734" t="s">
        <v>1067</v>
      </c>
      <c r="E1734" s="3" t="str">
        <f>IF(LEN(Base_Periodo1[[#This Row],[CLASS]])&gt;=7,LEFT(Base_Periodo1[[#This Row],[CLASS]],7),"")</f>
        <v>1.1.3.1</v>
      </c>
      <c r="F1734" s="3" t="str">
        <f>VLOOKUP(Base_Periodo1[[#This Row],[Aux]],Base_Contas_Balanco[#All],2,FALSE)</f>
        <v>Estoques Proprios</v>
      </c>
      <c r="G1734" s="1"/>
      <c r="H1734" s="225">
        <v>80.790000000000873</v>
      </c>
      <c r="I1734" s="225">
        <v>0</v>
      </c>
      <c r="J1734" s="225">
        <v>0</v>
      </c>
      <c r="K1734" s="225">
        <v>80.790000000000873</v>
      </c>
      <c r="L17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-80.790000000000006</v>
      </c>
      <c r="M1734" s="225">
        <f>ROUND(IF(AND(Base_Periodo1[[#This Row],[Tipo_Linha]]="-",Base_Periodo1[[#This Row],[TIPOSALDO]]="D"),Base_Periodo1[[#This Row],[SALDO_ATUAL]]*-1,Base_Periodo1[[#This Row],[SALDO_ATUAL]]),4)</f>
        <v>80.790000000000006</v>
      </c>
      <c r="N1734" t="s">
        <v>396</v>
      </c>
      <c r="O1734" t="s">
        <v>459</v>
      </c>
      <c r="P1734" t="s">
        <v>459</v>
      </c>
      <c r="Q1734">
        <v>8</v>
      </c>
      <c r="R1734" s="225">
        <f>Base_Periodo1[[#This Row],[CREDITOS]]-Base_Periodo1[[#This Row],[DEBITOS]]</f>
        <v>0</v>
      </c>
      <c r="S1734" s="3" t="str">
        <f>IF(ISERROR(VLOOKUP(Base_Periodo1[[#This Row],[CONTA]],BaseContasDRE[#All],4,FALSE)),"Fora do DRE",VLOOKUP(Base_Periodo1[[#This Row],[CONTA]],BaseContasDRE[#All],4,FALSE))</f>
        <v>Fora do DRE</v>
      </c>
      <c r="T1734" s="3" t="str">
        <f>IF(ISERROR(VLOOKUP(Base_Periodo1[[#This Row],[CONTA]],BaseContasDRE[#All],5,FALSE)),"Fora do DRE",VLOOKUP(Base_Periodo1[[#This Row],[CONTA]],BaseContasDRE[#All],6,FALSE))</f>
        <v>Fora do DRE</v>
      </c>
      <c r="U1734" s="3" t="str">
        <f>IF(ISERROR(VLOOKUP(Base_Periodo1[[#This Row],[CONTA]],BaseContasDRE[#All],7,FALSE)),"Fora do DRE",VLOOKUP(Base_Periodo1[[#This Row],[CONTA]],BaseContasDRE[#All],7,FALSE))</f>
        <v>Fora do DRE</v>
      </c>
      <c r="V1734" s="3" t="str">
        <f>IF(Base_Periodo1[[#This Row],[Tipo_Linha]]="Fora do DRE","Fora do DRE","( "&amp;Base_Periodo1[[#This Row],[Tipo_Linha]]&amp;" ) "&amp;Base_Periodo1[[#This Row],[Filtro]])</f>
        <v>Fora do DRE</v>
      </c>
      <c r="W1734" s="3" t="str">
        <f>LEFT(Base_Periodo1[[#This Row],[CLASS]],3)</f>
        <v>1.1</v>
      </c>
    </row>
    <row r="1735" spans="1:23" hidden="1">
      <c r="A1735" s="3" t="str">
        <f t="shared" si="27"/>
        <v>Período 1</v>
      </c>
      <c r="B1735">
        <v>1010</v>
      </c>
      <c r="C1735" t="s">
        <v>5915</v>
      </c>
      <c r="D1735" t="s">
        <v>1068</v>
      </c>
      <c r="E1735" s="3" t="str">
        <f>IF(LEN(Base_Periodo1[[#This Row],[CLASS]])&gt;=7,LEFT(Base_Periodo1[[#This Row],[CLASS]],7),"")</f>
        <v>1.1.3.1</v>
      </c>
      <c r="F1735" s="3" t="str">
        <f>VLOOKUP(Base_Periodo1[[#This Row],[Aux]],Base_Contas_Balanco[#All],2,FALSE)</f>
        <v>Estoques Proprios</v>
      </c>
      <c r="G1735" s="1">
        <v>42886</v>
      </c>
      <c r="H1735" s="225">
        <v>80.790000000000873</v>
      </c>
      <c r="I1735" s="225">
        <v>0</v>
      </c>
      <c r="J1735" s="225">
        <v>0</v>
      </c>
      <c r="K1735" s="225">
        <v>80.790000000000873</v>
      </c>
      <c r="L17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-80.790000000000006</v>
      </c>
      <c r="M1735" s="225">
        <f>ROUND(IF(AND(Base_Periodo1[[#This Row],[Tipo_Linha]]="-",Base_Periodo1[[#This Row],[TIPOSALDO]]="D"),Base_Periodo1[[#This Row],[SALDO_ATUAL]]*-1,Base_Periodo1[[#This Row],[SALDO_ATUAL]]),4)</f>
        <v>80.790000000000006</v>
      </c>
      <c r="N1735" t="s">
        <v>116</v>
      </c>
      <c r="O1735" t="s">
        <v>459</v>
      </c>
      <c r="P1735" t="s">
        <v>459</v>
      </c>
      <c r="Q1735">
        <v>9</v>
      </c>
      <c r="R1735" s="225">
        <f>Base_Periodo1[[#This Row],[CREDITOS]]-Base_Periodo1[[#This Row],[DEBITOS]]</f>
        <v>0</v>
      </c>
      <c r="S1735" s="3" t="str">
        <f>IF(ISERROR(VLOOKUP(Base_Periodo1[[#This Row],[CONTA]],BaseContasDRE[#All],4,FALSE)),"Fora do DRE",VLOOKUP(Base_Periodo1[[#This Row],[CONTA]],BaseContasDRE[#All],4,FALSE))</f>
        <v>Fora do DRE</v>
      </c>
      <c r="T1735" s="3" t="str">
        <f>IF(ISERROR(VLOOKUP(Base_Periodo1[[#This Row],[CONTA]],BaseContasDRE[#All],5,FALSE)),"Fora do DRE",VLOOKUP(Base_Periodo1[[#This Row],[CONTA]],BaseContasDRE[#All],6,FALSE))</f>
        <v>Fora do DRE</v>
      </c>
      <c r="U1735" s="3" t="str">
        <f>IF(ISERROR(VLOOKUP(Base_Periodo1[[#This Row],[CONTA]],BaseContasDRE[#All],7,FALSE)),"Fora do DRE",VLOOKUP(Base_Periodo1[[#This Row],[CONTA]],BaseContasDRE[#All],7,FALSE))</f>
        <v>Fora do DRE</v>
      </c>
      <c r="V1735" s="3" t="str">
        <f>IF(Base_Periodo1[[#This Row],[Tipo_Linha]]="Fora do DRE","Fora do DRE","( "&amp;Base_Periodo1[[#This Row],[Tipo_Linha]]&amp;" ) "&amp;Base_Periodo1[[#This Row],[Filtro]])</f>
        <v>Fora do DRE</v>
      </c>
      <c r="W1735" s="3" t="str">
        <f>LEFT(Base_Periodo1[[#This Row],[CLASS]],3)</f>
        <v>1.1</v>
      </c>
    </row>
    <row r="1736" spans="1:23" hidden="1">
      <c r="A1736" s="3" t="str">
        <f t="shared" si="27"/>
        <v>Período 1</v>
      </c>
      <c r="B1736">
        <v>1012</v>
      </c>
      <c r="C1736" t="s">
        <v>5916</v>
      </c>
      <c r="D1736" t="s">
        <v>1072</v>
      </c>
      <c r="E1736" s="3" t="str">
        <f>IF(LEN(Base_Periodo1[[#This Row],[CLASS]])&gt;=7,LEFT(Base_Periodo1[[#This Row],[CLASS]],7),"")</f>
        <v>1.1.3.1</v>
      </c>
      <c r="F1736" s="3" t="str">
        <f>VLOOKUP(Base_Periodo1[[#This Row],[Aux]],Base_Contas_Balanco[#All],2,FALSE)</f>
        <v>Estoques Proprios</v>
      </c>
      <c r="G1736" s="1"/>
      <c r="H1736" s="225">
        <v>80.790000000000873</v>
      </c>
      <c r="I1736" s="225">
        <v>0</v>
      </c>
      <c r="J1736" s="225">
        <v>0</v>
      </c>
      <c r="K1736" s="225">
        <v>80.790000000000873</v>
      </c>
      <c r="L17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-80.790000000000006</v>
      </c>
      <c r="M1736" s="225">
        <f>ROUND(IF(AND(Base_Periodo1[[#This Row],[Tipo_Linha]]="-",Base_Periodo1[[#This Row],[TIPOSALDO]]="D"),Base_Periodo1[[#This Row],[SALDO_ATUAL]]*-1,Base_Periodo1[[#This Row],[SALDO_ATUAL]]),4)</f>
        <v>80.790000000000006</v>
      </c>
      <c r="N1736" t="s">
        <v>396</v>
      </c>
      <c r="O1736" t="s">
        <v>459</v>
      </c>
      <c r="P1736" t="s">
        <v>459</v>
      </c>
      <c r="Q1736">
        <v>8</v>
      </c>
      <c r="R1736" s="225">
        <f>Base_Periodo1[[#This Row],[CREDITOS]]-Base_Periodo1[[#This Row],[DEBITOS]]</f>
        <v>0</v>
      </c>
      <c r="S1736" s="3" t="str">
        <f>IF(ISERROR(VLOOKUP(Base_Periodo1[[#This Row],[CONTA]],BaseContasDRE[#All],4,FALSE)),"Fora do DRE",VLOOKUP(Base_Periodo1[[#This Row],[CONTA]],BaseContasDRE[#All],4,FALSE))</f>
        <v>Fora do DRE</v>
      </c>
      <c r="T1736" s="3" t="str">
        <f>IF(ISERROR(VLOOKUP(Base_Periodo1[[#This Row],[CONTA]],BaseContasDRE[#All],5,FALSE)),"Fora do DRE",VLOOKUP(Base_Periodo1[[#This Row],[CONTA]],BaseContasDRE[#All],6,FALSE))</f>
        <v>Fora do DRE</v>
      </c>
      <c r="U1736" s="3" t="str">
        <f>IF(ISERROR(VLOOKUP(Base_Periodo1[[#This Row],[CONTA]],BaseContasDRE[#All],7,FALSE)),"Fora do DRE",VLOOKUP(Base_Periodo1[[#This Row],[CONTA]],BaseContasDRE[#All],7,FALSE))</f>
        <v>Fora do DRE</v>
      </c>
      <c r="V1736" s="3" t="str">
        <f>IF(Base_Periodo1[[#This Row],[Tipo_Linha]]="Fora do DRE","Fora do DRE","( "&amp;Base_Periodo1[[#This Row],[Tipo_Linha]]&amp;" ) "&amp;Base_Periodo1[[#This Row],[Filtro]])</f>
        <v>Fora do DRE</v>
      </c>
      <c r="W1736" s="3" t="str">
        <f>LEFT(Base_Periodo1[[#This Row],[CLASS]],3)</f>
        <v>1.1</v>
      </c>
    </row>
    <row r="1737" spans="1:23" hidden="1">
      <c r="A1737" s="3" t="str">
        <f t="shared" si="27"/>
        <v>Período 1</v>
      </c>
      <c r="B1737">
        <v>1013</v>
      </c>
      <c r="C1737" t="s">
        <v>5917</v>
      </c>
      <c r="D1737" t="s">
        <v>1074</v>
      </c>
      <c r="E1737" s="3" t="str">
        <f>IF(LEN(Base_Periodo1[[#This Row],[CLASS]])&gt;=7,LEFT(Base_Periodo1[[#This Row],[CLASS]],7),"")</f>
        <v>1.1.3.1</v>
      </c>
      <c r="F1737" s="3" t="str">
        <f>VLOOKUP(Base_Periodo1[[#This Row],[Aux]],Base_Contas_Balanco[#All],2,FALSE)</f>
        <v>Estoques Proprios</v>
      </c>
      <c r="G1737" s="1">
        <v>42781</v>
      </c>
      <c r="H1737" s="225">
        <v>80.790000000000873</v>
      </c>
      <c r="I1737" s="225">
        <v>0</v>
      </c>
      <c r="J1737" s="225">
        <v>0</v>
      </c>
      <c r="K1737" s="225">
        <v>80.790000000000873</v>
      </c>
      <c r="L17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-80.790000000000006</v>
      </c>
      <c r="M1737" s="225">
        <f>ROUND(IF(AND(Base_Periodo1[[#This Row],[Tipo_Linha]]="-",Base_Periodo1[[#This Row],[TIPOSALDO]]="D"),Base_Periodo1[[#This Row],[SALDO_ATUAL]]*-1,Base_Periodo1[[#This Row],[SALDO_ATUAL]]),4)</f>
        <v>80.790000000000006</v>
      </c>
      <c r="N1737" t="s">
        <v>116</v>
      </c>
      <c r="O1737" t="s">
        <v>459</v>
      </c>
      <c r="P1737" t="s">
        <v>459</v>
      </c>
      <c r="Q1737">
        <v>9</v>
      </c>
      <c r="R1737" s="225">
        <f>Base_Periodo1[[#This Row],[CREDITOS]]-Base_Periodo1[[#This Row],[DEBITOS]]</f>
        <v>0</v>
      </c>
      <c r="S1737" s="3" t="str">
        <f>IF(ISERROR(VLOOKUP(Base_Periodo1[[#This Row],[CONTA]],BaseContasDRE[#All],4,FALSE)),"Fora do DRE",VLOOKUP(Base_Periodo1[[#This Row],[CONTA]],BaseContasDRE[#All],4,FALSE))</f>
        <v>Fora do DRE</v>
      </c>
      <c r="T1737" s="3" t="str">
        <f>IF(ISERROR(VLOOKUP(Base_Periodo1[[#This Row],[CONTA]],BaseContasDRE[#All],5,FALSE)),"Fora do DRE",VLOOKUP(Base_Periodo1[[#This Row],[CONTA]],BaseContasDRE[#All],6,FALSE))</f>
        <v>Fora do DRE</v>
      </c>
      <c r="U1737" s="3" t="str">
        <f>IF(ISERROR(VLOOKUP(Base_Periodo1[[#This Row],[CONTA]],BaseContasDRE[#All],7,FALSE)),"Fora do DRE",VLOOKUP(Base_Periodo1[[#This Row],[CONTA]],BaseContasDRE[#All],7,FALSE))</f>
        <v>Fora do DRE</v>
      </c>
      <c r="V1737" s="3" t="str">
        <f>IF(Base_Periodo1[[#This Row],[Tipo_Linha]]="Fora do DRE","Fora do DRE","( "&amp;Base_Periodo1[[#This Row],[Tipo_Linha]]&amp;" ) "&amp;Base_Periodo1[[#This Row],[Filtro]])</f>
        <v>Fora do DRE</v>
      </c>
      <c r="W1737" s="3" t="str">
        <f>LEFT(Base_Periodo1[[#This Row],[CLASS]],3)</f>
        <v>1.1</v>
      </c>
    </row>
    <row r="1738" spans="1:23" hidden="1">
      <c r="A1738" s="3" t="str">
        <f t="shared" si="27"/>
        <v>Período 1</v>
      </c>
      <c r="B1738">
        <v>1018</v>
      </c>
      <c r="C1738" t="s">
        <v>1388</v>
      </c>
      <c r="D1738" t="s">
        <v>1389</v>
      </c>
      <c r="E1738" s="3" t="str">
        <f>IF(LEN(Base_Periodo1[[#This Row],[CLASS]])&gt;=7,LEFT(Base_Periodo1[[#This Row],[CLASS]],7),"")</f>
        <v>1.1.3.1</v>
      </c>
      <c r="F1738" s="3" t="str">
        <f>VLOOKUP(Base_Periodo1[[#This Row],[Aux]],Base_Contas_Balanco[#All],2,FALSE)</f>
        <v>Estoques Proprios</v>
      </c>
      <c r="G1738" s="1"/>
      <c r="H1738" s="225">
        <v>8936.8300000000709</v>
      </c>
      <c r="I1738" s="225">
        <v>0</v>
      </c>
      <c r="J1738" s="225">
        <v>16.79</v>
      </c>
      <c r="K1738" s="225">
        <v>8920.04000000007</v>
      </c>
      <c r="L17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8920.0400000000009</v>
      </c>
      <c r="M1738" s="225">
        <f>ROUND(IF(AND(Base_Periodo1[[#This Row],[Tipo_Linha]]="-",Base_Periodo1[[#This Row],[TIPOSALDO]]="D"),Base_Periodo1[[#This Row],[SALDO_ATUAL]]*-1,Base_Periodo1[[#This Row],[SALDO_ATUAL]]),4)</f>
        <v>8920.0400000000009</v>
      </c>
      <c r="N1738" t="s">
        <v>396</v>
      </c>
      <c r="O1738" t="s">
        <v>397</v>
      </c>
      <c r="P1738" t="s">
        <v>397</v>
      </c>
      <c r="Q1738">
        <v>7</v>
      </c>
      <c r="R1738" s="225">
        <f>Base_Periodo1[[#This Row],[CREDITOS]]-Base_Periodo1[[#This Row],[DEBITOS]]</f>
        <v>16.79</v>
      </c>
      <c r="S1738" s="3" t="str">
        <f>IF(ISERROR(VLOOKUP(Base_Periodo1[[#This Row],[CONTA]],BaseContasDRE[#All],4,FALSE)),"Fora do DRE",VLOOKUP(Base_Periodo1[[#This Row],[CONTA]],BaseContasDRE[#All],4,FALSE))</f>
        <v>Fora do DRE</v>
      </c>
      <c r="T1738" s="3" t="str">
        <f>IF(ISERROR(VLOOKUP(Base_Periodo1[[#This Row],[CONTA]],BaseContasDRE[#All],5,FALSE)),"Fora do DRE",VLOOKUP(Base_Periodo1[[#This Row],[CONTA]],BaseContasDRE[#All],6,FALSE))</f>
        <v>Fora do DRE</v>
      </c>
      <c r="U1738" s="3" t="str">
        <f>IF(ISERROR(VLOOKUP(Base_Periodo1[[#This Row],[CONTA]],BaseContasDRE[#All],7,FALSE)),"Fora do DRE",VLOOKUP(Base_Periodo1[[#This Row],[CONTA]],BaseContasDRE[#All],7,FALSE))</f>
        <v>Fora do DRE</v>
      </c>
      <c r="V1738" s="3" t="str">
        <f>IF(Base_Periodo1[[#This Row],[Tipo_Linha]]="Fora do DRE","Fora do DRE","( "&amp;Base_Periodo1[[#This Row],[Tipo_Linha]]&amp;" ) "&amp;Base_Periodo1[[#This Row],[Filtro]])</f>
        <v>Fora do DRE</v>
      </c>
      <c r="W1738" s="3" t="str">
        <f>LEFT(Base_Periodo1[[#This Row],[CLASS]],3)</f>
        <v>1.1</v>
      </c>
    </row>
    <row r="1739" spans="1:23" hidden="1">
      <c r="A1739" s="3" t="str">
        <f t="shared" si="27"/>
        <v>Período 1</v>
      </c>
      <c r="B1739">
        <v>1019</v>
      </c>
      <c r="C1739" t="s">
        <v>1390</v>
      </c>
      <c r="D1739" t="s">
        <v>1054</v>
      </c>
      <c r="E1739" s="3" t="str">
        <f>IF(LEN(Base_Periodo1[[#This Row],[CLASS]])&gt;=7,LEFT(Base_Periodo1[[#This Row],[CLASS]],7),"")</f>
        <v>1.1.3.1</v>
      </c>
      <c r="F1739" s="3" t="str">
        <f>VLOOKUP(Base_Periodo1[[#This Row],[Aux]],Base_Contas_Balanco[#All],2,FALSE)</f>
        <v>Estoques Proprios</v>
      </c>
      <c r="G1739" s="1"/>
      <c r="H1739" s="225">
        <v>4157.3600000000151</v>
      </c>
      <c r="I1739" s="225">
        <v>0</v>
      </c>
      <c r="J1739" s="225">
        <v>0</v>
      </c>
      <c r="K1739" s="225">
        <v>4157.3600000000151</v>
      </c>
      <c r="L17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4157.3599999999997</v>
      </c>
      <c r="M1739" s="225">
        <f>ROUND(IF(AND(Base_Periodo1[[#This Row],[Tipo_Linha]]="-",Base_Periodo1[[#This Row],[TIPOSALDO]]="D"),Base_Periodo1[[#This Row],[SALDO_ATUAL]]*-1,Base_Periodo1[[#This Row],[SALDO_ATUAL]]),4)</f>
        <v>4157.3599999999997</v>
      </c>
      <c r="N1739" t="s">
        <v>396</v>
      </c>
      <c r="O1739" t="s">
        <v>397</v>
      </c>
      <c r="P1739" t="s">
        <v>397</v>
      </c>
      <c r="Q1739">
        <v>8</v>
      </c>
      <c r="R1739" s="225">
        <f>Base_Periodo1[[#This Row],[CREDITOS]]-Base_Periodo1[[#This Row],[DEBITOS]]</f>
        <v>0</v>
      </c>
      <c r="S1739" s="3" t="str">
        <f>IF(ISERROR(VLOOKUP(Base_Periodo1[[#This Row],[CONTA]],BaseContasDRE[#All],4,FALSE)),"Fora do DRE",VLOOKUP(Base_Periodo1[[#This Row],[CONTA]],BaseContasDRE[#All],4,FALSE))</f>
        <v>Fora do DRE</v>
      </c>
      <c r="T1739" s="3" t="str">
        <f>IF(ISERROR(VLOOKUP(Base_Periodo1[[#This Row],[CONTA]],BaseContasDRE[#All],5,FALSE)),"Fora do DRE",VLOOKUP(Base_Periodo1[[#This Row],[CONTA]],BaseContasDRE[#All],6,FALSE))</f>
        <v>Fora do DRE</v>
      </c>
      <c r="U1739" s="3" t="str">
        <f>IF(ISERROR(VLOOKUP(Base_Periodo1[[#This Row],[CONTA]],BaseContasDRE[#All],7,FALSE)),"Fora do DRE",VLOOKUP(Base_Periodo1[[#This Row],[CONTA]],BaseContasDRE[#All],7,FALSE))</f>
        <v>Fora do DRE</v>
      </c>
      <c r="V1739" s="3" t="str">
        <f>IF(Base_Periodo1[[#This Row],[Tipo_Linha]]="Fora do DRE","Fora do DRE","( "&amp;Base_Periodo1[[#This Row],[Tipo_Linha]]&amp;" ) "&amp;Base_Periodo1[[#This Row],[Filtro]])</f>
        <v>Fora do DRE</v>
      </c>
      <c r="W1739" s="3" t="str">
        <f>LEFT(Base_Periodo1[[#This Row],[CLASS]],3)</f>
        <v>1.1</v>
      </c>
    </row>
    <row r="1740" spans="1:23" hidden="1">
      <c r="A1740" s="3" t="str">
        <f t="shared" si="27"/>
        <v>Período 1</v>
      </c>
      <c r="B1740">
        <v>1020</v>
      </c>
      <c r="C1740" t="s">
        <v>1391</v>
      </c>
      <c r="D1740" t="s">
        <v>1054</v>
      </c>
      <c r="E1740" s="3" t="str">
        <f>IF(LEN(Base_Periodo1[[#This Row],[CLASS]])&gt;=7,LEFT(Base_Periodo1[[#This Row],[CLASS]],7),"")</f>
        <v>1.1.3.1</v>
      </c>
      <c r="F1740" s="3" t="str">
        <f>VLOOKUP(Base_Periodo1[[#This Row],[Aux]],Base_Contas_Balanco[#All],2,FALSE)</f>
        <v>Estoques Proprios</v>
      </c>
      <c r="G1740" s="1">
        <v>42735</v>
      </c>
      <c r="H1740" s="225">
        <v>4157.3600000000151</v>
      </c>
      <c r="I1740" s="225">
        <v>0</v>
      </c>
      <c r="J1740" s="225">
        <v>0</v>
      </c>
      <c r="K1740" s="225">
        <v>4157.3600000000151</v>
      </c>
      <c r="L17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4157.3599999999997</v>
      </c>
      <c r="M1740" s="225">
        <f>ROUND(IF(AND(Base_Periodo1[[#This Row],[Tipo_Linha]]="-",Base_Periodo1[[#This Row],[TIPOSALDO]]="D"),Base_Periodo1[[#This Row],[SALDO_ATUAL]]*-1,Base_Periodo1[[#This Row],[SALDO_ATUAL]]),4)</f>
        <v>4157.3599999999997</v>
      </c>
      <c r="N1740" t="s">
        <v>116</v>
      </c>
      <c r="O1740" t="s">
        <v>397</v>
      </c>
      <c r="P1740" t="s">
        <v>397</v>
      </c>
      <c r="Q1740">
        <v>9</v>
      </c>
      <c r="R1740" s="225">
        <f>Base_Periodo1[[#This Row],[CREDITOS]]-Base_Periodo1[[#This Row],[DEBITOS]]</f>
        <v>0</v>
      </c>
      <c r="S1740" s="3" t="str">
        <f>IF(ISERROR(VLOOKUP(Base_Periodo1[[#This Row],[CONTA]],BaseContasDRE[#All],4,FALSE)),"Fora do DRE",VLOOKUP(Base_Periodo1[[#This Row],[CONTA]],BaseContasDRE[#All],4,FALSE))</f>
        <v>Fora do DRE</v>
      </c>
      <c r="T1740" s="3" t="str">
        <f>IF(ISERROR(VLOOKUP(Base_Periodo1[[#This Row],[CONTA]],BaseContasDRE[#All],5,FALSE)),"Fora do DRE",VLOOKUP(Base_Periodo1[[#This Row],[CONTA]],BaseContasDRE[#All],6,FALSE))</f>
        <v>Fora do DRE</v>
      </c>
      <c r="U1740" s="3" t="str">
        <f>IF(ISERROR(VLOOKUP(Base_Periodo1[[#This Row],[CONTA]],BaseContasDRE[#All],7,FALSE)),"Fora do DRE",VLOOKUP(Base_Periodo1[[#This Row],[CONTA]],BaseContasDRE[#All],7,FALSE))</f>
        <v>Fora do DRE</v>
      </c>
      <c r="V1740" s="3" t="str">
        <f>IF(Base_Periodo1[[#This Row],[Tipo_Linha]]="Fora do DRE","Fora do DRE","( "&amp;Base_Periodo1[[#This Row],[Tipo_Linha]]&amp;" ) "&amp;Base_Periodo1[[#This Row],[Filtro]])</f>
        <v>Fora do DRE</v>
      </c>
      <c r="W1740" s="3" t="str">
        <f>LEFT(Base_Periodo1[[#This Row],[CLASS]],3)</f>
        <v>1.1</v>
      </c>
    </row>
    <row r="1741" spans="1:23" hidden="1">
      <c r="A1741" s="3" t="str">
        <f t="shared" si="27"/>
        <v>Período 1</v>
      </c>
      <c r="B1741">
        <v>9104</v>
      </c>
      <c r="C1741" t="s">
        <v>5036</v>
      </c>
      <c r="D1741" t="s">
        <v>5037</v>
      </c>
      <c r="E1741" s="3" t="str">
        <f>IF(LEN(Base_Periodo1[[#This Row],[CLASS]])&gt;=7,LEFT(Base_Periodo1[[#This Row],[CLASS]],7),"")</f>
        <v>1.1.3.1</v>
      </c>
      <c r="F1741" s="3" t="str">
        <f>VLOOKUP(Base_Periodo1[[#This Row],[Aux]],Base_Contas_Balanco[#All],2,FALSE)</f>
        <v>Estoques Proprios</v>
      </c>
      <c r="G1741" s="1"/>
      <c r="H1741" s="225">
        <v>9232.2899999999936</v>
      </c>
      <c r="I1741" s="225">
        <v>0</v>
      </c>
      <c r="J1741" s="225">
        <v>0</v>
      </c>
      <c r="K1741" s="225">
        <v>9232.2899999999936</v>
      </c>
      <c r="L17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9232.2900000000009</v>
      </c>
      <c r="M1741" s="225">
        <f>ROUND(IF(AND(Base_Periodo1[[#This Row],[Tipo_Linha]]="-",Base_Periodo1[[#This Row],[TIPOSALDO]]="D"),Base_Periodo1[[#This Row],[SALDO_ATUAL]]*-1,Base_Periodo1[[#This Row],[SALDO_ATUAL]]),4)</f>
        <v>9232.2900000000009</v>
      </c>
      <c r="N1741" t="s">
        <v>396</v>
      </c>
      <c r="O1741" t="s">
        <v>397</v>
      </c>
      <c r="P1741" t="s">
        <v>397</v>
      </c>
      <c r="Q1741">
        <v>8</v>
      </c>
      <c r="R1741" s="225">
        <f>Base_Periodo1[[#This Row],[CREDITOS]]-Base_Periodo1[[#This Row],[DEBITOS]]</f>
        <v>0</v>
      </c>
      <c r="S1741" s="3" t="str">
        <f>IF(ISERROR(VLOOKUP(Base_Periodo1[[#This Row],[CONTA]],BaseContasDRE[#All],4,FALSE)),"Fora do DRE",VLOOKUP(Base_Periodo1[[#This Row],[CONTA]],BaseContasDRE[#All],4,FALSE))</f>
        <v>Fora do DRE</v>
      </c>
      <c r="T1741" s="3" t="str">
        <f>IF(ISERROR(VLOOKUP(Base_Periodo1[[#This Row],[CONTA]],BaseContasDRE[#All],5,FALSE)),"Fora do DRE",VLOOKUP(Base_Periodo1[[#This Row],[CONTA]],BaseContasDRE[#All],6,FALSE))</f>
        <v>Fora do DRE</v>
      </c>
      <c r="U1741" s="3" t="str">
        <f>IF(ISERROR(VLOOKUP(Base_Periodo1[[#This Row],[CONTA]],BaseContasDRE[#All],7,FALSE)),"Fora do DRE",VLOOKUP(Base_Periodo1[[#This Row],[CONTA]],BaseContasDRE[#All],7,FALSE))</f>
        <v>Fora do DRE</v>
      </c>
      <c r="V1741" s="3" t="str">
        <f>IF(Base_Periodo1[[#This Row],[Tipo_Linha]]="Fora do DRE","Fora do DRE","( "&amp;Base_Periodo1[[#This Row],[Tipo_Linha]]&amp;" ) "&amp;Base_Periodo1[[#This Row],[Filtro]])</f>
        <v>Fora do DRE</v>
      </c>
      <c r="W1741" s="3" t="str">
        <f>LEFT(Base_Periodo1[[#This Row],[CLASS]],3)</f>
        <v>1.1</v>
      </c>
    </row>
    <row r="1742" spans="1:23" hidden="1">
      <c r="A1742" s="3" t="str">
        <f t="shared" si="27"/>
        <v>Período 1</v>
      </c>
      <c r="B1742">
        <v>9109</v>
      </c>
      <c r="C1742" t="s">
        <v>5038</v>
      </c>
      <c r="D1742" t="s">
        <v>1242</v>
      </c>
      <c r="E1742" s="3" t="str">
        <f>IF(LEN(Base_Periodo1[[#This Row],[CLASS]])&gt;=7,LEFT(Base_Periodo1[[#This Row],[CLASS]],7),"")</f>
        <v>1.1.3.1</v>
      </c>
      <c r="F1742" s="3" t="str">
        <f>VLOOKUP(Base_Periodo1[[#This Row],[Aux]],Base_Contas_Balanco[#All],2,FALSE)</f>
        <v>Estoques Proprios</v>
      </c>
      <c r="G1742" s="1">
        <v>42773</v>
      </c>
      <c r="H1742" s="225">
        <v>9232.2899999999936</v>
      </c>
      <c r="I1742" s="225">
        <v>0</v>
      </c>
      <c r="J1742" s="225">
        <v>0</v>
      </c>
      <c r="K1742" s="225">
        <v>9232.2899999999936</v>
      </c>
      <c r="L17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9232.2900000000009</v>
      </c>
      <c r="M1742" s="225">
        <f>ROUND(IF(AND(Base_Periodo1[[#This Row],[Tipo_Linha]]="-",Base_Periodo1[[#This Row],[TIPOSALDO]]="D"),Base_Periodo1[[#This Row],[SALDO_ATUAL]]*-1,Base_Periodo1[[#This Row],[SALDO_ATUAL]]),4)</f>
        <v>9232.2900000000009</v>
      </c>
      <c r="N1742" t="s">
        <v>116</v>
      </c>
      <c r="O1742" t="s">
        <v>397</v>
      </c>
      <c r="P1742" t="s">
        <v>397</v>
      </c>
      <c r="Q1742">
        <v>9</v>
      </c>
      <c r="R1742" s="225">
        <f>Base_Periodo1[[#This Row],[CREDITOS]]-Base_Periodo1[[#This Row],[DEBITOS]]</f>
        <v>0</v>
      </c>
      <c r="S1742" s="3" t="str">
        <f>IF(ISERROR(VLOOKUP(Base_Periodo1[[#This Row],[CONTA]],BaseContasDRE[#All],4,FALSE)),"Fora do DRE",VLOOKUP(Base_Periodo1[[#This Row],[CONTA]],BaseContasDRE[#All],4,FALSE))</f>
        <v>Fora do DRE</v>
      </c>
      <c r="T1742" s="3" t="str">
        <f>IF(ISERROR(VLOOKUP(Base_Periodo1[[#This Row],[CONTA]],BaseContasDRE[#All],5,FALSE)),"Fora do DRE",VLOOKUP(Base_Periodo1[[#This Row],[CONTA]],BaseContasDRE[#All],6,FALSE))</f>
        <v>Fora do DRE</v>
      </c>
      <c r="U1742" s="3" t="str">
        <f>IF(ISERROR(VLOOKUP(Base_Periodo1[[#This Row],[CONTA]],BaseContasDRE[#All],7,FALSE)),"Fora do DRE",VLOOKUP(Base_Periodo1[[#This Row],[CONTA]],BaseContasDRE[#All],7,FALSE))</f>
        <v>Fora do DRE</v>
      </c>
      <c r="V1742" s="3" t="str">
        <f>IF(Base_Periodo1[[#This Row],[Tipo_Linha]]="Fora do DRE","Fora do DRE","( "&amp;Base_Periodo1[[#This Row],[Tipo_Linha]]&amp;" ) "&amp;Base_Periodo1[[#This Row],[Filtro]])</f>
        <v>Fora do DRE</v>
      </c>
      <c r="W1742" s="3" t="str">
        <f>LEFT(Base_Periodo1[[#This Row],[CLASS]],3)</f>
        <v>1.1</v>
      </c>
    </row>
    <row r="1743" spans="1:23" hidden="1">
      <c r="A1743" s="3" t="str">
        <f t="shared" si="27"/>
        <v>Período 1</v>
      </c>
      <c r="B1743">
        <v>1023</v>
      </c>
      <c r="C1743" t="s">
        <v>1392</v>
      </c>
      <c r="D1743" t="s">
        <v>1063</v>
      </c>
      <c r="E1743" s="3" t="str">
        <f>IF(LEN(Base_Periodo1[[#This Row],[CLASS]])&gt;=7,LEFT(Base_Periodo1[[#This Row],[CLASS]],7),"")</f>
        <v>1.1.3.1</v>
      </c>
      <c r="F1743" s="3" t="str">
        <f>VLOOKUP(Base_Periodo1[[#This Row],[Aux]],Base_Contas_Balanco[#All],2,FALSE)</f>
        <v>Estoques Proprios</v>
      </c>
      <c r="G1743" s="1"/>
      <c r="H1743" s="225">
        <v>3289.8400000000111</v>
      </c>
      <c r="I1743" s="225">
        <v>0</v>
      </c>
      <c r="J1743" s="225">
        <v>0</v>
      </c>
      <c r="K1743" s="225">
        <v>3289.8400000000111</v>
      </c>
      <c r="L17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3289.84</v>
      </c>
      <c r="M1743" s="225">
        <f>ROUND(IF(AND(Base_Periodo1[[#This Row],[Tipo_Linha]]="-",Base_Periodo1[[#This Row],[TIPOSALDO]]="D"),Base_Periodo1[[#This Row],[SALDO_ATUAL]]*-1,Base_Periodo1[[#This Row],[SALDO_ATUAL]]),4)</f>
        <v>3289.84</v>
      </c>
      <c r="N1743" t="s">
        <v>396</v>
      </c>
      <c r="O1743" t="s">
        <v>397</v>
      </c>
      <c r="P1743" t="s">
        <v>397</v>
      </c>
      <c r="Q1743">
        <v>8</v>
      </c>
      <c r="R1743" s="225">
        <f>Base_Periodo1[[#This Row],[CREDITOS]]-Base_Periodo1[[#This Row],[DEBITOS]]</f>
        <v>0</v>
      </c>
      <c r="S1743" s="3" t="str">
        <f>IF(ISERROR(VLOOKUP(Base_Periodo1[[#This Row],[CONTA]],BaseContasDRE[#All],4,FALSE)),"Fora do DRE",VLOOKUP(Base_Periodo1[[#This Row],[CONTA]],BaseContasDRE[#All],4,FALSE))</f>
        <v>Fora do DRE</v>
      </c>
      <c r="T1743" s="3" t="str">
        <f>IF(ISERROR(VLOOKUP(Base_Periodo1[[#This Row],[CONTA]],BaseContasDRE[#All],5,FALSE)),"Fora do DRE",VLOOKUP(Base_Periodo1[[#This Row],[CONTA]],BaseContasDRE[#All],6,FALSE))</f>
        <v>Fora do DRE</v>
      </c>
      <c r="U1743" s="3" t="str">
        <f>IF(ISERROR(VLOOKUP(Base_Periodo1[[#This Row],[CONTA]],BaseContasDRE[#All],7,FALSE)),"Fora do DRE",VLOOKUP(Base_Periodo1[[#This Row],[CONTA]],BaseContasDRE[#All],7,FALSE))</f>
        <v>Fora do DRE</v>
      </c>
      <c r="V1743" s="3" t="str">
        <f>IF(Base_Periodo1[[#This Row],[Tipo_Linha]]="Fora do DRE","Fora do DRE","( "&amp;Base_Periodo1[[#This Row],[Tipo_Linha]]&amp;" ) "&amp;Base_Periodo1[[#This Row],[Filtro]])</f>
        <v>Fora do DRE</v>
      </c>
      <c r="W1743" s="3" t="str">
        <f>LEFT(Base_Periodo1[[#This Row],[CLASS]],3)</f>
        <v>1.1</v>
      </c>
    </row>
    <row r="1744" spans="1:23" hidden="1">
      <c r="A1744" s="3" t="str">
        <f t="shared" si="27"/>
        <v>Período 1</v>
      </c>
      <c r="B1744">
        <v>1024</v>
      </c>
      <c r="C1744" t="s">
        <v>1393</v>
      </c>
      <c r="D1744" t="s">
        <v>1065</v>
      </c>
      <c r="E1744" s="3" t="str">
        <f>IF(LEN(Base_Periodo1[[#This Row],[CLASS]])&gt;=7,LEFT(Base_Periodo1[[#This Row],[CLASS]],7),"")</f>
        <v>1.1.3.1</v>
      </c>
      <c r="F1744" s="3" t="str">
        <f>VLOOKUP(Base_Periodo1[[#This Row],[Aux]],Base_Contas_Balanco[#All],2,FALSE)</f>
        <v>Estoques Proprios</v>
      </c>
      <c r="G1744" s="1">
        <v>42788</v>
      </c>
      <c r="H1744" s="225">
        <v>3289.8400000000111</v>
      </c>
      <c r="I1744" s="225">
        <v>0</v>
      </c>
      <c r="J1744" s="225">
        <v>0</v>
      </c>
      <c r="K1744" s="225">
        <v>3289.8400000000111</v>
      </c>
      <c r="L17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3289.84</v>
      </c>
      <c r="M1744" s="225">
        <f>ROUND(IF(AND(Base_Periodo1[[#This Row],[Tipo_Linha]]="-",Base_Periodo1[[#This Row],[TIPOSALDO]]="D"),Base_Periodo1[[#This Row],[SALDO_ATUAL]]*-1,Base_Periodo1[[#This Row],[SALDO_ATUAL]]),4)</f>
        <v>3289.84</v>
      </c>
      <c r="N1744" t="s">
        <v>116</v>
      </c>
      <c r="O1744" t="s">
        <v>397</v>
      </c>
      <c r="P1744" t="s">
        <v>397</v>
      </c>
      <c r="Q1744">
        <v>9</v>
      </c>
      <c r="R1744" s="225">
        <f>Base_Periodo1[[#This Row],[CREDITOS]]-Base_Periodo1[[#This Row],[DEBITOS]]</f>
        <v>0</v>
      </c>
      <c r="S1744" s="3" t="str">
        <f>IF(ISERROR(VLOOKUP(Base_Periodo1[[#This Row],[CONTA]],BaseContasDRE[#All],4,FALSE)),"Fora do DRE",VLOOKUP(Base_Periodo1[[#This Row],[CONTA]],BaseContasDRE[#All],4,FALSE))</f>
        <v>Fora do DRE</v>
      </c>
      <c r="T1744" s="3" t="str">
        <f>IF(ISERROR(VLOOKUP(Base_Periodo1[[#This Row],[CONTA]],BaseContasDRE[#All],5,FALSE)),"Fora do DRE",VLOOKUP(Base_Periodo1[[#This Row],[CONTA]],BaseContasDRE[#All],6,FALSE))</f>
        <v>Fora do DRE</v>
      </c>
      <c r="U1744" s="3" t="str">
        <f>IF(ISERROR(VLOOKUP(Base_Periodo1[[#This Row],[CONTA]],BaseContasDRE[#All],7,FALSE)),"Fora do DRE",VLOOKUP(Base_Periodo1[[#This Row],[CONTA]],BaseContasDRE[#All],7,FALSE))</f>
        <v>Fora do DRE</v>
      </c>
      <c r="V1744" s="3" t="str">
        <f>IF(Base_Periodo1[[#This Row],[Tipo_Linha]]="Fora do DRE","Fora do DRE","( "&amp;Base_Periodo1[[#This Row],[Tipo_Linha]]&amp;" ) "&amp;Base_Periodo1[[#This Row],[Filtro]])</f>
        <v>Fora do DRE</v>
      </c>
      <c r="W1744" s="3" t="str">
        <f>LEFT(Base_Periodo1[[#This Row],[CLASS]],3)</f>
        <v>1.1</v>
      </c>
    </row>
    <row r="1745" spans="1:23" hidden="1">
      <c r="A1745" s="3" t="str">
        <f t="shared" si="27"/>
        <v>Período 1</v>
      </c>
      <c r="B1745">
        <v>1028</v>
      </c>
      <c r="C1745" t="s">
        <v>1394</v>
      </c>
      <c r="D1745" t="s">
        <v>1067</v>
      </c>
      <c r="E1745" s="3" t="str">
        <f>IF(LEN(Base_Periodo1[[#This Row],[CLASS]])&gt;=7,LEFT(Base_Periodo1[[#This Row],[CLASS]],7),"")</f>
        <v>1.1.3.1</v>
      </c>
      <c r="F1745" s="3" t="str">
        <f>VLOOKUP(Base_Periodo1[[#This Row],[Aux]],Base_Contas_Balanco[#All],2,FALSE)</f>
        <v>Estoques Proprios</v>
      </c>
      <c r="G1745" s="1"/>
      <c r="H1745" s="225">
        <v>4393.4699999999957</v>
      </c>
      <c r="I1745" s="225">
        <v>0</v>
      </c>
      <c r="J1745" s="225">
        <v>0</v>
      </c>
      <c r="K1745" s="225">
        <v>4393.4699999999957</v>
      </c>
      <c r="L17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-4393.47</v>
      </c>
      <c r="M1745" s="225">
        <f>ROUND(IF(AND(Base_Periodo1[[#This Row],[Tipo_Linha]]="-",Base_Periodo1[[#This Row],[TIPOSALDO]]="D"),Base_Periodo1[[#This Row],[SALDO_ATUAL]]*-1,Base_Periodo1[[#This Row],[SALDO_ATUAL]]),4)</f>
        <v>4393.47</v>
      </c>
      <c r="N1745" t="s">
        <v>396</v>
      </c>
      <c r="O1745" t="s">
        <v>459</v>
      </c>
      <c r="P1745" t="s">
        <v>459</v>
      </c>
      <c r="Q1745">
        <v>8</v>
      </c>
      <c r="R1745" s="225">
        <f>Base_Periodo1[[#This Row],[CREDITOS]]-Base_Periodo1[[#This Row],[DEBITOS]]</f>
        <v>0</v>
      </c>
      <c r="S1745" s="3" t="str">
        <f>IF(ISERROR(VLOOKUP(Base_Periodo1[[#This Row],[CONTA]],BaseContasDRE[#All],4,FALSE)),"Fora do DRE",VLOOKUP(Base_Periodo1[[#This Row],[CONTA]],BaseContasDRE[#All],4,FALSE))</f>
        <v>Fora do DRE</v>
      </c>
      <c r="T1745" s="3" t="str">
        <f>IF(ISERROR(VLOOKUP(Base_Periodo1[[#This Row],[CONTA]],BaseContasDRE[#All],5,FALSE)),"Fora do DRE",VLOOKUP(Base_Periodo1[[#This Row],[CONTA]],BaseContasDRE[#All],6,FALSE))</f>
        <v>Fora do DRE</v>
      </c>
      <c r="U1745" s="3" t="str">
        <f>IF(ISERROR(VLOOKUP(Base_Periodo1[[#This Row],[CONTA]],BaseContasDRE[#All],7,FALSE)),"Fora do DRE",VLOOKUP(Base_Periodo1[[#This Row],[CONTA]],BaseContasDRE[#All],7,FALSE))</f>
        <v>Fora do DRE</v>
      </c>
      <c r="V1745" s="3" t="str">
        <f>IF(Base_Periodo1[[#This Row],[Tipo_Linha]]="Fora do DRE","Fora do DRE","( "&amp;Base_Periodo1[[#This Row],[Tipo_Linha]]&amp;" ) "&amp;Base_Periodo1[[#This Row],[Filtro]])</f>
        <v>Fora do DRE</v>
      </c>
      <c r="W1745" s="3" t="str">
        <f>LEFT(Base_Periodo1[[#This Row],[CLASS]],3)</f>
        <v>1.1</v>
      </c>
    </row>
    <row r="1746" spans="1:23" hidden="1">
      <c r="A1746" s="3" t="str">
        <f t="shared" si="27"/>
        <v>Período 1</v>
      </c>
      <c r="B1746">
        <v>1029</v>
      </c>
      <c r="C1746" t="s">
        <v>1395</v>
      </c>
      <c r="D1746" t="s">
        <v>1068</v>
      </c>
      <c r="E1746" s="3" t="str">
        <f>IF(LEN(Base_Periodo1[[#This Row],[CLASS]])&gt;=7,LEFT(Base_Periodo1[[#This Row],[CLASS]],7),"")</f>
        <v>1.1.3.1</v>
      </c>
      <c r="F1746" s="3" t="str">
        <f>VLOOKUP(Base_Periodo1[[#This Row],[Aux]],Base_Contas_Balanco[#All],2,FALSE)</f>
        <v>Estoques Proprios</v>
      </c>
      <c r="G1746" s="1">
        <v>42886</v>
      </c>
      <c r="H1746" s="225">
        <v>4345.0499999999956</v>
      </c>
      <c r="I1746" s="225">
        <v>0</v>
      </c>
      <c r="J1746" s="225">
        <v>0</v>
      </c>
      <c r="K1746" s="225">
        <v>4345.0499999999956</v>
      </c>
      <c r="L17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-4345.05</v>
      </c>
      <c r="M1746" s="225">
        <f>ROUND(IF(AND(Base_Periodo1[[#This Row],[Tipo_Linha]]="-",Base_Periodo1[[#This Row],[TIPOSALDO]]="D"),Base_Periodo1[[#This Row],[SALDO_ATUAL]]*-1,Base_Periodo1[[#This Row],[SALDO_ATUAL]]),4)</f>
        <v>4345.05</v>
      </c>
      <c r="N1746" t="s">
        <v>116</v>
      </c>
      <c r="O1746" t="s">
        <v>459</v>
      </c>
      <c r="P1746" t="s">
        <v>459</v>
      </c>
      <c r="Q1746">
        <v>9</v>
      </c>
      <c r="R1746" s="225">
        <f>Base_Periodo1[[#This Row],[CREDITOS]]-Base_Periodo1[[#This Row],[DEBITOS]]</f>
        <v>0</v>
      </c>
      <c r="S1746" s="3" t="str">
        <f>IF(ISERROR(VLOOKUP(Base_Periodo1[[#This Row],[CONTA]],BaseContasDRE[#All],4,FALSE)),"Fora do DRE",VLOOKUP(Base_Periodo1[[#This Row],[CONTA]],BaseContasDRE[#All],4,FALSE))</f>
        <v>Fora do DRE</v>
      </c>
      <c r="T1746" s="3" t="str">
        <f>IF(ISERROR(VLOOKUP(Base_Periodo1[[#This Row],[CONTA]],BaseContasDRE[#All],5,FALSE)),"Fora do DRE",VLOOKUP(Base_Periodo1[[#This Row],[CONTA]],BaseContasDRE[#All],6,FALSE))</f>
        <v>Fora do DRE</v>
      </c>
      <c r="U1746" s="3" t="str">
        <f>IF(ISERROR(VLOOKUP(Base_Periodo1[[#This Row],[CONTA]],BaseContasDRE[#All],7,FALSE)),"Fora do DRE",VLOOKUP(Base_Periodo1[[#This Row],[CONTA]],BaseContasDRE[#All],7,FALSE))</f>
        <v>Fora do DRE</v>
      </c>
      <c r="V1746" s="3" t="str">
        <f>IF(Base_Periodo1[[#This Row],[Tipo_Linha]]="Fora do DRE","Fora do DRE","( "&amp;Base_Periodo1[[#This Row],[Tipo_Linha]]&amp;" ) "&amp;Base_Periodo1[[#This Row],[Filtro]])</f>
        <v>Fora do DRE</v>
      </c>
      <c r="W1746" s="3" t="str">
        <f>LEFT(Base_Periodo1[[#This Row],[CLASS]],3)</f>
        <v>1.1</v>
      </c>
    </row>
    <row r="1747" spans="1:23" hidden="1">
      <c r="A1747" s="3" t="str">
        <f t="shared" si="27"/>
        <v>Período 1</v>
      </c>
      <c r="B1747">
        <v>1030</v>
      </c>
      <c r="C1747" t="s">
        <v>5918</v>
      </c>
      <c r="D1747" t="s">
        <v>1070</v>
      </c>
      <c r="E1747" s="3" t="str">
        <f>IF(LEN(Base_Periodo1[[#This Row],[CLASS]])&gt;=7,LEFT(Base_Periodo1[[#This Row],[CLASS]],7),"")</f>
        <v>1.1.3.1</v>
      </c>
      <c r="F1747" s="3" t="str">
        <f>VLOOKUP(Base_Periodo1[[#This Row],[Aux]],Base_Contas_Balanco[#All],2,FALSE)</f>
        <v>Estoques Proprios</v>
      </c>
      <c r="G1747" s="1">
        <v>42886</v>
      </c>
      <c r="H1747" s="225">
        <v>48.420000000000073</v>
      </c>
      <c r="I1747" s="225">
        <v>0</v>
      </c>
      <c r="J1747" s="225">
        <v>0</v>
      </c>
      <c r="K1747" s="225">
        <v>48.420000000000073</v>
      </c>
      <c r="L17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-48.42</v>
      </c>
      <c r="M1747" s="225">
        <f>ROUND(IF(AND(Base_Periodo1[[#This Row],[Tipo_Linha]]="-",Base_Periodo1[[#This Row],[TIPOSALDO]]="D"),Base_Periodo1[[#This Row],[SALDO_ATUAL]]*-1,Base_Periodo1[[#This Row],[SALDO_ATUAL]]),4)</f>
        <v>48.42</v>
      </c>
      <c r="N1747" t="s">
        <v>116</v>
      </c>
      <c r="O1747" t="s">
        <v>459</v>
      </c>
      <c r="P1747" t="s">
        <v>459</v>
      </c>
      <c r="Q1747">
        <v>9</v>
      </c>
      <c r="R1747" s="225">
        <f>Base_Periodo1[[#This Row],[CREDITOS]]-Base_Periodo1[[#This Row],[DEBITOS]]</f>
        <v>0</v>
      </c>
      <c r="S1747" s="3" t="str">
        <f>IF(ISERROR(VLOOKUP(Base_Periodo1[[#This Row],[CONTA]],BaseContasDRE[#All],4,FALSE)),"Fora do DRE",VLOOKUP(Base_Periodo1[[#This Row],[CONTA]],BaseContasDRE[#All],4,FALSE))</f>
        <v>Fora do DRE</v>
      </c>
      <c r="T1747" s="3" t="str">
        <f>IF(ISERROR(VLOOKUP(Base_Periodo1[[#This Row],[CONTA]],BaseContasDRE[#All],5,FALSE)),"Fora do DRE",VLOOKUP(Base_Periodo1[[#This Row],[CONTA]],BaseContasDRE[#All],6,FALSE))</f>
        <v>Fora do DRE</v>
      </c>
      <c r="U1747" s="3" t="str">
        <f>IF(ISERROR(VLOOKUP(Base_Periodo1[[#This Row],[CONTA]],BaseContasDRE[#All],7,FALSE)),"Fora do DRE",VLOOKUP(Base_Periodo1[[#This Row],[CONTA]],BaseContasDRE[#All],7,FALSE))</f>
        <v>Fora do DRE</v>
      </c>
      <c r="V1747" s="3" t="str">
        <f>IF(Base_Periodo1[[#This Row],[Tipo_Linha]]="Fora do DRE","Fora do DRE","( "&amp;Base_Periodo1[[#This Row],[Tipo_Linha]]&amp;" ) "&amp;Base_Periodo1[[#This Row],[Filtro]])</f>
        <v>Fora do DRE</v>
      </c>
      <c r="W1747" s="3" t="str">
        <f>LEFT(Base_Periodo1[[#This Row],[CLASS]],3)</f>
        <v>1.1</v>
      </c>
    </row>
    <row r="1748" spans="1:23" hidden="1">
      <c r="A1748" s="3" t="str">
        <f t="shared" si="27"/>
        <v>Período 1</v>
      </c>
      <c r="B1748">
        <v>1031</v>
      </c>
      <c r="C1748" t="s">
        <v>1396</v>
      </c>
      <c r="D1748" t="s">
        <v>1072</v>
      </c>
      <c r="E1748" s="3" t="str">
        <f>IF(LEN(Base_Periodo1[[#This Row],[CLASS]])&gt;=7,LEFT(Base_Periodo1[[#This Row],[CLASS]],7),"")</f>
        <v>1.1.3.1</v>
      </c>
      <c r="F1748" s="3" t="str">
        <f>VLOOKUP(Base_Periodo1[[#This Row],[Aux]],Base_Contas_Balanco[#All],2,FALSE)</f>
        <v>Estoques Proprios</v>
      </c>
      <c r="G1748" s="1"/>
      <c r="H1748" s="225">
        <v>3289.8399999999529</v>
      </c>
      <c r="I1748" s="225">
        <v>0</v>
      </c>
      <c r="J1748" s="225">
        <v>0</v>
      </c>
      <c r="K1748" s="225">
        <v>3289.8399999999529</v>
      </c>
      <c r="L17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-3289.84</v>
      </c>
      <c r="M1748" s="225">
        <f>ROUND(IF(AND(Base_Periodo1[[#This Row],[Tipo_Linha]]="-",Base_Periodo1[[#This Row],[TIPOSALDO]]="D"),Base_Periodo1[[#This Row],[SALDO_ATUAL]]*-1,Base_Periodo1[[#This Row],[SALDO_ATUAL]]),4)</f>
        <v>3289.84</v>
      </c>
      <c r="N1748" t="s">
        <v>396</v>
      </c>
      <c r="O1748" t="s">
        <v>459</v>
      </c>
      <c r="P1748" t="s">
        <v>459</v>
      </c>
      <c r="Q1748">
        <v>8</v>
      </c>
      <c r="R1748" s="225">
        <f>Base_Periodo1[[#This Row],[CREDITOS]]-Base_Periodo1[[#This Row],[DEBITOS]]</f>
        <v>0</v>
      </c>
      <c r="S1748" s="3" t="str">
        <f>IF(ISERROR(VLOOKUP(Base_Periodo1[[#This Row],[CONTA]],BaseContasDRE[#All],4,FALSE)),"Fora do DRE",VLOOKUP(Base_Periodo1[[#This Row],[CONTA]],BaseContasDRE[#All],4,FALSE))</f>
        <v>Fora do DRE</v>
      </c>
      <c r="T1748" s="3" t="str">
        <f>IF(ISERROR(VLOOKUP(Base_Periodo1[[#This Row],[CONTA]],BaseContasDRE[#All],5,FALSE)),"Fora do DRE",VLOOKUP(Base_Periodo1[[#This Row],[CONTA]],BaseContasDRE[#All],6,FALSE))</f>
        <v>Fora do DRE</v>
      </c>
      <c r="U1748" s="3" t="str">
        <f>IF(ISERROR(VLOOKUP(Base_Periodo1[[#This Row],[CONTA]],BaseContasDRE[#All],7,FALSE)),"Fora do DRE",VLOOKUP(Base_Periodo1[[#This Row],[CONTA]],BaseContasDRE[#All],7,FALSE))</f>
        <v>Fora do DRE</v>
      </c>
      <c r="V1748" s="3" t="str">
        <f>IF(Base_Periodo1[[#This Row],[Tipo_Linha]]="Fora do DRE","Fora do DRE","( "&amp;Base_Periodo1[[#This Row],[Tipo_Linha]]&amp;" ) "&amp;Base_Periodo1[[#This Row],[Filtro]])</f>
        <v>Fora do DRE</v>
      </c>
      <c r="W1748" s="3" t="str">
        <f>LEFT(Base_Periodo1[[#This Row],[CLASS]],3)</f>
        <v>1.1</v>
      </c>
    </row>
    <row r="1749" spans="1:23" hidden="1">
      <c r="A1749" s="3" t="str">
        <f t="shared" si="27"/>
        <v>Período 1</v>
      </c>
      <c r="B1749">
        <v>1032</v>
      </c>
      <c r="C1749" t="s">
        <v>1397</v>
      </c>
      <c r="D1749" t="s">
        <v>1074</v>
      </c>
      <c r="E1749" s="3" t="str">
        <f>IF(LEN(Base_Periodo1[[#This Row],[CLASS]])&gt;=7,LEFT(Base_Periodo1[[#This Row],[CLASS]],7),"")</f>
        <v>1.1.3.1</v>
      </c>
      <c r="F1749" s="3" t="str">
        <f>VLOOKUP(Base_Periodo1[[#This Row],[Aux]],Base_Contas_Balanco[#All],2,FALSE)</f>
        <v>Estoques Proprios</v>
      </c>
      <c r="G1749" s="1">
        <v>42787</v>
      </c>
      <c r="H1749" s="225">
        <v>3289.8399999999529</v>
      </c>
      <c r="I1749" s="225">
        <v>0</v>
      </c>
      <c r="J1749" s="225">
        <v>0</v>
      </c>
      <c r="K1749" s="225">
        <v>3289.8399999999529</v>
      </c>
      <c r="L17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-3289.84</v>
      </c>
      <c r="M1749" s="225">
        <f>ROUND(IF(AND(Base_Periodo1[[#This Row],[Tipo_Linha]]="-",Base_Periodo1[[#This Row],[TIPOSALDO]]="D"),Base_Periodo1[[#This Row],[SALDO_ATUAL]]*-1,Base_Periodo1[[#This Row],[SALDO_ATUAL]]),4)</f>
        <v>3289.84</v>
      </c>
      <c r="N1749" t="s">
        <v>116</v>
      </c>
      <c r="O1749" t="s">
        <v>459</v>
      </c>
      <c r="P1749" t="s">
        <v>459</v>
      </c>
      <c r="Q1749">
        <v>9</v>
      </c>
      <c r="R1749" s="225">
        <f>Base_Periodo1[[#This Row],[CREDITOS]]-Base_Periodo1[[#This Row],[DEBITOS]]</f>
        <v>0</v>
      </c>
      <c r="S1749" s="3" t="str">
        <f>IF(ISERROR(VLOOKUP(Base_Periodo1[[#This Row],[CONTA]],BaseContasDRE[#All],4,FALSE)),"Fora do DRE",VLOOKUP(Base_Periodo1[[#This Row],[CONTA]],BaseContasDRE[#All],4,FALSE))</f>
        <v>Fora do DRE</v>
      </c>
      <c r="T1749" s="3" t="str">
        <f>IF(ISERROR(VLOOKUP(Base_Periodo1[[#This Row],[CONTA]],BaseContasDRE[#All],5,FALSE)),"Fora do DRE",VLOOKUP(Base_Periodo1[[#This Row],[CONTA]],BaseContasDRE[#All],6,FALSE))</f>
        <v>Fora do DRE</v>
      </c>
      <c r="U1749" s="3" t="str">
        <f>IF(ISERROR(VLOOKUP(Base_Periodo1[[#This Row],[CONTA]],BaseContasDRE[#All],7,FALSE)),"Fora do DRE",VLOOKUP(Base_Periodo1[[#This Row],[CONTA]],BaseContasDRE[#All],7,FALSE))</f>
        <v>Fora do DRE</v>
      </c>
      <c r="V1749" s="3" t="str">
        <f>IF(Base_Periodo1[[#This Row],[Tipo_Linha]]="Fora do DRE","Fora do DRE","( "&amp;Base_Periodo1[[#This Row],[Tipo_Linha]]&amp;" ) "&amp;Base_Periodo1[[#This Row],[Filtro]])</f>
        <v>Fora do DRE</v>
      </c>
      <c r="W1749" s="3" t="str">
        <f>LEFT(Base_Periodo1[[#This Row],[CLASS]],3)</f>
        <v>1.1</v>
      </c>
    </row>
    <row r="1750" spans="1:23" hidden="1">
      <c r="A1750" s="3" t="str">
        <f t="shared" si="27"/>
        <v>Período 1</v>
      </c>
      <c r="B1750">
        <v>1033</v>
      </c>
      <c r="C1750" t="s">
        <v>4751</v>
      </c>
      <c r="D1750" t="s">
        <v>1171</v>
      </c>
      <c r="E1750" s="3" t="str">
        <f>IF(LEN(Base_Periodo1[[#This Row],[CLASS]])&gt;=7,LEFT(Base_Periodo1[[#This Row],[CLASS]],7),"")</f>
        <v>1.1.3.1</v>
      </c>
      <c r="F1750" s="3" t="str">
        <f>VLOOKUP(Base_Periodo1[[#This Row],[Aux]],Base_Contas_Balanco[#All],2,FALSE)</f>
        <v>Estoques Proprios</v>
      </c>
      <c r="G1750" s="1"/>
      <c r="H1750" s="225">
        <v>59.349999999999909</v>
      </c>
      <c r="I1750" s="225">
        <v>0</v>
      </c>
      <c r="J1750" s="225">
        <v>0</v>
      </c>
      <c r="K1750" s="225">
        <v>59.349999999999909</v>
      </c>
      <c r="L17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-59.35</v>
      </c>
      <c r="M1750" s="225">
        <f>ROUND(IF(AND(Base_Periodo1[[#This Row],[Tipo_Linha]]="-",Base_Periodo1[[#This Row],[TIPOSALDO]]="D"),Base_Periodo1[[#This Row],[SALDO_ATUAL]]*-1,Base_Periodo1[[#This Row],[SALDO_ATUAL]]),4)</f>
        <v>59.35</v>
      </c>
      <c r="N1750" t="s">
        <v>396</v>
      </c>
      <c r="O1750" t="s">
        <v>459</v>
      </c>
      <c r="P1750" t="s">
        <v>459</v>
      </c>
      <c r="Q1750">
        <v>8</v>
      </c>
      <c r="R1750" s="225">
        <f>Base_Periodo1[[#This Row],[CREDITOS]]-Base_Periodo1[[#This Row],[DEBITOS]]</f>
        <v>0</v>
      </c>
      <c r="S1750" s="3" t="str">
        <f>IF(ISERROR(VLOOKUP(Base_Periodo1[[#This Row],[CONTA]],BaseContasDRE[#All],4,FALSE)),"Fora do DRE",VLOOKUP(Base_Periodo1[[#This Row],[CONTA]],BaseContasDRE[#All],4,FALSE))</f>
        <v>Fora do DRE</v>
      </c>
      <c r="T1750" s="3" t="str">
        <f>IF(ISERROR(VLOOKUP(Base_Periodo1[[#This Row],[CONTA]],BaseContasDRE[#All],5,FALSE)),"Fora do DRE",VLOOKUP(Base_Periodo1[[#This Row],[CONTA]],BaseContasDRE[#All],6,FALSE))</f>
        <v>Fora do DRE</v>
      </c>
      <c r="U1750" s="3" t="str">
        <f>IF(ISERROR(VLOOKUP(Base_Periodo1[[#This Row],[CONTA]],BaseContasDRE[#All],7,FALSE)),"Fora do DRE",VLOOKUP(Base_Periodo1[[#This Row],[CONTA]],BaseContasDRE[#All],7,FALSE))</f>
        <v>Fora do DRE</v>
      </c>
      <c r="V1750" s="3" t="str">
        <f>IF(Base_Periodo1[[#This Row],[Tipo_Linha]]="Fora do DRE","Fora do DRE","( "&amp;Base_Periodo1[[#This Row],[Tipo_Linha]]&amp;" ) "&amp;Base_Periodo1[[#This Row],[Filtro]])</f>
        <v>Fora do DRE</v>
      </c>
      <c r="W1750" s="3" t="str">
        <f>LEFT(Base_Periodo1[[#This Row],[CLASS]],3)</f>
        <v>1.1</v>
      </c>
    </row>
    <row r="1751" spans="1:23" hidden="1">
      <c r="A1751" s="3" t="str">
        <f t="shared" si="27"/>
        <v>Período 1</v>
      </c>
      <c r="B1751">
        <v>1034</v>
      </c>
      <c r="C1751" t="s">
        <v>5919</v>
      </c>
      <c r="D1751" t="s">
        <v>1173</v>
      </c>
      <c r="E1751" s="3" t="str">
        <f>IF(LEN(Base_Periodo1[[#This Row],[CLASS]])&gt;=7,LEFT(Base_Periodo1[[#This Row],[CLASS]],7),"")</f>
        <v>1.1.3.1</v>
      </c>
      <c r="F1751" s="3" t="str">
        <f>VLOOKUP(Base_Periodo1[[#This Row],[Aux]],Base_Contas_Balanco[#All],2,FALSE)</f>
        <v>Estoques Proprios</v>
      </c>
      <c r="G1751" s="1">
        <v>42787</v>
      </c>
      <c r="H1751" s="225">
        <v>29.599999999999909</v>
      </c>
      <c r="I1751" s="225">
        <v>0</v>
      </c>
      <c r="J1751" s="225">
        <v>0</v>
      </c>
      <c r="K1751" s="225">
        <v>29.599999999999909</v>
      </c>
      <c r="L17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-29.6</v>
      </c>
      <c r="M1751" s="225">
        <f>ROUND(IF(AND(Base_Periodo1[[#This Row],[Tipo_Linha]]="-",Base_Periodo1[[#This Row],[TIPOSALDO]]="D"),Base_Periodo1[[#This Row],[SALDO_ATUAL]]*-1,Base_Periodo1[[#This Row],[SALDO_ATUAL]]),4)</f>
        <v>29.6</v>
      </c>
      <c r="N1751" t="s">
        <v>116</v>
      </c>
      <c r="O1751" t="s">
        <v>459</v>
      </c>
      <c r="P1751" t="s">
        <v>459</v>
      </c>
      <c r="Q1751">
        <v>9</v>
      </c>
      <c r="R1751" s="225">
        <f>Base_Periodo1[[#This Row],[CREDITOS]]-Base_Periodo1[[#This Row],[DEBITOS]]</f>
        <v>0</v>
      </c>
      <c r="S1751" s="3" t="str">
        <f>IF(ISERROR(VLOOKUP(Base_Periodo1[[#This Row],[CONTA]],BaseContasDRE[#All],4,FALSE)),"Fora do DRE",VLOOKUP(Base_Periodo1[[#This Row],[CONTA]],BaseContasDRE[#All],4,FALSE))</f>
        <v>Fora do DRE</v>
      </c>
      <c r="T1751" s="3" t="str">
        <f>IF(ISERROR(VLOOKUP(Base_Periodo1[[#This Row],[CONTA]],BaseContasDRE[#All],5,FALSE)),"Fora do DRE",VLOOKUP(Base_Periodo1[[#This Row],[CONTA]],BaseContasDRE[#All],6,FALSE))</f>
        <v>Fora do DRE</v>
      </c>
      <c r="U1751" s="3" t="str">
        <f>IF(ISERROR(VLOOKUP(Base_Periodo1[[#This Row],[CONTA]],BaseContasDRE[#All],7,FALSE)),"Fora do DRE",VLOOKUP(Base_Periodo1[[#This Row],[CONTA]],BaseContasDRE[#All],7,FALSE))</f>
        <v>Fora do DRE</v>
      </c>
      <c r="V1751" s="3" t="str">
        <f>IF(Base_Periodo1[[#This Row],[Tipo_Linha]]="Fora do DRE","Fora do DRE","( "&amp;Base_Periodo1[[#This Row],[Tipo_Linha]]&amp;" ) "&amp;Base_Periodo1[[#This Row],[Filtro]])</f>
        <v>Fora do DRE</v>
      </c>
      <c r="W1751" s="3" t="str">
        <f>LEFT(Base_Periodo1[[#This Row],[CLASS]],3)</f>
        <v>1.1</v>
      </c>
    </row>
    <row r="1752" spans="1:23" hidden="1">
      <c r="A1752" s="3" t="str">
        <f t="shared" si="27"/>
        <v>Período 1</v>
      </c>
      <c r="B1752">
        <v>1035</v>
      </c>
      <c r="C1752" t="s">
        <v>5694</v>
      </c>
      <c r="D1752" t="s">
        <v>1174</v>
      </c>
      <c r="E1752" s="3" t="str">
        <f>IF(LEN(Base_Periodo1[[#This Row],[CLASS]])&gt;=7,LEFT(Base_Periodo1[[#This Row],[CLASS]],7),"")</f>
        <v>1.1.3.1</v>
      </c>
      <c r="F1752" s="3" t="str">
        <f>VLOOKUP(Base_Periodo1[[#This Row],[Aux]],Base_Contas_Balanco[#All],2,FALSE)</f>
        <v>Estoques Proprios</v>
      </c>
      <c r="G1752" s="1">
        <v>42754</v>
      </c>
      <c r="H1752" s="225">
        <v>29.75</v>
      </c>
      <c r="I1752" s="225">
        <v>0</v>
      </c>
      <c r="J1752" s="225">
        <v>0</v>
      </c>
      <c r="K1752" s="225">
        <v>29.75</v>
      </c>
      <c r="L17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-29.75</v>
      </c>
      <c r="M1752" s="225">
        <f>ROUND(IF(AND(Base_Periodo1[[#This Row],[Tipo_Linha]]="-",Base_Periodo1[[#This Row],[TIPOSALDO]]="D"),Base_Periodo1[[#This Row],[SALDO_ATUAL]]*-1,Base_Periodo1[[#This Row],[SALDO_ATUAL]]),4)</f>
        <v>29.75</v>
      </c>
      <c r="N1752" t="s">
        <v>116</v>
      </c>
      <c r="O1752" t="s">
        <v>459</v>
      </c>
      <c r="P1752" t="s">
        <v>459</v>
      </c>
      <c r="Q1752">
        <v>9</v>
      </c>
      <c r="R1752" s="225">
        <f>Base_Periodo1[[#This Row],[CREDITOS]]-Base_Periodo1[[#This Row],[DEBITOS]]</f>
        <v>0</v>
      </c>
      <c r="S1752" s="3" t="str">
        <f>IF(ISERROR(VLOOKUP(Base_Periodo1[[#This Row],[CONTA]],BaseContasDRE[#All],4,FALSE)),"Fora do DRE",VLOOKUP(Base_Periodo1[[#This Row],[CONTA]],BaseContasDRE[#All],4,FALSE))</f>
        <v>Fora do DRE</v>
      </c>
      <c r="T1752" s="3" t="str">
        <f>IF(ISERROR(VLOOKUP(Base_Periodo1[[#This Row],[CONTA]],BaseContasDRE[#All],5,FALSE)),"Fora do DRE",VLOOKUP(Base_Periodo1[[#This Row],[CONTA]],BaseContasDRE[#All],6,FALSE))</f>
        <v>Fora do DRE</v>
      </c>
      <c r="U1752" s="3" t="str">
        <f>IF(ISERROR(VLOOKUP(Base_Periodo1[[#This Row],[CONTA]],BaseContasDRE[#All],7,FALSE)),"Fora do DRE",VLOOKUP(Base_Periodo1[[#This Row],[CONTA]],BaseContasDRE[#All],7,FALSE))</f>
        <v>Fora do DRE</v>
      </c>
      <c r="V1752" s="3" t="str">
        <f>IF(Base_Periodo1[[#This Row],[Tipo_Linha]]="Fora do DRE","Fora do DRE","( "&amp;Base_Periodo1[[#This Row],[Tipo_Linha]]&amp;" ) "&amp;Base_Periodo1[[#This Row],[Filtro]])</f>
        <v>Fora do DRE</v>
      </c>
      <c r="W1752" s="3" t="str">
        <f>LEFT(Base_Periodo1[[#This Row],[CLASS]],3)</f>
        <v>1.1</v>
      </c>
    </row>
    <row r="1753" spans="1:23" hidden="1">
      <c r="A1753" s="3" t="str">
        <f t="shared" si="27"/>
        <v>Período 1</v>
      </c>
      <c r="B1753">
        <v>52500</v>
      </c>
      <c r="C1753" t="s">
        <v>6817</v>
      </c>
      <c r="D1753" t="s">
        <v>1150</v>
      </c>
      <c r="E1753" s="3" t="str">
        <f>IF(LEN(Base_Periodo1[[#This Row],[CLASS]])&gt;=7,LEFT(Base_Periodo1[[#This Row],[CLASS]],7),"")</f>
        <v>1.1.3.1</v>
      </c>
      <c r="F1753" s="3" t="str">
        <f>VLOOKUP(Base_Periodo1[[#This Row],[Aux]],Base_Contas_Balanco[#All],2,FALSE)</f>
        <v>Estoques Proprios</v>
      </c>
      <c r="G1753" s="1"/>
      <c r="I1753" s="225">
        <v>0</v>
      </c>
      <c r="J1753" s="225">
        <v>16.79</v>
      </c>
      <c r="K1753" s="225">
        <v>16.79</v>
      </c>
      <c r="L17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-16.79</v>
      </c>
      <c r="M1753" s="225">
        <f>ROUND(IF(AND(Base_Periodo1[[#This Row],[Tipo_Linha]]="-",Base_Periodo1[[#This Row],[TIPOSALDO]]="D"),Base_Periodo1[[#This Row],[SALDO_ATUAL]]*-1,Base_Periodo1[[#This Row],[SALDO_ATUAL]]),4)</f>
        <v>16.79</v>
      </c>
      <c r="N1753" t="s">
        <v>396</v>
      </c>
      <c r="O1753" t="s">
        <v>436</v>
      </c>
      <c r="P1753" t="s">
        <v>459</v>
      </c>
      <c r="Q1753">
        <v>8</v>
      </c>
      <c r="R1753" s="225">
        <f>Base_Periodo1[[#This Row],[CREDITOS]]-Base_Periodo1[[#This Row],[DEBITOS]]</f>
        <v>16.79</v>
      </c>
      <c r="S1753" s="3" t="str">
        <f>IF(ISERROR(VLOOKUP(Base_Periodo1[[#This Row],[CONTA]],BaseContasDRE[#All],4,FALSE)),"Fora do DRE",VLOOKUP(Base_Periodo1[[#This Row],[CONTA]],BaseContasDRE[#All],4,FALSE))</f>
        <v>Fora do DRE</v>
      </c>
      <c r="T1753" s="3" t="str">
        <f>IF(ISERROR(VLOOKUP(Base_Periodo1[[#This Row],[CONTA]],BaseContasDRE[#All],5,FALSE)),"Fora do DRE",VLOOKUP(Base_Periodo1[[#This Row],[CONTA]],BaseContasDRE[#All],6,FALSE))</f>
        <v>Fora do DRE</v>
      </c>
      <c r="U1753" s="3" t="str">
        <f>IF(ISERROR(VLOOKUP(Base_Periodo1[[#This Row],[CONTA]],BaseContasDRE[#All],7,FALSE)),"Fora do DRE",VLOOKUP(Base_Periodo1[[#This Row],[CONTA]],BaseContasDRE[#All],7,FALSE))</f>
        <v>Fora do DRE</v>
      </c>
      <c r="V1753" s="3" t="str">
        <f>IF(Base_Periodo1[[#This Row],[Tipo_Linha]]="Fora do DRE","Fora do DRE","( "&amp;Base_Periodo1[[#This Row],[Tipo_Linha]]&amp;" ) "&amp;Base_Periodo1[[#This Row],[Filtro]])</f>
        <v>Fora do DRE</v>
      </c>
      <c r="W1753" s="3" t="str">
        <f>LEFT(Base_Periodo1[[#This Row],[CLASS]],3)</f>
        <v>1.1</v>
      </c>
    </row>
    <row r="1754" spans="1:23" hidden="1">
      <c r="A1754" s="3" t="str">
        <f t="shared" si="27"/>
        <v>Período 1</v>
      </c>
      <c r="B1754">
        <v>52501</v>
      </c>
      <c r="C1754" t="s">
        <v>6818</v>
      </c>
      <c r="D1754" t="s">
        <v>1176</v>
      </c>
      <c r="E1754" s="3" t="str">
        <f>IF(LEN(Base_Periodo1[[#This Row],[CLASS]])&gt;=7,LEFT(Base_Periodo1[[#This Row],[CLASS]],7),"")</f>
        <v>1.1.3.1</v>
      </c>
      <c r="F1754" s="3" t="str">
        <f>VLOOKUP(Base_Periodo1[[#This Row],[Aux]],Base_Contas_Balanco[#All],2,FALSE)</f>
        <v>Estoques Proprios</v>
      </c>
      <c r="G1754" s="1">
        <v>42886</v>
      </c>
      <c r="I1754" s="225">
        <v>0</v>
      </c>
      <c r="J1754" s="225">
        <v>16.79</v>
      </c>
      <c r="K1754" s="225">
        <v>16.79</v>
      </c>
      <c r="L17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-16.79</v>
      </c>
      <c r="M1754" s="225">
        <f>ROUND(IF(AND(Base_Periodo1[[#This Row],[Tipo_Linha]]="-",Base_Periodo1[[#This Row],[TIPOSALDO]]="D"),Base_Periodo1[[#This Row],[SALDO_ATUAL]]*-1,Base_Periodo1[[#This Row],[SALDO_ATUAL]]),4)</f>
        <v>16.79</v>
      </c>
      <c r="N1754" t="s">
        <v>116</v>
      </c>
      <c r="O1754" t="s">
        <v>436</v>
      </c>
      <c r="P1754" t="s">
        <v>459</v>
      </c>
      <c r="Q1754">
        <v>9</v>
      </c>
      <c r="R1754" s="225">
        <f>Base_Periodo1[[#This Row],[CREDITOS]]-Base_Periodo1[[#This Row],[DEBITOS]]</f>
        <v>16.79</v>
      </c>
      <c r="S1754" s="3" t="str">
        <f>IF(ISERROR(VLOOKUP(Base_Periodo1[[#This Row],[CONTA]],BaseContasDRE[#All],4,FALSE)),"Fora do DRE",VLOOKUP(Base_Periodo1[[#This Row],[CONTA]],BaseContasDRE[#All],4,FALSE))</f>
        <v>Fora do DRE</v>
      </c>
      <c r="T1754" s="3" t="str">
        <f>IF(ISERROR(VLOOKUP(Base_Periodo1[[#This Row],[CONTA]],BaseContasDRE[#All],5,FALSE)),"Fora do DRE",VLOOKUP(Base_Periodo1[[#This Row],[CONTA]],BaseContasDRE[#All],6,FALSE))</f>
        <v>Fora do DRE</v>
      </c>
      <c r="U1754" s="3" t="str">
        <f>IF(ISERROR(VLOOKUP(Base_Periodo1[[#This Row],[CONTA]],BaseContasDRE[#All],7,FALSE)),"Fora do DRE",VLOOKUP(Base_Periodo1[[#This Row],[CONTA]],BaseContasDRE[#All],7,FALSE))</f>
        <v>Fora do DRE</v>
      </c>
      <c r="V1754" s="3" t="str">
        <f>IF(Base_Periodo1[[#This Row],[Tipo_Linha]]="Fora do DRE","Fora do DRE","( "&amp;Base_Periodo1[[#This Row],[Tipo_Linha]]&amp;" ) "&amp;Base_Periodo1[[#This Row],[Filtro]])</f>
        <v>Fora do DRE</v>
      </c>
      <c r="W1754" s="3" t="str">
        <f>LEFT(Base_Periodo1[[#This Row],[CLASS]],3)</f>
        <v>1.1</v>
      </c>
    </row>
    <row r="1755" spans="1:23" hidden="1">
      <c r="A1755" s="3" t="str">
        <f t="shared" si="27"/>
        <v>Período 1</v>
      </c>
      <c r="B1755">
        <v>1038</v>
      </c>
      <c r="C1755" t="s">
        <v>1398</v>
      </c>
      <c r="D1755" t="s">
        <v>1399</v>
      </c>
      <c r="E1755" s="3" t="str">
        <f>IF(LEN(Base_Periodo1[[#This Row],[CLASS]])&gt;=7,LEFT(Base_Periodo1[[#This Row],[CLASS]],7),"")</f>
        <v>1.1.3.1</v>
      </c>
      <c r="F1755" s="3" t="str">
        <f>VLOOKUP(Base_Periodo1[[#This Row],[Aux]],Base_Contas_Balanco[#All],2,FALSE)</f>
        <v>Estoques Proprios</v>
      </c>
      <c r="G1755" s="1"/>
      <c r="H1755" s="225">
        <v>47696.76999999999</v>
      </c>
      <c r="I1755" s="225">
        <v>20388.499999999996</v>
      </c>
      <c r="J1755" s="225">
        <v>49.6</v>
      </c>
      <c r="K1755" s="225">
        <v>68035.669999999984</v>
      </c>
      <c r="L17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68035.67</v>
      </c>
      <c r="M1755" s="225">
        <f>ROUND(IF(AND(Base_Periodo1[[#This Row],[Tipo_Linha]]="-",Base_Periodo1[[#This Row],[TIPOSALDO]]="D"),Base_Periodo1[[#This Row],[SALDO_ATUAL]]*-1,Base_Periodo1[[#This Row],[SALDO_ATUAL]]),4)</f>
        <v>68035.67</v>
      </c>
      <c r="N1755" t="s">
        <v>396</v>
      </c>
      <c r="O1755" t="s">
        <v>397</v>
      </c>
      <c r="P1755" t="s">
        <v>397</v>
      </c>
      <c r="Q1755">
        <v>7</v>
      </c>
      <c r="R1755" s="225">
        <f>Base_Periodo1[[#This Row],[CREDITOS]]-Base_Periodo1[[#This Row],[DEBITOS]]</f>
        <v>-20338.899999999998</v>
      </c>
      <c r="S1755" s="3" t="str">
        <f>IF(ISERROR(VLOOKUP(Base_Periodo1[[#This Row],[CONTA]],BaseContasDRE[#All],4,FALSE)),"Fora do DRE",VLOOKUP(Base_Periodo1[[#This Row],[CONTA]],BaseContasDRE[#All],4,FALSE))</f>
        <v>Fora do DRE</v>
      </c>
      <c r="T1755" s="3" t="str">
        <f>IF(ISERROR(VLOOKUP(Base_Periodo1[[#This Row],[CONTA]],BaseContasDRE[#All],5,FALSE)),"Fora do DRE",VLOOKUP(Base_Periodo1[[#This Row],[CONTA]],BaseContasDRE[#All],6,FALSE))</f>
        <v>Fora do DRE</v>
      </c>
      <c r="U1755" s="3" t="str">
        <f>IF(ISERROR(VLOOKUP(Base_Periodo1[[#This Row],[CONTA]],BaseContasDRE[#All],7,FALSE)),"Fora do DRE",VLOOKUP(Base_Periodo1[[#This Row],[CONTA]],BaseContasDRE[#All],7,FALSE))</f>
        <v>Fora do DRE</v>
      </c>
      <c r="V1755" s="3" t="str">
        <f>IF(Base_Periodo1[[#This Row],[Tipo_Linha]]="Fora do DRE","Fora do DRE","( "&amp;Base_Periodo1[[#This Row],[Tipo_Linha]]&amp;" ) "&amp;Base_Periodo1[[#This Row],[Filtro]])</f>
        <v>Fora do DRE</v>
      </c>
      <c r="W1755" s="3" t="str">
        <f>LEFT(Base_Periodo1[[#This Row],[CLASS]],3)</f>
        <v>1.1</v>
      </c>
    </row>
    <row r="1756" spans="1:23" hidden="1">
      <c r="A1756" s="3" t="str">
        <f t="shared" si="27"/>
        <v>Período 1</v>
      </c>
      <c r="B1756">
        <v>1039</v>
      </c>
      <c r="C1756" t="s">
        <v>1400</v>
      </c>
      <c r="D1756" t="s">
        <v>1054</v>
      </c>
      <c r="E1756" s="3" t="str">
        <f>IF(LEN(Base_Periodo1[[#This Row],[CLASS]])&gt;=7,LEFT(Base_Periodo1[[#This Row],[CLASS]],7),"")</f>
        <v>1.1.3.1</v>
      </c>
      <c r="F1756" s="3" t="str">
        <f>VLOOKUP(Base_Periodo1[[#This Row],[Aux]],Base_Contas_Balanco[#All],2,FALSE)</f>
        <v>Estoques Proprios</v>
      </c>
      <c r="G1756" s="1"/>
      <c r="H1756" s="225">
        <v>26883.059999999998</v>
      </c>
      <c r="I1756" s="225">
        <v>0</v>
      </c>
      <c r="J1756" s="225">
        <v>0</v>
      </c>
      <c r="K1756" s="225">
        <v>26883.059999999998</v>
      </c>
      <c r="L17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26883.06</v>
      </c>
      <c r="M1756" s="225">
        <f>ROUND(IF(AND(Base_Periodo1[[#This Row],[Tipo_Linha]]="-",Base_Periodo1[[#This Row],[TIPOSALDO]]="D"),Base_Periodo1[[#This Row],[SALDO_ATUAL]]*-1,Base_Periodo1[[#This Row],[SALDO_ATUAL]]),4)</f>
        <v>26883.06</v>
      </c>
      <c r="N1756" t="s">
        <v>396</v>
      </c>
      <c r="O1756" t="s">
        <v>397</v>
      </c>
      <c r="P1756" t="s">
        <v>397</v>
      </c>
      <c r="Q1756">
        <v>8</v>
      </c>
      <c r="R1756" s="225">
        <f>Base_Periodo1[[#This Row],[CREDITOS]]-Base_Periodo1[[#This Row],[DEBITOS]]</f>
        <v>0</v>
      </c>
      <c r="S1756" s="3" t="str">
        <f>IF(ISERROR(VLOOKUP(Base_Periodo1[[#This Row],[CONTA]],BaseContasDRE[#All],4,FALSE)),"Fora do DRE",VLOOKUP(Base_Periodo1[[#This Row],[CONTA]],BaseContasDRE[#All],4,FALSE))</f>
        <v>Fora do DRE</v>
      </c>
      <c r="T1756" s="3" t="str">
        <f>IF(ISERROR(VLOOKUP(Base_Periodo1[[#This Row],[CONTA]],BaseContasDRE[#All],5,FALSE)),"Fora do DRE",VLOOKUP(Base_Periodo1[[#This Row],[CONTA]],BaseContasDRE[#All],6,FALSE))</f>
        <v>Fora do DRE</v>
      </c>
      <c r="U1756" s="3" t="str">
        <f>IF(ISERROR(VLOOKUP(Base_Periodo1[[#This Row],[CONTA]],BaseContasDRE[#All],7,FALSE)),"Fora do DRE",VLOOKUP(Base_Periodo1[[#This Row],[CONTA]],BaseContasDRE[#All],7,FALSE))</f>
        <v>Fora do DRE</v>
      </c>
      <c r="V1756" s="3" t="str">
        <f>IF(Base_Periodo1[[#This Row],[Tipo_Linha]]="Fora do DRE","Fora do DRE","( "&amp;Base_Periodo1[[#This Row],[Tipo_Linha]]&amp;" ) "&amp;Base_Periodo1[[#This Row],[Filtro]])</f>
        <v>Fora do DRE</v>
      </c>
      <c r="W1756" s="3" t="str">
        <f>LEFT(Base_Periodo1[[#This Row],[CLASS]],3)</f>
        <v>1.1</v>
      </c>
    </row>
    <row r="1757" spans="1:23" hidden="1">
      <c r="A1757" s="3" t="str">
        <f t="shared" si="27"/>
        <v>Período 1</v>
      </c>
      <c r="B1757">
        <v>1040</v>
      </c>
      <c r="C1757" t="s">
        <v>1401</v>
      </c>
      <c r="D1757" t="s">
        <v>1054</v>
      </c>
      <c r="E1757" s="3" t="str">
        <f>IF(LEN(Base_Periodo1[[#This Row],[CLASS]])&gt;=7,LEFT(Base_Periodo1[[#This Row],[CLASS]],7),"")</f>
        <v>1.1.3.1</v>
      </c>
      <c r="F1757" s="3" t="str">
        <f>VLOOKUP(Base_Periodo1[[#This Row],[Aux]],Base_Contas_Balanco[#All],2,FALSE)</f>
        <v>Estoques Proprios</v>
      </c>
      <c r="G1757" s="1">
        <v>42735</v>
      </c>
      <c r="H1757" s="225">
        <v>26883.059999999998</v>
      </c>
      <c r="I1757" s="225">
        <v>0</v>
      </c>
      <c r="J1757" s="225">
        <v>0</v>
      </c>
      <c r="K1757" s="225">
        <v>26883.059999999998</v>
      </c>
      <c r="L17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26883.06</v>
      </c>
      <c r="M1757" s="225">
        <f>ROUND(IF(AND(Base_Periodo1[[#This Row],[Tipo_Linha]]="-",Base_Periodo1[[#This Row],[TIPOSALDO]]="D"),Base_Periodo1[[#This Row],[SALDO_ATUAL]]*-1,Base_Periodo1[[#This Row],[SALDO_ATUAL]]),4)</f>
        <v>26883.06</v>
      </c>
      <c r="N1757" t="s">
        <v>116</v>
      </c>
      <c r="O1757" t="s">
        <v>397</v>
      </c>
      <c r="P1757" t="s">
        <v>397</v>
      </c>
      <c r="Q1757">
        <v>9</v>
      </c>
      <c r="R1757" s="225">
        <f>Base_Periodo1[[#This Row],[CREDITOS]]-Base_Periodo1[[#This Row],[DEBITOS]]</f>
        <v>0</v>
      </c>
      <c r="S1757" s="3" t="str">
        <f>IF(ISERROR(VLOOKUP(Base_Periodo1[[#This Row],[CONTA]],BaseContasDRE[#All],4,FALSE)),"Fora do DRE",VLOOKUP(Base_Periodo1[[#This Row],[CONTA]],BaseContasDRE[#All],4,FALSE))</f>
        <v>Fora do DRE</v>
      </c>
      <c r="T1757" s="3" t="str">
        <f>IF(ISERROR(VLOOKUP(Base_Periodo1[[#This Row],[CONTA]],BaseContasDRE[#All],5,FALSE)),"Fora do DRE",VLOOKUP(Base_Periodo1[[#This Row],[CONTA]],BaseContasDRE[#All],6,FALSE))</f>
        <v>Fora do DRE</v>
      </c>
      <c r="U1757" s="3" t="str">
        <f>IF(ISERROR(VLOOKUP(Base_Periodo1[[#This Row],[CONTA]],BaseContasDRE[#All],7,FALSE)),"Fora do DRE",VLOOKUP(Base_Periodo1[[#This Row],[CONTA]],BaseContasDRE[#All],7,FALSE))</f>
        <v>Fora do DRE</v>
      </c>
      <c r="V1757" s="3" t="str">
        <f>IF(Base_Periodo1[[#This Row],[Tipo_Linha]]="Fora do DRE","Fora do DRE","( "&amp;Base_Periodo1[[#This Row],[Tipo_Linha]]&amp;" ) "&amp;Base_Periodo1[[#This Row],[Filtro]])</f>
        <v>Fora do DRE</v>
      </c>
      <c r="W1757" s="3" t="str">
        <f>LEFT(Base_Periodo1[[#This Row],[CLASS]],3)</f>
        <v>1.1</v>
      </c>
    </row>
    <row r="1758" spans="1:23" hidden="1">
      <c r="A1758" s="3" t="str">
        <f t="shared" si="27"/>
        <v>Período 1</v>
      </c>
      <c r="B1758">
        <v>9094</v>
      </c>
      <c r="C1758" t="s">
        <v>5920</v>
      </c>
      <c r="D1758" t="s">
        <v>1112</v>
      </c>
      <c r="E1758" s="3" t="str">
        <f>IF(LEN(Base_Periodo1[[#This Row],[CLASS]])&gt;=7,LEFT(Base_Periodo1[[#This Row],[CLASS]],7),"")</f>
        <v>1.1.3.1</v>
      </c>
      <c r="F1758" s="3" t="str">
        <f>VLOOKUP(Base_Periodo1[[#This Row],[Aux]],Base_Contas_Balanco[#All],2,FALSE)</f>
        <v>Estoques Proprios</v>
      </c>
      <c r="G1758" s="1"/>
      <c r="H1758" s="225">
        <v>20953.310000000012</v>
      </c>
      <c r="I1758" s="225">
        <v>20388.499999999996</v>
      </c>
      <c r="J1758" s="225">
        <v>0</v>
      </c>
      <c r="K1758" s="225">
        <v>41341.810000000012</v>
      </c>
      <c r="L17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41341.81</v>
      </c>
      <c r="M1758" s="225">
        <f>ROUND(IF(AND(Base_Periodo1[[#This Row],[Tipo_Linha]]="-",Base_Periodo1[[#This Row],[TIPOSALDO]]="D"),Base_Periodo1[[#This Row],[SALDO_ATUAL]]*-1,Base_Periodo1[[#This Row],[SALDO_ATUAL]]),4)</f>
        <v>41341.81</v>
      </c>
      <c r="N1758" t="s">
        <v>396</v>
      </c>
      <c r="O1758" t="s">
        <v>397</v>
      </c>
      <c r="P1758" t="s">
        <v>397</v>
      </c>
      <c r="Q1758">
        <v>8</v>
      </c>
      <c r="R1758" s="225">
        <f>Base_Periodo1[[#This Row],[CREDITOS]]-Base_Periodo1[[#This Row],[DEBITOS]]</f>
        <v>-20388.499999999996</v>
      </c>
      <c r="S1758" s="3" t="str">
        <f>IF(ISERROR(VLOOKUP(Base_Periodo1[[#This Row],[CONTA]],BaseContasDRE[#All],4,FALSE)),"Fora do DRE",VLOOKUP(Base_Periodo1[[#This Row],[CONTA]],BaseContasDRE[#All],4,FALSE))</f>
        <v>Fora do DRE</v>
      </c>
      <c r="T1758" s="3" t="str">
        <f>IF(ISERROR(VLOOKUP(Base_Periodo1[[#This Row],[CONTA]],BaseContasDRE[#All],5,FALSE)),"Fora do DRE",VLOOKUP(Base_Periodo1[[#This Row],[CONTA]],BaseContasDRE[#All],6,FALSE))</f>
        <v>Fora do DRE</v>
      </c>
      <c r="U1758" s="3" t="str">
        <f>IF(ISERROR(VLOOKUP(Base_Periodo1[[#This Row],[CONTA]],BaseContasDRE[#All],7,FALSE)),"Fora do DRE",VLOOKUP(Base_Periodo1[[#This Row],[CONTA]],BaseContasDRE[#All],7,FALSE))</f>
        <v>Fora do DRE</v>
      </c>
      <c r="V1758" s="3" t="str">
        <f>IF(Base_Periodo1[[#This Row],[Tipo_Linha]]="Fora do DRE","Fora do DRE","( "&amp;Base_Periodo1[[#This Row],[Tipo_Linha]]&amp;" ) "&amp;Base_Periodo1[[#This Row],[Filtro]])</f>
        <v>Fora do DRE</v>
      </c>
      <c r="W1758" s="3" t="str">
        <f>LEFT(Base_Periodo1[[#This Row],[CLASS]],3)</f>
        <v>1.1</v>
      </c>
    </row>
    <row r="1759" spans="1:23" hidden="1">
      <c r="A1759" s="3" t="str">
        <f t="shared" si="27"/>
        <v>Período 1</v>
      </c>
      <c r="B1759">
        <v>9095</v>
      </c>
      <c r="C1759" t="s">
        <v>5921</v>
      </c>
      <c r="D1759" t="s">
        <v>1242</v>
      </c>
      <c r="E1759" s="3" t="str">
        <f>IF(LEN(Base_Periodo1[[#This Row],[CLASS]])&gt;=7,LEFT(Base_Periodo1[[#This Row],[CLASS]],7),"")</f>
        <v>1.1.3.1</v>
      </c>
      <c r="F1759" s="3" t="str">
        <f>VLOOKUP(Base_Periodo1[[#This Row],[Aux]],Base_Contas_Balanco[#All],2,FALSE)</f>
        <v>Estoques Proprios</v>
      </c>
      <c r="G1759" s="1">
        <v>42885</v>
      </c>
      <c r="H1759" s="225">
        <v>20953.310000000012</v>
      </c>
      <c r="I1759" s="225">
        <v>20388.499999999996</v>
      </c>
      <c r="J1759" s="225">
        <v>0</v>
      </c>
      <c r="K1759" s="225">
        <v>41341.810000000012</v>
      </c>
      <c r="L17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41341.81</v>
      </c>
      <c r="M1759" s="225">
        <f>ROUND(IF(AND(Base_Periodo1[[#This Row],[Tipo_Linha]]="-",Base_Periodo1[[#This Row],[TIPOSALDO]]="D"),Base_Periodo1[[#This Row],[SALDO_ATUAL]]*-1,Base_Periodo1[[#This Row],[SALDO_ATUAL]]),4)</f>
        <v>41341.81</v>
      </c>
      <c r="N1759" t="s">
        <v>116</v>
      </c>
      <c r="O1759" t="s">
        <v>397</v>
      </c>
      <c r="P1759" t="s">
        <v>397</v>
      </c>
      <c r="Q1759">
        <v>9</v>
      </c>
      <c r="R1759" s="225">
        <f>Base_Periodo1[[#This Row],[CREDITOS]]-Base_Periodo1[[#This Row],[DEBITOS]]</f>
        <v>-20388.499999999996</v>
      </c>
      <c r="S1759" s="3" t="str">
        <f>IF(ISERROR(VLOOKUP(Base_Periodo1[[#This Row],[CONTA]],BaseContasDRE[#All],4,FALSE)),"Fora do DRE",VLOOKUP(Base_Periodo1[[#This Row],[CONTA]],BaseContasDRE[#All],4,FALSE))</f>
        <v>Fora do DRE</v>
      </c>
      <c r="T1759" s="3" t="str">
        <f>IF(ISERROR(VLOOKUP(Base_Periodo1[[#This Row],[CONTA]],BaseContasDRE[#All],5,FALSE)),"Fora do DRE",VLOOKUP(Base_Periodo1[[#This Row],[CONTA]],BaseContasDRE[#All],6,FALSE))</f>
        <v>Fora do DRE</v>
      </c>
      <c r="U1759" s="3" t="str">
        <f>IF(ISERROR(VLOOKUP(Base_Periodo1[[#This Row],[CONTA]],BaseContasDRE[#All],7,FALSE)),"Fora do DRE",VLOOKUP(Base_Periodo1[[#This Row],[CONTA]],BaseContasDRE[#All],7,FALSE))</f>
        <v>Fora do DRE</v>
      </c>
      <c r="V1759" s="3" t="str">
        <f>IF(Base_Periodo1[[#This Row],[Tipo_Linha]]="Fora do DRE","Fora do DRE","( "&amp;Base_Periodo1[[#This Row],[Tipo_Linha]]&amp;" ) "&amp;Base_Periodo1[[#This Row],[Filtro]])</f>
        <v>Fora do DRE</v>
      </c>
      <c r="W1759" s="3" t="str">
        <f>LEFT(Base_Periodo1[[#This Row],[CLASS]],3)</f>
        <v>1.1</v>
      </c>
    </row>
    <row r="1760" spans="1:23" hidden="1">
      <c r="A1760" s="3" t="str">
        <f t="shared" si="27"/>
        <v>Período 1</v>
      </c>
      <c r="B1760">
        <v>1041</v>
      </c>
      <c r="C1760" t="s">
        <v>1402</v>
      </c>
      <c r="D1760" t="s">
        <v>1063</v>
      </c>
      <c r="E1760" s="3" t="str">
        <f>IF(LEN(Base_Periodo1[[#This Row],[CLASS]])&gt;=7,LEFT(Base_Periodo1[[#This Row],[CLASS]],7),"")</f>
        <v>1.1.3.1</v>
      </c>
      <c r="F1760" s="3" t="str">
        <f>VLOOKUP(Base_Periodo1[[#This Row],[Aux]],Base_Contas_Balanco[#All],2,FALSE)</f>
        <v>Estoques Proprios</v>
      </c>
      <c r="G1760" s="1"/>
      <c r="H1760" s="225">
        <v>446.39999999997963</v>
      </c>
      <c r="I1760" s="225">
        <v>0</v>
      </c>
      <c r="J1760" s="225">
        <v>0</v>
      </c>
      <c r="K1760" s="225">
        <v>446.39999999997963</v>
      </c>
      <c r="L17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446.4</v>
      </c>
      <c r="M1760" s="225">
        <f>ROUND(IF(AND(Base_Periodo1[[#This Row],[Tipo_Linha]]="-",Base_Periodo1[[#This Row],[TIPOSALDO]]="D"),Base_Periodo1[[#This Row],[SALDO_ATUAL]]*-1,Base_Periodo1[[#This Row],[SALDO_ATUAL]]),4)</f>
        <v>446.4</v>
      </c>
      <c r="N1760" t="s">
        <v>396</v>
      </c>
      <c r="O1760" t="s">
        <v>397</v>
      </c>
      <c r="P1760" t="s">
        <v>397</v>
      </c>
      <c r="Q1760">
        <v>8</v>
      </c>
      <c r="R1760" s="225">
        <f>Base_Periodo1[[#This Row],[CREDITOS]]-Base_Periodo1[[#This Row],[DEBITOS]]</f>
        <v>0</v>
      </c>
      <c r="S1760" s="3" t="str">
        <f>IF(ISERROR(VLOOKUP(Base_Periodo1[[#This Row],[CONTA]],BaseContasDRE[#All],4,FALSE)),"Fora do DRE",VLOOKUP(Base_Periodo1[[#This Row],[CONTA]],BaseContasDRE[#All],4,FALSE))</f>
        <v>Fora do DRE</v>
      </c>
      <c r="T1760" s="3" t="str">
        <f>IF(ISERROR(VLOOKUP(Base_Periodo1[[#This Row],[CONTA]],BaseContasDRE[#All],5,FALSE)),"Fora do DRE",VLOOKUP(Base_Periodo1[[#This Row],[CONTA]],BaseContasDRE[#All],6,FALSE))</f>
        <v>Fora do DRE</v>
      </c>
      <c r="U1760" s="3" t="str">
        <f>IF(ISERROR(VLOOKUP(Base_Periodo1[[#This Row],[CONTA]],BaseContasDRE[#All],7,FALSE)),"Fora do DRE",VLOOKUP(Base_Periodo1[[#This Row],[CONTA]],BaseContasDRE[#All],7,FALSE))</f>
        <v>Fora do DRE</v>
      </c>
      <c r="V1760" s="3" t="str">
        <f>IF(Base_Periodo1[[#This Row],[Tipo_Linha]]="Fora do DRE","Fora do DRE","( "&amp;Base_Periodo1[[#This Row],[Tipo_Linha]]&amp;" ) "&amp;Base_Periodo1[[#This Row],[Filtro]])</f>
        <v>Fora do DRE</v>
      </c>
      <c r="W1760" s="3" t="str">
        <f>LEFT(Base_Periodo1[[#This Row],[CLASS]],3)</f>
        <v>1.1</v>
      </c>
    </row>
    <row r="1761" spans="1:23" hidden="1">
      <c r="A1761" s="3" t="str">
        <f t="shared" si="27"/>
        <v>Período 1</v>
      </c>
      <c r="B1761">
        <v>1042</v>
      </c>
      <c r="C1761" t="s">
        <v>1403</v>
      </c>
      <c r="D1761" t="s">
        <v>1065</v>
      </c>
      <c r="E1761" s="3" t="str">
        <f>IF(LEN(Base_Periodo1[[#This Row],[CLASS]])&gt;=7,LEFT(Base_Periodo1[[#This Row],[CLASS]],7),"")</f>
        <v>1.1.3.1</v>
      </c>
      <c r="F1761" s="3" t="str">
        <f>VLOOKUP(Base_Periodo1[[#This Row],[Aux]],Base_Contas_Balanco[#All],2,FALSE)</f>
        <v>Estoques Proprios</v>
      </c>
      <c r="G1761" s="1">
        <v>42758</v>
      </c>
      <c r="H1761" s="225">
        <v>446.39999999997963</v>
      </c>
      <c r="I1761" s="225">
        <v>0</v>
      </c>
      <c r="J1761" s="225">
        <v>0</v>
      </c>
      <c r="K1761" s="225">
        <v>446.39999999997963</v>
      </c>
      <c r="L17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446.4</v>
      </c>
      <c r="M1761" s="225">
        <f>ROUND(IF(AND(Base_Periodo1[[#This Row],[Tipo_Linha]]="-",Base_Periodo1[[#This Row],[TIPOSALDO]]="D"),Base_Periodo1[[#This Row],[SALDO_ATUAL]]*-1,Base_Periodo1[[#This Row],[SALDO_ATUAL]]),4)</f>
        <v>446.4</v>
      </c>
      <c r="N1761" t="s">
        <v>116</v>
      </c>
      <c r="O1761" t="s">
        <v>397</v>
      </c>
      <c r="P1761" t="s">
        <v>397</v>
      </c>
      <c r="Q1761">
        <v>9</v>
      </c>
      <c r="R1761" s="225">
        <f>Base_Periodo1[[#This Row],[CREDITOS]]-Base_Periodo1[[#This Row],[DEBITOS]]</f>
        <v>0</v>
      </c>
      <c r="S1761" s="3" t="str">
        <f>IF(ISERROR(VLOOKUP(Base_Periodo1[[#This Row],[CONTA]],BaseContasDRE[#All],4,FALSE)),"Fora do DRE",VLOOKUP(Base_Periodo1[[#This Row],[CONTA]],BaseContasDRE[#All],4,FALSE))</f>
        <v>Fora do DRE</v>
      </c>
      <c r="T1761" s="3" t="str">
        <f>IF(ISERROR(VLOOKUP(Base_Periodo1[[#This Row],[CONTA]],BaseContasDRE[#All],5,FALSE)),"Fora do DRE",VLOOKUP(Base_Periodo1[[#This Row],[CONTA]],BaseContasDRE[#All],6,FALSE))</f>
        <v>Fora do DRE</v>
      </c>
      <c r="U1761" s="3" t="str">
        <f>IF(ISERROR(VLOOKUP(Base_Periodo1[[#This Row],[CONTA]],BaseContasDRE[#All],7,FALSE)),"Fora do DRE",VLOOKUP(Base_Periodo1[[#This Row],[CONTA]],BaseContasDRE[#All],7,FALSE))</f>
        <v>Fora do DRE</v>
      </c>
      <c r="V1761" s="3" t="str">
        <f>IF(Base_Periodo1[[#This Row],[Tipo_Linha]]="Fora do DRE","Fora do DRE","( "&amp;Base_Periodo1[[#This Row],[Tipo_Linha]]&amp;" ) "&amp;Base_Periodo1[[#This Row],[Filtro]])</f>
        <v>Fora do DRE</v>
      </c>
      <c r="W1761" s="3" t="str">
        <f>LEFT(Base_Periodo1[[#This Row],[CLASS]],3)</f>
        <v>1.1</v>
      </c>
    </row>
    <row r="1762" spans="1:23" hidden="1">
      <c r="A1762" s="3" t="str">
        <f t="shared" si="27"/>
        <v>Período 1</v>
      </c>
      <c r="B1762">
        <v>1046</v>
      </c>
      <c r="C1762" t="s">
        <v>1404</v>
      </c>
      <c r="D1762" t="s">
        <v>1072</v>
      </c>
      <c r="E1762" s="3" t="str">
        <f>IF(LEN(Base_Periodo1[[#This Row],[CLASS]])&gt;=7,LEFT(Base_Periodo1[[#This Row],[CLASS]],7),"")</f>
        <v>1.1.3.1</v>
      </c>
      <c r="F1762" s="3" t="str">
        <f>VLOOKUP(Base_Periodo1[[#This Row],[Aux]],Base_Contas_Balanco[#All],2,FALSE)</f>
        <v>Estoques Proprios</v>
      </c>
      <c r="G1762" s="1"/>
      <c r="H1762" s="225">
        <v>446.40000000000873</v>
      </c>
      <c r="I1762" s="225">
        <v>0</v>
      </c>
      <c r="J1762" s="225">
        <v>0</v>
      </c>
      <c r="K1762" s="225">
        <v>446.40000000000873</v>
      </c>
      <c r="L17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-446.4</v>
      </c>
      <c r="M1762" s="225">
        <f>ROUND(IF(AND(Base_Periodo1[[#This Row],[Tipo_Linha]]="-",Base_Periodo1[[#This Row],[TIPOSALDO]]="D"),Base_Periodo1[[#This Row],[SALDO_ATUAL]]*-1,Base_Periodo1[[#This Row],[SALDO_ATUAL]]),4)</f>
        <v>446.4</v>
      </c>
      <c r="N1762" t="s">
        <v>396</v>
      </c>
      <c r="O1762" t="s">
        <v>459</v>
      </c>
      <c r="P1762" t="s">
        <v>459</v>
      </c>
      <c r="Q1762">
        <v>8</v>
      </c>
      <c r="R1762" s="225">
        <f>Base_Periodo1[[#This Row],[CREDITOS]]-Base_Periodo1[[#This Row],[DEBITOS]]</f>
        <v>0</v>
      </c>
      <c r="S1762" s="3" t="str">
        <f>IF(ISERROR(VLOOKUP(Base_Periodo1[[#This Row],[CONTA]],BaseContasDRE[#All],4,FALSE)),"Fora do DRE",VLOOKUP(Base_Periodo1[[#This Row],[CONTA]],BaseContasDRE[#All],4,FALSE))</f>
        <v>Fora do DRE</v>
      </c>
      <c r="T1762" s="3" t="str">
        <f>IF(ISERROR(VLOOKUP(Base_Periodo1[[#This Row],[CONTA]],BaseContasDRE[#All],5,FALSE)),"Fora do DRE",VLOOKUP(Base_Periodo1[[#This Row],[CONTA]],BaseContasDRE[#All],6,FALSE))</f>
        <v>Fora do DRE</v>
      </c>
      <c r="U1762" s="3" t="str">
        <f>IF(ISERROR(VLOOKUP(Base_Periodo1[[#This Row],[CONTA]],BaseContasDRE[#All],7,FALSE)),"Fora do DRE",VLOOKUP(Base_Periodo1[[#This Row],[CONTA]],BaseContasDRE[#All],7,FALSE))</f>
        <v>Fora do DRE</v>
      </c>
      <c r="V1762" s="3" t="str">
        <f>IF(Base_Periodo1[[#This Row],[Tipo_Linha]]="Fora do DRE","Fora do DRE","( "&amp;Base_Periodo1[[#This Row],[Tipo_Linha]]&amp;" ) "&amp;Base_Periodo1[[#This Row],[Filtro]])</f>
        <v>Fora do DRE</v>
      </c>
      <c r="W1762" s="3" t="str">
        <f>LEFT(Base_Periodo1[[#This Row],[CLASS]],3)</f>
        <v>1.1</v>
      </c>
    </row>
    <row r="1763" spans="1:23" hidden="1">
      <c r="A1763" s="3" t="str">
        <f t="shared" si="27"/>
        <v>Período 1</v>
      </c>
      <c r="B1763">
        <v>1047</v>
      </c>
      <c r="C1763" t="s">
        <v>1405</v>
      </c>
      <c r="D1763" t="s">
        <v>1074</v>
      </c>
      <c r="E1763" s="3" t="str">
        <f>IF(LEN(Base_Periodo1[[#This Row],[CLASS]])&gt;=7,LEFT(Base_Periodo1[[#This Row],[CLASS]],7),"")</f>
        <v>1.1.3.1</v>
      </c>
      <c r="F1763" s="3" t="str">
        <f>VLOOKUP(Base_Periodo1[[#This Row],[Aux]],Base_Contas_Balanco[#All],2,FALSE)</f>
        <v>Estoques Proprios</v>
      </c>
      <c r="G1763" s="1">
        <v>42754</v>
      </c>
      <c r="H1763" s="225">
        <v>446.40000000000873</v>
      </c>
      <c r="I1763" s="225">
        <v>0</v>
      </c>
      <c r="J1763" s="225">
        <v>0</v>
      </c>
      <c r="K1763" s="225">
        <v>446.40000000000873</v>
      </c>
      <c r="L17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-446.4</v>
      </c>
      <c r="M1763" s="225">
        <f>ROUND(IF(AND(Base_Periodo1[[#This Row],[Tipo_Linha]]="-",Base_Periodo1[[#This Row],[TIPOSALDO]]="D"),Base_Periodo1[[#This Row],[SALDO_ATUAL]]*-1,Base_Periodo1[[#This Row],[SALDO_ATUAL]]),4)</f>
        <v>446.4</v>
      </c>
      <c r="N1763" t="s">
        <v>116</v>
      </c>
      <c r="O1763" t="s">
        <v>459</v>
      </c>
      <c r="P1763" t="s">
        <v>459</v>
      </c>
      <c r="Q1763">
        <v>9</v>
      </c>
      <c r="R1763" s="225">
        <f>Base_Periodo1[[#This Row],[CREDITOS]]-Base_Periodo1[[#This Row],[DEBITOS]]</f>
        <v>0</v>
      </c>
      <c r="S1763" s="3" t="str">
        <f>IF(ISERROR(VLOOKUP(Base_Periodo1[[#This Row],[CONTA]],BaseContasDRE[#All],4,FALSE)),"Fora do DRE",VLOOKUP(Base_Periodo1[[#This Row],[CONTA]],BaseContasDRE[#All],4,FALSE))</f>
        <v>Fora do DRE</v>
      </c>
      <c r="T1763" s="3" t="str">
        <f>IF(ISERROR(VLOOKUP(Base_Periodo1[[#This Row],[CONTA]],BaseContasDRE[#All],5,FALSE)),"Fora do DRE",VLOOKUP(Base_Periodo1[[#This Row],[CONTA]],BaseContasDRE[#All],6,FALSE))</f>
        <v>Fora do DRE</v>
      </c>
      <c r="U1763" s="3" t="str">
        <f>IF(ISERROR(VLOOKUP(Base_Periodo1[[#This Row],[CONTA]],BaseContasDRE[#All],7,FALSE)),"Fora do DRE",VLOOKUP(Base_Periodo1[[#This Row],[CONTA]],BaseContasDRE[#All],7,FALSE))</f>
        <v>Fora do DRE</v>
      </c>
      <c r="V1763" s="3" t="str">
        <f>IF(Base_Periodo1[[#This Row],[Tipo_Linha]]="Fora do DRE","Fora do DRE","( "&amp;Base_Periodo1[[#This Row],[Tipo_Linha]]&amp;" ) "&amp;Base_Periodo1[[#This Row],[Filtro]])</f>
        <v>Fora do DRE</v>
      </c>
      <c r="W1763" s="3" t="str">
        <f>LEFT(Base_Periodo1[[#This Row],[CLASS]],3)</f>
        <v>1.1</v>
      </c>
    </row>
    <row r="1764" spans="1:23" hidden="1">
      <c r="A1764" s="3" t="str">
        <f t="shared" si="27"/>
        <v>Período 1</v>
      </c>
      <c r="B1764">
        <v>25363</v>
      </c>
      <c r="C1764" t="s">
        <v>6279</v>
      </c>
      <c r="D1764" t="s">
        <v>6280</v>
      </c>
      <c r="E1764" s="3" t="str">
        <f>IF(LEN(Base_Periodo1[[#This Row],[CLASS]])&gt;=7,LEFT(Base_Periodo1[[#This Row],[CLASS]],7),"")</f>
        <v>1.1.3.1</v>
      </c>
      <c r="F1764" s="3" t="str">
        <f>VLOOKUP(Base_Periodo1[[#This Row],[Aux]],Base_Contas_Balanco[#All],2,FALSE)</f>
        <v>Estoques Proprios</v>
      </c>
      <c r="G1764" s="1"/>
      <c r="H1764" s="225">
        <v>90</v>
      </c>
      <c r="I1764" s="225">
        <v>0</v>
      </c>
      <c r="J1764" s="225">
        <v>0</v>
      </c>
      <c r="K1764" s="225">
        <v>90</v>
      </c>
      <c r="L17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-90</v>
      </c>
      <c r="M1764" s="225">
        <f>ROUND(IF(AND(Base_Periodo1[[#This Row],[Tipo_Linha]]="-",Base_Periodo1[[#This Row],[TIPOSALDO]]="D"),Base_Periodo1[[#This Row],[SALDO_ATUAL]]*-1,Base_Periodo1[[#This Row],[SALDO_ATUAL]]),4)</f>
        <v>90</v>
      </c>
      <c r="N1764" t="s">
        <v>396</v>
      </c>
      <c r="O1764" t="s">
        <v>459</v>
      </c>
      <c r="P1764" t="s">
        <v>459</v>
      </c>
      <c r="Q1764">
        <v>8</v>
      </c>
      <c r="R1764" s="225">
        <f>Base_Periodo1[[#This Row],[CREDITOS]]-Base_Periodo1[[#This Row],[DEBITOS]]</f>
        <v>0</v>
      </c>
      <c r="S1764" s="3" t="str">
        <f>IF(ISERROR(VLOOKUP(Base_Periodo1[[#This Row],[CONTA]],BaseContasDRE[#All],4,FALSE)),"Fora do DRE",VLOOKUP(Base_Periodo1[[#This Row],[CONTA]],BaseContasDRE[#All],4,FALSE))</f>
        <v>Fora do DRE</v>
      </c>
      <c r="T1764" s="3" t="str">
        <f>IF(ISERROR(VLOOKUP(Base_Periodo1[[#This Row],[CONTA]],BaseContasDRE[#All],5,FALSE)),"Fora do DRE",VLOOKUP(Base_Periodo1[[#This Row],[CONTA]],BaseContasDRE[#All],6,FALSE))</f>
        <v>Fora do DRE</v>
      </c>
      <c r="U1764" s="3" t="str">
        <f>IF(ISERROR(VLOOKUP(Base_Periodo1[[#This Row],[CONTA]],BaseContasDRE[#All],7,FALSE)),"Fora do DRE",VLOOKUP(Base_Periodo1[[#This Row],[CONTA]],BaseContasDRE[#All],7,FALSE))</f>
        <v>Fora do DRE</v>
      </c>
      <c r="V1764" s="3" t="str">
        <f>IF(Base_Periodo1[[#This Row],[Tipo_Linha]]="Fora do DRE","Fora do DRE","( "&amp;Base_Periodo1[[#This Row],[Tipo_Linha]]&amp;" ) "&amp;Base_Periodo1[[#This Row],[Filtro]])</f>
        <v>Fora do DRE</v>
      </c>
      <c r="W1764" s="3" t="str">
        <f>LEFT(Base_Periodo1[[#This Row],[CLASS]],3)</f>
        <v>1.1</v>
      </c>
    </row>
    <row r="1765" spans="1:23" hidden="1">
      <c r="A1765" s="3" t="str">
        <f t="shared" si="27"/>
        <v>Período 1</v>
      </c>
      <c r="B1765">
        <v>25364</v>
      </c>
      <c r="C1765" t="s">
        <v>6281</v>
      </c>
      <c r="D1765" t="s">
        <v>6282</v>
      </c>
      <c r="E1765" s="3" t="str">
        <f>IF(LEN(Base_Periodo1[[#This Row],[CLASS]])&gt;=7,LEFT(Base_Periodo1[[#This Row],[CLASS]],7),"")</f>
        <v>1.1.3.1</v>
      </c>
      <c r="F1765" s="3" t="str">
        <f>VLOOKUP(Base_Periodo1[[#This Row],[Aux]],Base_Contas_Balanco[#All],2,FALSE)</f>
        <v>Estoques Proprios</v>
      </c>
      <c r="G1765" s="1">
        <v>42807</v>
      </c>
      <c r="H1765" s="225">
        <v>90</v>
      </c>
      <c r="I1765" s="225">
        <v>0</v>
      </c>
      <c r="J1765" s="225">
        <v>0</v>
      </c>
      <c r="K1765" s="225">
        <v>90</v>
      </c>
      <c r="L17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-90</v>
      </c>
      <c r="M1765" s="225">
        <f>ROUND(IF(AND(Base_Periodo1[[#This Row],[Tipo_Linha]]="-",Base_Periodo1[[#This Row],[TIPOSALDO]]="D"),Base_Periodo1[[#This Row],[SALDO_ATUAL]]*-1,Base_Periodo1[[#This Row],[SALDO_ATUAL]]),4)</f>
        <v>90</v>
      </c>
      <c r="N1765" t="s">
        <v>116</v>
      </c>
      <c r="O1765" t="s">
        <v>459</v>
      </c>
      <c r="P1765" t="s">
        <v>459</v>
      </c>
      <c r="Q1765">
        <v>9</v>
      </c>
      <c r="R1765" s="225">
        <f>Base_Periodo1[[#This Row],[CREDITOS]]-Base_Periodo1[[#This Row],[DEBITOS]]</f>
        <v>0</v>
      </c>
      <c r="S1765" s="3" t="str">
        <f>IF(ISERROR(VLOOKUP(Base_Periodo1[[#This Row],[CONTA]],BaseContasDRE[#All],4,FALSE)),"Fora do DRE",VLOOKUP(Base_Periodo1[[#This Row],[CONTA]],BaseContasDRE[#All],4,FALSE))</f>
        <v>Fora do DRE</v>
      </c>
      <c r="T1765" s="3" t="str">
        <f>IF(ISERROR(VLOOKUP(Base_Periodo1[[#This Row],[CONTA]],BaseContasDRE[#All],5,FALSE)),"Fora do DRE",VLOOKUP(Base_Periodo1[[#This Row],[CONTA]],BaseContasDRE[#All],6,FALSE))</f>
        <v>Fora do DRE</v>
      </c>
      <c r="U1765" s="3" t="str">
        <f>IF(ISERROR(VLOOKUP(Base_Periodo1[[#This Row],[CONTA]],BaseContasDRE[#All],7,FALSE)),"Fora do DRE",VLOOKUP(Base_Periodo1[[#This Row],[CONTA]],BaseContasDRE[#All],7,FALSE))</f>
        <v>Fora do DRE</v>
      </c>
      <c r="V1765" s="3" t="str">
        <f>IF(Base_Periodo1[[#This Row],[Tipo_Linha]]="Fora do DRE","Fora do DRE","( "&amp;Base_Periodo1[[#This Row],[Tipo_Linha]]&amp;" ) "&amp;Base_Periodo1[[#This Row],[Filtro]])</f>
        <v>Fora do DRE</v>
      </c>
      <c r="W1765" s="3" t="str">
        <f>LEFT(Base_Periodo1[[#This Row],[CLASS]],3)</f>
        <v>1.1</v>
      </c>
    </row>
    <row r="1766" spans="1:23" hidden="1">
      <c r="A1766" s="3" t="str">
        <f t="shared" si="27"/>
        <v>Período 1</v>
      </c>
      <c r="B1766">
        <v>51964</v>
      </c>
      <c r="C1766" t="s">
        <v>6283</v>
      </c>
      <c r="D1766" t="s">
        <v>6284</v>
      </c>
      <c r="E1766" s="3" t="str">
        <f>IF(LEN(Base_Periodo1[[#This Row],[CLASS]])&gt;=7,LEFT(Base_Periodo1[[#This Row],[CLASS]],7),"")</f>
        <v>1.1.3.1</v>
      </c>
      <c r="F1766" s="3" t="str">
        <f>VLOOKUP(Base_Periodo1[[#This Row],[Aux]],Base_Contas_Balanco[#All],2,FALSE)</f>
        <v>Estoques Proprios</v>
      </c>
      <c r="G1766" s="1"/>
      <c r="H1766" s="225">
        <v>49.599999999999909</v>
      </c>
      <c r="I1766" s="225">
        <v>0</v>
      </c>
      <c r="J1766" s="225">
        <v>49.6</v>
      </c>
      <c r="K1766" s="225">
        <v>99.199999999999903</v>
      </c>
      <c r="L17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-99.2</v>
      </c>
      <c r="M1766" s="225">
        <f>ROUND(IF(AND(Base_Periodo1[[#This Row],[Tipo_Linha]]="-",Base_Periodo1[[#This Row],[TIPOSALDO]]="D"),Base_Periodo1[[#This Row],[SALDO_ATUAL]]*-1,Base_Periodo1[[#This Row],[SALDO_ATUAL]]),4)</f>
        <v>99.2</v>
      </c>
      <c r="N1766" t="s">
        <v>396</v>
      </c>
      <c r="O1766" t="s">
        <v>459</v>
      </c>
      <c r="P1766" t="s">
        <v>459</v>
      </c>
      <c r="Q1766">
        <v>8</v>
      </c>
      <c r="R1766" s="225">
        <f>Base_Periodo1[[#This Row],[CREDITOS]]-Base_Periodo1[[#This Row],[DEBITOS]]</f>
        <v>49.6</v>
      </c>
      <c r="S1766" s="3" t="str">
        <f>IF(ISERROR(VLOOKUP(Base_Periodo1[[#This Row],[CONTA]],BaseContasDRE[#All],4,FALSE)),"Fora do DRE",VLOOKUP(Base_Periodo1[[#This Row],[CONTA]],BaseContasDRE[#All],4,FALSE))</f>
        <v>Fora do DRE</v>
      </c>
      <c r="T1766" s="3" t="str">
        <f>IF(ISERROR(VLOOKUP(Base_Periodo1[[#This Row],[CONTA]],BaseContasDRE[#All],5,FALSE)),"Fora do DRE",VLOOKUP(Base_Periodo1[[#This Row],[CONTA]],BaseContasDRE[#All],6,FALSE))</f>
        <v>Fora do DRE</v>
      </c>
      <c r="U1766" s="3" t="str">
        <f>IF(ISERROR(VLOOKUP(Base_Periodo1[[#This Row],[CONTA]],BaseContasDRE[#All],7,FALSE)),"Fora do DRE",VLOOKUP(Base_Periodo1[[#This Row],[CONTA]],BaseContasDRE[#All],7,FALSE))</f>
        <v>Fora do DRE</v>
      </c>
      <c r="V1766" s="3" t="str">
        <f>IF(Base_Periodo1[[#This Row],[Tipo_Linha]]="Fora do DRE","Fora do DRE","( "&amp;Base_Periodo1[[#This Row],[Tipo_Linha]]&amp;" ) "&amp;Base_Periodo1[[#This Row],[Filtro]])</f>
        <v>Fora do DRE</v>
      </c>
      <c r="W1766" s="3" t="str">
        <f>LEFT(Base_Periodo1[[#This Row],[CLASS]],3)</f>
        <v>1.1</v>
      </c>
    </row>
    <row r="1767" spans="1:23" hidden="1">
      <c r="A1767" s="3" t="str">
        <f t="shared" si="27"/>
        <v>Período 1</v>
      </c>
      <c r="B1767">
        <v>51965</v>
      </c>
      <c r="C1767" t="s">
        <v>6285</v>
      </c>
      <c r="D1767" t="s">
        <v>6286</v>
      </c>
      <c r="E1767" s="3" t="str">
        <f>IF(LEN(Base_Periodo1[[#This Row],[CLASS]])&gt;=7,LEFT(Base_Periodo1[[#This Row],[CLASS]],7),"")</f>
        <v>1.1.3.1</v>
      </c>
      <c r="F1767" s="3" t="str">
        <f>VLOOKUP(Base_Periodo1[[#This Row],[Aux]],Base_Contas_Balanco[#All],2,FALSE)</f>
        <v>Estoques Proprios</v>
      </c>
      <c r="G1767" s="1">
        <v>42886</v>
      </c>
      <c r="H1767" s="225">
        <v>49.599999999999909</v>
      </c>
      <c r="I1767" s="225">
        <v>0</v>
      </c>
      <c r="J1767" s="225">
        <v>49.6</v>
      </c>
      <c r="K1767" s="225">
        <v>99.199999999999903</v>
      </c>
      <c r="L17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-99.2</v>
      </c>
      <c r="M1767" s="225">
        <f>ROUND(IF(AND(Base_Periodo1[[#This Row],[Tipo_Linha]]="-",Base_Periodo1[[#This Row],[TIPOSALDO]]="D"),Base_Periodo1[[#This Row],[SALDO_ATUAL]]*-1,Base_Periodo1[[#This Row],[SALDO_ATUAL]]),4)</f>
        <v>99.2</v>
      </c>
      <c r="N1767" t="s">
        <v>116</v>
      </c>
      <c r="O1767" t="s">
        <v>459</v>
      </c>
      <c r="P1767" t="s">
        <v>459</v>
      </c>
      <c r="Q1767">
        <v>9</v>
      </c>
      <c r="R1767" s="225">
        <f>Base_Periodo1[[#This Row],[CREDITOS]]-Base_Periodo1[[#This Row],[DEBITOS]]</f>
        <v>49.6</v>
      </c>
      <c r="S1767" s="3" t="str">
        <f>IF(ISERROR(VLOOKUP(Base_Periodo1[[#This Row],[CONTA]],BaseContasDRE[#All],4,FALSE)),"Fora do DRE",VLOOKUP(Base_Periodo1[[#This Row],[CONTA]],BaseContasDRE[#All],4,FALSE))</f>
        <v>Fora do DRE</v>
      </c>
      <c r="T1767" s="3" t="str">
        <f>IF(ISERROR(VLOOKUP(Base_Periodo1[[#This Row],[CONTA]],BaseContasDRE[#All],5,FALSE)),"Fora do DRE",VLOOKUP(Base_Periodo1[[#This Row],[CONTA]],BaseContasDRE[#All],6,FALSE))</f>
        <v>Fora do DRE</v>
      </c>
      <c r="U1767" s="3" t="str">
        <f>IF(ISERROR(VLOOKUP(Base_Periodo1[[#This Row],[CONTA]],BaseContasDRE[#All],7,FALSE)),"Fora do DRE",VLOOKUP(Base_Periodo1[[#This Row],[CONTA]],BaseContasDRE[#All],7,FALSE))</f>
        <v>Fora do DRE</v>
      </c>
      <c r="V1767" s="3" t="str">
        <f>IF(Base_Periodo1[[#This Row],[Tipo_Linha]]="Fora do DRE","Fora do DRE","( "&amp;Base_Periodo1[[#This Row],[Tipo_Linha]]&amp;" ) "&amp;Base_Periodo1[[#This Row],[Filtro]])</f>
        <v>Fora do DRE</v>
      </c>
      <c r="W1767" s="3" t="str">
        <f>LEFT(Base_Periodo1[[#This Row],[CLASS]],3)</f>
        <v>1.1</v>
      </c>
    </row>
    <row r="1768" spans="1:23" hidden="1">
      <c r="A1768" s="3" t="str">
        <f t="shared" si="27"/>
        <v>Período 1</v>
      </c>
      <c r="B1768">
        <v>1050</v>
      </c>
      <c r="C1768" t="s">
        <v>1406</v>
      </c>
      <c r="D1768" t="s">
        <v>1407</v>
      </c>
      <c r="E1768" s="3" t="str">
        <f>IF(LEN(Base_Periodo1[[#This Row],[CLASS]])&gt;=7,LEFT(Base_Periodo1[[#This Row],[CLASS]],7),"")</f>
        <v>1.1.3.1</v>
      </c>
      <c r="F1768" s="3" t="str">
        <f>VLOOKUP(Base_Periodo1[[#This Row],[Aux]],Base_Contas_Balanco[#All],2,FALSE)</f>
        <v>Estoques Proprios</v>
      </c>
      <c r="G1768" s="1"/>
      <c r="H1768" s="225">
        <v>176481.58999999979</v>
      </c>
      <c r="I1768" s="225">
        <v>22221.5</v>
      </c>
      <c r="J1768" s="225">
        <v>4900.6400000000003</v>
      </c>
      <c r="K1768" s="225">
        <v>193802.44999999978</v>
      </c>
      <c r="L17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193802.45</v>
      </c>
      <c r="M1768" s="225">
        <f>ROUND(IF(AND(Base_Periodo1[[#This Row],[Tipo_Linha]]="-",Base_Periodo1[[#This Row],[TIPOSALDO]]="D"),Base_Periodo1[[#This Row],[SALDO_ATUAL]]*-1,Base_Periodo1[[#This Row],[SALDO_ATUAL]]),4)</f>
        <v>193802.45</v>
      </c>
      <c r="N1768" t="s">
        <v>396</v>
      </c>
      <c r="O1768" t="s">
        <v>397</v>
      </c>
      <c r="P1768" t="s">
        <v>397</v>
      </c>
      <c r="Q1768">
        <v>7</v>
      </c>
      <c r="R1768" s="225">
        <f>Base_Periodo1[[#This Row],[CREDITOS]]-Base_Periodo1[[#This Row],[DEBITOS]]</f>
        <v>-17320.86</v>
      </c>
      <c r="S1768" s="3" t="str">
        <f>IF(ISERROR(VLOOKUP(Base_Periodo1[[#This Row],[CONTA]],BaseContasDRE[#All],4,FALSE)),"Fora do DRE",VLOOKUP(Base_Periodo1[[#This Row],[CONTA]],BaseContasDRE[#All],4,FALSE))</f>
        <v>Fora do DRE</v>
      </c>
      <c r="T1768" s="3" t="str">
        <f>IF(ISERROR(VLOOKUP(Base_Periodo1[[#This Row],[CONTA]],BaseContasDRE[#All],5,FALSE)),"Fora do DRE",VLOOKUP(Base_Periodo1[[#This Row],[CONTA]],BaseContasDRE[#All],6,FALSE))</f>
        <v>Fora do DRE</v>
      </c>
      <c r="U1768" s="3" t="str">
        <f>IF(ISERROR(VLOOKUP(Base_Periodo1[[#This Row],[CONTA]],BaseContasDRE[#All],7,FALSE)),"Fora do DRE",VLOOKUP(Base_Periodo1[[#This Row],[CONTA]],BaseContasDRE[#All],7,FALSE))</f>
        <v>Fora do DRE</v>
      </c>
      <c r="V1768" s="3" t="str">
        <f>IF(Base_Periodo1[[#This Row],[Tipo_Linha]]="Fora do DRE","Fora do DRE","( "&amp;Base_Periodo1[[#This Row],[Tipo_Linha]]&amp;" ) "&amp;Base_Periodo1[[#This Row],[Filtro]])</f>
        <v>Fora do DRE</v>
      </c>
      <c r="W1768" s="3" t="str">
        <f>LEFT(Base_Periodo1[[#This Row],[CLASS]],3)</f>
        <v>1.1</v>
      </c>
    </row>
    <row r="1769" spans="1:23" hidden="1">
      <c r="A1769" s="3" t="str">
        <f t="shared" si="27"/>
        <v>Período 1</v>
      </c>
      <c r="B1769">
        <v>1051</v>
      </c>
      <c r="C1769" t="s">
        <v>1408</v>
      </c>
      <c r="D1769" t="s">
        <v>1054</v>
      </c>
      <c r="E1769" s="3" t="str">
        <f>IF(LEN(Base_Periodo1[[#This Row],[CLASS]])&gt;=7,LEFT(Base_Periodo1[[#This Row],[CLASS]],7),"")</f>
        <v>1.1.3.1</v>
      </c>
      <c r="F1769" s="3" t="str">
        <f>VLOOKUP(Base_Periodo1[[#This Row],[Aux]],Base_Contas_Balanco[#All],2,FALSE)</f>
        <v>Estoques Proprios</v>
      </c>
      <c r="G1769" s="1"/>
      <c r="H1769" s="225">
        <v>54981.169999999693</v>
      </c>
      <c r="I1769" s="225">
        <v>0</v>
      </c>
      <c r="J1769" s="225">
        <v>0</v>
      </c>
      <c r="K1769" s="225">
        <v>54981.169999999693</v>
      </c>
      <c r="L17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54981.17</v>
      </c>
      <c r="M1769" s="225">
        <f>ROUND(IF(AND(Base_Periodo1[[#This Row],[Tipo_Linha]]="-",Base_Periodo1[[#This Row],[TIPOSALDO]]="D"),Base_Periodo1[[#This Row],[SALDO_ATUAL]]*-1,Base_Periodo1[[#This Row],[SALDO_ATUAL]]),4)</f>
        <v>54981.17</v>
      </c>
      <c r="N1769" t="s">
        <v>396</v>
      </c>
      <c r="O1769" t="s">
        <v>397</v>
      </c>
      <c r="P1769" t="s">
        <v>397</v>
      </c>
      <c r="Q1769">
        <v>8</v>
      </c>
      <c r="R1769" s="225">
        <f>Base_Periodo1[[#This Row],[CREDITOS]]-Base_Periodo1[[#This Row],[DEBITOS]]</f>
        <v>0</v>
      </c>
      <c r="S1769" s="3" t="str">
        <f>IF(ISERROR(VLOOKUP(Base_Periodo1[[#This Row],[CONTA]],BaseContasDRE[#All],4,FALSE)),"Fora do DRE",VLOOKUP(Base_Periodo1[[#This Row],[CONTA]],BaseContasDRE[#All],4,FALSE))</f>
        <v>Fora do DRE</v>
      </c>
      <c r="T1769" s="3" t="str">
        <f>IF(ISERROR(VLOOKUP(Base_Periodo1[[#This Row],[CONTA]],BaseContasDRE[#All],5,FALSE)),"Fora do DRE",VLOOKUP(Base_Periodo1[[#This Row],[CONTA]],BaseContasDRE[#All],6,FALSE))</f>
        <v>Fora do DRE</v>
      </c>
      <c r="U1769" s="3" t="str">
        <f>IF(ISERROR(VLOOKUP(Base_Periodo1[[#This Row],[CONTA]],BaseContasDRE[#All],7,FALSE)),"Fora do DRE",VLOOKUP(Base_Periodo1[[#This Row],[CONTA]],BaseContasDRE[#All],7,FALSE))</f>
        <v>Fora do DRE</v>
      </c>
      <c r="V1769" s="3" t="str">
        <f>IF(Base_Periodo1[[#This Row],[Tipo_Linha]]="Fora do DRE","Fora do DRE","( "&amp;Base_Periodo1[[#This Row],[Tipo_Linha]]&amp;" ) "&amp;Base_Periodo1[[#This Row],[Filtro]])</f>
        <v>Fora do DRE</v>
      </c>
      <c r="W1769" s="3" t="str">
        <f>LEFT(Base_Periodo1[[#This Row],[CLASS]],3)</f>
        <v>1.1</v>
      </c>
    </row>
    <row r="1770" spans="1:23" hidden="1">
      <c r="A1770" s="3" t="str">
        <f t="shared" si="27"/>
        <v>Período 1</v>
      </c>
      <c r="B1770">
        <v>1052</v>
      </c>
      <c r="C1770" t="s">
        <v>1409</v>
      </c>
      <c r="D1770" t="s">
        <v>1054</v>
      </c>
      <c r="E1770" s="3" t="str">
        <f>IF(LEN(Base_Periodo1[[#This Row],[CLASS]])&gt;=7,LEFT(Base_Periodo1[[#This Row],[CLASS]],7),"")</f>
        <v>1.1.3.1</v>
      </c>
      <c r="F1770" s="3" t="str">
        <f>VLOOKUP(Base_Periodo1[[#This Row],[Aux]],Base_Contas_Balanco[#All],2,FALSE)</f>
        <v>Estoques Proprios</v>
      </c>
      <c r="G1770" s="1">
        <v>42735</v>
      </c>
      <c r="H1770" s="225">
        <v>54981.169999999693</v>
      </c>
      <c r="I1770" s="225">
        <v>0</v>
      </c>
      <c r="J1770" s="225">
        <v>0</v>
      </c>
      <c r="K1770" s="225">
        <v>54981.169999999693</v>
      </c>
      <c r="L17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54981.17</v>
      </c>
      <c r="M1770" s="225">
        <f>ROUND(IF(AND(Base_Periodo1[[#This Row],[Tipo_Linha]]="-",Base_Periodo1[[#This Row],[TIPOSALDO]]="D"),Base_Periodo1[[#This Row],[SALDO_ATUAL]]*-1,Base_Periodo1[[#This Row],[SALDO_ATUAL]]),4)</f>
        <v>54981.17</v>
      </c>
      <c r="N1770" t="s">
        <v>116</v>
      </c>
      <c r="O1770" t="s">
        <v>397</v>
      </c>
      <c r="P1770" t="s">
        <v>397</v>
      </c>
      <c r="Q1770">
        <v>9</v>
      </c>
      <c r="R1770" s="225">
        <f>Base_Periodo1[[#This Row],[CREDITOS]]-Base_Periodo1[[#This Row],[DEBITOS]]</f>
        <v>0</v>
      </c>
      <c r="S1770" s="3" t="str">
        <f>IF(ISERROR(VLOOKUP(Base_Periodo1[[#This Row],[CONTA]],BaseContasDRE[#All],4,FALSE)),"Fora do DRE",VLOOKUP(Base_Periodo1[[#This Row],[CONTA]],BaseContasDRE[#All],4,FALSE))</f>
        <v>Fora do DRE</v>
      </c>
      <c r="T1770" s="3" t="str">
        <f>IF(ISERROR(VLOOKUP(Base_Periodo1[[#This Row],[CONTA]],BaseContasDRE[#All],5,FALSE)),"Fora do DRE",VLOOKUP(Base_Periodo1[[#This Row],[CONTA]],BaseContasDRE[#All],6,FALSE))</f>
        <v>Fora do DRE</v>
      </c>
      <c r="U1770" s="3" t="str">
        <f>IF(ISERROR(VLOOKUP(Base_Periodo1[[#This Row],[CONTA]],BaseContasDRE[#All],7,FALSE)),"Fora do DRE",VLOOKUP(Base_Periodo1[[#This Row],[CONTA]],BaseContasDRE[#All],7,FALSE))</f>
        <v>Fora do DRE</v>
      </c>
      <c r="V1770" s="3" t="str">
        <f>IF(Base_Periodo1[[#This Row],[Tipo_Linha]]="Fora do DRE","Fora do DRE","( "&amp;Base_Periodo1[[#This Row],[Tipo_Linha]]&amp;" ) "&amp;Base_Periodo1[[#This Row],[Filtro]])</f>
        <v>Fora do DRE</v>
      </c>
      <c r="W1770" s="3" t="str">
        <f>LEFT(Base_Periodo1[[#This Row],[CLASS]],3)</f>
        <v>1.1</v>
      </c>
    </row>
    <row r="1771" spans="1:23" hidden="1">
      <c r="A1771" s="3" t="str">
        <f t="shared" si="27"/>
        <v>Período 1</v>
      </c>
      <c r="B1771">
        <v>1053</v>
      </c>
      <c r="C1771" t="s">
        <v>4435</v>
      </c>
      <c r="D1771" t="s">
        <v>1057</v>
      </c>
      <c r="E1771" s="3" t="str">
        <f>IF(LEN(Base_Periodo1[[#This Row],[CLASS]])&gt;=7,LEFT(Base_Periodo1[[#This Row],[CLASS]],7),"")</f>
        <v>1.1.3.1</v>
      </c>
      <c r="F1771" s="3" t="str">
        <f>VLOOKUP(Base_Periodo1[[#This Row],[Aux]],Base_Contas_Balanco[#All],2,FALSE)</f>
        <v>Estoques Proprios</v>
      </c>
      <c r="G1771" s="1"/>
      <c r="H1771" s="225">
        <v>173145.68000000017</v>
      </c>
      <c r="I1771" s="225">
        <v>22221.5</v>
      </c>
      <c r="J1771" s="225">
        <v>2124.06</v>
      </c>
      <c r="K1771" s="225">
        <v>193243.12000000017</v>
      </c>
      <c r="L17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193243.12</v>
      </c>
      <c r="M1771" s="225">
        <f>ROUND(IF(AND(Base_Periodo1[[#This Row],[Tipo_Linha]]="-",Base_Periodo1[[#This Row],[TIPOSALDO]]="D"),Base_Periodo1[[#This Row],[SALDO_ATUAL]]*-1,Base_Periodo1[[#This Row],[SALDO_ATUAL]]),4)</f>
        <v>193243.12</v>
      </c>
      <c r="N1771" t="s">
        <v>396</v>
      </c>
      <c r="O1771" t="s">
        <v>397</v>
      </c>
      <c r="P1771" t="s">
        <v>397</v>
      </c>
      <c r="Q1771">
        <v>8</v>
      </c>
      <c r="R1771" s="225">
        <f>Base_Periodo1[[#This Row],[CREDITOS]]-Base_Periodo1[[#This Row],[DEBITOS]]</f>
        <v>-20097.439999999999</v>
      </c>
      <c r="S1771" s="3" t="str">
        <f>IF(ISERROR(VLOOKUP(Base_Periodo1[[#This Row],[CONTA]],BaseContasDRE[#All],4,FALSE)),"Fora do DRE",VLOOKUP(Base_Periodo1[[#This Row],[CONTA]],BaseContasDRE[#All],4,FALSE))</f>
        <v>Fora do DRE</v>
      </c>
      <c r="T1771" s="3" t="str">
        <f>IF(ISERROR(VLOOKUP(Base_Periodo1[[#This Row],[CONTA]],BaseContasDRE[#All],5,FALSE)),"Fora do DRE",VLOOKUP(Base_Periodo1[[#This Row],[CONTA]],BaseContasDRE[#All],6,FALSE))</f>
        <v>Fora do DRE</v>
      </c>
      <c r="U1771" s="3" t="str">
        <f>IF(ISERROR(VLOOKUP(Base_Periodo1[[#This Row],[CONTA]],BaseContasDRE[#All],7,FALSE)),"Fora do DRE",VLOOKUP(Base_Periodo1[[#This Row],[CONTA]],BaseContasDRE[#All],7,FALSE))</f>
        <v>Fora do DRE</v>
      </c>
      <c r="V1771" s="3" t="str">
        <f>IF(Base_Periodo1[[#This Row],[Tipo_Linha]]="Fora do DRE","Fora do DRE","( "&amp;Base_Periodo1[[#This Row],[Tipo_Linha]]&amp;" ) "&amp;Base_Periodo1[[#This Row],[Filtro]])</f>
        <v>Fora do DRE</v>
      </c>
      <c r="W1771" s="3" t="str">
        <f>LEFT(Base_Periodo1[[#This Row],[CLASS]],3)</f>
        <v>1.1</v>
      </c>
    </row>
    <row r="1772" spans="1:23" hidden="1">
      <c r="A1772" s="3" t="str">
        <f t="shared" si="27"/>
        <v>Período 1</v>
      </c>
      <c r="B1772">
        <v>1054</v>
      </c>
      <c r="C1772" t="s">
        <v>4436</v>
      </c>
      <c r="D1772" t="s">
        <v>1061</v>
      </c>
      <c r="E1772" s="3" t="str">
        <f>IF(LEN(Base_Periodo1[[#This Row],[CLASS]])&gt;=7,LEFT(Base_Periodo1[[#This Row],[CLASS]],7),"")</f>
        <v>1.1.3.1</v>
      </c>
      <c r="F1772" s="3" t="str">
        <f>VLOOKUP(Base_Periodo1[[#This Row],[Aux]],Base_Contas_Balanco[#All],2,FALSE)</f>
        <v>Estoques Proprios</v>
      </c>
      <c r="G1772" s="1">
        <v>42880</v>
      </c>
      <c r="H1772" s="225">
        <v>173145.68000000017</v>
      </c>
      <c r="I1772" s="225">
        <v>22221.5</v>
      </c>
      <c r="J1772" s="225">
        <v>2124.06</v>
      </c>
      <c r="K1772" s="225">
        <v>193243.12000000017</v>
      </c>
      <c r="L17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193243.12</v>
      </c>
      <c r="M1772" s="225">
        <f>ROUND(IF(AND(Base_Periodo1[[#This Row],[Tipo_Linha]]="-",Base_Periodo1[[#This Row],[TIPOSALDO]]="D"),Base_Periodo1[[#This Row],[SALDO_ATUAL]]*-1,Base_Periodo1[[#This Row],[SALDO_ATUAL]]),4)</f>
        <v>193243.12</v>
      </c>
      <c r="N1772" t="s">
        <v>116</v>
      </c>
      <c r="O1772" t="s">
        <v>397</v>
      </c>
      <c r="P1772" t="s">
        <v>397</v>
      </c>
      <c r="Q1772">
        <v>9</v>
      </c>
      <c r="R1772" s="225">
        <f>Base_Periodo1[[#This Row],[CREDITOS]]-Base_Periodo1[[#This Row],[DEBITOS]]</f>
        <v>-20097.439999999999</v>
      </c>
      <c r="S1772" s="3" t="str">
        <f>IF(ISERROR(VLOOKUP(Base_Periodo1[[#This Row],[CONTA]],BaseContasDRE[#All],4,FALSE)),"Fora do DRE",VLOOKUP(Base_Periodo1[[#This Row],[CONTA]],BaseContasDRE[#All],4,FALSE))</f>
        <v>Fora do DRE</v>
      </c>
      <c r="T1772" s="3" t="str">
        <f>IF(ISERROR(VLOOKUP(Base_Periodo1[[#This Row],[CONTA]],BaseContasDRE[#All],5,FALSE)),"Fora do DRE",VLOOKUP(Base_Periodo1[[#This Row],[CONTA]],BaseContasDRE[#All],6,FALSE))</f>
        <v>Fora do DRE</v>
      </c>
      <c r="U1772" s="3" t="str">
        <f>IF(ISERROR(VLOOKUP(Base_Periodo1[[#This Row],[CONTA]],BaseContasDRE[#All],7,FALSE)),"Fora do DRE",VLOOKUP(Base_Periodo1[[#This Row],[CONTA]],BaseContasDRE[#All],7,FALSE))</f>
        <v>Fora do DRE</v>
      </c>
      <c r="V1772" s="3" t="str">
        <f>IF(Base_Periodo1[[#This Row],[Tipo_Linha]]="Fora do DRE","Fora do DRE","( "&amp;Base_Periodo1[[#This Row],[Tipo_Linha]]&amp;" ) "&amp;Base_Periodo1[[#This Row],[Filtro]])</f>
        <v>Fora do DRE</v>
      </c>
      <c r="W1772" s="3" t="str">
        <f>LEFT(Base_Periodo1[[#This Row],[CLASS]],3)</f>
        <v>1.1</v>
      </c>
    </row>
    <row r="1773" spans="1:23" hidden="1">
      <c r="A1773" s="3" t="str">
        <f t="shared" si="27"/>
        <v>Período 1</v>
      </c>
      <c r="B1773">
        <v>1055</v>
      </c>
      <c r="C1773" t="s">
        <v>4437</v>
      </c>
      <c r="D1773" t="s">
        <v>1063</v>
      </c>
      <c r="E1773" s="3" t="str">
        <f>IF(LEN(Base_Periodo1[[#This Row],[CLASS]])&gt;=7,LEFT(Base_Periodo1[[#This Row],[CLASS]],7),"")</f>
        <v>1.1.3.1</v>
      </c>
      <c r="F1773" s="3" t="str">
        <f>VLOOKUP(Base_Periodo1[[#This Row],[Aux]],Base_Contas_Balanco[#All],2,FALSE)</f>
        <v>Estoques Proprios</v>
      </c>
      <c r="G1773" s="1"/>
      <c r="H1773" s="225">
        <v>104073.96999999997</v>
      </c>
      <c r="I1773" s="225">
        <v>0</v>
      </c>
      <c r="J1773" s="225">
        <v>0</v>
      </c>
      <c r="K1773" s="225">
        <v>104073.96999999997</v>
      </c>
      <c r="L17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104073.97</v>
      </c>
      <c r="M1773" s="225">
        <f>ROUND(IF(AND(Base_Periodo1[[#This Row],[Tipo_Linha]]="-",Base_Periodo1[[#This Row],[TIPOSALDO]]="D"),Base_Periodo1[[#This Row],[SALDO_ATUAL]]*-1,Base_Periodo1[[#This Row],[SALDO_ATUAL]]),4)</f>
        <v>104073.97</v>
      </c>
      <c r="N1773" t="s">
        <v>396</v>
      </c>
      <c r="O1773" t="s">
        <v>397</v>
      </c>
      <c r="P1773" t="s">
        <v>397</v>
      </c>
      <c r="Q1773">
        <v>8</v>
      </c>
      <c r="R1773" s="225">
        <f>Base_Periodo1[[#This Row],[CREDITOS]]-Base_Periodo1[[#This Row],[DEBITOS]]</f>
        <v>0</v>
      </c>
      <c r="S1773" s="3" t="str">
        <f>IF(ISERROR(VLOOKUP(Base_Periodo1[[#This Row],[CONTA]],BaseContasDRE[#All],4,FALSE)),"Fora do DRE",VLOOKUP(Base_Periodo1[[#This Row],[CONTA]],BaseContasDRE[#All],4,FALSE))</f>
        <v>Fora do DRE</v>
      </c>
      <c r="T1773" s="3" t="str">
        <f>IF(ISERROR(VLOOKUP(Base_Periodo1[[#This Row],[CONTA]],BaseContasDRE[#All],5,FALSE)),"Fora do DRE",VLOOKUP(Base_Periodo1[[#This Row],[CONTA]],BaseContasDRE[#All],6,FALSE))</f>
        <v>Fora do DRE</v>
      </c>
      <c r="U1773" s="3" t="str">
        <f>IF(ISERROR(VLOOKUP(Base_Periodo1[[#This Row],[CONTA]],BaseContasDRE[#All],7,FALSE)),"Fora do DRE",VLOOKUP(Base_Periodo1[[#This Row],[CONTA]],BaseContasDRE[#All],7,FALSE))</f>
        <v>Fora do DRE</v>
      </c>
      <c r="V1773" s="3" t="str">
        <f>IF(Base_Periodo1[[#This Row],[Tipo_Linha]]="Fora do DRE","Fora do DRE","( "&amp;Base_Periodo1[[#This Row],[Tipo_Linha]]&amp;" ) "&amp;Base_Periodo1[[#This Row],[Filtro]])</f>
        <v>Fora do DRE</v>
      </c>
      <c r="W1773" s="3" t="str">
        <f>LEFT(Base_Periodo1[[#This Row],[CLASS]],3)</f>
        <v>1.1</v>
      </c>
    </row>
    <row r="1774" spans="1:23" hidden="1">
      <c r="A1774" s="3" t="str">
        <f t="shared" si="27"/>
        <v>Período 1</v>
      </c>
      <c r="B1774">
        <v>1056</v>
      </c>
      <c r="C1774" t="s">
        <v>4438</v>
      </c>
      <c r="D1774" t="s">
        <v>1065</v>
      </c>
      <c r="E1774" s="3" t="str">
        <f>IF(LEN(Base_Periodo1[[#This Row],[CLASS]])&gt;=7,LEFT(Base_Periodo1[[#This Row],[CLASS]],7),"")</f>
        <v>1.1.3.1</v>
      </c>
      <c r="F1774" s="3" t="str">
        <f>VLOOKUP(Base_Periodo1[[#This Row],[Aux]],Base_Contas_Balanco[#All],2,FALSE)</f>
        <v>Estoques Proprios</v>
      </c>
      <c r="G1774" s="1">
        <v>42817</v>
      </c>
      <c r="H1774" s="225">
        <v>104073.96999999997</v>
      </c>
      <c r="I1774" s="225">
        <v>0</v>
      </c>
      <c r="J1774" s="225">
        <v>0</v>
      </c>
      <c r="K1774" s="225">
        <v>104073.96999999997</v>
      </c>
      <c r="L17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104073.97</v>
      </c>
      <c r="M1774" s="225">
        <f>ROUND(IF(AND(Base_Periodo1[[#This Row],[Tipo_Linha]]="-",Base_Periodo1[[#This Row],[TIPOSALDO]]="D"),Base_Periodo1[[#This Row],[SALDO_ATUAL]]*-1,Base_Periodo1[[#This Row],[SALDO_ATUAL]]),4)</f>
        <v>104073.97</v>
      </c>
      <c r="N1774" t="s">
        <v>116</v>
      </c>
      <c r="O1774" t="s">
        <v>397</v>
      </c>
      <c r="P1774" t="s">
        <v>397</v>
      </c>
      <c r="Q1774">
        <v>9</v>
      </c>
      <c r="R1774" s="225">
        <f>Base_Periodo1[[#This Row],[CREDITOS]]-Base_Periodo1[[#This Row],[DEBITOS]]</f>
        <v>0</v>
      </c>
      <c r="S1774" s="3" t="str">
        <f>IF(ISERROR(VLOOKUP(Base_Periodo1[[#This Row],[CONTA]],BaseContasDRE[#All],4,FALSE)),"Fora do DRE",VLOOKUP(Base_Periodo1[[#This Row],[CONTA]],BaseContasDRE[#All],4,FALSE))</f>
        <v>Fora do DRE</v>
      </c>
      <c r="T1774" s="3" t="str">
        <f>IF(ISERROR(VLOOKUP(Base_Periodo1[[#This Row],[CONTA]],BaseContasDRE[#All],5,FALSE)),"Fora do DRE",VLOOKUP(Base_Periodo1[[#This Row],[CONTA]],BaseContasDRE[#All],6,FALSE))</f>
        <v>Fora do DRE</v>
      </c>
      <c r="U1774" s="3" t="str">
        <f>IF(ISERROR(VLOOKUP(Base_Periodo1[[#This Row],[CONTA]],BaseContasDRE[#All],7,FALSE)),"Fora do DRE",VLOOKUP(Base_Periodo1[[#This Row],[CONTA]],BaseContasDRE[#All],7,FALSE))</f>
        <v>Fora do DRE</v>
      </c>
      <c r="V1774" s="3" t="str">
        <f>IF(Base_Periodo1[[#This Row],[Tipo_Linha]]="Fora do DRE","Fora do DRE","( "&amp;Base_Periodo1[[#This Row],[Tipo_Linha]]&amp;" ) "&amp;Base_Periodo1[[#This Row],[Filtro]])</f>
        <v>Fora do DRE</v>
      </c>
      <c r="W1774" s="3" t="str">
        <f>LEFT(Base_Periodo1[[#This Row],[CLASS]],3)</f>
        <v>1.1</v>
      </c>
    </row>
    <row r="1775" spans="1:23" hidden="1">
      <c r="A1775" s="3" t="str">
        <f t="shared" si="27"/>
        <v>Período 1</v>
      </c>
      <c r="B1775">
        <v>1060</v>
      </c>
      <c r="C1775" t="s">
        <v>5922</v>
      </c>
      <c r="D1775" t="s">
        <v>1067</v>
      </c>
      <c r="E1775" s="3" t="str">
        <f>IF(LEN(Base_Periodo1[[#This Row],[CLASS]])&gt;=7,LEFT(Base_Periodo1[[#This Row],[CLASS]],7),"")</f>
        <v>1.1.3.1</v>
      </c>
      <c r="F1775" s="3" t="str">
        <f>VLOOKUP(Base_Periodo1[[#This Row],[Aux]],Base_Contas_Balanco[#All],2,FALSE)</f>
        <v>Estoques Proprios</v>
      </c>
      <c r="G1775" s="1"/>
      <c r="H1775" s="225">
        <v>17349.259999999951</v>
      </c>
      <c r="I1775" s="225">
        <v>0</v>
      </c>
      <c r="J1775" s="225">
        <v>450.03</v>
      </c>
      <c r="K1775" s="225">
        <v>17799.28999999995</v>
      </c>
      <c r="L17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-17799.29</v>
      </c>
      <c r="M1775" s="225">
        <f>ROUND(IF(AND(Base_Periodo1[[#This Row],[Tipo_Linha]]="-",Base_Periodo1[[#This Row],[TIPOSALDO]]="D"),Base_Periodo1[[#This Row],[SALDO_ATUAL]]*-1,Base_Periodo1[[#This Row],[SALDO_ATUAL]]),4)</f>
        <v>17799.29</v>
      </c>
      <c r="N1775" t="s">
        <v>396</v>
      </c>
      <c r="O1775" t="s">
        <v>459</v>
      </c>
      <c r="P1775" t="s">
        <v>459</v>
      </c>
      <c r="Q1775">
        <v>8</v>
      </c>
      <c r="R1775" s="225">
        <f>Base_Periodo1[[#This Row],[CREDITOS]]-Base_Periodo1[[#This Row],[DEBITOS]]</f>
        <v>450.03</v>
      </c>
      <c r="S1775" s="3" t="str">
        <f>IF(ISERROR(VLOOKUP(Base_Periodo1[[#This Row],[CONTA]],BaseContasDRE[#All],4,FALSE)),"Fora do DRE",VLOOKUP(Base_Periodo1[[#This Row],[CONTA]],BaseContasDRE[#All],4,FALSE))</f>
        <v>Fora do DRE</v>
      </c>
      <c r="T1775" s="3" t="str">
        <f>IF(ISERROR(VLOOKUP(Base_Periodo1[[#This Row],[CONTA]],BaseContasDRE[#All],5,FALSE)),"Fora do DRE",VLOOKUP(Base_Periodo1[[#This Row],[CONTA]],BaseContasDRE[#All],6,FALSE))</f>
        <v>Fora do DRE</v>
      </c>
      <c r="U1775" s="3" t="str">
        <f>IF(ISERROR(VLOOKUP(Base_Periodo1[[#This Row],[CONTA]],BaseContasDRE[#All],7,FALSE)),"Fora do DRE",VLOOKUP(Base_Periodo1[[#This Row],[CONTA]],BaseContasDRE[#All],7,FALSE))</f>
        <v>Fora do DRE</v>
      </c>
      <c r="V1775" s="3" t="str">
        <f>IF(Base_Periodo1[[#This Row],[Tipo_Linha]]="Fora do DRE","Fora do DRE","( "&amp;Base_Periodo1[[#This Row],[Tipo_Linha]]&amp;" ) "&amp;Base_Periodo1[[#This Row],[Filtro]])</f>
        <v>Fora do DRE</v>
      </c>
      <c r="W1775" s="3" t="str">
        <f>LEFT(Base_Periodo1[[#This Row],[CLASS]],3)</f>
        <v>1.1</v>
      </c>
    </row>
    <row r="1776" spans="1:23" hidden="1">
      <c r="A1776" s="3" t="str">
        <f t="shared" si="27"/>
        <v>Período 1</v>
      </c>
      <c r="B1776">
        <v>1062</v>
      </c>
      <c r="C1776" t="s">
        <v>5923</v>
      </c>
      <c r="D1776" t="s">
        <v>1070</v>
      </c>
      <c r="E1776" s="3" t="str">
        <f>IF(LEN(Base_Periodo1[[#This Row],[CLASS]])&gt;=7,LEFT(Base_Periodo1[[#This Row],[CLASS]],7),"")</f>
        <v>1.1.3.1</v>
      </c>
      <c r="F1776" s="3" t="str">
        <f>VLOOKUP(Base_Periodo1[[#This Row],[Aux]],Base_Contas_Balanco[#All],2,FALSE)</f>
        <v>Estoques Proprios</v>
      </c>
      <c r="G1776" s="1">
        <v>42886</v>
      </c>
      <c r="H1776" s="225">
        <v>17349.25999999998</v>
      </c>
      <c r="I1776" s="225">
        <v>0</v>
      </c>
      <c r="J1776" s="225">
        <v>450.03</v>
      </c>
      <c r="K1776" s="225">
        <v>17799.289999999979</v>
      </c>
      <c r="L17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-17799.29</v>
      </c>
      <c r="M1776" s="225">
        <f>ROUND(IF(AND(Base_Periodo1[[#This Row],[Tipo_Linha]]="-",Base_Periodo1[[#This Row],[TIPOSALDO]]="D"),Base_Periodo1[[#This Row],[SALDO_ATUAL]]*-1,Base_Periodo1[[#This Row],[SALDO_ATUAL]]),4)</f>
        <v>17799.29</v>
      </c>
      <c r="N1776" t="s">
        <v>116</v>
      </c>
      <c r="O1776" t="s">
        <v>459</v>
      </c>
      <c r="P1776" t="s">
        <v>459</v>
      </c>
      <c r="Q1776">
        <v>9</v>
      </c>
      <c r="R1776" s="225">
        <f>Base_Periodo1[[#This Row],[CREDITOS]]-Base_Periodo1[[#This Row],[DEBITOS]]</f>
        <v>450.03</v>
      </c>
      <c r="S1776" s="3" t="str">
        <f>IF(ISERROR(VLOOKUP(Base_Periodo1[[#This Row],[CONTA]],BaseContasDRE[#All],4,FALSE)),"Fora do DRE",VLOOKUP(Base_Periodo1[[#This Row],[CONTA]],BaseContasDRE[#All],4,FALSE))</f>
        <v>Fora do DRE</v>
      </c>
      <c r="T1776" s="3" t="str">
        <f>IF(ISERROR(VLOOKUP(Base_Periodo1[[#This Row],[CONTA]],BaseContasDRE[#All],5,FALSE)),"Fora do DRE",VLOOKUP(Base_Periodo1[[#This Row],[CONTA]],BaseContasDRE[#All],6,FALSE))</f>
        <v>Fora do DRE</v>
      </c>
      <c r="U1776" s="3" t="str">
        <f>IF(ISERROR(VLOOKUP(Base_Periodo1[[#This Row],[CONTA]],BaseContasDRE[#All],7,FALSE)),"Fora do DRE",VLOOKUP(Base_Periodo1[[#This Row],[CONTA]],BaseContasDRE[#All],7,FALSE))</f>
        <v>Fora do DRE</v>
      </c>
      <c r="V1776" s="3" t="str">
        <f>IF(Base_Periodo1[[#This Row],[Tipo_Linha]]="Fora do DRE","Fora do DRE","( "&amp;Base_Periodo1[[#This Row],[Tipo_Linha]]&amp;" ) "&amp;Base_Periodo1[[#This Row],[Filtro]])</f>
        <v>Fora do DRE</v>
      </c>
      <c r="W1776" s="3" t="str">
        <f>LEFT(Base_Periodo1[[#This Row],[CLASS]],3)</f>
        <v>1.1</v>
      </c>
    </row>
    <row r="1777" spans="1:23" hidden="1">
      <c r="A1777" s="3" t="str">
        <f t="shared" si="27"/>
        <v>Período 1</v>
      </c>
      <c r="B1777">
        <v>1063</v>
      </c>
      <c r="C1777" t="s">
        <v>4439</v>
      </c>
      <c r="D1777" t="s">
        <v>1072</v>
      </c>
      <c r="E1777" s="3" t="str">
        <f>IF(LEN(Base_Periodo1[[#This Row],[CLASS]])&gt;=7,LEFT(Base_Periodo1[[#This Row],[CLASS]],7),"")</f>
        <v>1.1.3.1</v>
      </c>
      <c r="F1777" s="3" t="str">
        <f>VLOOKUP(Base_Periodo1[[#This Row],[Aux]],Base_Contas_Balanco[#All],2,FALSE)</f>
        <v>Estoques Proprios</v>
      </c>
      <c r="G1777" s="1"/>
      <c r="H1777" s="225">
        <v>104073.96999999997</v>
      </c>
      <c r="I1777" s="225">
        <v>0</v>
      </c>
      <c r="J1777" s="225">
        <v>0</v>
      </c>
      <c r="K1777" s="225">
        <v>104073.96999999997</v>
      </c>
      <c r="L17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-104073.97</v>
      </c>
      <c r="M1777" s="225">
        <f>ROUND(IF(AND(Base_Periodo1[[#This Row],[Tipo_Linha]]="-",Base_Periodo1[[#This Row],[TIPOSALDO]]="D"),Base_Periodo1[[#This Row],[SALDO_ATUAL]]*-1,Base_Periodo1[[#This Row],[SALDO_ATUAL]]),4)</f>
        <v>104073.97</v>
      </c>
      <c r="N1777" t="s">
        <v>396</v>
      </c>
      <c r="O1777" t="s">
        <v>459</v>
      </c>
      <c r="P1777" t="s">
        <v>459</v>
      </c>
      <c r="Q1777">
        <v>8</v>
      </c>
      <c r="R1777" s="225">
        <f>Base_Periodo1[[#This Row],[CREDITOS]]-Base_Periodo1[[#This Row],[DEBITOS]]</f>
        <v>0</v>
      </c>
      <c r="S1777" s="3" t="str">
        <f>IF(ISERROR(VLOOKUP(Base_Periodo1[[#This Row],[CONTA]],BaseContasDRE[#All],4,FALSE)),"Fora do DRE",VLOOKUP(Base_Periodo1[[#This Row],[CONTA]],BaseContasDRE[#All],4,FALSE))</f>
        <v>Fora do DRE</v>
      </c>
      <c r="T1777" s="3" t="str">
        <f>IF(ISERROR(VLOOKUP(Base_Periodo1[[#This Row],[CONTA]],BaseContasDRE[#All],5,FALSE)),"Fora do DRE",VLOOKUP(Base_Periodo1[[#This Row],[CONTA]],BaseContasDRE[#All],6,FALSE))</f>
        <v>Fora do DRE</v>
      </c>
      <c r="U1777" s="3" t="str">
        <f>IF(ISERROR(VLOOKUP(Base_Periodo1[[#This Row],[CONTA]],BaseContasDRE[#All],7,FALSE)),"Fora do DRE",VLOOKUP(Base_Periodo1[[#This Row],[CONTA]],BaseContasDRE[#All],7,FALSE))</f>
        <v>Fora do DRE</v>
      </c>
      <c r="V1777" s="3" t="str">
        <f>IF(Base_Periodo1[[#This Row],[Tipo_Linha]]="Fora do DRE","Fora do DRE","( "&amp;Base_Periodo1[[#This Row],[Tipo_Linha]]&amp;" ) "&amp;Base_Periodo1[[#This Row],[Filtro]])</f>
        <v>Fora do DRE</v>
      </c>
      <c r="W1777" s="3" t="str">
        <f>LEFT(Base_Periodo1[[#This Row],[CLASS]],3)</f>
        <v>1.1</v>
      </c>
    </row>
    <row r="1778" spans="1:23" hidden="1">
      <c r="A1778" s="3" t="str">
        <f t="shared" si="27"/>
        <v>Período 1</v>
      </c>
      <c r="B1778">
        <v>1064</v>
      </c>
      <c r="C1778" t="s">
        <v>4440</v>
      </c>
      <c r="D1778" t="s">
        <v>1074</v>
      </c>
      <c r="E1778" s="3" t="str">
        <f>IF(LEN(Base_Periodo1[[#This Row],[CLASS]])&gt;=7,LEFT(Base_Periodo1[[#This Row],[CLASS]],7),"")</f>
        <v>1.1.3.1</v>
      </c>
      <c r="F1778" s="3" t="str">
        <f>VLOOKUP(Base_Periodo1[[#This Row],[Aux]],Base_Contas_Balanco[#All],2,FALSE)</f>
        <v>Estoques Proprios</v>
      </c>
      <c r="G1778" s="1">
        <v>42817</v>
      </c>
      <c r="H1778" s="225">
        <v>104073.96999999997</v>
      </c>
      <c r="I1778" s="225">
        <v>0</v>
      </c>
      <c r="J1778" s="225">
        <v>0</v>
      </c>
      <c r="K1778" s="225">
        <v>104073.96999999997</v>
      </c>
      <c r="L17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-104073.97</v>
      </c>
      <c r="M1778" s="225">
        <f>ROUND(IF(AND(Base_Periodo1[[#This Row],[Tipo_Linha]]="-",Base_Periodo1[[#This Row],[TIPOSALDO]]="D"),Base_Periodo1[[#This Row],[SALDO_ATUAL]]*-1,Base_Periodo1[[#This Row],[SALDO_ATUAL]]),4)</f>
        <v>104073.97</v>
      </c>
      <c r="N1778" t="s">
        <v>116</v>
      </c>
      <c r="O1778" t="s">
        <v>459</v>
      </c>
      <c r="P1778" t="s">
        <v>459</v>
      </c>
      <c r="Q1778">
        <v>9</v>
      </c>
      <c r="R1778" s="225">
        <f>Base_Periodo1[[#This Row],[CREDITOS]]-Base_Periodo1[[#This Row],[DEBITOS]]</f>
        <v>0</v>
      </c>
      <c r="S1778" s="3" t="str">
        <f>IF(ISERROR(VLOOKUP(Base_Periodo1[[#This Row],[CONTA]],BaseContasDRE[#All],4,FALSE)),"Fora do DRE",VLOOKUP(Base_Periodo1[[#This Row],[CONTA]],BaseContasDRE[#All],4,FALSE))</f>
        <v>Fora do DRE</v>
      </c>
      <c r="T1778" s="3" t="str">
        <f>IF(ISERROR(VLOOKUP(Base_Periodo1[[#This Row],[CONTA]],BaseContasDRE[#All],5,FALSE)),"Fora do DRE",VLOOKUP(Base_Periodo1[[#This Row],[CONTA]],BaseContasDRE[#All],6,FALSE))</f>
        <v>Fora do DRE</v>
      </c>
      <c r="U1778" s="3" t="str">
        <f>IF(ISERROR(VLOOKUP(Base_Periodo1[[#This Row],[CONTA]],BaseContasDRE[#All],7,FALSE)),"Fora do DRE",VLOOKUP(Base_Periodo1[[#This Row],[CONTA]],BaseContasDRE[#All],7,FALSE))</f>
        <v>Fora do DRE</v>
      </c>
      <c r="V1778" s="3" t="str">
        <f>IF(Base_Periodo1[[#This Row],[Tipo_Linha]]="Fora do DRE","Fora do DRE","( "&amp;Base_Periodo1[[#This Row],[Tipo_Linha]]&amp;" ) "&amp;Base_Periodo1[[#This Row],[Filtro]])</f>
        <v>Fora do DRE</v>
      </c>
      <c r="W1778" s="3" t="str">
        <f>LEFT(Base_Periodo1[[#This Row],[CLASS]],3)</f>
        <v>1.1</v>
      </c>
    </row>
    <row r="1779" spans="1:23" hidden="1">
      <c r="A1779" s="3" t="str">
        <f t="shared" si="27"/>
        <v>Período 1</v>
      </c>
      <c r="B1779">
        <v>34012</v>
      </c>
      <c r="C1779" t="s">
        <v>4539</v>
      </c>
      <c r="D1779" t="s">
        <v>1150</v>
      </c>
      <c r="E1779" s="3" t="str">
        <f>IF(LEN(Base_Periodo1[[#This Row],[CLASS]])&gt;=7,LEFT(Base_Periodo1[[#This Row],[CLASS]],7),"")</f>
        <v>1.1.3.1</v>
      </c>
      <c r="F1779" s="3" t="str">
        <f>VLOOKUP(Base_Periodo1[[#This Row],[Aux]],Base_Contas_Balanco[#All],2,FALSE)</f>
        <v>Estoques Proprios</v>
      </c>
      <c r="G1779" s="1"/>
      <c r="H1779" s="225">
        <v>34296.000000000116</v>
      </c>
      <c r="I1779" s="225">
        <v>0</v>
      </c>
      <c r="J1779" s="225">
        <v>2326.5500000000002</v>
      </c>
      <c r="K1779" s="225">
        <v>36622.550000000119</v>
      </c>
      <c r="L17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-36622.550000000003</v>
      </c>
      <c r="M1779" s="225">
        <f>ROUND(IF(AND(Base_Periodo1[[#This Row],[Tipo_Linha]]="-",Base_Periodo1[[#This Row],[TIPOSALDO]]="D"),Base_Periodo1[[#This Row],[SALDO_ATUAL]]*-1,Base_Periodo1[[#This Row],[SALDO_ATUAL]]),4)</f>
        <v>36622.550000000003</v>
      </c>
      <c r="N1779" t="s">
        <v>396</v>
      </c>
      <c r="O1779" t="s">
        <v>459</v>
      </c>
      <c r="P1779" t="s">
        <v>459</v>
      </c>
      <c r="Q1779">
        <v>8</v>
      </c>
      <c r="R1779" s="225">
        <f>Base_Periodo1[[#This Row],[CREDITOS]]-Base_Periodo1[[#This Row],[DEBITOS]]</f>
        <v>2326.5500000000002</v>
      </c>
      <c r="S1779" s="3" t="str">
        <f>IF(ISERROR(VLOOKUP(Base_Periodo1[[#This Row],[CONTA]],BaseContasDRE[#All],4,FALSE)),"Fora do DRE",VLOOKUP(Base_Periodo1[[#This Row],[CONTA]],BaseContasDRE[#All],4,FALSE))</f>
        <v>Fora do DRE</v>
      </c>
      <c r="T1779" s="3" t="str">
        <f>IF(ISERROR(VLOOKUP(Base_Periodo1[[#This Row],[CONTA]],BaseContasDRE[#All],5,FALSE)),"Fora do DRE",VLOOKUP(Base_Periodo1[[#This Row],[CONTA]],BaseContasDRE[#All],6,FALSE))</f>
        <v>Fora do DRE</v>
      </c>
      <c r="U1779" s="3" t="str">
        <f>IF(ISERROR(VLOOKUP(Base_Periodo1[[#This Row],[CONTA]],BaseContasDRE[#All],7,FALSE)),"Fora do DRE",VLOOKUP(Base_Periodo1[[#This Row],[CONTA]],BaseContasDRE[#All],7,FALSE))</f>
        <v>Fora do DRE</v>
      </c>
      <c r="V1779" s="3" t="str">
        <f>IF(Base_Periodo1[[#This Row],[Tipo_Linha]]="Fora do DRE","Fora do DRE","( "&amp;Base_Periodo1[[#This Row],[Tipo_Linha]]&amp;" ) "&amp;Base_Periodo1[[#This Row],[Filtro]])</f>
        <v>Fora do DRE</v>
      </c>
      <c r="W1779" s="3" t="str">
        <f>LEFT(Base_Periodo1[[#This Row],[CLASS]],3)</f>
        <v>1.1</v>
      </c>
    </row>
    <row r="1780" spans="1:23" hidden="1">
      <c r="A1780" s="3" t="str">
        <f t="shared" si="27"/>
        <v>Período 1</v>
      </c>
      <c r="B1780">
        <v>34013</v>
      </c>
      <c r="C1780" t="s">
        <v>4540</v>
      </c>
      <c r="D1780" t="s">
        <v>1140</v>
      </c>
      <c r="E1780" s="3" t="str">
        <f>IF(LEN(Base_Periodo1[[#This Row],[CLASS]])&gt;=7,LEFT(Base_Periodo1[[#This Row],[CLASS]],7),"")</f>
        <v>1.1.3.1</v>
      </c>
      <c r="F1780" s="3" t="str">
        <f>VLOOKUP(Base_Periodo1[[#This Row],[Aux]],Base_Contas_Balanco[#All],2,FALSE)</f>
        <v>Estoques Proprios</v>
      </c>
      <c r="G1780" s="1">
        <v>42886</v>
      </c>
      <c r="H1780" s="225">
        <v>34296.000000000116</v>
      </c>
      <c r="I1780" s="225">
        <v>0</v>
      </c>
      <c r="J1780" s="225">
        <v>2326.5500000000002</v>
      </c>
      <c r="K1780" s="225">
        <v>36622.550000000119</v>
      </c>
      <c r="L17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-36622.550000000003</v>
      </c>
      <c r="M1780" s="225">
        <f>ROUND(IF(AND(Base_Periodo1[[#This Row],[Tipo_Linha]]="-",Base_Periodo1[[#This Row],[TIPOSALDO]]="D"),Base_Periodo1[[#This Row],[SALDO_ATUAL]]*-1,Base_Periodo1[[#This Row],[SALDO_ATUAL]]),4)</f>
        <v>36622.550000000003</v>
      </c>
      <c r="N1780" t="s">
        <v>116</v>
      </c>
      <c r="O1780" t="s">
        <v>459</v>
      </c>
      <c r="P1780" t="s">
        <v>459</v>
      </c>
      <c r="Q1780">
        <v>9</v>
      </c>
      <c r="R1780" s="225">
        <f>Base_Periodo1[[#This Row],[CREDITOS]]-Base_Periodo1[[#This Row],[DEBITOS]]</f>
        <v>2326.5500000000002</v>
      </c>
      <c r="S1780" s="3" t="str">
        <f>IF(ISERROR(VLOOKUP(Base_Periodo1[[#This Row],[CONTA]],BaseContasDRE[#All],4,FALSE)),"Fora do DRE",VLOOKUP(Base_Periodo1[[#This Row],[CONTA]],BaseContasDRE[#All],4,FALSE))</f>
        <v>Fora do DRE</v>
      </c>
      <c r="T1780" s="3" t="str">
        <f>IF(ISERROR(VLOOKUP(Base_Periodo1[[#This Row],[CONTA]],BaseContasDRE[#All],5,FALSE)),"Fora do DRE",VLOOKUP(Base_Periodo1[[#This Row],[CONTA]],BaseContasDRE[#All],6,FALSE))</f>
        <v>Fora do DRE</v>
      </c>
      <c r="U1780" s="3" t="str">
        <f>IF(ISERROR(VLOOKUP(Base_Periodo1[[#This Row],[CONTA]],BaseContasDRE[#All],7,FALSE)),"Fora do DRE",VLOOKUP(Base_Periodo1[[#This Row],[CONTA]],BaseContasDRE[#All],7,FALSE))</f>
        <v>Fora do DRE</v>
      </c>
      <c r="V1780" s="3" t="str">
        <f>IF(Base_Periodo1[[#This Row],[Tipo_Linha]]="Fora do DRE","Fora do DRE","( "&amp;Base_Periodo1[[#This Row],[Tipo_Linha]]&amp;" ) "&amp;Base_Periodo1[[#This Row],[Filtro]])</f>
        <v>Fora do DRE</v>
      </c>
      <c r="W1780" s="3" t="str">
        <f>LEFT(Base_Periodo1[[#This Row],[CLASS]],3)</f>
        <v>1.1</v>
      </c>
    </row>
    <row r="1781" spans="1:23" hidden="1">
      <c r="A1781" s="3" t="str">
        <f t="shared" si="27"/>
        <v>Período 1</v>
      </c>
      <c r="B1781">
        <v>1070</v>
      </c>
      <c r="C1781" t="s">
        <v>1410</v>
      </c>
      <c r="D1781" t="s">
        <v>1411</v>
      </c>
      <c r="E1781" s="3" t="str">
        <f>IF(LEN(Base_Periodo1[[#This Row],[CLASS]])&gt;=7,LEFT(Base_Periodo1[[#This Row],[CLASS]],7),"")</f>
        <v>1.1.3.1</v>
      </c>
      <c r="F1781" s="3" t="str">
        <f>VLOOKUP(Base_Periodo1[[#This Row],[Aux]],Base_Contas_Balanco[#All],2,FALSE)</f>
        <v>Estoques Proprios</v>
      </c>
      <c r="G1781" s="1"/>
      <c r="H1781" s="225">
        <v>12887.399999999878</v>
      </c>
      <c r="I1781" s="225">
        <v>3829.14</v>
      </c>
      <c r="J1781" s="225">
        <v>934.33</v>
      </c>
      <c r="K1781" s="225">
        <v>15782.209999999877</v>
      </c>
      <c r="L17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15782.21</v>
      </c>
      <c r="M1781" s="225">
        <f>ROUND(IF(AND(Base_Periodo1[[#This Row],[Tipo_Linha]]="-",Base_Periodo1[[#This Row],[TIPOSALDO]]="D"),Base_Periodo1[[#This Row],[SALDO_ATUAL]]*-1,Base_Periodo1[[#This Row],[SALDO_ATUAL]]),4)</f>
        <v>15782.21</v>
      </c>
      <c r="N1781" t="s">
        <v>396</v>
      </c>
      <c r="O1781" t="s">
        <v>397</v>
      </c>
      <c r="P1781" t="s">
        <v>397</v>
      </c>
      <c r="Q1781">
        <v>7</v>
      </c>
      <c r="R1781" s="225">
        <f>Base_Periodo1[[#This Row],[CREDITOS]]-Base_Periodo1[[#This Row],[DEBITOS]]</f>
        <v>-2894.81</v>
      </c>
      <c r="S1781" s="3" t="str">
        <f>IF(ISERROR(VLOOKUP(Base_Periodo1[[#This Row],[CONTA]],BaseContasDRE[#All],4,FALSE)),"Fora do DRE",VLOOKUP(Base_Periodo1[[#This Row],[CONTA]],BaseContasDRE[#All],4,FALSE))</f>
        <v>Fora do DRE</v>
      </c>
      <c r="T1781" s="3" t="str">
        <f>IF(ISERROR(VLOOKUP(Base_Periodo1[[#This Row],[CONTA]],BaseContasDRE[#All],5,FALSE)),"Fora do DRE",VLOOKUP(Base_Periodo1[[#This Row],[CONTA]],BaseContasDRE[#All],6,FALSE))</f>
        <v>Fora do DRE</v>
      </c>
      <c r="U1781" s="3" t="str">
        <f>IF(ISERROR(VLOOKUP(Base_Periodo1[[#This Row],[CONTA]],BaseContasDRE[#All],7,FALSE)),"Fora do DRE",VLOOKUP(Base_Periodo1[[#This Row],[CONTA]],BaseContasDRE[#All],7,FALSE))</f>
        <v>Fora do DRE</v>
      </c>
      <c r="V1781" s="3" t="str">
        <f>IF(Base_Periodo1[[#This Row],[Tipo_Linha]]="Fora do DRE","Fora do DRE","( "&amp;Base_Periodo1[[#This Row],[Tipo_Linha]]&amp;" ) "&amp;Base_Periodo1[[#This Row],[Filtro]])</f>
        <v>Fora do DRE</v>
      </c>
      <c r="W1781" s="3" t="str">
        <f>LEFT(Base_Periodo1[[#This Row],[CLASS]],3)</f>
        <v>1.1</v>
      </c>
    </row>
    <row r="1782" spans="1:23" hidden="1">
      <c r="A1782" s="3" t="str">
        <f t="shared" si="27"/>
        <v>Período 1</v>
      </c>
      <c r="B1782">
        <v>1071</v>
      </c>
      <c r="C1782" t="s">
        <v>1412</v>
      </c>
      <c r="D1782" t="s">
        <v>1054</v>
      </c>
      <c r="E1782" s="3" t="str">
        <f>IF(LEN(Base_Periodo1[[#This Row],[CLASS]])&gt;=7,LEFT(Base_Periodo1[[#This Row],[CLASS]],7),"")</f>
        <v>1.1.3.1</v>
      </c>
      <c r="F1782" s="3" t="str">
        <f>VLOOKUP(Base_Periodo1[[#This Row],[Aux]],Base_Contas_Balanco[#All],2,FALSE)</f>
        <v>Estoques Proprios</v>
      </c>
      <c r="G1782" s="1"/>
      <c r="H1782" s="225">
        <v>10300.949999999953</v>
      </c>
      <c r="I1782" s="225">
        <v>0</v>
      </c>
      <c r="J1782" s="225">
        <v>0</v>
      </c>
      <c r="K1782" s="225">
        <v>10300.949999999953</v>
      </c>
      <c r="L17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10300.950000000001</v>
      </c>
      <c r="M1782" s="225">
        <f>ROUND(IF(AND(Base_Periodo1[[#This Row],[Tipo_Linha]]="-",Base_Periodo1[[#This Row],[TIPOSALDO]]="D"),Base_Periodo1[[#This Row],[SALDO_ATUAL]]*-1,Base_Periodo1[[#This Row],[SALDO_ATUAL]]),4)</f>
        <v>10300.950000000001</v>
      </c>
      <c r="N1782" t="s">
        <v>396</v>
      </c>
      <c r="O1782" t="s">
        <v>397</v>
      </c>
      <c r="P1782" t="s">
        <v>397</v>
      </c>
      <c r="Q1782">
        <v>8</v>
      </c>
      <c r="R1782" s="225">
        <f>Base_Periodo1[[#This Row],[CREDITOS]]-Base_Periodo1[[#This Row],[DEBITOS]]</f>
        <v>0</v>
      </c>
      <c r="S1782" s="3" t="str">
        <f>IF(ISERROR(VLOOKUP(Base_Periodo1[[#This Row],[CONTA]],BaseContasDRE[#All],4,FALSE)),"Fora do DRE",VLOOKUP(Base_Periodo1[[#This Row],[CONTA]],BaseContasDRE[#All],4,FALSE))</f>
        <v>Fora do DRE</v>
      </c>
      <c r="T1782" s="3" t="str">
        <f>IF(ISERROR(VLOOKUP(Base_Periodo1[[#This Row],[CONTA]],BaseContasDRE[#All],5,FALSE)),"Fora do DRE",VLOOKUP(Base_Periodo1[[#This Row],[CONTA]],BaseContasDRE[#All],6,FALSE))</f>
        <v>Fora do DRE</v>
      </c>
      <c r="U1782" s="3" t="str">
        <f>IF(ISERROR(VLOOKUP(Base_Periodo1[[#This Row],[CONTA]],BaseContasDRE[#All],7,FALSE)),"Fora do DRE",VLOOKUP(Base_Periodo1[[#This Row],[CONTA]],BaseContasDRE[#All],7,FALSE))</f>
        <v>Fora do DRE</v>
      </c>
      <c r="V1782" s="3" t="str">
        <f>IF(Base_Periodo1[[#This Row],[Tipo_Linha]]="Fora do DRE","Fora do DRE","( "&amp;Base_Periodo1[[#This Row],[Tipo_Linha]]&amp;" ) "&amp;Base_Periodo1[[#This Row],[Filtro]])</f>
        <v>Fora do DRE</v>
      </c>
      <c r="W1782" s="3" t="str">
        <f>LEFT(Base_Periodo1[[#This Row],[CLASS]],3)</f>
        <v>1.1</v>
      </c>
    </row>
    <row r="1783" spans="1:23" hidden="1">
      <c r="A1783" s="3" t="str">
        <f t="shared" si="27"/>
        <v>Período 1</v>
      </c>
      <c r="B1783">
        <v>1072</v>
      </c>
      <c r="C1783" t="s">
        <v>1413</v>
      </c>
      <c r="D1783" t="s">
        <v>1054</v>
      </c>
      <c r="E1783" s="3" t="str">
        <f>IF(LEN(Base_Periodo1[[#This Row],[CLASS]])&gt;=7,LEFT(Base_Periodo1[[#This Row],[CLASS]],7),"")</f>
        <v>1.1.3.1</v>
      </c>
      <c r="F1783" s="3" t="str">
        <f>VLOOKUP(Base_Periodo1[[#This Row],[Aux]],Base_Contas_Balanco[#All],2,FALSE)</f>
        <v>Estoques Proprios</v>
      </c>
      <c r="G1783" s="1">
        <v>42735</v>
      </c>
      <c r="H1783" s="225">
        <v>10300.949999999953</v>
      </c>
      <c r="I1783" s="225">
        <v>0</v>
      </c>
      <c r="J1783" s="225">
        <v>0</v>
      </c>
      <c r="K1783" s="225">
        <v>10300.949999999953</v>
      </c>
      <c r="L17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10300.950000000001</v>
      </c>
      <c r="M1783" s="225">
        <f>ROUND(IF(AND(Base_Periodo1[[#This Row],[Tipo_Linha]]="-",Base_Periodo1[[#This Row],[TIPOSALDO]]="D"),Base_Periodo1[[#This Row],[SALDO_ATUAL]]*-1,Base_Periodo1[[#This Row],[SALDO_ATUAL]]),4)</f>
        <v>10300.950000000001</v>
      </c>
      <c r="N1783" t="s">
        <v>116</v>
      </c>
      <c r="O1783" t="s">
        <v>397</v>
      </c>
      <c r="P1783" t="s">
        <v>397</v>
      </c>
      <c r="Q1783">
        <v>9</v>
      </c>
      <c r="R1783" s="225">
        <f>Base_Periodo1[[#This Row],[CREDITOS]]-Base_Periodo1[[#This Row],[DEBITOS]]</f>
        <v>0</v>
      </c>
      <c r="S1783" s="3" t="str">
        <f>IF(ISERROR(VLOOKUP(Base_Periodo1[[#This Row],[CONTA]],BaseContasDRE[#All],4,FALSE)),"Fora do DRE",VLOOKUP(Base_Periodo1[[#This Row],[CONTA]],BaseContasDRE[#All],4,FALSE))</f>
        <v>Fora do DRE</v>
      </c>
      <c r="T1783" s="3" t="str">
        <f>IF(ISERROR(VLOOKUP(Base_Periodo1[[#This Row],[CONTA]],BaseContasDRE[#All],5,FALSE)),"Fora do DRE",VLOOKUP(Base_Periodo1[[#This Row],[CONTA]],BaseContasDRE[#All],6,FALSE))</f>
        <v>Fora do DRE</v>
      </c>
      <c r="U1783" s="3" t="str">
        <f>IF(ISERROR(VLOOKUP(Base_Periodo1[[#This Row],[CONTA]],BaseContasDRE[#All],7,FALSE)),"Fora do DRE",VLOOKUP(Base_Periodo1[[#This Row],[CONTA]],BaseContasDRE[#All],7,FALSE))</f>
        <v>Fora do DRE</v>
      </c>
      <c r="V1783" s="3" t="str">
        <f>IF(Base_Periodo1[[#This Row],[Tipo_Linha]]="Fora do DRE","Fora do DRE","( "&amp;Base_Periodo1[[#This Row],[Tipo_Linha]]&amp;" ) "&amp;Base_Periodo1[[#This Row],[Filtro]])</f>
        <v>Fora do DRE</v>
      </c>
      <c r="W1783" s="3" t="str">
        <f>LEFT(Base_Periodo1[[#This Row],[CLASS]],3)</f>
        <v>1.1</v>
      </c>
    </row>
    <row r="1784" spans="1:23" hidden="1">
      <c r="A1784" s="3" t="str">
        <f t="shared" si="27"/>
        <v>Período 1</v>
      </c>
      <c r="B1784">
        <v>9119</v>
      </c>
      <c r="C1784" t="s">
        <v>5924</v>
      </c>
      <c r="D1784" t="s">
        <v>1112</v>
      </c>
      <c r="E1784" s="3" t="str">
        <f>IF(LEN(Base_Periodo1[[#This Row],[CLASS]])&gt;=7,LEFT(Base_Periodo1[[#This Row],[CLASS]],7),"")</f>
        <v>1.1.3.1</v>
      </c>
      <c r="F1784" s="3" t="str">
        <f>VLOOKUP(Base_Periodo1[[#This Row],[Aux]],Base_Contas_Balanco[#All],2,FALSE)</f>
        <v>Estoques Proprios</v>
      </c>
      <c r="G1784" s="1"/>
      <c r="H1784" s="225">
        <v>6495.5399999999936</v>
      </c>
      <c r="I1784" s="225">
        <v>3829.14</v>
      </c>
      <c r="J1784" s="225">
        <v>0</v>
      </c>
      <c r="K1784" s="225">
        <v>10324.679999999993</v>
      </c>
      <c r="L17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10324.68</v>
      </c>
      <c r="M1784" s="225">
        <f>ROUND(IF(AND(Base_Periodo1[[#This Row],[Tipo_Linha]]="-",Base_Periodo1[[#This Row],[TIPOSALDO]]="D"),Base_Periodo1[[#This Row],[SALDO_ATUAL]]*-1,Base_Periodo1[[#This Row],[SALDO_ATUAL]]),4)</f>
        <v>10324.68</v>
      </c>
      <c r="N1784" t="s">
        <v>396</v>
      </c>
      <c r="O1784" t="s">
        <v>397</v>
      </c>
      <c r="P1784" t="s">
        <v>397</v>
      </c>
      <c r="Q1784">
        <v>8</v>
      </c>
      <c r="R1784" s="225">
        <f>Base_Periodo1[[#This Row],[CREDITOS]]-Base_Periodo1[[#This Row],[DEBITOS]]</f>
        <v>-3829.14</v>
      </c>
      <c r="S1784" s="3" t="str">
        <f>IF(ISERROR(VLOOKUP(Base_Periodo1[[#This Row],[CONTA]],BaseContasDRE[#All],4,FALSE)),"Fora do DRE",VLOOKUP(Base_Periodo1[[#This Row],[CONTA]],BaseContasDRE[#All],4,FALSE))</f>
        <v>Fora do DRE</v>
      </c>
      <c r="T1784" s="3" t="str">
        <f>IF(ISERROR(VLOOKUP(Base_Periodo1[[#This Row],[CONTA]],BaseContasDRE[#All],5,FALSE)),"Fora do DRE",VLOOKUP(Base_Periodo1[[#This Row],[CONTA]],BaseContasDRE[#All],6,FALSE))</f>
        <v>Fora do DRE</v>
      </c>
      <c r="U1784" s="3" t="str">
        <f>IF(ISERROR(VLOOKUP(Base_Periodo1[[#This Row],[CONTA]],BaseContasDRE[#All],7,FALSE)),"Fora do DRE",VLOOKUP(Base_Periodo1[[#This Row],[CONTA]],BaseContasDRE[#All],7,FALSE))</f>
        <v>Fora do DRE</v>
      </c>
      <c r="V1784" s="3" t="str">
        <f>IF(Base_Periodo1[[#This Row],[Tipo_Linha]]="Fora do DRE","Fora do DRE","( "&amp;Base_Periodo1[[#This Row],[Tipo_Linha]]&amp;" ) "&amp;Base_Periodo1[[#This Row],[Filtro]])</f>
        <v>Fora do DRE</v>
      </c>
      <c r="W1784" s="3" t="str">
        <f>LEFT(Base_Periodo1[[#This Row],[CLASS]],3)</f>
        <v>1.1</v>
      </c>
    </row>
    <row r="1785" spans="1:23" hidden="1">
      <c r="A1785" s="3" t="str">
        <f t="shared" si="27"/>
        <v>Período 1</v>
      </c>
      <c r="B1785">
        <v>9120</v>
      </c>
      <c r="C1785" t="s">
        <v>5925</v>
      </c>
      <c r="D1785" t="s">
        <v>1242</v>
      </c>
      <c r="E1785" s="3" t="str">
        <f>IF(LEN(Base_Periodo1[[#This Row],[CLASS]])&gt;=7,LEFT(Base_Periodo1[[#This Row],[CLASS]],7),"")</f>
        <v>1.1.3.1</v>
      </c>
      <c r="F1785" s="3" t="str">
        <f>VLOOKUP(Base_Periodo1[[#This Row],[Aux]],Base_Contas_Balanco[#All],2,FALSE)</f>
        <v>Estoques Proprios</v>
      </c>
      <c r="G1785" s="1">
        <v>42871</v>
      </c>
      <c r="H1785" s="225">
        <v>6495.5399999999936</v>
      </c>
      <c r="I1785" s="225">
        <v>3829.14</v>
      </c>
      <c r="J1785" s="225">
        <v>0</v>
      </c>
      <c r="K1785" s="225">
        <v>10324.679999999993</v>
      </c>
      <c r="L17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10324.68</v>
      </c>
      <c r="M1785" s="225">
        <f>ROUND(IF(AND(Base_Periodo1[[#This Row],[Tipo_Linha]]="-",Base_Periodo1[[#This Row],[TIPOSALDO]]="D"),Base_Periodo1[[#This Row],[SALDO_ATUAL]]*-1,Base_Periodo1[[#This Row],[SALDO_ATUAL]]),4)</f>
        <v>10324.68</v>
      </c>
      <c r="N1785" t="s">
        <v>116</v>
      </c>
      <c r="O1785" t="s">
        <v>397</v>
      </c>
      <c r="P1785" t="s">
        <v>397</v>
      </c>
      <c r="Q1785">
        <v>9</v>
      </c>
      <c r="R1785" s="225">
        <f>Base_Periodo1[[#This Row],[CREDITOS]]-Base_Periodo1[[#This Row],[DEBITOS]]</f>
        <v>-3829.14</v>
      </c>
      <c r="S1785" s="3" t="str">
        <f>IF(ISERROR(VLOOKUP(Base_Periodo1[[#This Row],[CONTA]],BaseContasDRE[#All],4,FALSE)),"Fora do DRE",VLOOKUP(Base_Periodo1[[#This Row],[CONTA]],BaseContasDRE[#All],4,FALSE))</f>
        <v>Fora do DRE</v>
      </c>
      <c r="T1785" s="3" t="str">
        <f>IF(ISERROR(VLOOKUP(Base_Periodo1[[#This Row],[CONTA]],BaseContasDRE[#All],5,FALSE)),"Fora do DRE",VLOOKUP(Base_Periodo1[[#This Row],[CONTA]],BaseContasDRE[#All],6,FALSE))</f>
        <v>Fora do DRE</v>
      </c>
      <c r="U1785" s="3" t="str">
        <f>IF(ISERROR(VLOOKUP(Base_Periodo1[[#This Row],[CONTA]],BaseContasDRE[#All],7,FALSE)),"Fora do DRE",VLOOKUP(Base_Periodo1[[#This Row],[CONTA]],BaseContasDRE[#All],7,FALSE))</f>
        <v>Fora do DRE</v>
      </c>
      <c r="V1785" s="3" t="str">
        <f>IF(Base_Periodo1[[#This Row],[Tipo_Linha]]="Fora do DRE","Fora do DRE","( "&amp;Base_Periodo1[[#This Row],[Tipo_Linha]]&amp;" ) "&amp;Base_Periodo1[[#This Row],[Filtro]])</f>
        <v>Fora do DRE</v>
      </c>
      <c r="W1785" s="3" t="str">
        <f>LEFT(Base_Periodo1[[#This Row],[CLASS]],3)</f>
        <v>1.1</v>
      </c>
    </row>
    <row r="1786" spans="1:23" hidden="1">
      <c r="A1786" s="3" t="str">
        <f t="shared" si="27"/>
        <v>Período 1</v>
      </c>
      <c r="B1786">
        <v>1073</v>
      </c>
      <c r="C1786" t="s">
        <v>1414</v>
      </c>
      <c r="D1786" t="s">
        <v>1063</v>
      </c>
      <c r="E1786" s="3" t="str">
        <f>IF(LEN(Base_Periodo1[[#This Row],[CLASS]])&gt;=7,LEFT(Base_Periodo1[[#This Row],[CLASS]],7),"")</f>
        <v>1.1.3.1</v>
      </c>
      <c r="F1786" s="3" t="str">
        <f>VLOOKUP(Base_Periodo1[[#This Row],[Aux]],Base_Contas_Balanco[#All],2,FALSE)</f>
        <v>Estoques Proprios</v>
      </c>
      <c r="G1786" s="1"/>
      <c r="H1786" s="225">
        <v>4741.2099999999919</v>
      </c>
      <c r="I1786" s="225">
        <v>0</v>
      </c>
      <c r="J1786" s="225">
        <v>0</v>
      </c>
      <c r="K1786" s="225">
        <v>4741.2099999999919</v>
      </c>
      <c r="L17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4741.21</v>
      </c>
      <c r="M1786" s="225">
        <f>ROUND(IF(AND(Base_Periodo1[[#This Row],[Tipo_Linha]]="-",Base_Periodo1[[#This Row],[TIPOSALDO]]="D"),Base_Periodo1[[#This Row],[SALDO_ATUAL]]*-1,Base_Periodo1[[#This Row],[SALDO_ATUAL]]),4)</f>
        <v>4741.21</v>
      </c>
      <c r="N1786" t="s">
        <v>396</v>
      </c>
      <c r="O1786" t="s">
        <v>397</v>
      </c>
      <c r="P1786" t="s">
        <v>397</v>
      </c>
      <c r="Q1786">
        <v>8</v>
      </c>
      <c r="R1786" s="225">
        <f>Base_Periodo1[[#This Row],[CREDITOS]]-Base_Periodo1[[#This Row],[DEBITOS]]</f>
        <v>0</v>
      </c>
      <c r="S1786" s="3" t="str">
        <f>IF(ISERROR(VLOOKUP(Base_Periodo1[[#This Row],[CONTA]],BaseContasDRE[#All],4,FALSE)),"Fora do DRE",VLOOKUP(Base_Periodo1[[#This Row],[CONTA]],BaseContasDRE[#All],4,FALSE))</f>
        <v>Fora do DRE</v>
      </c>
      <c r="T1786" s="3" t="str">
        <f>IF(ISERROR(VLOOKUP(Base_Periodo1[[#This Row],[CONTA]],BaseContasDRE[#All],5,FALSE)),"Fora do DRE",VLOOKUP(Base_Periodo1[[#This Row],[CONTA]],BaseContasDRE[#All],6,FALSE))</f>
        <v>Fora do DRE</v>
      </c>
      <c r="U1786" s="3" t="str">
        <f>IF(ISERROR(VLOOKUP(Base_Periodo1[[#This Row],[CONTA]],BaseContasDRE[#All],7,FALSE)),"Fora do DRE",VLOOKUP(Base_Periodo1[[#This Row],[CONTA]],BaseContasDRE[#All],7,FALSE))</f>
        <v>Fora do DRE</v>
      </c>
      <c r="V1786" s="3" t="str">
        <f>IF(Base_Periodo1[[#This Row],[Tipo_Linha]]="Fora do DRE","Fora do DRE","( "&amp;Base_Periodo1[[#This Row],[Tipo_Linha]]&amp;" ) "&amp;Base_Periodo1[[#This Row],[Filtro]])</f>
        <v>Fora do DRE</v>
      </c>
      <c r="W1786" s="3" t="str">
        <f>LEFT(Base_Periodo1[[#This Row],[CLASS]],3)</f>
        <v>1.1</v>
      </c>
    </row>
    <row r="1787" spans="1:23" hidden="1">
      <c r="A1787" s="3" t="str">
        <f t="shared" si="27"/>
        <v>Período 1</v>
      </c>
      <c r="B1787">
        <v>1074</v>
      </c>
      <c r="C1787" t="s">
        <v>1415</v>
      </c>
      <c r="D1787" t="s">
        <v>1065</v>
      </c>
      <c r="E1787" s="3" t="str">
        <f>IF(LEN(Base_Periodo1[[#This Row],[CLASS]])&gt;=7,LEFT(Base_Periodo1[[#This Row],[CLASS]],7),"")</f>
        <v>1.1.3.1</v>
      </c>
      <c r="F1787" s="3" t="str">
        <f>VLOOKUP(Base_Periodo1[[#This Row],[Aux]],Base_Contas_Balanco[#All],2,FALSE)</f>
        <v>Estoques Proprios</v>
      </c>
      <c r="G1787" s="1">
        <v>42824</v>
      </c>
      <c r="H1787" s="225">
        <v>4741.2099999999919</v>
      </c>
      <c r="I1787" s="225">
        <v>0</v>
      </c>
      <c r="J1787" s="225">
        <v>0</v>
      </c>
      <c r="K1787" s="225">
        <v>4741.2099999999919</v>
      </c>
      <c r="L17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4741.21</v>
      </c>
      <c r="M1787" s="225">
        <f>ROUND(IF(AND(Base_Periodo1[[#This Row],[Tipo_Linha]]="-",Base_Periodo1[[#This Row],[TIPOSALDO]]="D"),Base_Periodo1[[#This Row],[SALDO_ATUAL]]*-1,Base_Periodo1[[#This Row],[SALDO_ATUAL]]),4)</f>
        <v>4741.21</v>
      </c>
      <c r="N1787" t="s">
        <v>116</v>
      </c>
      <c r="O1787" t="s">
        <v>397</v>
      </c>
      <c r="P1787" t="s">
        <v>397</v>
      </c>
      <c r="Q1787">
        <v>9</v>
      </c>
      <c r="R1787" s="225">
        <f>Base_Periodo1[[#This Row],[CREDITOS]]-Base_Periodo1[[#This Row],[DEBITOS]]</f>
        <v>0</v>
      </c>
      <c r="S1787" s="3" t="str">
        <f>IF(ISERROR(VLOOKUP(Base_Periodo1[[#This Row],[CONTA]],BaseContasDRE[#All],4,FALSE)),"Fora do DRE",VLOOKUP(Base_Periodo1[[#This Row],[CONTA]],BaseContasDRE[#All],4,FALSE))</f>
        <v>Fora do DRE</v>
      </c>
      <c r="T1787" s="3" t="str">
        <f>IF(ISERROR(VLOOKUP(Base_Periodo1[[#This Row],[CONTA]],BaseContasDRE[#All],5,FALSE)),"Fora do DRE",VLOOKUP(Base_Periodo1[[#This Row],[CONTA]],BaseContasDRE[#All],6,FALSE))</f>
        <v>Fora do DRE</v>
      </c>
      <c r="U1787" s="3" t="str">
        <f>IF(ISERROR(VLOOKUP(Base_Periodo1[[#This Row],[CONTA]],BaseContasDRE[#All],7,FALSE)),"Fora do DRE",VLOOKUP(Base_Periodo1[[#This Row],[CONTA]],BaseContasDRE[#All],7,FALSE))</f>
        <v>Fora do DRE</v>
      </c>
      <c r="V1787" s="3" t="str">
        <f>IF(Base_Periodo1[[#This Row],[Tipo_Linha]]="Fora do DRE","Fora do DRE","( "&amp;Base_Periodo1[[#This Row],[Tipo_Linha]]&amp;" ) "&amp;Base_Periodo1[[#This Row],[Filtro]])</f>
        <v>Fora do DRE</v>
      </c>
      <c r="W1787" s="3" t="str">
        <f>LEFT(Base_Periodo1[[#This Row],[CLASS]],3)</f>
        <v>1.1</v>
      </c>
    </row>
    <row r="1788" spans="1:23" hidden="1">
      <c r="A1788" s="3" t="str">
        <f t="shared" si="27"/>
        <v>Período 1</v>
      </c>
      <c r="B1788">
        <v>1075</v>
      </c>
      <c r="C1788" t="s">
        <v>1416</v>
      </c>
      <c r="D1788" t="s">
        <v>1067</v>
      </c>
      <c r="E1788" s="3" t="str">
        <f>IF(LEN(Base_Periodo1[[#This Row],[CLASS]])&gt;=7,LEFT(Base_Periodo1[[#This Row],[CLASS]],7),"")</f>
        <v>1.1.3.1</v>
      </c>
      <c r="F1788" s="3" t="str">
        <f>VLOOKUP(Base_Periodo1[[#This Row],[Aux]],Base_Contas_Balanco[#All],2,FALSE)</f>
        <v>Estoques Proprios</v>
      </c>
      <c r="G1788" s="1"/>
      <c r="H1788" s="225">
        <v>1743.8300000000472</v>
      </c>
      <c r="I1788" s="225">
        <v>0</v>
      </c>
      <c r="J1788" s="225">
        <v>614.58000000000004</v>
      </c>
      <c r="K1788" s="225">
        <v>2358.4100000000471</v>
      </c>
      <c r="L17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-2358.41</v>
      </c>
      <c r="M1788" s="225">
        <f>ROUND(IF(AND(Base_Periodo1[[#This Row],[Tipo_Linha]]="-",Base_Periodo1[[#This Row],[TIPOSALDO]]="D"),Base_Periodo1[[#This Row],[SALDO_ATUAL]]*-1,Base_Periodo1[[#This Row],[SALDO_ATUAL]]),4)</f>
        <v>2358.41</v>
      </c>
      <c r="N1788" t="s">
        <v>396</v>
      </c>
      <c r="O1788" t="s">
        <v>459</v>
      </c>
      <c r="P1788" t="s">
        <v>459</v>
      </c>
      <c r="Q1788">
        <v>8</v>
      </c>
      <c r="R1788" s="225">
        <f>Base_Periodo1[[#This Row],[CREDITOS]]-Base_Periodo1[[#This Row],[DEBITOS]]</f>
        <v>614.58000000000004</v>
      </c>
      <c r="S1788" s="3" t="str">
        <f>IF(ISERROR(VLOOKUP(Base_Periodo1[[#This Row],[CONTA]],BaseContasDRE[#All],4,FALSE)),"Fora do DRE",VLOOKUP(Base_Periodo1[[#This Row],[CONTA]],BaseContasDRE[#All],4,FALSE))</f>
        <v>Fora do DRE</v>
      </c>
      <c r="T1788" s="3" t="str">
        <f>IF(ISERROR(VLOOKUP(Base_Periodo1[[#This Row],[CONTA]],BaseContasDRE[#All],5,FALSE)),"Fora do DRE",VLOOKUP(Base_Periodo1[[#This Row],[CONTA]],BaseContasDRE[#All],6,FALSE))</f>
        <v>Fora do DRE</v>
      </c>
      <c r="U1788" s="3" t="str">
        <f>IF(ISERROR(VLOOKUP(Base_Periodo1[[#This Row],[CONTA]],BaseContasDRE[#All],7,FALSE)),"Fora do DRE",VLOOKUP(Base_Periodo1[[#This Row],[CONTA]],BaseContasDRE[#All],7,FALSE))</f>
        <v>Fora do DRE</v>
      </c>
      <c r="V1788" s="3" t="str">
        <f>IF(Base_Periodo1[[#This Row],[Tipo_Linha]]="Fora do DRE","Fora do DRE","( "&amp;Base_Periodo1[[#This Row],[Tipo_Linha]]&amp;" ) "&amp;Base_Periodo1[[#This Row],[Filtro]])</f>
        <v>Fora do DRE</v>
      </c>
      <c r="W1788" s="3" t="str">
        <f>LEFT(Base_Periodo1[[#This Row],[CLASS]],3)</f>
        <v>1.1</v>
      </c>
    </row>
    <row r="1789" spans="1:23" hidden="1">
      <c r="A1789" s="3" t="str">
        <f t="shared" si="27"/>
        <v>Período 1</v>
      </c>
      <c r="B1789">
        <v>1076</v>
      </c>
      <c r="C1789" t="s">
        <v>1417</v>
      </c>
      <c r="D1789" t="s">
        <v>1068</v>
      </c>
      <c r="E1789" s="3" t="str">
        <f>IF(LEN(Base_Periodo1[[#This Row],[CLASS]])&gt;=7,LEFT(Base_Periodo1[[#This Row],[CLASS]],7),"")</f>
        <v>1.1.3.1</v>
      </c>
      <c r="F1789" s="3" t="str">
        <f>VLOOKUP(Base_Periodo1[[#This Row],[Aux]],Base_Contas_Balanco[#All],2,FALSE)</f>
        <v>Estoques Proprios</v>
      </c>
      <c r="G1789" s="1">
        <v>42886</v>
      </c>
      <c r="H1789" s="225">
        <v>1743.8300000000454</v>
      </c>
      <c r="I1789" s="225">
        <v>0</v>
      </c>
      <c r="J1789" s="225">
        <v>291.79000000000002</v>
      </c>
      <c r="K1789" s="225">
        <v>2035.6200000000454</v>
      </c>
      <c r="L17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-2035.62</v>
      </c>
      <c r="M1789" s="225">
        <f>ROUND(IF(AND(Base_Periodo1[[#This Row],[Tipo_Linha]]="-",Base_Periodo1[[#This Row],[TIPOSALDO]]="D"),Base_Periodo1[[#This Row],[SALDO_ATUAL]]*-1,Base_Periodo1[[#This Row],[SALDO_ATUAL]]),4)</f>
        <v>2035.62</v>
      </c>
      <c r="N1789" t="s">
        <v>116</v>
      </c>
      <c r="O1789" t="s">
        <v>459</v>
      </c>
      <c r="P1789" t="s">
        <v>459</v>
      </c>
      <c r="Q1789">
        <v>9</v>
      </c>
      <c r="R1789" s="225">
        <f>Base_Periodo1[[#This Row],[CREDITOS]]-Base_Periodo1[[#This Row],[DEBITOS]]</f>
        <v>291.79000000000002</v>
      </c>
      <c r="S1789" s="3" t="str">
        <f>IF(ISERROR(VLOOKUP(Base_Periodo1[[#This Row],[CONTA]],BaseContasDRE[#All],4,FALSE)),"Fora do DRE",VLOOKUP(Base_Periodo1[[#This Row],[CONTA]],BaseContasDRE[#All],4,FALSE))</f>
        <v>Fora do DRE</v>
      </c>
      <c r="T1789" s="3" t="str">
        <f>IF(ISERROR(VLOOKUP(Base_Periodo1[[#This Row],[CONTA]],BaseContasDRE[#All],5,FALSE)),"Fora do DRE",VLOOKUP(Base_Periodo1[[#This Row],[CONTA]],BaseContasDRE[#All],6,FALSE))</f>
        <v>Fora do DRE</v>
      </c>
      <c r="U1789" s="3" t="str">
        <f>IF(ISERROR(VLOOKUP(Base_Periodo1[[#This Row],[CONTA]],BaseContasDRE[#All],7,FALSE)),"Fora do DRE",VLOOKUP(Base_Periodo1[[#This Row],[CONTA]],BaseContasDRE[#All],7,FALSE))</f>
        <v>Fora do DRE</v>
      </c>
      <c r="V1789" s="3" t="str">
        <f>IF(Base_Periodo1[[#This Row],[Tipo_Linha]]="Fora do DRE","Fora do DRE","( "&amp;Base_Periodo1[[#This Row],[Tipo_Linha]]&amp;" ) "&amp;Base_Periodo1[[#This Row],[Filtro]])</f>
        <v>Fora do DRE</v>
      </c>
      <c r="W1789" s="3" t="str">
        <f>LEFT(Base_Periodo1[[#This Row],[CLASS]],3)</f>
        <v>1.1</v>
      </c>
    </row>
    <row r="1790" spans="1:23" hidden="1">
      <c r="A1790" s="3" t="str">
        <f t="shared" si="27"/>
        <v>Período 1</v>
      </c>
      <c r="B1790">
        <v>10028</v>
      </c>
      <c r="C1790" t="s">
        <v>6819</v>
      </c>
      <c r="D1790" t="s">
        <v>6820</v>
      </c>
      <c r="E1790" s="3" t="str">
        <f>IF(LEN(Base_Periodo1[[#This Row],[CLASS]])&gt;=7,LEFT(Base_Periodo1[[#This Row],[CLASS]],7),"")</f>
        <v>1.1.3.1</v>
      </c>
      <c r="F1790" s="3" t="str">
        <f>VLOOKUP(Base_Periodo1[[#This Row],[Aux]],Base_Contas_Balanco[#All],2,FALSE)</f>
        <v>Estoques Proprios</v>
      </c>
      <c r="G1790" s="1">
        <v>42886</v>
      </c>
      <c r="I1790" s="225">
        <v>0</v>
      </c>
      <c r="J1790" s="225">
        <v>322.79000000000002</v>
      </c>
      <c r="K1790" s="225">
        <v>322.79000000000184</v>
      </c>
      <c r="L17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-322.79000000000002</v>
      </c>
      <c r="M1790" s="225">
        <f>ROUND(IF(AND(Base_Periodo1[[#This Row],[Tipo_Linha]]="-",Base_Periodo1[[#This Row],[TIPOSALDO]]="D"),Base_Periodo1[[#This Row],[SALDO_ATUAL]]*-1,Base_Periodo1[[#This Row],[SALDO_ATUAL]]),4)</f>
        <v>322.79000000000002</v>
      </c>
      <c r="N1790" t="s">
        <v>116</v>
      </c>
      <c r="O1790" t="s">
        <v>436</v>
      </c>
      <c r="P1790" t="s">
        <v>459</v>
      </c>
      <c r="Q1790">
        <v>9</v>
      </c>
      <c r="R1790" s="225">
        <f>Base_Periodo1[[#This Row],[CREDITOS]]-Base_Periodo1[[#This Row],[DEBITOS]]</f>
        <v>322.79000000000002</v>
      </c>
      <c r="S1790" s="3" t="str">
        <f>IF(ISERROR(VLOOKUP(Base_Periodo1[[#This Row],[CONTA]],BaseContasDRE[#All],4,FALSE)),"Fora do DRE",VLOOKUP(Base_Periodo1[[#This Row],[CONTA]],BaseContasDRE[#All],4,FALSE))</f>
        <v>Fora do DRE</v>
      </c>
      <c r="T1790" s="3" t="str">
        <f>IF(ISERROR(VLOOKUP(Base_Periodo1[[#This Row],[CONTA]],BaseContasDRE[#All],5,FALSE)),"Fora do DRE",VLOOKUP(Base_Periodo1[[#This Row],[CONTA]],BaseContasDRE[#All],6,FALSE))</f>
        <v>Fora do DRE</v>
      </c>
      <c r="U1790" s="3" t="str">
        <f>IF(ISERROR(VLOOKUP(Base_Periodo1[[#This Row],[CONTA]],BaseContasDRE[#All],7,FALSE)),"Fora do DRE",VLOOKUP(Base_Periodo1[[#This Row],[CONTA]],BaseContasDRE[#All],7,FALSE))</f>
        <v>Fora do DRE</v>
      </c>
      <c r="V1790" s="3" t="str">
        <f>IF(Base_Periodo1[[#This Row],[Tipo_Linha]]="Fora do DRE","Fora do DRE","( "&amp;Base_Periodo1[[#This Row],[Tipo_Linha]]&amp;" ) "&amp;Base_Periodo1[[#This Row],[Filtro]])</f>
        <v>Fora do DRE</v>
      </c>
      <c r="W1790" s="3" t="str">
        <f>LEFT(Base_Periodo1[[#This Row],[CLASS]],3)</f>
        <v>1.1</v>
      </c>
    </row>
    <row r="1791" spans="1:23" hidden="1">
      <c r="A1791" s="3" t="str">
        <f t="shared" si="27"/>
        <v>Período 1</v>
      </c>
      <c r="B1791">
        <v>1077</v>
      </c>
      <c r="C1791" t="s">
        <v>1418</v>
      </c>
      <c r="D1791" t="s">
        <v>1072</v>
      </c>
      <c r="E1791" s="3" t="str">
        <f>IF(LEN(Base_Periodo1[[#This Row],[CLASS]])&gt;=7,LEFT(Base_Periodo1[[#This Row],[CLASS]],7),"")</f>
        <v>1.1.3.1</v>
      </c>
      <c r="F1791" s="3" t="str">
        <f>VLOOKUP(Base_Periodo1[[#This Row],[Aux]],Base_Contas_Balanco[#All],2,FALSE)</f>
        <v>Estoques Proprios</v>
      </c>
      <c r="G1791" s="1"/>
      <c r="H1791" s="225">
        <v>4741.2100000000137</v>
      </c>
      <c r="I1791" s="225">
        <v>0</v>
      </c>
      <c r="J1791" s="225">
        <v>0</v>
      </c>
      <c r="K1791" s="225">
        <v>4741.2100000000137</v>
      </c>
      <c r="L17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-4741.21</v>
      </c>
      <c r="M1791" s="225">
        <f>ROUND(IF(AND(Base_Periodo1[[#This Row],[Tipo_Linha]]="-",Base_Periodo1[[#This Row],[TIPOSALDO]]="D"),Base_Periodo1[[#This Row],[SALDO_ATUAL]]*-1,Base_Periodo1[[#This Row],[SALDO_ATUAL]]),4)</f>
        <v>4741.21</v>
      </c>
      <c r="N1791" t="s">
        <v>396</v>
      </c>
      <c r="O1791" t="s">
        <v>459</v>
      </c>
      <c r="P1791" t="s">
        <v>459</v>
      </c>
      <c r="Q1791">
        <v>8</v>
      </c>
      <c r="R1791" s="225">
        <f>Base_Periodo1[[#This Row],[CREDITOS]]-Base_Periodo1[[#This Row],[DEBITOS]]</f>
        <v>0</v>
      </c>
      <c r="S1791" s="3" t="str">
        <f>IF(ISERROR(VLOOKUP(Base_Periodo1[[#This Row],[CONTA]],BaseContasDRE[#All],4,FALSE)),"Fora do DRE",VLOOKUP(Base_Periodo1[[#This Row],[CONTA]],BaseContasDRE[#All],4,FALSE))</f>
        <v>Fora do DRE</v>
      </c>
      <c r="T1791" s="3" t="str">
        <f>IF(ISERROR(VLOOKUP(Base_Periodo1[[#This Row],[CONTA]],BaseContasDRE[#All],5,FALSE)),"Fora do DRE",VLOOKUP(Base_Periodo1[[#This Row],[CONTA]],BaseContasDRE[#All],6,FALSE))</f>
        <v>Fora do DRE</v>
      </c>
      <c r="U1791" s="3" t="str">
        <f>IF(ISERROR(VLOOKUP(Base_Periodo1[[#This Row],[CONTA]],BaseContasDRE[#All],7,FALSE)),"Fora do DRE",VLOOKUP(Base_Periodo1[[#This Row],[CONTA]],BaseContasDRE[#All],7,FALSE))</f>
        <v>Fora do DRE</v>
      </c>
      <c r="V1791" s="3" t="str">
        <f>IF(Base_Periodo1[[#This Row],[Tipo_Linha]]="Fora do DRE","Fora do DRE","( "&amp;Base_Periodo1[[#This Row],[Tipo_Linha]]&amp;" ) "&amp;Base_Periodo1[[#This Row],[Filtro]])</f>
        <v>Fora do DRE</v>
      </c>
      <c r="W1791" s="3" t="str">
        <f>LEFT(Base_Periodo1[[#This Row],[CLASS]],3)</f>
        <v>1.1</v>
      </c>
    </row>
    <row r="1792" spans="1:23" hidden="1">
      <c r="A1792" s="3" t="str">
        <f t="shared" si="27"/>
        <v>Período 1</v>
      </c>
      <c r="B1792">
        <v>1078</v>
      </c>
      <c r="C1792" t="s">
        <v>1419</v>
      </c>
      <c r="D1792" t="s">
        <v>1074</v>
      </c>
      <c r="E1792" s="3" t="str">
        <f>IF(LEN(Base_Periodo1[[#This Row],[CLASS]])&gt;=7,LEFT(Base_Periodo1[[#This Row],[CLASS]],7),"")</f>
        <v>1.1.3.1</v>
      </c>
      <c r="F1792" s="3" t="str">
        <f>VLOOKUP(Base_Periodo1[[#This Row],[Aux]],Base_Contas_Balanco[#All],2,FALSE)</f>
        <v>Estoques Proprios</v>
      </c>
      <c r="G1792" s="1">
        <v>42824</v>
      </c>
      <c r="H1792" s="225">
        <v>4741.2100000000137</v>
      </c>
      <c r="I1792" s="225">
        <v>0</v>
      </c>
      <c r="J1792" s="225">
        <v>0</v>
      </c>
      <c r="K1792" s="225">
        <v>4741.2100000000137</v>
      </c>
      <c r="L17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-4741.21</v>
      </c>
      <c r="M1792" s="225">
        <f>ROUND(IF(AND(Base_Periodo1[[#This Row],[Tipo_Linha]]="-",Base_Periodo1[[#This Row],[TIPOSALDO]]="D"),Base_Periodo1[[#This Row],[SALDO_ATUAL]]*-1,Base_Periodo1[[#This Row],[SALDO_ATUAL]]),4)</f>
        <v>4741.21</v>
      </c>
      <c r="N1792" t="s">
        <v>116</v>
      </c>
      <c r="O1792" t="s">
        <v>459</v>
      </c>
      <c r="P1792" t="s">
        <v>459</v>
      </c>
      <c r="Q1792">
        <v>9</v>
      </c>
      <c r="R1792" s="225">
        <f>Base_Periodo1[[#This Row],[CREDITOS]]-Base_Periodo1[[#This Row],[DEBITOS]]</f>
        <v>0</v>
      </c>
      <c r="S1792" s="3" t="str">
        <f>IF(ISERROR(VLOOKUP(Base_Periodo1[[#This Row],[CONTA]],BaseContasDRE[#All],4,FALSE)),"Fora do DRE",VLOOKUP(Base_Periodo1[[#This Row],[CONTA]],BaseContasDRE[#All],4,FALSE))</f>
        <v>Fora do DRE</v>
      </c>
      <c r="T1792" s="3" t="str">
        <f>IF(ISERROR(VLOOKUP(Base_Periodo1[[#This Row],[CONTA]],BaseContasDRE[#All],5,FALSE)),"Fora do DRE",VLOOKUP(Base_Periodo1[[#This Row],[CONTA]],BaseContasDRE[#All],6,FALSE))</f>
        <v>Fora do DRE</v>
      </c>
      <c r="U1792" s="3" t="str">
        <f>IF(ISERROR(VLOOKUP(Base_Periodo1[[#This Row],[CONTA]],BaseContasDRE[#All],7,FALSE)),"Fora do DRE",VLOOKUP(Base_Periodo1[[#This Row],[CONTA]],BaseContasDRE[#All],7,FALSE))</f>
        <v>Fora do DRE</v>
      </c>
      <c r="V1792" s="3" t="str">
        <f>IF(Base_Periodo1[[#This Row],[Tipo_Linha]]="Fora do DRE","Fora do DRE","( "&amp;Base_Periodo1[[#This Row],[Tipo_Linha]]&amp;" ) "&amp;Base_Periodo1[[#This Row],[Filtro]])</f>
        <v>Fora do DRE</v>
      </c>
      <c r="W1792" s="3" t="str">
        <f>LEFT(Base_Periodo1[[#This Row],[CLASS]],3)</f>
        <v>1.1</v>
      </c>
    </row>
    <row r="1793" spans="1:23" hidden="1">
      <c r="A1793" s="3" t="str">
        <f t="shared" si="27"/>
        <v>Período 1</v>
      </c>
      <c r="B1793">
        <v>1079</v>
      </c>
      <c r="C1793" t="s">
        <v>4721</v>
      </c>
      <c r="D1793" t="s">
        <v>1150</v>
      </c>
      <c r="E1793" s="3" t="str">
        <f>IF(LEN(Base_Periodo1[[#This Row],[CLASS]])&gt;=7,LEFT(Base_Periodo1[[#This Row],[CLASS]],7),"")</f>
        <v>1.1.3.1</v>
      </c>
      <c r="F1793" s="3" t="str">
        <f>VLOOKUP(Base_Periodo1[[#This Row],[Aux]],Base_Contas_Balanco[#All],2,FALSE)</f>
        <v>Estoques Proprios</v>
      </c>
      <c r="G1793" s="1"/>
      <c r="H1793" s="225">
        <v>2165.2600000000011</v>
      </c>
      <c r="I1793" s="225">
        <v>0</v>
      </c>
      <c r="J1793" s="225">
        <v>319.75</v>
      </c>
      <c r="K1793" s="225">
        <v>2485.0100000000011</v>
      </c>
      <c r="L17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-2485.0100000000002</v>
      </c>
      <c r="M1793" s="225">
        <f>ROUND(IF(AND(Base_Periodo1[[#This Row],[Tipo_Linha]]="-",Base_Periodo1[[#This Row],[TIPOSALDO]]="D"),Base_Periodo1[[#This Row],[SALDO_ATUAL]]*-1,Base_Periodo1[[#This Row],[SALDO_ATUAL]]),4)</f>
        <v>2485.0100000000002</v>
      </c>
      <c r="N1793" t="s">
        <v>396</v>
      </c>
      <c r="O1793" t="s">
        <v>459</v>
      </c>
      <c r="P1793" t="s">
        <v>459</v>
      </c>
      <c r="Q1793">
        <v>8</v>
      </c>
      <c r="R1793" s="225">
        <f>Base_Periodo1[[#This Row],[CREDITOS]]-Base_Periodo1[[#This Row],[DEBITOS]]</f>
        <v>319.75</v>
      </c>
      <c r="S1793" s="3" t="str">
        <f>IF(ISERROR(VLOOKUP(Base_Periodo1[[#This Row],[CONTA]],BaseContasDRE[#All],4,FALSE)),"Fora do DRE",VLOOKUP(Base_Periodo1[[#This Row],[CONTA]],BaseContasDRE[#All],4,FALSE))</f>
        <v>Fora do DRE</v>
      </c>
      <c r="T1793" s="3" t="str">
        <f>IF(ISERROR(VLOOKUP(Base_Periodo1[[#This Row],[CONTA]],BaseContasDRE[#All],5,FALSE)),"Fora do DRE",VLOOKUP(Base_Periodo1[[#This Row],[CONTA]],BaseContasDRE[#All],6,FALSE))</f>
        <v>Fora do DRE</v>
      </c>
      <c r="U1793" s="3" t="str">
        <f>IF(ISERROR(VLOOKUP(Base_Periodo1[[#This Row],[CONTA]],BaseContasDRE[#All],7,FALSE)),"Fora do DRE",VLOOKUP(Base_Periodo1[[#This Row],[CONTA]],BaseContasDRE[#All],7,FALSE))</f>
        <v>Fora do DRE</v>
      </c>
      <c r="V1793" s="3" t="str">
        <f>IF(Base_Periodo1[[#This Row],[Tipo_Linha]]="Fora do DRE","Fora do DRE","( "&amp;Base_Periodo1[[#This Row],[Tipo_Linha]]&amp;" ) "&amp;Base_Periodo1[[#This Row],[Filtro]])</f>
        <v>Fora do DRE</v>
      </c>
      <c r="W1793" s="3" t="str">
        <f>LEFT(Base_Periodo1[[#This Row],[CLASS]],3)</f>
        <v>1.1</v>
      </c>
    </row>
    <row r="1794" spans="1:23" hidden="1">
      <c r="A1794" s="3" t="str">
        <f t="shared" si="27"/>
        <v>Período 1</v>
      </c>
      <c r="B1794">
        <v>1080</v>
      </c>
      <c r="C1794" t="s">
        <v>4722</v>
      </c>
      <c r="D1794" t="s">
        <v>1176</v>
      </c>
      <c r="E1794" s="3" t="str">
        <f>IF(LEN(Base_Periodo1[[#This Row],[CLASS]])&gt;=7,LEFT(Base_Periodo1[[#This Row],[CLASS]],7),"")</f>
        <v>1.1.3.1</v>
      </c>
      <c r="F1794" s="3" t="str">
        <f>VLOOKUP(Base_Periodo1[[#This Row],[Aux]],Base_Contas_Balanco[#All],2,FALSE)</f>
        <v>Estoques Proprios</v>
      </c>
      <c r="G1794" s="1">
        <v>42886</v>
      </c>
      <c r="H1794" s="225">
        <v>2165.2600000000011</v>
      </c>
      <c r="I1794" s="225">
        <v>0</v>
      </c>
      <c r="J1794" s="225">
        <v>319.75</v>
      </c>
      <c r="K1794" s="225">
        <v>2485.0100000000011</v>
      </c>
      <c r="L17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-2485.0100000000002</v>
      </c>
      <c r="M1794" s="225">
        <f>ROUND(IF(AND(Base_Periodo1[[#This Row],[Tipo_Linha]]="-",Base_Periodo1[[#This Row],[TIPOSALDO]]="D"),Base_Periodo1[[#This Row],[SALDO_ATUAL]]*-1,Base_Periodo1[[#This Row],[SALDO_ATUAL]]),4)</f>
        <v>2485.0100000000002</v>
      </c>
      <c r="N1794" t="s">
        <v>116</v>
      </c>
      <c r="O1794" t="s">
        <v>459</v>
      </c>
      <c r="P1794" t="s">
        <v>459</v>
      </c>
      <c r="Q1794">
        <v>9</v>
      </c>
      <c r="R1794" s="225">
        <f>Base_Periodo1[[#This Row],[CREDITOS]]-Base_Periodo1[[#This Row],[DEBITOS]]</f>
        <v>319.75</v>
      </c>
      <c r="S1794" s="3" t="str">
        <f>IF(ISERROR(VLOOKUP(Base_Periodo1[[#This Row],[CONTA]],BaseContasDRE[#All],4,FALSE)),"Fora do DRE",VLOOKUP(Base_Periodo1[[#This Row],[CONTA]],BaseContasDRE[#All],4,FALSE))</f>
        <v>Fora do DRE</v>
      </c>
      <c r="T1794" s="3" t="str">
        <f>IF(ISERROR(VLOOKUP(Base_Periodo1[[#This Row],[CONTA]],BaseContasDRE[#All],5,FALSE)),"Fora do DRE",VLOOKUP(Base_Periodo1[[#This Row],[CONTA]],BaseContasDRE[#All],6,FALSE))</f>
        <v>Fora do DRE</v>
      </c>
      <c r="U1794" s="3" t="str">
        <f>IF(ISERROR(VLOOKUP(Base_Periodo1[[#This Row],[CONTA]],BaseContasDRE[#All],7,FALSE)),"Fora do DRE",VLOOKUP(Base_Periodo1[[#This Row],[CONTA]],BaseContasDRE[#All],7,FALSE))</f>
        <v>Fora do DRE</v>
      </c>
      <c r="V1794" s="3" t="str">
        <f>IF(Base_Periodo1[[#This Row],[Tipo_Linha]]="Fora do DRE","Fora do DRE","( "&amp;Base_Periodo1[[#This Row],[Tipo_Linha]]&amp;" ) "&amp;Base_Periodo1[[#This Row],[Filtro]])</f>
        <v>Fora do DRE</v>
      </c>
      <c r="W1794" s="3" t="str">
        <f>LEFT(Base_Periodo1[[#This Row],[CLASS]],3)</f>
        <v>1.1</v>
      </c>
    </row>
    <row r="1795" spans="1:23" hidden="1">
      <c r="A1795" s="3" t="str">
        <f t="shared" si="27"/>
        <v>Período 1</v>
      </c>
      <c r="B1795">
        <v>1083</v>
      </c>
      <c r="C1795" t="s">
        <v>1420</v>
      </c>
      <c r="D1795" t="s">
        <v>1421</v>
      </c>
      <c r="E1795" s="3" t="str">
        <f>IF(LEN(Base_Periodo1[[#This Row],[CLASS]])&gt;=7,LEFT(Base_Periodo1[[#This Row],[CLASS]],7),"")</f>
        <v>1.1.3.1</v>
      </c>
      <c r="F1795" s="3" t="str">
        <f>VLOOKUP(Base_Periodo1[[#This Row],[Aux]],Base_Contas_Balanco[#All],2,FALSE)</f>
        <v>Estoques Proprios</v>
      </c>
      <c r="G1795" s="1"/>
      <c r="H1795" s="225">
        <v>384.13000000000466</v>
      </c>
      <c r="I1795" s="225">
        <v>0</v>
      </c>
      <c r="J1795" s="225">
        <v>0</v>
      </c>
      <c r="K1795" s="225">
        <v>384.13000000000466</v>
      </c>
      <c r="L17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384.13</v>
      </c>
      <c r="M1795" s="225">
        <f>ROUND(IF(AND(Base_Periodo1[[#This Row],[Tipo_Linha]]="-",Base_Periodo1[[#This Row],[TIPOSALDO]]="D"),Base_Periodo1[[#This Row],[SALDO_ATUAL]]*-1,Base_Periodo1[[#This Row],[SALDO_ATUAL]]),4)</f>
        <v>384.13</v>
      </c>
      <c r="N1795" t="s">
        <v>396</v>
      </c>
      <c r="O1795" t="s">
        <v>397</v>
      </c>
      <c r="P1795" t="s">
        <v>397</v>
      </c>
      <c r="Q1795">
        <v>7</v>
      </c>
      <c r="R1795" s="225">
        <f>Base_Periodo1[[#This Row],[CREDITOS]]-Base_Periodo1[[#This Row],[DEBITOS]]</f>
        <v>0</v>
      </c>
      <c r="S1795" s="3" t="str">
        <f>IF(ISERROR(VLOOKUP(Base_Periodo1[[#This Row],[CONTA]],BaseContasDRE[#All],4,FALSE)),"Fora do DRE",VLOOKUP(Base_Periodo1[[#This Row],[CONTA]],BaseContasDRE[#All],4,FALSE))</f>
        <v>Fora do DRE</v>
      </c>
      <c r="T1795" s="3" t="str">
        <f>IF(ISERROR(VLOOKUP(Base_Periodo1[[#This Row],[CONTA]],BaseContasDRE[#All],5,FALSE)),"Fora do DRE",VLOOKUP(Base_Periodo1[[#This Row],[CONTA]],BaseContasDRE[#All],6,FALSE))</f>
        <v>Fora do DRE</v>
      </c>
      <c r="U1795" s="3" t="str">
        <f>IF(ISERROR(VLOOKUP(Base_Periodo1[[#This Row],[CONTA]],BaseContasDRE[#All],7,FALSE)),"Fora do DRE",VLOOKUP(Base_Periodo1[[#This Row],[CONTA]],BaseContasDRE[#All],7,FALSE))</f>
        <v>Fora do DRE</v>
      </c>
      <c r="V1795" s="3" t="str">
        <f>IF(Base_Periodo1[[#This Row],[Tipo_Linha]]="Fora do DRE","Fora do DRE","( "&amp;Base_Periodo1[[#This Row],[Tipo_Linha]]&amp;" ) "&amp;Base_Periodo1[[#This Row],[Filtro]])</f>
        <v>Fora do DRE</v>
      </c>
      <c r="W1795" s="3" t="str">
        <f>LEFT(Base_Periodo1[[#This Row],[CLASS]],3)</f>
        <v>1.1</v>
      </c>
    </row>
    <row r="1796" spans="1:23" hidden="1">
      <c r="A1796" s="3" t="str">
        <f t="shared" si="27"/>
        <v>Período 1</v>
      </c>
      <c r="B1796">
        <v>1084</v>
      </c>
      <c r="C1796" t="s">
        <v>1422</v>
      </c>
      <c r="D1796" t="s">
        <v>1054</v>
      </c>
      <c r="E1796" s="3" t="str">
        <f>IF(LEN(Base_Periodo1[[#This Row],[CLASS]])&gt;=7,LEFT(Base_Periodo1[[#This Row],[CLASS]],7),"")</f>
        <v>1.1.3.1</v>
      </c>
      <c r="F1796" s="3" t="str">
        <f>VLOOKUP(Base_Periodo1[[#This Row],[Aux]],Base_Contas_Balanco[#All],2,FALSE)</f>
        <v>Estoques Proprios</v>
      </c>
      <c r="G1796" s="1"/>
      <c r="H1796" s="225">
        <v>1481.7900000000081</v>
      </c>
      <c r="I1796" s="225">
        <v>0</v>
      </c>
      <c r="J1796" s="225">
        <v>0</v>
      </c>
      <c r="K1796" s="225">
        <v>1481.7900000000081</v>
      </c>
      <c r="L17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1481.79</v>
      </c>
      <c r="M1796" s="225">
        <f>ROUND(IF(AND(Base_Periodo1[[#This Row],[Tipo_Linha]]="-",Base_Periodo1[[#This Row],[TIPOSALDO]]="D"),Base_Periodo1[[#This Row],[SALDO_ATUAL]]*-1,Base_Periodo1[[#This Row],[SALDO_ATUAL]]),4)</f>
        <v>1481.79</v>
      </c>
      <c r="N1796" t="s">
        <v>396</v>
      </c>
      <c r="O1796" t="s">
        <v>397</v>
      </c>
      <c r="P1796" t="s">
        <v>397</v>
      </c>
      <c r="Q1796">
        <v>8</v>
      </c>
      <c r="R1796" s="225">
        <f>Base_Periodo1[[#This Row],[CREDITOS]]-Base_Periodo1[[#This Row],[DEBITOS]]</f>
        <v>0</v>
      </c>
      <c r="S1796" s="3" t="str">
        <f>IF(ISERROR(VLOOKUP(Base_Periodo1[[#This Row],[CONTA]],BaseContasDRE[#All],4,FALSE)),"Fora do DRE",VLOOKUP(Base_Periodo1[[#This Row],[CONTA]],BaseContasDRE[#All],4,FALSE))</f>
        <v>Fora do DRE</v>
      </c>
      <c r="T1796" s="3" t="str">
        <f>IF(ISERROR(VLOOKUP(Base_Periodo1[[#This Row],[CONTA]],BaseContasDRE[#All],5,FALSE)),"Fora do DRE",VLOOKUP(Base_Periodo1[[#This Row],[CONTA]],BaseContasDRE[#All],6,FALSE))</f>
        <v>Fora do DRE</v>
      </c>
      <c r="U1796" s="3" t="str">
        <f>IF(ISERROR(VLOOKUP(Base_Periodo1[[#This Row],[CONTA]],BaseContasDRE[#All],7,FALSE)),"Fora do DRE",VLOOKUP(Base_Periodo1[[#This Row],[CONTA]],BaseContasDRE[#All],7,FALSE))</f>
        <v>Fora do DRE</v>
      </c>
      <c r="V1796" s="3" t="str">
        <f>IF(Base_Periodo1[[#This Row],[Tipo_Linha]]="Fora do DRE","Fora do DRE","( "&amp;Base_Periodo1[[#This Row],[Tipo_Linha]]&amp;" ) "&amp;Base_Periodo1[[#This Row],[Filtro]])</f>
        <v>Fora do DRE</v>
      </c>
      <c r="W1796" s="3" t="str">
        <f>LEFT(Base_Periodo1[[#This Row],[CLASS]],3)</f>
        <v>1.1</v>
      </c>
    </row>
    <row r="1797" spans="1:23" hidden="1">
      <c r="A1797" s="3" t="str">
        <f t="shared" si="27"/>
        <v>Período 1</v>
      </c>
      <c r="B1797">
        <v>1085</v>
      </c>
      <c r="C1797" t="s">
        <v>1423</v>
      </c>
      <c r="D1797" t="s">
        <v>1054</v>
      </c>
      <c r="E1797" s="3" t="str">
        <f>IF(LEN(Base_Periodo1[[#This Row],[CLASS]])&gt;=7,LEFT(Base_Periodo1[[#This Row],[CLASS]],7),"")</f>
        <v>1.1.3.1</v>
      </c>
      <c r="F1797" s="3" t="str">
        <f>VLOOKUP(Base_Periodo1[[#This Row],[Aux]],Base_Contas_Balanco[#All],2,FALSE)</f>
        <v>Estoques Proprios</v>
      </c>
      <c r="G1797" s="1">
        <v>42735</v>
      </c>
      <c r="H1797" s="225">
        <v>1481.7900000000081</v>
      </c>
      <c r="I1797" s="225">
        <v>0</v>
      </c>
      <c r="J1797" s="225">
        <v>0</v>
      </c>
      <c r="K1797" s="225">
        <v>1481.7900000000081</v>
      </c>
      <c r="L17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1481.79</v>
      </c>
      <c r="M1797" s="225">
        <f>ROUND(IF(AND(Base_Periodo1[[#This Row],[Tipo_Linha]]="-",Base_Periodo1[[#This Row],[TIPOSALDO]]="D"),Base_Periodo1[[#This Row],[SALDO_ATUAL]]*-1,Base_Periodo1[[#This Row],[SALDO_ATUAL]]),4)</f>
        <v>1481.79</v>
      </c>
      <c r="N1797" t="s">
        <v>116</v>
      </c>
      <c r="O1797" t="s">
        <v>397</v>
      </c>
      <c r="P1797" t="s">
        <v>397</v>
      </c>
      <c r="Q1797">
        <v>9</v>
      </c>
      <c r="R1797" s="225">
        <f>Base_Periodo1[[#This Row],[CREDITOS]]-Base_Periodo1[[#This Row],[DEBITOS]]</f>
        <v>0</v>
      </c>
      <c r="S1797" s="3" t="str">
        <f>IF(ISERROR(VLOOKUP(Base_Periodo1[[#This Row],[CONTA]],BaseContasDRE[#All],4,FALSE)),"Fora do DRE",VLOOKUP(Base_Periodo1[[#This Row],[CONTA]],BaseContasDRE[#All],4,FALSE))</f>
        <v>Fora do DRE</v>
      </c>
      <c r="T1797" s="3" t="str">
        <f>IF(ISERROR(VLOOKUP(Base_Periodo1[[#This Row],[CONTA]],BaseContasDRE[#All],5,FALSE)),"Fora do DRE",VLOOKUP(Base_Periodo1[[#This Row],[CONTA]],BaseContasDRE[#All],6,FALSE))</f>
        <v>Fora do DRE</v>
      </c>
      <c r="U1797" s="3" t="str">
        <f>IF(ISERROR(VLOOKUP(Base_Periodo1[[#This Row],[CONTA]],BaseContasDRE[#All],7,FALSE)),"Fora do DRE",VLOOKUP(Base_Periodo1[[#This Row],[CONTA]],BaseContasDRE[#All],7,FALSE))</f>
        <v>Fora do DRE</v>
      </c>
      <c r="V1797" s="3" t="str">
        <f>IF(Base_Periodo1[[#This Row],[Tipo_Linha]]="Fora do DRE","Fora do DRE","( "&amp;Base_Periodo1[[#This Row],[Tipo_Linha]]&amp;" ) "&amp;Base_Periodo1[[#This Row],[Filtro]])</f>
        <v>Fora do DRE</v>
      </c>
      <c r="W1797" s="3" t="str">
        <f>LEFT(Base_Periodo1[[#This Row],[CLASS]],3)</f>
        <v>1.1</v>
      </c>
    </row>
    <row r="1798" spans="1:23" hidden="1">
      <c r="A1798" s="3" t="str">
        <f t="shared" ref="A1798:A1861" si="28">"Período 1"</f>
        <v>Período 1</v>
      </c>
      <c r="B1798">
        <v>1086</v>
      </c>
      <c r="C1798" t="s">
        <v>4594</v>
      </c>
      <c r="D1798" t="s">
        <v>1063</v>
      </c>
      <c r="E1798" s="3" t="str">
        <f>IF(LEN(Base_Periodo1[[#This Row],[CLASS]])&gt;=7,LEFT(Base_Periodo1[[#This Row],[CLASS]],7),"")</f>
        <v>1.1.3.1</v>
      </c>
      <c r="F1798" s="3" t="str">
        <f>VLOOKUP(Base_Periodo1[[#This Row],[Aux]],Base_Contas_Balanco[#All],2,FALSE)</f>
        <v>Estoques Proprios</v>
      </c>
      <c r="G1798" s="1"/>
      <c r="H1798" s="225">
        <v>323.73000000000684</v>
      </c>
      <c r="I1798" s="225">
        <v>0</v>
      </c>
      <c r="J1798" s="225">
        <v>0</v>
      </c>
      <c r="K1798" s="225">
        <v>323.73000000000684</v>
      </c>
      <c r="L17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323.73</v>
      </c>
      <c r="M1798" s="225">
        <f>ROUND(IF(AND(Base_Periodo1[[#This Row],[Tipo_Linha]]="-",Base_Periodo1[[#This Row],[TIPOSALDO]]="D"),Base_Periodo1[[#This Row],[SALDO_ATUAL]]*-1,Base_Periodo1[[#This Row],[SALDO_ATUAL]]),4)</f>
        <v>323.73</v>
      </c>
      <c r="N1798" t="s">
        <v>396</v>
      </c>
      <c r="O1798" t="s">
        <v>397</v>
      </c>
      <c r="P1798" t="s">
        <v>397</v>
      </c>
      <c r="Q1798">
        <v>8</v>
      </c>
      <c r="R1798" s="225">
        <f>Base_Periodo1[[#This Row],[CREDITOS]]-Base_Periodo1[[#This Row],[DEBITOS]]</f>
        <v>0</v>
      </c>
      <c r="S1798" s="3" t="str">
        <f>IF(ISERROR(VLOOKUP(Base_Periodo1[[#This Row],[CONTA]],BaseContasDRE[#All],4,FALSE)),"Fora do DRE",VLOOKUP(Base_Periodo1[[#This Row],[CONTA]],BaseContasDRE[#All],4,FALSE))</f>
        <v>Fora do DRE</v>
      </c>
      <c r="T1798" s="3" t="str">
        <f>IF(ISERROR(VLOOKUP(Base_Periodo1[[#This Row],[CONTA]],BaseContasDRE[#All],5,FALSE)),"Fora do DRE",VLOOKUP(Base_Periodo1[[#This Row],[CONTA]],BaseContasDRE[#All],6,FALSE))</f>
        <v>Fora do DRE</v>
      </c>
      <c r="U1798" s="3" t="str">
        <f>IF(ISERROR(VLOOKUP(Base_Periodo1[[#This Row],[CONTA]],BaseContasDRE[#All],7,FALSE)),"Fora do DRE",VLOOKUP(Base_Periodo1[[#This Row],[CONTA]],BaseContasDRE[#All],7,FALSE))</f>
        <v>Fora do DRE</v>
      </c>
      <c r="V1798" s="3" t="str">
        <f>IF(Base_Periodo1[[#This Row],[Tipo_Linha]]="Fora do DRE","Fora do DRE","( "&amp;Base_Periodo1[[#This Row],[Tipo_Linha]]&amp;" ) "&amp;Base_Periodo1[[#This Row],[Filtro]])</f>
        <v>Fora do DRE</v>
      </c>
      <c r="W1798" s="3" t="str">
        <f>LEFT(Base_Periodo1[[#This Row],[CLASS]],3)</f>
        <v>1.1</v>
      </c>
    </row>
    <row r="1799" spans="1:23" hidden="1">
      <c r="A1799" s="3" t="str">
        <f t="shared" si="28"/>
        <v>Período 1</v>
      </c>
      <c r="B1799">
        <v>1087</v>
      </c>
      <c r="C1799" t="s">
        <v>4595</v>
      </c>
      <c r="D1799" t="s">
        <v>1065</v>
      </c>
      <c r="E1799" s="3" t="str">
        <f>IF(LEN(Base_Periodo1[[#This Row],[CLASS]])&gt;=7,LEFT(Base_Periodo1[[#This Row],[CLASS]],7),"")</f>
        <v>1.1.3.1</v>
      </c>
      <c r="F1799" s="3" t="str">
        <f>VLOOKUP(Base_Periodo1[[#This Row],[Aux]],Base_Contas_Balanco[#All],2,FALSE)</f>
        <v>Estoques Proprios</v>
      </c>
      <c r="G1799" s="1">
        <v>42763</v>
      </c>
      <c r="H1799" s="225">
        <v>323.73000000000684</v>
      </c>
      <c r="I1799" s="225">
        <v>0</v>
      </c>
      <c r="J1799" s="225">
        <v>0</v>
      </c>
      <c r="K1799" s="225">
        <v>323.73000000000684</v>
      </c>
      <c r="L17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323.73</v>
      </c>
      <c r="M1799" s="225">
        <f>ROUND(IF(AND(Base_Periodo1[[#This Row],[Tipo_Linha]]="-",Base_Periodo1[[#This Row],[TIPOSALDO]]="D"),Base_Periodo1[[#This Row],[SALDO_ATUAL]]*-1,Base_Periodo1[[#This Row],[SALDO_ATUAL]]),4)</f>
        <v>323.73</v>
      </c>
      <c r="N1799" t="s">
        <v>116</v>
      </c>
      <c r="O1799" t="s">
        <v>397</v>
      </c>
      <c r="P1799" t="s">
        <v>397</v>
      </c>
      <c r="Q1799">
        <v>9</v>
      </c>
      <c r="R1799" s="225">
        <f>Base_Periodo1[[#This Row],[CREDITOS]]-Base_Periodo1[[#This Row],[DEBITOS]]</f>
        <v>0</v>
      </c>
      <c r="S1799" s="3" t="str">
        <f>IF(ISERROR(VLOOKUP(Base_Periodo1[[#This Row],[CONTA]],BaseContasDRE[#All],4,FALSE)),"Fora do DRE",VLOOKUP(Base_Periodo1[[#This Row],[CONTA]],BaseContasDRE[#All],4,FALSE))</f>
        <v>Fora do DRE</v>
      </c>
      <c r="T1799" s="3" t="str">
        <f>IF(ISERROR(VLOOKUP(Base_Periodo1[[#This Row],[CONTA]],BaseContasDRE[#All],5,FALSE)),"Fora do DRE",VLOOKUP(Base_Periodo1[[#This Row],[CONTA]],BaseContasDRE[#All],6,FALSE))</f>
        <v>Fora do DRE</v>
      </c>
      <c r="U1799" s="3" t="str">
        <f>IF(ISERROR(VLOOKUP(Base_Periodo1[[#This Row],[CONTA]],BaseContasDRE[#All],7,FALSE)),"Fora do DRE",VLOOKUP(Base_Periodo1[[#This Row],[CONTA]],BaseContasDRE[#All],7,FALSE))</f>
        <v>Fora do DRE</v>
      </c>
      <c r="V1799" s="3" t="str">
        <f>IF(Base_Periodo1[[#This Row],[Tipo_Linha]]="Fora do DRE","Fora do DRE","( "&amp;Base_Periodo1[[#This Row],[Tipo_Linha]]&amp;" ) "&amp;Base_Periodo1[[#This Row],[Filtro]])</f>
        <v>Fora do DRE</v>
      </c>
      <c r="W1799" s="3" t="str">
        <f>LEFT(Base_Periodo1[[#This Row],[CLASS]],3)</f>
        <v>1.1</v>
      </c>
    </row>
    <row r="1800" spans="1:23" hidden="1">
      <c r="A1800" s="3" t="str">
        <f t="shared" si="28"/>
        <v>Período 1</v>
      </c>
      <c r="B1800">
        <v>1090</v>
      </c>
      <c r="C1800" t="s">
        <v>1424</v>
      </c>
      <c r="D1800" t="s">
        <v>1067</v>
      </c>
      <c r="E1800" s="3" t="str">
        <f>IF(LEN(Base_Periodo1[[#This Row],[CLASS]])&gt;=7,LEFT(Base_Periodo1[[#This Row],[CLASS]],7),"")</f>
        <v>1.1.3.1</v>
      </c>
      <c r="F1800" s="3" t="str">
        <f>VLOOKUP(Base_Periodo1[[#This Row],[Aux]],Base_Contas_Balanco[#All],2,FALSE)</f>
        <v>Estoques Proprios</v>
      </c>
      <c r="G1800" s="1"/>
      <c r="H1800" s="225">
        <v>17.660000000005311</v>
      </c>
      <c r="I1800" s="225">
        <v>0</v>
      </c>
      <c r="J1800" s="225">
        <v>0</v>
      </c>
      <c r="K1800" s="225">
        <v>17.660000000005311</v>
      </c>
      <c r="L18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-17.66</v>
      </c>
      <c r="M1800" s="225">
        <f>ROUND(IF(AND(Base_Periodo1[[#This Row],[Tipo_Linha]]="-",Base_Periodo1[[#This Row],[TIPOSALDO]]="D"),Base_Periodo1[[#This Row],[SALDO_ATUAL]]*-1,Base_Periodo1[[#This Row],[SALDO_ATUAL]]),4)</f>
        <v>17.66</v>
      </c>
      <c r="N1800" t="s">
        <v>396</v>
      </c>
      <c r="O1800" t="s">
        <v>459</v>
      </c>
      <c r="P1800" t="s">
        <v>459</v>
      </c>
      <c r="Q1800">
        <v>8</v>
      </c>
      <c r="R1800" s="225">
        <f>Base_Periodo1[[#This Row],[CREDITOS]]-Base_Periodo1[[#This Row],[DEBITOS]]</f>
        <v>0</v>
      </c>
      <c r="S1800" s="3" t="str">
        <f>IF(ISERROR(VLOOKUP(Base_Periodo1[[#This Row],[CONTA]],BaseContasDRE[#All],4,FALSE)),"Fora do DRE",VLOOKUP(Base_Periodo1[[#This Row],[CONTA]],BaseContasDRE[#All],4,FALSE))</f>
        <v>Fora do DRE</v>
      </c>
      <c r="T1800" s="3" t="str">
        <f>IF(ISERROR(VLOOKUP(Base_Periodo1[[#This Row],[CONTA]],BaseContasDRE[#All],5,FALSE)),"Fora do DRE",VLOOKUP(Base_Periodo1[[#This Row],[CONTA]],BaseContasDRE[#All],6,FALSE))</f>
        <v>Fora do DRE</v>
      </c>
      <c r="U1800" s="3" t="str">
        <f>IF(ISERROR(VLOOKUP(Base_Periodo1[[#This Row],[CONTA]],BaseContasDRE[#All],7,FALSE)),"Fora do DRE",VLOOKUP(Base_Periodo1[[#This Row],[CONTA]],BaseContasDRE[#All],7,FALSE))</f>
        <v>Fora do DRE</v>
      </c>
      <c r="V1800" s="3" t="str">
        <f>IF(Base_Periodo1[[#This Row],[Tipo_Linha]]="Fora do DRE","Fora do DRE","( "&amp;Base_Periodo1[[#This Row],[Tipo_Linha]]&amp;" ) "&amp;Base_Periodo1[[#This Row],[Filtro]])</f>
        <v>Fora do DRE</v>
      </c>
      <c r="W1800" s="3" t="str">
        <f>LEFT(Base_Periodo1[[#This Row],[CLASS]],3)</f>
        <v>1.1</v>
      </c>
    </row>
    <row r="1801" spans="1:23" hidden="1">
      <c r="A1801" s="3" t="str">
        <f t="shared" si="28"/>
        <v>Período 1</v>
      </c>
      <c r="B1801">
        <v>1092</v>
      </c>
      <c r="C1801" t="s">
        <v>5695</v>
      </c>
      <c r="D1801" t="s">
        <v>1070</v>
      </c>
      <c r="E1801" s="3" t="str">
        <f>IF(LEN(Base_Periodo1[[#This Row],[CLASS]])&gt;=7,LEFT(Base_Periodo1[[#This Row],[CLASS]],7),"")</f>
        <v>1.1.3.1</v>
      </c>
      <c r="F1801" s="3" t="str">
        <f>VLOOKUP(Base_Periodo1[[#This Row],[Aux]],Base_Contas_Balanco[#All],2,FALSE)</f>
        <v>Estoques Proprios</v>
      </c>
      <c r="G1801" s="1">
        <v>42766</v>
      </c>
      <c r="H1801" s="225">
        <v>17.660000000001673</v>
      </c>
      <c r="I1801" s="225">
        <v>0</v>
      </c>
      <c r="J1801" s="225">
        <v>0</v>
      </c>
      <c r="K1801" s="225">
        <v>17.660000000001673</v>
      </c>
      <c r="L18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-17.66</v>
      </c>
      <c r="M1801" s="225">
        <f>ROUND(IF(AND(Base_Periodo1[[#This Row],[Tipo_Linha]]="-",Base_Periodo1[[#This Row],[TIPOSALDO]]="D"),Base_Periodo1[[#This Row],[SALDO_ATUAL]]*-1,Base_Periodo1[[#This Row],[SALDO_ATUAL]]),4)</f>
        <v>17.66</v>
      </c>
      <c r="N1801" t="s">
        <v>116</v>
      </c>
      <c r="O1801" t="s">
        <v>459</v>
      </c>
      <c r="P1801" t="s">
        <v>459</v>
      </c>
      <c r="Q1801">
        <v>9</v>
      </c>
      <c r="R1801" s="225">
        <f>Base_Periodo1[[#This Row],[CREDITOS]]-Base_Periodo1[[#This Row],[DEBITOS]]</f>
        <v>0</v>
      </c>
      <c r="S1801" s="3" t="str">
        <f>IF(ISERROR(VLOOKUP(Base_Periodo1[[#This Row],[CONTA]],BaseContasDRE[#All],4,FALSE)),"Fora do DRE",VLOOKUP(Base_Periodo1[[#This Row],[CONTA]],BaseContasDRE[#All],4,FALSE))</f>
        <v>Fora do DRE</v>
      </c>
      <c r="T1801" s="3" t="str">
        <f>IF(ISERROR(VLOOKUP(Base_Periodo1[[#This Row],[CONTA]],BaseContasDRE[#All],5,FALSE)),"Fora do DRE",VLOOKUP(Base_Periodo1[[#This Row],[CONTA]],BaseContasDRE[#All],6,FALSE))</f>
        <v>Fora do DRE</v>
      </c>
      <c r="U1801" s="3" t="str">
        <f>IF(ISERROR(VLOOKUP(Base_Periodo1[[#This Row],[CONTA]],BaseContasDRE[#All],7,FALSE)),"Fora do DRE",VLOOKUP(Base_Periodo1[[#This Row],[CONTA]],BaseContasDRE[#All],7,FALSE))</f>
        <v>Fora do DRE</v>
      </c>
      <c r="V1801" s="3" t="str">
        <f>IF(Base_Periodo1[[#This Row],[Tipo_Linha]]="Fora do DRE","Fora do DRE","( "&amp;Base_Periodo1[[#This Row],[Tipo_Linha]]&amp;" ) "&amp;Base_Periodo1[[#This Row],[Filtro]])</f>
        <v>Fora do DRE</v>
      </c>
      <c r="W1801" s="3" t="str">
        <f>LEFT(Base_Periodo1[[#This Row],[CLASS]],3)</f>
        <v>1.1</v>
      </c>
    </row>
    <row r="1802" spans="1:23" hidden="1">
      <c r="A1802" s="3" t="str">
        <f t="shared" si="28"/>
        <v>Período 1</v>
      </c>
      <c r="B1802">
        <v>1093</v>
      </c>
      <c r="C1802" t="s">
        <v>4596</v>
      </c>
      <c r="D1802" t="s">
        <v>1072</v>
      </c>
      <c r="E1802" s="3" t="str">
        <f>IF(LEN(Base_Periodo1[[#This Row],[CLASS]])&gt;=7,LEFT(Base_Periodo1[[#This Row],[CLASS]],7),"")</f>
        <v>1.1.3.1</v>
      </c>
      <c r="F1802" s="3" t="str">
        <f>VLOOKUP(Base_Periodo1[[#This Row],[Aux]],Base_Contas_Balanco[#All],2,FALSE)</f>
        <v>Estoques Proprios</v>
      </c>
      <c r="G1802" s="1"/>
      <c r="H1802" s="225">
        <v>323.7300000000032</v>
      </c>
      <c r="I1802" s="225">
        <v>0</v>
      </c>
      <c r="J1802" s="225">
        <v>0</v>
      </c>
      <c r="K1802" s="225">
        <v>323.7300000000032</v>
      </c>
      <c r="L18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-323.73</v>
      </c>
      <c r="M1802" s="225">
        <f>ROUND(IF(AND(Base_Periodo1[[#This Row],[Tipo_Linha]]="-",Base_Periodo1[[#This Row],[TIPOSALDO]]="D"),Base_Periodo1[[#This Row],[SALDO_ATUAL]]*-1,Base_Periodo1[[#This Row],[SALDO_ATUAL]]),4)</f>
        <v>323.73</v>
      </c>
      <c r="N1802" t="s">
        <v>396</v>
      </c>
      <c r="O1802" t="s">
        <v>459</v>
      </c>
      <c r="P1802" t="s">
        <v>459</v>
      </c>
      <c r="Q1802">
        <v>8</v>
      </c>
      <c r="R1802" s="225">
        <f>Base_Periodo1[[#This Row],[CREDITOS]]-Base_Periodo1[[#This Row],[DEBITOS]]</f>
        <v>0</v>
      </c>
      <c r="S1802" s="3" t="str">
        <f>IF(ISERROR(VLOOKUP(Base_Periodo1[[#This Row],[CONTA]],BaseContasDRE[#All],4,FALSE)),"Fora do DRE",VLOOKUP(Base_Periodo1[[#This Row],[CONTA]],BaseContasDRE[#All],4,FALSE))</f>
        <v>Fora do DRE</v>
      </c>
      <c r="T1802" s="3" t="str">
        <f>IF(ISERROR(VLOOKUP(Base_Periodo1[[#This Row],[CONTA]],BaseContasDRE[#All],5,FALSE)),"Fora do DRE",VLOOKUP(Base_Periodo1[[#This Row],[CONTA]],BaseContasDRE[#All],6,FALSE))</f>
        <v>Fora do DRE</v>
      </c>
      <c r="U1802" s="3" t="str">
        <f>IF(ISERROR(VLOOKUP(Base_Periodo1[[#This Row],[CONTA]],BaseContasDRE[#All],7,FALSE)),"Fora do DRE",VLOOKUP(Base_Periodo1[[#This Row],[CONTA]],BaseContasDRE[#All],7,FALSE))</f>
        <v>Fora do DRE</v>
      </c>
      <c r="V1802" s="3" t="str">
        <f>IF(Base_Periodo1[[#This Row],[Tipo_Linha]]="Fora do DRE","Fora do DRE","( "&amp;Base_Periodo1[[#This Row],[Tipo_Linha]]&amp;" ) "&amp;Base_Periodo1[[#This Row],[Filtro]])</f>
        <v>Fora do DRE</v>
      </c>
      <c r="W1802" s="3" t="str">
        <f>LEFT(Base_Periodo1[[#This Row],[CLASS]],3)</f>
        <v>1.1</v>
      </c>
    </row>
    <row r="1803" spans="1:23" hidden="1">
      <c r="A1803" s="3" t="str">
        <f t="shared" si="28"/>
        <v>Período 1</v>
      </c>
      <c r="B1803">
        <v>1094</v>
      </c>
      <c r="C1803" t="s">
        <v>4597</v>
      </c>
      <c r="D1803" t="s">
        <v>1074</v>
      </c>
      <c r="E1803" s="3" t="str">
        <f>IF(LEN(Base_Periodo1[[#This Row],[CLASS]])&gt;=7,LEFT(Base_Periodo1[[#This Row],[CLASS]],7),"")</f>
        <v>1.1.3.1</v>
      </c>
      <c r="F1803" s="3" t="str">
        <f>VLOOKUP(Base_Periodo1[[#This Row],[Aux]],Base_Contas_Balanco[#All],2,FALSE)</f>
        <v>Estoques Proprios</v>
      </c>
      <c r="G1803" s="1">
        <v>42762</v>
      </c>
      <c r="H1803" s="225">
        <v>323.7300000000032</v>
      </c>
      <c r="I1803" s="225">
        <v>0</v>
      </c>
      <c r="J1803" s="225">
        <v>0</v>
      </c>
      <c r="K1803" s="225">
        <v>323.7300000000032</v>
      </c>
      <c r="L18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-323.73</v>
      </c>
      <c r="M1803" s="225">
        <f>ROUND(IF(AND(Base_Periodo1[[#This Row],[Tipo_Linha]]="-",Base_Periodo1[[#This Row],[TIPOSALDO]]="D"),Base_Periodo1[[#This Row],[SALDO_ATUAL]]*-1,Base_Periodo1[[#This Row],[SALDO_ATUAL]]),4)</f>
        <v>323.73</v>
      </c>
      <c r="N1803" t="s">
        <v>116</v>
      </c>
      <c r="O1803" t="s">
        <v>459</v>
      </c>
      <c r="P1803" t="s">
        <v>459</v>
      </c>
      <c r="Q1803">
        <v>9</v>
      </c>
      <c r="R1803" s="225">
        <f>Base_Periodo1[[#This Row],[CREDITOS]]-Base_Periodo1[[#This Row],[DEBITOS]]</f>
        <v>0</v>
      </c>
      <c r="S1803" s="3" t="str">
        <f>IF(ISERROR(VLOOKUP(Base_Periodo1[[#This Row],[CONTA]],BaseContasDRE[#All],4,FALSE)),"Fora do DRE",VLOOKUP(Base_Periodo1[[#This Row],[CONTA]],BaseContasDRE[#All],4,FALSE))</f>
        <v>Fora do DRE</v>
      </c>
      <c r="T1803" s="3" t="str">
        <f>IF(ISERROR(VLOOKUP(Base_Periodo1[[#This Row],[CONTA]],BaseContasDRE[#All],5,FALSE)),"Fora do DRE",VLOOKUP(Base_Periodo1[[#This Row],[CONTA]],BaseContasDRE[#All],6,FALSE))</f>
        <v>Fora do DRE</v>
      </c>
      <c r="U1803" s="3" t="str">
        <f>IF(ISERROR(VLOOKUP(Base_Periodo1[[#This Row],[CONTA]],BaseContasDRE[#All],7,FALSE)),"Fora do DRE",VLOOKUP(Base_Periodo1[[#This Row],[CONTA]],BaseContasDRE[#All],7,FALSE))</f>
        <v>Fora do DRE</v>
      </c>
      <c r="V1803" s="3" t="str">
        <f>IF(Base_Periodo1[[#This Row],[Tipo_Linha]]="Fora do DRE","Fora do DRE","( "&amp;Base_Periodo1[[#This Row],[Tipo_Linha]]&amp;" ) "&amp;Base_Periodo1[[#This Row],[Filtro]])</f>
        <v>Fora do DRE</v>
      </c>
      <c r="W1803" s="3" t="str">
        <f>LEFT(Base_Periodo1[[#This Row],[CLASS]],3)</f>
        <v>1.1</v>
      </c>
    </row>
    <row r="1804" spans="1:23" hidden="1">
      <c r="A1804" s="3" t="str">
        <f t="shared" si="28"/>
        <v>Período 1</v>
      </c>
      <c r="B1804">
        <v>1095</v>
      </c>
      <c r="C1804" t="s">
        <v>5926</v>
      </c>
      <c r="D1804" t="s">
        <v>1171</v>
      </c>
      <c r="E1804" s="3" t="str">
        <f>IF(LEN(Base_Periodo1[[#This Row],[CLASS]])&gt;=7,LEFT(Base_Periodo1[[#This Row],[CLASS]],7),"")</f>
        <v>1.1.3.1</v>
      </c>
      <c r="F1804" s="3" t="str">
        <f>VLOOKUP(Base_Periodo1[[#This Row],[Aux]],Base_Contas_Balanco[#All],2,FALSE)</f>
        <v>Estoques Proprios</v>
      </c>
      <c r="G1804" s="1"/>
      <c r="H1804" s="225">
        <v>1080.0000000000018</v>
      </c>
      <c r="I1804" s="225">
        <v>0</v>
      </c>
      <c r="J1804" s="225">
        <v>0</v>
      </c>
      <c r="K1804" s="225">
        <v>1080.0000000000018</v>
      </c>
      <c r="L18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-1080</v>
      </c>
      <c r="M1804" s="225">
        <f>ROUND(IF(AND(Base_Periodo1[[#This Row],[Tipo_Linha]]="-",Base_Periodo1[[#This Row],[TIPOSALDO]]="D"),Base_Periodo1[[#This Row],[SALDO_ATUAL]]*-1,Base_Periodo1[[#This Row],[SALDO_ATUAL]]),4)</f>
        <v>1080</v>
      </c>
      <c r="N1804" t="s">
        <v>396</v>
      </c>
      <c r="O1804" t="s">
        <v>459</v>
      </c>
      <c r="P1804" t="s">
        <v>459</v>
      </c>
      <c r="Q1804">
        <v>8</v>
      </c>
      <c r="R1804" s="225">
        <f>Base_Periodo1[[#This Row],[CREDITOS]]-Base_Periodo1[[#This Row],[DEBITOS]]</f>
        <v>0</v>
      </c>
      <c r="S1804" s="3" t="str">
        <f>IF(ISERROR(VLOOKUP(Base_Periodo1[[#This Row],[CONTA]],BaseContasDRE[#All],4,FALSE)),"Fora do DRE",VLOOKUP(Base_Periodo1[[#This Row],[CONTA]],BaseContasDRE[#All],4,FALSE))</f>
        <v>Fora do DRE</v>
      </c>
      <c r="T1804" s="3" t="str">
        <f>IF(ISERROR(VLOOKUP(Base_Periodo1[[#This Row],[CONTA]],BaseContasDRE[#All],5,FALSE)),"Fora do DRE",VLOOKUP(Base_Periodo1[[#This Row],[CONTA]],BaseContasDRE[#All],6,FALSE))</f>
        <v>Fora do DRE</v>
      </c>
      <c r="U1804" s="3" t="str">
        <f>IF(ISERROR(VLOOKUP(Base_Periodo1[[#This Row],[CONTA]],BaseContasDRE[#All],7,FALSE)),"Fora do DRE",VLOOKUP(Base_Periodo1[[#This Row],[CONTA]],BaseContasDRE[#All],7,FALSE))</f>
        <v>Fora do DRE</v>
      </c>
      <c r="V1804" s="3" t="str">
        <f>IF(Base_Periodo1[[#This Row],[Tipo_Linha]]="Fora do DRE","Fora do DRE","( "&amp;Base_Periodo1[[#This Row],[Tipo_Linha]]&amp;" ) "&amp;Base_Periodo1[[#This Row],[Filtro]])</f>
        <v>Fora do DRE</v>
      </c>
      <c r="W1804" s="3" t="str">
        <f>LEFT(Base_Periodo1[[#This Row],[CLASS]],3)</f>
        <v>1.1</v>
      </c>
    </row>
    <row r="1805" spans="1:23" hidden="1">
      <c r="A1805" s="3" t="str">
        <f t="shared" si="28"/>
        <v>Período 1</v>
      </c>
      <c r="B1805">
        <v>1096</v>
      </c>
      <c r="C1805" t="s">
        <v>5927</v>
      </c>
      <c r="D1805" t="s">
        <v>1173</v>
      </c>
      <c r="E1805" s="3" t="str">
        <f>IF(LEN(Base_Periodo1[[#This Row],[CLASS]])&gt;=7,LEFT(Base_Periodo1[[#This Row],[CLASS]],7),"")</f>
        <v>1.1.3.1</v>
      </c>
      <c r="F1805" s="3" t="str">
        <f>VLOOKUP(Base_Periodo1[[#This Row],[Aux]],Base_Contas_Balanco[#All],2,FALSE)</f>
        <v>Estoques Proprios</v>
      </c>
      <c r="G1805" s="1">
        <v>42776</v>
      </c>
      <c r="H1805" s="225">
        <v>1080.0000000000018</v>
      </c>
      <c r="I1805" s="225">
        <v>0</v>
      </c>
      <c r="J1805" s="225">
        <v>0</v>
      </c>
      <c r="K1805" s="225">
        <v>1080.0000000000018</v>
      </c>
      <c r="L18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-1080</v>
      </c>
      <c r="M1805" s="225">
        <f>ROUND(IF(AND(Base_Periodo1[[#This Row],[Tipo_Linha]]="-",Base_Periodo1[[#This Row],[TIPOSALDO]]="D"),Base_Periodo1[[#This Row],[SALDO_ATUAL]]*-1,Base_Periodo1[[#This Row],[SALDO_ATUAL]]),4)</f>
        <v>1080</v>
      </c>
      <c r="N1805" t="s">
        <v>116</v>
      </c>
      <c r="O1805" t="s">
        <v>459</v>
      </c>
      <c r="P1805" t="s">
        <v>459</v>
      </c>
      <c r="Q1805">
        <v>9</v>
      </c>
      <c r="R1805" s="225">
        <f>Base_Periodo1[[#This Row],[CREDITOS]]-Base_Periodo1[[#This Row],[DEBITOS]]</f>
        <v>0</v>
      </c>
      <c r="S1805" s="3" t="str">
        <f>IF(ISERROR(VLOOKUP(Base_Periodo1[[#This Row],[CONTA]],BaseContasDRE[#All],4,FALSE)),"Fora do DRE",VLOOKUP(Base_Periodo1[[#This Row],[CONTA]],BaseContasDRE[#All],4,FALSE))</f>
        <v>Fora do DRE</v>
      </c>
      <c r="T1805" s="3" t="str">
        <f>IF(ISERROR(VLOOKUP(Base_Periodo1[[#This Row],[CONTA]],BaseContasDRE[#All],5,FALSE)),"Fora do DRE",VLOOKUP(Base_Periodo1[[#This Row],[CONTA]],BaseContasDRE[#All],6,FALSE))</f>
        <v>Fora do DRE</v>
      </c>
      <c r="U1805" s="3" t="str">
        <f>IF(ISERROR(VLOOKUP(Base_Periodo1[[#This Row],[CONTA]],BaseContasDRE[#All],7,FALSE)),"Fora do DRE",VLOOKUP(Base_Periodo1[[#This Row],[CONTA]],BaseContasDRE[#All],7,FALSE))</f>
        <v>Fora do DRE</v>
      </c>
      <c r="V1805" s="3" t="str">
        <f>IF(Base_Periodo1[[#This Row],[Tipo_Linha]]="Fora do DRE","Fora do DRE","( "&amp;Base_Periodo1[[#This Row],[Tipo_Linha]]&amp;" ) "&amp;Base_Periodo1[[#This Row],[Filtro]])</f>
        <v>Fora do DRE</v>
      </c>
      <c r="W1805" s="3" t="str">
        <f>LEFT(Base_Periodo1[[#This Row],[CLASS]],3)</f>
        <v>1.1</v>
      </c>
    </row>
    <row r="1806" spans="1:23" hidden="1">
      <c r="A1806" s="3" t="str">
        <f t="shared" si="28"/>
        <v>Período 1</v>
      </c>
      <c r="B1806">
        <v>32298</v>
      </c>
      <c r="C1806" t="s">
        <v>1427</v>
      </c>
      <c r="D1806" t="s">
        <v>1428</v>
      </c>
      <c r="E1806" s="3" t="str">
        <f>IF(LEN(Base_Periodo1[[#This Row],[CLASS]])&gt;=7,LEFT(Base_Periodo1[[#This Row],[CLASS]],7),"")</f>
        <v>1.1.3.1</v>
      </c>
      <c r="F1806" s="3" t="str">
        <f>VLOOKUP(Base_Periodo1[[#This Row],[Aux]],Base_Contas_Balanco[#All],2,FALSE)</f>
        <v>Estoques Proprios</v>
      </c>
      <c r="G1806" s="1"/>
      <c r="H1806" s="225">
        <v>34559.80000000001</v>
      </c>
      <c r="I1806" s="225">
        <v>7969.5</v>
      </c>
      <c r="J1806" s="225">
        <v>24085.599999999999</v>
      </c>
      <c r="K1806" s="225">
        <v>18443.700000000012</v>
      </c>
      <c r="L18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18443.7</v>
      </c>
      <c r="M1806" s="225">
        <f>ROUND(IF(AND(Base_Periodo1[[#This Row],[Tipo_Linha]]="-",Base_Periodo1[[#This Row],[TIPOSALDO]]="D"),Base_Periodo1[[#This Row],[SALDO_ATUAL]]*-1,Base_Periodo1[[#This Row],[SALDO_ATUAL]]),4)</f>
        <v>18443.7</v>
      </c>
      <c r="N1806" t="s">
        <v>396</v>
      </c>
      <c r="O1806" t="s">
        <v>397</v>
      </c>
      <c r="P1806" t="s">
        <v>397</v>
      </c>
      <c r="Q1806">
        <v>7</v>
      </c>
      <c r="R1806" s="225">
        <f>Base_Periodo1[[#This Row],[CREDITOS]]-Base_Periodo1[[#This Row],[DEBITOS]]</f>
        <v>16116.099999999999</v>
      </c>
      <c r="S1806" s="3" t="str">
        <f>IF(ISERROR(VLOOKUP(Base_Periodo1[[#This Row],[CONTA]],BaseContasDRE[#All],4,FALSE)),"Fora do DRE",VLOOKUP(Base_Periodo1[[#This Row],[CONTA]],BaseContasDRE[#All],4,FALSE))</f>
        <v>Fora do DRE</v>
      </c>
      <c r="T1806" s="3" t="str">
        <f>IF(ISERROR(VLOOKUP(Base_Periodo1[[#This Row],[CONTA]],BaseContasDRE[#All],5,FALSE)),"Fora do DRE",VLOOKUP(Base_Periodo1[[#This Row],[CONTA]],BaseContasDRE[#All],6,FALSE))</f>
        <v>Fora do DRE</v>
      </c>
      <c r="U1806" s="3" t="str">
        <f>IF(ISERROR(VLOOKUP(Base_Periodo1[[#This Row],[CONTA]],BaseContasDRE[#All],7,FALSE)),"Fora do DRE",VLOOKUP(Base_Periodo1[[#This Row],[CONTA]],BaseContasDRE[#All],7,FALSE))</f>
        <v>Fora do DRE</v>
      </c>
      <c r="V1806" s="3" t="str">
        <f>IF(Base_Periodo1[[#This Row],[Tipo_Linha]]="Fora do DRE","Fora do DRE","( "&amp;Base_Periodo1[[#This Row],[Tipo_Linha]]&amp;" ) "&amp;Base_Periodo1[[#This Row],[Filtro]])</f>
        <v>Fora do DRE</v>
      </c>
      <c r="W1806" s="3" t="str">
        <f>LEFT(Base_Periodo1[[#This Row],[CLASS]],3)</f>
        <v>1.1</v>
      </c>
    </row>
    <row r="1807" spans="1:23" hidden="1">
      <c r="A1807" s="3" t="str">
        <f t="shared" si="28"/>
        <v>Período 1</v>
      </c>
      <c r="B1807">
        <v>32299</v>
      </c>
      <c r="C1807" t="s">
        <v>5928</v>
      </c>
      <c r="D1807" t="s">
        <v>1054</v>
      </c>
      <c r="E1807" s="3" t="str">
        <f>IF(LEN(Base_Periodo1[[#This Row],[CLASS]])&gt;=7,LEFT(Base_Periodo1[[#This Row],[CLASS]],7),"")</f>
        <v>1.1.3.1</v>
      </c>
      <c r="F1807" s="3" t="str">
        <f>VLOOKUP(Base_Periodo1[[#This Row],[Aux]],Base_Contas_Balanco[#All],2,FALSE)</f>
        <v>Estoques Proprios</v>
      </c>
      <c r="G1807" s="1"/>
      <c r="H1807" s="225">
        <v>1.0000000002037268E-2</v>
      </c>
      <c r="I1807" s="225">
        <v>0</v>
      </c>
      <c r="J1807" s="225">
        <v>0</v>
      </c>
      <c r="K1807" s="225">
        <v>1.0000000002037268E-2</v>
      </c>
      <c r="L18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-0.01</v>
      </c>
      <c r="M1807" s="225">
        <f>ROUND(IF(AND(Base_Periodo1[[#This Row],[Tipo_Linha]]="-",Base_Periodo1[[#This Row],[TIPOSALDO]]="D"),Base_Periodo1[[#This Row],[SALDO_ATUAL]]*-1,Base_Periodo1[[#This Row],[SALDO_ATUAL]]),4)</f>
        <v>0.01</v>
      </c>
      <c r="N1807" t="s">
        <v>396</v>
      </c>
      <c r="O1807" t="s">
        <v>459</v>
      </c>
      <c r="P1807" t="s">
        <v>459</v>
      </c>
      <c r="Q1807">
        <v>8</v>
      </c>
      <c r="R1807" s="225">
        <f>Base_Periodo1[[#This Row],[CREDITOS]]-Base_Periodo1[[#This Row],[DEBITOS]]</f>
        <v>0</v>
      </c>
      <c r="S1807" s="3" t="str">
        <f>IF(ISERROR(VLOOKUP(Base_Periodo1[[#This Row],[CONTA]],BaseContasDRE[#All],4,FALSE)),"Fora do DRE",VLOOKUP(Base_Periodo1[[#This Row],[CONTA]],BaseContasDRE[#All],4,FALSE))</f>
        <v>Fora do DRE</v>
      </c>
      <c r="T1807" s="3" t="str">
        <f>IF(ISERROR(VLOOKUP(Base_Periodo1[[#This Row],[CONTA]],BaseContasDRE[#All],5,FALSE)),"Fora do DRE",VLOOKUP(Base_Periodo1[[#This Row],[CONTA]],BaseContasDRE[#All],6,FALSE))</f>
        <v>Fora do DRE</v>
      </c>
      <c r="U1807" s="3" t="str">
        <f>IF(ISERROR(VLOOKUP(Base_Periodo1[[#This Row],[CONTA]],BaseContasDRE[#All],7,FALSE)),"Fora do DRE",VLOOKUP(Base_Periodo1[[#This Row],[CONTA]],BaseContasDRE[#All],7,FALSE))</f>
        <v>Fora do DRE</v>
      </c>
      <c r="V1807" s="3" t="str">
        <f>IF(Base_Periodo1[[#This Row],[Tipo_Linha]]="Fora do DRE","Fora do DRE","( "&amp;Base_Periodo1[[#This Row],[Tipo_Linha]]&amp;" ) "&amp;Base_Periodo1[[#This Row],[Filtro]])</f>
        <v>Fora do DRE</v>
      </c>
      <c r="W1807" s="3" t="str">
        <f>LEFT(Base_Periodo1[[#This Row],[CLASS]],3)</f>
        <v>1.1</v>
      </c>
    </row>
    <row r="1808" spans="1:23" hidden="1">
      <c r="A1808" s="3" t="str">
        <f t="shared" si="28"/>
        <v>Período 1</v>
      </c>
      <c r="B1808">
        <v>32300</v>
      </c>
      <c r="C1808" t="s">
        <v>5929</v>
      </c>
      <c r="D1808" t="s">
        <v>1054</v>
      </c>
      <c r="E1808" s="3" t="str">
        <f>IF(LEN(Base_Periodo1[[#This Row],[CLASS]])&gt;=7,LEFT(Base_Periodo1[[#This Row],[CLASS]],7),"")</f>
        <v>1.1.3.1</v>
      </c>
      <c r="F1808" s="3" t="str">
        <f>VLOOKUP(Base_Periodo1[[#This Row],[Aux]],Base_Contas_Balanco[#All],2,FALSE)</f>
        <v>Estoques Proprios</v>
      </c>
      <c r="G1808" s="1">
        <v>42735</v>
      </c>
      <c r="H1808" s="225">
        <v>1.0000000002037268E-2</v>
      </c>
      <c r="I1808" s="225">
        <v>0</v>
      </c>
      <c r="J1808" s="225">
        <v>0</v>
      </c>
      <c r="K1808" s="225">
        <v>1.0000000002037268E-2</v>
      </c>
      <c r="L18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-0.01</v>
      </c>
      <c r="M1808" s="225">
        <f>ROUND(IF(AND(Base_Periodo1[[#This Row],[Tipo_Linha]]="-",Base_Periodo1[[#This Row],[TIPOSALDO]]="D"),Base_Periodo1[[#This Row],[SALDO_ATUAL]]*-1,Base_Periodo1[[#This Row],[SALDO_ATUAL]]),4)</f>
        <v>0.01</v>
      </c>
      <c r="N1808" t="s">
        <v>116</v>
      </c>
      <c r="O1808" t="s">
        <v>459</v>
      </c>
      <c r="P1808" t="s">
        <v>459</v>
      </c>
      <c r="Q1808">
        <v>9</v>
      </c>
      <c r="R1808" s="225">
        <f>Base_Periodo1[[#This Row],[CREDITOS]]-Base_Periodo1[[#This Row],[DEBITOS]]</f>
        <v>0</v>
      </c>
      <c r="S1808" s="3" t="str">
        <f>IF(ISERROR(VLOOKUP(Base_Periodo1[[#This Row],[CONTA]],BaseContasDRE[#All],4,FALSE)),"Fora do DRE",VLOOKUP(Base_Periodo1[[#This Row],[CONTA]],BaseContasDRE[#All],4,FALSE))</f>
        <v>Fora do DRE</v>
      </c>
      <c r="T1808" s="3" t="str">
        <f>IF(ISERROR(VLOOKUP(Base_Periodo1[[#This Row],[CONTA]],BaseContasDRE[#All],5,FALSE)),"Fora do DRE",VLOOKUP(Base_Periodo1[[#This Row],[CONTA]],BaseContasDRE[#All],6,FALSE))</f>
        <v>Fora do DRE</v>
      </c>
      <c r="U1808" s="3" t="str">
        <f>IF(ISERROR(VLOOKUP(Base_Periodo1[[#This Row],[CONTA]],BaseContasDRE[#All],7,FALSE)),"Fora do DRE",VLOOKUP(Base_Periodo1[[#This Row],[CONTA]],BaseContasDRE[#All],7,FALSE))</f>
        <v>Fora do DRE</v>
      </c>
      <c r="V1808" s="3" t="str">
        <f>IF(Base_Periodo1[[#This Row],[Tipo_Linha]]="Fora do DRE","Fora do DRE","( "&amp;Base_Periodo1[[#This Row],[Tipo_Linha]]&amp;" ) "&amp;Base_Periodo1[[#This Row],[Filtro]])</f>
        <v>Fora do DRE</v>
      </c>
      <c r="W1808" s="3" t="str">
        <f>LEFT(Base_Periodo1[[#This Row],[CLASS]],3)</f>
        <v>1.1</v>
      </c>
    </row>
    <row r="1809" spans="1:23" hidden="1">
      <c r="A1809" s="3" t="str">
        <f t="shared" si="28"/>
        <v>Período 1</v>
      </c>
      <c r="B1809">
        <v>32301</v>
      </c>
      <c r="C1809" t="s">
        <v>1429</v>
      </c>
      <c r="D1809" t="s">
        <v>1112</v>
      </c>
      <c r="E1809" s="3" t="str">
        <f>IF(LEN(Base_Periodo1[[#This Row],[CLASS]])&gt;=7,LEFT(Base_Periodo1[[#This Row],[CLASS]],7),"")</f>
        <v>1.1.3.1</v>
      </c>
      <c r="F1809" s="3" t="str">
        <f>VLOOKUP(Base_Periodo1[[#This Row],[Aux]],Base_Contas_Balanco[#All],2,FALSE)</f>
        <v>Estoques Proprios</v>
      </c>
      <c r="G1809" s="1"/>
      <c r="H1809" s="225">
        <v>42543.880000000005</v>
      </c>
      <c r="I1809" s="225">
        <v>0</v>
      </c>
      <c r="J1809" s="225">
        <v>0</v>
      </c>
      <c r="K1809" s="225">
        <v>42543.880000000005</v>
      </c>
      <c r="L18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42543.88</v>
      </c>
      <c r="M1809" s="225">
        <f>ROUND(IF(AND(Base_Periodo1[[#This Row],[Tipo_Linha]]="-",Base_Periodo1[[#This Row],[TIPOSALDO]]="D"),Base_Periodo1[[#This Row],[SALDO_ATUAL]]*-1,Base_Periodo1[[#This Row],[SALDO_ATUAL]]),4)</f>
        <v>42543.88</v>
      </c>
      <c r="N1809" t="s">
        <v>396</v>
      </c>
      <c r="O1809" t="s">
        <v>397</v>
      </c>
      <c r="P1809" t="s">
        <v>397</v>
      </c>
      <c r="Q1809">
        <v>8</v>
      </c>
      <c r="R1809" s="225">
        <f>Base_Periodo1[[#This Row],[CREDITOS]]-Base_Periodo1[[#This Row],[DEBITOS]]</f>
        <v>0</v>
      </c>
      <c r="S1809" s="3" t="str">
        <f>IF(ISERROR(VLOOKUP(Base_Periodo1[[#This Row],[CONTA]],BaseContasDRE[#All],4,FALSE)),"Fora do DRE",VLOOKUP(Base_Periodo1[[#This Row],[CONTA]],BaseContasDRE[#All],4,FALSE))</f>
        <v>Fora do DRE</v>
      </c>
      <c r="T1809" s="3" t="str">
        <f>IF(ISERROR(VLOOKUP(Base_Periodo1[[#This Row],[CONTA]],BaseContasDRE[#All],5,FALSE)),"Fora do DRE",VLOOKUP(Base_Periodo1[[#This Row],[CONTA]],BaseContasDRE[#All],6,FALSE))</f>
        <v>Fora do DRE</v>
      </c>
      <c r="U1809" s="3" t="str">
        <f>IF(ISERROR(VLOOKUP(Base_Periodo1[[#This Row],[CONTA]],BaseContasDRE[#All],7,FALSE)),"Fora do DRE",VLOOKUP(Base_Periodo1[[#This Row],[CONTA]],BaseContasDRE[#All],7,FALSE))</f>
        <v>Fora do DRE</v>
      </c>
      <c r="V1809" s="3" t="str">
        <f>IF(Base_Periodo1[[#This Row],[Tipo_Linha]]="Fora do DRE","Fora do DRE","( "&amp;Base_Periodo1[[#This Row],[Tipo_Linha]]&amp;" ) "&amp;Base_Periodo1[[#This Row],[Filtro]])</f>
        <v>Fora do DRE</v>
      </c>
      <c r="W1809" s="3" t="str">
        <f>LEFT(Base_Periodo1[[#This Row],[CLASS]],3)</f>
        <v>1.1</v>
      </c>
    </row>
    <row r="1810" spans="1:23" hidden="1">
      <c r="A1810" s="3" t="str">
        <f t="shared" si="28"/>
        <v>Período 1</v>
      </c>
      <c r="B1810">
        <v>32302</v>
      </c>
      <c r="C1810" t="s">
        <v>1430</v>
      </c>
      <c r="D1810" t="s">
        <v>1431</v>
      </c>
      <c r="E1810" s="3" t="str">
        <f>IF(LEN(Base_Periodo1[[#This Row],[CLASS]])&gt;=7,LEFT(Base_Periodo1[[#This Row],[CLASS]],7),"")</f>
        <v>1.1.3.1</v>
      </c>
      <c r="F1810" s="3" t="str">
        <f>VLOOKUP(Base_Periodo1[[#This Row],[Aux]],Base_Contas_Balanco[#All],2,FALSE)</f>
        <v>Estoques Proprios</v>
      </c>
      <c r="G1810" s="1">
        <v>42794</v>
      </c>
      <c r="H1810" s="225">
        <v>42543.880000000005</v>
      </c>
      <c r="I1810" s="225">
        <v>0</v>
      </c>
      <c r="J1810" s="225">
        <v>0</v>
      </c>
      <c r="K1810" s="225">
        <v>42543.880000000005</v>
      </c>
      <c r="L18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42543.88</v>
      </c>
      <c r="M1810" s="225">
        <f>ROUND(IF(AND(Base_Periodo1[[#This Row],[Tipo_Linha]]="-",Base_Periodo1[[#This Row],[TIPOSALDO]]="D"),Base_Periodo1[[#This Row],[SALDO_ATUAL]]*-1,Base_Periodo1[[#This Row],[SALDO_ATUAL]]),4)</f>
        <v>42543.88</v>
      </c>
      <c r="N1810" t="s">
        <v>116</v>
      </c>
      <c r="O1810" t="s">
        <v>397</v>
      </c>
      <c r="P1810" t="s">
        <v>397</v>
      </c>
      <c r="Q1810">
        <v>9</v>
      </c>
      <c r="R1810" s="225">
        <f>Base_Periodo1[[#This Row],[CREDITOS]]-Base_Periodo1[[#This Row],[DEBITOS]]</f>
        <v>0</v>
      </c>
      <c r="S1810" s="3" t="str">
        <f>IF(ISERROR(VLOOKUP(Base_Periodo1[[#This Row],[CONTA]],BaseContasDRE[#All],4,FALSE)),"Fora do DRE",VLOOKUP(Base_Periodo1[[#This Row],[CONTA]],BaseContasDRE[#All],4,FALSE))</f>
        <v>Fora do DRE</v>
      </c>
      <c r="T1810" s="3" t="str">
        <f>IF(ISERROR(VLOOKUP(Base_Periodo1[[#This Row],[CONTA]],BaseContasDRE[#All],5,FALSE)),"Fora do DRE",VLOOKUP(Base_Periodo1[[#This Row],[CONTA]],BaseContasDRE[#All],6,FALSE))</f>
        <v>Fora do DRE</v>
      </c>
      <c r="U1810" s="3" t="str">
        <f>IF(ISERROR(VLOOKUP(Base_Periodo1[[#This Row],[CONTA]],BaseContasDRE[#All],7,FALSE)),"Fora do DRE",VLOOKUP(Base_Periodo1[[#This Row],[CONTA]],BaseContasDRE[#All],7,FALSE))</f>
        <v>Fora do DRE</v>
      </c>
      <c r="V1810" s="3" t="str">
        <f>IF(Base_Periodo1[[#This Row],[Tipo_Linha]]="Fora do DRE","Fora do DRE","( "&amp;Base_Periodo1[[#This Row],[Tipo_Linha]]&amp;" ) "&amp;Base_Periodo1[[#This Row],[Filtro]])</f>
        <v>Fora do DRE</v>
      </c>
      <c r="W1810" s="3" t="str">
        <f>LEFT(Base_Periodo1[[#This Row],[CLASS]],3)</f>
        <v>1.1</v>
      </c>
    </row>
    <row r="1811" spans="1:23" hidden="1">
      <c r="A1811" s="3" t="str">
        <f t="shared" si="28"/>
        <v>Período 1</v>
      </c>
      <c r="B1811">
        <v>32305</v>
      </c>
      <c r="C1811" t="s">
        <v>1432</v>
      </c>
      <c r="D1811" t="s">
        <v>1067</v>
      </c>
      <c r="E1811" s="3" t="str">
        <f>IF(LEN(Base_Periodo1[[#This Row],[CLASS]])&gt;=7,LEFT(Base_Periodo1[[#This Row],[CLASS]],7),"")</f>
        <v>1.1.3.1</v>
      </c>
      <c r="F1811" s="3" t="str">
        <f>VLOOKUP(Base_Periodo1[[#This Row],[Aux]],Base_Contas_Balanco[#All],2,FALSE)</f>
        <v>Estoques Proprios</v>
      </c>
      <c r="G1811" s="1"/>
      <c r="H1811" s="225">
        <v>7882.8699999999953</v>
      </c>
      <c r="I1811" s="225">
        <v>0</v>
      </c>
      <c r="J1811" s="225">
        <v>14952.3</v>
      </c>
      <c r="K1811" s="225">
        <v>22835.169999999995</v>
      </c>
      <c r="L18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-22835.17</v>
      </c>
      <c r="M1811" s="225">
        <f>ROUND(IF(AND(Base_Periodo1[[#This Row],[Tipo_Linha]]="-",Base_Periodo1[[#This Row],[TIPOSALDO]]="D"),Base_Periodo1[[#This Row],[SALDO_ATUAL]]*-1,Base_Periodo1[[#This Row],[SALDO_ATUAL]]),4)</f>
        <v>22835.17</v>
      </c>
      <c r="N1811" t="s">
        <v>396</v>
      </c>
      <c r="O1811" t="s">
        <v>459</v>
      </c>
      <c r="P1811" t="s">
        <v>459</v>
      </c>
      <c r="Q1811">
        <v>8</v>
      </c>
      <c r="R1811" s="225">
        <f>Base_Periodo1[[#This Row],[CREDITOS]]-Base_Periodo1[[#This Row],[DEBITOS]]</f>
        <v>14952.3</v>
      </c>
      <c r="S1811" s="3" t="str">
        <f>IF(ISERROR(VLOOKUP(Base_Periodo1[[#This Row],[CONTA]],BaseContasDRE[#All],4,FALSE)),"Fora do DRE",VLOOKUP(Base_Periodo1[[#This Row],[CONTA]],BaseContasDRE[#All],4,FALSE))</f>
        <v>Fora do DRE</v>
      </c>
      <c r="T1811" s="3" t="str">
        <f>IF(ISERROR(VLOOKUP(Base_Periodo1[[#This Row],[CONTA]],BaseContasDRE[#All],5,FALSE)),"Fora do DRE",VLOOKUP(Base_Periodo1[[#This Row],[CONTA]],BaseContasDRE[#All],6,FALSE))</f>
        <v>Fora do DRE</v>
      </c>
      <c r="U1811" s="3" t="str">
        <f>IF(ISERROR(VLOOKUP(Base_Periodo1[[#This Row],[CONTA]],BaseContasDRE[#All],7,FALSE)),"Fora do DRE",VLOOKUP(Base_Periodo1[[#This Row],[CONTA]],BaseContasDRE[#All],7,FALSE))</f>
        <v>Fora do DRE</v>
      </c>
      <c r="V1811" s="3" t="str">
        <f>IF(Base_Periodo1[[#This Row],[Tipo_Linha]]="Fora do DRE","Fora do DRE","( "&amp;Base_Periodo1[[#This Row],[Tipo_Linha]]&amp;" ) "&amp;Base_Periodo1[[#This Row],[Filtro]])</f>
        <v>Fora do DRE</v>
      </c>
      <c r="W1811" s="3" t="str">
        <f>LEFT(Base_Periodo1[[#This Row],[CLASS]],3)</f>
        <v>1.1</v>
      </c>
    </row>
    <row r="1812" spans="1:23" hidden="1">
      <c r="A1812" s="3" t="str">
        <f t="shared" si="28"/>
        <v>Período 1</v>
      </c>
      <c r="B1812">
        <v>32306</v>
      </c>
      <c r="C1812" t="s">
        <v>1433</v>
      </c>
      <c r="D1812" t="s">
        <v>1068</v>
      </c>
      <c r="E1812" s="3" t="str">
        <f>IF(LEN(Base_Periodo1[[#This Row],[CLASS]])&gt;=7,LEFT(Base_Periodo1[[#This Row],[CLASS]],7),"")</f>
        <v>1.1.3.1</v>
      </c>
      <c r="F1812" s="3" t="str">
        <f>VLOOKUP(Base_Periodo1[[#This Row],[Aux]],Base_Contas_Balanco[#All],2,FALSE)</f>
        <v>Estoques Proprios</v>
      </c>
      <c r="G1812" s="1">
        <v>42886</v>
      </c>
      <c r="H1812" s="225">
        <v>7882.8699999999953</v>
      </c>
      <c r="I1812" s="225">
        <v>0</v>
      </c>
      <c r="J1812" s="225">
        <v>14952.3</v>
      </c>
      <c r="K1812" s="225">
        <v>22835.169999999995</v>
      </c>
      <c r="L18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-22835.17</v>
      </c>
      <c r="M1812" s="225">
        <f>ROUND(IF(AND(Base_Periodo1[[#This Row],[Tipo_Linha]]="-",Base_Periodo1[[#This Row],[TIPOSALDO]]="D"),Base_Periodo1[[#This Row],[SALDO_ATUAL]]*-1,Base_Periodo1[[#This Row],[SALDO_ATUAL]]),4)</f>
        <v>22835.17</v>
      </c>
      <c r="N1812" t="s">
        <v>116</v>
      </c>
      <c r="O1812" t="s">
        <v>459</v>
      </c>
      <c r="P1812" t="s">
        <v>459</v>
      </c>
      <c r="Q1812">
        <v>9</v>
      </c>
      <c r="R1812" s="225">
        <f>Base_Periodo1[[#This Row],[CREDITOS]]-Base_Periodo1[[#This Row],[DEBITOS]]</f>
        <v>14952.3</v>
      </c>
      <c r="S1812" s="3" t="str">
        <f>IF(ISERROR(VLOOKUP(Base_Periodo1[[#This Row],[CONTA]],BaseContasDRE[#All],4,FALSE)),"Fora do DRE",VLOOKUP(Base_Periodo1[[#This Row],[CONTA]],BaseContasDRE[#All],4,FALSE))</f>
        <v>Fora do DRE</v>
      </c>
      <c r="T1812" s="3" t="str">
        <f>IF(ISERROR(VLOOKUP(Base_Periodo1[[#This Row],[CONTA]],BaseContasDRE[#All],5,FALSE)),"Fora do DRE",VLOOKUP(Base_Periodo1[[#This Row],[CONTA]],BaseContasDRE[#All],6,FALSE))</f>
        <v>Fora do DRE</v>
      </c>
      <c r="U1812" s="3" t="str">
        <f>IF(ISERROR(VLOOKUP(Base_Periodo1[[#This Row],[CONTA]],BaseContasDRE[#All],7,FALSE)),"Fora do DRE",VLOOKUP(Base_Periodo1[[#This Row],[CONTA]],BaseContasDRE[#All],7,FALSE))</f>
        <v>Fora do DRE</v>
      </c>
      <c r="V1812" s="3" t="str">
        <f>IF(Base_Periodo1[[#This Row],[Tipo_Linha]]="Fora do DRE","Fora do DRE","( "&amp;Base_Periodo1[[#This Row],[Tipo_Linha]]&amp;" ) "&amp;Base_Periodo1[[#This Row],[Filtro]])</f>
        <v>Fora do DRE</v>
      </c>
      <c r="W1812" s="3" t="str">
        <f>LEFT(Base_Periodo1[[#This Row],[CLASS]],3)</f>
        <v>1.1</v>
      </c>
    </row>
    <row r="1813" spans="1:23" hidden="1">
      <c r="A1813" s="3" t="str">
        <f t="shared" si="28"/>
        <v>Período 1</v>
      </c>
      <c r="B1813">
        <v>33424</v>
      </c>
      <c r="C1813" t="s">
        <v>1434</v>
      </c>
      <c r="D1813" t="s">
        <v>1435</v>
      </c>
      <c r="E1813" s="3" t="str">
        <f>IF(LEN(Base_Periodo1[[#This Row],[CLASS]])&gt;=7,LEFT(Base_Periodo1[[#This Row],[CLASS]],7),"")</f>
        <v>1.1.3.1</v>
      </c>
      <c r="F1813" s="3" t="str">
        <f>VLOOKUP(Base_Periodo1[[#This Row],[Aux]],Base_Contas_Balanco[#All],2,FALSE)</f>
        <v>Estoques Proprios</v>
      </c>
      <c r="G1813" s="1"/>
      <c r="H1813" s="225">
        <v>19057</v>
      </c>
      <c r="I1813" s="225">
        <v>7969.5</v>
      </c>
      <c r="J1813" s="225">
        <v>0</v>
      </c>
      <c r="K1813" s="225">
        <v>27026.5</v>
      </c>
      <c r="L18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27026.5</v>
      </c>
      <c r="M1813" s="225">
        <f>ROUND(IF(AND(Base_Periodo1[[#This Row],[Tipo_Linha]]="-",Base_Periodo1[[#This Row],[TIPOSALDO]]="D"),Base_Periodo1[[#This Row],[SALDO_ATUAL]]*-1,Base_Periodo1[[#This Row],[SALDO_ATUAL]]),4)</f>
        <v>27026.5</v>
      </c>
      <c r="N1813" t="s">
        <v>396</v>
      </c>
      <c r="O1813" t="s">
        <v>397</v>
      </c>
      <c r="P1813" t="s">
        <v>397</v>
      </c>
      <c r="Q1813">
        <v>8</v>
      </c>
      <c r="R1813" s="225">
        <f>Base_Periodo1[[#This Row],[CREDITOS]]-Base_Periodo1[[#This Row],[DEBITOS]]</f>
        <v>-7969.5</v>
      </c>
      <c r="S1813" s="3" t="str">
        <f>IF(ISERROR(VLOOKUP(Base_Periodo1[[#This Row],[CONTA]],BaseContasDRE[#All],4,FALSE)),"Fora do DRE",VLOOKUP(Base_Periodo1[[#This Row],[CONTA]],BaseContasDRE[#All],4,FALSE))</f>
        <v>Fora do DRE</v>
      </c>
      <c r="T1813" s="3" t="str">
        <f>IF(ISERROR(VLOOKUP(Base_Periodo1[[#This Row],[CONTA]],BaseContasDRE[#All],5,FALSE)),"Fora do DRE",VLOOKUP(Base_Periodo1[[#This Row],[CONTA]],BaseContasDRE[#All],6,FALSE))</f>
        <v>Fora do DRE</v>
      </c>
      <c r="U1813" s="3" t="str">
        <f>IF(ISERROR(VLOOKUP(Base_Periodo1[[#This Row],[CONTA]],BaseContasDRE[#All],7,FALSE)),"Fora do DRE",VLOOKUP(Base_Periodo1[[#This Row],[CONTA]],BaseContasDRE[#All],7,FALSE))</f>
        <v>Fora do DRE</v>
      </c>
      <c r="V1813" s="3" t="str">
        <f>IF(Base_Periodo1[[#This Row],[Tipo_Linha]]="Fora do DRE","Fora do DRE","( "&amp;Base_Periodo1[[#This Row],[Tipo_Linha]]&amp;" ) "&amp;Base_Periodo1[[#This Row],[Filtro]])</f>
        <v>Fora do DRE</v>
      </c>
      <c r="W1813" s="3" t="str">
        <f>LEFT(Base_Periodo1[[#This Row],[CLASS]],3)</f>
        <v>1.1</v>
      </c>
    </row>
    <row r="1814" spans="1:23" hidden="1">
      <c r="A1814" s="3" t="str">
        <f t="shared" si="28"/>
        <v>Período 1</v>
      </c>
      <c r="B1814">
        <v>33425</v>
      </c>
      <c r="C1814" t="s">
        <v>1436</v>
      </c>
      <c r="D1814" t="s">
        <v>1437</v>
      </c>
      <c r="E1814" s="3" t="str">
        <f>IF(LEN(Base_Periodo1[[#This Row],[CLASS]])&gt;=7,LEFT(Base_Periodo1[[#This Row],[CLASS]],7),"")</f>
        <v>1.1.3.1</v>
      </c>
      <c r="F1814" s="3" t="str">
        <f>VLOOKUP(Base_Periodo1[[#This Row],[Aux]],Base_Contas_Balanco[#All],2,FALSE)</f>
        <v>Estoques Proprios</v>
      </c>
      <c r="G1814" s="1">
        <v>42885</v>
      </c>
      <c r="H1814" s="225">
        <v>19057</v>
      </c>
      <c r="I1814" s="225">
        <v>7969.5</v>
      </c>
      <c r="J1814" s="225">
        <v>0</v>
      </c>
      <c r="K1814" s="225">
        <v>27026.5</v>
      </c>
      <c r="L18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27026.5</v>
      </c>
      <c r="M1814" s="225">
        <f>ROUND(IF(AND(Base_Periodo1[[#This Row],[Tipo_Linha]]="-",Base_Periodo1[[#This Row],[TIPOSALDO]]="D"),Base_Periodo1[[#This Row],[SALDO_ATUAL]]*-1,Base_Periodo1[[#This Row],[SALDO_ATUAL]]),4)</f>
        <v>27026.5</v>
      </c>
      <c r="N1814" t="s">
        <v>116</v>
      </c>
      <c r="O1814" t="s">
        <v>397</v>
      </c>
      <c r="P1814" t="s">
        <v>397</v>
      </c>
      <c r="Q1814">
        <v>9</v>
      </c>
      <c r="R1814" s="225">
        <f>Base_Periodo1[[#This Row],[CREDITOS]]-Base_Periodo1[[#This Row],[DEBITOS]]</f>
        <v>-7969.5</v>
      </c>
      <c r="S1814" s="3" t="str">
        <f>IF(ISERROR(VLOOKUP(Base_Periodo1[[#This Row],[CONTA]],BaseContasDRE[#All],4,FALSE)),"Fora do DRE",VLOOKUP(Base_Periodo1[[#This Row],[CONTA]],BaseContasDRE[#All],4,FALSE))</f>
        <v>Fora do DRE</v>
      </c>
      <c r="T1814" s="3" t="str">
        <f>IF(ISERROR(VLOOKUP(Base_Periodo1[[#This Row],[CONTA]],BaseContasDRE[#All],5,FALSE)),"Fora do DRE",VLOOKUP(Base_Periodo1[[#This Row],[CONTA]],BaseContasDRE[#All],6,FALSE))</f>
        <v>Fora do DRE</v>
      </c>
      <c r="U1814" s="3" t="str">
        <f>IF(ISERROR(VLOOKUP(Base_Periodo1[[#This Row],[CONTA]],BaseContasDRE[#All],7,FALSE)),"Fora do DRE",VLOOKUP(Base_Periodo1[[#This Row],[CONTA]],BaseContasDRE[#All],7,FALSE))</f>
        <v>Fora do DRE</v>
      </c>
      <c r="V1814" s="3" t="str">
        <f>IF(Base_Periodo1[[#This Row],[Tipo_Linha]]="Fora do DRE","Fora do DRE","( "&amp;Base_Periodo1[[#This Row],[Tipo_Linha]]&amp;" ) "&amp;Base_Periodo1[[#This Row],[Filtro]])</f>
        <v>Fora do DRE</v>
      </c>
      <c r="W1814" s="3" t="str">
        <f>LEFT(Base_Periodo1[[#This Row],[CLASS]],3)</f>
        <v>1.1</v>
      </c>
    </row>
    <row r="1815" spans="1:23" hidden="1">
      <c r="A1815" s="3" t="str">
        <f t="shared" si="28"/>
        <v>Período 1</v>
      </c>
      <c r="B1815">
        <v>33426</v>
      </c>
      <c r="C1815" t="s">
        <v>1438</v>
      </c>
      <c r="D1815" t="s">
        <v>1439</v>
      </c>
      <c r="E1815" s="3" t="str">
        <f>IF(LEN(Base_Periodo1[[#This Row],[CLASS]])&gt;=7,LEFT(Base_Periodo1[[#This Row],[CLASS]],7),"")</f>
        <v>1.1.3.1</v>
      </c>
      <c r="F1815" s="3" t="str">
        <f>VLOOKUP(Base_Periodo1[[#This Row],[Aux]],Base_Contas_Balanco[#All],2,FALSE)</f>
        <v>Estoques Proprios</v>
      </c>
      <c r="G1815" s="1"/>
      <c r="H1815" s="225">
        <v>19057</v>
      </c>
      <c r="I1815" s="225">
        <v>0</v>
      </c>
      <c r="J1815" s="225">
        <v>8475.5</v>
      </c>
      <c r="K1815" s="225">
        <v>27532.5</v>
      </c>
      <c r="L18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-27532.5</v>
      </c>
      <c r="M1815" s="225">
        <f>ROUND(IF(AND(Base_Periodo1[[#This Row],[Tipo_Linha]]="-",Base_Periodo1[[#This Row],[TIPOSALDO]]="D"),Base_Periodo1[[#This Row],[SALDO_ATUAL]]*-1,Base_Periodo1[[#This Row],[SALDO_ATUAL]]),4)</f>
        <v>27532.5</v>
      </c>
      <c r="N1815" t="s">
        <v>396</v>
      </c>
      <c r="O1815" t="s">
        <v>459</v>
      </c>
      <c r="P1815" t="s">
        <v>459</v>
      </c>
      <c r="Q1815">
        <v>8</v>
      </c>
      <c r="R1815" s="225">
        <f>Base_Periodo1[[#This Row],[CREDITOS]]-Base_Periodo1[[#This Row],[DEBITOS]]</f>
        <v>8475.5</v>
      </c>
      <c r="S1815" s="3" t="str">
        <f>IF(ISERROR(VLOOKUP(Base_Periodo1[[#This Row],[CONTA]],BaseContasDRE[#All],4,FALSE)),"Fora do DRE",VLOOKUP(Base_Periodo1[[#This Row],[CONTA]],BaseContasDRE[#All],4,FALSE))</f>
        <v>Fora do DRE</v>
      </c>
      <c r="T1815" s="3" t="str">
        <f>IF(ISERROR(VLOOKUP(Base_Periodo1[[#This Row],[CONTA]],BaseContasDRE[#All],5,FALSE)),"Fora do DRE",VLOOKUP(Base_Periodo1[[#This Row],[CONTA]],BaseContasDRE[#All],6,FALSE))</f>
        <v>Fora do DRE</v>
      </c>
      <c r="U1815" s="3" t="str">
        <f>IF(ISERROR(VLOOKUP(Base_Periodo1[[#This Row],[CONTA]],BaseContasDRE[#All],7,FALSE)),"Fora do DRE",VLOOKUP(Base_Periodo1[[#This Row],[CONTA]],BaseContasDRE[#All],7,FALSE))</f>
        <v>Fora do DRE</v>
      </c>
      <c r="V1815" s="3" t="str">
        <f>IF(Base_Periodo1[[#This Row],[Tipo_Linha]]="Fora do DRE","Fora do DRE","( "&amp;Base_Periodo1[[#This Row],[Tipo_Linha]]&amp;" ) "&amp;Base_Periodo1[[#This Row],[Filtro]])</f>
        <v>Fora do DRE</v>
      </c>
      <c r="W1815" s="3" t="str">
        <f>LEFT(Base_Periodo1[[#This Row],[CLASS]],3)</f>
        <v>1.1</v>
      </c>
    </row>
    <row r="1816" spans="1:23" hidden="1">
      <c r="A1816" s="3" t="str">
        <f t="shared" si="28"/>
        <v>Período 1</v>
      </c>
      <c r="B1816">
        <v>33427</v>
      </c>
      <c r="C1816" t="s">
        <v>1440</v>
      </c>
      <c r="D1816" t="s">
        <v>5039</v>
      </c>
      <c r="E1816" s="3" t="str">
        <f>IF(LEN(Base_Periodo1[[#This Row],[CLASS]])&gt;=7,LEFT(Base_Periodo1[[#This Row],[CLASS]],7),"")</f>
        <v>1.1.3.1</v>
      </c>
      <c r="F1816" s="3" t="str">
        <f>VLOOKUP(Base_Periodo1[[#This Row],[Aux]],Base_Contas_Balanco[#All],2,FALSE)</f>
        <v>Estoques Proprios</v>
      </c>
      <c r="G1816" s="1">
        <v>42885</v>
      </c>
      <c r="H1816" s="225">
        <v>19057</v>
      </c>
      <c r="I1816" s="225">
        <v>0</v>
      </c>
      <c r="J1816" s="225">
        <v>8475.5</v>
      </c>
      <c r="K1816" s="225">
        <v>27532.5</v>
      </c>
      <c r="L18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-27532.5</v>
      </c>
      <c r="M1816" s="225">
        <f>ROUND(IF(AND(Base_Periodo1[[#This Row],[Tipo_Linha]]="-",Base_Periodo1[[#This Row],[TIPOSALDO]]="D"),Base_Periodo1[[#This Row],[SALDO_ATUAL]]*-1,Base_Periodo1[[#This Row],[SALDO_ATUAL]]),4)</f>
        <v>27532.5</v>
      </c>
      <c r="N1816" t="s">
        <v>116</v>
      </c>
      <c r="O1816" t="s">
        <v>459</v>
      </c>
      <c r="P1816" t="s">
        <v>459</v>
      </c>
      <c r="Q1816">
        <v>9</v>
      </c>
      <c r="R1816" s="225">
        <f>Base_Periodo1[[#This Row],[CREDITOS]]-Base_Periodo1[[#This Row],[DEBITOS]]</f>
        <v>8475.5</v>
      </c>
      <c r="S1816" s="3" t="str">
        <f>IF(ISERROR(VLOOKUP(Base_Periodo1[[#This Row],[CONTA]],BaseContasDRE[#All],4,FALSE)),"Fora do DRE",VLOOKUP(Base_Periodo1[[#This Row],[CONTA]],BaseContasDRE[#All],4,FALSE))</f>
        <v>Fora do DRE</v>
      </c>
      <c r="T1816" s="3" t="str">
        <f>IF(ISERROR(VLOOKUP(Base_Periodo1[[#This Row],[CONTA]],BaseContasDRE[#All],5,FALSE)),"Fora do DRE",VLOOKUP(Base_Periodo1[[#This Row],[CONTA]],BaseContasDRE[#All],6,FALSE))</f>
        <v>Fora do DRE</v>
      </c>
      <c r="U1816" s="3" t="str">
        <f>IF(ISERROR(VLOOKUP(Base_Periodo1[[#This Row],[CONTA]],BaseContasDRE[#All],7,FALSE)),"Fora do DRE",VLOOKUP(Base_Periodo1[[#This Row],[CONTA]],BaseContasDRE[#All],7,FALSE))</f>
        <v>Fora do DRE</v>
      </c>
      <c r="V1816" s="3" t="str">
        <f>IF(Base_Periodo1[[#This Row],[Tipo_Linha]]="Fora do DRE","Fora do DRE","( "&amp;Base_Periodo1[[#This Row],[Tipo_Linha]]&amp;" ) "&amp;Base_Periodo1[[#This Row],[Filtro]])</f>
        <v>Fora do DRE</v>
      </c>
      <c r="W1816" s="3" t="str">
        <f>LEFT(Base_Periodo1[[#This Row],[CLASS]],3)</f>
        <v>1.1</v>
      </c>
    </row>
    <row r="1817" spans="1:23" hidden="1">
      <c r="A1817" s="3" t="str">
        <f t="shared" si="28"/>
        <v>Período 1</v>
      </c>
      <c r="B1817">
        <v>52502</v>
      </c>
      <c r="C1817" t="s">
        <v>6287</v>
      </c>
      <c r="D1817" t="s">
        <v>6288</v>
      </c>
      <c r="E1817" s="3" t="str">
        <f>IF(LEN(Base_Periodo1[[#This Row],[CLASS]])&gt;=7,LEFT(Base_Periodo1[[#This Row],[CLASS]],7),"")</f>
        <v>1.1.3.1</v>
      </c>
      <c r="F1817" s="3" t="str">
        <f>VLOOKUP(Base_Periodo1[[#This Row],[Aux]],Base_Contas_Balanco[#All],2,FALSE)</f>
        <v>Estoques Proprios</v>
      </c>
      <c r="G1817" s="1"/>
      <c r="H1817" s="225">
        <v>101.20000000000005</v>
      </c>
      <c r="I1817" s="225">
        <v>0</v>
      </c>
      <c r="J1817" s="225">
        <v>657.8</v>
      </c>
      <c r="K1817" s="225">
        <v>759</v>
      </c>
      <c r="L18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-759</v>
      </c>
      <c r="M1817" s="225">
        <f>ROUND(IF(AND(Base_Periodo1[[#This Row],[Tipo_Linha]]="-",Base_Periodo1[[#This Row],[TIPOSALDO]]="D"),Base_Periodo1[[#This Row],[SALDO_ATUAL]]*-1,Base_Periodo1[[#This Row],[SALDO_ATUAL]]),4)</f>
        <v>759</v>
      </c>
      <c r="N1817" t="s">
        <v>396</v>
      </c>
      <c r="O1817" t="s">
        <v>459</v>
      </c>
      <c r="P1817" t="s">
        <v>459</v>
      </c>
      <c r="Q1817">
        <v>8</v>
      </c>
      <c r="R1817" s="225">
        <f>Base_Periodo1[[#This Row],[CREDITOS]]-Base_Periodo1[[#This Row],[DEBITOS]]</f>
        <v>657.8</v>
      </c>
      <c r="S1817" s="3" t="str">
        <f>IF(ISERROR(VLOOKUP(Base_Periodo1[[#This Row],[CONTA]],BaseContasDRE[#All],4,FALSE)),"Fora do DRE",VLOOKUP(Base_Periodo1[[#This Row],[CONTA]],BaseContasDRE[#All],4,FALSE))</f>
        <v>Fora do DRE</v>
      </c>
      <c r="T1817" s="3" t="str">
        <f>IF(ISERROR(VLOOKUP(Base_Periodo1[[#This Row],[CONTA]],BaseContasDRE[#All],5,FALSE)),"Fora do DRE",VLOOKUP(Base_Periodo1[[#This Row],[CONTA]],BaseContasDRE[#All],6,FALSE))</f>
        <v>Fora do DRE</v>
      </c>
      <c r="U1817" s="3" t="str">
        <f>IF(ISERROR(VLOOKUP(Base_Periodo1[[#This Row],[CONTA]],BaseContasDRE[#All],7,FALSE)),"Fora do DRE",VLOOKUP(Base_Periodo1[[#This Row],[CONTA]],BaseContasDRE[#All],7,FALSE))</f>
        <v>Fora do DRE</v>
      </c>
      <c r="V1817" s="3" t="str">
        <f>IF(Base_Periodo1[[#This Row],[Tipo_Linha]]="Fora do DRE","Fora do DRE","( "&amp;Base_Periodo1[[#This Row],[Tipo_Linha]]&amp;" ) "&amp;Base_Periodo1[[#This Row],[Filtro]])</f>
        <v>Fora do DRE</v>
      </c>
      <c r="W1817" s="3" t="str">
        <f>LEFT(Base_Periodo1[[#This Row],[CLASS]],3)</f>
        <v>1.1</v>
      </c>
    </row>
    <row r="1818" spans="1:23" hidden="1">
      <c r="A1818" s="3" t="str">
        <f t="shared" si="28"/>
        <v>Período 1</v>
      </c>
      <c r="B1818">
        <v>52503</v>
      </c>
      <c r="C1818" t="s">
        <v>6289</v>
      </c>
      <c r="D1818" t="s">
        <v>1176</v>
      </c>
      <c r="E1818" s="3" t="str">
        <f>IF(LEN(Base_Periodo1[[#This Row],[CLASS]])&gt;=7,LEFT(Base_Periodo1[[#This Row],[CLASS]],7),"")</f>
        <v>1.1.3.1</v>
      </c>
      <c r="F1818" s="3" t="str">
        <f>VLOOKUP(Base_Periodo1[[#This Row],[Aux]],Base_Contas_Balanco[#All],2,FALSE)</f>
        <v>Estoques Proprios</v>
      </c>
      <c r="G1818" s="1">
        <v>42886</v>
      </c>
      <c r="H1818" s="225">
        <v>101.20000000000005</v>
      </c>
      <c r="I1818" s="225">
        <v>0</v>
      </c>
      <c r="J1818" s="225">
        <v>657.8</v>
      </c>
      <c r="K1818" s="225">
        <v>759</v>
      </c>
      <c r="L18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-759</v>
      </c>
      <c r="M1818" s="225">
        <f>ROUND(IF(AND(Base_Periodo1[[#This Row],[Tipo_Linha]]="-",Base_Periodo1[[#This Row],[TIPOSALDO]]="D"),Base_Periodo1[[#This Row],[SALDO_ATUAL]]*-1,Base_Periodo1[[#This Row],[SALDO_ATUAL]]),4)</f>
        <v>759</v>
      </c>
      <c r="N1818" t="s">
        <v>116</v>
      </c>
      <c r="O1818" t="s">
        <v>459</v>
      </c>
      <c r="P1818" t="s">
        <v>459</v>
      </c>
      <c r="Q1818">
        <v>9</v>
      </c>
      <c r="R1818" s="225">
        <f>Base_Periodo1[[#This Row],[CREDITOS]]-Base_Periodo1[[#This Row],[DEBITOS]]</f>
        <v>657.8</v>
      </c>
      <c r="S1818" s="3" t="str">
        <f>IF(ISERROR(VLOOKUP(Base_Periodo1[[#This Row],[CONTA]],BaseContasDRE[#All],4,FALSE)),"Fora do DRE",VLOOKUP(Base_Periodo1[[#This Row],[CONTA]],BaseContasDRE[#All],4,FALSE))</f>
        <v>Fora do DRE</v>
      </c>
      <c r="T1818" s="3" t="str">
        <f>IF(ISERROR(VLOOKUP(Base_Periodo1[[#This Row],[CONTA]],BaseContasDRE[#All],5,FALSE)),"Fora do DRE",VLOOKUP(Base_Periodo1[[#This Row],[CONTA]],BaseContasDRE[#All],6,FALSE))</f>
        <v>Fora do DRE</v>
      </c>
      <c r="U1818" s="3" t="str">
        <f>IF(ISERROR(VLOOKUP(Base_Periodo1[[#This Row],[CONTA]],BaseContasDRE[#All],7,FALSE)),"Fora do DRE",VLOOKUP(Base_Periodo1[[#This Row],[CONTA]],BaseContasDRE[#All],7,FALSE))</f>
        <v>Fora do DRE</v>
      </c>
      <c r="V1818" s="3" t="str">
        <f>IF(Base_Periodo1[[#This Row],[Tipo_Linha]]="Fora do DRE","Fora do DRE","( "&amp;Base_Periodo1[[#This Row],[Tipo_Linha]]&amp;" ) "&amp;Base_Periodo1[[#This Row],[Filtro]])</f>
        <v>Fora do DRE</v>
      </c>
      <c r="W1818" s="3" t="str">
        <f>LEFT(Base_Periodo1[[#This Row],[CLASS]],3)</f>
        <v>1.1</v>
      </c>
    </row>
    <row r="1819" spans="1:23" hidden="1">
      <c r="A1819" s="3" t="str">
        <f t="shared" si="28"/>
        <v>Período 1</v>
      </c>
      <c r="B1819">
        <v>36955</v>
      </c>
      <c r="C1819" t="s">
        <v>1441</v>
      </c>
      <c r="D1819" t="s">
        <v>1442</v>
      </c>
      <c r="E1819" s="3" t="str">
        <f>IF(LEN(Base_Periodo1[[#This Row],[CLASS]])&gt;=7,LEFT(Base_Periodo1[[#This Row],[CLASS]],7),"")</f>
        <v>1.1.3.1</v>
      </c>
      <c r="F1819" s="3" t="str">
        <f>VLOOKUP(Base_Periodo1[[#This Row],[Aux]],Base_Contas_Balanco[#All],2,FALSE)</f>
        <v>Estoques Proprios</v>
      </c>
      <c r="G1819" s="1"/>
      <c r="H1819" s="225">
        <v>930655.61999999918</v>
      </c>
      <c r="I1819" s="225">
        <v>82390</v>
      </c>
      <c r="J1819" s="225">
        <v>101174.89000000001</v>
      </c>
      <c r="K1819" s="225">
        <v>911870.72999999917</v>
      </c>
      <c r="L18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911870.73</v>
      </c>
      <c r="M1819" s="225">
        <f>ROUND(IF(AND(Base_Periodo1[[#This Row],[Tipo_Linha]]="-",Base_Periodo1[[#This Row],[TIPOSALDO]]="D"),Base_Periodo1[[#This Row],[SALDO_ATUAL]]*-1,Base_Periodo1[[#This Row],[SALDO_ATUAL]]),4)</f>
        <v>911870.73</v>
      </c>
      <c r="N1819" t="s">
        <v>396</v>
      </c>
      <c r="O1819" t="s">
        <v>397</v>
      </c>
      <c r="P1819" t="s">
        <v>397</v>
      </c>
      <c r="Q1819">
        <v>7</v>
      </c>
      <c r="R1819" s="225">
        <f>Base_Periodo1[[#This Row],[CREDITOS]]-Base_Periodo1[[#This Row],[DEBITOS]]</f>
        <v>18784.890000000014</v>
      </c>
      <c r="S1819" s="3" t="str">
        <f>IF(ISERROR(VLOOKUP(Base_Periodo1[[#This Row],[CONTA]],BaseContasDRE[#All],4,FALSE)),"Fora do DRE",VLOOKUP(Base_Periodo1[[#This Row],[CONTA]],BaseContasDRE[#All],4,FALSE))</f>
        <v>Fora do DRE</v>
      </c>
      <c r="T1819" s="3" t="str">
        <f>IF(ISERROR(VLOOKUP(Base_Periodo1[[#This Row],[CONTA]],BaseContasDRE[#All],5,FALSE)),"Fora do DRE",VLOOKUP(Base_Periodo1[[#This Row],[CONTA]],BaseContasDRE[#All],6,FALSE))</f>
        <v>Fora do DRE</v>
      </c>
      <c r="U1819" s="3" t="str">
        <f>IF(ISERROR(VLOOKUP(Base_Periodo1[[#This Row],[CONTA]],BaseContasDRE[#All],7,FALSE)),"Fora do DRE",VLOOKUP(Base_Periodo1[[#This Row],[CONTA]],BaseContasDRE[#All],7,FALSE))</f>
        <v>Fora do DRE</v>
      </c>
      <c r="V1819" s="3" t="str">
        <f>IF(Base_Periodo1[[#This Row],[Tipo_Linha]]="Fora do DRE","Fora do DRE","( "&amp;Base_Periodo1[[#This Row],[Tipo_Linha]]&amp;" ) "&amp;Base_Periodo1[[#This Row],[Filtro]])</f>
        <v>Fora do DRE</v>
      </c>
      <c r="W1819" s="3" t="str">
        <f>LEFT(Base_Periodo1[[#This Row],[CLASS]],3)</f>
        <v>1.1</v>
      </c>
    </row>
    <row r="1820" spans="1:23" hidden="1">
      <c r="A1820" s="3" t="str">
        <f t="shared" si="28"/>
        <v>Período 1</v>
      </c>
      <c r="B1820">
        <v>36956</v>
      </c>
      <c r="C1820" t="s">
        <v>5930</v>
      </c>
      <c r="D1820" t="s">
        <v>1054</v>
      </c>
      <c r="E1820" s="3" t="str">
        <f>IF(LEN(Base_Periodo1[[#This Row],[CLASS]])&gt;=7,LEFT(Base_Periodo1[[#This Row],[CLASS]],7),"")</f>
        <v>1.1.3.1</v>
      </c>
      <c r="F1820" s="3" t="str">
        <f>VLOOKUP(Base_Periodo1[[#This Row],[Aux]],Base_Contas_Balanco[#All],2,FALSE)</f>
        <v>Estoques Proprios</v>
      </c>
      <c r="G1820" s="1"/>
      <c r="H1820" s="225">
        <v>825328.57000000007</v>
      </c>
      <c r="I1820" s="225">
        <v>0</v>
      </c>
      <c r="J1820" s="225">
        <v>0</v>
      </c>
      <c r="K1820" s="225">
        <v>825328.57000000007</v>
      </c>
      <c r="L18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825328.57</v>
      </c>
      <c r="M1820" s="225">
        <f>ROUND(IF(AND(Base_Periodo1[[#This Row],[Tipo_Linha]]="-",Base_Periodo1[[#This Row],[TIPOSALDO]]="D"),Base_Periodo1[[#This Row],[SALDO_ATUAL]]*-1,Base_Periodo1[[#This Row],[SALDO_ATUAL]]),4)</f>
        <v>825328.57</v>
      </c>
      <c r="N1820" t="s">
        <v>396</v>
      </c>
      <c r="O1820" t="s">
        <v>397</v>
      </c>
      <c r="P1820" t="s">
        <v>397</v>
      </c>
      <c r="Q1820">
        <v>8</v>
      </c>
      <c r="R1820" s="225">
        <f>Base_Periodo1[[#This Row],[CREDITOS]]-Base_Periodo1[[#This Row],[DEBITOS]]</f>
        <v>0</v>
      </c>
      <c r="S1820" s="3" t="str">
        <f>IF(ISERROR(VLOOKUP(Base_Periodo1[[#This Row],[CONTA]],BaseContasDRE[#All],4,FALSE)),"Fora do DRE",VLOOKUP(Base_Periodo1[[#This Row],[CONTA]],BaseContasDRE[#All],4,FALSE))</f>
        <v>Fora do DRE</v>
      </c>
      <c r="T1820" s="3" t="str">
        <f>IF(ISERROR(VLOOKUP(Base_Periodo1[[#This Row],[CONTA]],BaseContasDRE[#All],5,FALSE)),"Fora do DRE",VLOOKUP(Base_Periodo1[[#This Row],[CONTA]],BaseContasDRE[#All],6,FALSE))</f>
        <v>Fora do DRE</v>
      </c>
      <c r="U1820" s="3" t="str">
        <f>IF(ISERROR(VLOOKUP(Base_Periodo1[[#This Row],[CONTA]],BaseContasDRE[#All],7,FALSE)),"Fora do DRE",VLOOKUP(Base_Periodo1[[#This Row],[CONTA]],BaseContasDRE[#All],7,FALSE))</f>
        <v>Fora do DRE</v>
      </c>
      <c r="V1820" s="3" t="str">
        <f>IF(Base_Periodo1[[#This Row],[Tipo_Linha]]="Fora do DRE","Fora do DRE","( "&amp;Base_Periodo1[[#This Row],[Tipo_Linha]]&amp;" ) "&amp;Base_Periodo1[[#This Row],[Filtro]])</f>
        <v>Fora do DRE</v>
      </c>
      <c r="W1820" s="3" t="str">
        <f>LEFT(Base_Periodo1[[#This Row],[CLASS]],3)</f>
        <v>1.1</v>
      </c>
    </row>
    <row r="1821" spans="1:23" hidden="1">
      <c r="A1821" s="3" t="str">
        <f t="shared" si="28"/>
        <v>Período 1</v>
      </c>
      <c r="B1821">
        <v>36957</v>
      </c>
      <c r="C1821" t="s">
        <v>5931</v>
      </c>
      <c r="D1821" t="s">
        <v>1054</v>
      </c>
      <c r="E1821" s="3" t="str">
        <f>IF(LEN(Base_Periodo1[[#This Row],[CLASS]])&gt;=7,LEFT(Base_Periodo1[[#This Row],[CLASS]],7),"")</f>
        <v>1.1.3.1</v>
      </c>
      <c r="F1821" s="3" t="str">
        <f>VLOOKUP(Base_Periodo1[[#This Row],[Aux]],Base_Contas_Balanco[#All],2,FALSE)</f>
        <v>Estoques Proprios</v>
      </c>
      <c r="G1821" s="1">
        <v>42735</v>
      </c>
      <c r="H1821" s="225">
        <v>825328.57000000007</v>
      </c>
      <c r="I1821" s="225">
        <v>0</v>
      </c>
      <c r="J1821" s="225">
        <v>0</v>
      </c>
      <c r="K1821" s="225">
        <v>825328.57000000007</v>
      </c>
      <c r="L18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825328.57</v>
      </c>
      <c r="M1821" s="225">
        <f>ROUND(IF(AND(Base_Periodo1[[#This Row],[Tipo_Linha]]="-",Base_Periodo1[[#This Row],[TIPOSALDO]]="D"),Base_Periodo1[[#This Row],[SALDO_ATUAL]]*-1,Base_Periodo1[[#This Row],[SALDO_ATUAL]]),4)</f>
        <v>825328.57</v>
      </c>
      <c r="N1821" t="s">
        <v>116</v>
      </c>
      <c r="O1821" t="s">
        <v>397</v>
      </c>
      <c r="P1821" t="s">
        <v>397</v>
      </c>
      <c r="Q1821">
        <v>9</v>
      </c>
      <c r="R1821" s="225">
        <f>Base_Periodo1[[#This Row],[CREDITOS]]-Base_Periodo1[[#This Row],[DEBITOS]]</f>
        <v>0</v>
      </c>
      <c r="S1821" s="3" t="str">
        <f>IF(ISERROR(VLOOKUP(Base_Periodo1[[#This Row],[CONTA]],BaseContasDRE[#All],4,FALSE)),"Fora do DRE",VLOOKUP(Base_Periodo1[[#This Row],[CONTA]],BaseContasDRE[#All],4,FALSE))</f>
        <v>Fora do DRE</v>
      </c>
      <c r="T1821" s="3" t="str">
        <f>IF(ISERROR(VLOOKUP(Base_Periodo1[[#This Row],[CONTA]],BaseContasDRE[#All],5,FALSE)),"Fora do DRE",VLOOKUP(Base_Periodo1[[#This Row],[CONTA]],BaseContasDRE[#All],6,FALSE))</f>
        <v>Fora do DRE</v>
      </c>
      <c r="U1821" s="3" t="str">
        <f>IF(ISERROR(VLOOKUP(Base_Periodo1[[#This Row],[CONTA]],BaseContasDRE[#All],7,FALSE)),"Fora do DRE",VLOOKUP(Base_Periodo1[[#This Row],[CONTA]],BaseContasDRE[#All],7,FALSE))</f>
        <v>Fora do DRE</v>
      </c>
      <c r="V1821" s="3" t="str">
        <f>IF(Base_Periodo1[[#This Row],[Tipo_Linha]]="Fora do DRE","Fora do DRE","( "&amp;Base_Periodo1[[#This Row],[Tipo_Linha]]&amp;" ) "&amp;Base_Periodo1[[#This Row],[Filtro]])</f>
        <v>Fora do DRE</v>
      </c>
      <c r="W1821" s="3" t="str">
        <f>LEFT(Base_Periodo1[[#This Row],[CLASS]],3)</f>
        <v>1.1</v>
      </c>
    </row>
    <row r="1822" spans="1:23" hidden="1">
      <c r="A1822" s="3" t="str">
        <f t="shared" si="28"/>
        <v>Período 1</v>
      </c>
      <c r="B1822">
        <v>36958</v>
      </c>
      <c r="C1822" t="s">
        <v>1443</v>
      </c>
      <c r="D1822" t="s">
        <v>1112</v>
      </c>
      <c r="E1822" s="3" t="str">
        <f>IF(LEN(Base_Periodo1[[#This Row],[CLASS]])&gt;=7,LEFT(Base_Periodo1[[#This Row],[CLASS]],7),"")</f>
        <v>1.1.3.1</v>
      </c>
      <c r="F1822" s="3" t="str">
        <f>VLOOKUP(Base_Periodo1[[#This Row],[Aux]],Base_Contas_Balanco[#All],2,FALSE)</f>
        <v>Estoques Proprios</v>
      </c>
      <c r="G1822" s="1"/>
      <c r="H1822" s="225">
        <v>380012.19999999937</v>
      </c>
      <c r="I1822" s="225">
        <v>82390</v>
      </c>
      <c r="J1822" s="225">
        <v>66055.86</v>
      </c>
      <c r="K1822" s="225">
        <v>396346.33999999939</v>
      </c>
      <c r="L18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396346.34</v>
      </c>
      <c r="M1822" s="225">
        <f>ROUND(IF(AND(Base_Periodo1[[#This Row],[Tipo_Linha]]="-",Base_Periodo1[[#This Row],[TIPOSALDO]]="D"),Base_Periodo1[[#This Row],[SALDO_ATUAL]]*-1,Base_Periodo1[[#This Row],[SALDO_ATUAL]]),4)</f>
        <v>396346.34</v>
      </c>
      <c r="N1822" t="s">
        <v>396</v>
      </c>
      <c r="O1822" t="s">
        <v>397</v>
      </c>
      <c r="P1822" t="s">
        <v>397</v>
      </c>
      <c r="Q1822">
        <v>8</v>
      </c>
      <c r="R1822" s="225">
        <f>Base_Periodo1[[#This Row],[CREDITOS]]-Base_Periodo1[[#This Row],[DEBITOS]]</f>
        <v>-16334.14</v>
      </c>
      <c r="S1822" s="3" t="str">
        <f>IF(ISERROR(VLOOKUP(Base_Periodo1[[#This Row],[CONTA]],BaseContasDRE[#All],4,FALSE)),"Fora do DRE",VLOOKUP(Base_Periodo1[[#This Row],[CONTA]],BaseContasDRE[#All],4,FALSE))</f>
        <v>Fora do DRE</v>
      </c>
      <c r="T1822" s="3" t="str">
        <f>IF(ISERROR(VLOOKUP(Base_Periodo1[[#This Row],[CONTA]],BaseContasDRE[#All],5,FALSE)),"Fora do DRE",VLOOKUP(Base_Periodo1[[#This Row],[CONTA]],BaseContasDRE[#All],6,FALSE))</f>
        <v>Fora do DRE</v>
      </c>
      <c r="U1822" s="3" t="str">
        <f>IF(ISERROR(VLOOKUP(Base_Periodo1[[#This Row],[CONTA]],BaseContasDRE[#All],7,FALSE)),"Fora do DRE",VLOOKUP(Base_Periodo1[[#This Row],[CONTA]],BaseContasDRE[#All],7,FALSE))</f>
        <v>Fora do DRE</v>
      </c>
      <c r="V1822" s="3" t="str">
        <f>IF(Base_Periodo1[[#This Row],[Tipo_Linha]]="Fora do DRE","Fora do DRE","( "&amp;Base_Periodo1[[#This Row],[Tipo_Linha]]&amp;" ) "&amp;Base_Periodo1[[#This Row],[Filtro]])</f>
        <v>Fora do DRE</v>
      </c>
      <c r="W1822" s="3" t="str">
        <f>LEFT(Base_Periodo1[[#This Row],[CLASS]],3)</f>
        <v>1.1</v>
      </c>
    </row>
    <row r="1823" spans="1:23" hidden="1">
      <c r="A1823" s="3" t="str">
        <f t="shared" si="28"/>
        <v>Período 1</v>
      </c>
      <c r="B1823">
        <v>36959</v>
      </c>
      <c r="C1823" t="s">
        <v>1444</v>
      </c>
      <c r="D1823" t="s">
        <v>1445</v>
      </c>
      <c r="E1823" s="3" t="str">
        <f>IF(LEN(Base_Periodo1[[#This Row],[CLASS]])&gt;=7,LEFT(Base_Periodo1[[#This Row],[CLASS]],7),"")</f>
        <v>1.1.3.1</v>
      </c>
      <c r="F1823" s="3" t="str">
        <f>VLOOKUP(Base_Periodo1[[#This Row],[Aux]],Base_Contas_Balanco[#All],2,FALSE)</f>
        <v>Estoques Proprios</v>
      </c>
      <c r="G1823" s="1">
        <v>42885</v>
      </c>
      <c r="H1823" s="225">
        <v>259504.18999999948</v>
      </c>
      <c r="I1823" s="225">
        <v>5440</v>
      </c>
      <c r="J1823" s="225">
        <v>54819.360000000001</v>
      </c>
      <c r="K1823" s="225">
        <v>210124.82999999949</v>
      </c>
      <c r="L18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210124.83</v>
      </c>
      <c r="M1823" s="225">
        <f>ROUND(IF(AND(Base_Periodo1[[#This Row],[Tipo_Linha]]="-",Base_Periodo1[[#This Row],[TIPOSALDO]]="D"),Base_Periodo1[[#This Row],[SALDO_ATUAL]]*-1,Base_Periodo1[[#This Row],[SALDO_ATUAL]]),4)</f>
        <v>210124.83</v>
      </c>
      <c r="N1823" t="s">
        <v>116</v>
      </c>
      <c r="O1823" t="s">
        <v>397</v>
      </c>
      <c r="P1823" t="s">
        <v>397</v>
      </c>
      <c r="Q1823">
        <v>9</v>
      </c>
      <c r="R1823" s="225">
        <f>Base_Periodo1[[#This Row],[CREDITOS]]-Base_Periodo1[[#This Row],[DEBITOS]]</f>
        <v>49379.360000000001</v>
      </c>
      <c r="S1823" s="3" t="str">
        <f>IF(ISERROR(VLOOKUP(Base_Periodo1[[#This Row],[CONTA]],BaseContasDRE[#All],4,FALSE)),"Fora do DRE",VLOOKUP(Base_Periodo1[[#This Row],[CONTA]],BaseContasDRE[#All],4,FALSE))</f>
        <v>Fora do DRE</v>
      </c>
      <c r="T1823" s="3" t="str">
        <f>IF(ISERROR(VLOOKUP(Base_Periodo1[[#This Row],[CONTA]],BaseContasDRE[#All],5,FALSE)),"Fora do DRE",VLOOKUP(Base_Periodo1[[#This Row],[CONTA]],BaseContasDRE[#All],6,FALSE))</f>
        <v>Fora do DRE</v>
      </c>
      <c r="U1823" s="3" t="str">
        <f>IF(ISERROR(VLOOKUP(Base_Periodo1[[#This Row],[CONTA]],BaseContasDRE[#All],7,FALSE)),"Fora do DRE",VLOOKUP(Base_Periodo1[[#This Row],[CONTA]],BaseContasDRE[#All],7,FALSE))</f>
        <v>Fora do DRE</v>
      </c>
      <c r="V1823" s="3" t="str">
        <f>IF(Base_Periodo1[[#This Row],[Tipo_Linha]]="Fora do DRE","Fora do DRE","( "&amp;Base_Periodo1[[#This Row],[Tipo_Linha]]&amp;" ) "&amp;Base_Periodo1[[#This Row],[Filtro]])</f>
        <v>Fora do DRE</v>
      </c>
      <c r="W1823" s="3" t="str">
        <f>LEFT(Base_Periodo1[[#This Row],[CLASS]],3)</f>
        <v>1.1</v>
      </c>
    </row>
    <row r="1824" spans="1:23" hidden="1">
      <c r="A1824" s="3" t="str">
        <f t="shared" si="28"/>
        <v>Período 1</v>
      </c>
      <c r="B1824">
        <v>38013</v>
      </c>
      <c r="C1824" t="s">
        <v>1446</v>
      </c>
      <c r="D1824" t="s">
        <v>1447</v>
      </c>
      <c r="E1824" s="3" t="str">
        <f>IF(LEN(Base_Periodo1[[#This Row],[CLASS]])&gt;=7,LEFT(Base_Periodo1[[#This Row],[CLASS]],7),"")</f>
        <v>1.1.3.1</v>
      </c>
      <c r="F1824" s="3" t="str">
        <f>VLOOKUP(Base_Periodo1[[#This Row],[Aux]],Base_Contas_Balanco[#All],2,FALSE)</f>
        <v>Estoques Proprios</v>
      </c>
      <c r="G1824" s="1">
        <v>42878</v>
      </c>
      <c r="H1824" s="225">
        <v>120508.00999999989</v>
      </c>
      <c r="I1824" s="225">
        <v>76950</v>
      </c>
      <c r="J1824" s="225">
        <v>11236.5</v>
      </c>
      <c r="K1824" s="225">
        <v>186221.50999999989</v>
      </c>
      <c r="L18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186221.51</v>
      </c>
      <c r="M1824" s="225">
        <f>ROUND(IF(AND(Base_Periodo1[[#This Row],[Tipo_Linha]]="-",Base_Periodo1[[#This Row],[TIPOSALDO]]="D"),Base_Periodo1[[#This Row],[SALDO_ATUAL]]*-1,Base_Periodo1[[#This Row],[SALDO_ATUAL]]),4)</f>
        <v>186221.51</v>
      </c>
      <c r="N1824" t="s">
        <v>116</v>
      </c>
      <c r="O1824" t="s">
        <v>397</v>
      </c>
      <c r="P1824" t="s">
        <v>397</v>
      </c>
      <c r="Q1824">
        <v>9</v>
      </c>
      <c r="R1824" s="225">
        <f>Base_Periodo1[[#This Row],[CREDITOS]]-Base_Periodo1[[#This Row],[DEBITOS]]</f>
        <v>-65713.5</v>
      </c>
      <c r="S1824" s="3" t="str">
        <f>IF(ISERROR(VLOOKUP(Base_Periodo1[[#This Row],[CONTA]],BaseContasDRE[#All],4,FALSE)),"Fora do DRE",VLOOKUP(Base_Periodo1[[#This Row],[CONTA]],BaseContasDRE[#All],4,FALSE))</f>
        <v>Fora do DRE</v>
      </c>
      <c r="T1824" s="3" t="str">
        <f>IF(ISERROR(VLOOKUP(Base_Periodo1[[#This Row],[CONTA]],BaseContasDRE[#All],5,FALSE)),"Fora do DRE",VLOOKUP(Base_Periodo1[[#This Row],[CONTA]],BaseContasDRE[#All],6,FALSE))</f>
        <v>Fora do DRE</v>
      </c>
      <c r="U1824" s="3" t="str">
        <f>IF(ISERROR(VLOOKUP(Base_Periodo1[[#This Row],[CONTA]],BaseContasDRE[#All],7,FALSE)),"Fora do DRE",VLOOKUP(Base_Periodo1[[#This Row],[CONTA]],BaseContasDRE[#All],7,FALSE))</f>
        <v>Fora do DRE</v>
      </c>
      <c r="V1824" s="3" t="str">
        <f>IF(Base_Periodo1[[#This Row],[Tipo_Linha]]="Fora do DRE","Fora do DRE","( "&amp;Base_Periodo1[[#This Row],[Tipo_Linha]]&amp;" ) "&amp;Base_Periodo1[[#This Row],[Filtro]])</f>
        <v>Fora do DRE</v>
      </c>
      <c r="W1824" s="3" t="str">
        <f>LEFT(Base_Periodo1[[#This Row],[CLASS]],3)</f>
        <v>1.1</v>
      </c>
    </row>
    <row r="1825" spans="1:23" hidden="1">
      <c r="A1825" s="3" t="str">
        <f t="shared" si="28"/>
        <v>Período 1</v>
      </c>
      <c r="B1825">
        <v>49172</v>
      </c>
      <c r="C1825" t="s">
        <v>4261</v>
      </c>
      <c r="D1825" t="s">
        <v>1452</v>
      </c>
      <c r="E1825" s="3" t="str">
        <f>IF(LEN(Base_Periodo1[[#This Row],[CLASS]])&gt;=7,LEFT(Base_Periodo1[[#This Row],[CLASS]],7),"")</f>
        <v>1.1.3.1</v>
      </c>
      <c r="F1825" s="3" t="str">
        <f>VLOOKUP(Base_Periodo1[[#This Row],[Aux]],Base_Contas_Balanco[#All],2,FALSE)</f>
        <v>Estoques Proprios</v>
      </c>
      <c r="G1825" s="1"/>
      <c r="H1825" s="225">
        <v>22984.480000000003</v>
      </c>
      <c r="I1825" s="225">
        <v>0</v>
      </c>
      <c r="J1825" s="225">
        <v>0</v>
      </c>
      <c r="K1825" s="225">
        <v>22984.480000000003</v>
      </c>
      <c r="L18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22984.48</v>
      </c>
      <c r="M1825" s="225">
        <f>ROUND(IF(AND(Base_Periodo1[[#This Row],[Tipo_Linha]]="-",Base_Periodo1[[#This Row],[TIPOSALDO]]="D"),Base_Periodo1[[#This Row],[SALDO_ATUAL]]*-1,Base_Periodo1[[#This Row],[SALDO_ATUAL]]),4)</f>
        <v>22984.48</v>
      </c>
      <c r="N1825" t="s">
        <v>396</v>
      </c>
      <c r="O1825" t="s">
        <v>397</v>
      </c>
      <c r="P1825" t="s">
        <v>397</v>
      </c>
      <c r="Q1825">
        <v>8</v>
      </c>
      <c r="R1825" s="225">
        <f>Base_Periodo1[[#This Row],[CREDITOS]]-Base_Periodo1[[#This Row],[DEBITOS]]</f>
        <v>0</v>
      </c>
      <c r="S1825" s="3" t="str">
        <f>IF(ISERROR(VLOOKUP(Base_Periodo1[[#This Row],[CONTA]],BaseContasDRE[#All],4,FALSE)),"Fora do DRE",VLOOKUP(Base_Periodo1[[#This Row],[CONTA]],BaseContasDRE[#All],4,FALSE))</f>
        <v>Fora do DRE</v>
      </c>
      <c r="T1825" s="3" t="str">
        <f>IF(ISERROR(VLOOKUP(Base_Periodo1[[#This Row],[CONTA]],BaseContasDRE[#All],5,FALSE)),"Fora do DRE",VLOOKUP(Base_Periodo1[[#This Row],[CONTA]],BaseContasDRE[#All],6,FALSE))</f>
        <v>Fora do DRE</v>
      </c>
      <c r="U1825" s="3" t="str">
        <f>IF(ISERROR(VLOOKUP(Base_Periodo1[[#This Row],[CONTA]],BaseContasDRE[#All],7,FALSE)),"Fora do DRE",VLOOKUP(Base_Periodo1[[#This Row],[CONTA]],BaseContasDRE[#All],7,FALSE))</f>
        <v>Fora do DRE</v>
      </c>
      <c r="V1825" s="3" t="str">
        <f>IF(Base_Periodo1[[#This Row],[Tipo_Linha]]="Fora do DRE","Fora do DRE","( "&amp;Base_Periodo1[[#This Row],[Tipo_Linha]]&amp;" ) "&amp;Base_Periodo1[[#This Row],[Filtro]])</f>
        <v>Fora do DRE</v>
      </c>
      <c r="W1825" s="3" t="str">
        <f>LEFT(Base_Periodo1[[#This Row],[CLASS]],3)</f>
        <v>1.1</v>
      </c>
    </row>
    <row r="1826" spans="1:23" hidden="1">
      <c r="A1826" s="3" t="str">
        <f t="shared" si="28"/>
        <v>Período 1</v>
      </c>
      <c r="B1826">
        <v>49173</v>
      </c>
      <c r="C1826" t="s">
        <v>4262</v>
      </c>
      <c r="D1826" t="s">
        <v>1137</v>
      </c>
      <c r="E1826" s="3" t="str">
        <f>IF(LEN(Base_Periodo1[[#This Row],[CLASS]])&gt;=7,LEFT(Base_Periodo1[[#This Row],[CLASS]],7),"")</f>
        <v>1.1.3.1</v>
      </c>
      <c r="F1826" s="3" t="str">
        <f>VLOOKUP(Base_Periodo1[[#This Row],[Aux]],Base_Contas_Balanco[#All],2,FALSE)</f>
        <v>Estoques Proprios</v>
      </c>
      <c r="G1826" s="1">
        <v>42832</v>
      </c>
      <c r="H1826" s="225">
        <v>22984.480000000003</v>
      </c>
      <c r="I1826" s="225">
        <v>0</v>
      </c>
      <c r="J1826" s="225">
        <v>0</v>
      </c>
      <c r="K1826" s="225">
        <v>22984.480000000003</v>
      </c>
      <c r="L18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22984.48</v>
      </c>
      <c r="M1826" s="225">
        <f>ROUND(IF(AND(Base_Periodo1[[#This Row],[Tipo_Linha]]="-",Base_Periodo1[[#This Row],[TIPOSALDO]]="D"),Base_Periodo1[[#This Row],[SALDO_ATUAL]]*-1,Base_Periodo1[[#This Row],[SALDO_ATUAL]]),4)</f>
        <v>22984.48</v>
      </c>
      <c r="N1826" t="s">
        <v>116</v>
      </c>
      <c r="O1826" t="s">
        <v>397</v>
      </c>
      <c r="P1826" t="s">
        <v>397</v>
      </c>
      <c r="Q1826">
        <v>9</v>
      </c>
      <c r="R1826" s="225">
        <f>Base_Periodo1[[#This Row],[CREDITOS]]-Base_Periodo1[[#This Row],[DEBITOS]]</f>
        <v>0</v>
      </c>
      <c r="S1826" s="3" t="str">
        <f>IF(ISERROR(VLOOKUP(Base_Periodo1[[#This Row],[CONTA]],BaseContasDRE[#All],4,FALSE)),"Fora do DRE",VLOOKUP(Base_Periodo1[[#This Row],[CONTA]],BaseContasDRE[#All],4,FALSE))</f>
        <v>Fora do DRE</v>
      </c>
      <c r="T1826" s="3" t="str">
        <f>IF(ISERROR(VLOOKUP(Base_Periodo1[[#This Row],[CONTA]],BaseContasDRE[#All],5,FALSE)),"Fora do DRE",VLOOKUP(Base_Periodo1[[#This Row],[CONTA]],BaseContasDRE[#All],6,FALSE))</f>
        <v>Fora do DRE</v>
      </c>
      <c r="U1826" s="3" t="str">
        <f>IF(ISERROR(VLOOKUP(Base_Periodo1[[#This Row],[CONTA]],BaseContasDRE[#All],7,FALSE)),"Fora do DRE",VLOOKUP(Base_Periodo1[[#This Row],[CONTA]],BaseContasDRE[#All],7,FALSE))</f>
        <v>Fora do DRE</v>
      </c>
      <c r="V1826" s="3" t="str">
        <f>IF(Base_Periodo1[[#This Row],[Tipo_Linha]]="Fora do DRE","Fora do DRE","( "&amp;Base_Periodo1[[#This Row],[Tipo_Linha]]&amp;" ) "&amp;Base_Periodo1[[#This Row],[Filtro]])</f>
        <v>Fora do DRE</v>
      </c>
      <c r="W1826" s="3" t="str">
        <f>LEFT(Base_Periodo1[[#This Row],[CLASS]],3)</f>
        <v>1.1</v>
      </c>
    </row>
    <row r="1827" spans="1:23" hidden="1">
      <c r="A1827" s="3" t="str">
        <f t="shared" si="28"/>
        <v>Período 1</v>
      </c>
      <c r="B1827">
        <v>49174</v>
      </c>
      <c r="C1827" t="s">
        <v>4263</v>
      </c>
      <c r="D1827" t="s">
        <v>4264</v>
      </c>
      <c r="E1827" s="3" t="str">
        <f>IF(LEN(Base_Periodo1[[#This Row],[CLASS]])&gt;=7,LEFT(Base_Periodo1[[#This Row],[CLASS]],7),"")</f>
        <v>1.1.3.1</v>
      </c>
      <c r="F1827" s="3" t="str">
        <f>VLOOKUP(Base_Periodo1[[#This Row],[Aux]],Base_Contas_Balanco[#All],2,FALSE)</f>
        <v>Estoques Proprios</v>
      </c>
      <c r="G1827" s="1"/>
      <c r="H1827" s="225">
        <v>22984.480000000003</v>
      </c>
      <c r="I1827" s="225">
        <v>0</v>
      </c>
      <c r="J1827" s="225">
        <v>0</v>
      </c>
      <c r="K1827" s="225">
        <v>22984.480000000003</v>
      </c>
      <c r="L18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-22984.48</v>
      </c>
      <c r="M1827" s="225">
        <f>ROUND(IF(AND(Base_Periodo1[[#This Row],[Tipo_Linha]]="-",Base_Periodo1[[#This Row],[TIPOSALDO]]="D"),Base_Periodo1[[#This Row],[SALDO_ATUAL]]*-1,Base_Periodo1[[#This Row],[SALDO_ATUAL]]),4)</f>
        <v>22984.48</v>
      </c>
      <c r="N1827" t="s">
        <v>396</v>
      </c>
      <c r="O1827" t="s">
        <v>459</v>
      </c>
      <c r="P1827" t="s">
        <v>459</v>
      </c>
      <c r="Q1827">
        <v>8</v>
      </c>
      <c r="R1827" s="225">
        <f>Base_Periodo1[[#This Row],[CREDITOS]]-Base_Periodo1[[#This Row],[DEBITOS]]</f>
        <v>0</v>
      </c>
      <c r="S1827" s="3" t="str">
        <f>IF(ISERROR(VLOOKUP(Base_Periodo1[[#This Row],[CONTA]],BaseContasDRE[#All],4,FALSE)),"Fora do DRE",VLOOKUP(Base_Periodo1[[#This Row],[CONTA]],BaseContasDRE[#All],4,FALSE))</f>
        <v>Fora do DRE</v>
      </c>
      <c r="T1827" s="3" t="str">
        <f>IF(ISERROR(VLOOKUP(Base_Periodo1[[#This Row],[CONTA]],BaseContasDRE[#All],5,FALSE)),"Fora do DRE",VLOOKUP(Base_Periodo1[[#This Row],[CONTA]],BaseContasDRE[#All],6,FALSE))</f>
        <v>Fora do DRE</v>
      </c>
      <c r="U1827" s="3" t="str">
        <f>IF(ISERROR(VLOOKUP(Base_Periodo1[[#This Row],[CONTA]],BaseContasDRE[#All],7,FALSE)),"Fora do DRE",VLOOKUP(Base_Periodo1[[#This Row],[CONTA]],BaseContasDRE[#All],7,FALSE))</f>
        <v>Fora do DRE</v>
      </c>
      <c r="V1827" s="3" t="str">
        <f>IF(Base_Periodo1[[#This Row],[Tipo_Linha]]="Fora do DRE","Fora do DRE","( "&amp;Base_Periodo1[[#This Row],[Tipo_Linha]]&amp;" ) "&amp;Base_Periodo1[[#This Row],[Filtro]])</f>
        <v>Fora do DRE</v>
      </c>
      <c r="W1827" s="3" t="str">
        <f>LEFT(Base_Periodo1[[#This Row],[CLASS]],3)</f>
        <v>1.1</v>
      </c>
    </row>
    <row r="1828" spans="1:23" hidden="1">
      <c r="A1828" s="3" t="str">
        <f t="shared" si="28"/>
        <v>Período 1</v>
      </c>
      <c r="B1828">
        <v>49175</v>
      </c>
      <c r="C1828" t="s">
        <v>4265</v>
      </c>
      <c r="D1828" t="s">
        <v>4266</v>
      </c>
      <c r="E1828" s="3" t="str">
        <f>IF(LEN(Base_Periodo1[[#This Row],[CLASS]])&gt;=7,LEFT(Base_Periodo1[[#This Row],[CLASS]],7),"")</f>
        <v>1.1.3.1</v>
      </c>
      <c r="F1828" s="3" t="str">
        <f>VLOOKUP(Base_Periodo1[[#This Row],[Aux]],Base_Contas_Balanco[#All],2,FALSE)</f>
        <v>Estoques Proprios</v>
      </c>
      <c r="G1828" s="1">
        <v>42831</v>
      </c>
      <c r="H1828" s="225">
        <v>22984.480000000003</v>
      </c>
      <c r="I1828" s="225">
        <v>0</v>
      </c>
      <c r="J1828" s="225">
        <v>0</v>
      </c>
      <c r="K1828" s="225">
        <v>22984.480000000003</v>
      </c>
      <c r="L18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-22984.48</v>
      </c>
      <c r="M1828" s="225">
        <f>ROUND(IF(AND(Base_Periodo1[[#This Row],[Tipo_Linha]]="-",Base_Periodo1[[#This Row],[TIPOSALDO]]="D"),Base_Periodo1[[#This Row],[SALDO_ATUAL]]*-1,Base_Periodo1[[#This Row],[SALDO_ATUAL]]),4)</f>
        <v>22984.48</v>
      </c>
      <c r="N1828" t="s">
        <v>116</v>
      </c>
      <c r="O1828" t="s">
        <v>459</v>
      </c>
      <c r="P1828" t="s">
        <v>459</v>
      </c>
      <c r="Q1828">
        <v>9</v>
      </c>
      <c r="R1828" s="225">
        <f>Base_Periodo1[[#This Row],[CREDITOS]]-Base_Periodo1[[#This Row],[DEBITOS]]</f>
        <v>0</v>
      </c>
      <c r="S1828" s="3" t="str">
        <f>IF(ISERROR(VLOOKUP(Base_Periodo1[[#This Row],[CONTA]],BaseContasDRE[#All],4,FALSE)),"Fora do DRE",VLOOKUP(Base_Periodo1[[#This Row],[CONTA]],BaseContasDRE[#All],4,FALSE))</f>
        <v>Fora do DRE</v>
      </c>
      <c r="T1828" s="3" t="str">
        <f>IF(ISERROR(VLOOKUP(Base_Periodo1[[#This Row],[CONTA]],BaseContasDRE[#All],5,FALSE)),"Fora do DRE",VLOOKUP(Base_Periodo1[[#This Row],[CONTA]],BaseContasDRE[#All],6,FALSE))</f>
        <v>Fora do DRE</v>
      </c>
      <c r="U1828" s="3" t="str">
        <f>IF(ISERROR(VLOOKUP(Base_Periodo1[[#This Row],[CONTA]],BaseContasDRE[#All],7,FALSE)),"Fora do DRE",VLOOKUP(Base_Periodo1[[#This Row],[CONTA]],BaseContasDRE[#All],7,FALSE))</f>
        <v>Fora do DRE</v>
      </c>
      <c r="V1828" s="3" t="str">
        <f>IF(Base_Periodo1[[#This Row],[Tipo_Linha]]="Fora do DRE","Fora do DRE","( "&amp;Base_Periodo1[[#This Row],[Tipo_Linha]]&amp;" ) "&amp;Base_Periodo1[[#This Row],[Filtro]])</f>
        <v>Fora do DRE</v>
      </c>
      <c r="W1828" s="3" t="str">
        <f>LEFT(Base_Periodo1[[#This Row],[CLASS]],3)</f>
        <v>1.1</v>
      </c>
    </row>
    <row r="1829" spans="1:23" hidden="1">
      <c r="A1829" s="3" t="str">
        <f t="shared" si="28"/>
        <v>Período 1</v>
      </c>
      <c r="B1829">
        <v>46747</v>
      </c>
      <c r="C1829" t="s">
        <v>1448</v>
      </c>
      <c r="D1829" t="s">
        <v>1150</v>
      </c>
      <c r="E1829" s="3" t="str">
        <f>IF(LEN(Base_Periodo1[[#This Row],[CLASS]])&gt;=7,LEFT(Base_Periodo1[[#This Row],[CLASS]],7),"")</f>
        <v>1.1.3.1</v>
      </c>
      <c r="F1829" s="3" t="str">
        <f>VLOOKUP(Base_Periodo1[[#This Row],[Aux]],Base_Contas_Balanco[#All],2,FALSE)</f>
        <v>Estoques Proprios</v>
      </c>
      <c r="G1829" s="1"/>
      <c r="H1829" s="225">
        <v>274685.15000000026</v>
      </c>
      <c r="I1829" s="225">
        <v>0</v>
      </c>
      <c r="J1829" s="225">
        <v>35119.030000000006</v>
      </c>
      <c r="K1829" s="225">
        <v>309804.18000000028</v>
      </c>
      <c r="L18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-309804.18</v>
      </c>
      <c r="M1829" s="225">
        <f>ROUND(IF(AND(Base_Periodo1[[#This Row],[Tipo_Linha]]="-",Base_Periodo1[[#This Row],[TIPOSALDO]]="D"),Base_Periodo1[[#This Row],[SALDO_ATUAL]]*-1,Base_Periodo1[[#This Row],[SALDO_ATUAL]]),4)</f>
        <v>309804.18</v>
      </c>
      <c r="N1829" t="s">
        <v>396</v>
      </c>
      <c r="O1829" t="s">
        <v>459</v>
      </c>
      <c r="P1829" t="s">
        <v>459</v>
      </c>
      <c r="Q1829">
        <v>8</v>
      </c>
      <c r="R1829" s="225">
        <f>Base_Periodo1[[#This Row],[CREDITOS]]-Base_Periodo1[[#This Row],[DEBITOS]]</f>
        <v>35119.030000000006</v>
      </c>
      <c r="S1829" s="3" t="str">
        <f>IF(ISERROR(VLOOKUP(Base_Periodo1[[#This Row],[CONTA]],BaseContasDRE[#All],4,FALSE)),"Fora do DRE",VLOOKUP(Base_Periodo1[[#This Row],[CONTA]],BaseContasDRE[#All],4,FALSE))</f>
        <v>Fora do DRE</v>
      </c>
      <c r="T1829" s="3" t="str">
        <f>IF(ISERROR(VLOOKUP(Base_Periodo1[[#This Row],[CONTA]],BaseContasDRE[#All],5,FALSE)),"Fora do DRE",VLOOKUP(Base_Periodo1[[#This Row],[CONTA]],BaseContasDRE[#All],6,FALSE))</f>
        <v>Fora do DRE</v>
      </c>
      <c r="U1829" s="3" t="str">
        <f>IF(ISERROR(VLOOKUP(Base_Periodo1[[#This Row],[CONTA]],BaseContasDRE[#All],7,FALSE)),"Fora do DRE",VLOOKUP(Base_Periodo1[[#This Row],[CONTA]],BaseContasDRE[#All],7,FALSE))</f>
        <v>Fora do DRE</v>
      </c>
      <c r="V1829" s="3" t="str">
        <f>IF(Base_Periodo1[[#This Row],[Tipo_Linha]]="Fora do DRE","Fora do DRE","( "&amp;Base_Periodo1[[#This Row],[Tipo_Linha]]&amp;" ) "&amp;Base_Periodo1[[#This Row],[Filtro]])</f>
        <v>Fora do DRE</v>
      </c>
      <c r="W1829" s="3" t="str">
        <f>LEFT(Base_Periodo1[[#This Row],[CLASS]],3)</f>
        <v>1.1</v>
      </c>
    </row>
    <row r="1830" spans="1:23" hidden="1">
      <c r="A1830" s="3" t="str">
        <f t="shared" si="28"/>
        <v>Período 1</v>
      </c>
      <c r="B1830">
        <v>52508</v>
      </c>
      <c r="C1830" t="s">
        <v>4723</v>
      </c>
      <c r="D1830" t="s">
        <v>1176</v>
      </c>
      <c r="E1830" s="3" t="str">
        <f>IF(LEN(Base_Periodo1[[#This Row],[CLASS]])&gt;=7,LEFT(Base_Periodo1[[#This Row],[CLASS]],7),"")</f>
        <v>1.1.3.1</v>
      </c>
      <c r="F1830" s="3" t="str">
        <f>VLOOKUP(Base_Periodo1[[#This Row],[Aux]],Base_Contas_Balanco[#All],2,FALSE)</f>
        <v>Estoques Proprios</v>
      </c>
      <c r="G1830" s="1">
        <v>42886</v>
      </c>
      <c r="H1830" s="225">
        <v>159273.06000000003</v>
      </c>
      <c r="I1830" s="225">
        <v>0</v>
      </c>
      <c r="J1830" s="225">
        <v>5679.05</v>
      </c>
      <c r="K1830" s="225">
        <v>164952.11000000002</v>
      </c>
      <c r="L18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-164952.10999999999</v>
      </c>
      <c r="M1830" s="225">
        <f>ROUND(IF(AND(Base_Periodo1[[#This Row],[Tipo_Linha]]="-",Base_Periodo1[[#This Row],[TIPOSALDO]]="D"),Base_Periodo1[[#This Row],[SALDO_ATUAL]]*-1,Base_Periodo1[[#This Row],[SALDO_ATUAL]]),4)</f>
        <v>164952.10999999999</v>
      </c>
      <c r="N1830" t="s">
        <v>116</v>
      </c>
      <c r="O1830" t="s">
        <v>459</v>
      </c>
      <c r="P1830" t="s">
        <v>459</v>
      </c>
      <c r="Q1830">
        <v>9</v>
      </c>
      <c r="R1830" s="225">
        <f>Base_Periodo1[[#This Row],[CREDITOS]]-Base_Periodo1[[#This Row],[DEBITOS]]</f>
        <v>5679.05</v>
      </c>
      <c r="S1830" s="3" t="str">
        <f>IF(ISERROR(VLOOKUP(Base_Periodo1[[#This Row],[CONTA]],BaseContasDRE[#All],4,FALSE)),"Fora do DRE",VLOOKUP(Base_Periodo1[[#This Row],[CONTA]],BaseContasDRE[#All],4,FALSE))</f>
        <v>Fora do DRE</v>
      </c>
      <c r="T1830" s="3" t="str">
        <f>IF(ISERROR(VLOOKUP(Base_Periodo1[[#This Row],[CONTA]],BaseContasDRE[#All],5,FALSE)),"Fora do DRE",VLOOKUP(Base_Periodo1[[#This Row],[CONTA]],BaseContasDRE[#All],6,FALSE))</f>
        <v>Fora do DRE</v>
      </c>
      <c r="U1830" s="3" t="str">
        <f>IF(ISERROR(VLOOKUP(Base_Periodo1[[#This Row],[CONTA]],BaseContasDRE[#All],7,FALSE)),"Fora do DRE",VLOOKUP(Base_Periodo1[[#This Row],[CONTA]],BaseContasDRE[#All],7,FALSE))</f>
        <v>Fora do DRE</v>
      </c>
      <c r="V1830" s="3" t="str">
        <f>IF(Base_Periodo1[[#This Row],[Tipo_Linha]]="Fora do DRE","Fora do DRE","( "&amp;Base_Periodo1[[#This Row],[Tipo_Linha]]&amp;" ) "&amp;Base_Periodo1[[#This Row],[Filtro]])</f>
        <v>Fora do DRE</v>
      </c>
      <c r="W1830" s="3" t="str">
        <f>LEFT(Base_Periodo1[[#This Row],[CLASS]],3)</f>
        <v>1.1</v>
      </c>
    </row>
    <row r="1831" spans="1:23" hidden="1">
      <c r="A1831" s="3" t="str">
        <f t="shared" si="28"/>
        <v>Período 1</v>
      </c>
      <c r="B1831">
        <v>46748</v>
      </c>
      <c r="C1831" t="s">
        <v>1449</v>
      </c>
      <c r="D1831" t="s">
        <v>1140</v>
      </c>
      <c r="E1831" s="3" t="str">
        <f>IF(LEN(Base_Periodo1[[#This Row],[CLASS]])&gt;=7,LEFT(Base_Periodo1[[#This Row],[CLASS]],7),"")</f>
        <v>1.1.3.1</v>
      </c>
      <c r="F1831" s="3" t="str">
        <f>VLOOKUP(Base_Periodo1[[#This Row],[Aux]],Base_Contas_Balanco[#All],2,FALSE)</f>
        <v>Estoques Proprios</v>
      </c>
      <c r="G1831" s="1">
        <v>42886</v>
      </c>
      <c r="H1831" s="225">
        <v>115412.0900000002</v>
      </c>
      <c r="I1831" s="225">
        <v>0</v>
      </c>
      <c r="J1831" s="225">
        <v>29439.980000000003</v>
      </c>
      <c r="K1831" s="225">
        <v>144852.07000000021</v>
      </c>
      <c r="L18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-144852.07</v>
      </c>
      <c r="M1831" s="225">
        <f>ROUND(IF(AND(Base_Periodo1[[#This Row],[Tipo_Linha]]="-",Base_Periodo1[[#This Row],[TIPOSALDO]]="D"),Base_Periodo1[[#This Row],[SALDO_ATUAL]]*-1,Base_Periodo1[[#This Row],[SALDO_ATUAL]]),4)</f>
        <v>144852.07</v>
      </c>
      <c r="N1831" t="s">
        <v>116</v>
      </c>
      <c r="O1831" t="s">
        <v>459</v>
      </c>
      <c r="P1831" t="s">
        <v>459</v>
      </c>
      <c r="Q1831">
        <v>9</v>
      </c>
      <c r="R1831" s="225">
        <f>Base_Periodo1[[#This Row],[CREDITOS]]-Base_Periodo1[[#This Row],[DEBITOS]]</f>
        <v>29439.980000000003</v>
      </c>
      <c r="S1831" s="3" t="str">
        <f>IF(ISERROR(VLOOKUP(Base_Periodo1[[#This Row],[CONTA]],BaseContasDRE[#All],4,FALSE)),"Fora do DRE",VLOOKUP(Base_Periodo1[[#This Row],[CONTA]],BaseContasDRE[#All],4,FALSE))</f>
        <v>Fora do DRE</v>
      </c>
      <c r="T1831" s="3" t="str">
        <f>IF(ISERROR(VLOOKUP(Base_Periodo1[[#This Row],[CONTA]],BaseContasDRE[#All],5,FALSE)),"Fora do DRE",VLOOKUP(Base_Periodo1[[#This Row],[CONTA]],BaseContasDRE[#All],6,FALSE))</f>
        <v>Fora do DRE</v>
      </c>
      <c r="U1831" s="3" t="str">
        <f>IF(ISERROR(VLOOKUP(Base_Periodo1[[#This Row],[CONTA]],BaseContasDRE[#All],7,FALSE)),"Fora do DRE",VLOOKUP(Base_Periodo1[[#This Row],[CONTA]],BaseContasDRE[#All],7,FALSE))</f>
        <v>Fora do DRE</v>
      </c>
      <c r="V1831" s="3" t="str">
        <f>IF(Base_Periodo1[[#This Row],[Tipo_Linha]]="Fora do DRE","Fora do DRE","( "&amp;Base_Periodo1[[#This Row],[Tipo_Linha]]&amp;" ) "&amp;Base_Periodo1[[#This Row],[Filtro]])</f>
        <v>Fora do DRE</v>
      </c>
      <c r="W1831" s="3" t="str">
        <f>LEFT(Base_Periodo1[[#This Row],[CLASS]],3)</f>
        <v>1.1</v>
      </c>
    </row>
    <row r="1832" spans="1:23" hidden="1">
      <c r="A1832" s="3" t="str">
        <f t="shared" si="28"/>
        <v>Período 1</v>
      </c>
      <c r="B1832">
        <v>47801</v>
      </c>
      <c r="C1832" t="s">
        <v>1450</v>
      </c>
      <c r="D1832" t="s">
        <v>1451</v>
      </c>
      <c r="E1832" s="3" t="str">
        <f>IF(LEN(Base_Periodo1[[#This Row],[CLASS]])&gt;=7,LEFT(Base_Periodo1[[#This Row],[CLASS]],7),"")</f>
        <v>1.1.3.1</v>
      </c>
      <c r="F1832" s="3" t="str">
        <f>VLOOKUP(Base_Periodo1[[#This Row],[Aux]],Base_Contas_Balanco[#All],2,FALSE)</f>
        <v>Estoques Proprios</v>
      </c>
      <c r="G1832" s="1"/>
      <c r="H1832" s="225">
        <v>75206.12000000001</v>
      </c>
      <c r="I1832" s="225">
        <v>0</v>
      </c>
      <c r="J1832" s="225">
        <v>0</v>
      </c>
      <c r="K1832" s="225">
        <v>75206.12000000001</v>
      </c>
      <c r="L18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75206.12</v>
      </c>
      <c r="M1832" s="225">
        <f>ROUND(IF(AND(Base_Periodo1[[#This Row],[Tipo_Linha]]="-",Base_Periodo1[[#This Row],[TIPOSALDO]]="D"),Base_Periodo1[[#This Row],[SALDO_ATUAL]]*-1,Base_Periodo1[[#This Row],[SALDO_ATUAL]]),4)</f>
        <v>75206.12</v>
      </c>
      <c r="N1832" t="s">
        <v>396</v>
      </c>
      <c r="O1832" t="s">
        <v>397</v>
      </c>
      <c r="P1832" t="s">
        <v>397</v>
      </c>
      <c r="Q1832">
        <v>7</v>
      </c>
      <c r="R1832" s="225">
        <f>Base_Periodo1[[#This Row],[CREDITOS]]-Base_Periodo1[[#This Row],[DEBITOS]]</f>
        <v>0</v>
      </c>
      <c r="S1832" s="3" t="str">
        <f>IF(ISERROR(VLOOKUP(Base_Periodo1[[#This Row],[CONTA]],BaseContasDRE[#All],4,FALSE)),"Fora do DRE",VLOOKUP(Base_Periodo1[[#This Row],[CONTA]],BaseContasDRE[#All],4,FALSE))</f>
        <v>Fora do DRE</v>
      </c>
      <c r="T1832" s="3" t="str">
        <f>IF(ISERROR(VLOOKUP(Base_Periodo1[[#This Row],[CONTA]],BaseContasDRE[#All],5,FALSE)),"Fora do DRE",VLOOKUP(Base_Periodo1[[#This Row],[CONTA]],BaseContasDRE[#All],6,FALSE))</f>
        <v>Fora do DRE</v>
      </c>
      <c r="U1832" s="3" t="str">
        <f>IF(ISERROR(VLOOKUP(Base_Periodo1[[#This Row],[CONTA]],BaseContasDRE[#All],7,FALSE)),"Fora do DRE",VLOOKUP(Base_Periodo1[[#This Row],[CONTA]],BaseContasDRE[#All],7,FALSE))</f>
        <v>Fora do DRE</v>
      </c>
      <c r="V1832" s="3" t="str">
        <f>IF(Base_Periodo1[[#This Row],[Tipo_Linha]]="Fora do DRE","Fora do DRE","( "&amp;Base_Periodo1[[#This Row],[Tipo_Linha]]&amp;" ) "&amp;Base_Periodo1[[#This Row],[Filtro]])</f>
        <v>Fora do DRE</v>
      </c>
      <c r="W1832" s="3" t="str">
        <f>LEFT(Base_Periodo1[[#This Row],[CLASS]],3)</f>
        <v>1.1</v>
      </c>
    </row>
    <row r="1833" spans="1:23" hidden="1">
      <c r="A1833" s="3" t="str">
        <f t="shared" si="28"/>
        <v>Período 1</v>
      </c>
      <c r="B1833">
        <v>47802</v>
      </c>
      <c r="C1833" t="s">
        <v>4227</v>
      </c>
      <c r="D1833" t="s">
        <v>1054</v>
      </c>
      <c r="E1833" s="3" t="str">
        <f>IF(LEN(Base_Periodo1[[#This Row],[CLASS]])&gt;=7,LEFT(Base_Periodo1[[#This Row],[CLASS]],7),"")</f>
        <v>1.1.3.1</v>
      </c>
      <c r="F1833" s="3" t="str">
        <f>VLOOKUP(Base_Periodo1[[#This Row],[Aux]],Base_Contas_Balanco[#All],2,FALSE)</f>
        <v>Estoques Proprios</v>
      </c>
      <c r="G1833" s="1"/>
      <c r="H1833" s="225">
        <v>75206.12</v>
      </c>
      <c r="I1833" s="225">
        <v>0</v>
      </c>
      <c r="J1833" s="225">
        <v>0</v>
      </c>
      <c r="K1833" s="225">
        <v>75206.12</v>
      </c>
      <c r="L18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75206.12</v>
      </c>
      <c r="M1833" s="225">
        <f>ROUND(IF(AND(Base_Periodo1[[#This Row],[Tipo_Linha]]="-",Base_Periodo1[[#This Row],[TIPOSALDO]]="D"),Base_Periodo1[[#This Row],[SALDO_ATUAL]]*-1,Base_Periodo1[[#This Row],[SALDO_ATUAL]]),4)</f>
        <v>75206.12</v>
      </c>
      <c r="N1833" t="s">
        <v>396</v>
      </c>
      <c r="O1833" t="s">
        <v>397</v>
      </c>
      <c r="P1833" t="s">
        <v>397</v>
      </c>
      <c r="Q1833">
        <v>8</v>
      </c>
      <c r="R1833" s="225">
        <f>Base_Periodo1[[#This Row],[CREDITOS]]-Base_Periodo1[[#This Row],[DEBITOS]]</f>
        <v>0</v>
      </c>
      <c r="S1833" s="3" t="str">
        <f>IF(ISERROR(VLOOKUP(Base_Periodo1[[#This Row],[CONTA]],BaseContasDRE[#All],4,FALSE)),"Fora do DRE",VLOOKUP(Base_Periodo1[[#This Row],[CONTA]],BaseContasDRE[#All],4,FALSE))</f>
        <v>Fora do DRE</v>
      </c>
      <c r="T1833" s="3" t="str">
        <f>IF(ISERROR(VLOOKUP(Base_Periodo1[[#This Row],[CONTA]],BaseContasDRE[#All],5,FALSE)),"Fora do DRE",VLOOKUP(Base_Periodo1[[#This Row],[CONTA]],BaseContasDRE[#All],6,FALSE))</f>
        <v>Fora do DRE</v>
      </c>
      <c r="U1833" s="3" t="str">
        <f>IF(ISERROR(VLOOKUP(Base_Periodo1[[#This Row],[CONTA]],BaseContasDRE[#All],7,FALSE)),"Fora do DRE",VLOOKUP(Base_Periodo1[[#This Row],[CONTA]],BaseContasDRE[#All],7,FALSE))</f>
        <v>Fora do DRE</v>
      </c>
      <c r="V1833" s="3" t="str">
        <f>IF(Base_Periodo1[[#This Row],[Tipo_Linha]]="Fora do DRE","Fora do DRE","( "&amp;Base_Periodo1[[#This Row],[Tipo_Linha]]&amp;" ) "&amp;Base_Periodo1[[#This Row],[Filtro]])</f>
        <v>Fora do DRE</v>
      </c>
      <c r="W1833" s="3" t="str">
        <f>LEFT(Base_Periodo1[[#This Row],[CLASS]],3)</f>
        <v>1.1</v>
      </c>
    </row>
    <row r="1834" spans="1:23" hidden="1">
      <c r="A1834" s="3" t="str">
        <f t="shared" si="28"/>
        <v>Período 1</v>
      </c>
      <c r="B1834">
        <v>47803</v>
      </c>
      <c r="C1834" t="s">
        <v>4228</v>
      </c>
      <c r="D1834" t="s">
        <v>1054</v>
      </c>
      <c r="E1834" s="3" t="str">
        <f>IF(LEN(Base_Periodo1[[#This Row],[CLASS]])&gt;=7,LEFT(Base_Periodo1[[#This Row],[CLASS]],7),"")</f>
        <v>1.1.3.1</v>
      </c>
      <c r="F1834" s="3" t="str">
        <f>VLOOKUP(Base_Periodo1[[#This Row],[Aux]],Base_Contas_Balanco[#All],2,FALSE)</f>
        <v>Estoques Proprios</v>
      </c>
      <c r="G1834" s="1">
        <v>42794</v>
      </c>
      <c r="H1834" s="225">
        <v>75206.12</v>
      </c>
      <c r="I1834" s="225">
        <v>0</v>
      </c>
      <c r="J1834" s="225">
        <v>0</v>
      </c>
      <c r="K1834" s="225">
        <v>75206.12</v>
      </c>
      <c r="L18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75206.12</v>
      </c>
      <c r="M1834" s="225">
        <f>ROUND(IF(AND(Base_Periodo1[[#This Row],[Tipo_Linha]]="-",Base_Periodo1[[#This Row],[TIPOSALDO]]="D"),Base_Periodo1[[#This Row],[SALDO_ATUAL]]*-1,Base_Periodo1[[#This Row],[SALDO_ATUAL]]),4)</f>
        <v>75206.12</v>
      </c>
      <c r="N1834" t="s">
        <v>116</v>
      </c>
      <c r="O1834" t="s">
        <v>397</v>
      </c>
      <c r="P1834" t="s">
        <v>397</v>
      </c>
      <c r="Q1834">
        <v>9</v>
      </c>
      <c r="R1834" s="225">
        <f>Base_Periodo1[[#This Row],[CREDITOS]]-Base_Periodo1[[#This Row],[DEBITOS]]</f>
        <v>0</v>
      </c>
      <c r="S1834" s="3" t="str">
        <f>IF(ISERROR(VLOOKUP(Base_Periodo1[[#This Row],[CONTA]],BaseContasDRE[#All],4,FALSE)),"Fora do DRE",VLOOKUP(Base_Periodo1[[#This Row],[CONTA]],BaseContasDRE[#All],4,FALSE))</f>
        <v>Fora do DRE</v>
      </c>
      <c r="T1834" s="3" t="str">
        <f>IF(ISERROR(VLOOKUP(Base_Periodo1[[#This Row],[CONTA]],BaseContasDRE[#All],5,FALSE)),"Fora do DRE",VLOOKUP(Base_Periodo1[[#This Row],[CONTA]],BaseContasDRE[#All],6,FALSE))</f>
        <v>Fora do DRE</v>
      </c>
      <c r="U1834" s="3" t="str">
        <f>IF(ISERROR(VLOOKUP(Base_Periodo1[[#This Row],[CONTA]],BaseContasDRE[#All],7,FALSE)),"Fora do DRE",VLOOKUP(Base_Periodo1[[#This Row],[CONTA]],BaseContasDRE[#All],7,FALSE))</f>
        <v>Fora do DRE</v>
      </c>
      <c r="V1834" s="3" t="str">
        <f>IF(Base_Periodo1[[#This Row],[Tipo_Linha]]="Fora do DRE","Fora do DRE","( "&amp;Base_Periodo1[[#This Row],[Tipo_Linha]]&amp;" ) "&amp;Base_Periodo1[[#This Row],[Filtro]])</f>
        <v>Fora do DRE</v>
      </c>
      <c r="W1834" s="3" t="str">
        <f>LEFT(Base_Periodo1[[#This Row],[CLASS]],3)</f>
        <v>1.1</v>
      </c>
    </row>
    <row r="1835" spans="1:23" hidden="1">
      <c r="A1835" s="3" t="str">
        <f t="shared" si="28"/>
        <v>Período 1</v>
      </c>
      <c r="B1835">
        <v>1191</v>
      </c>
      <c r="C1835" t="s">
        <v>1453</v>
      </c>
      <c r="D1835" t="s">
        <v>1454</v>
      </c>
      <c r="E1835" s="3" t="str">
        <f>IF(LEN(Base_Periodo1[[#This Row],[CLASS]])&gt;=7,LEFT(Base_Periodo1[[#This Row],[CLASS]],7),"")</f>
        <v>1.1.3.1</v>
      </c>
      <c r="F1835" s="3" t="str">
        <f>VLOOKUP(Base_Periodo1[[#This Row],[Aux]],Base_Contas_Balanco[#All],2,FALSE)</f>
        <v>Estoques Proprios</v>
      </c>
      <c r="G1835" s="1"/>
      <c r="H1835" s="225">
        <v>529418.43000000576</v>
      </c>
      <c r="I1835" s="225">
        <v>184730.5</v>
      </c>
      <c r="J1835" s="225">
        <v>22798.94</v>
      </c>
      <c r="K1835" s="225">
        <v>691349.99000000581</v>
      </c>
      <c r="L18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691349.99</v>
      </c>
      <c r="M1835" s="225">
        <f>ROUND(IF(AND(Base_Periodo1[[#This Row],[Tipo_Linha]]="-",Base_Periodo1[[#This Row],[TIPOSALDO]]="D"),Base_Periodo1[[#This Row],[SALDO_ATUAL]]*-1,Base_Periodo1[[#This Row],[SALDO_ATUAL]]),4)</f>
        <v>691349.99</v>
      </c>
      <c r="N1835" t="s">
        <v>396</v>
      </c>
      <c r="O1835" t="s">
        <v>397</v>
      </c>
      <c r="P1835" t="s">
        <v>397</v>
      </c>
      <c r="Q1835">
        <v>5</v>
      </c>
      <c r="R1835" s="225">
        <f>Base_Periodo1[[#This Row],[CREDITOS]]-Base_Periodo1[[#This Row],[DEBITOS]]</f>
        <v>-161931.56</v>
      </c>
      <c r="S1835" s="3" t="str">
        <f>IF(ISERROR(VLOOKUP(Base_Periodo1[[#This Row],[CONTA]],BaseContasDRE[#All],4,FALSE)),"Fora do DRE",VLOOKUP(Base_Periodo1[[#This Row],[CONTA]],BaseContasDRE[#All],4,FALSE))</f>
        <v>Fora do DRE</v>
      </c>
      <c r="T1835" s="3" t="str">
        <f>IF(ISERROR(VLOOKUP(Base_Periodo1[[#This Row],[CONTA]],BaseContasDRE[#All],5,FALSE)),"Fora do DRE",VLOOKUP(Base_Periodo1[[#This Row],[CONTA]],BaseContasDRE[#All],6,FALSE))</f>
        <v>Fora do DRE</v>
      </c>
      <c r="U1835" s="3" t="str">
        <f>IF(ISERROR(VLOOKUP(Base_Periodo1[[#This Row],[CONTA]],BaseContasDRE[#All],7,FALSE)),"Fora do DRE",VLOOKUP(Base_Periodo1[[#This Row],[CONTA]],BaseContasDRE[#All],7,FALSE))</f>
        <v>Fora do DRE</v>
      </c>
      <c r="V1835" s="3" t="str">
        <f>IF(Base_Periodo1[[#This Row],[Tipo_Linha]]="Fora do DRE","Fora do DRE","( "&amp;Base_Periodo1[[#This Row],[Tipo_Linha]]&amp;" ) "&amp;Base_Periodo1[[#This Row],[Filtro]])</f>
        <v>Fora do DRE</v>
      </c>
      <c r="W1835" s="3" t="str">
        <f>LEFT(Base_Periodo1[[#This Row],[CLASS]],3)</f>
        <v>1.1</v>
      </c>
    </row>
    <row r="1836" spans="1:23" hidden="1">
      <c r="A1836" s="3" t="str">
        <f t="shared" si="28"/>
        <v>Período 1</v>
      </c>
      <c r="B1836">
        <v>1192</v>
      </c>
      <c r="C1836" t="s">
        <v>1455</v>
      </c>
      <c r="D1836" t="s">
        <v>1456</v>
      </c>
      <c r="E1836" s="3" t="str">
        <f>IF(LEN(Base_Periodo1[[#This Row],[CLASS]])&gt;=7,LEFT(Base_Periodo1[[#This Row],[CLASS]],7),"")</f>
        <v>1.1.3.1</v>
      </c>
      <c r="F1836" s="3" t="str">
        <f>VLOOKUP(Base_Periodo1[[#This Row],[Aux]],Base_Contas_Balanco[#All],2,FALSE)</f>
        <v>Estoques Proprios</v>
      </c>
      <c r="G1836" s="1"/>
      <c r="H1836" s="225">
        <v>176420.10000000568</v>
      </c>
      <c r="I1836" s="225">
        <v>144728.9</v>
      </c>
      <c r="J1836" s="225">
        <v>20107.739999999998</v>
      </c>
      <c r="K1836" s="225">
        <v>301041.26000000571</v>
      </c>
      <c r="L18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301041.26</v>
      </c>
      <c r="M1836" s="225">
        <f>ROUND(IF(AND(Base_Periodo1[[#This Row],[Tipo_Linha]]="-",Base_Periodo1[[#This Row],[TIPOSALDO]]="D"),Base_Periodo1[[#This Row],[SALDO_ATUAL]]*-1,Base_Periodo1[[#This Row],[SALDO_ATUAL]]),4)</f>
        <v>301041.26</v>
      </c>
      <c r="N1836" t="s">
        <v>396</v>
      </c>
      <c r="O1836" t="s">
        <v>397</v>
      </c>
      <c r="P1836" t="s">
        <v>397</v>
      </c>
      <c r="Q1836">
        <v>6</v>
      </c>
      <c r="R1836" s="225">
        <f>Base_Periodo1[[#This Row],[CREDITOS]]-Base_Periodo1[[#This Row],[DEBITOS]]</f>
        <v>-124621.16</v>
      </c>
      <c r="S1836" s="3" t="str">
        <f>IF(ISERROR(VLOOKUP(Base_Periodo1[[#This Row],[CONTA]],BaseContasDRE[#All],4,FALSE)),"Fora do DRE",VLOOKUP(Base_Periodo1[[#This Row],[CONTA]],BaseContasDRE[#All],4,FALSE))</f>
        <v>Fora do DRE</v>
      </c>
      <c r="T1836" s="3" t="str">
        <f>IF(ISERROR(VLOOKUP(Base_Periodo1[[#This Row],[CONTA]],BaseContasDRE[#All],5,FALSE)),"Fora do DRE",VLOOKUP(Base_Periodo1[[#This Row],[CONTA]],BaseContasDRE[#All],6,FALSE))</f>
        <v>Fora do DRE</v>
      </c>
      <c r="U1836" s="3" t="str">
        <f>IF(ISERROR(VLOOKUP(Base_Periodo1[[#This Row],[CONTA]],BaseContasDRE[#All],7,FALSE)),"Fora do DRE",VLOOKUP(Base_Periodo1[[#This Row],[CONTA]],BaseContasDRE[#All],7,FALSE))</f>
        <v>Fora do DRE</v>
      </c>
      <c r="V1836" s="3" t="str">
        <f>IF(Base_Periodo1[[#This Row],[Tipo_Linha]]="Fora do DRE","Fora do DRE","( "&amp;Base_Periodo1[[#This Row],[Tipo_Linha]]&amp;" ) "&amp;Base_Periodo1[[#This Row],[Filtro]])</f>
        <v>Fora do DRE</v>
      </c>
      <c r="W1836" s="3" t="str">
        <f>LEFT(Base_Periodo1[[#This Row],[CLASS]],3)</f>
        <v>1.1</v>
      </c>
    </row>
    <row r="1837" spans="1:23" hidden="1">
      <c r="A1837" s="3" t="str">
        <f t="shared" si="28"/>
        <v>Período 1</v>
      </c>
      <c r="B1837">
        <v>1193</v>
      </c>
      <c r="C1837" t="s">
        <v>1457</v>
      </c>
      <c r="D1837" t="s">
        <v>1458</v>
      </c>
      <c r="E1837" s="3" t="str">
        <f>IF(LEN(Base_Periodo1[[#This Row],[CLASS]])&gt;=7,LEFT(Base_Periodo1[[#This Row],[CLASS]],7),"")</f>
        <v>1.1.3.1</v>
      </c>
      <c r="F1837" s="3" t="str">
        <f>VLOOKUP(Base_Periodo1[[#This Row],[Aux]],Base_Contas_Balanco[#All],2,FALSE)</f>
        <v>Estoques Proprios</v>
      </c>
      <c r="G1837" s="1"/>
      <c r="H1837" s="225">
        <v>176420.10000000568</v>
      </c>
      <c r="I1837" s="225">
        <v>144728.9</v>
      </c>
      <c r="J1837" s="225">
        <v>20107.739999999998</v>
      </c>
      <c r="K1837" s="225">
        <v>301041.26000000571</v>
      </c>
      <c r="L18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301041.26</v>
      </c>
      <c r="M1837" s="225">
        <f>ROUND(IF(AND(Base_Periodo1[[#This Row],[Tipo_Linha]]="-",Base_Periodo1[[#This Row],[TIPOSALDO]]="D"),Base_Periodo1[[#This Row],[SALDO_ATUAL]]*-1,Base_Periodo1[[#This Row],[SALDO_ATUAL]]),4)</f>
        <v>301041.26</v>
      </c>
      <c r="N1837" t="s">
        <v>396</v>
      </c>
      <c r="O1837" t="s">
        <v>397</v>
      </c>
      <c r="P1837" t="s">
        <v>397</v>
      </c>
      <c r="Q1837">
        <v>7</v>
      </c>
      <c r="R1837" s="225">
        <f>Base_Periodo1[[#This Row],[CREDITOS]]-Base_Periodo1[[#This Row],[DEBITOS]]</f>
        <v>-124621.16</v>
      </c>
      <c r="S1837" s="3" t="str">
        <f>IF(ISERROR(VLOOKUP(Base_Periodo1[[#This Row],[CONTA]],BaseContasDRE[#All],4,FALSE)),"Fora do DRE",VLOOKUP(Base_Periodo1[[#This Row],[CONTA]],BaseContasDRE[#All],4,FALSE))</f>
        <v>Fora do DRE</v>
      </c>
      <c r="T1837" s="3" t="str">
        <f>IF(ISERROR(VLOOKUP(Base_Periodo1[[#This Row],[CONTA]],BaseContasDRE[#All],5,FALSE)),"Fora do DRE",VLOOKUP(Base_Periodo1[[#This Row],[CONTA]],BaseContasDRE[#All],6,FALSE))</f>
        <v>Fora do DRE</v>
      </c>
      <c r="U1837" s="3" t="str">
        <f>IF(ISERROR(VLOOKUP(Base_Periodo1[[#This Row],[CONTA]],BaseContasDRE[#All],7,FALSE)),"Fora do DRE",VLOOKUP(Base_Periodo1[[#This Row],[CONTA]],BaseContasDRE[#All],7,FALSE))</f>
        <v>Fora do DRE</v>
      </c>
      <c r="V1837" s="3" t="str">
        <f>IF(Base_Periodo1[[#This Row],[Tipo_Linha]]="Fora do DRE","Fora do DRE","( "&amp;Base_Periodo1[[#This Row],[Tipo_Linha]]&amp;" ) "&amp;Base_Periodo1[[#This Row],[Filtro]])</f>
        <v>Fora do DRE</v>
      </c>
      <c r="W1837" s="3" t="str">
        <f>LEFT(Base_Periodo1[[#This Row],[CLASS]],3)</f>
        <v>1.1</v>
      </c>
    </row>
    <row r="1838" spans="1:23" hidden="1">
      <c r="A1838" s="3" t="str">
        <f t="shared" si="28"/>
        <v>Período 1</v>
      </c>
      <c r="B1838">
        <v>1194</v>
      </c>
      <c r="C1838" t="s">
        <v>1459</v>
      </c>
      <c r="D1838" t="s">
        <v>1054</v>
      </c>
      <c r="E1838" s="3" t="str">
        <f>IF(LEN(Base_Periodo1[[#This Row],[CLASS]])&gt;=7,LEFT(Base_Periodo1[[#This Row],[CLASS]],7),"")</f>
        <v>1.1.3.1</v>
      </c>
      <c r="F1838" s="3" t="str">
        <f>VLOOKUP(Base_Periodo1[[#This Row],[Aux]],Base_Contas_Balanco[#All],2,FALSE)</f>
        <v>Estoques Proprios</v>
      </c>
      <c r="G1838" s="1"/>
      <c r="H1838" s="225">
        <v>515440.1099999994</v>
      </c>
      <c r="I1838" s="225">
        <v>0</v>
      </c>
      <c r="J1838" s="225">
        <v>0</v>
      </c>
      <c r="K1838" s="225">
        <v>515440.1099999994</v>
      </c>
      <c r="L18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515440.11</v>
      </c>
      <c r="M1838" s="225">
        <f>ROUND(IF(AND(Base_Periodo1[[#This Row],[Tipo_Linha]]="-",Base_Periodo1[[#This Row],[TIPOSALDO]]="D"),Base_Periodo1[[#This Row],[SALDO_ATUAL]]*-1,Base_Periodo1[[#This Row],[SALDO_ATUAL]]),4)</f>
        <v>515440.11</v>
      </c>
      <c r="N1838" t="s">
        <v>396</v>
      </c>
      <c r="O1838" t="s">
        <v>397</v>
      </c>
      <c r="P1838" t="s">
        <v>397</v>
      </c>
      <c r="Q1838">
        <v>8</v>
      </c>
      <c r="R1838" s="225">
        <f>Base_Periodo1[[#This Row],[CREDITOS]]-Base_Periodo1[[#This Row],[DEBITOS]]</f>
        <v>0</v>
      </c>
      <c r="S1838" s="3" t="str">
        <f>IF(ISERROR(VLOOKUP(Base_Periodo1[[#This Row],[CONTA]],BaseContasDRE[#All],4,FALSE)),"Fora do DRE",VLOOKUP(Base_Periodo1[[#This Row],[CONTA]],BaseContasDRE[#All],4,FALSE))</f>
        <v>Fora do DRE</v>
      </c>
      <c r="T1838" s="3" t="str">
        <f>IF(ISERROR(VLOOKUP(Base_Periodo1[[#This Row],[CONTA]],BaseContasDRE[#All],5,FALSE)),"Fora do DRE",VLOOKUP(Base_Periodo1[[#This Row],[CONTA]],BaseContasDRE[#All],6,FALSE))</f>
        <v>Fora do DRE</v>
      </c>
      <c r="U1838" s="3" t="str">
        <f>IF(ISERROR(VLOOKUP(Base_Periodo1[[#This Row],[CONTA]],BaseContasDRE[#All],7,FALSE)),"Fora do DRE",VLOOKUP(Base_Periodo1[[#This Row],[CONTA]],BaseContasDRE[#All],7,FALSE))</f>
        <v>Fora do DRE</v>
      </c>
      <c r="V1838" s="3" t="str">
        <f>IF(Base_Periodo1[[#This Row],[Tipo_Linha]]="Fora do DRE","Fora do DRE","( "&amp;Base_Periodo1[[#This Row],[Tipo_Linha]]&amp;" ) "&amp;Base_Periodo1[[#This Row],[Filtro]])</f>
        <v>Fora do DRE</v>
      </c>
      <c r="W1838" s="3" t="str">
        <f>LEFT(Base_Periodo1[[#This Row],[CLASS]],3)</f>
        <v>1.1</v>
      </c>
    </row>
    <row r="1839" spans="1:23" hidden="1">
      <c r="A1839" s="3" t="str">
        <f t="shared" si="28"/>
        <v>Período 1</v>
      </c>
      <c r="B1839">
        <v>1195</v>
      </c>
      <c r="C1839" t="s">
        <v>1460</v>
      </c>
      <c r="D1839" t="s">
        <v>1054</v>
      </c>
      <c r="E1839" s="3" t="str">
        <f>IF(LEN(Base_Periodo1[[#This Row],[CLASS]])&gt;=7,LEFT(Base_Periodo1[[#This Row],[CLASS]],7),"")</f>
        <v>1.1.3.1</v>
      </c>
      <c r="F1839" s="3" t="str">
        <f>VLOOKUP(Base_Periodo1[[#This Row],[Aux]],Base_Contas_Balanco[#All],2,FALSE)</f>
        <v>Estoques Proprios</v>
      </c>
      <c r="G1839" s="1">
        <v>42735</v>
      </c>
      <c r="H1839" s="225">
        <v>515440.1099999994</v>
      </c>
      <c r="I1839" s="225">
        <v>0</v>
      </c>
      <c r="J1839" s="225">
        <v>0</v>
      </c>
      <c r="K1839" s="225">
        <v>515440.1099999994</v>
      </c>
      <c r="L18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515440.11</v>
      </c>
      <c r="M1839" s="225">
        <f>ROUND(IF(AND(Base_Periodo1[[#This Row],[Tipo_Linha]]="-",Base_Periodo1[[#This Row],[TIPOSALDO]]="D"),Base_Periodo1[[#This Row],[SALDO_ATUAL]]*-1,Base_Periodo1[[#This Row],[SALDO_ATUAL]]),4)</f>
        <v>515440.11</v>
      </c>
      <c r="N1839" t="s">
        <v>116</v>
      </c>
      <c r="O1839" t="s">
        <v>397</v>
      </c>
      <c r="P1839" t="s">
        <v>397</v>
      </c>
      <c r="Q1839">
        <v>9</v>
      </c>
      <c r="R1839" s="225">
        <f>Base_Periodo1[[#This Row],[CREDITOS]]-Base_Periodo1[[#This Row],[DEBITOS]]</f>
        <v>0</v>
      </c>
      <c r="S1839" s="3" t="str">
        <f>IF(ISERROR(VLOOKUP(Base_Periodo1[[#This Row],[CONTA]],BaseContasDRE[#All],4,FALSE)),"Fora do DRE",VLOOKUP(Base_Periodo1[[#This Row],[CONTA]],BaseContasDRE[#All],4,FALSE))</f>
        <v>Fora do DRE</v>
      </c>
      <c r="T1839" s="3" t="str">
        <f>IF(ISERROR(VLOOKUP(Base_Periodo1[[#This Row],[CONTA]],BaseContasDRE[#All],5,FALSE)),"Fora do DRE",VLOOKUP(Base_Periodo1[[#This Row],[CONTA]],BaseContasDRE[#All],6,FALSE))</f>
        <v>Fora do DRE</v>
      </c>
      <c r="U1839" s="3" t="str">
        <f>IF(ISERROR(VLOOKUP(Base_Periodo1[[#This Row],[CONTA]],BaseContasDRE[#All],7,FALSE)),"Fora do DRE",VLOOKUP(Base_Periodo1[[#This Row],[CONTA]],BaseContasDRE[#All],7,FALSE))</f>
        <v>Fora do DRE</v>
      </c>
      <c r="V1839" s="3" t="str">
        <f>IF(Base_Periodo1[[#This Row],[Tipo_Linha]]="Fora do DRE","Fora do DRE","( "&amp;Base_Periodo1[[#This Row],[Tipo_Linha]]&amp;" ) "&amp;Base_Periodo1[[#This Row],[Filtro]])</f>
        <v>Fora do DRE</v>
      </c>
      <c r="W1839" s="3" t="str">
        <f>LEFT(Base_Periodo1[[#This Row],[CLASS]],3)</f>
        <v>1.1</v>
      </c>
    </row>
    <row r="1840" spans="1:23" hidden="1">
      <c r="A1840" s="3" t="str">
        <f t="shared" si="28"/>
        <v>Período 1</v>
      </c>
      <c r="B1840">
        <v>1196</v>
      </c>
      <c r="C1840" t="s">
        <v>1461</v>
      </c>
      <c r="D1840" t="s">
        <v>1057</v>
      </c>
      <c r="E1840" s="3" t="str">
        <f>IF(LEN(Base_Periodo1[[#This Row],[CLASS]])&gt;=7,LEFT(Base_Periodo1[[#This Row],[CLASS]],7),"")</f>
        <v>1.1.3.1</v>
      </c>
      <c r="F1840" s="3" t="str">
        <f>VLOOKUP(Base_Periodo1[[#This Row],[Aux]],Base_Contas_Balanco[#All],2,FALSE)</f>
        <v>Estoques Proprios</v>
      </c>
      <c r="G1840" s="1"/>
      <c r="H1840" s="225">
        <v>558823.32000000449</v>
      </c>
      <c r="I1840" s="225">
        <v>138723.5</v>
      </c>
      <c r="J1840" s="225">
        <v>0</v>
      </c>
      <c r="K1840" s="225">
        <v>697546.82000000449</v>
      </c>
      <c r="L18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697546.82</v>
      </c>
      <c r="M1840" s="225">
        <f>ROUND(IF(AND(Base_Periodo1[[#This Row],[Tipo_Linha]]="-",Base_Periodo1[[#This Row],[TIPOSALDO]]="D"),Base_Periodo1[[#This Row],[SALDO_ATUAL]]*-1,Base_Periodo1[[#This Row],[SALDO_ATUAL]]),4)</f>
        <v>697546.82</v>
      </c>
      <c r="N1840" t="s">
        <v>396</v>
      </c>
      <c r="O1840" t="s">
        <v>397</v>
      </c>
      <c r="P1840" t="s">
        <v>397</v>
      </c>
      <c r="Q1840">
        <v>8</v>
      </c>
      <c r="R1840" s="225">
        <f>Base_Periodo1[[#This Row],[CREDITOS]]-Base_Periodo1[[#This Row],[DEBITOS]]</f>
        <v>-138723.5</v>
      </c>
      <c r="S1840" s="3" t="str">
        <f>IF(ISERROR(VLOOKUP(Base_Periodo1[[#This Row],[CONTA]],BaseContasDRE[#All],4,FALSE)),"Fora do DRE",VLOOKUP(Base_Periodo1[[#This Row],[CONTA]],BaseContasDRE[#All],4,FALSE))</f>
        <v>Fora do DRE</v>
      </c>
      <c r="T1840" s="3" t="str">
        <f>IF(ISERROR(VLOOKUP(Base_Periodo1[[#This Row],[CONTA]],BaseContasDRE[#All],5,FALSE)),"Fora do DRE",VLOOKUP(Base_Periodo1[[#This Row],[CONTA]],BaseContasDRE[#All],6,FALSE))</f>
        <v>Fora do DRE</v>
      </c>
      <c r="U1840" s="3" t="str">
        <f>IF(ISERROR(VLOOKUP(Base_Periodo1[[#This Row],[CONTA]],BaseContasDRE[#All],7,FALSE)),"Fora do DRE",VLOOKUP(Base_Periodo1[[#This Row],[CONTA]],BaseContasDRE[#All],7,FALSE))</f>
        <v>Fora do DRE</v>
      </c>
      <c r="V1840" s="3" t="str">
        <f>IF(Base_Periodo1[[#This Row],[Tipo_Linha]]="Fora do DRE","Fora do DRE","( "&amp;Base_Periodo1[[#This Row],[Tipo_Linha]]&amp;" ) "&amp;Base_Periodo1[[#This Row],[Filtro]])</f>
        <v>Fora do DRE</v>
      </c>
      <c r="W1840" s="3" t="str">
        <f>LEFT(Base_Periodo1[[#This Row],[CLASS]],3)</f>
        <v>1.1</v>
      </c>
    </row>
    <row r="1841" spans="1:23" hidden="1">
      <c r="A1841" s="3" t="str">
        <f t="shared" si="28"/>
        <v>Período 1</v>
      </c>
      <c r="B1841">
        <v>1197</v>
      </c>
      <c r="C1841" t="s">
        <v>1462</v>
      </c>
      <c r="D1841" t="s">
        <v>1059</v>
      </c>
      <c r="E1841" s="3" t="str">
        <f>IF(LEN(Base_Periodo1[[#This Row],[CLASS]])&gt;=7,LEFT(Base_Periodo1[[#This Row],[CLASS]],7),"")</f>
        <v>1.1.3.1</v>
      </c>
      <c r="F1841" s="3" t="str">
        <f>VLOOKUP(Base_Periodo1[[#This Row],[Aux]],Base_Contas_Balanco[#All],2,FALSE)</f>
        <v>Estoques Proprios</v>
      </c>
      <c r="G1841" s="1">
        <v>42882</v>
      </c>
      <c r="H1841" s="225">
        <v>103172.75000000047</v>
      </c>
      <c r="I1841" s="225">
        <v>80648.999999999985</v>
      </c>
      <c r="J1841" s="225">
        <v>0</v>
      </c>
      <c r="K1841" s="225">
        <v>183821.75000000047</v>
      </c>
      <c r="L18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183821.75</v>
      </c>
      <c r="M1841" s="225">
        <f>ROUND(IF(AND(Base_Periodo1[[#This Row],[Tipo_Linha]]="-",Base_Periodo1[[#This Row],[TIPOSALDO]]="D"),Base_Periodo1[[#This Row],[SALDO_ATUAL]]*-1,Base_Periodo1[[#This Row],[SALDO_ATUAL]]),4)</f>
        <v>183821.75</v>
      </c>
      <c r="N1841" t="s">
        <v>116</v>
      </c>
      <c r="O1841" t="s">
        <v>397</v>
      </c>
      <c r="P1841" t="s">
        <v>397</v>
      </c>
      <c r="Q1841">
        <v>9</v>
      </c>
      <c r="R1841" s="225">
        <f>Base_Periodo1[[#This Row],[CREDITOS]]-Base_Periodo1[[#This Row],[DEBITOS]]</f>
        <v>-80648.999999999985</v>
      </c>
      <c r="S1841" s="3" t="str">
        <f>IF(ISERROR(VLOOKUP(Base_Periodo1[[#This Row],[CONTA]],BaseContasDRE[#All],4,FALSE)),"Fora do DRE",VLOOKUP(Base_Periodo1[[#This Row],[CONTA]],BaseContasDRE[#All],4,FALSE))</f>
        <v>Fora do DRE</v>
      </c>
      <c r="T1841" s="3" t="str">
        <f>IF(ISERROR(VLOOKUP(Base_Periodo1[[#This Row],[CONTA]],BaseContasDRE[#All],5,FALSE)),"Fora do DRE",VLOOKUP(Base_Periodo1[[#This Row],[CONTA]],BaseContasDRE[#All],6,FALSE))</f>
        <v>Fora do DRE</v>
      </c>
      <c r="U1841" s="3" t="str">
        <f>IF(ISERROR(VLOOKUP(Base_Periodo1[[#This Row],[CONTA]],BaseContasDRE[#All],7,FALSE)),"Fora do DRE",VLOOKUP(Base_Periodo1[[#This Row],[CONTA]],BaseContasDRE[#All],7,FALSE))</f>
        <v>Fora do DRE</v>
      </c>
      <c r="V1841" s="3" t="str">
        <f>IF(Base_Periodo1[[#This Row],[Tipo_Linha]]="Fora do DRE","Fora do DRE","( "&amp;Base_Periodo1[[#This Row],[Tipo_Linha]]&amp;" ) "&amp;Base_Periodo1[[#This Row],[Filtro]])</f>
        <v>Fora do DRE</v>
      </c>
      <c r="W1841" s="3" t="str">
        <f>LEFT(Base_Periodo1[[#This Row],[CLASS]],3)</f>
        <v>1.1</v>
      </c>
    </row>
    <row r="1842" spans="1:23" hidden="1">
      <c r="A1842" s="3" t="str">
        <f t="shared" si="28"/>
        <v>Período 1</v>
      </c>
      <c r="B1842">
        <v>1198</v>
      </c>
      <c r="C1842" t="s">
        <v>1463</v>
      </c>
      <c r="D1842" t="s">
        <v>1061</v>
      </c>
      <c r="E1842" s="3" t="str">
        <f>IF(LEN(Base_Periodo1[[#This Row],[CLASS]])&gt;=7,LEFT(Base_Periodo1[[#This Row],[CLASS]],7),"")</f>
        <v>1.1.3.1</v>
      </c>
      <c r="F1842" s="3" t="str">
        <f>VLOOKUP(Base_Periodo1[[#This Row],[Aux]],Base_Contas_Balanco[#All],2,FALSE)</f>
        <v>Estoques Proprios</v>
      </c>
      <c r="G1842" s="1">
        <v>42886</v>
      </c>
      <c r="H1842" s="225">
        <v>455650.57000000402</v>
      </c>
      <c r="I1842" s="225">
        <v>58074.5</v>
      </c>
      <c r="J1842" s="225">
        <v>0</v>
      </c>
      <c r="K1842" s="225">
        <v>513725.07000000402</v>
      </c>
      <c r="L18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513725.07</v>
      </c>
      <c r="M1842" s="225">
        <f>ROUND(IF(AND(Base_Periodo1[[#This Row],[Tipo_Linha]]="-",Base_Periodo1[[#This Row],[TIPOSALDO]]="D"),Base_Periodo1[[#This Row],[SALDO_ATUAL]]*-1,Base_Periodo1[[#This Row],[SALDO_ATUAL]]),4)</f>
        <v>513725.07</v>
      </c>
      <c r="N1842" t="s">
        <v>116</v>
      </c>
      <c r="O1842" t="s">
        <v>397</v>
      </c>
      <c r="P1842" t="s">
        <v>397</v>
      </c>
      <c r="Q1842">
        <v>9</v>
      </c>
      <c r="R1842" s="225">
        <f>Base_Periodo1[[#This Row],[CREDITOS]]-Base_Periodo1[[#This Row],[DEBITOS]]</f>
        <v>-58074.5</v>
      </c>
      <c r="S1842" s="3" t="str">
        <f>IF(ISERROR(VLOOKUP(Base_Periodo1[[#This Row],[CONTA]],BaseContasDRE[#All],4,FALSE)),"Fora do DRE",VLOOKUP(Base_Periodo1[[#This Row],[CONTA]],BaseContasDRE[#All],4,FALSE))</f>
        <v>Fora do DRE</v>
      </c>
      <c r="T1842" s="3" t="str">
        <f>IF(ISERROR(VLOOKUP(Base_Periodo1[[#This Row],[CONTA]],BaseContasDRE[#All],5,FALSE)),"Fora do DRE",VLOOKUP(Base_Periodo1[[#This Row],[CONTA]],BaseContasDRE[#All],6,FALSE))</f>
        <v>Fora do DRE</v>
      </c>
      <c r="U1842" s="3" t="str">
        <f>IF(ISERROR(VLOOKUP(Base_Periodo1[[#This Row],[CONTA]],BaseContasDRE[#All],7,FALSE)),"Fora do DRE",VLOOKUP(Base_Periodo1[[#This Row],[CONTA]],BaseContasDRE[#All],7,FALSE))</f>
        <v>Fora do DRE</v>
      </c>
      <c r="V1842" s="3" t="str">
        <f>IF(Base_Periodo1[[#This Row],[Tipo_Linha]]="Fora do DRE","Fora do DRE","( "&amp;Base_Periodo1[[#This Row],[Tipo_Linha]]&amp;" ) "&amp;Base_Periodo1[[#This Row],[Filtro]])</f>
        <v>Fora do DRE</v>
      </c>
      <c r="W1842" s="3" t="str">
        <f>LEFT(Base_Periodo1[[#This Row],[CLASS]],3)</f>
        <v>1.1</v>
      </c>
    </row>
    <row r="1843" spans="1:23" hidden="1">
      <c r="A1843" s="3" t="str">
        <f t="shared" si="28"/>
        <v>Período 1</v>
      </c>
      <c r="B1843">
        <v>1199</v>
      </c>
      <c r="C1843" t="s">
        <v>6821</v>
      </c>
      <c r="D1843" t="s">
        <v>1063</v>
      </c>
      <c r="E1843" s="3" t="str">
        <f>IF(LEN(Base_Periodo1[[#This Row],[CLASS]])&gt;=7,LEFT(Base_Periodo1[[#This Row],[CLASS]],7),"")</f>
        <v>1.1.3.1</v>
      </c>
      <c r="F1843" s="3" t="str">
        <f>VLOOKUP(Base_Periodo1[[#This Row],[Aux]],Base_Contas_Balanco[#All],2,FALSE)</f>
        <v>Estoques Proprios</v>
      </c>
      <c r="G1843" s="1"/>
      <c r="I1843" s="225">
        <v>6005.3999999999987</v>
      </c>
      <c r="J1843" s="225">
        <v>0</v>
      </c>
      <c r="K1843" s="225">
        <v>6005.3999999999842</v>
      </c>
      <c r="L18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6005.4</v>
      </c>
      <c r="M1843" s="225">
        <f>ROUND(IF(AND(Base_Periodo1[[#This Row],[Tipo_Linha]]="-",Base_Periodo1[[#This Row],[TIPOSALDO]]="D"),Base_Periodo1[[#This Row],[SALDO_ATUAL]]*-1,Base_Periodo1[[#This Row],[SALDO_ATUAL]]),4)</f>
        <v>6005.4</v>
      </c>
      <c r="N1843" t="s">
        <v>396</v>
      </c>
      <c r="O1843" t="s">
        <v>436</v>
      </c>
      <c r="P1843" t="s">
        <v>397</v>
      </c>
      <c r="Q1843">
        <v>8</v>
      </c>
      <c r="R1843" s="225">
        <f>Base_Periodo1[[#This Row],[CREDITOS]]-Base_Periodo1[[#This Row],[DEBITOS]]</f>
        <v>-6005.3999999999987</v>
      </c>
      <c r="S1843" s="3" t="str">
        <f>IF(ISERROR(VLOOKUP(Base_Periodo1[[#This Row],[CONTA]],BaseContasDRE[#All],4,FALSE)),"Fora do DRE",VLOOKUP(Base_Periodo1[[#This Row],[CONTA]],BaseContasDRE[#All],4,FALSE))</f>
        <v>Fora do DRE</v>
      </c>
      <c r="T1843" s="3" t="str">
        <f>IF(ISERROR(VLOOKUP(Base_Periodo1[[#This Row],[CONTA]],BaseContasDRE[#All],5,FALSE)),"Fora do DRE",VLOOKUP(Base_Periodo1[[#This Row],[CONTA]],BaseContasDRE[#All],6,FALSE))</f>
        <v>Fora do DRE</v>
      </c>
      <c r="U1843" s="3" t="str">
        <f>IF(ISERROR(VLOOKUP(Base_Periodo1[[#This Row],[CONTA]],BaseContasDRE[#All],7,FALSE)),"Fora do DRE",VLOOKUP(Base_Periodo1[[#This Row],[CONTA]],BaseContasDRE[#All],7,FALSE))</f>
        <v>Fora do DRE</v>
      </c>
      <c r="V1843" s="3" t="str">
        <f>IF(Base_Periodo1[[#This Row],[Tipo_Linha]]="Fora do DRE","Fora do DRE","( "&amp;Base_Periodo1[[#This Row],[Tipo_Linha]]&amp;" ) "&amp;Base_Periodo1[[#This Row],[Filtro]])</f>
        <v>Fora do DRE</v>
      </c>
      <c r="W1843" s="3" t="str">
        <f>LEFT(Base_Periodo1[[#This Row],[CLASS]],3)</f>
        <v>1.1</v>
      </c>
    </row>
    <row r="1844" spans="1:23" hidden="1">
      <c r="A1844" s="3" t="str">
        <f t="shared" si="28"/>
        <v>Período 1</v>
      </c>
      <c r="B1844">
        <v>1200</v>
      </c>
      <c r="C1844" t="s">
        <v>6822</v>
      </c>
      <c r="D1844" t="s">
        <v>1065</v>
      </c>
      <c r="E1844" s="3" t="str">
        <f>IF(LEN(Base_Periodo1[[#This Row],[CLASS]])&gt;=7,LEFT(Base_Periodo1[[#This Row],[CLASS]],7),"")</f>
        <v>1.1.3.1</v>
      </c>
      <c r="F1844" s="3" t="str">
        <f>VLOOKUP(Base_Periodo1[[#This Row],[Aux]],Base_Contas_Balanco[#All],2,FALSE)</f>
        <v>Estoques Proprios</v>
      </c>
      <c r="G1844" s="1">
        <v>42886</v>
      </c>
      <c r="I1844" s="225">
        <v>6005.3999999999987</v>
      </c>
      <c r="J1844" s="225">
        <v>0</v>
      </c>
      <c r="K1844" s="225">
        <v>6005.3999999999842</v>
      </c>
      <c r="L18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6005.4</v>
      </c>
      <c r="M1844" s="225">
        <f>ROUND(IF(AND(Base_Periodo1[[#This Row],[Tipo_Linha]]="-",Base_Periodo1[[#This Row],[TIPOSALDO]]="D"),Base_Periodo1[[#This Row],[SALDO_ATUAL]]*-1,Base_Periodo1[[#This Row],[SALDO_ATUAL]]),4)</f>
        <v>6005.4</v>
      </c>
      <c r="N1844" t="s">
        <v>116</v>
      </c>
      <c r="O1844" t="s">
        <v>436</v>
      </c>
      <c r="P1844" t="s">
        <v>397</v>
      </c>
      <c r="Q1844">
        <v>9</v>
      </c>
      <c r="R1844" s="225">
        <f>Base_Periodo1[[#This Row],[CREDITOS]]-Base_Periodo1[[#This Row],[DEBITOS]]</f>
        <v>-6005.3999999999987</v>
      </c>
      <c r="S1844" s="3" t="str">
        <f>IF(ISERROR(VLOOKUP(Base_Periodo1[[#This Row],[CONTA]],BaseContasDRE[#All],4,FALSE)),"Fora do DRE",VLOOKUP(Base_Periodo1[[#This Row],[CONTA]],BaseContasDRE[#All],4,FALSE))</f>
        <v>Fora do DRE</v>
      </c>
      <c r="T1844" s="3" t="str">
        <f>IF(ISERROR(VLOOKUP(Base_Periodo1[[#This Row],[CONTA]],BaseContasDRE[#All],5,FALSE)),"Fora do DRE",VLOOKUP(Base_Periodo1[[#This Row],[CONTA]],BaseContasDRE[#All],6,FALSE))</f>
        <v>Fora do DRE</v>
      </c>
      <c r="U1844" s="3" t="str">
        <f>IF(ISERROR(VLOOKUP(Base_Periodo1[[#This Row],[CONTA]],BaseContasDRE[#All],7,FALSE)),"Fora do DRE",VLOOKUP(Base_Periodo1[[#This Row],[CONTA]],BaseContasDRE[#All],7,FALSE))</f>
        <v>Fora do DRE</v>
      </c>
      <c r="V1844" s="3" t="str">
        <f>IF(Base_Periodo1[[#This Row],[Tipo_Linha]]="Fora do DRE","Fora do DRE","( "&amp;Base_Periodo1[[#This Row],[Tipo_Linha]]&amp;" ) "&amp;Base_Periodo1[[#This Row],[Filtro]])</f>
        <v>Fora do DRE</v>
      </c>
      <c r="W1844" s="3" t="str">
        <f>LEFT(Base_Periodo1[[#This Row],[CLASS]],3)</f>
        <v>1.1</v>
      </c>
    </row>
    <row r="1845" spans="1:23" hidden="1">
      <c r="A1845" s="3" t="str">
        <f t="shared" si="28"/>
        <v>Período 1</v>
      </c>
      <c r="B1845">
        <v>1204</v>
      </c>
      <c r="C1845" t="s">
        <v>6823</v>
      </c>
      <c r="D1845" t="s">
        <v>1072</v>
      </c>
      <c r="E1845" s="3" t="str">
        <f>IF(LEN(Base_Periodo1[[#This Row],[CLASS]])&gt;=7,LEFT(Base_Periodo1[[#This Row],[CLASS]],7),"")</f>
        <v>1.1.3.1</v>
      </c>
      <c r="F1845" s="3" t="str">
        <f>VLOOKUP(Base_Periodo1[[#This Row],[Aux]],Base_Contas_Balanco[#All],2,FALSE)</f>
        <v>Estoques Proprios</v>
      </c>
      <c r="G1845" s="1"/>
      <c r="I1845" s="225">
        <v>0</v>
      </c>
      <c r="J1845" s="225">
        <v>5403</v>
      </c>
      <c r="K1845" s="225">
        <v>5403.0000000000146</v>
      </c>
      <c r="L18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-5403</v>
      </c>
      <c r="M1845" s="225">
        <f>ROUND(IF(AND(Base_Periodo1[[#This Row],[Tipo_Linha]]="-",Base_Periodo1[[#This Row],[TIPOSALDO]]="D"),Base_Periodo1[[#This Row],[SALDO_ATUAL]]*-1,Base_Periodo1[[#This Row],[SALDO_ATUAL]]),4)</f>
        <v>5403</v>
      </c>
      <c r="N1845" t="s">
        <v>396</v>
      </c>
      <c r="O1845" t="s">
        <v>436</v>
      </c>
      <c r="P1845" t="s">
        <v>459</v>
      </c>
      <c r="Q1845">
        <v>8</v>
      </c>
      <c r="R1845" s="225">
        <f>Base_Periodo1[[#This Row],[CREDITOS]]-Base_Periodo1[[#This Row],[DEBITOS]]</f>
        <v>5403</v>
      </c>
      <c r="S1845" s="3" t="str">
        <f>IF(ISERROR(VLOOKUP(Base_Periodo1[[#This Row],[CONTA]],BaseContasDRE[#All],4,FALSE)),"Fora do DRE",VLOOKUP(Base_Periodo1[[#This Row],[CONTA]],BaseContasDRE[#All],4,FALSE))</f>
        <v>Fora do DRE</v>
      </c>
      <c r="T1845" s="3" t="str">
        <f>IF(ISERROR(VLOOKUP(Base_Periodo1[[#This Row],[CONTA]],BaseContasDRE[#All],5,FALSE)),"Fora do DRE",VLOOKUP(Base_Periodo1[[#This Row],[CONTA]],BaseContasDRE[#All],6,FALSE))</f>
        <v>Fora do DRE</v>
      </c>
      <c r="U1845" s="3" t="str">
        <f>IF(ISERROR(VLOOKUP(Base_Periodo1[[#This Row],[CONTA]],BaseContasDRE[#All],7,FALSE)),"Fora do DRE",VLOOKUP(Base_Periodo1[[#This Row],[CONTA]],BaseContasDRE[#All],7,FALSE))</f>
        <v>Fora do DRE</v>
      </c>
      <c r="V1845" s="3" t="str">
        <f>IF(Base_Periodo1[[#This Row],[Tipo_Linha]]="Fora do DRE","Fora do DRE","( "&amp;Base_Periodo1[[#This Row],[Tipo_Linha]]&amp;" ) "&amp;Base_Periodo1[[#This Row],[Filtro]])</f>
        <v>Fora do DRE</v>
      </c>
      <c r="W1845" s="3" t="str">
        <f>LEFT(Base_Periodo1[[#This Row],[CLASS]],3)</f>
        <v>1.1</v>
      </c>
    </row>
    <row r="1846" spans="1:23" hidden="1">
      <c r="A1846" s="3" t="str">
        <f t="shared" si="28"/>
        <v>Período 1</v>
      </c>
      <c r="B1846">
        <v>1205</v>
      </c>
      <c r="C1846" t="s">
        <v>6824</v>
      </c>
      <c r="D1846" t="s">
        <v>1074</v>
      </c>
      <c r="E1846" s="3" t="str">
        <f>IF(LEN(Base_Periodo1[[#This Row],[CLASS]])&gt;=7,LEFT(Base_Periodo1[[#This Row],[CLASS]],7),"")</f>
        <v>1.1.3.1</v>
      </c>
      <c r="F1846" s="3" t="str">
        <f>VLOOKUP(Base_Periodo1[[#This Row],[Aux]],Base_Contas_Balanco[#All],2,FALSE)</f>
        <v>Estoques Proprios</v>
      </c>
      <c r="G1846" s="1">
        <v>42868</v>
      </c>
      <c r="I1846" s="225">
        <v>0</v>
      </c>
      <c r="J1846" s="225">
        <v>5403</v>
      </c>
      <c r="K1846" s="225">
        <v>5403.0000000000146</v>
      </c>
      <c r="L18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-5403</v>
      </c>
      <c r="M1846" s="225">
        <f>ROUND(IF(AND(Base_Periodo1[[#This Row],[Tipo_Linha]]="-",Base_Periodo1[[#This Row],[TIPOSALDO]]="D"),Base_Periodo1[[#This Row],[SALDO_ATUAL]]*-1,Base_Periodo1[[#This Row],[SALDO_ATUAL]]),4)</f>
        <v>5403</v>
      </c>
      <c r="N1846" t="s">
        <v>116</v>
      </c>
      <c r="O1846" t="s">
        <v>436</v>
      </c>
      <c r="P1846" t="s">
        <v>459</v>
      </c>
      <c r="Q1846">
        <v>9</v>
      </c>
      <c r="R1846" s="225">
        <f>Base_Periodo1[[#This Row],[CREDITOS]]-Base_Periodo1[[#This Row],[DEBITOS]]</f>
        <v>5403</v>
      </c>
      <c r="S1846" s="3" t="str">
        <f>IF(ISERROR(VLOOKUP(Base_Periodo1[[#This Row],[CONTA]],BaseContasDRE[#All],4,FALSE)),"Fora do DRE",VLOOKUP(Base_Periodo1[[#This Row],[CONTA]],BaseContasDRE[#All],4,FALSE))</f>
        <v>Fora do DRE</v>
      </c>
      <c r="T1846" s="3" t="str">
        <f>IF(ISERROR(VLOOKUP(Base_Periodo1[[#This Row],[CONTA]],BaseContasDRE[#All],5,FALSE)),"Fora do DRE",VLOOKUP(Base_Periodo1[[#This Row],[CONTA]],BaseContasDRE[#All],6,FALSE))</f>
        <v>Fora do DRE</v>
      </c>
      <c r="U1846" s="3" t="str">
        <f>IF(ISERROR(VLOOKUP(Base_Periodo1[[#This Row],[CONTA]],BaseContasDRE[#All],7,FALSE)),"Fora do DRE",VLOOKUP(Base_Periodo1[[#This Row],[CONTA]],BaseContasDRE[#All],7,FALSE))</f>
        <v>Fora do DRE</v>
      </c>
      <c r="V1846" s="3" t="str">
        <f>IF(Base_Periodo1[[#This Row],[Tipo_Linha]]="Fora do DRE","Fora do DRE","( "&amp;Base_Periodo1[[#This Row],[Tipo_Linha]]&amp;" ) "&amp;Base_Periodo1[[#This Row],[Filtro]])</f>
        <v>Fora do DRE</v>
      </c>
      <c r="W1846" s="3" t="str">
        <f>LEFT(Base_Periodo1[[#This Row],[CLASS]],3)</f>
        <v>1.1</v>
      </c>
    </row>
    <row r="1847" spans="1:23" hidden="1">
      <c r="A1847" s="3" t="str">
        <f t="shared" si="28"/>
        <v>Período 1</v>
      </c>
      <c r="B1847">
        <v>1206</v>
      </c>
      <c r="C1847" t="s">
        <v>4598</v>
      </c>
      <c r="D1847" t="s">
        <v>1150</v>
      </c>
      <c r="E1847" s="3" t="str">
        <f>IF(LEN(Base_Periodo1[[#This Row],[CLASS]])&gt;=7,LEFT(Base_Periodo1[[#This Row],[CLASS]],7),"")</f>
        <v>1.1.3.1</v>
      </c>
      <c r="F1847" s="3" t="str">
        <f>VLOOKUP(Base_Periodo1[[#This Row],[Aux]],Base_Contas_Balanco[#All],2,FALSE)</f>
        <v>Estoques Proprios</v>
      </c>
      <c r="G1847" s="1"/>
      <c r="H1847" s="225">
        <v>897843.32999999821</v>
      </c>
      <c r="I1847" s="225">
        <v>0</v>
      </c>
      <c r="J1847" s="225">
        <v>14704.74</v>
      </c>
      <c r="K1847" s="225">
        <v>912548.0699999982</v>
      </c>
      <c r="L18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-912548.07</v>
      </c>
      <c r="M1847" s="225">
        <f>ROUND(IF(AND(Base_Periodo1[[#This Row],[Tipo_Linha]]="-",Base_Periodo1[[#This Row],[TIPOSALDO]]="D"),Base_Periodo1[[#This Row],[SALDO_ATUAL]]*-1,Base_Periodo1[[#This Row],[SALDO_ATUAL]]),4)</f>
        <v>912548.07</v>
      </c>
      <c r="N1847" t="s">
        <v>396</v>
      </c>
      <c r="O1847" t="s">
        <v>459</v>
      </c>
      <c r="P1847" t="s">
        <v>459</v>
      </c>
      <c r="Q1847">
        <v>8</v>
      </c>
      <c r="R1847" s="225">
        <f>Base_Periodo1[[#This Row],[CREDITOS]]-Base_Periodo1[[#This Row],[DEBITOS]]</f>
        <v>14704.74</v>
      </c>
      <c r="S1847" s="3" t="str">
        <f>IF(ISERROR(VLOOKUP(Base_Periodo1[[#This Row],[CONTA]],BaseContasDRE[#All],4,FALSE)),"Fora do DRE",VLOOKUP(Base_Periodo1[[#This Row],[CONTA]],BaseContasDRE[#All],4,FALSE))</f>
        <v>Fora do DRE</v>
      </c>
      <c r="T1847" s="3" t="str">
        <f>IF(ISERROR(VLOOKUP(Base_Periodo1[[#This Row],[CONTA]],BaseContasDRE[#All],5,FALSE)),"Fora do DRE",VLOOKUP(Base_Periodo1[[#This Row],[CONTA]],BaseContasDRE[#All],6,FALSE))</f>
        <v>Fora do DRE</v>
      </c>
      <c r="U1847" s="3" t="str">
        <f>IF(ISERROR(VLOOKUP(Base_Periodo1[[#This Row],[CONTA]],BaseContasDRE[#All],7,FALSE)),"Fora do DRE",VLOOKUP(Base_Periodo1[[#This Row],[CONTA]],BaseContasDRE[#All],7,FALSE))</f>
        <v>Fora do DRE</v>
      </c>
      <c r="V1847" s="3" t="str">
        <f>IF(Base_Periodo1[[#This Row],[Tipo_Linha]]="Fora do DRE","Fora do DRE","( "&amp;Base_Periodo1[[#This Row],[Tipo_Linha]]&amp;" ) "&amp;Base_Periodo1[[#This Row],[Filtro]])</f>
        <v>Fora do DRE</v>
      </c>
      <c r="W1847" s="3" t="str">
        <f>LEFT(Base_Periodo1[[#This Row],[CLASS]],3)</f>
        <v>1.1</v>
      </c>
    </row>
    <row r="1848" spans="1:23" hidden="1">
      <c r="A1848" s="3" t="str">
        <f t="shared" si="28"/>
        <v>Período 1</v>
      </c>
      <c r="B1848">
        <v>1207</v>
      </c>
      <c r="C1848" t="s">
        <v>4599</v>
      </c>
      <c r="D1848" t="s">
        <v>1176</v>
      </c>
      <c r="E1848" s="3" t="str">
        <f>IF(LEN(Base_Periodo1[[#This Row],[CLASS]])&gt;=7,LEFT(Base_Periodo1[[#This Row],[CLASS]],7),"")</f>
        <v>1.1.3.1</v>
      </c>
      <c r="F1848" s="3" t="str">
        <f>VLOOKUP(Base_Periodo1[[#This Row],[Aux]],Base_Contas_Balanco[#All],2,FALSE)</f>
        <v>Estoques Proprios</v>
      </c>
      <c r="G1848" s="1">
        <v>42886</v>
      </c>
      <c r="H1848" s="225">
        <v>897843.32999999821</v>
      </c>
      <c r="I1848" s="225">
        <v>0</v>
      </c>
      <c r="J1848" s="225">
        <v>14704.74</v>
      </c>
      <c r="K1848" s="225">
        <v>912548.0699999982</v>
      </c>
      <c r="L18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-912548.07</v>
      </c>
      <c r="M1848" s="225">
        <f>ROUND(IF(AND(Base_Periodo1[[#This Row],[Tipo_Linha]]="-",Base_Periodo1[[#This Row],[TIPOSALDO]]="D"),Base_Periodo1[[#This Row],[SALDO_ATUAL]]*-1,Base_Periodo1[[#This Row],[SALDO_ATUAL]]),4)</f>
        <v>912548.07</v>
      </c>
      <c r="N1848" t="s">
        <v>116</v>
      </c>
      <c r="O1848" t="s">
        <v>459</v>
      </c>
      <c r="P1848" t="s">
        <v>459</v>
      </c>
      <c r="Q1848">
        <v>9</v>
      </c>
      <c r="R1848" s="225">
        <f>Base_Periodo1[[#This Row],[CREDITOS]]-Base_Periodo1[[#This Row],[DEBITOS]]</f>
        <v>14704.74</v>
      </c>
      <c r="S1848" s="3" t="str">
        <f>IF(ISERROR(VLOOKUP(Base_Periodo1[[#This Row],[CONTA]],BaseContasDRE[#All],4,FALSE)),"Fora do DRE",VLOOKUP(Base_Periodo1[[#This Row],[CONTA]],BaseContasDRE[#All],4,FALSE))</f>
        <v>Fora do DRE</v>
      </c>
      <c r="T1848" s="3" t="str">
        <f>IF(ISERROR(VLOOKUP(Base_Periodo1[[#This Row],[CONTA]],BaseContasDRE[#All],5,FALSE)),"Fora do DRE",VLOOKUP(Base_Periodo1[[#This Row],[CONTA]],BaseContasDRE[#All],6,FALSE))</f>
        <v>Fora do DRE</v>
      </c>
      <c r="U1848" s="3" t="str">
        <f>IF(ISERROR(VLOOKUP(Base_Periodo1[[#This Row],[CONTA]],BaseContasDRE[#All],7,FALSE)),"Fora do DRE",VLOOKUP(Base_Periodo1[[#This Row],[CONTA]],BaseContasDRE[#All],7,FALSE))</f>
        <v>Fora do DRE</v>
      </c>
      <c r="V1848" s="3" t="str">
        <f>IF(Base_Periodo1[[#This Row],[Tipo_Linha]]="Fora do DRE","Fora do DRE","( "&amp;Base_Periodo1[[#This Row],[Tipo_Linha]]&amp;" ) "&amp;Base_Periodo1[[#This Row],[Filtro]])</f>
        <v>Fora do DRE</v>
      </c>
      <c r="W1848" s="3" t="str">
        <f>LEFT(Base_Periodo1[[#This Row],[CLASS]],3)</f>
        <v>1.1</v>
      </c>
    </row>
    <row r="1849" spans="1:23" hidden="1">
      <c r="A1849" s="3" t="str">
        <f t="shared" si="28"/>
        <v>Período 1</v>
      </c>
      <c r="B1849">
        <v>39871</v>
      </c>
      <c r="C1849" t="s">
        <v>1464</v>
      </c>
      <c r="D1849" t="s">
        <v>1465</v>
      </c>
      <c r="E1849" s="3" t="str">
        <f>IF(LEN(Base_Periodo1[[#This Row],[CLASS]])&gt;=7,LEFT(Base_Periodo1[[#This Row],[CLASS]],7),"")</f>
        <v>1.1.3.1</v>
      </c>
      <c r="F1849" s="3" t="str">
        <f>VLOOKUP(Base_Periodo1[[#This Row],[Aux]],Base_Contas_Balanco[#All],2,FALSE)</f>
        <v>Estoques Proprios</v>
      </c>
      <c r="G1849" s="1"/>
      <c r="H1849" s="225">
        <v>352998.33</v>
      </c>
      <c r="I1849" s="225">
        <v>40001.599999999999</v>
      </c>
      <c r="J1849" s="225">
        <v>2691.2000000000003</v>
      </c>
      <c r="K1849" s="225">
        <v>390308.73</v>
      </c>
      <c r="L18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390308.73</v>
      </c>
      <c r="M1849" s="225">
        <f>ROUND(IF(AND(Base_Periodo1[[#This Row],[Tipo_Linha]]="-",Base_Periodo1[[#This Row],[TIPOSALDO]]="D"),Base_Periodo1[[#This Row],[SALDO_ATUAL]]*-1,Base_Periodo1[[#This Row],[SALDO_ATUAL]]),4)</f>
        <v>390308.73</v>
      </c>
      <c r="N1849" t="s">
        <v>396</v>
      </c>
      <c r="O1849" t="s">
        <v>397</v>
      </c>
      <c r="P1849" t="s">
        <v>397</v>
      </c>
      <c r="Q1849">
        <v>6</v>
      </c>
      <c r="R1849" s="225">
        <f>Base_Periodo1[[#This Row],[CREDITOS]]-Base_Periodo1[[#This Row],[DEBITOS]]</f>
        <v>-37310.400000000001</v>
      </c>
      <c r="S1849" s="3" t="str">
        <f>IF(ISERROR(VLOOKUP(Base_Periodo1[[#This Row],[CONTA]],BaseContasDRE[#All],4,FALSE)),"Fora do DRE",VLOOKUP(Base_Periodo1[[#This Row],[CONTA]],BaseContasDRE[#All],4,FALSE))</f>
        <v>Fora do DRE</v>
      </c>
      <c r="T1849" s="3" t="str">
        <f>IF(ISERROR(VLOOKUP(Base_Periodo1[[#This Row],[CONTA]],BaseContasDRE[#All],5,FALSE)),"Fora do DRE",VLOOKUP(Base_Periodo1[[#This Row],[CONTA]],BaseContasDRE[#All],6,FALSE))</f>
        <v>Fora do DRE</v>
      </c>
      <c r="U1849" s="3" t="str">
        <f>IF(ISERROR(VLOOKUP(Base_Periodo1[[#This Row],[CONTA]],BaseContasDRE[#All],7,FALSE)),"Fora do DRE",VLOOKUP(Base_Periodo1[[#This Row],[CONTA]],BaseContasDRE[#All],7,FALSE))</f>
        <v>Fora do DRE</v>
      </c>
      <c r="V1849" s="3" t="str">
        <f>IF(Base_Periodo1[[#This Row],[Tipo_Linha]]="Fora do DRE","Fora do DRE","( "&amp;Base_Periodo1[[#This Row],[Tipo_Linha]]&amp;" ) "&amp;Base_Periodo1[[#This Row],[Filtro]])</f>
        <v>Fora do DRE</v>
      </c>
      <c r="W1849" s="3" t="str">
        <f>LEFT(Base_Periodo1[[#This Row],[CLASS]],3)</f>
        <v>1.1</v>
      </c>
    </row>
    <row r="1850" spans="1:23" hidden="1">
      <c r="A1850" s="3" t="str">
        <f t="shared" si="28"/>
        <v>Período 1</v>
      </c>
      <c r="B1850">
        <v>39980</v>
      </c>
      <c r="C1850" t="s">
        <v>1466</v>
      </c>
      <c r="D1850" t="s">
        <v>1467</v>
      </c>
      <c r="E1850" s="3" t="str">
        <f>IF(LEN(Base_Periodo1[[#This Row],[CLASS]])&gt;=7,LEFT(Base_Periodo1[[#This Row],[CLASS]],7),"")</f>
        <v>1.1.3.1</v>
      </c>
      <c r="F1850" s="3" t="str">
        <f>VLOOKUP(Base_Periodo1[[#This Row],[Aux]],Base_Contas_Balanco[#All],2,FALSE)</f>
        <v>Estoques Proprios</v>
      </c>
      <c r="G1850" s="1"/>
      <c r="H1850" s="225">
        <v>344576.03</v>
      </c>
      <c r="I1850" s="225">
        <v>40001.599999999999</v>
      </c>
      <c r="J1850" s="225">
        <v>602.4</v>
      </c>
      <c r="K1850" s="225">
        <v>383975.23</v>
      </c>
      <c r="L18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383975.23</v>
      </c>
      <c r="M1850" s="225">
        <f>ROUND(IF(AND(Base_Periodo1[[#This Row],[Tipo_Linha]]="-",Base_Periodo1[[#This Row],[TIPOSALDO]]="D"),Base_Periodo1[[#This Row],[SALDO_ATUAL]]*-1,Base_Periodo1[[#This Row],[SALDO_ATUAL]]),4)</f>
        <v>383975.23</v>
      </c>
      <c r="N1850" t="s">
        <v>396</v>
      </c>
      <c r="O1850" t="s">
        <v>397</v>
      </c>
      <c r="P1850" t="s">
        <v>397</v>
      </c>
      <c r="Q1850">
        <v>7</v>
      </c>
      <c r="R1850" s="225">
        <f>Base_Periodo1[[#This Row],[CREDITOS]]-Base_Periodo1[[#This Row],[DEBITOS]]</f>
        <v>-39399.199999999997</v>
      </c>
      <c r="S1850" s="3" t="str">
        <f>IF(ISERROR(VLOOKUP(Base_Periodo1[[#This Row],[CONTA]],BaseContasDRE[#All],4,FALSE)),"Fora do DRE",VLOOKUP(Base_Periodo1[[#This Row],[CONTA]],BaseContasDRE[#All],4,FALSE))</f>
        <v>Fora do DRE</v>
      </c>
      <c r="T1850" s="3" t="str">
        <f>IF(ISERROR(VLOOKUP(Base_Periodo1[[#This Row],[CONTA]],BaseContasDRE[#All],5,FALSE)),"Fora do DRE",VLOOKUP(Base_Periodo1[[#This Row],[CONTA]],BaseContasDRE[#All],6,FALSE))</f>
        <v>Fora do DRE</v>
      </c>
      <c r="U1850" s="3" t="str">
        <f>IF(ISERROR(VLOOKUP(Base_Periodo1[[#This Row],[CONTA]],BaseContasDRE[#All],7,FALSE)),"Fora do DRE",VLOOKUP(Base_Periodo1[[#This Row],[CONTA]],BaseContasDRE[#All],7,FALSE))</f>
        <v>Fora do DRE</v>
      </c>
      <c r="V1850" s="3" t="str">
        <f>IF(Base_Periodo1[[#This Row],[Tipo_Linha]]="Fora do DRE","Fora do DRE","( "&amp;Base_Periodo1[[#This Row],[Tipo_Linha]]&amp;" ) "&amp;Base_Periodo1[[#This Row],[Filtro]])</f>
        <v>Fora do DRE</v>
      </c>
      <c r="W1850" s="3" t="str">
        <f>LEFT(Base_Periodo1[[#This Row],[CLASS]],3)</f>
        <v>1.1</v>
      </c>
    </row>
    <row r="1851" spans="1:23" hidden="1">
      <c r="A1851" s="3" t="str">
        <f t="shared" si="28"/>
        <v>Período 1</v>
      </c>
      <c r="B1851">
        <v>39983</v>
      </c>
      <c r="C1851" t="s">
        <v>1468</v>
      </c>
      <c r="D1851" t="s">
        <v>1057</v>
      </c>
      <c r="E1851" s="3" t="str">
        <f>IF(LEN(Base_Periodo1[[#This Row],[CLASS]])&gt;=7,LEFT(Base_Periodo1[[#This Row],[CLASS]],7),"")</f>
        <v>1.1.3.1</v>
      </c>
      <c r="F1851" s="3" t="str">
        <f>VLOOKUP(Base_Periodo1[[#This Row],[Aux]],Base_Contas_Balanco[#All],2,FALSE)</f>
        <v>Estoques Proprios</v>
      </c>
      <c r="G1851" s="1"/>
      <c r="H1851" s="225">
        <v>344576.03</v>
      </c>
      <c r="I1851" s="225">
        <v>40001.599999999999</v>
      </c>
      <c r="J1851" s="225">
        <v>0</v>
      </c>
      <c r="K1851" s="225">
        <v>384577.63</v>
      </c>
      <c r="L18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384577.63</v>
      </c>
      <c r="M1851" s="225">
        <f>ROUND(IF(AND(Base_Periodo1[[#This Row],[Tipo_Linha]]="-",Base_Periodo1[[#This Row],[TIPOSALDO]]="D"),Base_Periodo1[[#This Row],[SALDO_ATUAL]]*-1,Base_Periodo1[[#This Row],[SALDO_ATUAL]]),4)</f>
        <v>384577.63</v>
      </c>
      <c r="N1851" t="s">
        <v>396</v>
      </c>
      <c r="O1851" t="s">
        <v>397</v>
      </c>
      <c r="P1851" t="s">
        <v>397</v>
      </c>
      <c r="Q1851">
        <v>8</v>
      </c>
      <c r="R1851" s="225">
        <f>Base_Periodo1[[#This Row],[CREDITOS]]-Base_Periodo1[[#This Row],[DEBITOS]]</f>
        <v>-40001.599999999999</v>
      </c>
      <c r="S1851" s="3" t="str">
        <f>IF(ISERROR(VLOOKUP(Base_Periodo1[[#This Row],[CONTA]],BaseContasDRE[#All],4,FALSE)),"Fora do DRE",VLOOKUP(Base_Periodo1[[#This Row],[CONTA]],BaseContasDRE[#All],4,FALSE))</f>
        <v>Fora do DRE</v>
      </c>
      <c r="T1851" s="3" t="str">
        <f>IF(ISERROR(VLOOKUP(Base_Periodo1[[#This Row],[CONTA]],BaseContasDRE[#All],5,FALSE)),"Fora do DRE",VLOOKUP(Base_Periodo1[[#This Row],[CONTA]],BaseContasDRE[#All],6,FALSE))</f>
        <v>Fora do DRE</v>
      </c>
      <c r="U1851" s="3" t="str">
        <f>IF(ISERROR(VLOOKUP(Base_Periodo1[[#This Row],[CONTA]],BaseContasDRE[#All],7,FALSE)),"Fora do DRE",VLOOKUP(Base_Periodo1[[#This Row],[CONTA]],BaseContasDRE[#All],7,FALSE))</f>
        <v>Fora do DRE</v>
      </c>
      <c r="V1851" s="3" t="str">
        <f>IF(Base_Periodo1[[#This Row],[Tipo_Linha]]="Fora do DRE","Fora do DRE","( "&amp;Base_Periodo1[[#This Row],[Tipo_Linha]]&amp;" ) "&amp;Base_Periodo1[[#This Row],[Filtro]])</f>
        <v>Fora do DRE</v>
      </c>
      <c r="W1851" s="3" t="str">
        <f>LEFT(Base_Periodo1[[#This Row],[CLASS]],3)</f>
        <v>1.1</v>
      </c>
    </row>
    <row r="1852" spans="1:23" hidden="1">
      <c r="A1852" s="3" t="str">
        <f t="shared" si="28"/>
        <v>Período 1</v>
      </c>
      <c r="B1852">
        <v>39984</v>
      </c>
      <c r="C1852" t="s">
        <v>1469</v>
      </c>
      <c r="D1852" t="s">
        <v>1061</v>
      </c>
      <c r="E1852" s="3" t="str">
        <f>IF(LEN(Base_Periodo1[[#This Row],[CLASS]])&gt;=7,LEFT(Base_Periodo1[[#This Row],[CLASS]],7),"")</f>
        <v>1.1.3.1</v>
      </c>
      <c r="F1852" s="3" t="str">
        <f>VLOOKUP(Base_Periodo1[[#This Row],[Aux]],Base_Contas_Balanco[#All],2,FALSE)</f>
        <v>Estoques Proprios</v>
      </c>
      <c r="G1852" s="1">
        <v>42877</v>
      </c>
      <c r="H1852" s="225">
        <v>344576.03</v>
      </c>
      <c r="I1852" s="225">
        <v>40001.599999999999</v>
      </c>
      <c r="J1852" s="225">
        <v>0</v>
      </c>
      <c r="K1852" s="225">
        <v>384577.63</v>
      </c>
      <c r="L18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384577.63</v>
      </c>
      <c r="M1852" s="225">
        <f>ROUND(IF(AND(Base_Periodo1[[#This Row],[Tipo_Linha]]="-",Base_Periodo1[[#This Row],[TIPOSALDO]]="D"),Base_Periodo1[[#This Row],[SALDO_ATUAL]]*-1,Base_Periodo1[[#This Row],[SALDO_ATUAL]]),4)</f>
        <v>384577.63</v>
      </c>
      <c r="N1852" t="s">
        <v>116</v>
      </c>
      <c r="O1852" t="s">
        <v>397</v>
      </c>
      <c r="P1852" t="s">
        <v>397</v>
      </c>
      <c r="Q1852">
        <v>9</v>
      </c>
      <c r="R1852" s="225">
        <f>Base_Periodo1[[#This Row],[CREDITOS]]-Base_Periodo1[[#This Row],[DEBITOS]]</f>
        <v>-40001.599999999999</v>
      </c>
      <c r="S1852" s="3" t="str">
        <f>IF(ISERROR(VLOOKUP(Base_Periodo1[[#This Row],[CONTA]],BaseContasDRE[#All],4,FALSE)),"Fora do DRE",VLOOKUP(Base_Periodo1[[#This Row],[CONTA]],BaseContasDRE[#All],4,FALSE))</f>
        <v>Fora do DRE</v>
      </c>
      <c r="T1852" s="3" t="str">
        <f>IF(ISERROR(VLOOKUP(Base_Periodo1[[#This Row],[CONTA]],BaseContasDRE[#All],5,FALSE)),"Fora do DRE",VLOOKUP(Base_Periodo1[[#This Row],[CONTA]],BaseContasDRE[#All],6,FALSE))</f>
        <v>Fora do DRE</v>
      </c>
      <c r="U1852" s="3" t="str">
        <f>IF(ISERROR(VLOOKUP(Base_Periodo1[[#This Row],[CONTA]],BaseContasDRE[#All],7,FALSE)),"Fora do DRE",VLOOKUP(Base_Periodo1[[#This Row],[CONTA]],BaseContasDRE[#All],7,FALSE))</f>
        <v>Fora do DRE</v>
      </c>
      <c r="V1852" s="3" t="str">
        <f>IF(Base_Periodo1[[#This Row],[Tipo_Linha]]="Fora do DRE","Fora do DRE","( "&amp;Base_Periodo1[[#This Row],[Tipo_Linha]]&amp;" ) "&amp;Base_Periodo1[[#This Row],[Filtro]])</f>
        <v>Fora do DRE</v>
      </c>
      <c r="W1852" s="3" t="str">
        <f>LEFT(Base_Periodo1[[#This Row],[CLASS]],3)</f>
        <v>1.1</v>
      </c>
    </row>
    <row r="1853" spans="1:23" hidden="1">
      <c r="A1853" s="3" t="str">
        <f t="shared" si="28"/>
        <v>Período 1</v>
      </c>
      <c r="B1853">
        <v>39993</v>
      </c>
      <c r="C1853" t="s">
        <v>6290</v>
      </c>
      <c r="D1853" t="s">
        <v>1072</v>
      </c>
      <c r="E1853" s="3" t="str">
        <f>IF(LEN(Base_Periodo1[[#This Row],[CLASS]])&gt;=7,LEFT(Base_Periodo1[[#This Row],[CLASS]],7),"")</f>
        <v>1.1.3.1</v>
      </c>
      <c r="F1853" s="3" t="str">
        <f>VLOOKUP(Base_Periodo1[[#This Row],[Aux]],Base_Contas_Balanco[#All],2,FALSE)</f>
        <v>Estoques Proprios</v>
      </c>
      <c r="G1853" s="1"/>
      <c r="I1853" s="225">
        <v>0</v>
      </c>
      <c r="J1853" s="225">
        <v>602.4</v>
      </c>
      <c r="K1853" s="225">
        <v>602.4</v>
      </c>
      <c r="L18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-602.4</v>
      </c>
      <c r="M1853" s="225">
        <f>ROUND(IF(AND(Base_Periodo1[[#This Row],[Tipo_Linha]]="-",Base_Periodo1[[#This Row],[TIPOSALDO]]="D"),Base_Periodo1[[#This Row],[SALDO_ATUAL]]*-1,Base_Periodo1[[#This Row],[SALDO_ATUAL]]),4)</f>
        <v>602.4</v>
      </c>
      <c r="N1853" t="s">
        <v>396</v>
      </c>
      <c r="O1853" t="s">
        <v>436</v>
      </c>
      <c r="P1853" t="s">
        <v>459</v>
      </c>
      <c r="Q1853">
        <v>8</v>
      </c>
      <c r="R1853" s="225">
        <f>Base_Periodo1[[#This Row],[CREDITOS]]-Base_Periodo1[[#This Row],[DEBITOS]]</f>
        <v>602.4</v>
      </c>
      <c r="S1853" s="3" t="str">
        <f>IF(ISERROR(VLOOKUP(Base_Periodo1[[#This Row],[CONTA]],BaseContasDRE[#All],4,FALSE)),"Fora do DRE",VLOOKUP(Base_Periodo1[[#This Row],[CONTA]],BaseContasDRE[#All],4,FALSE))</f>
        <v>Fora do DRE</v>
      </c>
      <c r="T1853" s="3" t="str">
        <f>IF(ISERROR(VLOOKUP(Base_Periodo1[[#This Row],[CONTA]],BaseContasDRE[#All],5,FALSE)),"Fora do DRE",VLOOKUP(Base_Periodo1[[#This Row],[CONTA]],BaseContasDRE[#All],6,FALSE))</f>
        <v>Fora do DRE</v>
      </c>
      <c r="U1853" s="3" t="str">
        <f>IF(ISERROR(VLOOKUP(Base_Periodo1[[#This Row],[CONTA]],BaseContasDRE[#All],7,FALSE)),"Fora do DRE",VLOOKUP(Base_Periodo1[[#This Row],[CONTA]],BaseContasDRE[#All],7,FALSE))</f>
        <v>Fora do DRE</v>
      </c>
      <c r="V1853" s="3" t="str">
        <f>IF(Base_Periodo1[[#This Row],[Tipo_Linha]]="Fora do DRE","Fora do DRE","( "&amp;Base_Periodo1[[#This Row],[Tipo_Linha]]&amp;" ) "&amp;Base_Periodo1[[#This Row],[Filtro]])</f>
        <v>Fora do DRE</v>
      </c>
      <c r="W1853" s="3" t="str">
        <f>LEFT(Base_Periodo1[[#This Row],[CLASS]],3)</f>
        <v>1.1</v>
      </c>
    </row>
    <row r="1854" spans="1:23" hidden="1">
      <c r="A1854" s="3" t="str">
        <f t="shared" si="28"/>
        <v>Período 1</v>
      </c>
      <c r="B1854">
        <v>39994</v>
      </c>
      <c r="C1854" t="s">
        <v>6291</v>
      </c>
      <c r="D1854" t="s">
        <v>1074</v>
      </c>
      <c r="E1854" s="3" t="str">
        <f>IF(LEN(Base_Periodo1[[#This Row],[CLASS]])&gt;=7,LEFT(Base_Periodo1[[#This Row],[CLASS]],7),"")</f>
        <v>1.1.3.1</v>
      </c>
      <c r="F1854" s="3" t="str">
        <f>VLOOKUP(Base_Periodo1[[#This Row],[Aux]],Base_Contas_Balanco[#All],2,FALSE)</f>
        <v>Estoques Proprios</v>
      </c>
      <c r="G1854" s="1">
        <v>42872</v>
      </c>
      <c r="I1854" s="225">
        <v>0</v>
      </c>
      <c r="J1854" s="225">
        <v>602.4</v>
      </c>
      <c r="K1854" s="225">
        <v>602.4</v>
      </c>
      <c r="L18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-602.4</v>
      </c>
      <c r="M1854" s="225">
        <f>ROUND(IF(AND(Base_Periodo1[[#This Row],[Tipo_Linha]]="-",Base_Periodo1[[#This Row],[TIPOSALDO]]="D"),Base_Periodo1[[#This Row],[SALDO_ATUAL]]*-1,Base_Periodo1[[#This Row],[SALDO_ATUAL]]),4)</f>
        <v>602.4</v>
      </c>
      <c r="N1854" t="s">
        <v>116</v>
      </c>
      <c r="O1854" t="s">
        <v>436</v>
      </c>
      <c r="P1854" t="s">
        <v>459</v>
      </c>
      <c r="Q1854">
        <v>9</v>
      </c>
      <c r="R1854" s="225">
        <f>Base_Periodo1[[#This Row],[CREDITOS]]-Base_Periodo1[[#This Row],[DEBITOS]]</f>
        <v>602.4</v>
      </c>
      <c r="S1854" s="3" t="str">
        <f>IF(ISERROR(VLOOKUP(Base_Periodo1[[#This Row],[CONTA]],BaseContasDRE[#All],4,FALSE)),"Fora do DRE",VLOOKUP(Base_Periodo1[[#This Row],[CONTA]],BaseContasDRE[#All],4,FALSE))</f>
        <v>Fora do DRE</v>
      </c>
      <c r="T1854" s="3" t="str">
        <f>IF(ISERROR(VLOOKUP(Base_Periodo1[[#This Row],[CONTA]],BaseContasDRE[#All],5,FALSE)),"Fora do DRE",VLOOKUP(Base_Periodo1[[#This Row],[CONTA]],BaseContasDRE[#All],6,FALSE))</f>
        <v>Fora do DRE</v>
      </c>
      <c r="U1854" s="3" t="str">
        <f>IF(ISERROR(VLOOKUP(Base_Periodo1[[#This Row],[CONTA]],BaseContasDRE[#All],7,FALSE)),"Fora do DRE",VLOOKUP(Base_Periodo1[[#This Row],[CONTA]],BaseContasDRE[#All],7,FALSE))</f>
        <v>Fora do DRE</v>
      </c>
      <c r="V1854" s="3" t="str">
        <f>IF(Base_Periodo1[[#This Row],[Tipo_Linha]]="Fora do DRE","Fora do DRE","( "&amp;Base_Periodo1[[#This Row],[Tipo_Linha]]&amp;" ) "&amp;Base_Periodo1[[#This Row],[Filtro]])</f>
        <v>Fora do DRE</v>
      </c>
      <c r="W1854" s="3" t="str">
        <f>LEFT(Base_Periodo1[[#This Row],[CLASS]],3)</f>
        <v>1.1</v>
      </c>
    </row>
    <row r="1855" spans="1:23" hidden="1">
      <c r="A1855" s="3" t="str">
        <f t="shared" si="28"/>
        <v>Período 1</v>
      </c>
      <c r="B1855">
        <v>40026</v>
      </c>
      <c r="C1855" t="s">
        <v>1470</v>
      </c>
      <c r="D1855" t="s">
        <v>1471</v>
      </c>
      <c r="E1855" s="3" t="str">
        <f>IF(LEN(Base_Periodo1[[#This Row],[CLASS]])&gt;=7,LEFT(Base_Periodo1[[#This Row],[CLASS]],7),"")</f>
        <v>1.1.3.1</v>
      </c>
      <c r="F1855" s="3" t="str">
        <f>VLOOKUP(Base_Periodo1[[#This Row],[Aux]],Base_Contas_Balanco[#All],2,FALSE)</f>
        <v>Estoques Proprios</v>
      </c>
      <c r="G1855" s="1"/>
      <c r="H1855" s="225">
        <v>8422.2999999999956</v>
      </c>
      <c r="I1855" s="225">
        <v>0</v>
      </c>
      <c r="J1855" s="225">
        <v>2088.8000000000002</v>
      </c>
      <c r="K1855" s="225">
        <v>6333.4999999999955</v>
      </c>
      <c r="L18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6333.5</v>
      </c>
      <c r="M1855" s="225">
        <f>ROUND(IF(AND(Base_Periodo1[[#This Row],[Tipo_Linha]]="-",Base_Periodo1[[#This Row],[TIPOSALDO]]="D"),Base_Periodo1[[#This Row],[SALDO_ATUAL]]*-1,Base_Periodo1[[#This Row],[SALDO_ATUAL]]),4)</f>
        <v>6333.5</v>
      </c>
      <c r="N1855" t="s">
        <v>396</v>
      </c>
      <c r="O1855" t="s">
        <v>397</v>
      </c>
      <c r="P1855" t="s">
        <v>397</v>
      </c>
      <c r="Q1855">
        <v>7</v>
      </c>
      <c r="R1855" s="225">
        <f>Base_Periodo1[[#This Row],[CREDITOS]]-Base_Periodo1[[#This Row],[DEBITOS]]</f>
        <v>2088.8000000000002</v>
      </c>
      <c r="S1855" s="3" t="str">
        <f>IF(ISERROR(VLOOKUP(Base_Periodo1[[#This Row],[CONTA]],BaseContasDRE[#All],4,FALSE)),"Fora do DRE",VLOOKUP(Base_Periodo1[[#This Row],[CONTA]],BaseContasDRE[#All],4,FALSE))</f>
        <v>Fora do DRE</v>
      </c>
      <c r="T1855" s="3" t="str">
        <f>IF(ISERROR(VLOOKUP(Base_Periodo1[[#This Row],[CONTA]],BaseContasDRE[#All],5,FALSE)),"Fora do DRE",VLOOKUP(Base_Periodo1[[#This Row],[CONTA]],BaseContasDRE[#All],6,FALSE))</f>
        <v>Fora do DRE</v>
      </c>
      <c r="U1855" s="3" t="str">
        <f>IF(ISERROR(VLOOKUP(Base_Periodo1[[#This Row],[CONTA]],BaseContasDRE[#All],7,FALSE)),"Fora do DRE",VLOOKUP(Base_Periodo1[[#This Row],[CONTA]],BaseContasDRE[#All],7,FALSE))</f>
        <v>Fora do DRE</v>
      </c>
      <c r="V1855" s="3" t="str">
        <f>IF(Base_Periodo1[[#This Row],[Tipo_Linha]]="Fora do DRE","Fora do DRE","( "&amp;Base_Periodo1[[#This Row],[Tipo_Linha]]&amp;" ) "&amp;Base_Periodo1[[#This Row],[Filtro]])</f>
        <v>Fora do DRE</v>
      </c>
      <c r="W1855" s="3" t="str">
        <f>LEFT(Base_Periodo1[[#This Row],[CLASS]],3)</f>
        <v>1.1</v>
      </c>
    </row>
    <row r="1856" spans="1:23" hidden="1">
      <c r="A1856" s="3" t="str">
        <f t="shared" si="28"/>
        <v>Período 1</v>
      </c>
      <c r="B1856">
        <v>40027</v>
      </c>
      <c r="C1856" t="s">
        <v>5932</v>
      </c>
      <c r="D1856" t="s">
        <v>1054</v>
      </c>
      <c r="E1856" s="3" t="str">
        <f>IF(LEN(Base_Periodo1[[#This Row],[CLASS]])&gt;=7,LEFT(Base_Periodo1[[#This Row],[CLASS]],7),"")</f>
        <v>1.1.3.1</v>
      </c>
      <c r="F1856" s="3" t="str">
        <f>VLOOKUP(Base_Periodo1[[#This Row],[Aux]],Base_Contas_Balanco[#All],2,FALSE)</f>
        <v>Estoques Proprios</v>
      </c>
      <c r="G1856" s="1"/>
      <c r="H1856" s="225">
        <v>6384.26</v>
      </c>
      <c r="I1856" s="225">
        <v>0</v>
      </c>
      <c r="J1856" s="225">
        <v>0</v>
      </c>
      <c r="K1856" s="225">
        <v>6384.26</v>
      </c>
      <c r="L18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6384.26</v>
      </c>
      <c r="M1856" s="225">
        <f>ROUND(IF(AND(Base_Periodo1[[#This Row],[Tipo_Linha]]="-",Base_Periodo1[[#This Row],[TIPOSALDO]]="D"),Base_Periodo1[[#This Row],[SALDO_ATUAL]]*-1,Base_Periodo1[[#This Row],[SALDO_ATUAL]]),4)</f>
        <v>6384.26</v>
      </c>
      <c r="N1856" t="s">
        <v>396</v>
      </c>
      <c r="O1856" t="s">
        <v>397</v>
      </c>
      <c r="P1856" t="s">
        <v>397</v>
      </c>
      <c r="Q1856">
        <v>8</v>
      </c>
      <c r="R1856" s="225">
        <f>Base_Periodo1[[#This Row],[CREDITOS]]-Base_Periodo1[[#This Row],[DEBITOS]]</f>
        <v>0</v>
      </c>
      <c r="S1856" s="3" t="str">
        <f>IF(ISERROR(VLOOKUP(Base_Periodo1[[#This Row],[CONTA]],BaseContasDRE[#All],4,FALSE)),"Fora do DRE",VLOOKUP(Base_Periodo1[[#This Row],[CONTA]],BaseContasDRE[#All],4,FALSE))</f>
        <v>Fora do DRE</v>
      </c>
      <c r="T1856" s="3" t="str">
        <f>IF(ISERROR(VLOOKUP(Base_Periodo1[[#This Row],[CONTA]],BaseContasDRE[#All],5,FALSE)),"Fora do DRE",VLOOKUP(Base_Periodo1[[#This Row],[CONTA]],BaseContasDRE[#All],6,FALSE))</f>
        <v>Fora do DRE</v>
      </c>
      <c r="U1856" s="3" t="str">
        <f>IF(ISERROR(VLOOKUP(Base_Periodo1[[#This Row],[CONTA]],BaseContasDRE[#All],7,FALSE)),"Fora do DRE",VLOOKUP(Base_Periodo1[[#This Row],[CONTA]],BaseContasDRE[#All],7,FALSE))</f>
        <v>Fora do DRE</v>
      </c>
      <c r="V1856" s="3" t="str">
        <f>IF(Base_Periodo1[[#This Row],[Tipo_Linha]]="Fora do DRE","Fora do DRE","( "&amp;Base_Periodo1[[#This Row],[Tipo_Linha]]&amp;" ) "&amp;Base_Periodo1[[#This Row],[Filtro]])</f>
        <v>Fora do DRE</v>
      </c>
      <c r="W1856" s="3" t="str">
        <f>LEFT(Base_Periodo1[[#This Row],[CLASS]],3)</f>
        <v>1.1</v>
      </c>
    </row>
    <row r="1857" spans="1:23" hidden="1">
      <c r="A1857" s="3" t="str">
        <f t="shared" si="28"/>
        <v>Período 1</v>
      </c>
      <c r="B1857">
        <v>40028</v>
      </c>
      <c r="C1857" t="s">
        <v>5933</v>
      </c>
      <c r="D1857" t="s">
        <v>1054</v>
      </c>
      <c r="E1857" s="3" t="str">
        <f>IF(LEN(Base_Periodo1[[#This Row],[CLASS]])&gt;=7,LEFT(Base_Periodo1[[#This Row],[CLASS]],7),"")</f>
        <v>1.1.3.1</v>
      </c>
      <c r="F1857" s="3" t="str">
        <f>VLOOKUP(Base_Periodo1[[#This Row],[Aux]],Base_Contas_Balanco[#All],2,FALSE)</f>
        <v>Estoques Proprios</v>
      </c>
      <c r="G1857" s="1">
        <v>42735</v>
      </c>
      <c r="H1857" s="225">
        <v>6384.26</v>
      </c>
      <c r="I1857" s="225">
        <v>0</v>
      </c>
      <c r="J1857" s="225">
        <v>0</v>
      </c>
      <c r="K1857" s="225">
        <v>6384.26</v>
      </c>
      <c r="L18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6384.26</v>
      </c>
      <c r="M1857" s="225">
        <f>ROUND(IF(AND(Base_Periodo1[[#This Row],[Tipo_Linha]]="-",Base_Periodo1[[#This Row],[TIPOSALDO]]="D"),Base_Periodo1[[#This Row],[SALDO_ATUAL]]*-1,Base_Periodo1[[#This Row],[SALDO_ATUAL]]),4)</f>
        <v>6384.26</v>
      </c>
      <c r="N1857" t="s">
        <v>116</v>
      </c>
      <c r="O1857" t="s">
        <v>397</v>
      </c>
      <c r="P1857" t="s">
        <v>397</v>
      </c>
      <c r="Q1857">
        <v>9</v>
      </c>
      <c r="R1857" s="225">
        <f>Base_Periodo1[[#This Row],[CREDITOS]]-Base_Periodo1[[#This Row],[DEBITOS]]</f>
        <v>0</v>
      </c>
      <c r="S1857" s="3" t="str">
        <f>IF(ISERROR(VLOOKUP(Base_Periodo1[[#This Row],[CONTA]],BaseContasDRE[#All],4,FALSE)),"Fora do DRE",VLOOKUP(Base_Periodo1[[#This Row],[CONTA]],BaseContasDRE[#All],4,FALSE))</f>
        <v>Fora do DRE</v>
      </c>
      <c r="T1857" s="3" t="str">
        <f>IF(ISERROR(VLOOKUP(Base_Periodo1[[#This Row],[CONTA]],BaseContasDRE[#All],5,FALSE)),"Fora do DRE",VLOOKUP(Base_Periodo1[[#This Row],[CONTA]],BaseContasDRE[#All],6,FALSE))</f>
        <v>Fora do DRE</v>
      </c>
      <c r="U1857" s="3" t="str">
        <f>IF(ISERROR(VLOOKUP(Base_Periodo1[[#This Row],[CONTA]],BaseContasDRE[#All],7,FALSE)),"Fora do DRE",VLOOKUP(Base_Periodo1[[#This Row],[CONTA]],BaseContasDRE[#All],7,FALSE))</f>
        <v>Fora do DRE</v>
      </c>
      <c r="V1857" s="3" t="str">
        <f>IF(Base_Periodo1[[#This Row],[Tipo_Linha]]="Fora do DRE","Fora do DRE","( "&amp;Base_Periodo1[[#This Row],[Tipo_Linha]]&amp;" ) "&amp;Base_Periodo1[[#This Row],[Filtro]])</f>
        <v>Fora do DRE</v>
      </c>
      <c r="W1857" s="3" t="str">
        <f>LEFT(Base_Periodo1[[#This Row],[CLASS]],3)</f>
        <v>1.1</v>
      </c>
    </row>
    <row r="1858" spans="1:23" hidden="1">
      <c r="A1858" s="3" t="str">
        <f t="shared" si="28"/>
        <v>Período 1</v>
      </c>
      <c r="B1858">
        <v>40029</v>
      </c>
      <c r="C1858" t="s">
        <v>1472</v>
      </c>
      <c r="D1858" t="s">
        <v>1057</v>
      </c>
      <c r="E1858" s="3" t="str">
        <f>IF(LEN(Base_Periodo1[[#This Row],[CLASS]])&gt;=7,LEFT(Base_Periodo1[[#This Row],[CLASS]],7),"")</f>
        <v>1.1.3.1</v>
      </c>
      <c r="F1858" s="3" t="str">
        <f>VLOOKUP(Base_Periodo1[[#This Row],[Aux]],Base_Contas_Balanco[#All],2,FALSE)</f>
        <v>Estoques Proprios</v>
      </c>
      <c r="G1858" s="1"/>
      <c r="H1858" s="225">
        <v>8952.0999999999949</v>
      </c>
      <c r="I1858" s="225">
        <v>0</v>
      </c>
      <c r="J1858" s="225">
        <v>0</v>
      </c>
      <c r="K1858" s="225">
        <v>8952.0999999999949</v>
      </c>
      <c r="L18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8952.1</v>
      </c>
      <c r="M1858" s="225">
        <f>ROUND(IF(AND(Base_Periodo1[[#This Row],[Tipo_Linha]]="-",Base_Periodo1[[#This Row],[TIPOSALDO]]="D"),Base_Periodo1[[#This Row],[SALDO_ATUAL]]*-1,Base_Periodo1[[#This Row],[SALDO_ATUAL]]),4)</f>
        <v>8952.1</v>
      </c>
      <c r="N1858" t="s">
        <v>396</v>
      </c>
      <c r="O1858" t="s">
        <v>397</v>
      </c>
      <c r="P1858" t="s">
        <v>397</v>
      </c>
      <c r="Q1858">
        <v>8</v>
      </c>
      <c r="R1858" s="225">
        <f>Base_Periodo1[[#This Row],[CREDITOS]]-Base_Periodo1[[#This Row],[DEBITOS]]</f>
        <v>0</v>
      </c>
      <c r="S1858" s="3" t="str">
        <f>IF(ISERROR(VLOOKUP(Base_Periodo1[[#This Row],[CONTA]],BaseContasDRE[#All],4,FALSE)),"Fora do DRE",VLOOKUP(Base_Periodo1[[#This Row],[CONTA]],BaseContasDRE[#All],4,FALSE))</f>
        <v>Fora do DRE</v>
      </c>
      <c r="T1858" s="3" t="str">
        <f>IF(ISERROR(VLOOKUP(Base_Periodo1[[#This Row],[CONTA]],BaseContasDRE[#All],5,FALSE)),"Fora do DRE",VLOOKUP(Base_Periodo1[[#This Row],[CONTA]],BaseContasDRE[#All],6,FALSE))</f>
        <v>Fora do DRE</v>
      </c>
      <c r="U1858" s="3" t="str">
        <f>IF(ISERROR(VLOOKUP(Base_Periodo1[[#This Row],[CONTA]],BaseContasDRE[#All],7,FALSE)),"Fora do DRE",VLOOKUP(Base_Periodo1[[#This Row],[CONTA]],BaseContasDRE[#All],7,FALSE))</f>
        <v>Fora do DRE</v>
      </c>
      <c r="V1858" s="3" t="str">
        <f>IF(Base_Periodo1[[#This Row],[Tipo_Linha]]="Fora do DRE","Fora do DRE","( "&amp;Base_Periodo1[[#This Row],[Tipo_Linha]]&amp;" ) "&amp;Base_Periodo1[[#This Row],[Filtro]])</f>
        <v>Fora do DRE</v>
      </c>
      <c r="W1858" s="3" t="str">
        <f>LEFT(Base_Periodo1[[#This Row],[CLASS]],3)</f>
        <v>1.1</v>
      </c>
    </row>
    <row r="1859" spans="1:23" hidden="1">
      <c r="A1859" s="3" t="str">
        <f t="shared" si="28"/>
        <v>Período 1</v>
      </c>
      <c r="B1859">
        <v>40030</v>
      </c>
      <c r="C1859" t="s">
        <v>1473</v>
      </c>
      <c r="D1859" t="s">
        <v>1061</v>
      </c>
      <c r="E1859" s="3" t="str">
        <f>IF(LEN(Base_Periodo1[[#This Row],[CLASS]])&gt;=7,LEFT(Base_Periodo1[[#This Row],[CLASS]],7),"")</f>
        <v>1.1.3.1</v>
      </c>
      <c r="F1859" s="3" t="str">
        <f>VLOOKUP(Base_Periodo1[[#This Row],[Aux]],Base_Contas_Balanco[#All],2,FALSE)</f>
        <v>Estoques Proprios</v>
      </c>
      <c r="G1859" s="1">
        <v>42845</v>
      </c>
      <c r="H1859" s="225">
        <v>8952.0999999999949</v>
      </c>
      <c r="I1859" s="225">
        <v>0</v>
      </c>
      <c r="J1859" s="225">
        <v>0</v>
      </c>
      <c r="K1859" s="225">
        <v>8952.0999999999949</v>
      </c>
      <c r="L18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8952.1</v>
      </c>
      <c r="M1859" s="225">
        <f>ROUND(IF(AND(Base_Periodo1[[#This Row],[Tipo_Linha]]="-",Base_Periodo1[[#This Row],[TIPOSALDO]]="D"),Base_Periodo1[[#This Row],[SALDO_ATUAL]]*-1,Base_Periodo1[[#This Row],[SALDO_ATUAL]]),4)</f>
        <v>8952.1</v>
      </c>
      <c r="N1859" t="s">
        <v>116</v>
      </c>
      <c r="O1859" t="s">
        <v>397</v>
      </c>
      <c r="P1859" t="s">
        <v>397</v>
      </c>
      <c r="Q1859">
        <v>9</v>
      </c>
      <c r="R1859" s="225">
        <f>Base_Periodo1[[#This Row],[CREDITOS]]-Base_Periodo1[[#This Row],[DEBITOS]]</f>
        <v>0</v>
      </c>
      <c r="S1859" s="3" t="str">
        <f>IF(ISERROR(VLOOKUP(Base_Periodo1[[#This Row],[CONTA]],BaseContasDRE[#All],4,FALSE)),"Fora do DRE",VLOOKUP(Base_Periodo1[[#This Row],[CONTA]],BaseContasDRE[#All],4,FALSE))</f>
        <v>Fora do DRE</v>
      </c>
      <c r="T1859" s="3" t="str">
        <f>IF(ISERROR(VLOOKUP(Base_Periodo1[[#This Row],[CONTA]],BaseContasDRE[#All],5,FALSE)),"Fora do DRE",VLOOKUP(Base_Periodo1[[#This Row],[CONTA]],BaseContasDRE[#All],6,FALSE))</f>
        <v>Fora do DRE</v>
      </c>
      <c r="U1859" s="3" t="str">
        <f>IF(ISERROR(VLOOKUP(Base_Periodo1[[#This Row],[CONTA]],BaseContasDRE[#All],7,FALSE)),"Fora do DRE",VLOOKUP(Base_Periodo1[[#This Row],[CONTA]],BaseContasDRE[#All],7,FALSE))</f>
        <v>Fora do DRE</v>
      </c>
      <c r="V1859" s="3" t="str">
        <f>IF(Base_Periodo1[[#This Row],[Tipo_Linha]]="Fora do DRE","Fora do DRE","( "&amp;Base_Periodo1[[#This Row],[Tipo_Linha]]&amp;" ) "&amp;Base_Periodo1[[#This Row],[Filtro]])</f>
        <v>Fora do DRE</v>
      </c>
      <c r="W1859" s="3" t="str">
        <f>LEFT(Base_Periodo1[[#This Row],[CLASS]],3)</f>
        <v>1.1</v>
      </c>
    </row>
    <row r="1860" spans="1:23" hidden="1">
      <c r="A1860" s="3" t="str">
        <f t="shared" si="28"/>
        <v>Período 1</v>
      </c>
      <c r="B1860">
        <v>40044</v>
      </c>
      <c r="C1860" t="s">
        <v>1474</v>
      </c>
      <c r="D1860" t="s">
        <v>1150</v>
      </c>
      <c r="E1860" s="3" t="str">
        <f>IF(LEN(Base_Periodo1[[#This Row],[CLASS]])&gt;=7,LEFT(Base_Periodo1[[#This Row],[CLASS]],7),"")</f>
        <v>1.1.3.1</v>
      </c>
      <c r="F1860" s="3" t="str">
        <f>VLOOKUP(Base_Periodo1[[#This Row],[Aux]],Base_Contas_Balanco[#All],2,FALSE)</f>
        <v>Estoques Proprios</v>
      </c>
      <c r="G1860" s="1"/>
      <c r="H1860" s="225">
        <v>6914.0599999999995</v>
      </c>
      <c r="I1860" s="225">
        <v>0</v>
      </c>
      <c r="J1860" s="225">
        <v>2088.8000000000002</v>
      </c>
      <c r="K1860" s="225">
        <v>9002.86</v>
      </c>
      <c r="L18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-9002.86</v>
      </c>
      <c r="M1860" s="225">
        <f>ROUND(IF(AND(Base_Periodo1[[#This Row],[Tipo_Linha]]="-",Base_Periodo1[[#This Row],[TIPOSALDO]]="D"),Base_Periodo1[[#This Row],[SALDO_ATUAL]]*-1,Base_Periodo1[[#This Row],[SALDO_ATUAL]]),4)</f>
        <v>9002.86</v>
      </c>
      <c r="N1860" t="s">
        <v>396</v>
      </c>
      <c r="O1860" t="s">
        <v>459</v>
      </c>
      <c r="P1860" t="s">
        <v>459</v>
      </c>
      <c r="Q1860">
        <v>8</v>
      </c>
      <c r="R1860" s="225">
        <f>Base_Periodo1[[#This Row],[CREDITOS]]-Base_Periodo1[[#This Row],[DEBITOS]]</f>
        <v>2088.8000000000002</v>
      </c>
      <c r="S1860" s="3" t="str">
        <f>IF(ISERROR(VLOOKUP(Base_Periodo1[[#This Row],[CONTA]],BaseContasDRE[#All],4,FALSE)),"Fora do DRE",VLOOKUP(Base_Periodo1[[#This Row],[CONTA]],BaseContasDRE[#All],4,FALSE))</f>
        <v>Fora do DRE</v>
      </c>
      <c r="T1860" s="3" t="str">
        <f>IF(ISERROR(VLOOKUP(Base_Periodo1[[#This Row],[CONTA]],BaseContasDRE[#All],5,FALSE)),"Fora do DRE",VLOOKUP(Base_Periodo1[[#This Row],[CONTA]],BaseContasDRE[#All],6,FALSE))</f>
        <v>Fora do DRE</v>
      </c>
      <c r="U1860" s="3" t="str">
        <f>IF(ISERROR(VLOOKUP(Base_Periodo1[[#This Row],[CONTA]],BaseContasDRE[#All],7,FALSE)),"Fora do DRE",VLOOKUP(Base_Periodo1[[#This Row],[CONTA]],BaseContasDRE[#All],7,FALSE))</f>
        <v>Fora do DRE</v>
      </c>
      <c r="V1860" s="3" t="str">
        <f>IF(Base_Periodo1[[#This Row],[Tipo_Linha]]="Fora do DRE","Fora do DRE","( "&amp;Base_Periodo1[[#This Row],[Tipo_Linha]]&amp;" ) "&amp;Base_Periodo1[[#This Row],[Filtro]])</f>
        <v>Fora do DRE</v>
      </c>
      <c r="W1860" s="3" t="str">
        <f>LEFT(Base_Periodo1[[#This Row],[CLASS]],3)</f>
        <v>1.1</v>
      </c>
    </row>
    <row r="1861" spans="1:23" hidden="1">
      <c r="A1861" s="3" t="str">
        <f t="shared" si="28"/>
        <v>Período 1</v>
      </c>
      <c r="B1861">
        <v>40045</v>
      </c>
      <c r="C1861" t="s">
        <v>1475</v>
      </c>
      <c r="D1861" t="s">
        <v>1176</v>
      </c>
      <c r="E1861" s="3" t="str">
        <f>IF(LEN(Base_Periodo1[[#This Row],[CLASS]])&gt;=7,LEFT(Base_Periodo1[[#This Row],[CLASS]],7),"")</f>
        <v>1.1.3.1</v>
      </c>
      <c r="F1861" s="3" t="str">
        <f>VLOOKUP(Base_Periodo1[[#This Row],[Aux]],Base_Contas_Balanco[#All],2,FALSE)</f>
        <v>Estoques Proprios</v>
      </c>
      <c r="G1861" s="1">
        <v>42886</v>
      </c>
      <c r="H1861" s="225">
        <v>6914.0599999999995</v>
      </c>
      <c r="I1861" s="225">
        <v>0</v>
      </c>
      <c r="J1861" s="225">
        <v>2088.8000000000002</v>
      </c>
      <c r="K1861" s="225">
        <v>9002.86</v>
      </c>
      <c r="L18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-9002.86</v>
      </c>
      <c r="M1861" s="225">
        <f>ROUND(IF(AND(Base_Periodo1[[#This Row],[Tipo_Linha]]="-",Base_Periodo1[[#This Row],[TIPOSALDO]]="D"),Base_Periodo1[[#This Row],[SALDO_ATUAL]]*-1,Base_Periodo1[[#This Row],[SALDO_ATUAL]]),4)</f>
        <v>9002.86</v>
      </c>
      <c r="N1861" t="s">
        <v>116</v>
      </c>
      <c r="O1861" t="s">
        <v>459</v>
      </c>
      <c r="P1861" t="s">
        <v>459</v>
      </c>
      <c r="Q1861">
        <v>9</v>
      </c>
      <c r="R1861" s="225">
        <f>Base_Periodo1[[#This Row],[CREDITOS]]-Base_Periodo1[[#This Row],[DEBITOS]]</f>
        <v>2088.8000000000002</v>
      </c>
      <c r="S1861" s="3" t="str">
        <f>IF(ISERROR(VLOOKUP(Base_Periodo1[[#This Row],[CONTA]],BaseContasDRE[#All],4,FALSE)),"Fora do DRE",VLOOKUP(Base_Periodo1[[#This Row],[CONTA]],BaseContasDRE[#All],4,FALSE))</f>
        <v>Fora do DRE</v>
      </c>
      <c r="T1861" s="3" t="str">
        <f>IF(ISERROR(VLOOKUP(Base_Periodo1[[#This Row],[CONTA]],BaseContasDRE[#All],5,FALSE)),"Fora do DRE",VLOOKUP(Base_Periodo1[[#This Row],[CONTA]],BaseContasDRE[#All],6,FALSE))</f>
        <v>Fora do DRE</v>
      </c>
      <c r="U1861" s="3" t="str">
        <f>IF(ISERROR(VLOOKUP(Base_Periodo1[[#This Row],[CONTA]],BaseContasDRE[#All],7,FALSE)),"Fora do DRE",VLOOKUP(Base_Periodo1[[#This Row],[CONTA]],BaseContasDRE[#All],7,FALSE))</f>
        <v>Fora do DRE</v>
      </c>
      <c r="V1861" s="3" t="str">
        <f>IF(Base_Periodo1[[#This Row],[Tipo_Linha]]="Fora do DRE","Fora do DRE","( "&amp;Base_Periodo1[[#This Row],[Tipo_Linha]]&amp;" ) "&amp;Base_Periodo1[[#This Row],[Filtro]])</f>
        <v>Fora do DRE</v>
      </c>
      <c r="W1861" s="3" t="str">
        <f>LEFT(Base_Periodo1[[#This Row],[CLASS]],3)</f>
        <v>1.1</v>
      </c>
    </row>
    <row r="1862" spans="1:23" hidden="1">
      <c r="A1862" s="3" t="str">
        <f t="shared" ref="A1862:A1925" si="29">"Período 1"</f>
        <v>Período 1</v>
      </c>
      <c r="B1862">
        <v>31241</v>
      </c>
      <c r="C1862" t="s">
        <v>1476</v>
      </c>
      <c r="D1862" t="s">
        <v>1477</v>
      </c>
      <c r="E1862" s="3" t="str">
        <f>IF(LEN(Base_Periodo1[[#This Row],[CLASS]])&gt;=7,LEFT(Base_Periodo1[[#This Row],[CLASS]],7),"")</f>
        <v>1.1.3.1</v>
      </c>
      <c r="F1862" s="3" t="str">
        <f>VLOOKUP(Base_Periodo1[[#This Row],[Aux]],Base_Contas_Balanco[#All],2,FALSE)</f>
        <v>Estoques Proprios</v>
      </c>
      <c r="G1862" s="1"/>
      <c r="H1862" s="225">
        <v>1378839.9000000071</v>
      </c>
      <c r="I1862" s="225">
        <v>3721733.29</v>
      </c>
      <c r="J1862" s="225">
        <v>3895602.0300000003</v>
      </c>
      <c r="K1862" s="225">
        <v>1204971.1600000067</v>
      </c>
      <c r="L18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1204971.1599999999</v>
      </c>
      <c r="M1862" s="225">
        <f>ROUND(IF(AND(Base_Periodo1[[#This Row],[Tipo_Linha]]="-",Base_Periodo1[[#This Row],[TIPOSALDO]]="D"),Base_Periodo1[[#This Row],[SALDO_ATUAL]]*-1,Base_Periodo1[[#This Row],[SALDO_ATUAL]]),4)</f>
        <v>1204971.1599999999</v>
      </c>
      <c r="N1862" t="s">
        <v>396</v>
      </c>
      <c r="O1862" t="s">
        <v>397</v>
      </c>
      <c r="P1862" t="s">
        <v>397</v>
      </c>
      <c r="Q1862">
        <v>5</v>
      </c>
      <c r="R1862" s="225">
        <f>Base_Periodo1[[#This Row],[CREDITOS]]-Base_Periodo1[[#This Row],[DEBITOS]]</f>
        <v>173868.74000000022</v>
      </c>
      <c r="S1862" s="3" t="str">
        <f>IF(ISERROR(VLOOKUP(Base_Periodo1[[#This Row],[CONTA]],BaseContasDRE[#All],4,FALSE)),"Fora do DRE",VLOOKUP(Base_Periodo1[[#This Row],[CONTA]],BaseContasDRE[#All],4,FALSE))</f>
        <v>Fora do DRE</v>
      </c>
      <c r="T1862" s="3" t="str">
        <f>IF(ISERROR(VLOOKUP(Base_Periodo1[[#This Row],[CONTA]],BaseContasDRE[#All],5,FALSE)),"Fora do DRE",VLOOKUP(Base_Periodo1[[#This Row],[CONTA]],BaseContasDRE[#All],6,FALSE))</f>
        <v>Fora do DRE</v>
      </c>
      <c r="U1862" s="3" t="str">
        <f>IF(ISERROR(VLOOKUP(Base_Periodo1[[#This Row],[CONTA]],BaseContasDRE[#All],7,FALSE)),"Fora do DRE",VLOOKUP(Base_Periodo1[[#This Row],[CONTA]],BaseContasDRE[#All],7,FALSE))</f>
        <v>Fora do DRE</v>
      </c>
      <c r="V1862" s="3" t="str">
        <f>IF(Base_Periodo1[[#This Row],[Tipo_Linha]]="Fora do DRE","Fora do DRE","( "&amp;Base_Periodo1[[#This Row],[Tipo_Linha]]&amp;" ) "&amp;Base_Periodo1[[#This Row],[Filtro]])</f>
        <v>Fora do DRE</v>
      </c>
      <c r="W1862" s="3" t="str">
        <f>LEFT(Base_Periodo1[[#This Row],[CLASS]],3)</f>
        <v>1.1</v>
      </c>
    </row>
    <row r="1863" spans="1:23" hidden="1">
      <c r="A1863" s="3" t="str">
        <f t="shared" si="29"/>
        <v>Período 1</v>
      </c>
      <c r="B1863">
        <v>31242</v>
      </c>
      <c r="C1863" t="s">
        <v>1478</v>
      </c>
      <c r="D1863" t="s">
        <v>1479</v>
      </c>
      <c r="E1863" s="3" t="str">
        <f>IF(LEN(Base_Periodo1[[#This Row],[CLASS]])&gt;=7,LEFT(Base_Periodo1[[#This Row],[CLASS]],7),"")</f>
        <v>1.1.3.1</v>
      </c>
      <c r="F1863" s="3" t="str">
        <f>VLOOKUP(Base_Periodo1[[#This Row],[Aux]],Base_Contas_Balanco[#All],2,FALSE)</f>
        <v>Estoques Proprios</v>
      </c>
      <c r="G1863" s="1"/>
      <c r="H1863" s="225">
        <v>1069059.3699999982</v>
      </c>
      <c r="I1863" s="225">
        <v>1755518.61</v>
      </c>
      <c r="J1863" s="225">
        <v>2402268</v>
      </c>
      <c r="K1863" s="225">
        <v>422309.97999999858</v>
      </c>
      <c r="L18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422309.98</v>
      </c>
      <c r="M1863" s="225">
        <f>ROUND(IF(AND(Base_Periodo1[[#This Row],[Tipo_Linha]]="-",Base_Periodo1[[#This Row],[TIPOSALDO]]="D"),Base_Periodo1[[#This Row],[SALDO_ATUAL]]*-1,Base_Periodo1[[#This Row],[SALDO_ATUAL]]),4)</f>
        <v>422309.98</v>
      </c>
      <c r="N1863" t="s">
        <v>396</v>
      </c>
      <c r="O1863" t="s">
        <v>397</v>
      </c>
      <c r="P1863" t="s">
        <v>397</v>
      </c>
      <c r="Q1863">
        <v>6</v>
      </c>
      <c r="R1863" s="225">
        <f>Base_Periodo1[[#This Row],[CREDITOS]]-Base_Periodo1[[#This Row],[DEBITOS]]</f>
        <v>646749.3899999999</v>
      </c>
      <c r="S1863" s="3" t="str">
        <f>IF(ISERROR(VLOOKUP(Base_Periodo1[[#This Row],[CONTA]],BaseContasDRE[#All],4,FALSE)),"Fora do DRE",VLOOKUP(Base_Periodo1[[#This Row],[CONTA]],BaseContasDRE[#All],4,FALSE))</f>
        <v>Fora do DRE</v>
      </c>
      <c r="T1863" s="3" t="str">
        <f>IF(ISERROR(VLOOKUP(Base_Periodo1[[#This Row],[CONTA]],BaseContasDRE[#All],5,FALSE)),"Fora do DRE",VLOOKUP(Base_Periodo1[[#This Row],[CONTA]],BaseContasDRE[#All],6,FALSE))</f>
        <v>Fora do DRE</v>
      </c>
      <c r="U1863" s="3" t="str">
        <f>IF(ISERROR(VLOOKUP(Base_Periodo1[[#This Row],[CONTA]],BaseContasDRE[#All],7,FALSE)),"Fora do DRE",VLOOKUP(Base_Periodo1[[#This Row],[CONTA]],BaseContasDRE[#All],7,FALSE))</f>
        <v>Fora do DRE</v>
      </c>
      <c r="V1863" s="3" t="str">
        <f>IF(Base_Periodo1[[#This Row],[Tipo_Linha]]="Fora do DRE","Fora do DRE","( "&amp;Base_Periodo1[[#This Row],[Tipo_Linha]]&amp;" ) "&amp;Base_Periodo1[[#This Row],[Filtro]])</f>
        <v>Fora do DRE</v>
      </c>
      <c r="W1863" s="3" t="str">
        <f>LEFT(Base_Periodo1[[#This Row],[CLASS]],3)</f>
        <v>1.1</v>
      </c>
    </row>
    <row r="1864" spans="1:23" hidden="1">
      <c r="A1864" s="3" t="str">
        <f t="shared" si="29"/>
        <v>Período 1</v>
      </c>
      <c r="B1864">
        <v>31243</v>
      </c>
      <c r="C1864" t="s">
        <v>1480</v>
      </c>
      <c r="D1864" t="s">
        <v>1245</v>
      </c>
      <c r="E1864" s="3" t="str">
        <f>IF(LEN(Base_Periodo1[[#This Row],[CLASS]])&gt;=7,LEFT(Base_Periodo1[[#This Row],[CLASS]],7),"")</f>
        <v>1.1.3.1</v>
      </c>
      <c r="F1864" s="3" t="str">
        <f>VLOOKUP(Base_Periodo1[[#This Row],[Aux]],Base_Contas_Balanco[#All],2,FALSE)</f>
        <v>Estoques Proprios</v>
      </c>
      <c r="G1864" s="1"/>
      <c r="H1864" s="225">
        <v>193392.91999999806</v>
      </c>
      <c r="I1864" s="225">
        <v>26450.799999999999</v>
      </c>
      <c r="J1864" s="225">
        <v>219843.72</v>
      </c>
      <c r="K1864" s="225">
        <v>-1.9499566406011581E-9</v>
      </c>
      <c r="L18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864" s="225">
        <f>ROUND(IF(AND(Base_Periodo1[[#This Row],[Tipo_Linha]]="-",Base_Periodo1[[#This Row],[TIPOSALDO]]="D"),Base_Periodo1[[#This Row],[SALDO_ATUAL]]*-1,Base_Periodo1[[#This Row],[SALDO_ATUAL]]),4)</f>
        <v>0</v>
      </c>
      <c r="N1864" t="s">
        <v>396</v>
      </c>
      <c r="O1864" t="s">
        <v>397</v>
      </c>
      <c r="P1864" t="s">
        <v>436</v>
      </c>
      <c r="Q1864">
        <v>7</v>
      </c>
      <c r="R1864" s="225">
        <f>Base_Periodo1[[#This Row],[CREDITOS]]-Base_Periodo1[[#This Row],[DEBITOS]]</f>
        <v>193392.92</v>
      </c>
      <c r="S1864" s="3" t="str">
        <f>IF(ISERROR(VLOOKUP(Base_Periodo1[[#This Row],[CONTA]],BaseContasDRE[#All],4,FALSE)),"Fora do DRE",VLOOKUP(Base_Periodo1[[#This Row],[CONTA]],BaseContasDRE[#All],4,FALSE))</f>
        <v>Fora do DRE</v>
      </c>
      <c r="T1864" s="3" t="str">
        <f>IF(ISERROR(VLOOKUP(Base_Periodo1[[#This Row],[CONTA]],BaseContasDRE[#All],5,FALSE)),"Fora do DRE",VLOOKUP(Base_Periodo1[[#This Row],[CONTA]],BaseContasDRE[#All],6,FALSE))</f>
        <v>Fora do DRE</v>
      </c>
      <c r="U1864" s="3" t="str">
        <f>IF(ISERROR(VLOOKUP(Base_Periodo1[[#This Row],[CONTA]],BaseContasDRE[#All],7,FALSE)),"Fora do DRE",VLOOKUP(Base_Periodo1[[#This Row],[CONTA]],BaseContasDRE[#All],7,FALSE))</f>
        <v>Fora do DRE</v>
      </c>
      <c r="V1864" s="3" t="str">
        <f>IF(Base_Periodo1[[#This Row],[Tipo_Linha]]="Fora do DRE","Fora do DRE","( "&amp;Base_Periodo1[[#This Row],[Tipo_Linha]]&amp;" ) "&amp;Base_Periodo1[[#This Row],[Filtro]])</f>
        <v>Fora do DRE</v>
      </c>
      <c r="W1864" s="3" t="str">
        <f>LEFT(Base_Periodo1[[#This Row],[CLASS]],3)</f>
        <v>1.1</v>
      </c>
    </row>
    <row r="1865" spans="1:23" hidden="1">
      <c r="A1865" s="3" t="str">
        <f t="shared" si="29"/>
        <v>Período 1</v>
      </c>
      <c r="B1865">
        <v>31244</v>
      </c>
      <c r="C1865" t="s">
        <v>1481</v>
      </c>
      <c r="D1865" t="s">
        <v>1054</v>
      </c>
      <c r="E1865" s="3" t="str">
        <f>IF(LEN(Base_Periodo1[[#This Row],[CLASS]])&gt;=7,LEFT(Base_Periodo1[[#This Row],[CLASS]],7),"")</f>
        <v>1.1.3.1</v>
      </c>
      <c r="F1865" s="3" t="str">
        <f>VLOOKUP(Base_Periodo1[[#This Row],[Aux]],Base_Contas_Balanco[#All],2,FALSE)</f>
        <v>Estoques Proprios</v>
      </c>
      <c r="G1865" s="1"/>
      <c r="H1865" s="225">
        <v>35951.810000002384</v>
      </c>
      <c r="I1865" s="225">
        <v>0</v>
      </c>
      <c r="J1865" s="225">
        <v>0</v>
      </c>
      <c r="K1865" s="225">
        <v>35951.810000002384</v>
      </c>
      <c r="L18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35951.81</v>
      </c>
      <c r="M1865" s="225">
        <f>ROUND(IF(AND(Base_Periodo1[[#This Row],[Tipo_Linha]]="-",Base_Periodo1[[#This Row],[TIPOSALDO]]="D"),Base_Periodo1[[#This Row],[SALDO_ATUAL]]*-1,Base_Periodo1[[#This Row],[SALDO_ATUAL]]),4)</f>
        <v>35951.81</v>
      </c>
      <c r="N1865" t="s">
        <v>396</v>
      </c>
      <c r="O1865" t="s">
        <v>397</v>
      </c>
      <c r="P1865" t="s">
        <v>397</v>
      </c>
      <c r="Q1865">
        <v>8</v>
      </c>
      <c r="R1865" s="225">
        <f>Base_Periodo1[[#This Row],[CREDITOS]]-Base_Periodo1[[#This Row],[DEBITOS]]</f>
        <v>0</v>
      </c>
      <c r="S1865" s="3" t="str">
        <f>IF(ISERROR(VLOOKUP(Base_Periodo1[[#This Row],[CONTA]],BaseContasDRE[#All],4,FALSE)),"Fora do DRE",VLOOKUP(Base_Periodo1[[#This Row],[CONTA]],BaseContasDRE[#All],4,FALSE))</f>
        <v>Fora do DRE</v>
      </c>
      <c r="T1865" s="3" t="str">
        <f>IF(ISERROR(VLOOKUP(Base_Periodo1[[#This Row],[CONTA]],BaseContasDRE[#All],5,FALSE)),"Fora do DRE",VLOOKUP(Base_Periodo1[[#This Row],[CONTA]],BaseContasDRE[#All],6,FALSE))</f>
        <v>Fora do DRE</v>
      </c>
      <c r="U1865" s="3" t="str">
        <f>IF(ISERROR(VLOOKUP(Base_Periodo1[[#This Row],[CONTA]],BaseContasDRE[#All],7,FALSE)),"Fora do DRE",VLOOKUP(Base_Periodo1[[#This Row],[CONTA]],BaseContasDRE[#All],7,FALSE))</f>
        <v>Fora do DRE</v>
      </c>
      <c r="V1865" s="3" t="str">
        <f>IF(Base_Periodo1[[#This Row],[Tipo_Linha]]="Fora do DRE","Fora do DRE","( "&amp;Base_Periodo1[[#This Row],[Tipo_Linha]]&amp;" ) "&amp;Base_Periodo1[[#This Row],[Filtro]])</f>
        <v>Fora do DRE</v>
      </c>
      <c r="W1865" s="3" t="str">
        <f>LEFT(Base_Periodo1[[#This Row],[CLASS]],3)</f>
        <v>1.1</v>
      </c>
    </row>
    <row r="1866" spans="1:23" hidden="1">
      <c r="A1866" s="3" t="str">
        <f t="shared" si="29"/>
        <v>Período 1</v>
      </c>
      <c r="B1866">
        <v>31245</v>
      </c>
      <c r="C1866" t="s">
        <v>1482</v>
      </c>
      <c r="D1866" t="s">
        <v>1054</v>
      </c>
      <c r="E1866" s="3" t="str">
        <f>IF(LEN(Base_Periodo1[[#This Row],[CLASS]])&gt;=7,LEFT(Base_Periodo1[[#This Row],[CLASS]],7),"")</f>
        <v>1.1.3.1</v>
      </c>
      <c r="F1866" s="3" t="str">
        <f>VLOOKUP(Base_Periodo1[[#This Row],[Aux]],Base_Contas_Balanco[#All],2,FALSE)</f>
        <v>Estoques Proprios</v>
      </c>
      <c r="G1866" s="1">
        <v>42735</v>
      </c>
      <c r="H1866" s="225">
        <v>35951.810000002384</v>
      </c>
      <c r="I1866" s="225">
        <v>0</v>
      </c>
      <c r="J1866" s="225">
        <v>0</v>
      </c>
      <c r="K1866" s="225">
        <v>35951.810000002384</v>
      </c>
      <c r="L18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35951.81</v>
      </c>
      <c r="M1866" s="225">
        <f>ROUND(IF(AND(Base_Periodo1[[#This Row],[Tipo_Linha]]="-",Base_Periodo1[[#This Row],[TIPOSALDO]]="D"),Base_Periodo1[[#This Row],[SALDO_ATUAL]]*-1,Base_Periodo1[[#This Row],[SALDO_ATUAL]]),4)</f>
        <v>35951.81</v>
      </c>
      <c r="N1866" t="s">
        <v>116</v>
      </c>
      <c r="O1866" t="s">
        <v>397</v>
      </c>
      <c r="P1866" t="s">
        <v>397</v>
      </c>
      <c r="Q1866">
        <v>9</v>
      </c>
      <c r="R1866" s="225">
        <f>Base_Periodo1[[#This Row],[CREDITOS]]-Base_Periodo1[[#This Row],[DEBITOS]]</f>
        <v>0</v>
      </c>
      <c r="S1866" s="3" t="str">
        <f>IF(ISERROR(VLOOKUP(Base_Periodo1[[#This Row],[CONTA]],BaseContasDRE[#All],4,FALSE)),"Fora do DRE",VLOOKUP(Base_Periodo1[[#This Row],[CONTA]],BaseContasDRE[#All],4,FALSE))</f>
        <v>Fora do DRE</v>
      </c>
      <c r="T1866" s="3" t="str">
        <f>IF(ISERROR(VLOOKUP(Base_Periodo1[[#This Row],[CONTA]],BaseContasDRE[#All],5,FALSE)),"Fora do DRE",VLOOKUP(Base_Periodo1[[#This Row],[CONTA]],BaseContasDRE[#All],6,FALSE))</f>
        <v>Fora do DRE</v>
      </c>
      <c r="U1866" s="3" t="str">
        <f>IF(ISERROR(VLOOKUP(Base_Periodo1[[#This Row],[CONTA]],BaseContasDRE[#All],7,FALSE)),"Fora do DRE",VLOOKUP(Base_Periodo1[[#This Row],[CONTA]],BaseContasDRE[#All],7,FALSE))</f>
        <v>Fora do DRE</v>
      </c>
      <c r="V1866" s="3" t="str">
        <f>IF(Base_Periodo1[[#This Row],[Tipo_Linha]]="Fora do DRE","Fora do DRE","( "&amp;Base_Periodo1[[#This Row],[Tipo_Linha]]&amp;" ) "&amp;Base_Periodo1[[#This Row],[Filtro]])</f>
        <v>Fora do DRE</v>
      </c>
      <c r="W1866" s="3" t="str">
        <f>LEFT(Base_Periodo1[[#This Row],[CLASS]],3)</f>
        <v>1.1</v>
      </c>
    </row>
    <row r="1867" spans="1:23" hidden="1">
      <c r="A1867" s="3" t="str">
        <f t="shared" si="29"/>
        <v>Período 1</v>
      </c>
      <c r="B1867">
        <v>50825</v>
      </c>
      <c r="C1867" t="s">
        <v>4404</v>
      </c>
      <c r="D1867" t="s">
        <v>4405</v>
      </c>
      <c r="E1867" s="3" t="str">
        <f>IF(LEN(Base_Periodo1[[#This Row],[CLASS]])&gt;=7,LEFT(Base_Periodo1[[#This Row],[CLASS]],7),"")</f>
        <v>1.1.3.1</v>
      </c>
      <c r="F1867" s="3" t="str">
        <f>VLOOKUP(Base_Periodo1[[#This Row],[Aux]],Base_Contas_Balanco[#All],2,FALSE)</f>
        <v>Estoques Proprios</v>
      </c>
      <c r="G1867" s="1"/>
      <c r="H1867" s="225">
        <v>753458.72000000067</v>
      </c>
      <c r="I1867" s="225">
        <v>26450.799999999999</v>
      </c>
      <c r="J1867" s="225">
        <v>0</v>
      </c>
      <c r="K1867" s="225">
        <v>779909.52000000072</v>
      </c>
      <c r="L18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779909.52</v>
      </c>
      <c r="M1867" s="225">
        <f>ROUND(IF(AND(Base_Periodo1[[#This Row],[Tipo_Linha]]="-",Base_Periodo1[[#This Row],[TIPOSALDO]]="D"),Base_Periodo1[[#This Row],[SALDO_ATUAL]]*-1,Base_Periodo1[[#This Row],[SALDO_ATUAL]]),4)</f>
        <v>779909.52</v>
      </c>
      <c r="N1867" t="s">
        <v>396</v>
      </c>
      <c r="O1867" t="s">
        <v>397</v>
      </c>
      <c r="P1867" t="s">
        <v>397</v>
      </c>
      <c r="Q1867">
        <v>8</v>
      </c>
      <c r="R1867" s="225">
        <f>Base_Periodo1[[#This Row],[CREDITOS]]-Base_Periodo1[[#This Row],[DEBITOS]]</f>
        <v>-26450.799999999999</v>
      </c>
      <c r="S1867" s="3" t="str">
        <f>IF(ISERROR(VLOOKUP(Base_Periodo1[[#This Row],[CONTA]],BaseContasDRE[#All],4,FALSE)),"Fora do DRE",VLOOKUP(Base_Periodo1[[#This Row],[CONTA]],BaseContasDRE[#All],4,FALSE))</f>
        <v>Fora do DRE</v>
      </c>
      <c r="T1867" s="3" t="str">
        <f>IF(ISERROR(VLOOKUP(Base_Periodo1[[#This Row],[CONTA]],BaseContasDRE[#All],5,FALSE)),"Fora do DRE",VLOOKUP(Base_Periodo1[[#This Row],[CONTA]],BaseContasDRE[#All],6,FALSE))</f>
        <v>Fora do DRE</v>
      </c>
      <c r="U1867" s="3" t="str">
        <f>IF(ISERROR(VLOOKUP(Base_Periodo1[[#This Row],[CONTA]],BaseContasDRE[#All],7,FALSE)),"Fora do DRE",VLOOKUP(Base_Periodo1[[#This Row],[CONTA]],BaseContasDRE[#All],7,FALSE))</f>
        <v>Fora do DRE</v>
      </c>
      <c r="V1867" s="3" t="str">
        <f>IF(Base_Periodo1[[#This Row],[Tipo_Linha]]="Fora do DRE","Fora do DRE","( "&amp;Base_Periodo1[[#This Row],[Tipo_Linha]]&amp;" ) "&amp;Base_Periodo1[[#This Row],[Filtro]])</f>
        <v>Fora do DRE</v>
      </c>
      <c r="W1867" s="3" t="str">
        <f>LEFT(Base_Periodo1[[#This Row],[CLASS]],3)</f>
        <v>1.1</v>
      </c>
    </row>
    <row r="1868" spans="1:23" hidden="1">
      <c r="A1868" s="3" t="str">
        <f t="shared" si="29"/>
        <v>Período 1</v>
      </c>
      <c r="B1868">
        <v>50826</v>
      </c>
      <c r="C1868" t="s">
        <v>4406</v>
      </c>
      <c r="D1868" t="s">
        <v>4407</v>
      </c>
      <c r="E1868" s="3" t="str">
        <f>IF(LEN(Base_Periodo1[[#This Row],[CLASS]])&gt;=7,LEFT(Base_Periodo1[[#This Row],[CLASS]],7),"")</f>
        <v>1.1.3.1</v>
      </c>
      <c r="F1868" s="3" t="str">
        <f>VLOOKUP(Base_Periodo1[[#This Row],[Aux]],Base_Contas_Balanco[#All],2,FALSE)</f>
        <v>Estoques Proprios</v>
      </c>
      <c r="G1868" s="1">
        <v>42886</v>
      </c>
      <c r="H1868" s="225">
        <v>753458.72000000067</v>
      </c>
      <c r="I1868" s="225">
        <v>26450.799999999999</v>
      </c>
      <c r="J1868" s="225">
        <v>0</v>
      </c>
      <c r="K1868" s="225">
        <v>779909.52000000072</v>
      </c>
      <c r="L18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779909.52</v>
      </c>
      <c r="M1868" s="225">
        <f>ROUND(IF(AND(Base_Periodo1[[#This Row],[Tipo_Linha]]="-",Base_Periodo1[[#This Row],[TIPOSALDO]]="D"),Base_Periodo1[[#This Row],[SALDO_ATUAL]]*-1,Base_Periodo1[[#This Row],[SALDO_ATUAL]]),4)</f>
        <v>779909.52</v>
      </c>
      <c r="N1868" t="s">
        <v>116</v>
      </c>
      <c r="O1868" t="s">
        <v>397</v>
      </c>
      <c r="P1868" t="s">
        <v>397</v>
      </c>
      <c r="Q1868">
        <v>9</v>
      </c>
      <c r="R1868" s="225">
        <f>Base_Periodo1[[#This Row],[CREDITOS]]-Base_Periodo1[[#This Row],[DEBITOS]]</f>
        <v>-26450.799999999999</v>
      </c>
      <c r="S1868" s="3" t="str">
        <f>IF(ISERROR(VLOOKUP(Base_Periodo1[[#This Row],[CONTA]],BaseContasDRE[#All],4,FALSE)),"Fora do DRE",VLOOKUP(Base_Periodo1[[#This Row],[CONTA]],BaseContasDRE[#All],4,FALSE))</f>
        <v>Fora do DRE</v>
      </c>
      <c r="T1868" s="3" t="str">
        <f>IF(ISERROR(VLOOKUP(Base_Periodo1[[#This Row],[CONTA]],BaseContasDRE[#All],5,FALSE)),"Fora do DRE",VLOOKUP(Base_Periodo1[[#This Row],[CONTA]],BaseContasDRE[#All],6,FALSE))</f>
        <v>Fora do DRE</v>
      </c>
      <c r="U1868" s="3" t="str">
        <f>IF(ISERROR(VLOOKUP(Base_Periodo1[[#This Row],[CONTA]],BaseContasDRE[#All],7,FALSE)),"Fora do DRE",VLOOKUP(Base_Periodo1[[#This Row],[CONTA]],BaseContasDRE[#All],7,FALSE))</f>
        <v>Fora do DRE</v>
      </c>
      <c r="V1868" s="3" t="str">
        <f>IF(Base_Periodo1[[#This Row],[Tipo_Linha]]="Fora do DRE","Fora do DRE","( "&amp;Base_Periodo1[[#This Row],[Tipo_Linha]]&amp;" ) "&amp;Base_Periodo1[[#This Row],[Filtro]])</f>
        <v>Fora do DRE</v>
      </c>
      <c r="W1868" s="3" t="str">
        <f>LEFT(Base_Periodo1[[#This Row],[CLASS]],3)</f>
        <v>1.1</v>
      </c>
    </row>
    <row r="1869" spans="1:23" hidden="1">
      <c r="A1869" s="3" t="str">
        <f t="shared" si="29"/>
        <v>Período 1</v>
      </c>
      <c r="B1869">
        <v>31246</v>
      </c>
      <c r="C1869" t="s">
        <v>1483</v>
      </c>
      <c r="D1869" t="s">
        <v>1063</v>
      </c>
      <c r="E1869" s="3" t="str">
        <f>IF(LEN(Base_Periodo1[[#This Row],[CLASS]])&gt;=7,LEFT(Base_Periodo1[[#This Row],[CLASS]],7),"")</f>
        <v>1.1.3.1</v>
      </c>
      <c r="F1869" s="3" t="str">
        <f>VLOOKUP(Base_Periodo1[[#This Row],[Aux]],Base_Contas_Balanco[#All],2,FALSE)</f>
        <v>Estoques Proprios</v>
      </c>
      <c r="G1869" s="1"/>
      <c r="H1869" s="225">
        <v>98678.909999998752</v>
      </c>
      <c r="I1869" s="225">
        <v>0</v>
      </c>
      <c r="J1869" s="225">
        <v>0</v>
      </c>
      <c r="K1869" s="225">
        <v>98678.909999998752</v>
      </c>
      <c r="L18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98678.91</v>
      </c>
      <c r="M1869" s="225">
        <f>ROUND(IF(AND(Base_Periodo1[[#This Row],[Tipo_Linha]]="-",Base_Periodo1[[#This Row],[TIPOSALDO]]="D"),Base_Periodo1[[#This Row],[SALDO_ATUAL]]*-1,Base_Periodo1[[#This Row],[SALDO_ATUAL]]),4)</f>
        <v>98678.91</v>
      </c>
      <c r="N1869" t="s">
        <v>396</v>
      </c>
      <c r="O1869" t="s">
        <v>397</v>
      </c>
      <c r="P1869" t="s">
        <v>397</v>
      </c>
      <c r="Q1869">
        <v>8</v>
      </c>
      <c r="R1869" s="225">
        <f>Base_Periodo1[[#This Row],[CREDITOS]]-Base_Periodo1[[#This Row],[DEBITOS]]</f>
        <v>0</v>
      </c>
      <c r="S1869" s="3" t="str">
        <f>IF(ISERROR(VLOOKUP(Base_Periodo1[[#This Row],[CONTA]],BaseContasDRE[#All],4,FALSE)),"Fora do DRE",VLOOKUP(Base_Periodo1[[#This Row],[CONTA]],BaseContasDRE[#All],4,FALSE))</f>
        <v>Fora do DRE</v>
      </c>
      <c r="T1869" s="3" t="str">
        <f>IF(ISERROR(VLOOKUP(Base_Periodo1[[#This Row],[CONTA]],BaseContasDRE[#All],5,FALSE)),"Fora do DRE",VLOOKUP(Base_Periodo1[[#This Row],[CONTA]],BaseContasDRE[#All],6,FALSE))</f>
        <v>Fora do DRE</v>
      </c>
      <c r="U1869" s="3" t="str">
        <f>IF(ISERROR(VLOOKUP(Base_Periodo1[[#This Row],[CONTA]],BaseContasDRE[#All],7,FALSE)),"Fora do DRE",VLOOKUP(Base_Periodo1[[#This Row],[CONTA]],BaseContasDRE[#All],7,FALSE))</f>
        <v>Fora do DRE</v>
      </c>
      <c r="V1869" s="3" t="str">
        <f>IF(Base_Periodo1[[#This Row],[Tipo_Linha]]="Fora do DRE","Fora do DRE","( "&amp;Base_Periodo1[[#This Row],[Tipo_Linha]]&amp;" ) "&amp;Base_Periodo1[[#This Row],[Filtro]])</f>
        <v>Fora do DRE</v>
      </c>
      <c r="W1869" s="3" t="str">
        <f>LEFT(Base_Periodo1[[#This Row],[CLASS]],3)</f>
        <v>1.1</v>
      </c>
    </row>
    <row r="1870" spans="1:23" hidden="1">
      <c r="A1870" s="3" t="str">
        <f t="shared" si="29"/>
        <v>Período 1</v>
      </c>
      <c r="B1870">
        <v>31247</v>
      </c>
      <c r="C1870" t="s">
        <v>1484</v>
      </c>
      <c r="D1870" t="s">
        <v>1452</v>
      </c>
      <c r="E1870" s="3" t="str">
        <f>IF(LEN(Base_Periodo1[[#This Row],[CLASS]])&gt;=7,LEFT(Base_Periodo1[[#This Row],[CLASS]],7),"")</f>
        <v>1.1.3.1</v>
      </c>
      <c r="F1870" s="3" t="str">
        <f>VLOOKUP(Base_Periodo1[[#This Row],[Aux]],Base_Contas_Balanco[#All],2,FALSE)</f>
        <v>Estoques Proprios</v>
      </c>
      <c r="G1870" s="1">
        <v>42775</v>
      </c>
      <c r="H1870" s="225">
        <v>98678.909999998752</v>
      </c>
      <c r="I1870" s="225">
        <v>0</v>
      </c>
      <c r="J1870" s="225">
        <v>0</v>
      </c>
      <c r="K1870" s="225">
        <v>98678.909999998752</v>
      </c>
      <c r="L18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98678.91</v>
      </c>
      <c r="M1870" s="225">
        <f>ROUND(IF(AND(Base_Periodo1[[#This Row],[Tipo_Linha]]="-",Base_Periodo1[[#This Row],[TIPOSALDO]]="D"),Base_Periodo1[[#This Row],[SALDO_ATUAL]]*-1,Base_Periodo1[[#This Row],[SALDO_ATUAL]]),4)</f>
        <v>98678.91</v>
      </c>
      <c r="N1870" t="s">
        <v>116</v>
      </c>
      <c r="O1870" t="s">
        <v>397</v>
      </c>
      <c r="P1870" t="s">
        <v>397</v>
      </c>
      <c r="Q1870">
        <v>9</v>
      </c>
      <c r="R1870" s="225">
        <f>Base_Periodo1[[#This Row],[CREDITOS]]-Base_Periodo1[[#This Row],[DEBITOS]]</f>
        <v>0</v>
      </c>
      <c r="S1870" s="3" t="str">
        <f>IF(ISERROR(VLOOKUP(Base_Periodo1[[#This Row],[CONTA]],BaseContasDRE[#All],4,FALSE)),"Fora do DRE",VLOOKUP(Base_Periodo1[[#This Row],[CONTA]],BaseContasDRE[#All],4,FALSE))</f>
        <v>Fora do DRE</v>
      </c>
      <c r="T1870" s="3" t="str">
        <f>IF(ISERROR(VLOOKUP(Base_Periodo1[[#This Row],[CONTA]],BaseContasDRE[#All],5,FALSE)),"Fora do DRE",VLOOKUP(Base_Periodo1[[#This Row],[CONTA]],BaseContasDRE[#All],6,FALSE))</f>
        <v>Fora do DRE</v>
      </c>
      <c r="U1870" s="3" t="str">
        <f>IF(ISERROR(VLOOKUP(Base_Periodo1[[#This Row],[CONTA]],BaseContasDRE[#All],7,FALSE)),"Fora do DRE",VLOOKUP(Base_Periodo1[[#This Row],[CONTA]],BaseContasDRE[#All],7,FALSE))</f>
        <v>Fora do DRE</v>
      </c>
      <c r="V1870" s="3" t="str">
        <f>IF(Base_Periodo1[[#This Row],[Tipo_Linha]]="Fora do DRE","Fora do DRE","( "&amp;Base_Periodo1[[#This Row],[Tipo_Linha]]&amp;" ) "&amp;Base_Periodo1[[#This Row],[Filtro]])</f>
        <v>Fora do DRE</v>
      </c>
      <c r="W1870" s="3" t="str">
        <f>LEFT(Base_Periodo1[[#This Row],[CLASS]],3)</f>
        <v>1.1</v>
      </c>
    </row>
    <row r="1871" spans="1:23" hidden="1">
      <c r="A1871" s="3" t="str">
        <f t="shared" si="29"/>
        <v>Período 1</v>
      </c>
      <c r="B1871">
        <v>31248</v>
      </c>
      <c r="C1871" t="s">
        <v>1485</v>
      </c>
      <c r="D1871" t="s">
        <v>1486</v>
      </c>
      <c r="E1871" s="3" t="str">
        <f>IF(LEN(Base_Periodo1[[#This Row],[CLASS]])&gt;=7,LEFT(Base_Periodo1[[#This Row],[CLASS]],7),"")</f>
        <v>1.1.3.1</v>
      </c>
      <c r="F1871" s="3" t="str">
        <f>VLOOKUP(Base_Periodo1[[#This Row],[Aux]],Base_Contas_Balanco[#All],2,FALSE)</f>
        <v>Estoques Proprios</v>
      </c>
      <c r="G1871" s="1"/>
      <c r="H1871" s="225">
        <v>596017.61000000313</v>
      </c>
      <c r="I1871" s="225">
        <v>0</v>
      </c>
      <c r="J1871" s="225">
        <v>219843.72</v>
      </c>
      <c r="K1871" s="225">
        <v>815861.3300000031</v>
      </c>
      <c r="L18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-815861.33</v>
      </c>
      <c r="M1871" s="225">
        <f>ROUND(IF(AND(Base_Periodo1[[#This Row],[Tipo_Linha]]="-",Base_Periodo1[[#This Row],[TIPOSALDO]]="D"),Base_Periodo1[[#This Row],[SALDO_ATUAL]]*-1,Base_Periodo1[[#This Row],[SALDO_ATUAL]]),4)</f>
        <v>815861.33</v>
      </c>
      <c r="N1871" t="s">
        <v>396</v>
      </c>
      <c r="O1871" t="s">
        <v>459</v>
      </c>
      <c r="P1871" t="s">
        <v>459</v>
      </c>
      <c r="Q1871">
        <v>8</v>
      </c>
      <c r="R1871" s="225">
        <f>Base_Periodo1[[#This Row],[CREDITOS]]-Base_Periodo1[[#This Row],[DEBITOS]]</f>
        <v>219843.72</v>
      </c>
      <c r="S1871" s="3" t="str">
        <f>IF(ISERROR(VLOOKUP(Base_Periodo1[[#This Row],[CONTA]],BaseContasDRE[#All],4,FALSE)),"Fora do DRE",VLOOKUP(Base_Periodo1[[#This Row],[CONTA]],BaseContasDRE[#All],4,FALSE))</f>
        <v>Fora do DRE</v>
      </c>
      <c r="T1871" s="3" t="str">
        <f>IF(ISERROR(VLOOKUP(Base_Periodo1[[#This Row],[CONTA]],BaseContasDRE[#All],5,FALSE)),"Fora do DRE",VLOOKUP(Base_Periodo1[[#This Row],[CONTA]],BaseContasDRE[#All],6,FALSE))</f>
        <v>Fora do DRE</v>
      </c>
      <c r="U1871" s="3" t="str">
        <f>IF(ISERROR(VLOOKUP(Base_Periodo1[[#This Row],[CONTA]],BaseContasDRE[#All],7,FALSE)),"Fora do DRE",VLOOKUP(Base_Periodo1[[#This Row],[CONTA]],BaseContasDRE[#All],7,FALSE))</f>
        <v>Fora do DRE</v>
      </c>
      <c r="V1871" s="3" t="str">
        <f>IF(Base_Periodo1[[#This Row],[Tipo_Linha]]="Fora do DRE","Fora do DRE","( "&amp;Base_Periodo1[[#This Row],[Tipo_Linha]]&amp;" ) "&amp;Base_Periodo1[[#This Row],[Filtro]])</f>
        <v>Fora do DRE</v>
      </c>
      <c r="W1871" s="3" t="str">
        <f>LEFT(Base_Periodo1[[#This Row],[CLASS]],3)</f>
        <v>1.1</v>
      </c>
    </row>
    <row r="1872" spans="1:23" hidden="1">
      <c r="A1872" s="3" t="str">
        <f t="shared" si="29"/>
        <v>Período 1</v>
      </c>
      <c r="B1872">
        <v>31249</v>
      </c>
      <c r="C1872" t="s">
        <v>1487</v>
      </c>
      <c r="D1872" t="s">
        <v>1488</v>
      </c>
      <c r="E1872" s="3" t="str">
        <f>IF(LEN(Base_Periodo1[[#This Row],[CLASS]])&gt;=7,LEFT(Base_Periodo1[[#This Row],[CLASS]],7),"")</f>
        <v>1.1.3.1</v>
      </c>
      <c r="F1872" s="3" t="str">
        <f>VLOOKUP(Base_Periodo1[[#This Row],[Aux]],Base_Contas_Balanco[#All],2,FALSE)</f>
        <v>Estoques Proprios</v>
      </c>
      <c r="G1872" s="1">
        <v>42886</v>
      </c>
      <c r="H1872" s="225">
        <v>596017.61000000313</v>
      </c>
      <c r="I1872" s="225">
        <v>0</v>
      </c>
      <c r="J1872" s="225">
        <v>219843.72</v>
      </c>
      <c r="K1872" s="225">
        <v>815861.3300000031</v>
      </c>
      <c r="L18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-815861.33</v>
      </c>
      <c r="M1872" s="225">
        <f>ROUND(IF(AND(Base_Periodo1[[#This Row],[Tipo_Linha]]="-",Base_Periodo1[[#This Row],[TIPOSALDO]]="D"),Base_Periodo1[[#This Row],[SALDO_ATUAL]]*-1,Base_Periodo1[[#This Row],[SALDO_ATUAL]]),4)</f>
        <v>815861.33</v>
      </c>
      <c r="N1872" t="s">
        <v>116</v>
      </c>
      <c r="O1872" t="s">
        <v>459</v>
      </c>
      <c r="P1872" t="s">
        <v>459</v>
      </c>
      <c r="Q1872">
        <v>9</v>
      </c>
      <c r="R1872" s="225">
        <f>Base_Periodo1[[#This Row],[CREDITOS]]-Base_Periodo1[[#This Row],[DEBITOS]]</f>
        <v>219843.72</v>
      </c>
      <c r="S1872" s="3" t="str">
        <f>IF(ISERROR(VLOOKUP(Base_Periodo1[[#This Row],[CONTA]],BaseContasDRE[#All],4,FALSE)),"Fora do DRE",VLOOKUP(Base_Periodo1[[#This Row],[CONTA]],BaseContasDRE[#All],4,FALSE))</f>
        <v>Fora do DRE</v>
      </c>
      <c r="T1872" s="3" t="str">
        <f>IF(ISERROR(VLOOKUP(Base_Periodo1[[#This Row],[CONTA]],BaseContasDRE[#All],5,FALSE)),"Fora do DRE",VLOOKUP(Base_Periodo1[[#This Row],[CONTA]],BaseContasDRE[#All],6,FALSE))</f>
        <v>Fora do DRE</v>
      </c>
      <c r="U1872" s="3" t="str">
        <f>IF(ISERROR(VLOOKUP(Base_Periodo1[[#This Row],[CONTA]],BaseContasDRE[#All],7,FALSE)),"Fora do DRE",VLOOKUP(Base_Periodo1[[#This Row],[CONTA]],BaseContasDRE[#All],7,FALSE))</f>
        <v>Fora do DRE</v>
      </c>
      <c r="V1872" s="3" t="str">
        <f>IF(Base_Periodo1[[#This Row],[Tipo_Linha]]="Fora do DRE","Fora do DRE","( "&amp;Base_Periodo1[[#This Row],[Tipo_Linha]]&amp;" ) "&amp;Base_Periodo1[[#This Row],[Filtro]])</f>
        <v>Fora do DRE</v>
      </c>
      <c r="W1872" s="3" t="str">
        <f>LEFT(Base_Periodo1[[#This Row],[CLASS]],3)</f>
        <v>1.1</v>
      </c>
    </row>
    <row r="1873" spans="1:23" hidden="1">
      <c r="A1873" s="3" t="str">
        <f t="shared" si="29"/>
        <v>Período 1</v>
      </c>
      <c r="B1873">
        <v>31250</v>
      </c>
      <c r="C1873" t="s">
        <v>1489</v>
      </c>
      <c r="D1873" t="s">
        <v>1072</v>
      </c>
      <c r="E1873" s="3" t="str">
        <f>IF(LEN(Base_Periodo1[[#This Row],[CLASS]])&gt;=7,LEFT(Base_Periodo1[[#This Row],[CLASS]],7),"")</f>
        <v>1.1.3.1</v>
      </c>
      <c r="F1873" s="3" t="str">
        <f>VLOOKUP(Base_Periodo1[[#This Row],[Aux]],Base_Contas_Balanco[#All],2,FALSE)</f>
        <v>Estoques Proprios</v>
      </c>
      <c r="G1873" s="1"/>
      <c r="H1873" s="225">
        <v>98678.910000000615</v>
      </c>
      <c r="I1873" s="225">
        <v>0</v>
      </c>
      <c r="J1873" s="225">
        <v>0</v>
      </c>
      <c r="K1873" s="225">
        <v>98678.910000000615</v>
      </c>
      <c r="L18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-98678.91</v>
      </c>
      <c r="M1873" s="225">
        <f>ROUND(IF(AND(Base_Periodo1[[#This Row],[Tipo_Linha]]="-",Base_Periodo1[[#This Row],[TIPOSALDO]]="D"),Base_Periodo1[[#This Row],[SALDO_ATUAL]]*-1,Base_Periodo1[[#This Row],[SALDO_ATUAL]]),4)</f>
        <v>98678.91</v>
      </c>
      <c r="N1873" t="s">
        <v>396</v>
      </c>
      <c r="O1873" t="s">
        <v>459</v>
      </c>
      <c r="P1873" t="s">
        <v>459</v>
      </c>
      <c r="Q1873">
        <v>8</v>
      </c>
      <c r="R1873" s="225">
        <f>Base_Periodo1[[#This Row],[CREDITOS]]-Base_Periodo1[[#This Row],[DEBITOS]]</f>
        <v>0</v>
      </c>
      <c r="S1873" s="3" t="str">
        <f>IF(ISERROR(VLOOKUP(Base_Periodo1[[#This Row],[CONTA]],BaseContasDRE[#All],4,FALSE)),"Fora do DRE",VLOOKUP(Base_Periodo1[[#This Row],[CONTA]],BaseContasDRE[#All],4,FALSE))</f>
        <v>Fora do DRE</v>
      </c>
      <c r="T1873" s="3" t="str">
        <f>IF(ISERROR(VLOOKUP(Base_Periodo1[[#This Row],[CONTA]],BaseContasDRE[#All],5,FALSE)),"Fora do DRE",VLOOKUP(Base_Periodo1[[#This Row],[CONTA]],BaseContasDRE[#All],6,FALSE))</f>
        <v>Fora do DRE</v>
      </c>
      <c r="U1873" s="3" t="str">
        <f>IF(ISERROR(VLOOKUP(Base_Periodo1[[#This Row],[CONTA]],BaseContasDRE[#All],7,FALSE)),"Fora do DRE",VLOOKUP(Base_Periodo1[[#This Row],[CONTA]],BaseContasDRE[#All],7,FALSE))</f>
        <v>Fora do DRE</v>
      </c>
      <c r="V1873" s="3" t="str">
        <f>IF(Base_Periodo1[[#This Row],[Tipo_Linha]]="Fora do DRE","Fora do DRE","( "&amp;Base_Periodo1[[#This Row],[Tipo_Linha]]&amp;" ) "&amp;Base_Periodo1[[#This Row],[Filtro]])</f>
        <v>Fora do DRE</v>
      </c>
      <c r="W1873" s="3" t="str">
        <f>LEFT(Base_Periodo1[[#This Row],[CLASS]],3)</f>
        <v>1.1</v>
      </c>
    </row>
    <row r="1874" spans="1:23" hidden="1">
      <c r="A1874" s="3" t="str">
        <f t="shared" si="29"/>
        <v>Período 1</v>
      </c>
      <c r="B1874">
        <v>31251</v>
      </c>
      <c r="C1874" t="s">
        <v>1490</v>
      </c>
      <c r="D1874" t="s">
        <v>1491</v>
      </c>
      <c r="E1874" s="3" t="str">
        <f>IF(LEN(Base_Periodo1[[#This Row],[CLASS]])&gt;=7,LEFT(Base_Periodo1[[#This Row],[CLASS]],7),"")</f>
        <v>1.1.3.1</v>
      </c>
      <c r="F1874" s="3" t="str">
        <f>VLOOKUP(Base_Periodo1[[#This Row],[Aux]],Base_Contas_Balanco[#All],2,FALSE)</f>
        <v>Estoques Proprios</v>
      </c>
      <c r="G1874" s="1">
        <v>42775</v>
      </c>
      <c r="H1874" s="225">
        <v>98678.910000000615</v>
      </c>
      <c r="I1874" s="225">
        <v>0</v>
      </c>
      <c r="J1874" s="225">
        <v>0</v>
      </c>
      <c r="K1874" s="225">
        <v>98678.910000000615</v>
      </c>
      <c r="L18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-98678.91</v>
      </c>
      <c r="M1874" s="225">
        <f>ROUND(IF(AND(Base_Periodo1[[#This Row],[Tipo_Linha]]="-",Base_Periodo1[[#This Row],[TIPOSALDO]]="D"),Base_Periodo1[[#This Row],[SALDO_ATUAL]]*-1,Base_Periodo1[[#This Row],[SALDO_ATUAL]]),4)</f>
        <v>98678.91</v>
      </c>
      <c r="N1874" t="s">
        <v>116</v>
      </c>
      <c r="O1874" t="s">
        <v>459</v>
      </c>
      <c r="P1874" t="s">
        <v>459</v>
      </c>
      <c r="Q1874">
        <v>9</v>
      </c>
      <c r="R1874" s="225">
        <f>Base_Periodo1[[#This Row],[CREDITOS]]-Base_Periodo1[[#This Row],[DEBITOS]]</f>
        <v>0</v>
      </c>
      <c r="S1874" s="3" t="str">
        <f>IF(ISERROR(VLOOKUP(Base_Periodo1[[#This Row],[CONTA]],BaseContasDRE[#All],4,FALSE)),"Fora do DRE",VLOOKUP(Base_Periodo1[[#This Row],[CONTA]],BaseContasDRE[#All],4,FALSE))</f>
        <v>Fora do DRE</v>
      </c>
      <c r="T1874" s="3" t="str">
        <f>IF(ISERROR(VLOOKUP(Base_Periodo1[[#This Row],[CONTA]],BaseContasDRE[#All],5,FALSE)),"Fora do DRE",VLOOKUP(Base_Periodo1[[#This Row],[CONTA]],BaseContasDRE[#All],6,FALSE))</f>
        <v>Fora do DRE</v>
      </c>
      <c r="U1874" s="3" t="str">
        <f>IF(ISERROR(VLOOKUP(Base_Periodo1[[#This Row],[CONTA]],BaseContasDRE[#All],7,FALSE)),"Fora do DRE",VLOOKUP(Base_Periodo1[[#This Row],[CONTA]],BaseContasDRE[#All],7,FALSE))</f>
        <v>Fora do DRE</v>
      </c>
      <c r="V1874" s="3" t="str">
        <f>IF(Base_Periodo1[[#This Row],[Tipo_Linha]]="Fora do DRE","Fora do DRE","( "&amp;Base_Periodo1[[#This Row],[Tipo_Linha]]&amp;" ) "&amp;Base_Periodo1[[#This Row],[Filtro]])</f>
        <v>Fora do DRE</v>
      </c>
      <c r="W1874" s="3" t="str">
        <f>LEFT(Base_Periodo1[[#This Row],[CLASS]],3)</f>
        <v>1.1</v>
      </c>
    </row>
    <row r="1875" spans="1:23" hidden="1">
      <c r="A1875" s="3" t="str">
        <f t="shared" si="29"/>
        <v>Período 1</v>
      </c>
      <c r="B1875">
        <v>31265</v>
      </c>
      <c r="C1875" t="s">
        <v>6292</v>
      </c>
      <c r="D1875" t="s">
        <v>4441</v>
      </c>
      <c r="E1875" s="3" t="str">
        <f>IF(LEN(Base_Periodo1[[#This Row],[CLASS]])&gt;=7,LEFT(Base_Periodo1[[#This Row],[CLASS]],7),"")</f>
        <v>1.1.3.1</v>
      </c>
      <c r="F1875" s="3" t="str">
        <f>VLOOKUP(Base_Periodo1[[#This Row],[Aux]],Base_Contas_Balanco[#All],2,FALSE)</f>
        <v>Estoques Proprios</v>
      </c>
      <c r="G1875" s="1"/>
      <c r="H1875" s="225">
        <v>859760.55000000028</v>
      </c>
      <c r="I1875" s="225">
        <v>1452155.59</v>
      </c>
      <c r="J1875" s="225">
        <v>1926164.7799999998</v>
      </c>
      <c r="K1875" s="225">
        <v>385751.3600000008</v>
      </c>
      <c r="L18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385751.36</v>
      </c>
      <c r="M1875" s="225">
        <f>ROUND(IF(AND(Base_Periodo1[[#This Row],[Tipo_Linha]]="-",Base_Periodo1[[#This Row],[TIPOSALDO]]="D"),Base_Periodo1[[#This Row],[SALDO_ATUAL]]*-1,Base_Periodo1[[#This Row],[SALDO_ATUAL]]),4)</f>
        <v>385751.36</v>
      </c>
      <c r="N1875" t="s">
        <v>396</v>
      </c>
      <c r="O1875" t="s">
        <v>397</v>
      </c>
      <c r="P1875" t="s">
        <v>397</v>
      </c>
      <c r="Q1875">
        <v>7</v>
      </c>
      <c r="R1875" s="225">
        <f>Base_Periodo1[[#This Row],[CREDITOS]]-Base_Periodo1[[#This Row],[DEBITOS]]</f>
        <v>474009.18999999971</v>
      </c>
      <c r="S1875" s="3" t="str">
        <f>IF(ISERROR(VLOOKUP(Base_Periodo1[[#This Row],[CONTA]],BaseContasDRE[#All],4,FALSE)),"Fora do DRE",VLOOKUP(Base_Periodo1[[#This Row],[CONTA]],BaseContasDRE[#All],4,FALSE))</f>
        <v>Fora do DRE</v>
      </c>
      <c r="T1875" s="3" t="str">
        <f>IF(ISERROR(VLOOKUP(Base_Periodo1[[#This Row],[CONTA]],BaseContasDRE[#All],5,FALSE)),"Fora do DRE",VLOOKUP(Base_Periodo1[[#This Row],[CONTA]],BaseContasDRE[#All],6,FALSE))</f>
        <v>Fora do DRE</v>
      </c>
      <c r="U1875" s="3" t="str">
        <f>IF(ISERROR(VLOOKUP(Base_Periodo1[[#This Row],[CONTA]],BaseContasDRE[#All],7,FALSE)),"Fora do DRE",VLOOKUP(Base_Periodo1[[#This Row],[CONTA]],BaseContasDRE[#All],7,FALSE))</f>
        <v>Fora do DRE</v>
      </c>
      <c r="V1875" s="3" t="str">
        <f>IF(Base_Periodo1[[#This Row],[Tipo_Linha]]="Fora do DRE","Fora do DRE","( "&amp;Base_Periodo1[[#This Row],[Tipo_Linha]]&amp;" ) "&amp;Base_Periodo1[[#This Row],[Filtro]])</f>
        <v>Fora do DRE</v>
      </c>
      <c r="W1875" s="3" t="str">
        <f>LEFT(Base_Periodo1[[#This Row],[CLASS]],3)</f>
        <v>1.1</v>
      </c>
    </row>
    <row r="1876" spans="1:23" hidden="1">
      <c r="A1876" s="3" t="str">
        <f t="shared" si="29"/>
        <v>Período 1</v>
      </c>
      <c r="B1876">
        <v>50827</v>
      </c>
      <c r="C1876" t="s">
        <v>6293</v>
      </c>
      <c r="D1876" t="s">
        <v>4405</v>
      </c>
      <c r="E1876" s="3" t="str">
        <f>IF(LEN(Base_Periodo1[[#This Row],[CLASS]])&gt;=7,LEFT(Base_Periodo1[[#This Row],[CLASS]],7),"")</f>
        <v>1.1.3.1</v>
      </c>
      <c r="F1876" s="3" t="str">
        <f>VLOOKUP(Base_Periodo1[[#This Row],[Aux]],Base_Contas_Balanco[#All],2,FALSE)</f>
        <v>Estoques Proprios</v>
      </c>
      <c r="G1876" s="1"/>
      <c r="H1876" s="225">
        <v>4074372.9700000007</v>
      </c>
      <c r="I1876" s="225">
        <v>1077601.53</v>
      </c>
      <c r="J1876" s="225">
        <v>0</v>
      </c>
      <c r="K1876" s="225">
        <v>5151974.5000000009</v>
      </c>
      <c r="L18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5151974.5</v>
      </c>
      <c r="M1876" s="225">
        <f>ROUND(IF(AND(Base_Periodo1[[#This Row],[Tipo_Linha]]="-",Base_Periodo1[[#This Row],[TIPOSALDO]]="D"),Base_Periodo1[[#This Row],[SALDO_ATUAL]]*-1,Base_Periodo1[[#This Row],[SALDO_ATUAL]]),4)</f>
        <v>5151974.5</v>
      </c>
      <c r="N1876" t="s">
        <v>396</v>
      </c>
      <c r="O1876" t="s">
        <v>397</v>
      </c>
      <c r="P1876" t="s">
        <v>397</v>
      </c>
      <c r="Q1876">
        <v>8</v>
      </c>
      <c r="R1876" s="225">
        <f>Base_Periodo1[[#This Row],[CREDITOS]]-Base_Periodo1[[#This Row],[DEBITOS]]</f>
        <v>-1077601.53</v>
      </c>
      <c r="S1876" s="3" t="str">
        <f>IF(ISERROR(VLOOKUP(Base_Periodo1[[#This Row],[CONTA]],BaseContasDRE[#All],4,FALSE)),"Fora do DRE",VLOOKUP(Base_Periodo1[[#This Row],[CONTA]],BaseContasDRE[#All],4,FALSE))</f>
        <v>Fora do DRE</v>
      </c>
      <c r="T1876" s="3" t="str">
        <f>IF(ISERROR(VLOOKUP(Base_Periodo1[[#This Row],[CONTA]],BaseContasDRE[#All],5,FALSE)),"Fora do DRE",VLOOKUP(Base_Periodo1[[#This Row],[CONTA]],BaseContasDRE[#All],6,FALSE))</f>
        <v>Fora do DRE</v>
      </c>
      <c r="U1876" s="3" t="str">
        <f>IF(ISERROR(VLOOKUP(Base_Periodo1[[#This Row],[CONTA]],BaseContasDRE[#All],7,FALSE)),"Fora do DRE",VLOOKUP(Base_Periodo1[[#This Row],[CONTA]],BaseContasDRE[#All],7,FALSE))</f>
        <v>Fora do DRE</v>
      </c>
      <c r="V1876" s="3" t="str">
        <f>IF(Base_Periodo1[[#This Row],[Tipo_Linha]]="Fora do DRE","Fora do DRE","( "&amp;Base_Periodo1[[#This Row],[Tipo_Linha]]&amp;" ) "&amp;Base_Periodo1[[#This Row],[Filtro]])</f>
        <v>Fora do DRE</v>
      </c>
      <c r="W1876" s="3" t="str">
        <f>LEFT(Base_Periodo1[[#This Row],[CLASS]],3)</f>
        <v>1.1</v>
      </c>
    </row>
    <row r="1877" spans="1:23" hidden="1">
      <c r="A1877" s="3" t="str">
        <f t="shared" si="29"/>
        <v>Período 1</v>
      </c>
      <c r="B1877">
        <v>50828</v>
      </c>
      <c r="C1877" t="s">
        <v>6294</v>
      </c>
      <c r="D1877" t="s">
        <v>1592</v>
      </c>
      <c r="E1877" s="3" t="str">
        <f>IF(LEN(Base_Periodo1[[#This Row],[CLASS]])&gt;=7,LEFT(Base_Periodo1[[#This Row],[CLASS]],7),"")</f>
        <v>1.1.3.1</v>
      </c>
      <c r="F1877" s="3" t="str">
        <f>VLOOKUP(Base_Periodo1[[#This Row],[Aux]],Base_Contas_Balanco[#All],2,FALSE)</f>
        <v>Estoques Proprios</v>
      </c>
      <c r="G1877" s="1">
        <v>42886</v>
      </c>
      <c r="H1877" s="225">
        <v>4074372.9700000007</v>
      </c>
      <c r="I1877" s="225">
        <v>1077601.53</v>
      </c>
      <c r="J1877" s="225">
        <v>0</v>
      </c>
      <c r="K1877" s="225">
        <v>5151974.5000000009</v>
      </c>
      <c r="L18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5151974.5</v>
      </c>
      <c r="M1877" s="225">
        <f>ROUND(IF(AND(Base_Periodo1[[#This Row],[Tipo_Linha]]="-",Base_Periodo1[[#This Row],[TIPOSALDO]]="D"),Base_Periodo1[[#This Row],[SALDO_ATUAL]]*-1,Base_Periodo1[[#This Row],[SALDO_ATUAL]]),4)</f>
        <v>5151974.5</v>
      </c>
      <c r="N1877" t="s">
        <v>116</v>
      </c>
      <c r="O1877" t="s">
        <v>397</v>
      </c>
      <c r="P1877" t="s">
        <v>397</v>
      </c>
      <c r="Q1877">
        <v>9</v>
      </c>
      <c r="R1877" s="225">
        <f>Base_Periodo1[[#This Row],[CREDITOS]]-Base_Periodo1[[#This Row],[DEBITOS]]</f>
        <v>-1077601.53</v>
      </c>
      <c r="S1877" s="3" t="str">
        <f>IF(ISERROR(VLOOKUP(Base_Periodo1[[#This Row],[CONTA]],BaseContasDRE[#All],4,FALSE)),"Fora do DRE",VLOOKUP(Base_Periodo1[[#This Row],[CONTA]],BaseContasDRE[#All],4,FALSE))</f>
        <v>Fora do DRE</v>
      </c>
      <c r="T1877" s="3" t="str">
        <f>IF(ISERROR(VLOOKUP(Base_Periodo1[[#This Row],[CONTA]],BaseContasDRE[#All],5,FALSE)),"Fora do DRE",VLOOKUP(Base_Periodo1[[#This Row],[CONTA]],BaseContasDRE[#All],6,FALSE))</f>
        <v>Fora do DRE</v>
      </c>
      <c r="U1877" s="3" t="str">
        <f>IF(ISERROR(VLOOKUP(Base_Periodo1[[#This Row],[CONTA]],BaseContasDRE[#All],7,FALSE)),"Fora do DRE",VLOOKUP(Base_Periodo1[[#This Row],[CONTA]],BaseContasDRE[#All],7,FALSE))</f>
        <v>Fora do DRE</v>
      </c>
      <c r="V1877" s="3" t="str">
        <f>IF(Base_Periodo1[[#This Row],[Tipo_Linha]]="Fora do DRE","Fora do DRE","( "&amp;Base_Periodo1[[#This Row],[Tipo_Linha]]&amp;" ) "&amp;Base_Periodo1[[#This Row],[Filtro]])</f>
        <v>Fora do DRE</v>
      </c>
      <c r="W1877" s="3" t="str">
        <f>LEFT(Base_Periodo1[[#This Row],[CLASS]],3)</f>
        <v>1.1</v>
      </c>
    </row>
    <row r="1878" spans="1:23" hidden="1">
      <c r="A1878" s="3" t="str">
        <f t="shared" si="29"/>
        <v>Período 1</v>
      </c>
      <c r="B1878">
        <v>31268</v>
      </c>
      <c r="C1878" t="s">
        <v>6295</v>
      </c>
      <c r="D1878" t="s">
        <v>1063</v>
      </c>
      <c r="E1878" s="3" t="str">
        <f>IF(LEN(Base_Periodo1[[#This Row],[CLASS]])&gt;=7,LEFT(Base_Periodo1[[#This Row],[CLASS]],7),"")</f>
        <v>1.1.3.1</v>
      </c>
      <c r="F1878" s="3" t="str">
        <f>VLOOKUP(Base_Periodo1[[#This Row],[Aux]],Base_Contas_Balanco[#All],2,FALSE)</f>
        <v>Estoques Proprios</v>
      </c>
      <c r="G1878" s="1"/>
      <c r="H1878" s="225">
        <v>255862.71999999974</v>
      </c>
      <c r="I1878" s="225">
        <v>374554.06000000006</v>
      </c>
      <c r="J1878" s="225">
        <v>0</v>
      </c>
      <c r="K1878" s="225">
        <v>630416.7799999998</v>
      </c>
      <c r="L18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630416.78</v>
      </c>
      <c r="M1878" s="225">
        <f>ROUND(IF(AND(Base_Periodo1[[#This Row],[Tipo_Linha]]="-",Base_Periodo1[[#This Row],[TIPOSALDO]]="D"),Base_Periodo1[[#This Row],[SALDO_ATUAL]]*-1,Base_Periodo1[[#This Row],[SALDO_ATUAL]]),4)</f>
        <v>630416.78</v>
      </c>
      <c r="N1878" t="s">
        <v>396</v>
      </c>
      <c r="O1878" t="s">
        <v>397</v>
      </c>
      <c r="P1878" t="s">
        <v>397</v>
      </c>
      <c r="Q1878">
        <v>8</v>
      </c>
      <c r="R1878" s="225">
        <f>Base_Periodo1[[#This Row],[CREDITOS]]-Base_Periodo1[[#This Row],[DEBITOS]]</f>
        <v>-374554.06000000006</v>
      </c>
      <c r="S1878" s="3" t="str">
        <f>IF(ISERROR(VLOOKUP(Base_Periodo1[[#This Row],[CONTA]],BaseContasDRE[#All],4,FALSE)),"Fora do DRE",VLOOKUP(Base_Periodo1[[#This Row],[CONTA]],BaseContasDRE[#All],4,FALSE))</f>
        <v>Fora do DRE</v>
      </c>
      <c r="T1878" s="3" t="str">
        <f>IF(ISERROR(VLOOKUP(Base_Periodo1[[#This Row],[CONTA]],BaseContasDRE[#All],5,FALSE)),"Fora do DRE",VLOOKUP(Base_Periodo1[[#This Row],[CONTA]],BaseContasDRE[#All],6,FALSE))</f>
        <v>Fora do DRE</v>
      </c>
      <c r="U1878" s="3" t="str">
        <f>IF(ISERROR(VLOOKUP(Base_Periodo1[[#This Row],[CONTA]],BaseContasDRE[#All],7,FALSE)),"Fora do DRE",VLOOKUP(Base_Periodo1[[#This Row],[CONTA]],BaseContasDRE[#All],7,FALSE))</f>
        <v>Fora do DRE</v>
      </c>
      <c r="V1878" s="3" t="str">
        <f>IF(Base_Periodo1[[#This Row],[Tipo_Linha]]="Fora do DRE","Fora do DRE","( "&amp;Base_Periodo1[[#This Row],[Tipo_Linha]]&amp;" ) "&amp;Base_Periodo1[[#This Row],[Filtro]])</f>
        <v>Fora do DRE</v>
      </c>
      <c r="W1878" s="3" t="str">
        <f>LEFT(Base_Periodo1[[#This Row],[CLASS]],3)</f>
        <v>1.1</v>
      </c>
    </row>
    <row r="1879" spans="1:23" hidden="1">
      <c r="A1879" s="3" t="str">
        <f t="shared" si="29"/>
        <v>Período 1</v>
      </c>
      <c r="B1879">
        <v>31269</v>
      </c>
      <c r="C1879" t="s">
        <v>6296</v>
      </c>
      <c r="D1879" t="s">
        <v>1452</v>
      </c>
      <c r="E1879" s="3" t="str">
        <f>IF(LEN(Base_Periodo1[[#This Row],[CLASS]])&gt;=7,LEFT(Base_Periodo1[[#This Row],[CLASS]],7),"")</f>
        <v>1.1.3.1</v>
      </c>
      <c r="F1879" s="3" t="str">
        <f>VLOOKUP(Base_Periodo1[[#This Row],[Aux]],Base_Contas_Balanco[#All],2,FALSE)</f>
        <v>Estoques Proprios</v>
      </c>
      <c r="G1879" s="1">
        <v>42886</v>
      </c>
      <c r="H1879" s="225">
        <v>255862.71999999974</v>
      </c>
      <c r="I1879" s="225">
        <v>374554.06000000006</v>
      </c>
      <c r="J1879" s="225">
        <v>0</v>
      </c>
      <c r="K1879" s="225">
        <v>630416.7799999998</v>
      </c>
      <c r="L18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630416.78</v>
      </c>
      <c r="M1879" s="225">
        <f>ROUND(IF(AND(Base_Periodo1[[#This Row],[Tipo_Linha]]="-",Base_Periodo1[[#This Row],[TIPOSALDO]]="D"),Base_Periodo1[[#This Row],[SALDO_ATUAL]]*-1,Base_Periodo1[[#This Row],[SALDO_ATUAL]]),4)</f>
        <v>630416.78</v>
      </c>
      <c r="N1879" t="s">
        <v>116</v>
      </c>
      <c r="O1879" t="s">
        <v>397</v>
      </c>
      <c r="P1879" t="s">
        <v>397</v>
      </c>
      <c r="Q1879">
        <v>9</v>
      </c>
      <c r="R1879" s="225">
        <f>Base_Periodo1[[#This Row],[CREDITOS]]-Base_Periodo1[[#This Row],[DEBITOS]]</f>
        <v>-374554.06000000006</v>
      </c>
      <c r="S1879" s="3" t="str">
        <f>IF(ISERROR(VLOOKUP(Base_Periodo1[[#This Row],[CONTA]],BaseContasDRE[#All],4,FALSE)),"Fora do DRE",VLOOKUP(Base_Periodo1[[#This Row],[CONTA]],BaseContasDRE[#All],4,FALSE))</f>
        <v>Fora do DRE</v>
      </c>
      <c r="T1879" s="3" t="str">
        <f>IF(ISERROR(VLOOKUP(Base_Periodo1[[#This Row],[CONTA]],BaseContasDRE[#All],5,FALSE)),"Fora do DRE",VLOOKUP(Base_Periodo1[[#This Row],[CONTA]],BaseContasDRE[#All],6,FALSE))</f>
        <v>Fora do DRE</v>
      </c>
      <c r="U1879" s="3" t="str">
        <f>IF(ISERROR(VLOOKUP(Base_Periodo1[[#This Row],[CONTA]],BaseContasDRE[#All],7,FALSE)),"Fora do DRE",VLOOKUP(Base_Periodo1[[#This Row],[CONTA]],BaseContasDRE[#All],7,FALSE))</f>
        <v>Fora do DRE</v>
      </c>
      <c r="V1879" s="3" t="str">
        <f>IF(Base_Periodo1[[#This Row],[Tipo_Linha]]="Fora do DRE","Fora do DRE","( "&amp;Base_Periodo1[[#This Row],[Tipo_Linha]]&amp;" ) "&amp;Base_Periodo1[[#This Row],[Filtro]])</f>
        <v>Fora do DRE</v>
      </c>
      <c r="W1879" s="3" t="str">
        <f>LEFT(Base_Periodo1[[#This Row],[CLASS]],3)</f>
        <v>1.1</v>
      </c>
    </row>
    <row r="1880" spans="1:23" hidden="1">
      <c r="A1880" s="3" t="str">
        <f t="shared" si="29"/>
        <v>Período 1</v>
      </c>
      <c r="B1880">
        <v>31270</v>
      </c>
      <c r="C1880" t="s">
        <v>6297</v>
      </c>
      <c r="D1880" t="s">
        <v>1486</v>
      </c>
      <c r="E1880" s="3" t="str">
        <f>IF(LEN(Base_Periodo1[[#This Row],[CLASS]])&gt;=7,LEFT(Base_Periodo1[[#This Row],[CLASS]],7),"")</f>
        <v>1.1.3.1</v>
      </c>
      <c r="F1880" s="3" t="str">
        <f>VLOOKUP(Base_Periodo1[[#This Row],[Aux]],Base_Contas_Balanco[#All],2,FALSE)</f>
        <v>Estoques Proprios</v>
      </c>
      <c r="G1880" s="1"/>
      <c r="H1880" s="225">
        <v>3175459.2300000004</v>
      </c>
      <c r="I1880" s="225">
        <v>0</v>
      </c>
      <c r="J1880" s="225">
        <v>1585936.88</v>
      </c>
      <c r="K1880" s="225">
        <v>4761396.1100000003</v>
      </c>
      <c r="L18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-4761396.1100000003</v>
      </c>
      <c r="M1880" s="225">
        <f>ROUND(IF(AND(Base_Periodo1[[#This Row],[Tipo_Linha]]="-",Base_Periodo1[[#This Row],[TIPOSALDO]]="D"),Base_Periodo1[[#This Row],[SALDO_ATUAL]]*-1,Base_Periodo1[[#This Row],[SALDO_ATUAL]]),4)</f>
        <v>4761396.1100000003</v>
      </c>
      <c r="N1880" t="s">
        <v>396</v>
      </c>
      <c r="O1880" t="s">
        <v>459</v>
      </c>
      <c r="P1880" t="s">
        <v>459</v>
      </c>
      <c r="Q1880">
        <v>8</v>
      </c>
      <c r="R1880" s="225">
        <f>Base_Periodo1[[#This Row],[CREDITOS]]-Base_Periodo1[[#This Row],[DEBITOS]]</f>
        <v>1585936.88</v>
      </c>
      <c r="S1880" s="3" t="str">
        <f>IF(ISERROR(VLOOKUP(Base_Periodo1[[#This Row],[CONTA]],BaseContasDRE[#All],4,FALSE)),"Fora do DRE",VLOOKUP(Base_Periodo1[[#This Row],[CONTA]],BaseContasDRE[#All],4,FALSE))</f>
        <v>Fora do DRE</v>
      </c>
      <c r="T1880" s="3" t="str">
        <f>IF(ISERROR(VLOOKUP(Base_Periodo1[[#This Row],[CONTA]],BaseContasDRE[#All],5,FALSE)),"Fora do DRE",VLOOKUP(Base_Periodo1[[#This Row],[CONTA]],BaseContasDRE[#All],6,FALSE))</f>
        <v>Fora do DRE</v>
      </c>
      <c r="U1880" s="3" t="str">
        <f>IF(ISERROR(VLOOKUP(Base_Periodo1[[#This Row],[CONTA]],BaseContasDRE[#All],7,FALSE)),"Fora do DRE",VLOOKUP(Base_Periodo1[[#This Row],[CONTA]],BaseContasDRE[#All],7,FALSE))</f>
        <v>Fora do DRE</v>
      </c>
      <c r="V1880" s="3" t="str">
        <f>IF(Base_Periodo1[[#This Row],[Tipo_Linha]]="Fora do DRE","Fora do DRE","( "&amp;Base_Periodo1[[#This Row],[Tipo_Linha]]&amp;" ) "&amp;Base_Periodo1[[#This Row],[Filtro]])</f>
        <v>Fora do DRE</v>
      </c>
      <c r="W1880" s="3" t="str">
        <f>LEFT(Base_Periodo1[[#This Row],[CLASS]],3)</f>
        <v>1.1</v>
      </c>
    </row>
    <row r="1881" spans="1:23" hidden="1">
      <c r="A1881" s="3" t="str">
        <f t="shared" si="29"/>
        <v>Período 1</v>
      </c>
      <c r="B1881">
        <v>31271</v>
      </c>
      <c r="C1881" t="s">
        <v>6298</v>
      </c>
      <c r="D1881" t="s">
        <v>1488</v>
      </c>
      <c r="E1881" s="3" t="str">
        <f>IF(LEN(Base_Periodo1[[#This Row],[CLASS]])&gt;=7,LEFT(Base_Periodo1[[#This Row],[CLASS]],7),"")</f>
        <v>1.1.3.1</v>
      </c>
      <c r="F1881" s="3" t="str">
        <f>VLOOKUP(Base_Periodo1[[#This Row],[Aux]],Base_Contas_Balanco[#All],2,FALSE)</f>
        <v>Estoques Proprios</v>
      </c>
      <c r="G1881" s="1">
        <v>42886</v>
      </c>
      <c r="H1881" s="225">
        <v>3175459.2300000004</v>
      </c>
      <c r="I1881" s="225">
        <v>0</v>
      </c>
      <c r="J1881" s="225">
        <v>1585936.88</v>
      </c>
      <c r="K1881" s="225">
        <v>4761396.1100000003</v>
      </c>
      <c r="L18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-4761396.1100000003</v>
      </c>
      <c r="M1881" s="225">
        <f>ROUND(IF(AND(Base_Periodo1[[#This Row],[Tipo_Linha]]="-",Base_Periodo1[[#This Row],[TIPOSALDO]]="D"),Base_Periodo1[[#This Row],[SALDO_ATUAL]]*-1,Base_Periodo1[[#This Row],[SALDO_ATUAL]]),4)</f>
        <v>4761396.1100000003</v>
      </c>
      <c r="N1881" t="s">
        <v>116</v>
      </c>
      <c r="O1881" t="s">
        <v>459</v>
      </c>
      <c r="P1881" t="s">
        <v>459</v>
      </c>
      <c r="Q1881">
        <v>9</v>
      </c>
      <c r="R1881" s="225">
        <f>Base_Periodo1[[#This Row],[CREDITOS]]-Base_Periodo1[[#This Row],[DEBITOS]]</f>
        <v>1585936.88</v>
      </c>
      <c r="S1881" s="3" t="str">
        <f>IF(ISERROR(VLOOKUP(Base_Periodo1[[#This Row],[CONTA]],BaseContasDRE[#All],4,FALSE)),"Fora do DRE",VLOOKUP(Base_Periodo1[[#This Row],[CONTA]],BaseContasDRE[#All],4,FALSE))</f>
        <v>Fora do DRE</v>
      </c>
      <c r="T1881" s="3" t="str">
        <f>IF(ISERROR(VLOOKUP(Base_Periodo1[[#This Row],[CONTA]],BaseContasDRE[#All],5,FALSE)),"Fora do DRE",VLOOKUP(Base_Periodo1[[#This Row],[CONTA]],BaseContasDRE[#All],6,FALSE))</f>
        <v>Fora do DRE</v>
      </c>
      <c r="U1881" s="3" t="str">
        <f>IF(ISERROR(VLOOKUP(Base_Periodo1[[#This Row],[CONTA]],BaseContasDRE[#All],7,FALSE)),"Fora do DRE",VLOOKUP(Base_Periodo1[[#This Row],[CONTA]],BaseContasDRE[#All],7,FALSE))</f>
        <v>Fora do DRE</v>
      </c>
      <c r="V1881" s="3" t="str">
        <f>IF(Base_Periodo1[[#This Row],[Tipo_Linha]]="Fora do DRE","Fora do DRE","( "&amp;Base_Periodo1[[#This Row],[Tipo_Linha]]&amp;" ) "&amp;Base_Periodo1[[#This Row],[Filtro]])</f>
        <v>Fora do DRE</v>
      </c>
      <c r="W1881" s="3" t="str">
        <f>LEFT(Base_Periodo1[[#This Row],[CLASS]],3)</f>
        <v>1.1</v>
      </c>
    </row>
    <row r="1882" spans="1:23" hidden="1">
      <c r="A1882" s="3" t="str">
        <f t="shared" si="29"/>
        <v>Período 1</v>
      </c>
      <c r="B1882">
        <v>31272</v>
      </c>
      <c r="C1882" t="s">
        <v>6299</v>
      </c>
      <c r="D1882" t="s">
        <v>1072</v>
      </c>
      <c r="E1882" s="3" t="str">
        <f>IF(LEN(Base_Periodo1[[#This Row],[CLASS]])&gt;=7,LEFT(Base_Periodo1[[#This Row],[CLASS]],7),"")</f>
        <v>1.1.3.1</v>
      </c>
      <c r="F1882" s="3" t="str">
        <f>VLOOKUP(Base_Periodo1[[#This Row],[Aux]],Base_Contas_Balanco[#All],2,FALSE)</f>
        <v>Estoques Proprios</v>
      </c>
      <c r="G1882" s="1"/>
      <c r="H1882" s="225">
        <v>290948.87999999966</v>
      </c>
      <c r="I1882" s="225">
        <v>0</v>
      </c>
      <c r="J1882" s="225">
        <v>339467.9</v>
      </c>
      <c r="K1882" s="225">
        <v>630416.77999999968</v>
      </c>
      <c r="L18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-630416.78</v>
      </c>
      <c r="M1882" s="225">
        <f>ROUND(IF(AND(Base_Periodo1[[#This Row],[Tipo_Linha]]="-",Base_Periodo1[[#This Row],[TIPOSALDO]]="D"),Base_Periodo1[[#This Row],[SALDO_ATUAL]]*-1,Base_Periodo1[[#This Row],[SALDO_ATUAL]]),4)</f>
        <v>630416.78</v>
      </c>
      <c r="N1882" t="s">
        <v>396</v>
      </c>
      <c r="O1882" t="s">
        <v>459</v>
      </c>
      <c r="P1882" t="s">
        <v>459</v>
      </c>
      <c r="Q1882">
        <v>8</v>
      </c>
      <c r="R1882" s="225">
        <f>Base_Periodo1[[#This Row],[CREDITOS]]-Base_Periodo1[[#This Row],[DEBITOS]]</f>
        <v>339467.9</v>
      </c>
      <c r="S1882" s="3" t="str">
        <f>IF(ISERROR(VLOOKUP(Base_Periodo1[[#This Row],[CONTA]],BaseContasDRE[#All],4,FALSE)),"Fora do DRE",VLOOKUP(Base_Periodo1[[#This Row],[CONTA]],BaseContasDRE[#All],4,FALSE))</f>
        <v>Fora do DRE</v>
      </c>
      <c r="T1882" s="3" t="str">
        <f>IF(ISERROR(VLOOKUP(Base_Periodo1[[#This Row],[CONTA]],BaseContasDRE[#All],5,FALSE)),"Fora do DRE",VLOOKUP(Base_Periodo1[[#This Row],[CONTA]],BaseContasDRE[#All],6,FALSE))</f>
        <v>Fora do DRE</v>
      </c>
      <c r="U1882" s="3" t="str">
        <f>IF(ISERROR(VLOOKUP(Base_Periodo1[[#This Row],[CONTA]],BaseContasDRE[#All],7,FALSE)),"Fora do DRE",VLOOKUP(Base_Periodo1[[#This Row],[CONTA]],BaseContasDRE[#All],7,FALSE))</f>
        <v>Fora do DRE</v>
      </c>
      <c r="V1882" s="3" t="str">
        <f>IF(Base_Periodo1[[#This Row],[Tipo_Linha]]="Fora do DRE","Fora do DRE","( "&amp;Base_Periodo1[[#This Row],[Tipo_Linha]]&amp;" ) "&amp;Base_Periodo1[[#This Row],[Filtro]])</f>
        <v>Fora do DRE</v>
      </c>
      <c r="W1882" s="3" t="str">
        <f>LEFT(Base_Periodo1[[#This Row],[CLASS]],3)</f>
        <v>1.1</v>
      </c>
    </row>
    <row r="1883" spans="1:23" hidden="1">
      <c r="A1883" s="3" t="str">
        <f t="shared" si="29"/>
        <v>Período 1</v>
      </c>
      <c r="B1883">
        <v>31273</v>
      </c>
      <c r="C1883" t="s">
        <v>6300</v>
      </c>
      <c r="D1883" t="s">
        <v>1072</v>
      </c>
      <c r="E1883" s="3" t="str">
        <f>IF(LEN(Base_Periodo1[[#This Row],[CLASS]])&gt;=7,LEFT(Base_Periodo1[[#This Row],[CLASS]],7),"")</f>
        <v>1.1.3.1</v>
      </c>
      <c r="F1883" s="3" t="str">
        <f>VLOOKUP(Base_Periodo1[[#This Row],[Aux]],Base_Contas_Balanco[#All],2,FALSE)</f>
        <v>Estoques Proprios</v>
      </c>
      <c r="G1883" s="1">
        <v>42885</v>
      </c>
      <c r="H1883" s="225">
        <v>290948.87999999966</v>
      </c>
      <c r="I1883" s="225">
        <v>0</v>
      </c>
      <c r="J1883" s="225">
        <v>339467.9</v>
      </c>
      <c r="K1883" s="225">
        <v>630416.77999999968</v>
      </c>
      <c r="L18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-630416.78</v>
      </c>
      <c r="M1883" s="225">
        <f>ROUND(IF(AND(Base_Periodo1[[#This Row],[Tipo_Linha]]="-",Base_Periodo1[[#This Row],[TIPOSALDO]]="D"),Base_Periodo1[[#This Row],[SALDO_ATUAL]]*-1,Base_Periodo1[[#This Row],[SALDO_ATUAL]]),4)</f>
        <v>630416.78</v>
      </c>
      <c r="N1883" t="s">
        <v>116</v>
      </c>
      <c r="O1883" t="s">
        <v>459</v>
      </c>
      <c r="P1883" t="s">
        <v>459</v>
      </c>
      <c r="Q1883">
        <v>9</v>
      </c>
      <c r="R1883" s="225">
        <f>Base_Periodo1[[#This Row],[CREDITOS]]-Base_Periodo1[[#This Row],[DEBITOS]]</f>
        <v>339467.9</v>
      </c>
      <c r="S1883" s="3" t="str">
        <f>IF(ISERROR(VLOOKUP(Base_Periodo1[[#This Row],[CONTA]],BaseContasDRE[#All],4,FALSE)),"Fora do DRE",VLOOKUP(Base_Periodo1[[#This Row],[CONTA]],BaseContasDRE[#All],4,FALSE))</f>
        <v>Fora do DRE</v>
      </c>
      <c r="T1883" s="3" t="str">
        <f>IF(ISERROR(VLOOKUP(Base_Periodo1[[#This Row],[CONTA]],BaseContasDRE[#All],5,FALSE)),"Fora do DRE",VLOOKUP(Base_Periodo1[[#This Row],[CONTA]],BaseContasDRE[#All],6,FALSE))</f>
        <v>Fora do DRE</v>
      </c>
      <c r="U1883" s="3" t="str">
        <f>IF(ISERROR(VLOOKUP(Base_Periodo1[[#This Row],[CONTA]],BaseContasDRE[#All],7,FALSE)),"Fora do DRE",VLOOKUP(Base_Periodo1[[#This Row],[CONTA]],BaseContasDRE[#All],7,FALSE))</f>
        <v>Fora do DRE</v>
      </c>
      <c r="V1883" s="3" t="str">
        <f>IF(Base_Periodo1[[#This Row],[Tipo_Linha]]="Fora do DRE","Fora do DRE","( "&amp;Base_Periodo1[[#This Row],[Tipo_Linha]]&amp;" ) "&amp;Base_Periodo1[[#This Row],[Filtro]])</f>
        <v>Fora do DRE</v>
      </c>
      <c r="W1883" s="3" t="str">
        <f>LEFT(Base_Periodo1[[#This Row],[CLASS]],3)</f>
        <v>1.1</v>
      </c>
    </row>
    <row r="1884" spans="1:23" hidden="1">
      <c r="A1884" s="3" t="str">
        <f t="shared" si="29"/>
        <v>Período 1</v>
      </c>
      <c r="B1884">
        <v>33562</v>
      </c>
      <c r="C1884" t="s">
        <v>6301</v>
      </c>
      <c r="D1884" t="s">
        <v>1171</v>
      </c>
      <c r="E1884" s="3" t="str">
        <f>IF(LEN(Base_Periodo1[[#This Row],[CLASS]])&gt;=7,LEFT(Base_Periodo1[[#This Row],[CLASS]],7),"")</f>
        <v>1.1.3.1</v>
      </c>
      <c r="F1884" s="3" t="str">
        <f>VLOOKUP(Base_Periodo1[[#This Row],[Aux]],Base_Contas_Balanco[#All],2,FALSE)</f>
        <v>Estoques Proprios</v>
      </c>
      <c r="G1884" s="1"/>
      <c r="H1884" s="225">
        <v>4067.0299999999988</v>
      </c>
      <c r="I1884" s="225">
        <v>0</v>
      </c>
      <c r="J1884" s="225">
        <v>760</v>
      </c>
      <c r="K1884" s="225">
        <v>4827.0299999999988</v>
      </c>
      <c r="L18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-4827.03</v>
      </c>
      <c r="M1884" s="225">
        <f>ROUND(IF(AND(Base_Periodo1[[#This Row],[Tipo_Linha]]="-",Base_Periodo1[[#This Row],[TIPOSALDO]]="D"),Base_Periodo1[[#This Row],[SALDO_ATUAL]]*-1,Base_Periodo1[[#This Row],[SALDO_ATUAL]]),4)</f>
        <v>4827.03</v>
      </c>
      <c r="N1884" t="s">
        <v>396</v>
      </c>
      <c r="O1884" t="s">
        <v>459</v>
      </c>
      <c r="P1884" t="s">
        <v>459</v>
      </c>
      <c r="Q1884">
        <v>8</v>
      </c>
      <c r="R1884" s="225">
        <f>Base_Periodo1[[#This Row],[CREDITOS]]-Base_Periodo1[[#This Row],[DEBITOS]]</f>
        <v>760</v>
      </c>
      <c r="S1884" s="3" t="str">
        <f>IF(ISERROR(VLOOKUP(Base_Periodo1[[#This Row],[CONTA]],BaseContasDRE[#All],4,FALSE)),"Fora do DRE",VLOOKUP(Base_Periodo1[[#This Row],[CONTA]],BaseContasDRE[#All],4,FALSE))</f>
        <v>Fora do DRE</v>
      </c>
      <c r="T1884" s="3" t="str">
        <f>IF(ISERROR(VLOOKUP(Base_Periodo1[[#This Row],[CONTA]],BaseContasDRE[#All],5,FALSE)),"Fora do DRE",VLOOKUP(Base_Periodo1[[#This Row],[CONTA]],BaseContasDRE[#All],6,FALSE))</f>
        <v>Fora do DRE</v>
      </c>
      <c r="U1884" s="3" t="str">
        <f>IF(ISERROR(VLOOKUP(Base_Periodo1[[#This Row],[CONTA]],BaseContasDRE[#All],7,FALSE)),"Fora do DRE",VLOOKUP(Base_Periodo1[[#This Row],[CONTA]],BaseContasDRE[#All],7,FALSE))</f>
        <v>Fora do DRE</v>
      </c>
      <c r="V1884" s="3" t="str">
        <f>IF(Base_Periodo1[[#This Row],[Tipo_Linha]]="Fora do DRE","Fora do DRE","( "&amp;Base_Periodo1[[#This Row],[Tipo_Linha]]&amp;" ) "&amp;Base_Periodo1[[#This Row],[Filtro]])</f>
        <v>Fora do DRE</v>
      </c>
      <c r="W1884" s="3" t="str">
        <f>LEFT(Base_Periodo1[[#This Row],[CLASS]],3)</f>
        <v>1.1</v>
      </c>
    </row>
    <row r="1885" spans="1:23" hidden="1">
      <c r="A1885" s="3" t="str">
        <f t="shared" si="29"/>
        <v>Período 1</v>
      </c>
      <c r="B1885">
        <v>33563</v>
      </c>
      <c r="C1885" t="s">
        <v>6302</v>
      </c>
      <c r="D1885" t="s">
        <v>1174</v>
      </c>
      <c r="E1885" s="3" t="str">
        <f>IF(LEN(Base_Periodo1[[#This Row],[CLASS]])&gt;=7,LEFT(Base_Periodo1[[#This Row],[CLASS]],7),"")</f>
        <v>1.1.3.1</v>
      </c>
      <c r="F1885" s="3" t="str">
        <f>VLOOKUP(Base_Periodo1[[#This Row],[Aux]],Base_Contas_Balanco[#All],2,FALSE)</f>
        <v>Estoques Proprios</v>
      </c>
      <c r="G1885" s="1">
        <v>42870</v>
      </c>
      <c r="H1885" s="225">
        <v>4067.0299999999988</v>
      </c>
      <c r="I1885" s="225">
        <v>0</v>
      </c>
      <c r="J1885" s="225">
        <v>760</v>
      </c>
      <c r="K1885" s="225">
        <v>4827.0299999999988</v>
      </c>
      <c r="L18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-4827.03</v>
      </c>
      <c r="M1885" s="225">
        <f>ROUND(IF(AND(Base_Periodo1[[#This Row],[Tipo_Linha]]="-",Base_Periodo1[[#This Row],[TIPOSALDO]]="D"),Base_Periodo1[[#This Row],[SALDO_ATUAL]]*-1,Base_Periodo1[[#This Row],[SALDO_ATUAL]]),4)</f>
        <v>4827.03</v>
      </c>
      <c r="N1885" t="s">
        <v>116</v>
      </c>
      <c r="O1885" t="s">
        <v>459</v>
      </c>
      <c r="P1885" t="s">
        <v>459</v>
      </c>
      <c r="Q1885">
        <v>9</v>
      </c>
      <c r="R1885" s="225">
        <f>Base_Periodo1[[#This Row],[CREDITOS]]-Base_Periodo1[[#This Row],[DEBITOS]]</f>
        <v>760</v>
      </c>
      <c r="S1885" s="3" t="str">
        <f>IF(ISERROR(VLOOKUP(Base_Periodo1[[#This Row],[CONTA]],BaseContasDRE[#All],4,FALSE)),"Fora do DRE",VLOOKUP(Base_Periodo1[[#This Row],[CONTA]],BaseContasDRE[#All],4,FALSE))</f>
        <v>Fora do DRE</v>
      </c>
      <c r="T1885" s="3" t="str">
        <f>IF(ISERROR(VLOOKUP(Base_Periodo1[[#This Row],[CONTA]],BaseContasDRE[#All],5,FALSE)),"Fora do DRE",VLOOKUP(Base_Periodo1[[#This Row],[CONTA]],BaseContasDRE[#All],6,FALSE))</f>
        <v>Fora do DRE</v>
      </c>
      <c r="U1885" s="3" t="str">
        <f>IF(ISERROR(VLOOKUP(Base_Periodo1[[#This Row],[CONTA]],BaseContasDRE[#All],7,FALSE)),"Fora do DRE",VLOOKUP(Base_Periodo1[[#This Row],[CONTA]],BaseContasDRE[#All],7,FALSE))</f>
        <v>Fora do DRE</v>
      </c>
      <c r="V1885" s="3" t="str">
        <f>IF(Base_Periodo1[[#This Row],[Tipo_Linha]]="Fora do DRE","Fora do DRE","( "&amp;Base_Periodo1[[#This Row],[Tipo_Linha]]&amp;" ) "&amp;Base_Periodo1[[#This Row],[Filtro]])</f>
        <v>Fora do DRE</v>
      </c>
      <c r="W1885" s="3" t="str">
        <f>LEFT(Base_Periodo1[[#This Row],[CLASS]],3)</f>
        <v>1.1</v>
      </c>
    </row>
    <row r="1886" spans="1:23" hidden="1">
      <c r="A1886" s="3" t="str">
        <f t="shared" si="29"/>
        <v>Período 1</v>
      </c>
      <c r="B1886">
        <v>31276</v>
      </c>
      <c r="C1886" t="s">
        <v>1492</v>
      </c>
      <c r="D1886" t="s">
        <v>1493</v>
      </c>
      <c r="E1886" s="3" t="str">
        <f>IF(LEN(Base_Periodo1[[#This Row],[CLASS]])&gt;=7,LEFT(Base_Periodo1[[#This Row],[CLASS]],7),"")</f>
        <v>1.1.3.1</v>
      </c>
      <c r="F1886" s="3" t="str">
        <f>VLOOKUP(Base_Periodo1[[#This Row],[Aux]],Base_Contas_Balanco[#All],2,FALSE)</f>
        <v>Estoques Proprios</v>
      </c>
      <c r="G1886" s="1"/>
      <c r="H1886" s="225">
        <v>15905.900000000023</v>
      </c>
      <c r="I1886" s="225">
        <v>276912.21999999997</v>
      </c>
      <c r="J1886" s="225">
        <v>256259.5</v>
      </c>
      <c r="K1886" s="225">
        <v>36558.619999999995</v>
      </c>
      <c r="L18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36558.620000000003</v>
      </c>
      <c r="M1886" s="225">
        <f>ROUND(IF(AND(Base_Periodo1[[#This Row],[Tipo_Linha]]="-",Base_Periodo1[[#This Row],[TIPOSALDO]]="D"),Base_Periodo1[[#This Row],[SALDO_ATUAL]]*-1,Base_Periodo1[[#This Row],[SALDO_ATUAL]]),4)</f>
        <v>36558.620000000003</v>
      </c>
      <c r="N1886" t="s">
        <v>396</v>
      </c>
      <c r="O1886" t="s">
        <v>397</v>
      </c>
      <c r="P1886" t="s">
        <v>397</v>
      </c>
      <c r="Q1886">
        <v>7</v>
      </c>
      <c r="R1886" s="225">
        <f>Base_Periodo1[[#This Row],[CREDITOS]]-Base_Periodo1[[#This Row],[DEBITOS]]</f>
        <v>-20652.719999999972</v>
      </c>
      <c r="S1886" s="3" t="str">
        <f>IF(ISERROR(VLOOKUP(Base_Periodo1[[#This Row],[CONTA]],BaseContasDRE[#All],4,FALSE)),"Fora do DRE",VLOOKUP(Base_Periodo1[[#This Row],[CONTA]],BaseContasDRE[#All],4,FALSE))</f>
        <v>Fora do DRE</v>
      </c>
      <c r="T1886" s="3" t="str">
        <f>IF(ISERROR(VLOOKUP(Base_Periodo1[[#This Row],[CONTA]],BaseContasDRE[#All],5,FALSE)),"Fora do DRE",VLOOKUP(Base_Periodo1[[#This Row],[CONTA]],BaseContasDRE[#All],6,FALSE))</f>
        <v>Fora do DRE</v>
      </c>
      <c r="U1886" s="3" t="str">
        <f>IF(ISERROR(VLOOKUP(Base_Periodo1[[#This Row],[CONTA]],BaseContasDRE[#All],7,FALSE)),"Fora do DRE",VLOOKUP(Base_Periodo1[[#This Row],[CONTA]],BaseContasDRE[#All],7,FALSE))</f>
        <v>Fora do DRE</v>
      </c>
      <c r="V1886" s="3" t="str">
        <f>IF(Base_Periodo1[[#This Row],[Tipo_Linha]]="Fora do DRE","Fora do DRE","( "&amp;Base_Periodo1[[#This Row],[Tipo_Linha]]&amp;" ) "&amp;Base_Periodo1[[#This Row],[Filtro]])</f>
        <v>Fora do DRE</v>
      </c>
      <c r="W1886" s="3" t="str">
        <f>LEFT(Base_Periodo1[[#This Row],[CLASS]],3)</f>
        <v>1.1</v>
      </c>
    </row>
    <row r="1887" spans="1:23" hidden="1">
      <c r="A1887" s="3" t="str">
        <f t="shared" si="29"/>
        <v>Período 1</v>
      </c>
      <c r="B1887">
        <v>31277</v>
      </c>
      <c r="C1887" t="s">
        <v>1494</v>
      </c>
      <c r="D1887" t="s">
        <v>1054</v>
      </c>
      <c r="E1887" s="3" t="str">
        <f>IF(LEN(Base_Periodo1[[#This Row],[CLASS]])&gt;=7,LEFT(Base_Periodo1[[#This Row],[CLASS]],7),"")</f>
        <v>1.1.3.1</v>
      </c>
      <c r="F1887" s="3" t="str">
        <f>VLOOKUP(Base_Periodo1[[#This Row],[Aux]],Base_Contas_Balanco[#All],2,FALSE)</f>
        <v>Estoques Proprios</v>
      </c>
      <c r="G1887" s="1"/>
      <c r="H1887" s="225">
        <v>1664.9899999992922</v>
      </c>
      <c r="I1887" s="225">
        <v>0</v>
      </c>
      <c r="J1887" s="225">
        <v>0</v>
      </c>
      <c r="K1887" s="225">
        <v>1664.9899999992922</v>
      </c>
      <c r="L18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1664.99</v>
      </c>
      <c r="M1887" s="225">
        <f>ROUND(IF(AND(Base_Periodo1[[#This Row],[Tipo_Linha]]="-",Base_Periodo1[[#This Row],[TIPOSALDO]]="D"),Base_Periodo1[[#This Row],[SALDO_ATUAL]]*-1,Base_Periodo1[[#This Row],[SALDO_ATUAL]]),4)</f>
        <v>1664.99</v>
      </c>
      <c r="N1887" t="s">
        <v>396</v>
      </c>
      <c r="O1887" t="s">
        <v>397</v>
      </c>
      <c r="P1887" t="s">
        <v>397</v>
      </c>
      <c r="Q1887">
        <v>8</v>
      </c>
      <c r="R1887" s="225">
        <f>Base_Periodo1[[#This Row],[CREDITOS]]-Base_Periodo1[[#This Row],[DEBITOS]]</f>
        <v>0</v>
      </c>
      <c r="S1887" s="3" t="str">
        <f>IF(ISERROR(VLOOKUP(Base_Periodo1[[#This Row],[CONTA]],BaseContasDRE[#All],4,FALSE)),"Fora do DRE",VLOOKUP(Base_Periodo1[[#This Row],[CONTA]],BaseContasDRE[#All],4,FALSE))</f>
        <v>Fora do DRE</v>
      </c>
      <c r="T1887" s="3" t="str">
        <f>IF(ISERROR(VLOOKUP(Base_Periodo1[[#This Row],[CONTA]],BaseContasDRE[#All],5,FALSE)),"Fora do DRE",VLOOKUP(Base_Periodo1[[#This Row],[CONTA]],BaseContasDRE[#All],6,FALSE))</f>
        <v>Fora do DRE</v>
      </c>
      <c r="U1887" s="3" t="str">
        <f>IF(ISERROR(VLOOKUP(Base_Periodo1[[#This Row],[CONTA]],BaseContasDRE[#All],7,FALSE)),"Fora do DRE",VLOOKUP(Base_Periodo1[[#This Row],[CONTA]],BaseContasDRE[#All],7,FALSE))</f>
        <v>Fora do DRE</v>
      </c>
      <c r="V1887" s="3" t="str">
        <f>IF(Base_Periodo1[[#This Row],[Tipo_Linha]]="Fora do DRE","Fora do DRE","( "&amp;Base_Periodo1[[#This Row],[Tipo_Linha]]&amp;" ) "&amp;Base_Periodo1[[#This Row],[Filtro]])</f>
        <v>Fora do DRE</v>
      </c>
      <c r="W1887" s="3" t="str">
        <f>LEFT(Base_Periodo1[[#This Row],[CLASS]],3)</f>
        <v>1.1</v>
      </c>
    </row>
    <row r="1888" spans="1:23" hidden="1">
      <c r="A1888" s="3" t="str">
        <f t="shared" si="29"/>
        <v>Período 1</v>
      </c>
      <c r="B1888">
        <v>31278</v>
      </c>
      <c r="C1888" t="s">
        <v>1495</v>
      </c>
      <c r="D1888" t="s">
        <v>1054</v>
      </c>
      <c r="E1888" s="3" t="str">
        <f>IF(LEN(Base_Periodo1[[#This Row],[CLASS]])&gt;=7,LEFT(Base_Periodo1[[#This Row],[CLASS]],7),"")</f>
        <v>1.1.3.1</v>
      </c>
      <c r="F1888" s="3" t="str">
        <f>VLOOKUP(Base_Periodo1[[#This Row],[Aux]],Base_Contas_Balanco[#All],2,FALSE)</f>
        <v>Estoques Proprios</v>
      </c>
      <c r="G1888" s="1">
        <v>42735</v>
      </c>
      <c r="H1888" s="225">
        <v>1664.9899999992922</v>
      </c>
      <c r="I1888" s="225">
        <v>0</v>
      </c>
      <c r="J1888" s="225">
        <v>0</v>
      </c>
      <c r="K1888" s="225">
        <v>1664.9899999992922</v>
      </c>
      <c r="L18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1664.99</v>
      </c>
      <c r="M1888" s="225">
        <f>ROUND(IF(AND(Base_Periodo1[[#This Row],[Tipo_Linha]]="-",Base_Periodo1[[#This Row],[TIPOSALDO]]="D"),Base_Periodo1[[#This Row],[SALDO_ATUAL]]*-1,Base_Periodo1[[#This Row],[SALDO_ATUAL]]),4)</f>
        <v>1664.99</v>
      </c>
      <c r="N1888" t="s">
        <v>116</v>
      </c>
      <c r="O1888" t="s">
        <v>397</v>
      </c>
      <c r="P1888" t="s">
        <v>397</v>
      </c>
      <c r="Q1888">
        <v>9</v>
      </c>
      <c r="R1888" s="225">
        <f>Base_Periodo1[[#This Row],[CREDITOS]]-Base_Periodo1[[#This Row],[DEBITOS]]</f>
        <v>0</v>
      </c>
      <c r="S1888" s="3" t="str">
        <f>IF(ISERROR(VLOOKUP(Base_Periodo1[[#This Row],[CONTA]],BaseContasDRE[#All],4,FALSE)),"Fora do DRE",VLOOKUP(Base_Periodo1[[#This Row],[CONTA]],BaseContasDRE[#All],4,FALSE))</f>
        <v>Fora do DRE</v>
      </c>
      <c r="T1888" s="3" t="str">
        <f>IF(ISERROR(VLOOKUP(Base_Periodo1[[#This Row],[CONTA]],BaseContasDRE[#All],5,FALSE)),"Fora do DRE",VLOOKUP(Base_Periodo1[[#This Row],[CONTA]],BaseContasDRE[#All],6,FALSE))</f>
        <v>Fora do DRE</v>
      </c>
      <c r="U1888" s="3" t="str">
        <f>IF(ISERROR(VLOOKUP(Base_Periodo1[[#This Row],[CONTA]],BaseContasDRE[#All],7,FALSE)),"Fora do DRE",VLOOKUP(Base_Periodo1[[#This Row],[CONTA]],BaseContasDRE[#All],7,FALSE))</f>
        <v>Fora do DRE</v>
      </c>
      <c r="V1888" s="3" t="str">
        <f>IF(Base_Periodo1[[#This Row],[Tipo_Linha]]="Fora do DRE","Fora do DRE","( "&amp;Base_Periodo1[[#This Row],[Tipo_Linha]]&amp;" ) "&amp;Base_Periodo1[[#This Row],[Filtro]])</f>
        <v>Fora do DRE</v>
      </c>
      <c r="W1888" s="3" t="str">
        <f>LEFT(Base_Periodo1[[#This Row],[CLASS]],3)</f>
        <v>1.1</v>
      </c>
    </row>
    <row r="1889" spans="1:23" hidden="1">
      <c r="A1889" s="3" t="str">
        <f t="shared" si="29"/>
        <v>Período 1</v>
      </c>
      <c r="B1889">
        <v>50829</v>
      </c>
      <c r="C1889" t="s">
        <v>4408</v>
      </c>
      <c r="D1889" t="s">
        <v>4405</v>
      </c>
      <c r="E1889" s="3" t="str">
        <f>IF(LEN(Base_Periodo1[[#This Row],[CLASS]])&gt;=7,LEFT(Base_Periodo1[[#This Row],[CLASS]],7),"")</f>
        <v>1.1.3.1</v>
      </c>
      <c r="F1889" s="3" t="str">
        <f>VLOOKUP(Base_Periodo1[[#This Row],[Aux]],Base_Contas_Balanco[#All],2,FALSE)</f>
        <v>Estoques Proprios</v>
      </c>
      <c r="G1889" s="1"/>
      <c r="H1889" s="225">
        <v>717682.72</v>
      </c>
      <c r="I1889" s="225">
        <v>276912.21999999997</v>
      </c>
      <c r="J1889" s="225">
        <v>0</v>
      </c>
      <c r="K1889" s="225">
        <v>994594.94</v>
      </c>
      <c r="L18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994594.94</v>
      </c>
      <c r="M1889" s="225">
        <f>ROUND(IF(AND(Base_Periodo1[[#This Row],[Tipo_Linha]]="-",Base_Periodo1[[#This Row],[TIPOSALDO]]="D"),Base_Periodo1[[#This Row],[SALDO_ATUAL]]*-1,Base_Periodo1[[#This Row],[SALDO_ATUAL]]),4)</f>
        <v>994594.94</v>
      </c>
      <c r="N1889" t="s">
        <v>396</v>
      </c>
      <c r="O1889" t="s">
        <v>397</v>
      </c>
      <c r="P1889" t="s">
        <v>397</v>
      </c>
      <c r="Q1889">
        <v>8</v>
      </c>
      <c r="R1889" s="225">
        <f>Base_Periodo1[[#This Row],[CREDITOS]]-Base_Periodo1[[#This Row],[DEBITOS]]</f>
        <v>-276912.21999999997</v>
      </c>
      <c r="S1889" s="3" t="str">
        <f>IF(ISERROR(VLOOKUP(Base_Periodo1[[#This Row],[CONTA]],BaseContasDRE[#All],4,FALSE)),"Fora do DRE",VLOOKUP(Base_Periodo1[[#This Row],[CONTA]],BaseContasDRE[#All],4,FALSE))</f>
        <v>Fora do DRE</v>
      </c>
      <c r="T1889" s="3" t="str">
        <f>IF(ISERROR(VLOOKUP(Base_Periodo1[[#This Row],[CONTA]],BaseContasDRE[#All],5,FALSE)),"Fora do DRE",VLOOKUP(Base_Periodo1[[#This Row],[CONTA]],BaseContasDRE[#All],6,FALSE))</f>
        <v>Fora do DRE</v>
      </c>
      <c r="U1889" s="3" t="str">
        <f>IF(ISERROR(VLOOKUP(Base_Periodo1[[#This Row],[CONTA]],BaseContasDRE[#All],7,FALSE)),"Fora do DRE",VLOOKUP(Base_Periodo1[[#This Row],[CONTA]],BaseContasDRE[#All],7,FALSE))</f>
        <v>Fora do DRE</v>
      </c>
      <c r="V1889" s="3" t="str">
        <f>IF(Base_Periodo1[[#This Row],[Tipo_Linha]]="Fora do DRE","Fora do DRE","( "&amp;Base_Periodo1[[#This Row],[Tipo_Linha]]&amp;" ) "&amp;Base_Periodo1[[#This Row],[Filtro]])</f>
        <v>Fora do DRE</v>
      </c>
      <c r="W1889" s="3" t="str">
        <f>LEFT(Base_Periodo1[[#This Row],[CLASS]],3)</f>
        <v>1.1</v>
      </c>
    </row>
    <row r="1890" spans="1:23" hidden="1">
      <c r="A1890" s="3" t="str">
        <f t="shared" si="29"/>
        <v>Período 1</v>
      </c>
      <c r="B1890">
        <v>50830</v>
      </c>
      <c r="C1890" t="s">
        <v>4409</v>
      </c>
      <c r="D1890" t="s">
        <v>1592</v>
      </c>
      <c r="E1890" s="3" t="str">
        <f>IF(LEN(Base_Periodo1[[#This Row],[CLASS]])&gt;=7,LEFT(Base_Periodo1[[#This Row],[CLASS]],7),"")</f>
        <v>1.1.3.1</v>
      </c>
      <c r="F1890" s="3" t="str">
        <f>VLOOKUP(Base_Periodo1[[#This Row],[Aux]],Base_Contas_Balanco[#All],2,FALSE)</f>
        <v>Estoques Proprios</v>
      </c>
      <c r="G1890" s="1">
        <v>42886</v>
      </c>
      <c r="H1890" s="225">
        <v>717682.72</v>
      </c>
      <c r="I1890" s="225">
        <v>276912.21999999997</v>
      </c>
      <c r="J1890" s="225">
        <v>0</v>
      </c>
      <c r="K1890" s="225">
        <v>994594.94</v>
      </c>
      <c r="L18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994594.94</v>
      </c>
      <c r="M1890" s="225">
        <f>ROUND(IF(AND(Base_Periodo1[[#This Row],[Tipo_Linha]]="-",Base_Periodo1[[#This Row],[TIPOSALDO]]="D"),Base_Periodo1[[#This Row],[SALDO_ATUAL]]*-1,Base_Periodo1[[#This Row],[SALDO_ATUAL]]),4)</f>
        <v>994594.94</v>
      </c>
      <c r="N1890" t="s">
        <v>116</v>
      </c>
      <c r="O1890" t="s">
        <v>397</v>
      </c>
      <c r="P1890" t="s">
        <v>397</v>
      </c>
      <c r="Q1890">
        <v>9</v>
      </c>
      <c r="R1890" s="225">
        <f>Base_Periodo1[[#This Row],[CREDITOS]]-Base_Periodo1[[#This Row],[DEBITOS]]</f>
        <v>-276912.21999999997</v>
      </c>
      <c r="S1890" s="3" t="str">
        <f>IF(ISERROR(VLOOKUP(Base_Periodo1[[#This Row],[CONTA]],BaseContasDRE[#All],4,FALSE)),"Fora do DRE",VLOOKUP(Base_Periodo1[[#This Row],[CONTA]],BaseContasDRE[#All],4,FALSE))</f>
        <v>Fora do DRE</v>
      </c>
      <c r="T1890" s="3" t="str">
        <f>IF(ISERROR(VLOOKUP(Base_Periodo1[[#This Row],[CONTA]],BaseContasDRE[#All],5,FALSE)),"Fora do DRE",VLOOKUP(Base_Periodo1[[#This Row],[CONTA]],BaseContasDRE[#All],6,FALSE))</f>
        <v>Fora do DRE</v>
      </c>
      <c r="U1890" s="3" t="str">
        <f>IF(ISERROR(VLOOKUP(Base_Periodo1[[#This Row],[CONTA]],BaseContasDRE[#All],7,FALSE)),"Fora do DRE",VLOOKUP(Base_Periodo1[[#This Row],[CONTA]],BaseContasDRE[#All],7,FALSE))</f>
        <v>Fora do DRE</v>
      </c>
      <c r="V1890" s="3" t="str">
        <f>IF(Base_Periodo1[[#This Row],[Tipo_Linha]]="Fora do DRE","Fora do DRE","( "&amp;Base_Periodo1[[#This Row],[Tipo_Linha]]&amp;" ) "&amp;Base_Periodo1[[#This Row],[Filtro]])</f>
        <v>Fora do DRE</v>
      </c>
      <c r="W1890" s="3" t="str">
        <f>LEFT(Base_Periodo1[[#This Row],[CLASS]],3)</f>
        <v>1.1</v>
      </c>
    </row>
    <row r="1891" spans="1:23" hidden="1">
      <c r="A1891" s="3" t="str">
        <f t="shared" si="29"/>
        <v>Período 1</v>
      </c>
      <c r="B1891">
        <v>31279</v>
      </c>
      <c r="C1891" t="s">
        <v>1496</v>
      </c>
      <c r="D1891" t="s">
        <v>1063</v>
      </c>
      <c r="E1891" s="3" t="str">
        <f>IF(LEN(Base_Periodo1[[#This Row],[CLASS]])&gt;=7,LEFT(Base_Periodo1[[#This Row],[CLASS]],7),"")</f>
        <v>1.1.3.1</v>
      </c>
      <c r="F1891" s="3" t="str">
        <f>VLOOKUP(Base_Periodo1[[#This Row],[Aux]],Base_Contas_Balanco[#All],2,FALSE)</f>
        <v>Estoques Proprios</v>
      </c>
      <c r="G1891" s="1"/>
      <c r="H1891" s="225">
        <v>20583.060000000871</v>
      </c>
      <c r="I1891" s="225">
        <v>0</v>
      </c>
      <c r="J1891" s="225">
        <v>0</v>
      </c>
      <c r="K1891" s="225">
        <v>20583.060000000871</v>
      </c>
      <c r="L18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20583.060000000001</v>
      </c>
      <c r="M1891" s="225">
        <f>ROUND(IF(AND(Base_Periodo1[[#This Row],[Tipo_Linha]]="-",Base_Periodo1[[#This Row],[TIPOSALDO]]="D"),Base_Periodo1[[#This Row],[SALDO_ATUAL]]*-1,Base_Periodo1[[#This Row],[SALDO_ATUAL]]),4)</f>
        <v>20583.060000000001</v>
      </c>
      <c r="N1891" t="s">
        <v>396</v>
      </c>
      <c r="O1891" t="s">
        <v>397</v>
      </c>
      <c r="P1891" t="s">
        <v>397</v>
      </c>
      <c r="Q1891">
        <v>8</v>
      </c>
      <c r="R1891" s="225">
        <f>Base_Periodo1[[#This Row],[CREDITOS]]-Base_Periodo1[[#This Row],[DEBITOS]]</f>
        <v>0</v>
      </c>
      <c r="S1891" s="3" t="str">
        <f>IF(ISERROR(VLOOKUP(Base_Periodo1[[#This Row],[CONTA]],BaseContasDRE[#All],4,FALSE)),"Fora do DRE",VLOOKUP(Base_Periodo1[[#This Row],[CONTA]],BaseContasDRE[#All],4,FALSE))</f>
        <v>Fora do DRE</v>
      </c>
      <c r="T1891" s="3" t="str">
        <f>IF(ISERROR(VLOOKUP(Base_Periodo1[[#This Row],[CONTA]],BaseContasDRE[#All],5,FALSE)),"Fora do DRE",VLOOKUP(Base_Periodo1[[#This Row],[CONTA]],BaseContasDRE[#All],6,FALSE))</f>
        <v>Fora do DRE</v>
      </c>
      <c r="U1891" s="3" t="str">
        <f>IF(ISERROR(VLOOKUP(Base_Periodo1[[#This Row],[CONTA]],BaseContasDRE[#All],7,FALSE)),"Fora do DRE",VLOOKUP(Base_Periodo1[[#This Row],[CONTA]],BaseContasDRE[#All],7,FALSE))</f>
        <v>Fora do DRE</v>
      </c>
      <c r="V1891" s="3" t="str">
        <f>IF(Base_Periodo1[[#This Row],[Tipo_Linha]]="Fora do DRE","Fora do DRE","( "&amp;Base_Periodo1[[#This Row],[Tipo_Linha]]&amp;" ) "&amp;Base_Periodo1[[#This Row],[Filtro]])</f>
        <v>Fora do DRE</v>
      </c>
      <c r="W1891" s="3" t="str">
        <f>LEFT(Base_Periodo1[[#This Row],[CLASS]],3)</f>
        <v>1.1</v>
      </c>
    </row>
    <row r="1892" spans="1:23" hidden="1">
      <c r="A1892" s="3" t="str">
        <f t="shared" si="29"/>
        <v>Período 1</v>
      </c>
      <c r="B1892">
        <v>31280</v>
      </c>
      <c r="C1892" t="s">
        <v>1497</v>
      </c>
      <c r="D1892" t="s">
        <v>1452</v>
      </c>
      <c r="E1892" s="3" t="str">
        <f>IF(LEN(Base_Periodo1[[#This Row],[CLASS]])&gt;=7,LEFT(Base_Periodo1[[#This Row],[CLASS]],7),"")</f>
        <v>1.1.3.1</v>
      </c>
      <c r="F1892" s="3" t="str">
        <f>VLOOKUP(Base_Periodo1[[#This Row],[Aux]],Base_Contas_Balanco[#All],2,FALSE)</f>
        <v>Estoques Proprios</v>
      </c>
      <c r="G1892" s="1">
        <v>42843</v>
      </c>
      <c r="H1892" s="225">
        <v>20583.060000000871</v>
      </c>
      <c r="I1892" s="225">
        <v>0</v>
      </c>
      <c r="J1892" s="225">
        <v>0</v>
      </c>
      <c r="K1892" s="225">
        <v>20583.060000000871</v>
      </c>
      <c r="L18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20583.060000000001</v>
      </c>
      <c r="M1892" s="225">
        <f>ROUND(IF(AND(Base_Periodo1[[#This Row],[Tipo_Linha]]="-",Base_Periodo1[[#This Row],[TIPOSALDO]]="D"),Base_Periodo1[[#This Row],[SALDO_ATUAL]]*-1,Base_Periodo1[[#This Row],[SALDO_ATUAL]]),4)</f>
        <v>20583.060000000001</v>
      </c>
      <c r="N1892" t="s">
        <v>116</v>
      </c>
      <c r="O1892" t="s">
        <v>397</v>
      </c>
      <c r="P1892" t="s">
        <v>397</v>
      </c>
      <c r="Q1892">
        <v>9</v>
      </c>
      <c r="R1892" s="225">
        <f>Base_Periodo1[[#This Row],[CREDITOS]]-Base_Periodo1[[#This Row],[DEBITOS]]</f>
        <v>0</v>
      </c>
      <c r="S1892" s="3" t="str">
        <f>IF(ISERROR(VLOOKUP(Base_Periodo1[[#This Row],[CONTA]],BaseContasDRE[#All],4,FALSE)),"Fora do DRE",VLOOKUP(Base_Periodo1[[#This Row],[CONTA]],BaseContasDRE[#All],4,FALSE))</f>
        <v>Fora do DRE</v>
      </c>
      <c r="T1892" s="3" t="str">
        <f>IF(ISERROR(VLOOKUP(Base_Periodo1[[#This Row],[CONTA]],BaseContasDRE[#All],5,FALSE)),"Fora do DRE",VLOOKUP(Base_Periodo1[[#This Row],[CONTA]],BaseContasDRE[#All],6,FALSE))</f>
        <v>Fora do DRE</v>
      </c>
      <c r="U1892" s="3" t="str">
        <f>IF(ISERROR(VLOOKUP(Base_Periodo1[[#This Row],[CONTA]],BaseContasDRE[#All],7,FALSE)),"Fora do DRE",VLOOKUP(Base_Periodo1[[#This Row],[CONTA]],BaseContasDRE[#All],7,FALSE))</f>
        <v>Fora do DRE</v>
      </c>
      <c r="V1892" s="3" t="str">
        <f>IF(Base_Periodo1[[#This Row],[Tipo_Linha]]="Fora do DRE","Fora do DRE","( "&amp;Base_Periodo1[[#This Row],[Tipo_Linha]]&amp;" ) "&amp;Base_Periodo1[[#This Row],[Filtro]])</f>
        <v>Fora do DRE</v>
      </c>
      <c r="W1892" s="3" t="str">
        <f>LEFT(Base_Periodo1[[#This Row],[CLASS]],3)</f>
        <v>1.1</v>
      </c>
    </row>
    <row r="1893" spans="1:23" hidden="1">
      <c r="A1893" s="3" t="str">
        <f t="shared" si="29"/>
        <v>Período 1</v>
      </c>
      <c r="B1893">
        <v>31281</v>
      </c>
      <c r="C1893" t="s">
        <v>1498</v>
      </c>
      <c r="D1893" t="s">
        <v>1486</v>
      </c>
      <c r="E1893" s="3" t="str">
        <f>IF(LEN(Base_Periodo1[[#This Row],[CLASS]])&gt;=7,LEFT(Base_Periodo1[[#This Row],[CLASS]],7),"")</f>
        <v>1.1.3.1</v>
      </c>
      <c r="F1893" s="3" t="str">
        <f>VLOOKUP(Base_Periodo1[[#This Row],[Aux]],Base_Contas_Balanco[#All],2,FALSE)</f>
        <v>Estoques Proprios</v>
      </c>
      <c r="G1893" s="1"/>
      <c r="H1893" s="225">
        <v>703441.80999999959</v>
      </c>
      <c r="I1893" s="225">
        <v>0</v>
      </c>
      <c r="J1893" s="225">
        <v>256259.5</v>
      </c>
      <c r="K1893" s="225">
        <v>959701.30999999959</v>
      </c>
      <c r="L18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-959701.31</v>
      </c>
      <c r="M1893" s="225">
        <f>ROUND(IF(AND(Base_Periodo1[[#This Row],[Tipo_Linha]]="-",Base_Periodo1[[#This Row],[TIPOSALDO]]="D"),Base_Periodo1[[#This Row],[SALDO_ATUAL]]*-1,Base_Periodo1[[#This Row],[SALDO_ATUAL]]),4)</f>
        <v>959701.31</v>
      </c>
      <c r="N1893" t="s">
        <v>396</v>
      </c>
      <c r="O1893" t="s">
        <v>459</v>
      </c>
      <c r="P1893" t="s">
        <v>459</v>
      </c>
      <c r="Q1893">
        <v>8</v>
      </c>
      <c r="R1893" s="225">
        <f>Base_Periodo1[[#This Row],[CREDITOS]]-Base_Periodo1[[#This Row],[DEBITOS]]</f>
        <v>256259.5</v>
      </c>
      <c r="S1893" s="3" t="str">
        <f>IF(ISERROR(VLOOKUP(Base_Periodo1[[#This Row],[CONTA]],BaseContasDRE[#All],4,FALSE)),"Fora do DRE",VLOOKUP(Base_Periodo1[[#This Row],[CONTA]],BaseContasDRE[#All],4,FALSE))</f>
        <v>Fora do DRE</v>
      </c>
      <c r="T1893" s="3" t="str">
        <f>IF(ISERROR(VLOOKUP(Base_Periodo1[[#This Row],[CONTA]],BaseContasDRE[#All],5,FALSE)),"Fora do DRE",VLOOKUP(Base_Periodo1[[#This Row],[CONTA]],BaseContasDRE[#All],6,FALSE))</f>
        <v>Fora do DRE</v>
      </c>
      <c r="U1893" s="3" t="str">
        <f>IF(ISERROR(VLOOKUP(Base_Periodo1[[#This Row],[CONTA]],BaseContasDRE[#All],7,FALSE)),"Fora do DRE",VLOOKUP(Base_Periodo1[[#This Row],[CONTA]],BaseContasDRE[#All],7,FALSE))</f>
        <v>Fora do DRE</v>
      </c>
      <c r="V1893" s="3" t="str">
        <f>IF(Base_Periodo1[[#This Row],[Tipo_Linha]]="Fora do DRE","Fora do DRE","( "&amp;Base_Periodo1[[#This Row],[Tipo_Linha]]&amp;" ) "&amp;Base_Periodo1[[#This Row],[Filtro]])</f>
        <v>Fora do DRE</v>
      </c>
      <c r="W1893" s="3" t="str">
        <f>LEFT(Base_Periodo1[[#This Row],[CLASS]],3)</f>
        <v>1.1</v>
      </c>
    </row>
    <row r="1894" spans="1:23" hidden="1">
      <c r="A1894" s="3" t="str">
        <f t="shared" si="29"/>
        <v>Período 1</v>
      </c>
      <c r="B1894">
        <v>31282</v>
      </c>
      <c r="C1894" t="s">
        <v>1499</v>
      </c>
      <c r="D1894" t="s">
        <v>4541</v>
      </c>
      <c r="E1894" s="3" t="str">
        <f>IF(LEN(Base_Periodo1[[#This Row],[CLASS]])&gt;=7,LEFT(Base_Periodo1[[#This Row],[CLASS]],7),"")</f>
        <v>1.1.3.1</v>
      </c>
      <c r="F1894" s="3" t="str">
        <f>VLOOKUP(Base_Periodo1[[#This Row],[Aux]],Base_Contas_Balanco[#All],2,FALSE)</f>
        <v>Estoques Proprios</v>
      </c>
      <c r="G1894" s="1">
        <v>42886</v>
      </c>
      <c r="H1894" s="225">
        <v>703441.80999999959</v>
      </c>
      <c r="I1894" s="225">
        <v>0</v>
      </c>
      <c r="J1894" s="225">
        <v>256259.5</v>
      </c>
      <c r="K1894" s="225">
        <v>959701.30999999959</v>
      </c>
      <c r="L18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-959701.31</v>
      </c>
      <c r="M1894" s="225">
        <f>ROUND(IF(AND(Base_Periodo1[[#This Row],[Tipo_Linha]]="-",Base_Periodo1[[#This Row],[TIPOSALDO]]="D"),Base_Periodo1[[#This Row],[SALDO_ATUAL]]*-1,Base_Periodo1[[#This Row],[SALDO_ATUAL]]),4)</f>
        <v>959701.31</v>
      </c>
      <c r="N1894" t="s">
        <v>116</v>
      </c>
      <c r="O1894" t="s">
        <v>459</v>
      </c>
      <c r="P1894" t="s">
        <v>459</v>
      </c>
      <c r="Q1894">
        <v>9</v>
      </c>
      <c r="R1894" s="225">
        <f>Base_Periodo1[[#This Row],[CREDITOS]]-Base_Periodo1[[#This Row],[DEBITOS]]</f>
        <v>256259.5</v>
      </c>
      <c r="S1894" s="3" t="str">
        <f>IF(ISERROR(VLOOKUP(Base_Periodo1[[#This Row],[CONTA]],BaseContasDRE[#All],4,FALSE)),"Fora do DRE",VLOOKUP(Base_Periodo1[[#This Row],[CONTA]],BaseContasDRE[#All],4,FALSE))</f>
        <v>Fora do DRE</v>
      </c>
      <c r="T1894" s="3" t="str">
        <f>IF(ISERROR(VLOOKUP(Base_Periodo1[[#This Row],[CONTA]],BaseContasDRE[#All],5,FALSE)),"Fora do DRE",VLOOKUP(Base_Periodo1[[#This Row],[CONTA]],BaseContasDRE[#All],6,FALSE))</f>
        <v>Fora do DRE</v>
      </c>
      <c r="U1894" s="3" t="str">
        <f>IF(ISERROR(VLOOKUP(Base_Periodo1[[#This Row],[CONTA]],BaseContasDRE[#All],7,FALSE)),"Fora do DRE",VLOOKUP(Base_Periodo1[[#This Row],[CONTA]],BaseContasDRE[#All],7,FALSE))</f>
        <v>Fora do DRE</v>
      </c>
      <c r="V1894" s="3" t="str">
        <f>IF(Base_Periodo1[[#This Row],[Tipo_Linha]]="Fora do DRE","Fora do DRE","( "&amp;Base_Periodo1[[#This Row],[Tipo_Linha]]&amp;" ) "&amp;Base_Periodo1[[#This Row],[Filtro]])</f>
        <v>Fora do DRE</v>
      </c>
      <c r="W1894" s="3" t="str">
        <f>LEFT(Base_Periodo1[[#This Row],[CLASS]],3)</f>
        <v>1.1</v>
      </c>
    </row>
    <row r="1895" spans="1:23" hidden="1">
      <c r="A1895" s="3" t="str">
        <f t="shared" si="29"/>
        <v>Período 1</v>
      </c>
      <c r="B1895">
        <v>31283</v>
      </c>
      <c r="C1895" t="s">
        <v>1500</v>
      </c>
      <c r="D1895" t="s">
        <v>1072</v>
      </c>
      <c r="E1895" s="3" t="str">
        <f>IF(LEN(Base_Periodo1[[#This Row],[CLASS]])&gt;=7,LEFT(Base_Periodo1[[#This Row],[CLASS]],7),"")</f>
        <v>1.1.3.1</v>
      </c>
      <c r="F1895" s="3" t="str">
        <f>VLOOKUP(Base_Periodo1[[#This Row],[Aux]],Base_Contas_Balanco[#All],2,FALSE)</f>
        <v>Estoques Proprios</v>
      </c>
      <c r="G1895" s="1"/>
      <c r="H1895" s="225">
        <v>20583.060000000522</v>
      </c>
      <c r="I1895" s="225">
        <v>0</v>
      </c>
      <c r="J1895" s="225">
        <v>0</v>
      </c>
      <c r="K1895" s="225">
        <v>20583.060000000522</v>
      </c>
      <c r="L18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-20583.060000000001</v>
      </c>
      <c r="M1895" s="225">
        <f>ROUND(IF(AND(Base_Periodo1[[#This Row],[Tipo_Linha]]="-",Base_Periodo1[[#This Row],[TIPOSALDO]]="D"),Base_Periodo1[[#This Row],[SALDO_ATUAL]]*-1,Base_Periodo1[[#This Row],[SALDO_ATUAL]]),4)</f>
        <v>20583.060000000001</v>
      </c>
      <c r="N1895" t="s">
        <v>396</v>
      </c>
      <c r="O1895" t="s">
        <v>459</v>
      </c>
      <c r="P1895" t="s">
        <v>459</v>
      </c>
      <c r="Q1895">
        <v>8</v>
      </c>
      <c r="R1895" s="225">
        <f>Base_Periodo1[[#This Row],[CREDITOS]]-Base_Periodo1[[#This Row],[DEBITOS]]</f>
        <v>0</v>
      </c>
      <c r="S1895" s="3" t="str">
        <f>IF(ISERROR(VLOOKUP(Base_Periodo1[[#This Row],[CONTA]],BaseContasDRE[#All],4,FALSE)),"Fora do DRE",VLOOKUP(Base_Periodo1[[#This Row],[CONTA]],BaseContasDRE[#All],4,FALSE))</f>
        <v>Fora do DRE</v>
      </c>
      <c r="T1895" s="3" t="str">
        <f>IF(ISERROR(VLOOKUP(Base_Periodo1[[#This Row],[CONTA]],BaseContasDRE[#All],5,FALSE)),"Fora do DRE",VLOOKUP(Base_Periodo1[[#This Row],[CONTA]],BaseContasDRE[#All],6,FALSE))</f>
        <v>Fora do DRE</v>
      </c>
      <c r="U1895" s="3" t="str">
        <f>IF(ISERROR(VLOOKUP(Base_Periodo1[[#This Row],[CONTA]],BaseContasDRE[#All],7,FALSE)),"Fora do DRE",VLOOKUP(Base_Periodo1[[#This Row],[CONTA]],BaseContasDRE[#All],7,FALSE))</f>
        <v>Fora do DRE</v>
      </c>
      <c r="V1895" s="3" t="str">
        <f>IF(Base_Periodo1[[#This Row],[Tipo_Linha]]="Fora do DRE","Fora do DRE","( "&amp;Base_Periodo1[[#This Row],[Tipo_Linha]]&amp;" ) "&amp;Base_Periodo1[[#This Row],[Filtro]])</f>
        <v>Fora do DRE</v>
      </c>
      <c r="W1895" s="3" t="str">
        <f>LEFT(Base_Periodo1[[#This Row],[CLASS]],3)</f>
        <v>1.1</v>
      </c>
    </row>
    <row r="1896" spans="1:23" hidden="1">
      <c r="A1896" s="3" t="str">
        <f t="shared" si="29"/>
        <v>Período 1</v>
      </c>
      <c r="B1896">
        <v>31284</v>
      </c>
      <c r="C1896" t="s">
        <v>1501</v>
      </c>
      <c r="D1896" t="s">
        <v>1072</v>
      </c>
      <c r="E1896" s="3" t="str">
        <f>IF(LEN(Base_Periodo1[[#This Row],[CLASS]])&gt;=7,LEFT(Base_Periodo1[[#This Row],[CLASS]],7),"")</f>
        <v>1.1.3.1</v>
      </c>
      <c r="F1896" s="3" t="str">
        <f>VLOOKUP(Base_Periodo1[[#This Row],[Aux]],Base_Contas_Balanco[#All],2,FALSE)</f>
        <v>Estoques Proprios</v>
      </c>
      <c r="G1896" s="1">
        <v>42842</v>
      </c>
      <c r="H1896" s="225">
        <v>20583.060000000522</v>
      </c>
      <c r="I1896" s="225">
        <v>0</v>
      </c>
      <c r="J1896" s="225">
        <v>0</v>
      </c>
      <c r="K1896" s="225">
        <v>20583.060000000522</v>
      </c>
      <c r="L18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-20583.060000000001</v>
      </c>
      <c r="M1896" s="225">
        <f>ROUND(IF(AND(Base_Periodo1[[#This Row],[Tipo_Linha]]="-",Base_Periodo1[[#This Row],[TIPOSALDO]]="D"),Base_Periodo1[[#This Row],[SALDO_ATUAL]]*-1,Base_Periodo1[[#This Row],[SALDO_ATUAL]]),4)</f>
        <v>20583.060000000001</v>
      </c>
      <c r="N1896" t="s">
        <v>116</v>
      </c>
      <c r="O1896" t="s">
        <v>459</v>
      </c>
      <c r="P1896" t="s">
        <v>459</v>
      </c>
      <c r="Q1896">
        <v>9</v>
      </c>
      <c r="R1896" s="225">
        <f>Base_Periodo1[[#This Row],[CREDITOS]]-Base_Periodo1[[#This Row],[DEBITOS]]</f>
        <v>0</v>
      </c>
      <c r="S1896" s="3" t="str">
        <f>IF(ISERROR(VLOOKUP(Base_Periodo1[[#This Row],[CONTA]],BaseContasDRE[#All],4,FALSE)),"Fora do DRE",VLOOKUP(Base_Periodo1[[#This Row],[CONTA]],BaseContasDRE[#All],4,FALSE))</f>
        <v>Fora do DRE</v>
      </c>
      <c r="T1896" s="3" t="str">
        <f>IF(ISERROR(VLOOKUP(Base_Periodo1[[#This Row],[CONTA]],BaseContasDRE[#All],5,FALSE)),"Fora do DRE",VLOOKUP(Base_Periodo1[[#This Row],[CONTA]],BaseContasDRE[#All],6,FALSE))</f>
        <v>Fora do DRE</v>
      </c>
      <c r="U1896" s="3" t="str">
        <f>IF(ISERROR(VLOOKUP(Base_Periodo1[[#This Row],[CONTA]],BaseContasDRE[#All],7,FALSE)),"Fora do DRE",VLOOKUP(Base_Periodo1[[#This Row],[CONTA]],BaseContasDRE[#All],7,FALSE))</f>
        <v>Fora do DRE</v>
      </c>
      <c r="V1896" s="3" t="str">
        <f>IF(Base_Periodo1[[#This Row],[Tipo_Linha]]="Fora do DRE","Fora do DRE","( "&amp;Base_Periodo1[[#This Row],[Tipo_Linha]]&amp;" ) "&amp;Base_Periodo1[[#This Row],[Filtro]])</f>
        <v>Fora do DRE</v>
      </c>
      <c r="W1896" s="3" t="str">
        <f>LEFT(Base_Periodo1[[#This Row],[CLASS]],3)</f>
        <v>1.1</v>
      </c>
    </row>
    <row r="1897" spans="1:23" hidden="1">
      <c r="A1897" s="3" t="str">
        <f t="shared" si="29"/>
        <v>Período 1</v>
      </c>
      <c r="B1897">
        <v>31309</v>
      </c>
      <c r="C1897" t="s">
        <v>1502</v>
      </c>
      <c r="D1897" t="s">
        <v>1503</v>
      </c>
      <c r="E1897" s="3" t="str">
        <f>IF(LEN(Base_Periodo1[[#This Row],[CLASS]])&gt;=7,LEFT(Base_Periodo1[[#This Row],[CLASS]],7),"")</f>
        <v>1.1.3.1</v>
      </c>
      <c r="F1897" s="3" t="str">
        <f>VLOOKUP(Base_Periodo1[[#This Row],[Aux]],Base_Contas_Balanco[#All],2,FALSE)</f>
        <v>Estoques Proprios</v>
      </c>
      <c r="G1897" s="1"/>
      <c r="H1897" s="225">
        <v>309780.53000000934</v>
      </c>
      <c r="I1897" s="225">
        <v>1966214.6800000002</v>
      </c>
      <c r="J1897" s="225">
        <v>1493334.0300000003</v>
      </c>
      <c r="K1897" s="225">
        <v>782661.18000000902</v>
      </c>
      <c r="L18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782661.18</v>
      </c>
      <c r="M1897" s="225">
        <f>ROUND(IF(AND(Base_Periodo1[[#This Row],[Tipo_Linha]]="-",Base_Periodo1[[#This Row],[TIPOSALDO]]="D"),Base_Periodo1[[#This Row],[SALDO_ATUAL]]*-1,Base_Periodo1[[#This Row],[SALDO_ATUAL]]),4)</f>
        <v>782661.18</v>
      </c>
      <c r="N1897" t="s">
        <v>396</v>
      </c>
      <c r="O1897" t="s">
        <v>397</v>
      </c>
      <c r="P1897" t="s">
        <v>397</v>
      </c>
      <c r="Q1897">
        <v>6</v>
      </c>
      <c r="R1897" s="225">
        <f>Base_Periodo1[[#This Row],[CREDITOS]]-Base_Periodo1[[#This Row],[DEBITOS]]</f>
        <v>-472880.64999999991</v>
      </c>
      <c r="S1897" s="3" t="str">
        <f>IF(ISERROR(VLOOKUP(Base_Periodo1[[#This Row],[CONTA]],BaseContasDRE[#All],4,FALSE)),"Fora do DRE",VLOOKUP(Base_Periodo1[[#This Row],[CONTA]],BaseContasDRE[#All],4,FALSE))</f>
        <v>Fora do DRE</v>
      </c>
      <c r="T1897" s="3" t="str">
        <f>IF(ISERROR(VLOOKUP(Base_Periodo1[[#This Row],[CONTA]],BaseContasDRE[#All],5,FALSE)),"Fora do DRE",VLOOKUP(Base_Periodo1[[#This Row],[CONTA]],BaseContasDRE[#All],6,FALSE))</f>
        <v>Fora do DRE</v>
      </c>
      <c r="U1897" s="3" t="str">
        <f>IF(ISERROR(VLOOKUP(Base_Periodo1[[#This Row],[CONTA]],BaseContasDRE[#All],7,FALSE)),"Fora do DRE",VLOOKUP(Base_Periodo1[[#This Row],[CONTA]],BaseContasDRE[#All],7,FALSE))</f>
        <v>Fora do DRE</v>
      </c>
      <c r="V1897" s="3" t="str">
        <f>IF(Base_Periodo1[[#This Row],[Tipo_Linha]]="Fora do DRE","Fora do DRE","( "&amp;Base_Periodo1[[#This Row],[Tipo_Linha]]&amp;" ) "&amp;Base_Periodo1[[#This Row],[Filtro]])</f>
        <v>Fora do DRE</v>
      </c>
      <c r="W1897" s="3" t="str">
        <f>LEFT(Base_Periodo1[[#This Row],[CLASS]],3)</f>
        <v>1.1</v>
      </c>
    </row>
    <row r="1898" spans="1:23" hidden="1">
      <c r="A1898" s="3" t="str">
        <f t="shared" si="29"/>
        <v>Período 1</v>
      </c>
      <c r="B1898">
        <v>31310</v>
      </c>
      <c r="C1898" t="s">
        <v>1504</v>
      </c>
      <c r="D1898" t="s">
        <v>1245</v>
      </c>
      <c r="E1898" s="3" t="str">
        <f>IF(LEN(Base_Periodo1[[#This Row],[CLASS]])&gt;=7,LEFT(Base_Periodo1[[#This Row],[CLASS]],7),"")</f>
        <v>1.1.3.1</v>
      </c>
      <c r="F1898" s="3" t="str">
        <f>VLOOKUP(Base_Periodo1[[#This Row],[Aux]],Base_Contas_Balanco[#All],2,FALSE)</f>
        <v>Estoques Proprios</v>
      </c>
      <c r="G1898" s="1"/>
      <c r="H1898" s="225">
        <v>21598.510000010945</v>
      </c>
      <c r="I1898" s="225">
        <v>0</v>
      </c>
      <c r="J1898" s="225">
        <v>21598.51</v>
      </c>
      <c r="K1898" s="225">
        <v>1.0946678230538964E-8</v>
      </c>
      <c r="L18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898" s="225">
        <f>ROUND(IF(AND(Base_Periodo1[[#This Row],[Tipo_Linha]]="-",Base_Periodo1[[#This Row],[TIPOSALDO]]="D"),Base_Periodo1[[#This Row],[SALDO_ATUAL]]*-1,Base_Periodo1[[#This Row],[SALDO_ATUAL]]),4)</f>
        <v>0</v>
      </c>
      <c r="N1898" t="s">
        <v>396</v>
      </c>
      <c r="O1898" t="s">
        <v>397</v>
      </c>
      <c r="P1898" t="s">
        <v>436</v>
      </c>
      <c r="Q1898">
        <v>7</v>
      </c>
      <c r="R1898" s="225">
        <f>Base_Periodo1[[#This Row],[CREDITOS]]-Base_Periodo1[[#This Row],[DEBITOS]]</f>
        <v>21598.51</v>
      </c>
      <c r="S1898" s="3" t="str">
        <f>IF(ISERROR(VLOOKUP(Base_Periodo1[[#This Row],[CONTA]],BaseContasDRE[#All],4,FALSE)),"Fora do DRE",VLOOKUP(Base_Periodo1[[#This Row],[CONTA]],BaseContasDRE[#All],4,FALSE))</f>
        <v>Fora do DRE</v>
      </c>
      <c r="T1898" s="3" t="str">
        <f>IF(ISERROR(VLOOKUP(Base_Periodo1[[#This Row],[CONTA]],BaseContasDRE[#All],5,FALSE)),"Fora do DRE",VLOOKUP(Base_Periodo1[[#This Row],[CONTA]],BaseContasDRE[#All],6,FALSE))</f>
        <v>Fora do DRE</v>
      </c>
      <c r="U1898" s="3" t="str">
        <f>IF(ISERROR(VLOOKUP(Base_Periodo1[[#This Row],[CONTA]],BaseContasDRE[#All],7,FALSE)),"Fora do DRE",VLOOKUP(Base_Periodo1[[#This Row],[CONTA]],BaseContasDRE[#All],7,FALSE))</f>
        <v>Fora do DRE</v>
      </c>
      <c r="V1898" s="3" t="str">
        <f>IF(Base_Periodo1[[#This Row],[Tipo_Linha]]="Fora do DRE","Fora do DRE","( "&amp;Base_Periodo1[[#This Row],[Tipo_Linha]]&amp;" ) "&amp;Base_Periodo1[[#This Row],[Filtro]])</f>
        <v>Fora do DRE</v>
      </c>
      <c r="W1898" s="3" t="str">
        <f>LEFT(Base_Periodo1[[#This Row],[CLASS]],3)</f>
        <v>1.1</v>
      </c>
    </row>
    <row r="1899" spans="1:23" hidden="1">
      <c r="A1899" s="3" t="str">
        <f t="shared" si="29"/>
        <v>Período 1</v>
      </c>
      <c r="B1899">
        <v>31311</v>
      </c>
      <c r="C1899" t="s">
        <v>1505</v>
      </c>
      <c r="D1899" t="s">
        <v>1054</v>
      </c>
      <c r="E1899" s="3" t="str">
        <f>IF(LEN(Base_Periodo1[[#This Row],[CLASS]])&gt;=7,LEFT(Base_Periodo1[[#This Row],[CLASS]],7),"")</f>
        <v>1.1.3.1</v>
      </c>
      <c r="F1899" s="3" t="str">
        <f>VLOOKUP(Base_Periodo1[[#This Row],[Aux]],Base_Contas_Balanco[#All],2,FALSE)</f>
        <v>Estoques Proprios</v>
      </c>
      <c r="G1899" s="1"/>
      <c r="H1899" s="225">
        <v>93266.670000005513</v>
      </c>
      <c r="I1899" s="225">
        <v>0</v>
      </c>
      <c r="J1899" s="225">
        <v>0</v>
      </c>
      <c r="K1899" s="225">
        <v>93266.670000005513</v>
      </c>
      <c r="L18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93266.67</v>
      </c>
      <c r="M1899" s="225">
        <f>ROUND(IF(AND(Base_Periodo1[[#This Row],[Tipo_Linha]]="-",Base_Periodo1[[#This Row],[TIPOSALDO]]="D"),Base_Periodo1[[#This Row],[SALDO_ATUAL]]*-1,Base_Periodo1[[#This Row],[SALDO_ATUAL]]),4)</f>
        <v>93266.67</v>
      </c>
      <c r="N1899" t="s">
        <v>396</v>
      </c>
      <c r="O1899" t="s">
        <v>397</v>
      </c>
      <c r="P1899" t="s">
        <v>397</v>
      </c>
      <c r="Q1899">
        <v>8</v>
      </c>
      <c r="R1899" s="225">
        <f>Base_Periodo1[[#This Row],[CREDITOS]]-Base_Periodo1[[#This Row],[DEBITOS]]</f>
        <v>0</v>
      </c>
      <c r="S1899" s="3" t="str">
        <f>IF(ISERROR(VLOOKUP(Base_Periodo1[[#This Row],[CONTA]],BaseContasDRE[#All],4,FALSE)),"Fora do DRE",VLOOKUP(Base_Periodo1[[#This Row],[CONTA]],BaseContasDRE[#All],4,FALSE))</f>
        <v>Fora do DRE</v>
      </c>
      <c r="T1899" s="3" t="str">
        <f>IF(ISERROR(VLOOKUP(Base_Periodo1[[#This Row],[CONTA]],BaseContasDRE[#All],5,FALSE)),"Fora do DRE",VLOOKUP(Base_Periodo1[[#This Row],[CONTA]],BaseContasDRE[#All],6,FALSE))</f>
        <v>Fora do DRE</v>
      </c>
      <c r="U1899" s="3" t="str">
        <f>IF(ISERROR(VLOOKUP(Base_Periodo1[[#This Row],[CONTA]],BaseContasDRE[#All],7,FALSE)),"Fora do DRE",VLOOKUP(Base_Periodo1[[#This Row],[CONTA]],BaseContasDRE[#All],7,FALSE))</f>
        <v>Fora do DRE</v>
      </c>
      <c r="V1899" s="3" t="str">
        <f>IF(Base_Periodo1[[#This Row],[Tipo_Linha]]="Fora do DRE","Fora do DRE","( "&amp;Base_Periodo1[[#This Row],[Tipo_Linha]]&amp;" ) "&amp;Base_Periodo1[[#This Row],[Filtro]])</f>
        <v>Fora do DRE</v>
      </c>
      <c r="W1899" s="3" t="str">
        <f>LEFT(Base_Periodo1[[#This Row],[CLASS]],3)</f>
        <v>1.1</v>
      </c>
    </row>
    <row r="1900" spans="1:23" hidden="1">
      <c r="A1900" s="3" t="str">
        <f t="shared" si="29"/>
        <v>Período 1</v>
      </c>
      <c r="B1900">
        <v>31312</v>
      </c>
      <c r="C1900" t="s">
        <v>1506</v>
      </c>
      <c r="D1900" t="s">
        <v>1054</v>
      </c>
      <c r="E1900" s="3" t="str">
        <f>IF(LEN(Base_Periodo1[[#This Row],[CLASS]])&gt;=7,LEFT(Base_Periodo1[[#This Row],[CLASS]],7),"")</f>
        <v>1.1.3.1</v>
      </c>
      <c r="F1900" s="3" t="str">
        <f>VLOOKUP(Base_Periodo1[[#This Row],[Aux]],Base_Contas_Balanco[#All],2,FALSE)</f>
        <v>Estoques Proprios</v>
      </c>
      <c r="G1900" s="1">
        <v>42735</v>
      </c>
      <c r="H1900" s="225">
        <v>93266.670000005513</v>
      </c>
      <c r="I1900" s="225">
        <v>0</v>
      </c>
      <c r="J1900" s="225">
        <v>0</v>
      </c>
      <c r="K1900" s="225">
        <v>93266.670000005513</v>
      </c>
      <c r="L19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93266.67</v>
      </c>
      <c r="M1900" s="225">
        <f>ROUND(IF(AND(Base_Periodo1[[#This Row],[Tipo_Linha]]="-",Base_Periodo1[[#This Row],[TIPOSALDO]]="D"),Base_Periodo1[[#This Row],[SALDO_ATUAL]]*-1,Base_Periodo1[[#This Row],[SALDO_ATUAL]]),4)</f>
        <v>93266.67</v>
      </c>
      <c r="N1900" t="s">
        <v>116</v>
      </c>
      <c r="O1900" t="s">
        <v>397</v>
      </c>
      <c r="P1900" t="s">
        <v>397</v>
      </c>
      <c r="Q1900">
        <v>9</v>
      </c>
      <c r="R1900" s="225">
        <f>Base_Periodo1[[#This Row],[CREDITOS]]-Base_Periodo1[[#This Row],[DEBITOS]]</f>
        <v>0</v>
      </c>
      <c r="S1900" s="3" t="str">
        <f>IF(ISERROR(VLOOKUP(Base_Periodo1[[#This Row],[CONTA]],BaseContasDRE[#All],4,FALSE)),"Fora do DRE",VLOOKUP(Base_Periodo1[[#This Row],[CONTA]],BaseContasDRE[#All],4,FALSE))</f>
        <v>Fora do DRE</v>
      </c>
      <c r="T1900" s="3" t="str">
        <f>IF(ISERROR(VLOOKUP(Base_Periodo1[[#This Row],[CONTA]],BaseContasDRE[#All],5,FALSE)),"Fora do DRE",VLOOKUP(Base_Periodo1[[#This Row],[CONTA]],BaseContasDRE[#All],6,FALSE))</f>
        <v>Fora do DRE</v>
      </c>
      <c r="U1900" s="3" t="str">
        <f>IF(ISERROR(VLOOKUP(Base_Periodo1[[#This Row],[CONTA]],BaseContasDRE[#All],7,FALSE)),"Fora do DRE",VLOOKUP(Base_Periodo1[[#This Row],[CONTA]],BaseContasDRE[#All],7,FALSE))</f>
        <v>Fora do DRE</v>
      </c>
      <c r="V1900" s="3" t="str">
        <f>IF(Base_Periodo1[[#This Row],[Tipo_Linha]]="Fora do DRE","Fora do DRE","( "&amp;Base_Periodo1[[#This Row],[Tipo_Linha]]&amp;" ) "&amp;Base_Periodo1[[#This Row],[Filtro]])</f>
        <v>Fora do DRE</v>
      </c>
      <c r="W1900" s="3" t="str">
        <f>LEFT(Base_Periodo1[[#This Row],[CLASS]],3)</f>
        <v>1.1</v>
      </c>
    </row>
    <row r="1901" spans="1:23" hidden="1">
      <c r="A1901" s="3" t="str">
        <f t="shared" si="29"/>
        <v>Período 1</v>
      </c>
      <c r="B1901">
        <v>31313</v>
      </c>
      <c r="C1901" t="s">
        <v>1507</v>
      </c>
      <c r="D1901" t="s">
        <v>1063</v>
      </c>
      <c r="E1901" s="3" t="str">
        <f>IF(LEN(Base_Periodo1[[#This Row],[CLASS]])&gt;=7,LEFT(Base_Periodo1[[#This Row],[CLASS]],7),"")</f>
        <v>1.1.3.1</v>
      </c>
      <c r="F1901" s="3" t="str">
        <f>VLOOKUP(Base_Periodo1[[#This Row],[Aux]],Base_Contas_Balanco[#All],2,FALSE)</f>
        <v>Estoques Proprios</v>
      </c>
      <c r="G1901" s="1"/>
      <c r="H1901" s="225">
        <v>42753.80000000447</v>
      </c>
      <c r="I1901" s="225">
        <v>0</v>
      </c>
      <c r="J1901" s="225">
        <v>0</v>
      </c>
      <c r="K1901" s="225">
        <v>42753.80000000447</v>
      </c>
      <c r="L19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42753.8</v>
      </c>
      <c r="M1901" s="225">
        <f>ROUND(IF(AND(Base_Periodo1[[#This Row],[Tipo_Linha]]="-",Base_Periodo1[[#This Row],[TIPOSALDO]]="D"),Base_Periodo1[[#This Row],[SALDO_ATUAL]]*-1,Base_Periodo1[[#This Row],[SALDO_ATUAL]]),4)</f>
        <v>42753.8</v>
      </c>
      <c r="N1901" t="s">
        <v>396</v>
      </c>
      <c r="O1901" t="s">
        <v>397</v>
      </c>
      <c r="P1901" t="s">
        <v>397</v>
      </c>
      <c r="Q1901">
        <v>8</v>
      </c>
      <c r="R1901" s="225">
        <f>Base_Periodo1[[#This Row],[CREDITOS]]-Base_Periodo1[[#This Row],[DEBITOS]]</f>
        <v>0</v>
      </c>
      <c r="S1901" s="3" t="str">
        <f>IF(ISERROR(VLOOKUP(Base_Periodo1[[#This Row],[CONTA]],BaseContasDRE[#All],4,FALSE)),"Fora do DRE",VLOOKUP(Base_Periodo1[[#This Row],[CONTA]],BaseContasDRE[#All],4,FALSE))</f>
        <v>Fora do DRE</v>
      </c>
      <c r="T1901" s="3" t="str">
        <f>IF(ISERROR(VLOOKUP(Base_Periodo1[[#This Row],[CONTA]],BaseContasDRE[#All],5,FALSE)),"Fora do DRE",VLOOKUP(Base_Periodo1[[#This Row],[CONTA]],BaseContasDRE[#All],6,FALSE))</f>
        <v>Fora do DRE</v>
      </c>
      <c r="U1901" s="3" t="str">
        <f>IF(ISERROR(VLOOKUP(Base_Periodo1[[#This Row],[CONTA]],BaseContasDRE[#All],7,FALSE)),"Fora do DRE",VLOOKUP(Base_Periodo1[[#This Row],[CONTA]],BaseContasDRE[#All],7,FALSE))</f>
        <v>Fora do DRE</v>
      </c>
      <c r="V1901" s="3" t="str">
        <f>IF(Base_Periodo1[[#This Row],[Tipo_Linha]]="Fora do DRE","Fora do DRE","( "&amp;Base_Periodo1[[#This Row],[Tipo_Linha]]&amp;" ) "&amp;Base_Periodo1[[#This Row],[Filtro]])</f>
        <v>Fora do DRE</v>
      </c>
      <c r="W1901" s="3" t="str">
        <f>LEFT(Base_Periodo1[[#This Row],[CLASS]],3)</f>
        <v>1.1</v>
      </c>
    </row>
    <row r="1902" spans="1:23" hidden="1">
      <c r="A1902" s="3" t="str">
        <f t="shared" si="29"/>
        <v>Período 1</v>
      </c>
      <c r="B1902">
        <v>31314</v>
      </c>
      <c r="C1902" t="s">
        <v>1508</v>
      </c>
      <c r="D1902" t="s">
        <v>1452</v>
      </c>
      <c r="E1902" s="3" t="str">
        <f>IF(LEN(Base_Periodo1[[#This Row],[CLASS]])&gt;=7,LEFT(Base_Periodo1[[#This Row],[CLASS]],7),"")</f>
        <v>1.1.3.1</v>
      </c>
      <c r="F1902" s="3" t="str">
        <f>VLOOKUP(Base_Periodo1[[#This Row],[Aux]],Base_Contas_Balanco[#All],2,FALSE)</f>
        <v>Estoques Proprios</v>
      </c>
      <c r="G1902" s="1">
        <v>42843</v>
      </c>
      <c r="H1902" s="225">
        <v>42753.80000000447</v>
      </c>
      <c r="I1902" s="225">
        <v>0</v>
      </c>
      <c r="J1902" s="225">
        <v>0</v>
      </c>
      <c r="K1902" s="225">
        <v>42753.80000000447</v>
      </c>
      <c r="L19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42753.8</v>
      </c>
      <c r="M1902" s="225">
        <f>ROUND(IF(AND(Base_Periodo1[[#This Row],[Tipo_Linha]]="-",Base_Periodo1[[#This Row],[TIPOSALDO]]="D"),Base_Periodo1[[#This Row],[SALDO_ATUAL]]*-1,Base_Periodo1[[#This Row],[SALDO_ATUAL]]),4)</f>
        <v>42753.8</v>
      </c>
      <c r="N1902" t="s">
        <v>116</v>
      </c>
      <c r="O1902" t="s">
        <v>397</v>
      </c>
      <c r="P1902" t="s">
        <v>397</v>
      </c>
      <c r="Q1902">
        <v>9</v>
      </c>
      <c r="R1902" s="225">
        <f>Base_Periodo1[[#This Row],[CREDITOS]]-Base_Periodo1[[#This Row],[DEBITOS]]</f>
        <v>0</v>
      </c>
      <c r="S1902" s="3" t="str">
        <f>IF(ISERROR(VLOOKUP(Base_Periodo1[[#This Row],[CONTA]],BaseContasDRE[#All],4,FALSE)),"Fora do DRE",VLOOKUP(Base_Periodo1[[#This Row],[CONTA]],BaseContasDRE[#All],4,FALSE))</f>
        <v>Fora do DRE</v>
      </c>
      <c r="T1902" s="3" t="str">
        <f>IF(ISERROR(VLOOKUP(Base_Periodo1[[#This Row],[CONTA]],BaseContasDRE[#All],5,FALSE)),"Fora do DRE",VLOOKUP(Base_Periodo1[[#This Row],[CONTA]],BaseContasDRE[#All],6,FALSE))</f>
        <v>Fora do DRE</v>
      </c>
      <c r="U1902" s="3" t="str">
        <f>IF(ISERROR(VLOOKUP(Base_Periodo1[[#This Row],[CONTA]],BaseContasDRE[#All],7,FALSE)),"Fora do DRE",VLOOKUP(Base_Periodo1[[#This Row],[CONTA]],BaseContasDRE[#All],7,FALSE))</f>
        <v>Fora do DRE</v>
      </c>
      <c r="V1902" s="3" t="str">
        <f>IF(Base_Periodo1[[#This Row],[Tipo_Linha]]="Fora do DRE","Fora do DRE","( "&amp;Base_Periodo1[[#This Row],[Tipo_Linha]]&amp;" ) "&amp;Base_Periodo1[[#This Row],[Filtro]])</f>
        <v>Fora do DRE</v>
      </c>
      <c r="W1902" s="3" t="str">
        <f>LEFT(Base_Periodo1[[#This Row],[CLASS]],3)</f>
        <v>1.1</v>
      </c>
    </row>
    <row r="1903" spans="1:23" hidden="1">
      <c r="A1903" s="3" t="str">
        <f t="shared" si="29"/>
        <v>Período 1</v>
      </c>
      <c r="B1903">
        <v>31315</v>
      </c>
      <c r="C1903" t="s">
        <v>1509</v>
      </c>
      <c r="D1903" t="s">
        <v>1486</v>
      </c>
      <c r="E1903" s="3" t="str">
        <f>IF(LEN(Base_Periodo1[[#This Row],[CLASS]])&gt;=7,LEFT(Base_Periodo1[[#This Row],[CLASS]],7),"")</f>
        <v>1.1.3.1</v>
      </c>
      <c r="F1903" s="3" t="str">
        <f>VLOOKUP(Base_Periodo1[[#This Row],[Aux]],Base_Contas_Balanco[#All],2,FALSE)</f>
        <v>Estoques Proprios</v>
      </c>
      <c r="G1903" s="1"/>
      <c r="H1903" s="225">
        <v>71668.160000000149</v>
      </c>
      <c r="I1903" s="225">
        <v>0</v>
      </c>
      <c r="J1903" s="225">
        <v>21598.51</v>
      </c>
      <c r="K1903" s="225">
        <v>93266.670000000144</v>
      </c>
      <c r="L19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-93266.67</v>
      </c>
      <c r="M1903" s="225">
        <f>ROUND(IF(AND(Base_Periodo1[[#This Row],[Tipo_Linha]]="-",Base_Periodo1[[#This Row],[TIPOSALDO]]="D"),Base_Periodo1[[#This Row],[SALDO_ATUAL]]*-1,Base_Periodo1[[#This Row],[SALDO_ATUAL]]),4)</f>
        <v>93266.67</v>
      </c>
      <c r="N1903" t="s">
        <v>396</v>
      </c>
      <c r="O1903" t="s">
        <v>459</v>
      </c>
      <c r="P1903" t="s">
        <v>459</v>
      </c>
      <c r="Q1903">
        <v>8</v>
      </c>
      <c r="R1903" s="225">
        <f>Base_Periodo1[[#This Row],[CREDITOS]]-Base_Periodo1[[#This Row],[DEBITOS]]</f>
        <v>21598.51</v>
      </c>
      <c r="S1903" s="3" t="str">
        <f>IF(ISERROR(VLOOKUP(Base_Periodo1[[#This Row],[CONTA]],BaseContasDRE[#All],4,FALSE)),"Fora do DRE",VLOOKUP(Base_Periodo1[[#This Row],[CONTA]],BaseContasDRE[#All],4,FALSE))</f>
        <v>Fora do DRE</v>
      </c>
      <c r="T1903" s="3" t="str">
        <f>IF(ISERROR(VLOOKUP(Base_Periodo1[[#This Row],[CONTA]],BaseContasDRE[#All],5,FALSE)),"Fora do DRE",VLOOKUP(Base_Periodo1[[#This Row],[CONTA]],BaseContasDRE[#All],6,FALSE))</f>
        <v>Fora do DRE</v>
      </c>
      <c r="U1903" s="3" t="str">
        <f>IF(ISERROR(VLOOKUP(Base_Periodo1[[#This Row],[CONTA]],BaseContasDRE[#All],7,FALSE)),"Fora do DRE",VLOOKUP(Base_Periodo1[[#This Row],[CONTA]],BaseContasDRE[#All],7,FALSE))</f>
        <v>Fora do DRE</v>
      </c>
      <c r="V1903" s="3" t="str">
        <f>IF(Base_Periodo1[[#This Row],[Tipo_Linha]]="Fora do DRE","Fora do DRE","( "&amp;Base_Periodo1[[#This Row],[Tipo_Linha]]&amp;" ) "&amp;Base_Periodo1[[#This Row],[Filtro]])</f>
        <v>Fora do DRE</v>
      </c>
      <c r="W1903" s="3" t="str">
        <f>LEFT(Base_Periodo1[[#This Row],[CLASS]],3)</f>
        <v>1.1</v>
      </c>
    </row>
    <row r="1904" spans="1:23" hidden="1">
      <c r="A1904" s="3" t="str">
        <f t="shared" si="29"/>
        <v>Período 1</v>
      </c>
      <c r="B1904">
        <v>31316</v>
      </c>
      <c r="C1904" t="s">
        <v>1510</v>
      </c>
      <c r="D1904" t="s">
        <v>1488</v>
      </c>
      <c r="E1904" s="3" t="str">
        <f>IF(LEN(Base_Periodo1[[#This Row],[CLASS]])&gt;=7,LEFT(Base_Periodo1[[#This Row],[CLASS]],7),"")</f>
        <v>1.1.3.1</v>
      </c>
      <c r="F1904" s="3" t="str">
        <f>VLOOKUP(Base_Periodo1[[#This Row],[Aux]],Base_Contas_Balanco[#All],2,FALSE)</f>
        <v>Estoques Proprios</v>
      </c>
      <c r="G1904" s="1">
        <v>42886</v>
      </c>
      <c r="H1904" s="225">
        <v>71668.160000000149</v>
      </c>
      <c r="I1904" s="225">
        <v>0</v>
      </c>
      <c r="J1904" s="225">
        <v>21598.51</v>
      </c>
      <c r="K1904" s="225">
        <v>93266.670000000144</v>
      </c>
      <c r="L19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-93266.67</v>
      </c>
      <c r="M1904" s="225">
        <f>ROUND(IF(AND(Base_Periodo1[[#This Row],[Tipo_Linha]]="-",Base_Periodo1[[#This Row],[TIPOSALDO]]="D"),Base_Periodo1[[#This Row],[SALDO_ATUAL]]*-1,Base_Periodo1[[#This Row],[SALDO_ATUAL]]),4)</f>
        <v>93266.67</v>
      </c>
      <c r="N1904" t="s">
        <v>116</v>
      </c>
      <c r="O1904" t="s">
        <v>459</v>
      </c>
      <c r="P1904" t="s">
        <v>459</v>
      </c>
      <c r="Q1904">
        <v>9</v>
      </c>
      <c r="R1904" s="225">
        <f>Base_Periodo1[[#This Row],[CREDITOS]]-Base_Periodo1[[#This Row],[DEBITOS]]</f>
        <v>21598.51</v>
      </c>
      <c r="S1904" s="3" t="str">
        <f>IF(ISERROR(VLOOKUP(Base_Periodo1[[#This Row],[CONTA]],BaseContasDRE[#All],4,FALSE)),"Fora do DRE",VLOOKUP(Base_Periodo1[[#This Row],[CONTA]],BaseContasDRE[#All],4,FALSE))</f>
        <v>Fora do DRE</v>
      </c>
      <c r="T1904" s="3" t="str">
        <f>IF(ISERROR(VLOOKUP(Base_Periodo1[[#This Row],[CONTA]],BaseContasDRE[#All],5,FALSE)),"Fora do DRE",VLOOKUP(Base_Periodo1[[#This Row],[CONTA]],BaseContasDRE[#All],6,FALSE))</f>
        <v>Fora do DRE</v>
      </c>
      <c r="U1904" s="3" t="str">
        <f>IF(ISERROR(VLOOKUP(Base_Periodo1[[#This Row],[CONTA]],BaseContasDRE[#All],7,FALSE)),"Fora do DRE",VLOOKUP(Base_Periodo1[[#This Row],[CONTA]],BaseContasDRE[#All],7,FALSE))</f>
        <v>Fora do DRE</v>
      </c>
      <c r="V1904" s="3" t="str">
        <f>IF(Base_Periodo1[[#This Row],[Tipo_Linha]]="Fora do DRE","Fora do DRE","( "&amp;Base_Periodo1[[#This Row],[Tipo_Linha]]&amp;" ) "&amp;Base_Periodo1[[#This Row],[Filtro]])</f>
        <v>Fora do DRE</v>
      </c>
      <c r="W1904" s="3" t="str">
        <f>LEFT(Base_Periodo1[[#This Row],[CLASS]],3)</f>
        <v>1.1</v>
      </c>
    </row>
    <row r="1905" spans="1:23" hidden="1">
      <c r="A1905" s="3" t="str">
        <f t="shared" si="29"/>
        <v>Período 1</v>
      </c>
      <c r="B1905">
        <v>31317</v>
      </c>
      <c r="C1905" t="s">
        <v>1511</v>
      </c>
      <c r="D1905" t="s">
        <v>1072</v>
      </c>
      <c r="E1905" s="3" t="str">
        <f>IF(LEN(Base_Periodo1[[#This Row],[CLASS]])&gt;=7,LEFT(Base_Periodo1[[#This Row],[CLASS]],7),"")</f>
        <v>1.1.3.1</v>
      </c>
      <c r="F1905" s="3" t="str">
        <f>VLOOKUP(Base_Periodo1[[#This Row],[Aux]],Base_Contas_Balanco[#All],2,FALSE)</f>
        <v>Estoques Proprios</v>
      </c>
      <c r="G1905" s="1"/>
      <c r="H1905" s="225">
        <v>42753.799999998882</v>
      </c>
      <c r="I1905" s="225">
        <v>0</v>
      </c>
      <c r="J1905" s="225">
        <v>0</v>
      </c>
      <c r="K1905" s="225">
        <v>42753.799999998882</v>
      </c>
      <c r="L19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-42753.8</v>
      </c>
      <c r="M1905" s="225">
        <f>ROUND(IF(AND(Base_Periodo1[[#This Row],[Tipo_Linha]]="-",Base_Periodo1[[#This Row],[TIPOSALDO]]="D"),Base_Periodo1[[#This Row],[SALDO_ATUAL]]*-1,Base_Periodo1[[#This Row],[SALDO_ATUAL]]),4)</f>
        <v>42753.8</v>
      </c>
      <c r="N1905" t="s">
        <v>396</v>
      </c>
      <c r="O1905" t="s">
        <v>459</v>
      </c>
      <c r="P1905" t="s">
        <v>459</v>
      </c>
      <c r="Q1905">
        <v>8</v>
      </c>
      <c r="R1905" s="225">
        <f>Base_Periodo1[[#This Row],[CREDITOS]]-Base_Periodo1[[#This Row],[DEBITOS]]</f>
        <v>0</v>
      </c>
      <c r="S1905" s="3" t="str">
        <f>IF(ISERROR(VLOOKUP(Base_Periodo1[[#This Row],[CONTA]],BaseContasDRE[#All],4,FALSE)),"Fora do DRE",VLOOKUP(Base_Periodo1[[#This Row],[CONTA]],BaseContasDRE[#All],4,FALSE))</f>
        <v>Fora do DRE</v>
      </c>
      <c r="T1905" s="3" t="str">
        <f>IF(ISERROR(VLOOKUP(Base_Periodo1[[#This Row],[CONTA]],BaseContasDRE[#All],5,FALSE)),"Fora do DRE",VLOOKUP(Base_Periodo1[[#This Row],[CONTA]],BaseContasDRE[#All],6,FALSE))</f>
        <v>Fora do DRE</v>
      </c>
      <c r="U1905" s="3" t="str">
        <f>IF(ISERROR(VLOOKUP(Base_Periodo1[[#This Row],[CONTA]],BaseContasDRE[#All],7,FALSE)),"Fora do DRE",VLOOKUP(Base_Periodo1[[#This Row],[CONTA]],BaseContasDRE[#All],7,FALSE))</f>
        <v>Fora do DRE</v>
      </c>
      <c r="V1905" s="3" t="str">
        <f>IF(Base_Periodo1[[#This Row],[Tipo_Linha]]="Fora do DRE","Fora do DRE","( "&amp;Base_Periodo1[[#This Row],[Tipo_Linha]]&amp;" ) "&amp;Base_Periodo1[[#This Row],[Filtro]])</f>
        <v>Fora do DRE</v>
      </c>
      <c r="W1905" s="3" t="str">
        <f>LEFT(Base_Periodo1[[#This Row],[CLASS]],3)</f>
        <v>1.1</v>
      </c>
    </row>
    <row r="1906" spans="1:23" hidden="1">
      <c r="A1906" s="3" t="str">
        <f t="shared" si="29"/>
        <v>Período 1</v>
      </c>
      <c r="B1906">
        <v>31318</v>
      </c>
      <c r="C1906" t="s">
        <v>1512</v>
      </c>
      <c r="D1906" t="s">
        <v>1491</v>
      </c>
      <c r="E1906" s="3" t="str">
        <f>IF(LEN(Base_Periodo1[[#This Row],[CLASS]])&gt;=7,LEFT(Base_Periodo1[[#This Row],[CLASS]],7),"")</f>
        <v>1.1.3.1</v>
      </c>
      <c r="F1906" s="3" t="str">
        <f>VLOOKUP(Base_Periodo1[[#This Row],[Aux]],Base_Contas_Balanco[#All],2,FALSE)</f>
        <v>Estoques Proprios</v>
      </c>
      <c r="G1906" s="1">
        <v>42842</v>
      </c>
      <c r="H1906" s="225">
        <v>42753.799999998882</v>
      </c>
      <c r="I1906" s="225">
        <v>0</v>
      </c>
      <c r="J1906" s="225">
        <v>0</v>
      </c>
      <c r="K1906" s="225">
        <v>42753.799999998882</v>
      </c>
      <c r="L19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-42753.8</v>
      </c>
      <c r="M1906" s="225">
        <f>ROUND(IF(AND(Base_Periodo1[[#This Row],[Tipo_Linha]]="-",Base_Periodo1[[#This Row],[TIPOSALDO]]="D"),Base_Periodo1[[#This Row],[SALDO_ATUAL]]*-1,Base_Periodo1[[#This Row],[SALDO_ATUAL]]),4)</f>
        <v>42753.8</v>
      </c>
      <c r="N1906" t="s">
        <v>116</v>
      </c>
      <c r="O1906" t="s">
        <v>459</v>
      </c>
      <c r="P1906" t="s">
        <v>459</v>
      </c>
      <c r="Q1906">
        <v>9</v>
      </c>
      <c r="R1906" s="225">
        <f>Base_Periodo1[[#This Row],[CREDITOS]]-Base_Periodo1[[#This Row],[DEBITOS]]</f>
        <v>0</v>
      </c>
      <c r="S1906" s="3" t="str">
        <f>IF(ISERROR(VLOOKUP(Base_Periodo1[[#This Row],[CONTA]],BaseContasDRE[#All],4,FALSE)),"Fora do DRE",VLOOKUP(Base_Periodo1[[#This Row],[CONTA]],BaseContasDRE[#All],4,FALSE))</f>
        <v>Fora do DRE</v>
      </c>
      <c r="T1906" s="3" t="str">
        <f>IF(ISERROR(VLOOKUP(Base_Periodo1[[#This Row],[CONTA]],BaseContasDRE[#All],5,FALSE)),"Fora do DRE",VLOOKUP(Base_Periodo1[[#This Row],[CONTA]],BaseContasDRE[#All],6,FALSE))</f>
        <v>Fora do DRE</v>
      </c>
      <c r="U1906" s="3" t="str">
        <f>IF(ISERROR(VLOOKUP(Base_Periodo1[[#This Row],[CONTA]],BaseContasDRE[#All],7,FALSE)),"Fora do DRE",VLOOKUP(Base_Periodo1[[#This Row],[CONTA]],BaseContasDRE[#All],7,FALSE))</f>
        <v>Fora do DRE</v>
      </c>
      <c r="V1906" s="3" t="str">
        <f>IF(Base_Periodo1[[#This Row],[Tipo_Linha]]="Fora do DRE","Fora do DRE","( "&amp;Base_Periodo1[[#This Row],[Tipo_Linha]]&amp;" ) "&amp;Base_Periodo1[[#This Row],[Filtro]])</f>
        <v>Fora do DRE</v>
      </c>
      <c r="W1906" s="3" t="str">
        <f>LEFT(Base_Periodo1[[#This Row],[CLASS]],3)</f>
        <v>1.1</v>
      </c>
    </row>
    <row r="1907" spans="1:23" hidden="1">
      <c r="A1907" s="3" t="str">
        <f t="shared" si="29"/>
        <v>Período 1</v>
      </c>
      <c r="B1907">
        <v>31332</v>
      </c>
      <c r="C1907" t="s">
        <v>6303</v>
      </c>
      <c r="D1907" t="s">
        <v>1272</v>
      </c>
      <c r="E1907" s="3" t="str">
        <f>IF(LEN(Base_Periodo1[[#This Row],[CLASS]])&gt;=7,LEFT(Base_Periodo1[[#This Row],[CLASS]],7),"")</f>
        <v>1.1.3.1</v>
      </c>
      <c r="F1907" s="3" t="str">
        <f>VLOOKUP(Base_Periodo1[[#This Row],[Aux]],Base_Contas_Balanco[#All],2,FALSE)</f>
        <v>Estoques Proprios</v>
      </c>
      <c r="G1907" s="1"/>
      <c r="H1907" s="225">
        <v>285997.16000000061</v>
      </c>
      <c r="I1907" s="225">
        <v>1966214.6800000002</v>
      </c>
      <c r="J1907" s="225">
        <v>1471735.52</v>
      </c>
      <c r="K1907" s="225">
        <v>780476.32000000076</v>
      </c>
      <c r="L19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780476.32</v>
      </c>
      <c r="M1907" s="225">
        <f>ROUND(IF(AND(Base_Periodo1[[#This Row],[Tipo_Linha]]="-",Base_Periodo1[[#This Row],[TIPOSALDO]]="D"),Base_Periodo1[[#This Row],[SALDO_ATUAL]]*-1,Base_Periodo1[[#This Row],[SALDO_ATUAL]]),4)</f>
        <v>780476.32</v>
      </c>
      <c r="N1907" t="s">
        <v>396</v>
      </c>
      <c r="O1907" t="s">
        <v>397</v>
      </c>
      <c r="P1907" t="s">
        <v>397</v>
      </c>
      <c r="Q1907">
        <v>7</v>
      </c>
      <c r="R1907" s="225">
        <f>Base_Periodo1[[#This Row],[CREDITOS]]-Base_Periodo1[[#This Row],[DEBITOS]]</f>
        <v>-494479.16000000015</v>
      </c>
      <c r="S1907" s="3" t="str">
        <f>IF(ISERROR(VLOOKUP(Base_Periodo1[[#This Row],[CONTA]],BaseContasDRE[#All],4,FALSE)),"Fora do DRE",VLOOKUP(Base_Periodo1[[#This Row],[CONTA]],BaseContasDRE[#All],4,FALSE))</f>
        <v>Fora do DRE</v>
      </c>
      <c r="T1907" s="3" t="str">
        <f>IF(ISERROR(VLOOKUP(Base_Periodo1[[#This Row],[CONTA]],BaseContasDRE[#All],5,FALSE)),"Fora do DRE",VLOOKUP(Base_Periodo1[[#This Row],[CONTA]],BaseContasDRE[#All],6,FALSE))</f>
        <v>Fora do DRE</v>
      </c>
      <c r="U1907" s="3" t="str">
        <f>IF(ISERROR(VLOOKUP(Base_Periodo1[[#This Row],[CONTA]],BaseContasDRE[#All],7,FALSE)),"Fora do DRE",VLOOKUP(Base_Periodo1[[#This Row],[CONTA]],BaseContasDRE[#All],7,FALSE))</f>
        <v>Fora do DRE</v>
      </c>
      <c r="V1907" s="3" t="str">
        <f>IF(Base_Periodo1[[#This Row],[Tipo_Linha]]="Fora do DRE","Fora do DRE","( "&amp;Base_Periodo1[[#This Row],[Tipo_Linha]]&amp;" ) "&amp;Base_Periodo1[[#This Row],[Filtro]])</f>
        <v>Fora do DRE</v>
      </c>
      <c r="W1907" s="3" t="str">
        <f>LEFT(Base_Periodo1[[#This Row],[CLASS]],3)</f>
        <v>1.1</v>
      </c>
    </row>
    <row r="1908" spans="1:23" hidden="1">
      <c r="A1908" s="3" t="str">
        <f t="shared" si="29"/>
        <v>Período 1</v>
      </c>
      <c r="B1908">
        <v>50837</v>
      </c>
      <c r="C1908" t="s">
        <v>6304</v>
      </c>
      <c r="D1908" t="s">
        <v>4405</v>
      </c>
      <c r="E1908" s="3" t="str">
        <f>IF(LEN(Base_Periodo1[[#This Row],[CLASS]])&gt;=7,LEFT(Base_Periodo1[[#This Row],[CLASS]],7),"")</f>
        <v>1.1.3.1</v>
      </c>
      <c r="F1908" s="3" t="str">
        <f>VLOOKUP(Base_Periodo1[[#This Row],[Aux]],Base_Contas_Balanco[#All],2,FALSE)</f>
        <v>Estoques Proprios</v>
      </c>
      <c r="G1908" s="1"/>
      <c r="H1908" s="225">
        <v>886574.83000000054</v>
      </c>
      <c r="I1908" s="225">
        <v>1243005.45</v>
      </c>
      <c r="J1908" s="225">
        <v>0</v>
      </c>
      <c r="K1908" s="225">
        <v>2129580.2800000003</v>
      </c>
      <c r="L19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2129580.2799999998</v>
      </c>
      <c r="M1908" s="225">
        <f>ROUND(IF(AND(Base_Periodo1[[#This Row],[Tipo_Linha]]="-",Base_Periodo1[[#This Row],[TIPOSALDO]]="D"),Base_Periodo1[[#This Row],[SALDO_ATUAL]]*-1,Base_Periodo1[[#This Row],[SALDO_ATUAL]]),4)</f>
        <v>2129580.2799999998</v>
      </c>
      <c r="N1908" t="s">
        <v>396</v>
      </c>
      <c r="O1908" t="s">
        <v>397</v>
      </c>
      <c r="P1908" t="s">
        <v>397</v>
      </c>
      <c r="Q1908">
        <v>8</v>
      </c>
      <c r="R1908" s="225">
        <f>Base_Periodo1[[#This Row],[CREDITOS]]-Base_Periodo1[[#This Row],[DEBITOS]]</f>
        <v>-1243005.45</v>
      </c>
      <c r="S1908" s="3" t="str">
        <f>IF(ISERROR(VLOOKUP(Base_Periodo1[[#This Row],[CONTA]],BaseContasDRE[#All],4,FALSE)),"Fora do DRE",VLOOKUP(Base_Periodo1[[#This Row],[CONTA]],BaseContasDRE[#All],4,FALSE))</f>
        <v>Fora do DRE</v>
      </c>
      <c r="T1908" s="3" t="str">
        <f>IF(ISERROR(VLOOKUP(Base_Periodo1[[#This Row],[CONTA]],BaseContasDRE[#All],5,FALSE)),"Fora do DRE",VLOOKUP(Base_Periodo1[[#This Row],[CONTA]],BaseContasDRE[#All],6,FALSE))</f>
        <v>Fora do DRE</v>
      </c>
      <c r="U1908" s="3" t="str">
        <f>IF(ISERROR(VLOOKUP(Base_Periodo1[[#This Row],[CONTA]],BaseContasDRE[#All],7,FALSE)),"Fora do DRE",VLOOKUP(Base_Periodo1[[#This Row],[CONTA]],BaseContasDRE[#All],7,FALSE))</f>
        <v>Fora do DRE</v>
      </c>
      <c r="V1908" s="3" t="str">
        <f>IF(Base_Periodo1[[#This Row],[Tipo_Linha]]="Fora do DRE","Fora do DRE","( "&amp;Base_Periodo1[[#This Row],[Tipo_Linha]]&amp;" ) "&amp;Base_Periodo1[[#This Row],[Filtro]])</f>
        <v>Fora do DRE</v>
      </c>
      <c r="W1908" s="3" t="str">
        <f>LEFT(Base_Periodo1[[#This Row],[CLASS]],3)</f>
        <v>1.1</v>
      </c>
    </row>
    <row r="1909" spans="1:23" hidden="1">
      <c r="A1909" s="3" t="str">
        <f t="shared" si="29"/>
        <v>Período 1</v>
      </c>
      <c r="B1909">
        <v>50838</v>
      </c>
      <c r="C1909" t="s">
        <v>6305</v>
      </c>
      <c r="D1909" t="s">
        <v>1592</v>
      </c>
      <c r="E1909" s="3" t="str">
        <f>IF(LEN(Base_Periodo1[[#This Row],[CLASS]])&gt;=7,LEFT(Base_Periodo1[[#This Row],[CLASS]],7),"")</f>
        <v>1.1.3.1</v>
      </c>
      <c r="F1909" s="3" t="str">
        <f>VLOOKUP(Base_Periodo1[[#This Row],[Aux]],Base_Contas_Balanco[#All],2,FALSE)</f>
        <v>Estoques Proprios</v>
      </c>
      <c r="G1909" s="1">
        <v>42886</v>
      </c>
      <c r="H1909" s="225">
        <v>886574.83000000054</v>
      </c>
      <c r="I1909" s="225">
        <v>1243005.45</v>
      </c>
      <c r="J1909" s="225">
        <v>0</v>
      </c>
      <c r="K1909" s="225">
        <v>2129580.2800000003</v>
      </c>
      <c r="L19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2129580.2799999998</v>
      </c>
      <c r="M1909" s="225">
        <f>ROUND(IF(AND(Base_Periodo1[[#This Row],[Tipo_Linha]]="-",Base_Periodo1[[#This Row],[TIPOSALDO]]="D"),Base_Periodo1[[#This Row],[SALDO_ATUAL]]*-1,Base_Periodo1[[#This Row],[SALDO_ATUAL]]),4)</f>
        <v>2129580.2799999998</v>
      </c>
      <c r="N1909" t="s">
        <v>116</v>
      </c>
      <c r="O1909" t="s">
        <v>397</v>
      </c>
      <c r="P1909" t="s">
        <v>397</v>
      </c>
      <c r="Q1909">
        <v>9</v>
      </c>
      <c r="R1909" s="225">
        <f>Base_Periodo1[[#This Row],[CREDITOS]]-Base_Periodo1[[#This Row],[DEBITOS]]</f>
        <v>-1243005.45</v>
      </c>
      <c r="S1909" s="3" t="str">
        <f>IF(ISERROR(VLOOKUP(Base_Periodo1[[#This Row],[CONTA]],BaseContasDRE[#All],4,FALSE)),"Fora do DRE",VLOOKUP(Base_Periodo1[[#This Row],[CONTA]],BaseContasDRE[#All],4,FALSE))</f>
        <v>Fora do DRE</v>
      </c>
      <c r="T1909" s="3" t="str">
        <f>IF(ISERROR(VLOOKUP(Base_Periodo1[[#This Row],[CONTA]],BaseContasDRE[#All],5,FALSE)),"Fora do DRE",VLOOKUP(Base_Periodo1[[#This Row],[CONTA]],BaseContasDRE[#All],6,FALSE))</f>
        <v>Fora do DRE</v>
      </c>
      <c r="U1909" s="3" t="str">
        <f>IF(ISERROR(VLOOKUP(Base_Periodo1[[#This Row],[CONTA]],BaseContasDRE[#All],7,FALSE)),"Fora do DRE",VLOOKUP(Base_Periodo1[[#This Row],[CONTA]],BaseContasDRE[#All],7,FALSE))</f>
        <v>Fora do DRE</v>
      </c>
      <c r="V1909" s="3" t="str">
        <f>IF(Base_Periodo1[[#This Row],[Tipo_Linha]]="Fora do DRE","Fora do DRE","( "&amp;Base_Periodo1[[#This Row],[Tipo_Linha]]&amp;" ) "&amp;Base_Periodo1[[#This Row],[Filtro]])</f>
        <v>Fora do DRE</v>
      </c>
      <c r="W1909" s="3" t="str">
        <f>LEFT(Base_Periodo1[[#This Row],[CLASS]],3)</f>
        <v>1.1</v>
      </c>
    </row>
    <row r="1910" spans="1:23" hidden="1">
      <c r="A1910" s="3" t="str">
        <f t="shared" si="29"/>
        <v>Período 1</v>
      </c>
      <c r="B1910">
        <v>31335</v>
      </c>
      <c r="C1910" t="s">
        <v>6306</v>
      </c>
      <c r="D1910" t="s">
        <v>1063</v>
      </c>
      <c r="E1910" s="3" t="str">
        <f>IF(LEN(Base_Periodo1[[#This Row],[CLASS]])&gt;=7,LEFT(Base_Periodo1[[#This Row],[CLASS]],7),"")</f>
        <v>1.1.3.1</v>
      </c>
      <c r="F1910" s="3" t="str">
        <f>VLOOKUP(Base_Periodo1[[#This Row],[Aux]],Base_Contas_Balanco[#All],2,FALSE)</f>
        <v>Estoques Proprios</v>
      </c>
      <c r="G1910" s="1"/>
      <c r="H1910" s="225">
        <v>210404.08999999706</v>
      </c>
      <c r="I1910" s="225">
        <v>723209.2300000001</v>
      </c>
      <c r="J1910" s="225">
        <v>0</v>
      </c>
      <c r="K1910" s="225">
        <v>933613.31999999715</v>
      </c>
      <c r="L19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933613.32</v>
      </c>
      <c r="M1910" s="225">
        <f>ROUND(IF(AND(Base_Periodo1[[#This Row],[Tipo_Linha]]="-",Base_Periodo1[[#This Row],[TIPOSALDO]]="D"),Base_Periodo1[[#This Row],[SALDO_ATUAL]]*-1,Base_Periodo1[[#This Row],[SALDO_ATUAL]]),4)</f>
        <v>933613.32</v>
      </c>
      <c r="N1910" t="s">
        <v>396</v>
      </c>
      <c r="O1910" t="s">
        <v>397</v>
      </c>
      <c r="P1910" t="s">
        <v>397</v>
      </c>
      <c r="Q1910">
        <v>8</v>
      </c>
      <c r="R1910" s="225">
        <f>Base_Periodo1[[#This Row],[CREDITOS]]-Base_Periodo1[[#This Row],[DEBITOS]]</f>
        <v>-723209.2300000001</v>
      </c>
      <c r="S1910" s="3" t="str">
        <f>IF(ISERROR(VLOOKUP(Base_Periodo1[[#This Row],[CONTA]],BaseContasDRE[#All],4,FALSE)),"Fora do DRE",VLOOKUP(Base_Periodo1[[#This Row],[CONTA]],BaseContasDRE[#All],4,FALSE))</f>
        <v>Fora do DRE</v>
      </c>
      <c r="T1910" s="3" t="str">
        <f>IF(ISERROR(VLOOKUP(Base_Periodo1[[#This Row],[CONTA]],BaseContasDRE[#All],5,FALSE)),"Fora do DRE",VLOOKUP(Base_Periodo1[[#This Row],[CONTA]],BaseContasDRE[#All],6,FALSE))</f>
        <v>Fora do DRE</v>
      </c>
      <c r="U1910" s="3" t="str">
        <f>IF(ISERROR(VLOOKUP(Base_Periodo1[[#This Row],[CONTA]],BaseContasDRE[#All],7,FALSE)),"Fora do DRE",VLOOKUP(Base_Periodo1[[#This Row],[CONTA]],BaseContasDRE[#All],7,FALSE))</f>
        <v>Fora do DRE</v>
      </c>
      <c r="V1910" s="3" t="str">
        <f>IF(Base_Periodo1[[#This Row],[Tipo_Linha]]="Fora do DRE","Fora do DRE","( "&amp;Base_Periodo1[[#This Row],[Tipo_Linha]]&amp;" ) "&amp;Base_Periodo1[[#This Row],[Filtro]])</f>
        <v>Fora do DRE</v>
      </c>
      <c r="W1910" s="3" t="str">
        <f>LEFT(Base_Periodo1[[#This Row],[CLASS]],3)</f>
        <v>1.1</v>
      </c>
    </row>
    <row r="1911" spans="1:23" hidden="1">
      <c r="A1911" s="3" t="str">
        <f t="shared" si="29"/>
        <v>Período 1</v>
      </c>
      <c r="B1911">
        <v>31336</v>
      </c>
      <c r="C1911" t="s">
        <v>6307</v>
      </c>
      <c r="D1911" t="s">
        <v>1452</v>
      </c>
      <c r="E1911" s="3" t="str">
        <f>IF(LEN(Base_Periodo1[[#This Row],[CLASS]])&gt;=7,LEFT(Base_Periodo1[[#This Row],[CLASS]],7),"")</f>
        <v>1.1.3.1</v>
      </c>
      <c r="F1911" s="3" t="str">
        <f>VLOOKUP(Base_Periodo1[[#This Row],[Aux]],Base_Contas_Balanco[#All],2,FALSE)</f>
        <v>Estoques Proprios</v>
      </c>
      <c r="G1911" s="1">
        <v>42885</v>
      </c>
      <c r="H1911" s="225">
        <v>210404.08999999706</v>
      </c>
      <c r="I1911" s="225">
        <v>723209.2300000001</v>
      </c>
      <c r="J1911" s="225">
        <v>0</v>
      </c>
      <c r="K1911" s="225">
        <v>933613.31999999715</v>
      </c>
      <c r="L19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933613.32</v>
      </c>
      <c r="M1911" s="225">
        <f>ROUND(IF(AND(Base_Periodo1[[#This Row],[Tipo_Linha]]="-",Base_Periodo1[[#This Row],[TIPOSALDO]]="D"),Base_Periodo1[[#This Row],[SALDO_ATUAL]]*-1,Base_Periodo1[[#This Row],[SALDO_ATUAL]]),4)</f>
        <v>933613.32</v>
      </c>
      <c r="N1911" t="s">
        <v>116</v>
      </c>
      <c r="O1911" t="s">
        <v>397</v>
      </c>
      <c r="P1911" t="s">
        <v>397</v>
      </c>
      <c r="Q1911">
        <v>9</v>
      </c>
      <c r="R1911" s="225">
        <f>Base_Periodo1[[#This Row],[CREDITOS]]-Base_Periodo1[[#This Row],[DEBITOS]]</f>
        <v>-723209.2300000001</v>
      </c>
      <c r="S1911" s="3" t="str">
        <f>IF(ISERROR(VLOOKUP(Base_Periodo1[[#This Row],[CONTA]],BaseContasDRE[#All],4,FALSE)),"Fora do DRE",VLOOKUP(Base_Periodo1[[#This Row],[CONTA]],BaseContasDRE[#All],4,FALSE))</f>
        <v>Fora do DRE</v>
      </c>
      <c r="T1911" s="3" t="str">
        <f>IF(ISERROR(VLOOKUP(Base_Periodo1[[#This Row],[CONTA]],BaseContasDRE[#All],5,FALSE)),"Fora do DRE",VLOOKUP(Base_Periodo1[[#This Row],[CONTA]],BaseContasDRE[#All],6,FALSE))</f>
        <v>Fora do DRE</v>
      </c>
      <c r="U1911" s="3" t="str">
        <f>IF(ISERROR(VLOOKUP(Base_Periodo1[[#This Row],[CONTA]],BaseContasDRE[#All],7,FALSE)),"Fora do DRE",VLOOKUP(Base_Periodo1[[#This Row],[CONTA]],BaseContasDRE[#All],7,FALSE))</f>
        <v>Fora do DRE</v>
      </c>
      <c r="V1911" s="3" t="str">
        <f>IF(Base_Periodo1[[#This Row],[Tipo_Linha]]="Fora do DRE","Fora do DRE","( "&amp;Base_Periodo1[[#This Row],[Tipo_Linha]]&amp;" ) "&amp;Base_Periodo1[[#This Row],[Filtro]])</f>
        <v>Fora do DRE</v>
      </c>
      <c r="W1911" s="3" t="str">
        <f>LEFT(Base_Periodo1[[#This Row],[CLASS]],3)</f>
        <v>1.1</v>
      </c>
    </row>
    <row r="1912" spans="1:23" hidden="1">
      <c r="A1912" s="3" t="str">
        <f t="shared" si="29"/>
        <v>Período 1</v>
      </c>
      <c r="B1912">
        <v>31337</v>
      </c>
      <c r="C1912" t="s">
        <v>6308</v>
      </c>
      <c r="D1912" t="s">
        <v>1486</v>
      </c>
      <c r="E1912" s="3" t="str">
        <f>IF(LEN(Base_Periodo1[[#This Row],[CLASS]])&gt;=7,LEFT(Base_Periodo1[[#This Row],[CLASS]],7),"")</f>
        <v>1.1.3.1</v>
      </c>
      <c r="F1912" s="3" t="str">
        <f>VLOOKUP(Base_Periodo1[[#This Row],[Aux]],Base_Contas_Balanco[#All],2,FALSE)</f>
        <v>Estoques Proprios</v>
      </c>
      <c r="G1912" s="1"/>
      <c r="H1912" s="225">
        <v>600577.67000000086</v>
      </c>
      <c r="I1912" s="225">
        <v>0</v>
      </c>
      <c r="J1912" s="225">
        <v>737307.87</v>
      </c>
      <c r="K1912" s="225">
        <v>1337885.540000001</v>
      </c>
      <c r="L19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-1337885.54</v>
      </c>
      <c r="M1912" s="225">
        <f>ROUND(IF(AND(Base_Periodo1[[#This Row],[Tipo_Linha]]="-",Base_Periodo1[[#This Row],[TIPOSALDO]]="D"),Base_Periodo1[[#This Row],[SALDO_ATUAL]]*-1,Base_Periodo1[[#This Row],[SALDO_ATUAL]]),4)</f>
        <v>1337885.54</v>
      </c>
      <c r="N1912" t="s">
        <v>396</v>
      </c>
      <c r="O1912" t="s">
        <v>459</v>
      </c>
      <c r="P1912" t="s">
        <v>459</v>
      </c>
      <c r="Q1912">
        <v>8</v>
      </c>
      <c r="R1912" s="225">
        <f>Base_Periodo1[[#This Row],[CREDITOS]]-Base_Periodo1[[#This Row],[DEBITOS]]</f>
        <v>737307.87</v>
      </c>
      <c r="S1912" s="3" t="str">
        <f>IF(ISERROR(VLOOKUP(Base_Periodo1[[#This Row],[CONTA]],BaseContasDRE[#All],4,FALSE)),"Fora do DRE",VLOOKUP(Base_Periodo1[[#This Row],[CONTA]],BaseContasDRE[#All],4,FALSE))</f>
        <v>Fora do DRE</v>
      </c>
      <c r="T1912" s="3" t="str">
        <f>IF(ISERROR(VLOOKUP(Base_Periodo1[[#This Row],[CONTA]],BaseContasDRE[#All],5,FALSE)),"Fora do DRE",VLOOKUP(Base_Periodo1[[#This Row],[CONTA]],BaseContasDRE[#All],6,FALSE))</f>
        <v>Fora do DRE</v>
      </c>
      <c r="U1912" s="3" t="str">
        <f>IF(ISERROR(VLOOKUP(Base_Periodo1[[#This Row],[CONTA]],BaseContasDRE[#All],7,FALSE)),"Fora do DRE",VLOOKUP(Base_Periodo1[[#This Row],[CONTA]],BaseContasDRE[#All],7,FALSE))</f>
        <v>Fora do DRE</v>
      </c>
      <c r="V1912" s="3" t="str">
        <f>IF(Base_Periodo1[[#This Row],[Tipo_Linha]]="Fora do DRE","Fora do DRE","( "&amp;Base_Periodo1[[#This Row],[Tipo_Linha]]&amp;" ) "&amp;Base_Periodo1[[#This Row],[Filtro]])</f>
        <v>Fora do DRE</v>
      </c>
      <c r="W1912" s="3" t="str">
        <f>LEFT(Base_Periodo1[[#This Row],[CLASS]],3)</f>
        <v>1.1</v>
      </c>
    </row>
    <row r="1913" spans="1:23" hidden="1">
      <c r="A1913" s="3" t="str">
        <f t="shared" si="29"/>
        <v>Período 1</v>
      </c>
      <c r="B1913">
        <v>31338</v>
      </c>
      <c r="C1913" t="s">
        <v>6309</v>
      </c>
      <c r="D1913" t="s">
        <v>1488</v>
      </c>
      <c r="E1913" s="3" t="str">
        <f>IF(LEN(Base_Periodo1[[#This Row],[CLASS]])&gt;=7,LEFT(Base_Periodo1[[#This Row],[CLASS]],7),"")</f>
        <v>1.1.3.1</v>
      </c>
      <c r="F1913" s="3" t="str">
        <f>VLOOKUP(Base_Periodo1[[#This Row],[Aux]],Base_Contas_Balanco[#All],2,FALSE)</f>
        <v>Estoques Proprios</v>
      </c>
      <c r="G1913" s="1">
        <v>42886</v>
      </c>
      <c r="H1913" s="225">
        <v>600577.67000000086</v>
      </c>
      <c r="I1913" s="225">
        <v>0</v>
      </c>
      <c r="J1913" s="225">
        <v>737307.87</v>
      </c>
      <c r="K1913" s="225">
        <v>1337885.540000001</v>
      </c>
      <c r="L19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-1337885.54</v>
      </c>
      <c r="M1913" s="225">
        <f>ROUND(IF(AND(Base_Periodo1[[#This Row],[Tipo_Linha]]="-",Base_Periodo1[[#This Row],[TIPOSALDO]]="D"),Base_Periodo1[[#This Row],[SALDO_ATUAL]]*-1,Base_Periodo1[[#This Row],[SALDO_ATUAL]]),4)</f>
        <v>1337885.54</v>
      </c>
      <c r="N1913" t="s">
        <v>116</v>
      </c>
      <c r="O1913" t="s">
        <v>459</v>
      </c>
      <c r="P1913" t="s">
        <v>459</v>
      </c>
      <c r="Q1913">
        <v>9</v>
      </c>
      <c r="R1913" s="225">
        <f>Base_Periodo1[[#This Row],[CREDITOS]]-Base_Periodo1[[#This Row],[DEBITOS]]</f>
        <v>737307.87</v>
      </c>
      <c r="S1913" s="3" t="str">
        <f>IF(ISERROR(VLOOKUP(Base_Periodo1[[#This Row],[CONTA]],BaseContasDRE[#All],4,FALSE)),"Fora do DRE",VLOOKUP(Base_Periodo1[[#This Row],[CONTA]],BaseContasDRE[#All],4,FALSE))</f>
        <v>Fora do DRE</v>
      </c>
      <c r="T1913" s="3" t="str">
        <f>IF(ISERROR(VLOOKUP(Base_Periodo1[[#This Row],[CONTA]],BaseContasDRE[#All],5,FALSE)),"Fora do DRE",VLOOKUP(Base_Periodo1[[#This Row],[CONTA]],BaseContasDRE[#All],6,FALSE))</f>
        <v>Fora do DRE</v>
      </c>
      <c r="U1913" s="3" t="str">
        <f>IF(ISERROR(VLOOKUP(Base_Periodo1[[#This Row],[CONTA]],BaseContasDRE[#All],7,FALSE)),"Fora do DRE",VLOOKUP(Base_Periodo1[[#This Row],[CONTA]],BaseContasDRE[#All],7,FALSE))</f>
        <v>Fora do DRE</v>
      </c>
      <c r="V1913" s="3" t="str">
        <f>IF(Base_Periodo1[[#This Row],[Tipo_Linha]]="Fora do DRE","Fora do DRE","( "&amp;Base_Periodo1[[#This Row],[Tipo_Linha]]&amp;" ) "&amp;Base_Periodo1[[#This Row],[Filtro]])</f>
        <v>Fora do DRE</v>
      </c>
      <c r="W1913" s="3" t="str">
        <f>LEFT(Base_Periodo1[[#This Row],[CLASS]],3)</f>
        <v>1.1</v>
      </c>
    </row>
    <row r="1914" spans="1:23" hidden="1">
      <c r="A1914" s="3" t="str">
        <f t="shared" si="29"/>
        <v>Período 1</v>
      </c>
      <c r="B1914">
        <v>31339</v>
      </c>
      <c r="C1914" t="s">
        <v>6310</v>
      </c>
      <c r="D1914" t="s">
        <v>1072</v>
      </c>
      <c r="E1914" s="3" t="str">
        <f>IF(LEN(Base_Periodo1[[#This Row],[CLASS]])&gt;=7,LEFT(Base_Periodo1[[#This Row],[CLASS]],7),"")</f>
        <v>1.1.3.1</v>
      </c>
      <c r="F1914" s="3" t="str">
        <f>VLOOKUP(Base_Periodo1[[#This Row],[Aux]],Base_Contas_Balanco[#All],2,FALSE)</f>
        <v>Estoques Proprios</v>
      </c>
      <c r="G1914" s="1"/>
      <c r="H1914" s="225">
        <v>210404.08999999613</v>
      </c>
      <c r="I1914" s="225">
        <v>0</v>
      </c>
      <c r="J1914" s="225">
        <v>734427.65000000014</v>
      </c>
      <c r="K1914" s="225">
        <v>944831.73999999627</v>
      </c>
      <c r="L19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-944831.74</v>
      </c>
      <c r="M1914" s="225">
        <f>ROUND(IF(AND(Base_Periodo1[[#This Row],[Tipo_Linha]]="-",Base_Periodo1[[#This Row],[TIPOSALDO]]="D"),Base_Periodo1[[#This Row],[SALDO_ATUAL]]*-1,Base_Periodo1[[#This Row],[SALDO_ATUAL]]),4)</f>
        <v>944831.74</v>
      </c>
      <c r="N1914" t="s">
        <v>396</v>
      </c>
      <c r="O1914" t="s">
        <v>459</v>
      </c>
      <c r="P1914" t="s">
        <v>459</v>
      </c>
      <c r="Q1914">
        <v>8</v>
      </c>
      <c r="R1914" s="225">
        <f>Base_Periodo1[[#This Row],[CREDITOS]]-Base_Periodo1[[#This Row],[DEBITOS]]</f>
        <v>734427.65000000014</v>
      </c>
      <c r="S1914" s="3" t="str">
        <f>IF(ISERROR(VLOOKUP(Base_Periodo1[[#This Row],[CONTA]],BaseContasDRE[#All],4,FALSE)),"Fora do DRE",VLOOKUP(Base_Periodo1[[#This Row],[CONTA]],BaseContasDRE[#All],4,FALSE))</f>
        <v>Fora do DRE</v>
      </c>
      <c r="T1914" s="3" t="str">
        <f>IF(ISERROR(VLOOKUP(Base_Periodo1[[#This Row],[CONTA]],BaseContasDRE[#All],5,FALSE)),"Fora do DRE",VLOOKUP(Base_Periodo1[[#This Row],[CONTA]],BaseContasDRE[#All],6,FALSE))</f>
        <v>Fora do DRE</v>
      </c>
      <c r="U1914" s="3" t="str">
        <f>IF(ISERROR(VLOOKUP(Base_Periodo1[[#This Row],[CONTA]],BaseContasDRE[#All],7,FALSE)),"Fora do DRE",VLOOKUP(Base_Periodo1[[#This Row],[CONTA]],BaseContasDRE[#All],7,FALSE))</f>
        <v>Fora do DRE</v>
      </c>
      <c r="V1914" s="3" t="str">
        <f>IF(Base_Periodo1[[#This Row],[Tipo_Linha]]="Fora do DRE","Fora do DRE","( "&amp;Base_Periodo1[[#This Row],[Tipo_Linha]]&amp;" ) "&amp;Base_Periodo1[[#This Row],[Filtro]])</f>
        <v>Fora do DRE</v>
      </c>
      <c r="W1914" s="3" t="str">
        <f>LEFT(Base_Periodo1[[#This Row],[CLASS]],3)</f>
        <v>1.1</v>
      </c>
    </row>
    <row r="1915" spans="1:23" hidden="1">
      <c r="A1915" s="3" t="str">
        <f t="shared" si="29"/>
        <v>Período 1</v>
      </c>
      <c r="B1915">
        <v>31340</v>
      </c>
      <c r="C1915" t="s">
        <v>6311</v>
      </c>
      <c r="D1915" t="s">
        <v>1072</v>
      </c>
      <c r="E1915" s="3" t="str">
        <f>IF(LEN(Base_Periodo1[[#This Row],[CLASS]])&gt;=7,LEFT(Base_Periodo1[[#This Row],[CLASS]],7),"")</f>
        <v>1.1.3.1</v>
      </c>
      <c r="F1915" s="3" t="str">
        <f>VLOOKUP(Base_Periodo1[[#This Row],[Aux]],Base_Contas_Balanco[#All],2,FALSE)</f>
        <v>Estoques Proprios</v>
      </c>
      <c r="G1915" s="1">
        <v>42885</v>
      </c>
      <c r="H1915" s="225">
        <v>210404.08999999613</v>
      </c>
      <c r="I1915" s="225">
        <v>0</v>
      </c>
      <c r="J1915" s="225">
        <v>734427.65000000014</v>
      </c>
      <c r="K1915" s="225">
        <v>944831.73999999627</v>
      </c>
      <c r="L19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-944831.74</v>
      </c>
      <c r="M1915" s="225">
        <f>ROUND(IF(AND(Base_Periodo1[[#This Row],[Tipo_Linha]]="-",Base_Periodo1[[#This Row],[TIPOSALDO]]="D"),Base_Periodo1[[#This Row],[SALDO_ATUAL]]*-1,Base_Periodo1[[#This Row],[SALDO_ATUAL]]),4)</f>
        <v>944831.74</v>
      </c>
      <c r="N1915" t="s">
        <v>116</v>
      </c>
      <c r="O1915" t="s">
        <v>459</v>
      </c>
      <c r="P1915" t="s">
        <v>459</v>
      </c>
      <c r="Q1915">
        <v>9</v>
      </c>
      <c r="R1915" s="225">
        <f>Base_Periodo1[[#This Row],[CREDITOS]]-Base_Periodo1[[#This Row],[DEBITOS]]</f>
        <v>734427.65000000014</v>
      </c>
      <c r="S1915" s="3" t="str">
        <f>IF(ISERROR(VLOOKUP(Base_Periodo1[[#This Row],[CONTA]],BaseContasDRE[#All],4,FALSE)),"Fora do DRE",VLOOKUP(Base_Periodo1[[#This Row],[CONTA]],BaseContasDRE[#All],4,FALSE))</f>
        <v>Fora do DRE</v>
      </c>
      <c r="T1915" s="3" t="str">
        <f>IF(ISERROR(VLOOKUP(Base_Periodo1[[#This Row],[CONTA]],BaseContasDRE[#All],5,FALSE)),"Fora do DRE",VLOOKUP(Base_Periodo1[[#This Row],[CONTA]],BaseContasDRE[#All],6,FALSE))</f>
        <v>Fora do DRE</v>
      </c>
      <c r="U1915" s="3" t="str">
        <f>IF(ISERROR(VLOOKUP(Base_Periodo1[[#This Row],[CONTA]],BaseContasDRE[#All],7,FALSE)),"Fora do DRE",VLOOKUP(Base_Periodo1[[#This Row],[CONTA]],BaseContasDRE[#All],7,FALSE))</f>
        <v>Fora do DRE</v>
      </c>
      <c r="V1915" s="3" t="str">
        <f>IF(Base_Periodo1[[#This Row],[Tipo_Linha]]="Fora do DRE","Fora do DRE","( "&amp;Base_Periodo1[[#This Row],[Tipo_Linha]]&amp;" ) "&amp;Base_Periodo1[[#This Row],[Filtro]])</f>
        <v>Fora do DRE</v>
      </c>
      <c r="W1915" s="3" t="str">
        <f>LEFT(Base_Periodo1[[#This Row],[CLASS]],3)</f>
        <v>1.1</v>
      </c>
    </row>
    <row r="1916" spans="1:23" hidden="1">
      <c r="A1916" s="3" t="str">
        <f t="shared" si="29"/>
        <v>Período 1</v>
      </c>
      <c r="B1916">
        <v>31343</v>
      </c>
      <c r="C1916" t="s">
        <v>5040</v>
      </c>
      <c r="D1916" t="s">
        <v>1273</v>
      </c>
      <c r="E1916" s="3" t="str">
        <f>IF(LEN(Base_Periodo1[[#This Row],[CLASS]])&gt;=7,LEFT(Base_Periodo1[[#This Row],[CLASS]],7),"")</f>
        <v>1.1.3.1</v>
      </c>
      <c r="F1916" s="3" t="str">
        <f>VLOOKUP(Base_Periodo1[[#This Row],[Aux]],Base_Contas_Balanco[#All],2,FALSE)</f>
        <v>Estoques Proprios</v>
      </c>
      <c r="G1916" s="1"/>
      <c r="H1916" s="225">
        <v>2184.8599999977741</v>
      </c>
      <c r="I1916" s="225">
        <v>0</v>
      </c>
      <c r="J1916" s="225">
        <v>0</v>
      </c>
      <c r="K1916" s="225">
        <v>2184.8599999977741</v>
      </c>
      <c r="L19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2184.86</v>
      </c>
      <c r="M1916" s="225">
        <f>ROUND(IF(AND(Base_Periodo1[[#This Row],[Tipo_Linha]]="-",Base_Periodo1[[#This Row],[TIPOSALDO]]="D"),Base_Periodo1[[#This Row],[SALDO_ATUAL]]*-1,Base_Periodo1[[#This Row],[SALDO_ATUAL]]),4)</f>
        <v>2184.86</v>
      </c>
      <c r="N1916" t="s">
        <v>396</v>
      </c>
      <c r="O1916" t="s">
        <v>397</v>
      </c>
      <c r="P1916" t="s">
        <v>397</v>
      </c>
      <c r="Q1916">
        <v>7</v>
      </c>
      <c r="R1916" s="225">
        <f>Base_Periodo1[[#This Row],[CREDITOS]]-Base_Periodo1[[#This Row],[DEBITOS]]</f>
        <v>0</v>
      </c>
      <c r="S1916" s="3" t="str">
        <f>IF(ISERROR(VLOOKUP(Base_Periodo1[[#This Row],[CONTA]],BaseContasDRE[#All],4,FALSE)),"Fora do DRE",VLOOKUP(Base_Periodo1[[#This Row],[CONTA]],BaseContasDRE[#All],4,FALSE))</f>
        <v>Fora do DRE</v>
      </c>
      <c r="T1916" s="3" t="str">
        <f>IF(ISERROR(VLOOKUP(Base_Periodo1[[#This Row],[CONTA]],BaseContasDRE[#All],5,FALSE)),"Fora do DRE",VLOOKUP(Base_Periodo1[[#This Row],[CONTA]],BaseContasDRE[#All],6,FALSE))</f>
        <v>Fora do DRE</v>
      </c>
      <c r="U1916" s="3" t="str">
        <f>IF(ISERROR(VLOOKUP(Base_Periodo1[[#This Row],[CONTA]],BaseContasDRE[#All],7,FALSE)),"Fora do DRE",VLOOKUP(Base_Periodo1[[#This Row],[CONTA]],BaseContasDRE[#All],7,FALSE))</f>
        <v>Fora do DRE</v>
      </c>
      <c r="V1916" s="3" t="str">
        <f>IF(Base_Periodo1[[#This Row],[Tipo_Linha]]="Fora do DRE","Fora do DRE","( "&amp;Base_Periodo1[[#This Row],[Tipo_Linha]]&amp;" ) "&amp;Base_Periodo1[[#This Row],[Filtro]])</f>
        <v>Fora do DRE</v>
      </c>
      <c r="W1916" s="3" t="str">
        <f>LEFT(Base_Periodo1[[#This Row],[CLASS]],3)</f>
        <v>1.1</v>
      </c>
    </row>
    <row r="1917" spans="1:23" hidden="1">
      <c r="A1917" s="3" t="str">
        <f t="shared" si="29"/>
        <v>Período 1</v>
      </c>
      <c r="B1917">
        <v>31344</v>
      </c>
      <c r="C1917" t="s">
        <v>1513</v>
      </c>
      <c r="D1917" t="s">
        <v>1054</v>
      </c>
      <c r="E1917" s="3" t="str">
        <f>IF(LEN(Base_Periodo1[[#This Row],[CLASS]])&gt;=7,LEFT(Base_Periodo1[[#This Row],[CLASS]],7),"")</f>
        <v>1.1.3.1</v>
      </c>
      <c r="F1917" s="3" t="str">
        <f>VLOOKUP(Base_Periodo1[[#This Row],[Aux]],Base_Contas_Balanco[#All],2,FALSE)</f>
        <v>Estoques Proprios</v>
      </c>
      <c r="G1917" s="1"/>
      <c r="H1917" s="225">
        <v>3082.7199999988079</v>
      </c>
      <c r="I1917" s="225">
        <v>0</v>
      </c>
      <c r="J1917" s="225">
        <v>0</v>
      </c>
      <c r="K1917" s="225">
        <v>3082.7199999988079</v>
      </c>
      <c r="L19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3082.72</v>
      </c>
      <c r="M1917" s="225">
        <f>ROUND(IF(AND(Base_Periodo1[[#This Row],[Tipo_Linha]]="-",Base_Periodo1[[#This Row],[TIPOSALDO]]="D"),Base_Periodo1[[#This Row],[SALDO_ATUAL]]*-1,Base_Periodo1[[#This Row],[SALDO_ATUAL]]),4)</f>
        <v>3082.72</v>
      </c>
      <c r="N1917" t="s">
        <v>396</v>
      </c>
      <c r="O1917" t="s">
        <v>397</v>
      </c>
      <c r="P1917" t="s">
        <v>397</v>
      </c>
      <c r="Q1917">
        <v>8</v>
      </c>
      <c r="R1917" s="225">
        <f>Base_Periodo1[[#This Row],[CREDITOS]]-Base_Periodo1[[#This Row],[DEBITOS]]</f>
        <v>0</v>
      </c>
      <c r="S1917" s="3" t="str">
        <f>IF(ISERROR(VLOOKUP(Base_Periodo1[[#This Row],[CONTA]],BaseContasDRE[#All],4,FALSE)),"Fora do DRE",VLOOKUP(Base_Periodo1[[#This Row],[CONTA]],BaseContasDRE[#All],4,FALSE))</f>
        <v>Fora do DRE</v>
      </c>
      <c r="T1917" s="3" t="str">
        <f>IF(ISERROR(VLOOKUP(Base_Periodo1[[#This Row],[CONTA]],BaseContasDRE[#All],5,FALSE)),"Fora do DRE",VLOOKUP(Base_Periodo1[[#This Row],[CONTA]],BaseContasDRE[#All],6,FALSE))</f>
        <v>Fora do DRE</v>
      </c>
      <c r="U1917" s="3" t="str">
        <f>IF(ISERROR(VLOOKUP(Base_Periodo1[[#This Row],[CONTA]],BaseContasDRE[#All],7,FALSE)),"Fora do DRE",VLOOKUP(Base_Periodo1[[#This Row],[CONTA]],BaseContasDRE[#All],7,FALSE))</f>
        <v>Fora do DRE</v>
      </c>
      <c r="V1917" s="3" t="str">
        <f>IF(Base_Periodo1[[#This Row],[Tipo_Linha]]="Fora do DRE","Fora do DRE","( "&amp;Base_Periodo1[[#This Row],[Tipo_Linha]]&amp;" ) "&amp;Base_Periodo1[[#This Row],[Filtro]])</f>
        <v>Fora do DRE</v>
      </c>
      <c r="W1917" s="3" t="str">
        <f>LEFT(Base_Periodo1[[#This Row],[CLASS]],3)</f>
        <v>1.1</v>
      </c>
    </row>
    <row r="1918" spans="1:23" hidden="1">
      <c r="A1918" s="3" t="str">
        <f t="shared" si="29"/>
        <v>Período 1</v>
      </c>
      <c r="B1918">
        <v>31345</v>
      </c>
      <c r="C1918" t="s">
        <v>1514</v>
      </c>
      <c r="D1918" t="s">
        <v>1054</v>
      </c>
      <c r="E1918" s="3" t="str">
        <f>IF(LEN(Base_Periodo1[[#This Row],[CLASS]])&gt;=7,LEFT(Base_Periodo1[[#This Row],[CLASS]],7),"")</f>
        <v>1.1.3.1</v>
      </c>
      <c r="F1918" s="3" t="str">
        <f>VLOOKUP(Base_Periodo1[[#This Row],[Aux]],Base_Contas_Balanco[#All],2,FALSE)</f>
        <v>Estoques Proprios</v>
      </c>
      <c r="G1918" s="1">
        <v>42735</v>
      </c>
      <c r="H1918" s="225">
        <v>3082.7199999988079</v>
      </c>
      <c r="I1918" s="225">
        <v>0</v>
      </c>
      <c r="J1918" s="225">
        <v>0</v>
      </c>
      <c r="K1918" s="225">
        <v>3082.7199999988079</v>
      </c>
      <c r="L19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3082.72</v>
      </c>
      <c r="M1918" s="225">
        <f>ROUND(IF(AND(Base_Periodo1[[#This Row],[Tipo_Linha]]="-",Base_Periodo1[[#This Row],[TIPOSALDO]]="D"),Base_Periodo1[[#This Row],[SALDO_ATUAL]]*-1,Base_Periodo1[[#This Row],[SALDO_ATUAL]]),4)</f>
        <v>3082.72</v>
      </c>
      <c r="N1918" t="s">
        <v>116</v>
      </c>
      <c r="O1918" t="s">
        <v>397</v>
      </c>
      <c r="P1918" t="s">
        <v>397</v>
      </c>
      <c r="Q1918">
        <v>9</v>
      </c>
      <c r="R1918" s="225">
        <f>Base_Periodo1[[#This Row],[CREDITOS]]-Base_Periodo1[[#This Row],[DEBITOS]]</f>
        <v>0</v>
      </c>
      <c r="S1918" s="3" t="str">
        <f>IF(ISERROR(VLOOKUP(Base_Periodo1[[#This Row],[CONTA]],BaseContasDRE[#All],4,FALSE)),"Fora do DRE",VLOOKUP(Base_Periodo1[[#This Row],[CONTA]],BaseContasDRE[#All],4,FALSE))</f>
        <v>Fora do DRE</v>
      </c>
      <c r="T1918" s="3" t="str">
        <f>IF(ISERROR(VLOOKUP(Base_Periodo1[[#This Row],[CONTA]],BaseContasDRE[#All],5,FALSE)),"Fora do DRE",VLOOKUP(Base_Periodo1[[#This Row],[CONTA]],BaseContasDRE[#All],6,FALSE))</f>
        <v>Fora do DRE</v>
      </c>
      <c r="U1918" s="3" t="str">
        <f>IF(ISERROR(VLOOKUP(Base_Periodo1[[#This Row],[CONTA]],BaseContasDRE[#All],7,FALSE)),"Fora do DRE",VLOOKUP(Base_Periodo1[[#This Row],[CONTA]],BaseContasDRE[#All],7,FALSE))</f>
        <v>Fora do DRE</v>
      </c>
      <c r="V1918" s="3" t="str">
        <f>IF(Base_Periodo1[[#This Row],[Tipo_Linha]]="Fora do DRE","Fora do DRE","( "&amp;Base_Periodo1[[#This Row],[Tipo_Linha]]&amp;" ) "&amp;Base_Periodo1[[#This Row],[Filtro]])</f>
        <v>Fora do DRE</v>
      </c>
      <c r="W1918" s="3" t="str">
        <f>LEFT(Base_Periodo1[[#This Row],[CLASS]],3)</f>
        <v>1.1</v>
      </c>
    </row>
    <row r="1919" spans="1:23" hidden="1">
      <c r="A1919" s="3" t="str">
        <f t="shared" si="29"/>
        <v>Período 1</v>
      </c>
      <c r="B1919">
        <v>50839</v>
      </c>
      <c r="C1919" t="s">
        <v>4410</v>
      </c>
      <c r="D1919" t="s">
        <v>4405</v>
      </c>
      <c r="E1919" s="3" t="str">
        <f>IF(LEN(Base_Periodo1[[#This Row],[CLASS]])&gt;=7,LEFT(Base_Periodo1[[#This Row],[CLASS]],7),"")</f>
        <v>1.1.3.1</v>
      </c>
      <c r="F1919" s="3" t="str">
        <f>VLOOKUP(Base_Periodo1[[#This Row],[Aux]],Base_Contas_Balanco[#All],2,FALSE)</f>
        <v>Estoques Proprios</v>
      </c>
      <c r="G1919" s="1"/>
      <c r="H1919" s="225">
        <v>592325.87999999989</v>
      </c>
      <c r="I1919" s="225">
        <v>0</v>
      </c>
      <c r="J1919" s="225">
        <v>0</v>
      </c>
      <c r="K1919" s="225">
        <v>592325.87999999989</v>
      </c>
      <c r="L19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592325.88</v>
      </c>
      <c r="M1919" s="225">
        <f>ROUND(IF(AND(Base_Periodo1[[#This Row],[Tipo_Linha]]="-",Base_Periodo1[[#This Row],[TIPOSALDO]]="D"),Base_Periodo1[[#This Row],[SALDO_ATUAL]]*-1,Base_Periodo1[[#This Row],[SALDO_ATUAL]]),4)</f>
        <v>592325.88</v>
      </c>
      <c r="N1919" t="s">
        <v>396</v>
      </c>
      <c r="O1919" t="s">
        <v>397</v>
      </c>
      <c r="P1919" t="s">
        <v>397</v>
      </c>
      <c r="Q1919">
        <v>8</v>
      </c>
      <c r="R1919" s="225">
        <f>Base_Periodo1[[#This Row],[CREDITOS]]-Base_Periodo1[[#This Row],[DEBITOS]]</f>
        <v>0</v>
      </c>
      <c r="S1919" s="3" t="str">
        <f>IF(ISERROR(VLOOKUP(Base_Periodo1[[#This Row],[CONTA]],BaseContasDRE[#All],4,FALSE)),"Fora do DRE",VLOOKUP(Base_Periodo1[[#This Row],[CONTA]],BaseContasDRE[#All],4,FALSE))</f>
        <v>Fora do DRE</v>
      </c>
      <c r="T1919" s="3" t="str">
        <f>IF(ISERROR(VLOOKUP(Base_Periodo1[[#This Row],[CONTA]],BaseContasDRE[#All],5,FALSE)),"Fora do DRE",VLOOKUP(Base_Periodo1[[#This Row],[CONTA]],BaseContasDRE[#All],6,FALSE))</f>
        <v>Fora do DRE</v>
      </c>
      <c r="U1919" s="3" t="str">
        <f>IF(ISERROR(VLOOKUP(Base_Periodo1[[#This Row],[CONTA]],BaseContasDRE[#All],7,FALSE)),"Fora do DRE",VLOOKUP(Base_Periodo1[[#This Row],[CONTA]],BaseContasDRE[#All],7,FALSE))</f>
        <v>Fora do DRE</v>
      </c>
      <c r="V1919" s="3" t="str">
        <f>IF(Base_Periodo1[[#This Row],[Tipo_Linha]]="Fora do DRE","Fora do DRE","( "&amp;Base_Periodo1[[#This Row],[Tipo_Linha]]&amp;" ) "&amp;Base_Periodo1[[#This Row],[Filtro]])</f>
        <v>Fora do DRE</v>
      </c>
      <c r="W1919" s="3" t="str">
        <f>LEFT(Base_Periodo1[[#This Row],[CLASS]],3)</f>
        <v>1.1</v>
      </c>
    </row>
    <row r="1920" spans="1:23" hidden="1">
      <c r="A1920" s="3" t="str">
        <f t="shared" si="29"/>
        <v>Período 1</v>
      </c>
      <c r="B1920">
        <v>50840</v>
      </c>
      <c r="C1920" t="s">
        <v>4411</v>
      </c>
      <c r="D1920" t="s">
        <v>1592</v>
      </c>
      <c r="E1920" s="3" t="str">
        <f>IF(LEN(Base_Periodo1[[#This Row],[CLASS]])&gt;=7,LEFT(Base_Periodo1[[#This Row],[CLASS]],7),"")</f>
        <v>1.1.3.1</v>
      </c>
      <c r="F1920" s="3" t="str">
        <f>VLOOKUP(Base_Periodo1[[#This Row],[Aux]],Base_Contas_Balanco[#All],2,FALSE)</f>
        <v>Estoques Proprios</v>
      </c>
      <c r="G1920" s="1">
        <v>42825</v>
      </c>
      <c r="H1920" s="225">
        <v>592325.87999999989</v>
      </c>
      <c r="I1920" s="225">
        <v>0</v>
      </c>
      <c r="J1920" s="225">
        <v>0</v>
      </c>
      <c r="K1920" s="225">
        <v>592325.87999999989</v>
      </c>
      <c r="L19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592325.88</v>
      </c>
      <c r="M1920" s="225">
        <f>ROUND(IF(AND(Base_Periodo1[[#This Row],[Tipo_Linha]]="-",Base_Periodo1[[#This Row],[TIPOSALDO]]="D"),Base_Periodo1[[#This Row],[SALDO_ATUAL]]*-1,Base_Periodo1[[#This Row],[SALDO_ATUAL]]),4)</f>
        <v>592325.88</v>
      </c>
      <c r="N1920" t="s">
        <v>116</v>
      </c>
      <c r="O1920" t="s">
        <v>397</v>
      </c>
      <c r="P1920" t="s">
        <v>397</v>
      </c>
      <c r="Q1920">
        <v>9</v>
      </c>
      <c r="R1920" s="225">
        <f>Base_Periodo1[[#This Row],[CREDITOS]]-Base_Periodo1[[#This Row],[DEBITOS]]</f>
        <v>0</v>
      </c>
      <c r="S1920" s="3" t="str">
        <f>IF(ISERROR(VLOOKUP(Base_Periodo1[[#This Row],[CONTA]],BaseContasDRE[#All],4,FALSE)),"Fora do DRE",VLOOKUP(Base_Periodo1[[#This Row],[CONTA]],BaseContasDRE[#All],4,FALSE))</f>
        <v>Fora do DRE</v>
      </c>
      <c r="T1920" s="3" t="str">
        <f>IF(ISERROR(VLOOKUP(Base_Periodo1[[#This Row],[CONTA]],BaseContasDRE[#All],5,FALSE)),"Fora do DRE",VLOOKUP(Base_Periodo1[[#This Row],[CONTA]],BaseContasDRE[#All],6,FALSE))</f>
        <v>Fora do DRE</v>
      </c>
      <c r="U1920" s="3" t="str">
        <f>IF(ISERROR(VLOOKUP(Base_Periodo1[[#This Row],[CONTA]],BaseContasDRE[#All],7,FALSE)),"Fora do DRE",VLOOKUP(Base_Periodo1[[#This Row],[CONTA]],BaseContasDRE[#All],7,FALSE))</f>
        <v>Fora do DRE</v>
      </c>
      <c r="V1920" s="3" t="str">
        <f>IF(Base_Periodo1[[#This Row],[Tipo_Linha]]="Fora do DRE","Fora do DRE","( "&amp;Base_Periodo1[[#This Row],[Tipo_Linha]]&amp;" ) "&amp;Base_Periodo1[[#This Row],[Filtro]])</f>
        <v>Fora do DRE</v>
      </c>
      <c r="W1920" s="3" t="str">
        <f>LEFT(Base_Periodo1[[#This Row],[CLASS]],3)</f>
        <v>1.1</v>
      </c>
    </row>
    <row r="1921" spans="1:23" hidden="1">
      <c r="A1921" s="3" t="str">
        <f t="shared" si="29"/>
        <v>Período 1</v>
      </c>
      <c r="B1921">
        <v>31346</v>
      </c>
      <c r="C1921" t="s">
        <v>1515</v>
      </c>
      <c r="D1921" t="s">
        <v>1063</v>
      </c>
      <c r="E1921" s="3" t="str">
        <f>IF(LEN(Base_Periodo1[[#This Row],[CLASS]])&gt;=7,LEFT(Base_Periodo1[[#This Row],[CLASS]],7),"")</f>
        <v>1.1.3.1</v>
      </c>
      <c r="F1921" s="3" t="str">
        <f>VLOOKUP(Base_Periodo1[[#This Row],[Aux]],Base_Contas_Balanco[#All],2,FALSE)</f>
        <v>Estoques Proprios</v>
      </c>
      <c r="G1921" s="1"/>
      <c r="H1921" s="225">
        <v>234131.90999999782</v>
      </c>
      <c r="I1921" s="225">
        <v>0</v>
      </c>
      <c r="J1921" s="225">
        <v>0</v>
      </c>
      <c r="K1921" s="225">
        <v>234131.90999999782</v>
      </c>
      <c r="L19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234131.91</v>
      </c>
      <c r="M1921" s="225">
        <f>ROUND(IF(AND(Base_Periodo1[[#This Row],[Tipo_Linha]]="-",Base_Periodo1[[#This Row],[TIPOSALDO]]="D"),Base_Periodo1[[#This Row],[SALDO_ATUAL]]*-1,Base_Periodo1[[#This Row],[SALDO_ATUAL]]),4)</f>
        <v>234131.91</v>
      </c>
      <c r="N1921" t="s">
        <v>396</v>
      </c>
      <c r="O1921" t="s">
        <v>397</v>
      </c>
      <c r="P1921" t="s">
        <v>397</v>
      </c>
      <c r="Q1921">
        <v>8</v>
      </c>
      <c r="R1921" s="225">
        <f>Base_Periodo1[[#This Row],[CREDITOS]]-Base_Periodo1[[#This Row],[DEBITOS]]</f>
        <v>0</v>
      </c>
      <c r="S1921" s="3" t="str">
        <f>IF(ISERROR(VLOOKUP(Base_Periodo1[[#This Row],[CONTA]],BaseContasDRE[#All],4,FALSE)),"Fora do DRE",VLOOKUP(Base_Periodo1[[#This Row],[CONTA]],BaseContasDRE[#All],4,FALSE))</f>
        <v>Fora do DRE</v>
      </c>
      <c r="T1921" s="3" t="str">
        <f>IF(ISERROR(VLOOKUP(Base_Periodo1[[#This Row],[CONTA]],BaseContasDRE[#All],5,FALSE)),"Fora do DRE",VLOOKUP(Base_Periodo1[[#This Row],[CONTA]],BaseContasDRE[#All],6,FALSE))</f>
        <v>Fora do DRE</v>
      </c>
      <c r="U1921" s="3" t="str">
        <f>IF(ISERROR(VLOOKUP(Base_Periodo1[[#This Row],[CONTA]],BaseContasDRE[#All],7,FALSE)),"Fora do DRE",VLOOKUP(Base_Periodo1[[#This Row],[CONTA]],BaseContasDRE[#All],7,FALSE))</f>
        <v>Fora do DRE</v>
      </c>
      <c r="V1921" s="3" t="str">
        <f>IF(Base_Periodo1[[#This Row],[Tipo_Linha]]="Fora do DRE","Fora do DRE","( "&amp;Base_Periodo1[[#This Row],[Tipo_Linha]]&amp;" ) "&amp;Base_Periodo1[[#This Row],[Filtro]])</f>
        <v>Fora do DRE</v>
      </c>
      <c r="W1921" s="3" t="str">
        <f>LEFT(Base_Periodo1[[#This Row],[CLASS]],3)</f>
        <v>1.1</v>
      </c>
    </row>
    <row r="1922" spans="1:23" hidden="1">
      <c r="A1922" s="3" t="str">
        <f t="shared" si="29"/>
        <v>Período 1</v>
      </c>
      <c r="B1922">
        <v>31347</v>
      </c>
      <c r="C1922" t="s">
        <v>1516</v>
      </c>
      <c r="D1922" t="s">
        <v>1452</v>
      </c>
      <c r="E1922" s="3" t="str">
        <f>IF(LEN(Base_Periodo1[[#This Row],[CLASS]])&gt;=7,LEFT(Base_Periodo1[[#This Row],[CLASS]],7),"")</f>
        <v>1.1.3.1</v>
      </c>
      <c r="F1922" s="3" t="str">
        <f>VLOOKUP(Base_Periodo1[[#This Row],[Aux]],Base_Contas_Balanco[#All],2,FALSE)</f>
        <v>Estoques Proprios</v>
      </c>
      <c r="G1922" s="1">
        <v>42798</v>
      </c>
      <c r="H1922" s="225">
        <v>234131.90999999782</v>
      </c>
      <c r="I1922" s="225">
        <v>0</v>
      </c>
      <c r="J1922" s="225">
        <v>0</v>
      </c>
      <c r="K1922" s="225">
        <v>234131.90999999782</v>
      </c>
      <c r="L19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234131.91</v>
      </c>
      <c r="M1922" s="225">
        <f>ROUND(IF(AND(Base_Periodo1[[#This Row],[Tipo_Linha]]="-",Base_Periodo1[[#This Row],[TIPOSALDO]]="D"),Base_Periodo1[[#This Row],[SALDO_ATUAL]]*-1,Base_Periodo1[[#This Row],[SALDO_ATUAL]]),4)</f>
        <v>234131.91</v>
      </c>
      <c r="N1922" t="s">
        <v>116</v>
      </c>
      <c r="O1922" t="s">
        <v>397</v>
      </c>
      <c r="P1922" t="s">
        <v>397</v>
      </c>
      <c r="Q1922">
        <v>9</v>
      </c>
      <c r="R1922" s="225">
        <f>Base_Periodo1[[#This Row],[CREDITOS]]-Base_Periodo1[[#This Row],[DEBITOS]]</f>
        <v>0</v>
      </c>
      <c r="S1922" s="3" t="str">
        <f>IF(ISERROR(VLOOKUP(Base_Periodo1[[#This Row],[CONTA]],BaseContasDRE[#All],4,FALSE)),"Fora do DRE",VLOOKUP(Base_Periodo1[[#This Row],[CONTA]],BaseContasDRE[#All],4,FALSE))</f>
        <v>Fora do DRE</v>
      </c>
      <c r="T1922" s="3" t="str">
        <f>IF(ISERROR(VLOOKUP(Base_Periodo1[[#This Row],[CONTA]],BaseContasDRE[#All],5,FALSE)),"Fora do DRE",VLOOKUP(Base_Periodo1[[#This Row],[CONTA]],BaseContasDRE[#All],6,FALSE))</f>
        <v>Fora do DRE</v>
      </c>
      <c r="U1922" s="3" t="str">
        <f>IF(ISERROR(VLOOKUP(Base_Periodo1[[#This Row],[CONTA]],BaseContasDRE[#All],7,FALSE)),"Fora do DRE",VLOOKUP(Base_Periodo1[[#This Row],[CONTA]],BaseContasDRE[#All],7,FALSE))</f>
        <v>Fora do DRE</v>
      </c>
      <c r="V1922" s="3" t="str">
        <f>IF(Base_Periodo1[[#This Row],[Tipo_Linha]]="Fora do DRE","Fora do DRE","( "&amp;Base_Periodo1[[#This Row],[Tipo_Linha]]&amp;" ) "&amp;Base_Periodo1[[#This Row],[Filtro]])</f>
        <v>Fora do DRE</v>
      </c>
      <c r="W1922" s="3" t="str">
        <f>LEFT(Base_Periodo1[[#This Row],[CLASS]],3)</f>
        <v>1.1</v>
      </c>
    </row>
    <row r="1923" spans="1:23" hidden="1">
      <c r="A1923" s="3" t="str">
        <f t="shared" si="29"/>
        <v>Período 1</v>
      </c>
      <c r="B1923">
        <v>31348</v>
      </c>
      <c r="C1923" t="s">
        <v>1517</v>
      </c>
      <c r="D1923" t="s">
        <v>1486</v>
      </c>
      <c r="E1923" s="3" t="str">
        <f>IF(LEN(Base_Periodo1[[#This Row],[CLASS]])&gt;=7,LEFT(Base_Periodo1[[#This Row],[CLASS]],7),"")</f>
        <v>1.1.3.1</v>
      </c>
      <c r="F1923" s="3" t="str">
        <f>VLOOKUP(Base_Periodo1[[#This Row],[Aux]],Base_Contas_Balanco[#All],2,FALSE)</f>
        <v>Estoques Proprios</v>
      </c>
      <c r="G1923" s="1"/>
      <c r="H1923" s="225">
        <v>593223.74000000022</v>
      </c>
      <c r="I1923" s="225">
        <v>0</v>
      </c>
      <c r="J1923" s="225">
        <v>0</v>
      </c>
      <c r="K1923" s="225">
        <v>593223.74000000022</v>
      </c>
      <c r="L19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-593223.74</v>
      </c>
      <c r="M1923" s="225">
        <f>ROUND(IF(AND(Base_Periodo1[[#This Row],[Tipo_Linha]]="-",Base_Periodo1[[#This Row],[TIPOSALDO]]="D"),Base_Periodo1[[#This Row],[SALDO_ATUAL]]*-1,Base_Periodo1[[#This Row],[SALDO_ATUAL]]),4)</f>
        <v>593223.74</v>
      </c>
      <c r="N1923" t="s">
        <v>396</v>
      </c>
      <c r="O1923" t="s">
        <v>459</v>
      </c>
      <c r="P1923" t="s">
        <v>459</v>
      </c>
      <c r="Q1923">
        <v>8</v>
      </c>
      <c r="R1923" s="225">
        <f>Base_Periodo1[[#This Row],[CREDITOS]]-Base_Periodo1[[#This Row],[DEBITOS]]</f>
        <v>0</v>
      </c>
      <c r="S1923" s="3" t="str">
        <f>IF(ISERROR(VLOOKUP(Base_Periodo1[[#This Row],[CONTA]],BaseContasDRE[#All],4,FALSE)),"Fora do DRE",VLOOKUP(Base_Periodo1[[#This Row],[CONTA]],BaseContasDRE[#All],4,FALSE))</f>
        <v>Fora do DRE</v>
      </c>
      <c r="T1923" s="3" t="str">
        <f>IF(ISERROR(VLOOKUP(Base_Periodo1[[#This Row],[CONTA]],BaseContasDRE[#All],5,FALSE)),"Fora do DRE",VLOOKUP(Base_Periodo1[[#This Row],[CONTA]],BaseContasDRE[#All],6,FALSE))</f>
        <v>Fora do DRE</v>
      </c>
      <c r="U1923" s="3" t="str">
        <f>IF(ISERROR(VLOOKUP(Base_Periodo1[[#This Row],[CONTA]],BaseContasDRE[#All],7,FALSE)),"Fora do DRE",VLOOKUP(Base_Periodo1[[#This Row],[CONTA]],BaseContasDRE[#All],7,FALSE))</f>
        <v>Fora do DRE</v>
      </c>
      <c r="V1923" s="3" t="str">
        <f>IF(Base_Periodo1[[#This Row],[Tipo_Linha]]="Fora do DRE","Fora do DRE","( "&amp;Base_Periodo1[[#This Row],[Tipo_Linha]]&amp;" ) "&amp;Base_Periodo1[[#This Row],[Filtro]])</f>
        <v>Fora do DRE</v>
      </c>
      <c r="W1923" s="3" t="str">
        <f>LEFT(Base_Periodo1[[#This Row],[CLASS]],3)</f>
        <v>1.1</v>
      </c>
    </row>
    <row r="1924" spans="1:23" hidden="1">
      <c r="A1924" s="3" t="str">
        <f t="shared" si="29"/>
        <v>Período 1</v>
      </c>
      <c r="B1924">
        <v>31349</v>
      </c>
      <c r="C1924" t="s">
        <v>1518</v>
      </c>
      <c r="D1924" t="s">
        <v>1488</v>
      </c>
      <c r="E1924" s="3" t="str">
        <f>IF(LEN(Base_Periodo1[[#This Row],[CLASS]])&gt;=7,LEFT(Base_Periodo1[[#This Row],[CLASS]],7),"")</f>
        <v>1.1.3.1</v>
      </c>
      <c r="F1924" s="3" t="str">
        <f>VLOOKUP(Base_Periodo1[[#This Row],[Aux]],Base_Contas_Balanco[#All],2,FALSE)</f>
        <v>Estoques Proprios</v>
      </c>
      <c r="G1924" s="1">
        <v>42825</v>
      </c>
      <c r="H1924" s="225">
        <v>593223.74000000022</v>
      </c>
      <c r="I1924" s="225">
        <v>0</v>
      </c>
      <c r="J1924" s="225">
        <v>0</v>
      </c>
      <c r="K1924" s="225">
        <v>593223.74000000022</v>
      </c>
      <c r="L19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-593223.74</v>
      </c>
      <c r="M1924" s="225">
        <f>ROUND(IF(AND(Base_Periodo1[[#This Row],[Tipo_Linha]]="-",Base_Periodo1[[#This Row],[TIPOSALDO]]="D"),Base_Periodo1[[#This Row],[SALDO_ATUAL]]*-1,Base_Periodo1[[#This Row],[SALDO_ATUAL]]),4)</f>
        <v>593223.74</v>
      </c>
      <c r="N1924" t="s">
        <v>116</v>
      </c>
      <c r="O1924" t="s">
        <v>459</v>
      </c>
      <c r="P1924" t="s">
        <v>459</v>
      </c>
      <c r="Q1924">
        <v>9</v>
      </c>
      <c r="R1924" s="225">
        <f>Base_Periodo1[[#This Row],[CREDITOS]]-Base_Periodo1[[#This Row],[DEBITOS]]</f>
        <v>0</v>
      </c>
      <c r="S1924" s="3" t="str">
        <f>IF(ISERROR(VLOOKUP(Base_Periodo1[[#This Row],[CONTA]],BaseContasDRE[#All],4,FALSE)),"Fora do DRE",VLOOKUP(Base_Periodo1[[#This Row],[CONTA]],BaseContasDRE[#All],4,FALSE))</f>
        <v>Fora do DRE</v>
      </c>
      <c r="T1924" s="3" t="str">
        <f>IF(ISERROR(VLOOKUP(Base_Periodo1[[#This Row],[CONTA]],BaseContasDRE[#All],5,FALSE)),"Fora do DRE",VLOOKUP(Base_Periodo1[[#This Row],[CONTA]],BaseContasDRE[#All],6,FALSE))</f>
        <v>Fora do DRE</v>
      </c>
      <c r="U1924" s="3" t="str">
        <f>IF(ISERROR(VLOOKUP(Base_Periodo1[[#This Row],[CONTA]],BaseContasDRE[#All],7,FALSE)),"Fora do DRE",VLOOKUP(Base_Periodo1[[#This Row],[CONTA]],BaseContasDRE[#All],7,FALSE))</f>
        <v>Fora do DRE</v>
      </c>
      <c r="V1924" s="3" t="str">
        <f>IF(Base_Periodo1[[#This Row],[Tipo_Linha]]="Fora do DRE","Fora do DRE","( "&amp;Base_Periodo1[[#This Row],[Tipo_Linha]]&amp;" ) "&amp;Base_Periodo1[[#This Row],[Filtro]])</f>
        <v>Fora do DRE</v>
      </c>
      <c r="W1924" s="3" t="str">
        <f>LEFT(Base_Periodo1[[#This Row],[CLASS]],3)</f>
        <v>1.1</v>
      </c>
    </row>
    <row r="1925" spans="1:23" hidden="1">
      <c r="A1925" s="3" t="str">
        <f t="shared" si="29"/>
        <v>Período 1</v>
      </c>
      <c r="B1925">
        <v>31350</v>
      </c>
      <c r="C1925" t="s">
        <v>1519</v>
      </c>
      <c r="D1925" t="s">
        <v>1072</v>
      </c>
      <c r="E1925" s="3" t="str">
        <f>IF(LEN(Base_Periodo1[[#This Row],[CLASS]])&gt;=7,LEFT(Base_Periodo1[[#This Row],[CLASS]],7),"")</f>
        <v>1.1.3.1</v>
      </c>
      <c r="F1925" s="3" t="str">
        <f>VLOOKUP(Base_Periodo1[[#This Row],[Aux]],Base_Contas_Balanco[#All],2,FALSE)</f>
        <v>Estoques Proprios</v>
      </c>
      <c r="G1925" s="1"/>
      <c r="H1925" s="225">
        <v>234131.90999999852</v>
      </c>
      <c r="I1925" s="225">
        <v>0</v>
      </c>
      <c r="J1925" s="225">
        <v>0</v>
      </c>
      <c r="K1925" s="225">
        <v>234131.90999999852</v>
      </c>
      <c r="L19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-234131.91</v>
      </c>
      <c r="M1925" s="225">
        <f>ROUND(IF(AND(Base_Periodo1[[#This Row],[Tipo_Linha]]="-",Base_Periodo1[[#This Row],[TIPOSALDO]]="D"),Base_Periodo1[[#This Row],[SALDO_ATUAL]]*-1,Base_Periodo1[[#This Row],[SALDO_ATUAL]]),4)</f>
        <v>234131.91</v>
      </c>
      <c r="N1925" t="s">
        <v>396</v>
      </c>
      <c r="O1925" t="s">
        <v>459</v>
      </c>
      <c r="P1925" t="s">
        <v>459</v>
      </c>
      <c r="Q1925">
        <v>8</v>
      </c>
      <c r="R1925" s="225">
        <f>Base_Periodo1[[#This Row],[CREDITOS]]-Base_Periodo1[[#This Row],[DEBITOS]]</f>
        <v>0</v>
      </c>
      <c r="S1925" s="3" t="str">
        <f>IF(ISERROR(VLOOKUP(Base_Periodo1[[#This Row],[CONTA]],BaseContasDRE[#All],4,FALSE)),"Fora do DRE",VLOOKUP(Base_Periodo1[[#This Row],[CONTA]],BaseContasDRE[#All],4,FALSE))</f>
        <v>Fora do DRE</v>
      </c>
      <c r="T1925" s="3" t="str">
        <f>IF(ISERROR(VLOOKUP(Base_Periodo1[[#This Row],[CONTA]],BaseContasDRE[#All],5,FALSE)),"Fora do DRE",VLOOKUP(Base_Periodo1[[#This Row],[CONTA]],BaseContasDRE[#All],6,FALSE))</f>
        <v>Fora do DRE</v>
      </c>
      <c r="U1925" s="3" t="str">
        <f>IF(ISERROR(VLOOKUP(Base_Periodo1[[#This Row],[CONTA]],BaseContasDRE[#All],7,FALSE)),"Fora do DRE",VLOOKUP(Base_Periodo1[[#This Row],[CONTA]],BaseContasDRE[#All],7,FALSE))</f>
        <v>Fora do DRE</v>
      </c>
      <c r="V1925" s="3" t="str">
        <f>IF(Base_Periodo1[[#This Row],[Tipo_Linha]]="Fora do DRE","Fora do DRE","( "&amp;Base_Periodo1[[#This Row],[Tipo_Linha]]&amp;" ) "&amp;Base_Periodo1[[#This Row],[Filtro]])</f>
        <v>Fora do DRE</v>
      </c>
      <c r="W1925" s="3" t="str">
        <f>LEFT(Base_Periodo1[[#This Row],[CLASS]],3)</f>
        <v>1.1</v>
      </c>
    </row>
    <row r="1926" spans="1:23" hidden="1">
      <c r="A1926" s="3" t="str">
        <f t="shared" ref="A1926:A1989" si="30">"Período 1"</f>
        <v>Período 1</v>
      </c>
      <c r="B1926">
        <v>31351</v>
      </c>
      <c r="C1926" t="s">
        <v>1520</v>
      </c>
      <c r="D1926" t="s">
        <v>1072</v>
      </c>
      <c r="E1926" s="3" t="str">
        <f>IF(LEN(Base_Periodo1[[#This Row],[CLASS]])&gt;=7,LEFT(Base_Periodo1[[#This Row],[CLASS]],7),"")</f>
        <v>1.1.3.1</v>
      </c>
      <c r="F1926" s="3" t="str">
        <f>VLOOKUP(Base_Periodo1[[#This Row],[Aux]],Base_Contas_Balanco[#All],2,FALSE)</f>
        <v>Estoques Proprios</v>
      </c>
      <c r="G1926" s="1">
        <v>42798</v>
      </c>
      <c r="H1926" s="225">
        <v>234131.90999999852</v>
      </c>
      <c r="I1926" s="225">
        <v>0</v>
      </c>
      <c r="J1926" s="225">
        <v>0</v>
      </c>
      <c r="K1926" s="225">
        <v>234131.90999999852</v>
      </c>
      <c r="L19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-234131.91</v>
      </c>
      <c r="M1926" s="225">
        <f>ROUND(IF(AND(Base_Periodo1[[#This Row],[Tipo_Linha]]="-",Base_Periodo1[[#This Row],[TIPOSALDO]]="D"),Base_Periodo1[[#This Row],[SALDO_ATUAL]]*-1,Base_Periodo1[[#This Row],[SALDO_ATUAL]]),4)</f>
        <v>234131.91</v>
      </c>
      <c r="N1926" t="s">
        <v>116</v>
      </c>
      <c r="O1926" t="s">
        <v>459</v>
      </c>
      <c r="P1926" t="s">
        <v>459</v>
      </c>
      <c r="Q1926">
        <v>9</v>
      </c>
      <c r="R1926" s="225">
        <f>Base_Periodo1[[#This Row],[CREDITOS]]-Base_Periodo1[[#This Row],[DEBITOS]]</f>
        <v>0</v>
      </c>
      <c r="S1926" s="3" t="str">
        <f>IF(ISERROR(VLOOKUP(Base_Periodo1[[#This Row],[CONTA]],BaseContasDRE[#All],4,FALSE)),"Fora do DRE",VLOOKUP(Base_Periodo1[[#This Row],[CONTA]],BaseContasDRE[#All],4,FALSE))</f>
        <v>Fora do DRE</v>
      </c>
      <c r="T1926" s="3" t="str">
        <f>IF(ISERROR(VLOOKUP(Base_Periodo1[[#This Row],[CONTA]],BaseContasDRE[#All],5,FALSE)),"Fora do DRE",VLOOKUP(Base_Periodo1[[#This Row],[CONTA]],BaseContasDRE[#All],6,FALSE))</f>
        <v>Fora do DRE</v>
      </c>
      <c r="U1926" s="3" t="str">
        <f>IF(ISERROR(VLOOKUP(Base_Periodo1[[#This Row],[CONTA]],BaseContasDRE[#All],7,FALSE)),"Fora do DRE",VLOOKUP(Base_Periodo1[[#This Row],[CONTA]],BaseContasDRE[#All],7,FALSE))</f>
        <v>Fora do DRE</v>
      </c>
      <c r="V1926" s="3" t="str">
        <f>IF(Base_Periodo1[[#This Row],[Tipo_Linha]]="Fora do DRE","Fora do DRE","( "&amp;Base_Periodo1[[#This Row],[Tipo_Linha]]&amp;" ) "&amp;Base_Periodo1[[#This Row],[Filtro]])</f>
        <v>Fora do DRE</v>
      </c>
      <c r="W1926" s="3" t="str">
        <f>LEFT(Base_Periodo1[[#This Row],[CLASS]],3)</f>
        <v>1.1</v>
      </c>
    </row>
    <row r="1927" spans="1:23" hidden="1">
      <c r="A1927" s="3" t="str">
        <f t="shared" si="30"/>
        <v>Período 1</v>
      </c>
      <c r="B1927">
        <v>31376</v>
      </c>
      <c r="C1927" t="s">
        <v>1521</v>
      </c>
      <c r="D1927" t="s">
        <v>1522</v>
      </c>
      <c r="E1927" s="3" t="str">
        <f>IF(LEN(Base_Periodo1[[#This Row],[CLASS]])&gt;=7,LEFT(Base_Periodo1[[#This Row],[CLASS]],7),"")</f>
        <v>1.1.3.1</v>
      </c>
      <c r="F1927" s="3" t="str">
        <f>VLOOKUP(Base_Periodo1[[#This Row],[Aux]],Base_Contas_Balanco[#All],2,FALSE)</f>
        <v>Estoques Proprios</v>
      </c>
      <c r="G1927" s="1"/>
      <c r="H1927" s="225">
        <v>12051060.859999981</v>
      </c>
      <c r="I1927" s="225">
        <v>6584882.2299999995</v>
      </c>
      <c r="J1927" s="225">
        <v>4687218.01</v>
      </c>
      <c r="K1927" s="225">
        <v>13948725.079999981</v>
      </c>
      <c r="L19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13948725.08</v>
      </c>
      <c r="M1927" s="225">
        <f>ROUND(IF(AND(Base_Periodo1[[#This Row],[Tipo_Linha]]="-",Base_Periodo1[[#This Row],[TIPOSALDO]]="D"),Base_Periodo1[[#This Row],[SALDO_ATUAL]]*-1,Base_Periodo1[[#This Row],[SALDO_ATUAL]]),4)</f>
        <v>13948725.08</v>
      </c>
      <c r="N1927" t="s">
        <v>396</v>
      </c>
      <c r="O1927" t="s">
        <v>397</v>
      </c>
      <c r="P1927" t="s">
        <v>397</v>
      </c>
      <c r="Q1927">
        <v>5</v>
      </c>
      <c r="R1927" s="225">
        <f>Base_Periodo1[[#This Row],[CREDITOS]]-Base_Periodo1[[#This Row],[DEBITOS]]</f>
        <v>-1897664.2199999997</v>
      </c>
      <c r="S1927" s="3" t="str">
        <f>IF(ISERROR(VLOOKUP(Base_Periodo1[[#This Row],[CONTA]],BaseContasDRE[#All],4,FALSE)),"Fora do DRE",VLOOKUP(Base_Periodo1[[#This Row],[CONTA]],BaseContasDRE[#All],4,FALSE))</f>
        <v>Fora do DRE</v>
      </c>
      <c r="T1927" s="3" t="str">
        <f>IF(ISERROR(VLOOKUP(Base_Periodo1[[#This Row],[CONTA]],BaseContasDRE[#All],5,FALSE)),"Fora do DRE",VLOOKUP(Base_Periodo1[[#This Row],[CONTA]],BaseContasDRE[#All],6,FALSE))</f>
        <v>Fora do DRE</v>
      </c>
      <c r="U1927" s="3" t="str">
        <f>IF(ISERROR(VLOOKUP(Base_Periodo1[[#This Row],[CONTA]],BaseContasDRE[#All],7,FALSE)),"Fora do DRE",VLOOKUP(Base_Periodo1[[#This Row],[CONTA]],BaseContasDRE[#All],7,FALSE))</f>
        <v>Fora do DRE</v>
      </c>
      <c r="V1927" s="3" t="str">
        <f>IF(Base_Periodo1[[#This Row],[Tipo_Linha]]="Fora do DRE","Fora do DRE","( "&amp;Base_Periodo1[[#This Row],[Tipo_Linha]]&amp;" ) "&amp;Base_Periodo1[[#This Row],[Filtro]])</f>
        <v>Fora do DRE</v>
      </c>
      <c r="W1927" s="3" t="str">
        <f>LEFT(Base_Periodo1[[#This Row],[CLASS]],3)</f>
        <v>1.1</v>
      </c>
    </row>
    <row r="1928" spans="1:23" hidden="1">
      <c r="A1928" s="3" t="str">
        <f t="shared" si="30"/>
        <v>Período 1</v>
      </c>
      <c r="B1928">
        <v>31377</v>
      </c>
      <c r="C1928" t="s">
        <v>1523</v>
      </c>
      <c r="D1928" t="s">
        <v>1524</v>
      </c>
      <c r="E1928" s="3" t="str">
        <f>IF(LEN(Base_Periodo1[[#This Row],[CLASS]])&gt;=7,LEFT(Base_Periodo1[[#This Row],[CLASS]],7),"")</f>
        <v>1.1.3.1</v>
      </c>
      <c r="F1928" s="3" t="str">
        <f>VLOOKUP(Base_Periodo1[[#This Row],[Aux]],Base_Contas_Balanco[#All],2,FALSE)</f>
        <v>Estoques Proprios</v>
      </c>
      <c r="G1928" s="1"/>
      <c r="I1928" s="225">
        <v>510458.11</v>
      </c>
      <c r="J1928" s="225">
        <v>510458.11</v>
      </c>
      <c r="K1928" s="225">
        <v>-2.852175384759903E-9</v>
      </c>
      <c r="L19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928" s="225">
        <f>ROUND(IF(AND(Base_Periodo1[[#This Row],[Tipo_Linha]]="-",Base_Periodo1[[#This Row],[TIPOSALDO]]="D"),Base_Periodo1[[#This Row],[SALDO_ATUAL]]*-1,Base_Periodo1[[#This Row],[SALDO_ATUAL]]),4)</f>
        <v>0</v>
      </c>
      <c r="N1928" t="s">
        <v>396</v>
      </c>
      <c r="O1928" t="s">
        <v>436</v>
      </c>
      <c r="P1928" t="s">
        <v>436</v>
      </c>
      <c r="Q1928">
        <v>6</v>
      </c>
      <c r="R1928" s="225">
        <f>Base_Periodo1[[#This Row],[CREDITOS]]-Base_Periodo1[[#This Row],[DEBITOS]]</f>
        <v>0</v>
      </c>
      <c r="S1928" s="3" t="str">
        <f>IF(ISERROR(VLOOKUP(Base_Periodo1[[#This Row],[CONTA]],BaseContasDRE[#All],4,FALSE)),"Fora do DRE",VLOOKUP(Base_Periodo1[[#This Row],[CONTA]],BaseContasDRE[#All],4,FALSE))</f>
        <v>Fora do DRE</v>
      </c>
      <c r="T1928" s="3" t="str">
        <f>IF(ISERROR(VLOOKUP(Base_Periodo1[[#This Row],[CONTA]],BaseContasDRE[#All],5,FALSE)),"Fora do DRE",VLOOKUP(Base_Periodo1[[#This Row],[CONTA]],BaseContasDRE[#All],6,FALSE))</f>
        <v>Fora do DRE</v>
      </c>
      <c r="U1928" s="3" t="str">
        <f>IF(ISERROR(VLOOKUP(Base_Periodo1[[#This Row],[CONTA]],BaseContasDRE[#All],7,FALSE)),"Fora do DRE",VLOOKUP(Base_Periodo1[[#This Row],[CONTA]],BaseContasDRE[#All],7,FALSE))</f>
        <v>Fora do DRE</v>
      </c>
      <c r="V1928" s="3" t="str">
        <f>IF(Base_Periodo1[[#This Row],[Tipo_Linha]]="Fora do DRE","Fora do DRE","( "&amp;Base_Periodo1[[#This Row],[Tipo_Linha]]&amp;" ) "&amp;Base_Periodo1[[#This Row],[Filtro]])</f>
        <v>Fora do DRE</v>
      </c>
      <c r="W1928" s="3" t="str">
        <f>LEFT(Base_Periodo1[[#This Row],[CLASS]],3)</f>
        <v>1.1</v>
      </c>
    </row>
    <row r="1929" spans="1:23" hidden="1">
      <c r="A1929" s="3" t="str">
        <f t="shared" si="30"/>
        <v>Período 1</v>
      </c>
      <c r="B1929">
        <v>31378</v>
      </c>
      <c r="C1929" t="s">
        <v>1525</v>
      </c>
      <c r="D1929" t="s">
        <v>1526</v>
      </c>
      <c r="E1929" s="3" t="str">
        <f>IF(LEN(Base_Periodo1[[#This Row],[CLASS]])&gt;=7,LEFT(Base_Periodo1[[#This Row],[CLASS]],7),"")</f>
        <v>1.1.3.1</v>
      </c>
      <c r="F1929" s="3" t="str">
        <f>VLOOKUP(Base_Periodo1[[#This Row],[Aux]],Base_Contas_Balanco[#All],2,FALSE)</f>
        <v>Estoques Proprios</v>
      </c>
      <c r="G1929" s="1">
        <v>42886</v>
      </c>
      <c r="H1929" s="225">
        <v>427131.0699999989</v>
      </c>
      <c r="I1929" s="225">
        <v>126014.18000000001</v>
      </c>
      <c r="J1929" s="225">
        <v>0</v>
      </c>
      <c r="K1929" s="225">
        <v>553145.24999999895</v>
      </c>
      <c r="L19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553145.25</v>
      </c>
      <c r="M1929" s="225">
        <f>ROUND(IF(AND(Base_Periodo1[[#This Row],[Tipo_Linha]]="-",Base_Periodo1[[#This Row],[TIPOSALDO]]="D"),Base_Periodo1[[#This Row],[SALDO_ATUAL]]*-1,Base_Periodo1[[#This Row],[SALDO_ATUAL]]),4)</f>
        <v>553145.25</v>
      </c>
      <c r="N1929" t="s">
        <v>116</v>
      </c>
      <c r="O1929" t="s">
        <v>397</v>
      </c>
      <c r="P1929" t="s">
        <v>397</v>
      </c>
      <c r="Q1929">
        <v>7</v>
      </c>
      <c r="R1929" s="225">
        <f>Base_Periodo1[[#This Row],[CREDITOS]]-Base_Periodo1[[#This Row],[DEBITOS]]</f>
        <v>-126014.18000000001</v>
      </c>
      <c r="S1929" s="3" t="str">
        <f>IF(ISERROR(VLOOKUP(Base_Periodo1[[#This Row],[CONTA]],BaseContasDRE[#All],4,FALSE)),"Fora do DRE",VLOOKUP(Base_Periodo1[[#This Row],[CONTA]],BaseContasDRE[#All],4,FALSE))</f>
        <v>Fora do DRE</v>
      </c>
      <c r="T1929" s="3" t="str">
        <f>IF(ISERROR(VLOOKUP(Base_Periodo1[[#This Row],[CONTA]],BaseContasDRE[#All],5,FALSE)),"Fora do DRE",VLOOKUP(Base_Periodo1[[#This Row],[CONTA]],BaseContasDRE[#All],6,FALSE))</f>
        <v>Fora do DRE</v>
      </c>
      <c r="U1929" s="3" t="str">
        <f>IF(ISERROR(VLOOKUP(Base_Periodo1[[#This Row],[CONTA]],BaseContasDRE[#All],7,FALSE)),"Fora do DRE",VLOOKUP(Base_Periodo1[[#This Row],[CONTA]],BaseContasDRE[#All],7,FALSE))</f>
        <v>Fora do DRE</v>
      </c>
      <c r="V1929" s="3" t="str">
        <f>IF(Base_Periodo1[[#This Row],[Tipo_Linha]]="Fora do DRE","Fora do DRE","( "&amp;Base_Periodo1[[#This Row],[Tipo_Linha]]&amp;" ) "&amp;Base_Periodo1[[#This Row],[Filtro]])</f>
        <v>Fora do DRE</v>
      </c>
      <c r="W1929" s="3" t="str">
        <f>LEFT(Base_Periodo1[[#This Row],[CLASS]],3)</f>
        <v>1.1</v>
      </c>
    </row>
    <row r="1930" spans="1:23" hidden="1">
      <c r="A1930" s="3" t="str">
        <f t="shared" si="30"/>
        <v>Período 1</v>
      </c>
      <c r="B1930">
        <v>31379</v>
      </c>
      <c r="C1930" t="s">
        <v>1527</v>
      </c>
      <c r="D1930" t="s">
        <v>1528</v>
      </c>
      <c r="E1930" s="3" t="str">
        <f>IF(LEN(Base_Periodo1[[#This Row],[CLASS]])&gt;=7,LEFT(Base_Periodo1[[#This Row],[CLASS]],7),"")</f>
        <v>1.1.3.1</v>
      </c>
      <c r="F1930" s="3" t="str">
        <f>VLOOKUP(Base_Periodo1[[#This Row],[Aux]],Base_Contas_Balanco[#All],2,FALSE)</f>
        <v>Estoques Proprios</v>
      </c>
      <c r="G1930" s="1">
        <v>42886</v>
      </c>
      <c r="H1930" s="225">
        <v>52905.119999999937</v>
      </c>
      <c r="I1930" s="225">
        <v>25027.790000000008</v>
      </c>
      <c r="J1930" s="225">
        <v>0</v>
      </c>
      <c r="K1930" s="225">
        <v>77932.909999999945</v>
      </c>
      <c r="L19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77932.91</v>
      </c>
      <c r="M1930" s="225">
        <f>ROUND(IF(AND(Base_Periodo1[[#This Row],[Tipo_Linha]]="-",Base_Periodo1[[#This Row],[TIPOSALDO]]="D"),Base_Periodo1[[#This Row],[SALDO_ATUAL]]*-1,Base_Periodo1[[#This Row],[SALDO_ATUAL]]),4)</f>
        <v>77932.91</v>
      </c>
      <c r="N1930" t="s">
        <v>116</v>
      </c>
      <c r="O1930" t="s">
        <v>397</v>
      </c>
      <c r="P1930" t="s">
        <v>397</v>
      </c>
      <c r="Q1930">
        <v>7</v>
      </c>
      <c r="R1930" s="225">
        <f>Base_Periodo1[[#This Row],[CREDITOS]]-Base_Periodo1[[#This Row],[DEBITOS]]</f>
        <v>-25027.790000000008</v>
      </c>
      <c r="S1930" s="3" t="str">
        <f>IF(ISERROR(VLOOKUP(Base_Periodo1[[#This Row],[CONTA]],BaseContasDRE[#All],4,FALSE)),"Fora do DRE",VLOOKUP(Base_Periodo1[[#This Row],[CONTA]],BaseContasDRE[#All],4,FALSE))</f>
        <v>Fora do DRE</v>
      </c>
      <c r="T1930" s="3" t="str">
        <f>IF(ISERROR(VLOOKUP(Base_Periodo1[[#This Row],[CONTA]],BaseContasDRE[#All],5,FALSE)),"Fora do DRE",VLOOKUP(Base_Periodo1[[#This Row],[CONTA]],BaseContasDRE[#All],6,FALSE))</f>
        <v>Fora do DRE</v>
      </c>
      <c r="U1930" s="3" t="str">
        <f>IF(ISERROR(VLOOKUP(Base_Periodo1[[#This Row],[CONTA]],BaseContasDRE[#All],7,FALSE)),"Fora do DRE",VLOOKUP(Base_Periodo1[[#This Row],[CONTA]],BaseContasDRE[#All],7,FALSE))</f>
        <v>Fora do DRE</v>
      </c>
      <c r="V1930" s="3" t="str">
        <f>IF(Base_Periodo1[[#This Row],[Tipo_Linha]]="Fora do DRE","Fora do DRE","( "&amp;Base_Periodo1[[#This Row],[Tipo_Linha]]&amp;" ) "&amp;Base_Periodo1[[#This Row],[Filtro]])</f>
        <v>Fora do DRE</v>
      </c>
      <c r="W1930" s="3" t="str">
        <f>LEFT(Base_Periodo1[[#This Row],[CLASS]],3)</f>
        <v>1.1</v>
      </c>
    </row>
    <row r="1931" spans="1:23" hidden="1">
      <c r="A1931" s="3" t="str">
        <f t="shared" si="30"/>
        <v>Período 1</v>
      </c>
      <c r="B1931">
        <v>31381</v>
      </c>
      <c r="C1931" t="s">
        <v>1529</v>
      </c>
      <c r="D1931" t="s">
        <v>1530</v>
      </c>
      <c r="E1931" s="3" t="str">
        <f>IF(LEN(Base_Periodo1[[#This Row],[CLASS]])&gt;=7,LEFT(Base_Periodo1[[#This Row],[CLASS]],7),"")</f>
        <v>1.1.3.1</v>
      </c>
      <c r="F1931" s="3" t="str">
        <f>VLOOKUP(Base_Periodo1[[#This Row],[Aux]],Base_Contas_Balanco[#All],2,FALSE)</f>
        <v>Estoques Proprios</v>
      </c>
      <c r="G1931" s="1">
        <v>42886</v>
      </c>
      <c r="H1931" s="225">
        <v>24029.160000000033</v>
      </c>
      <c r="I1931" s="225">
        <v>6646</v>
      </c>
      <c r="J1931" s="225">
        <v>0</v>
      </c>
      <c r="K1931" s="225">
        <v>30675.160000000033</v>
      </c>
      <c r="L19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30675.16</v>
      </c>
      <c r="M1931" s="225">
        <f>ROUND(IF(AND(Base_Periodo1[[#This Row],[Tipo_Linha]]="-",Base_Periodo1[[#This Row],[TIPOSALDO]]="D"),Base_Periodo1[[#This Row],[SALDO_ATUAL]]*-1,Base_Periodo1[[#This Row],[SALDO_ATUAL]]),4)</f>
        <v>30675.16</v>
      </c>
      <c r="N1931" t="s">
        <v>116</v>
      </c>
      <c r="O1931" t="s">
        <v>397</v>
      </c>
      <c r="P1931" t="s">
        <v>397</v>
      </c>
      <c r="Q1931">
        <v>7</v>
      </c>
      <c r="R1931" s="225">
        <f>Base_Periodo1[[#This Row],[CREDITOS]]-Base_Periodo1[[#This Row],[DEBITOS]]</f>
        <v>-6646</v>
      </c>
      <c r="S1931" s="3" t="str">
        <f>IF(ISERROR(VLOOKUP(Base_Periodo1[[#This Row],[CONTA]],BaseContasDRE[#All],4,FALSE)),"Fora do DRE",VLOOKUP(Base_Periodo1[[#This Row],[CONTA]],BaseContasDRE[#All],4,FALSE))</f>
        <v>Fora do DRE</v>
      </c>
      <c r="T1931" s="3" t="str">
        <f>IF(ISERROR(VLOOKUP(Base_Periodo1[[#This Row],[CONTA]],BaseContasDRE[#All],5,FALSE)),"Fora do DRE",VLOOKUP(Base_Periodo1[[#This Row],[CONTA]],BaseContasDRE[#All],6,FALSE))</f>
        <v>Fora do DRE</v>
      </c>
      <c r="U1931" s="3" t="str">
        <f>IF(ISERROR(VLOOKUP(Base_Periodo1[[#This Row],[CONTA]],BaseContasDRE[#All],7,FALSE)),"Fora do DRE",VLOOKUP(Base_Periodo1[[#This Row],[CONTA]],BaseContasDRE[#All],7,FALSE))</f>
        <v>Fora do DRE</v>
      </c>
      <c r="V1931" s="3" t="str">
        <f>IF(Base_Periodo1[[#This Row],[Tipo_Linha]]="Fora do DRE","Fora do DRE","( "&amp;Base_Periodo1[[#This Row],[Tipo_Linha]]&amp;" ) "&amp;Base_Periodo1[[#This Row],[Filtro]])</f>
        <v>Fora do DRE</v>
      </c>
      <c r="W1931" s="3" t="str">
        <f>LEFT(Base_Periodo1[[#This Row],[CLASS]],3)</f>
        <v>1.1</v>
      </c>
    </row>
    <row r="1932" spans="1:23" hidden="1">
      <c r="A1932" s="3" t="str">
        <f t="shared" si="30"/>
        <v>Período 1</v>
      </c>
      <c r="B1932">
        <v>31382</v>
      </c>
      <c r="C1932" t="s">
        <v>5934</v>
      </c>
      <c r="D1932" t="s">
        <v>5935</v>
      </c>
      <c r="E1932" s="3" t="str">
        <f>IF(LEN(Base_Periodo1[[#This Row],[CLASS]])&gt;=7,LEFT(Base_Periodo1[[#This Row],[CLASS]],7),"")</f>
        <v>1.1.3.1</v>
      </c>
      <c r="F1932" s="3" t="str">
        <f>VLOOKUP(Base_Periodo1[[#This Row],[Aux]],Base_Contas_Balanco[#All],2,FALSE)</f>
        <v>Estoques Proprios</v>
      </c>
      <c r="G1932" s="1">
        <v>42886</v>
      </c>
      <c r="H1932" s="225">
        <v>5233.2200000000012</v>
      </c>
      <c r="I1932" s="225">
        <v>5604.6100000000006</v>
      </c>
      <c r="J1932" s="225">
        <v>0</v>
      </c>
      <c r="K1932" s="225">
        <v>10837.830000000002</v>
      </c>
      <c r="L19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10837.83</v>
      </c>
      <c r="M1932" s="225">
        <f>ROUND(IF(AND(Base_Periodo1[[#This Row],[Tipo_Linha]]="-",Base_Periodo1[[#This Row],[TIPOSALDO]]="D"),Base_Periodo1[[#This Row],[SALDO_ATUAL]]*-1,Base_Periodo1[[#This Row],[SALDO_ATUAL]]),4)</f>
        <v>10837.83</v>
      </c>
      <c r="N1932" t="s">
        <v>116</v>
      </c>
      <c r="O1932" t="s">
        <v>397</v>
      </c>
      <c r="P1932" t="s">
        <v>397</v>
      </c>
      <c r="Q1932">
        <v>7</v>
      </c>
      <c r="R1932" s="225">
        <f>Base_Periodo1[[#This Row],[CREDITOS]]-Base_Periodo1[[#This Row],[DEBITOS]]</f>
        <v>-5604.6100000000006</v>
      </c>
      <c r="S1932" s="3" t="str">
        <f>IF(ISERROR(VLOOKUP(Base_Periodo1[[#This Row],[CONTA]],BaseContasDRE[#All],4,FALSE)),"Fora do DRE",VLOOKUP(Base_Periodo1[[#This Row],[CONTA]],BaseContasDRE[#All],4,FALSE))</f>
        <v>Fora do DRE</v>
      </c>
      <c r="T1932" s="3" t="str">
        <f>IF(ISERROR(VLOOKUP(Base_Periodo1[[#This Row],[CONTA]],BaseContasDRE[#All],5,FALSE)),"Fora do DRE",VLOOKUP(Base_Periodo1[[#This Row],[CONTA]],BaseContasDRE[#All],6,FALSE))</f>
        <v>Fora do DRE</v>
      </c>
      <c r="U1932" s="3" t="str">
        <f>IF(ISERROR(VLOOKUP(Base_Periodo1[[#This Row],[CONTA]],BaseContasDRE[#All],7,FALSE)),"Fora do DRE",VLOOKUP(Base_Periodo1[[#This Row],[CONTA]],BaseContasDRE[#All],7,FALSE))</f>
        <v>Fora do DRE</v>
      </c>
      <c r="V1932" s="3" t="str">
        <f>IF(Base_Periodo1[[#This Row],[Tipo_Linha]]="Fora do DRE","Fora do DRE","( "&amp;Base_Periodo1[[#This Row],[Tipo_Linha]]&amp;" ) "&amp;Base_Periodo1[[#This Row],[Filtro]])</f>
        <v>Fora do DRE</v>
      </c>
      <c r="W1932" s="3" t="str">
        <f>LEFT(Base_Periodo1[[#This Row],[CLASS]],3)</f>
        <v>1.1</v>
      </c>
    </row>
    <row r="1933" spans="1:23" hidden="1">
      <c r="A1933" s="3" t="str">
        <f t="shared" si="30"/>
        <v>Período 1</v>
      </c>
      <c r="B1933">
        <v>31383</v>
      </c>
      <c r="C1933" t="s">
        <v>1531</v>
      </c>
      <c r="D1933" t="s">
        <v>1532</v>
      </c>
      <c r="E1933" s="3" t="str">
        <f>IF(LEN(Base_Periodo1[[#This Row],[CLASS]])&gt;=7,LEFT(Base_Periodo1[[#This Row],[CLASS]],7),"")</f>
        <v>1.1.3.1</v>
      </c>
      <c r="F1933" s="3" t="str">
        <f>VLOOKUP(Base_Periodo1[[#This Row],[Aux]],Base_Contas_Balanco[#All],2,FALSE)</f>
        <v>Estoques Proprios</v>
      </c>
      <c r="G1933" s="1">
        <v>42886</v>
      </c>
      <c r="H1933" s="225">
        <v>49247.489999999991</v>
      </c>
      <c r="I1933" s="225">
        <v>16203.130000000001</v>
      </c>
      <c r="J1933" s="225">
        <v>685.65</v>
      </c>
      <c r="K1933" s="225">
        <v>64764.969999999994</v>
      </c>
      <c r="L19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64764.97</v>
      </c>
      <c r="M1933" s="225">
        <f>ROUND(IF(AND(Base_Periodo1[[#This Row],[Tipo_Linha]]="-",Base_Periodo1[[#This Row],[TIPOSALDO]]="D"),Base_Periodo1[[#This Row],[SALDO_ATUAL]]*-1,Base_Periodo1[[#This Row],[SALDO_ATUAL]]),4)</f>
        <v>64764.97</v>
      </c>
      <c r="N1933" t="s">
        <v>116</v>
      </c>
      <c r="O1933" t="s">
        <v>397</v>
      </c>
      <c r="P1933" t="s">
        <v>397</v>
      </c>
      <c r="Q1933">
        <v>7</v>
      </c>
      <c r="R1933" s="225">
        <f>Base_Periodo1[[#This Row],[CREDITOS]]-Base_Periodo1[[#This Row],[DEBITOS]]</f>
        <v>-15517.480000000001</v>
      </c>
      <c r="S1933" s="3" t="str">
        <f>IF(ISERROR(VLOOKUP(Base_Periodo1[[#This Row],[CONTA]],BaseContasDRE[#All],4,FALSE)),"Fora do DRE",VLOOKUP(Base_Periodo1[[#This Row],[CONTA]],BaseContasDRE[#All],4,FALSE))</f>
        <v>Fora do DRE</v>
      </c>
      <c r="T1933" s="3" t="str">
        <f>IF(ISERROR(VLOOKUP(Base_Periodo1[[#This Row],[CONTA]],BaseContasDRE[#All],5,FALSE)),"Fora do DRE",VLOOKUP(Base_Periodo1[[#This Row],[CONTA]],BaseContasDRE[#All],6,FALSE))</f>
        <v>Fora do DRE</v>
      </c>
      <c r="U1933" s="3" t="str">
        <f>IF(ISERROR(VLOOKUP(Base_Periodo1[[#This Row],[CONTA]],BaseContasDRE[#All],7,FALSE)),"Fora do DRE",VLOOKUP(Base_Periodo1[[#This Row],[CONTA]],BaseContasDRE[#All],7,FALSE))</f>
        <v>Fora do DRE</v>
      </c>
      <c r="V1933" s="3" t="str">
        <f>IF(Base_Periodo1[[#This Row],[Tipo_Linha]]="Fora do DRE","Fora do DRE","( "&amp;Base_Periodo1[[#This Row],[Tipo_Linha]]&amp;" ) "&amp;Base_Periodo1[[#This Row],[Filtro]])</f>
        <v>Fora do DRE</v>
      </c>
      <c r="W1933" s="3" t="str">
        <f>LEFT(Base_Periodo1[[#This Row],[CLASS]],3)</f>
        <v>1.1</v>
      </c>
    </row>
    <row r="1934" spans="1:23" hidden="1">
      <c r="A1934" s="3" t="str">
        <f t="shared" si="30"/>
        <v>Período 1</v>
      </c>
      <c r="B1934">
        <v>31384</v>
      </c>
      <c r="C1934" t="s">
        <v>1533</v>
      </c>
      <c r="D1934" t="s">
        <v>1534</v>
      </c>
      <c r="E1934" s="3" t="str">
        <f>IF(LEN(Base_Periodo1[[#This Row],[CLASS]])&gt;=7,LEFT(Base_Periodo1[[#This Row],[CLASS]],7),"")</f>
        <v>1.1.3.1</v>
      </c>
      <c r="F1934" s="3" t="str">
        <f>VLOOKUP(Base_Periodo1[[#This Row],[Aux]],Base_Contas_Balanco[#All],2,FALSE)</f>
        <v>Estoques Proprios</v>
      </c>
      <c r="G1934" s="1">
        <v>42886</v>
      </c>
      <c r="H1934" s="225">
        <v>179796.62999999989</v>
      </c>
      <c r="I1934" s="225">
        <v>59243.939999999995</v>
      </c>
      <c r="J1934" s="225">
        <v>2468.3599999999997</v>
      </c>
      <c r="K1934" s="225">
        <v>236572.2099999999</v>
      </c>
      <c r="L19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236572.21</v>
      </c>
      <c r="M1934" s="225">
        <f>ROUND(IF(AND(Base_Periodo1[[#This Row],[Tipo_Linha]]="-",Base_Periodo1[[#This Row],[TIPOSALDO]]="D"),Base_Periodo1[[#This Row],[SALDO_ATUAL]]*-1,Base_Periodo1[[#This Row],[SALDO_ATUAL]]),4)</f>
        <v>236572.21</v>
      </c>
      <c r="N1934" t="s">
        <v>116</v>
      </c>
      <c r="O1934" t="s">
        <v>397</v>
      </c>
      <c r="P1934" t="s">
        <v>397</v>
      </c>
      <c r="Q1934">
        <v>7</v>
      </c>
      <c r="R1934" s="225">
        <f>Base_Periodo1[[#This Row],[CREDITOS]]-Base_Periodo1[[#This Row],[DEBITOS]]</f>
        <v>-56775.579999999994</v>
      </c>
      <c r="S1934" s="3" t="str">
        <f>IF(ISERROR(VLOOKUP(Base_Periodo1[[#This Row],[CONTA]],BaseContasDRE[#All],4,FALSE)),"Fora do DRE",VLOOKUP(Base_Periodo1[[#This Row],[CONTA]],BaseContasDRE[#All],4,FALSE))</f>
        <v>Fora do DRE</v>
      </c>
      <c r="T1934" s="3" t="str">
        <f>IF(ISERROR(VLOOKUP(Base_Periodo1[[#This Row],[CONTA]],BaseContasDRE[#All],5,FALSE)),"Fora do DRE",VLOOKUP(Base_Periodo1[[#This Row],[CONTA]],BaseContasDRE[#All],6,FALSE))</f>
        <v>Fora do DRE</v>
      </c>
      <c r="U1934" s="3" t="str">
        <f>IF(ISERROR(VLOOKUP(Base_Periodo1[[#This Row],[CONTA]],BaseContasDRE[#All],7,FALSE)),"Fora do DRE",VLOOKUP(Base_Periodo1[[#This Row],[CONTA]],BaseContasDRE[#All],7,FALSE))</f>
        <v>Fora do DRE</v>
      </c>
      <c r="V1934" s="3" t="str">
        <f>IF(Base_Periodo1[[#This Row],[Tipo_Linha]]="Fora do DRE","Fora do DRE","( "&amp;Base_Periodo1[[#This Row],[Tipo_Linha]]&amp;" ) "&amp;Base_Periodo1[[#This Row],[Filtro]])</f>
        <v>Fora do DRE</v>
      </c>
      <c r="W1934" s="3" t="str">
        <f>LEFT(Base_Periodo1[[#This Row],[CLASS]],3)</f>
        <v>1.1</v>
      </c>
    </row>
    <row r="1935" spans="1:23" hidden="1">
      <c r="A1935" s="3" t="str">
        <f t="shared" si="30"/>
        <v>Período 1</v>
      </c>
      <c r="B1935">
        <v>31385</v>
      </c>
      <c r="C1935" t="s">
        <v>1535</v>
      </c>
      <c r="D1935" t="s">
        <v>1536</v>
      </c>
      <c r="E1935" s="3" t="str">
        <f>IF(LEN(Base_Periodo1[[#This Row],[CLASS]])&gt;=7,LEFT(Base_Periodo1[[#This Row],[CLASS]],7),"")</f>
        <v>1.1.3.1</v>
      </c>
      <c r="F1935" s="3" t="str">
        <f>VLOOKUP(Base_Periodo1[[#This Row],[Aux]],Base_Contas_Balanco[#All],2,FALSE)</f>
        <v>Estoques Proprios</v>
      </c>
      <c r="G1935" s="1">
        <v>42886</v>
      </c>
      <c r="H1935" s="225">
        <v>6459.7700000000332</v>
      </c>
      <c r="I1935" s="225">
        <v>2088.6000000000004</v>
      </c>
      <c r="J1935" s="225">
        <v>85.710000000000008</v>
      </c>
      <c r="K1935" s="225">
        <v>8462.6600000000344</v>
      </c>
      <c r="L19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8462.66</v>
      </c>
      <c r="M1935" s="225">
        <f>ROUND(IF(AND(Base_Periodo1[[#This Row],[Tipo_Linha]]="-",Base_Periodo1[[#This Row],[TIPOSALDO]]="D"),Base_Periodo1[[#This Row],[SALDO_ATUAL]]*-1,Base_Periodo1[[#This Row],[SALDO_ATUAL]]),4)</f>
        <v>8462.66</v>
      </c>
      <c r="N1935" t="s">
        <v>116</v>
      </c>
      <c r="O1935" t="s">
        <v>397</v>
      </c>
      <c r="P1935" t="s">
        <v>397</v>
      </c>
      <c r="Q1935">
        <v>7</v>
      </c>
      <c r="R1935" s="225">
        <f>Base_Periodo1[[#This Row],[CREDITOS]]-Base_Periodo1[[#This Row],[DEBITOS]]</f>
        <v>-2002.8900000000003</v>
      </c>
      <c r="S1935" s="3" t="str">
        <f>IF(ISERROR(VLOOKUP(Base_Periodo1[[#This Row],[CONTA]],BaseContasDRE[#All],4,FALSE)),"Fora do DRE",VLOOKUP(Base_Periodo1[[#This Row],[CONTA]],BaseContasDRE[#All],4,FALSE))</f>
        <v>Fora do DRE</v>
      </c>
      <c r="T1935" s="3" t="str">
        <f>IF(ISERROR(VLOOKUP(Base_Periodo1[[#This Row],[CONTA]],BaseContasDRE[#All],5,FALSE)),"Fora do DRE",VLOOKUP(Base_Periodo1[[#This Row],[CONTA]],BaseContasDRE[#All],6,FALSE))</f>
        <v>Fora do DRE</v>
      </c>
      <c r="U1935" s="3" t="str">
        <f>IF(ISERROR(VLOOKUP(Base_Periodo1[[#This Row],[CONTA]],BaseContasDRE[#All],7,FALSE)),"Fora do DRE",VLOOKUP(Base_Periodo1[[#This Row],[CONTA]],BaseContasDRE[#All],7,FALSE))</f>
        <v>Fora do DRE</v>
      </c>
      <c r="V1935" s="3" t="str">
        <f>IF(Base_Periodo1[[#This Row],[Tipo_Linha]]="Fora do DRE","Fora do DRE","( "&amp;Base_Periodo1[[#This Row],[Tipo_Linha]]&amp;" ) "&amp;Base_Periodo1[[#This Row],[Filtro]])</f>
        <v>Fora do DRE</v>
      </c>
      <c r="W1935" s="3" t="str">
        <f>LEFT(Base_Periodo1[[#This Row],[CLASS]],3)</f>
        <v>1.1</v>
      </c>
    </row>
    <row r="1936" spans="1:23" hidden="1">
      <c r="A1936" s="3" t="str">
        <f t="shared" si="30"/>
        <v>Período 1</v>
      </c>
      <c r="B1936">
        <v>31386</v>
      </c>
      <c r="C1936" t="s">
        <v>1537</v>
      </c>
      <c r="D1936" t="s">
        <v>1538</v>
      </c>
      <c r="E1936" s="3" t="str">
        <f>IF(LEN(Base_Periodo1[[#This Row],[CLASS]])&gt;=7,LEFT(Base_Periodo1[[#This Row],[CLASS]],7),"")</f>
        <v>1.1.3.1</v>
      </c>
      <c r="F1936" s="3" t="str">
        <f>VLOOKUP(Base_Periodo1[[#This Row],[Aux]],Base_Contas_Balanco[#All],2,FALSE)</f>
        <v>Estoques Proprios</v>
      </c>
      <c r="G1936" s="1">
        <v>42886</v>
      </c>
      <c r="H1936" s="225">
        <v>46579.039999999979</v>
      </c>
      <c r="I1936" s="225">
        <v>14114.710000000003</v>
      </c>
      <c r="J1936" s="225">
        <v>0</v>
      </c>
      <c r="K1936" s="225">
        <v>60693.749999999985</v>
      </c>
      <c r="L19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60693.75</v>
      </c>
      <c r="M1936" s="225">
        <f>ROUND(IF(AND(Base_Periodo1[[#This Row],[Tipo_Linha]]="-",Base_Periodo1[[#This Row],[TIPOSALDO]]="D"),Base_Periodo1[[#This Row],[SALDO_ATUAL]]*-1,Base_Periodo1[[#This Row],[SALDO_ATUAL]]),4)</f>
        <v>60693.75</v>
      </c>
      <c r="N1936" t="s">
        <v>116</v>
      </c>
      <c r="O1936" t="s">
        <v>397</v>
      </c>
      <c r="P1936" t="s">
        <v>397</v>
      </c>
      <c r="Q1936">
        <v>7</v>
      </c>
      <c r="R1936" s="225">
        <f>Base_Periodo1[[#This Row],[CREDITOS]]-Base_Periodo1[[#This Row],[DEBITOS]]</f>
        <v>-14114.710000000003</v>
      </c>
      <c r="S1936" s="3" t="str">
        <f>IF(ISERROR(VLOOKUP(Base_Periodo1[[#This Row],[CONTA]],BaseContasDRE[#All],4,FALSE)),"Fora do DRE",VLOOKUP(Base_Periodo1[[#This Row],[CONTA]],BaseContasDRE[#All],4,FALSE))</f>
        <v>Fora do DRE</v>
      </c>
      <c r="T1936" s="3" t="str">
        <f>IF(ISERROR(VLOOKUP(Base_Periodo1[[#This Row],[CONTA]],BaseContasDRE[#All],5,FALSE)),"Fora do DRE",VLOOKUP(Base_Periodo1[[#This Row],[CONTA]],BaseContasDRE[#All],6,FALSE))</f>
        <v>Fora do DRE</v>
      </c>
      <c r="U1936" s="3" t="str">
        <f>IF(ISERROR(VLOOKUP(Base_Periodo1[[#This Row],[CONTA]],BaseContasDRE[#All],7,FALSE)),"Fora do DRE",VLOOKUP(Base_Periodo1[[#This Row],[CONTA]],BaseContasDRE[#All],7,FALSE))</f>
        <v>Fora do DRE</v>
      </c>
      <c r="V1936" s="3" t="str">
        <f>IF(Base_Periodo1[[#This Row],[Tipo_Linha]]="Fora do DRE","Fora do DRE","( "&amp;Base_Periodo1[[#This Row],[Tipo_Linha]]&amp;" ) "&amp;Base_Periodo1[[#This Row],[Filtro]])</f>
        <v>Fora do DRE</v>
      </c>
      <c r="W1936" s="3" t="str">
        <f>LEFT(Base_Periodo1[[#This Row],[CLASS]],3)</f>
        <v>1.1</v>
      </c>
    </row>
    <row r="1937" spans="1:23" hidden="1">
      <c r="A1937" s="3" t="str">
        <f t="shared" si="30"/>
        <v>Período 1</v>
      </c>
      <c r="B1937">
        <v>31387</v>
      </c>
      <c r="C1937" t="s">
        <v>1539</v>
      </c>
      <c r="D1937" t="s">
        <v>1540</v>
      </c>
      <c r="E1937" s="3" t="str">
        <f>IF(LEN(Base_Periodo1[[#This Row],[CLASS]])&gt;=7,LEFT(Base_Periodo1[[#This Row],[CLASS]],7),"")</f>
        <v>1.1.3.1</v>
      </c>
      <c r="F1937" s="3" t="str">
        <f>VLOOKUP(Base_Periodo1[[#This Row],[Aux]],Base_Contas_Balanco[#All],2,FALSE)</f>
        <v>Estoques Proprios</v>
      </c>
      <c r="G1937" s="1">
        <v>42886</v>
      </c>
      <c r="H1937" s="225">
        <v>66939.510000000068</v>
      </c>
      <c r="I1937" s="225">
        <v>20815.989999999998</v>
      </c>
      <c r="J1937" s="225">
        <v>0</v>
      </c>
      <c r="K1937" s="225">
        <v>87755.500000000058</v>
      </c>
      <c r="L19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87755.5</v>
      </c>
      <c r="M1937" s="225">
        <f>ROUND(IF(AND(Base_Periodo1[[#This Row],[Tipo_Linha]]="-",Base_Periodo1[[#This Row],[TIPOSALDO]]="D"),Base_Periodo1[[#This Row],[SALDO_ATUAL]]*-1,Base_Periodo1[[#This Row],[SALDO_ATUAL]]),4)</f>
        <v>87755.5</v>
      </c>
      <c r="N1937" t="s">
        <v>116</v>
      </c>
      <c r="O1937" t="s">
        <v>397</v>
      </c>
      <c r="P1937" t="s">
        <v>397</v>
      </c>
      <c r="Q1937">
        <v>7</v>
      </c>
      <c r="R1937" s="225">
        <f>Base_Periodo1[[#This Row],[CREDITOS]]-Base_Periodo1[[#This Row],[DEBITOS]]</f>
        <v>-20815.989999999998</v>
      </c>
      <c r="S1937" s="3" t="str">
        <f>IF(ISERROR(VLOOKUP(Base_Periodo1[[#This Row],[CONTA]],BaseContasDRE[#All],4,FALSE)),"Fora do DRE",VLOOKUP(Base_Periodo1[[#This Row],[CONTA]],BaseContasDRE[#All],4,FALSE))</f>
        <v>Fora do DRE</v>
      </c>
      <c r="T1937" s="3" t="str">
        <f>IF(ISERROR(VLOOKUP(Base_Periodo1[[#This Row],[CONTA]],BaseContasDRE[#All],5,FALSE)),"Fora do DRE",VLOOKUP(Base_Periodo1[[#This Row],[CONTA]],BaseContasDRE[#All],6,FALSE))</f>
        <v>Fora do DRE</v>
      </c>
      <c r="U1937" s="3" t="str">
        <f>IF(ISERROR(VLOOKUP(Base_Periodo1[[#This Row],[CONTA]],BaseContasDRE[#All],7,FALSE)),"Fora do DRE",VLOOKUP(Base_Periodo1[[#This Row],[CONTA]],BaseContasDRE[#All],7,FALSE))</f>
        <v>Fora do DRE</v>
      </c>
      <c r="V1937" s="3" t="str">
        <f>IF(Base_Periodo1[[#This Row],[Tipo_Linha]]="Fora do DRE","Fora do DRE","( "&amp;Base_Periodo1[[#This Row],[Tipo_Linha]]&amp;" ) "&amp;Base_Periodo1[[#This Row],[Filtro]])</f>
        <v>Fora do DRE</v>
      </c>
      <c r="W1937" s="3" t="str">
        <f>LEFT(Base_Periodo1[[#This Row],[CLASS]],3)</f>
        <v>1.1</v>
      </c>
    </row>
    <row r="1938" spans="1:23" hidden="1">
      <c r="A1938" s="3" t="str">
        <f t="shared" si="30"/>
        <v>Período 1</v>
      </c>
      <c r="B1938">
        <v>31391</v>
      </c>
      <c r="C1938" t="s">
        <v>1541</v>
      </c>
      <c r="D1938" t="s">
        <v>1542</v>
      </c>
      <c r="E1938" s="3" t="str">
        <f>IF(LEN(Base_Periodo1[[#This Row],[CLASS]])&gt;=7,LEFT(Base_Periodo1[[#This Row],[CLASS]],7),"")</f>
        <v>1.1.3.1</v>
      </c>
      <c r="F1938" s="3" t="str">
        <f>VLOOKUP(Base_Periodo1[[#This Row],[Aux]],Base_Contas_Balanco[#All],2,FALSE)</f>
        <v>Estoques Proprios</v>
      </c>
      <c r="G1938" s="1">
        <v>42873</v>
      </c>
      <c r="H1938" s="225">
        <v>193000.57999999973</v>
      </c>
      <c r="I1938" s="225">
        <v>175757.52</v>
      </c>
      <c r="J1938" s="225">
        <v>0</v>
      </c>
      <c r="K1938" s="225">
        <v>368758.09999999974</v>
      </c>
      <c r="L19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368758.1</v>
      </c>
      <c r="M1938" s="225">
        <f>ROUND(IF(AND(Base_Periodo1[[#This Row],[Tipo_Linha]]="-",Base_Periodo1[[#This Row],[TIPOSALDO]]="D"),Base_Periodo1[[#This Row],[SALDO_ATUAL]]*-1,Base_Periodo1[[#This Row],[SALDO_ATUAL]]),4)</f>
        <v>368758.1</v>
      </c>
      <c r="N1938" t="s">
        <v>116</v>
      </c>
      <c r="O1938" t="s">
        <v>397</v>
      </c>
      <c r="P1938" t="s">
        <v>397</v>
      </c>
      <c r="Q1938">
        <v>7</v>
      </c>
      <c r="R1938" s="225">
        <f>Base_Periodo1[[#This Row],[CREDITOS]]-Base_Periodo1[[#This Row],[DEBITOS]]</f>
        <v>-175757.52</v>
      </c>
      <c r="S1938" s="3" t="str">
        <f>IF(ISERROR(VLOOKUP(Base_Periodo1[[#This Row],[CONTA]],BaseContasDRE[#All],4,FALSE)),"Fora do DRE",VLOOKUP(Base_Periodo1[[#This Row],[CONTA]],BaseContasDRE[#All],4,FALSE))</f>
        <v>Fora do DRE</v>
      </c>
      <c r="T1938" s="3" t="str">
        <f>IF(ISERROR(VLOOKUP(Base_Periodo1[[#This Row],[CONTA]],BaseContasDRE[#All],5,FALSE)),"Fora do DRE",VLOOKUP(Base_Periodo1[[#This Row],[CONTA]],BaseContasDRE[#All],6,FALSE))</f>
        <v>Fora do DRE</v>
      </c>
      <c r="U1938" s="3" t="str">
        <f>IF(ISERROR(VLOOKUP(Base_Periodo1[[#This Row],[CONTA]],BaseContasDRE[#All],7,FALSE)),"Fora do DRE",VLOOKUP(Base_Periodo1[[#This Row],[CONTA]],BaseContasDRE[#All],7,FALSE))</f>
        <v>Fora do DRE</v>
      </c>
      <c r="V1938" s="3" t="str">
        <f>IF(Base_Periodo1[[#This Row],[Tipo_Linha]]="Fora do DRE","Fora do DRE","( "&amp;Base_Periodo1[[#This Row],[Tipo_Linha]]&amp;" ) "&amp;Base_Periodo1[[#This Row],[Filtro]])</f>
        <v>Fora do DRE</v>
      </c>
      <c r="W1938" s="3" t="str">
        <f>LEFT(Base_Periodo1[[#This Row],[CLASS]],3)</f>
        <v>1.1</v>
      </c>
    </row>
    <row r="1939" spans="1:23" hidden="1">
      <c r="A1939" s="3" t="str">
        <f t="shared" si="30"/>
        <v>Período 1</v>
      </c>
      <c r="B1939">
        <v>31392</v>
      </c>
      <c r="C1939" t="s">
        <v>4840</v>
      </c>
      <c r="D1939" t="s">
        <v>4841</v>
      </c>
      <c r="E1939" s="3" t="str">
        <f>IF(LEN(Base_Periodo1[[#This Row],[CLASS]])&gt;=7,LEFT(Base_Periodo1[[#This Row],[CLASS]],7),"")</f>
        <v>1.1.3.1</v>
      </c>
      <c r="F1939" s="3" t="str">
        <f>VLOOKUP(Base_Periodo1[[#This Row],[Aux]],Base_Contas_Balanco[#All],2,FALSE)</f>
        <v>Estoques Proprios</v>
      </c>
      <c r="G1939" s="1">
        <v>42844</v>
      </c>
      <c r="H1939" s="225">
        <v>56848</v>
      </c>
      <c r="I1939" s="225">
        <v>0</v>
      </c>
      <c r="J1939" s="225">
        <v>0</v>
      </c>
      <c r="K1939" s="225">
        <v>56848</v>
      </c>
      <c r="L19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56848</v>
      </c>
      <c r="M1939" s="225">
        <f>ROUND(IF(AND(Base_Periodo1[[#This Row],[Tipo_Linha]]="-",Base_Periodo1[[#This Row],[TIPOSALDO]]="D"),Base_Periodo1[[#This Row],[SALDO_ATUAL]]*-1,Base_Periodo1[[#This Row],[SALDO_ATUAL]]),4)</f>
        <v>56848</v>
      </c>
      <c r="N1939" t="s">
        <v>116</v>
      </c>
      <c r="O1939" t="s">
        <v>397</v>
      </c>
      <c r="P1939" t="s">
        <v>397</v>
      </c>
      <c r="Q1939">
        <v>7</v>
      </c>
      <c r="R1939" s="225">
        <f>Base_Periodo1[[#This Row],[CREDITOS]]-Base_Periodo1[[#This Row],[DEBITOS]]</f>
        <v>0</v>
      </c>
      <c r="S1939" s="3" t="str">
        <f>IF(ISERROR(VLOOKUP(Base_Periodo1[[#This Row],[CONTA]],BaseContasDRE[#All],4,FALSE)),"Fora do DRE",VLOOKUP(Base_Periodo1[[#This Row],[CONTA]],BaseContasDRE[#All],4,FALSE))</f>
        <v>Fora do DRE</v>
      </c>
      <c r="T1939" s="3" t="str">
        <f>IF(ISERROR(VLOOKUP(Base_Periodo1[[#This Row],[CONTA]],BaseContasDRE[#All],5,FALSE)),"Fora do DRE",VLOOKUP(Base_Periodo1[[#This Row],[CONTA]],BaseContasDRE[#All],6,FALSE))</f>
        <v>Fora do DRE</v>
      </c>
      <c r="U1939" s="3" t="str">
        <f>IF(ISERROR(VLOOKUP(Base_Periodo1[[#This Row],[CONTA]],BaseContasDRE[#All],7,FALSE)),"Fora do DRE",VLOOKUP(Base_Periodo1[[#This Row],[CONTA]],BaseContasDRE[#All],7,FALSE))</f>
        <v>Fora do DRE</v>
      </c>
      <c r="V1939" s="3" t="str">
        <f>IF(Base_Periodo1[[#This Row],[Tipo_Linha]]="Fora do DRE","Fora do DRE","( "&amp;Base_Periodo1[[#This Row],[Tipo_Linha]]&amp;" ) "&amp;Base_Periodo1[[#This Row],[Filtro]])</f>
        <v>Fora do DRE</v>
      </c>
      <c r="W1939" s="3" t="str">
        <f>LEFT(Base_Periodo1[[#This Row],[CLASS]],3)</f>
        <v>1.1</v>
      </c>
    </row>
    <row r="1940" spans="1:23" hidden="1">
      <c r="A1940" s="3" t="str">
        <f t="shared" si="30"/>
        <v>Período 1</v>
      </c>
      <c r="B1940">
        <v>31394</v>
      </c>
      <c r="C1940" t="s">
        <v>1543</v>
      </c>
      <c r="D1940" t="s">
        <v>1544</v>
      </c>
      <c r="E1940" s="3" t="str">
        <f>IF(LEN(Base_Periodo1[[#This Row],[CLASS]])&gt;=7,LEFT(Base_Periodo1[[#This Row],[CLASS]],7),"")</f>
        <v>1.1.3.1</v>
      </c>
      <c r="F1940" s="3" t="str">
        <f>VLOOKUP(Base_Periodo1[[#This Row],[Aux]],Base_Contas_Balanco[#All],2,FALSE)</f>
        <v>Estoques Proprios</v>
      </c>
      <c r="G1940" s="1">
        <v>42886</v>
      </c>
      <c r="H1940" s="225">
        <v>65320.500000000058</v>
      </c>
      <c r="I1940" s="225">
        <v>50087.05</v>
      </c>
      <c r="J1940" s="225">
        <v>1680</v>
      </c>
      <c r="K1940" s="225">
        <v>113727.55000000006</v>
      </c>
      <c r="L19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113727.55</v>
      </c>
      <c r="M1940" s="225">
        <f>ROUND(IF(AND(Base_Periodo1[[#This Row],[Tipo_Linha]]="-",Base_Periodo1[[#This Row],[TIPOSALDO]]="D"),Base_Periodo1[[#This Row],[SALDO_ATUAL]]*-1,Base_Periodo1[[#This Row],[SALDO_ATUAL]]),4)</f>
        <v>113727.55</v>
      </c>
      <c r="N1940" t="s">
        <v>116</v>
      </c>
      <c r="O1940" t="s">
        <v>397</v>
      </c>
      <c r="P1940" t="s">
        <v>397</v>
      </c>
      <c r="Q1940">
        <v>7</v>
      </c>
      <c r="R1940" s="225">
        <f>Base_Periodo1[[#This Row],[CREDITOS]]-Base_Periodo1[[#This Row],[DEBITOS]]</f>
        <v>-48407.05</v>
      </c>
      <c r="S1940" s="3" t="str">
        <f>IF(ISERROR(VLOOKUP(Base_Periodo1[[#This Row],[CONTA]],BaseContasDRE[#All],4,FALSE)),"Fora do DRE",VLOOKUP(Base_Periodo1[[#This Row],[CONTA]],BaseContasDRE[#All],4,FALSE))</f>
        <v>Fora do DRE</v>
      </c>
      <c r="T1940" s="3" t="str">
        <f>IF(ISERROR(VLOOKUP(Base_Periodo1[[#This Row],[CONTA]],BaseContasDRE[#All],5,FALSE)),"Fora do DRE",VLOOKUP(Base_Periodo1[[#This Row],[CONTA]],BaseContasDRE[#All],6,FALSE))</f>
        <v>Fora do DRE</v>
      </c>
      <c r="U1940" s="3" t="str">
        <f>IF(ISERROR(VLOOKUP(Base_Periodo1[[#This Row],[CONTA]],BaseContasDRE[#All],7,FALSE)),"Fora do DRE",VLOOKUP(Base_Periodo1[[#This Row],[CONTA]],BaseContasDRE[#All],7,FALSE))</f>
        <v>Fora do DRE</v>
      </c>
      <c r="V1940" s="3" t="str">
        <f>IF(Base_Periodo1[[#This Row],[Tipo_Linha]]="Fora do DRE","Fora do DRE","( "&amp;Base_Periodo1[[#This Row],[Tipo_Linha]]&amp;" ) "&amp;Base_Periodo1[[#This Row],[Filtro]])</f>
        <v>Fora do DRE</v>
      </c>
      <c r="W1940" s="3" t="str">
        <f>LEFT(Base_Periodo1[[#This Row],[CLASS]],3)</f>
        <v>1.1</v>
      </c>
    </row>
    <row r="1941" spans="1:23" hidden="1">
      <c r="A1941" s="3" t="str">
        <f t="shared" si="30"/>
        <v>Período 1</v>
      </c>
      <c r="B1941">
        <v>34931</v>
      </c>
      <c r="C1941" t="s">
        <v>1545</v>
      </c>
      <c r="D1941" t="s">
        <v>1546</v>
      </c>
      <c r="E1941" s="3" t="str">
        <f>IF(LEN(Base_Periodo1[[#This Row],[CLASS]])&gt;=7,LEFT(Base_Periodo1[[#This Row],[CLASS]],7),"")</f>
        <v>1.1.3.1</v>
      </c>
      <c r="F1941" s="3" t="str">
        <f>VLOOKUP(Base_Periodo1[[#This Row],[Aux]],Base_Contas_Balanco[#All],2,FALSE)</f>
        <v>Estoques Proprios</v>
      </c>
      <c r="G1941" s="1">
        <v>42886</v>
      </c>
      <c r="H1941" s="225">
        <v>14798.660000000018</v>
      </c>
      <c r="I1941" s="225">
        <v>4148.34</v>
      </c>
      <c r="J1941" s="225">
        <v>0</v>
      </c>
      <c r="K1941" s="225">
        <v>18947.000000000018</v>
      </c>
      <c r="L19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18947</v>
      </c>
      <c r="M1941" s="225">
        <f>ROUND(IF(AND(Base_Periodo1[[#This Row],[Tipo_Linha]]="-",Base_Periodo1[[#This Row],[TIPOSALDO]]="D"),Base_Periodo1[[#This Row],[SALDO_ATUAL]]*-1,Base_Periodo1[[#This Row],[SALDO_ATUAL]]),4)</f>
        <v>18947</v>
      </c>
      <c r="N1941" t="s">
        <v>116</v>
      </c>
      <c r="O1941" t="s">
        <v>397</v>
      </c>
      <c r="P1941" t="s">
        <v>397</v>
      </c>
      <c r="Q1941">
        <v>7</v>
      </c>
      <c r="R1941" s="225">
        <f>Base_Periodo1[[#This Row],[CREDITOS]]-Base_Periodo1[[#This Row],[DEBITOS]]</f>
        <v>-4148.34</v>
      </c>
      <c r="S1941" s="3" t="str">
        <f>IF(ISERROR(VLOOKUP(Base_Periodo1[[#This Row],[CONTA]],BaseContasDRE[#All],4,FALSE)),"Fora do DRE",VLOOKUP(Base_Periodo1[[#This Row],[CONTA]],BaseContasDRE[#All],4,FALSE))</f>
        <v>Fora do DRE</v>
      </c>
      <c r="T1941" s="3" t="str">
        <f>IF(ISERROR(VLOOKUP(Base_Periodo1[[#This Row],[CONTA]],BaseContasDRE[#All],5,FALSE)),"Fora do DRE",VLOOKUP(Base_Periodo1[[#This Row],[CONTA]],BaseContasDRE[#All],6,FALSE))</f>
        <v>Fora do DRE</v>
      </c>
      <c r="U1941" s="3" t="str">
        <f>IF(ISERROR(VLOOKUP(Base_Periodo1[[#This Row],[CONTA]],BaseContasDRE[#All],7,FALSE)),"Fora do DRE",VLOOKUP(Base_Periodo1[[#This Row],[CONTA]],BaseContasDRE[#All],7,FALSE))</f>
        <v>Fora do DRE</v>
      </c>
      <c r="V1941" s="3" t="str">
        <f>IF(Base_Periodo1[[#This Row],[Tipo_Linha]]="Fora do DRE","Fora do DRE","( "&amp;Base_Periodo1[[#This Row],[Tipo_Linha]]&amp;" ) "&amp;Base_Periodo1[[#This Row],[Filtro]])</f>
        <v>Fora do DRE</v>
      </c>
      <c r="W1941" s="3" t="str">
        <f>LEFT(Base_Periodo1[[#This Row],[CLASS]],3)</f>
        <v>1.1</v>
      </c>
    </row>
    <row r="1942" spans="1:23" hidden="1">
      <c r="A1942" s="3" t="str">
        <f t="shared" si="30"/>
        <v>Período 1</v>
      </c>
      <c r="B1942">
        <v>51841</v>
      </c>
      <c r="C1942" t="s">
        <v>5696</v>
      </c>
      <c r="D1942" t="s">
        <v>5697</v>
      </c>
      <c r="E1942" s="3" t="str">
        <f>IF(LEN(Base_Periodo1[[#This Row],[CLASS]])&gt;=7,LEFT(Base_Periodo1[[#This Row],[CLASS]],7),"")</f>
        <v>1.1.3.1</v>
      </c>
      <c r="F1942" s="3" t="str">
        <f>VLOOKUP(Base_Periodo1[[#This Row],[Aux]],Base_Contas_Balanco[#All],2,FALSE)</f>
        <v>Estoques Proprios</v>
      </c>
      <c r="G1942" s="1">
        <v>42832</v>
      </c>
      <c r="H1942" s="225">
        <v>5715</v>
      </c>
      <c r="I1942" s="225">
        <v>0</v>
      </c>
      <c r="J1942" s="225">
        <v>0</v>
      </c>
      <c r="K1942" s="225">
        <v>5715</v>
      </c>
      <c r="L19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5715</v>
      </c>
      <c r="M1942" s="225">
        <f>ROUND(IF(AND(Base_Periodo1[[#This Row],[Tipo_Linha]]="-",Base_Periodo1[[#This Row],[TIPOSALDO]]="D"),Base_Periodo1[[#This Row],[SALDO_ATUAL]]*-1,Base_Periodo1[[#This Row],[SALDO_ATUAL]]),4)</f>
        <v>5715</v>
      </c>
      <c r="N1942" t="s">
        <v>116</v>
      </c>
      <c r="O1942" t="s">
        <v>397</v>
      </c>
      <c r="P1942" t="s">
        <v>397</v>
      </c>
      <c r="Q1942">
        <v>7</v>
      </c>
      <c r="R1942" s="225">
        <f>Base_Periodo1[[#This Row],[CREDITOS]]-Base_Periodo1[[#This Row],[DEBITOS]]</f>
        <v>0</v>
      </c>
      <c r="S1942" s="3" t="str">
        <f>IF(ISERROR(VLOOKUP(Base_Periodo1[[#This Row],[CONTA]],BaseContasDRE[#All],4,FALSE)),"Fora do DRE",VLOOKUP(Base_Periodo1[[#This Row],[CONTA]],BaseContasDRE[#All],4,FALSE))</f>
        <v>Fora do DRE</v>
      </c>
      <c r="T1942" s="3" t="str">
        <f>IF(ISERROR(VLOOKUP(Base_Periodo1[[#This Row],[CONTA]],BaseContasDRE[#All],5,FALSE)),"Fora do DRE",VLOOKUP(Base_Periodo1[[#This Row],[CONTA]],BaseContasDRE[#All],6,FALSE))</f>
        <v>Fora do DRE</v>
      </c>
      <c r="U1942" s="3" t="str">
        <f>IF(ISERROR(VLOOKUP(Base_Periodo1[[#This Row],[CONTA]],BaseContasDRE[#All],7,FALSE)),"Fora do DRE",VLOOKUP(Base_Periodo1[[#This Row],[CONTA]],BaseContasDRE[#All],7,FALSE))</f>
        <v>Fora do DRE</v>
      </c>
      <c r="V1942" s="3" t="str">
        <f>IF(Base_Periodo1[[#This Row],[Tipo_Linha]]="Fora do DRE","Fora do DRE","( "&amp;Base_Periodo1[[#This Row],[Tipo_Linha]]&amp;" ) "&amp;Base_Periodo1[[#This Row],[Filtro]])</f>
        <v>Fora do DRE</v>
      </c>
      <c r="W1942" s="3" t="str">
        <f>LEFT(Base_Periodo1[[#This Row],[CLASS]],3)</f>
        <v>1.1</v>
      </c>
    </row>
    <row r="1943" spans="1:23" hidden="1">
      <c r="A1943" s="3" t="str">
        <f t="shared" si="30"/>
        <v>Período 1</v>
      </c>
      <c r="B1943">
        <v>56695</v>
      </c>
      <c r="C1943" t="s">
        <v>5936</v>
      </c>
      <c r="D1943" t="s">
        <v>5937</v>
      </c>
      <c r="E1943" s="3" t="str">
        <f>IF(LEN(Base_Periodo1[[#This Row],[CLASS]])&gt;=7,LEFT(Base_Periodo1[[#This Row],[CLASS]],7),"")</f>
        <v>1.1.3.1</v>
      </c>
      <c r="F1943" s="3" t="str">
        <f>VLOOKUP(Base_Periodo1[[#This Row],[Aux]],Base_Contas_Balanco[#All],2,FALSE)</f>
        <v>Estoques Proprios</v>
      </c>
      <c r="G1943" s="1">
        <v>42886</v>
      </c>
      <c r="H1943" s="225">
        <v>5029.63</v>
      </c>
      <c r="I1943" s="225">
        <v>3348.98</v>
      </c>
      <c r="J1943" s="225">
        <v>0</v>
      </c>
      <c r="K1943" s="225">
        <v>8378.61</v>
      </c>
      <c r="L19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8378.61</v>
      </c>
      <c r="M1943" s="225">
        <f>ROUND(IF(AND(Base_Periodo1[[#This Row],[Tipo_Linha]]="-",Base_Periodo1[[#This Row],[TIPOSALDO]]="D"),Base_Periodo1[[#This Row],[SALDO_ATUAL]]*-1,Base_Periodo1[[#This Row],[SALDO_ATUAL]]),4)</f>
        <v>8378.61</v>
      </c>
      <c r="N1943" t="s">
        <v>116</v>
      </c>
      <c r="O1943" t="s">
        <v>397</v>
      </c>
      <c r="P1943" t="s">
        <v>397</v>
      </c>
      <c r="Q1943">
        <v>7</v>
      </c>
      <c r="R1943" s="225">
        <f>Base_Periodo1[[#This Row],[CREDITOS]]-Base_Periodo1[[#This Row],[DEBITOS]]</f>
        <v>-3348.98</v>
      </c>
      <c r="S1943" s="3" t="str">
        <f>IF(ISERROR(VLOOKUP(Base_Periodo1[[#This Row],[CONTA]],BaseContasDRE[#All],4,FALSE)),"Fora do DRE",VLOOKUP(Base_Periodo1[[#This Row],[CONTA]],BaseContasDRE[#All],4,FALSE))</f>
        <v>Fora do DRE</v>
      </c>
      <c r="T1943" s="3" t="str">
        <f>IF(ISERROR(VLOOKUP(Base_Periodo1[[#This Row],[CONTA]],BaseContasDRE[#All],5,FALSE)),"Fora do DRE",VLOOKUP(Base_Periodo1[[#This Row],[CONTA]],BaseContasDRE[#All],6,FALSE))</f>
        <v>Fora do DRE</v>
      </c>
      <c r="U1943" s="3" t="str">
        <f>IF(ISERROR(VLOOKUP(Base_Periodo1[[#This Row],[CONTA]],BaseContasDRE[#All],7,FALSE)),"Fora do DRE",VLOOKUP(Base_Periodo1[[#This Row],[CONTA]],BaseContasDRE[#All],7,FALSE))</f>
        <v>Fora do DRE</v>
      </c>
      <c r="V1943" s="3" t="str">
        <f>IF(Base_Periodo1[[#This Row],[Tipo_Linha]]="Fora do DRE","Fora do DRE","( "&amp;Base_Periodo1[[#This Row],[Tipo_Linha]]&amp;" ) "&amp;Base_Periodo1[[#This Row],[Filtro]])</f>
        <v>Fora do DRE</v>
      </c>
      <c r="W1943" s="3" t="str">
        <f>LEFT(Base_Periodo1[[#This Row],[CLASS]],3)</f>
        <v>1.1</v>
      </c>
    </row>
    <row r="1944" spans="1:23" hidden="1">
      <c r="A1944" s="3" t="str">
        <f t="shared" si="30"/>
        <v>Período 1</v>
      </c>
      <c r="B1944">
        <v>56698</v>
      </c>
      <c r="C1944" t="s">
        <v>5698</v>
      </c>
      <c r="D1944" t="s">
        <v>5699</v>
      </c>
      <c r="E1944" s="3" t="str">
        <f>IF(LEN(Base_Periodo1[[#This Row],[CLASS]])&gt;=7,LEFT(Base_Periodo1[[#This Row],[CLASS]],7),"")</f>
        <v>1.1.3.1</v>
      </c>
      <c r="F1944" s="3" t="str">
        <f>VLOOKUP(Base_Periodo1[[#This Row],[Aux]],Base_Contas_Balanco[#All],2,FALSE)</f>
        <v>Estoques Proprios</v>
      </c>
      <c r="G1944" s="1">
        <v>42886</v>
      </c>
      <c r="H1944" s="225">
        <v>2853.4700000000003</v>
      </c>
      <c r="I1944" s="225">
        <v>1357.27</v>
      </c>
      <c r="J1944" s="225">
        <v>0</v>
      </c>
      <c r="K1944" s="225">
        <v>4210.74</v>
      </c>
      <c r="L19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4210.74</v>
      </c>
      <c r="M1944" s="225">
        <f>ROUND(IF(AND(Base_Periodo1[[#This Row],[Tipo_Linha]]="-",Base_Periodo1[[#This Row],[TIPOSALDO]]="D"),Base_Periodo1[[#This Row],[SALDO_ATUAL]]*-1,Base_Periodo1[[#This Row],[SALDO_ATUAL]]),4)</f>
        <v>4210.74</v>
      </c>
      <c r="N1944" t="s">
        <v>116</v>
      </c>
      <c r="O1944" t="s">
        <v>397</v>
      </c>
      <c r="P1944" t="s">
        <v>397</v>
      </c>
      <c r="Q1944">
        <v>7</v>
      </c>
      <c r="R1944" s="225">
        <f>Base_Periodo1[[#This Row],[CREDITOS]]-Base_Periodo1[[#This Row],[DEBITOS]]</f>
        <v>-1357.27</v>
      </c>
      <c r="S1944" s="3" t="str">
        <f>IF(ISERROR(VLOOKUP(Base_Periodo1[[#This Row],[CONTA]],BaseContasDRE[#All],4,FALSE)),"Fora do DRE",VLOOKUP(Base_Periodo1[[#This Row],[CONTA]],BaseContasDRE[#All],4,FALSE))</f>
        <v>Fora do DRE</v>
      </c>
      <c r="T1944" s="3" t="str">
        <f>IF(ISERROR(VLOOKUP(Base_Periodo1[[#This Row],[CONTA]],BaseContasDRE[#All],5,FALSE)),"Fora do DRE",VLOOKUP(Base_Periodo1[[#This Row],[CONTA]],BaseContasDRE[#All],6,FALSE))</f>
        <v>Fora do DRE</v>
      </c>
      <c r="U1944" s="3" t="str">
        <f>IF(ISERROR(VLOOKUP(Base_Periodo1[[#This Row],[CONTA]],BaseContasDRE[#All],7,FALSE)),"Fora do DRE",VLOOKUP(Base_Periodo1[[#This Row],[CONTA]],BaseContasDRE[#All],7,FALSE))</f>
        <v>Fora do DRE</v>
      </c>
      <c r="V1944" s="3" t="str">
        <f>IF(Base_Periodo1[[#This Row],[Tipo_Linha]]="Fora do DRE","Fora do DRE","( "&amp;Base_Periodo1[[#This Row],[Tipo_Linha]]&amp;" ) "&amp;Base_Periodo1[[#This Row],[Filtro]])</f>
        <v>Fora do DRE</v>
      </c>
      <c r="W1944" s="3" t="str">
        <f>LEFT(Base_Periodo1[[#This Row],[CLASS]],3)</f>
        <v>1.1</v>
      </c>
    </row>
    <row r="1945" spans="1:23" hidden="1">
      <c r="A1945" s="3" t="str">
        <f t="shared" si="30"/>
        <v>Período 1</v>
      </c>
      <c r="B1945">
        <v>54002</v>
      </c>
      <c r="C1945" t="s">
        <v>4972</v>
      </c>
      <c r="D1945" t="s">
        <v>4973</v>
      </c>
      <c r="E1945" s="3" t="str">
        <f>IF(LEN(Base_Periodo1[[#This Row],[CLASS]])&gt;=7,LEFT(Base_Periodo1[[#This Row],[CLASS]],7),"")</f>
        <v>1.1.3.1</v>
      </c>
      <c r="F1945" s="3" t="str">
        <f>VLOOKUP(Base_Periodo1[[#This Row],[Aux]],Base_Contas_Balanco[#All],2,FALSE)</f>
        <v>Estoques Proprios</v>
      </c>
      <c r="G1945" s="1">
        <v>42886</v>
      </c>
      <c r="H1945" s="225">
        <v>1201886.8500000001</v>
      </c>
      <c r="I1945" s="225">
        <v>0</v>
      </c>
      <c r="J1945" s="225">
        <v>505538.39</v>
      </c>
      <c r="K1945" s="225">
        <v>1707425.2400000002</v>
      </c>
      <c r="L19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-1707425.24</v>
      </c>
      <c r="M1945" s="225">
        <f>ROUND(IF(AND(Base_Periodo1[[#This Row],[Tipo_Linha]]="-",Base_Periodo1[[#This Row],[TIPOSALDO]]="D"),Base_Periodo1[[#This Row],[SALDO_ATUAL]]*-1,Base_Periodo1[[#This Row],[SALDO_ATUAL]]),4)</f>
        <v>1707425.24</v>
      </c>
      <c r="N1945" t="s">
        <v>116</v>
      </c>
      <c r="O1945" t="s">
        <v>459</v>
      </c>
      <c r="P1945" t="s">
        <v>459</v>
      </c>
      <c r="Q1945">
        <v>7</v>
      </c>
      <c r="R1945" s="225">
        <f>Base_Periodo1[[#This Row],[CREDITOS]]-Base_Periodo1[[#This Row],[DEBITOS]]</f>
        <v>505538.39</v>
      </c>
      <c r="S1945" s="3" t="str">
        <f>IF(ISERROR(VLOOKUP(Base_Periodo1[[#This Row],[CONTA]],BaseContasDRE[#All],4,FALSE)),"Fora do DRE",VLOOKUP(Base_Periodo1[[#This Row],[CONTA]],BaseContasDRE[#All],4,FALSE))</f>
        <v>Fora do DRE</v>
      </c>
      <c r="T1945" s="3" t="str">
        <f>IF(ISERROR(VLOOKUP(Base_Periodo1[[#This Row],[CONTA]],BaseContasDRE[#All],5,FALSE)),"Fora do DRE",VLOOKUP(Base_Periodo1[[#This Row],[CONTA]],BaseContasDRE[#All],6,FALSE))</f>
        <v>Fora do DRE</v>
      </c>
      <c r="U1945" s="3" t="str">
        <f>IF(ISERROR(VLOOKUP(Base_Periodo1[[#This Row],[CONTA]],BaseContasDRE[#All],7,FALSE)),"Fora do DRE",VLOOKUP(Base_Periodo1[[#This Row],[CONTA]],BaseContasDRE[#All],7,FALSE))</f>
        <v>Fora do DRE</v>
      </c>
      <c r="V1945" s="3" t="str">
        <f>IF(Base_Periodo1[[#This Row],[Tipo_Linha]]="Fora do DRE","Fora do DRE","( "&amp;Base_Periodo1[[#This Row],[Tipo_Linha]]&amp;" ) "&amp;Base_Periodo1[[#This Row],[Filtro]])</f>
        <v>Fora do DRE</v>
      </c>
      <c r="W1945" s="3" t="str">
        <f>LEFT(Base_Periodo1[[#This Row],[CLASS]],3)</f>
        <v>1.1</v>
      </c>
    </row>
    <row r="1946" spans="1:23" hidden="1">
      <c r="A1946" s="3" t="str">
        <f t="shared" si="30"/>
        <v>Período 1</v>
      </c>
      <c r="B1946">
        <v>31398</v>
      </c>
      <c r="C1946" t="s">
        <v>1548</v>
      </c>
      <c r="D1946" t="s">
        <v>1549</v>
      </c>
      <c r="E1946" s="3" t="str">
        <f>IF(LEN(Base_Periodo1[[#This Row],[CLASS]])&gt;=7,LEFT(Base_Periodo1[[#This Row],[CLASS]],7),"")</f>
        <v>1.1.3.1</v>
      </c>
      <c r="F1946" s="3" t="str">
        <f>VLOOKUP(Base_Periodo1[[#This Row],[Aux]],Base_Contas_Balanco[#All],2,FALSE)</f>
        <v>Estoques Proprios</v>
      </c>
      <c r="G1946" s="1"/>
      <c r="H1946" s="225">
        <v>12051060.859999992</v>
      </c>
      <c r="I1946" s="225">
        <v>5752103.7400000002</v>
      </c>
      <c r="J1946" s="225">
        <v>3854439.5200000005</v>
      </c>
      <c r="K1946" s="225">
        <v>13948725.079999994</v>
      </c>
      <c r="L19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13948725.08</v>
      </c>
      <c r="M1946" s="225">
        <f>ROUND(IF(AND(Base_Periodo1[[#This Row],[Tipo_Linha]]="-",Base_Periodo1[[#This Row],[TIPOSALDO]]="D"),Base_Periodo1[[#This Row],[SALDO_ATUAL]]*-1,Base_Periodo1[[#This Row],[SALDO_ATUAL]]),4)</f>
        <v>13948725.08</v>
      </c>
      <c r="N1946" t="s">
        <v>396</v>
      </c>
      <c r="O1946" t="s">
        <v>397</v>
      </c>
      <c r="P1946" t="s">
        <v>397</v>
      </c>
      <c r="Q1946">
        <v>6</v>
      </c>
      <c r="R1946" s="225">
        <f>Base_Periodo1[[#This Row],[CREDITOS]]-Base_Periodo1[[#This Row],[DEBITOS]]</f>
        <v>-1897664.2199999997</v>
      </c>
      <c r="S1946" s="3" t="str">
        <f>IF(ISERROR(VLOOKUP(Base_Periodo1[[#This Row],[CONTA]],BaseContasDRE[#All],4,FALSE)),"Fora do DRE",VLOOKUP(Base_Periodo1[[#This Row],[CONTA]],BaseContasDRE[#All],4,FALSE))</f>
        <v>Fora do DRE</v>
      </c>
      <c r="T1946" s="3" t="str">
        <f>IF(ISERROR(VLOOKUP(Base_Periodo1[[#This Row],[CONTA]],BaseContasDRE[#All],5,FALSE)),"Fora do DRE",VLOOKUP(Base_Periodo1[[#This Row],[CONTA]],BaseContasDRE[#All],6,FALSE))</f>
        <v>Fora do DRE</v>
      </c>
      <c r="U1946" s="3" t="str">
        <f>IF(ISERROR(VLOOKUP(Base_Periodo1[[#This Row],[CONTA]],BaseContasDRE[#All],7,FALSE)),"Fora do DRE",VLOOKUP(Base_Periodo1[[#This Row],[CONTA]],BaseContasDRE[#All],7,FALSE))</f>
        <v>Fora do DRE</v>
      </c>
      <c r="V1946" s="3" t="str">
        <f>IF(Base_Periodo1[[#This Row],[Tipo_Linha]]="Fora do DRE","Fora do DRE","( "&amp;Base_Periodo1[[#This Row],[Tipo_Linha]]&amp;" ) "&amp;Base_Periodo1[[#This Row],[Filtro]])</f>
        <v>Fora do DRE</v>
      </c>
      <c r="W1946" s="3" t="str">
        <f>LEFT(Base_Periodo1[[#This Row],[CLASS]],3)</f>
        <v>1.1</v>
      </c>
    </row>
    <row r="1947" spans="1:23" hidden="1">
      <c r="A1947" s="3" t="str">
        <f t="shared" si="30"/>
        <v>Período 1</v>
      </c>
      <c r="B1947">
        <v>31399</v>
      </c>
      <c r="C1947" t="s">
        <v>1550</v>
      </c>
      <c r="D1947" t="s">
        <v>1245</v>
      </c>
      <c r="E1947" s="3" t="str">
        <f>IF(LEN(Base_Periodo1[[#This Row],[CLASS]])&gt;=7,LEFT(Base_Periodo1[[#This Row],[CLASS]],7),"")</f>
        <v>1.1.3.1</v>
      </c>
      <c r="F1947" s="3" t="str">
        <f>VLOOKUP(Base_Periodo1[[#This Row],[Aux]],Base_Contas_Balanco[#All],2,FALSE)</f>
        <v>Estoques Proprios</v>
      </c>
      <c r="G1947" s="1"/>
      <c r="H1947" s="225">
        <v>5144047.4299999904</v>
      </c>
      <c r="I1947" s="225">
        <v>4853118.1300000008</v>
      </c>
      <c r="J1947" s="225">
        <v>1048203.6200000001</v>
      </c>
      <c r="K1947" s="225">
        <v>8948961.9399999902</v>
      </c>
      <c r="L19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8948961.9399999995</v>
      </c>
      <c r="M1947" s="225">
        <f>ROUND(IF(AND(Base_Periodo1[[#This Row],[Tipo_Linha]]="-",Base_Periodo1[[#This Row],[TIPOSALDO]]="D"),Base_Periodo1[[#This Row],[SALDO_ATUAL]]*-1,Base_Periodo1[[#This Row],[SALDO_ATUAL]]),4)</f>
        <v>8948961.9399999995</v>
      </c>
      <c r="N1947" t="s">
        <v>396</v>
      </c>
      <c r="O1947" t="s">
        <v>397</v>
      </c>
      <c r="P1947" t="s">
        <v>397</v>
      </c>
      <c r="Q1947">
        <v>7</v>
      </c>
      <c r="R1947" s="225">
        <f>Base_Periodo1[[#This Row],[CREDITOS]]-Base_Periodo1[[#This Row],[DEBITOS]]</f>
        <v>-3804914.5100000007</v>
      </c>
      <c r="S1947" s="3" t="str">
        <f>IF(ISERROR(VLOOKUP(Base_Periodo1[[#This Row],[CONTA]],BaseContasDRE[#All],4,FALSE)),"Fora do DRE",VLOOKUP(Base_Periodo1[[#This Row],[CONTA]],BaseContasDRE[#All],4,FALSE))</f>
        <v>Fora do DRE</v>
      </c>
      <c r="T1947" s="3" t="str">
        <f>IF(ISERROR(VLOOKUP(Base_Periodo1[[#This Row],[CONTA]],BaseContasDRE[#All],5,FALSE)),"Fora do DRE",VLOOKUP(Base_Periodo1[[#This Row],[CONTA]],BaseContasDRE[#All],6,FALSE))</f>
        <v>Fora do DRE</v>
      </c>
      <c r="U1947" s="3" t="str">
        <f>IF(ISERROR(VLOOKUP(Base_Periodo1[[#This Row],[CONTA]],BaseContasDRE[#All],7,FALSE)),"Fora do DRE",VLOOKUP(Base_Periodo1[[#This Row],[CONTA]],BaseContasDRE[#All],7,FALSE))</f>
        <v>Fora do DRE</v>
      </c>
      <c r="V1947" s="3" t="str">
        <f>IF(Base_Periodo1[[#This Row],[Tipo_Linha]]="Fora do DRE","Fora do DRE","( "&amp;Base_Periodo1[[#This Row],[Tipo_Linha]]&amp;" ) "&amp;Base_Periodo1[[#This Row],[Filtro]])</f>
        <v>Fora do DRE</v>
      </c>
      <c r="W1947" s="3" t="str">
        <f>LEFT(Base_Periodo1[[#This Row],[CLASS]],3)</f>
        <v>1.1</v>
      </c>
    </row>
    <row r="1948" spans="1:23" hidden="1">
      <c r="A1948" s="3" t="str">
        <f t="shared" si="30"/>
        <v>Período 1</v>
      </c>
      <c r="B1948">
        <v>31400</v>
      </c>
      <c r="C1948" t="s">
        <v>1551</v>
      </c>
      <c r="D1948" t="s">
        <v>1245</v>
      </c>
      <c r="E1948" s="3" t="str">
        <f>IF(LEN(Base_Periodo1[[#This Row],[CLASS]])&gt;=7,LEFT(Base_Periodo1[[#This Row],[CLASS]],7),"")</f>
        <v>1.1.3.1</v>
      </c>
      <c r="F1948" s="3" t="str">
        <f>VLOOKUP(Base_Periodo1[[#This Row],[Aux]],Base_Contas_Balanco[#All],2,FALSE)</f>
        <v>Estoques Proprios</v>
      </c>
      <c r="G1948" s="1">
        <v>42886</v>
      </c>
      <c r="H1948" s="225">
        <v>19062145.499999996</v>
      </c>
      <c r="I1948" s="225">
        <v>3337913.18</v>
      </c>
      <c r="J1948" s="225">
        <v>0</v>
      </c>
      <c r="K1948" s="225">
        <v>22400058.679999996</v>
      </c>
      <c r="L19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22400058.68</v>
      </c>
      <c r="M1948" s="225">
        <f>ROUND(IF(AND(Base_Periodo1[[#This Row],[Tipo_Linha]]="-",Base_Periodo1[[#This Row],[TIPOSALDO]]="D"),Base_Periodo1[[#This Row],[SALDO_ATUAL]]*-1,Base_Periodo1[[#This Row],[SALDO_ATUAL]]),4)</f>
        <v>22400058.68</v>
      </c>
      <c r="N1948" t="s">
        <v>116</v>
      </c>
      <c r="O1948" t="s">
        <v>397</v>
      </c>
      <c r="P1948" t="s">
        <v>397</v>
      </c>
      <c r="Q1948">
        <v>8</v>
      </c>
      <c r="R1948" s="225">
        <f>Base_Periodo1[[#This Row],[CREDITOS]]-Base_Periodo1[[#This Row],[DEBITOS]]</f>
        <v>-3337913.18</v>
      </c>
      <c r="S1948" s="3" t="str">
        <f>IF(ISERROR(VLOOKUP(Base_Periodo1[[#This Row],[CONTA]],BaseContasDRE[#All],4,FALSE)),"Fora do DRE",VLOOKUP(Base_Periodo1[[#This Row],[CONTA]],BaseContasDRE[#All],4,FALSE))</f>
        <v>Fora do DRE</v>
      </c>
      <c r="T1948" s="3" t="str">
        <f>IF(ISERROR(VLOOKUP(Base_Periodo1[[#This Row],[CONTA]],BaseContasDRE[#All],5,FALSE)),"Fora do DRE",VLOOKUP(Base_Periodo1[[#This Row],[CONTA]],BaseContasDRE[#All],6,FALSE))</f>
        <v>Fora do DRE</v>
      </c>
      <c r="U1948" s="3" t="str">
        <f>IF(ISERROR(VLOOKUP(Base_Periodo1[[#This Row],[CONTA]],BaseContasDRE[#All],7,FALSE)),"Fora do DRE",VLOOKUP(Base_Periodo1[[#This Row],[CONTA]],BaseContasDRE[#All],7,FALSE))</f>
        <v>Fora do DRE</v>
      </c>
      <c r="V1948" s="3" t="str">
        <f>IF(Base_Periodo1[[#This Row],[Tipo_Linha]]="Fora do DRE","Fora do DRE","( "&amp;Base_Periodo1[[#This Row],[Tipo_Linha]]&amp;" ) "&amp;Base_Periodo1[[#This Row],[Filtro]])</f>
        <v>Fora do DRE</v>
      </c>
      <c r="W1948" s="3" t="str">
        <f>LEFT(Base_Periodo1[[#This Row],[CLASS]],3)</f>
        <v>1.1</v>
      </c>
    </row>
    <row r="1949" spans="1:23" hidden="1">
      <c r="A1949" s="3" t="str">
        <f t="shared" si="30"/>
        <v>Período 1</v>
      </c>
      <c r="B1949">
        <v>31401</v>
      </c>
      <c r="C1949" t="s">
        <v>4542</v>
      </c>
      <c r="D1949" t="s">
        <v>4543</v>
      </c>
      <c r="E1949" s="3" t="str">
        <f>IF(LEN(Base_Periodo1[[#This Row],[CLASS]])&gt;=7,LEFT(Base_Periodo1[[#This Row],[CLASS]],7),"")</f>
        <v>1.1.3.1</v>
      </c>
      <c r="F1949" s="3" t="str">
        <f>VLOOKUP(Base_Periodo1[[#This Row],[Aux]],Base_Contas_Balanco[#All],2,FALSE)</f>
        <v>Estoques Proprios</v>
      </c>
      <c r="G1949" s="1">
        <v>42735</v>
      </c>
      <c r="H1949" s="225">
        <v>2657574.6399999997</v>
      </c>
      <c r="I1949" s="225">
        <v>0</v>
      </c>
      <c r="J1949" s="225">
        <v>0</v>
      </c>
      <c r="K1949" s="225">
        <v>2657574.6399999997</v>
      </c>
      <c r="L19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2657574.64</v>
      </c>
      <c r="M1949" s="225">
        <f>ROUND(IF(AND(Base_Periodo1[[#This Row],[Tipo_Linha]]="-",Base_Periodo1[[#This Row],[TIPOSALDO]]="D"),Base_Periodo1[[#This Row],[SALDO_ATUAL]]*-1,Base_Periodo1[[#This Row],[SALDO_ATUAL]]),4)</f>
        <v>2657574.64</v>
      </c>
      <c r="N1949" t="s">
        <v>116</v>
      </c>
      <c r="O1949" t="s">
        <v>397</v>
      </c>
      <c r="P1949" t="s">
        <v>397</v>
      </c>
      <c r="Q1949">
        <v>8</v>
      </c>
      <c r="R1949" s="225">
        <f>Base_Periodo1[[#This Row],[CREDITOS]]-Base_Periodo1[[#This Row],[DEBITOS]]</f>
        <v>0</v>
      </c>
      <c r="S1949" s="3" t="str">
        <f>IF(ISERROR(VLOOKUP(Base_Periodo1[[#This Row],[CONTA]],BaseContasDRE[#All],4,FALSE)),"Fora do DRE",VLOOKUP(Base_Periodo1[[#This Row],[CONTA]],BaseContasDRE[#All],4,FALSE))</f>
        <v>Fora do DRE</v>
      </c>
      <c r="T1949" s="3" t="str">
        <f>IF(ISERROR(VLOOKUP(Base_Periodo1[[#This Row],[CONTA]],BaseContasDRE[#All],5,FALSE)),"Fora do DRE",VLOOKUP(Base_Periodo1[[#This Row],[CONTA]],BaseContasDRE[#All],6,FALSE))</f>
        <v>Fora do DRE</v>
      </c>
      <c r="U1949" s="3" t="str">
        <f>IF(ISERROR(VLOOKUP(Base_Periodo1[[#This Row],[CONTA]],BaseContasDRE[#All],7,FALSE)),"Fora do DRE",VLOOKUP(Base_Periodo1[[#This Row],[CONTA]],BaseContasDRE[#All],7,FALSE))</f>
        <v>Fora do DRE</v>
      </c>
      <c r="V1949" s="3" t="str">
        <f>IF(Base_Periodo1[[#This Row],[Tipo_Linha]]="Fora do DRE","Fora do DRE","( "&amp;Base_Periodo1[[#This Row],[Tipo_Linha]]&amp;" ) "&amp;Base_Periodo1[[#This Row],[Filtro]])</f>
        <v>Fora do DRE</v>
      </c>
      <c r="W1949" s="3" t="str">
        <f>LEFT(Base_Periodo1[[#This Row],[CLASS]],3)</f>
        <v>1.1</v>
      </c>
    </row>
    <row r="1950" spans="1:23" hidden="1">
      <c r="A1950" s="3" t="str">
        <f t="shared" si="30"/>
        <v>Período 1</v>
      </c>
      <c r="B1950">
        <v>51055</v>
      </c>
      <c r="C1950" t="s">
        <v>4544</v>
      </c>
      <c r="D1950" t="s">
        <v>4545</v>
      </c>
      <c r="E1950" s="3" t="str">
        <f>IF(LEN(Base_Periodo1[[#This Row],[CLASS]])&gt;=7,LEFT(Base_Periodo1[[#This Row],[CLASS]],7),"")</f>
        <v>1.1.3.1</v>
      </c>
      <c r="F1950" s="3" t="str">
        <f>VLOOKUP(Base_Periodo1[[#This Row],[Aux]],Base_Contas_Balanco[#All],2,FALSE)</f>
        <v>Estoques Proprios</v>
      </c>
      <c r="G1950" s="1">
        <v>42794</v>
      </c>
      <c r="H1950" s="225">
        <v>189053.53</v>
      </c>
      <c r="I1950" s="225">
        <v>0</v>
      </c>
      <c r="J1950" s="225">
        <v>0</v>
      </c>
      <c r="K1950" s="225">
        <v>189053.53</v>
      </c>
      <c r="L19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189053.53</v>
      </c>
      <c r="M1950" s="225">
        <f>ROUND(IF(AND(Base_Periodo1[[#This Row],[Tipo_Linha]]="-",Base_Periodo1[[#This Row],[TIPOSALDO]]="D"),Base_Periodo1[[#This Row],[SALDO_ATUAL]]*-1,Base_Periodo1[[#This Row],[SALDO_ATUAL]]),4)</f>
        <v>189053.53</v>
      </c>
      <c r="N1950" t="s">
        <v>116</v>
      </c>
      <c r="O1950" t="s">
        <v>397</v>
      </c>
      <c r="P1950" t="s">
        <v>397</v>
      </c>
      <c r="Q1950">
        <v>8</v>
      </c>
      <c r="R1950" s="225">
        <f>Base_Periodo1[[#This Row],[CREDITOS]]-Base_Periodo1[[#This Row],[DEBITOS]]</f>
        <v>0</v>
      </c>
      <c r="S1950" s="3" t="str">
        <f>IF(ISERROR(VLOOKUP(Base_Periodo1[[#This Row],[CONTA]],BaseContasDRE[#All],4,FALSE)),"Fora do DRE",VLOOKUP(Base_Periodo1[[#This Row],[CONTA]],BaseContasDRE[#All],4,FALSE))</f>
        <v>Fora do DRE</v>
      </c>
      <c r="T1950" s="3" t="str">
        <f>IF(ISERROR(VLOOKUP(Base_Periodo1[[#This Row],[CONTA]],BaseContasDRE[#All],5,FALSE)),"Fora do DRE",VLOOKUP(Base_Periodo1[[#This Row],[CONTA]],BaseContasDRE[#All],6,FALSE))</f>
        <v>Fora do DRE</v>
      </c>
      <c r="U1950" s="3" t="str">
        <f>IF(ISERROR(VLOOKUP(Base_Periodo1[[#This Row],[CONTA]],BaseContasDRE[#All],7,FALSE)),"Fora do DRE",VLOOKUP(Base_Periodo1[[#This Row],[CONTA]],BaseContasDRE[#All],7,FALSE))</f>
        <v>Fora do DRE</v>
      </c>
      <c r="V1950" s="3" t="str">
        <f>IF(Base_Periodo1[[#This Row],[Tipo_Linha]]="Fora do DRE","Fora do DRE","( "&amp;Base_Periodo1[[#This Row],[Tipo_Linha]]&amp;" ) "&amp;Base_Periodo1[[#This Row],[Filtro]])</f>
        <v>Fora do DRE</v>
      </c>
      <c r="W1950" s="3" t="str">
        <f>LEFT(Base_Periodo1[[#This Row],[CLASS]],3)</f>
        <v>1.1</v>
      </c>
    </row>
    <row r="1951" spans="1:23" hidden="1">
      <c r="A1951" s="3" t="str">
        <f t="shared" si="30"/>
        <v>Período 1</v>
      </c>
      <c r="B1951">
        <v>54004</v>
      </c>
      <c r="C1951" t="s">
        <v>4974</v>
      </c>
      <c r="D1951" t="s">
        <v>4975</v>
      </c>
      <c r="E1951" s="3" t="str">
        <f>IF(LEN(Base_Periodo1[[#This Row],[CLASS]])&gt;=7,LEFT(Base_Periodo1[[#This Row],[CLASS]],7),"")</f>
        <v>1.1.3.1</v>
      </c>
      <c r="F1951" s="3" t="str">
        <f>VLOOKUP(Base_Periodo1[[#This Row],[Aux]],Base_Contas_Balanco[#All],2,FALSE)</f>
        <v>Estoques Proprios</v>
      </c>
      <c r="G1951" s="1">
        <v>42886</v>
      </c>
      <c r="H1951" s="225">
        <v>3739109.34</v>
      </c>
      <c r="I1951" s="225">
        <v>493254.76</v>
      </c>
      <c r="J1951" s="225">
        <v>0</v>
      </c>
      <c r="K1951" s="225">
        <v>4232364.0999999996</v>
      </c>
      <c r="L19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4232364.0999999996</v>
      </c>
      <c r="M1951" s="225">
        <f>ROUND(IF(AND(Base_Periodo1[[#This Row],[Tipo_Linha]]="-",Base_Periodo1[[#This Row],[TIPOSALDO]]="D"),Base_Periodo1[[#This Row],[SALDO_ATUAL]]*-1,Base_Periodo1[[#This Row],[SALDO_ATUAL]]),4)</f>
        <v>4232364.0999999996</v>
      </c>
      <c r="N1951" t="s">
        <v>116</v>
      </c>
      <c r="O1951" t="s">
        <v>397</v>
      </c>
      <c r="P1951" t="s">
        <v>397</v>
      </c>
      <c r="Q1951">
        <v>8</v>
      </c>
      <c r="R1951" s="225">
        <f>Base_Periodo1[[#This Row],[CREDITOS]]-Base_Periodo1[[#This Row],[DEBITOS]]</f>
        <v>-493254.76</v>
      </c>
      <c r="S1951" s="3" t="str">
        <f>IF(ISERROR(VLOOKUP(Base_Periodo1[[#This Row],[CONTA]],BaseContasDRE[#All],4,FALSE)),"Fora do DRE",VLOOKUP(Base_Periodo1[[#This Row],[CONTA]],BaseContasDRE[#All],4,FALSE))</f>
        <v>Fora do DRE</v>
      </c>
      <c r="T1951" s="3" t="str">
        <f>IF(ISERROR(VLOOKUP(Base_Periodo1[[#This Row],[CONTA]],BaseContasDRE[#All],5,FALSE)),"Fora do DRE",VLOOKUP(Base_Periodo1[[#This Row],[CONTA]],BaseContasDRE[#All],6,FALSE))</f>
        <v>Fora do DRE</v>
      </c>
      <c r="U1951" s="3" t="str">
        <f>IF(ISERROR(VLOOKUP(Base_Periodo1[[#This Row],[CONTA]],BaseContasDRE[#All],7,FALSE)),"Fora do DRE",VLOOKUP(Base_Periodo1[[#This Row],[CONTA]],BaseContasDRE[#All],7,FALSE))</f>
        <v>Fora do DRE</v>
      </c>
      <c r="V1951" s="3" t="str">
        <f>IF(Base_Periodo1[[#This Row],[Tipo_Linha]]="Fora do DRE","Fora do DRE","( "&amp;Base_Periodo1[[#This Row],[Tipo_Linha]]&amp;" ) "&amp;Base_Periodo1[[#This Row],[Filtro]])</f>
        <v>Fora do DRE</v>
      </c>
      <c r="W1951" s="3" t="str">
        <f>LEFT(Base_Periodo1[[#This Row],[CLASS]],3)</f>
        <v>1.1</v>
      </c>
    </row>
    <row r="1952" spans="1:23" hidden="1">
      <c r="A1952" s="3" t="str">
        <f t="shared" si="30"/>
        <v>Período 1</v>
      </c>
      <c r="B1952">
        <v>52000</v>
      </c>
      <c r="C1952" t="s">
        <v>4662</v>
      </c>
      <c r="D1952" t="s">
        <v>4663</v>
      </c>
      <c r="E1952" s="3" t="str">
        <f>IF(LEN(Base_Periodo1[[#This Row],[CLASS]])&gt;=7,LEFT(Base_Periodo1[[#This Row],[CLASS]],7),"")</f>
        <v>1.1.3.1</v>
      </c>
      <c r="F1952" s="3" t="str">
        <f>VLOOKUP(Base_Periodo1[[#This Row],[Aux]],Base_Contas_Balanco[#All],2,FALSE)</f>
        <v>Estoques Proprios</v>
      </c>
      <c r="G1952" s="1">
        <v>42886</v>
      </c>
      <c r="H1952" s="225">
        <v>2451320.060000001</v>
      </c>
      <c r="I1952" s="225">
        <v>1021950.19</v>
      </c>
      <c r="J1952" s="225">
        <v>0</v>
      </c>
      <c r="K1952" s="225">
        <v>3473270.2500000009</v>
      </c>
      <c r="L19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3473270.25</v>
      </c>
      <c r="M1952" s="225">
        <f>ROUND(IF(AND(Base_Periodo1[[#This Row],[Tipo_Linha]]="-",Base_Periodo1[[#This Row],[TIPOSALDO]]="D"),Base_Periodo1[[#This Row],[SALDO_ATUAL]]*-1,Base_Periodo1[[#This Row],[SALDO_ATUAL]]),4)</f>
        <v>3473270.25</v>
      </c>
      <c r="N1952" t="s">
        <v>116</v>
      </c>
      <c r="O1952" t="s">
        <v>397</v>
      </c>
      <c r="P1952" t="s">
        <v>397</v>
      </c>
      <c r="Q1952">
        <v>8</v>
      </c>
      <c r="R1952" s="225">
        <f>Base_Periodo1[[#This Row],[CREDITOS]]-Base_Periodo1[[#This Row],[DEBITOS]]</f>
        <v>-1021950.19</v>
      </c>
      <c r="S1952" s="3" t="str">
        <f>IF(ISERROR(VLOOKUP(Base_Periodo1[[#This Row],[CONTA]],BaseContasDRE[#All],4,FALSE)),"Fora do DRE",VLOOKUP(Base_Periodo1[[#This Row],[CONTA]],BaseContasDRE[#All],4,FALSE))</f>
        <v>Fora do DRE</v>
      </c>
      <c r="T1952" s="3" t="str">
        <f>IF(ISERROR(VLOOKUP(Base_Periodo1[[#This Row],[CONTA]],BaseContasDRE[#All],5,FALSE)),"Fora do DRE",VLOOKUP(Base_Periodo1[[#This Row],[CONTA]],BaseContasDRE[#All],6,FALSE))</f>
        <v>Fora do DRE</v>
      </c>
      <c r="U1952" s="3" t="str">
        <f>IF(ISERROR(VLOOKUP(Base_Periodo1[[#This Row],[CONTA]],BaseContasDRE[#All],7,FALSE)),"Fora do DRE",VLOOKUP(Base_Periodo1[[#This Row],[CONTA]],BaseContasDRE[#All],7,FALSE))</f>
        <v>Fora do DRE</v>
      </c>
      <c r="V1952" s="3" t="str">
        <f>IF(Base_Periodo1[[#This Row],[Tipo_Linha]]="Fora do DRE","Fora do DRE","( "&amp;Base_Periodo1[[#This Row],[Tipo_Linha]]&amp;" ) "&amp;Base_Periodo1[[#This Row],[Filtro]])</f>
        <v>Fora do DRE</v>
      </c>
      <c r="W1952" s="3" t="str">
        <f>LEFT(Base_Periodo1[[#This Row],[CLASS]],3)</f>
        <v>1.1</v>
      </c>
    </row>
    <row r="1953" spans="1:23" hidden="1">
      <c r="A1953" s="3" t="str">
        <f t="shared" si="30"/>
        <v>Período 1</v>
      </c>
      <c r="B1953">
        <v>51999</v>
      </c>
      <c r="C1953" t="s">
        <v>4664</v>
      </c>
      <c r="D1953" t="s">
        <v>4665</v>
      </c>
      <c r="E1953" s="3" t="str">
        <f>IF(LEN(Base_Periodo1[[#This Row],[CLASS]])&gt;=7,LEFT(Base_Periodo1[[#This Row],[CLASS]],7),"")</f>
        <v>1.1.3.1</v>
      </c>
      <c r="F1953" s="3" t="str">
        <f>VLOOKUP(Base_Periodo1[[#This Row],[Aux]],Base_Contas_Balanco[#All],2,FALSE)</f>
        <v>Estoques Proprios</v>
      </c>
      <c r="G1953" s="1"/>
      <c r="H1953" s="225">
        <v>2473742.7800000007</v>
      </c>
      <c r="I1953" s="225">
        <v>0</v>
      </c>
      <c r="J1953" s="225">
        <v>1021752.8200000001</v>
      </c>
      <c r="K1953" s="225">
        <v>3495495.6000000006</v>
      </c>
      <c r="L19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-3495495.6</v>
      </c>
      <c r="M1953" s="225">
        <f>ROUND(IF(AND(Base_Periodo1[[#This Row],[Tipo_Linha]]="-",Base_Periodo1[[#This Row],[TIPOSALDO]]="D"),Base_Periodo1[[#This Row],[SALDO_ATUAL]]*-1,Base_Periodo1[[#This Row],[SALDO_ATUAL]]),4)</f>
        <v>3495495.6</v>
      </c>
      <c r="N1953" t="s">
        <v>116</v>
      </c>
      <c r="O1953" t="s">
        <v>459</v>
      </c>
      <c r="P1953" t="s">
        <v>459</v>
      </c>
      <c r="Q1953">
        <v>8</v>
      </c>
      <c r="R1953" s="225">
        <f>Base_Periodo1[[#This Row],[CREDITOS]]-Base_Periodo1[[#This Row],[DEBITOS]]</f>
        <v>1021752.8200000001</v>
      </c>
      <c r="S1953" s="3" t="str">
        <f>IF(ISERROR(VLOOKUP(Base_Periodo1[[#This Row],[CONTA]],BaseContasDRE[#All],4,FALSE)),"Fora do DRE",VLOOKUP(Base_Periodo1[[#This Row],[CONTA]],BaseContasDRE[#All],4,FALSE))</f>
        <v>Fora do DRE</v>
      </c>
      <c r="T1953" s="3" t="str">
        <f>IF(ISERROR(VLOOKUP(Base_Periodo1[[#This Row],[CONTA]],BaseContasDRE[#All],5,FALSE)),"Fora do DRE",VLOOKUP(Base_Periodo1[[#This Row],[CONTA]],BaseContasDRE[#All],6,FALSE))</f>
        <v>Fora do DRE</v>
      </c>
      <c r="U1953" s="3" t="str">
        <f>IF(ISERROR(VLOOKUP(Base_Periodo1[[#This Row],[CONTA]],BaseContasDRE[#All],7,FALSE)),"Fora do DRE",VLOOKUP(Base_Periodo1[[#This Row],[CONTA]],BaseContasDRE[#All],7,FALSE))</f>
        <v>Fora do DRE</v>
      </c>
      <c r="V1953" s="3" t="str">
        <f>IF(Base_Periodo1[[#This Row],[Tipo_Linha]]="Fora do DRE","Fora do DRE","( "&amp;Base_Periodo1[[#This Row],[Tipo_Linha]]&amp;" ) "&amp;Base_Periodo1[[#This Row],[Filtro]])</f>
        <v>Fora do DRE</v>
      </c>
      <c r="W1953" s="3" t="str">
        <f>LEFT(Base_Periodo1[[#This Row],[CLASS]],3)</f>
        <v>1.1</v>
      </c>
    </row>
    <row r="1954" spans="1:23" hidden="1">
      <c r="A1954" s="3" t="str">
        <f t="shared" si="30"/>
        <v>Período 1</v>
      </c>
      <c r="B1954">
        <v>31402</v>
      </c>
      <c r="C1954" t="s">
        <v>4412</v>
      </c>
      <c r="D1954" t="s">
        <v>1547</v>
      </c>
      <c r="E1954" s="3" t="str">
        <f>IF(LEN(Base_Periodo1[[#This Row],[CLASS]])&gt;=7,LEFT(Base_Periodo1[[#This Row],[CLASS]],7),"")</f>
        <v>1.1.3.1</v>
      </c>
      <c r="F1954" s="3" t="str">
        <f>VLOOKUP(Base_Periodo1[[#This Row],[Aux]],Base_Contas_Balanco[#All],2,FALSE)</f>
        <v>Estoques Proprios</v>
      </c>
      <c r="G1954" s="1">
        <v>42886</v>
      </c>
      <c r="H1954" s="225">
        <v>20481412.860000007</v>
      </c>
      <c r="I1954" s="225">
        <v>0</v>
      </c>
      <c r="J1954" s="225">
        <v>26450.799999999999</v>
      </c>
      <c r="K1954" s="225">
        <v>20507863.660000008</v>
      </c>
      <c r="L19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-20507863.66</v>
      </c>
      <c r="M1954" s="225">
        <f>ROUND(IF(AND(Base_Periodo1[[#This Row],[Tipo_Linha]]="-",Base_Periodo1[[#This Row],[TIPOSALDO]]="D"),Base_Periodo1[[#This Row],[SALDO_ATUAL]]*-1,Base_Periodo1[[#This Row],[SALDO_ATUAL]]),4)</f>
        <v>20507863.66</v>
      </c>
      <c r="N1954" t="s">
        <v>116</v>
      </c>
      <c r="O1954" t="s">
        <v>459</v>
      </c>
      <c r="P1954" t="s">
        <v>459</v>
      </c>
      <c r="Q1954">
        <v>8</v>
      </c>
      <c r="R1954" s="225">
        <f>Base_Periodo1[[#This Row],[CREDITOS]]-Base_Periodo1[[#This Row],[DEBITOS]]</f>
        <v>26450.799999999999</v>
      </c>
      <c r="S1954" s="3" t="str">
        <f>IF(ISERROR(VLOOKUP(Base_Periodo1[[#This Row],[CONTA]],BaseContasDRE[#All],4,FALSE)),"Fora do DRE",VLOOKUP(Base_Periodo1[[#This Row],[CONTA]],BaseContasDRE[#All],4,FALSE))</f>
        <v>Fora do DRE</v>
      </c>
      <c r="T1954" s="3" t="str">
        <f>IF(ISERROR(VLOOKUP(Base_Periodo1[[#This Row],[CONTA]],BaseContasDRE[#All],5,FALSE)),"Fora do DRE",VLOOKUP(Base_Periodo1[[#This Row],[CONTA]],BaseContasDRE[#All],6,FALSE))</f>
        <v>Fora do DRE</v>
      </c>
      <c r="U1954" s="3" t="str">
        <f>IF(ISERROR(VLOOKUP(Base_Periodo1[[#This Row],[CONTA]],BaseContasDRE[#All],7,FALSE)),"Fora do DRE",VLOOKUP(Base_Periodo1[[#This Row],[CONTA]],BaseContasDRE[#All],7,FALSE))</f>
        <v>Fora do DRE</v>
      </c>
      <c r="V1954" s="3" t="str">
        <f>IF(Base_Periodo1[[#This Row],[Tipo_Linha]]="Fora do DRE","Fora do DRE","( "&amp;Base_Periodo1[[#This Row],[Tipo_Linha]]&amp;" ) "&amp;Base_Periodo1[[#This Row],[Filtro]])</f>
        <v>Fora do DRE</v>
      </c>
      <c r="W1954" s="3" t="str">
        <f>LEFT(Base_Periodo1[[#This Row],[CLASS]],3)</f>
        <v>1.1</v>
      </c>
    </row>
    <row r="1955" spans="1:23" hidden="1">
      <c r="A1955" s="3" t="str">
        <f t="shared" si="30"/>
        <v>Período 1</v>
      </c>
      <c r="B1955">
        <v>31407</v>
      </c>
      <c r="C1955" t="s">
        <v>1552</v>
      </c>
      <c r="D1955" t="s">
        <v>1553</v>
      </c>
      <c r="E1955" s="3" t="str">
        <f>IF(LEN(Base_Periodo1[[#This Row],[CLASS]])&gt;=7,LEFT(Base_Periodo1[[#This Row],[CLASS]],7),"")</f>
        <v>1.1.3.1</v>
      </c>
      <c r="F1955" s="3" t="str">
        <f>VLOOKUP(Base_Periodo1[[#This Row],[Aux]],Base_Contas_Balanco[#All],2,FALSE)</f>
        <v>Estoques Proprios</v>
      </c>
      <c r="G1955" s="1"/>
      <c r="H1955" s="225">
        <v>5380794.959999999</v>
      </c>
      <c r="I1955" s="225">
        <v>746037.38000000012</v>
      </c>
      <c r="J1955" s="225">
        <v>2320606.98</v>
      </c>
      <c r="K1955" s="225">
        <v>3806225.3599999989</v>
      </c>
      <c r="L19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3806225.36</v>
      </c>
      <c r="M1955" s="225">
        <f>ROUND(IF(AND(Base_Periodo1[[#This Row],[Tipo_Linha]]="-",Base_Periodo1[[#This Row],[TIPOSALDO]]="D"),Base_Periodo1[[#This Row],[SALDO_ATUAL]]*-1,Base_Periodo1[[#This Row],[SALDO_ATUAL]]),4)</f>
        <v>3806225.36</v>
      </c>
      <c r="N1955" t="s">
        <v>396</v>
      </c>
      <c r="O1955" t="s">
        <v>397</v>
      </c>
      <c r="P1955" t="s">
        <v>397</v>
      </c>
      <c r="Q1955">
        <v>7</v>
      </c>
      <c r="R1955" s="225">
        <f>Base_Periodo1[[#This Row],[CREDITOS]]-Base_Periodo1[[#This Row],[DEBITOS]]</f>
        <v>1574569.5999999999</v>
      </c>
      <c r="S1955" s="3" t="str">
        <f>IF(ISERROR(VLOOKUP(Base_Periodo1[[#This Row],[CONTA]],BaseContasDRE[#All],4,FALSE)),"Fora do DRE",VLOOKUP(Base_Periodo1[[#This Row],[CONTA]],BaseContasDRE[#All],4,FALSE))</f>
        <v>Fora do DRE</v>
      </c>
      <c r="T1955" s="3" t="str">
        <f>IF(ISERROR(VLOOKUP(Base_Periodo1[[#This Row],[CONTA]],BaseContasDRE[#All],5,FALSE)),"Fora do DRE",VLOOKUP(Base_Periodo1[[#This Row],[CONTA]],BaseContasDRE[#All],6,FALSE))</f>
        <v>Fora do DRE</v>
      </c>
      <c r="U1955" s="3" t="str">
        <f>IF(ISERROR(VLOOKUP(Base_Periodo1[[#This Row],[CONTA]],BaseContasDRE[#All],7,FALSE)),"Fora do DRE",VLOOKUP(Base_Periodo1[[#This Row],[CONTA]],BaseContasDRE[#All],7,FALSE))</f>
        <v>Fora do DRE</v>
      </c>
      <c r="V1955" s="3" t="str">
        <f>IF(Base_Periodo1[[#This Row],[Tipo_Linha]]="Fora do DRE","Fora do DRE","( "&amp;Base_Periodo1[[#This Row],[Tipo_Linha]]&amp;" ) "&amp;Base_Periodo1[[#This Row],[Filtro]])</f>
        <v>Fora do DRE</v>
      </c>
      <c r="W1955" s="3" t="str">
        <f>LEFT(Base_Periodo1[[#This Row],[CLASS]],3)</f>
        <v>1.1</v>
      </c>
    </row>
    <row r="1956" spans="1:23" hidden="1">
      <c r="A1956" s="3" t="str">
        <f t="shared" si="30"/>
        <v>Período 1</v>
      </c>
      <c r="B1956">
        <v>31408</v>
      </c>
      <c r="C1956" t="s">
        <v>1554</v>
      </c>
      <c r="D1956" t="s">
        <v>1553</v>
      </c>
      <c r="E1956" s="3" t="str">
        <f>IF(LEN(Base_Periodo1[[#This Row],[CLASS]])&gt;=7,LEFT(Base_Periodo1[[#This Row],[CLASS]],7),"")</f>
        <v>1.1.3.1</v>
      </c>
      <c r="F1956" s="3" t="str">
        <f>VLOOKUP(Base_Periodo1[[#This Row],[Aux]],Base_Contas_Balanco[#All],2,FALSE)</f>
        <v>Estoques Proprios</v>
      </c>
      <c r="G1956" s="1">
        <v>42766</v>
      </c>
      <c r="H1956" s="225">
        <v>12469891.649999999</v>
      </c>
      <c r="I1956" s="225">
        <v>0</v>
      </c>
      <c r="J1956" s="225">
        <v>0</v>
      </c>
      <c r="K1956" s="225">
        <v>12469891.649999999</v>
      </c>
      <c r="L19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12469891.65</v>
      </c>
      <c r="M1956" s="225">
        <f>ROUND(IF(AND(Base_Periodo1[[#This Row],[Tipo_Linha]]="-",Base_Periodo1[[#This Row],[TIPOSALDO]]="D"),Base_Periodo1[[#This Row],[SALDO_ATUAL]]*-1,Base_Periodo1[[#This Row],[SALDO_ATUAL]]),4)</f>
        <v>12469891.65</v>
      </c>
      <c r="N1956" t="s">
        <v>116</v>
      </c>
      <c r="O1956" t="s">
        <v>397</v>
      </c>
      <c r="P1956" t="s">
        <v>397</v>
      </c>
      <c r="Q1956">
        <v>8</v>
      </c>
      <c r="R1956" s="225">
        <f>Base_Periodo1[[#This Row],[CREDITOS]]-Base_Periodo1[[#This Row],[DEBITOS]]</f>
        <v>0</v>
      </c>
      <c r="S1956" s="3" t="str">
        <f>IF(ISERROR(VLOOKUP(Base_Periodo1[[#This Row],[CONTA]],BaseContasDRE[#All],4,FALSE)),"Fora do DRE",VLOOKUP(Base_Periodo1[[#This Row],[CONTA]],BaseContasDRE[#All],4,FALSE))</f>
        <v>Fora do DRE</v>
      </c>
      <c r="T1956" s="3" t="str">
        <f>IF(ISERROR(VLOOKUP(Base_Periodo1[[#This Row],[CONTA]],BaseContasDRE[#All],5,FALSE)),"Fora do DRE",VLOOKUP(Base_Periodo1[[#This Row],[CONTA]],BaseContasDRE[#All],6,FALSE))</f>
        <v>Fora do DRE</v>
      </c>
      <c r="U1956" s="3" t="str">
        <f>IF(ISERROR(VLOOKUP(Base_Periodo1[[#This Row],[CONTA]],BaseContasDRE[#All],7,FALSE)),"Fora do DRE",VLOOKUP(Base_Periodo1[[#This Row],[CONTA]],BaseContasDRE[#All],7,FALSE))</f>
        <v>Fora do DRE</v>
      </c>
      <c r="V1956" s="3" t="str">
        <f>IF(Base_Periodo1[[#This Row],[Tipo_Linha]]="Fora do DRE","Fora do DRE","( "&amp;Base_Periodo1[[#This Row],[Tipo_Linha]]&amp;" ) "&amp;Base_Periodo1[[#This Row],[Filtro]])</f>
        <v>Fora do DRE</v>
      </c>
      <c r="W1956" s="3" t="str">
        <f>LEFT(Base_Periodo1[[#This Row],[CLASS]],3)</f>
        <v>1.1</v>
      </c>
    </row>
    <row r="1957" spans="1:23" hidden="1">
      <c r="A1957" s="3" t="str">
        <f t="shared" si="30"/>
        <v>Período 1</v>
      </c>
      <c r="B1957">
        <v>31409</v>
      </c>
      <c r="C1957" t="s">
        <v>4546</v>
      </c>
      <c r="D1957" t="s">
        <v>4547</v>
      </c>
      <c r="E1957" s="3" t="str">
        <f>IF(LEN(Base_Periodo1[[#This Row],[CLASS]])&gt;=7,LEFT(Base_Periodo1[[#This Row],[CLASS]],7),"")</f>
        <v>1.1.3.1</v>
      </c>
      <c r="F1957" s="3" t="str">
        <f>VLOOKUP(Base_Periodo1[[#This Row],[Aux]],Base_Contas_Balanco[#All],2,FALSE)</f>
        <v>Estoques Proprios</v>
      </c>
      <c r="G1957" s="1">
        <v>42886</v>
      </c>
      <c r="H1957" s="225">
        <v>832033.5</v>
      </c>
      <c r="I1957" s="225">
        <v>338175.38</v>
      </c>
      <c r="J1957" s="225">
        <v>0</v>
      </c>
      <c r="K1957" s="225">
        <v>1170208.8799999999</v>
      </c>
      <c r="L19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1170208.8799999999</v>
      </c>
      <c r="M1957" s="225">
        <f>ROUND(IF(AND(Base_Periodo1[[#This Row],[Tipo_Linha]]="-",Base_Periodo1[[#This Row],[TIPOSALDO]]="D"),Base_Periodo1[[#This Row],[SALDO_ATUAL]]*-1,Base_Periodo1[[#This Row],[SALDO_ATUAL]]),4)</f>
        <v>1170208.8799999999</v>
      </c>
      <c r="N1957" t="s">
        <v>116</v>
      </c>
      <c r="O1957" t="s">
        <v>397</v>
      </c>
      <c r="P1957" t="s">
        <v>397</v>
      </c>
      <c r="Q1957">
        <v>8</v>
      </c>
      <c r="R1957" s="225">
        <f>Base_Periodo1[[#This Row],[CREDITOS]]-Base_Periodo1[[#This Row],[DEBITOS]]</f>
        <v>-338175.38</v>
      </c>
      <c r="S1957" s="3" t="str">
        <f>IF(ISERROR(VLOOKUP(Base_Periodo1[[#This Row],[CONTA]],BaseContasDRE[#All],4,FALSE)),"Fora do DRE",VLOOKUP(Base_Periodo1[[#This Row],[CONTA]],BaseContasDRE[#All],4,FALSE))</f>
        <v>Fora do DRE</v>
      </c>
      <c r="T1957" s="3" t="str">
        <f>IF(ISERROR(VLOOKUP(Base_Periodo1[[#This Row],[CONTA]],BaseContasDRE[#All],5,FALSE)),"Fora do DRE",VLOOKUP(Base_Periodo1[[#This Row],[CONTA]],BaseContasDRE[#All],6,FALSE))</f>
        <v>Fora do DRE</v>
      </c>
      <c r="U1957" s="3" t="str">
        <f>IF(ISERROR(VLOOKUP(Base_Periodo1[[#This Row],[CONTA]],BaseContasDRE[#All],7,FALSE)),"Fora do DRE",VLOOKUP(Base_Periodo1[[#This Row],[CONTA]],BaseContasDRE[#All],7,FALSE))</f>
        <v>Fora do DRE</v>
      </c>
      <c r="V1957" s="3" t="str">
        <f>IF(Base_Periodo1[[#This Row],[Tipo_Linha]]="Fora do DRE","Fora do DRE","( "&amp;Base_Periodo1[[#This Row],[Tipo_Linha]]&amp;" ) "&amp;Base_Periodo1[[#This Row],[Filtro]])</f>
        <v>Fora do DRE</v>
      </c>
      <c r="W1957" s="3" t="str">
        <f>LEFT(Base_Periodo1[[#This Row],[CLASS]],3)</f>
        <v>1.1</v>
      </c>
    </row>
    <row r="1958" spans="1:23" hidden="1">
      <c r="A1958" s="3" t="str">
        <f t="shared" si="30"/>
        <v>Período 1</v>
      </c>
      <c r="B1958">
        <v>32973</v>
      </c>
      <c r="C1958" t="s">
        <v>4548</v>
      </c>
      <c r="D1958" t="s">
        <v>4545</v>
      </c>
      <c r="E1958" s="3" t="str">
        <f>IF(LEN(Base_Periodo1[[#This Row],[CLASS]])&gt;=7,LEFT(Base_Periodo1[[#This Row],[CLASS]],7),"")</f>
        <v>1.1.3.1</v>
      </c>
      <c r="F1958" s="3" t="str">
        <f>VLOOKUP(Base_Periodo1[[#This Row],[Aux]],Base_Contas_Balanco[#All],2,FALSE)</f>
        <v>Estoques Proprios</v>
      </c>
      <c r="G1958" s="1">
        <v>42886</v>
      </c>
      <c r="H1958" s="225">
        <v>246452.96000000005</v>
      </c>
      <c r="I1958" s="225">
        <v>25571.65</v>
      </c>
      <c r="J1958" s="225">
        <v>0</v>
      </c>
      <c r="K1958" s="225">
        <v>272024.61000000004</v>
      </c>
      <c r="L19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272024.61</v>
      </c>
      <c r="M1958" s="225">
        <f>ROUND(IF(AND(Base_Periodo1[[#This Row],[Tipo_Linha]]="-",Base_Periodo1[[#This Row],[TIPOSALDO]]="D"),Base_Periodo1[[#This Row],[SALDO_ATUAL]]*-1,Base_Periodo1[[#This Row],[SALDO_ATUAL]]),4)</f>
        <v>272024.61</v>
      </c>
      <c r="N1958" t="s">
        <v>116</v>
      </c>
      <c r="O1958" t="s">
        <v>397</v>
      </c>
      <c r="P1958" t="s">
        <v>397</v>
      </c>
      <c r="Q1958">
        <v>8</v>
      </c>
      <c r="R1958" s="225">
        <f>Base_Periodo1[[#This Row],[CREDITOS]]-Base_Periodo1[[#This Row],[DEBITOS]]</f>
        <v>-25571.65</v>
      </c>
      <c r="S1958" s="3" t="str">
        <f>IF(ISERROR(VLOOKUP(Base_Periodo1[[#This Row],[CONTA]],BaseContasDRE[#All],4,FALSE)),"Fora do DRE",VLOOKUP(Base_Periodo1[[#This Row],[CONTA]],BaseContasDRE[#All],4,FALSE))</f>
        <v>Fora do DRE</v>
      </c>
      <c r="T1958" s="3" t="str">
        <f>IF(ISERROR(VLOOKUP(Base_Periodo1[[#This Row],[CONTA]],BaseContasDRE[#All],5,FALSE)),"Fora do DRE",VLOOKUP(Base_Periodo1[[#This Row],[CONTA]],BaseContasDRE[#All],6,FALSE))</f>
        <v>Fora do DRE</v>
      </c>
      <c r="U1958" s="3" t="str">
        <f>IF(ISERROR(VLOOKUP(Base_Periodo1[[#This Row],[CONTA]],BaseContasDRE[#All],7,FALSE)),"Fora do DRE",VLOOKUP(Base_Periodo1[[#This Row],[CONTA]],BaseContasDRE[#All],7,FALSE))</f>
        <v>Fora do DRE</v>
      </c>
      <c r="V1958" s="3" t="str">
        <f>IF(Base_Periodo1[[#This Row],[Tipo_Linha]]="Fora do DRE","Fora do DRE","( "&amp;Base_Periodo1[[#This Row],[Tipo_Linha]]&amp;" ) "&amp;Base_Periodo1[[#This Row],[Filtro]])</f>
        <v>Fora do DRE</v>
      </c>
      <c r="W1958" s="3" t="str">
        <f>LEFT(Base_Periodo1[[#This Row],[CLASS]],3)</f>
        <v>1.1</v>
      </c>
    </row>
    <row r="1959" spans="1:23" hidden="1">
      <c r="A1959" s="3" t="str">
        <f t="shared" si="30"/>
        <v>Período 1</v>
      </c>
      <c r="B1959">
        <v>54005</v>
      </c>
      <c r="C1959" t="s">
        <v>4976</v>
      </c>
      <c r="D1959" t="s">
        <v>4975</v>
      </c>
      <c r="E1959" s="3" t="str">
        <f>IF(LEN(Base_Periodo1[[#This Row],[CLASS]])&gt;=7,LEFT(Base_Periodo1[[#This Row],[CLASS]],7),"")</f>
        <v>1.1.3.1</v>
      </c>
      <c r="F1959" s="3" t="str">
        <f>VLOOKUP(Base_Periodo1[[#This Row],[Aux]],Base_Contas_Balanco[#All],2,FALSE)</f>
        <v>Estoques Proprios</v>
      </c>
      <c r="G1959" s="1">
        <v>42886</v>
      </c>
      <c r="H1959" s="225">
        <v>1672847.94</v>
      </c>
      <c r="I1959" s="225">
        <v>287401.55</v>
      </c>
      <c r="J1959" s="225">
        <v>0</v>
      </c>
      <c r="K1959" s="225">
        <v>1960249.49</v>
      </c>
      <c r="L19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1960249.49</v>
      </c>
      <c r="M1959" s="225">
        <f>ROUND(IF(AND(Base_Periodo1[[#This Row],[Tipo_Linha]]="-",Base_Periodo1[[#This Row],[TIPOSALDO]]="D"),Base_Periodo1[[#This Row],[SALDO_ATUAL]]*-1,Base_Periodo1[[#This Row],[SALDO_ATUAL]]),4)</f>
        <v>1960249.49</v>
      </c>
      <c r="N1959" t="s">
        <v>116</v>
      </c>
      <c r="O1959" t="s">
        <v>397</v>
      </c>
      <c r="P1959" t="s">
        <v>397</v>
      </c>
      <c r="Q1959">
        <v>8</v>
      </c>
      <c r="R1959" s="225">
        <f>Base_Periodo1[[#This Row],[CREDITOS]]-Base_Periodo1[[#This Row],[DEBITOS]]</f>
        <v>-287401.55</v>
      </c>
      <c r="S1959" s="3" t="str">
        <f>IF(ISERROR(VLOOKUP(Base_Periodo1[[#This Row],[CONTA]],BaseContasDRE[#All],4,FALSE)),"Fora do DRE",VLOOKUP(Base_Periodo1[[#This Row],[CONTA]],BaseContasDRE[#All],4,FALSE))</f>
        <v>Fora do DRE</v>
      </c>
      <c r="T1959" s="3" t="str">
        <f>IF(ISERROR(VLOOKUP(Base_Periodo1[[#This Row],[CONTA]],BaseContasDRE[#All],5,FALSE)),"Fora do DRE",VLOOKUP(Base_Periodo1[[#This Row],[CONTA]],BaseContasDRE[#All],6,FALSE))</f>
        <v>Fora do DRE</v>
      </c>
      <c r="U1959" s="3" t="str">
        <f>IF(ISERROR(VLOOKUP(Base_Periodo1[[#This Row],[CONTA]],BaseContasDRE[#All],7,FALSE)),"Fora do DRE",VLOOKUP(Base_Periodo1[[#This Row],[CONTA]],BaseContasDRE[#All],7,FALSE))</f>
        <v>Fora do DRE</v>
      </c>
      <c r="V1959" s="3" t="str">
        <f>IF(Base_Periodo1[[#This Row],[Tipo_Linha]]="Fora do DRE","Fora do DRE","( "&amp;Base_Periodo1[[#This Row],[Tipo_Linha]]&amp;" ) "&amp;Base_Periodo1[[#This Row],[Filtro]])</f>
        <v>Fora do DRE</v>
      </c>
      <c r="W1959" s="3" t="str">
        <f>LEFT(Base_Periodo1[[#This Row],[CLASS]],3)</f>
        <v>1.1</v>
      </c>
    </row>
    <row r="1960" spans="1:23" hidden="1">
      <c r="A1960" s="3" t="str">
        <f t="shared" si="30"/>
        <v>Período 1</v>
      </c>
      <c r="B1960">
        <v>58399</v>
      </c>
      <c r="C1960" t="s">
        <v>6312</v>
      </c>
      <c r="D1960" t="s">
        <v>4663</v>
      </c>
      <c r="E1960" s="3" t="str">
        <f>IF(LEN(Base_Periodo1[[#This Row],[CLASS]])&gt;=7,LEFT(Base_Periodo1[[#This Row],[CLASS]],7),"")</f>
        <v>1.1.3.1</v>
      </c>
      <c r="F1960" s="3" t="str">
        <f>VLOOKUP(Base_Periodo1[[#This Row],[Aux]],Base_Contas_Balanco[#All],2,FALSE)</f>
        <v>Estoques Proprios</v>
      </c>
      <c r="G1960" s="1">
        <v>42864</v>
      </c>
      <c r="H1960" s="225">
        <v>248949.19999999995</v>
      </c>
      <c r="I1960" s="225">
        <v>94888.8</v>
      </c>
      <c r="J1960" s="225">
        <v>0</v>
      </c>
      <c r="K1960" s="225">
        <v>343837.99999999994</v>
      </c>
      <c r="L19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343838</v>
      </c>
      <c r="M1960" s="225">
        <f>ROUND(IF(AND(Base_Periodo1[[#This Row],[Tipo_Linha]]="-",Base_Periodo1[[#This Row],[TIPOSALDO]]="D"),Base_Periodo1[[#This Row],[SALDO_ATUAL]]*-1,Base_Periodo1[[#This Row],[SALDO_ATUAL]]),4)</f>
        <v>343838</v>
      </c>
      <c r="N1960" t="s">
        <v>116</v>
      </c>
      <c r="O1960" t="s">
        <v>397</v>
      </c>
      <c r="P1960" t="s">
        <v>397</v>
      </c>
      <c r="Q1960">
        <v>8</v>
      </c>
      <c r="R1960" s="225">
        <f>Base_Periodo1[[#This Row],[CREDITOS]]-Base_Periodo1[[#This Row],[DEBITOS]]</f>
        <v>-94888.8</v>
      </c>
      <c r="S1960" s="3" t="str">
        <f>IF(ISERROR(VLOOKUP(Base_Periodo1[[#This Row],[CONTA]],BaseContasDRE[#All],4,FALSE)),"Fora do DRE",VLOOKUP(Base_Periodo1[[#This Row],[CONTA]],BaseContasDRE[#All],4,FALSE))</f>
        <v>Fora do DRE</v>
      </c>
      <c r="T1960" s="3" t="str">
        <f>IF(ISERROR(VLOOKUP(Base_Periodo1[[#This Row],[CONTA]],BaseContasDRE[#All],5,FALSE)),"Fora do DRE",VLOOKUP(Base_Periodo1[[#This Row],[CONTA]],BaseContasDRE[#All],6,FALSE))</f>
        <v>Fora do DRE</v>
      </c>
      <c r="U1960" s="3" t="str">
        <f>IF(ISERROR(VLOOKUP(Base_Periodo1[[#This Row],[CONTA]],BaseContasDRE[#All],7,FALSE)),"Fora do DRE",VLOOKUP(Base_Periodo1[[#This Row],[CONTA]],BaseContasDRE[#All],7,FALSE))</f>
        <v>Fora do DRE</v>
      </c>
      <c r="V1960" s="3" t="str">
        <f>IF(Base_Periodo1[[#This Row],[Tipo_Linha]]="Fora do DRE","Fora do DRE","( "&amp;Base_Periodo1[[#This Row],[Tipo_Linha]]&amp;" ) "&amp;Base_Periodo1[[#This Row],[Filtro]])</f>
        <v>Fora do DRE</v>
      </c>
      <c r="W1960" s="3" t="str">
        <f>LEFT(Base_Periodo1[[#This Row],[CLASS]],3)</f>
        <v>1.1</v>
      </c>
    </row>
    <row r="1961" spans="1:23" hidden="1">
      <c r="A1961" s="3" t="str">
        <f t="shared" si="30"/>
        <v>Período 1</v>
      </c>
      <c r="B1961">
        <v>58398</v>
      </c>
      <c r="C1961" t="s">
        <v>6313</v>
      </c>
      <c r="D1961" t="s">
        <v>4665</v>
      </c>
      <c r="E1961" s="3" t="str">
        <f>IF(LEN(Base_Periodo1[[#This Row],[CLASS]])&gt;=7,LEFT(Base_Periodo1[[#This Row],[CLASS]],7),"")</f>
        <v>1.1.3.1</v>
      </c>
      <c r="F1961" s="3" t="str">
        <f>VLOOKUP(Base_Periodo1[[#This Row],[Aux]],Base_Contas_Balanco[#All],2,FALSE)</f>
        <v>Estoques Proprios</v>
      </c>
      <c r="G1961" s="1"/>
      <c r="H1961" s="225">
        <v>343837.99999999988</v>
      </c>
      <c r="I1961" s="225">
        <v>0</v>
      </c>
      <c r="J1961" s="225">
        <v>0</v>
      </c>
      <c r="K1961" s="225">
        <v>343837.99999999988</v>
      </c>
      <c r="L19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-343838</v>
      </c>
      <c r="M1961" s="225">
        <f>ROUND(IF(AND(Base_Periodo1[[#This Row],[Tipo_Linha]]="-",Base_Periodo1[[#This Row],[TIPOSALDO]]="D"),Base_Periodo1[[#This Row],[SALDO_ATUAL]]*-1,Base_Periodo1[[#This Row],[SALDO_ATUAL]]),4)</f>
        <v>343838</v>
      </c>
      <c r="N1961" t="s">
        <v>116</v>
      </c>
      <c r="O1961" t="s">
        <v>459</v>
      </c>
      <c r="P1961" t="s">
        <v>459</v>
      </c>
      <c r="Q1961">
        <v>8</v>
      </c>
      <c r="R1961" s="225">
        <f>Base_Periodo1[[#This Row],[CREDITOS]]-Base_Periodo1[[#This Row],[DEBITOS]]</f>
        <v>0</v>
      </c>
      <c r="S1961" s="3" t="str">
        <f>IF(ISERROR(VLOOKUP(Base_Periodo1[[#This Row],[CONTA]],BaseContasDRE[#All],4,FALSE)),"Fora do DRE",VLOOKUP(Base_Periodo1[[#This Row],[CONTA]],BaseContasDRE[#All],4,FALSE))</f>
        <v>Fora do DRE</v>
      </c>
      <c r="T1961" s="3" t="str">
        <f>IF(ISERROR(VLOOKUP(Base_Periodo1[[#This Row],[CONTA]],BaseContasDRE[#All],5,FALSE)),"Fora do DRE",VLOOKUP(Base_Periodo1[[#This Row],[CONTA]],BaseContasDRE[#All],6,FALSE))</f>
        <v>Fora do DRE</v>
      </c>
      <c r="U1961" s="3" t="str">
        <f>IF(ISERROR(VLOOKUP(Base_Periodo1[[#This Row],[CONTA]],BaseContasDRE[#All],7,FALSE)),"Fora do DRE",VLOOKUP(Base_Periodo1[[#This Row],[CONTA]],BaseContasDRE[#All],7,FALSE))</f>
        <v>Fora do DRE</v>
      </c>
      <c r="V1961" s="3" t="str">
        <f>IF(Base_Periodo1[[#This Row],[Tipo_Linha]]="Fora do DRE","Fora do DRE","( "&amp;Base_Periodo1[[#This Row],[Tipo_Linha]]&amp;" ) "&amp;Base_Periodo1[[#This Row],[Filtro]])</f>
        <v>Fora do DRE</v>
      </c>
      <c r="W1961" s="3" t="str">
        <f>LEFT(Base_Periodo1[[#This Row],[CLASS]],3)</f>
        <v>1.1</v>
      </c>
    </row>
    <row r="1962" spans="1:23" hidden="1">
      <c r="A1962" s="3" t="str">
        <f t="shared" si="30"/>
        <v>Período 1</v>
      </c>
      <c r="B1962">
        <v>31410</v>
      </c>
      <c r="C1962" t="s">
        <v>4549</v>
      </c>
      <c r="D1962" t="s">
        <v>1547</v>
      </c>
      <c r="E1962" s="3" t="str">
        <f>IF(LEN(Base_Periodo1[[#This Row],[CLASS]])&gt;=7,LEFT(Base_Periodo1[[#This Row],[CLASS]],7),"")</f>
        <v>1.1.3.1</v>
      </c>
      <c r="F1962" s="3" t="str">
        <f>VLOOKUP(Base_Periodo1[[#This Row],[Aux]],Base_Contas_Balanco[#All],2,FALSE)</f>
        <v>Estoques Proprios</v>
      </c>
      <c r="G1962" s="1">
        <v>42886</v>
      </c>
      <c r="H1962" s="225">
        <v>9745542.2899999991</v>
      </c>
      <c r="I1962" s="225">
        <v>0</v>
      </c>
      <c r="J1962" s="225">
        <v>2320606.98</v>
      </c>
      <c r="K1962" s="225">
        <v>12066149.27</v>
      </c>
      <c r="L19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-12066149.27</v>
      </c>
      <c r="M1962" s="225">
        <f>ROUND(IF(AND(Base_Periodo1[[#This Row],[Tipo_Linha]]="-",Base_Periodo1[[#This Row],[TIPOSALDO]]="D"),Base_Periodo1[[#This Row],[SALDO_ATUAL]]*-1,Base_Periodo1[[#This Row],[SALDO_ATUAL]]),4)</f>
        <v>12066149.27</v>
      </c>
      <c r="N1962" t="s">
        <v>116</v>
      </c>
      <c r="O1962" t="s">
        <v>459</v>
      </c>
      <c r="P1962" t="s">
        <v>459</v>
      </c>
      <c r="Q1962">
        <v>8</v>
      </c>
      <c r="R1962" s="225">
        <f>Base_Periodo1[[#This Row],[CREDITOS]]-Base_Periodo1[[#This Row],[DEBITOS]]</f>
        <v>2320606.98</v>
      </c>
      <c r="S1962" s="3" t="str">
        <f>IF(ISERROR(VLOOKUP(Base_Periodo1[[#This Row],[CONTA]],BaseContasDRE[#All],4,FALSE)),"Fora do DRE",VLOOKUP(Base_Periodo1[[#This Row],[CONTA]],BaseContasDRE[#All],4,FALSE))</f>
        <v>Fora do DRE</v>
      </c>
      <c r="T1962" s="3" t="str">
        <f>IF(ISERROR(VLOOKUP(Base_Periodo1[[#This Row],[CONTA]],BaseContasDRE[#All],5,FALSE)),"Fora do DRE",VLOOKUP(Base_Periodo1[[#This Row],[CONTA]],BaseContasDRE[#All],6,FALSE))</f>
        <v>Fora do DRE</v>
      </c>
      <c r="U1962" s="3" t="str">
        <f>IF(ISERROR(VLOOKUP(Base_Periodo1[[#This Row],[CONTA]],BaseContasDRE[#All],7,FALSE)),"Fora do DRE",VLOOKUP(Base_Periodo1[[#This Row],[CONTA]],BaseContasDRE[#All],7,FALSE))</f>
        <v>Fora do DRE</v>
      </c>
      <c r="V1962" s="3" t="str">
        <f>IF(Base_Periodo1[[#This Row],[Tipo_Linha]]="Fora do DRE","Fora do DRE","( "&amp;Base_Periodo1[[#This Row],[Tipo_Linha]]&amp;" ) "&amp;Base_Periodo1[[#This Row],[Filtro]])</f>
        <v>Fora do DRE</v>
      </c>
      <c r="W1962" s="3" t="str">
        <f>LEFT(Base_Periodo1[[#This Row],[CLASS]],3)</f>
        <v>1.1</v>
      </c>
    </row>
    <row r="1963" spans="1:23" hidden="1">
      <c r="A1963" s="3" t="str">
        <f t="shared" si="30"/>
        <v>Período 1</v>
      </c>
      <c r="B1963">
        <v>31411</v>
      </c>
      <c r="C1963" t="s">
        <v>1555</v>
      </c>
      <c r="D1963" t="s">
        <v>1273</v>
      </c>
      <c r="E1963" s="3" t="str">
        <f>IF(LEN(Base_Periodo1[[#This Row],[CLASS]])&gt;=7,LEFT(Base_Periodo1[[#This Row],[CLASS]],7),"")</f>
        <v>1.1.3.1</v>
      </c>
      <c r="F1963" s="3" t="str">
        <f>VLOOKUP(Base_Periodo1[[#This Row],[Aux]],Base_Contas_Balanco[#All],2,FALSE)</f>
        <v>Estoques Proprios</v>
      </c>
      <c r="G1963" s="1"/>
      <c r="H1963" s="225">
        <v>1526218.4700000014</v>
      </c>
      <c r="I1963" s="225">
        <v>152948.23000000001</v>
      </c>
      <c r="J1963" s="225">
        <v>485628.92</v>
      </c>
      <c r="K1963" s="225">
        <v>1193537.7800000014</v>
      </c>
      <c r="L19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1193537.78</v>
      </c>
      <c r="M1963" s="225">
        <f>ROUND(IF(AND(Base_Periodo1[[#This Row],[Tipo_Linha]]="-",Base_Periodo1[[#This Row],[TIPOSALDO]]="D"),Base_Periodo1[[#This Row],[SALDO_ATUAL]]*-1,Base_Periodo1[[#This Row],[SALDO_ATUAL]]),4)</f>
        <v>1193537.78</v>
      </c>
      <c r="N1963" t="s">
        <v>396</v>
      </c>
      <c r="O1963" t="s">
        <v>397</v>
      </c>
      <c r="P1963" t="s">
        <v>397</v>
      </c>
      <c r="Q1963">
        <v>7</v>
      </c>
      <c r="R1963" s="225">
        <f>Base_Periodo1[[#This Row],[CREDITOS]]-Base_Periodo1[[#This Row],[DEBITOS]]</f>
        <v>332680.68999999994</v>
      </c>
      <c r="S1963" s="3" t="str">
        <f>IF(ISERROR(VLOOKUP(Base_Periodo1[[#This Row],[CONTA]],BaseContasDRE[#All],4,FALSE)),"Fora do DRE",VLOOKUP(Base_Periodo1[[#This Row],[CONTA]],BaseContasDRE[#All],4,FALSE))</f>
        <v>Fora do DRE</v>
      </c>
      <c r="T1963" s="3" t="str">
        <f>IF(ISERROR(VLOOKUP(Base_Periodo1[[#This Row],[CONTA]],BaseContasDRE[#All],5,FALSE)),"Fora do DRE",VLOOKUP(Base_Periodo1[[#This Row],[CONTA]],BaseContasDRE[#All],6,FALSE))</f>
        <v>Fora do DRE</v>
      </c>
      <c r="U1963" s="3" t="str">
        <f>IF(ISERROR(VLOOKUP(Base_Periodo1[[#This Row],[CONTA]],BaseContasDRE[#All],7,FALSE)),"Fora do DRE",VLOOKUP(Base_Periodo1[[#This Row],[CONTA]],BaseContasDRE[#All],7,FALSE))</f>
        <v>Fora do DRE</v>
      </c>
      <c r="V1963" s="3" t="str">
        <f>IF(Base_Periodo1[[#This Row],[Tipo_Linha]]="Fora do DRE","Fora do DRE","( "&amp;Base_Periodo1[[#This Row],[Tipo_Linha]]&amp;" ) "&amp;Base_Periodo1[[#This Row],[Filtro]])</f>
        <v>Fora do DRE</v>
      </c>
      <c r="W1963" s="3" t="str">
        <f>LEFT(Base_Periodo1[[#This Row],[CLASS]],3)</f>
        <v>1.1</v>
      </c>
    </row>
    <row r="1964" spans="1:23" hidden="1">
      <c r="A1964" s="3" t="str">
        <f t="shared" si="30"/>
        <v>Período 1</v>
      </c>
      <c r="B1964">
        <v>31412</v>
      </c>
      <c r="C1964" t="s">
        <v>1556</v>
      </c>
      <c r="D1964" t="s">
        <v>1273</v>
      </c>
      <c r="E1964" s="3" t="str">
        <f>IF(LEN(Base_Periodo1[[#This Row],[CLASS]])&gt;=7,LEFT(Base_Periodo1[[#This Row],[CLASS]],7),"")</f>
        <v>1.1.3.1</v>
      </c>
      <c r="F1964" s="3" t="str">
        <f>VLOOKUP(Base_Periodo1[[#This Row],[Aux]],Base_Contas_Balanco[#All],2,FALSE)</f>
        <v>Estoques Proprios</v>
      </c>
      <c r="G1964" s="1">
        <v>42825</v>
      </c>
      <c r="H1964" s="225">
        <v>6374236.5700000012</v>
      </c>
      <c r="I1964" s="225">
        <v>0</v>
      </c>
      <c r="J1964" s="225">
        <v>0</v>
      </c>
      <c r="K1964" s="225">
        <v>6374236.5700000012</v>
      </c>
      <c r="L19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6374236.5700000003</v>
      </c>
      <c r="M1964" s="225">
        <f>ROUND(IF(AND(Base_Periodo1[[#This Row],[Tipo_Linha]]="-",Base_Periodo1[[#This Row],[TIPOSALDO]]="D"),Base_Periodo1[[#This Row],[SALDO_ATUAL]]*-1,Base_Periodo1[[#This Row],[SALDO_ATUAL]]),4)</f>
        <v>6374236.5700000003</v>
      </c>
      <c r="N1964" t="s">
        <v>116</v>
      </c>
      <c r="O1964" t="s">
        <v>397</v>
      </c>
      <c r="P1964" t="s">
        <v>397</v>
      </c>
      <c r="Q1964">
        <v>8</v>
      </c>
      <c r="R1964" s="225">
        <f>Base_Periodo1[[#This Row],[CREDITOS]]-Base_Periodo1[[#This Row],[DEBITOS]]</f>
        <v>0</v>
      </c>
      <c r="S1964" s="3" t="str">
        <f>IF(ISERROR(VLOOKUP(Base_Periodo1[[#This Row],[CONTA]],BaseContasDRE[#All],4,FALSE)),"Fora do DRE",VLOOKUP(Base_Periodo1[[#This Row],[CONTA]],BaseContasDRE[#All],4,FALSE))</f>
        <v>Fora do DRE</v>
      </c>
      <c r="T1964" s="3" t="str">
        <f>IF(ISERROR(VLOOKUP(Base_Periodo1[[#This Row],[CONTA]],BaseContasDRE[#All],5,FALSE)),"Fora do DRE",VLOOKUP(Base_Periodo1[[#This Row],[CONTA]],BaseContasDRE[#All],6,FALSE))</f>
        <v>Fora do DRE</v>
      </c>
      <c r="U1964" s="3" t="str">
        <f>IF(ISERROR(VLOOKUP(Base_Periodo1[[#This Row],[CONTA]],BaseContasDRE[#All],7,FALSE)),"Fora do DRE",VLOOKUP(Base_Periodo1[[#This Row],[CONTA]],BaseContasDRE[#All],7,FALSE))</f>
        <v>Fora do DRE</v>
      </c>
      <c r="V1964" s="3" t="str">
        <f>IF(Base_Periodo1[[#This Row],[Tipo_Linha]]="Fora do DRE","Fora do DRE","( "&amp;Base_Periodo1[[#This Row],[Tipo_Linha]]&amp;" ) "&amp;Base_Periodo1[[#This Row],[Filtro]])</f>
        <v>Fora do DRE</v>
      </c>
      <c r="W1964" s="3" t="str">
        <f>LEFT(Base_Periodo1[[#This Row],[CLASS]],3)</f>
        <v>1.1</v>
      </c>
    </row>
    <row r="1965" spans="1:23" hidden="1">
      <c r="A1965" s="3" t="str">
        <f t="shared" si="30"/>
        <v>Período 1</v>
      </c>
      <c r="B1965">
        <v>31413</v>
      </c>
      <c r="C1965" t="s">
        <v>4550</v>
      </c>
      <c r="D1965" t="s">
        <v>4551</v>
      </c>
      <c r="E1965" s="3" t="str">
        <f>IF(LEN(Base_Periodo1[[#This Row],[CLASS]])&gt;=7,LEFT(Base_Periodo1[[#This Row],[CLASS]],7),"")</f>
        <v>1.1.3.1</v>
      </c>
      <c r="F1965" s="3" t="str">
        <f>VLOOKUP(Base_Periodo1[[#This Row],[Aux]],Base_Contas_Balanco[#All],2,FALSE)</f>
        <v>Estoques Proprios</v>
      </c>
      <c r="G1965" s="1">
        <v>42825</v>
      </c>
      <c r="H1965" s="225">
        <v>308395.32000000007</v>
      </c>
      <c r="I1965" s="225">
        <v>0</v>
      </c>
      <c r="J1965" s="225">
        <v>0</v>
      </c>
      <c r="K1965" s="225">
        <v>308395.32000000007</v>
      </c>
      <c r="L19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308395.32</v>
      </c>
      <c r="M1965" s="225">
        <f>ROUND(IF(AND(Base_Periodo1[[#This Row],[Tipo_Linha]]="-",Base_Periodo1[[#This Row],[TIPOSALDO]]="D"),Base_Periodo1[[#This Row],[SALDO_ATUAL]]*-1,Base_Periodo1[[#This Row],[SALDO_ATUAL]]),4)</f>
        <v>308395.32</v>
      </c>
      <c r="N1965" t="s">
        <v>116</v>
      </c>
      <c r="O1965" t="s">
        <v>397</v>
      </c>
      <c r="P1965" t="s">
        <v>397</v>
      </c>
      <c r="Q1965">
        <v>8</v>
      </c>
      <c r="R1965" s="225">
        <f>Base_Periodo1[[#This Row],[CREDITOS]]-Base_Periodo1[[#This Row],[DEBITOS]]</f>
        <v>0</v>
      </c>
      <c r="S1965" s="3" t="str">
        <f>IF(ISERROR(VLOOKUP(Base_Periodo1[[#This Row],[CONTA]],BaseContasDRE[#All],4,FALSE)),"Fora do DRE",VLOOKUP(Base_Periodo1[[#This Row],[CONTA]],BaseContasDRE[#All],4,FALSE))</f>
        <v>Fora do DRE</v>
      </c>
      <c r="T1965" s="3" t="str">
        <f>IF(ISERROR(VLOOKUP(Base_Periodo1[[#This Row],[CONTA]],BaseContasDRE[#All],5,FALSE)),"Fora do DRE",VLOOKUP(Base_Periodo1[[#This Row],[CONTA]],BaseContasDRE[#All],6,FALSE))</f>
        <v>Fora do DRE</v>
      </c>
      <c r="U1965" s="3" t="str">
        <f>IF(ISERROR(VLOOKUP(Base_Periodo1[[#This Row],[CONTA]],BaseContasDRE[#All],7,FALSE)),"Fora do DRE",VLOOKUP(Base_Periodo1[[#This Row],[CONTA]],BaseContasDRE[#All],7,FALSE))</f>
        <v>Fora do DRE</v>
      </c>
      <c r="V1965" s="3" t="str">
        <f>IF(Base_Periodo1[[#This Row],[Tipo_Linha]]="Fora do DRE","Fora do DRE","( "&amp;Base_Periodo1[[#This Row],[Tipo_Linha]]&amp;" ) "&amp;Base_Periodo1[[#This Row],[Filtro]])</f>
        <v>Fora do DRE</v>
      </c>
      <c r="W1965" s="3" t="str">
        <f>LEFT(Base_Periodo1[[#This Row],[CLASS]],3)</f>
        <v>1.1</v>
      </c>
    </row>
    <row r="1966" spans="1:23" hidden="1">
      <c r="A1966" s="3" t="str">
        <f t="shared" si="30"/>
        <v>Período 1</v>
      </c>
      <c r="B1966">
        <v>32974</v>
      </c>
      <c r="C1966" t="s">
        <v>4552</v>
      </c>
      <c r="D1966" t="s">
        <v>4545</v>
      </c>
      <c r="E1966" s="3" t="str">
        <f>IF(LEN(Base_Periodo1[[#This Row],[CLASS]])&gt;=7,LEFT(Base_Periodo1[[#This Row],[CLASS]],7),"")</f>
        <v>1.1.3.1</v>
      </c>
      <c r="F1966" s="3" t="str">
        <f>VLOOKUP(Base_Periodo1[[#This Row],[Aux]],Base_Contas_Balanco[#All],2,FALSE)</f>
        <v>Estoques Proprios</v>
      </c>
      <c r="G1966" s="1">
        <v>42886</v>
      </c>
      <c r="H1966" s="225">
        <v>29636.99</v>
      </c>
      <c r="I1966" s="225">
        <v>3868.33</v>
      </c>
      <c r="J1966" s="225">
        <v>0</v>
      </c>
      <c r="K1966" s="225">
        <v>33505.32</v>
      </c>
      <c r="L19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33505.32</v>
      </c>
      <c r="M1966" s="225">
        <f>ROUND(IF(AND(Base_Periodo1[[#This Row],[Tipo_Linha]]="-",Base_Periodo1[[#This Row],[TIPOSALDO]]="D"),Base_Periodo1[[#This Row],[SALDO_ATUAL]]*-1,Base_Periodo1[[#This Row],[SALDO_ATUAL]]),4)</f>
        <v>33505.32</v>
      </c>
      <c r="N1966" t="s">
        <v>116</v>
      </c>
      <c r="O1966" t="s">
        <v>397</v>
      </c>
      <c r="P1966" t="s">
        <v>397</v>
      </c>
      <c r="Q1966">
        <v>8</v>
      </c>
      <c r="R1966" s="225">
        <f>Base_Periodo1[[#This Row],[CREDITOS]]-Base_Periodo1[[#This Row],[DEBITOS]]</f>
        <v>-3868.33</v>
      </c>
      <c r="S1966" s="3" t="str">
        <f>IF(ISERROR(VLOOKUP(Base_Periodo1[[#This Row],[CONTA]],BaseContasDRE[#All],4,FALSE)),"Fora do DRE",VLOOKUP(Base_Periodo1[[#This Row],[CONTA]],BaseContasDRE[#All],4,FALSE))</f>
        <v>Fora do DRE</v>
      </c>
      <c r="T1966" s="3" t="str">
        <f>IF(ISERROR(VLOOKUP(Base_Periodo1[[#This Row],[CONTA]],BaseContasDRE[#All],5,FALSE)),"Fora do DRE",VLOOKUP(Base_Periodo1[[#This Row],[CONTA]],BaseContasDRE[#All],6,FALSE))</f>
        <v>Fora do DRE</v>
      </c>
      <c r="U1966" s="3" t="str">
        <f>IF(ISERROR(VLOOKUP(Base_Periodo1[[#This Row],[CONTA]],BaseContasDRE[#All],7,FALSE)),"Fora do DRE",VLOOKUP(Base_Periodo1[[#This Row],[CONTA]],BaseContasDRE[#All],7,FALSE))</f>
        <v>Fora do DRE</v>
      </c>
      <c r="V1966" s="3" t="str">
        <f>IF(Base_Periodo1[[#This Row],[Tipo_Linha]]="Fora do DRE","Fora do DRE","( "&amp;Base_Periodo1[[#This Row],[Tipo_Linha]]&amp;" ) "&amp;Base_Periodo1[[#This Row],[Filtro]])</f>
        <v>Fora do DRE</v>
      </c>
      <c r="W1966" s="3" t="str">
        <f>LEFT(Base_Periodo1[[#This Row],[CLASS]],3)</f>
        <v>1.1</v>
      </c>
    </row>
    <row r="1967" spans="1:23" hidden="1">
      <c r="A1967" s="3" t="str">
        <f t="shared" si="30"/>
        <v>Período 1</v>
      </c>
      <c r="B1967">
        <v>54006</v>
      </c>
      <c r="C1967" t="s">
        <v>4977</v>
      </c>
      <c r="D1967" t="s">
        <v>4975</v>
      </c>
      <c r="E1967" s="3" t="str">
        <f>IF(LEN(Base_Periodo1[[#This Row],[CLASS]])&gt;=7,LEFT(Base_Periodo1[[#This Row],[CLASS]],7),"")</f>
        <v>1.1.3.1</v>
      </c>
      <c r="F1967" s="3" t="str">
        <f>VLOOKUP(Base_Periodo1[[#This Row],[Aux]],Base_Contas_Balanco[#All],2,FALSE)</f>
        <v>Estoques Proprios</v>
      </c>
      <c r="G1967" s="1">
        <v>42886</v>
      </c>
      <c r="H1967" s="225">
        <v>1061262.9700000002</v>
      </c>
      <c r="I1967" s="225">
        <v>9935.43</v>
      </c>
      <c r="J1967" s="225">
        <v>0</v>
      </c>
      <c r="K1967" s="225">
        <v>1071198.4000000001</v>
      </c>
      <c r="L19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1071198.3999999999</v>
      </c>
      <c r="M1967" s="225">
        <f>ROUND(IF(AND(Base_Periodo1[[#This Row],[Tipo_Linha]]="-",Base_Periodo1[[#This Row],[TIPOSALDO]]="D"),Base_Periodo1[[#This Row],[SALDO_ATUAL]]*-1,Base_Periodo1[[#This Row],[SALDO_ATUAL]]),4)</f>
        <v>1071198.3999999999</v>
      </c>
      <c r="N1967" t="s">
        <v>116</v>
      </c>
      <c r="O1967" t="s">
        <v>397</v>
      </c>
      <c r="P1967" t="s">
        <v>397</v>
      </c>
      <c r="Q1967">
        <v>8</v>
      </c>
      <c r="R1967" s="225">
        <f>Base_Periodo1[[#This Row],[CREDITOS]]-Base_Periodo1[[#This Row],[DEBITOS]]</f>
        <v>-9935.43</v>
      </c>
      <c r="S1967" s="3" t="str">
        <f>IF(ISERROR(VLOOKUP(Base_Periodo1[[#This Row],[CONTA]],BaseContasDRE[#All],4,FALSE)),"Fora do DRE",VLOOKUP(Base_Periodo1[[#This Row],[CONTA]],BaseContasDRE[#All],4,FALSE))</f>
        <v>Fora do DRE</v>
      </c>
      <c r="T1967" s="3" t="str">
        <f>IF(ISERROR(VLOOKUP(Base_Periodo1[[#This Row],[CONTA]],BaseContasDRE[#All],5,FALSE)),"Fora do DRE",VLOOKUP(Base_Periodo1[[#This Row],[CONTA]],BaseContasDRE[#All],6,FALSE))</f>
        <v>Fora do DRE</v>
      </c>
      <c r="U1967" s="3" t="str">
        <f>IF(ISERROR(VLOOKUP(Base_Periodo1[[#This Row],[CONTA]],BaseContasDRE[#All],7,FALSE)),"Fora do DRE",VLOOKUP(Base_Periodo1[[#This Row],[CONTA]],BaseContasDRE[#All],7,FALSE))</f>
        <v>Fora do DRE</v>
      </c>
      <c r="V1967" s="3" t="str">
        <f>IF(Base_Periodo1[[#This Row],[Tipo_Linha]]="Fora do DRE","Fora do DRE","( "&amp;Base_Periodo1[[#This Row],[Tipo_Linha]]&amp;" ) "&amp;Base_Periodo1[[#This Row],[Filtro]])</f>
        <v>Fora do DRE</v>
      </c>
      <c r="W1967" s="3" t="str">
        <f>LEFT(Base_Periodo1[[#This Row],[CLASS]],3)</f>
        <v>1.1</v>
      </c>
    </row>
    <row r="1968" spans="1:23" hidden="1">
      <c r="A1968" s="3" t="str">
        <f t="shared" si="30"/>
        <v>Período 1</v>
      </c>
      <c r="B1968">
        <v>57015</v>
      </c>
      <c r="C1968" t="s">
        <v>6314</v>
      </c>
      <c r="D1968" t="s">
        <v>4663</v>
      </c>
      <c r="E1968" s="3" t="str">
        <f>IF(LEN(Base_Periodo1[[#This Row],[CLASS]])&gt;=7,LEFT(Base_Periodo1[[#This Row],[CLASS]],7),"")</f>
        <v>1.1.3.1</v>
      </c>
      <c r="F1968" s="3" t="str">
        <f>VLOOKUP(Base_Periodo1[[#This Row],[Aux]],Base_Contas_Balanco[#All],2,FALSE)</f>
        <v>Estoques Proprios</v>
      </c>
      <c r="G1968" s="1">
        <v>42878</v>
      </c>
      <c r="H1968" s="225">
        <v>408104.43999999994</v>
      </c>
      <c r="I1968" s="225">
        <v>139144.47</v>
      </c>
      <c r="J1968" s="225">
        <v>0</v>
      </c>
      <c r="K1968" s="225">
        <v>547248.90999999992</v>
      </c>
      <c r="L19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547248.91</v>
      </c>
      <c r="M1968" s="225">
        <f>ROUND(IF(AND(Base_Periodo1[[#This Row],[Tipo_Linha]]="-",Base_Periodo1[[#This Row],[TIPOSALDO]]="D"),Base_Periodo1[[#This Row],[SALDO_ATUAL]]*-1,Base_Periodo1[[#This Row],[SALDO_ATUAL]]),4)</f>
        <v>547248.91</v>
      </c>
      <c r="N1968" t="s">
        <v>116</v>
      </c>
      <c r="O1968" t="s">
        <v>397</v>
      </c>
      <c r="P1968" t="s">
        <v>397</v>
      </c>
      <c r="Q1968">
        <v>8</v>
      </c>
      <c r="R1968" s="225">
        <f>Base_Periodo1[[#This Row],[CREDITOS]]-Base_Periodo1[[#This Row],[DEBITOS]]</f>
        <v>-139144.47</v>
      </c>
      <c r="S1968" s="3" t="str">
        <f>IF(ISERROR(VLOOKUP(Base_Periodo1[[#This Row],[CONTA]],BaseContasDRE[#All],4,FALSE)),"Fora do DRE",VLOOKUP(Base_Periodo1[[#This Row],[CONTA]],BaseContasDRE[#All],4,FALSE))</f>
        <v>Fora do DRE</v>
      </c>
      <c r="T1968" s="3" t="str">
        <f>IF(ISERROR(VLOOKUP(Base_Periodo1[[#This Row],[CONTA]],BaseContasDRE[#All],5,FALSE)),"Fora do DRE",VLOOKUP(Base_Periodo1[[#This Row],[CONTA]],BaseContasDRE[#All],6,FALSE))</f>
        <v>Fora do DRE</v>
      </c>
      <c r="U1968" s="3" t="str">
        <f>IF(ISERROR(VLOOKUP(Base_Periodo1[[#This Row],[CONTA]],BaseContasDRE[#All],7,FALSE)),"Fora do DRE",VLOOKUP(Base_Periodo1[[#This Row],[CONTA]],BaseContasDRE[#All],7,FALSE))</f>
        <v>Fora do DRE</v>
      </c>
      <c r="V1968" s="3" t="str">
        <f>IF(Base_Periodo1[[#This Row],[Tipo_Linha]]="Fora do DRE","Fora do DRE","( "&amp;Base_Periodo1[[#This Row],[Tipo_Linha]]&amp;" ) "&amp;Base_Periodo1[[#This Row],[Filtro]])</f>
        <v>Fora do DRE</v>
      </c>
      <c r="W1968" s="3" t="str">
        <f>LEFT(Base_Periodo1[[#This Row],[CLASS]],3)</f>
        <v>1.1</v>
      </c>
    </row>
    <row r="1969" spans="1:23" hidden="1">
      <c r="A1969" s="3" t="str">
        <f t="shared" si="30"/>
        <v>Período 1</v>
      </c>
      <c r="B1969">
        <v>57014</v>
      </c>
      <c r="C1969" t="s">
        <v>6315</v>
      </c>
      <c r="D1969" t="s">
        <v>4665</v>
      </c>
      <c r="E1969" s="3" t="str">
        <f>IF(LEN(Base_Periodo1[[#This Row],[CLASS]])&gt;=7,LEFT(Base_Periodo1[[#This Row],[CLASS]],7),"")</f>
        <v>1.1.3.1</v>
      </c>
      <c r="F1969" s="3" t="str">
        <f>VLOOKUP(Base_Periodo1[[#This Row],[Aux]],Base_Contas_Balanco[#All],2,FALSE)</f>
        <v>Estoques Proprios</v>
      </c>
      <c r="G1969" s="1">
        <v>42879</v>
      </c>
      <c r="H1969" s="225">
        <v>408106.1399999999</v>
      </c>
      <c r="I1969" s="225">
        <v>0</v>
      </c>
      <c r="J1969" s="225">
        <v>208716.7</v>
      </c>
      <c r="K1969" s="225">
        <v>616822.83999999985</v>
      </c>
      <c r="L19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-616822.84</v>
      </c>
      <c r="M1969" s="225">
        <f>ROUND(IF(AND(Base_Periodo1[[#This Row],[Tipo_Linha]]="-",Base_Periodo1[[#This Row],[TIPOSALDO]]="D"),Base_Periodo1[[#This Row],[SALDO_ATUAL]]*-1,Base_Periodo1[[#This Row],[SALDO_ATUAL]]),4)</f>
        <v>616822.84</v>
      </c>
      <c r="N1969" t="s">
        <v>116</v>
      </c>
      <c r="O1969" t="s">
        <v>459</v>
      </c>
      <c r="P1969" t="s">
        <v>459</v>
      </c>
      <c r="Q1969">
        <v>8</v>
      </c>
      <c r="R1969" s="225">
        <f>Base_Periodo1[[#This Row],[CREDITOS]]-Base_Periodo1[[#This Row],[DEBITOS]]</f>
        <v>208716.7</v>
      </c>
      <c r="S1969" s="3" t="str">
        <f>IF(ISERROR(VLOOKUP(Base_Periodo1[[#This Row],[CONTA]],BaseContasDRE[#All],4,FALSE)),"Fora do DRE",VLOOKUP(Base_Periodo1[[#This Row],[CONTA]],BaseContasDRE[#All],4,FALSE))</f>
        <v>Fora do DRE</v>
      </c>
      <c r="T1969" s="3" t="str">
        <f>IF(ISERROR(VLOOKUP(Base_Periodo1[[#This Row],[CONTA]],BaseContasDRE[#All],5,FALSE)),"Fora do DRE",VLOOKUP(Base_Periodo1[[#This Row],[CONTA]],BaseContasDRE[#All],6,FALSE))</f>
        <v>Fora do DRE</v>
      </c>
      <c r="U1969" s="3" t="str">
        <f>IF(ISERROR(VLOOKUP(Base_Periodo1[[#This Row],[CONTA]],BaseContasDRE[#All],7,FALSE)),"Fora do DRE",VLOOKUP(Base_Periodo1[[#This Row],[CONTA]],BaseContasDRE[#All],7,FALSE))</f>
        <v>Fora do DRE</v>
      </c>
      <c r="V1969" s="3" t="str">
        <f>IF(Base_Periodo1[[#This Row],[Tipo_Linha]]="Fora do DRE","Fora do DRE","( "&amp;Base_Periodo1[[#This Row],[Tipo_Linha]]&amp;" ) "&amp;Base_Periodo1[[#This Row],[Filtro]])</f>
        <v>Fora do DRE</v>
      </c>
      <c r="W1969" s="3" t="str">
        <f>LEFT(Base_Periodo1[[#This Row],[CLASS]],3)</f>
        <v>1.1</v>
      </c>
    </row>
    <row r="1970" spans="1:23" hidden="1">
      <c r="A1970" s="3" t="str">
        <f t="shared" si="30"/>
        <v>Período 1</v>
      </c>
      <c r="B1970">
        <v>31414</v>
      </c>
      <c r="C1970" t="s">
        <v>4413</v>
      </c>
      <c r="D1970" t="s">
        <v>1547</v>
      </c>
      <c r="E1970" s="3" t="str">
        <f>IF(LEN(Base_Periodo1[[#This Row],[CLASS]])&gt;=7,LEFT(Base_Periodo1[[#This Row],[CLASS]],7),"")</f>
        <v>1.1.3.1</v>
      </c>
      <c r="F1970" s="3" t="str">
        <f>VLOOKUP(Base_Periodo1[[#This Row],[Aux]],Base_Contas_Balanco[#All],2,FALSE)</f>
        <v>Estoques Proprios</v>
      </c>
      <c r="G1970" s="1">
        <v>42886</v>
      </c>
      <c r="H1970" s="225">
        <v>6247311.6799999997</v>
      </c>
      <c r="I1970" s="225">
        <v>0</v>
      </c>
      <c r="J1970" s="225">
        <v>276912.21999999997</v>
      </c>
      <c r="K1970" s="225">
        <v>6524223.8999999994</v>
      </c>
      <c r="L19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-6524223.9000000004</v>
      </c>
      <c r="M1970" s="225">
        <f>ROUND(IF(AND(Base_Periodo1[[#This Row],[Tipo_Linha]]="-",Base_Periodo1[[#This Row],[TIPOSALDO]]="D"),Base_Periodo1[[#This Row],[SALDO_ATUAL]]*-1,Base_Periodo1[[#This Row],[SALDO_ATUAL]]),4)</f>
        <v>6524223.9000000004</v>
      </c>
      <c r="N1970" t="s">
        <v>116</v>
      </c>
      <c r="O1970" t="s">
        <v>459</v>
      </c>
      <c r="P1970" t="s">
        <v>459</v>
      </c>
      <c r="Q1970">
        <v>8</v>
      </c>
      <c r="R1970" s="225">
        <f>Base_Periodo1[[#This Row],[CREDITOS]]-Base_Periodo1[[#This Row],[DEBITOS]]</f>
        <v>276912.21999999997</v>
      </c>
      <c r="S1970" s="3" t="str">
        <f>IF(ISERROR(VLOOKUP(Base_Periodo1[[#This Row],[CONTA]],BaseContasDRE[#All],4,FALSE)),"Fora do DRE",VLOOKUP(Base_Periodo1[[#This Row],[CONTA]],BaseContasDRE[#All],4,FALSE))</f>
        <v>Fora do DRE</v>
      </c>
      <c r="T1970" s="3" t="str">
        <f>IF(ISERROR(VLOOKUP(Base_Periodo1[[#This Row],[CONTA]],BaseContasDRE[#All],5,FALSE)),"Fora do DRE",VLOOKUP(Base_Periodo1[[#This Row],[CONTA]],BaseContasDRE[#All],6,FALSE))</f>
        <v>Fora do DRE</v>
      </c>
      <c r="U1970" s="3" t="str">
        <f>IF(ISERROR(VLOOKUP(Base_Periodo1[[#This Row],[CONTA]],BaseContasDRE[#All],7,FALSE)),"Fora do DRE",VLOOKUP(Base_Periodo1[[#This Row],[CONTA]],BaseContasDRE[#All],7,FALSE))</f>
        <v>Fora do DRE</v>
      </c>
      <c r="V1970" s="3" t="str">
        <f>IF(Base_Periodo1[[#This Row],[Tipo_Linha]]="Fora do DRE","Fora do DRE","( "&amp;Base_Periodo1[[#This Row],[Tipo_Linha]]&amp;" ) "&amp;Base_Periodo1[[#This Row],[Filtro]])</f>
        <v>Fora do DRE</v>
      </c>
      <c r="W1970" s="3" t="str">
        <f>LEFT(Base_Periodo1[[#This Row],[CLASS]],3)</f>
        <v>1.1</v>
      </c>
    </row>
    <row r="1971" spans="1:23" hidden="1">
      <c r="A1971" s="3" t="str">
        <f t="shared" si="30"/>
        <v>Período 1</v>
      </c>
      <c r="B1971">
        <v>31419</v>
      </c>
      <c r="C1971" t="s">
        <v>1557</v>
      </c>
      <c r="D1971" t="s">
        <v>1558</v>
      </c>
      <c r="E1971" s="3" t="str">
        <f>IF(LEN(Base_Periodo1[[#This Row],[CLASS]])&gt;=7,LEFT(Base_Periodo1[[#This Row],[CLASS]],7),"")</f>
        <v>1.1.3.1</v>
      </c>
      <c r="F1971" s="3" t="str">
        <f>VLOOKUP(Base_Periodo1[[#This Row],[Aux]],Base_Contas_Balanco[#All],2,FALSE)</f>
        <v>Estoques Proprios</v>
      </c>
      <c r="G1971" s="1"/>
      <c r="I1971" s="225">
        <v>322320.37999999995</v>
      </c>
      <c r="J1971" s="225">
        <v>322320.38</v>
      </c>
      <c r="K1971" s="225">
        <v>1.57160684466362E-9</v>
      </c>
      <c r="L19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1971" s="225">
        <f>ROUND(IF(AND(Base_Periodo1[[#This Row],[Tipo_Linha]]="-",Base_Periodo1[[#This Row],[TIPOSALDO]]="D"),Base_Periodo1[[#This Row],[SALDO_ATUAL]]*-1,Base_Periodo1[[#This Row],[SALDO_ATUAL]]),4)</f>
        <v>0</v>
      </c>
      <c r="N1971" t="s">
        <v>396</v>
      </c>
      <c r="O1971" t="s">
        <v>436</v>
      </c>
      <c r="P1971" t="s">
        <v>436</v>
      </c>
      <c r="Q1971">
        <v>6</v>
      </c>
      <c r="R1971" s="225">
        <f>Base_Periodo1[[#This Row],[CREDITOS]]-Base_Periodo1[[#This Row],[DEBITOS]]</f>
        <v>0</v>
      </c>
      <c r="S1971" s="3" t="str">
        <f>IF(ISERROR(VLOOKUP(Base_Periodo1[[#This Row],[CONTA]],BaseContasDRE[#All],4,FALSE)),"Fora do DRE",VLOOKUP(Base_Periodo1[[#This Row],[CONTA]],BaseContasDRE[#All],4,FALSE))</f>
        <v>Fora do DRE</v>
      </c>
      <c r="T1971" s="3" t="str">
        <f>IF(ISERROR(VLOOKUP(Base_Periodo1[[#This Row],[CONTA]],BaseContasDRE[#All],5,FALSE)),"Fora do DRE",VLOOKUP(Base_Periodo1[[#This Row],[CONTA]],BaseContasDRE[#All],6,FALSE))</f>
        <v>Fora do DRE</v>
      </c>
      <c r="U1971" s="3" t="str">
        <f>IF(ISERROR(VLOOKUP(Base_Periodo1[[#This Row],[CONTA]],BaseContasDRE[#All],7,FALSE)),"Fora do DRE",VLOOKUP(Base_Periodo1[[#This Row],[CONTA]],BaseContasDRE[#All],7,FALSE))</f>
        <v>Fora do DRE</v>
      </c>
      <c r="V1971" s="3" t="str">
        <f>IF(Base_Periodo1[[#This Row],[Tipo_Linha]]="Fora do DRE","Fora do DRE","( "&amp;Base_Periodo1[[#This Row],[Tipo_Linha]]&amp;" ) "&amp;Base_Periodo1[[#This Row],[Filtro]])</f>
        <v>Fora do DRE</v>
      </c>
      <c r="W1971" s="3" t="str">
        <f>LEFT(Base_Periodo1[[#This Row],[CLASS]],3)</f>
        <v>1.1</v>
      </c>
    </row>
    <row r="1972" spans="1:23" hidden="1">
      <c r="A1972" s="3" t="str">
        <f t="shared" si="30"/>
        <v>Período 1</v>
      </c>
      <c r="B1972">
        <v>31421</v>
      </c>
      <c r="C1972" t="s">
        <v>1559</v>
      </c>
      <c r="D1972" t="s">
        <v>1560</v>
      </c>
      <c r="E1972" s="3" t="str">
        <f>IF(LEN(Base_Periodo1[[#This Row],[CLASS]])&gt;=7,LEFT(Base_Periodo1[[#This Row],[CLASS]],7),"")</f>
        <v>1.1.3.1</v>
      </c>
      <c r="F1972" s="3" t="str">
        <f>VLOOKUP(Base_Periodo1[[#This Row],[Aux]],Base_Contas_Balanco[#All],2,FALSE)</f>
        <v>Estoques Proprios</v>
      </c>
      <c r="G1972" s="1">
        <v>42886</v>
      </c>
      <c r="H1972" s="225">
        <v>117466.16999999993</v>
      </c>
      <c r="I1972" s="225">
        <v>98205.34</v>
      </c>
      <c r="J1972" s="225">
        <v>37255.01</v>
      </c>
      <c r="K1972" s="225">
        <v>178416.49999999991</v>
      </c>
      <c r="L19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178416.5</v>
      </c>
      <c r="M1972" s="225">
        <f>ROUND(IF(AND(Base_Periodo1[[#This Row],[Tipo_Linha]]="-",Base_Periodo1[[#This Row],[TIPOSALDO]]="D"),Base_Periodo1[[#This Row],[SALDO_ATUAL]]*-1,Base_Periodo1[[#This Row],[SALDO_ATUAL]]),4)</f>
        <v>178416.5</v>
      </c>
      <c r="N1972" t="s">
        <v>116</v>
      </c>
      <c r="O1972" t="s">
        <v>397</v>
      </c>
      <c r="P1972" t="s">
        <v>397</v>
      </c>
      <c r="Q1972">
        <v>7</v>
      </c>
      <c r="R1972" s="225">
        <f>Base_Periodo1[[#This Row],[CREDITOS]]-Base_Periodo1[[#This Row],[DEBITOS]]</f>
        <v>-60950.329999999994</v>
      </c>
      <c r="S1972" s="3" t="str">
        <f>IF(ISERROR(VLOOKUP(Base_Periodo1[[#This Row],[CONTA]],BaseContasDRE[#All],4,FALSE)),"Fora do DRE",VLOOKUP(Base_Periodo1[[#This Row],[CONTA]],BaseContasDRE[#All],4,FALSE))</f>
        <v>Fora do DRE</v>
      </c>
      <c r="T1972" s="3" t="str">
        <f>IF(ISERROR(VLOOKUP(Base_Periodo1[[#This Row],[CONTA]],BaseContasDRE[#All],5,FALSE)),"Fora do DRE",VLOOKUP(Base_Periodo1[[#This Row],[CONTA]],BaseContasDRE[#All],6,FALSE))</f>
        <v>Fora do DRE</v>
      </c>
      <c r="U1972" s="3" t="str">
        <f>IF(ISERROR(VLOOKUP(Base_Periodo1[[#This Row],[CONTA]],BaseContasDRE[#All],7,FALSE)),"Fora do DRE",VLOOKUP(Base_Periodo1[[#This Row],[CONTA]],BaseContasDRE[#All],7,FALSE))</f>
        <v>Fora do DRE</v>
      </c>
      <c r="V1972" s="3" t="str">
        <f>IF(Base_Periodo1[[#This Row],[Tipo_Linha]]="Fora do DRE","Fora do DRE","( "&amp;Base_Periodo1[[#This Row],[Tipo_Linha]]&amp;" ) "&amp;Base_Periodo1[[#This Row],[Filtro]])</f>
        <v>Fora do DRE</v>
      </c>
      <c r="W1972" s="3" t="str">
        <f>LEFT(Base_Periodo1[[#This Row],[CLASS]],3)</f>
        <v>1.1</v>
      </c>
    </row>
    <row r="1973" spans="1:23" hidden="1">
      <c r="A1973" s="3" t="str">
        <f t="shared" si="30"/>
        <v>Período 1</v>
      </c>
      <c r="B1973">
        <v>31423</v>
      </c>
      <c r="C1973" t="s">
        <v>5700</v>
      </c>
      <c r="D1973" t="s">
        <v>5701</v>
      </c>
      <c r="E1973" s="3" t="str">
        <f>IF(LEN(Base_Periodo1[[#This Row],[CLASS]])&gt;=7,LEFT(Base_Periodo1[[#This Row],[CLASS]],7),"")</f>
        <v>1.1.3.1</v>
      </c>
      <c r="F1973" s="3" t="str">
        <f>VLOOKUP(Base_Periodo1[[#This Row],[Aux]],Base_Contas_Balanco[#All],2,FALSE)</f>
        <v>Estoques Proprios</v>
      </c>
      <c r="G1973" s="1">
        <v>42886</v>
      </c>
      <c r="H1973" s="225">
        <v>46852.649999999994</v>
      </c>
      <c r="I1973" s="225">
        <v>27072.33</v>
      </c>
      <c r="J1973" s="225">
        <v>0</v>
      </c>
      <c r="K1973" s="225">
        <v>73924.98</v>
      </c>
      <c r="L19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73924.98</v>
      </c>
      <c r="M1973" s="225">
        <f>ROUND(IF(AND(Base_Periodo1[[#This Row],[Tipo_Linha]]="-",Base_Periodo1[[#This Row],[TIPOSALDO]]="D"),Base_Periodo1[[#This Row],[SALDO_ATUAL]]*-1,Base_Periodo1[[#This Row],[SALDO_ATUAL]]),4)</f>
        <v>73924.98</v>
      </c>
      <c r="N1973" t="s">
        <v>116</v>
      </c>
      <c r="O1973" t="s">
        <v>397</v>
      </c>
      <c r="P1973" t="s">
        <v>397</v>
      </c>
      <c r="Q1973">
        <v>7</v>
      </c>
      <c r="R1973" s="225">
        <f>Base_Periodo1[[#This Row],[CREDITOS]]-Base_Periodo1[[#This Row],[DEBITOS]]</f>
        <v>-27072.33</v>
      </c>
      <c r="S1973" s="3" t="str">
        <f>IF(ISERROR(VLOOKUP(Base_Periodo1[[#This Row],[CONTA]],BaseContasDRE[#All],4,FALSE)),"Fora do DRE",VLOOKUP(Base_Periodo1[[#This Row],[CONTA]],BaseContasDRE[#All],4,FALSE))</f>
        <v>Fora do DRE</v>
      </c>
      <c r="T1973" s="3" t="str">
        <f>IF(ISERROR(VLOOKUP(Base_Periodo1[[#This Row],[CONTA]],BaseContasDRE[#All],5,FALSE)),"Fora do DRE",VLOOKUP(Base_Periodo1[[#This Row],[CONTA]],BaseContasDRE[#All],6,FALSE))</f>
        <v>Fora do DRE</v>
      </c>
      <c r="U1973" s="3" t="str">
        <f>IF(ISERROR(VLOOKUP(Base_Periodo1[[#This Row],[CONTA]],BaseContasDRE[#All],7,FALSE)),"Fora do DRE",VLOOKUP(Base_Periodo1[[#This Row],[CONTA]],BaseContasDRE[#All],7,FALSE))</f>
        <v>Fora do DRE</v>
      </c>
      <c r="V1973" s="3" t="str">
        <f>IF(Base_Periodo1[[#This Row],[Tipo_Linha]]="Fora do DRE","Fora do DRE","( "&amp;Base_Periodo1[[#This Row],[Tipo_Linha]]&amp;" ) "&amp;Base_Periodo1[[#This Row],[Filtro]])</f>
        <v>Fora do DRE</v>
      </c>
      <c r="W1973" s="3" t="str">
        <f>LEFT(Base_Periodo1[[#This Row],[CLASS]],3)</f>
        <v>1.1</v>
      </c>
    </row>
    <row r="1974" spans="1:23" hidden="1">
      <c r="A1974" s="3" t="str">
        <f t="shared" si="30"/>
        <v>Período 1</v>
      </c>
      <c r="B1974">
        <v>31424</v>
      </c>
      <c r="C1974" t="s">
        <v>6086</v>
      </c>
      <c r="D1974" t="s">
        <v>6087</v>
      </c>
      <c r="E1974" s="3" t="str">
        <f>IF(LEN(Base_Periodo1[[#This Row],[CLASS]])&gt;=7,LEFT(Base_Periodo1[[#This Row],[CLASS]],7),"")</f>
        <v>1.1.3.1</v>
      </c>
      <c r="F1974" s="3" t="str">
        <f>VLOOKUP(Base_Periodo1[[#This Row],[Aux]],Base_Contas_Balanco[#All],2,FALSE)</f>
        <v>Estoques Proprios</v>
      </c>
      <c r="G1974" s="1">
        <v>42886</v>
      </c>
      <c r="H1974" s="225">
        <v>15122.899999999998</v>
      </c>
      <c r="I1974" s="225">
        <v>5128.22</v>
      </c>
      <c r="J1974" s="225">
        <v>0</v>
      </c>
      <c r="K1974" s="225">
        <v>20251.12</v>
      </c>
      <c r="L19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20251.12</v>
      </c>
      <c r="M1974" s="225">
        <f>ROUND(IF(AND(Base_Periodo1[[#This Row],[Tipo_Linha]]="-",Base_Periodo1[[#This Row],[TIPOSALDO]]="D"),Base_Periodo1[[#This Row],[SALDO_ATUAL]]*-1,Base_Periodo1[[#This Row],[SALDO_ATUAL]]),4)</f>
        <v>20251.12</v>
      </c>
      <c r="N1974" t="s">
        <v>116</v>
      </c>
      <c r="O1974" t="s">
        <v>397</v>
      </c>
      <c r="P1974" t="s">
        <v>397</v>
      </c>
      <c r="Q1974">
        <v>7</v>
      </c>
      <c r="R1974" s="225">
        <f>Base_Periodo1[[#This Row],[CREDITOS]]-Base_Periodo1[[#This Row],[DEBITOS]]</f>
        <v>-5128.22</v>
      </c>
      <c r="S1974" s="3" t="str">
        <f>IF(ISERROR(VLOOKUP(Base_Periodo1[[#This Row],[CONTA]],BaseContasDRE[#All],4,FALSE)),"Fora do DRE",VLOOKUP(Base_Periodo1[[#This Row],[CONTA]],BaseContasDRE[#All],4,FALSE))</f>
        <v>Fora do DRE</v>
      </c>
      <c r="T1974" s="3" t="str">
        <f>IF(ISERROR(VLOOKUP(Base_Periodo1[[#This Row],[CONTA]],BaseContasDRE[#All],5,FALSE)),"Fora do DRE",VLOOKUP(Base_Periodo1[[#This Row],[CONTA]],BaseContasDRE[#All],6,FALSE))</f>
        <v>Fora do DRE</v>
      </c>
      <c r="U1974" s="3" t="str">
        <f>IF(ISERROR(VLOOKUP(Base_Periodo1[[#This Row],[CONTA]],BaseContasDRE[#All],7,FALSE)),"Fora do DRE",VLOOKUP(Base_Periodo1[[#This Row],[CONTA]],BaseContasDRE[#All],7,FALSE))</f>
        <v>Fora do DRE</v>
      </c>
      <c r="V1974" s="3" t="str">
        <f>IF(Base_Periodo1[[#This Row],[Tipo_Linha]]="Fora do DRE","Fora do DRE","( "&amp;Base_Periodo1[[#This Row],[Tipo_Linha]]&amp;" ) "&amp;Base_Periodo1[[#This Row],[Filtro]])</f>
        <v>Fora do DRE</v>
      </c>
      <c r="W1974" s="3" t="str">
        <f>LEFT(Base_Periodo1[[#This Row],[CLASS]],3)</f>
        <v>1.1</v>
      </c>
    </row>
    <row r="1975" spans="1:23" hidden="1">
      <c r="A1975" s="3" t="str">
        <f t="shared" si="30"/>
        <v>Período 1</v>
      </c>
      <c r="B1975">
        <v>31425</v>
      </c>
      <c r="C1975" t="s">
        <v>1561</v>
      </c>
      <c r="D1975" t="s">
        <v>1562</v>
      </c>
      <c r="E1975" s="3" t="str">
        <f>IF(LEN(Base_Periodo1[[#This Row],[CLASS]])&gt;=7,LEFT(Base_Periodo1[[#This Row],[CLASS]],7),"")</f>
        <v>1.1.3.1</v>
      </c>
      <c r="F1975" s="3" t="str">
        <f>VLOOKUP(Base_Periodo1[[#This Row],[Aux]],Base_Contas_Balanco[#All],2,FALSE)</f>
        <v>Estoques Proprios</v>
      </c>
      <c r="G1975" s="1">
        <v>42886</v>
      </c>
      <c r="H1975" s="225">
        <v>97549.410000000207</v>
      </c>
      <c r="I1975" s="225">
        <v>67794.399999999994</v>
      </c>
      <c r="J1975" s="225">
        <v>12.020000000000001</v>
      </c>
      <c r="K1975" s="225">
        <v>165331.79000000021</v>
      </c>
      <c r="L19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165331.79</v>
      </c>
      <c r="M1975" s="225">
        <f>ROUND(IF(AND(Base_Periodo1[[#This Row],[Tipo_Linha]]="-",Base_Periodo1[[#This Row],[TIPOSALDO]]="D"),Base_Periodo1[[#This Row],[SALDO_ATUAL]]*-1,Base_Periodo1[[#This Row],[SALDO_ATUAL]]),4)</f>
        <v>165331.79</v>
      </c>
      <c r="N1975" t="s">
        <v>116</v>
      </c>
      <c r="O1975" t="s">
        <v>397</v>
      </c>
      <c r="P1975" t="s">
        <v>397</v>
      </c>
      <c r="Q1975">
        <v>7</v>
      </c>
      <c r="R1975" s="225">
        <f>Base_Periodo1[[#This Row],[CREDITOS]]-Base_Periodo1[[#This Row],[DEBITOS]]</f>
        <v>-67782.37999999999</v>
      </c>
      <c r="S1975" s="3" t="str">
        <f>IF(ISERROR(VLOOKUP(Base_Periodo1[[#This Row],[CONTA]],BaseContasDRE[#All],4,FALSE)),"Fora do DRE",VLOOKUP(Base_Periodo1[[#This Row],[CONTA]],BaseContasDRE[#All],4,FALSE))</f>
        <v>Fora do DRE</v>
      </c>
      <c r="T1975" s="3" t="str">
        <f>IF(ISERROR(VLOOKUP(Base_Periodo1[[#This Row],[CONTA]],BaseContasDRE[#All],5,FALSE)),"Fora do DRE",VLOOKUP(Base_Periodo1[[#This Row],[CONTA]],BaseContasDRE[#All],6,FALSE))</f>
        <v>Fora do DRE</v>
      </c>
      <c r="U1975" s="3" t="str">
        <f>IF(ISERROR(VLOOKUP(Base_Periodo1[[#This Row],[CONTA]],BaseContasDRE[#All],7,FALSE)),"Fora do DRE",VLOOKUP(Base_Periodo1[[#This Row],[CONTA]],BaseContasDRE[#All],7,FALSE))</f>
        <v>Fora do DRE</v>
      </c>
      <c r="V1975" s="3" t="str">
        <f>IF(Base_Periodo1[[#This Row],[Tipo_Linha]]="Fora do DRE","Fora do DRE","( "&amp;Base_Periodo1[[#This Row],[Tipo_Linha]]&amp;" ) "&amp;Base_Periodo1[[#This Row],[Filtro]])</f>
        <v>Fora do DRE</v>
      </c>
      <c r="W1975" s="3" t="str">
        <f>LEFT(Base_Periodo1[[#This Row],[CLASS]],3)</f>
        <v>1.1</v>
      </c>
    </row>
    <row r="1976" spans="1:23" hidden="1">
      <c r="A1976" s="3" t="str">
        <f t="shared" si="30"/>
        <v>Período 1</v>
      </c>
      <c r="B1976">
        <v>31428</v>
      </c>
      <c r="C1976" t="s">
        <v>1563</v>
      </c>
      <c r="D1976" t="s">
        <v>1564</v>
      </c>
      <c r="E1976" s="3" t="str">
        <f>IF(LEN(Base_Periodo1[[#This Row],[CLASS]])&gt;=7,LEFT(Base_Periodo1[[#This Row],[CLASS]],7),"")</f>
        <v>1.1.3.1</v>
      </c>
      <c r="F1976" s="3" t="str">
        <f>VLOOKUP(Base_Periodo1[[#This Row],[Aux]],Base_Contas_Balanco[#All],2,FALSE)</f>
        <v>Estoques Proprios</v>
      </c>
      <c r="G1976" s="1">
        <v>42886</v>
      </c>
      <c r="H1976" s="225">
        <v>490228.3499999987</v>
      </c>
      <c r="I1976" s="225">
        <v>121231.49</v>
      </c>
      <c r="J1976" s="225">
        <v>0</v>
      </c>
      <c r="K1976" s="225">
        <v>611459.83999999869</v>
      </c>
      <c r="L19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611459.83999999997</v>
      </c>
      <c r="M1976" s="225">
        <f>ROUND(IF(AND(Base_Periodo1[[#This Row],[Tipo_Linha]]="-",Base_Periodo1[[#This Row],[TIPOSALDO]]="D"),Base_Periodo1[[#This Row],[SALDO_ATUAL]]*-1,Base_Periodo1[[#This Row],[SALDO_ATUAL]]),4)</f>
        <v>611459.83999999997</v>
      </c>
      <c r="N1976" t="s">
        <v>116</v>
      </c>
      <c r="O1976" t="s">
        <v>397</v>
      </c>
      <c r="P1976" t="s">
        <v>397</v>
      </c>
      <c r="Q1976">
        <v>7</v>
      </c>
      <c r="R1976" s="225">
        <f>Base_Periodo1[[#This Row],[CREDITOS]]-Base_Periodo1[[#This Row],[DEBITOS]]</f>
        <v>-121231.49</v>
      </c>
      <c r="S1976" s="3" t="str">
        <f>IF(ISERROR(VLOOKUP(Base_Periodo1[[#This Row],[CONTA]],BaseContasDRE[#All],4,FALSE)),"Fora do DRE",VLOOKUP(Base_Periodo1[[#This Row],[CONTA]],BaseContasDRE[#All],4,FALSE))</f>
        <v>Fora do DRE</v>
      </c>
      <c r="T1976" s="3" t="str">
        <f>IF(ISERROR(VLOOKUP(Base_Periodo1[[#This Row],[CONTA]],BaseContasDRE[#All],5,FALSE)),"Fora do DRE",VLOOKUP(Base_Periodo1[[#This Row],[CONTA]],BaseContasDRE[#All],6,FALSE))</f>
        <v>Fora do DRE</v>
      </c>
      <c r="U1976" s="3" t="str">
        <f>IF(ISERROR(VLOOKUP(Base_Periodo1[[#This Row],[CONTA]],BaseContasDRE[#All],7,FALSE)),"Fora do DRE",VLOOKUP(Base_Periodo1[[#This Row],[CONTA]],BaseContasDRE[#All],7,FALSE))</f>
        <v>Fora do DRE</v>
      </c>
      <c r="V1976" s="3" t="str">
        <f>IF(Base_Periodo1[[#This Row],[Tipo_Linha]]="Fora do DRE","Fora do DRE","( "&amp;Base_Periodo1[[#This Row],[Tipo_Linha]]&amp;" ) "&amp;Base_Periodo1[[#This Row],[Filtro]])</f>
        <v>Fora do DRE</v>
      </c>
      <c r="W1976" s="3" t="str">
        <f>LEFT(Base_Periodo1[[#This Row],[CLASS]],3)</f>
        <v>1.1</v>
      </c>
    </row>
    <row r="1977" spans="1:23" hidden="1">
      <c r="A1977" s="3" t="str">
        <f t="shared" si="30"/>
        <v>Período 1</v>
      </c>
      <c r="B1977">
        <v>31430</v>
      </c>
      <c r="C1977" t="s">
        <v>5702</v>
      </c>
      <c r="D1977" t="s">
        <v>5703</v>
      </c>
      <c r="E1977" s="3" t="str">
        <f>IF(LEN(Base_Periodo1[[#This Row],[CLASS]])&gt;=7,LEFT(Base_Periodo1[[#This Row],[CLASS]],7),"")</f>
        <v>1.1.3.1</v>
      </c>
      <c r="F1977" s="3" t="str">
        <f>VLOOKUP(Base_Periodo1[[#This Row],[Aux]],Base_Contas_Balanco[#All],2,FALSE)</f>
        <v>Estoques Proprios</v>
      </c>
      <c r="G1977" s="1">
        <v>42794</v>
      </c>
      <c r="H1977" s="225">
        <v>9119.0499999999993</v>
      </c>
      <c r="I1977" s="225">
        <v>0</v>
      </c>
      <c r="J1977" s="225">
        <v>0</v>
      </c>
      <c r="K1977" s="225">
        <v>9119.0499999999993</v>
      </c>
      <c r="L19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9119.0499999999993</v>
      </c>
      <c r="M1977" s="225">
        <f>ROUND(IF(AND(Base_Periodo1[[#This Row],[Tipo_Linha]]="-",Base_Periodo1[[#This Row],[TIPOSALDO]]="D"),Base_Periodo1[[#This Row],[SALDO_ATUAL]]*-1,Base_Periodo1[[#This Row],[SALDO_ATUAL]]),4)</f>
        <v>9119.0499999999993</v>
      </c>
      <c r="N1977" t="s">
        <v>116</v>
      </c>
      <c r="O1977" t="s">
        <v>397</v>
      </c>
      <c r="P1977" t="s">
        <v>397</v>
      </c>
      <c r="Q1977">
        <v>7</v>
      </c>
      <c r="R1977" s="225">
        <f>Base_Periodo1[[#This Row],[CREDITOS]]-Base_Periodo1[[#This Row],[DEBITOS]]</f>
        <v>0</v>
      </c>
      <c r="S1977" s="3" t="str">
        <f>IF(ISERROR(VLOOKUP(Base_Periodo1[[#This Row],[CONTA]],BaseContasDRE[#All],4,FALSE)),"Fora do DRE",VLOOKUP(Base_Periodo1[[#This Row],[CONTA]],BaseContasDRE[#All],4,FALSE))</f>
        <v>Fora do DRE</v>
      </c>
      <c r="T1977" s="3" t="str">
        <f>IF(ISERROR(VLOOKUP(Base_Periodo1[[#This Row],[CONTA]],BaseContasDRE[#All],5,FALSE)),"Fora do DRE",VLOOKUP(Base_Periodo1[[#This Row],[CONTA]],BaseContasDRE[#All],6,FALSE))</f>
        <v>Fora do DRE</v>
      </c>
      <c r="U1977" s="3" t="str">
        <f>IF(ISERROR(VLOOKUP(Base_Periodo1[[#This Row],[CONTA]],BaseContasDRE[#All],7,FALSE)),"Fora do DRE",VLOOKUP(Base_Periodo1[[#This Row],[CONTA]],BaseContasDRE[#All],7,FALSE))</f>
        <v>Fora do DRE</v>
      </c>
      <c r="V1977" s="3" t="str">
        <f>IF(Base_Periodo1[[#This Row],[Tipo_Linha]]="Fora do DRE","Fora do DRE","( "&amp;Base_Periodo1[[#This Row],[Tipo_Linha]]&amp;" ) "&amp;Base_Periodo1[[#This Row],[Filtro]])</f>
        <v>Fora do DRE</v>
      </c>
      <c r="W1977" s="3" t="str">
        <f>LEFT(Base_Periodo1[[#This Row],[CLASS]],3)</f>
        <v>1.1</v>
      </c>
    </row>
    <row r="1978" spans="1:23" hidden="1">
      <c r="A1978" s="3" t="str">
        <f t="shared" si="30"/>
        <v>Período 1</v>
      </c>
      <c r="B1978">
        <v>31433</v>
      </c>
      <c r="C1978" t="s">
        <v>1565</v>
      </c>
      <c r="D1978" t="s">
        <v>1566</v>
      </c>
      <c r="E1978" s="3" t="str">
        <f>IF(LEN(Base_Periodo1[[#This Row],[CLASS]])&gt;=7,LEFT(Base_Periodo1[[#This Row],[CLASS]],7),"")</f>
        <v>1.1.3.1</v>
      </c>
      <c r="F1978" s="3" t="str">
        <f>VLOOKUP(Base_Periodo1[[#This Row],[Aux]],Base_Contas_Balanco[#All],2,FALSE)</f>
        <v>Estoques Proprios</v>
      </c>
      <c r="G1978" s="1">
        <v>42871</v>
      </c>
      <c r="H1978" s="225">
        <v>31051.239999999874</v>
      </c>
      <c r="I1978" s="225">
        <v>2888.6</v>
      </c>
      <c r="J1978" s="225">
        <v>0</v>
      </c>
      <c r="K1978" s="225">
        <v>33939.839999999873</v>
      </c>
      <c r="L19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33939.839999999997</v>
      </c>
      <c r="M1978" s="225">
        <f>ROUND(IF(AND(Base_Periodo1[[#This Row],[Tipo_Linha]]="-",Base_Periodo1[[#This Row],[TIPOSALDO]]="D"),Base_Periodo1[[#This Row],[SALDO_ATUAL]]*-1,Base_Periodo1[[#This Row],[SALDO_ATUAL]]),4)</f>
        <v>33939.839999999997</v>
      </c>
      <c r="N1978" t="s">
        <v>116</v>
      </c>
      <c r="O1978" t="s">
        <v>397</v>
      </c>
      <c r="P1978" t="s">
        <v>397</v>
      </c>
      <c r="Q1978">
        <v>7</v>
      </c>
      <c r="R1978" s="225">
        <f>Base_Periodo1[[#This Row],[CREDITOS]]-Base_Periodo1[[#This Row],[DEBITOS]]</f>
        <v>-2888.6</v>
      </c>
      <c r="S1978" s="3" t="str">
        <f>IF(ISERROR(VLOOKUP(Base_Periodo1[[#This Row],[CONTA]],BaseContasDRE[#All],4,FALSE)),"Fora do DRE",VLOOKUP(Base_Periodo1[[#This Row],[CONTA]],BaseContasDRE[#All],4,FALSE))</f>
        <v>Fora do DRE</v>
      </c>
      <c r="T1978" s="3" t="str">
        <f>IF(ISERROR(VLOOKUP(Base_Periodo1[[#This Row],[CONTA]],BaseContasDRE[#All],5,FALSE)),"Fora do DRE",VLOOKUP(Base_Periodo1[[#This Row],[CONTA]],BaseContasDRE[#All],6,FALSE))</f>
        <v>Fora do DRE</v>
      </c>
      <c r="U1978" s="3" t="str">
        <f>IF(ISERROR(VLOOKUP(Base_Periodo1[[#This Row],[CONTA]],BaseContasDRE[#All],7,FALSE)),"Fora do DRE",VLOOKUP(Base_Periodo1[[#This Row],[CONTA]],BaseContasDRE[#All],7,FALSE))</f>
        <v>Fora do DRE</v>
      </c>
      <c r="V1978" s="3" t="str">
        <f>IF(Base_Periodo1[[#This Row],[Tipo_Linha]]="Fora do DRE","Fora do DRE","( "&amp;Base_Periodo1[[#This Row],[Tipo_Linha]]&amp;" ) "&amp;Base_Periodo1[[#This Row],[Filtro]])</f>
        <v>Fora do DRE</v>
      </c>
      <c r="W1978" s="3" t="str">
        <f>LEFT(Base_Periodo1[[#This Row],[CLASS]],3)</f>
        <v>1.1</v>
      </c>
    </row>
    <row r="1979" spans="1:23" hidden="1">
      <c r="A1979" s="3" t="str">
        <f t="shared" si="30"/>
        <v>Período 1</v>
      </c>
      <c r="B1979">
        <v>33907</v>
      </c>
      <c r="C1979" t="s">
        <v>6316</v>
      </c>
      <c r="D1979" t="s">
        <v>6317</v>
      </c>
      <c r="E1979" s="3" t="str">
        <f>IF(LEN(Base_Periodo1[[#This Row],[CLASS]])&gt;=7,LEFT(Base_Periodo1[[#This Row],[CLASS]],7),"")</f>
        <v>1.1.3.1</v>
      </c>
      <c r="F1979" s="3" t="str">
        <f>VLOOKUP(Base_Periodo1[[#This Row],[Aux]],Base_Contas_Balanco[#All],2,FALSE)</f>
        <v>Estoques Proprios</v>
      </c>
      <c r="G1979" s="1">
        <v>42809</v>
      </c>
      <c r="H1979" s="225">
        <v>650</v>
      </c>
      <c r="I1979" s="225">
        <v>0</v>
      </c>
      <c r="J1979" s="225">
        <v>0</v>
      </c>
      <c r="K1979" s="225">
        <v>650</v>
      </c>
      <c r="L19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650</v>
      </c>
      <c r="M1979" s="225">
        <f>ROUND(IF(AND(Base_Periodo1[[#This Row],[Tipo_Linha]]="-",Base_Periodo1[[#This Row],[TIPOSALDO]]="D"),Base_Periodo1[[#This Row],[SALDO_ATUAL]]*-1,Base_Periodo1[[#This Row],[SALDO_ATUAL]]),4)</f>
        <v>650</v>
      </c>
      <c r="N1979" t="s">
        <v>116</v>
      </c>
      <c r="O1979" t="s">
        <v>397</v>
      </c>
      <c r="P1979" t="s">
        <v>397</v>
      </c>
      <c r="Q1979">
        <v>7</v>
      </c>
      <c r="R1979" s="225">
        <f>Base_Periodo1[[#This Row],[CREDITOS]]-Base_Periodo1[[#This Row],[DEBITOS]]</f>
        <v>0</v>
      </c>
      <c r="S1979" s="3" t="str">
        <f>IF(ISERROR(VLOOKUP(Base_Periodo1[[#This Row],[CONTA]],BaseContasDRE[#All],4,FALSE)),"Fora do DRE",VLOOKUP(Base_Periodo1[[#This Row],[CONTA]],BaseContasDRE[#All],4,FALSE))</f>
        <v>Fora do DRE</v>
      </c>
      <c r="T1979" s="3" t="str">
        <f>IF(ISERROR(VLOOKUP(Base_Periodo1[[#This Row],[CONTA]],BaseContasDRE[#All],5,FALSE)),"Fora do DRE",VLOOKUP(Base_Periodo1[[#This Row],[CONTA]],BaseContasDRE[#All],6,FALSE))</f>
        <v>Fora do DRE</v>
      </c>
      <c r="U1979" s="3" t="str">
        <f>IF(ISERROR(VLOOKUP(Base_Periodo1[[#This Row],[CONTA]],BaseContasDRE[#All],7,FALSE)),"Fora do DRE",VLOOKUP(Base_Periodo1[[#This Row],[CONTA]],BaseContasDRE[#All],7,FALSE))</f>
        <v>Fora do DRE</v>
      </c>
      <c r="V1979" s="3" t="str">
        <f>IF(Base_Periodo1[[#This Row],[Tipo_Linha]]="Fora do DRE","Fora do DRE","( "&amp;Base_Periodo1[[#This Row],[Tipo_Linha]]&amp;" ) "&amp;Base_Periodo1[[#This Row],[Filtro]])</f>
        <v>Fora do DRE</v>
      </c>
      <c r="W1979" s="3" t="str">
        <f>LEFT(Base_Periodo1[[#This Row],[CLASS]],3)</f>
        <v>1.1</v>
      </c>
    </row>
    <row r="1980" spans="1:23" hidden="1">
      <c r="A1980" s="3" t="str">
        <f t="shared" si="30"/>
        <v>Período 1</v>
      </c>
      <c r="B1980">
        <v>37147</v>
      </c>
      <c r="C1980" t="s">
        <v>6318</v>
      </c>
      <c r="D1980" t="s">
        <v>6319</v>
      </c>
      <c r="E1980" s="3" t="str">
        <f>IF(LEN(Base_Periodo1[[#This Row],[CLASS]])&gt;=7,LEFT(Base_Periodo1[[#This Row],[CLASS]],7),"")</f>
        <v>1.1.3.1</v>
      </c>
      <c r="F1980" s="3" t="str">
        <f>VLOOKUP(Base_Periodo1[[#This Row],[Aux]],Base_Contas_Balanco[#All],2,FALSE)</f>
        <v>Estoques Proprios</v>
      </c>
      <c r="G1980" s="1">
        <v>42815</v>
      </c>
      <c r="H1980" s="225">
        <v>80.119999999999891</v>
      </c>
      <c r="I1980" s="225">
        <v>0</v>
      </c>
      <c r="J1980" s="225">
        <v>0</v>
      </c>
      <c r="K1980" s="225">
        <v>80.119999999999891</v>
      </c>
      <c r="L19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80.12</v>
      </c>
      <c r="M1980" s="225">
        <f>ROUND(IF(AND(Base_Periodo1[[#This Row],[Tipo_Linha]]="-",Base_Periodo1[[#This Row],[TIPOSALDO]]="D"),Base_Periodo1[[#This Row],[SALDO_ATUAL]]*-1,Base_Periodo1[[#This Row],[SALDO_ATUAL]]),4)</f>
        <v>80.12</v>
      </c>
      <c r="N1980" t="s">
        <v>116</v>
      </c>
      <c r="O1980" t="s">
        <v>397</v>
      </c>
      <c r="P1980" t="s">
        <v>397</v>
      </c>
      <c r="Q1980">
        <v>7</v>
      </c>
      <c r="R1980" s="225">
        <f>Base_Periodo1[[#This Row],[CREDITOS]]-Base_Periodo1[[#This Row],[DEBITOS]]</f>
        <v>0</v>
      </c>
      <c r="S1980" s="3" t="str">
        <f>IF(ISERROR(VLOOKUP(Base_Periodo1[[#This Row],[CONTA]],BaseContasDRE[#All],4,FALSE)),"Fora do DRE",VLOOKUP(Base_Periodo1[[#This Row],[CONTA]],BaseContasDRE[#All],4,FALSE))</f>
        <v>Fora do DRE</v>
      </c>
      <c r="T1980" s="3" t="str">
        <f>IF(ISERROR(VLOOKUP(Base_Periodo1[[#This Row],[CONTA]],BaseContasDRE[#All],5,FALSE)),"Fora do DRE",VLOOKUP(Base_Periodo1[[#This Row],[CONTA]],BaseContasDRE[#All],6,FALSE))</f>
        <v>Fora do DRE</v>
      </c>
      <c r="U1980" s="3" t="str">
        <f>IF(ISERROR(VLOOKUP(Base_Periodo1[[#This Row],[CONTA]],BaseContasDRE[#All],7,FALSE)),"Fora do DRE",VLOOKUP(Base_Periodo1[[#This Row],[CONTA]],BaseContasDRE[#All],7,FALSE))</f>
        <v>Fora do DRE</v>
      </c>
      <c r="V1980" s="3" t="str">
        <f>IF(Base_Periodo1[[#This Row],[Tipo_Linha]]="Fora do DRE","Fora do DRE","( "&amp;Base_Periodo1[[#This Row],[Tipo_Linha]]&amp;" ) "&amp;Base_Periodo1[[#This Row],[Filtro]])</f>
        <v>Fora do DRE</v>
      </c>
      <c r="W1980" s="3" t="str">
        <f>LEFT(Base_Periodo1[[#This Row],[CLASS]],3)</f>
        <v>1.1</v>
      </c>
    </row>
    <row r="1981" spans="1:23" hidden="1">
      <c r="A1981" s="3" t="str">
        <f t="shared" si="30"/>
        <v>Período 1</v>
      </c>
      <c r="B1981">
        <v>54003</v>
      </c>
      <c r="C1981" t="s">
        <v>4978</v>
      </c>
      <c r="D1981" t="s">
        <v>4973</v>
      </c>
      <c r="E1981" s="3" t="str">
        <f>IF(LEN(Base_Periodo1[[#This Row],[CLASS]])&gt;=7,LEFT(Base_Periodo1[[#This Row],[CLASS]],7),"")</f>
        <v>1.1.3.1</v>
      </c>
      <c r="F1981" s="3" t="str">
        <f>VLOOKUP(Base_Periodo1[[#This Row],[Aux]],Base_Contas_Balanco[#All],2,FALSE)</f>
        <v>Estoques Proprios</v>
      </c>
      <c r="G1981" s="1">
        <v>42886</v>
      </c>
      <c r="H1981" s="225">
        <v>808119.89000000036</v>
      </c>
      <c r="I1981" s="225">
        <v>0</v>
      </c>
      <c r="J1981" s="225">
        <v>285053.34999999998</v>
      </c>
      <c r="K1981" s="225">
        <v>1093173.2400000002</v>
      </c>
      <c r="L19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-1093173.24</v>
      </c>
      <c r="M1981" s="225">
        <f>ROUND(IF(AND(Base_Periodo1[[#This Row],[Tipo_Linha]]="-",Base_Periodo1[[#This Row],[TIPOSALDO]]="D"),Base_Periodo1[[#This Row],[SALDO_ATUAL]]*-1,Base_Periodo1[[#This Row],[SALDO_ATUAL]]),4)</f>
        <v>1093173.24</v>
      </c>
      <c r="N1981" t="s">
        <v>116</v>
      </c>
      <c r="O1981" t="s">
        <v>459</v>
      </c>
      <c r="P1981" t="s">
        <v>459</v>
      </c>
      <c r="Q1981">
        <v>7</v>
      </c>
      <c r="R1981" s="225">
        <f>Base_Periodo1[[#This Row],[CREDITOS]]-Base_Periodo1[[#This Row],[DEBITOS]]</f>
        <v>285053.34999999998</v>
      </c>
      <c r="S1981" s="3" t="str">
        <f>IF(ISERROR(VLOOKUP(Base_Periodo1[[#This Row],[CONTA]],BaseContasDRE[#All],4,FALSE)),"Fora do DRE",VLOOKUP(Base_Periodo1[[#This Row],[CONTA]],BaseContasDRE[#All],4,FALSE))</f>
        <v>Fora do DRE</v>
      </c>
      <c r="T1981" s="3" t="str">
        <f>IF(ISERROR(VLOOKUP(Base_Periodo1[[#This Row],[CONTA]],BaseContasDRE[#All],5,FALSE)),"Fora do DRE",VLOOKUP(Base_Periodo1[[#This Row],[CONTA]],BaseContasDRE[#All],6,FALSE))</f>
        <v>Fora do DRE</v>
      </c>
      <c r="U1981" s="3" t="str">
        <f>IF(ISERROR(VLOOKUP(Base_Periodo1[[#This Row],[CONTA]],BaseContasDRE[#All],7,FALSE)),"Fora do DRE",VLOOKUP(Base_Periodo1[[#This Row],[CONTA]],BaseContasDRE[#All],7,FALSE))</f>
        <v>Fora do DRE</v>
      </c>
      <c r="V1981" s="3" t="str">
        <f>IF(Base_Periodo1[[#This Row],[Tipo_Linha]]="Fora do DRE","Fora do DRE","( "&amp;Base_Periodo1[[#This Row],[Tipo_Linha]]&amp;" ) "&amp;Base_Periodo1[[#This Row],[Filtro]])</f>
        <v>Fora do DRE</v>
      </c>
      <c r="W1981" s="3" t="str">
        <f>LEFT(Base_Periodo1[[#This Row],[CLASS]],3)</f>
        <v>1.1</v>
      </c>
    </row>
    <row r="1982" spans="1:23" hidden="1">
      <c r="A1982" s="3" t="str">
        <f t="shared" si="30"/>
        <v>Período 1</v>
      </c>
      <c r="B1982">
        <v>1210</v>
      </c>
      <c r="C1982" t="s">
        <v>1567</v>
      </c>
      <c r="D1982" t="s">
        <v>23</v>
      </c>
      <c r="E1982" s="3" t="str">
        <f>IF(LEN(Base_Periodo1[[#This Row],[CLASS]])&gt;=7,LEFT(Base_Periodo1[[#This Row],[CLASS]],7),"")</f>
        <v/>
      </c>
      <c r="F1982" s="3" t="e">
        <f>VLOOKUP(Base_Periodo1[[#This Row],[Aux]],Base_Contas_Balanco[#All],2,FALSE)</f>
        <v>#N/A</v>
      </c>
      <c r="G1982" s="1"/>
      <c r="H1982" s="225">
        <v>120984921.16000006</v>
      </c>
      <c r="I1982" s="225">
        <v>12555541.449999999</v>
      </c>
      <c r="J1982" s="225">
        <v>29774816.25</v>
      </c>
      <c r="K1982" s="225">
        <v>103765646.36000006</v>
      </c>
      <c r="L19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103765646.36</v>
      </c>
      <c r="M1982" s="225">
        <f>ROUND(IF(AND(Base_Periodo1[[#This Row],[Tipo_Linha]]="-",Base_Periodo1[[#This Row],[TIPOSALDO]]="D"),Base_Periodo1[[#This Row],[SALDO_ATUAL]]*-1,Base_Periodo1[[#This Row],[SALDO_ATUAL]]),4)</f>
        <v>103765646.36</v>
      </c>
      <c r="N1982" t="s">
        <v>396</v>
      </c>
      <c r="O1982" t="s">
        <v>397</v>
      </c>
      <c r="P1982" t="s">
        <v>397</v>
      </c>
      <c r="Q1982">
        <v>3</v>
      </c>
      <c r="R1982" s="225">
        <f>Base_Periodo1[[#This Row],[CREDITOS]]-Base_Periodo1[[#This Row],[DEBITOS]]</f>
        <v>17219274.800000001</v>
      </c>
      <c r="S1982" s="3" t="str">
        <f>IF(ISERROR(VLOOKUP(Base_Periodo1[[#This Row],[CONTA]],BaseContasDRE[#All],4,FALSE)),"Fora do DRE",VLOOKUP(Base_Periodo1[[#This Row],[CONTA]],BaseContasDRE[#All],4,FALSE))</f>
        <v>Fora do DRE</v>
      </c>
      <c r="T1982" s="3" t="str">
        <f>IF(ISERROR(VLOOKUP(Base_Periodo1[[#This Row],[CONTA]],BaseContasDRE[#All],5,FALSE)),"Fora do DRE",VLOOKUP(Base_Periodo1[[#This Row],[CONTA]],BaseContasDRE[#All],6,FALSE))</f>
        <v>Fora do DRE</v>
      </c>
      <c r="U1982" s="3" t="str">
        <f>IF(ISERROR(VLOOKUP(Base_Periodo1[[#This Row],[CONTA]],BaseContasDRE[#All],7,FALSE)),"Fora do DRE",VLOOKUP(Base_Periodo1[[#This Row],[CONTA]],BaseContasDRE[#All],7,FALSE))</f>
        <v>Fora do DRE</v>
      </c>
      <c r="V1982" s="3" t="str">
        <f>IF(Base_Periodo1[[#This Row],[Tipo_Linha]]="Fora do DRE","Fora do DRE","( "&amp;Base_Periodo1[[#This Row],[Tipo_Linha]]&amp;" ) "&amp;Base_Periodo1[[#This Row],[Filtro]])</f>
        <v>Fora do DRE</v>
      </c>
      <c r="W1982" s="3" t="str">
        <f>LEFT(Base_Periodo1[[#This Row],[CLASS]],3)</f>
        <v>1.1</v>
      </c>
    </row>
    <row r="1983" spans="1:23" hidden="1">
      <c r="A1983" s="3" t="str">
        <f t="shared" si="30"/>
        <v>Período 1</v>
      </c>
      <c r="B1983">
        <v>1211</v>
      </c>
      <c r="C1983" t="s">
        <v>22</v>
      </c>
      <c r="D1983" t="s">
        <v>23</v>
      </c>
      <c r="E1983" s="3" t="str">
        <f>IF(LEN(Base_Periodo1[[#This Row],[CLASS]])&gt;=7,LEFT(Base_Periodo1[[#This Row],[CLASS]],7),"")</f>
        <v>1.1.4.1</v>
      </c>
      <c r="F1983" s="3" t="str">
        <f>VLOOKUP(Base_Periodo1[[#This Row],[Aux]],Base_Contas_Balanco[#All],2,FALSE)</f>
        <v>Estoques de Terceiros</v>
      </c>
      <c r="G1983" s="1"/>
      <c r="H1983" s="225">
        <v>120984921.16000006</v>
      </c>
      <c r="I1983" s="225">
        <v>12555541.449999999</v>
      </c>
      <c r="J1983" s="225">
        <v>29774816.25</v>
      </c>
      <c r="K1983" s="225">
        <v>103765646.36000006</v>
      </c>
      <c r="L19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103765646.36</v>
      </c>
      <c r="M1983" s="225">
        <f>ROUND(IF(AND(Base_Periodo1[[#This Row],[Tipo_Linha]]="-",Base_Periodo1[[#This Row],[TIPOSALDO]]="D"),Base_Periodo1[[#This Row],[SALDO_ATUAL]]*-1,Base_Periodo1[[#This Row],[SALDO_ATUAL]]),4)</f>
        <v>103765646.36</v>
      </c>
      <c r="N1983" t="s">
        <v>396</v>
      </c>
      <c r="O1983" t="s">
        <v>397</v>
      </c>
      <c r="P1983" t="s">
        <v>397</v>
      </c>
      <c r="Q1983">
        <v>4</v>
      </c>
      <c r="R1983" s="225">
        <f>Base_Periodo1[[#This Row],[CREDITOS]]-Base_Periodo1[[#This Row],[DEBITOS]]</f>
        <v>17219274.800000001</v>
      </c>
      <c r="S1983" s="3" t="str">
        <f>IF(ISERROR(VLOOKUP(Base_Periodo1[[#This Row],[CONTA]],BaseContasDRE[#All],4,FALSE)),"Fora do DRE",VLOOKUP(Base_Periodo1[[#This Row],[CONTA]],BaseContasDRE[#All],4,FALSE))</f>
        <v>Fora do DRE</v>
      </c>
      <c r="T1983" s="3" t="str">
        <f>IF(ISERROR(VLOOKUP(Base_Periodo1[[#This Row],[CONTA]],BaseContasDRE[#All],5,FALSE)),"Fora do DRE",VLOOKUP(Base_Periodo1[[#This Row],[CONTA]],BaseContasDRE[#All],6,FALSE))</f>
        <v>Fora do DRE</v>
      </c>
      <c r="U1983" s="3" t="str">
        <f>IF(ISERROR(VLOOKUP(Base_Periodo1[[#This Row],[CONTA]],BaseContasDRE[#All],7,FALSE)),"Fora do DRE",VLOOKUP(Base_Periodo1[[#This Row],[CONTA]],BaseContasDRE[#All],7,FALSE))</f>
        <v>Fora do DRE</v>
      </c>
      <c r="V1983" s="3" t="str">
        <f>IF(Base_Periodo1[[#This Row],[Tipo_Linha]]="Fora do DRE","Fora do DRE","( "&amp;Base_Periodo1[[#This Row],[Tipo_Linha]]&amp;" ) "&amp;Base_Periodo1[[#This Row],[Filtro]])</f>
        <v>Fora do DRE</v>
      </c>
      <c r="W1983" s="3" t="str">
        <f>LEFT(Base_Periodo1[[#This Row],[CLASS]],3)</f>
        <v>1.1</v>
      </c>
    </row>
    <row r="1984" spans="1:23" hidden="1">
      <c r="A1984" s="3" t="str">
        <f t="shared" si="30"/>
        <v>Período 1</v>
      </c>
      <c r="B1984">
        <v>1212</v>
      </c>
      <c r="C1984" t="s">
        <v>1568</v>
      </c>
      <c r="D1984" t="s">
        <v>1048</v>
      </c>
      <c r="E1984" s="3" t="str">
        <f>IF(LEN(Base_Periodo1[[#This Row],[CLASS]])&gt;=7,LEFT(Base_Periodo1[[#This Row],[CLASS]],7),"")</f>
        <v>1.1.4.1</v>
      </c>
      <c r="F1984" s="3" t="str">
        <f>VLOOKUP(Base_Periodo1[[#This Row],[Aux]],Base_Contas_Balanco[#All],2,FALSE)</f>
        <v>Estoques de Terceiros</v>
      </c>
      <c r="G1984" s="1"/>
      <c r="H1984" s="225">
        <v>117414889.06000006</v>
      </c>
      <c r="I1984" s="225">
        <v>12328721.449999999</v>
      </c>
      <c r="J1984" s="225">
        <v>29585662.25</v>
      </c>
      <c r="K1984" s="225">
        <v>100157948.26000006</v>
      </c>
      <c r="L19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100157948.26000001</v>
      </c>
      <c r="M1984" s="225">
        <f>ROUND(IF(AND(Base_Periodo1[[#This Row],[Tipo_Linha]]="-",Base_Periodo1[[#This Row],[TIPOSALDO]]="D"),Base_Periodo1[[#This Row],[SALDO_ATUAL]]*-1,Base_Periodo1[[#This Row],[SALDO_ATUAL]]),4)</f>
        <v>100157948.26000001</v>
      </c>
      <c r="N1984" t="s">
        <v>396</v>
      </c>
      <c r="O1984" t="s">
        <v>397</v>
      </c>
      <c r="P1984" t="s">
        <v>397</v>
      </c>
      <c r="Q1984">
        <v>5</v>
      </c>
      <c r="R1984" s="225">
        <f>Base_Periodo1[[#This Row],[CREDITOS]]-Base_Periodo1[[#This Row],[DEBITOS]]</f>
        <v>17256940.800000001</v>
      </c>
      <c r="S1984" s="3" t="str">
        <f>IF(ISERROR(VLOOKUP(Base_Periodo1[[#This Row],[CONTA]],BaseContasDRE[#All],4,FALSE)),"Fora do DRE",VLOOKUP(Base_Periodo1[[#This Row],[CONTA]],BaseContasDRE[#All],4,FALSE))</f>
        <v>Fora do DRE</v>
      </c>
      <c r="T1984" s="3" t="str">
        <f>IF(ISERROR(VLOOKUP(Base_Periodo1[[#This Row],[CONTA]],BaseContasDRE[#All],5,FALSE)),"Fora do DRE",VLOOKUP(Base_Periodo1[[#This Row],[CONTA]],BaseContasDRE[#All],6,FALSE))</f>
        <v>Fora do DRE</v>
      </c>
      <c r="U1984" s="3" t="str">
        <f>IF(ISERROR(VLOOKUP(Base_Periodo1[[#This Row],[CONTA]],BaseContasDRE[#All],7,FALSE)),"Fora do DRE",VLOOKUP(Base_Periodo1[[#This Row],[CONTA]],BaseContasDRE[#All],7,FALSE))</f>
        <v>Fora do DRE</v>
      </c>
      <c r="V1984" s="3" t="str">
        <f>IF(Base_Periodo1[[#This Row],[Tipo_Linha]]="Fora do DRE","Fora do DRE","( "&amp;Base_Periodo1[[#This Row],[Tipo_Linha]]&amp;" ) "&amp;Base_Periodo1[[#This Row],[Filtro]])</f>
        <v>Fora do DRE</v>
      </c>
      <c r="W1984" s="3" t="str">
        <f>LEFT(Base_Periodo1[[#This Row],[CLASS]],3)</f>
        <v>1.1</v>
      </c>
    </row>
    <row r="1985" spans="1:23" hidden="1">
      <c r="A1985" s="3" t="str">
        <f t="shared" si="30"/>
        <v>Período 1</v>
      </c>
      <c r="B1985">
        <v>1213</v>
      </c>
      <c r="C1985" t="s">
        <v>1569</v>
      </c>
      <c r="D1985" t="s">
        <v>1050</v>
      </c>
      <c r="E1985" s="3" t="str">
        <f>IF(LEN(Base_Periodo1[[#This Row],[CLASS]])&gt;=7,LEFT(Base_Periodo1[[#This Row],[CLASS]],7),"")</f>
        <v>1.1.4.1</v>
      </c>
      <c r="F1985" s="3" t="str">
        <f>VLOOKUP(Base_Periodo1[[#This Row],[Aux]],Base_Contas_Balanco[#All],2,FALSE)</f>
        <v>Estoques de Terceiros</v>
      </c>
      <c r="G1985" s="1"/>
      <c r="H1985" s="225">
        <v>117414889.06000006</v>
      </c>
      <c r="I1985" s="225">
        <v>12328721.449999999</v>
      </c>
      <c r="J1985" s="225">
        <v>29585662.25</v>
      </c>
      <c r="K1985" s="225">
        <v>100157948.26000006</v>
      </c>
      <c r="L19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100157948.26000001</v>
      </c>
      <c r="M1985" s="225">
        <f>ROUND(IF(AND(Base_Periodo1[[#This Row],[Tipo_Linha]]="-",Base_Periodo1[[#This Row],[TIPOSALDO]]="D"),Base_Periodo1[[#This Row],[SALDO_ATUAL]]*-1,Base_Periodo1[[#This Row],[SALDO_ATUAL]]),4)</f>
        <v>100157948.26000001</v>
      </c>
      <c r="N1985" t="s">
        <v>396</v>
      </c>
      <c r="O1985" t="s">
        <v>397</v>
      </c>
      <c r="P1985" t="s">
        <v>397</v>
      </c>
      <c r="Q1985">
        <v>6</v>
      </c>
      <c r="R1985" s="225">
        <f>Base_Periodo1[[#This Row],[CREDITOS]]-Base_Periodo1[[#This Row],[DEBITOS]]</f>
        <v>17256940.800000001</v>
      </c>
      <c r="S1985" s="3" t="str">
        <f>IF(ISERROR(VLOOKUP(Base_Periodo1[[#This Row],[CONTA]],BaseContasDRE[#All],4,FALSE)),"Fora do DRE",VLOOKUP(Base_Periodo1[[#This Row],[CONTA]],BaseContasDRE[#All],4,FALSE))</f>
        <v>Fora do DRE</v>
      </c>
      <c r="T1985" s="3" t="str">
        <f>IF(ISERROR(VLOOKUP(Base_Periodo1[[#This Row],[CONTA]],BaseContasDRE[#All],5,FALSE)),"Fora do DRE",VLOOKUP(Base_Periodo1[[#This Row],[CONTA]],BaseContasDRE[#All],6,FALSE))</f>
        <v>Fora do DRE</v>
      </c>
      <c r="U1985" s="3" t="str">
        <f>IF(ISERROR(VLOOKUP(Base_Periodo1[[#This Row],[CONTA]],BaseContasDRE[#All],7,FALSE)),"Fora do DRE",VLOOKUP(Base_Periodo1[[#This Row],[CONTA]],BaseContasDRE[#All],7,FALSE))</f>
        <v>Fora do DRE</v>
      </c>
      <c r="V1985" s="3" t="str">
        <f>IF(Base_Periodo1[[#This Row],[Tipo_Linha]]="Fora do DRE","Fora do DRE","( "&amp;Base_Periodo1[[#This Row],[Tipo_Linha]]&amp;" ) "&amp;Base_Periodo1[[#This Row],[Filtro]])</f>
        <v>Fora do DRE</v>
      </c>
      <c r="W1985" s="3" t="str">
        <f>LEFT(Base_Periodo1[[#This Row],[CLASS]],3)</f>
        <v>1.1</v>
      </c>
    </row>
    <row r="1986" spans="1:23" hidden="1">
      <c r="A1986" s="3" t="str">
        <f t="shared" si="30"/>
        <v>Período 1</v>
      </c>
      <c r="B1986">
        <v>1214</v>
      </c>
      <c r="C1986" t="s">
        <v>1570</v>
      </c>
      <c r="D1986" t="s">
        <v>1052</v>
      </c>
      <c r="E1986" s="3" t="str">
        <f>IF(LEN(Base_Periodo1[[#This Row],[CLASS]])&gt;=7,LEFT(Base_Periodo1[[#This Row],[CLASS]],7),"")</f>
        <v>1.1.4.1</v>
      </c>
      <c r="F1986" s="3" t="str">
        <f>VLOOKUP(Base_Periodo1[[#This Row],[Aux]],Base_Contas_Balanco[#All],2,FALSE)</f>
        <v>Estoques de Terceiros</v>
      </c>
      <c r="G1986" s="1"/>
      <c r="H1986" s="225">
        <v>85170386.339999974</v>
      </c>
      <c r="I1986" s="225">
        <v>6082089.75</v>
      </c>
      <c r="J1986" s="225">
        <v>16206099.02</v>
      </c>
      <c r="K1986" s="225">
        <v>75046377.069999978</v>
      </c>
      <c r="L19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75046377.069999993</v>
      </c>
      <c r="M1986" s="225">
        <f>ROUND(IF(AND(Base_Periodo1[[#This Row],[Tipo_Linha]]="-",Base_Periodo1[[#This Row],[TIPOSALDO]]="D"),Base_Periodo1[[#This Row],[SALDO_ATUAL]]*-1,Base_Periodo1[[#This Row],[SALDO_ATUAL]]),4)</f>
        <v>75046377.069999993</v>
      </c>
      <c r="N1986" t="s">
        <v>396</v>
      </c>
      <c r="O1986" t="s">
        <v>397</v>
      </c>
      <c r="P1986" t="s">
        <v>397</v>
      </c>
      <c r="Q1986">
        <v>7</v>
      </c>
      <c r="R1986" s="225">
        <f>Base_Periodo1[[#This Row],[CREDITOS]]-Base_Periodo1[[#This Row],[DEBITOS]]</f>
        <v>10124009.27</v>
      </c>
      <c r="S1986" s="3" t="str">
        <f>IF(ISERROR(VLOOKUP(Base_Periodo1[[#This Row],[CONTA]],BaseContasDRE[#All],4,FALSE)),"Fora do DRE",VLOOKUP(Base_Periodo1[[#This Row],[CONTA]],BaseContasDRE[#All],4,FALSE))</f>
        <v>Fora do DRE</v>
      </c>
      <c r="T1986" s="3" t="str">
        <f>IF(ISERROR(VLOOKUP(Base_Periodo1[[#This Row],[CONTA]],BaseContasDRE[#All],5,FALSE)),"Fora do DRE",VLOOKUP(Base_Periodo1[[#This Row],[CONTA]],BaseContasDRE[#All],6,FALSE))</f>
        <v>Fora do DRE</v>
      </c>
      <c r="U1986" s="3" t="str">
        <f>IF(ISERROR(VLOOKUP(Base_Periodo1[[#This Row],[CONTA]],BaseContasDRE[#All],7,FALSE)),"Fora do DRE",VLOOKUP(Base_Periodo1[[#This Row],[CONTA]],BaseContasDRE[#All],7,FALSE))</f>
        <v>Fora do DRE</v>
      </c>
      <c r="V1986" s="3" t="str">
        <f>IF(Base_Periodo1[[#This Row],[Tipo_Linha]]="Fora do DRE","Fora do DRE","( "&amp;Base_Periodo1[[#This Row],[Tipo_Linha]]&amp;" ) "&amp;Base_Periodo1[[#This Row],[Filtro]])</f>
        <v>Fora do DRE</v>
      </c>
      <c r="W1986" s="3" t="str">
        <f>LEFT(Base_Periodo1[[#This Row],[CLASS]],3)</f>
        <v>1.1</v>
      </c>
    </row>
    <row r="1987" spans="1:23" hidden="1">
      <c r="A1987" s="3" t="str">
        <f t="shared" si="30"/>
        <v>Período 1</v>
      </c>
      <c r="B1987">
        <v>1216</v>
      </c>
      <c r="C1987" t="s">
        <v>1571</v>
      </c>
      <c r="D1987" t="s">
        <v>1572</v>
      </c>
      <c r="E1987" s="3" t="str">
        <f>IF(LEN(Base_Periodo1[[#This Row],[CLASS]])&gt;=7,LEFT(Base_Periodo1[[#This Row],[CLASS]],7),"")</f>
        <v>1.1.4.1</v>
      </c>
      <c r="F1987" s="3" t="str">
        <f>VLOOKUP(Base_Periodo1[[#This Row],[Aux]],Base_Contas_Balanco[#All],2,FALSE)</f>
        <v>Estoques de Terceiros</v>
      </c>
      <c r="G1987" s="1">
        <v>42886</v>
      </c>
      <c r="H1987" s="225">
        <v>72529834.459999979</v>
      </c>
      <c r="I1987" s="225">
        <v>4198041</v>
      </c>
      <c r="J1987" s="225">
        <v>12676314.75</v>
      </c>
      <c r="K1987" s="225">
        <v>64051560.709999979</v>
      </c>
      <c r="L19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64051560.710000001</v>
      </c>
      <c r="M1987" s="225">
        <f>ROUND(IF(AND(Base_Periodo1[[#This Row],[Tipo_Linha]]="-",Base_Periodo1[[#This Row],[TIPOSALDO]]="D"),Base_Periodo1[[#This Row],[SALDO_ATUAL]]*-1,Base_Periodo1[[#This Row],[SALDO_ATUAL]]),4)</f>
        <v>64051560.710000001</v>
      </c>
      <c r="N1987" t="s">
        <v>116</v>
      </c>
      <c r="O1987" t="s">
        <v>397</v>
      </c>
      <c r="P1987" t="s">
        <v>397</v>
      </c>
      <c r="Q1987">
        <v>8</v>
      </c>
      <c r="R1987" s="225">
        <f>Base_Periodo1[[#This Row],[CREDITOS]]-Base_Periodo1[[#This Row],[DEBITOS]]</f>
        <v>8478273.75</v>
      </c>
      <c r="S1987" s="3" t="str">
        <f>IF(ISERROR(VLOOKUP(Base_Periodo1[[#This Row],[CONTA]],BaseContasDRE[#All],4,FALSE)),"Fora do DRE",VLOOKUP(Base_Periodo1[[#This Row],[CONTA]],BaseContasDRE[#All],4,FALSE))</f>
        <v>Fora do DRE</v>
      </c>
      <c r="T1987" s="3" t="str">
        <f>IF(ISERROR(VLOOKUP(Base_Periodo1[[#This Row],[CONTA]],BaseContasDRE[#All],5,FALSE)),"Fora do DRE",VLOOKUP(Base_Periodo1[[#This Row],[CONTA]],BaseContasDRE[#All],6,FALSE))</f>
        <v>Fora do DRE</v>
      </c>
      <c r="U1987" s="3" t="str">
        <f>IF(ISERROR(VLOOKUP(Base_Periodo1[[#This Row],[CONTA]],BaseContasDRE[#All],7,FALSE)),"Fora do DRE",VLOOKUP(Base_Periodo1[[#This Row],[CONTA]],BaseContasDRE[#All],7,FALSE))</f>
        <v>Fora do DRE</v>
      </c>
      <c r="V1987" s="3" t="str">
        <f>IF(Base_Periodo1[[#This Row],[Tipo_Linha]]="Fora do DRE","Fora do DRE","( "&amp;Base_Periodo1[[#This Row],[Tipo_Linha]]&amp;" ) "&amp;Base_Periodo1[[#This Row],[Filtro]])</f>
        <v>Fora do DRE</v>
      </c>
      <c r="W1987" s="3" t="str">
        <f>LEFT(Base_Periodo1[[#This Row],[CLASS]],3)</f>
        <v>1.1</v>
      </c>
    </row>
    <row r="1988" spans="1:23" hidden="1">
      <c r="A1988" s="3" t="str">
        <f t="shared" si="30"/>
        <v>Período 1</v>
      </c>
      <c r="B1988">
        <v>30274</v>
      </c>
      <c r="C1988" t="s">
        <v>1573</v>
      </c>
      <c r="D1988" t="s">
        <v>1574</v>
      </c>
      <c r="E1988" s="3" t="str">
        <f>IF(LEN(Base_Periodo1[[#This Row],[CLASS]])&gt;=7,LEFT(Base_Periodo1[[#This Row],[CLASS]],7),"")</f>
        <v>1.1.4.1</v>
      </c>
      <c r="F1988" s="3" t="str">
        <f>VLOOKUP(Base_Periodo1[[#This Row],[Aux]],Base_Contas_Balanco[#All],2,FALSE)</f>
        <v>Estoques de Terceiros</v>
      </c>
      <c r="G1988" s="1">
        <v>42886</v>
      </c>
      <c r="H1988" s="225">
        <v>7733936.7399999946</v>
      </c>
      <c r="I1988" s="225">
        <v>1849194</v>
      </c>
      <c r="J1988" s="225">
        <v>2731256.25</v>
      </c>
      <c r="K1988" s="225">
        <v>6851874.4899999946</v>
      </c>
      <c r="L19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6851874.4900000002</v>
      </c>
      <c r="M1988" s="225">
        <f>ROUND(IF(AND(Base_Periodo1[[#This Row],[Tipo_Linha]]="-",Base_Periodo1[[#This Row],[TIPOSALDO]]="D"),Base_Periodo1[[#This Row],[SALDO_ATUAL]]*-1,Base_Periodo1[[#This Row],[SALDO_ATUAL]]),4)</f>
        <v>6851874.4900000002</v>
      </c>
      <c r="N1988" t="s">
        <v>116</v>
      </c>
      <c r="O1988" t="s">
        <v>397</v>
      </c>
      <c r="P1988" t="s">
        <v>397</v>
      </c>
      <c r="Q1988">
        <v>8</v>
      </c>
      <c r="R1988" s="225">
        <f>Base_Periodo1[[#This Row],[CREDITOS]]-Base_Periodo1[[#This Row],[DEBITOS]]</f>
        <v>882062.25</v>
      </c>
      <c r="S1988" s="3" t="str">
        <f>IF(ISERROR(VLOOKUP(Base_Periodo1[[#This Row],[CONTA]],BaseContasDRE[#All],4,FALSE)),"Fora do DRE",VLOOKUP(Base_Periodo1[[#This Row],[CONTA]],BaseContasDRE[#All],4,FALSE))</f>
        <v>Fora do DRE</v>
      </c>
      <c r="T1988" s="3" t="str">
        <f>IF(ISERROR(VLOOKUP(Base_Periodo1[[#This Row],[CONTA]],BaseContasDRE[#All],5,FALSE)),"Fora do DRE",VLOOKUP(Base_Periodo1[[#This Row],[CONTA]],BaseContasDRE[#All],6,FALSE))</f>
        <v>Fora do DRE</v>
      </c>
      <c r="U1988" s="3" t="str">
        <f>IF(ISERROR(VLOOKUP(Base_Periodo1[[#This Row],[CONTA]],BaseContasDRE[#All],7,FALSE)),"Fora do DRE",VLOOKUP(Base_Periodo1[[#This Row],[CONTA]],BaseContasDRE[#All],7,FALSE))</f>
        <v>Fora do DRE</v>
      </c>
      <c r="V1988" s="3" t="str">
        <f>IF(Base_Periodo1[[#This Row],[Tipo_Linha]]="Fora do DRE","Fora do DRE","( "&amp;Base_Periodo1[[#This Row],[Tipo_Linha]]&amp;" ) "&amp;Base_Periodo1[[#This Row],[Filtro]])</f>
        <v>Fora do DRE</v>
      </c>
      <c r="W1988" s="3" t="str">
        <f>LEFT(Base_Periodo1[[#This Row],[CLASS]],3)</f>
        <v>1.1</v>
      </c>
    </row>
    <row r="1989" spans="1:23" hidden="1">
      <c r="A1989" s="3" t="str">
        <f t="shared" si="30"/>
        <v>Período 1</v>
      </c>
      <c r="B1989">
        <v>1217</v>
      </c>
      <c r="C1989" t="s">
        <v>1575</v>
      </c>
      <c r="D1989" t="s">
        <v>1576</v>
      </c>
      <c r="E1989" s="3" t="str">
        <f>IF(LEN(Base_Periodo1[[#This Row],[CLASS]])&gt;=7,LEFT(Base_Periodo1[[#This Row],[CLASS]],7),"")</f>
        <v>1.1.4.1</v>
      </c>
      <c r="F1989" s="3" t="str">
        <f>VLOOKUP(Base_Periodo1[[#This Row],[Aux]],Base_Contas_Balanco[#All],2,FALSE)</f>
        <v>Estoques de Terceiros</v>
      </c>
      <c r="G1989" s="1">
        <v>42886</v>
      </c>
      <c r="H1989" s="225">
        <v>4906615.1400000006</v>
      </c>
      <c r="I1989" s="225">
        <v>34854.75</v>
      </c>
      <c r="J1989" s="225">
        <v>798528.02</v>
      </c>
      <c r="K1989" s="225">
        <v>4142941.8700000006</v>
      </c>
      <c r="L19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4142941.87</v>
      </c>
      <c r="M1989" s="225">
        <f>ROUND(IF(AND(Base_Periodo1[[#This Row],[Tipo_Linha]]="-",Base_Periodo1[[#This Row],[TIPOSALDO]]="D"),Base_Periodo1[[#This Row],[SALDO_ATUAL]]*-1,Base_Periodo1[[#This Row],[SALDO_ATUAL]]),4)</f>
        <v>4142941.87</v>
      </c>
      <c r="N1989" t="s">
        <v>116</v>
      </c>
      <c r="O1989" t="s">
        <v>397</v>
      </c>
      <c r="P1989" t="s">
        <v>397</v>
      </c>
      <c r="Q1989">
        <v>8</v>
      </c>
      <c r="R1989" s="225">
        <f>Base_Periodo1[[#This Row],[CREDITOS]]-Base_Periodo1[[#This Row],[DEBITOS]]</f>
        <v>763673.27</v>
      </c>
      <c r="S1989" s="3" t="str">
        <f>IF(ISERROR(VLOOKUP(Base_Periodo1[[#This Row],[CONTA]],BaseContasDRE[#All],4,FALSE)),"Fora do DRE",VLOOKUP(Base_Periodo1[[#This Row],[CONTA]],BaseContasDRE[#All],4,FALSE))</f>
        <v>Fora do DRE</v>
      </c>
      <c r="T1989" s="3" t="str">
        <f>IF(ISERROR(VLOOKUP(Base_Periodo1[[#This Row],[CONTA]],BaseContasDRE[#All],5,FALSE)),"Fora do DRE",VLOOKUP(Base_Periodo1[[#This Row],[CONTA]],BaseContasDRE[#All],6,FALSE))</f>
        <v>Fora do DRE</v>
      </c>
      <c r="U1989" s="3" t="str">
        <f>IF(ISERROR(VLOOKUP(Base_Periodo1[[#This Row],[CONTA]],BaseContasDRE[#All],7,FALSE)),"Fora do DRE",VLOOKUP(Base_Periodo1[[#This Row],[CONTA]],BaseContasDRE[#All],7,FALSE))</f>
        <v>Fora do DRE</v>
      </c>
      <c r="V1989" s="3" t="str">
        <f>IF(Base_Periodo1[[#This Row],[Tipo_Linha]]="Fora do DRE","Fora do DRE","( "&amp;Base_Periodo1[[#This Row],[Tipo_Linha]]&amp;" ) "&amp;Base_Periodo1[[#This Row],[Filtro]])</f>
        <v>Fora do DRE</v>
      </c>
      <c r="W1989" s="3" t="str">
        <f>LEFT(Base_Periodo1[[#This Row],[CLASS]],3)</f>
        <v>1.1</v>
      </c>
    </row>
    <row r="1990" spans="1:23" hidden="1">
      <c r="A1990" s="3" t="str">
        <f t="shared" ref="A1990:A2053" si="31">"Período 1"</f>
        <v>Período 1</v>
      </c>
      <c r="B1990">
        <v>1218</v>
      </c>
      <c r="C1990" t="s">
        <v>1577</v>
      </c>
      <c r="D1990" t="s">
        <v>1076</v>
      </c>
      <c r="E1990" s="3" t="str">
        <f>IF(LEN(Base_Periodo1[[#This Row],[CLASS]])&gt;=7,LEFT(Base_Periodo1[[#This Row],[CLASS]],7),"")</f>
        <v>1.1.4.1</v>
      </c>
      <c r="F1990" s="3" t="str">
        <f>VLOOKUP(Base_Periodo1[[#This Row],[Aux]],Base_Contas_Balanco[#All],2,FALSE)</f>
        <v>Estoques de Terceiros</v>
      </c>
      <c r="G1990" s="1"/>
      <c r="H1990" s="225">
        <v>18755070.570000149</v>
      </c>
      <c r="I1990" s="225">
        <v>2502440.5</v>
      </c>
      <c r="J1990" s="225">
        <v>10535706.229999999</v>
      </c>
      <c r="K1990" s="225">
        <v>10721804.840000151</v>
      </c>
      <c r="L19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10721804.84</v>
      </c>
      <c r="M1990" s="225">
        <f>ROUND(IF(AND(Base_Periodo1[[#This Row],[Tipo_Linha]]="-",Base_Periodo1[[#This Row],[TIPOSALDO]]="D"),Base_Periodo1[[#This Row],[SALDO_ATUAL]]*-1,Base_Periodo1[[#This Row],[SALDO_ATUAL]]),4)</f>
        <v>10721804.84</v>
      </c>
      <c r="N1990" t="s">
        <v>396</v>
      </c>
      <c r="O1990" t="s">
        <v>397</v>
      </c>
      <c r="P1990" t="s">
        <v>397</v>
      </c>
      <c r="Q1990">
        <v>7</v>
      </c>
      <c r="R1990" s="225">
        <f>Base_Periodo1[[#This Row],[CREDITOS]]-Base_Periodo1[[#This Row],[DEBITOS]]</f>
        <v>8033265.7299999986</v>
      </c>
      <c r="S1990" s="3" t="str">
        <f>IF(ISERROR(VLOOKUP(Base_Periodo1[[#This Row],[CONTA]],BaseContasDRE[#All],4,FALSE)),"Fora do DRE",VLOOKUP(Base_Periodo1[[#This Row],[CONTA]],BaseContasDRE[#All],4,FALSE))</f>
        <v>Fora do DRE</v>
      </c>
      <c r="T1990" s="3" t="str">
        <f>IF(ISERROR(VLOOKUP(Base_Periodo1[[#This Row],[CONTA]],BaseContasDRE[#All],5,FALSE)),"Fora do DRE",VLOOKUP(Base_Periodo1[[#This Row],[CONTA]],BaseContasDRE[#All],6,FALSE))</f>
        <v>Fora do DRE</v>
      </c>
      <c r="U1990" s="3" t="str">
        <f>IF(ISERROR(VLOOKUP(Base_Periodo1[[#This Row],[CONTA]],BaseContasDRE[#All],7,FALSE)),"Fora do DRE",VLOOKUP(Base_Periodo1[[#This Row],[CONTA]],BaseContasDRE[#All],7,FALSE))</f>
        <v>Fora do DRE</v>
      </c>
      <c r="V1990" s="3" t="str">
        <f>IF(Base_Periodo1[[#This Row],[Tipo_Linha]]="Fora do DRE","Fora do DRE","( "&amp;Base_Periodo1[[#This Row],[Tipo_Linha]]&amp;" ) "&amp;Base_Periodo1[[#This Row],[Filtro]])</f>
        <v>Fora do DRE</v>
      </c>
      <c r="W1990" s="3" t="str">
        <f>LEFT(Base_Periodo1[[#This Row],[CLASS]],3)</f>
        <v>1.1</v>
      </c>
    </row>
    <row r="1991" spans="1:23" hidden="1">
      <c r="A1991" s="3" t="str">
        <f t="shared" si="31"/>
        <v>Período 1</v>
      </c>
      <c r="B1991">
        <v>1219</v>
      </c>
      <c r="C1991" t="s">
        <v>1578</v>
      </c>
      <c r="D1991" t="s">
        <v>1572</v>
      </c>
      <c r="E1991" s="3" t="str">
        <f>IF(LEN(Base_Periodo1[[#This Row],[CLASS]])&gt;=7,LEFT(Base_Periodo1[[#This Row],[CLASS]],7),"")</f>
        <v>1.1.4.1</v>
      </c>
      <c r="F1991" s="3" t="str">
        <f>VLOOKUP(Base_Periodo1[[#This Row],[Aux]],Base_Contas_Balanco[#All],2,FALSE)</f>
        <v>Estoques de Terceiros</v>
      </c>
      <c r="G1991" s="1">
        <v>42886</v>
      </c>
      <c r="H1991" s="225">
        <v>9339241.3000001311</v>
      </c>
      <c r="I1991" s="225">
        <v>2502440.5</v>
      </c>
      <c r="J1991" s="225">
        <v>2350795.3299999987</v>
      </c>
      <c r="K1991" s="225">
        <v>9490886.4700001329</v>
      </c>
      <c r="L19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9490886.4700000007</v>
      </c>
      <c r="M1991" s="225">
        <f>ROUND(IF(AND(Base_Periodo1[[#This Row],[Tipo_Linha]]="-",Base_Periodo1[[#This Row],[TIPOSALDO]]="D"),Base_Periodo1[[#This Row],[SALDO_ATUAL]]*-1,Base_Periodo1[[#This Row],[SALDO_ATUAL]]),4)</f>
        <v>9490886.4700000007</v>
      </c>
      <c r="N1991" t="s">
        <v>116</v>
      </c>
      <c r="O1991" t="s">
        <v>397</v>
      </c>
      <c r="P1991" t="s">
        <v>397</v>
      </c>
      <c r="Q1991">
        <v>8</v>
      </c>
      <c r="R1991" s="225">
        <f>Base_Periodo1[[#This Row],[CREDITOS]]-Base_Periodo1[[#This Row],[DEBITOS]]</f>
        <v>-151645.17000000132</v>
      </c>
      <c r="S1991" s="3" t="str">
        <f>IF(ISERROR(VLOOKUP(Base_Periodo1[[#This Row],[CONTA]],BaseContasDRE[#All],4,FALSE)),"Fora do DRE",VLOOKUP(Base_Periodo1[[#This Row],[CONTA]],BaseContasDRE[#All],4,FALSE))</f>
        <v>Fora do DRE</v>
      </c>
      <c r="T1991" s="3" t="str">
        <f>IF(ISERROR(VLOOKUP(Base_Periodo1[[#This Row],[CONTA]],BaseContasDRE[#All],5,FALSE)),"Fora do DRE",VLOOKUP(Base_Periodo1[[#This Row],[CONTA]],BaseContasDRE[#All],6,FALSE))</f>
        <v>Fora do DRE</v>
      </c>
      <c r="U1991" s="3" t="str">
        <f>IF(ISERROR(VLOOKUP(Base_Periodo1[[#This Row],[CONTA]],BaseContasDRE[#All],7,FALSE)),"Fora do DRE",VLOOKUP(Base_Periodo1[[#This Row],[CONTA]],BaseContasDRE[#All],7,FALSE))</f>
        <v>Fora do DRE</v>
      </c>
      <c r="V1991" s="3" t="str">
        <f>IF(Base_Periodo1[[#This Row],[Tipo_Linha]]="Fora do DRE","Fora do DRE","( "&amp;Base_Periodo1[[#This Row],[Tipo_Linha]]&amp;" ) "&amp;Base_Periodo1[[#This Row],[Filtro]])</f>
        <v>Fora do DRE</v>
      </c>
      <c r="W1991" s="3" t="str">
        <f>LEFT(Base_Periodo1[[#This Row],[CLASS]],3)</f>
        <v>1.1</v>
      </c>
    </row>
    <row r="1992" spans="1:23" hidden="1">
      <c r="A1992" s="3" t="str">
        <f t="shared" si="31"/>
        <v>Período 1</v>
      </c>
      <c r="B1992">
        <v>1220</v>
      </c>
      <c r="C1992" t="s">
        <v>1579</v>
      </c>
      <c r="D1992" t="s">
        <v>1576</v>
      </c>
      <c r="E1992" s="3" t="str">
        <f>IF(LEN(Base_Periodo1[[#This Row],[CLASS]])&gt;=7,LEFT(Base_Periodo1[[#This Row],[CLASS]],7),"")</f>
        <v>1.1.4.1</v>
      </c>
      <c r="F1992" s="3" t="str">
        <f>VLOOKUP(Base_Periodo1[[#This Row],[Aux]],Base_Contas_Balanco[#All],2,FALSE)</f>
        <v>Estoques de Terceiros</v>
      </c>
      <c r="G1992" s="1">
        <v>42886</v>
      </c>
      <c r="H1992" s="225">
        <v>9415829.2700000182</v>
      </c>
      <c r="I1992" s="225">
        <v>0</v>
      </c>
      <c r="J1992" s="225">
        <v>8184910.9000000004</v>
      </c>
      <c r="K1992" s="225">
        <v>1230918.3700000178</v>
      </c>
      <c r="L19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1230918.3700000001</v>
      </c>
      <c r="M1992" s="225">
        <f>ROUND(IF(AND(Base_Periodo1[[#This Row],[Tipo_Linha]]="-",Base_Periodo1[[#This Row],[TIPOSALDO]]="D"),Base_Periodo1[[#This Row],[SALDO_ATUAL]]*-1,Base_Periodo1[[#This Row],[SALDO_ATUAL]]),4)</f>
        <v>1230918.3700000001</v>
      </c>
      <c r="N1992" t="s">
        <v>116</v>
      </c>
      <c r="O1992" t="s">
        <v>397</v>
      </c>
      <c r="P1992" t="s">
        <v>397</v>
      </c>
      <c r="Q1992">
        <v>8</v>
      </c>
      <c r="R1992" s="225">
        <f>Base_Periodo1[[#This Row],[CREDITOS]]-Base_Periodo1[[#This Row],[DEBITOS]]</f>
        <v>8184910.9000000004</v>
      </c>
      <c r="S1992" s="3" t="str">
        <f>IF(ISERROR(VLOOKUP(Base_Periodo1[[#This Row],[CONTA]],BaseContasDRE[#All],4,FALSE)),"Fora do DRE",VLOOKUP(Base_Periodo1[[#This Row],[CONTA]],BaseContasDRE[#All],4,FALSE))</f>
        <v>Fora do DRE</v>
      </c>
      <c r="T1992" s="3" t="str">
        <f>IF(ISERROR(VLOOKUP(Base_Periodo1[[#This Row],[CONTA]],BaseContasDRE[#All],5,FALSE)),"Fora do DRE",VLOOKUP(Base_Periodo1[[#This Row],[CONTA]],BaseContasDRE[#All],6,FALSE))</f>
        <v>Fora do DRE</v>
      </c>
      <c r="U1992" s="3" t="str">
        <f>IF(ISERROR(VLOOKUP(Base_Periodo1[[#This Row],[CONTA]],BaseContasDRE[#All],7,FALSE)),"Fora do DRE",VLOOKUP(Base_Periodo1[[#This Row],[CONTA]],BaseContasDRE[#All],7,FALSE))</f>
        <v>Fora do DRE</v>
      </c>
      <c r="V1992" s="3" t="str">
        <f>IF(Base_Periodo1[[#This Row],[Tipo_Linha]]="Fora do DRE","Fora do DRE","( "&amp;Base_Periodo1[[#This Row],[Tipo_Linha]]&amp;" ) "&amp;Base_Periodo1[[#This Row],[Filtro]])</f>
        <v>Fora do DRE</v>
      </c>
      <c r="W1992" s="3" t="str">
        <f>LEFT(Base_Periodo1[[#This Row],[CLASS]],3)</f>
        <v>1.1</v>
      </c>
    </row>
    <row r="1993" spans="1:23" hidden="1">
      <c r="A1993" s="3" t="str">
        <f t="shared" si="31"/>
        <v>Período 1</v>
      </c>
      <c r="B1993">
        <v>1221</v>
      </c>
      <c r="C1993" t="s">
        <v>1580</v>
      </c>
      <c r="D1993" t="s">
        <v>1088</v>
      </c>
      <c r="E1993" s="3" t="str">
        <f>IF(LEN(Base_Periodo1[[#This Row],[CLASS]])&gt;=7,LEFT(Base_Periodo1[[#This Row],[CLASS]],7),"")</f>
        <v>1.1.4.1</v>
      </c>
      <c r="F1993" s="3" t="str">
        <f>VLOOKUP(Base_Periodo1[[#This Row],[Aux]],Base_Contas_Balanco[#All],2,FALSE)</f>
        <v>Estoques de Terceiros</v>
      </c>
      <c r="G1993" s="1"/>
      <c r="H1993" s="225">
        <v>13218640.150000026</v>
      </c>
      <c r="I1993" s="225">
        <v>31627</v>
      </c>
      <c r="J1993" s="225">
        <v>519855</v>
      </c>
      <c r="K1993" s="225">
        <v>12730412.150000026</v>
      </c>
      <c r="L19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12730412.15</v>
      </c>
      <c r="M1993" s="225">
        <f>ROUND(IF(AND(Base_Periodo1[[#This Row],[Tipo_Linha]]="-",Base_Periodo1[[#This Row],[TIPOSALDO]]="D"),Base_Periodo1[[#This Row],[SALDO_ATUAL]]*-1,Base_Periodo1[[#This Row],[SALDO_ATUAL]]),4)</f>
        <v>12730412.15</v>
      </c>
      <c r="N1993" t="s">
        <v>396</v>
      </c>
      <c r="O1993" t="s">
        <v>397</v>
      </c>
      <c r="P1993" t="s">
        <v>397</v>
      </c>
      <c r="Q1993">
        <v>7</v>
      </c>
      <c r="R1993" s="225">
        <f>Base_Periodo1[[#This Row],[CREDITOS]]-Base_Periodo1[[#This Row],[DEBITOS]]</f>
        <v>488228</v>
      </c>
      <c r="S1993" s="3" t="str">
        <f>IF(ISERROR(VLOOKUP(Base_Periodo1[[#This Row],[CONTA]],BaseContasDRE[#All],4,FALSE)),"Fora do DRE",VLOOKUP(Base_Periodo1[[#This Row],[CONTA]],BaseContasDRE[#All],4,FALSE))</f>
        <v>Fora do DRE</v>
      </c>
      <c r="T1993" s="3" t="str">
        <f>IF(ISERROR(VLOOKUP(Base_Periodo1[[#This Row],[CONTA]],BaseContasDRE[#All],5,FALSE)),"Fora do DRE",VLOOKUP(Base_Periodo1[[#This Row],[CONTA]],BaseContasDRE[#All],6,FALSE))</f>
        <v>Fora do DRE</v>
      </c>
      <c r="U1993" s="3" t="str">
        <f>IF(ISERROR(VLOOKUP(Base_Periodo1[[#This Row],[CONTA]],BaseContasDRE[#All],7,FALSE)),"Fora do DRE",VLOOKUP(Base_Periodo1[[#This Row],[CONTA]],BaseContasDRE[#All],7,FALSE))</f>
        <v>Fora do DRE</v>
      </c>
      <c r="V1993" s="3" t="str">
        <f>IF(Base_Periodo1[[#This Row],[Tipo_Linha]]="Fora do DRE","Fora do DRE","( "&amp;Base_Periodo1[[#This Row],[Tipo_Linha]]&amp;" ) "&amp;Base_Periodo1[[#This Row],[Filtro]])</f>
        <v>Fora do DRE</v>
      </c>
      <c r="W1993" s="3" t="str">
        <f>LEFT(Base_Periodo1[[#This Row],[CLASS]],3)</f>
        <v>1.1</v>
      </c>
    </row>
    <row r="1994" spans="1:23" hidden="1">
      <c r="A1994" s="3" t="str">
        <f t="shared" si="31"/>
        <v>Período 1</v>
      </c>
      <c r="B1994">
        <v>1223</v>
      </c>
      <c r="C1994" t="s">
        <v>1581</v>
      </c>
      <c r="D1994" t="s">
        <v>1572</v>
      </c>
      <c r="E1994" s="3" t="str">
        <f>IF(LEN(Base_Periodo1[[#This Row],[CLASS]])&gt;=7,LEFT(Base_Periodo1[[#This Row],[CLASS]],7),"")</f>
        <v>1.1.4.1</v>
      </c>
      <c r="F1994" s="3" t="str">
        <f>VLOOKUP(Base_Periodo1[[#This Row],[Aux]],Base_Contas_Balanco[#All],2,FALSE)</f>
        <v>Estoques de Terceiros</v>
      </c>
      <c r="G1994" s="1">
        <v>42886</v>
      </c>
      <c r="H1994" s="225">
        <v>2489517.8199999779</v>
      </c>
      <c r="I1994" s="225">
        <v>31627</v>
      </c>
      <c r="J1994" s="225">
        <v>400016.5</v>
      </c>
      <c r="K1994" s="225">
        <v>2121128.3199999779</v>
      </c>
      <c r="L19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2121128.3199999998</v>
      </c>
      <c r="M1994" s="225">
        <f>ROUND(IF(AND(Base_Periodo1[[#This Row],[Tipo_Linha]]="-",Base_Periodo1[[#This Row],[TIPOSALDO]]="D"),Base_Periodo1[[#This Row],[SALDO_ATUAL]]*-1,Base_Periodo1[[#This Row],[SALDO_ATUAL]]),4)</f>
        <v>2121128.3199999998</v>
      </c>
      <c r="N1994" t="s">
        <v>116</v>
      </c>
      <c r="O1994" t="s">
        <v>397</v>
      </c>
      <c r="P1994" t="s">
        <v>397</v>
      </c>
      <c r="Q1994">
        <v>8</v>
      </c>
      <c r="R1994" s="225">
        <f>Base_Periodo1[[#This Row],[CREDITOS]]-Base_Periodo1[[#This Row],[DEBITOS]]</f>
        <v>368389.5</v>
      </c>
      <c r="S1994" s="3" t="str">
        <f>IF(ISERROR(VLOOKUP(Base_Periodo1[[#This Row],[CONTA]],BaseContasDRE[#All],4,FALSE)),"Fora do DRE",VLOOKUP(Base_Periodo1[[#This Row],[CONTA]],BaseContasDRE[#All],4,FALSE))</f>
        <v>Fora do DRE</v>
      </c>
      <c r="T1994" s="3" t="str">
        <f>IF(ISERROR(VLOOKUP(Base_Periodo1[[#This Row],[CONTA]],BaseContasDRE[#All],5,FALSE)),"Fora do DRE",VLOOKUP(Base_Periodo1[[#This Row],[CONTA]],BaseContasDRE[#All],6,FALSE))</f>
        <v>Fora do DRE</v>
      </c>
      <c r="U1994" s="3" t="str">
        <f>IF(ISERROR(VLOOKUP(Base_Periodo1[[#This Row],[CONTA]],BaseContasDRE[#All],7,FALSE)),"Fora do DRE",VLOOKUP(Base_Periodo1[[#This Row],[CONTA]],BaseContasDRE[#All],7,FALSE))</f>
        <v>Fora do DRE</v>
      </c>
      <c r="V1994" s="3" t="str">
        <f>IF(Base_Periodo1[[#This Row],[Tipo_Linha]]="Fora do DRE","Fora do DRE","( "&amp;Base_Periodo1[[#This Row],[Tipo_Linha]]&amp;" ) "&amp;Base_Periodo1[[#This Row],[Filtro]])</f>
        <v>Fora do DRE</v>
      </c>
      <c r="W1994" s="3" t="str">
        <f>LEFT(Base_Periodo1[[#This Row],[CLASS]],3)</f>
        <v>1.1</v>
      </c>
    </row>
    <row r="1995" spans="1:23" hidden="1">
      <c r="A1995" s="3" t="str">
        <f t="shared" si="31"/>
        <v>Período 1</v>
      </c>
      <c r="B1995">
        <v>30276</v>
      </c>
      <c r="C1995" t="s">
        <v>1582</v>
      </c>
      <c r="D1995" t="s">
        <v>1574</v>
      </c>
      <c r="E1995" s="3" t="str">
        <f>IF(LEN(Base_Periodo1[[#This Row],[CLASS]])&gt;=7,LEFT(Base_Periodo1[[#This Row],[CLASS]],7),"")</f>
        <v>1.1.4.1</v>
      </c>
      <c r="F1995" s="3" t="str">
        <f>VLOOKUP(Base_Periodo1[[#This Row],[Aux]],Base_Contas_Balanco[#All],2,FALSE)</f>
        <v>Estoques de Terceiros</v>
      </c>
      <c r="G1995" s="1">
        <v>42864</v>
      </c>
      <c r="H1995" s="225">
        <v>77597.73000000231</v>
      </c>
      <c r="I1995" s="225">
        <v>0</v>
      </c>
      <c r="J1995" s="225">
        <v>119838.5</v>
      </c>
      <c r="K1995" s="225">
        <v>42240.76999999769</v>
      </c>
      <c r="L19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-42240.77</v>
      </c>
      <c r="M1995" s="225">
        <f>ROUND(IF(AND(Base_Periodo1[[#This Row],[Tipo_Linha]]="-",Base_Periodo1[[#This Row],[TIPOSALDO]]="D"),Base_Periodo1[[#This Row],[SALDO_ATUAL]]*-1,Base_Periodo1[[#This Row],[SALDO_ATUAL]]),4)</f>
        <v>42240.77</v>
      </c>
      <c r="N1995" t="s">
        <v>116</v>
      </c>
      <c r="O1995" t="s">
        <v>397</v>
      </c>
      <c r="P1995" t="s">
        <v>459</v>
      </c>
      <c r="Q1995">
        <v>8</v>
      </c>
      <c r="R1995" s="225">
        <f>Base_Periodo1[[#This Row],[CREDITOS]]-Base_Periodo1[[#This Row],[DEBITOS]]</f>
        <v>119838.5</v>
      </c>
      <c r="S1995" s="3" t="str">
        <f>IF(ISERROR(VLOOKUP(Base_Periodo1[[#This Row],[CONTA]],BaseContasDRE[#All],4,FALSE)),"Fora do DRE",VLOOKUP(Base_Periodo1[[#This Row],[CONTA]],BaseContasDRE[#All],4,FALSE))</f>
        <v>Fora do DRE</v>
      </c>
      <c r="T1995" s="3" t="str">
        <f>IF(ISERROR(VLOOKUP(Base_Periodo1[[#This Row],[CONTA]],BaseContasDRE[#All],5,FALSE)),"Fora do DRE",VLOOKUP(Base_Periodo1[[#This Row],[CONTA]],BaseContasDRE[#All],6,FALSE))</f>
        <v>Fora do DRE</v>
      </c>
      <c r="U1995" s="3" t="str">
        <f>IF(ISERROR(VLOOKUP(Base_Periodo1[[#This Row],[CONTA]],BaseContasDRE[#All],7,FALSE)),"Fora do DRE",VLOOKUP(Base_Periodo1[[#This Row],[CONTA]],BaseContasDRE[#All],7,FALSE))</f>
        <v>Fora do DRE</v>
      </c>
      <c r="V1995" s="3" t="str">
        <f>IF(Base_Periodo1[[#This Row],[Tipo_Linha]]="Fora do DRE","Fora do DRE","( "&amp;Base_Periodo1[[#This Row],[Tipo_Linha]]&amp;" ) "&amp;Base_Periodo1[[#This Row],[Filtro]])</f>
        <v>Fora do DRE</v>
      </c>
      <c r="W1995" s="3" t="str">
        <f>LEFT(Base_Periodo1[[#This Row],[CLASS]],3)</f>
        <v>1.1</v>
      </c>
    </row>
    <row r="1996" spans="1:23" hidden="1">
      <c r="A1996" s="3" t="str">
        <f t="shared" si="31"/>
        <v>Período 1</v>
      </c>
      <c r="B1996">
        <v>1224</v>
      </c>
      <c r="C1996" t="s">
        <v>1583</v>
      </c>
      <c r="D1996" t="s">
        <v>1576</v>
      </c>
      <c r="E1996" s="3" t="str">
        <f>IF(LEN(Base_Periodo1[[#This Row],[CLASS]])&gt;=7,LEFT(Base_Periodo1[[#This Row],[CLASS]],7),"")</f>
        <v>1.1.4.1</v>
      </c>
      <c r="F1996" s="3" t="str">
        <f>VLOOKUP(Base_Periodo1[[#This Row],[Aux]],Base_Contas_Balanco[#All],2,FALSE)</f>
        <v>Estoques de Terceiros</v>
      </c>
      <c r="G1996" s="1">
        <v>42800</v>
      </c>
      <c r="H1996" s="225">
        <v>10262218.600000046</v>
      </c>
      <c r="I1996" s="225">
        <v>0</v>
      </c>
      <c r="J1996" s="225">
        <v>0</v>
      </c>
      <c r="K1996" s="225">
        <v>10262218.600000046</v>
      </c>
      <c r="L19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10262218.6</v>
      </c>
      <c r="M1996" s="225">
        <f>ROUND(IF(AND(Base_Periodo1[[#This Row],[Tipo_Linha]]="-",Base_Periodo1[[#This Row],[TIPOSALDO]]="D"),Base_Periodo1[[#This Row],[SALDO_ATUAL]]*-1,Base_Periodo1[[#This Row],[SALDO_ATUAL]]),4)</f>
        <v>10262218.6</v>
      </c>
      <c r="N1996" t="s">
        <v>116</v>
      </c>
      <c r="O1996" t="s">
        <v>397</v>
      </c>
      <c r="P1996" t="s">
        <v>397</v>
      </c>
      <c r="Q1996">
        <v>8</v>
      </c>
      <c r="R1996" s="225">
        <f>Base_Periodo1[[#This Row],[CREDITOS]]-Base_Periodo1[[#This Row],[DEBITOS]]</f>
        <v>0</v>
      </c>
      <c r="S1996" s="3" t="str">
        <f>IF(ISERROR(VLOOKUP(Base_Periodo1[[#This Row],[CONTA]],BaseContasDRE[#All],4,FALSE)),"Fora do DRE",VLOOKUP(Base_Periodo1[[#This Row],[CONTA]],BaseContasDRE[#All],4,FALSE))</f>
        <v>Fora do DRE</v>
      </c>
      <c r="T1996" s="3" t="str">
        <f>IF(ISERROR(VLOOKUP(Base_Periodo1[[#This Row],[CONTA]],BaseContasDRE[#All],5,FALSE)),"Fora do DRE",VLOOKUP(Base_Periodo1[[#This Row],[CONTA]],BaseContasDRE[#All],6,FALSE))</f>
        <v>Fora do DRE</v>
      </c>
      <c r="U1996" s="3" t="str">
        <f>IF(ISERROR(VLOOKUP(Base_Periodo1[[#This Row],[CONTA]],BaseContasDRE[#All],7,FALSE)),"Fora do DRE",VLOOKUP(Base_Periodo1[[#This Row],[CONTA]],BaseContasDRE[#All],7,FALSE))</f>
        <v>Fora do DRE</v>
      </c>
      <c r="V1996" s="3" t="str">
        <f>IF(Base_Periodo1[[#This Row],[Tipo_Linha]]="Fora do DRE","Fora do DRE","( "&amp;Base_Periodo1[[#This Row],[Tipo_Linha]]&amp;" ) "&amp;Base_Periodo1[[#This Row],[Filtro]])</f>
        <v>Fora do DRE</v>
      </c>
      <c r="W1996" s="3" t="str">
        <f>LEFT(Base_Periodo1[[#This Row],[CLASS]],3)</f>
        <v>1.1</v>
      </c>
    </row>
    <row r="1997" spans="1:23" hidden="1">
      <c r="A1997" s="3" t="str">
        <f t="shared" si="31"/>
        <v>Período 1</v>
      </c>
      <c r="B1997">
        <v>30456</v>
      </c>
      <c r="C1997" t="s">
        <v>5405</v>
      </c>
      <c r="D1997" t="s">
        <v>5406</v>
      </c>
      <c r="E1997" s="3" t="str">
        <f>IF(LEN(Base_Periodo1[[#This Row],[CLASS]])&gt;=7,LEFT(Base_Periodo1[[#This Row],[CLASS]],7),"")</f>
        <v>1.1.4.1</v>
      </c>
      <c r="F1997" s="3" t="str">
        <f>VLOOKUP(Base_Periodo1[[#This Row],[Aux]],Base_Contas_Balanco[#All],2,FALSE)</f>
        <v>Estoques de Terceiros</v>
      </c>
      <c r="G1997" s="1">
        <v>42697</v>
      </c>
      <c r="H1997" s="225">
        <v>389306</v>
      </c>
      <c r="I1997" s="225">
        <v>0</v>
      </c>
      <c r="J1997" s="225">
        <v>0</v>
      </c>
      <c r="K1997" s="225">
        <v>389306</v>
      </c>
      <c r="L19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389306</v>
      </c>
      <c r="M1997" s="225">
        <f>ROUND(IF(AND(Base_Periodo1[[#This Row],[Tipo_Linha]]="-",Base_Periodo1[[#This Row],[TIPOSALDO]]="D"),Base_Periodo1[[#This Row],[SALDO_ATUAL]]*-1,Base_Periodo1[[#This Row],[SALDO_ATUAL]]),4)</f>
        <v>389306</v>
      </c>
      <c r="N1997" t="s">
        <v>116</v>
      </c>
      <c r="O1997" t="s">
        <v>397</v>
      </c>
      <c r="P1997" t="s">
        <v>397</v>
      </c>
      <c r="Q1997">
        <v>8</v>
      </c>
      <c r="R1997" s="225">
        <f>Base_Periodo1[[#This Row],[CREDITOS]]-Base_Periodo1[[#This Row],[DEBITOS]]</f>
        <v>0</v>
      </c>
      <c r="S1997" s="3" t="str">
        <f>IF(ISERROR(VLOOKUP(Base_Periodo1[[#This Row],[CONTA]],BaseContasDRE[#All],4,FALSE)),"Fora do DRE",VLOOKUP(Base_Periodo1[[#This Row],[CONTA]],BaseContasDRE[#All],4,FALSE))</f>
        <v>Fora do DRE</v>
      </c>
      <c r="T1997" s="3" t="str">
        <f>IF(ISERROR(VLOOKUP(Base_Periodo1[[#This Row],[CONTA]],BaseContasDRE[#All],5,FALSE)),"Fora do DRE",VLOOKUP(Base_Periodo1[[#This Row],[CONTA]],BaseContasDRE[#All],6,FALSE))</f>
        <v>Fora do DRE</v>
      </c>
      <c r="U1997" s="3" t="str">
        <f>IF(ISERROR(VLOOKUP(Base_Periodo1[[#This Row],[CONTA]],BaseContasDRE[#All],7,FALSE)),"Fora do DRE",VLOOKUP(Base_Periodo1[[#This Row],[CONTA]],BaseContasDRE[#All],7,FALSE))</f>
        <v>Fora do DRE</v>
      </c>
      <c r="V1997" s="3" t="str">
        <f>IF(Base_Periodo1[[#This Row],[Tipo_Linha]]="Fora do DRE","Fora do DRE","( "&amp;Base_Periodo1[[#This Row],[Tipo_Linha]]&amp;" ) "&amp;Base_Periodo1[[#This Row],[Filtro]])</f>
        <v>Fora do DRE</v>
      </c>
      <c r="W1997" s="3" t="str">
        <f>LEFT(Base_Periodo1[[#This Row],[CLASS]],3)</f>
        <v>1.1</v>
      </c>
    </row>
    <row r="1998" spans="1:23" hidden="1">
      <c r="A1998" s="3" t="str">
        <f t="shared" si="31"/>
        <v>Período 1</v>
      </c>
      <c r="B1998">
        <v>1235</v>
      </c>
      <c r="C1998" t="s">
        <v>1584</v>
      </c>
      <c r="D1998" t="s">
        <v>1102</v>
      </c>
      <c r="E1998" s="3" t="str">
        <f>IF(LEN(Base_Periodo1[[#This Row],[CLASS]])&gt;=7,LEFT(Base_Periodo1[[#This Row],[CLASS]],7),"")</f>
        <v>1.1.4.1</v>
      </c>
      <c r="F1998" s="3" t="str">
        <f>VLOOKUP(Base_Periodo1[[#This Row],[Aux]],Base_Contas_Balanco[#All],2,FALSE)</f>
        <v>Estoques de Terceiros</v>
      </c>
      <c r="G1998" s="1"/>
      <c r="H1998" s="225">
        <v>270791.99999993015</v>
      </c>
      <c r="I1998" s="225">
        <v>3682567.1999999988</v>
      </c>
      <c r="J1998" s="225">
        <v>2294606.3999999994</v>
      </c>
      <c r="K1998" s="225">
        <v>1658752.7999999295</v>
      </c>
      <c r="L19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1658752.8</v>
      </c>
      <c r="M1998" s="225">
        <f>ROUND(IF(AND(Base_Periodo1[[#This Row],[Tipo_Linha]]="-",Base_Periodo1[[#This Row],[TIPOSALDO]]="D"),Base_Periodo1[[#This Row],[SALDO_ATUAL]]*-1,Base_Periodo1[[#This Row],[SALDO_ATUAL]]),4)</f>
        <v>1658752.8</v>
      </c>
      <c r="N1998" t="s">
        <v>396</v>
      </c>
      <c r="O1998" t="s">
        <v>397</v>
      </c>
      <c r="P1998" t="s">
        <v>397</v>
      </c>
      <c r="Q1998">
        <v>7</v>
      </c>
      <c r="R1998" s="225">
        <f>Base_Periodo1[[#This Row],[CREDITOS]]-Base_Periodo1[[#This Row],[DEBITOS]]</f>
        <v>-1387960.7999999993</v>
      </c>
      <c r="S1998" s="3" t="str">
        <f>IF(ISERROR(VLOOKUP(Base_Periodo1[[#This Row],[CONTA]],BaseContasDRE[#All],4,FALSE)),"Fora do DRE",VLOOKUP(Base_Periodo1[[#This Row],[CONTA]],BaseContasDRE[#All],4,FALSE))</f>
        <v>Fora do DRE</v>
      </c>
      <c r="T1998" s="3" t="str">
        <f>IF(ISERROR(VLOOKUP(Base_Periodo1[[#This Row],[CONTA]],BaseContasDRE[#All],5,FALSE)),"Fora do DRE",VLOOKUP(Base_Periodo1[[#This Row],[CONTA]],BaseContasDRE[#All],6,FALSE))</f>
        <v>Fora do DRE</v>
      </c>
      <c r="U1998" s="3" t="str">
        <f>IF(ISERROR(VLOOKUP(Base_Periodo1[[#This Row],[CONTA]],BaseContasDRE[#All],7,FALSE)),"Fora do DRE",VLOOKUP(Base_Periodo1[[#This Row],[CONTA]],BaseContasDRE[#All],7,FALSE))</f>
        <v>Fora do DRE</v>
      </c>
      <c r="V1998" s="3" t="str">
        <f>IF(Base_Periodo1[[#This Row],[Tipo_Linha]]="Fora do DRE","Fora do DRE","( "&amp;Base_Periodo1[[#This Row],[Tipo_Linha]]&amp;" ) "&amp;Base_Periodo1[[#This Row],[Filtro]])</f>
        <v>Fora do DRE</v>
      </c>
      <c r="W1998" s="3" t="str">
        <f>LEFT(Base_Periodo1[[#This Row],[CLASS]],3)</f>
        <v>1.1</v>
      </c>
    </row>
    <row r="1999" spans="1:23" hidden="1">
      <c r="A1999" s="3" t="str">
        <f t="shared" si="31"/>
        <v>Período 1</v>
      </c>
      <c r="B1999">
        <v>1236</v>
      </c>
      <c r="C1999" t="s">
        <v>1585</v>
      </c>
      <c r="D1999" t="s">
        <v>1572</v>
      </c>
      <c r="E1999" s="3" t="str">
        <f>IF(LEN(Base_Periodo1[[#This Row],[CLASS]])&gt;=7,LEFT(Base_Periodo1[[#This Row],[CLASS]],7),"")</f>
        <v>1.1.4.1</v>
      </c>
      <c r="F1999" s="3" t="str">
        <f>VLOOKUP(Base_Periodo1[[#This Row],[Aux]],Base_Contas_Balanco[#All],2,FALSE)</f>
        <v>Estoques de Terceiros</v>
      </c>
      <c r="G1999" s="1">
        <v>42886</v>
      </c>
      <c r="H1999" s="225">
        <v>270791.99999992549</v>
      </c>
      <c r="I1999" s="225">
        <v>3667478.399999999</v>
      </c>
      <c r="J1999" s="225">
        <v>2294606.3999999994</v>
      </c>
      <c r="K1999" s="225">
        <v>1643663.999999925</v>
      </c>
      <c r="L19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1643664</v>
      </c>
      <c r="M1999" s="225">
        <f>ROUND(IF(AND(Base_Periodo1[[#This Row],[Tipo_Linha]]="-",Base_Periodo1[[#This Row],[TIPOSALDO]]="D"),Base_Periodo1[[#This Row],[SALDO_ATUAL]]*-1,Base_Periodo1[[#This Row],[SALDO_ATUAL]]),4)</f>
        <v>1643664</v>
      </c>
      <c r="N1999" t="s">
        <v>116</v>
      </c>
      <c r="O1999" t="s">
        <v>397</v>
      </c>
      <c r="P1999" t="s">
        <v>397</v>
      </c>
      <c r="Q1999">
        <v>8</v>
      </c>
      <c r="R1999" s="225">
        <f>Base_Periodo1[[#This Row],[CREDITOS]]-Base_Periodo1[[#This Row],[DEBITOS]]</f>
        <v>-1372871.9999999995</v>
      </c>
      <c r="S1999" s="3" t="str">
        <f>IF(ISERROR(VLOOKUP(Base_Periodo1[[#This Row],[CONTA]],BaseContasDRE[#All],4,FALSE)),"Fora do DRE",VLOOKUP(Base_Periodo1[[#This Row],[CONTA]],BaseContasDRE[#All],4,FALSE))</f>
        <v>Fora do DRE</v>
      </c>
      <c r="T1999" s="3" t="str">
        <f>IF(ISERROR(VLOOKUP(Base_Periodo1[[#This Row],[CONTA]],BaseContasDRE[#All],5,FALSE)),"Fora do DRE",VLOOKUP(Base_Periodo1[[#This Row],[CONTA]],BaseContasDRE[#All],6,FALSE))</f>
        <v>Fora do DRE</v>
      </c>
      <c r="U1999" s="3" t="str">
        <f>IF(ISERROR(VLOOKUP(Base_Periodo1[[#This Row],[CONTA]],BaseContasDRE[#All],7,FALSE)),"Fora do DRE",VLOOKUP(Base_Periodo1[[#This Row],[CONTA]],BaseContasDRE[#All],7,FALSE))</f>
        <v>Fora do DRE</v>
      </c>
      <c r="V1999" s="3" t="str">
        <f>IF(Base_Periodo1[[#This Row],[Tipo_Linha]]="Fora do DRE","Fora do DRE","( "&amp;Base_Periodo1[[#This Row],[Tipo_Linha]]&amp;" ) "&amp;Base_Periodo1[[#This Row],[Filtro]])</f>
        <v>Fora do DRE</v>
      </c>
      <c r="W1999" s="3" t="str">
        <f>LEFT(Base_Periodo1[[#This Row],[CLASS]],3)</f>
        <v>1.1</v>
      </c>
    </row>
    <row r="2000" spans="1:23" hidden="1">
      <c r="A2000" s="3" t="str">
        <f t="shared" si="31"/>
        <v>Período 1</v>
      </c>
      <c r="B2000">
        <v>1237</v>
      </c>
      <c r="C2000" t="s">
        <v>6825</v>
      </c>
      <c r="D2000" t="s">
        <v>1576</v>
      </c>
      <c r="E2000" s="3" t="str">
        <f>IF(LEN(Base_Periodo1[[#This Row],[CLASS]])&gt;=7,LEFT(Base_Periodo1[[#This Row],[CLASS]],7),"")</f>
        <v>1.1.4.1</v>
      </c>
      <c r="F2000" s="3" t="str">
        <f>VLOOKUP(Base_Periodo1[[#This Row],[Aux]],Base_Contas_Balanco[#All],2,FALSE)</f>
        <v>Estoques de Terceiros</v>
      </c>
      <c r="G2000" s="1">
        <v>42884</v>
      </c>
      <c r="I2000" s="225">
        <v>15088.8</v>
      </c>
      <c r="J2000" s="225">
        <v>0</v>
      </c>
      <c r="K2000" s="225">
        <v>15088.80000000745</v>
      </c>
      <c r="L20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15088.8</v>
      </c>
      <c r="M2000" s="225">
        <f>ROUND(IF(AND(Base_Periodo1[[#This Row],[Tipo_Linha]]="-",Base_Periodo1[[#This Row],[TIPOSALDO]]="D"),Base_Periodo1[[#This Row],[SALDO_ATUAL]]*-1,Base_Periodo1[[#This Row],[SALDO_ATUAL]]),4)</f>
        <v>15088.8</v>
      </c>
      <c r="N2000" t="s">
        <v>116</v>
      </c>
      <c r="O2000" t="s">
        <v>436</v>
      </c>
      <c r="P2000" t="s">
        <v>397</v>
      </c>
      <c r="Q2000">
        <v>8</v>
      </c>
      <c r="R2000" s="225">
        <f>Base_Periodo1[[#This Row],[CREDITOS]]-Base_Periodo1[[#This Row],[DEBITOS]]</f>
        <v>-15088.8</v>
      </c>
      <c r="S2000" s="3" t="str">
        <f>IF(ISERROR(VLOOKUP(Base_Periodo1[[#This Row],[CONTA]],BaseContasDRE[#All],4,FALSE)),"Fora do DRE",VLOOKUP(Base_Periodo1[[#This Row],[CONTA]],BaseContasDRE[#All],4,FALSE))</f>
        <v>Fora do DRE</v>
      </c>
      <c r="T2000" s="3" t="str">
        <f>IF(ISERROR(VLOOKUP(Base_Periodo1[[#This Row],[CONTA]],BaseContasDRE[#All],5,FALSE)),"Fora do DRE",VLOOKUP(Base_Periodo1[[#This Row],[CONTA]],BaseContasDRE[#All],6,FALSE))</f>
        <v>Fora do DRE</v>
      </c>
      <c r="U2000" s="3" t="str">
        <f>IF(ISERROR(VLOOKUP(Base_Periodo1[[#This Row],[CONTA]],BaseContasDRE[#All],7,FALSE)),"Fora do DRE",VLOOKUP(Base_Periodo1[[#This Row],[CONTA]],BaseContasDRE[#All],7,FALSE))</f>
        <v>Fora do DRE</v>
      </c>
      <c r="V2000" s="3" t="str">
        <f>IF(Base_Periodo1[[#This Row],[Tipo_Linha]]="Fora do DRE","Fora do DRE","( "&amp;Base_Periodo1[[#This Row],[Tipo_Linha]]&amp;" ) "&amp;Base_Periodo1[[#This Row],[Filtro]])</f>
        <v>Fora do DRE</v>
      </c>
      <c r="W2000" s="3" t="str">
        <f>LEFT(Base_Periodo1[[#This Row],[CLASS]],3)</f>
        <v>1.1</v>
      </c>
    </row>
    <row r="2001" spans="1:23" hidden="1">
      <c r="A2001" s="3" t="str">
        <f t="shared" si="31"/>
        <v>Período 1</v>
      </c>
      <c r="B2001">
        <v>51885</v>
      </c>
      <c r="C2001" t="s">
        <v>6826</v>
      </c>
      <c r="D2001" t="s">
        <v>6827</v>
      </c>
      <c r="E2001" s="3" t="str">
        <f>IF(LEN(Base_Periodo1[[#This Row],[CLASS]])&gt;=7,LEFT(Base_Periodo1[[#This Row],[CLASS]],7),"")</f>
        <v>1.1.4.1</v>
      </c>
      <c r="F2001" s="3" t="str">
        <f>VLOOKUP(Base_Periodo1[[#This Row],[Aux]],Base_Contas_Balanco[#All],2,FALSE)</f>
        <v>Estoques de Terceiros</v>
      </c>
      <c r="G2001" s="1"/>
      <c r="I2001" s="225">
        <v>29997.000000000004</v>
      </c>
      <c r="J2001" s="225">
        <v>29395.600000000002</v>
      </c>
      <c r="K2001" s="225">
        <v>601.40000000000146</v>
      </c>
      <c r="L20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601.4</v>
      </c>
      <c r="M2001" s="225">
        <f>ROUND(IF(AND(Base_Periodo1[[#This Row],[Tipo_Linha]]="-",Base_Periodo1[[#This Row],[TIPOSALDO]]="D"),Base_Periodo1[[#This Row],[SALDO_ATUAL]]*-1,Base_Periodo1[[#This Row],[SALDO_ATUAL]]),4)</f>
        <v>601.4</v>
      </c>
      <c r="N2001" t="s">
        <v>396</v>
      </c>
      <c r="O2001" t="s">
        <v>436</v>
      </c>
      <c r="P2001" t="s">
        <v>397</v>
      </c>
      <c r="Q2001">
        <v>7</v>
      </c>
      <c r="R2001" s="225">
        <f>Base_Periodo1[[#This Row],[CREDITOS]]-Base_Periodo1[[#This Row],[DEBITOS]]</f>
        <v>-601.40000000000146</v>
      </c>
      <c r="S2001" s="3" t="str">
        <f>IF(ISERROR(VLOOKUP(Base_Periodo1[[#This Row],[CONTA]],BaseContasDRE[#All],4,FALSE)),"Fora do DRE",VLOOKUP(Base_Periodo1[[#This Row],[CONTA]],BaseContasDRE[#All],4,FALSE))</f>
        <v>Fora do DRE</v>
      </c>
      <c r="T2001" s="3" t="str">
        <f>IF(ISERROR(VLOOKUP(Base_Periodo1[[#This Row],[CONTA]],BaseContasDRE[#All],5,FALSE)),"Fora do DRE",VLOOKUP(Base_Periodo1[[#This Row],[CONTA]],BaseContasDRE[#All],6,FALSE))</f>
        <v>Fora do DRE</v>
      </c>
      <c r="U2001" s="3" t="str">
        <f>IF(ISERROR(VLOOKUP(Base_Periodo1[[#This Row],[CONTA]],BaseContasDRE[#All],7,FALSE)),"Fora do DRE",VLOOKUP(Base_Periodo1[[#This Row],[CONTA]],BaseContasDRE[#All],7,FALSE))</f>
        <v>Fora do DRE</v>
      </c>
      <c r="V2001" s="3" t="str">
        <f>IF(Base_Periodo1[[#This Row],[Tipo_Linha]]="Fora do DRE","Fora do DRE","( "&amp;Base_Periodo1[[#This Row],[Tipo_Linha]]&amp;" ) "&amp;Base_Periodo1[[#This Row],[Filtro]])</f>
        <v>Fora do DRE</v>
      </c>
      <c r="W2001" s="3" t="str">
        <f>LEFT(Base_Periodo1[[#This Row],[CLASS]],3)</f>
        <v>1.1</v>
      </c>
    </row>
    <row r="2002" spans="1:23" hidden="1">
      <c r="A2002" s="3" t="str">
        <f t="shared" si="31"/>
        <v>Período 1</v>
      </c>
      <c r="B2002">
        <v>51886</v>
      </c>
      <c r="C2002" t="s">
        <v>6828</v>
      </c>
      <c r="D2002" t="s">
        <v>6829</v>
      </c>
      <c r="E2002" s="3" t="str">
        <f>IF(LEN(Base_Periodo1[[#This Row],[CLASS]])&gt;=7,LEFT(Base_Periodo1[[#This Row],[CLASS]],7),"")</f>
        <v>1.1.4.1</v>
      </c>
      <c r="F2002" s="3" t="str">
        <f>VLOOKUP(Base_Periodo1[[#This Row],[Aux]],Base_Contas_Balanco[#All],2,FALSE)</f>
        <v>Estoques de Terceiros</v>
      </c>
      <c r="G2002" s="1">
        <v>42881</v>
      </c>
      <c r="I2002" s="225">
        <v>29997.000000000004</v>
      </c>
      <c r="J2002" s="225">
        <v>29395.600000000002</v>
      </c>
      <c r="K2002" s="225">
        <v>601.40000000000146</v>
      </c>
      <c r="L20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601.4</v>
      </c>
      <c r="M2002" s="225">
        <f>ROUND(IF(AND(Base_Periodo1[[#This Row],[Tipo_Linha]]="-",Base_Periodo1[[#This Row],[TIPOSALDO]]="D"),Base_Periodo1[[#This Row],[SALDO_ATUAL]]*-1,Base_Periodo1[[#This Row],[SALDO_ATUAL]]),4)</f>
        <v>601.4</v>
      </c>
      <c r="N2002" t="s">
        <v>116</v>
      </c>
      <c r="O2002" t="s">
        <v>436</v>
      </c>
      <c r="P2002" t="s">
        <v>397</v>
      </c>
      <c r="Q2002">
        <v>8</v>
      </c>
      <c r="R2002" s="225">
        <f>Base_Periodo1[[#This Row],[CREDITOS]]-Base_Periodo1[[#This Row],[DEBITOS]]</f>
        <v>-601.40000000000146</v>
      </c>
      <c r="S2002" s="3" t="str">
        <f>IF(ISERROR(VLOOKUP(Base_Periodo1[[#This Row],[CONTA]],BaseContasDRE[#All],4,FALSE)),"Fora do DRE",VLOOKUP(Base_Periodo1[[#This Row],[CONTA]],BaseContasDRE[#All],4,FALSE))</f>
        <v>Fora do DRE</v>
      </c>
      <c r="T2002" s="3" t="str">
        <f>IF(ISERROR(VLOOKUP(Base_Periodo1[[#This Row],[CONTA]],BaseContasDRE[#All],5,FALSE)),"Fora do DRE",VLOOKUP(Base_Periodo1[[#This Row],[CONTA]],BaseContasDRE[#All],6,FALSE))</f>
        <v>Fora do DRE</v>
      </c>
      <c r="U2002" s="3" t="str">
        <f>IF(ISERROR(VLOOKUP(Base_Periodo1[[#This Row],[CONTA]],BaseContasDRE[#All],7,FALSE)),"Fora do DRE",VLOOKUP(Base_Periodo1[[#This Row],[CONTA]],BaseContasDRE[#All],7,FALSE))</f>
        <v>Fora do DRE</v>
      </c>
      <c r="V2002" s="3" t="str">
        <f>IF(Base_Periodo1[[#This Row],[Tipo_Linha]]="Fora do DRE","Fora do DRE","( "&amp;Base_Periodo1[[#This Row],[Tipo_Linha]]&amp;" ) "&amp;Base_Periodo1[[#This Row],[Filtro]])</f>
        <v>Fora do DRE</v>
      </c>
      <c r="W2002" s="3" t="str">
        <f>LEFT(Base_Periodo1[[#This Row],[CLASS]],3)</f>
        <v>1.1</v>
      </c>
    </row>
    <row r="2003" spans="1:23" hidden="1">
      <c r="A2003" s="3" t="str">
        <f t="shared" si="31"/>
        <v>Período 1</v>
      </c>
      <c r="B2003">
        <v>1240</v>
      </c>
      <c r="C2003" t="s">
        <v>1586</v>
      </c>
      <c r="D2003" t="s">
        <v>1152</v>
      </c>
      <c r="E2003" s="3" t="str">
        <f>IF(LEN(Base_Periodo1[[#This Row],[CLASS]])&gt;=7,LEFT(Base_Periodo1[[#This Row],[CLASS]],7),"")</f>
        <v>1.1.4.1</v>
      </c>
      <c r="F2003" s="3" t="str">
        <f>VLOOKUP(Base_Periodo1[[#This Row],[Aux]],Base_Contas_Balanco[#All],2,FALSE)</f>
        <v>Estoques de Terceiros</v>
      </c>
      <c r="G2003" s="1"/>
      <c r="H2003" s="225">
        <v>2109124.0300000003</v>
      </c>
      <c r="I2003" s="225">
        <v>172580</v>
      </c>
      <c r="J2003" s="225">
        <v>189154</v>
      </c>
      <c r="K2003" s="225">
        <v>2092550.0300000003</v>
      </c>
      <c r="L20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2092550.03</v>
      </c>
      <c r="M2003" s="225">
        <f>ROUND(IF(AND(Base_Periodo1[[#This Row],[Tipo_Linha]]="-",Base_Periodo1[[#This Row],[TIPOSALDO]]="D"),Base_Periodo1[[#This Row],[SALDO_ATUAL]]*-1,Base_Periodo1[[#This Row],[SALDO_ATUAL]]),4)</f>
        <v>2092550.03</v>
      </c>
      <c r="N2003" t="s">
        <v>396</v>
      </c>
      <c r="O2003" t="s">
        <v>397</v>
      </c>
      <c r="P2003" t="s">
        <v>397</v>
      </c>
      <c r="Q2003">
        <v>5</v>
      </c>
      <c r="R2003" s="225">
        <f>Base_Periodo1[[#This Row],[CREDITOS]]-Base_Periodo1[[#This Row],[DEBITOS]]</f>
        <v>16574</v>
      </c>
      <c r="S2003" s="3" t="str">
        <f>IF(ISERROR(VLOOKUP(Base_Periodo1[[#This Row],[CONTA]],BaseContasDRE[#All],4,FALSE)),"Fora do DRE",VLOOKUP(Base_Periodo1[[#This Row],[CONTA]],BaseContasDRE[#All],4,FALSE))</f>
        <v>Fora do DRE</v>
      </c>
      <c r="T2003" s="3" t="str">
        <f>IF(ISERROR(VLOOKUP(Base_Periodo1[[#This Row],[CONTA]],BaseContasDRE[#All],5,FALSE)),"Fora do DRE",VLOOKUP(Base_Periodo1[[#This Row],[CONTA]],BaseContasDRE[#All],6,FALSE))</f>
        <v>Fora do DRE</v>
      </c>
      <c r="U2003" s="3" t="str">
        <f>IF(ISERROR(VLOOKUP(Base_Periodo1[[#This Row],[CONTA]],BaseContasDRE[#All],7,FALSE)),"Fora do DRE",VLOOKUP(Base_Periodo1[[#This Row],[CONTA]],BaseContasDRE[#All],7,FALSE))</f>
        <v>Fora do DRE</v>
      </c>
      <c r="V2003" s="3" t="str">
        <f>IF(Base_Periodo1[[#This Row],[Tipo_Linha]]="Fora do DRE","Fora do DRE","( "&amp;Base_Periodo1[[#This Row],[Tipo_Linha]]&amp;" ) "&amp;Base_Periodo1[[#This Row],[Filtro]])</f>
        <v>Fora do DRE</v>
      </c>
      <c r="W2003" s="3" t="str">
        <f>LEFT(Base_Periodo1[[#This Row],[CLASS]],3)</f>
        <v>1.1</v>
      </c>
    </row>
    <row r="2004" spans="1:23" hidden="1">
      <c r="A2004" s="3" t="str">
        <f t="shared" si="31"/>
        <v>Período 1</v>
      </c>
      <c r="B2004">
        <v>1241</v>
      </c>
      <c r="C2004" t="s">
        <v>5407</v>
      </c>
      <c r="D2004" t="s">
        <v>1154</v>
      </c>
      <c r="E2004" s="3" t="str">
        <f>IF(LEN(Base_Periodo1[[#This Row],[CLASS]])&gt;=7,LEFT(Base_Periodo1[[#This Row],[CLASS]],7),"")</f>
        <v>1.1.4.1</v>
      </c>
      <c r="F2004" s="3" t="str">
        <f>VLOOKUP(Base_Periodo1[[#This Row],[Aux]],Base_Contas_Balanco[#All],2,FALSE)</f>
        <v>Estoques de Terceiros</v>
      </c>
      <c r="G2004" s="1"/>
      <c r="H2004" s="225">
        <v>470064</v>
      </c>
      <c r="I2004" s="225">
        <v>148980</v>
      </c>
      <c r="J2004" s="225">
        <v>70254</v>
      </c>
      <c r="K2004" s="225">
        <v>548790</v>
      </c>
      <c r="L20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548790</v>
      </c>
      <c r="M2004" s="225">
        <f>ROUND(IF(AND(Base_Periodo1[[#This Row],[Tipo_Linha]]="-",Base_Periodo1[[#This Row],[TIPOSALDO]]="D"),Base_Periodo1[[#This Row],[SALDO_ATUAL]]*-1,Base_Periodo1[[#This Row],[SALDO_ATUAL]]),4)</f>
        <v>548790</v>
      </c>
      <c r="N2004" t="s">
        <v>396</v>
      </c>
      <c r="O2004" t="s">
        <v>397</v>
      </c>
      <c r="P2004" t="s">
        <v>397</v>
      </c>
      <c r="Q2004">
        <v>6</v>
      </c>
      <c r="R2004" s="225">
        <f>Base_Periodo1[[#This Row],[CREDITOS]]-Base_Periodo1[[#This Row],[DEBITOS]]</f>
        <v>-78726</v>
      </c>
      <c r="S2004" s="3" t="str">
        <f>IF(ISERROR(VLOOKUP(Base_Periodo1[[#This Row],[CONTA]],BaseContasDRE[#All],4,FALSE)),"Fora do DRE",VLOOKUP(Base_Periodo1[[#This Row],[CONTA]],BaseContasDRE[#All],4,FALSE))</f>
        <v>Fora do DRE</v>
      </c>
      <c r="T2004" s="3" t="str">
        <f>IF(ISERROR(VLOOKUP(Base_Periodo1[[#This Row],[CONTA]],BaseContasDRE[#All],5,FALSE)),"Fora do DRE",VLOOKUP(Base_Periodo1[[#This Row],[CONTA]],BaseContasDRE[#All],6,FALSE))</f>
        <v>Fora do DRE</v>
      </c>
      <c r="U2004" s="3" t="str">
        <f>IF(ISERROR(VLOOKUP(Base_Periodo1[[#This Row],[CONTA]],BaseContasDRE[#All],7,FALSE)),"Fora do DRE",VLOOKUP(Base_Periodo1[[#This Row],[CONTA]],BaseContasDRE[#All],7,FALSE))</f>
        <v>Fora do DRE</v>
      </c>
      <c r="V2004" s="3" t="str">
        <f>IF(Base_Periodo1[[#This Row],[Tipo_Linha]]="Fora do DRE","Fora do DRE","( "&amp;Base_Periodo1[[#This Row],[Tipo_Linha]]&amp;" ) "&amp;Base_Periodo1[[#This Row],[Filtro]])</f>
        <v>Fora do DRE</v>
      </c>
      <c r="W2004" s="3" t="str">
        <f>LEFT(Base_Periodo1[[#This Row],[CLASS]],3)</f>
        <v>1.1</v>
      </c>
    </row>
    <row r="2005" spans="1:23" hidden="1">
      <c r="A2005" s="3" t="str">
        <f t="shared" si="31"/>
        <v>Período 1</v>
      </c>
      <c r="B2005">
        <v>1242</v>
      </c>
      <c r="C2005" t="s">
        <v>5408</v>
      </c>
      <c r="D2005" t="s">
        <v>1156</v>
      </c>
      <c r="E2005" s="3" t="str">
        <f>IF(LEN(Base_Periodo1[[#This Row],[CLASS]])&gt;=7,LEFT(Base_Periodo1[[#This Row],[CLASS]],7),"")</f>
        <v>1.1.4.1</v>
      </c>
      <c r="F2005" s="3" t="str">
        <f>VLOOKUP(Base_Periodo1[[#This Row],[Aux]],Base_Contas_Balanco[#All],2,FALSE)</f>
        <v>Estoques de Terceiros</v>
      </c>
      <c r="G2005" s="1"/>
      <c r="H2005" s="225">
        <v>32650</v>
      </c>
      <c r="I2005" s="225">
        <v>148980</v>
      </c>
      <c r="J2005" s="225">
        <v>0</v>
      </c>
      <c r="K2005" s="225">
        <v>181630</v>
      </c>
      <c r="L20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181630</v>
      </c>
      <c r="M2005" s="225">
        <f>ROUND(IF(AND(Base_Periodo1[[#This Row],[Tipo_Linha]]="-",Base_Periodo1[[#This Row],[TIPOSALDO]]="D"),Base_Periodo1[[#This Row],[SALDO_ATUAL]]*-1,Base_Periodo1[[#This Row],[SALDO_ATUAL]]),4)</f>
        <v>181630</v>
      </c>
      <c r="N2005" t="s">
        <v>396</v>
      </c>
      <c r="O2005" t="s">
        <v>397</v>
      </c>
      <c r="P2005" t="s">
        <v>397</v>
      </c>
      <c r="Q2005">
        <v>7</v>
      </c>
      <c r="R2005" s="225">
        <f>Base_Periodo1[[#This Row],[CREDITOS]]-Base_Periodo1[[#This Row],[DEBITOS]]</f>
        <v>-148980</v>
      </c>
      <c r="S2005" s="3" t="str">
        <f>IF(ISERROR(VLOOKUP(Base_Periodo1[[#This Row],[CONTA]],BaseContasDRE[#All],4,FALSE)),"Fora do DRE",VLOOKUP(Base_Periodo1[[#This Row],[CONTA]],BaseContasDRE[#All],4,FALSE))</f>
        <v>Fora do DRE</v>
      </c>
      <c r="T2005" s="3" t="str">
        <f>IF(ISERROR(VLOOKUP(Base_Periodo1[[#This Row],[CONTA]],BaseContasDRE[#All],5,FALSE)),"Fora do DRE",VLOOKUP(Base_Periodo1[[#This Row],[CONTA]],BaseContasDRE[#All],6,FALSE))</f>
        <v>Fora do DRE</v>
      </c>
      <c r="U2005" s="3" t="str">
        <f>IF(ISERROR(VLOOKUP(Base_Periodo1[[#This Row],[CONTA]],BaseContasDRE[#All],7,FALSE)),"Fora do DRE",VLOOKUP(Base_Periodo1[[#This Row],[CONTA]],BaseContasDRE[#All],7,FALSE))</f>
        <v>Fora do DRE</v>
      </c>
      <c r="V2005" s="3" t="str">
        <f>IF(Base_Periodo1[[#This Row],[Tipo_Linha]]="Fora do DRE","Fora do DRE","( "&amp;Base_Periodo1[[#This Row],[Tipo_Linha]]&amp;" ) "&amp;Base_Periodo1[[#This Row],[Filtro]])</f>
        <v>Fora do DRE</v>
      </c>
      <c r="W2005" s="3" t="str">
        <f>LEFT(Base_Periodo1[[#This Row],[CLASS]],3)</f>
        <v>1.1</v>
      </c>
    </row>
    <row r="2006" spans="1:23" hidden="1">
      <c r="A2006" s="3" t="str">
        <f t="shared" si="31"/>
        <v>Período 1</v>
      </c>
      <c r="B2006">
        <v>55417</v>
      </c>
      <c r="C2006" t="s">
        <v>5409</v>
      </c>
      <c r="D2006" t="s">
        <v>5410</v>
      </c>
      <c r="E2006" s="3" t="str">
        <f>IF(LEN(Base_Periodo1[[#This Row],[CLASS]])&gt;=7,LEFT(Base_Periodo1[[#This Row],[CLASS]],7),"")</f>
        <v>1.1.4.1</v>
      </c>
      <c r="F2006" s="3" t="str">
        <f>VLOOKUP(Base_Periodo1[[#This Row],[Aux]],Base_Contas_Balanco[#All],2,FALSE)</f>
        <v>Estoques de Terceiros</v>
      </c>
      <c r="G2006" s="1">
        <v>42880</v>
      </c>
      <c r="H2006" s="225">
        <v>32650</v>
      </c>
      <c r="I2006" s="225">
        <v>148980</v>
      </c>
      <c r="J2006" s="225">
        <v>0</v>
      </c>
      <c r="K2006" s="225">
        <v>181630</v>
      </c>
      <c r="L20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181630</v>
      </c>
      <c r="M2006" s="225">
        <f>ROUND(IF(AND(Base_Periodo1[[#This Row],[Tipo_Linha]]="-",Base_Periodo1[[#This Row],[TIPOSALDO]]="D"),Base_Periodo1[[#This Row],[SALDO_ATUAL]]*-1,Base_Periodo1[[#This Row],[SALDO_ATUAL]]),4)</f>
        <v>181630</v>
      </c>
      <c r="N2006" t="s">
        <v>116</v>
      </c>
      <c r="O2006" t="s">
        <v>397</v>
      </c>
      <c r="P2006" t="s">
        <v>397</v>
      </c>
      <c r="Q2006">
        <v>8</v>
      </c>
      <c r="R2006" s="225">
        <f>Base_Periodo1[[#This Row],[CREDITOS]]-Base_Periodo1[[#This Row],[DEBITOS]]</f>
        <v>-148980</v>
      </c>
      <c r="S2006" s="3" t="str">
        <f>IF(ISERROR(VLOOKUP(Base_Periodo1[[#This Row],[CONTA]],BaseContasDRE[#All],4,FALSE)),"Fora do DRE",VLOOKUP(Base_Periodo1[[#This Row],[CONTA]],BaseContasDRE[#All],4,FALSE))</f>
        <v>Fora do DRE</v>
      </c>
      <c r="T2006" s="3" t="str">
        <f>IF(ISERROR(VLOOKUP(Base_Periodo1[[#This Row],[CONTA]],BaseContasDRE[#All],5,FALSE)),"Fora do DRE",VLOOKUP(Base_Periodo1[[#This Row],[CONTA]],BaseContasDRE[#All],6,FALSE))</f>
        <v>Fora do DRE</v>
      </c>
      <c r="U2006" s="3" t="str">
        <f>IF(ISERROR(VLOOKUP(Base_Periodo1[[#This Row],[CONTA]],BaseContasDRE[#All],7,FALSE)),"Fora do DRE",VLOOKUP(Base_Periodo1[[#This Row],[CONTA]],BaseContasDRE[#All],7,FALSE))</f>
        <v>Fora do DRE</v>
      </c>
      <c r="V2006" s="3" t="str">
        <f>IF(Base_Periodo1[[#This Row],[Tipo_Linha]]="Fora do DRE","Fora do DRE","( "&amp;Base_Periodo1[[#This Row],[Tipo_Linha]]&amp;" ) "&amp;Base_Periodo1[[#This Row],[Filtro]])</f>
        <v>Fora do DRE</v>
      </c>
      <c r="W2006" s="3" t="str">
        <f>LEFT(Base_Periodo1[[#This Row],[CLASS]],3)</f>
        <v>1.1</v>
      </c>
    </row>
    <row r="2007" spans="1:23" hidden="1">
      <c r="A2007" s="3" t="str">
        <f t="shared" si="31"/>
        <v>Período 1</v>
      </c>
      <c r="B2007">
        <v>1244</v>
      </c>
      <c r="C2007" t="s">
        <v>5503</v>
      </c>
      <c r="D2007" t="s">
        <v>1178</v>
      </c>
      <c r="E2007" s="3" t="str">
        <f>IF(LEN(Base_Periodo1[[#This Row],[CLASS]])&gt;=7,LEFT(Base_Periodo1[[#This Row],[CLASS]],7),"")</f>
        <v>1.1.4.1</v>
      </c>
      <c r="F2007" s="3" t="str">
        <f>VLOOKUP(Base_Periodo1[[#This Row],[Aux]],Base_Contas_Balanco[#All],2,FALSE)</f>
        <v>Estoques de Terceiros</v>
      </c>
      <c r="G2007" s="1"/>
      <c r="H2007" s="225">
        <v>298000</v>
      </c>
      <c r="I2007" s="225">
        <v>0</v>
      </c>
      <c r="J2007" s="225">
        <v>0</v>
      </c>
      <c r="K2007" s="225">
        <v>298000</v>
      </c>
      <c r="L20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298000</v>
      </c>
      <c r="M2007" s="225">
        <f>ROUND(IF(AND(Base_Periodo1[[#This Row],[Tipo_Linha]]="-",Base_Periodo1[[#This Row],[TIPOSALDO]]="D"),Base_Periodo1[[#This Row],[SALDO_ATUAL]]*-1,Base_Periodo1[[#This Row],[SALDO_ATUAL]]),4)</f>
        <v>298000</v>
      </c>
      <c r="N2007" t="s">
        <v>396</v>
      </c>
      <c r="O2007" t="s">
        <v>397</v>
      </c>
      <c r="P2007" t="s">
        <v>397</v>
      </c>
      <c r="Q2007">
        <v>7</v>
      </c>
      <c r="R2007" s="225">
        <f>Base_Periodo1[[#This Row],[CREDITOS]]-Base_Periodo1[[#This Row],[DEBITOS]]</f>
        <v>0</v>
      </c>
      <c r="S2007" s="3" t="str">
        <f>IF(ISERROR(VLOOKUP(Base_Periodo1[[#This Row],[CONTA]],BaseContasDRE[#All],4,FALSE)),"Fora do DRE",VLOOKUP(Base_Periodo1[[#This Row],[CONTA]],BaseContasDRE[#All],4,FALSE))</f>
        <v>Fora do DRE</v>
      </c>
      <c r="T2007" s="3" t="str">
        <f>IF(ISERROR(VLOOKUP(Base_Periodo1[[#This Row],[CONTA]],BaseContasDRE[#All],5,FALSE)),"Fora do DRE",VLOOKUP(Base_Periodo1[[#This Row],[CONTA]],BaseContasDRE[#All],6,FALSE))</f>
        <v>Fora do DRE</v>
      </c>
      <c r="U2007" s="3" t="str">
        <f>IF(ISERROR(VLOOKUP(Base_Periodo1[[#This Row],[CONTA]],BaseContasDRE[#All],7,FALSE)),"Fora do DRE",VLOOKUP(Base_Periodo1[[#This Row],[CONTA]],BaseContasDRE[#All],7,FALSE))</f>
        <v>Fora do DRE</v>
      </c>
      <c r="V2007" s="3" t="str">
        <f>IF(Base_Periodo1[[#This Row],[Tipo_Linha]]="Fora do DRE","Fora do DRE","( "&amp;Base_Periodo1[[#This Row],[Tipo_Linha]]&amp;" ) "&amp;Base_Periodo1[[#This Row],[Filtro]])</f>
        <v>Fora do DRE</v>
      </c>
      <c r="W2007" s="3" t="str">
        <f>LEFT(Base_Periodo1[[#This Row],[CLASS]],3)</f>
        <v>1.1</v>
      </c>
    </row>
    <row r="2008" spans="1:23" hidden="1">
      <c r="A2008" s="3" t="str">
        <f t="shared" si="31"/>
        <v>Período 1</v>
      </c>
      <c r="B2008">
        <v>1245</v>
      </c>
      <c r="C2008" t="s">
        <v>5504</v>
      </c>
      <c r="D2008" t="s">
        <v>5410</v>
      </c>
      <c r="E2008" s="3" t="str">
        <f>IF(LEN(Base_Periodo1[[#This Row],[CLASS]])&gt;=7,LEFT(Base_Periodo1[[#This Row],[CLASS]],7),"")</f>
        <v>1.1.4.1</v>
      </c>
      <c r="F2008" s="3" t="str">
        <f>VLOOKUP(Base_Periodo1[[#This Row],[Aux]],Base_Contas_Balanco[#All],2,FALSE)</f>
        <v>Estoques de Terceiros</v>
      </c>
      <c r="G2008" s="1">
        <v>42843</v>
      </c>
      <c r="H2008" s="225">
        <v>298000</v>
      </c>
      <c r="I2008" s="225">
        <v>0</v>
      </c>
      <c r="J2008" s="225">
        <v>0</v>
      </c>
      <c r="K2008" s="225">
        <v>298000</v>
      </c>
      <c r="L20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298000</v>
      </c>
      <c r="M2008" s="225">
        <f>ROUND(IF(AND(Base_Periodo1[[#This Row],[Tipo_Linha]]="-",Base_Periodo1[[#This Row],[TIPOSALDO]]="D"),Base_Periodo1[[#This Row],[SALDO_ATUAL]]*-1,Base_Periodo1[[#This Row],[SALDO_ATUAL]]),4)</f>
        <v>298000</v>
      </c>
      <c r="N2008" t="s">
        <v>116</v>
      </c>
      <c r="O2008" t="s">
        <v>397</v>
      </c>
      <c r="P2008" t="s">
        <v>397</v>
      </c>
      <c r="Q2008">
        <v>8</v>
      </c>
      <c r="R2008" s="225">
        <f>Base_Periodo1[[#This Row],[CREDITOS]]-Base_Periodo1[[#This Row],[DEBITOS]]</f>
        <v>0</v>
      </c>
      <c r="S2008" s="3" t="str">
        <f>IF(ISERROR(VLOOKUP(Base_Periodo1[[#This Row],[CONTA]],BaseContasDRE[#All],4,FALSE)),"Fora do DRE",VLOOKUP(Base_Periodo1[[#This Row],[CONTA]],BaseContasDRE[#All],4,FALSE))</f>
        <v>Fora do DRE</v>
      </c>
      <c r="T2008" s="3" t="str">
        <f>IF(ISERROR(VLOOKUP(Base_Periodo1[[#This Row],[CONTA]],BaseContasDRE[#All],5,FALSE)),"Fora do DRE",VLOOKUP(Base_Periodo1[[#This Row],[CONTA]],BaseContasDRE[#All],6,FALSE))</f>
        <v>Fora do DRE</v>
      </c>
      <c r="U2008" s="3" t="str">
        <f>IF(ISERROR(VLOOKUP(Base_Periodo1[[#This Row],[CONTA]],BaseContasDRE[#All],7,FALSE)),"Fora do DRE",VLOOKUP(Base_Periodo1[[#This Row],[CONTA]],BaseContasDRE[#All],7,FALSE))</f>
        <v>Fora do DRE</v>
      </c>
      <c r="V2008" s="3" t="str">
        <f>IF(Base_Periodo1[[#This Row],[Tipo_Linha]]="Fora do DRE","Fora do DRE","( "&amp;Base_Periodo1[[#This Row],[Tipo_Linha]]&amp;" ) "&amp;Base_Periodo1[[#This Row],[Filtro]])</f>
        <v>Fora do DRE</v>
      </c>
      <c r="W2008" s="3" t="str">
        <f>LEFT(Base_Periodo1[[#This Row],[CLASS]],3)</f>
        <v>1.1</v>
      </c>
    </row>
    <row r="2009" spans="1:23" hidden="1">
      <c r="A2009" s="3" t="str">
        <f t="shared" si="31"/>
        <v>Período 1</v>
      </c>
      <c r="B2009">
        <v>1247</v>
      </c>
      <c r="C2009" t="s">
        <v>5411</v>
      </c>
      <c r="D2009" t="s">
        <v>1194</v>
      </c>
      <c r="E2009" s="3" t="str">
        <f>IF(LEN(Base_Periodo1[[#This Row],[CLASS]])&gt;=7,LEFT(Base_Periodo1[[#This Row],[CLASS]],7),"")</f>
        <v>1.1.4.1</v>
      </c>
      <c r="F2009" s="3" t="str">
        <f>VLOOKUP(Base_Periodo1[[#This Row],[Aux]],Base_Contas_Balanco[#All],2,FALSE)</f>
        <v>Estoques de Terceiros</v>
      </c>
      <c r="G2009" s="1"/>
      <c r="H2009" s="225">
        <v>115684</v>
      </c>
      <c r="I2009" s="225">
        <v>0</v>
      </c>
      <c r="J2009" s="225">
        <v>46524</v>
      </c>
      <c r="K2009" s="225">
        <v>69160</v>
      </c>
      <c r="L20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69160</v>
      </c>
      <c r="M2009" s="225">
        <f>ROUND(IF(AND(Base_Periodo1[[#This Row],[Tipo_Linha]]="-",Base_Periodo1[[#This Row],[TIPOSALDO]]="D"),Base_Periodo1[[#This Row],[SALDO_ATUAL]]*-1,Base_Periodo1[[#This Row],[SALDO_ATUAL]]),4)</f>
        <v>69160</v>
      </c>
      <c r="N2009" t="s">
        <v>396</v>
      </c>
      <c r="O2009" t="s">
        <v>397</v>
      </c>
      <c r="P2009" t="s">
        <v>397</v>
      </c>
      <c r="Q2009">
        <v>7</v>
      </c>
      <c r="R2009" s="225">
        <f>Base_Periodo1[[#This Row],[CREDITOS]]-Base_Periodo1[[#This Row],[DEBITOS]]</f>
        <v>46524</v>
      </c>
      <c r="S2009" s="3" t="str">
        <f>IF(ISERROR(VLOOKUP(Base_Periodo1[[#This Row],[CONTA]],BaseContasDRE[#All],4,FALSE)),"Fora do DRE",VLOOKUP(Base_Periodo1[[#This Row],[CONTA]],BaseContasDRE[#All],4,FALSE))</f>
        <v>Fora do DRE</v>
      </c>
      <c r="T2009" s="3" t="str">
        <f>IF(ISERROR(VLOOKUP(Base_Periodo1[[#This Row],[CONTA]],BaseContasDRE[#All],5,FALSE)),"Fora do DRE",VLOOKUP(Base_Periodo1[[#This Row],[CONTA]],BaseContasDRE[#All],6,FALSE))</f>
        <v>Fora do DRE</v>
      </c>
      <c r="U2009" s="3" t="str">
        <f>IF(ISERROR(VLOOKUP(Base_Periodo1[[#This Row],[CONTA]],BaseContasDRE[#All],7,FALSE)),"Fora do DRE",VLOOKUP(Base_Periodo1[[#This Row],[CONTA]],BaseContasDRE[#All],7,FALSE))</f>
        <v>Fora do DRE</v>
      </c>
      <c r="V2009" s="3" t="str">
        <f>IF(Base_Periodo1[[#This Row],[Tipo_Linha]]="Fora do DRE","Fora do DRE","( "&amp;Base_Periodo1[[#This Row],[Tipo_Linha]]&amp;" ) "&amp;Base_Periodo1[[#This Row],[Filtro]])</f>
        <v>Fora do DRE</v>
      </c>
      <c r="W2009" s="3" t="str">
        <f>LEFT(Base_Periodo1[[#This Row],[CLASS]],3)</f>
        <v>1.1</v>
      </c>
    </row>
    <row r="2010" spans="1:23" hidden="1">
      <c r="A2010" s="3" t="str">
        <f t="shared" si="31"/>
        <v>Período 1</v>
      </c>
      <c r="B2010">
        <v>55702</v>
      </c>
      <c r="C2010" t="s">
        <v>5412</v>
      </c>
      <c r="D2010" t="s">
        <v>5410</v>
      </c>
      <c r="E2010" s="3" t="str">
        <f>IF(LEN(Base_Periodo1[[#This Row],[CLASS]])&gt;=7,LEFT(Base_Periodo1[[#This Row],[CLASS]],7),"")</f>
        <v>1.1.4.1</v>
      </c>
      <c r="F2010" s="3" t="str">
        <f>VLOOKUP(Base_Periodo1[[#This Row],[Aux]],Base_Contas_Balanco[#All],2,FALSE)</f>
        <v>Estoques de Terceiros</v>
      </c>
      <c r="G2010" s="1">
        <v>42872</v>
      </c>
      <c r="H2010" s="225">
        <v>115684</v>
      </c>
      <c r="I2010" s="225">
        <v>0</v>
      </c>
      <c r="J2010" s="225">
        <v>46524</v>
      </c>
      <c r="K2010" s="225">
        <v>69160</v>
      </c>
      <c r="L20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69160</v>
      </c>
      <c r="M2010" s="225">
        <f>ROUND(IF(AND(Base_Periodo1[[#This Row],[Tipo_Linha]]="-",Base_Periodo1[[#This Row],[TIPOSALDO]]="D"),Base_Periodo1[[#This Row],[SALDO_ATUAL]]*-1,Base_Periodo1[[#This Row],[SALDO_ATUAL]]),4)</f>
        <v>69160</v>
      </c>
      <c r="N2010" t="s">
        <v>116</v>
      </c>
      <c r="O2010" t="s">
        <v>397</v>
      </c>
      <c r="P2010" t="s">
        <v>397</v>
      </c>
      <c r="Q2010">
        <v>8</v>
      </c>
      <c r="R2010" s="225">
        <f>Base_Periodo1[[#This Row],[CREDITOS]]-Base_Periodo1[[#This Row],[DEBITOS]]</f>
        <v>46524</v>
      </c>
      <c r="S2010" s="3" t="str">
        <f>IF(ISERROR(VLOOKUP(Base_Periodo1[[#This Row],[CONTA]],BaseContasDRE[#All],4,FALSE)),"Fora do DRE",VLOOKUP(Base_Periodo1[[#This Row],[CONTA]],BaseContasDRE[#All],4,FALSE))</f>
        <v>Fora do DRE</v>
      </c>
      <c r="T2010" s="3" t="str">
        <f>IF(ISERROR(VLOOKUP(Base_Periodo1[[#This Row],[CONTA]],BaseContasDRE[#All],5,FALSE)),"Fora do DRE",VLOOKUP(Base_Periodo1[[#This Row],[CONTA]],BaseContasDRE[#All],6,FALSE))</f>
        <v>Fora do DRE</v>
      </c>
      <c r="U2010" s="3" t="str">
        <f>IF(ISERROR(VLOOKUP(Base_Periodo1[[#This Row],[CONTA]],BaseContasDRE[#All],7,FALSE)),"Fora do DRE",VLOOKUP(Base_Periodo1[[#This Row],[CONTA]],BaseContasDRE[#All],7,FALSE))</f>
        <v>Fora do DRE</v>
      </c>
      <c r="V2010" s="3" t="str">
        <f>IF(Base_Periodo1[[#This Row],[Tipo_Linha]]="Fora do DRE","Fora do DRE","( "&amp;Base_Periodo1[[#This Row],[Tipo_Linha]]&amp;" ) "&amp;Base_Periodo1[[#This Row],[Filtro]])</f>
        <v>Fora do DRE</v>
      </c>
      <c r="W2010" s="3" t="str">
        <f>LEFT(Base_Periodo1[[#This Row],[CLASS]],3)</f>
        <v>1.1</v>
      </c>
    </row>
    <row r="2011" spans="1:23" hidden="1">
      <c r="A2011" s="3" t="str">
        <f t="shared" si="31"/>
        <v>Período 1</v>
      </c>
      <c r="B2011">
        <v>1249</v>
      </c>
      <c r="C2011" t="s">
        <v>5704</v>
      </c>
      <c r="D2011" t="s">
        <v>1224</v>
      </c>
      <c r="E2011" s="3" t="str">
        <f>IF(LEN(Base_Periodo1[[#This Row],[CLASS]])&gt;=7,LEFT(Base_Periodo1[[#This Row],[CLASS]],7),"")</f>
        <v>1.1.4.1</v>
      </c>
      <c r="F2011" s="3" t="str">
        <f>VLOOKUP(Base_Periodo1[[#This Row],[Aux]],Base_Contas_Balanco[#All],2,FALSE)</f>
        <v>Estoques de Terceiros</v>
      </c>
      <c r="G2011" s="1"/>
      <c r="H2011" s="225">
        <v>23730</v>
      </c>
      <c r="I2011" s="225">
        <v>0</v>
      </c>
      <c r="J2011" s="225">
        <v>23730</v>
      </c>
      <c r="K2011" s="225">
        <v>0</v>
      </c>
      <c r="L20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011" s="225">
        <f>ROUND(IF(AND(Base_Periodo1[[#This Row],[Tipo_Linha]]="-",Base_Periodo1[[#This Row],[TIPOSALDO]]="D"),Base_Periodo1[[#This Row],[SALDO_ATUAL]]*-1,Base_Periodo1[[#This Row],[SALDO_ATUAL]]),4)</f>
        <v>0</v>
      </c>
      <c r="N2011" t="s">
        <v>396</v>
      </c>
      <c r="O2011" t="s">
        <v>397</v>
      </c>
      <c r="P2011" t="s">
        <v>436</v>
      </c>
      <c r="Q2011">
        <v>7</v>
      </c>
      <c r="R2011" s="225">
        <f>Base_Periodo1[[#This Row],[CREDITOS]]-Base_Periodo1[[#This Row],[DEBITOS]]</f>
        <v>23730</v>
      </c>
      <c r="S2011" s="3" t="str">
        <f>IF(ISERROR(VLOOKUP(Base_Periodo1[[#This Row],[CONTA]],BaseContasDRE[#All],4,FALSE)),"Fora do DRE",VLOOKUP(Base_Periodo1[[#This Row],[CONTA]],BaseContasDRE[#All],4,FALSE))</f>
        <v>Fora do DRE</v>
      </c>
      <c r="T2011" s="3" t="str">
        <f>IF(ISERROR(VLOOKUP(Base_Periodo1[[#This Row],[CONTA]],BaseContasDRE[#All],5,FALSE)),"Fora do DRE",VLOOKUP(Base_Periodo1[[#This Row],[CONTA]],BaseContasDRE[#All],6,FALSE))</f>
        <v>Fora do DRE</v>
      </c>
      <c r="U2011" s="3" t="str">
        <f>IF(ISERROR(VLOOKUP(Base_Periodo1[[#This Row],[CONTA]],BaseContasDRE[#All],7,FALSE)),"Fora do DRE",VLOOKUP(Base_Periodo1[[#This Row],[CONTA]],BaseContasDRE[#All],7,FALSE))</f>
        <v>Fora do DRE</v>
      </c>
      <c r="V2011" s="3" t="str">
        <f>IF(Base_Periodo1[[#This Row],[Tipo_Linha]]="Fora do DRE","Fora do DRE","( "&amp;Base_Periodo1[[#This Row],[Tipo_Linha]]&amp;" ) "&amp;Base_Periodo1[[#This Row],[Filtro]])</f>
        <v>Fora do DRE</v>
      </c>
      <c r="W2011" s="3" t="str">
        <f>LEFT(Base_Periodo1[[#This Row],[CLASS]],3)</f>
        <v>1.1</v>
      </c>
    </row>
    <row r="2012" spans="1:23" hidden="1">
      <c r="A2012" s="3" t="str">
        <f t="shared" si="31"/>
        <v>Período 1</v>
      </c>
      <c r="B2012">
        <v>1250</v>
      </c>
      <c r="C2012" t="s">
        <v>5705</v>
      </c>
      <c r="D2012" t="s">
        <v>5410</v>
      </c>
      <c r="E2012" s="3" t="str">
        <f>IF(LEN(Base_Periodo1[[#This Row],[CLASS]])&gt;=7,LEFT(Base_Periodo1[[#This Row],[CLASS]],7),"")</f>
        <v>1.1.4.1</v>
      </c>
      <c r="F2012" s="3" t="str">
        <f>VLOOKUP(Base_Periodo1[[#This Row],[Aux]],Base_Contas_Balanco[#All],2,FALSE)</f>
        <v>Estoques de Terceiros</v>
      </c>
      <c r="G2012" s="1">
        <v>42865</v>
      </c>
      <c r="H2012" s="225">
        <v>23730</v>
      </c>
      <c r="I2012" s="225">
        <v>0</v>
      </c>
      <c r="J2012" s="225">
        <v>23730</v>
      </c>
      <c r="K2012" s="225">
        <v>0</v>
      </c>
      <c r="L20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012" s="225">
        <f>ROUND(IF(AND(Base_Periodo1[[#This Row],[Tipo_Linha]]="-",Base_Periodo1[[#This Row],[TIPOSALDO]]="D"),Base_Periodo1[[#This Row],[SALDO_ATUAL]]*-1,Base_Periodo1[[#This Row],[SALDO_ATUAL]]),4)</f>
        <v>0</v>
      </c>
      <c r="N2012" t="s">
        <v>116</v>
      </c>
      <c r="O2012" t="s">
        <v>397</v>
      </c>
      <c r="P2012" t="s">
        <v>436</v>
      </c>
      <c r="Q2012">
        <v>8</v>
      </c>
      <c r="R2012" s="225">
        <f>Base_Periodo1[[#This Row],[CREDITOS]]-Base_Periodo1[[#This Row],[DEBITOS]]</f>
        <v>23730</v>
      </c>
      <c r="S2012" s="3" t="str">
        <f>IF(ISERROR(VLOOKUP(Base_Periodo1[[#This Row],[CONTA]],BaseContasDRE[#All],4,FALSE)),"Fora do DRE",VLOOKUP(Base_Periodo1[[#This Row],[CONTA]],BaseContasDRE[#All],4,FALSE))</f>
        <v>Fora do DRE</v>
      </c>
      <c r="T2012" s="3" t="str">
        <f>IF(ISERROR(VLOOKUP(Base_Periodo1[[#This Row],[CONTA]],BaseContasDRE[#All],5,FALSE)),"Fora do DRE",VLOOKUP(Base_Periodo1[[#This Row],[CONTA]],BaseContasDRE[#All],6,FALSE))</f>
        <v>Fora do DRE</v>
      </c>
      <c r="U2012" s="3" t="str">
        <f>IF(ISERROR(VLOOKUP(Base_Periodo1[[#This Row],[CONTA]],BaseContasDRE[#All],7,FALSE)),"Fora do DRE",VLOOKUP(Base_Periodo1[[#This Row],[CONTA]],BaseContasDRE[#All],7,FALSE))</f>
        <v>Fora do DRE</v>
      </c>
      <c r="V2012" s="3" t="str">
        <f>IF(Base_Periodo1[[#This Row],[Tipo_Linha]]="Fora do DRE","Fora do DRE","( "&amp;Base_Periodo1[[#This Row],[Tipo_Linha]]&amp;" ) "&amp;Base_Periodo1[[#This Row],[Filtro]])</f>
        <v>Fora do DRE</v>
      </c>
      <c r="W2012" s="3" t="str">
        <f>LEFT(Base_Periodo1[[#This Row],[CLASS]],3)</f>
        <v>1.1</v>
      </c>
    </row>
    <row r="2013" spans="1:23" hidden="1">
      <c r="A2013" s="3" t="str">
        <f t="shared" si="31"/>
        <v>Período 1</v>
      </c>
      <c r="B2013">
        <v>1252</v>
      </c>
      <c r="C2013" t="s">
        <v>1587</v>
      </c>
      <c r="D2013" t="s">
        <v>1244</v>
      </c>
      <c r="E2013" s="3" t="str">
        <f>IF(LEN(Base_Periodo1[[#This Row],[CLASS]])&gt;=7,LEFT(Base_Periodo1[[#This Row],[CLASS]],7),"")</f>
        <v>1.1.4.1</v>
      </c>
      <c r="F2013" s="3" t="str">
        <f>VLOOKUP(Base_Periodo1[[#This Row],[Aux]],Base_Contas_Balanco[#All],2,FALSE)</f>
        <v>Estoques de Terceiros</v>
      </c>
      <c r="G2013" s="1"/>
      <c r="H2013" s="225">
        <v>1498312.6300000001</v>
      </c>
      <c r="I2013" s="225">
        <v>0</v>
      </c>
      <c r="J2013" s="225">
        <v>0</v>
      </c>
      <c r="K2013" s="225">
        <v>1498312.6300000001</v>
      </c>
      <c r="L20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1498312.63</v>
      </c>
      <c r="M2013" s="225">
        <f>ROUND(IF(AND(Base_Periodo1[[#This Row],[Tipo_Linha]]="-",Base_Periodo1[[#This Row],[TIPOSALDO]]="D"),Base_Periodo1[[#This Row],[SALDO_ATUAL]]*-1,Base_Periodo1[[#This Row],[SALDO_ATUAL]]),4)</f>
        <v>1498312.63</v>
      </c>
      <c r="N2013" t="s">
        <v>396</v>
      </c>
      <c r="O2013" t="s">
        <v>397</v>
      </c>
      <c r="P2013" t="s">
        <v>397</v>
      </c>
      <c r="Q2013">
        <v>6</v>
      </c>
      <c r="R2013" s="225">
        <f>Base_Periodo1[[#This Row],[CREDITOS]]-Base_Periodo1[[#This Row],[DEBITOS]]</f>
        <v>0</v>
      </c>
      <c r="S2013" s="3" t="str">
        <f>IF(ISERROR(VLOOKUP(Base_Periodo1[[#This Row],[CONTA]],BaseContasDRE[#All],4,FALSE)),"Fora do DRE",VLOOKUP(Base_Periodo1[[#This Row],[CONTA]],BaseContasDRE[#All],4,FALSE))</f>
        <v>Fora do DRE</v>
      </c>
      <c r="T2013" s="3" t="str">
        <f>IF(ISERROR(VLOOKUP(Base_Periodo1[[#This Row],[CONTA]],BaseContasDRE[#All],5,FALSE)),"Fora do DRE",VLOOKUP(Base_Periodo1[[#This Row],[CONTA]],BaseContasDRE[#All],6,FALSE))</f>
        <v>Fora do DRE</v>
      </c>
      <c r="U2013" s="3" t="str">
        <f>IF(ISERROR(VLOOKUP(Base_Periodo1[[#This Row],[CONTA]],BaseContasDRE[#All],7,FALSE)),"Fora do DRE",VLOOKUP(Base_Periodo1[[#This Row],[CONTA]],BaseContasDRE[#All],7,FALSE))</f>
        <v>Fora do DRE</v>
      </c>
      <c r="V2013" s="3" t="str">
        <f>IF(Base_Periodo1[[#This Row],[Tipo_Linha]]="Fora do DRE","Fora do DRE","( "&amp;Base_Periodo1[[#This Row],[Tipo_Linha]]&amp;" ) "&amp;Base_Periodo1[[#This Row],[Filtro]])</f>
        <v>Fora do DRE</v>
      </c>
      <c r="W2013" s="3" t="str">
        <f>LEFT(Base_Periodo1[[#This Row],[CLASS]],3)</f>
        <v>1.1</v>
      </c>
    </row>
    <row r="2014" spans="1:23" hidden="1">
      <c r="A2014" s="3" t="str">
        <f t="shared" si="31"/>
        <v>Período 1</v>
      </c>
      <c r="B2014">
        <v>38204</v>
      </c>
      <c r="C2014" t="s">
        <v>1588</v>
      </c>
      <c r="D2014" t="s">
        <v>1245</v>
      </c>
      <c r="E2014" s="3" t="str">
        <f>IF(LEN(Base_Periodo1[[#This Row],[CLASS]])&gt;=7,LEFT(Base_Periodo1[[#This Row],[CLASS]],7),"")</f>
        <v>1.1.4.1</v>
      </c>
      <c r="F2014" s="3" t="str">
        <f>VLOOKUP(Base_Periodo1[[#This Row],[Aux]],Base_Contas_Balanco[#All],2,FALSE)</f>
        <v>Estoques de Terceiros</v>
      </c>
      <c r="G2014" s="1"/>
      <c r="H2014" s="225">
        <v>1498312.6300000001</v>
      </c>
      <c r="I2014" s="225">
        <v>0</v>
      </c>
      <c r="J2014" s="225">
        <v>0</v>
      </c>
      <c r="K2014" s="225">
        <v>1498312.6300000001</v>
      </c>
      <c r="L20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1498312.63</v>
      </c>
      <c r="M2014" s="225">
        <f>ROUND(IF(AND(Base_Periodo1[[#This Row],[Tipo_Linha]]="-",Base_Periodo1[[#This Row],[TIPOSALDO]]="D"),Base_Periodo1[[#This Row],[SALDO_ATUAL]]*-1,Base_Periodo1[[#This Row],[SALDO_ATUAL]]),4)</f>
        <v>1498312.63</v>
      </c>
      <c r="N2014" t="s">
        <v>396</v>
      </c>
      <c r="O2014" t="s">
        <v>397</v>
      </c>
      <c r="P2014" t="s">
        <v>397</v>
      </c>
      <c r="Q2014">
        <v>7</v>
      </c>
      <c r="R2014" s="225">
        <f>Base_Periodo1[[#This Row],[CREDITOS]]-Base_Periodo1[[#This Row],[DEBITOS]]</f>
        <v>0</v>
      </c>
      <c r="S2014" s="3" t="str">
        <f>IF(ISERROR(VLOOKUP(Base_Periodo1[[#This Row],[CONTA]],BaseContasDRE[#All],4,FALSE)),"Fora do DRE",VLOOKUP(Base_Periodo1[[#This Row],[CONTA]],BaseContasDRE[#All],4,FALSE))</f>
        <v>Fora do DRE</v>
      </c>
      <c r="T2014" s="3" t="str">
        <f>IF(ISERROR(VLOOKUP(Base_Periodo1[[#This Row],[CONTA]],BaseContasDRE[#All],5,FALSE)),"Fora do DRE",VLOOKUP(Base_Periodo1[[#This Row],[CONTA]],BaseContasDRE[#All],6,FALSE))</f>
        <v>Fora do DRE</v>
      </c>
      <c r="U2014" s="3" t="str">
        <f>IF(ISERROR(VLOOKUP(Base_Periodo1[[#This Row],[CONTA]],BaseContasDRE[#All],7,FALSE)),"Fora do DRE",VLOOKUP(Base_Periodo1[[#This Row],[CONTA]],BaseContasDRE[#All],7,FALSE))</f>
        <v>Fora do DRE</v>
      </c>
      <c r="V2014" s="3" t="str">
        <f>IF(Base_Periodo1[[#This Row],[Tipo_Linha]]="Fora do DRE","Fora do DRE","( "&amp;Base_Periodo1[[#This Row],[Tipo_Linha]]&amp;" ) "&amp;Base_Periodo1[[#This Row],[Filtro]])</f>
        <v>Fora do DRE</v>
      </c>
      <c r="W2014" s="3" t="str">
        <f>LEFT(Base_Periodo1[[#This Row],[CLASS]],3)</f>
        <v>1.1</v>
      </c>
    </row>
    <row r="2015" spans="1:23" hidden="1">
      <c r="A2015" s="3" t="str">
        <f t="shared" si="31"/>
        <v>Período 1</v>
      </c>
      <c r="B2015">
        <v>38205</v>
      </c>
      <c r="C2015" t="s">
        <v>1589</v>
      </c>
      <c r="D2015" t="s">
        <v>1590</v>
      </c>
      <c r="E2015" s="3" t="str">
        <f>IF(LEN(Base_Periodo1[[#This Row],[CLASS]])&gt;=7,LEFT(Base_Periodo1[[#This Row],[CLASS]],7),"")</f>
        <v>1.1.4.1</v>
      </c>
      <c r="F2015" s="3" t="str">
        <f>VLOOKUP(Base_Periodo1[[#This Row],[Aux]],Base_Contas_Balanco[#All],2,FALSE)</f>
        <v>Estoques de Terceiros</v>
      </c>
      <c r="G2015" s="1">
        <v>42769</v>
      </c>
      <c r="H2015" s="225">
        <v>1498312.6300000001</v>
      </c>
      <c r="I2015" s="225">
        <v>0</v>
      </c>
      <c r="J2015" s="225">
        <v>0</v>
      </c>
      <c r="K2015" s="225">
        <v>1498312.6300000001</v>
      </c>
      <c r="L20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1498312.63</v>
      </c>
      <c r="M2015" s="225">
        <f>ROUND(IF(AND(Base_Periodo1[[#This Row],[Tipo_Linha]]="-",Base_Periodo1[[#This Row],[TIPOSALDO]]="D"),Base_Periodo1[[#This Row],[SALDO_ATUAL]]*-1,Base_Periodo1[[#This Row],[SALDO_ATUAL]]),4)</f>
        <v>1498312.63</v>
      </c>
      <c r="N2015" t="s">
        <v>116</v>
      </c>
      <c r="O2015" t="s">
        <v>397</v>
      </c>
      <c r="P2015" t="s">
        <v>397</v>
      </c>
      <c r="Q2015">
        <v>8</v>
      </c>
      <c r="R2015" s="225">
        <f>Base_Periodo1[[#This Row],[CREDITOS]]-Base_Periodo1[[#This Row],[DEBITOS]]</f>
        <v>0</v>
      </c>
      <c r="S2015" s="3" t="str">
        <f>IF(ISERROR(VLOOKUP(Base_Periodo1[[#This Row],[CONTA]],BaseContasDRE[#All],4,FALSE)),"Fora do DRE",VLOOKUP(Base_Periodo1[[#This Row],[CONTA]],BaseContasDRE[#All],4,FALSE))</f>
        <v>Fora do DRE</v>
      </c>
      <c r="T2015" s="3" t="str">
        <f>IF(ISERROR(VLOOKUP(Base_Periodo1[[#This Row],[CONTA]],BaseContasDRE[#All],5,FALSE)),"Fora do DRE",VLOOKUP(Base_Periodo1[[#This Row],[CONTA]],BaseContasDRE[#All],6,FALSE))</f>
        <v>Fora do DRE</v>
      </c>
      <c r="U2015" s="3" t="str">
        <f>IF(ISERROR(VLOOKUP(Base_Periodo1[[#This Row],[CONTA]],BaseContasDRE[#All],7,FALSE)),"Fora do DRE",VLOOKUP(Base_Periodo1[[#This Row],[CONTA]],BaseContasDRE[#All],7,FALSE))</f>
        <v>Fora do DRE</v>
      </c>
      <c r="V2015" s="3" t="str">
        <f>IF(Base_Periodo1[[#This Row],[Tipo_Linha]]="Fora do DRE","Fora do DRE","( "&amp;Base_Periodo1[[#This Row],[Tipo_Linha]]&amp;" ) "&amp;Base_Periodo1[[#This Row],[Filtro]])</f>
        <v>Fora do DRE</v>
      </c>
      <c r="W2015" s="3" t="str">
        <f>LEFT(Base_Periodo1[[#This Row],[CLASS]],3)</f>
        <v>1.1</v>
      </c>
    </row>
    <row r="2016" spans="1:23" hidden="1">
      <c r="A2016" s="3" t="str">
        <f t="shared" si="31"/>
        <v>Período 1</v>
      </c>
      <c r="B2016">
        <v>1258</v>
      </c>
      <c r="C2016" t="s">
        <v>5413</v>
      </c>
      <c r="D2016" t="s">
        <v>3656</v>
      </c>
      <c r="E2016" s="3" t="str">
        <f>IF(LEN(Base_Periodo1[[#This Row],[CLASS]])&gt;=7,LEFT(Base_Periodo1[[#This Row],[CLASS]],7),"")</f>
        <v>1.1.4.1</v>
      </c>
      <c r="F2016" s="3" t="str">
        <f>VLOOKUP(Base_Periodo1[[#This Row],[Aux]],Base_Contas_Balanco[#All],2,FALSE)</f>
        <v>Estoques de Terceiros</v>
      </c>
      <c r="G2016" s="1"/>
      <c r="H2016" s="225">
        <v>140747.39999999991</v>
      </c>
      <c r="I2016" s="225">
        <v>23600</v>
      </c>
      <c r="J2016" s="225">
        <v>118900</v>
      </c>
      <c r="K2016" s="225">
        <v>45447.399999999907</v>
      </c>
      <c r="L20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45447.4</v>
      </c>
      <c r="M2016" s="225">
        <f>ROUND(IF(AND(Base_Periodo1[[#This Row],[Tipo_Linha]]="-",Base_Periodo1[[#This Row],[TIPOSALDO]]="D"),Base_Periodo1[[#This Row],[SALDO_ATUAL]]*-1,Base_Periodo1[[#This Row],[SALDO_ATUAL]]),4)</f>
        <v>45447.4</v>
      </c>
      <c r="N2016" t="s">
        <v>396</v>
      </c>
      <c r="O2016" t="s">
        <v>397</v>
      </c>
      <c r="P2016" t="s">
        <v>397</v>
      </c>
      <c r="Q2016">
        <v>6</v>
      </c>
      <c r="R2016" s="225">
        <f>Base_Periodo1[[#This Row],[CREDITOS]]-Base_Periodo1[[#This Row],[DEBITOS]]</f>
        <v>95300</v>
      </c>
      <c r="S2016" s="3" t="str">
        <f>IF(ISERROR(VLOOKUP(Base_Periodo1[[#This Row],[CONTA]],BaseContasDRE[#All],4,FALSE)),"Fora do DRE",VLOOKUP(Base_Periodo1[[#This Row],[CONTA]],BaseContasDRE[#All],4,FALSE))</f>
        <v>Fora do DRE</v>
      </c>
      <c r="T2016" s="3" t="str">
        <f>IF(ISERROR(VLOOKUP(Base_Periodo1[[#This Row],[CONTA]],BaseContasDRE[#All],5,FALSE)),"Fora do DRE",VLOOKUP(Base_Periodo1[[#This Row],[CONTA]],BaseContasDRE[#All],6,FALSE))</f>
        <v>Fora do DRE</v>
      </c>
      <c r="U2016" s="3" t="str">
        <f>IF(ISERROR(VLOOKUP(Base_Periodo1[[#This Row],[CONTA]],BaseContasDRE[#All],7,FALSE)),"Fora do DRE",VLOOKUP(Base_Periodo1[[#This Row],[CONTA]],BaseContasDRE[#All],7,FALSE))</f>
        <v>Fora do DRE</v>
      </c>
      <c r="V2016" s="3" t="str">
        <f>IF(Base_Periodo1[[#This Row],[Tipo_Linha]]="Fora do DRE","Fora do DRE","( "&amp;Base_Periodo1[[#This Row],[Tipo_Linha]]&amp;" ) "&amp;Base_Periodo1[[#This Row],[Filtro]])</f>
        <v>Fora do DRE</v>
      </c>
      <c r="W2016" s="3" t="str">
        <f>LEFT(Base_Periodo1[[#This Row],[CLASS]],3)</f>
        <v>1.1</v>
      </c>
    </row>
    <row r="2017" spans="1:23" hidden="1">
      <c r="A2017" s="3" t="str">
        <f t="shared" si="31"/>
        <v>Período 1</v>
      </c>
      <c r="B2017">
        <v>1259</v>
      </c>
      <c r="C2017" t="s">
        <v>5938</v>
      </c>
      <c r="D2017" t="s">
        <v>1305</v>
      </c>
      <c r="E2017" s="3" t="str">
        <f>IF(LEN(Base_Periodo1[[#This Row],[CLASS]])&gt;=7,LEFT(Base_Periodo1[[#This Row],[CLASS]],7),"")</f>
        <v>1.1.4.1</v>
      </c>
      <c r="F2017" s="3" t="str">
        <f>VLOOKUP(Base_Periodo1[[#This Row],[Aux]],Base_Contas_Balanco[#All],2,FALSE)</f>
        <v>Estoques de Terceiros</v>
      </c>
      <c r="G2017" s="1"/>
      <c r="H2017" s="225">
        <v>21847.399999999907</v>
      </c>
      <c r="I2017" s="225">
        <v>23600</v>
      </c>
      <c r="J2017" s="225">
        <v>0</v>
      </c>
      <c r="K2017" s="225">
        <v>45447.399999999907</v>
      </c>
      <c r="L20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45447.4</v>
      </c>
      <c r="M2017" s="225">
        <f>ROUND(IF(AND(Base_Periodo1[[#This Row],[Tipo_Linha]]="-",Base_Periodo1[[#This Row],[TIPOSALDO]]="D"),Base_Periodo1[[#This Row],[SALDO_ATUAL]]*-1,Base_Periodo1[[#This Row],[SALDO_ATUAL]]),4)</f>
        <v>45447.4</v>
      </c>
      <c r="N2017" t="s">
        <v>396</v>
      </c>
      <c r="O2017" t="s">
        <v>397</v>
      </c>
      <c r="P2017" t="s">
        <v>397</v>
      </c>
      <c r="Q2017">
        <v>7</v>
      </c>
      <c r="R2017" s="225">
        <f>Base_Periodo1[[#This Row],[CREDITOS]]-Base_Periodo1[[#This Row],[DEBITOS]]</f>
        <v>-23600</v>
      </c>
      <c r="S2017" s="3" t="str">
        <f>IF(ISERROR(VLOOKUP(Base_Periodo1[[#This Row],[CONTA]],BaseContasDRE[#All],4,FALSE)),"Fora do DRE",VLOOKUP(Base_Periodo1[[#This Row],[CONTA]],BaseContasDRE[#All],4,FALSE))</f>
        <v>Fora do DRE</v>
      </c>
      <c r="T2017" s="3" t="str">
        <f>IF(ISERROR(VLOOKUP(Base_Periodo1[[#This Row],[CONTA]],BaseContasDRE[#All],5,FALSE)),"Fora do DRE",VLOOKUP(Base_Periodo1[[#This Row],[CONTA]],BaseContasDRE[#All],6,FALSE))</f>
        <v>Fora do DRE</v>
      </c>
      <c r="U2017" s="3" t="str">
        <f>IF(ISERROR(VLOOKUP(Base_Periodo1[[#This Row],[CONTA]],BaseContasDRE[#All],7,FALSE)),"Fora do DRE",VLOOKUP(Base_Periodo1[[#This Row],[CONTA]],BaseContasDRE[#All],7,FALSE))</f>
        <v>Fora do DRE</v>
      </c>
      <c r="V2017" s="3" t="str">
        <f>IF(Base_Periodo1[[#This Row],[Tipo_Linha]]="Fora do DRE","Fora do DRE","( "&amp;Base_Periodo1[[#This Row],[Tipo_Linha]]&amp;" ) "&amp;Base_Periodo1[[#This Row],[Filtro]])</f>
        <v>Fora do DRE</v>
      </c>
      <c r="W2017" s="3" t="str">
        <f>LEFT(Base_Periodo1[[#This Row],[CLASS]],3)</f>
        <v>1.1</v>
      </c>
    </row>
    <row r="2018" spans="1:23" hidden="1">
      <c r="A2018" s="3" t="str">
        <f t="shared" si="31"/>
        <v>Período 1</v>
      </c>
      <c r="B2018">
        <v>1260</v>
      </c>
      <c r="C2018" t="s">
        <v>5939</v>
      </c>
      <c r="D2018" t="s">
        <v>5410</v>
      </c>
      <c r="E2018" s="3" t="str">
        <f>IF(LEN(Base_Periodo1[[#This Row],[CLASS]])&gt;=7,LEFT(Base_Periodo1[[#This Row],[CLASS]],7),"")</f>
        <v>1.1.4.1</v>
      </c>
      <c r="F2018" s="3" t="str">
        <f>VLOOKUP(Base_Periodo1[[#This Row],[Aux]],Base_Contas_Balanco[#All],2,FALSE)</f>
        <v>Estoques de Terceiros</v>
      </c>
      <c r="G2018" s="1">
        <v>42880</v>
      </c>
      <c r="H2018" s="225">
        <v>21847.399999999907</v>
      </c>
      <c r="I2018" s="225">
        <v>23600</v>
      </c>
      <c r="J2018" s="225">
        <v>0</v>
      </c>
      <c r="K2018" s="225">
        <v>45447.399999999907</v>
      </c>
      <c r="L20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45447.4</v>
      </c>
      <c r="M2018" s="225">
        <f>ROUND(IF(AND(Base_Periodo1[[#This Row],[Tipo_Linha]]="-",Base_Periodo1[[#This Row],[TIPOSALDO]]="D"),Base_Periodo1[[#This Row],[SALDO_ATUAL]]*-1,Base_Periodo1[[#This Row],[SALDO_ATUAL]]),4)</f>
        <v>45447.4</v>
      </c>
      <c r="N2018" t="s">
        <v>116</v>
      </c>
      <c r="O2018" t="s">
        <v>397</v>
      </c>
      <c r="P2018" t="s">
        <v>397</v>
      </c>
      <c r="Q2018">
        <v>8</v>
      </c>
      <c r="R2018" s="225">
        <f>Base_Periodo1[[#This Row],[CREDITOS]]-Base_Periodo1[[#This Row],[DEBITOS]]</f>
        <v>-23600</v>
      </c>
      <c r="S2018" s="3" t="str">
        <f>IF(ISERROR(VLOOKUP(Base_Periodo1[[#This Row],[CONTA]],BaseContasDRE[#All],4,FALSE)),"Fora do DRE",VLOOKUP(Base_Periodo1[[#This Row],[CONTA]],BaseContasDRE[#All],4,FALSE))</f>
        <v>Fora do DRE</v>
      </c>
      <c r="T2018" s="3" t="str">
        <f>IF(ISERROR(VLOOKUP(Base_Periodo1[[#This Row],[CONTA]],BaseContasDRE[#All],5,FALSE)),"Fora do DRE",VLOOKUP(Base_Periodo1[[#This Row],[CONTA]],BaseContasDRE[#All],6,FALSE))</f>
        <v>Fora do DRE</v>
      </c>
      <c r="U2018" s="3" t="str">
        <f>IF(ISERROR(VLOOKUP(Base_Periodo1[[#This Row],[CONTA]],BaseContasDRE[#All],7,FALSE)),"Fora do DRE",VLOOKUP(Base_Periodo1[[#This Row],[CONTA]],BaseContasDRE[#All],7,FALSE))</f>
        <v>Fora do DRE</v>
      </c>
      <c r="V2018" s="3" t="str">
        <f>IF(Base_Periodo1[[#This Row],[Tipo_Linha]]="Fora do DRE","Fora do DRE","( "&amp;Base_Periodo1[[#This Row],[Tipo_Linha]]&amp;" ) "&amp;Base_Periodo1[[#This Row],[Filtro]])</f>
        <v>Fora do DRE</v>
      </c>
      <c r="W2018" s="3" t="str">
        <f>LEFT(Base_Periodo1[[#This Row],[CLASS]],3)</f>
        <v>1.1</v>
      </c>
    </row>
    <row r="2019" spans="1:23" hidden="1">
      <c r="A2019" s="3" t="str">
        <f t="shared" si="31"/>
        <v>Período 1</v>
      </c>
      <c r="B2019">
        <v>1285</v>
      </c>
      <c r="C2019" t="s">
        <v>5414</v>
      </c>
      <c r="D2019" t="s">
        <v>3548</v>
      </c>
      <c r="E2019" s="3" t="str">
        <f>IF(LEN(Base_Periodo1[[#This Row],[CLASS]])&gt;=7,LEFT(Base_Periodo1[[#This Row],[CLASS]],7),"")</f>
        <v>1.1.4.1</v>
      </c>
      <c r="F2019" s="3" t="str">
        <f>VLOOKUP(Base_Periodo1[[#This Row],[Aux]],Base_Contas_Balanco[#All],2,FALSE)</f>
        <v>Estoques de Terceiros</v>
      </c>
      <c r="G2019" s="1"/>
      <c r="H2019" s="225">
        <v>118900</v>
      </c>
      <c r="I2019" s="225">
        <v>0</v>
      </c>
      <c r="J2019" s="225">
        <v>118900</v>
      </c>
      <c r="K2019" s="225">
        <v>0</v>
      </c>
      <c r="L20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019" s="225">
        <f>ROUND(IF(AND(Base_Periodo1[[#This Row],[Tipo_Linha]]="-",Base_Periodo1[[#This Row],[TIPOSALDO]]="D"),Base_Periodo1[[#This Row],[SALDO_ATUAL]]*-1,Base_Periodo1[[#This Row],[SALDO_ATUAL]]),4)</f>
        <v>0</v>
      </c>
      <c r="N2019" t="s">
        <v>396</v>
      </c>
      <c r="O2019" t="s">
        <v>397</v>
      </c>
      <c r="P2019" t="s">
        <v>436</v>
      </c>
      <c r="Q2019">
        <v>7</v>
      </c>
      <c r="R2019" s="225">
        <f>Base_Periodo1[[#This Row],[CREDITOS]]-Base_Periodo1[[#This Row],[DEBITOS]]</f>
        <v>118900</v>
      </c>
      <c r="S2019" s="3" t="str">
        <f>IF(ISERROR(VLOOKUP(Base_Periodo1[[#This Row],[CONTA]],BaseContasDRE[#All],4,FALSE)),"Fora do DRE",VLOOKUP(Base_Periodo1[[#This Row],[CONTA]],BaseContasDRE[#All],4,FALSE))</f>
        <v>Fora do DRE</v>
      </c>
      <c r="T2019" s="3" t="str">
        <f>IF(ISERROR(VLOOKUP(Base_Periodo1[[#This Row],[CONTA]],BaseContasDRE[#All],5,FALSE)),"Fora do DRE",VLOOKUP(Base_Periodo1[[#This Row],[CONTA]],BaseContasDRE[#All],6,FALSE))</f>
        <v>Fora do DRE</v>
      </c>
      <c r="U2019" s="3" t="str">
        <f>IF(ISERROR(VLOOKUP(Base_Periodo1[[#This Row],[CONTA]],BaseContasDRE[#All],7,FALSE)),"Fora do DRE",VLOOKUP(Base_Periodo1[[#This Row],[CONTA]],BaseContasDRE[#All],7,FALSE))</f>
        <v>Fora do DRE</v>
      </c>
      <c r="V2019" s="3" t="str">
        <f>IF(Base_Periodo1[[#This Row],[Tipo_Linha]]="Fora do DRE","Fora do DRE","( "&amp;Base_Periodo1[[#This Row],[Tipo_Linha]]&amp;" ) "&amp;Base_Periodo1[[#This Row],[Filtro]])</f>
        <v>Fora do DRE</v>
      </c>
      <c r="W2019" s="3" t="str">
        <f>LEFT(Base_Periodo1[[#This Row],[CLASS]],3)</f>
        <v>1.1</v>
      </c>
    </row>
    <row r="2020" spans="1:23" hidden="1">
      <c r="A2020" s="3" t="str">
        <f t="shared" si="31"/>
        <v>Período 1</v>
      </c>
      <c r="B2020">
        <v>1286</v>
      </c>
      <c r="C2020" t="s">
        <v>5415</v>
      </c>
      <c r="D2020" t="s">
        <v>5410</v>
      </c>
      <c r="E2020" s="3" t="str">
        <f>IF(LEN(Base_Periodo1[[#This Row],[CLASS]])&gt;=7,LEFT(Base_Periodo1[[#This Row],[CLASS]],7),"")</f>
        <v>1.1.4.1</v>
      </c>
      <c r="F2020" s="3" t="str">
        <f>VLOOKUP(Base_Periodo1[[#This Row],[Aux]],Base_Contas_Balanco[#All],2,FALSE)</f>
        <v>Estoques de Terceiros</v>
      </c>
      <c r="G2020" s="1">
        <v>42866</v>
      </c>
      <c r="H2020" s="225">
        <v>118900</v>
      </c>
      <c r="I2020" s="225">
        <v>0</v>
      </c>
      <c r="J2020" s="225">
        <v>118900</v>
      </c>
      <c r="K2020" s="225">
        <v>0</v>
      </c>
      <c r="L20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020" s="225">
        <f>ROUND(IF(AND(Base_Periodo1[[#This Row],[Tipo_Linha]]="-",Base_Periodo1[[#This Row],[TIPOSALDO]]="D"),Base_Periodo1[[#This Row],[SALDO_ATUAL]]*-1,Base_Periodo1[[#This Row],[SALDO_ATUAL]]),4)</f>
        <v>0</v>
      </c>
      <c r="N2020" t="s">
        <v>116</v>
      </c>
      <c r="O2020" t="s">
        <v>397</v>
      </c>
      <c r="P2020" t="s">
        <v>436</v>
      </c>
      <c r="Q2020">
        <v>8</v>
      </c>
      <c r="R2020" s="225">
        <f>Base_Periodo1[[#This Row],[CREDITOS]]-Base_Periodo1[[#This Row],[DEBITOS]]</f>
        <v>118900</v>
      </c>
      <c r="S2020" s="3" t="str">
        <f>IF(ISERROR(VLOOKUP(Base_Periodo1[[#This Row],[CONTA]],BaseContasDRE[#All],4,FALSE)),"Fora do DRE",VLOOKUP(Base_Periodo1[[#This Row],[CONTA]],BaseContasDRE[#All],4,FALSE))</f>
        <v>Fora do DRE</v>
      </c>
      <c r="T2020" s="3" t="str">
        <f>IF(ISERROR(VLOOKUP(Base_Periodo1[[#This Row],[CONTA]],BaseContasDRE[#All],5,FALSE)),"Fora do DRE",VLOOKUP(Base_Periodo1[[#This Row],[CONTA]],BaseContasDRE[#All],6,FALSE))</f>
        <v>Fora do DRE</v>
      </c>
      <c r="U2020" s="3" t="str">
        <f>IF(ISERROR(VLOOKUP(Base_Periodo1[[#This Row],[CONTA]],BaseContasDRE[#All],7,FALSE)),"Fora do DRE",VLOOKUP(Base_Periodo1[[#This Row],[CONTA]],BaseContasDRE[#All],7,FALSE))</f>
        <v>Fora do DRE</v>
      </c>
      <c r="V2020" s="3" t="str">
        <f>IF(Base_Periodo1[[#This Row],[Tipo_Linha]]="Fora do DRE","Fora do DRE","( "&amp;Base_Periodo1[[#This Row],[Tipo_Linha]]&amp;" ) "&amp;Base_Periodo1[[#This Row],[Filtro]])</f>
        <v>Fora do DRE</v>
      </c>
      <c r="W2020" s="3" t="str">
        <f>LEFT(Base_Periodo1[[#This Row],[CLASS]],3)</f>
        <v>1.1</v>
      </c>
    </row>
    <row r="2021" spans="1:23" hidden="1">
      <c r="A2021" s="3" t="str">
        <f t="shared" si="31"/>
        <v>Período 1</v>
      </c>
      <c r="B2021">
        <v>1291</v>
      </c>
      <c r="C2021" t="s">
        <v>5041</v>
      </c>
      <c r="D2021" t="s">
        <v>1381</v>
      </c>
      <c r="E2021" s="3" t="str">
        <f>IF(LEN(Base_Periodo1[[#This Row],[CLASS]])&gt;=7,LEFT(Base_Periodo1[[#This Row],[CLASS]],7),"")</f>
        <v>1.1.4.1</v>
      </c>
      <c r="F2021" s="3" t="str">
        <f>VLOOKUP(Base_Periodo1[[#This Row],[Aux]],Base_Contas_Balanco[#All],2,FALSE)</f>
        <v>Estoques de Terceiros</v>
      </c>
      <c r="G2021" s="1"/>
      <c r="H2021" s="225">
        <v>81440</v>
      </c>
      <c r="I2021" s="225">
        <v>54240</v>
      </c>
      <c r="J2021" s="225">
        <v>0</v>
      </c>
      <c r="K2021" s="225">
        <v>135680</v>
      </c>
      <c r="L20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135680</v>
      </c>
      <c r="M2021" s="225">
        <f>ROUND(IF(AND(Base_Periodo1[[#This Row],[Tipo_Linha]]="-",Base_Periodo1[[#This Row],[TIPOSALDO]]="D"),Base_Periodo1[[#This Row],[SALDO_ATUAL]]*-1,Base_Periodo1[[#This Row],[SALDO_ATUAL]]),4)</f>
        <v>135680</v>
      </c>
      <c r="N2021" t="s">
        <v>396</v>
      </c>
      <c r="O2021" t="s">
        <v>397</v>
      </c>
      <c r="P2021" t="s">
        <v>397</v>
      </c>
      <c r="Q2021">
        <v>5</v>
      </c>
      <c r="R2021" s="225">
        <f>Base_Periodo1[[#This Row],[CREDITOS]]-Base_Periodo1[[#This Row],[DEBITOS]]</f>
        <v>-54240</v>
      </c>
      <c r="S2021" s="3" t="str">
        <f>IF(ISERROR(VLOOKUP(Base_Periodo1[[#This Row],[CONTA]],BaseContasDRE[#All],4,FALSE)),"Fora do DRE",VLOOKUP(Base_Periodo1[[#This Row],[CONTA]],BaseContasDRE[#All],4,FALSE))</f>
        <v>Fora do DRE</v>
      </c>
      <c r="T2021" s="3" t="str">
        <f>IF(ISERROR(VLOOKUP(Base_Periodo1[[#This Row],[CONTA]],BaseContasDRE[#All],5,FALSE)),"Fora do DRE",VLOOKUP(Base_Periodo1[[#This Row],[CONTA]],BaseContasDRE[#All],6,FALSE))</f>
        <v>Fora do DRE</v>
      </c>
      <c r="U2021" s="3" t="str">
        <f>IF(ISERROR(VLOOKUP(Base_Periodo1[[#This Row],[CONTA]],BaseContasDRE[#All],7,FALSE)),"Fora do DRE",VLOOKUP(Base_Periodo1[[#This Row],[CONTA]],BaseContasDRE[#All],7,FALSE))</f>
        <v>Fora do DRE</v>
      </c>
      <c r="V2021" s="3" t="str">
        <f>IF(Base_Periodo1[[#This Row],[Tipo_Linha]]="Fora do DRE","Fora do DRE","( "&amp;Base_Periodo1[[#This Row],[Tipo_Linha]]&amp;" ) "&amp;Base_Periodo1[[#This Row],[Filtro]])</f>
        <v>Fora do DRE</v>
      </c>
      <c r="W2021" s="3" t="str">
        <f>LEFT(Base_Periodo1[[#This Row],[CLASS]],3)</f>
        <v>1.1</v>
      </c>
    </row>
    <row r="2022" spans="1:23" hidden="1">
      <c r="A2022" s="3" t="str">
        <f t="shared" si="31"/>
        <v>Período 1</v>
      </c>
      <c r="B2022">
        <v>1292</v>
      </c>
      <c r="C2022" t="s">
        <v>5042</v>
      </c>
      <c r="D2022" t="s">
        <v>1383</v>
      </c>
      <c r="E2022" s="3" t="str">
        <f>IF(LEN(Base_Periodo1[[#This Row],[CLASS]])&gt;=7,LEFT(Base_Periodo1[[#This Row],[CLASS]],7),"")</f>
        <v>1.1.4.1</v>
      </c>
      <c r="F2022" s="3" t="str">
        <f>VLOOKUP(Base_Periodo1[[#This Row],[Aux]],Base_Contas_Balanco[#All],2,FALSE)</f>
        <v>Estoques de Terceiros</v>
      </c>
      <c r="G2022" s="1"/>
      <c r="H2022" s="225">
        <v>81440</v>
      </c>
      <c r="I2022" s="225">
        <v>54240</v>
      </c>
      <c r="J2022" s="225">
        <v>0</v>
      </c>
      <c r="K2022" s="225">
        <v>135680</v>
      </c>
      <c r="L20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135680</v>
      </c>
      <c r="M2022" s="225">
        <f>ROUND(IF(AND(Base_Periodo1[[#This Row],[Tipo_Linha]]="-",Base_Periodo1[[#This Row],[TIPOSALDO]]="D"),Base_Periodo1[[#This Row],[SALDO_ATUAL]]*-1,Base_Periodo1[[#This Row],[SALDO_ATUAL]]),4)</f>
        <v>135680</v>
      </c>
      <c r="N2022" t="s">
        <v>396</v>
      </c>
      <c r="O2022" t="s">
        <v>397</v>
      </c>
      <c r="P2022" t="s">
        <v>397</v>
      </c>
      <c r="Q2022">
        <v>6</v>
      </c>
      <c r="R2022" s="225">
        <f>Base_Periodo1[[#This Row],[CREDITOS]]-Base_Periodo1[[#This Row],[DEBITOS]]</f>
        <v>-54240</v>
      </c>
      <c r="S2022" s="3" t="str">
        <f>IF(ISERROR(VLOOKUP(Base_Periodo1[[#This Row],[CONTA]],BaseContasDRE[#All],4,FALSE)),"Fora do DRE",VLOOKUP(Base_Periodo1[[#This Row],[CONTA]],BaseContasDRE[#All],4,FALSE))</f>
        <v>Fora do DRE</v>
      </c>
      <c r="T2022" s="3" t="str">
        <f>IF(ISERROR(VLOOKUP(Base_Periodo1[[#This Row],[CONTA]],BaseContasDRE[#All],5,FALSE)),"Fora do DRE",VLOOKUP(Base_Periodo1[[#This Row],[CONTA]],BaseContasDRE[#All],6,FALSE))</f>
        <v>Fora do DRE</v>
      </c>
      <c r="U2022" s="3" t="str">
        <f>IF(ISERROR(VLOOKUP(Base_Periodo1[[#This Row],[CONTA]],BaseContasDRE[#All],7,FALSE)),"Fora do DRE",VLOOKUP(Base_Periodo1[[#This Row],[CONTA]],BaseContasDRE[#All],7,FALSE))</f>
        <v>Fora do DRE</v>
      </c>
      <c r="V2022" s="3" t="str">
        <f>IF(Base_Periodo1[[#This Row],[Tipo_Linha]]="Fora do DRE","Fora do DRE","( "&amp;Base_Periodo1[[#This Row],[Tipo_Linha]]&amp;" ) "&amp;Base_Periodo1[[#This Row],[Filtro]])</f>
        <v>Fora do DRE</v>
      </c>
      <c r="W2022" s="3" t="str">
        <f>LEFT(Base_Periodo1[[#This Row],[CLASS]],3)</f>
        <v>1.1</v>
      </c>
    </row>
    <row r="2023" spans="1:23" hidden="1">
      <c r="A2023" s="3" t="str">
        <f t="shared" si="31"/>
        <v>Período 1</v>
      </c>
      <c r="B2023">
        <v>37735</v>
      </c>
      <c r="C2023" t="s">
        <v>5043</v>
      </c>
      <c r="D2023" t="s">
        <v>1442</v>
      </c>
      <c r="E2023" s="3" t="str">
        <f>IF(LEN(Base_Periodo1[[#This Row],[CLASS]])&gt;=7,LEFT(Base_Periodo1[[#This Row],[CLASS]],7),"")</f>
        <v>1.1.4.1</v>
      </c>
      <c r="F2023" s="3" t="str">
        <f>VLOOKUP(Base_Periodo1[[#This Row],[Aux]],Base_Contas_Balanco[#All],2,FALSE)</f>
        <v>Estoques de Terceiros</v>
      </c>
      <c r="G2023" s="1"/>
      <c r="H2023" s="225">
        <v>81440</v>
      </c>
      <c r="I2023" s="225">
        <v>54240</v>
      </c>
      <c r="J2023" s="225">
        <v>0</v>
      </c>
      <c r="K2023" s="225">
        <v>135680</v>
      </c>
      <c r="L20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135680</v>
      </c>
      <c r="M2023" s="225">
        <f>ROUND(IF(AND(Base_Periodo1[[#This Row],[Tipo_Linha]]="-",Base_Periodo1[[#This Row],[TIPOSALDO]]="D"),Base_Periodo1[[#This Row],[SALDO_ATUAL]]*-1,Base_Periodo1[[#This Row],[SALDO_ATUAL]]),4)</f>
        <v>135680</v>
      </c>
      <c r="N2023" t="s">
        <v>396</v>
      </c>
      <c r="O2023" t="s">
        <v>397</v>
      </c>
      <c r="P2023" t="s">
        <v>397</v>
      </c>
      <c r="Q2023">
        <v>7</v>
      </c>
      <c r="R2023" s="225">
        <f>Base_Periodo1[[#This Row],[CREDITOS]]-Base_Periodo1[[#This Row],[DEBITOS]]</f>
        <v>-54240</v>
      </c>
      <c r="S2023" s="3" t="str">
        <f>IF(ISERROR(VLOOKUP(Base_Periodo1[[#This Row],[CONTA]],BaseContasDRE[#All],4,FALSE)),"Fora do DRE",VLOOKUP(Base_Periodo1[[#This Row],[CONTA]],BaseContasDRE[#All],4,FALSE))</f>
        <v>Fora do DRE</v>
      </c>
      <c r="T2023" s="3" t="str">
        <f>IF(ISERROR(VLOOKUP(Base_Periodo1[[#This Row],[CONTA]],BaseContasDRE[#All],5,FALSE)),"Fora do DRE",VLOOKUP(Base_Periodo1[[#This Row],[CONTA]],BaseContasDRE[#All],6,FALSE))</f>
        <v>Fora do DRE</v>
      </c>
      <c r="U2023" s="3" t="str">
        <f>IF(ISERROR(VLOOKUP(Base_Periodo1[[#This Row],[CONTA]],BaseContasDRE[#All],7,FALSE)),"Fora do DRE",VLOOKUP(Base_Periodo1[[#This Row],[CONTA]],BaseContasDRE[#All],7,FALSE))</f>
        <v>Fora do DRE</v>
      </c>
      <c r="V2023" s="3" t="str">
        <f>IF(Base_Periodo1[[#This Row],[Tipo_Linha]]="Fora do DRE","Fora do DRE","( "&amp;Base_Periodo1[[#This Row],[Tipo_Linha]]&amp;" ) "&amp;Base_Periodo1[[#This Row],[Filtro]])</f>
        <v>Fora do DRE</v>
      </c>
      <c r="W2023" s="3" t="str">
        <f>LEFT(Base_Periodo1[[#This Row],[CLASS]],3)</f>
        <v>1.1</v>
      </c>
    </row>
    <row r="2024" spans="1:23" hidden="1">
      <c r="A2024" s="3" t="str">
        <f t="shared" si="31"/>
        <v>Período 1</v>
      </c>
      <c r="B2024">
        <v>37736</v>
      </c>
      <c r="C2024" t="s">
        <v>5044</v>
      </c>
      <c r="D2024" t="s">
        <v>5045</v>
      </c>
      <c r="E2024" s="3" t="str">
        <f>IF(LEN(Base_Periodo1[[#This Row],[CLASS]])&gt;=7,LEFT(Base_Periodo1[[#This Row],[CLASS]],7),"")</f>
        <v>1.1.4.1</v>
      </c>
      <c r="F2024" s="3" t="str">
        <f>VLOOKUP(Base_Periodo1[[#This Row],[Aux]],Base_Contas_Balanco[#All],2,FALSE)</f>
        <v>Estoques de Terceiros</v>
      </c>
      <c r="G2024" s="1">
        <v>42873</v>
      </c>
      <c r="H2024" s="225">
        <v>81440</v>
      </c>
      <c r="I2024" s="225">
        <v>54240</v>
      </c>
      <c r="J2024" s="225">
        <v>0</v>
      </c>
      <c r="K2024" s="225">
        <v>135680</v>
      </c>
      <c r="L20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135680</v>
      </c>
      <c r="M2024" s="225">
        <f>ROUND(IF(AND(Base_Periodo1[[#This Row],[Tipo_Linha]]="-",Base_Periodo1[[#This Row],[TIPOSALDO]]="D"),Base_Periodo1[[#This Row],[SALDO_ATUAL]]*-1,Base_Periodo1[[#This Row],[SALDO_ATUAL]]),4)</f>
        <v>135680</v>
      </c>
      <c r="N2024" t="s">
        <v>116</v>
      </c>
      <c r="O2024" t="s">
        <v>397</v>
      </c>
      <c r="P2024" t="s">
        <v>397</v>
      </c>
      <c r="Q2024">
        <v>8</v>
      </c>
      <c r="R2024" s="225">
        <f>Base_Periodo1[[#This Row],[CREDITOS]]-Base_Periodo1[[#This Row],[DEBITOS]]</f>
        <v>-54240</v>
      </c>
      <c r="S2024" s="3" t="str">
        <f>IF(ISERROR(VLOOKUP(Base_Periodo1[[#This Row],[CONTA]],BaseContasDRE[#All],4,FALSE)),"Fora do DRE",VLOOKUP(Base_Periodo1[[#This Row],[CONTA]],BaseContasDRE[#All],4,FALSE))</f>
        <v>Fora do DRE</v>
      </c>
      <c r="T2024" s="3" t="str">
        <f>IF(ISERROR(VLOOKUP(Base_Periodo1[[#This Row],[CONTA]],BaseContasDRE[#All],5,FALSE)),"Fora do DRE",VLOOKUP(Base_Periodo1[[#This Row],[CONTA]],BaseContasDRE[#All],6,FALSE))</f>
        <v>Fora do DRE</v>
      </c>
      <c r="U2024" s="3" t="str">
        <f>IF(ISERROR(VLOOKUP(Base_Periodo1[[#This Row],[CONTA]],BaseContasDRE[#All],7,FALSE)),"Fora do DRE",VLOOKUP(Base_Periodo1[[#This Row],[CONTA]],BaseContasDRE[#All],7,FALSE))</f>
        <v>Fora do DRE</v>
      </c>
      <c r="V2024" s="3" t="str">
        <f>IF(Base_Periodo1[[#This Row],[Tipo_Linha]]="Fora do DRE","Fora do DRE","( "&amp;Base_Periodo1[[#This Row],[Tipo_Linha]]&amp;" ) "&amp;Base_Periodo1[[#This Row],[Filtro]])</f>
        <v>Fora do DRE</v>
      </c>
      <c r="W2024" s="3" t="str">
        <f>LEFT(Base_Periodo1[[#This Row],[CLASS]],3)</f>
        <v>1.1</v>
      </c>
    </row>
    <row r="2025" spans="1:23" hidden="1">
      <c r="A2025" s="3" t="str">
        <f t="shared" si="31"/>
        <v>Período 1</v>
      </c>
      <c r="B2025">
        <v>34573</v>
      </c>
      <c r="C2025" t="s">
        <v>1591</v>
      </c>
      <c r="D2025" t="s">
        <v>1592</v>
      </c>
      <c r="E2025" s="3" t="str">
        <f>IF(LEN(Base_Periodo1[[#This Row],[CLASS]])&gt;=7,LEFT(Base_Periodo1[[#This Row],[CLASS]],7),"")</f>
        <v>1.1.4.1</v>
      </c>
      <c r="F2025" s="3" t="str">
        <f>VLOOKUP(Base_Periodo1[[#This Row],[Aux]],Base_Contas_Balanco[#All],2,FALSE)</f>
        <v>Estoques de Terceiros</v>
      </c>
      <c r="G2025" s="1"/>
      <c r="H2025" s="225">
        <v>1379468.0700000003</v>
      </c>
      <c r="I2025" s="225">
        <v>0</v>
      </c>
      <c r="J2025" s="225">
        <v>0</v>
      </c>
      <c r="K2025" s="225">
        <v>1379468.0700000003</v>
      </c>
      <c r="L20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1379468.07</v>
      </c>
      <c r="M2025" s="225">
        <f>ROUND(IF(AND(Base_Periodo1[[#This Row],[Tipo_Linha]]="-",Base_Periodo1[[#This Row],[TIPOSALDO]]="D"),Base_Periodo1[[#This Row],[SALDO_ATUAL]]*-1,Base_Periodo1[[#This Row],[SALDO_ATUAL]]),4)</f>
        <v>1379468.07</v>
      </c>
      <c r="N2025" t="s">
        <v>396</v>
      </c>
      <c r="O2025" t="s">
        <v>397</v>
      </c>
      <c r="P2025" t="s">
        <v>397</v>
      </c>
      <c r="Q2025">
        <v>5</v>
      </c>
      <c r="R2025" s="225">
        <f>Base_Periodo1[[#This Row],[CREDITOS]]-Base_Periodo1[[#This Row],[DEBITOS]]</f>
        <v>0</v>
      </c>
      <c r="S2025" s="3" t="str">
        <f>IF(ISERROR(VLOOKUP(Base_Periodo1[[#This Row],[CONTA]],BaseContasDRE[#All],4,FALSE)),"Fora do DRE",VLOOKUP(Base_Periodo1[[#This Row],[CONTA]],BaseContasDRE[#All],4,FALSE))</f>
        <v>Fora do DRE</v>
      </c>
      <c r="T2025" s="3" t="str">
        <f>IF(ISERROR(VLOOKUP(Base_Periodo1[[#This Row],[CONTA]],BaseContasDRE[#All],5,FALSE)),"Fora do DRE",VLOOKUP(Base_Periodo1[[#This Row],[CONTA]],BaseContasDRE[#All],6,FALSE))</f>
        <v>Fora do DRE</v>
      </c>
      <c r="U2025" s="3" t="str">
        <f>IF(ISERROR(VLOOKUP(Base_Periodo1[[#This Row],[CONTA]],BaseContasDRE[#All],7,FALSE)),"Fora do DRE",VLOOKUP(Base_Periodo1[[#This Row],[CONTA]],BaseContasDRE[#All],7,FALSE))</f>
        <v>Fora do DRE</v>
      </c>
      <c r="V2025" s="3" t="str">
        <f>IF(Base_Periodo1[[#This Row],[Tipo_Linha]]="Fora do DRE","Fora do DRE","( "&amp;Base_Periodo1[[#This Row],[Tipo_Linha]]&amp;" ) "&amp;Base_Periodo1[[#This Row],[Filtro]])</f>
        <v>Fora do DRE</v>
      </c>
      <c r="W2025" s="3" t="str">
        <f>LEFT(Base_Periodo1[[#This Row],[CLASS]],3)</f>
        <v>1.1</v>
      </c>
    </row>
    <row r="2026" spans="1:23" hidden="1">
      <c r="A2026" s="3" t="str">
        <f t="shared" si="31"/>
        <v>Período 1</v>
      </c>
      <c r="B2026">
        <v>36358</v>
      </c>
      <c r="C2026" t="s">
        <v>1593</v>
      </c>
      <c r="D2026" t="s">
        <v>1594</v>
      </c>
      <c r="E2026" s="3" t="str">
        <f>IF(LEN(Base_Periodo1[[#This Row],[CLASS]])&gt;=7,LEFT(Base_Periodo1[[#This Row],[CLASS]],7),"")</f>
        <v>1.1.4.1</v>
      </c>
      <c r="F2026" s="3" t="str">
        <f>VLOOKUP(Base_Periodo1[[#This Row],[Aux]],Base_Contas_Balanco[#All],2,FALSE)</f>
        <v>Estoques de Terceiros</v>
      </c>
      <c r="G2026" s="1"/>
      <c r="H2026" s="225">
        <v>794839.97000000067</v>
      </c>
      <c r="I2026" s="225">
        <v>0</v>
      </c>
      <c r="J2026" s="225">
        <v>0</v>
      </c>
      <c r="K2026" s="225">
        <v>794839.97000000067</v>
      </c>
      <c r="L20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794839.97</v>
      </c>
      <c r="M2026" s="225">
        <f>ROUND(IF(AND(Base_Periodo1[[#This Row],[Tipo_Linha]]="-",Base_Periodo1[[#This Row],[TIPOSALDO]]="D"),Base_Periodo1[[#This Row],[SALDO_ATUAL]]*-1,Base_Periodo1[[#This Row],[SALDO_ATUAL]]),4)</f>
        <v>794839.97</v>
      </c>
      <c r="N2026" t="s">
        <v>396</v>
      </c>
      <c r="O2026" t="s">
        <v>397</v>
      </c>
      <c r="P2026" t="s">
        <v>397</v>
      </c>
      <c r="Q2026">
        <v>6</v>
      </c>
      <c r="R2026" s="225">
        <f>Base_Periodo1[[#This Row],[CREDITOS]]-Base_Periodo1[[#This Row],[DEBITOS]]</f>
        <v>0</v>
      </c>
      <c r="S2026" s="3" t="str">
        <f>IF(ISERROR(VLOOKUP(Base_Periodo1[[#This Row],[CONTA]],BaseContasDRE[#All],4,FALSE)),"Fora do DRE",VLOOKUP(Base_Periodo1[[#This Row],[CONTA]],BaseContasDRE[#All],4,FALSE))</f>
        <v>Fora do DRE</v>
      </c>
      <c r="T2026" s="3" t="str">
        <f>IF(ISERROR(VLOOKUP(Base_Periodo1[[#This Row],[CONTA]],BaseContasDRE[#All],5,FALSE)),"Fora do DRE",VLOOKUP(Base_Periodo1[[#This Row],[CONTA]],BaseContasDRE[#All],6,FALSE))</f>
        <v>Fora do DRE</v>
      </c>
      <c r="U2026" s="3" t="str">
        <f>IF(ISERROR(VLOOKUP(Base_Periodo1[[#This Row],[CONTA]],BaseContasDRE[#All],7,FALSE)),"Fora do DRE",VLOOKUP(Base_Periodo1[[#This Row],[CONTA]],BaseContasDRE[#All],7,FALSE))</f>
        <v>Fora do DRE</v>
      </c>
      <c r="V2026" s="3" t="str">
        <f>IF(Base_Periodo1[[#This Row],[Tipo_Linha]]="Fora do DRE","Fora do DRE","( "&amp;Base_Periodo1[[#This Row],[Tipo_Linha]]&amp;" ) "&amp;Base_Periodo1[[#This Row],[Filtro]])</f>
        <v>Fora do DRE</v>
      </c>
      <c r="W2026" s="3" t="str">
        <f>LEFT(Base_Periodo1[[#This Row],[CLASS]],3)</f>
        <v>1.1</v>
      </c>
    </row>
    <row r="2027" spans="1:23" hidden="1">
      <c r="A2027" s="3" t="str">
        <f t="shared" si="31"/>
        <v>Período 1</v>
      </c>
      <c r="B2027">
        <v>36359</v>
      </c>
      <c r="C2027" t="s">
        <v>1595</v>
      </c>
      <c r="D2027" t="s">
        <v>1596</v>
      </c>
      <c r="E2027" s="3" t="str">
        <f>IF(LEN(Base_Periodo1[[#This Row],[CLASS]])&gt;=7,LEFT(Base_Periodo1[[#This Row],[CLASS]],7),"")</f>
        <v>1.1.4.1</v>
      </c>
      <c r="F2027" s="3" t="str">
        <f>VLOOKUP(Base_Periodo1[[#This Row],[Aux]],Base_Contas_Balanco[#All],2,FALSE)</f>
        <v>Estoques de Terceiros</v>
      </c>
      <c r="G2027" s="1"/>
      <c r="H2027" s="225">
        <v>794839.97000000067</v>
      </c>
      <c r="I2027" s="225">
        <v>0</v>
      </c>
      <c r="J2027" s="225">
        <v>0</v>
      </c>
      <c r="K2027" s="225">
        <v>794839.97000000067</v>
      </c>
      <c r="L20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794839.97</v>
      </c>
      <c r="M2027" s="225">
        <f>ROUND(IF(AND(Base_Periodo1[[#This Row],[Tipo_Linha]]="-",Base_Periodo1[[#This Row],[TIPOSALDO]]="D"),Base_Periodo1[[#This Row],[SALDO_ATUAL]]*-1,Base_Periodo1[[#This Row],[SALDO_ATUAL]]),4)</f>
        <v>794839.97</v>
      </c>
      <c r="N2027" t="s">
        <v>396</v>
      </c>
      <c r="O2027" t="s">
        <v>397</v>
      </c>
      <c r="P2027" t="s">
        <v>397</v>
      </c>
      <c r="Q2027">
        <v>7</v>
      </c>
      <c r="R2027" s="225">
        <f>Base_Periodo1[[#This Row],[CREDITOS]]-Base_Periodo1[[#This Row],[DEBITOS]]</f>
        <v>0</v>
      </c>
      <c r="S2027" s="3" t="str">
        <f>IF(ISERROR(VLOOKUP(Base_Periodo1[[#This Row],[CONTA]],BaseContasDRE[#All],4,FALSE)),"Fora do DRE",VLOOKUP(Base_Periodo1[[#This Row],[CONTA]],BaseContasDRE[#All],4,FALSE))</f>
        <v>Fora do DRE</v>
      </c>
      <c r="T2027" s="3" t="str">
        <f>IF(ISERROR(VLOOKUP(Base_Periodo1[[#This Row],[CONTA]],BaseContasDRE[#All],5,FALSE)),"Fora do DRE",VLOOKUP(Base_Periodo1[[#This Row],[CONTA]],BaseContasDRE[#All],6,FALSE))</f>
        <v>Fora do DRE</v>
      </c>
      <c r="U2027" s="3" t="str">
        <f>IF(ISERROR(VLOOKUP(Base_Periodo1[[#This Row],[CONTA]],BaseContasDRE[#All],7,FALSE)),"Fora do DRE",VLOOKUP(Base_Periodo1[[#This Row],[CONTA]],BaseContasDRE[#All],7,FALSE))</f>
        <v>Fora do DRE</v>
      </c>
      <c r="V2027" s="3" t="str">
        <f>IF(Base_Periodo1[[#This Row],[Tipo_Linha]]="Fora do DRE","Fora do DRE","( "&amp;Base_Periodo1[[#This Row],[Tipo_Linha]]&amp;" ) "&amp;Base_Periodo1[[#This Row],[Filtro]])</f>
        <v>Fora do DRE</v>
      </c>
      <c r="W2027" s="3" t="str">
        <f>LEFT(Base_Periodo1[[#This Row],[CLASS]],3)</f>
        <v>1.1</v>
      </c>
    </row>
    <row r="2028" spans="1:23" hidden="1">
      <c r="A2028" s="3" t="str">
        <f t="shared" si="31"/>
        <v>Período 1</v>
      </c>
      <c r="B2028">
        <v>36360</v>
      </c>
      <c r="C2028" t="s">
        <v>1597</v>
      </c>
      <c r="D2028" t="s">
        <v>1598</v>
      </c>
      <c r="E2028" s="3" t="str">
        <f>IF(LEN(Base_Periodo1[[#This Row],[CLASS]])&gt;=7,LEFT(Base_Periodo1[[#This Row],[CLASS]],7),"")</f>
        <v>1.1.4.1</v>
      </c>
      <c r="F2028" s="3" t="str">
        <f>VLOOKUP(Base_Periodo1[[#This Row],[Aux]],Base_Contas_Balanco[#All],2,FALSE)</f>
        <v>Estoques de Terceiros</v>
      </c>
      <c r="G2028" s="1">
        <v>42769</v>
      </c>
      <c r="H2028" s="225">
        <v>794839.97000000067</v>
      </c>
      <c r="I2028" s="225">
        <v>0</v>
      </c>
      <c r="J2028" s="225">
        <v>0</v>
      </c>
      <c r="K2028" s="225">
        <v>794839.97000000067</v>
      </c>
      <c r="L20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794839.97</v>
      </c>
      <c r="M2028" s="225">
        <f>ROUND(IF(AND(Base_Periodo1[[#This Row],[Tipo_Linha]]="-",Base_Periodo1[[#This Row],[TIPOSALDO]]="D"),Base_Periodo1[[#This Row],[SALDO_ATUAL]]*-1,Base_Periodo1[[#This Row],[SALDO_ATUAL]]),4)</f>
        <v>794839.97</v>
      </c>
      <c r="N2028" t="s">
        <v>116</v>
      </c>
      <c r="O2028" t="s">
        <v>397</v>
      </c>
      <c r="P2028" t="s">
        <v>397</v>
      </c>
      <c r="Q2028">
        <v>8</v>
      </c>
      <c r="R2028" s="225">
        <f>Base_Periodo1[[#This Row],[CREDITOS]]-Base_Periodo1[[#This Row],[DEBITOS]]</f>
        <v>0</v>
      </c>
      <c r="S2028" s="3" t="str">
        <f>IF(ISERROR(VLOOKUP(Base_Periodo1[[#This Row],[CONTA]],BaseContasDRE[#All],4,FALSE)),"Fora do DRE",VLOOKUP(Base_Periodo1[[#This Row],[CONTA]],BaseContasDRE[#All],4,FALSE))</f>
        <v>Fora do DRE</v>
      </c>
      <c r="T2028" s="3" t="str">
        <f>IF(ISERROR(VLOOKUP(Base_Periodo1[[#This Row],[CONTA]],BaseContasDRE[#All],5,FALSE)),"Fora do DRE",VLOOKUP(Base_Periodo1[[#This Row],[CONTA]],BaseContasDRE[#All],6,FALSE))</f>
        <v>Fora do DRE</v>
      </c>
      <c r="U2028" s="3" t="str">
        <f>IF(ISERROR(VLOOKUP(Base_Periodo1[[#This Row],[CONTA]],BaseContasDRE[#All],7,FALSE)),"Fora do DRE",VLOOKUP(Base_Periodo1[[#This Row],[CONTA]],BaseContasDRE[#All],7,FALSE))</f>
        <v>Fora do DRE</v>
      </c>
      <c r="V2028" s="3" t="str">
        <f>IF(Base_Periodo1[[#This Row],[Tipo_Linha]]="Fora do DRE","Fora do DRE","( "&amp;Base_Periodo1[[#This Row],[Tipo_Linha]]&amp;" ) "&amp;Base_Periodo1[[#This Row],[Filtro]])</f>
        <v>Fora do DRE</v>
      </c>
      <c r="W2028" s="3" t="str">
        <f>LEFT(Base_Periodo1[[#This Row],[CLASS]],3)</f>
        <v>1.1</v>
      </c>
    </row>
    <row r="2029" spans="1:23" hidden="1">
      <c r="A2029" s="3" t="str">
        <f t="shared" si="31"/>
        <v>Período 1</v>
      </c>
      <c r="B2029">
        <v>34574</v>
      </c>
      <c r="C2029" t="s">
        <v>1599</v>
      </c>
      <c r="D2029" t="s">
        <v>1600</v>
      </c>
      <c r="E2029" s="3" t="str">
        <f>IF(LEN(Base_Periodo1[[#This Row],[CLASS]])&gt;=7,LEFT(Base_Periodo1[[#This Row],[CLASS]],7),"")</f>
        <v>1.1.4.1</v>
      </c>
      <c r="F2029" s="3" t="str">
        <f>VLOOKUP(Base_Periodo1[[#This Row],[Aux]],Base_Contas_Balanco[#All],2,FALSE)</f>
        <v>Estoques de Terceiros</v>
      </c>
      <c r="G2029" s="1"/>
      <c r="H2029" s="225">
        <v>584628.09999999963</v>
      </c>
      <c r="I2029" s="225">
        <v>0</v>
      </c>
      <c r="J2029" s="225">
        <v>0</v>
      </c>
      <c r="K2029" s="225">
        <v>584628.09999999963</v>
      </c>
      <c r="L20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584628.1</v>
      </c>
      <c r="M2029" s="225">
        <f>ROUND(IF(AND(Base_Periodo1[[#This Row],[Tipo_Linha]]="-",Base_Periodo1[[#This Row],[TIPOSALDO]]="D"),Base_Periodo1[[#This Row],[SALDO_ATUAL]]*-1,Base_Periodo1[[#This Row],[SALDO_ATUAL]]),4)</f>
        <v>584628.1</v>
      </c>
      <c r="N2029" t="s">
        <v>396</v>
      </c>
      <c r="O2029" t="s">
        <v>397</v>
      </c>
      <c r="P2029" t="s">
        <v>397</v>
      </c>
      <c r="Q2029">
        <v>6</v>
      </c>
      <c r="R2029" s="225">
        <f>Base_Periodo1[[#This Row],[CREDITOS]]-Base_Periodo1[[#This Row],[DEBITOS]]</f>
        <v>0</v>
      </c>
      <c r="S2029" s="3" t="str">
        <f>IF(ISERROR(VLOOKUP(Base_Periodo1[[#This Row],[CONTA]],BaseContasDRE[#All],4,FALSE)),"Fora do DRE",VLOOKUP(Base_Periodo1[[#This Row],[CONTA]],BaseContasDRE[#All],4,FALSE))</f>
        <v>Fora do DRE</v>
      </c>
      <c r="T2029" s="3" t="str">
        <f>IF(ISERROR(VLOOKUP(Base_Periodo1[[#This Row],[CONTA]],BaseContasDRE[#All],5,FALSE)),"Fora do DRE",VLOOKUP(Base_Periodo1[[#This Row],[CONTA]],BaseContasDRE[#All],6,FALSE))</f>
        <v>Fora do DRE</v>
      </c>
      <c r="U2029" s="3" t="str">
        <f>IF(ISERROR(VLOOKUP(Base_Periodo1[[#This Row],[CONTA]],BaseContasDRE[#All],7,FALSE)),"Fora do DRE",VLOOKUP(Base_Periodo1[[#This Row],[CONTA]],BaseContasDRE[#All],7,FALSE))</f>
        <v>Fora do DRE</v>
      </c>
      <c r="V2029" s="3" t="str">
        <f>IF(Base_Periodo1[[#This Row],[Tipo_Linha]]="Fora do DRE","Fora do DRE","( "&amp;Base_Periodo1[[#This Row],[Tipo_Linha]]&amp;" ) "&amp;Base_Periodo1[[#This Row],[Filtro]])</f>
        <v>Fora do DRE</v>
      </c>
      <c r="W2029" s="3" t="str">
        <f>LEFT(Base_Periodo1[[#This Row],[CLASS]],3)</f>
        <v>1.1</v>
      </c>
    </row>
    <row r="2030" spans="1:23" hidden="1">
      <c r="A2030" s="3" t="str">
        <f t="shared" si="31"/>
        <v>Período 1</v>
      </c>
      <c r="B2030">
        <v>34575</v>
      </c>
      <c r="C2030" t="s">
        <v>1601</v>
      </c>
      <c r="D2030" t="s">
        <v>1602</v>
      </c>
      <c r="E2030" s="3" t="str">
        <f>IF(LEN(Base_Periodo1[[#This Row],[CLASS]])&gt;=7,LEFT(Base_Periodo1[[#This Row],[CLASS]],7),"")</f>
        <v>1.1.4.1</v>
      </c>
      <c r="F2030" s="3" t="str">
        <f>VLOOKUP(Base_Periodo1[[#This Row],[Aux]],Base_Contas_Balanco[#All],2,FALSE)</f>
        <v>Estoques de Terceiros</v>
      </c>
      <c r="G2030" s="1"/>
      <c r="H2030" s="225">
        <v>584628.09999999963</v>
      </c>
      <c r="I2030" s="225">
        <v>0</v>
      </c>
      <c r="J2030" s="225">
        <v>0</v>
      </c>
      <c r="K2030" s="225">
        <v>584628.09999999963</v>
      </c>
      <c r="L20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584628.1</v>
      </c>
      <c r="M2030" s="225">
        <f>ROUND(IF(AND(Base_Periodo1[[#This Row],[Tipo_Linha]]="-",Base_Periodo1[[#This Row],[TIPOSALDO]]="D"),Base_Periodo1[[#This Row],[SALDO_ATUAL]]*-1,Base_Periodo1[[#This Row],[SALDO_ATUAL]]),4)</f>
        <v>584628.1</v>
      </c>
      <c r="N2030" t="s">
        <v>396</v>
      </c>
      <c r="O2030" t="s">
        <v>397</v>
      </c>
      <c r="P2030" t="s">
        <v>397</v>
      </c>
      <c r="Q2030">
        <v>7</v>
      </c>
      <c r="R2030" s="225">
        <f>Base_Periodo1[[#This Row],[CREDITOS]]-Base_Periodo1[[#This Row],[DEBITOS]]</f>
        <v>0</v>
      </c>
      <c r="S2030" s="3" t="str">
        <f>IF(ISERROR(VLOOKUP(Base_Periodo1[[#This Row],[CONTA]],BaseContasDRE[#All],4,FALSE)),"Fora do DRE",VLOOKUP(Base_Periodo1[[#This Row],[CONTA]],BaseContasDRE[#All],4,FALSE))</f>
        <v>Fora do DRE</v>
      </c>
      <c r="T2030" s="3" t="str">
        <f>IF(ISERROR(VLOOKUP(Base_Periodo1[[#This Row],[CONTA]],BaseContasDRE[#All],5,FALSE)),"Fora do DRE",VLOOKUP(Base_Periodo1[[#This Row],[CONTA]],BaseContasDRE[#All],6,FALSE))</f>
        <v>Fora do DRE</v>
      </c>
      <c r="U2030" s="3" t="str">
        <f>IF(ISERROR(VLOOKUP(Base_Periodo1[[#This Row],[CONTA]],BaseContasDRE[#All],7,FALSE)),"Fora do DRE",VLOOKUP(Base_Periodo1[[#This Row],[CONTA]],BaseContasDRE[#All],7,FALSE))</f>
        <v>Fora do DRE</v>
      </c>
      <c r="V2030" s="3" t="str">
        <f>IF(Base_Periodo1[[#This Row],[Tipo_Linha]]="Fora do DRE","Fora do DRE","( "&amp;Base_Periodo1[[#This Row],[Tipo_Linha]]&amp;" ) "&amp;Base_Periodo1[[#This Row],[Filtro]])</f>
        <v>Fora do DRE</v>
      </c>
      <c r="W2030" s="3" t="str">
        <f>LEFT(Base_Periodo1[[#This Row],[CLASS]],3)</f>
        <v>1.1</v>
      </c>
    </row>
    <row r="2031" spans="1:23" hidden="1">
      <c r="A2031" s="3" t="str">
        <f t="shared" si="31"/>
        <v>Período 1</v>
      </c>
      <c r="B2031">
        <v>34576</v>
      </c>
      <c r="C2031" t="s">
        <v>1603</v>
      </c>
      <c r="D2031" t="s">
        <v>1590</v>
      </c>
      <c r="E2031" s="3" t="str">
        <f>IF(LEN(Base_Periodo1[[#This Row],[CLASS]])&gt;=7,LEFT(Base_Periodo1[[#This Row],[CLASS]],7),"")</f>
        <v>1.1.4.1</v>
      </c>
      <c r="F2031" s="3" t="str">
        <f>VLOOKUP(Base_Periodo1[[#This Row],[Aux]],Base_Contas_Balanco[#All],2,FALSE)</f>
        <v>Estoques de Terceiros</v>
      </c>
      <c r="G2031" s="1">
        <v>42429</v>
      </c>
      <c r="H2031" s="225">
        <v>584628.09999999963</v>
      </c>
      <c r="I2031" s="225">
        <v>0</v>
      </c>
      <c r="J2031" s="225">
        <v>0</v>
      </c>
      <c r="K2031" s="225">
        <v>584628.09999999963</v>
      </c>
      <c r="L20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584628.1</v>
      </c>
      <c r="M2031" s="225">
        <f>ROUND(IF(AND(Base_Periodo1[[#This Row],[Tipo_Linha]]="-",Base_Periodo1[[#This Row],[TIPOSALDO]]="D"),Base_Periodo1[[#This Row],[SALDO_ATUAL]]*-1,Base_Periodo1[[#This Row],[SALDO_ATUAL]]),4)</f>
        <v>584628.1</v>
      </c>
      <c r="N2031" t="s">
        <v>116</v>
      </c>
      <c r="O2031" t="s">
        <v>397</v>
      </c>
      <c r="P2031" t="s">
        <v>397</v>
      </c>
      <c r="Q2031">
        <v>8</v>
      </c>
      <c r="R2031" s="225">
        <f>Base_Periodo1[[#This Row],[CREDITOS]]-Base_Periodo1[[#This Row],[DEBITOS]]</f>
        <v>0</v>
      </c>
      <c r="S2031" s="3" t="str">
        <f>IF(ISERROR(VLOOKUP(Base_Periodo1[[#This Row],[CONTA]],BaseContasDRE[#All],4,FALSE)),"Fora do DRE",VLOOKUP(Base_Periodo1[[#This Row],[CONTA]],BaseContasDRE[#All],4,FALSE))</f>
        <v>Fora do DRE</v>
      </c>
      <c r="T2031" s="3" t="str">
        <f>IF(ISERROR(VLOOKUP(Base_Periodo1[[#This Row],[CONTA]],BaseContasDRE[#All],5,FALSE)),"Fora do DRE",VLOOKUP(Base_Periodo1[[#This Row],[CONTA]],BaseContasDRE[#All],6,FALSE))</f>
        <v>Fora do DRE</v>
      </c>
      <c r="U2031" s="3" t="str">
        <f>IF(ISERROR(VLOOKUP(Base_Periodo1[[#This Row],[CONTA]],BaseContasDRE[#All],7,FALSE)),"Fora do DRE",VLOOKUP(Base_Periodo1[[#This Row],[CONTA]],BaseContasDRE[#All],7,FALSE))</f>
        <v>Fora do DRE</v>
      </c>
      <c r="V2031" s="3" t="str">
        <f>IF(Base_Periodo1[[#This Row],[Tipo_Linha]]="Fora do DRE","Fora do DRE","( "&amp;Base_Periodo1[[#This Row],[Tipo_Linha]]&amp;" ) "&amp;Base_Periodo1[[#This Row],[Filtro]])</f>
        <v>Fora do DRE</v>
      </c>
      <c r="W2031" s="3" t="str">
        <f>LEFT(Base_Periodo1[[#This Row],[CLASS]],3)</f>
        <v>1.1</v>
      </c>
    </row>
    <row r="2032" spans="1:23" hidden="1">
      <c r="A2032" s="3" t="str">
        <f t="shared" si="31"/>
        <v>Período 1</v>
      </c>
      <c r="B2032">
        <v>1297</v>
      </c>
      <c r="C2032" t="s">
        <v>1604</v>
      </c>
      <c r="D2032" t="s">
        <v>1605</v>
      </c>
      <c r="E2032" s="3" t="str">
        <f>IF(LEN(Base_Periodo1[[#This Row],[CLASS]])&gt;=7,LEFT(Base_Periodo1[[#This Row],[CLASS]],7),"")</f>
        <v/>
      </c>
      <c r="F2032" s="3" t="e">
        <f>VLOOKUP(Base_Periodo1[[#This Row],[Aux]],Base_Contas_Balanco[#All],2,FALSE)</f>
        <v>#N/A</v>
      </c>
      <c r="G2032" s="1"/>
      <c r="H2032" s="225">
        <v>1837494.9999785423</v>
      </c>
      <c r="I2032" s="225">
        <v>35509178.609999992</v>
      </c>
      <c r="J2032" s="225">
        <v>35424333.670000017</v>
      </c>
      <c r="K2032" s="225">
        <v>1922339.9399785176</v>
      </c>
      <c r="L20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1922339.94</v>
      </c>
      <c r="M2032" s="225">
        <f>ROUND(IF(AND(Base_Periodo1[[#This Row],[Tipo_Linha]]="-",Base_Periodo1[[#This Row],[TIPOSALDO]]="D"),Base_Periodo1[[#This Row],[SALDO_ATUAL]]*-1,Base_Periodo1[[#This Row],[SALDO_ATUAL]]),4)</f>
        <v>1922339.94</v>
      </c>
      <c r="N2032" t="s">
        <v>396</v>
      </c>
      <c r="O2032" t="s">
        <v>397</v>
      </c>
      <c r="P2032" t="s">
        <v>397</v>
      </c>
      <c r="Q2032">
        <v>3</v>
      </c>
      <c r="R2032" s="225">
        <f>Base_Periodo1[[#This Row],[CREDITOS]]-Base_Periodo1[[#This Row],[DEBITOS]]</f>
        <v>-84844.939999975264</v>
      </c>
      <c r="S2032" s="3" t="str">
        <f>IF(ISERROR(VLOOKUP(Base_Periodo1[[#This Row],[CONTA]],BaseContasDRE[#All],4,FALSE)),"Fora do DRE",VLOOKUP(Base_Periodo1[[#This Row],[CONTA]],BaseContasDRE[#All],4,FALSE))</f>
        <v>Fora do DRE</v>
      </c>
      <c r="T2032" s="3" t="str">
        <f>IF(ISERROR(VLOOKUP(Base_Periodo1[[#This Row],[CONTA]],BaseContasDRE[#All],5,FALSE)),"Fora do DRE",VLOOKUP(Base_Periodo1[[#This Row],[CONTA]],BaseContasDRE[#All],6,FALSE))</f>
        <v>Fora do DRE</v>
      </c>
      <c r="U2032" s="3" t="str">
        <f>IF(ISERROR(VLOOKUP(Base_Periodo1[[#This Row],[CONTA]],BaseContasDRE[#All],7,FALSE)),"Fora do DRE",VLOOKUP(Base_Periodo1[[#This Row],[CONTA]],BaseContasDRE[#All],7,FALSE))</f>
        <v>Fora do DRE</v>
      </c>
      <c r="V2032" s="3" t="str">
        <f>IF(Base_Periodo1[[#This Row],[Tipo_Linha]]="Fora do DRE","Fora do DRE","( "&amp;Base_Periodo1[[#This Row],[Tipo_Linha]]&amp;" ) "&amp;Base_Periodo1[[#This Row],[Filtro]])</f>
        <v>Fora do DRE</v>
      </c>
      <c r="W2032" s="3" t="str">
        <f>LEFT(Base_Periodo1[[#This Row],[CLASS]],3)</f>
        <v>1.1</v>
      </c>
    </row>
    <row r="2033" spans="1:23" hidden="1">
      <c r="A2033" s="3" t="str">
        <f t="shared" si="31"/>
        <v>Período 1</v>
      </c>
      <c r="B2033">
        <v>1298</v>
      </c>
      <c r="C2033" t="s">
        <v>1606</v>
      </c>
      <c r="D2033" t="s">
        <v>1607</v>
      </c>
      <c r="E2033" s="3" t="str">
        <f>IF(LEN(Base_Periodo1[[#This Row],[CLASS]])&gt;=7,LEFT(Base_Periodo1[[#This Row],[CLASS]],7),"")</f>
        <v>1.1.5.1</v>
      </c>
      <c r="F2033" s="3" t="e">
        <f>VLOOKUP(Base_Periodo1[[#This Row],[Aux]],Base_Contas_Balanco[#All],2,FALSE)</f>
        <v>#N/A</v>
      </c>
      <c r="G2033" s="1"/>
      <c r="H2033" s="225">
        <v>1837494.9999785423</v>
      </c>
      <c r="I2033" s="225">
        <v>35509178.609999992</v>
      </c>
      <c r="J2033" s="225">
        <v>35424333.670000017</v>
      </c>
      <c r="K2033" s="225">
        <v>1922339.9399785176</v>
      </c>
      <c r="L20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1922339.94</v>
      </c>
      <c r="M2033" s="225">
        <f>ROUND(IF(AND(Base_Periodo1[[#This Row],[Tipo_Linha]]="-",Base_Periodo1[[#This Row],[TIPOSALDO]]="D"),Base_Periodo1[[#This Row],[SALDO_ATUAL]]*-1,Base_Periodo1[[#This Row],[SALDO_ATUAL]]),4)</f>
        <v>1922339.94</v>
      </c>
      <c r="N2033" t="s">
        <v>396</v>
      </c>
      <c r="O2033" t="s">
        <v>397</v>
      </c>
      <c r="P2033" t="s">
        <v>397</v>
      </c>
      <c r="Q2033">
        <v>4</v>
      </c>
      <c r="R2033" s="225">
        <f>Base_Periodo1[[#This Row],[CREDITOS]]-Base_Periodo1[[#This Row],[DEBITOS]]</f>
        <v>-84844.939999975264</v>
      </c>
      <c r="S2033" s="3" t="str">
        <f>IF(ISERROR(VLOOKUP(Base_Periodo1[[#This Row],[CONTA]],BaseContasDRE[#All],4,FALSE)),"Fora do DRE",VLOOKUP(Base_Periodo1[[#This Row],[CONTA]],BaseContasDRE[#All],4,FALSE))</f>
        <v>Fora do DRE</v>
      </c>
      <c r="T2033" s="3" t="str">
        <f>IF(ISERROR(VLOOKUP(Base_Periodo1[[#This Row],[CONTA]],BaseContasDRE[#All],5,FALSE)),"Fora do DRE",VLOOKUP(Base_Periodo1[[#This Row],[CONTA]],BaseContasDRE[#All],6,FALSE))</f>
        <v>Fora do DRE</v>
      </c>
      <c r="U2033" s="3" t="str">
        <f>IF(ISERROR(VLOOKUP(Base_Periodo1[[#This Row],[CONTA]],BaseContasDRE[#All],7,FALSE)),"Fora do DRE",VLOOKUP(Base_Periodo1[[#This Row],[CONTA]],BaseContasDRE[#All],7,FALSE))</f>
        <v>Fora do DRE</v>
      </c>
      <c r="V2033" s="3" t="str">
        <f>IF(Base_Periodo1[[#This Row],[Tipo_Linha]]="Fora do DRE","Fora do DRE","( "&amp;Base_Periodo1[[#This Row],[Tipo_Linha]]&amp;" ) "&amp;Base_Periodo1[[#This Row],[Filtro]])</f>
        <v>Fora do DRE</v>
      </c>
      <c r="W2033" s="3" t="str">
        <f>LEFT(Base_Periodo1[[#This Row],[CLASS]],3)</f>
        <v>1.1</v>
      </c>
    </row>
    <row r="2034" spans="1:23" hidden="1">
      <c r="A2034" s="3" t="str">
        <f t="shared" si="31"/>
        <v>Período 1</v>
      </c>
      <c r="B2034">
        <v>1299</v>
      </c>
      <c r="C2034" t="s">
        <v>1608</v>
      </c>
      <c r="D2034" t="s">
        <v>1607</v>
      </c>
      <c r="E2034" s="3" t="str">
        <f>IF(LEN(Base_Periodo1[[#This Row],[CLASS]])&gt;=7,LEFT(Base_Periodo1[[#This Row],[CLASS]],7),"")</f>
        <v>1.1.5.1</v>
      </c>
      <c r="F2034" s="3" t="e">
        <f>VLOOKUP(Base_Periodo1[[#This Row],[Aux]],Base_Contas_Balanco[#All],2,FALSE)</f>
        <v>#N/A</v>
      </c>
      <c r="G2034" s="1">
        <v>42886</v>
      </c>
      <c r="H2034" s="225">
        <v>1837494.9999785423</v>
      </c>
      <c r="I2034" s="225">
        <v>35509178.609999992</v>
      </c>
      <c r="J2034" s="225">
        <v>35424333.670000017</v>
      </c>
      <c r="K2034" s="225">
        <v>1922339.9399785176</v>
      </c>
      <c r="L20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1922339.94</v>
      </c>
      <c r="M2034" s="225">
        <f>ROUND(IF(AND(Base_Periodo1[[#This Row],[Tipo_Linha]]="-",Base_Periodo1[[#This Row],[TIPOSALDO]]="D"),Base_Periodo1[[#This Row],[SALDO_ATUAL]]*-1,Base_Periodo1[[#This Row],[SALDO_ATUAL]]),4)</f>
        <v>1922339.94</v>
      </c>
      <c r="N2034" t="s">
        <v>116</v>
      </c>
      <c r="O2034" t="s">
        <v>397</v>
      </c>
      <c r="P2034" t="s">
        <v>397</v>
      </c>
      <c r="Q2034">
        <v>5</v>
      </c>
      <c r="R2034" s="225">
        <f>Base_Periodo1[[#This Row],[CREDITOS]]-Base_Periodo1[[#This Row],[DEBITOS]]</f>
        <v>-84844.939999975264</v>
      </c>
      <c r="S2034" s="3" t="str">
        <f>IF(ISERROR(VLOOKUP(Base_Periodo1[[#This Row],[CONTA]],BaseContasDRE[#All],4,FALSE)),"Fora do DRE",VLOOKUP(Base_Periodo1[[#This Row],[CONTA]],BaseContasDRE[#All],4,FALSE))</f>
        <v>Fora do DRE</v>
      </c>
      <c r="T2034" s="3" t="str">
        <f>IF(ISERROR(VLOOKUP(Base_Periodo1[[#This Row],[CONTA]],BaseContasDRE[#All],5,FALSE)),"Fora do DRE",VLOOKUP(Base_Periodo1[[#This Row],[CONTA]],BaseContasDRE[#All],6,FALSE))</f>
        <v>Fora do DRE</v>
      </c>
      <c r="U2034" s="3" t="str">
        <f>IF(ISERROR(VLOOKUP(Base_Periodo1[[#This Row],[CONTA]],BaseContasDRE[#All],7,FALSE)),"Fora do DRE",VLOOKUP(Base_Periodo1[[#This Row],[CONTA]],BaseContasDRE[#All],7,FALSE))</f>
        <v>Fora do DRE</v>
      </c>
      <c r="V2034" s="3" t="str">
        <f>IF(Base_Periodo1[[#This Row],[Tipo_Linha]]="Fora do DRE","Fora do DRE","( "&amp;Base_Periodo1[[#This Row],[Tipo_Linha]]&amp;" ) "&amp;Base_Periodo1[[#This Row],[Filtro]])</f>
        <v>Fora do DRE</v>
      </c>
      <c r="W2034" s="3" t="str">
        <f>LEFT(Base_Periodo1[[#This Row],[CLASS]],3)</f>
        <v>1.1</v>
      </c>
    </row>
    <row r="2035" spans="1:23" hidden="1">
      <c r="A2035" s="3" t="str">
        <f t="shared" si="31"/>
        <v>Período 1</v>
      </c>
      <c r="B2035">
        <v>1300</v>
      </c>
      <c r="C2035" t="s">
        <v>1609</v>
      </c>
      <c r="D2035" t="s">
        <v>25</v>
      </c>
      <c r="E2035" s="3" t="str">
        <f>IF(LEN(Base_Periodo1[[#This Row],[CLASS]])&gt;=7,LEFT(Base_Periodo1[[#This Row],[CLASS]],7),"")</f>
        <v/>
      </c>
      <c r="F2035" s="3" t="e">
        <f>VLOOKUP(Base_Periodo1[[#This Row],[Aux]],Base_Contas_Balanco[#All],2,FALSE)</f>
        <v>#N/A</v>
      </c>
      <c r="G2035" s="1"/>
      <c r="H2035" s="225">
        <v>786555.10999996518</v>
      </c>
      <c r="I2035" s="225">
        <v>84350</v>
      </c>
      <c r="J2035" s="225">
        <v>366599.94</v>
      </c>
      <c r="K2035" s="225">
        <v>504305.16999996518</v>
      </c>
      <c r="L20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504305.17</v>
      </c>
      <c r="M2035" s="225">
        <f>ROUND(IF(AND(Base_Periodo1[[#This Row],[Tipo_Linha]]="-",Base_Periodo1[[#This Row],[TIPOSALDO]]="D"),Base_Periodo1[[#This Row],[SALDO_ATUAL]]*-1,Base_Periodo1[[#This Row],[SALDO_ATUAL]]),4)</f>
        <v>504305.17</v>
      </c>
      <c r="N2035" t="s">
        <v>396</v>
      </c>
      <c r="O2035" t="s">
        <v>397</v>
      </c>
      <c r="P2035" t="s">
        <v>397</v>
      </c>
      <c r="Q2035">
        <v>3</v>
      </c>
      <c r="R2035" s="225">
        <f>Base_Periodo1[[#This Row],[CREDITOS]]-Base_Periodo1[[#This Row],[DEBITOS]]</f>
        <v>282249.94</v>
      </c>
      <c r="S2035" s="3" t="str">
        <f>IF(ISERROR(VLOOKUP(Base_Periodo1[[#This Row],[CONTA]],BaseContasDRE[#All],4,FALSE)),"Fora do DRE",VLOOKUP(Base_Periodo1[[#This Row],[CONTA]],BaseContasDRE[#All],4,FALSE))</f>
        <v>Fora do DRE</v>
      </c>
      <c r="T2035" s="3" t="str">
        <f>IF(ISERROR(VLOOKUP(Base_Periodo1[[#This Row],[CONTA]],BaseContasDRE[#All],5,FALSE)),"Fora do DRE",VLOOKUP(Base_Periodo1[[#This Row],[CONTA]],BaseContasDRE[#All],6,FALSE))</f>
        <v>Fora do DRE</v>
      </c>
      <c r="U2035" s="3" t="str">
        <f>IF(ISERROR(VLOOKUP(Base_Periodo1[[#This Row],[CONTA]],BaseContasDRE[#All],7,FALSE)),"Fora do DRE",VLOOKUP(Base_Periodo1[[#This Row],[CONTA]],BaseContasDRE[#All],7,FALSE))</f>
        <v>Fora do DRE</v>
      </c>
      <c r="V2035" s="3" t="str">
        <f>IF(Base_Periodo1[[#This Row],[Tipo_Linha]]="Fora do DRE","Fora do DRE","( "&amp;Base_Periodo1[[#This Row],[Tipo_Linha]]&amp;" ) "&amp;Base_Periodo1[[#This Row],[Filtro]])</f>
        <v>Fora do DRE</v>
      </c>
      <c r="W2035" s="3" t="str">
        <f>LEFT(Base_Periodo1[[#This Row],[CLASS]],3)</f>
        <v>1.1</v>
      </c>
    </row>
    <row r="2036" spans="1:23" hidden="1">
      <c r="A2036" s="3" t="str">
        <f t="shared" si="31"/>
        <v>Período 1</v>
      </c>
      <c r="B2036">
        <v>1301</v>
      </c>
      <c r="C2036" t="s">
        <v>24</v>
      </c>
      <c r="D2036" t="s">
        <v>25</v>
      </c>
      <c r="E2036" s="3" t="str">
        <f>IF(LEN(Base_Periodo1[[#This Row],[CLASS]])&gt;=7,LEFT(Base_Periodo1[[#This Row],[CLASS]],7),"")</f>
        <v>1.1.6.1</v>
      </c>
      <c r="F2036" s="3" t="str">
        <f>VLOOKUP(Base_Periodo1[[#This Row],[Aux]],Base_Contas_Balanco[#All],2,FALSE)</f>
        <v>Estoque Em Poder de Terceiros</v>
      </c>
      <c r="G2036" s="1"/>
      <c r="H2036" s="225">
        <v>786555.10999996518</v>
      </c>
      <c r="I2036" s="225">
        <v>84350</v>
      </c>
      <c r="J2036" s="225">
        <v>366599.94</v>
      </c>
      <c r="K2036" s="225">
        <v>504305.16999996518</v>
      </c>
      <c r="L20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504305.17</v>
      </c>
      <c r="M2036" s="225">
        <f>ROUND(IF(AND(Base_Periodo1[[#This Row],[Tipo_Linha]]="-",Base_Periodo1[[#This Row],[TIPOSALDO]]="D"),Base_Periodo1[[#This Row],[SALDO_ATUAL]]*-1,Base_Periodo1[[#This Row],[SALDO_ATUAL]]),4)</f>
        <v>504305.17</v>
      </c>
      <c r="N2036" t="s">
        <v>396</v>
      </c>
      <c r="O2036" t="s">
        <v>397</v>
      </c>
      <c r="P2036" t="s">
        <v>397</v>
      </c>
      <c r="Q2036">
        <v>4</v>
      </c>
      <c r="R2036" s="225">
        <f>Base_Periodo1[[#This Row],[CREDITOS]]-Base_Periodo1[[#This Row],[DEBITOS]]</f>
        <v>282249.94</v>
      </c>
      <c r="S2036" s="3" t="str">
        <f>IF(ISERROR(VLOOKUP(Base_Periodo1[[#This Row],[CONTA]],BaseContasDRE[#All],4,FALSE)),"Fora do DRE",VLOOKUP(Base_Periodo1[[#This Row],[CONTA]],BaseContasDRE[#All],4,FALSE))</f>
        <v>Fora do DRE</v>
      </c>
      <c r="T2036" s="3" t="str">
        <f>IF(ISERROR(VLOOKUP(Base_Periodo1[[#This Row],[CONTA]],BaseContasDRE[#All],5,FALSE)),"Fora do DRE",VLOOKUP(Base_Periodo1[[#This Row],[CONTA]],BaseContasDRE[#All],6,FALSE))</f>
        <v>Fora do DRE</v>
      </c>
      <c r="U2036" s="3" t="str">
        <f>IF(ISERROR(VLOOKUP(Base_Periodo1[[#This Row],[CONTA]],BaseContasDRE[#All],7,FALSE)),"Fora do DRE",VLOOKUP(Base_Periodo1[[#This Row],[CONTA]],BaseContasDRE[#All],7,FALSE))</f>
        <v>Fora do DRE</v>
      </c>
      <c r="V2036" s="3" t="str">
        <f>IF(Base_Periodo1[[#This Row],[Tipo_Linha]]="Fora do DRE","Fora do DRE","( "&amp;Base_Periodo1[[#This Row],[Tipo_Linha]]&amp;" ) "&amp;Base_Periodo1[[#This Row],[Filtro]])</f>
        <v>Fora do DRE</v>
      </c>
      <c r="W2036" s="3" t="str">
        <f>LEFT(Base_Periodo1[[#This Row],[CLASS]],3)</f>
        <v>1.1</v>
      </c>
    </row>
    <row r="2037" spans="1:23" hidden="1">
      <c r="A2037" s="3" t="str">
        <f t="shared" si="31"/>
        <v>Período 1</v>
      </c>
      <c r="B2037">
        <v>1302</v>
      </c>
      <c r="C2037" t="s">
        <v>6320</v>
      </c>
      <c r="D2037" t="s">
        <v>1048</v>
      </c>
      <c r="E2037" s="3" t="str">
        <f>IF(LEN(Base_Periodo1[[#This Row],[CLASS]])&gt;=7,LEFT(Base_Periodo1[[#This Row],[CLASS]],7),"")</f>
        <v>1.1.6.1</v>
      </c>
      <c r="F2037" s="3" t="str">
        <f>VLOOKUP(Base_Periodo1[[#This Row],[Aux]],Base_Contas_Balanco[#All],2,FALSE)</f>
        <v>Estoque Em Poder de Terceiros</v>
      </c>
      <c r="G2037" s="1"/>
      <c r="H2037" s="225">
        <v>340000</v>
      </c>
      <c r="I2037" s="225">
        <v>0</v>
      </c>
      <c r="J2037" s="225">
        <v>339999.94</v>
      </c>
      <c r="K2037" s="225">
        <v>5.9999999997671694E-2</v>
      </c>
      <c r="L20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0.06</v>
      </c>
      <c r="M2037" s="225">
        <f>ROUND(IF(AND(Base_Periodo1[[#This Row],[Tipo_Linha]]="-",Base_Periodo1[[#This Row],[TIPOSALDO]]="D"),Base_Periodo1[[#This Row],[SALDO_ATUAL]]*-1,Base_Periodo1[[#This Row],[SALDO_ATUAL]]),4)</f>
        <v>0.06</v>
      </c>
      <c r="N2037" t="s">
        <v>396</v>
      </c>
      <c r="O2037" t="s">
        <v>397</v>
      </c>
      <c r="P2037" t="s">
        <v>397</v>
      </c>
      <c r="Q2037">
        <v>5</v>
      </c>
      <c r="R2037" s="225">
        <f>Base_Periodo1[[#This Row],[CREDITOS]]-Base_Periodo1[[#This Row],[DEBITOS]]</f>
        <v>339999.94</v>
      </c>
      <c r="S2037" s="3" t="str">
        <f>IF(ISERROR(VLOOKUP(Base_Periodo1[[#This Row],[CONTA]],BaseContasDRE[#All],4,FALSE)),"Fora do DRE",VLOOKUP(Base_Periodo1[[#This Row],[CONTA]],BaseContasDRE[#All],4,FALSE))</f>
        <v>Fora do DRE</v>
      </c>
      <c r="T2037" s="3" t="str">
        <f>IF(ISERROR(VLOOKUP(Base_Periodo1[[#This Row],[CONTA]],BaseContasDRE[#All],5,FALSE)),"Fora do DRE",VLOOKUP(Base_Periodo1[[#This Row],[CONTA]],BaseContasDRE[#All],6,FALSE))</f>
        <v>Fora do DRE</v>
      </c>
      <c r="U2037" s="3" t="str">
        <f>IF(ISERROR(VLOOKUP(Base_Periodo1[[#This Row],[CONTA]],BaseContasDRE[#All],7,FALSE)),"Fora do DRE",VLOOKUP(Base_Periodo1[[#This Row],[CONTA]],BaseContasDRE[#All],7,FALSE))</f>
        <v>Fora do DRE</v>
      </c>
      <c r="V2037" s="3" t="str">
        <f>IF(Base_Periodo1[[#This Row],[Tipo_Linha]]="Fora do DRE","Fora do DRE","( "&amp;Base_Periodo1[[#This Row],[Tipo_Linha]]&amp;" ) "&amp;Base_Periodo1[[#This Row],[Filtro]])</f>
        <v>Fora do DRE</v>
      </c>
      <c r="W2037" s="3" t="str">
        <f>LEFT(Base_Periodo1[[#This Row],[CLASS]],3)</f>
        <v>1.1</v>
      </c>
    </row>
    <row r="2038" spans="1:23" hidden="1">
      <c r="A2038" s="3" t="str">
        <f t="shared" si="31"/>
        <v>Período 1</v>
      </c>
      <c r="B2038">
        <v>1303</v>
      </c>
      <c r="C2038" t="s">
        <v>6321</v>
      </c>
      <c r="D2038" t="s">
        <v>1050</v>
      </c>
      <c r="E2038" s="3" t="str">
        <f>IF(LEN(Base_Periodo1[[#This Row],[CLASS]])&gt;=7,LEFT(Base_Periodo1[[#This Row],[CLASS]],7),"")</f>
        <v>1.1.6.1</v>
      </c>
      <c r="F2038" s="3" t="str">
        <f>VLOOKUP(Base_Periodo1[[#This Row],[Aux]],Base_Contas_Balanco[#All],2,FALSE)</f>
        <v>Estoque Em Poder de Terceiros</v>
      </c>
      <c r="G2038" s="1"/>
      <c r="H2038" s="225">
        <v>340000</v>
      </c>
      <c r="I2038" s="225">
        <v>0</v>
      </c>
      <c r="J2038" s="225">
        <v>339999.94</v>
      </c>
      <c r="K2038" s="225">
        <v>5.9999999997671694E-2</v>
      </c>
      <c r="L20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0.06</v>
      </c>
      <c r="M2038" s="225">
        <f>ROUND(IF(AND(Base_Periodo1[[#This Row],[Tipo_Linha]]="-",Base_Periodo1[[#This Row],[TIPOSALDO]]="D"),Base_Periodo1[[#This Row],[SALDO_ATUAL]]*-1,Base_Periodo1[[#This Row],[SALDO_ATUAL]]),4)</f>
        <v>0.06</v>
      </c>
      <c r="N2038" t="s">
        <v>396</v>
      </c>
      <c r="O2038" t="s">
        <v>397</v>
      </c>
      <c r="P2038" t="s">
        <v>397</v>
      </c>
      <c r="Q2038">
        <v>6</v>
      </c>
      <c r="R2038" s="225">
        <f>Base_Periodo1[[#This Row],[CREDITOS]]-Base_Periodo1[[#This Row],[DEBITOS]]</f>
        <v>339999.94</v>
      </c>
      <c r="S2038" s="3" t="str">
        <f>IF(ISERROR(VLOOKUP(Base_Periodo1[[#This Row],[CONTA]],BaseContasDRE[#All],4,FALSE)),"Fora do DRE",VLOOKUP(Base_Periodo1[[#This Row],[CONTA]],BaseContasDRE[#All],4,FALSE))</f>
        <v>Fora do DRE</v>
      </c>
      <c r="T2038" s="3" t="str">
        <f>IF(ISERROR(VLOOKUP(Base_Periodo1[[#This Row],[CONTA]],BaseContasDRE[#All],5,FALSE)),"Fora do DRE",VLOOKUP(Base_Periodo1[[#This Row],[CONTA]],BaseContasDRE[#All],6,FALSE))</f>
        <v>Fora do DRE</v>
      </c>
      <c r="U2038" s="3" t="str">
        <f>IF(ISERROR(VLOOKUP(Base_Periodo1[[#This Row],[CONTA]],BaseContasDRE[#All],7,FALSE)),"Fora do DRE",VLOOKUP(Base_Periodo1[[#This Row],[CONTA]],BaseContasDRE[#All],7,FALSE))</f>
        <v>Fora do DRE</v>
      </c>
      <c r="V2038" s="3" t="str">
        <f>IF(Base_Periodo1[[#This Row],[Tipo_Linha]]="Fora do DRE","Fora do DRE","( "&amp;Base_Periodo1[[#This Row],[Tipo_Linha]]&amp;" ) "&amp;Base_Periodo1[[#This Row],[Filtro]])</f>
        <v>Fora do DRE</v>
      </c>
      <c r="W2038" s="3" t="str">
        <f>LEFT(Base_Periodo1[[#This Row],[CLASS]],3)</f>
        <v>1.1</v>
      </c>
    </row>
    <row r="2039" spans="1:23" hidden="1">
      <c r="A2039" s="3" t="str">
        <f t="shared" si="31"/>
        <v>Período 1</v>
      </c>
      <c r="B2039">
        <v>1304</v>
      </c>
      <c r="C2039" t="s">
        <v>6322</v>
      </c>
      <c r="D2039" t="s">
        <v>1076</v>
      </c>
      <c r="E2039" s="3" t="str">
        <f>IF(LEN(Base_Periodo1[[#This Row],[CLASS]])&gt;=7,LEFT(Base_Periodo1[[#This Row],[CLASS]],7),"")</f>
        <v>1.1.6.1</v>
      </c>
      <c r="F2039" s="3" t="str">
        <f>VLOOKUP(Base_Periodo1[[#This Row],[Aux]],Base_Contas_Balanco[#All],2,FALSE)</f>
        <v>Estoque Em Poder de Terceiros</v>
      </c>
      <c r="G2039" s="1"/>
      <c r="H2039" s="225">
        <v>340000</v>
      </c>
      <c r="I2039" s="225">
        <v>0</v>
      </c>
      <c r="J2039" s="225">
        <v>339999.94</v>
      </c>
      <c r="K2039" s="225">
        <v>5.9999999997671694E-2</v>
      </c>
      <c r="L20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0.06</v>
      </c>
      <c r="M2039" s="225">
        <f>ROUND(IF(AND(Base_Periodo1[[#This Row],[Tipo_Linha]]="-",Base_Periodo1[[#This Row],[TIPOSALDO]]="D"),Base_Periodo1[[#This Row],[SALDO_ATUAL]]*-1,Base_Periodo1[[#This Row],[SALDO_ATUAL]]),4)</f>
        <v>0.06</v>
      </c>
      <c r="N2039" t="s">
        <v>396</v>
      </c>
      <c r="O2039" t="s">
        <v>397</v>
      </c>
      <c r="P2039" t="s">
        <v>397</v>
      </c>
      <c r="Q2039">
        <v>7</v>
      </c>
      <c r="R2039" s="225">
        <f>Base_Periodo1[[#This Row],[CREDITOS]]-Base_Periodo1[[#This Row],[DEBITOS]]</f>
        <v>339999.94</v>
      </c>
      <c r="S2039" s="3" t="str">
        <f>IF(ISERROR(VLOOKUP(Base_Periodo1[[#This Row],[CONTA]],BaseContasDRE[#All],4,FALSE)),"Fora do DRE",VLOOKUP(Base_Periodo1[[#This Row],[CONTA]],BaseContasDRE[#All],4,FALSE))</f>
        <v>Fora do DRE</v>
      </c>
      <c r="T2039" s="3" t="str">
        <f>IF(ISERROR(VLOOKUP(Base_Periodo1[[#This Row],[CONTA]],BaseContasDRE[#All],5,FALSE)),"Fora do DRE",VLOOKUP(Base_Periodo1[[#This Row],[CONTA]],BaseContasDRE[#All],6,FALSE))</f>
        <v>Fora do DRE</v>
      </c>
      <c r="U2039" s="3" t="str">
        <f>IF(ISERROR(VLOOKUP(Base_Periodo1[[#This Row],[CONTA]],BaseContasDRE[#All],7,FALSE)),"Fora do DRE",VLOOKUP(Base_Periodo1[[#This Row],[CONTA]],BaseContasDRE[#All],7,FALSE))</f>
        <v>Fora do DRE</v>
      </c>
      <c r="V2039" s="3" t="str">
        <f>IF(Base_Periodo1[[#This Row],[Tipo_Linha]]="Fora do DRE","Fora do DRE","( "&amp;Base_Periodo1[[#This Row],[Tipo_Linha]]&amp;" ) "&amp;Base_Periodo1[[#This Row],[Filtro]])</f>
        <v>Fora do DRE</v>
      </c>
      <c r="W2039" s="3" t="str">
        <f>LEFT(Base_Periodo1[[#This Row],[CLASS]],3)</f>
        <v>1.1</v>
      </c>
    </row>
    <row r="2040" spans="1:23" hidden="1">
      <c r="A2040" s="3" t="str">
        <f t="shared" si="31"/>
        <v>Período 1</v>
      </c>
      <c r="B2040">
        <v>1305</v>
      </c>
      <c r="C2040" t="s">
        <v>6323</v>
      </c>
      <c r="D2040" t="s">
        <v>1614</v>
      </c>
      <c r="E2040" s="3" t="str">
        <f>IF(LEN(Base_Periodo1[[#This Row],[CLASS]])&gt;=7,LEFT(Base_Periodo1[[#This Row],[CLASS]],7),"")</f>
        <v>1.1.6.1</v>
      </c>
      <c r="F2040" s="3" t="str">
        <f>VLOOKUP(Base_Periodo1[[#This Row],[Aux]],Base_Contas_Balanco[#All],2,FALSE)</f>
        <v>Estoque Em Poder de Terceiros</v>
      </c>
      <c r="G2040" s="1">
        <v>42866</v>
      </c>
      <c r="H2040" s="225">
        <v>340000</v>
      </c>
      <c r="I2040" s="225">
        <v>0</v>
      </c>
      <c r="J2040" s="225">
        <v>339999.94</v>
      </c>
      <c r="K2040" s="225">
        <v>5.9999999997671694E-2</v>
      </c>
      <c r="L20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0.06</v>
      </c>
      <c r="M2040" s="225">
        <f>ROUND(IF(AND(Base_Periodo1[[#This Row],[Tipo_Linha]]="-",Base_Periodo1[[#This Row],[TIPOSALDO]]="D"),Base_Periodo1[[#This Row],[SALDO_ATUAL]]*-1,Base_Periodo1[[#This Row],[SALDO_ATUAL]]),4)</f>
        <v>0.06</v>
      </c>
      <c r="N2040" t="s">
        <v>116</v>
      </c>
      <c r="O2040" t="s">
        <v>397</v>
      </c>
      <c r="P2040" t="s">
        <v>397</v>
      </c>
      <c r="Q2040">
        <v>8</v>
      </c>
      <c r="R2040" s="225">
        <f>Base_Periodo1[[#This Row],[CREDITOS]]-Base_Periodo1[[#This Row],[DEBITOS]]</f>
        <v>339999.94</v>
      </c>
      <c r="S2040" s="3" t="str">
        <f>IF(ISERROR(VLOOKUP(Base_Periodo1[[#This Row],[CONTA]],BaseContasDRE[#All],4,FALSE)),"Fora do DRE",VLOOKUP(Base_Periodo1[[#This Row],[CONTA]],BaseContasDRE[#All],4,FALSE))</f>
        <v>Fora do DRE</v>
      </c>
      <c r="T2040" s="3" t="str">
        <f>IF(ISERROR(VLOOKUP(Base_Periodo1[[#This Row],[CONTA]],BaseContasDRE[#All],5,FALSE)),"Fora do DRE",VLOOKUP(Base_Periodo1[[#This Row],[CONTA]],BaseContasDRE[#All],6,FALSE))</f>
        <v>Fora do DRE</v>
      </c>
      <c r="U2040" s="3" t="str">
        <f>IF(ISERROR(VLOOKUP(Base_Periodo1[[#This Row],[CONTA]],BaseContasDRE[#All],7,FALSE)),"Fora do DRE",VLOOKUP(Base_Periodo1[[#This Row],[CONTA]],BaseContasDRE[#All],7,FALSE))</f>
        <v>Fora do DRE</v>
      </c>
      <c r="V2040" s="3" t="str">
        <f>IF(Base_Periodo1[[#This Row],[Tipo_Linha]]="Fora do DRE","Fora do DRE","( "&amp;Base_Periodo1[[#This Row],[Tipo_Linha]]&amp;" ) "&amp;Base_Periodo1[[#This Row],[Filtro]])</f>
        <v>Fora do DRE</v>
      </c>
      <c r="W2040" s="3" t="str">
        <f>LEFT(Base_Periodo1[[#This Row],[CLASS]],3)</f>
        <v>1.1</v>
      </c>
    </row>
    <row r="2041" spans="1:23" hidden="1">
      <c r="A2041" s="3" t="str">
        <f t="shared" si="31"/>
        <v>Período 1</v>
      </c>
      <c r="B2041">
        <v>1308</v>
      </c>
      <c r="C2041" t="s">
        <v>1610</v>
      </c>
      <c r="D2041" t="s">
        <v>1152</v>
      </c>
      <c r="E2041" s="3" t="str">
        <f>IF(LEN(Base_Periodo1[[#This Row],[CLASS]])&gt;=7,LEFT(Base_Periodo1[[#This Row],[CLASS]],7),"")</f>
        <v>1.1.6.1</v>
      </c>
      <c r="F2041" s="3" t="str">
        <f>VLOOKUP(Base_Periodo1[[#This Row],[Aux]],Base_Contas_Balanco[#All],2,FALSE)</f>
        <v>Estoque Em Poder de Terceiros</v>
      </c>
      <c r="G2041" s="1"/>
      <c r="H2041" s="225">
        <v>446555.10999996512</v>
      </c>
      <c r="I2041" s="225">
        <v>84350</v>
      </c>
      <c r="J2041" s="225">
        <v>26600</v>
      </c>
      <c r="K2041" s="225">
        <v>504305.10999996518</v>
      </c>
      <c r="L20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504305.11</v>
      </c>
      <c r="M2041" s="225">
        <f>ROUND(IF(AND(Base_Periodo1[[#This Row],[Tipo_Linha]]="-",Base_Periodo1[[#This Row],[TIPOSALDO]]="D"),Base_Periodo1[[#This Row],[SALDO_ATUAL]]*-1,Base_Periodo1[[#This Row],[SALDO_ATUAL]]),4)</f>
        <v>504305.11</v>
      </c>
      <c r="N2041" t="s">
        <v>396</v>
      </c>
      <c r="O2041" t="s">
        <v>397</v>
      </c>
      <c r="P2041" t="s">
        <v>397</v>
      </c>
      <c r="Q2041">
        <v>5</v>
      </c>
      <c r="R2041" s="225">
        <f>Base_Periodo1[[#This Row],[CREDITOS]]-Base_Periodo1[[#This Row],[DEBITOS]]</f>
        <v>-57750</v>
      </c>
      <c r="S2041" s="3" t="str">
        <f>IF(ISERROR(VLOOKUP(Base_Periodo1[[#This Row],[CONTA]],BaseContasDRE[#All],4,FALSE)),"Fora do DRE",VLOOKUP(Base_Periodo1[[#This Row],[CONTA]],BaseContasDRE[#All],4,FALSE))</f>
        <v>Fora do DRE</v>
      </c>
      <c r="T2041" s="3" t="str">
        <f>IF(ISERROR(VLOOKUP(Base_Periodo1[[#This Row],[CONTA]],BaseContasDRE[#All],5,FALSE)),"Fora do DRE",VLOOKUP(Base_Periodo1[[#This Row],[CONTA]],BaseContasDRE[#All],6,FALSE))</f>
        <v>Fora do DRE</v>
      </c>
      <c r="U2041" s="3" t="str">
        <f>IF(ISERROR(VLOOKUP(Base_Periodo1[[#This Row],[CONTA]],BaseContasDRE[#All],7,FALSE)),"Fora do DRE",VLOOKUP(Base_Periodo1[[#This Row],[CONTA]],BaseContasDRE[#All],7,FALSE))</f>
        <v>Fora do DRE</v>
      </c>
      <c r="V2041" s="3" t="str">
        <f>IF(Base_Periodo1[[#This Row],[Tipo_Linha]]="Fora do DRE","Fora do DRE","( "&amp;Base_Periodo1[[#This Row],[Tipo_Linha]]&amp;" ) "&amp;Base_Periodo1[[#This Row],[Filtro]])</f>
        <v>Fora do DRE</v>
      </c>
      <c r="W2041" s="3" t="str">
        <f>LEFT(Base_Periodo1[[#This Row],[CLASS]],3)</f>
        <v>1.1</v>
      </c>
    </row>
    <row r="2042" spans="1:23" hidden="1">
      <c r="A2042" s="3" t="str">
        <f t="shared" si="31"/>
        <v>Período 1</v>
      </c>
      <c r="B2042">
        <v>1317</v>
      </c>
      <c r="C2042" t="s">
        <v>1611</v>
      </c>
      <c r="D2042" t="s">
        <v>1244</v>
      </c>
      <c r="E2042" s="3" t="str">
        <f>IF(LEN(Base_Periodo1[[#This Row],[CLASS]])&gt;=7,LEFT(Base_Periodo1[[#This Row],[CLASS]],7),"")</f>
        <v>1.1.6.1</v>
      </c>
      <c r="F2042" s="3" t="str">
        <f>VLOOKUP(Base_Periodo1[[#This Row],[Aux]],Base_Contas_Balanco[#All],2,FALSE)</f>
        <v>Estoque Em Poder de Terceiros</v>
      </c>
      <c r="G2042" s="1"/>
      <c r="H2042" s="225">
        <v>155695.4999999979</v>
      </c>
      <c r="I2042" s="225">
        <v>84350</v>
      </c>
      <c r="J2042" s="225">
        <v>26600</v>
      </c>
      <c r="K2042" s="225">
        <v>213445.4999999979</v>
      </c>
      <c r="L20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213445.5</v>
      </c>
      <c r="M2042" s="225">
        <f>ROUND(IF(AND(Base_Periodo1[[#This Row],[Tipo_Linha]]="-",Base_Periodo1[[#This Row],[TIPOSALDO]]="D"),Base_Periodo1[[#This Row],[SALDO_ATUAL]]*-1,Base_Periodo1[[#This Row],[SALDO_ATUAL]]),4)</f>
        <v>213445.5</v>
      </c>
      <c r="N2042" t="s">
        <v>396</v>
      </c>
      <c r="O2042" t="s">
        <v>397</v>
      </c>
      <c r="P2042" t="s">
        <v>397</v>
      </c>
      <c r="Q2042">
        <v>6</v>
      </c>
      <c r="R2042" s="225">
        <f>Base_Periodo1[[#This Row],[CREDITOS]]-Base_Periodo1[[#This Row],[DEBITOS]]</f>
        <v>-57750</v>
      </c>
      <c r="S2042" s="3" t="str">
        <f>IF(ISERROR(VLOOKUP(Base_Periodo1[[#This Row],[CONTA]],BaseContasDRE[#All],4,FALSE)),"Fora do DRE",VLOOKUP(Base_Periodo1[[#This Row],[CONTA]],BaseContasDRE[#All],4,FALSE))</f>
        <v>Fora do DRE</v>
      </c>
      <c r="T2042" s="3" t="str">
        <f>IF(ISERROR(VLOOKUP(Base_Periodo1[[#This Row],[CONTA]],BaseContasDRE[#All],5,FALSE)),"Fora do DRE",VLOOKUP(Base_Periodo1[[#This Row],[CONTA]],BaseContasDRE[#All],6,FALSE))</f>
        <v>Fora do DRE</v>
      </c>
      <c r="U2042" s="3" t="str">
        <f>IF(ISERROR(VLOOKUP(Base_Periodo1[[#This Row],[CONTA]],BaseContasDRE[#All],7,FALSE)),"Fora do DRE",VLOOKUP(Base_Periodo1[[#This Row],[CONTA]],BaseContasDRE[#All],7,FALSE))</f>
        <v>Fora do DRE</v>
      </c>
      <c r="V2042" s="3" t="str">
        <f>IF(Base_Periodo1[[#This Row],[Tipo_Linha]]="Fora do DRE","Fora do DRE","( "&amp;Base_Periodo1[[#This Row],[Tipo_Linha]]&amp;" ) "&amp;Base_Periodo1[[#This Row],[Filtro]])</f>
        <v>Fora do DRE</v>
      </c>
      <c r="W2042" s="3" t="str">
        <f>LEFT(Base_Periodo1[[#This Row],[CLASS]],3)</f>
        <v>1.1</v>
      </c>
    </row>
    <row r="2043" spans="1:23" hidden="1">
      <c r="A2043" s="3" t="str">
        <f t="shared" si="31"/>
        <v>Período 1</v>
      </c>
      <c r="B2043">
        <v>1318</v>
      </c>
      <c r="C2043" t="s">
        <v>1612</v>
      </c>
      <c r="D2043" t="s">
        <v>1245</v>
      </c>
      <c r="E2043" s="3" t="str">
        <f>IF(LEN(Base_Periodo1[[#This Row],[CLASS]])&gt;=7,LEFT(Base_Periodo1[[#This Row],[CLASS]],7),"")</f>
        <v>1.1.6.1</v>
      </c>
      <c r="F2043" s="3" t="str">
        <f>VLOOKUP(Base_Periodo1[[#This Row],[Aux]],Base_Contas_Balanco[#All],2,FALSE)</f>
        <v>Estoque Em Poder de Terceiros</v>
      </c>
      <c r="G2043" s="1"/>
      <c r="H2043" s="225">
        <v>64196.199999999953</v>
      </c>
      <c r="I2043" s="225">
        <v>0</v>
      </c>
      <c r="J2043" s="225">
        <v>0</v>
      </c>
      <c r="K2043" s="225">
        <v>64196.199999999953</v>
      </c>
      <c r="L20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64196.2</v>
      </c>
      <c r="M2043" s="225">
        <f>ROUND(IF(AND(Base_Periodo1[[#This Row],[Tipo_Linha]]="-",Base_Periodo1[[#This Row],[TIPOSALDO]]="D"),Base_Periodo1[[#This Row],[SALDO_ATUAL]]*-1,Base_Periodo1[[#This Row],[SALDO_ATUAL]]),4)</f>
        <v>64196.2</v>
      </c>
      <c r="N2043" t="s">
        <v>396</v>
      </c>
      <c r="O2043" t="s">
        <v>397</v>
      </c>
      <c r="P2043" t="s">
        <v>397</v>
      </c>
      <c r="Q2043">
        <v>7</v>
      </c>
      <c r="R2043" s="225">
        <f>Base_Periodo1[[#This Row],[CREDITOS]]-Base_Periodo1[[#This Row],[DEBITOS]]</f>
        <v>0</v>
      </c>
      <c r="S2043" s="3" t="str">
        <f>IF(ISERROR(VLOOKUP(Base_Periodo1[[#This Row],[CONTA]],BaseContasDRE[#All],4,FALSE)),"Fora do DRE",VLOOKUP(Base_Periodo1[[#This Row],[CONTA]],BaseContasDRE[#All],4,FALSE))</f>
        <v>Fora do DRE</v>
      </c>
      <c r="T2043" s="3" t="str">
        <f>IF(ISERROR(VLOOKUP(Base_Periodo1[[#This Row],[CONTA]],BaseContasDRE[#All],5,FALSE)),"Fora do DRE",VLOOKUP(Base_Periodo1[[#This Row],[CONTA]],BaseContasDRE[#All],6,FALSE))</f>
        <v>Fora do DRE</v>
      </c>
      <c r="U2043" s="3" t="str">
        <f>IF(ISERROR(VLOOKUP(Base_Periodo1[[#This Row],[CONTA]],BaseContasDRE[#All],7,FALSE)),"Fora do DRE",VLOOKUP(Base_Periodo1[[#This Row],[CONTA]],BaseContasDRE[#All],7,FALSE))</f>
        <v>Fora do DRE</v>
      </c>
      <c r="V2043" s="3" t="str">
        <f>IF(Base_Periodo1[[#This Row],[Tipo_Linha]]="Fora do DRE","Fora do DRE","( "&amp;Base_Periodo1[[#This Row],[Tipo_Linha]]&amp;" ) "&amp;Base_Periodo1[[#This Row],[Filtro]])</f>
        <v>Fora do DRE</v>
      </c>
      <c r="W2043" s="3" t="str">
        <f>LEFT(Base_Periodo1[[#This Row],[CLASS]],3)</f>
        <v>1.1</v>
      </c>
    </row>
    <row r="2044" spans="1:23" hidden="1">
      <c r="A2044" s="3" t="str">
        <f t="shared" si="31"/>
        <v>Período 1</v>
      </c>
      <c r="B2044">
        <v>1319</v>
      </c>
      <c r="C2044" t="s">
        <v>1613</v>
      </c>
      <c r="D2044" t="s">
        <v>1614</v>
      </c>
      <c r="E2044" s="3" t="str">
        <f>IF(LEN(Base_Periodo1[[#This Row],[CLASS]])&gt;=7,LEFT(Base_Periodo1[[#This Row],[CLASS]],7),"")</f>
        <v>1.1.6.1</v>
      </c>
      <c r="F2044" s="3" t="str">
        <f>VLOOKUP(Base_Periodo1[[#This Row],[Aux]],Base_Contas_Balanco[#All],2,FALSE)</f>
        <v>Estoque Em Poder de Terceiros</v>
      </c>
      <c r="G2044" s="1">
        <v>42269</v>
      </c>
      <c r="H2044" s="225">
        <v>17400</v>
      </c>
      <c r="I2044" s="225">
        <v>0</v>
      </c>
      <c r="J2044" s="225">
        <v>0</v>
      </c>
      <c r="K2044" s="225">
        <v>17400</v>
      </c>
      <c r="L20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17400</v>
      </c>
      <c r="M2044" s="225">
        <f>ROUND(IF(AND(Base_Periodo1[[#This Row],[Tipo_Linha]]="-",Base_Periodo1[[#This Row],[TIPOSALDO]]="D"),Base_Periodo1[[#This Row],[SALDO_ATUAL]]*-1,Base_Periodo1[[#This Row],[SALDO_ATUAL]]),4)</f>
        <v>17400</v>
      </c>
      <c r="N2044" t="s">
        <v>116</v>
      </c>
      <c r="O2044" t="s">
        <v>397</v>
      </c>
      <c r="P2044" t="s">
        <v>397</v>
      </c>
      <c r="Q2044">
        <v>8</v>
      </c>
      <c r="R2044" s="225">
        <f>Base_Periodo1[[#This Row],[CREDITOS]]-Base_Periodo1[[#This Row],[DEBITOS]]</f>
        <v>0</v>
      </c>
      <c r="S2044" s="3" t="str">
        <f>IF(ISERROR(VLOOKUP(Base_Periodo1[[#This Row],[CONTA]],BaseContasDRE[#All],4,FALSE)),"Fora do DRE",VLOOKUP(Base_Periodo1[[#This Row],[CONTA]],BaseContasDRE[#All],4,FALSE))</f>
        <v>Fora do DRE</v>
      </c>
      <c r="T2044" s="3" t="str">
        <f>IF(ISERROR(VLOOKUP(Base_Periodo1[[#This Row],[CONTA]],BaseContasDRE[#All],5,FALSE)),"Fora do DRE",VLOOKUP(Base_Periodo1[[#This Row],[CONTA]],BaseContasDRE[#All],6,FALSE))</f>
        <v>Fora do DRE</v>
      </c>
      <c r="U2044" s="3" t="str">
        <f>IF(ISERROR(VLOOKUP(Base_Periodo1[[#This Row],[CONTA]],BaseContasDRE[#All],7,FALSE)),"Fora do DRE",VLOOKUP(Base_Periodo1[[#This Row],[CONTA]],BaseContasDRE[#All],7,FALSE))</f>
        <v>Fora do DRE</v>
      </c>
      <c r="V2044" s="3" t="str">
        <f>IF(Base_Periodo1[[#This Row],[Tipo_Linha]]="Fora do DRE","Fora do DRE","( "&amp;Base_Periodo1[[#This Row],[Tipo_Linha]]&amp;" ) "&amp;Base_Periodo1[[#This Row],[Filtro]])</f>
        <v>Fora do DRE</v>
      </c>
      <c r="W2044" s="3" t="str">
        <f>LEFT(Base_Periodo1[[#This Row],[CLASS]],3)</f>
        <v>1.1</v>
      </c>
    </row>
    <row r="2045" spans="1:23" hidden="1">
      <c r="A2045" s="3" t="str">
        <f t="shared" si="31"/>
        <v>Período 1</v>
      </c>
      <c r="B2045">
        <v>1320</v>
      </c>
      <c r="C2045" t="s">
        <v>1615</v>
      </c>
      <c r="D2045" t="s">
        <v>1616</v>
      </c>
      <c r="E2045" s="3" t="str">
        <f>IF(LEN(Base_Periodo1[[#This Row],[CLASS]])&gt;=7,LEFT(Base_Periodo1[[#This Row],[CLASS]],7),"")</f>
        <v>1.1.6.1</v>
      </c>
      <c r="F2045" s="3" t="str">
        <f>VLOOKUP(Base_Periodo1[[#This Row],[Aux]],Base_Contas_Balanco[#All],2,FALSE)</f>
        <v>Estoque Em Poder de Terceiros</v>
      </c>
      <c r="G2045" s="1">
        <v>42684</v>
      </c>
      <c r="H2045" s="225">
        <v>46796.199999999953</v>
      </c>
      <c r="I2045" s="225">
        <v>0</v>
      </c>
      <c r="J2045" s="225">
        <v>0</v>
      </c>
      <c r="K2045" s="225">
        <v>46796.199999999953</v>
      </c>
      <c r="L20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46796.2</v>
      </c>
      <c r="M2045" s="225">
        <f>ROUND(IF(AND(Base_Periodo1[[#This Row],[Tipo_Linha]]="-",Base_Periodo1[[#This Row],[TIPOSALDO]]="D"),Base_Periodo1[[#This Row],[SALDO_ATUAL]]*-1,Base_Periodo1[[#This Row],[SALDO_ATUAL]]),4)</f>
        <v>46796.2</v>
      </c>
      <c r="N2045" t="s">
        <v>116</v>
      </c>
      <c r="O2045" t="s">
        <v>397</v>
      </c>
      <c r="P2045" t="s">
        <v>397</v>
      </c>
      <c r="Q2045">
        <v>8</v>
      </c>
      <c r="R2045" s="225">
        <f>Base_Periodo1[[#This Row],[CREDITOS]]-Base_Periodo1[[#This Row],[DEBITOS]]</f>
        <v>0</v>
      </c>
      <c r="S2045" s="3" t="str">
        <f>IF(ISERROR(VLOOKUP(Base_Periodo1[[#This Row],[CONTA]],BaseContasDRE[#All],4,FALSE)),"Fora do DRE",VLOOKUP(Base_Periodo1[[#This Row],[CONTA]],BaseContasDRE[#All],4,FALSE))</f>
        <v>Fora do DRE</v>
      </c>
      <c r="T2045" s="3" t="str">
        <f>IF(ISERROR(VLOOKUP(Base_Periodo1[[#This Row],[CONTA]],BaseContasDRE[#All],5,FALSE)),"Fora do DRE",VLOOKUP(Base_Periodo1[[#This Row],[CONTA]],BaseContasDRE[#All],6,FALSE))</f>
        <v>Fora do DRE</v>
      </c>
      <c r="U2045" s="3" t="str">
        <f>IF(ISERROR(VLOOKUP(Base_Periodo1[[#This Row],[CONTA]],BaseContasDRE[#All],7,FALSE)),"Fora do DRE",VLOOKUP(Base_Periodo1[[#This Row],[CONTA]],BaseContasDRE[#All],7,FALSE))</f>
        <v>Fora do DRE</v>
      </c>
      <c r="V2045" s="3" t="str">
        <f>IF(Base_Periodo1[[#This Row],[Tipo_Linha]]="Fora do DRE","Fora do DRE","( "&amp;Base_Periodo1[[#This Row],[Tipo_Linha]]&amp;" ) "&amp;Base_Periodo1[[#This Row],[Filtro]])</f>
        <v>Fora do DRE</v>
      </c>
      <c r="W2045" s="3" t="str">
        <f>LEFT(Base_Periodo1[[#This Row],[CLASS]],3)</f>
        <v>1.1</v>
      </c>
    </row>
    <row r="2046" spans="1:23" hidden="1">
      <c r="A2046" s="3" t="str">
        <f t="shared" si="31"/>
        <v>Período 1</v>
      </c>
      <c r="B2046">
        <v>1321</v>
      </c>
      <c r="C2046" t="s">
        <v>1617</v>
      </c>
      <c r="D2046" t="s">
        <v>1258</v>
      </c>
      <c r="E2046" s="3" t="str">
        <f>IF(LEN(Base_Periodo1[[#This Row],[CLASS]])&gt;=7,LEFT(Base_Periodo1[[#This Row],[CLASS]],7),"")</f>
        <v>1.1.6.1</v>
      </c>
      <c r="F2046" s="3" t="str">
        <f>VLOOKUP(Base_Periodo1[[#This Row],[Aux]],Base_Contas_Balanco[#All],2,FALSE)</f>
        <v>Estoque Em Poder de Terceiros</v>
      </c>
      <c r="G2046" s="1"/>
      <c r="H2046" s="225">
        <v>86851.299999997951</v>
      </c>
      <c r="I2046" s="225">
        <v>0</v>
      </c>
      <c r="J2046" s="225">
        <v>0</v>
      </c>
      <c r="K2046" s="225">
        <v>86851.299999997951</v>
      </c>
      <c r="L20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86851.3</v>
      </c>
      <c r="M2046" s="225">
        <f>ROUND(IF(AND(Base_Periodo1[[#This Row],[Tipo_Linha]]="-",Base_Periodo1[[#This Row],[TIPOSALDO]]="D"),Base_Periodo1[[#This Row],[SALDO_ATUAL]]*-1,Base_Periodo1[[#This Row],[SALDO_ATUAL]]),4)</f>
        <v>86851.3</v>
      </c>
      <c r="N2046" t="s">
        <v>396</v>
      </c>
      <c r="O2046" t="s">
        <v>397</v>
      </c>
      <c r="P2046" t="s">
        <v>397</v>
      </c>
      <c r="Q2046">
        <v>7</v>
      </c>
      <c r="R2046" s="225">
        <f>Base_Periodo1[[#This Row],[CREDITOS]]-Base_Periodo1[[#This Row],[DEBITOS]]</f>
        <v>0</v>
      </c>
      <c r="S2046" s="3" t="str">
        <f>IF(ISERROR(VLOOKUP(Base_Periodo1[[#This Row],[CONTA]],BaseContasDRE[#All],4,FALSE)),"Fora do DRE",VLOOKUP(Base_Periodo1[[#This Row],[CONTA]],BaseContasDRE[#All],4,FALSE))</f>
        <v>Fora do DRE</v>
      </c>
      <c r="T2046" s="3" t="str">
        <f>IF(ISERROR(VLOOKUP(Base_Periodo1[[#This Row],[CONTA]],BaseContasDRE[#All],5,FALSE)),"Fora do DRE",VLOOKUP(Base_Periodo1[[#This Row],[CONTA]],BaseContasDRE[#All],6,FALSE))</f>
        <v>Fora do DRE</v>
      </c>
      <c r="U2046" s="3" t="str">
        <f>IF(ISERROR(VLOOKUP(Base_Periodo1[[#This Row],[CONTA]],BaseContasDRE[#All],7,FALSE)),"Fora do DRE",VLOOKUP(Base_Periodo1[[#This Row],[CONTA]],BaseContasDRE[#All],7,FALSE))</f>
        <v>Fora do DRE</v>
      </c>
      <c r="V2046" s="3" t="str">
        <f>IF(Base_Periodo1[[#This Row],[Tipo_Linha]]="Fora do DRE","Fora do DRE","( "&amp;Base_Periodo1[[#This Row],[Tipo_Linha]]&amp;" ) "&amp;Base_Periodo1[[#This Row],[Filtro]])</f>
        <v>Fora do DRE</v>
      </c>
      <c r="W2046" s="3" t="str">
        <f>LEFT(Base_Periodo1[[#This Row],[CLASS]],3)</f>
        <v>1.1</v>
      </c>
    </row>
    <row r="2047" spans="1:23" hidden="1">
      <c r="A2047" s="3" t="str">
        <f t="shared" si="31"/>
        <v>Período 1</v>
      </c>
      <c r="B2047">
        <v>1322</v>
      </c>
      <c r="C2047" t="s">
        <v>1618</v>
      </c>
      <c r="D2047" t="s">
        <v>1614</v>
      </c>
      <c r="E2047" s="3" t="str">
        <f>IF(LEN(Base_Periodo1[[#This Row],[CLASS]])&gt;=7,LEFT(Base_Periodo1[[#This Row],[CLASS]],7),"")</f>
        <v>1.1.6.1</v>
      </c>
      <c r="F2047" s="3" t="str">
        <f>VLOOKUP(Base_Periodo1[[#This Row],[Aux]],Base_Contas_Balanco[#All],2,FALSE)</f>
        <v>Estoque Em Poder de Terceiros</v>
      </c>
      <c r="G2047" s="1">
        <v>41898</v>
      </c>
      <c r="H2047" s="225">
        <v>86851.299999997951</v>
      </c>
      <c r="I2047" s="225">
        <v>0</v>
      </c>
      <c r="J2047" s="225">
        <v>0</v>
      </c>
      <c r="K2047" s="225">
        <v>86851.299999997951</v>
      </c>
      <c r="L20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86851.3</v>
      </c>
      <c r="M2047" s="225">
        <f>ROUND(IF(AND(Base_Periodo1[[#This Row],[Tipo_Linha]]="-",Base_Periodo1[[#This Row],[TIPOSALDO]]="D"),Base_Periodo1[[#This Row],[SALDO_ATUAL]]*-1,Base_Periodo1[[#This Row],[SALDO_ATUAL]]),4)</f>
        <v>86851.3</v>
      </c>
      <c r="N2047" t="s">
        <v>116</v>
      </c>
      <c r="O2047" t="s">
        <v>397</v>
      </c>
      <c r="P2047" t="s">
        <v>397</v>
      </c>
      <c r="Q2047">
        <v>8</v>
      </c>
      <c r="R2047" s="225">
        <f>Base_Periodo1[[#This Row],[CREDITOS]]-Base_Periodo1[[#This Row],[DEBITOS]]</f>
        <v>0</v>
      </c>
      <c r="S2047" s="3" t="str">
        <f>IF(ISERROR(VLOOKUP(Base_Periodo1[[#This Row],[CONTA]],BaseContasDRE[#All],4,FALSE)),"Fora do DRE",VLOOKUP(Base_Periodo1[[#This Row],[CONTA]],BaseContasDRE[#All],4,FALSE))</f>
        <v>Fora do DRE</v>
      </c>
      <c r="T2047" s="3" t="str">
        <f>IF(ISERROR(VLOOKUP(Base_Periodo1[[#This Row],[CONTA]],BaseContasDRE[#All],5,FALSE)),"Fora do DRE",VLOOKUP(Base_Periodo1[[#This Row],[CONTA]],BaseContasDRE[#All],6,FALSE))</f>
        <v>Fora do DRE</v>
      </c>
      <c r="U2047" s="3" t="str">
        <f>IF(ISERROR(VLOOKUP(Base_Periodo1[[#This Row],[CONTA]],BaseContasDRE[#All],7,FALSE)),"Fora do DRE",VLOOKUP(Base_Periodo1[[#This Row],[CONTA]],BaseContasDRE[#All],7,FALSE))</f>
        <v>Fora do DRE</v>
      </c>
      <c r="V2047" s="3" t="str">
        <f>IF(Base_Periodo1[[#This Row],[Tipo_Linha]]="Fora do DRE","Fora do DRE","( "&amp;Base_Periodo1[[#This Row],[Tipo_Linha]]&amp;" ) "&amp;Base_Periodo1[[#This Row],[Filtro]])</f>
        <v>Fora do DRE</v>
      </c>
      <c r="W2047" s="3" t="str">
        <f>LEFT(Base_Periodo1[[#This Row],[CLASS]],3)</f>
        <v>1.1</v>
      </c>
    </row>
    <row r="2048" spans="1:23" hidden="1">
      <c r="A2048" s="3" t="str">
        <f t="shared" si="31"/>
        <v>Período 1</v>
      </c>
      <c r="B2048">
        <v>1324</v>
      </c>
      <c r="C2048" t="s">
        <v>1619</v>
      </c>
      <c r="D2048" t="s">
        <v>1272</v>
      </c>
      <c r="E2048" s="3" t="str">
        <f>IF(LEN(Base_Periodo1[[#This Row],[CLASS]])&gt;=7,LEFT(Base_Periodo1[[#This Row],[CLASS]],7),"")</f>
        <v>1.1.6.1</v>
      </c>
      <c r="F2048" s="3" t="str">
        <f>VLOOKUP(Base_Periodo1[[#This Row],[Aux]],Base_Contas_Balanco[#All],2,FALSE)</f>
        <v>Estoque Em Poder de Terceiros</v>
      </c>
      <c r="G2048" s="1"/>
      <c r="H2048" s="225">
        <v>4648</v>
      </c>
      <c r="I2048" s="225">
        <v>26600</v>
      </c>
      <c r="J2048" s="225">
        <v>26600</v>
      </c>
      <c r="K2048" s="225">
        <v>4648</v>
      </c>
      <c r="L20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4648</v>
      </c>
      <c r="M2048" s="225">
        <f>ROUND(IF(AND(Base_Periodo1[[#This Row],[Tipo_Linha]]="-",Base_Periodo1[[#This Row],[TIPOSALDO]]="D"),Base_Periodo1[[#This Row],[SALDO_ATUAL]]*-1,Base_Periodo1[[#This Row],[SALDO_ATUAL]]),4)</f>
        <v>4648</v>
      </c>
      <c r="N2048" t="s">
        <v>396</v>
      </c>
      <c r="O2048" t="s">
        <v>397</v>
      </c>
      <c r="P2048" t="s">
        <v>397</v>
      </c>
      <c r="Q2048">
        <v>7</v>
      </c>
      <c r="R2048" s="225">
        <f>Base_Periodo1[[#This Row],[CREDITOS]]-Base_Periodo1[[#This Row],[DEBITOS]]</f>
        <v>0</v>
      </c>
      <c r="S2048" s="3" t="str">
        <f>IF(ISERROR(VLOOKUP(Base_Periodo1[[#This Row],[CONTA]],BaseContasDRE[#All],4,FALSE)),"Fora do DRE",VLOOKUP(Base_Periodo1[[#This Row],[CONTA]],BaseContasDRE[#All],4,FALSE))</f>
        <v>Fora do DRE</v>
      </c>
      <c r="T2048" s="3" t="str">
        <f>IF(ISERROR(VLOOKUP(Base_Periodo1[[#This Row],[CONTA]],BaseContasDRE[#All],5,FALSE)),"Fora do DRE",VLOOKUP(Base_Periodo1[[#This Row],[CONTA]],BaseContasDRE[#All],6,FALSE))</f>
        <v>Fora do DRE</v>
      </c>
      <c r="U2048" s="3" t="str">
        <f>IF(ISERROR(VLOOKUP(Base_Periodo1[[#This Row],[CONTA]],BaseContasDRE[#All],7,FALSE)),"Fora do DRE",VLOOKUP(Base_Periodo1[[#This Row],[CONTA]],BaseContasDRE[#All],7,FALSE))</f>
        <v>Fora do DRE</v>
      </c>
      <c r="V2048" s="3" t="str">
        <f>IF(Base_Periodo1[[#This Row],[Tipo_Linha]]="Fora do DRE","Fora do DRE","( "&amp;Base_Periodo1[[#This Row],[Tipo_Linha]]&amp;" ) "&amp;Base_Periodo1[[#This Row],[Filtro]])</f>
        <v>Fora do DRE</v>
      </c>
      <c r="W2048" s="3" t="str">
        <f>LEFT(Base_Periodo1[[#This Row],[CLASS]],3)</f>
        <v>1.1</v>
      </c>
    </row>
    <row r="2049" spans="1:23" hidden="1">
      <c r="A2049" s="3" t="str">
        <f t="shared" si="31"/>
        <v>Período 1</v>
      </c>
      <c r="B2049">
        <v>1325</v>
      </c>
      <c r="C2049" t="s">
        <v>1620</v>
      </c>
      <c r="D2049" t="s">
        <v>1614</v>
      </c>
      <c r="E2049" s="3" t="str">
        <f>IF(LEN(Base_Periodo1[[#This Row],[CLASS]])&gt;=7,LEFT(Base_Periodo1[[#This Row],[CLASS]],7),"")</f>
        <v>1.1.6.1</v>
      </c>
      <c r="F2049" s="3" t="str">
        <f>VLOOKUP(Base_Periodo1[[#This Row],[Aux]],Base_Contas_Balanco[#All],2,FALSE)</f>
        <v>Estoque Em Poder de Terceiros</v>
      </c>
      <c r="G2049" s="1">
        <v>42410</v>
      </c>
      <c r="H2049" s="225">
        <v>4648</v>
      </c>
      <c r="I2049" s="225">
        <v>0</v>
      </c>
      <c r="J2049" s="225">
        <v>0</v>
      </c>
      <c r="K2049" s="225">
        <v>4648</v>
      </c>
      <c r="L20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4648</v>
      </c>
      <c r="M2049" s="225">
        <f>ROUND(IF(AND(Base_Periodo1[[#This Row],[Tipo_Linha]]="-",Base_Periodo1[[#This Row],[TIPOSALDO]]="D"),Base_Periodo1[[#This Row],[SALDO_ATUAL]]*-1,Base_Periodo1[[#This Row],[SALDO_ATUAL]]),4)</f>
        <v>4648</v>
      </c>
      <c r="N2049" t="s">
        <v>116</v>
      </c>
      <c r="O2049" t="s">
        <v>397</v>
      </c>
      <c r="P2049" t="s">
        <v>397</v>
      </c>
      <c r="Q2049">
        <v>8</v>
      </c>
      <c r="R2049" s="225">
        <f>Base_Periodo1[[#This Row],[CREDITOS]]-Base_Periodo1[[#This Row],[DEBITOS]]</f>
        <v>0</v>
      </c>
      <c r="S2049" s="3" t="str">
        <f>IF(ISERROR(VLOOKUP(Base_Periodo1[[#This Row],[CONTA]],BaseContasDRE[#All],4,FALSE)),"Fora do DRE",VLOOKUP(Base_Periodo1[[#This Row],[CONTA]],BaseContasDRE[#All],4,FALSE))</f>
        <v>Fora do DRE</v>
      </c>
      <c r="T2049" s="3" t="str">
        <f>IF(ISERROR(VLOOKUP(Base_Periodo1[[#This Row],[CONTA]],BaseContasDRE[#All],5,FALSE)),"Fora do DRE",VLOOKUP(Base_Periodo1[[#This Row],[CONTA]],BaseContasDRE[#All],6,FALSE))</f>
        <v>Fora do DRE</v>
      </c>
      <c r="U2049" s="3" t="str">
        <f>IF(ISERROR(VLOOKUP(Base_Periodo1[[#This Row],[CONTA]],BaseContasDRE[#All],7,FALSE)),"Fora do DRE",VLOOKUP(Base_Periodo1[[#This Row],[CONTA]],BaseContasDRE[#All],7,FALSE))</f>
        <v>Fora do DRE</v>
      </c>
      <c r="V2049" s="3" t="str">
        <f>IF(Base_Periodo1[[#This Row],[Tipo_Linha]]="Fora do DRE","Fora do DRE","( "&amp;Base_Periodo1[[#This Row],[Tipo_Linha]]&amp;" ) "&amp;Base_Periodo1[[#This Row],[Filtro]])</f>
        <v>Fora do DRE</v>
      </c>
      <c r="W2049" s="3" t="str">
        <f>LEFT(Base_Periodo1[[#This Row],[CLASS]],3)</f>
        <v>1.1</v>
      </c>
    </row>
    <row r="2050" spans="1:23" hidden="1">
      <c r="A2050" s="3" t="str">
        <f t="shared" si="31"/>
        <v>Período 1</v>
      </c>
      <c r="B2050">
        <v>1326</v>
      </c>
      <c r="C2050" t="s">
        <v>6830</v>
      </c>
      <c r="D2050" t="s">
        <v>1616</v>
      </c>
      <c r="E2050" s="3" t="str">
        <f>IF(LEN(Base_Periodo1[[#This Row],[CLASS]])&gt;=7,LEFT(Base_Periodo1[[#This Row],[CLASS]],7),"")</f>
        <v>1.1.6.1</v>
      </c>
      <c r="F2050" s="3" t="str">
        <f>VLOOKUP(Base_Periodo1[[#This Row],[Aux]],Base_Contas_Balanco[#All],2,FALSE)</f>
        <v>Estoque Em Poder de Terceiros</v>
      </c>
      <c r="G2050" s="1">
        <v>42870</v>
      </c>
      <c r="I2050" s="225">
        <v>26600</v>
      </c>
      <c r="J2050" s="225">
        <v>26600</v>
      </c>
      <c r="K2050" s="225">
        <v>0</v>
      </c>
      <c r="L20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050" s="225">
        <f>ROUND(IF(AND(Base_Periodo1[[#This Row],[Tipo_Linha]]="-",Base_Periodo1[[#This Row],[TIPOSALDO]]="D"),Base_Periodo1[[#This Row],[SALDO_ATUAL]]*-1,Base_Periodo1[[#This Row],[SALDO_ATUAL]]),4)</f>
        <v>0</v>
      </c>
      <c r="N2050" t="s">
        <v>116</v>
      </c>
      <c r="O2050" t="s">
        <v>436</v>
      </c>
      <c r="P2050" t="s">
        <v>436</v>
      </c>
      <c r="Q2050">
        <v>8</v>
      </c>
      <c r="R2050" s="225">
        <f>Base_Periodo1[[#This Row],[CREDITOS]]-Base_Periodo1[[#This Row],[DEBITOS]]</f>
        <v>0</v>
      </c>
      <c r="S2050" s="3" t="str">
        <f>IF(ISERROR(VLOOKUP(Base_Periodo1[[#This Row],[CONTA]],BaseContasDRE[#All],4,FALSE)),"Fora do DRE",VLOOKUP(Base_Periodo1[[#This Row],[CONTA]],BaseContasDRE[#All],4,FALSE))</f>
        <v>Fora do DRE</v>
      </c>
      <c r="T2050" s="3" t="str">
        <f>IF(ISERROR(VLOOKUP(Base_Periodo1[[#This Row],[CONTA]],BaseContasDRE[#All],5,FALSE)),"Fora do DRE",VLOOKUP(Base_Periodo1[[#This Row],[CONTA]],BaseContasDRE[#All],6,FALSE))</f>
        <v>Fora do DRE</v>
      </c>
      <c r="U2050" s="3" t="str">
        <f>IF(ISERROR(VLOOKUP(Base_Periodo1[[#This Row],[CONTA]],BaseContasDRE[#All],7,FALSE)),"Fora do DRE",VLOOKUP(Base_Periodo1[[#This Row],[CONTA]],BaseContasDRE[#All],7,FALSE))</f>
        <v>Fora do DRE</v>
      </c>
      <c r="V2050" s="3" t="str">
        <f>IF(Base_Periodo1[[#This Row],[Tipo_Linha]]="Fora do DRE","Fora do DRE","( "&amp;Base_Periodo1[[#This Row],[Tipo_Linha]]&amp;" ) "&amp;Base_Periodo1[[#This Row],[Filtro]])</f>
        <v>Fora do DRE</v>
      </c>
      <c r="W2050" s="3" t="str">
        <f>LEFT(Base_Periodo1[[#This Row],[CLASS]],3)</f>
        <v>1.1</v>
      </c>
    </row>
    <row r="2051" spans="1:23" hidden="1">
      <c r="A2051" s="3" t="str">
        <f t="shared" si="31"/>
        <v>Período 1</v>
      </c>
      <c r="B2051">
        <v>58871</v>
      </c>
      <c r="C2051" t="s">
        <v>6831</v>
      </c>
      <c r="D2051" t="s">
        <v>1292</v>
      </c>
      <c r="E2051" s="3" t="str">
        <f>IF(LEN(Base_Periodo1[[#This Row],[CLASS]])&gt;=7,LEFT(Base_Periodo1[[#This Row],[CLASS]],7),"")</f>
        <v>1.1.6.1</v>
      </c>
      <c r="F2051" s="3" t="str">
        <f>VLOOKUP(Base_Periodo1[[#This Row],[Aux]],Base_Contas_Balanco[#All],2,FALSE)</f>
        <v>Estoque Em Poder de Terceiros</v>
      </c>
      <c r="G2051" s="1"/>
      <c r="I2051" s="225">
        <v>57750</v>
      </c>
      <c r="J2051" s="225">
        <v>0</v>
      </c>
      <c r="K2051" s="225">
        <v>57750</v>
      </c>
      <c r="L20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57750</v>
      </c>
      <c r="M2051" s="225">
        <f>ROUND(IF(AND(Base_Periodo1[[#This Row],[Tipo_Linha]]="-",Base_Periodo1[[#This Row],[TIPOSALDO]]="D"),Base_Periodo1[[#This Row],[SALDO_ATUAL]]*-1,Base_Periodo1[[#This Row],[SALDO_ATUAL]]),4)</f>
        <v>57750</v>
      </c>
      <c r="N2051" t="s">
        <v>396</v>
      </c>
      <c r="O2051" t="s">
        <v>436</v>
      </c>
      <c r="P2051" t="s">
        <v>397</v>
      </c>
      <c r="Q2051">
        <v>7</v>
      </c>
      <c r="R2051" s="225">
        <f>Base_Periodo1[[#This Row],[CREDITOS]]-Base_Periodo1[[#This Row],[DEBITOS]]</f>
        <v>-57750</v>
      </c>
      <c r="S2051" s="3" t="str">
        <f>IF(ISERROR(VLOOKUP(Base_Periodo1[[#This Row],[CONTA]],BaseContasDRE[#All],4,FALSE)),"Fora do DRE",VLOOKUP(Base_Periodo1[[#This Row],[CONTA]],BaseContasDRE[#All],4,FALSE))</f>
        <v>Fora do DRE</v>
      </c>
      <c r="T2051" s="3" t="str">
        <f>IF(ISERROR(VLOOKUP(Base_Periodo1[[#This Row],[CONTA]],BaseContasDRE[#All],5,FALSE)),"Fora do DRE",VLOOKUP(Base_Periodo1[[#This Row],[CONTA]],BaseContasDRE[#All],6,FALSE))</f>
        <v>Fora do DRE</v>
      </c>
      <c r="U2051" s="3" t="str">
        <f>IF(ISERROR(VLOOKUP(Base_Periodo1[[#This Row],[CONTA]],BaseContasDRE[#All],7,FALSE)),"Fora do DRE",VLOOKUP(Base_Periodo1[[#This Row],[CONTA]],BaseContasDRE[#All],7,FALSE))</f>
        <v>Fora do DRE</v>
      </c>
      <c r="V2051" s="3" t="str">
        <f>IF(Base_Periodo1[[#This Row],[Tipo_Linha]]="Fora do DRE","Fora do DRE","( "&amp;Base_Periodo1[[#This Row],[Tipo_Linha]]&amp;" ) "&amp;Base_Periodo1[[#This Row],[Filtro]])</f>
        <v>Fora do DRE</v>
      </c>
      <c r="W2051" s="3" t="str">
        <f>LEFT(Base_Periodo1[[#This Row],[CLASS]],3)</f>
        <v>1.1</v>
      </c>
    </row>
    <row r="2052" spans="1:23" hidden="1">
      <c r="A2052" s="3" t="str">
        <f t="shared" si="31"/>
        <v>Período 1</v>
      </c>
      <c r="B2052">
        <v>58872</v>
      </c>
      <c r="C2052" t="s">
        <v>6832</v>
      </c>
      <c r="D2052" t="s">
        <v>6833</v>
      </c>
      <c r="E2052" s="3" t="str">
        <f>IF(LEN(Base_Periodo1[[#This Row],[CLASS]])&gt;=7,LEFT(Base_Periodo1[[#This Row],[CLASS]],7),"")</f>
        <v>1.1.6.1</v>
      </c>
      <c r="F2052" s="3" t="str">
        <f>VLOOKUP(Base_Periodo1[[#This Row],[Aux]],Base_Contas_Balanco[#All],2,FALSE)</f>
        <v>Estoque Em Poder de Terceiros</v>
      </c>
      <c r="G2052" s="1">
        <v>42865</v>
      </c>
      <c r="I2052" s="225">
        <v>57750</v>
      </c>
      <c r="J2052" s="225">
        <v>0</v>
      </c>
      <c r="K2052" s="225">
        <v>57750</v>
      </c>
      <c r="L20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57750</v>
      </c>
      <c r="M2052" s="225">
        <f>ROUND(IF(AND(Base_Periodo1[[#This Row],[Tipo_Linha]]="-",Base_Periodo1[[#This Row],[TIPOSALDO]]="D"),Base_Periodo1[[#This Row],[SALDO_ATUAL]]*-1,Base_Periodo1[[#This Row],[SALDO_ATUAL]]),4)</f>
        <v>57750</v>
      </c>
      <c r="N2052" t="s">
        <v>116</v>
      </c>
      <c r="O2052" t="s">
        <v>436</v>
      </c>
      <c r="P2052" t="s">
        <v>397</v>
      </c>
      <c r="Q2052">
        <v>8</v>
      </c>
      <c r="R2052" s="225">
        <f>Base_Periodo1[[#This Row],[CREDITOS]]-Base_Periodo1[[#This Row],[DEBITOS]]</f>
        <v>-57750</v>
      </c>
      <c r="S2052" s="3" t="str">
        <f>IF(ISERROR(VLOOKUP(Base_Periodo1[[#This Row],[CONTA]],BaseContasDRE[#All],4,FALSE)),"Fora do DRE",VLOOKUP(Base_Periodo1[[#This Row],[CONTA]],BaseContasDRE[#All],4,FALSE))</f>
        <v>Fora do DRE</v>
      </c>
      <c r="T2052" s="3" t="str">
        <f>IF(ISERROR(VLOOKUP(Base_Periodo1[[#This Row],[CONTA]],BaseContasDRE[#All],5,FALSE)),"Fora do DRE",VLOOKUP(Base_Periodo1[[#This Row],[CONTA]],BaseContasDRE[#All],6,FALSE))</f>
        <v>Fora do DRE</v>
      </c>
      <c r="U2052" s="3" t="str">
        <f>IF(ISERROR(VLOOKUP(Base_Periodo1[[#This Row],[CONTA]],BaseContasDRE[#All],7,FALSE)),"Fora do DRE",VLOOKUP(Base_Periodo1[[#This Row],[CONTA]],BaseContasDRE[#All],7,FALSE))</f>
        <v>Fora do DRE</v>
      </c>
      <c r="V2052" s="3" t="str">
        <f>IF(Base_Periodo1[[#This Row],[Tipo_Linha]]="Fora do DRE","Fora do DRE","( "&amp;Base_Periodo1[[#This Row],[Tipo_Linha]]&amp;" ) "&amp;Base_Periodo1[[#This Row],[Filtro]])</f>
        <v>Fora do DRE</v>
      </c>
      <c r="W2052" s="3" t="str">
        <f>LEFT(Base_Periodo1[[#This Row],[CLASS]],3)</f>
        <v>1.1</v>
      </c>
    </row>
    <row r="2053" spans="1:23" hidden="1">
      <c r="A2053" s="3" t="str">
        <f t="shared" si="31"/>
        <v>Período 1</v>
      </c>
      <c r="B2053">
        <v>1329</v>
      </c>
      <c r="C2053" t="s">
        <v>1621</v>
      </c>
      <c r="D2053" t="s">
        <v>1303</v>
      </c>
      <c r="E2053" s="3" t="str">
        <f>IF(LEN(Base_Periodo1[[#This Row],[CLASS]])&gt;=7,LEFT(Base_Periodo1[[#This Row],[CLASS]],7),"")</f>
        <v>1.1.6.1</v>
      </c>
      <c r="F2053" s="3" t="str">
        <f>VLOOKUP(Base_Periodo1[[#This Row],[Aux]],Base_Contas_Balanco[#All],2,FALSE)</f>
        <v>Estoque Em Poder de Terceiros</v>
      </c>
      <c r="G2053" s="1"/>
      <c r="H2053" s="225">
        <v>290859.60999996722</v>
      </c>
      <c r="I2053" s="225">
        <v>0</v>
      </c>
      <c r="J2053" s="225">
        <v>0</v>
      </c>
      <c r="K2053" s="225">
        <v>290859.60999996722</v>
      </c>
      <c r="L20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290859.61</v>
      </c>
      <c r="M2053" s="225">
        <f>ROUND(IF(AND(Base_Periodo1[[#This Row],[Tipo_Linha]]="-",Base_Periodo1[[#This Row],[TIPOSALDO]]="D"),Base_Periodo1[[#This Row],[SALDO_ATUAL]]*-1,Base_Periodo1[[#This Row],[SALDO_ATUAL]]),4)</f>
        <v>290859.61</v>
      </c>
      <c r="N2053" t="s">
        <v>396</v>
      </c>
      <c r="O2053" t="s">
        <v>397</v>
      </c>
      <c r="P2053" t="s">
        <v>397</v>
      </c>
      <c r="Q2053">
        <v>6</v>
      </c>
      <c r="R2053" s="225">
        <f>Base_Periodo1[[#This Row],[CREDITOS]]-Base_Periodo1[[#This Row],[DEBITOS]]</f>
        <v>0</v>
      </c>
      <c r="S2053" s="3" t="str">
        <f>IF(ISERROR(VLOOKUP(Base_Periodo1[[#This Row],[CONTA]],BaseContasDRE[#All],4,FALSE)),"Fora do DRE",VLOOKUP(Base_Periodo1[[#This Row],[CONTA]],BaseContasDRE[#All],4,FALSE))</f>
        <v>Fora do DRE</v>
      </c>
      <c r="T2053" s="3" t="str">
        <f>IF(ISERROR(VLOOKUP(Base_Periodo1[[#This Row],[CONTA]],BaseContasDRE[#All],5,FALSE)),"Fora do DRE",VLOOKUP(Base_Periodo1[[#This Row],[CONTA]],BaseContasDRE[#All],6,FALSE))</f>
        <v>Fora do DRE</v>
      </c>
      <c r="U2053" s="3" t="str">
        <f>IF(ISERROR(VLOOKUP(Base_Periodo1[[#This Row],[CONTA]],BaseContasDRE[#All],7,FALSE)),"Fora do DRE",VLOOKUP(Base_Periodo1[[#This Row],[CONTA]],BaseContasDRE[#All],7,FALSE))</f>
        <v>Fora do DRE</v>
      </c>
      <c r="V2053" s="3" t="str">
        <f>IF(Base_Periodo1[[#This Row],[Tipo_Linha]]="Fora do DRE","Fora do DRE","( "&amp;Base_Periodo1[[#This Row],[Tipo_Linha]]&amp;" ) "&amp;Base_Periodo1[[#This Row],[Filtro]])</f>
        <v>Fora do DRE</v>
      </c>
      <c r="W2053" s="3" t="str">
        <f>LEFT(Base_Periodo1[[#This Row],[CLASS]],3)</f>
        <v>1.1</v>
      </c>
    </row>
    <row r="2054" spans="1:23" hidden="1">
      <c r="A2054" s="3" t="str">
        <f t="shared" ref="A2054:A2117" si="32">"Período 1"</f>
        <v>Período 1</v>
      </c>
      <c r="B2054">
        <v>10887</v>
      </c>
      <c r="C2054" t="s">
        <v>1622</v>
      </c>
      <c r="D2054" t="s">
        <v>1305</v>
      </c>
      <c r="E2054" s="3" t="str">
        <f>IF(LEN(Base_Periodo1[[#This Row],[CLASS]])&gt;=7,LEFT(Base_Periodo1[[#This Row],[CLASS]],7),"")</f>
        <v>1.1.6.1</v>
      </c>
      <c r="F2054" s="3" t="str">
        <f>VLOOKUP(Base_Periodo1[[#This Row],[Aux]],Base_Contas_Balanco[#All],2,FALSE)</f>
        <v>Estoque Em Poder de Terceiros</v>
      </c>
      <c r="G2054" s="1"/>
      <c r="H2054" s="225">
        <v>290859.6099999696</v>
      </c>
      <c r="I2054" s="225">
        <v>0</v>
      </c>
      <c r="J2054" s="225">
        <v>0</v>
      </c>
      <c r="K2054" s="225">
        <v>290859.6099999696</v>
      </c>
      <c r="L20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290859.61</v>
      </c>
      <c r="M2054" s="225">
        <f>ROUND(IF(AND(Base_Periodo1[[#This Row],[Tipo_Linha]]="-",Base_Periodo1[[#This Row],[TIPOSALDO]]="D"),Base_Periodo1[[#This Row],[SALDO_ATUAL]]*-1,Base_Periodo1[[#This Row],[SALDO_ATUAL]]),4)</f>
        <v>290859.61</v>
      </c>
      <c r="N2054" t="s">
        <v>396</v>
      </c>
      <c r="O2054" t="s">
        <v>397</v>
      </c>
      <c r="P2054" t="s">
        <v>397</v>
      </c>
      <c r="Q2054">
        <v>7</v>
      </c>
      <c r="R2054" s="225">
        <f>Base_Periodo1[[#This Row],[CREDITOS]]-Base_Periodo1[[#This Row],[DEBITOS]]</f>
        <v>0</v>
      </c>
      <c r="S2054" s="3" t="str">
        <f>IF(ISERROR(VLOOKUP(Base_Periodo1[[#This Row],[CONTA]],BaseContasDRE[#All],4,FALSE)),"Fora do DRE",VLOOKUP(Base_Periodo1[[#This Row],[CONTA]],BaseContasDRE[#All],4,FALSE))</f>
        <v>Fora do DRE</v>
      </c>
      <c r="T2054" s="3" t="str">
        <f>IF(ISERROR(VLOOKUP(Base_Periodo1[[#This Row],[CONTA]],BaseContasDRE[#All],5,FALSE)),"Fora do DRE",VLOOKUP(Base_Periodo1[[#This Row],[CONTA]],BaseContasDRE[#All],6,FALSE))</f>
        <v>Fora do DRE</v>
      </c>
      <c r="U2054" s="3" t="str">
        <f>IF(ISERROR(VLOOKUP(Base_Periodo1[[#This Row],[CONTA]],BaseContasDRE[#All],7,FALSE)),"Fora do DRE",VLOOKUP(Base_Periodo1[[#This Row],[CONTA]],BaseContasDRE[#All],7,FALSE))</f>
        <v>Fora do DRE</v>
      </c>
      <c r="V2054" s="3" t="str">
        <f>IF(Base_Periodo1[[#This Row],[Tipo_Linha]]="Fora do DRE","Fora do DRE","( "&amp;Base_Periodo1[[#This Row],[Tipo_Linha]]&amp;" ) "&amp;Base_Periodo1[[#This Row],[Filtro]])</f>
        <v>Fora do DRE</v>
      </c>
      <c r="W2054" s="3" t="str">
        <f>LEFT(Base_Periodo1[[#This Row],[CLASS]],3)</f>
        <v>1.1</v>
      </c>
    </row>
    <row r="2055" spans="1:23" hidden="1">
      <c r="A2055" s="3" t="str">
        <f t="shared" si="32"/>
        <v>Período 1</v>
      </c>
      <c r="B2055">
        <v>10888</v>
      </c>
      <c r="C2055" t="s">
        <v>1623</v>
      </c>
      <c r="D2055" t="s">
        <v>1624</v>
      </c>
      <c r="E2055" s="3" t="str">
        <f>IF(LEN(Base_Periodo1[[#This Row],[CLASS]])&gt;=7,LEFT(Base_Periodo1[[#This Row],[CLASS]],7),"")</f>
        <v>1.1.6.1</v>
      </c>
      <c r="F2055" s="3" t="str">
        <f>VLOOKUP(Base_Periodo1[[#This Row],[Aux]],Base_Contas_Balanco[#All],2,FALSE)</f>
        <v>Estoque Em Poder de Terceiros</v>
      </c>
      <c r="G2055" s="1">
        <v>42291</v>
      </c>
      <c r="H2055" s="225">
        <v>290859.6099999696</v>
      </c>
      <c r="I2055" s="225">
        <v>0</v>
      </c>
      <c r="J2055" s="225">
        <v>0</v>
      </c>
      <c r="K2055" s="225">
        <v>290859.6099999696</v>
      </c>
      <c r="L20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290859.61</v>
      </c>
      <c r="M2055" s="225">
        <f>ROUND(IF(AND(Base_Periodo1[[#This Row],[Tipo_Linha]]="-",Base_Periodo1[[#This Row],[TIPOSALDO]]="D"),Base_Periodo1[[#This Row],[SALDO_ATUAL]]*-1,Base_Periodo1[[#This Row],[SALDO_ATUAL]]),4)</f>
        <v>290859.61</v>
      </c>
      <c r="N2055" t="s">
        <v>116</v>
      </c>
      <c r="O2055" t="s">
        <v>397</v>
      </c>
      <c r="P2055" t="s">
        <v>397</v>
      </c>
      <c r="Q2055">
        <v>8</v>
      </c>
      <c r="R2055" s="225">
        <f>Base_Periodo1[[#This Row],[CREDITOS]]-Base_Periodo1[[#This Row],[DEBITOS]]</f>
        <v>0</v>
      </c>
      <c r="S2055" s="3" t="str">
        <f>IF(ISERROR(VLOOKUP(Base_Periodo1[[#This Row],[CONTA]],BaseContasDRE[#All],4,FALSE)),"Fora do DRE",VLOOKUP(Base_Periodo1[[#This Row],[CONTA]],BaseContasDRE[#All],4,FALSE))</f>
        <v>Fora do DRE</v>
      </c>
      <c r="T2055" s="3" t="str">
        <f>IF(ISERROR(VLOOKUP(Base_Periodo1[[#This Row],[CONTA]],BaseContasDRE[#All],5,FALSE)),"Fora do DRE",VLOOKUP(Base_Periodo1[[#This Row],[CONTA]],BaseContasDRE[#All],6,FALSE))</f>
        <v>Fora do DRE</v>
      </c>
      <c r="U2055" s="3" t="str">
        <f>IF(ISERROR(VLOOKUP(Base_Periodo1[[#This Row],[CONTA]],BaseContasDRE[#All],7,FALSE)),"Fora do DRE",VLOOKUP(Base_Periodo1[[#This Row],[CONTA]],BaseContasDRE[#All],7,FALSE))</f>
        <v>Fora do DRE</v>
      </c>
      <c r="V2055" s="3" t="str">
        <f>IF(Base_Periodo1[[#This Row],[Tipo_Linha]]="Fora do DRE","Fora do DRE","( "&amp;Base_Periodo1[[#This Row],[Tipo_Linha]]&amp;" ) "&amp;Base_Periodo1[[#This Row],[Filtro]])</f>
        <v>Fora do DRE</v>
      </c>
      <c r="W2055" s="3" t="str">
        <f>LEFT(Base_Periodo1[[#This Row],[CLASS]],3)</f>
        <v>1.1</v>
      </c>
    </row>
    <row r="2056" spans="1:23" hidden="1">
      <c r="A2056" s="3" t="str">
        <f t="shared" si="32"/>
        <v>Período 1</v>
      </c>
      <c r="B2056">
        <v>1356</v>
      </c>
      <c r="C2056" t="s">
        <v>1625</v>
      </c>
      <c r="D2056" t="s">
        <v>84</v>
      </c>
      <c r="E2056" s="3" t="str">
        <f>IF(LEN(Base_Periodo1[[#This Row],[CLASS]])&gt;=7,LEFT(Base_Periodo1[[#This Row],[CLASS]],7),"")</f>
        <v/>
      </c>
      <c r="F2056" s="3" t="e">
        <f>VLOOKUP(Base_Periodo1[[#This Row],[Aux]],Base_Contas_Balanco[#All],2,FALSE)</f>
        <v>#N/A</v>
      </c>
      <c r="G2056" s="1"/>
      <c r="H2056" s="225">
        <v>2707942.2200000128</v>
      </c>
      <c r="I2056" s="225">
        <v>106341.33</v>
      </c>
      <c r="J2056" s="225">
        <v>139374.29</v>
      </c>
      <c r="K2056" s="225">
        <v>2674909.2600000128</v>
      </c>
      <c r="L20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2674909.2599999998</v>
      </c>
      <c r="M2056" s="225">
        <f>ROUND(IF(AND(Base_Periodo1[[#This Row],[Tipo_Linha]]="-",Base_Periodo1[[#This Row],[TIPOSALDO]]="D"),Base_Periodo1[[#This Row],[SALDO_ATUAL]]*-1,Base_Periodo1[[#This Row],[SALDO_ATUAL]]),4)</f>
        <v>2674909.2599999998</v>
      </c>
      <c r="N2056" t="s">
        <v>396</v>
      </c>
      <c r="O2056" t="s">
        <v>397</v>
      </c>
      <c r="P2056" t="s">
        <v>397</v>
      </c>
      <c r="Q2056">
        <v>3</v>
      </c>
      <c r="R2056" s="225">
        <f>Base_Periodo1[[#This Row],[CREDITOS]]-Base_Periodo1[[#This Row],[DEBITOS]]</f>
        <v>33032.960000000006</v>
      </c>
      <c r="S2056" s="3" t="str">
        <f>IF(ISERROR(VLOOKUP(Base_Periodo1[[#This Row],[CONTA]],BaseContasDRE[#All],4,FALSE)),"Fora do DRE",VLOOKUP(Base_Periodo1[[#This Row],[CONTA]],BaseContasDRE[#All],4,FALSE))</f>
        <v>Fora do DRE</v>
      </c>
      <c r="T2056" s="3" t="str">
        <f>IF(ISERROR(VLOOKUP(Base_Periodo1[[#This Row],[CONTA]],BaseContasDRE[#All],5,FALSE)),"Fora do DRE",VLOOKUP(Base_Periodo1[[#This Row],[CONTA]],BaseContasDRE[#All],6,FALSE))</f>
        <v>Fora do DRE</v>
      </c>
      <c r="U2056" s="3" t="str">
        <f>IF(ISERROR(VLOOKUP(Base_Periodo1[[#This Row],[CONTA]],BaseContasDRE[#All],7,FALSE)),"Fora do DRE",VLOOKUP(Base_Periodo1[[#This Row],[CONTA]],BaseContasDRE[#All],7,FALSE))</f>
        <v>Fora do DRE</v>
      </c>
      <c r="V2056" s="3" t="str">
        <f>IF(Base_Periodo1[[#This Row],[Tipo_Linha]]="Fora do DRE","Fora do DRE","( "&amp;Base_Periodo1[[#This Row],[Tipo_Linha]]&amp;" ) "&amp;Base_Periodo1[[#This Row],[Filtro]])</f>
        <v>Fora do DRE</v>
      </c>
      <c r="W2056" s="3" t="str">
        <f>LEFT(Base_Periodo1[[#This Row],[CLASS]],3)</f>
        <v>1.1</v>
      </c>
    </row>
    <row r="2057" spans="1:23" hidden="1">
      <c r="A2057" s="3" t="str">
        <f t="shared" si="32"/>
        <v>Período 1</v>
      </c>
      <c r="B2057">
        <v>1357</v>
      </c>
      <c r="C2057" t="s">
        <v>26</v>
      </c>
      <c r="D2057" t="s">
        <v>27</v>
      </c>
      <c r="E2057" s="3" t="str">
        <f>IF(LEN(Base_Periodo1[[#This Row],[CLASS]])&gt;=7,LEFT(Base_Periodo1[[#This Row],[CLASS]],7),"")</f>
        <v>1.1.9.1</v>
      </c>
      <c r="F2057" s="3" t="str">
        <f>VLOOKUP(Base_Periodo1[[#This Row],[Aux]],Base_Contas_Balanco[#All],2,FALSE)</f>
        <v>Dispendios Antecipados</v>
      </c>
      <c r="G2057" s="1"/>
      <c r="H2057" s="225">
        <v>2707942.2200000128</v>
      </c>
      <c r="I2057" s="225">
        <v>106341.33</v>
      </c>
      <c r="J2057" s="225">
        <v>139374.29</v>
      </c>
      <c r="K2057" s="225">
        <v>2674909.2600000128</v>
      </c>
      <c r="L20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2674909.2599999998</v>
      </c>
      <c r="M2057" s="225">
        <f>ROUND(IF(AND(Base_Periodo1[[#This Row],[Tipo_Linha]]="-",Base_Periodo1[[#This Row],[TIPOSALDO]]="D"),Base_Periodo1[[#This Row],[SALDO_ATUAL]]*-1,Base_Periodo1[[#This Row],[SALDO_ATUAL]]),4)</f>
        <v>2674909.2599999998</v>
      </c>
      <c r="N2057" t="s">
        <v>396</v>
      </c>
      <c r="O2057" t="s">
        <v>397</v>
      </c>
      <c r="P2057" t="s">
        <v>397</v>
      </c>
      <c r="Q2057">
        <v>4</v>
      </c>
      <c r="R2057" s="225">
        <f>Base_Periodo1[[#This Row],[CREDITOS]]-Base_Periodo1[[#This Row],[DEBITOS]]</f>
        <v>33032.960000000006</v>
      </c>
      <c r="S2057" s="3" t="str">
        <f>IF(ISERROR(VLOOKUP(Base_Periodo1[[#This Row],[CONTA]],BaseContasDRE[#All],4,FALSE)),"Fora do DRE",VLOOKUP(Base_Periodo1[[#This Row],[CONTA]],BaseContasDRE[#All],4,FALSE))</f>
        <v>Fora do DRE</v>
      </c>
      <c r="T2057" s="3" t="str">
        <f>IF(ISERROR(VLOOKUP(Base_Periodo1[[#This Row],[CONTA]],BaseContasDRE[#All],5,FALSE)),"Fora do DRE",VLOOKUP(Base_Periodo1[[#This Row],[CONTA]],BaseContasDRE[#All],6,FALSE))</f>
        <v>Fora do DRE</v>
      </c>
      <c r="U2057" s="3" t="str">
        <f>IF(ISERROR(VLOOKUP(Base_Periodo1[[#This Row],[CONTA]],BaseContasDRE[#All],7,FALSE)),"Fora do DRE",VLOOKUP(Base_Periodo1[[#This Row],[CONTA]],BaseContasDRE[#All],7,FALSE))</f>
        <v>Fora do DRE</v>
      </c>
      <c r="V2057" s="3" t="str">
        <f>IF(Base_Periodo1[[#This Row],[Tipo_Linha]]="Fora do DRE","Fora do DRE","( "&amp;Base_Periodo1[[#This Row],[Tipo_Linha]]&amp;" ) "&amp;Base_Periodo1[[#This Row],[Filtro]])</f>
        <v>Fora do DRE</v>
      </c>
      <c r="W2057" s="3" t="str">
        <f>LEFT(Base_Periodo1[[#This Row],[CLASS]],3)</f>
        <v>1.1</v>
      </c>
    </row>
    <row r="2058" spans="1:23" hidden="1">
      <c r="A2058" s="3" t="str">
        <f t="shared" si="32"/>
        <v>Período 1</v>
      </c>
      <c r="B2058">
        <v>1358</v>
      </c>
      <c r="C2058" t="s">
        <v>1626</v>
      </c>
      <c r="D2058" t="s">
        <v>1627</v>
      </c>
      <c r="E2058" s="3" t="str">
        <f>IF(LEN(Base_Periodo1[[#This Row],[CLASS]])&gt;=7,LEFT(Base_Periodo1[[#This Row],[CLASS]],7),"")</f>
        <v>1.1.9.1</v>
      </c>
      <c r="F2058" s="3" t="str">
        <f>VLOOKUP(Base_Periodo1[[#This Row],[Aux]],Base_Contas_Balanco[#All],2,FALSE)</f>
        <v>Dispendios Antecipados</v>
      </c>
      <c r="G2058" s="1"/>
      <c r="H2058" s="225">
        <v>2707942.2200000128</v>
      </c>
      <c r="I2058" s="225">
        <v>106341.33</v>
      </c>
      <c r="J2058" s="225">
        <v>139374.29</v>
      </c>
      <c r="K2058" s="225">
        <v>2674909.2600000128</v>
      </c>
      <c r="L20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2674909.2599999998</v>
      </c>
      <c r="M2058" s="225">
        <f>ROUND(IF(AND(Base_Periodo1[[#This Row],[Tipo_Linha]]="-",Base_Periodo1[[#This Row],[TIPOSALDO]]="D"),Base_Periodo1[[#This Row],[SALDO_ATUAL]]*-1,Base_Periodo1[[#This Row],[SALDO_ATUAL]]),4)</f>
        <v>2674909.2599999998</v>
      </c>
      <c r="N2058" t="s">
        <v>396</v>
      </c>
      <c r="O2058" t="s">
        <v>397</v>
      </c>
      <c r="P2058" t="s">
        <v>397</v>
      </c>
      <c r="Q2058">
        <v>5</v>
      </c>
      <c r="R2058" s="225">
        <f>Base_Periodo1[[#This Row],[CREDITOS]]-Base_Periodo1[[#This Row],[DEBITOS]]</f>
        <v>33032.960000000006</v>
      </c>
      <c r="S2058" s="3" t="str">
        <f>IF(ISERROR(VLOOKUP(Base_Periodo1[[#This Row],[CONTA]],BaseContasDRE[#All],4,FALSE)),"Fora do DRE",VLOOKUP(Base_Periodo1[[#This Row],[CONTA]],BaseContasDRE[#All],4,FALSE))</f>
        <v>Fora do DRE</v>
      </c>
      <c r="T2058" s="3" t="str">
        <f>IF(ISERROR(VLOOKUP(Base_Periodo1[[#This Row],[CONTA]],BaseContasDRE[#All],5,FALSE)),"Fora do DRE",VLOOKUP(Base_Periodo1[[#This Row],[CONTA]],BaseContasDRE[#All],6,FALSE))</f>
        <v>Fora do DRE</v>
      </c>
      <c r="U2058" s="3" t="str">
        <f>IF(ISERROR(VLOOKUP(Base_Periodo1[[#This Row],[CONTA]],BaseContasDRE[#All],7,FALSE)),"Fora do DRE",VLOOKUP(Base_Periodo1[[#This Row],[CONTA]],BaseContasDRE[#All],7,FALSE))</f>
        <v>Fora do DRE</v>
      </c>
      <c r="V2058" s="3" t="str">
        <f>IF(Base_Periodo1[[#This Row],[Tipo_Linha]]="Fora do DRE","Fora do DRE","( "&amp;Base_Periodo1[[#This Row],[Tipo_Linha]]&amp;" ) "&amp;Base_Periodo1[[#This Row],[Filtro]])</f>
        <v>Fora do DRE</v>
      </c>
      <c r="W2058" s="3" t="str">
        <f>LEFT(Base_Periodo1[[#This Row],[CLASS]],3)</f>
        <v>1.1</v>
      </c>
    </row>
    <row r="2059" spans="1:23" hidden="1">
      <c r="A2059" s="3" t="str">
        <f t="shared" si="32"/>
        <v>Período 1</v>
      </c>
      <c r="B2059">
        <v>1360</v>
      </c>
      <c r="C2059" t="s">
        <v>1628</v>
      </c>
      <c r="D2059" t="s">
        <v>1629</v>
      </c>
      <c r="E2059" s="3" t="str">
        <f>IF(LEN(Base_Periodo1[[#This Row],[CLASS]])&gt;=7,LEFT(Base_Periodo1[[#This Row],[CLASS]],7),"")</f>
        <v>1.1.9.1</v>
      </c>
      <c r="F2059" s="3" t="str">
        <f>VLOOKUP(Base_Periodo1[[#This Row],[Aux]],Base_Contas_Balanco[#All],2,FALSE)</f>
        <v>Dispendios Antecipados</v>
      </c>
      <c r="G2059" s="1">
        <v>42886</v>
      </c>
      <c r="H2059" s="225">
        <v>943000</v>
      </c>
      <c r="I2059" s="225">
        <v>0</v>
      </c>
      <c r="J2059" s="225">
        <v>23000</v>
      </c>
      <c r="K2059" s="225">
        <v>920000</v>
      </c>
      <c r="L20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920000</v>
      </c>
      <c r="M2059" s="225">
        <f>ROUND(IF(AND(Base_Periodo1[[#This Row],[Tipo_Linha]]="-",Base_Periodo1[[#This Row],[TIPOSALDO]]="D"),Base_Periodo1[[#This Row],[SALDO_ATUAL]]*-1,Base_Periodo1[[#This Row],[SALDO_ATUAL]]),4)</f>
        <v>920000</v>
      </c>
      <c r="N2059" t="s">
        <v>116</v>
      </c>
      <c r="O2059" t="s">
        <v>397</v>
      </c>
      <c r="P2059" t="s">
        <v>397</v>
      </c>
      <c r="Q2059">
        <v>6</v>
      </c>
      <c r="R2059" s="225">
        <f>Base_Periodo1[[#This Row],[CREDITOS]]-Base_Periodo1[[#This Row],[DEBITOS]]</f>
        <v>23000</v>
      </c>
      <c r="S2059" s="3" t="str">
        <f>IF(ISERROR(VLOOKUP(Base_Periodo1[[#This Row],[CONTA]],BaseContasDRE[#All],4,FALSE)),"Fora do DRE",VLOOKUP(Base_Periodo1[[#This Row],[CONTA]],BaseContasDRE[#All],4,FALSE))</f>
        <v>Fora do DRE</v>
      </c>
      <c r="T2059" s="3" t="str">
        <f>IF(ISERROR(VLOOKUP(Base_Periodo1[[#This Row],[CONTA]],BaseContasDRE[#All],5,FALSE)),"Fora do DRE",VLOOKUP(Base_Periodo1[[#This Row],[CONTA]],BaseContasDRE[#All],6,FALSE))</f>
        <v>Fora do DRE</v>
      </c>
      <c r="U2059" s="3" t="str">
        <f>IF(ISERROR(VLOOKUP(Base_Periodo1[[#This Row],[CONTA]],BaseContasDRE[#All],7,FALSE)),"Fora do DRE",VLOOKUP(Base_Periodo1[[#This Row],[CONTA]],BaseContasDRE[#All],7,FALSE))</f>
        <v>Fora do DRE</v>
      </c>
      <c r="V2059" s="3" t="str">
        <f>IF(Base_Periodo1[[#This Row],[Tipo_Linha]]="Fora do DRE","Fora do DRE","( "&amp;Base_Periodo1[[#This Row],[Tipo_Linha]]&amp;" ) "&amp;Base_Periodo1[[#This Row],[Filtro]])</f>
        <v>Fora do DRE</v>
      </c>
      <c r="W2059" s="3" t="str">
        <f>LEFT(Base_Periodo1[[#This Row],[CLASS]],3)</f>
        <v>1.1</v>
      </c>
    </row>
    <row r="2060" spans="1:23" hidden="1">
      <c r="A2060" s="3" t="str">
        <f t="shared" si="32"/>
        <v>Período 1</v>
      </c>
      <c r="B2060">
        <v>1361</v>
      </c>
      <c r="C2060" t="s">
        <v>1630</v>
      </c>
      <c r="D2060" t="s">
        <v>1631</v>
      </c>
      <c r="E2060" s="3" t="str">
        <f>IF(LEN(Base_Periodo1[[#This Row],[CLASS]])&gt;=7,LEFT(Base_Periodo1[[#This Row],[CLASS]],7),"")</f>
        <v>1.1.9.1</v>
      </c>
      <c r="F2060" s="3" t="str">
        <f>VLOOKUP(Base_Periodo1[[#This Row],[Aux]],Base_Contas_Balanco[#All],2,FALSE)</f>
        <v>Dispendios Antecipados</v>
      </c>
      <c r="G2060" s="1">
        <v>42886</v>
      </c>
      <c r="H2060" s="225">
        <v>208378.51000000234</v>
      </c>
      <c r="I2060" s="225">
        <v>106341.33</v>
      </c>
      <c r="J2060" s="225">
        <v>47954.680000000008</v>
      </c>
      <c r="K2060" s="225">
        <v>266765.16000000236</v>
      </c>
      <c r="L20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266765.15999999997</v>
      </c>
      <c r="M2060" s="225">
        <f>ROUND(IF(AND(Base_Periodo1[[#This Row],[Tipo_Linha]]="-",Base_Periodo1[[#This Row],[TIPOSALDO]]="D"),Base_Periodo1[[#This Row],[SALDO_ATUAL]]*-1,Base_Periodo1[[#This Row],[SALDO_ATUAL]]),4)</f>
        <v>266765.15999999997</v>
      </c>
      <c r="N2060" t="s">
        <v>116</v>
      </c>
      <c r="O2060" t="s">
        <v>397</v>
      </c>
      <c r="P2060" t="s">
        <v>397</v>
      </c>
      <c r="Q2060">
        <v>6</v>
      </c>
      <c r="R2060" s="225">
        <f>Base_Periodo1[[#This Row],[CREDITOS]]-Base_Periodo1[[#This Row],[DEBITOS]]</f>
        <v>-58386.649999999994</v>
      </c>
      <c r="S2060" s="3" t="str">
        <f>IF(ISERROR(VLOOKUP(Base_Periodo1[[#This Row],[CONTA]],BaseContasDRE[#All],4,FALSE)),"Fora do DRE",VLOOKUP(Base_Periodo1[[#This Row],[CONTA]],BaseContasDRE[#All],4,FALSE))</f>
        <v>Fora do DRE</v>
      </c>
      <c r="T2060" s="3" t="str">
        <f>IF(ISERROR(VLOOKUP(Base_Periodo1[[#This Row],[CONTA]],BaseContasDRE[#All],5,FALSE)),"Fora do DRE",VLOOKUP(Base_Periodo1[[#This Row],[CONTA]],BaseContasDRE[#All],6,FALSE))</f>
        <v>Fora do DRE</v>
      </c>
      <c r="U2060" s="3" t="str">
        <f>IF(ISERROR(VLOOKUP(Base_Periodo1[[#This Row],[CONTA]],BaseContasDRE[#All],7,FALSE)),"Fora do DRE",VLOOKUP(Base_Periodo1[[#This Row],[CONTA]],BaseContasDRE[#All],7,FALSE))</f>
        <v>Fora do DRE</v>
      </c>
      <c r="V2060" s="3" t="str">
        <f>IF(Base_Periodo1[[#This Row],[Tipo_Linha]]="Fora do DRE","Fora do DRE","( "&amp;Base_Periodo1[[#This Row],[Tipo_Linha]]&amp;" ) "&amp;Base_Periodo1[[#This Row],[Filtro]])</f>
        <v>Fora do DRE</v>
      </c>
      <c r="W2060" s="3" t="str">
        <f>LEFT(Base_Periodo1[[#This Row],[CLASS]],3)</f>
        <v>1.1</v>
      </c>
    </row>
    <row r="2061" spans="1:23" hidden="1">
      <c r="A2061" s="3" t="str">
        <f t="shared" si="32"/>
        <v>Período 1</v>
      </c>
      <c r="B2061">
        <v>1362</v>
      </c>
      <c r="C2061" t="s">
        <v>1632</v>
      </c>
      <c r="D2061" t="s">
        <v>1633</v>
      </c>
      <c r="E2061" s="3" t="str">
        <f>IF(LEN(Base_Periodo1[[#This Row],[CLASS]])&gt;=7,LEFT(Base_Periodo1[[#This Row],[CLASS]],7),"")</f>
        <v>1.1.9.1</v>
      </c>
      <c r="F2061" s="3" t="str">
        <f>VLOOKUP(Base_Periodo1[[#This Row],[Aux]],Base_Contas_Balanco[#All],2,FALSE)</f>
        <v>Dispendios Antecipados</v>
      </c>
      <c r="G2061" s="1">
        <v>42886</v>
      </c>
      <c r="H2061" s="225">
        <v>800000</v>
      </c>
      <c r="I2061" s="225">
        <v>0</v>
      </c>
      <c r="J2061" s="225">
        <v>45000</v>
      </c>
      <c r="K2061" s="225">
        <v>755000</v>
      </c>
      <c r="L20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755000</v>
      </c>
      <c r="M2061" s="225">
        <f>ROUND(IF(AND(Base_Periodo1[[#This Row],[Tipo_Linha]]="-",Base_Periodo1[[#This Row],[TIPOSALDO]]="D"),Base_Periodo1[[#This Row],[SALDO_ATUAL]]*-1,Base_Periodo1[[#This Row],[SALDO_ATUAL]]),4)</f>
        <v>755000</v>
      </c>
      <c r="N2061" t="s">
        <v>116</v>
      </c>
      <c r="O2061" t="s">
        <v>397</v>
      </c>
      <c r="P2061" t="s">
        <v>397</v>
      </c>
      <c r="Q2061">
        <v>6</v>
      </c>
      <c r="R2061" s="225">
        <f>Base_Periodo1[[#This Row],[CREDITOS]]-Base_Periodo1[[#This Row],[DEBITOS]]</f>
        <v>45000</v>
      </c>
      <c r="S2061" s="3" t="str">
        <f>IF(ISERROR(VLOOKUP(Base_Periodo1[[#This Row],[CONTA]],BaseContasDRE[#All],4,FALSE)),"Fora do DRE",VLOOKUP(Base_Periodo1[[#This Row],[CONTA]],BaseContasDRE[#All],4,FALSE))</f>
        <v>Fora do DRE</v>
      </c>
      <c r="T2061" s="3" t="str">
        <f>IF(ISERROR(VLOOKUP(Base_Periodo1[[#This Row],[CONTA]],BaseContasDRE[#All],5,FALSE)),"Fora do DRE",VLOOKUP(Base_Periodo1[[#This Row],[CONTA]],BaseContasDRE[#All],6,FALSE))</f>
        <v>Fora do DRE</v>
      </c>
      <c r="U2061" s="3" t="str">
        <f>IF(ISERROR(VLOOKUP(Base_Periodo1[[#This Row],[CONTA]],BaseContasDRE[#All],7,FALSE)),"Fora do DRE",VLOOKUP(Base_Periodo1[[#This Row],[CONTA]],BaseContasDRE[#All],7,FALSE))</f>
        <v>Fora do DRE</v>
      </c>
      <c r="V2061" s="3" t="str">
        <f>IF(Base_Periodo1[[#This Row],[Tipo_Linha]]="Fora do DRE","Fora do DRE","( "&amp;Base_Periodo1[[#This Row],[Tipo_Linha]]&amp;" ) "&amp;Base_Periodo1[[#This Row],[Filtro]])</f>
        <v>Fora do DRE</v>
      </c>
      <c r="W2061" s="3" t="str">
        <f>LEFT(Base_Periodo1[[#This Row],[CLASS]],3)</f>
        <v>1.1</v>
      </c>
    </row>
    <row r="2062" spans="1:23" hidden="1">
      <c r="A2062" s="3" t="str">
        <f t="shared" si="32"/>
        <v>Período 1</v>
      </c>
      <c r="B2062">
        <v>1364</v>
      </c>
      <c r="C2062" t="s">
        <v>1634</v>
      </c>
      <c r="D2062" t="s">
        <v>1635</v>
      </c>
      <c r="E2062" s="3" t="str">
        <f>IF(LEN(Base_Periodo1[[#This Row],[CLASS]])&gt;=7,LEFT(Base_Periodo1[[#This Row],[CLASS]],7),"")</f>
        <v>1.1.9.1</v>
      </c>
      <c r="F2062" s="3" t="str">
        <f>VLOOKUP(Base_Periodo1[[#This Row],[Aux]],Base_Contas_Balanco[#All],2,FALSE)</f>
        <v>Dispendios Antecipados</v>
      </c>
      <c r="G2062" s="1">
        <v>42886</v>
      </c>
      <c r="H2062" s="225">
        <v>660563.76000001002</v>
      </c>
      <c r="I2062" s="225">
        <v>0</v>
      </c>
      <c r="J2062" s="225">
        <v>11419.61</v>
      </c>
      <c r="K2062" s="225">
        <v>649144.15000001004</v>
      </c>
      <c r="L20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649144.15</v>
      </c>
      <c r="M2062" s="225">
        <f>ROUND(IF(AND(Base_Periodo1[[#This Row],[Tipo_Linha]]="-",Base_Periodo1[[#This Row],[TIPOSALDO]]="D"),Base_Periodo1[[#This Row],[SALDO_ATUAL]]*-1,Base_Periodo1[[#This Row],[SALDO_ATUAL]]),4)</f>
        <v>649144.15</v>
      </c>
      <c r="N2062" t="s">
        <v>116</v>
      </c>
      <c r="O2062" t="s">
        <v>397</v>
      </c>
      <c r="P2062" t="s">
        <v>397</v>
      </c>
      <c r="Q2062">
        <v>6</v>
      </c>
      <c r="R2062" s="225">
        <f>Base_Periodo1[[#This Row],[CREDITOS]]-Base_Periodo1[[#This Row],[DEBITOS]]</f>
        <v>11419.61</v>
      </c>
      <c r="S2062" s="3" t="str">
        <f>IF(ISERROR(VLOOKUP(Base_Periodo1[[#This Row],[CONTA]],BaseContasDRE[#All],4,FALSE)),"Fora do DRE",VLOOKUP(Base_Periodo1[[#This Row],[CONTA]],BaseContasDRE[#All],4,FALSE))</f>
        <v>Fora do DRE</v>
      </c>
      <c r="T2062" s="3" t="str">
        <f>IF(ISERROR(VLOOKUP(Base_Periodo1[[#This Row],[CONTA]],BaseContasDRE[#All],5,FALSE)),"Fora do DRE",VLOOKUP(Base_Periodo1[[#This Row],[CONTA]],BaseContasDRE[#All],6,FALSE))</f>
        <v>Fora do DRE</v>
      </c>
      <c r="U2062" s="3" t="str">
        <f>IF(ISERROR(VLOOKUP(Base_Periodo1[[#This Row],[CONTA]],BaseContasDRE[#All],7,FALSE)),"Fora do DRE",VLOOKUP(Base_Periodo1[[#This Row],[CONTA]],BaseContasDRE[#All],7,FALSE))</f>
        <v>Fora do DRE</v>
      </c>
      <c r="V2062" s="3" t="str">
        <f>IF(Base_Periodo1[[#This Row],[Tipo_Linha]]="Fora do DRE","Fora do DRE","( "&amp;Base_Periodo1[[#This Row],[Tipo_Linha]]&amp;" ) "&amp;Base_Periodo1[[#This Row],[Filtro]])</f>
        <v>Fora do DRE</v>
      </c>
      <c r="W2062" s="3" t="str">
        <f>LEFT(Base_Periodo1[[#This Row],[CLASS]],3)</f>
        <v>1.1</v>
      </c>
    </row>
    <row r="2063" spans="1:23" hidden="1">
      <c r="A2063" s="3" t="str">
        <f t="shared" si="32"/>
        <v>Período 1</v>
      </c>
      <c r="B2063">
        <v>51050</v>
      </c>
      <c r="C2063" t="s">
        <v>4553</v>
      </c>
      <c r="D2063" t="s">
        <v>4554</v>
      </c>
      <c r="E2063" s="3" t="str">
        <f>IF(LEN(Base_Periodo1[[#This Row],[CLASS]])&gt;=7,LEFT(Base_Periodo1[[#This Row],[CLASS]],7),"")</f>
        <v>1.1.9.1</v>
      </c>
      <c r="F2063" s="3" t="str">
        <f>VLOOKUP(Base_Periodo1[[#This Row],[Aux]],Base_Contas_Balanco[#All],2,FALSE)</f>
        <v>Dispendios Antecipados</v>
      </c>
      <c r="G2063" s="1">
        <v>42886</v>
      </c>
      <c r="H2063" s="225">
        <v>95999.949999999953</v>
      </c>
      <c r="I2063" s="225">
        <v>0</v>
      </c>
      <c r="J2063" s="225">
        <v>12000</v>
      </c>
      <c r="K2063" s="225">
        <v>83999.949999999953</v>
      </c>
      <c r="L20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83999.95</v>
      </c>
      <c r="M2063" s="225">
        <f>ROUND(IF(AND(Base_Periodo1[[#This Row],[Tipo_Linha]]="-",Base_Periodo1[[#This Row],[TIPOSALDO]]="D"),Base_Periodo1[[#This Row],[SALDO_ATUAL]]*-1,Base_Periodo1[[#This Row],[SALDO_ATUAL]]),4)</f>
        <v>83999.95</v>
      </c>
      <c r="N2063" t="s">
        <v>116</v>
      </c>
      <c r="O2063" t="s">
        <v>397</v>
      </c>
      <c r="P2063" t="s">
        <v>397</v>
      </c>
      <c r="Q2063">
        <v>6</v>
      </c>
      <c r="R2063" s="225">
        <f>Base_Periodo1[[#This Row],[CREDITOS]]-Base_Periodo1[[#This Row],[DEBITOS]]</f>
        <v>12000</v>
      </c>
      <c r="S2063" s="3" t="str">
        <f>IF(ISERROR(VLOOKUP(Base_Periodo1[[#This Row],[CONTA]],BaseContasDRE[#All],4,FALSE)),"Fora do DRE",VLOOKUP(Base_Periodo1[[#This Row],[CONTA]],BaseContasDRE[#All],4,FALSE))</f>
        <v>Fora do DRE</v>
      </c>
      <c r="T2063" s="3" t="str">
        <f>IF(ISERROR(VLOOKUP(Base_Periodo1[[#This Row],[CONTA]],BaseContasDRE[#All],5,FALSE)),"Fora do DRE",VLOOKUP(Base_Periodo1[[#This Row],[CONTA]],BaseContasDRE[#All],6,FALSE))</f>
        <v>Fora do DRE</v>
      </c>
      <c r="U2063" s="3" t="str">
        <f>IF(ISERROR(VLOOKUP(Base_Periodo1[[#This Row],[CONTA]],BaseContasDRE[#All],7,FALSE)),"Fora do DRE",VLOOKUP(Base_Periodo1[[#This Row],[CONTA]],BaseContasDRE[#All],7,FALSE))</f>
        <v>Fora do DRE</v>
      </c>
      <c r="V2063" s="3" t="str">
        <f>IF(Base_Periodo1[[#This Row],[Tipo_Linha]]="Fora do DRE","Fora do DRE","( "&amp;Base_Periodo1[[#This Row],[Tipo_Linha]]&amp;" ) "&amp;Base_Periodo1[[#This Row],[Filtro]])</f>
        <v>Fora do DRE</v>
      </c>
      <c r="W2063" s="3" t="str">
        <f>LEFT(Base_Periodo1[[#This Row],[CLASS]],3)</f>
        <v>1.1</v>
      </c>
    </row>
    <row r="2064" spans="1:23" hidden="1">
      <c r="A2064" s="3" t="str">
        <f t="shared" si="32"/>
        <v>Período 1</v>
      </c>
      <c r="B2064">
        <v>1366</v>
      </c>
      <c r="C2064" t="s">
        <v>1636</v>
      </c>
      <c r="D2064" t="s">
        <v>1637</v>
      </c>
      <c r="E2064" s="3" t="str">
        <f>IF(LEN(Base_Periodo1[[#This Row],[CLASS]])&gt;=7,LEFT(Base_Periodo1[[#This Row],[CLASS]],7),"")</f>
        <v/>
      </c>
      <c r="F2064" s="3" t="e">
        <f>VLOOKUP(Base_Periodo1[[#This Row],[Aux]],Base_Contas_Balanco[#All],2,FALSE)</f>
        <v>#N/A</v>
      </c>
      <c r="G2064" s="1"/>
      <c r="H2064" s="225">
        <v>109840762.26000004</v>
      </c>
      <c r="I2064" s="225">
        <v>1646277.01</v>
      </c>
      <c r="J2064" s="225">
        <v>674527.85000000021</v>
      </c>
      <c r="K2064" s="225">
        <v>110812511.42000005</v>
      </c>
      <c r="L20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110812511.42</v>
      </c>
      <c r="M2064" s="225">
        <f>ROUND(IF(AND(Base_Periodo1[[#This Row],[Tipo_Linha]]="-",Base_Periodo1[[#This Row],[TIPOSALDO]]="D"),Base_Periodo1[[#This Row],[SALDO_ATUAL]]*-1,Base_Periodo1[[#This Row],[SALDO_ATUAL]]),4)</f>
        <v>110812511.42</v>
      </c>
      <c r="N2064" t="s">
        <v>396</v>
      </c>
      <c r="O2064" t="s">
        <v>397</v>
      </c>
      <c r="P2064" t="s">
        <v>397</v>
      </c>
      <c r="Q2064">
        <v>2</v>
      </c>
      <c r="R2064" s="225">
        <f>Base_Periodo1[[#This Row],[CREDITOS]]-Base_Periodo1[[#This Row],[DEBITOS]]</f>
        <v>-971749.1599999998</v>
      </c>
      <c r="S2064" s="3" t="str">
        <f>IF(ISERROR(VLOOKUP(Base_Periodo1[[#This Row],[CONTA]],BaseContasDRE[#All],4,FALSE)),"Fora do DRE",VLOOKUP(Base_Periodo1[[#This Row],[CONTA]],BaseContasDRE[#All],4,FALSE))</f>
        <v>Fora do DRE</v>
      </c>
      <c r="T2064" s="3" t="str">
        <f>IF(ISERROR(VLOOKUP(Base_Periodo1[[#This Row],[CONTA]],BaseContasDRE[#All],5,FALSE)),"Fora do DRE",VLOOKUP(Base_Periodo1[[#This Row],[CONTA]],BaseContasDRE[#All],6,FALSE))</f>
        <v>Fora do DRE</v>
      </c>
      <c r="U2064" s="3" t="str">
        <f>IF(ISERROR(VLOOKUP(Base_Periodo1[[#This Row],[CONTA]],BaseContasDRE[#All],7,FALSE)),"Fora do DRE",VLOOKUP(Base_Periodo1[[#This Row],[CONTA]],BaseContasDRE[#All],7,FALSE))</f>
        <v>Fora do DRE</v>
      </c>
      <c r="V2064" s="3" t="str">
        <f>IF(Base_Periodo1[[#This Row],[Tipo_Linha]]="Fora do DRE","Fora do DRE","( "&amp;Base_Periodo1[[#This Row],[Tipo_Linha]]&amp;" ) "&amp;Base_Periodo1[[#This Row],[Filtro]])</f>
        <v>Fora do DRE</v>
      </c>
      <c r="W2064" s="3" t="str">
        <f>LEFT(Base_Periodo1[[#This Row],[CLASS]],3)</f>
        <v>1.2</v>
      </c>
    </row>
    <row r="2065" spans="1:23" hidden="1">
      <c r="A2065" s="3" t="str">
        <f t="shared" si="32"/>
        <v>Período 1</v>
      </c>
      <c r="B2065">
        <v>1367</v>
      </c>
      <c r="C2065" t="s">
        <v>1638</v>
      </c>
      <c r="D2065" t="s">
        <v>87</v>
      </c>
      <c r="E2065" s="3" t="str">
        <f>IF(LEN(Base_Periodo1[[#This Row],[CLASS]])&gt;=7,LEFT(Base_Periodo1[[#This Row],[CLASS]],7),"")</f>
        <v/>
      </c>
      <c r="F2065" s="3" t="e">
        <f>VLOOKUP(Base_Periodo1[[#This Row],[Aux]],Base_Contas_Balanco[#All],2,FALSE)</f>
        <v>#N/A</v>
      </c>
      <c r="G2065" s="1"/>
      <c r="H2065" s="225">
        <v>3545852.0600000089</v>
      </c>
      <c r="I2065" s="225">
        <v>0</v>
      </c>
      <c r="J2065" s="225">
        <v>0</v>
      </c>
      <c r="K2065" s="225">
        <v>3545852.0600000089</v>
      </c>
      <c r="L20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3545852.06</v>
      </c>
      <c r="M2065" s="225">
        <f>ROUND(IF(AND(Base_Periodo1[[#This Row],[Tipo_Linha]]="-",Base_Periodo1[[#This Row],[TIPOSALDO]]="D"),Base_Periodo1[[#This Row],[SALDO_ATUAL]]*-1,Base_Periodo1[[#This Row],[SALDO_ATUAL]]),4)</f>
        <v>3545852.06</v>
      </c>
      <c r="N2065" t="s">
        <v>396</v>
      </c>
      <c r="O2065" t="s">
        <v>397</v>
      </c>
      <c r="P2065" t="s">
        <v>397</v>
      </c>
      <c r="Q2065">
        <v>3</v>
      </c>
      <c r="R2065" s="225">
        <f>Base_Periodo1[[#This Row],[CREDITOS]]-Base_Periodo1[[#This Row],[DEBITOS]]</f>
        <v>0</v>
      </c>
      <c r="S2065" s="3" t="str">
        <f>IF(ISERROR(VLOOKUP(Base_Periodo1[[#This Row],[CONTA]],BaseContasDRE[#All],4,FALSE)),"Fora do DRE",VLOOKUP(Base_Periodo1[[#This Row],[CONTA]],BaseContasDRE[#All],4,FALSE))</f>
        <v>Fora do DRE</v>
      </c>
      <c r="T2065" s="3" t="str">
        <f>IF(ISERROR(VLOOKUP(Base_Periodo1[[#This Row],[CONTA]],BaseContasDRE[#All],5,FALSE)),"Fora do DRE",VLOOKUP(Base_Periodo1[[#This Row],[CONTA]],BaseContasDRE[#All],6,FALSE))</f>
        <v>Fora do DRE</v>
      </c>
      <c r="U2065" s="3" t="str">
        <f>IF(ISERROR(VLOOKUP(Base_Periodo1[[#This Row],[CONTA]],BaseContasDRE[#All],7,FALSE)),"Fora do DRE",VLOOKUP(Base_Periodo1[[#This Row],[CONTA]],BaseContasDRE[#All],7,FALSE))</f>
        <v>Fora do DRE</v>
      </c>
      <c r="V2065" s="3" t="str">
        <f>IF(Base_Periodo1[[#This Row],[Tipo_Linha]]="Fora do DRE","Fora do DRE","( "&amp;Base_Periodo1[[#This Row],[Tipo_Linha]]&amp;" ) "&amp;Base_Periodo1[[#This Row],[Filtro]])</f>
        <v>Fora do DRE</v>
      </c>
      <c r="W2065" s="3" t="str">
        <f>LEFT(Base_Periodo1[[#This Row],[CLASS]],3)</f>
        <v>1.2</v>
      </c>
    </row>
    <row r="2066" spans="1:23" hidden="1">
      <c r="A2066" s="3" t="str">
        <f t="shared" si="32"/>
        <v>Período 1</v>
      </c>
      <c r="B2066">
        <v>1368</v>
      </c>
      <c r="C2066" t="s">
        <v>28</v>
      </c>
      <c r="D2066" t="s">
        <v>11</v>
      </c>
      <c r="E2066" s="3" t="str">
        <f>IF(LEN(Base_Periodo1[[#This Row],[CLASS]])&gt;=7,LEFT(Base_Periodo1[[#This Row],[CLASS]],7),"")</f>
        <v>1.2.1.1</v>
      </c>
      <c r="F2066" s="3" t="str">
        <f>VLOOKUP(Base_Periodo1[[#This Row],[Aux]],Base_Contas_Balanco[#All],2,FALSE)</f>
        <v xml:space="preserve">Creditos com Cooperados </v>
      </c>
      <c r="G2066" s="1"/>
      <c r="H2066" s="225">
        <v>3457345.9400000088</v>
      </c>
      <c r="I2066" s="225">
        <v>0</v>
      </c>
      <c r="J2066" s="225">
        <v>0</v>
      </c>
      <c r="K2066" s="225">
        <v>3457345.9400000088</v>
      </c>
      <c r="L20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3457345.94</v>
      </c>
      <c r="M2066" s="225">
        <f>ROUND(IF(AND(Base_Periodo1[[#This Row],[Tipo_Linha]]="-",Base_Periodo1[[#This Row],[TIPOSALDO]]="D"),Base_Periodo1[[#This Row],[SALDO_ATUAL]]*-1,Base_Periodo1[[#This Row],[SALDO_ATUAL]]),4)</f>
        <v>3457345.94</v>
      </c>
      <c r="N2066" t="s">
        <v>396</v>
      </c>
      <c r="O2066" t="s">
        <v>397</v>
      </c>
      <c r="P2066" t="s">
        <v>397</v>
      </c>
      <c r="Q2066">
        <v>4</v>
      </c>
      <c r="R2066" s="225">
        <f>Base_Periodo1[[#This Row],[CREDITOS]]-Base_Periodo1[[#This Row],[DEBITOS]]</f>
        <v>0</v>
      </c>
      <c r="S2066" s="3" t="str">
        <f>IF(ISERROR(VLOOKUP(Base_Periodo1[[#This Row],[CONTA]],BaseContasDRE[#All],4,FALSE)),"Fora do DRE",VLOOKUP(Base_Periodo1[[#This Row],[CONTA]],BaseContasDRE[#All],4,FALSE))</f>
        <v>Fora do DRE</v>
      </c>
      <c r="T2066" s="3" t="str">
        <f>IF(ISERROR(VLOOKUP(Base_Periodo1[[#This Row],[CONTA]],BaseContasDRE[#All],5,FALSE)),"Fora do DRE",VLOOKUP(Base_Periodo1[[#This Row],[CONTA]],BaseContasDRE[#All],6,FALSE))</f>
        <v>Fora do DRE</v>
      </c>
      <c r="U2066" s="3" t="str">
        <f>IF(ISERROR(VLOOKUP(Base_Periodo1[[#This Row],[CONTA]],BaseContasDRE[#All],7,FALSE)),"Fora do DRE",VLOOKUP(Base_Periodo1[[#This Row],[CONTA]],BaseContasDRE[#All],7,FALSE))</f>
        <v>Fora do DRE</v>
      </c>
      <c r="V2066" s="3" t="str">
        <f>IF(Base_Periodo1[[#This Row],[Tipo_Linha]]="Fora do DRE","Fora do DRE","( "&amp;Base_Periodo1[[#This Row],[Tipo_Linha]]&amp;" ) "&amp;Base_Periodo1[[#This Row],[Filtro]])</f>
        <v>Fora do DRE</v>
      </c>
      <c r="W2066" s="3" t="str">
        <f>LEFT(Base_Periodo1[[#This Row],[CLASS]],3)</f>
        <v>1.2</v>
      </c>
    </row>
    <row r="2067" spans="1:23" hidden="1">
      <c r="A2067" s="3" t="str">
        <f t="shared" si="32"/>
        <v>Período 1</v>
      </c>
      <c r="B2067">
        <v>1371</v>
      </c>
      <c r="C2067" t="s">
        <v>1639</v>
      </c>
      <c r="D2067" t="s">
        <v>1640</v>
      </c>
      <c r="E2067" s="3" t="str">
        <f>IF(LEN(Base_Periodo1[[#This Row],[CLASS]])&gt;=7,LEFT(Base_Periodo1[[#This Row],[CLASS]],7),"")</f>
        <v>1.2.1.1</v>
      </c>
      <c r="F2067" s="3" t="str">
        <f>VLOOKUP(Base_Periodo1[[#This Row],[Aux]],Base_Contas_Balanco[#All],2,FALSE)</f>
        <v xml:space="preserve">Creditos com Cooperados </v>
      </c>
      <c r="G2067" s="1"/>
      <c r="H2067" s="225">
        <v>3457345.9400000088</v>
      </c>
      <c r="I2067" s="225">
        <v>0</v>
      </c>
      <c r="J2067" s="225">
        <v>0</v>
      </c>
      <c r="K2067" s="225">
        <v>3457345.9400000088</v>
      </c>
      <c r="L20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3457345.94</v>
      </c>
      <c r="M2067" s="225">
        <f>ROUND(IF(AND(Base_Periodo1[[#This Row],[Tipo_Linha]]="-",Base_Periodo1[[#This Row],[TIPOSALDO]]="D"),Base_Periodo1[[#This Row],[SALDO_ATUAL]]*-1,Base_Periodo1[[#This Row],[SALDO_ATUAL]]),4)</f>
        <v>3457345.94</v>
      </c>
      <c r="N2067" t="s">
        <v>396</v>
      </c>
      <c r="O2067" t="s">
        <v>397</v>
      </c>
      <c r="P2067" t="s">
        <v>397</v>
      </c>
      <c r="Q2067">
        <v>5</v>
      </c>
      <c r="R2067" s="225">
        <f>Base_Periodo1[[#This Row],[CREDITOS]]-Base_Periodo1[[#This Row],[DEBITOS]]</f>
        <v>0</v>
      </c>
      <c r="S2067" s="3" t="str">
        <f>IF(ISERROR(VLOOKUP(Base_Periodo1[[#This Row],[CONTA]],BaseContasDRE[#All],4,FALSE)),"Fora do DRE",VLOOKUP(Base_Periodo1[[#This Row],[CONTA]],BaseContasDRE[#All],4,FALSE))</f>
        <v>Fora do DRE</v>
      </c>
      <c r="T2067" s="3" t="str">
        <f>IF(ISERROR(VLOOKUP(Base_Periodo1[[#This Row],[CONTA]],BaseContasDRE[#All],5,FALSE)),"Fora do DRE",VLOOKUP(Base_Periodo1[[#This Row],[CONTA]],BaseContasDRE[#All],6,FALSE))</f>
        <v>Fora do DRE</v>
      </c>
      <c r="U2067" s="3" t="str">
        <f>IF(ISERROR(VLOOKUP(Base_Periodo1[[#This Row],[CONTA]],BaseContasDRE[#All],7,FALSE)),"Fora do DRE",VLOOKUP(Base_Periodo1[[#This Row],[CONTA]],BaseContasDRE[#All],7,FALSE))</f>
        <v>Fora do DRE</v>
      </c>
      <c r="V2067" s="3" t="str">
        <f>IF(Base_Periodo1[[#This Row],[Tipo_Linha]]="Fora do DRE","Fora do DRE","( "&amp;Base_Periodo1[[#This Row],[Tipo_Linha]]&amp;" ) "&amp;Base_Periodo1[[#This Row],[Filtro]])</f>
        <v>Fora do DRE</v>
      </c>
      <c r="W2067" s="3" t="str">
        <f>LEFT(Base_Periodo1[[#This Row],[CLASS]],3)</f>
        <v>1.2</v>
      </c>
    </row>
    <row r="2068" spans="1:23" hidden="1">
      <c r="A2068" s="3" t="str">
        <f t="shared" si="32"/>
        <v>Período 1</v>
      </c>
      <c r="B2068">
        <v>1370</v>
      </c>
      <c r="C2068" t="s">
        <v>1641</v>
      </c>
      <c r="D2068" t="s">
        <v>1642</v>
      </c>
      <c r="E2068" s="3" t="str">
        <f>IF(LEN(Base_Periodo1[[#This Row],[CLASS]])&gt;=7,LEFT(Base_Periodo1[[#This Row],[CLASS]],7),"")</f>
        <v>1.2.1.1</v>
      </c>
      <c r="F2068" s="3" t="str">
        <f>VLOOKUP(Base_Periodo1[[#This Row],[Aux]],Base_Contas_Balanco[#All],2,FALSE)</f>
        <v xml:space="preserve">Creditos com Cooperados </v>
      </c>
      <c r="G2068" s="1">
        <v>42855</v>
      </c>
      <c r="H2068" s="225">
        <v>3457345.9400000088</v>
      </c>
      <c r="I2068" s="225">
        <v>0</v>
      </c>
      <c r="J2068" s="225">
        <v>0</v>
      </c>
      <c r="K2068" s="225">
        <v>3457345.9400000088</v>
      </c>
      <c r="L20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3457345.94</v>
      </c>
      <c r="M2068" s="225">
        <f>ROUND(IF(AND(Base_Periodo1[[#This Row],[Tipo_Linha]]="-",Base_Periodo1[[#This Row],[TIPOSALDO]]="D"),Base_Periodo1[[#This Row],[SALDO_ATUAL]]*-1,Base_Periodo1[[#This Row],[SALDO_ATUAL]]),4)</f>
        <v>3457345.94</v>
      </c>
      <c r="N2068" t="s">
        <v>116</v>
      </c>
      <c r="O2068" t="s">
        <v>397</v>
      </c>
      <c r="P2068" t="s">
        <v>397</v>
      </c>
      <c r="Q2068">
        <v>6</v>
      </c>
      <c r="R2068" s="225">
        <f>Base_Periodo1[[#This Row],[CREDITOS]]-Base_Periodo1[[#This Row],[DEBITOS]]</f>
        <v>0</v>
      </c>
      <c r="S2068" s="3" t="str">
        <f>IF(ISERROR(VLOOKUP(Base_Periodo1[[#This Row],[CONTA]],BaseContasDRE[#All],4,FALSE)),"Fora do DRE",VLOOKUP(Base_Periodo1[[#This Row],[CONTA]],BaseContasDRE[#All],4,FALSE))</f>
        <v>Fora do DRE</v>
      </c>
      <c r="T2068" s="3" t="str">
        <f>IF(ISERROR(VLOOKUP(Base_Periodo1[[#This Row],[CONTA]],BaseContasDRE[#All],5,FALSE)),"Fora do DRE",VLOOKUP(Base_Periodo1[[#This Row],[CONTA]],BaseContasDRE[#All],6,FALSE))</f>
        <v>Fora do DRE</v>
      </c>
      <c r="U2068" s="3" t="str">
        <f>IF(ISERROR(VLOOKUP(Base_Periodo1[[#This Row],[CONTA]],BaseContasDRE[#All],7,FALSE)),"Fora do DRE",VLOOKUP(Base_Periodo1[[#This Row],[CONTA]],BaseContasDRE[#All],7,FALSE))</f>
        <v>Fora do DRE</v>
      </c>
      <c r="V2068" s="3" t="str">
        <f>IF(Base_Periodo1[[#This Row],[Tipo_Linha]]="Fora do DRE","Fora do DRE","( "&amp;Base_Periodo1[[#This Row],[Tipo_Linha]]&amp;" ) "&amp;Base_Periodo1[[#This Row],[Filtro]])</f>
        <v>Fora do DRE</v>
      </c>
      <c r="W2068" s="3" t="str">
        <f>LEFT(Base_Periodo1[[#This Row],[CLASS]],3)</f>
        <v>1.2</v>
      </c>
    </row>
    <row r="2069" spans="1:23" hidden="1">
      <c r="A2069" s="3" t="str">
        <f t="shared" si="32"/>
        <v>Período 1</v>
      </c>
      <c r="B2069">
        <v>1373</v>
      </c>
      <c r="C2069" t="s">
        <v>29</v>
      </c>
      <c r="D2069" t="s">
        <v>13</v>
      </c>
      <c r="E2069" s="3" t="str">
        <f>IF(LEN(Base_Periodo1[[#This Row],[CLASS]])&gt;=7,LEFT(Base_Periodo1[[#This Row],[CLASS]],7),"")</f>
        <v>1.2.1.2</v>
      </c>
      <c r="F2069" s="3" t="str">
        <f>VLOOKUP(Base_Periodo1[[#This Row],[Aux]],Base_Contas_Balanco[#All],2,FALSE)</f>
        <v xml:space="preserve">Creditos com não Cooperados </v>
      </c>
      <c r="G2069" s="1"/>
      <c r="H2069" s="225">
        <v>88506.120000000112</v>
      </c>
      <c r="I2069" s="225">
        <v>0</v>
      </c>
      <c r="J2069" s="225">
        <v>0</v>
      </c>
      <c r="K2069" s="225">
        <v>88506.120000000112</v>
      </c>
      <c r="L20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88506.12</v>
      </c>
      <c r="M2069" s="225">
        <f>ROUND(IF(AND(Base_Periodo1[[#This Row],[Tipo_Linha]]="-",Base_Periodo1[[#This Row],[TIPOSALDO]]="D"),Base_Periodo1[[#This Row],[SALDO_ATUAL]]*-1,Base_Periodo1[[#This Row],[SALDO_ATUAL]]),4)</f>
        <v>88506.12</v>
      </c>
      <c r="N2069" t="s">
        <v>396</v>
      </c>
      <c r="O2069" t="s">
        <v>397</v>
      </c>
      <c r="P2069" t="s">
        <v>397</v>
      </c>
      <c r="Q2069">
        <v>4</v>
      </c>
      <c r="R2069" s="225">
        <f>Base_Periodo1[[#This Row],[CREDITOS]]-Base_Periodo1[[#This Row],[DEBITOS]]</f>
        <v>0</v>
      </c>
      <c r="S2069" s="3" t="str">
        <f>IF(ISERROR(VLOOKUP(Base_Periodo1[[#This Row],[CONTA]],BaseContasDRE[#All],4,FALSE)),"Fora do DRE",VLOOKUP(Base_Periodo1[[#This Row],[CONTA]],BaseContasDRE[#All],4,FALSE))</f>
        <v>Fora do DRE</v>
      </c>
      <c r="T2069" s="3" t="str">
        <f>IF(ISERROR(VLOOKUP(Base_Periodo1[[#This Row],[CONTA]],BaseContasDRE[#All],5,FALSE)),"Fora do DRE",VLOOKUP(Base_Periodo1[[#This Row],[CONTA]],BaseContasDRE[#All],6,FALSE))</f>
        <v>Fora do DRE</v>
      </c>
      <c r="U2069" s="3" t="str">
        <f>IF(ISERROR(VLOOKUP(Base_Periodo1[[#This Row],[CONTA]],BaseContasDRE[#All],7,FALSE)),"Fora do DRE",VLOOKUP(Base_Periodo1[[#This Row],[CONTA]],BaseContasDRE[#All],7,FALSE))</f>
        <v>Fora do DRE</v>
      </c>
      <c r="V2069" s="3" t="str">
        <f>IF(Base_Periodo1[[#This Row],[Tipo_Linha]]="Fora do DRE","Fora do DRE","( "&amp;Base_Periodo1[[#This Row],[Tipo_Linha]]&amp;" ) "&amp;Base_Periodo1[[#This Row],[Filtro]])</f>
        <v>Fora do DRE</v>
      </c>
      <c r="W2069" s="3" t="str">
        <f>LEFT(Base_Periodo1[[#This Row],[CLASS]],3)</f>
        <v>1.2</v>
      </c>
    </row>
    <row r="2070" spans="1:23" hidden="1">
      <c r="A2070" s="3" t="str">
        <f t="shared" si="32"/>
        <v>Período 1</v>
      </c>
      <c r="B2070">
        <v>1374</v>
      </c>
      <c r="C2070" t="s">
        <v>1643</v>
      </c>
      <c r="D2070" t="s">
        <v>13</v>
      </c>
      <c r="E2070" s="3" t="str">
        <f>IF(LEN(Base_Periodo1[[#This Row],[CLASS]])&gt;=7,LEFT(Base_Periodo1[[#This Row],[CLASS]],7),"")</f>
        <v>1.2.1.2</v>
      </c>
      <c r="F2070" s="3" t="str">
        <f>VLOOKUP(Base_Periodo1[[#This Row],[Aux]],Base_Contas_Balanco[#All],2,FALSE)</f>
        <v xml:space="preserve">Creditos com não Cooperados </v>
      </c>
      <c r="G2070" s="1"/>
      <c r="H2070" s="225">
        <v>88506.120000000112</v>
      </c>
      <c r="I2070" s="225">
        <v>0</v>
      </c>
      <c r="J2070" s="225">
        <v>0</v>
      </c>
      <c r="K2070" s="225">
        <v>88506.120000000112</v>
      </c>
      <c r="L20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88506.12</v>
      </c>
      <c r="M2070" s="225">
        <f>ROUND(IF(AND(Base_Periodo1[[#This Row],[Tipo_Linha]]="-",Base_Periodo1[[#This Row],[TIPOSALDO]]="D"),Base_Periodo1[[#This Row],[SALDO_ATUAL]]*-1,Base_Periodo1[[#This Row],[SALDO_ATUAL]]),4)</f>
        <v>88506.12</v>
      </c>
      <c r="N2070" t="s">
        <v>396</v>
      </c>
      <c r="O2070" t="s">
        <v>397</v>
      </c>
      <c r="P2070" t="s">
        <v>397</v>
      </c>
      <c r="Q2070">
        <v>5</v>
      </c>
      <c r="R2070" s="225">
        <f>Base_Periodo1[[#This Row],[CREDITOS]]-Base_Periodo1[[#This Row],[DEBITOS]]</f>
        <v>0</v>
      </c>
      <c r="S2070" s="3" t="str">
        <f>IF(ISERROR(VLOOKUP(Base_Periodo1[[#This Row],[CONTA]],BaseContasDRE[#All],4,FALSE)),"Fora do DRE",VLOOKUP(Base_Periodo1[[#This Row],[CONTA]],BaseContasDRE[#All],4,FALSE))</f>
        <v>Fora do DRE</v>
      </c>
      <c r="T2070" s="3" t="str">
        <f>IF(ISERROR(VLOOKUP(Base_Periodo1[[#This Row],[CONTA]],BaseContasDRE[#All],5,FALSE)),"Fora do DRE",VLOOKUP(Base_Periodo1[[#This Row],[CONTA]],BaseContasDRE[#All],6,FALSE))</f>
        <v>Fora do DRE</v>
      </c>
      <c r="U2070" s="3" t="str">
        <f>IF(ISERROR(VLOOKUP(Base_Periodo1[[#This Row],[CONTA]],BaseContasDRE[#All],7,FALSE)),"Fora do DRE",VLOOKUP(Base_Periodo1[[#This Row],[CONTA]],BaseContasDRE[#All],7,FALSE))</f>
        <v>Fora do DRE</v>
      </c>
      <c r="V2070" s="3" t="str">
        <f>IF(Base_Periodo1[[#This Row],[Tipo_Linha]]="Fora do DRE","Fora do DRE","( "&amp;Base_Periodo1[[#This Row],[Tipo_Linha]]&amp;" ) "&amp;Base_Periodo1[[#This Row],[Filtro]])</f>
        <v>Fora do DRE</v>
      </c>
      <c r="W2070" s="3" t="str">
        <f>LEFT(Base_Periodo1[[#This Row],[CLASS]],3)</f>
        <v>1.2</v>
      </c>
    </row>
    <row r="2071" spans="1:23" hidden="1">
      <c r="A2071" s="3" t="str">
        <f t="shared" si="32"/>
        <v>Período 1</v>
      </c>
      <c r="B2071">
        <v>1375</v>
      </c>
      <c r="C2071" t="s">
        <v>1644</v>
      </c>
      <c r="D2071" t="s">
        <v>160</v>
      </c>
      <c r="E2071" s="3" t="str">
        <f>IF(LEN(Base_Periodo1[[#This Row],[CLASS]])&gt;=7,LEFT(Base_Periodo1[[#This Row],[CLASS]],7),"")</f>
        <v>1.2.1.2</v>
      </c>
      <c r="F2071" s="3" t="str">
        <f>VLOOKUP(Base_Periodo1[[#This Row],[Aux]],Base_Contas_Balanco[#All],2,FALSE)</f>
        <v xml:space="preserve">Creditos com não Cooperados </v>
      </c>
      <c r="G2071" s="1">
        <v>42825</v>
      </c>
      <c r="H2071" s="225">
        <v>88506.120000000112</v>
      </c>
      <c r="I2071" s="225">
        <v>0</v>
      </c>
      <c r="J2071" s="225">
        <v>0</v>
      </c>
      <c r="K2071" s="225">
        <v>88506.120000000112</v>
      </c>
      <c r="L20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88506.12</v>
      </c>
      <c r="M2071" s="225">
        <f>ROUND(IF(AND(Base_Periodo1[[#This Row],[Tipo_Linha]]="-",Base_Periodo1[[#This Row],[TIPOSALDO]]="D"),Base_Periodo1[[#This Row],[SALDO_ATUAL]]*-1,Base_Periodo1[[#This Row],[SALDO_ATUAL]]),4)</f>
        <v>88506.12</v>
      </c>
      <c r="N2071" t="s">
        <v>116</v>
      </c>
      <c r="O2071" t="s">
        <v>397</v>
      </c>
      <c r="P2071" t="s">
        <v>397</v>
      </c>
      <c r="Q2071">
        <v>6</v>
      </c>
      <c r="R2071" s="225">
        <f>Base_Periodo1[[#This Row],[CREDITOS]]-Base_Periodo1[[#This Row],[DEBITOS]]</f>
        <v>0</v>
      </c>
      <c r="S2071" s="3" t="str">
        <f>IF(ISERROR(VLOOKUP(Base_Periodo1[[#This Row],[CONTA]],BaseContasDRE[#All],4,FALSE)),"Fora do DRE",VLOOKUP(Base_Periodo1[[#This Row],[CONTA]],BaseContasDRE[#All],4,FALSE))</f>
        <v>Fora do DRE</v>
      </c>
      <c r="T2071" s="3" t="str">
        <f>IF(ISERROR(VLOOKUP(Base_Periodo1[[#This Row],[CONTA]],BaseContasDRE[#All],5,FALSE)),"Fora do DRE",VLOOKUP(Base_Periodo1[[#This Row],[CONTA]],BaseContasDRE[#All],6,FALSE))</f>
        <v>Fora do DRE</v>
      </c>
      <c r="U2071" s="3" t="str">
        <f>IF(ISERROR(VLOOKUP(Base_Periodo1[[#This Row],[CONTA]],BaseContasDRE[#All],7,FALSE)),"Fora do DRE",VLOOKUP(Base_Periodo1[[#This Row],[CONTA]],BaseContasDRE[#All],7,FALSE))</f>
        <v>Fora do DRE</v>
      </c>
      <c r="V2071" s="3" t="str">
        <f>IF(Base_Periodo1[[#This Row],[Tipo_Linha]]="Fora do DRE","Fora do DRE","( "&amp;Base_Periodo1[[#This Row],[Tipo_Linha]]&amp;" ) "&amp;Base_Periodo1[[#This Row],[Filtro]])</f>
        <v>Fora do DRE</v>
      </c>
      <c r="W2071" s="3" t="str">
        <f>LEFT(Base_Periodo1[[#This Row],[CLASS]],3)</f>
        <v>1.2</v>
      </c>
    </row>
    <row r="2072" spans="1:23" hidden="1">
      <c r="A2072" s="3" t="str">
        <f t="shared" si="32"/>
        <v>Período 1</v>
      </c>
      <c r="B2072">
        <v>23745</v>
      </c>
      <c r="C2072" t="s">
        <v>1645</v>
      </c>
      <c r="D2072" t="s">
        <v>31</v>
      </c>
      <c r="E2072" s="3" t="str">
        <f>IF(LEN(Base_Periodo1[[#This Row],[CLASS]])&gt;=7,LEFT(Base_Periodo1[[#This Row],[CLASS]],7),"")</f>
        <v/>
      </c>
      <c r="F2072" s="3" t="e">
        <f>VLOOKUP(Base_Periodo1[[#This Row],[Aux]],Base_Contas_Balanco[#All],2,FALSE)</f>
        <v>#N/A</v>
      </c>
      <c r="G2072" s="1"/>
      <c r="H2072" s="225">
        <v>1411486.48</v>
      </c>
      <c r="I2072" s="225">
        <v>14762.1</v>
      </c>
      <c r="J2072" s="225">
        <v>0</v>
      </c>
      <c r="K2072" s="225">
        <v>1426248.58</v>
      </c>
      <c r="L20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1426248.58</v>
      </c>
      <c r="M2072" s="225">
        <f>ROUND(IF(AND(Base_Periodo1[[#This Row],[Tipo_Linha]]="-",Base_Periodo1[[#This Row],[TIPOSALDO]]="D"),Base_Periodo1[[#This Row],[SALDO_ATUAL]]*-1,Base_Periodo1[[#This Row],[SALDO_ATUAL]]),4)</f>
        <v>1426248.58</v>
      </c>
      <c r="N2072" t="s">
        <v>396</v>
      </c>
      <c r="O2072" t="s">
        <v>397</v>
      </c>
      <c r="P2072" t="s">
        <v>397</v>
      </c>
      <c r="Q2072">
        <v>3</v>
      </c>
      <c r="R2072" s="225">
        <f>Base_Periodo1[[#This Row],[CREDITOS]]-Base_Periodo1[[#This Row],[DEBITOS]]</f>
        <v>-14762.1</v>
      </c>
      <c r="S2072" s="3" t="str">
        <f>IF(ISERROR(VLOOKUP(Base_Periodo1[[#This Row],[CONTA]],BaseContasDRE[#All],4,FALSE)),"Fora do DRE",VLOOKUP(Base_Periodo1[[#This Row],[CONTA]],BaseContasDRE[#All],4,FALSE))</f>
        <v>Fora do DRE</v>
      </c>
      <c r="T2072" s="3" t="str">
        <f>IF(ISERROR(VLOOKUP(Base_Periodo1[[#This Row],[CONTA]],BaseContasDRE[#All],5,FALSE)),"Fora do DRE",VLOOKUP(Base_Periodo1[[#This Row],[CONTA]],BaseContasDRE[#All],6,FALSE))</f>
        <v>Fora do DRE</v>
      </c>
      <c r="U2072" s="3" t="str">
        <f>IF(ISERROR(VLOOKUP(Base_Periodo1[[#This Row],[CONTA]],BaseContasDRE[#All],7,FALSE)),"Fora do DRE",VLOOKUP(Base_Periodo1[[#This Row],[CONTA]],BaseContasDRE[#All],7,FALSE))</f>
        <v>Fora do DRE</v>
      </c>
      <c r="V2072" s="3" t="str">
        <f>IF(Base_Periodo1[[#This Row],[Tipo_Linha]]="Fora do DRE","Fora do DRE","( "&amp;Base_Periodo1[[#This Row],[Tipo_Linha]]&amp;" ) "&amp;Base_Periodo1[[#This Row],[Filtro]])</f>
        <v>Fora do DRE</v>
      </c>
      <c r="W2072" s="3" t="str">
        <f>LEFT(Base_Periodo1[[#This Row],[CLASS]],3)</f>
        <v>1.2</v>
      </c>
    </row>
    <row r="2073" spans="1:23" hidden="1">
      <c r="A2073" s="3" t="str">
        <f t="shared" si="32"/>
        <v>Período 1</v>
      </c>
      <c r="B2073">
        <v>1385</v>
      </c>
      <c r="C2073" t="s">
        <v>30</v>
      </c>
      <c r="D2073" t="s">
        <v>31</v>
      </c>
      <c r="E2073" s="3" t="str">
        <f>IF(LEN(Base_Periodo1[[#This Row],[CLASS]])&gt;=7,LEFT(Base_Periodo1[[#This Row],[CLASS]],7),"")</f>
        <v>1.2.3.1</v>
      </c>
      <c r="F2073" s="3" t="str">
        <f>VLOOKUP(Base_Periodo1[[#This Row],[Aux]],Base_Contas_Balanco[#All],2,FALSE)</f>
        <v>Investimentos</v>
      </c>
      <c r="G2073" s="1"/>
      <c r="H2073" s="225">
        <v>1411486.48</v>
      </c>
      <c r="I2073" s="225">
        <v>14762.1</v>
      </c>
      <c r="J2073" s="225">
        <v>0</v>
      </c>
      <c r="K2073" s="225">
        <v>1426248.58</v>
      </c>
      <c r="L20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1426248.58</v>
      </c>
      <c r="M2073" s="225">
        <f>ROUND(IF(AND(Base_Periodo1[[#This Row],[Tipo_Linha]]="-",Base_Periodo1[[#This Row],[TIPOSALDO]]="D"),Base_Periodo1[[#This Row],[SALDO_ATUAL]]*-1,Base_Periodo1[[#This Row],[SALDO_ATUAL]]),4)</f>
        <v>1426248.58</v>
      </c>
      <c r="N2073" t="s">
        <v>396</v>
      </c>
      <c r="O2073" t="s">
        <v>397</v>
      </c>
      <c r="P2073" t="s">
        <v>397</v>
      </c>
      <c r="Q2073">
        <v>4</v>
      </c>
      <c r="R2073" s="225">
        <f>Base_Periodo1[[#This Row],[CREDITOS]]-Base_Periodo1[[#This Row],[DEBITOS]]</f>
        <v>-14762.1</v>
      </c>
      <c r="S2073" s="3" t="str">
        <f>IF(ISERROR(VLOOKUP(Base_Periodo1[[#This Row],[CONTA]],BaseContasDRE[#All],4,FALSE)),"Fora do DRE",VLOOKUP(Base_Periodo1[[#This Row],[CONTA]],BaseContasDRE[#All],4,FALSE))</f>
        <v>Fora do DRE</v>
      </c>
      <c r="T2073" s="3" t="str">
        <f>IF(ISERROR(VLOOKUP(Base_Periodo1[[#This Row],[CONTA]],BaseContasDRE[#All],5,FALSE)),"Fora do DRE",VLOOKUP(Base_Periodo1[[#This Row],[CONTA]],BaseContasDRE[#All],6,FALSE))</f>
        <v>Fora do DRE</v>
      </c>
      <c r="U2073" s="3" t="str">
        <f>IF(ISERROR(VLOOKUP(Base_Periodo1[[#This Row],[CONTA]],BaseContasDRE[#All],7,FALSE)),"Fora do DRE",VLOOKUP(Base_Periodo1[[#This Row],[CONTA]],BaseContasDRE[#All],7,FALSE))</f>
        <v>Fora do DRE</v>
      </c>
      <c r="V2073" s="3" t="str">
        <f>IF(Base_Periodo1[[#This Row],[Tipo_Linha]]="Fora do DRE","Fora do DRE","( "&amp;Base_Periodo1[[#This Row],[Tipo_Linha]]&amp;" ) "&amp;Base_Periodo1[[#This Row],[Filtro]])</f>
        <v>Fora do DRE</v>
      </c>
      <c r="W2073" s="3" t="str">
        <f>LEFT(Base_Periodo1[[#This Row],[CLASS]],3)</f>
        <v>1.2</v>
      </c>
    </row>
    <row r="2074" spans="1:23" hidden="1">
      <c r="A2074" s="3" t="str">
        <f t="shared" si="32"/>
        <v>Período 1</v>
      </c>
      <c r="B2074">
        <v>1386</v>
      </c>
      <c r="C2074" t="s">
        <v>1646</v>
      </c>
      <c r="D2074" t="s">
        <v>1647</v>
      </c>
      <c r="E2074" s="3" t="str">
        <f>IF(LEN(Base_Periodo1[[#This Row],[CLASS]])&gt;=7,LEFT(Base_Periodo1[[#This Row],[CLASS]],7),"")</f>
        <v>1.2.3.1</v>
      </c>
      <c r="F2074" s="3" t="str">
        <f>VLOOKUP(Base_Periodo1[[#This Row],[Aux]],Base_Contas_Balanco[#All],2,FALSE)</f>
        <v>Investimentos</v>
      </c>
      <c r="G2074" s="1"/>
      <c r="H2074" s="225">
        <v>112982.54999999993</v>
      </c>
      <c r="I2074" s="225">
        <v>0</v>
      </c>
      <c r="J2074" s="225">
        <v>0</v>
      </c>
      <c r="K2074" s="225">
        <v>112982.54999999993</v>
      </c>
      <c r="L20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112982.55</v>
      </c>
      <c r="M2074" s="225">
        <f>ROUND(IF(AND(Base_Periodo1[[#This Row],[Tipo_Linha]]="-",Base_Periodo1[[#This Row],[TIPOSALDO]]="D"),Base_Periodo1[[#This Row],[SALDO_ATUAL]]*-1,Base_Periodo1[[#This Row],[SALDO_ATUAL]]),4)</f>
        <v>112982.55</v>
      </c>
      <c r="N2074" t="s">
        <v>396</v>
      </c>
      <c r="O2074" t="s">
        <v>397</v>
      </c>
      <c r="P2074" t="s">
        <v>397</v>
      </c>
      <c r="Q2074">
        <v>5</v>
      </c>
      <c r="R2074" s="225">
        <f>Base_Periodo1[[#This Row],[CREDITOS]]-Base_Periodo1[[#This Row],[DEBITOS]]</f>
        <v>0</v>
      </c>
      <c r="S2074" s="3" t="str">
        <f>IF(ISERROR(VLOOKUP(Base_Periodo1[[#This Row],[CONTA]],BaseContasDRE[#All],4,FALSE)),"Fora do DRE",VLOOKUP(Base_Periodo1[[#This Row],[CONTA]],BaseContasDRE[#All],4,FALSE))</f>
        <v>Fora do DRE</v>
      </c>
      <c r="T2074" s="3" t="str">
        <f>IF(ISERROR(VLOOKUP(Base_Periodo1[[#This Row],[CONTA]],BaseContasDRE[#All],5,FALSE)),"Fora do DRE",VLOOKUP(Base_Periodo1[[#This Row],[CONTA]],BaseContasDRE[#All],6,FALSE))</f>
        <v>Fora do DRE</v>
      </c>
      <c r="U2074" s="3" t="str">
        <f>IF(ISERROR(VLOOKUP(Base_Periodo1[[#This Row],[CONTA]],BaseContasDRE[#All],7,FALSE)),"Fora do DRE",VLOOKUP(Base_Periodo1[[#This Row],[CONTA]],BaseContasDRE[#All],7,FALSE))</f>
        <v>Fora do DRE</v>
      </c>
      <c r="V2074" s="3" t="str">
        <f>IF(Base_Periodo1[[#This Row],[Tipo_Linha]]="Fora do DRE","Fora do DRE","( "&amp;Base_Periodo1[[#This Row],[Tipo_Linha]]&amp;" ) "&amp;Base_Periodo1[[#This Row],[Filtro]])</f>
        <v>Fora do DRE</v>
      </c>
      <c r="W2074" s="3" t="str">
        <f>LEFT(Base_Periodo1[[#This Row],[CLASS]],3)</f>
        <v>1.2</v>
      </c>
    </row>
    <row r="2075" spans="1:23" hidden="1">
      <c r="A2075" s="3" t="str">
        <f t="shared" si="32"/>
        <v>Período 1</v>
      </c>
      <c r="B2075">
        <v>1387</v>
      </c>
      <c r="C2075" t="s">
        <v>1648</v>
      </c>
      <c r="D2075" t="s">
        <v>1649</v>
      </c>
      <c r="E2075" s="3" t="str">
        <f>IF(LEN(Base_Periodo1[[#This Row],[CLASS]])&gt;=7,LEFT(Base_Periodo1[[#This Row],[CLASS]],7),"")</f>
        <v>1.2.3.1</v>
      </c>
      <c r="F2075" s="3" t="str">
        <f>VLOOKUP(Base_Periodo1[[#This Row],[Aux]],Base_Contas_Balanco[#All],2,FALSE)</f>
        <v>Investimentos</v>
      </c>
      <c r="G2075" s="1">
        <v>42837</v>
      </c>
      <c r="H2075" s="225">
        <v>112982.54999999993</v>
      </c>
      <c r="I2075" s="225">
        <v>0</v>
      </c>
      <c r="J2075" s="225">
        <v>0</v>
      </c>
      <c r="K2075" s="225">
        <v>112982.54999999993</v>
      </c>
      <c r="L20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112982.55</v>
      </c>
      <c r="M2075" s="225">
        <f>ROUND(IF(AND(Base_Periodo1[[#This Row],[Tipo_Linha]]="-",Base_Periodo1[[#This Row],[TIPOSALDO]]="D"),Base_Periodo1[[#This Row],[SALDO_ATUAL]]*-1,Base_Periodo1[[#This Row],[SALDO_ATUAL]]),4)</f>
        <v>112982.55</v>
      </c>
      <c r="N2075" t="s">
        <v>116</v>
      </c>
      <c r="O2075" t="s">
        <v>397</v>
      </c>
      <c r="P2075" t="s">
        <v>397</v>
      </c>
      <c r="Q2075">
        <v>6</v>
      </c>
      <c r="R2075" s="225">
        <f>Base_Periodo1[[#This Row],[CREDITOS]]-Base_Periodo1[[#This Row],[DEBITOS]]</f>
        <v>0</v>
      </c>
      <c r="S2075" s="3" t="str">
        <f>IF(ISERROR(VLOOKUP(Base_Periodo1[[#This Row],[CONTA]],BaseContasDRE[#All],4,FALSE)),"Fora do DRE",VLOOKUP(Base_Periodo1[[#This Row],[CONTA]],BaseContasDRE[#All],4,FALSE))</f>
        <v>Fora do DRE</v>
      </c>
      <c r="T2075" s="3" t="str">
        <f>IF(ISERROR(VLOOKUP(Base_Periodo1[[#This Row],[CONTA]],BaseContasDRE[#All],5,FALSE)),"Fora do DRE",VLOOKUP(Base_Periodo1[[#This Row],[CONTA]],BaseContasDRE[#All],6,FALSE))</f>
        <v>Fora do DRE</v>
      </c>
      <c r="U2075" s="3" t="str">
        <f>IF(ISERROR(VLOOKUP(Base_Periodo1[[#This Row],[CONTA]],BaseContasDRE[#All],7,FALSE)),"Fora do DRE",VLOOKUP(Base_Periodo1[[#This Row],[CONTA]],BaseContasDRE[#All],7,FALSE))</f>
        <v>Fora do DRE</v>
      </c>
      <c r="V2075" s="3" t="str">
        <f>IF(Base_Periodo1[[#This Row],[Tipo_Linha]]="Fora do DRE","Fora do DRE","( "&amp;Base_Periodo1[[#This Row],[Tipo_Linha]]&amp;" ) "&amp;Base_Periodo1[[#This Row],[Filtro]])</f>
        <v>Fora do DRE</v>
      </c>
      <c r="W2075" s="3" t="str">
        <f>LEFT(Base_Periodo1[[#This Row],[CLASS]],3)</f>
        <v>1.2</v>
      </c>
    </row>
    <row r="2076" spans="1:23" hidden="1">
      <c r="A2076" s="3" t="str">
        <f t="shared" si="32"/>
        <v>Período 1</v>
      </c>
      <c r="B2076">
        <v>1389</v>
      </c>
      <c r="C2076" t="s">
        <v>4928</v>
      </c>
      <c r="D2076" t="s">
        <v>4929</v>
      </c>
      <c r="E2076" s="3" t="str">
        <f>IF(LEN(Base_Periodo1[[#This Row],[CLASS]])&gt;=7,LEFT(Base_Periodo1[[#This Row],[CLASS]],7),"")</f>
        <v>1.2.3.1</v>
      </c>
      <c r="F2076" s="3" t="str">
        <f>VLOOKUP(Base_Periodo1[[#This Row],[Aux]],Base_Contas_Balanco[#All],2,FALSE)</f>
        <v>Investimentos</v>
      </c>
      <c r="G2076" s="1"/>
      <c r="H2076" s="225">
        <v>1138866.1600000001</v>
      </c>
      <c r="I2076" s="225">
        <v>0</v>
      </c>
      <c r="J2076" s="225">
        <v>0</v>
      </c>
      <c r="K2076" s="225">
        <v>1138866.1600000001</v>
      </c>
      <c r="L20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1138866.1599999999</v>
      </c>
      <c r="M2076" s="225">
        <f>ROUND(IF(AND(Base_Periodo1[[#This Row],[Tipo_Linha]]="-",Base_Periodo1[[#This Row],[TIPOSALDO]]="D"),Base_Periodo1[[#This Row],[SALDO_ATUAL]]*-1,Base_Periodo1[[#This Row],[SALDO_ATUAL]]),4)</f>
        <v>1138866.1599999999</v>
      </c>
      <c r="N2076" t="s">
        <v>396</v>
      </c>
      <c r="O2076" t="s">
        <v>397</v>
      </c>
      <c r="P2076" t="s">
        <v>397</v>
      </c>
      <c r="Q2076">
        <v>5</v>
      </c>
      <c r="R2076" s="225">
        <f>Base_Periodo1[[#This Row],[CREDITOS]]-Base_Periodo1[[#This Row],[DEBITOS]]</f>
        <v>0</v>
      </c>
      <c r="S2076" s="3" t="str">
        <f>IF(ISERROR(VLOOKUP(Base_Periodo1[[#This Row],[CONTA]],BaseContasDRE[#All],4,FALSE)),"Fora do DRE",VLOOKUP(Base_Periodo1[[#This Row],[CONTA]],BaseContasDRE[#All],4,FALSE))</f>
        <v>Fora do DRE</v>
      </c>
      <c r="T2076" s="3" t="str">
        <f>IF(ISERROR(VLOOKUP(Base_Periodo1[[#This Row],[CONTA]],BaseContasDRE[#All],5,FALSE)),"Fora do DRE",VLOOKUP(Base_Periodo1[[#This Row],[CONTA]],BaseContasDRE[#All],6,FALSE))</f>
        <v>Fora do DRE</v>
      </c>
      <c r="U2076" s="3" t="str">
        <f>IF(ISERROR(VLOOKUP(Base_Periodo1[[#This Row],[CONTA]],BaseContasDRE[#All],7,FALSE)),"Fora do DRE",VLOOKUP(Base_Periodo1[[#This Row],[CONTA]],BaseContasDRE[#All],7,FALSE))</f>
        <v>Fora do DRE</v>
      </c>
      <c r="V2076" s="3" t="str">
        <f>IF(Base_Periodo1[[#This Row],[Tipo_Linha]]="Fora do DRE","Fora do DRE","( "&amp;Base_Periodo1[[#This Row],[Tipo_Linha]]&amp;" ) "&amp;Base_Periodo1[[#This Row],[Filtro]])</f>
        <v>Fora do DRE</v>
      </c>
      <c r="W2076" s="3" t="str">
        <f>LEFT(Base_Periodo1[[#This Row],[CLASS]],3)</f>
        <v>1.2</v>
      </c>
    </row>
    <row r="2077" spans="1:23" hidden="1">
      <c r="A2077" s="3" t="str">
        <f t="shared" si="32"/>
        <v>Período 1</v>
      </c>
      <c r="B2077">
        <v>56151</v>
      </c>
      <c r="C2077" t="s">
        <v>4930</v>
      </c>
      <c r="D2077" t="s">
        <v>5547</v>
      </c>
      <c r="E2077" s="3" t="str">
        <f>IF(LEN(Base_Periodo1[[#This Row],[CLASS]])&gt;=7,LEFT(Base_Periodo1[[#This Row],[CLASS]],7),"")</f>
        <v>1.2.3.1</v>
      </c>
      <c r="F2077" s="3" t="str">
        <f>VLOOKUP(Base_Periodo1[[#This Row],[Aux]],Base_Contas_Balanco[#All],2,FALSE)</f>
        <v>Investimentos</v>
      </c>
      <c r="G2077" s="1">
        <v>42735</v>
      </c>
      <c r="H2077" s="225">
        <v>837866.16</v>
      </c>
      <c r="I2077" s="225">
        <v>0</v>
      </c>
      <c r="J2077" s="225">
        <v>0</v>
      </c>
      <c r="K2077" s="225">
        <v>837866.16</v>
      </c>
      <c r="L20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837866.16</v>
      </c>
      <c r="M2077" s="225">
        <f>ROUND(IF(AND(Base_Periodo1[[#This Row],[Tipo_Linha]]="-",Base_Periodo1[[#This Row],[TIPOSALDO]]="D"),Base_Periodo1[[#This Row],[SALDO_ATUAL]]*-1,Base_Periodo1[[#This Row],[SALDO_ATUAL]]),4)</f>
        <v>837866.16</v>
      </c>
      <c r="N2077" t="s">
        <v>116</v>
      </c>
      <c r="O2077" t="s">
        <v>397</v>
      </c>
      <c r="P2077" t="s">
        <v>397</v>
      </c>
      <c r="Q2077">
        <v>6</v>
      </c>
      <c r="R2077" s="225">
        <f>Base_Periodo1[[#This Row],[CREDITOS]]-Base_Periodo1[[#This Row],[DEBITOS]]</f>
        <v>0</v>
      </c>
      <c r="S2077" s="3" t="str">
        <f>IF(ISERROR(VLOOKUP(Base_Periodo1[[#This Row],[CONTA]],BaseContasDRE[#All],4,FALSE)),"Fora do DRE",VLOOKUP(Base_Periodo1[[#This Row],[CONTA]],BaseContasDRE[#All],4,FALSE))</f>
        <v>Fora do DRE</v>
      </c>
      <c r="T2077" s="3" t="str">
        <f>IF(ISERROR(VLOOKUP(Base_Periodo1[[#This Row],[CONTA]],BaseContasDRE[#All],5,FALSE)),"Fora do DRE",VLOOKUP(Base_Periodo1[[#This Row],[CONTA]],BaseContasDRE[#All],6,FALSE))</f>
        <v>Fora do DRE</v>
      </c>
      <c r="U2077" s="3" t="str">
        <f>IF(ISERROR(VLOOKUP(Base_Periodo1[[#This Row],[CONTA]],BaseContasDRE[#All],7,FALSE)),"Fora do DRE",VLOOKUP(Base_Periodo1[[#This Row],[CONTA]],BaseContasDRE[#All],7,FALSE))</f>
        <v>Fora do DRE</v>
      </c>
      <c r="V2077" s="3" t="str">
        <f>IF(Base_Periodo1[[#This Row],[Tipo_Linha]]="Fora do DRE","Fora do DRE","( "&amp;Base_Periodo1[[#This Row],[Tipo_Linha]]&amp;" ) "&amp;Base_Periodo1[[#This Row],[Filtro]])</f>
        <v>Fora do DRE</v>
      </c>
      <c r="W2077" s="3" t="str">
        <f>LEFT(Base_Periodo1[[#This Row],[CLASS]],3)</f>
        <v>1.2</v>
      </c>
    </row>
    <row r="2078" spans="1:23" hidden="1">
      <c r="A2078" s="3" t="str">
        <f t="shared" si="32"/>
        <v>Período 1</v>
      </c>
      <c r="B2078">
        <v>53609</v>
      </c>
      <c r="C2078" t="s">
        <v>4930</v>
      </c>
      <c r="D2078" t="s">
        <v>4931</v>
      </c>
      <c r="E2078" s="3" t="str">
        <f>IF(LEN(Base_Periodo1[[#This Row],[CLASS]])&gt;=7,LEFT(Base_Periodo1[[#This Row],[CLASS]],7),"")</f>
        <v>1.2.3.1</v>
      </c>
      <c r="F2078" s="3" t="str">
        <f>VLOOKUP(Base_Periodo1[[#This Row],[Aux]],Base_Contas_Balanco[#All],2,FALSE)</f>
        <v>Investimentos</v>
      </c>
      <c r="G2078" s="1">
        <v>42570</v>
      </c>
      <c r="H2078" s="225">
        <v>301000</v>
      </c>
      <c r="I2078" s="225">
        <v>0</v>
      </c>
      <c r="J2078" s="225">
        <v>0</v>
      </c>
      <c r="K2078" s="225">
        <v>301000</v>
      </c>
      <c r="L20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301000</v>
      </c>
      <c r="M2078" s="225">
        <f>ROUND(IF(AND(Base_Periodo1[[#This Row],[Tipo_Linha]]="-",Base_Periodo1[[#This Row],[TIPOSALDO]]="D"),Base_Periodo1[[#This Row],[SALDO_ATUAL]]*-1,Base_Periodo1[[#This Row],[SALDO_ATUAL]]),4)</f>
        <v>301000</v>
      </c>
      <c r="N2078" t="s">
        <v>116</v>
      </c>
      <c r="O2078" t="s">
        <v>397</v>
      </c>
      <c r="P2078" t="s">
        <v>397</v>
      </c>
      <c r="Q2078">
        <v>6</v>
      </c>
      <c r="R2078" s="225">
        <f>Base_Periodo1[[#This Row],[CREDITOS]]-Base_Periodo1[[#This Row],[DEBITOS]]</f>
        <v>0</v>
      </c>
      <c r="S2078" s="3" t="str">
        <f>IF(ISERROR(VLOOKUP(Base_Periodo1[[#This Row],[CONTA]],BaseContasDRE[#All],4,FALSE)),"Fora do DRE",VLOOKUP(Base_Periodo1[[#This Row],[CONTA]],BaseContasDRE[#All],4,FALSE))</f>
        <v>Fora do DRE</v>
      </c>
      <c r="T2078" s="3" t="str">
        <f>IF(ISERROR(VLOOKUP(Base_Periodo1[[#This Row],[CONTA]],BaseContasDRE[#All],5,FALSE)),"Fora do DRE",VLOOKUP(Base_Periodo1[[#This Row],[CONTA]],BaseContasDRE[#All],6,FALSE))</f>
        <v>Fora do DRE</v>
      </c>
      <c r="U2078" s="3" t="str">
        <f>IF(ISERROR(VLOOKUP(Base_Periodo1[[#This Row],[CONTA]],BaseContasDRE[#All],7,FALSE)),"Fora do DRE",VLOOKUP(Base_Periodo1[[#This Row],[CONTA]],BaseContasDRE[#All],7,FALSE))</f>
        <v>Fora do DRE</v>
      </c>
      <c r="V2078" s="3" t="str">
        <f>IF(Base_Periodo1[[#This Row],[Tipo_Linha]]="Fora do DRE","Fora do DRE","( "&amp;Base_Periodo1[[#This Row],[Tipo_Linha]]&amp;" ) "&amp;Base_Periodo1[[#This Row],[Filtro]])</f>
        <v>Fora do DRE</v>
      </c>
      <c r="W2078" s="3" t="str">
        <f>LEFT(Base_Periodo1[[#This Row],[CLASS]],3)</f>
        <v>1.2</v>
      </c>
    </row>
    <row r="2079" spans="1:23" hidden="1">
      <c r="A2079" s="3" t="str">
        <f t="shared" si="32"/>
        <v>Período 1</v>
      </c>
      <c r="B2079">
        <v>1392</v>
      </c>
      <c r="C2079" t="s">
        <v>1650</v>
      </c>
      <c r="D2079" t="s">
        <v>1651</v>
      </c>
      <c r="E2079" s="3" t="str">
        <f>IF(LEN(Base_Periodo1[[#This Row],[CLASS]])&gt;=7,LEFT(Base_Periodo1[[#This Row],[CLASS]],7),"")</f>
        <v>1.2.3.1</v>
      </c>
      <c r="F2079" s="3" t="str">
        <f>VLOOKUP(Base_Periodo1[[#This Row],[Aux]],Base_Contas_Balanco[#All],2,FALSE)</f>
        <v>Investimentos</v>
      </c>
      <c r="G2079" s="1"/>
      <c r="H2079" s="225">
        <v>136291.20000000001</v>
      </c>
      <c r="I2079" s="225">
        <v>8889</v>
      </c>
      <c r="J2079" s="225">
        <v>0</v>
      </c>
      <c r="K2079" s="225">
        <v>145180.20000000001</v>
      </c>
      <c r="L20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145180.20000000001</v>
      </c>
      <c r="M2079" s="225">
        <f>ROUND(IF(AND(Base_Periodo1[[#This Row],[Tipo_Linha]]="-",Base_Periodo1[[#This Row],[TIPOSALDO]]="D"),Base_Periodo1[[#This Row],[SALDO_ATUAL]]*-1,Base_Periodo1[[#This Row],[SALDO_ATUAL]]),4)</f>
        <v>145180.20000000001</v>
      </c>
      <c r="N2079" t="s">
        <v>396</v>
      </c>
      <c r="O2079" t="s">
        <v>397</v>
      </c>
      <c r="P2079" t="s">
        <v>397</v>
      </c>
      <c r="Q2079">
        <v>5</v>
      </c>
      <c r="R2079" s="225">
        <f>Base_Periodo1[[#This Row],[CREDITOS]]-Base_Periodo1[[#This Row],[DEBITOS]]</f>
        <v>-8889</v>
      </c>
      <c r="S2079" s="3" t="str">
        <f>IF(ISERROR(VLOOKUP(Base_Periodo1[[#This Row],[CONTA]],BaseContasDRE[#All],4,FALSE)),"Fora do DRE",VLOOKUP(Base_Periodo1[[#This Row],[CONTA]],BaseContasDRE[#All],4,FALSE))</f>
        <v>Fora do DRE</v>
      </c>
      <c r="T2079" s="3" t="str">
        <f>IF(ISERROR(VLOOKUP(Base_Periodo1[[#This Row],[CONTA]],BaseContasDRE[#All],5,FALSE)),"Fora do DRE",VLOOKUP(Base_Periodo1[[#This Row],[CONTA]],BaseContasDRE[#All],6,FALSE))</f>
        <v>Fora do DRE</v>
      </c>
      <c r="U2079" s="3" t="str">
        <f>IF(ISERROR(VLOOKUP(Base_Periodo1[[#This Row],[CONTA]],BaseContasDRE[#All],7,FALSE)),"Fora do DRE",VLOOKUP(Base_Periodo1[[#This Row],[CONTA]],BaseContasDRE[#All],7,FALSE))</f>
        <v>Fora do DRE</v>
      </c>
      <c r="V2079" s="3" t="str">
        <f>IF(Base_Periodo1[[#This Row],[Tipo_Linha]]="Fora do DRE","Fora do DRE","( "&amp;Base_Periodo1[[#This Row],[Tipo_Linha]]&amp;" ) "&amp;Base_Periodo1[[#This Row],[Filtro]])</f>
        <v>Fora do DRE</v>
      </c>
      <c r="W2079" s="3" t="str">
        <f>LEFT(Base_Periodo1[[#This Row],[CLASS]],3)</f>
        <v>1.2</v>
      </c>
    </row>
    <row r="2080" spans="1:23" hidden="1">
      <c r="A2080" s="3" t="str">
        <f t="shared" si="32"/>
        <v>Período 1</v>
      </c>
      <c r="B2080">
        <v>1393</v>
      </c>
      <c r="C2080" t="s">
        <v>1652</v>
      </c>
      <c r="D2080" t="s">
        <v>1653</v>
      </c>
      <c r="E2080" s="3" t="str">
        <f>IF(LEN(Base_Periodo1[[#This Row],[CLASS]])&gt;=7,LEFT(Base_Periodo1[[#This Row],[CLASS]],7),"")</f>
        <v>1.2.3.1</v>
      </c>
      <c r="F2080" s="3" t="str">
        <f>VLOOKUP(Base_Periodo1[[#This Row],[Aux]],Base_Contas_Balanco[#All],2,FALSE)</f>
        <v>Investimentos</v>
      </c>
      <c r="G2080" s="1">
        <v>42877</v>
      </c>
      <c r="H2080" s="225">
        <v>136291.20000000001</v>
      </c>
      <c r="I2080" s="225">
        <v>8889</v>
      </c>
      <c r="J2080" s="225">
        <v>0</v>
      </c>
      <c r="K2080" s="225">
        <v>145180.20000000001</v>
      </c>
      <c r="L20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145180.20000000001</v>
      </c>
      <c r="M2080" s="225">
        <f>ROUND(IF(AND(Base_Periodo1[[#This Row],[Tipo_Linha]]="-",Base_Periodo1[[#This Row],[TIPOSALDO]]="D"),Base_Periodo1[[#This Row],[SALDO_ATUAL]]*-1,Base_Periodo1[[#This Row],[SALDO_ATUAL]]),4)</f>
        <v>145180.20000000001</v>
      </c>
      <c r="N2080" t="s">
        <v>116</v>
      </c>
      <c r="O2080" t="s">
        <v>397</v>
      </c>
      <c r="P2080" t="s">
        <v>397</v>
      </c>
      <c r="Q2080">
        <v>6</v>
      </c>
      <c r="R2080" s="225">
        <f>Base_Periodo1[[#This Row],[CREDITOS]]-Base_Periodo1[[#This Row],[DEBITOS]]</f>
        <v>-8889</v>
      </c>
      <c r="S2080" s="3" t="str">
        <f>IF(ISERROR(VLOOKUP(Base_Periodo1[[#This Row],[CONTA]],BaseContasDRE[#All],4,FALSE)),"Fora do DRE",VLOOKUP(Base_Periodo1[[#This Row],[CONTA]],BaseContasDRE[#All],4,FALSE))</f>
        <v>Fora do DRE</v>
      </c>
      <c r="T2080" s="3" t="str">
        <f>IF(ISERROR(VLOOKUP(Base_Periodo1[[#This Row],[CONTA]],BaseContasDRE[#All],5,FALSE)),"Fora do DRE",VLOOKUP(Base_Periodo1[[#This Row],[CONTA]],BaseContasDRE[#All],6,FALSE))</f>
        <v>Fora do DRE</v>
      </c>
      <c r="U2080" s="3" t="str">
        <f>IF(ISERROR(VLOOKUP(Base_Periodo1[[#This Row],[CONTA]],BaseContasDRE[#All],7,FALSE)),"Fora do DRE",VLOOKUP(Base_Periodo1[[#This Row],[CONTA]],BaseContasDRE[#All],7,FALSE))</f>
        <v>Fora do DRE</v>
      </c>
      <c r="V2080" s="3" t="str">
        <f>IF(Base_Periodo1[[#This Row],[Tipo_Linha]]="Fora do DRE","Fora do DRE","( "&amp;Base_Periodo1[[#This Row],[Tipo_Linha]]&amp;" ) "&amp;Base_Periodo1[[#This Row],[Filtro]])</f>
        <v>Fora do DRE</v>
      </c>
      <c r="W2080" s="3" t="str">
        <f>LEFT(Base_Periodo1[[#This Row],[CLASS]],3)</f>
        <v>1.2</v>
      </c>
    </row>
    <row r="2081" spans="1:23" hidden="1">
      <c r="A2081" s="3" t="str">
        <f t="shared" si="32"/>
        <v>Período 1</v>
      </c>
      <c r="B2081">
        <v>56181</v>
      </c>
      <c r="C2081" t="s">
        <v>6324</v>
      </c>
      <c r="D2081" t="s">
        <v>6325</v>
      </c>
      <c r="E2081" s="3" t="str">
        <f>IF(LEN(Base_Periodo1[[#This Row],[CLASS]])&gt;=7,LEFT(Base_Periodo1[[#This Row],[CLASS]],7),"")</f>
        <v>1.2.3.1</v>
      </c>
      <c r="F2081" s="3" t="str">
        <f>VLOOKUP(Base_Periodo1[[#This Row],[Aux]],Base_Contas_Balanco[#All],2,FALSE)</f>
        <v>Investimentos</v>
      </c>
      <c r="G2081" s="1"/>
      <c r="H2081" s="225">
        <v>23346.57</v>
      </c>
      <c r="I2081" s="225">
        <v>5873.1</v>
      </c>
      <c r="J2081" s="225">
        <v>0</v>
      </c>
      <c r="K2081" s="225">
        <v>29219.67</v>
      </c>
      <c r="L20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29219.67</v>
      </c>
      <c r="M2081" s="225">
        <f>ROUND(IF(AND(Base_Periodo1[[#This Row],[Tipo_Linha]]="-",Base_Periodo1[[#This Row],[TIPOSALDO]]="D"),Base_Periodo1[[#This Row],[SALDO_ATUAL]]*-1,Base_Periodo1[[#This Row],[SALDO_ATUAL]]),4)</f>
        <v>29219.67</v>
      </c>
      <c r="N2081" t="s">
        <v>396</v>
      </c>
      <c r="O2081" t="s">
        <v>397</v>
      </c>
      <c r="P2081" t="s">
        <v>397</v>
      </c>
      <c r="Q2081">
        <v>5</v>
      </c>
      <c r="R2081" s="225">
        <f>Base_Periodo1[[#This Row],[CREDITOS]]-Base_Periodo1[[#This Row],[DEBITOS]]</f>
        <v>-5873.1</v>
      </c>
      <c r="S2081" s="3" t="str">
        <f>IF(ISERROR(VLOOKUP(Base_Periodo1[[#This Row],[CONTA]],BaseContasDRE[#All],4,FALSE)),"Fora do DRE",VLOOKUP(Base_Periodo1[[#This Row],[CONTA]],BaseContasDRE[#All],4,FALSE))</f>
        <v>Fora do DRE</v>
      </c>
      <c r="T2081" s="3" t="str">
        <f>IF(ISERROR(VLOOKUP(Base_Periodo1[[#This Row],[CONTA]],BaseContasDRE[#All],5,FALSE)),"Fora do DRE",VLOOKUP(Base_Periodo1[[#This Row],[CONTA]],BaseContasDRE[#All],6,FALSE))</f>
        <v>Fora do DRE</v>
      </c>
      <c r="U2081" s="3" t="str">
        <f>IF(ISERROR(VLOOKUP(Base_Periodo1[[#This Row],[CONTA]],BaseContasDRE[#All],7,FALSE)),"Fora do DRE",VLOOKUP(Base_Periodo1[[#This Row],[CONTA]],BaseContasDRE[#All],7,FALSE))</f>
        <v>Fora do DRE</v>
      </c>
      <c r="V2081" s="3" t="str">
        <f>IF(Base_Periodo1[[#This Row],[Tipo_Linha]]="Fora do DRE","Fora do DRE","( "&amp;Base_Periodo1[[#This Row],[Tipo_Linha]]&amp;" ) "&amp;Base_Periodo1[[#This Row],[Filtro]])</f>
        <v>Fora do DRE</v>
      </c>
      <c r="W2081" s="3" t="str">
        <f>LEFT(Base_Periodo1[[#This Row],[CLASS]],3)</f>
        <v>1.2</v>
      </c>
    </row>
    <row r="2082" spans="1:23" hidden="1">
      <c r="A2082" s="3" t="str">
        <f t="shared" si="32"/>
        <v>Período 1</v>
      </c>
      <c r="B2082">
        <v>56182</v>
      </c>
      <c r="C2082" t="s">
        <v>6326</v>
      </c>
      <c r="D2082" t="s">
        <v>6327</v>
      </c>
      <c r="E2082" s="3" t="str">
        <f>IF(LEN(Base_Periodo1[[#This Row],[CLASS]])&gt;=7,LEFT(Base_Periodo1[[#This Row],[CLASS]],7),"")</f>
        <v>1.2.3.1</v>
      </c>
      <c r="F2082" s="3" t="str">
        <f>VLOOKUP(Base_Periodo1[[#This Row],[Aux]],Base_Contas_Balanco[#All],2,FALSE)</f>
        <v>Investimentos</v>
      </c>
      <c r="G2082" s="1">
        <v>42865</v>
      </c>
      <c r="H2082" s="225">
        <v>23346.57</v>
      </c>
      <c r="I2082" s="225">
        <v>5873.1</v>
      </c>
      <c r="J2082" s="225">
        <v>0</v>
      </c>
      <c r="K2082" s="225">
        <v>29219.67</v>
      </c>
      <c r="L20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29219.67</v>
      </c>
      <c r="M2082" s="225">
        <f>ROUND(IF(AND(Base_Periodo1[[#This Row],[Tipo_Linha]]="-",Base_Periodo1[[#This Row],[TIPOSALDO]]="D"),Base_Periodo1[[#This Row],[SALDO_ATUAL]]*-1,Base_Periodo1[[#This Row],[SALDO_ATUAL]]),4)</f>
        <v>29219.67</v>
      </c>
      <c r="N2082" t="s">
        <v>116</v>
      </c>
      <c r="O2082" t="s">
        <v>397</v>
      </c>
      <c r="P2082" t="s">
        <v>397</v>
      </c>
      <c r="Q2082">
        <v>6</v>
      </c>
      <c r="R2082" s="225">
        <f>Base_Periodo1[[#This Row],[CREDITOS]]-Base_Periodo1[[#This Row],[DEBITOS]]</f>
        <v>-5873.1</v>
      </c>
      <c r="S2082" s="3" t="str">
        <f>IF(ISERROR(VLOOKUP(Base_Periodo1[[#This Row],[CONTA]],BaseContasDRE[#All],4,FALSE)),"Fora do DRE",VLOOKUP(Base_Periodo1[[#This Row],[CONTA]],BaseContasDRE[#All],4,FALSE))</f>
        <v>Fora do DRE</v>
      </c>
      <c r="T2082" s="3" t="str">
        <f>IF(ISERROR(VLOOKUP(Base_Periodo1[[#This Row],[CONTA]],BaseContasDRE[#All],5,FALSE)),"Fora do DRE",VLOOKUP(Base_Periodo1[[#This Row],[CONTA]],BaseContasDRE[#All],6,FALSE))</f>
        <v>Fora do DRE</v>
      </c>
      <c r="U2082" s="3" t="str">
        <f>IF(ISERROR(VLOOKUP(Base_Periodo1[[#This Row],[CONTA]],BaseContasDRE[#All],7,FALSE)),"Fora do DRE",VLOOKUP(Base_Periodo1[[#This Row],[CONTA]],BaseContasDRE[#All],7,FALSE))</f>
        <v>Fora do DRE</v>
      </c>
      <c r="V2082" s="3" t="str">
        <f>IF(Base_Periodo1[[#This Row],[Tipo_Linha]]="Fora do DRE","Fora do DRE","( "&amp;Base_Periodo1[[#This Row],[Tipo_Linha]]&amp;" ) "&amp;Base_Periodo1[[#This Row],[Filtro]])</f>
        <v>Fora do DRE</v>
      </c>
      <c r="W2082" s="3" t="str">
        <f>LEFT(Base_Periodo1[[#This Row],[CLASS]],3)</f>
        <v>1.2</v>
      </c>
    </row>
    <row r="2083" spans="1:23" hidden="1">
      <c r="A2083" s="3" t="str">
        <f t="shared" si="32"/>
        <v>Período 1</v>
      </c>
      <c r="B2083">
        <v>1394</v>
      </c>
      <c r="C2083" t="s">
        <v>1654</v>
      </c>
      <c r="D2083" t="s">
        <v>88</v>
      </c>
      <c r="E2083" s="3" t="str">
        <f>IF(LEN(Base_Periodo1[[#This Row],[CLASS]])&gt;=7,LEFT(Base_Periodo1[[#This Row],[CLASS]],7),"")</f>
        <v/>
      </c>
      <c r="F2083" s="3" t="e">
        <f>VLOOKUP(Base_Periodo1[[#This Row],[Aux]],Base_Contas_Balanco[#All],2,FALSE)</f>
        <v>#N/A</v>
      </c>
      <c r="G2083" s="1"/>
      <c r="H2083" s="225">
        <v>104798648.82000001</v>
      </c>
      <c r="I2083" s="225">
        <v>1631514.91</v>
      </c>
      <c r="J2083" s="225">
        <v>674527.85000000021</v>
      </c>
      <c r="K2083" s="225">
        <v>105755635.88000001</v>
      </c>
      <c r="L20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105755635.88</v>
      </c>
      <c r="M2083" s="225">
        <f>ROUND(IF(AND(Base_Periodo1[[#This Row],[Tipo_Linha]]="-",Base_Periodo1[[#This Row],[TIPOSALDO]]="D"),Base_Periodo1[[#This Row],[SALDO_ATUAL]]*-1,Base_Periodo1[[#This Row],[SALDO_ATUAL]]),4)</f>
        <v>105755635.88</v>
      </c>
      <c r="N2083" t="s">
        <v>396</v>
      </c>
      <c r="O2083" t="s">
        <v>397</v>
      </c>
      <c r="P2083" t="s">
        <v>397</v>
      </c>
      <c r="Q2083">
        <v>3</v>
      </c>
      <c r="R2083" s="225">
        <f>Base_Periodo1[[#This Row],[CREDITOS]]-Base_Periodo1[[#This Row],[DEBITOS]]</f>
        <v>-956987.05999999971</v>
      </c>
      <c r="S2083" s="3" t="str">
        <f>IF(ISERROR(VLOOKUP(Base_Periodo1[[#This Row],[CONTA]],BaseContasDRE[#All],4,FALSE)),"Fora do DRE",VLOOKUP(Base_Periodo1[[#This Row],[CONTA]],BaseContasDRE[#All],4,FALSE))</f>
        <v>Fora do DRE</v>
      </c>
      <c r="T2083" s="3" t="str">
        <f>IF(ISERROR(VLOOKUP(Base_Periodo1[[#This Row],[CONTA]],BaseContasDRE[#All],5,FALSE)),"Fora do DRE",VLOOKUP(Base_Periodo1[[#This Row],[CONTA]],BaseContasDRE[#All],6,FALSE))</f>
        <v>Fora do DRE</v>
      </c>
      <c r="U2083" s="3" t="str">
        <f>IF(ISERROR(VLOOKUP(Base_Periodo1[[#This Row],[CONTA]],BaseContasDRE[#All],7,FALSE)),"Fora do DRE",VLOOKUP(Base_Periodo1[[#This Row],[CONTA]],BaseContasDRE[#All],7,FALSE))</f>
        <v>Fora do DRE</v>
      </c>
      <c r="V2083" s="3" t="str">
        <f>IF(Base_Periodo1[[#This Row],[Tipo_Linha]]="Fora do DRE","Fora do DRE","( "&amp;Base_Periodo1[[#This Row],[Tipo_Linha]]&amp;" ) "&amp;Base_Periodo1[[#This Row],[Filtro]])</f>
        <v>Fora do DRE</v>
      </c>
      <c r="W2083" s="3" t="str">
        <f>LEFT(Base_Periodo1[[#This Row],[CLASS]],3)</f>
        <v>1.2</v>
      </c>
    </row>
    <row r="2084" spans="1:23" hidden="1">
      <c r="A2084" s="3" t="str">
        <f t="shared" si="32"/>
        <v>Período 1</v>
      </c>
      <c r="B2084">
        <v>1395</v>
      </c>
      <c r="C2084" t="s">
        <v>32</v>
      </c>
      <c r="D2084" t="s">
        <v>33</v>
      </c>
      <c r="E2084" s="3" t="str">
        <f>IF(LEN(Base_Periodo1[[#This Row],[CLASS]])&gt;=7,LEFT(Base_Periodo1[[#This Row],[CLASS]],7),"")</f>
        <v>1.2.4.1</v>
      </c>
      <c r="F2084" s="3" t="str">
        <f>VLOOKUP(Base_Periodo1[[#This Row],[Aux]],Base_Contas_Balanco[#All],2,FALSE)</f>
        <v>Imobilizado Normal</v>
      </c>
      <c r="G2084" s="1"/>
      <c r="H2084" s="225">
        <v>80971084.26000005</v>
      </c>
      <c r="I2084" s="225">
        <v>671431.44</v>
      </c>
      <c r="J2084" s="225">
        <v>670553.99000000022</v>
      </c>
      <c r="K2084" s="225">
        <v>80971961.710000053</v>
      </c>
      <c r="L20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80971961.709999993</v>
      </c>
      <c r="M2084" s="225">
        <f>ROUND(IF(AND(Base_Periodo1[[#This Row],[Tipo_Linha]]="-",Base_Periodo1[[#This Row],[TIPOSALDO]]="D"),Base_Periodo1[[#This Row],[SALDO_ATUAL]]*-1,Base_Periodo1[[#This Row],[SALDO_ATUAL]]),4)</f>
        <v>80971961.709999993</v>
      </c>
      <c r="N2084" t="s">
        <v>396</v>
      </c>
      <c r="O2084" t="s">
        <v>397</v>
      </c>
      <c r="P2084" t="s">
        <v>397</v>
      </c>
      <c r="Q2084">
        <v>4</v>
      </c>
      <c r="R2084" s="225">
        <f>Base_Periodo1[[#This Row],[CREDITOS]]-Base_Periodo1[[#This Row],[DEBITOS]]</f>
        <v>-877.4499999997206</v>
      </c>
      <c r="S2084" s="3" t="str">
        <f>IF(ISERROR(VLOOKUP(Base_Periodo1[[#This Row],[CONTA]],BaseContasDRE[#All],4,FALSE)),"Fora do DRE",VLOOKUP(Base_Periodo1[[#This Row],[CONTA]],BaseContasDRE[#All],4,FALSE))</f>
        <v>Fora do DRE</v>
      </c>
      <c r="T2084" s="3" t="str">
        <f>IF(ISERROR(VLOOKUP(Base_Periodo1[[#This Row],[CONTA]],BaseContasDRE[#All],5,FALSE)),"Fora do DRE",VLOOKUP(Base_Periodo1[[#This Row],[CONTA]],BaseContasDRE[#All],6,FALSE))</f>
        <v>Fora do DRE</v>
      </c>
      <c r="U2084" s="3" t="str">
        <f>IF(ISERROR(VLOOKUP(Base_Periodo1[[#This Row],[CONTA]],BaseContasDRE[#All],7,FALSE)),"Fora do DRE",VLOOKUP(Base_Periodo1[[#This Row],[CONTA]],BaseContasDRE[#All],7,FALSE))</f>
        <v>Fora do DRE</v>
      </c>
      <c r="V2084" s="3" t="str">
        <f>IF(Base_Periodo1[[#This Row],[Tipo_Linha]]="Fora do DRE","Fora do DRE","( "&amp;Base_Periodo1[[#This Row],[Tipo_Linha]]&amp;" ) "&amp;Base_Periodo1[[#This Row],[Filtro]])</f>
        <v>Fora do DRE</v>
      </c>
      <c r="W2084" s="3" t="str">
        <f>LEFT(Base_Periodo1[[#This Row],[CLASS]],3)</f>
        <v>1.2</v>
      </c>
    </row>
    <row r="2085" spans="1:23" hidden="1">
      <c r="A2085" s="3" t="str">
        <f t="shared" si="32"/>
        <v>Período 1</v>
      </c>
      <c r="B2085">
        <v>1396</v>
      </c>
      <c r="C2085" t="s">
        <v>1655</v>
      </c>
      <c r="D2085" t="s">
        <v>1656</v>
      </c>
      <c r="E2085" s="3" t="str">
        <f>IF(LEN(Base_Periodo1[[#This Row],[CLASS]])&gt;=7,LEFT(Base_Periodo1[[#This Row],[CLASS]],7),"")</f>
        <v>1.2.4.1</v>
      </c>
      <c r="F2085" s="3" t="str">
        <f>VLOOKUP(Base_Periodo1[[#This Row],[Aux]],Base_Contas_Balanco[#All],2,FALSE)</f>
        <v>Imobilizado Normal</v>
      </c>
      <c r="G2085" s="1"/>
      <c r="H2085" s="225">
        <v>116723320.75999999</v>
      </c>
      <c r="I2085" s="225">
        <v>671431.44</v>
      </c>
      <c r="J2085" s="225">
        <v>105875</v>
      </c>
      <c r="K2085" s="225">
        <v>117288877.19999999</v>
      </c>
      <c r="L20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117288877.2</v>
      </c>
      <c r="M2085" s="225">
        <f>ROUND(IF(AND(Base_Periodo1[[#This Row],[Tipo_Linha]]="-",Base_Periodo1[[#This Row],[TIPOSALDO]]="D"),Base_Periodo1[[#This Row],[SALDO_ATUAL]]*-1,Base_Periodo1[[#This Row],[SALDO_ATUAL]]),4)</f>
        <v>117288877.2</v>
      </c>
      <c r="N2085" t="s">
        <v>396</v>
      </c>
      <c r="O2085" t="s">
        <v>397</v>
      </c>
      <c r="P2085" t="s">
        <v>397</v>
      </c>
      <c r="Q2085">
        <v>5</v>
      </c>
      <c r="R2085" s="225">
        <f>Base_Periodo1[[#This Row],[CREDITOS]]-Base_Periodo1[[#This Row],[DEBITOS]]</f>
        <v>-565556.43999999994</v>
      </c>
      <c r="S2085" s="3" t="str">
        <f>IF(ISERROR(VLOOKUP(Base_Periodo1[[#This Row],[CONTA]],BaseContasDRE[#All],4,FALSE)),"Fora do DRE",VLOOKUP(Base_Periodo1[[#This Row],[CONTA]],BaseContasDRE[#All],4,FALSE))</f>
        <v>Fora do DRE</v>
      </c>
      <c r="T2085" s="3" t="str">
        <f>IF(ISERROR(VLOOKUP(Base_Periodo1[[#This Row],[CONTA]],BaseContasDRE[#All],5,FALSE)),"Fora do DRE",VLOOKUP(Base_Periodo1[[#This Row],[CONTA]],BaseContasDRE[#All],6,FALSE))</f>
        <v>Fora do DRE</v>
      </c>
      <c r="U2085" s="3" t="str">
        <f>IF(ISERROR(VLOOKUP(Base_Periodo1[[#This Row],[CONTA]],BaseContasDRE[#All],7,FALSE)),"Fora do DRE",VLOOKUP(Base_Periodo1[[#This Row],[CONTA]],BaseContasDRE[#All],7,FALSE))</f>
        <v>Fora do DRE</v>
      </c>
      <c r="V2085" s="3" t="str">
        <f>IF(Base_Periodo1[[#This Row],[Tipo_Linha]]="Fora do DRE","Fora do DRE","( "&amp;Base_Periodo1[[#This Row],[Tipo_Linha]]&amp;" ) "&amp;Base_Periodo1[[#This Row],[Filtro]])</f>
        <v>Fora do DRE</v>
      </c>
      <c r="W2085" s="3" t="str">
        <f>LEFT(Base_Periodo1[[#This Row],[CLASS]],3)</f>
        <v>1.2</v>
      </c>
    </row>
    <row r="2086" spans="1:23" hidden="1">
      <c r="A2086" s="3" t="str">
        <f t="shared" si="32"/>
        <v>Período 1</v>
      </c>
      <c r="B2086">
        <v>1398</v>
      </c>
      <c r="C2086" t="s">
        <v>1657</v>
      </c>
      <c r="D2086" t="s">
        <v>1658</v>
      </c>
      <c r="E2086" s="3" t="str">
        <f>IF(LEN(Base_Periodo1[[#This Row],[CLASS]])&gt;=7,LEFT(Base_Periodo1[[#This Row],[CLASS]],7),"")</f>
        <v>1.2.4.1</v>
      </c>
      <c r="F2086" s="3" t="str">
        <f>VLOOKUP(Base_Periodo1[[#This Row],[Aux]],Base_Contas_Balanco[#All],2,FALSE)</f>
        <v>Imobilizado Normal</v>
      </c>
      <c r="G2086" s="1">
        <v>42881</v>
      </c>
      <c r="H2086" s="225">
        <v>36273689.350000001</v>
      </c>
      <c r="I2086" s="225">
        <v>68941.960000000006</v>
      </c>
      <c r="J2086" s="225">
        <v>63875</v>
      </c>
      <c r="K2086" s="225">
        <v>36278756.310000002</v>
      </c>
      <c r="L20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36278756.310000002</v>
      </c>
      <c r="M2086" s="225">
        <f>ROUND(IF(AND(Base_Periodo1[[#This Row],[Tipo_Linha]]="-",Base_Periodo1[[#This Row],[TIPOSALDO]]="D"),Base_Periodo1[[#This Row],[SALDO_ATUAL]]*-1,Base_Periodo1[[#This Row],[SALDO_ATUAL]]),4)</f>
        <v>36278756.310000002</v>
      </c>
      <c r="N2086" t="s">
        <v>116</v>
      </c>
      <c r="O2086" t="s">
        <v>397</v>
      </c>
      <c r="P2086" t="s">
        <v>397</v>
      </c>
      <c r="Q2086">
        <v>6</v>
      </c>
      <c r="R2086" s="225">
        <f>Base_Periodo1[[#This Row],[CREDITOS]]-Base_Periodo1[[#This Row],[DEBITOS]]</f>
        <v>-5066.9600000000064</v>
      </c>
      <c r="S2086" s="3" t="str">
        <f>IF(ISERROR(VLOOKUP(Base_Periodo1[[#This Row],[CONTA]],BaseContasDRE[#All],4,FALSE)),"Fora do DRE",VLOOKUP(Base_Periodo1[[#This Row],[CONTA]],BaseContasDRE[#All],4,FALSE))</f>
        <v>Fora do DRE</v>
      </c>
      <c r="T2086" s="3" t="str">
        <f>IF(ISERROR(VLOOKUP(Base_Periodo1[[#This Row],[CONTA]],BaseContasDRE[#All],5,FALSE)),"Fora do DRE",VLOOKUP(Base_Periodo1[[#This Row],[CONTA]],BaseContasDRE[#All],6,FALSE))</f>
        <v>Fora do DRE</v>
      </c>
      <c r="U2086" s="3" t="str">
        <f>IF(ISERROR(VLOOKUP(Base_Periodo1[[#This Row],[CONTA]],BaseContasDRE[#All],7,FALSE)),"Fora do DRE",VLOOKUP(Base_Periodo1[[#This Row],[CONTA]],BaseContasDRE[#All],7,FALSE))</f>
        <v>Fora do DRE</v>
      </c>
      <c r="V2086" s="3" t="str">
        <f>IF(Base_Periodo1[[#This Row],[Tipo_Linha]]="Fora do DRE","Fora do DRE","( "&amp;Base_Periodo1[[#This Row],[Tipo_Linha]]&amp;" ) "&amp;Base_Periodo1[[#This Row],[Filtro]])</f>
        <v>Fora do DRE</v>
      </c>
      <c r="W2086" s="3" t="str">
        <f>LEFT(Base_Periodo1[[#This Row],[CLASS]],3)</f>
        <v>1.2</v>
      </c>
    </row>
    <row r="2087" spans="1:23" hidden="1">
      <c r="A2087" s="3" t="str">
        <f t="shared" si="32"/>
        <v>Período 1</v>
      </c>
      <c r="B2087">
        <v>1399</v>
      </c>
      <c r="C2087" t="s">
        <v>1659</v>
      </c>
      <c r="D2087" t="s">
        <v>1660</v>
      </c>
      <c r="E2087" s="3" t="str">
        <f>IF(LEN(Base_Periodo1[[#This Row],[CLASS]])&gt;=7,LEFT(Base_Periodo1[[#This Row],[CLASS]],7),"")</f>
        <v>1.2.4.1</v>
      </c>
      <c r="F2087" s="3" t="str">
        <f>VLOOKUP(Base_Periodo1[[#This Row],[Aux]],Base_Contas_Balanco[#All],2,FALSE)</f>
        <v>Imobilizado Normal</v>
      </c>
      <c r="G2087" s="1">
        <v>42816</v>
      </c>
      <c r="H2087" s="225">
        <v>55819578.739999995</v>
      </c>
      <c r="I2087" s="225">
        <v>0</v>
      </c>
      <c r="J2087" s="225">
        <v>0</v>
      </c>
      <c r="K2087" s="225">
        <v>55819578.739999995</v>
      </c>
      <c r="L20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55819578.740000002</v>
      </c>
      <c r="M2087" s="225">
        <f>ROUND(IF(AND(Base_Periodo1[[#This Row],[Tipo_Linha]]="-",Base_Periodo1[[#This Row],[TIPOSALDO]]="D"),Base_Periodo1[[#This Row],[SALDO_ATUAL]]*-1,Base_Periodo1[[#This Row],[SALDO_ATUAL]]),4)</f>
        <v>55819578.740000002</v>
      </c>
      <c r="N2087" t="s">
        <v>116</v>
      </c>
      <c r="O2087" t="s">
        <v>397</v>
      </c>
      <c r="P2087" t="s">
        <v>397</v>
      </c>
      <c r="Q2087">
        <v>6</v>
      </c>
      <c r="R2087" s="225">
        <f>Base_Periodo1[[#This Row],[CREDITOS]]-Base_Periodo1[[#This Row],[DEBITOS]]</f>
        <v>0</v>
      </c>
      <c r="S2087" s="3" t="str">
        <f>IF(ISERROR(VLOOKUP(Base_Periodo1[[#This Row],[CONTA]],BaseContasDRE[#All],4,FALSE)),"Fora do DRE",VLOOKUP(Base_Periodo1[[#This Row],[CONTA]],BaseContasDRE[#All],4,FALSE))</f>
        <v>Fora do DRE</v>
      </c>
      <c r="T2087" s="3" t="str">
        <f>IF(ISERROR(VLOOKUP(Base_Periodo1[[#This Row],[CONTA]],BaseContasDRE[#All],5,FALSE)),"Fora do DRE",VLOOKUP(Base_Periodo1[[#This Row],[CONTA]],BaseContasDRE[#All],6,FALSE))</f>
        <v>Fora do DRE</v>
      </c>
      <c r="U2087" s="3" t="str">
        <f>IF(ISERROR(VLOOKUP(Base_Periodo1[[#This Row],[CONTA]],BaseContasDRE[#All],7,FALSE)),"Fora do DRE",VLOOKUP(Base_Periodo1[[#This Row],[CONTA]],BaseContasDRE[#All],7,FALSE))</f>
        <v>Fora do DRE</v>
      </c>
      <c r="V2087" s="3" t="str">
        <f>IF(Base_Periodo1[[#This Row],[Tipo_Linha]]="Fora do DRE","Fora do DRE","( "&amp;Base_Periodo1[[#This Row],[Tipo_Linha]]&amp;" ) "&amp;Base_Periodo1[[#This Row],[Filtro]])</f>
        <v>Fora do DRE</v>
      </c>
      <c r="W2087" s="3" t="str">
        <f>LEFT(Base_Periodo1[[#This Row],[CLASS]],3)</f>
        <v>1.2</v>
      </c>
    </row>
    <row r="2088" spans="1:23" hidden="1">
      <c r="A2088" s="3" t="str">
        <f t="shared" si="32"/>
        <v>Período 1</v>
      </c>
      <c r="B2088">
        <v>1400</v>
      </c>
      <c r="C2088" t="s">
        <v>1661</v>
      </c>
      <c r="D2088" t="s">
        <v>1662</v>
      </c>
      <c r="E2088" s="3" t="str">
        <f>IF(LEN(Base_Periodo1[[#This Row],[CLASS]])&gt;=7,LEFT(Base_Periodo1[[#This Row],[CLASS]],7),"")</f>
        <v>1.2.4.1</v>
      </c>
      <c r="F2088" s="3" t="str">
        <f>VLOOKUP(Base_Periodo1[[#This Row],[Aux]],Base_Contas_Balanco[#All],2,FALSE)</f>
        <v>Imobilizado Normal</v>
      </c>
      <c r="G2088" s="1">
        <v>42885</v>
      </c>
      <c r="H2088" s="225">
        <v>1082512.54</v>
      </c>
      <c r="I2088" s="225">
        <v>137274.00999999998</v>
      </c>
      <c r="J2088" s="225">
        <v>0</v>
      </c>
      <c r="K2088" s="225">
        <v>1219786.55</v>
      </c>
      <c r="L20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1219786.55</v>
      </c>
      <c r="M2088" s="225">
        <f>ROUND(IF(AND(Base_Periodo1[[#This Row],[Tipo_Linha]]="-",Base_Periodo1[[#This Row],[TIPOSALDO]]="D"),Base_Periodo1[[#This Row],[SALDO_ATUAL]]*-1,Base_Periodo1[[#This Row],[SALDO_ATUAL]]),4)</f>
        <v>1219786.55</v>
      </c>
      <c r="N2088" t="s">
        <v>116</v>
      </c>
      <c r="O2088" t="s">
        <v>397</v>
      </c>
      <c r="P2088" t="s">
        <v>397</v>
      </c>
      <c r="Q2088">
        <v>6</v>
      </c>
      <c r="R2088" s="225">
        <f>Base_Periodo1[[#This Row],[CREDITOS]]-Base_Periodo1[[#This Row],[DEBITOS]]</f>
        <v>-137274.00999999998</v>
      </c>
      <c r="S2088" s="3" t="str">
        <f>IF(ISERROR(VLOOKUP(Base_Periodo1[[#This Row],[CONTA]],BaseContasDRE[#All],4,FALSE)),"Fora do DRE",VLOOKUP(Base_Periodo1[[#This Row],[CONTA]],BaseContasDRE[#All],4,FALSE))</f>
        <v>Fora do DRE</v>
      </c>
      <c r="T2088" s="3" t="str">
        <f>IF(ISERROR(VLOOKUP(Base_Periodo1[[#This Row],[CONTA]],BaseContasDRE[#All],5,FALSE)),"Fora do DRE",VLOOKUP(Base_Periodo1[[#This Row],[CONTA]],BaseContasDRE[#All],6,FALSE))</f>
        <v>Fora do DRE</v>
      </c>
      <c r="U2088" s="3" t="str">
        <f>IF(ISERROR(VLOOKUP(Base_Periodo1[[#This Row],[CONTA]],BaseContasDRE[#All],7,FALSE)),"Fora do DRE",VLOOKUP(Base_Periodo1[[#This Row],[CONTA]],BaseContasDRE[#All],7,FALSE))</f>
        <v>Fora do DRE</v>
      </c>
      <c r="V2088" s="3" t="str">
        <f>IF(Base_Periodo1[[#This Row],[Tipo_Linha]]="Fora do DRE","Fora do DRE","( "&amp;Base_Periodo1[[#This Row],[Tipo_Linha]]&amp;" ) "&amp;Base_Periodo1[[#This Row],[Filtro]])</f>
        <v>Fora do DRE</v>
      </c>
      <c r="W2088" s="3" t="str">
        <f>LEFT(Base_Periodo1[[#This Row],[CLASS]],3)</f>
        <v>1.2</v>
      </c>
    </row>
    <row r="2089" spans="1:23" hidden="1">
      <c r="A2089" s="3" t="str">
        <f t="shared" si="32"/>
        <v>Período 1</v>
      </c>
      <c r="B2089">
        <v>1402</v>
      </c>
      <c r="C2089" t="s">
        <v>1663</v>
      </c>
      <c r="D2089" t="s">
        <v>1664</v>
      </c>
      <c r="E2089" s="3" t="str">
        <f>IF(LEN(Base_Periodo1[[#This Row],[CLASS]])&gt;=7,LEFT(Base_Periodo1[[#This Row],[CLASS]],7),"")</f>
        <v>1.2.4.1</v>
      </c>
      <c r="F2089" s="3" t="str">
        <f>VLOOKUP(Base_Periodo1[[#This Row],[Aux]],Base_Contas_Balanco[#All],2,FALSE)</f>
        <v>Imobilizado Normal</v>
      </c>
      <c r="G2089" s="1">
        <v>42783</v>
      </c>
      <c r="H2089" s="225">
        <v>120937.13999999998</v>
      </c>
      <c r="I2089" s="225">
        <v>0</v>
      </c>
      <c r="J2089" s="225">
        <v>0</v>
      </c>
      <c r="K2089" s="225">
        <v>120937.13999999998</v>
      </c>
      <c r="L20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120937.14</v>
      </c>
      <c r="M2089" s="225">
        <f>ROUND(IF(AND(Base_Periodo1[[#This Row],[Tipo_Linha]]="-",Base_Periodo1[[#This Row],[TIPOSALDO]]="D"),Base_Periodo1[[#This Row],[SALDO_ATUAL]]*-1,Base_Periodo1[[#This Row],[SALDO_ATUAL]]),4)</f>
        <v>120937.14</v>
      </c>
      <c r="N2089" t="s">
        <v>116</v>
      </c>
      <c r="O2089" t="s">
        <v>397</v>
      </c>
      <c r="P2089" t="s">
        <v>397</v>
      </c>
      <c r="Q2089">
        <v>6</v>
      </c>
      <c r="R2089" s="225">
        <f>Base_Periodo1[[#This Row],[CREDITOS]]-Base_Periodo1[[#This Row],[DEBITOS]]</f>
        <v>0</v>
      </c>
      <c r="S2089" s="3" t="str">
        <f>IF(ISERROR(VLOOKUP(Base_Periodo1[[#This Row],[CONTA]],BaseContasDRE[#All],4,FALSE)),"Fora do DRE",VLOOKUP(Base_Periodo1[[#This Row],[CONTA]],BaseContasDRE[#All],4,FALSE))</f>
        <v>Fora do DRE</v>
      </c>
      <c r="T2089" s="3" t="str">
        <f>IF(ISERROR(VLOOKUP(Base_Periodo1[[#This Row],[CONTA]],BaseContasDRE[#All],5,FALSE)),"Fora do DRE",VLOOKUP(Base_Periodo1[[#This Row],[CONTA]],BaseContasDRE[#All],6,FALSE))</f>
        <v>Fora do DRE</v>
      </c>
      <c r="U2089" s="3" t="str">
        <f>IF(ISERROR(VLOOKUP(Base_Periodo1[[#This Row],[CONTA]],BaseContasDRE[#All],7,FALSE)),"Fora do DRE",VLOOKUP(Base_Periodo1[[#This Row],[CONTA]],BaseContasDRE[#All],7,FALSE))</f>
        <v>Fora do DRE</v>
      </c>
      <c r="V2089" s="3" t="str">
        <f>IF(Base_Periodo1[[#This Row],[Tipo_Linha]]="Fora do DRE","Fora do DRE","( "&amp;Base_Periodo1[[#This Row],[Tipo_Linha]]&amp;" ) "&amp;Base_Periodo1[[#This Row],[Filtro]])</f>
        <v>Fora do DRE</v>
      </c>
      <c r="W2089" s="3" t="str">
        <f>LEFT(Base_Periodo1[[#This Row],[CLASS]],3)</f>
        <v>1.2</v>
      </c>
    </row>
    <row r="2090" spans="1:23" hidden="1">
      <c r="A2090" s="3" t="str">
        <f t="shared" si="32"/>
        <v>Período 1</v>
      </c>
      <c r="B2090">
        <v>1404</v>
      </c>
      <c r="C2090" t="s">
        <v>1665</v>
      </c>
      <c r="D2090" t="s">
        <v>1666</v>
      </c>
      <c r="E2090" s="3" t="str">
        <f>IF(LEN(Base_Periodo1[[#This Row],[CLASS]])&gt;=7,LEFT(Base_Periodo1[[#This Row],[CLASS]],7),"")</f>
        <v>1.2.4.1</v>
      </c>
      <c r="F2090" s="3" t="str">
        <f>VLOOKUP(Base_Periodo1[[#This Row],[Aux]],Base_Contas_Balanco[#All],2,FALSE)</f>
        <v>Imobilizado Normal</v>
      </c>
      <c r="G2090" s="1">
        <v>42885</v>
      </c>
      <c r="H2090" s="225">
        <v>1147697.24</v>
      </c>
      <c r="I2090" s="225">
        <v>16050</v>
      </c>
      <c r="J2090" s="225">
        <v>0</v>
      </c>
      <c r="K2090" s="225">
        <v>1163747.24</v>
      </c>
      <c r="L20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1163747.24</v>
      </c>
      <c r="M2090" s="225">
        <f>ROUND(IF(AND(Base_Periodo1[[#This Row],[Tipo_Linha]]="-",Base_Periodo1[[#This Row],[TIPOSALDO]]="D"),Base_Periodo1[[#This Row],[SALDO_ATUAL]]*-1,Base_Periodo1[[#This Row],[SALDO_ATUAL]]),4)</f>
        <v>1163747.24</v>
      </c>
      <c r="N2090" t="s">
        <v>116</v>
      </c>
      <c r="O2090" t="s">
        <v>397</v>
      </c>
      <c r="P2090" t="s">
        <v>397</v>
      </c>
      <c r="Q2090">
        <v>6</v>
      </c>
      <c r="R2090" s="225">
        <f>Base_Periodo1[[#This Row],[CREDITOS]]-Base_Periodo1[[#This Row],[DEBITOS]]</f>
        <v>-16050</v>
      </c>
      <c r="S2090" s="3" t="str">
        <f>IF(ISERROR(VLOOKUP(Base_Periodo1[[#This Row],[CONTA]],BaseContasDRE[#All],4,FALSE)),"Fora do DRE",VLOOKUP(Base_Periodo1[[#This Row],[CONTA]],BaseContasDRE[#All],4,FALSE))</f>
        <v>Fora do DRE</v>
      </c>
      <c r="T2090" s="3" t="str">
        <f>IF(ISERROR(VLOOKUP(Base_Periodo1[[#This Row],[CONTA]],BaseContasDRE[#All],5,FALSE)),"Fora do DRE",VLOOKUP(Base_Periodo1[[#This Row],[CONTA]],BaseContasDRE[#All],6,FALSE))</f>
        <v>Fora do DRE</v>
      </c>
      <c r="U2090" s="3" t="str">
        <f>IF(ISERROR(VLOOKUP(Base_Periodo1[[#This Row],[CONTA]],BaseContasDRE[#All],7,FALSE)),"Fora do DRE",VLOOKUP(Base_Periodo1[[#This Row],[CONTA]],BaseContasDRE[#All],7,FALSE))</f>
        <v>Fora do DRE</v>
      </c>
      <c r="V2090" s="3" t="str">
        <f>IF(Base_Periodo1[[#This Row],[Tipo_Linha]]="Fora do DRE","Fora do DRE","( "&amp;Base_Periodo1[[#This Row],[Tipo_Linha]]&amp;" ) "&amp;Base_Periodo1[[#This Row],[Filtro]])</f>
        <v>Fora do DRE</v>
      </c>
      <c r="W2090" s="3" t="str">
        <f>LEFT(Base_Periodo1[[#This Row],[CLASS]],3)</f>
        <v>1.2</v>
      </c>
    </row>
    <row r="2091" spans="1:23" hidden="1">
      <c r="A2091" s="3" t="str">
        <f t="shared" si="32"/>
        <v>Período 1</v>
      </c>
      <c r="B2091">
        <v>1405</v>
      </c>
      <c r="C2091" t="s">
        <v>1667</v>
      </c>
      <c r="D2091" t="s">
        <v>1668</v>
      </c>
      <c r="E2091" s="3" t="str">
        <f>IF(LEN(Base_Periodo1[[#This Row],[CLASS]])&gt;=7,LEFT(Base_Periodo1[[#This Row],[CLASS]],7),"")</f>
        <v>1.2.4.1</v>
      </c>
      <c r="F2091" s="3" t="str">
        <f>VLOOKUP(Base_Periodo1[[#This Row],[Aux]],Base_Contas_Balanco[#All],2,FALSE)</f>
        <v>Imobilizado Normal</v>
      </c>
      <c r="G2091" s="1">
        <v>42278</v>
      </c>
      <c r="H2091" s="225">
        <v>7381792.3300000001</v>
      </c>
      <c r="I2091" s="225">
        <v>0</v>
      </c>
      <c r="J2091" s="225">
        <v>0</v>
      </c>
      <c r="K2091" s="225">
        <v>7381792.3300000001</v>
      </c>
      <c r="L20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7381792.3300000001</v>
      </c>
      <c r="M2091" s="225">
        <f>ROUND(IF(AND(Base_Periodo1[[#This Row],[Tipo_Linha]]="-",Base_Periodo1[[#This Row],[TIPOSALDO]]="D"),Base_Periodo1[[#This Row],[SALDO_ATUAL]]*-1,Base_Periodo1[[#This Row],[SALDO_ATUAL]]),4)</f>
        <v>7381792.3300000001</v>
      </c>
      <c r="N2091" t="s">
        <v>116</v>
      </c>
      <c r="O2091" t="s">
        <v>397</v>
      </c>
      <c r="P2091" t="s">
        <v>397</v>
      </c>
      <c r="Q2091">
        <v>6</v>
      </c>
      <c r="R2091" s="225">
        <f>Base_Periodo1[[#This Row],[CREDITOS]]-Base_Periodo1[[#This Row],[DEBITOS]]</f>
        <v>0</v>
      </c>
      <c r="S2091" s="3" t="str">
        <f>IF(ISERROR(VLOOKUP(Base_Periodo1[[#This Row],[CONTA]],BaseContasDRE[#All],4,FALSE)),"Fora do DRE",VLOOKUP(Base_Periodo1[[#This Row],[CONTA]],BaseContasDRE[#All],4,FALSE))</f>
        <v>Fora do DRE</v>
      </c>
      <c r="T2091" s="3" t="str">
        <f>IF(ISERROR(VLOOKUP(Base_Periodo1[[#This Row],[CONTA]],BaseContasDRE[#All],5,FALSE)),"Fora do DRE",VLOOKUP(Base_Periodo1[[#This Row],[CONTA]],BaseContasDRE[#All],6,FALSE))</f>
        <v>Fora do DRE</v>
      </c>
      <c r="U2091" s="3" t="str">
        <f>IF(ISERROR(VLOOKUP(Base_Periodo1[[#This Row],[CONTA]],BaseContasDRE[#All],7,FALSE)),"Fora do DRE",VLOOKUP(Base_Periodo1[[#This Row],[CONTA]],BaseContasDRE[#All],7,FALSE))</f>
        <v>Fora do DRE</v>
      </c>
      <c r="V2091" s="3" t="str">
        <f>IF(Base_Periodo1[[#This Row],[Tipo_Linha]]="Fora do DRE","Fora do DRE","( "&amp;Base_Periodo1[[#This Row],[Tipo_Linha]]&amp;" ) "&amp;Base_Periodo1[[#This Row],[Filtro]])</f>
        <v>Fora do DRE</v>
      </c>
      <c r="W2091" s="3" t="str">
        <f>LEFT(Base_Periodo1[[#This Row],[CLASS]],3)</f>
        <v>1.2</v>
      </c>
    </row>
    <row r="2092" spans="1:23" hidden="1">
      <c r="A2092" s="3" t="str">
        <f t="shared" si="32"/>
        <v>Período 1</v>
      </c>
      <c r="B2092">
        <v>1406</v>
      </c>
      <c r="C2092" t="s">
        <v>1669</v>
      </c>
      <c r="D2092" t="s">
        <v>1670</v>
      </c>
      <c r="E2092" s="3" t="str">
        <f>IF(LEN(Base_Periodo1[[#This Row],[CLASS]])&gt;=7,LEFT(Base_Periodo1[[#This Row],[CLASS]],7),"")</f>
        <v>1.2.4.1</v>
      </c>
      <c r="F2092" s="3" t="str">
        <f>VLOOKUP(Base_Periodo1[[#This Row],[Aux]],Base_Contas_Balanco[#All],2,FALSE)</f>
        <v>Imobilizado Normal</v>
      </c>
      <c r="G2092" s="1">
        <v>42885</v>
      </c>
      <c r="H2092" s="225">
        <v>14172113.419999998</v>
      </c>
      <c r="I2092" s="225">
        <v>449165.47</v>
      </c>
      <c r="J2092" s="225">
        <v>42000</v>
      </c>
      <c r="K2092" s="225">
        <v>14579278.889999999</v>
      </c>
      <c r="L20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14579278.890000001</v>
      </c>
      <c r="M2092" s="225">
        <f>ROUND(IF(AND(Base_Periodo1[[#This Row],[Tipo_Linha]]="-",Base_Periodo1[[#This Row],[TIPOSALDO]]="D"),Base_Periodo1[[#This Row],[SALDO_ATUAL]]*-1,Base_Periodo1[[#This Row],[SALDO_ATUAL]]),4)</f>
        <v>14579278.890000001</v>
      </c>
      <c r="N2092" t="s">
        <v>116</v>
      </c>
      <c r="O2092" t="s">
        <v>397</v>
      </c>
      <c r="P2092" t="s">
        <v>397</v>
      </c>
      <c r="Q2092">
        <v>6</v>
      </c>
      <c r="R2092" s="225">
        <f>Base_Periodo1[[#This Row],[CREDITOS]]-Base_Periodo1[[#This Row],[DEBITOS]]</f>
        <v>-407165.47</v>
      </c>
      <c r="S2092" s="3" t="str">
        <f>IF(ISERROR(VLOOKUP(Base_Periodo1[[#This Row],[CONTA]],BaseContasDRE[#All],4,FALSE)),"Fora do DRE",VLOOKUP(Base_Periodo1[[#This Row],[CONTA]],BaseContasDRE[#All],4,FALSE))</f>
        <v>Fora do DRE</v>
      </c>
      <c r="T2092" s="3" t="str">
        <f>IF(ISERROR(VLOOKUP(Base_Periodo1[[#This Row],[CONTA]],BaseContasDRE[#All],5,FALSE)),"Fora do DRE",VLOOKUP(Base_Periodo1[[#This Row],[CONTA]],BaseContasDRE[#All],6,FALSE))</f>
        <v>Fora do DRE</v>
      </c>
      <c r="U2092" s="3" t="str">
        <f>IF(ISERROR(VLOOKUP(Base_Periodo1[[#This Row],[CONTA]],BaseContasDRE[#All],7,FALSE)),"Fora do DRE",VLOOKUP(Base_Periodo1[[#This Row],[CONTA]],BaseContasDRE[#All],7,FALSE))</f>
        <v>Fora do DRE</v>
      </c>
      <c r="V2092" s="3" t="str">
        <f>IF(Base_Periodo1[[#This Row],[Tipo_Linha]]="Fora do DRE","Fora do DRE","( "&amp;Base_Periodo1[[#This Row],[Tipo_Linha]]&amp;" ) "&amp;Base_Periodo1[[#This Row],[Filtro]])</f>
        <v>Fora do DRE</v>
      </c>
      <c r="W2092" s="3" t="str">
        <f>LEFT(Base_Periodo1[[#This Row],[CLASS]],3)</f>
        <v>1.2</v>
      </c>
    </row>
    <row r="2093" spans="1:23" hidden="1">
      <c r="A2093" s="3" t="str">
        <f t="shared" si="32"/>
        <v>Período 1</v>
      </c>
      <c r="B2093">
        <v>53270</v>
      </c>
      <c r="C2093" t="s">
        <v>4842</v>
      </c>
      <c r="D2093" t="s">
        <v>4843</v>
      </c>
      <c r="E2093" s="3" t="str">
        <f>IF(LEN(Base_Periodo1[[#This Row],[CLASS]])&gt;=7,LEFT(Base_Periodo1[[#This Row],[CLASS]],7),"")</f>
        <v>1.2.4.1</v>
      </c>
      <c r="F2093" s="3" t="str">
        <f>VLOOKUP(Base_Periodo1[[#This Row],[Aux]],Base_Contas_Balanco[#All],2,FALSE)</f>
        <v>Imobilizado Normal</v>
      </c>
      <c r="G2093" s="1">
        <v>42572</v>
      </c>
      <c r="H2093" s="225">
        <v>725000</v>
      </c>
      <c r="I2093" s="225">
        <v>0</v>
      </c>
      <c r="J2093" s="225">
        <v>0</v>
      </c>
      <c r="K2093" s="225">
        <v>725000</v>
      </c>
      <c r="L20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725000</v>
      </c>
      <c r="M2093" s="225">
        <f>ROUND(IF(AND(Base_Periodo1[[#This Row],[Tipo_Linha]]="-",Base_Periodo1[[#This Row],[TIPOSALDO]]="D"),Base_Periodo1[[#This Row],[SALDO_ATUAL]]*-1,Base_Periodo1[[#This Row],[SALDO_ATUAL]]),4)</f>
        <v>725000</v>
      </c>
      <c r="N2093" t="s">
        <v>116</v>
      </c>
      <c r="O2093" t="s">
        <v>397</v>
      </c>
      <c r="P2093" t="s">
        <v>397</v>
      </c>
      <c r="Q2093">
        <v>6</v>
      </c>
      <c r="R2093" s="225">
        <f>Base_Periodo1[[#This Row],[CREDITOS]]-Base_Periodo1[[#This Row],[DEBITOS]]</f>
        <v>0</v>
      </c>
      <c r="S2093" s="3" t="str">
        <f>IF(ISERROR(VLOOKUP(Base_Periodo1[[#This Row],[CONTA]],BaseContasDRE[#All],4,FALSE)),"Fora do DRE",VLOOKUP(Base_Periodo1[[#This Row],[CONTA]],BaseContasDRE[#All],4,FALSE))</f>
        <v>Fora do DRE</v>
      </c>
      <c r="T2093" s="3" t="str">
        <f>IF(ISERROR(VLOOKUP(Base_Periodo1[[#This Row],[CONTA]],BaseContasDRE[#All],5,FALSE)),"Fora do DRE",VLOOKUP(Base_Periodo1[[#This Row],[CONTA]],BaseContasDRE[#All],6,FALSE))</f>
        <v>Fora do DRE</v>
      </c>
      <c r="U2093" s="3" t="str">
        <f>IF(ISERROR(VLOOKUP(Base_Periodo1[[#This Row],[CONTA]],BaseContasDRE[#All],7,FALSE)),"Fora do DRE",VLOOKUP(Base_Periodo1[[#This Row],[CONTA]],BaseContasDRE[#All],7,FALSE))</f>
        <v>Fora do DRE</v>
      </c>
      <c r="V2093" s="3" t="str">
        <f>IF(Base_Periodo1[[#This Row],[Tipo_Linha]]="Fora do DRE","Fora do DRE","( "&amp;Base_Periodo1[[#This Row],[Tipo_Linha]]&amp;" ) "&amp;Base_Periodo1[[#This Row],[Filtro]])</f>
        <v>Fora do DRE</v>
      </c>
      <c r="W2093" s="3" t="str">
        <f>LEFT(Base_Periodo1[[#This Row],[CLASS]],3)</f>
        <v>1.2</v>
      </c>
    </row>
    <row r="2094" spans="1:23" hidden="1">
      <c r="A2094" s="3" t="str">
        <f t="shared" si="32"/>
        <v>Período 1</v>
      </c>
      <c r="B2094">
        <v>1408</v>
      </c>
      <c r="C2094" t="s">
        <v>1671</v>
      </c>
      <c r="D2094" t="s">
        <v>172</v>
      </c>
      <c r="E2094" s="3" t="str">
        <f>IF(LEN(Base_Periodo1[[#This Row],[CLASS]])&gt;=7,LEFT(Base_Periodo1[[#This Row],[CLASS]],7),"")</f>
        <v>1.2.4.1</v>
      </c>
      <c r="F2094" s="3" t="str">
        <f>VLOOKUP(Base_Periodo1[[#This Row],[Aux]],Base_Contas_Balanco[#All],2,FALSE)</f>
        <v>Imobilizado Normal</v>
      </c>
      <c r="G2094" s="1"/>
      <c r="H2094" s="225">
        <v>35752236.49999994</v>
      </c>
      <c r="I2094" s="225">
        <v>0</v>
      </c>
      <c r="J2094" s="225">
        <v>564678.99000000022</v>
      </c>
      <c r="K2094" s="225">
        <v>36316915.489999942</v>
      </c>
      <c r="L20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-36316915.490000002</v>
      </c>
      <c r="M2094" s="225">
        <f>ROUND(IF(AND(Base_Periodo1[[#This Row],[Tipo_Linha]]="-",Base_Periodo1[[#This Row],[TIPOSALDO]]="D"),Base_Periodo1[[#This Row],[SALDO_ATUAL]]*-1,Base_Periodo1[[#This Row],[SALDO_ATUAL]]),4)</f>
        <v>36316915.490000002</v>
      </c>
      <c r="N2094" t="s">
        <v>396</v>
      </c>
      <c r="O2094" t="s">
        <v>459</v>
      </c>
      <c r="P2094" t="s">
        <v>459</v>
      </c>
      <c r="Q2094">
        <v>5</v>
      </c>
      <c r="R2094" s="225">
        <f>Base_Periodo1[[#This Row],[CREDITOS]]-Base_Periodo1[[#This Row],[DEBITOS]]</f>
        <v>564678.99000000022</v>
      </c>
      <c r="S2094" s="3" t="str">
        <f>IF(ISERROR(VLOOKUP(Base_Periodo1[[#This Row],[CONTA]],BaseContasDRE[#All],4,FALSE)),"Fora do DRE",VLOOKUP(Base_Periodo1[[#This Row],[CONTA]],BaseContasDRE[#All],4,FALSE))</f>
        <v>Fora do DRE</v>
      </c>
      <c r="T2094" s="3" t="str">
        <f>IF(ISERROR(VLOOKUP(Base_Periodo1[[#This Row],[CONTA]],BaseContasDRE[#All],5,FALSE)),"Fora do DRE",VLOOKUP(Base_Periodo1[[#This Row],[CONTA]],BaseContasDRE[#All],6,FALSE))</f>
        <v>Fora do DRE</v>
      </c>
      <c r="U2094" s="3" t="str">
        <f>IF(ISERROR(VLOOKUP(Base_Periodo1[[#This Row],[CONTA]],BaseContasDRE[#All],7,FALSE)),"Fora do DRE",VLOOKUP(Base_Periodo1[[#This Row],[CONTA]],BaseContasDRE[#All],7,FALSE))</f>
        <v>Fora do DRE</v>
      </c>
      <c r="V2094" s="3" t="str">
        <f>IF(Base_Periodo1[[#This Row],[Tipo_Linha]]="Fora do DRE","Fora do DRE","( "&amp;Base_Periodo1[[#This Row],[Tipo_Linha]]&amp;" ) "&amp;Base_Periodo1[[#This Row],[Filtro]])</f>
        <v>Fora do DRE</v>
      </c>
      <c r="W2094" s="3" t="str">
        <f>LEFT(Base_Periodo1[[#This Row],[CLASS]],3)</f>
        <v>1.2</v>
      </c>
    </row>
    <row r="2095" spans="1:23" hidden="1">
      <c r="A2095" s="3" t="str">
        <f t="shared" si="32"/>
        <v>Período 1</v>
      </c>
      <c r="B2095">
        <v>1409</v>
      </c>
      <c r="C2095" t="s">
        <v>1672</v>
      </c>
      <c r="D2095" t="s">
        <v>5046</v>
      </c>
      <c r="E2095" s="3" t="str">
        <f>IF(LEN(Base_Periodo1[[#This Row],[CLASS]])&gt;=7,LEFT(Base_Periodo1[[#This Row],[CLASS]],7),"")</f>
        <v>1.2.4.1</v>
      </c>
      <c r="F2095" s="3" t="str">
        <f>VLOOKUP(Base_Periodo1[[#This Row],[Aux]],Base_Contas_Balanco[#All],2,FALSE)</f>
        <v>Imobilizado Normal</v>
      </c>
      <c r="G2095" s="1">
        <v>42886</v>
      </c>
      <c r="H2095" s="225">
        <v>7391718.8799999813</v>
      </c>
      <c r="I2095" s="225">
        <v>0</v>
      </c>
      <c r="J2095" s="225">
        <v>119987.12000000001</v>
      </c>
      <c r="K2095" s="225">
        <v>7511705.9999999814</v>
      </c>
      <c r="L20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-7511706</v>
      </c>
      <c r="M2095" s="225">
        <f>ROUND(IF(AND(Base_Periodo1[[#This Row],[Tipo_Linha]]="-",Base_Periodo1[[#This Row],[TIPOSALDO]]="D"),Base_Periodo1[[#This Row],[SALDO_ATUAL]]*-1,Base_Periodo1[[#This Row],[SALDO_ATUAL]]),4)</f>
        <v>7511706</v>
      </c>
      <c r="N2095" t="s">
        <v>116</v>
      </c>
      <c r="O2095" t="s">
        <v>459</v>
      </c>
      <c r="P2095" t="s">
        <v>459</v>
      </c>
      <c r="Q2095">
        <v>6</v>
      </c>
      <c r="R2095" s="225">
        <f>Base_Periodo1[[#This Row],[CREDITOS]]-Base_Periodo1[[#This Row],[DEBITOS]]</f>
        <v>119987.12000000001</v>
      </c>
      <c r="S2095" s="3" t="str">
        <f>IF(ISERROR(VLOOKUP(Base_Periodo1[[#This Row],[CONTA]],BaseContasDRE[#All],4,FALSE)),"Fora do DRE",VLOOKUP(Base_Periodo1[[#This Row],[CONTA]],BaseContasDRE[#All],4,FALSE))</f>
        <v>Fora do DRE</v>
      </c>
      <c r="T2095" s="3" t="str">
        <f>IF(ISERROR(VLOOKUP(Base_Periodo1[[#This Row],[CONTA]],BaseContasDRE[#All],5,FALSE)),"Fora do DRE",VLOOKUP(Base_Periodo1[[#This Row],[CONTA]],BaseContasDRE[#All],6,FALSE))</f>
        <v>Fora do DRE</v>
      </c>
      <c r="U2095" s="3" t="str">
        <f>IF(ISERROR(VLOOKUP(Base_Periodo1[[#This Row],[CONTA]],BaseContasDRE[#All],7,FALSE)),"Fora do DRE",VLOOKUP(Base_Periodo1[[#This Row],[CONTA]],BaseContasDRE[#All],7,FALSE))</f>
        <v>Fora do DRE</v>
      </c>
      <c r="V2095" s="3" t="str">
        <f>IF(Base_Periodo1[[#This Row],[Tipo_Linha]]="Fora do DRE","Fora do DRE","( "&amp;Base_Periodo1[[#This Row],[Tipo_Linha]]&amp;" ) "&amp;Base_Periodo1[[#This Row],[Filtro]])</f>
        <v>Fora do DRE</v>
      </c>
      <c r="W2095" s="3" t="str">
        <f>LEFT(Base_Periodo1[[#This Row],[CLASS]],3)</f>
        <v>1.2</v>
      </c>
    </row>
    <row r="2096" spans="1:23" hidden="1">
      <c r="A2096" s="3" t="str">
        <f t="shared" si="32"/>
        <v>Período 1</v>
      </c>
      <c r="B2096">
        <v>1410</v>
      </c>
      <c r="C2096" t="s">
        <v>1673</v>
      </c>
      <c r="D2096" t="s">
        <v>5047</v>
      </c>
      <c r="E2096" s="3" t="str">
        <f>IF(LEN(Base_Periodo1[[#This Row],[CLASS]])&gt;=7,LEFT(Base_Periodo1[[#This Row],[CLASS]],7),"")</f>
        <v>1.2.4.1</v>
      </c>
      <c r="F2096" s="3" t="str">
        <f>VLOOKUP(Base_Periodo1[[#This Row],[Aux]],Base_Contas_Balanco[#All],2,FALSE)</f>
        <v>Imobilizado Normal</v>
      </c>
      <c r="G2096" s="1">
        <v>42886</v>
      </c>
      <c r="H2096" s="225">
        <v>529008.86000000045</v>
      </c>
      <c r="I2096" s="225">
        <v>0</v>
      </c>
      <c r="J2096" s="225">
        <v>15037.079999999994</v>
      </c>
      <c r="K2096" s="225">
        <v>544045.94000000041</v>
      </c>
      <c r="L20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-544045.93999999994</v>
      </c>
      <c r="M2096" s="225">
        <f>ROUND(IF(AND(Base_Periodo1[[#This Row],[Tipo_Linha]]="-",Base_Periodo1[[#This Row],[TIPOSALDO]]="D"),Base_Periodo1[[#This Row],[SALDO_ATUAL]]*-1,Base_Periodo1[[#This Row],[SALDO_ATUAL]]),4)</f>
        <v>544045.93999999994</v>
      </c>
      <c r="N2096" t="s">
        <v>116</v>
      </c>
      <c r="O2096" t="s">
        <v>459</v>
      </c>
      <c r="P2096" t="s">
        <v>459</v>
      </c>
      <c r="Q2096">
        <v>6</v>
      </c>
      <c r="R2096" s="225">
        <f>Base_Periodo1[[#This Row],[CREDITOS]]-Base_Periodo1[[#This Row],[DEBITOS]]</f>
        <v>15037.079999999994</v>
      </c>
      <c r="S2096" s="3" t="str">
        <f>IF(ISERROR(VLOOKUP(Base_Periodo1[[#This Row],[CONTA]],BaseContasDRE[#All],4,FALSE)),"Fora do DRE",VLOOKUP(Base_Periodo1[[#This Row],[CONTA]],BaseContasDRE[#All],4,FALSE))</f>
        <v>Fora do DRE</v>
      </c>
      <c r="T2096" s="3" t="str">
        <f>IF(ISERROR(VLOOKUP(Base_Periodo1[[#This Row],[CONTA]],BaseContasDRE[#All],5,FALSE)),"Fora do DRE",VLOOKUP(Base_Periodo1[[#This Row],[CONTA]],BaseContasDRE[#All],6,FALSE))</f>
        <v>Fora do DRE</v>
      </c>
      <c r="U2096" s="3" t="str">
        <f>IF(ISERROR(VLOOKUP(Base_Periodo1[[#This Row],[CONTA]],BaseContasDRE[#All],7,FALSE)),"Fora do DRE",VLOOKUP(Base_Periodo1[[#This Row],[CONTA]],BaseContasDRE[#All],7,FALSE))</f>
        <v>Fora do DRE</v>
      </c>
      <c r="V2096" s="3" t="str">
        <f>IF(Base_Periodo1[[#This Row],[Tipo_Linha]]="Fora do DRE","Fora do DRE","( "&amp;Base_Periodo1[[#This Row],[Tipo_Linha]]&amp;" ) "&amp;Base_Periodo1[[#This Row],[Filtro]])</f>
        <v>Fora do DRE</v>
      </c>
      <c r="W2096" s="3" t="str">
        <f>LEFT(Base_Periodo1[[#This Row],[CLASS]],3)</f>
        <v>1.2</v>
      </c>
    </row>
    <row r="2097" spans="1:23" hidden="1">
      <c r="A2097" s="3" t="str">
        <f t="shared" si="32"/>
        <v>Período 1</v>
      </c>
      <c r="B2097">
        <v>1412</v>
      </c>
      <c r="C2097" t="s">
        <v>1674</v>
      </c>
      <c r="D2097" t="s">
        <v>5048</v>
      </c>
      <c r="E2097" s="3" t="str">
        <f>IF(LEN(Base_Periodo1[[#This Row],[CLASS]])&gt;=7,LEFT(Base_Periodo1[[#This Row],[CLASS]],7),"")</f>
        <v>1.2.4.1</v>
      </c>
      <c r="F2097" s="3" t="str">
        <f>VLOOKUP(Base_Periodo1[[#This Row],[Aux]],Base_Contas_Balanco[#All],2,FALSE)</f>
        <v>Imobilizado Normal</v>
      </c>
      <c r="G2097" s="1">
        <v>42886</v>
      </c>
      <c r="H2097" s="225">
        <v>29542.920000000129</v>
      </c>
      <c r="I2097" s="225">
        <v>0</v>
      </c>
      <c r="J2097" s="225">
        <v>663.74</v>
      </c>
      <c r="K2097" s="225">
        <v>30206.660000000131</v>
      </c>
      <c r="L20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-30206.66</v>
      </c>
      <c r="M2097" s="225">
        <f>ROUND(IF(AND(Base_Periodo1[[#This Row],[Tipo_Linha]]="-",Base_Periodo1[[#This Row],[TIPOSALDO]]="D"),Base_Periodo1[[#This Row],[SALDO_ATUAL]]*-1,Base_Periodo1[[#This Row],[SALDO_ATUAL]]),4)</f>
        <v>30206.66</v>
      </c>
      <c r="N2097" t="s">
        <v>116</v>
      </c>
      <c r="O2097" t="s">
        <v>459</v>
      </c>
      <c r="P2097" t="s">
        <v>459</v>
      </c>
      <c r="Q2097">
        <v>6</v>
      </c>
      <c r="R2097" s="225">
        <f>Base_Periodo1[[#This Row],[CREDITOS]]-Base_Periodo1[[#This Row],[DEBITOS]]</f>
        <v>663.74</v>
      </c>
      <c r="S2097" s="3" t="str">
        <f>IF(ISERROR(VLOOKUP(Base_Periodo1[[#This Row],[CONTA]],BaseContasDRE[#All],4,FALSE)),"Fora do DRE",VLOOKUP(Base_Periodo1[[#This Row],[CONTA]],BaseContasDRE[#All],4,FALSE))</f>
        <v>Fora do DRE</v>
      </c>
      <c r="T2097" s="3" t="str">
        <f>IF(ISERROR(VLOOKUP(Base_Periodo1[[#This Row],[CONTA]],BaseContasDRE[#All],5,FALSE)),"Fora do DRE",VLOOKUP(Base_Periodo1[[#This Row],[CONTA]],BaseContasDRE[#All],6,FALSE))</f>
        <v>Fora do DRE</v>
      </c>
      <c r="U2097" s="3" t="str">
        <f>IF(ISERROR(VLOOKUP(Base_Periodo1[[#This Row],[CONTA]],BaseContasDRE[#All],7,FALSE)),"Fora do DRE",VLOOKUP(Base_Periodo1[[#This Row],[CONTA]],BaseContasDRE[#All],7,FALSE))</f>
        <v>Fora do DRE</v>
      </c>
      <c r="V2097" s="3" t="str">
        <f>IF(Base_Periodo1[[#This Row],[Tipo_Linha]]="Fora do DRE","Fora do DRE","( "&amp;Base_Periodo1[[#This Row],[Tipo_Linha]]&amp;" ) "&amp;Base_Periodo1[[#This Row],[Filtro]])</f>
        <v>Fora do DRE</v>
      </c>
      <c r="W2097" s="3" t="str">
        <f>LEFT(Base_Periodo1[[#This Row],[CLASS]],3)</f>
        <v>1.2</v>
      </c>
    </row>
    <row r="2098" spans="1:23" hidden="1">
      <c r="A2098" s="3" t="str">
        <f t="shared" si="32"/>
        <v>Período 1</v>
      </c>
      <c r="B2098">
        <v>1413</v>
      </c>
      <c r="C2098" t="s">
        <v>1675</v>
      </c>
      <c r="D2098" t="s">
        <v>5049</v>
      </c>
      <c r="E2098" s="3" t="str">
        <f>IF(LEN(Base_Periodo1[[#This Row],[CLASS]])&gt;=7,LEFT(Base_Periodo1[[#This Row],[CLASS]],7),"")</f>
        <v>1.2.4.1</v>
      </c>
      <c r="F2098" s="3" t="str">
        <f>VLOOKUP(Base_Periodo1[[#This Row],[Aux]],Base_Contas_Balanco[#All],2,FALSE)</f>
        <v>Imobilizado Normal</v>
      </c>
      <c r="G2098" s="1">
        <v>42886</v>
      </c>
      <c r="H2098" s="225">
        <v>490635.15000000107</v>
      </c>
      <c r="I2098" s="225">
        <v>0</v>
      </c>
      <c r="J2098" s="225">
        <v>8913.28999999999</v>
      </c>
      <c r="K2098" s="225">
        <v>499548.44000000105</v>
      </c>
      <c r="L20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-499548.44</v>
      </c>
      <c r="M2098" s="225">
        <f>ROUND(IF(AND(Base_Periodo1[[#This Row],[Tipo_Linha]]="-",Base_Periodo1[[#This Row],[TIPOSALDO]]="D"),Base_Periodo1[[#This Row],[SALDO_ATUAL]]*-1,Base_Periodo1[[#This Row],[SALDO_ATUAL]]),4)</f>
        <v>499548.44</v>
      </c>
      <c r="N2098" t="s">
        <v>116</v>
      </c>
      <c r="O2098" t="s">
        <v>459</v>
      </c>
      <c r="P2098" t="s">
        <v>459</v>
      </c>
      <c r="Q2098">
        <v>6</v>
      </c>
      <c r="R2098" s="225">
        <f>Base_Periodo1[[#This Row],[CREDITOS]]-Base_Periodo1[[#This Row],[DEBITOS]]</f>
        <v>8913.28999999999</v>
      </c>
      <c r="S2098" s="3" t="str">
        <f>IF(ISERROR(VLOOKUP(Base_Periodo1[[#This Row],[CONTA]],BaseContasDRE[#All],4,FALSE)),"Fora do DRE",VLOOKUP(Base_Periodo1[[#This Row],[CONTA]],BaseContasDRE[#All],4,FALSE))</f>
        <v>Fora do DRE</v>
      </c>
      <c r="T2098" s="3" t="str">
        <f>IF(ISERROR(VLOOKUP(Base_Periodo1[[#This Row],[CONTA]],BaseContasDRE[#All],5,FALSE)),"Fora do DRE",VLOOKUP(Base_Periodo1[[#This Row],[CONTA]],BaseContasDRE[#All],6,FALSE))</f>
        <v>Fora do DRE</v>
      </c>
      <c r="U2098" s="3" t="str">
        <f>IF(ISERROR(VLOOKUP(Base_Periodo1[[#This Row],[CONTA]],BaseContasDRE[#All],7,FALSE)),"Fora do DRE",VLOOKUP(Base_Periodo1[[#This Row],[CONTA]],BaseContasDRE[#All],7,FALSE))</f>
        <v>Fora do DRE</v>
      </c>
      <c r="V2098" s="3" t="str">
        <f>IF(Base_Periodo1[[#This Row],[Tipo_Linha]]="Fora do DRE","Fora do DRE","( "&amp;Base_Periodo1[[#This Row],[Tipo_Linha]]&amp;" ) "&amp;Base_Periodo1[[#This Row],[Filtro]])</f>
        <v>Fora do DRE</v>
      </c>
      <c r="W2098" s="3" t="str">
        <f>LEFT(Base_Periodo1[[#This Row],[CLASS]],3)</f>
        <v>1.2</v>
      </c>
    </row>
    <row r="2099" spans="1:23" hidden="1">
      <c r="A2099" s="3" t="str">
        <f t="shared" si="32"/>
        <v>Período 1</v>
      </c>
      <c r="B2099">
        <v>1414</v>
      </c>
      <c r="C2099" t="s">
        <v>1676</v>
      </c>
      <c r="D2099" t="s">
        <v>5050</v>
      </c>
      <c r="E2099" s="3" t="str">
        <f>IF(LEN(Base_Periodo1[[#This Row],[CLASS]])&gt;=7,LEFT(Base_Periodo1[[#This Row],[CLASS]],7),"")</f>
        <v>1.2.4.1</v>
      </c>
      <c r="F2099" s="3" t="str">
        <f>VLOOKUP(Base_Periodo1[[#This Row],[Aux]],Base_Contas_Balanco[#All],2,FALSE)</f>
        <v>Imobilizado Normal</v>
      </c>
      <c r="G2099" s="1">
        <v>42886</v>
      </c>
      <c r="H2099" s="225">
        <v>9046260.6800000053</v>
      </c>
      <c r="I2099" s="225">
        <v>0</v>
      </c>
      <c r="J2099" s="225">
        <v>230149.60000000009</v>
      </c>
      <c r="K2099" s="225">
        <v>9276410.2800000049</v>
      </c>
      <c r="L20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-9276410.2799999993</v>
      </c>
      <c r="M2099" s="225">
        <f>ROUND(IF(AND(Base_Periodo1[[#This Row],[Tipo_Linha]]="-",Base_Periodo1[[#This Row],[TIPOSALDO]]="D"),Base_Periodo1[[#This Row],[SALDO_ATUAL]]*-1,Base_Periodo1[[#This Row],[SALDO_ATUAL]]),4)</f>
        <v>9276410.2799999993</v>
      </c>
      <c r="N2099" t="s">
        <v>116</v>
      </c>
      <c r="O2099" t="s">
        <v>459</v>
      </c>
      <c r="P2099" t="s">
        <v>459</v>
      </c>
      <c r="Q2099">
        <v>6</v>
      </c>
      <c r="R2099" s="225">
        <f>Base_Periodo1[[#This Row],[CREDITOS]]-Base_Periodo1[[#This Row],[DEBITOS]]</f>
        <v>230149.60000000009</v>
      </c>
      <c r="S2099" s="3" t="str">
        <f>IF(ISERROR(VLOOKUP(Base_Periodo1[[#This Row],[CONTA]],BaseContasDRE[#All],4,FALSE)),"Fora do DRE",VLOOKUP(Base_Periodo1[[#This Row],[CONTA]],BaseContasDRE[#All],4,FALSE))</f>
        <v>Fora do DRE</v>
      </c>
      <c r="T2099" s="3" t="str">
        <f>IF(ISERROR(VLOOKUP(Base_Periodo1[[#This Row],[CONTA]],BaseContasDRE[#All],5,FALSE)),"Fora do DRE",VLOOKUP(Base_Periodo1[[#This Row],[CONTA]],BaseContasDRE[#All],6,FALSE))</f>
        <v>Fora do DRE</v>
      </c>
      <c r="U2099" s="3" t="str">
        <f>IF(ISERROR(VLOOKUP(Base_Periodo1[[#This Row],[CONTA]],BaseContasDRE[#All],7,FALSE)),"Fora do DRE",VLOOKUP(Base_Periodo1[[#This Row],[CONTA]],BaseContasDRE[#All],7,FALSE))</f>
        <v>Fora do DRE</v>
      </c>
      <c r="V2099" s="3" t="str">
        <f>IF(Base_Periodo1[[#This Row],[Tipo_Linha]]="Fora do DRE","Fora do DRE","( "&amp;Base_Periodo1[[#This Row],[Tipo_Linha]]&amp;" ) "&amp;Base_Periodo1[[#This Row],[Filtro]])</f>
        <v>Fora do DRE</v>
      </c>
      <c r="W2099" s="3" t="str">
        <f>LEFT(Base_Periodo1[[#This Row],[CLASS]],3)</f>
        <v>1.2</v>
      </c>
    </row>
    <row r="2100" spans="1:23" hidden="1">
      <c r="A2100" s="3" t="str">
        <f t="shared" si="32"/>
        <v>Período 1</v>
      </c>
      <c r="B2100">
        <v>1415</v>
      </c>
      <c r="C2100" t="s">
        <v>1677</v>
      </c>
      <c r="D2100" t="s">
        <v>5051</v>
      </c>
      <c r="E2100" s="3" t="str">
        <f>IF(LEN(Base_Periodo1[[#This Row],[CLASS]])&gt;=7,LEFT(Base_Periodo1[[#This Row],[CLASS]],7),"")</f>
        <v>1.2.4.1</v>
      </c>
      <c r="F2100" s="3" t="str">
        <f>VLOOKUP(Base_Periodo1[[#This Row],[Aux]],Base_Contas_Balanco[#All],2,FALSE)</f>
        <v>Imobilizado Normal</v>
      </c>
      <c r="G2100" s="1">
        <v>42886</v>
      </c>
      <c r="H2100" s="225">
        <v>18265070.009999949</v>
      </c>
      <c r="I2100" s="225">
        <v>0</v>
      </c>
      <c r="J2100" s="225">
        <v>189928.16000000018</v>
      </c>
      <c r="K2100" s="225">
        <v>18454998.16999995</v>
      </c>
      <c r="L21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-18454998.170000002</v>
      </c>
      <c r="M2100" s="225">
        <f>ROUND(IF(AND(Base_Periodo1[[#This Row],[Tipo_Linha]]="-",Base_Periodo1[[#This Row],[TIPOSALDO]]="D"),Base_Periodo1[[#This Row],[SALDO_ATUAL]]*-1,Base_Periodo1[[#This Row],[SALDO_ATUAL]]),4)</f>
        <v>18454998.170000002</v>
      </c>
      <c r="N2100" t="s">
        <v>116</v>
      </c>
      <c r="O2100" t="s">
        <v>459</v>
      </c>
      <c r="P2100" t="s">
        <v>459</v>
      </c>
      <c r="Q2100">
        <v>6</v>
      </c>
      <c r="R2100" s="225">
        <f>Base_Periodo1[[#This Row],[CREDITOS]]-Base_Periodo1[[#This Row],[DEBITOS]]</f>
        <v>189928.16000000018</v>
      </c>
      <c r="S2100" s="3" t="str">
        <f>IF(ISERROR(VLOOKUP(Base_Periodo1[[#This Row],[CONTA]],BaseContasDRE[#All],4,FALSE)),"Fora do DRE",VLOOKUP(Base_Periodo1[[#This Row],[CONTA]],BaseContasDRE[#All],4,FALSE))</f>
        <v>Fora do DRE</v>
      </c>
      <c r="T2100" s="3" t="str">
        <f>IF(ISERROR(VLOOKUP(Base_Periodo1[[#This Row],[CONTA]],BaseContasDRE[#All],5,FALSE)),"Fora do DRE",VLOOKUP(Base_Periodo1[[#This Row],[CONTA]],BaseContasDRE[#All],6,FALSE))</f>
        <v>Fora do DRE</v>
      </c>
      <c r="U2100" s="3" t="str">
        <f>IF(ISERROR(VLOOKUP(Base_Periodo1[[#This Row],[CONTA]],BaseContasDRE[#All],7,FALSE)),"Fora do DRE",VLOOKUP(Base_Periodo1[[#This Row],[CONTA]],BaseContasDRE[#All],7,FALSE))</f>
        <v>Fora do DRE</v>
      </c>
      <c r="V2100" s="3" t="str">
        <f>IF(Base_Periodo1[[#This Row],[Tipo_Linha]]="Fora do DRE","Fora do DRE","( "&amp;Base_Periodo1[[#This Row],[Tipo_Linha]]&amp;" ) "&amp;Base_Periodo1[[#This Row],[Filtro]])</f>
        <v>Fora do DRE</v>
      </c>
      <c r="W2100" s="3" t="str">
        <f>LEFT(Base_Periodo1[[#This Row],[CLASS]],3)</f>
        <v>1.2</v>
      </c>
    </row>
    <row r="2101" spans="1:23" hidden="1">
      <c r="A2101" s="3" t="str">
        <f t="shared" si="32"/>
        <v>Período 1</v>
      </c>
      <c r="B2101">
        <v>19998</v>
      </c>
      <c r="C2101" t="s">
        <v>72</v>
      </c>
      <c r="D2101" t="s">
        <v>73</v>
      </c>
      <c r="E2101" s="3" t="str">
        <f>IF(LEN(Base_Periodo1[[#This Row],[CLASS]])&gt;=7,LEFT(Base_Periodo1[[#This Row],[CLASS]],7),"")</f>
        <v>1.2.4.2</v>
      </c>
      <c r="F2101" s="3" t="str">
        <f>VLOOKUP(Base_Periodo1[[#This Row],[Aux]],Base_Contas_Balanco[#All],2,FALSE)</f>
        <v>Imobilizacao em Andamento</v>
      </c>
      <c r="G2101" s="1"/>
      <c r="H2101" s="225">
        <v>6369029.4899999499</v>
      </c>
      <c r="I2101" s="225">
        <v>960083.47</v>
      </c>
      <c r="J2101" s="225">
        <v>3973.8599999999997</v>
      </c>
      <c r="K2101" s="225">
        <v>7325139.0999999493</v>
      </c>
      <c r="L21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7325139.0999999996</v>
      </c>
      <c r="M2101" s="225">
        <f>ROUND(IF(AND(Base_Periodo1[[#This Row],[Tipo_Linha]]="-",Base_Periodo1[[#This Row],[TIPOSALDO]]="D"),Base_Periodo1[[#This Row],[SALDO_ATUAL]]*-1,Base_Periodo1[[#This Row],[SALDO_ATUAL]]),4)</f>
        <v>7325139.0999999996</v>
      </c>
      <c r="N2101" t="s">
        <v>396</v>
      </c>
      <c r="O2101" t="s">
        <v>397</v>
      </c>
      <c r="P2101" t="s">
        <v>397</v>
      </c>
      <c r="Q2101">
        <v>4</v>
      </c>
      <c r="R2101" s="225">
        <f>Base_Periodo1[[#This Row],[CREDITOS]]-Base_Periodo1[[#This Row],[DEBITOS]]</f>
        <v>-956109.61</v>
      </c>
      <c r="S2101" s="3" t="str">
        <f>IF(ISERROR(VLOOKUP(Base_Periodo1[[#This Row],[CONTA]],BaseContasDRE[#All],4,FALSE)),"Fora do DRE",VLOOKUP(Base_Periodo1[[#This Row],[CONTA]],BaseContasDRE[#All],4,FALSE))</f>
        <v>Fora do DRE</v>
      </c>
      <c r="T2101" s="3" t="str">
        <f>IF(ISERROR(VLOOKUP(Base_Periodo1[[#This Row],[CONTA]],BaseContasDRE[#All],5,FALSE)),"Fora do DRE",VLOOKUP(Base_Periodo1[[#This Row],[CONTA]],BaseContasDRE[#All],6,FALSE))</f>
        <v>Fora do DRE</v>
      </c>
      <c r="U2101" s="3" t="str">
        <f>IF(ISERROR(VLOOKUP(Base_Periodo1[[#This Row],[CONTA]],BaseContasDRE[#All],7,FALSE)),"Fora do DRE",VLOOKUP(Base_Periodo1[[#This Row],[CONTA]],BaseContasDRE[#All],7,FALSE))</f>
        <v>Fora do DRE</v>
      </c>
      <c r="V2101" s="3" t="str">
        <f>IF(Base_Periodo1[[#This Row],[Tipo_Linha]]="Fora do DRE","Fora do DRE","( "&amp;Base_Periodo1[[#This Row],[Tipo_Linha]]&amp;" ) "&amp;Base_Periodo1[[#This Row],[Filtro]])</f>
        <v>Fora do DRE</v>
      </c>
      <c r="W2101" s="3" t="str">
        <f>LEFT(Base_Periodo1[[#This Row],[CLASS]],3)</f>
        <v>1.2</v>
      </c>
    </row>
    <row r="2102" spans="1:23" hidden="1">
      <c r="A2102" s="3" t="str">
        <f t="shared" si="32"/>
        <v>Período 1</v>
      </c>
      <c r="B2102">
        <v>1417</v>
      </c>
      <c r="C2102" t="s">
        <v>1678</v>
      </c>
      <c r="D2102" t="s">
        <v>1679</v>
      </c>
      <c r="E2102" s="3" t="str">
        <f>IF(LEN(Base_Periodo1[[#This Row],[CLASS]])&gt;=7,LEFT(Base_Periodo1[[#This Row],[CLASS]],7),"")</f>
        <v>1.2.4.2</v>
      </c>
      <c r="F2102" s="3" t="str">
        <f>VLOOKUP(Base_Periodo1[[#This Row],[Aux]],Base_Contas_Balanco[#All],2,FALSE)</f>
        <v>Imobilizacao em Andamento</v>
      </c>
      <c r="G2102" s="1">
        <v>42886</v>
      </c>
      <c r="H2102" s="225">
        <v>6359843.2399999499</v>
      </c>
      <c r="I2102" s="225">
        <v>960083.47</v>
      </c>
      <c r="J2102" s="225">
        <v>3973.8599999999997</v>
      </c>
      <c r="K2102" s="225">
        <v>7315952.8499999493</v>
      </c>
      <c r="L21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7315952.8499999996</v>
      </c>
      <c r="M2102" s="225">
        <f>ROUND(IF(AND(Base_Periodo1[[#This Row],[Tipo_Linha]]="-",Base_Periodo1[[#This Row],[TIPOSALDO]]="D"),Base_Periodo1[[#This Row],[SALDO_ATUAL]]*-1,Base_Periodo1[[#This Row],[SALDO_ATUAL]]),4)</f>
        <v>7315952.8499999996</v>
      </c>
      <c r="N2102" t="s">
        <v>116</v>
      </c>
      <c r="O2102" t="s">
        <v>397</v>
      </c>
      <c r="P2102" t="s">
        <v>397</v>
      </c>
      <c r="Q2102">
        <v>5</v>
      </c>
      <c r="R2102" s="225">
        <f>Base_Periodo1[[#This Row],[CREDITOS]]-Base_Periodo1[[#This Row],[DEBITOS]]</f>
        <v>-956109.61</v>
      </c>
      <c r="S2102" s="3" t="str">
        <f>IF(ISERROR(VLOOKUP(Base_Periodo1[[#This Row],[CONTA]],BaseContasDRE[#All],4,FALSE)),"Fora do DRE",VLOOKUP(Base_Periodo1[[#This Row],[CONTA]],BaseContasDRE[#All],4,FALSE))</f>
        <v>Fora do DRE</v>
      </c>
      <c r="T2102" s="3" t="str">
        <f>IF(ISERROR(VLOOKUP(Base_Periodo1[[#This Row],[CONTA]],BaseContasDRE[#All],5,FALSE)),"Fora do DRE",VLOOKUP(Base_Periodo1[[#This Row],[CONTA]],BaseContasDRE[#All],6,FALSE))</f>
        <v>Fora do DRE</v>
      </c>
      <c r="U2102" s="3" t="str">
        <f>IF(ISERROR(VLOOKUP(Base_Periodo1[[#This Row],[CONTA]],BaseContasDRE[#All],7,FALSE)),"Fora do DRE",VLOOKUP(Base_Periodo1[[#This Row],[CONTA]],BaseContasDRE[#All],7,FALSE))</f>
        <v>Fora do DRE</v>
      </c>
      <c r="V2102" s="3" t="str">
        <f>IF(Base_Periodo1[[#This Row],[Tipo_Linha]]="Fora do DRE","Fora do DRE","( "&amp;Base_Periodo1[[#This Row],[Tipo_Linha]]&amp;" ) "&amp;Base_Periodo1[[#This Row],[Filtro]])</f>
        <v>Fora do DRE</v>
      </c>
      <c r="W2102" s="3" t="str">
        <f>LEFT(Base_Periodo1[[#This Row],[CLASS]],3)</f>
        <v>1.2</v>
      </c>
    </row>
    <row r="2103" spans="1:23" hidden="1">
      <c r="A2103" s="3" t="str">
        <f t="shared" si="32"/>
        <v>Período 1</v>
      </c>
      <c r="B2103">
        <v>1419</v>
      </c>
      <c r="C2103" t="s">
        <v>4198</v>
      </c>
      <c r="D2103" t="s">
        <v>4199</v>
      </c>
      <c r="E2103" s="3" t="str">
        <f>IF(LEN(Base_Periodo1[[#This Row],[CLASS]])&gt;=7,LEFT(Base_Periodo1[[#This Row],[CLASS]],7),"")</f>
        <v>1.2.4.2</v>
      </c>
      <c r="F2103" s="3" t="str">
        <f>VLOOKUP(Base_Periodo1[[#This Row],[Aux]],Base_Contas_Balanco[#All],2,FALSE)</f>
        <v>Imobilizacao em Andamento</v>
      </c>
      <c r="G2103" s="1">
        <v>42663</v>
      </c>
      <c r="H2103" s="225">
        <v>4720</v>
      </c>
      <c r="I2103" s="225">
        <v>0</v>
      </c>
      <c r="J2103" s="225">
        <v>0</v>
      </c>
      <c r="K2103" s="225">
        <v>4720</v>
      </c>
      <c r="L21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4720</v>
      </c>
      <c r="M2103" s="225">
        <f>ROUND(IF(AND(Base_Periodo1[[#This Row],[Tipo_Linha]]="-",Base_Periodo1[[#This Row],[TIPOSALDO]]="D"),Base_Periodo1[[#This Row],[SALDO_ATUAL]]*-1,Base_Periodo1[[#This Row],[SALDO_ATUAL]]),4)</f>
        <v>4720</v>
      </c>
      <c r="N2103" t="s">
        <v>116</v>
      </c>
      <c r="O2103" t="s">
        <v>397</v>
      </c>
      <c r="P2103" t="s">
        <v>397</v>
      </c>
      <c r="Q2103">
        <v>5</v>
      </c>
      <c r="R2103" s="225">
        <f>Base_Periodo1[[#This Row],[CREDITOS]]-Base_Periodo1[[#This Row],[DEBITOS]]</f>
        <v>0</v>
      </c>
      <c r="S2103" s="3" t="str">
        <f>IF(ISERROR(VLOOKUP(Base_Periodo1[[#This Row],[CONTA]],BaseContasDRE[#All],4,FALSE)),"Fora do DRE",VLOOKUP(Base_Periodo1[[#This Row],[CONTA]],BaseContasDRE[#All],4,FALSE))</f>
        <v>Fora do DRE</v>
      </c>
      <c r="T2103" s="3" t="str">
        <f>IF(ISERROR(VLOOKUP(Base_Periodo1[[#This Row],[CONTA]],BaseContasDRE[#All],5,FALSE)),"Fora do DRE",VLOOKUP(Base_Periodo1[[#This Row],[CONTA]],BaseContasDRE[#All],6,FALSE))</f>
        <v>Fora do DRE</v>
      </c>
      <c r="U2103" s="3" t="str">
        <f>IF(ISERROR(VLOOKUP(Base_Periodo1[[#This Row],[CONTA]],BaseContasDRE[#All],7,FALSE)),"Fora do DRE",VLOOKUP(Base_Periodo1[[#This Row],[CONTA]],BaseContasDRE[#All],7,FALSE))</f>
        <v>Fora do DRE</v>
      </c>
      <c r="V2103" s="3" t="str">
        <f>IF(Base_Periodo1[[#This Row],[Tipo_Linha]]="Fora do DRE","Fora do DRE","( "&amp;Base_Periodo1[[#This Row],[Tipo_Linha]]&amp;" ) "&amp;Base_Periodo1[[#This Row],[Filtro]])</f>
        <v>Fora do DRE</v>
      </c>
      <c r="W2103" s="3" t="str">
        <f>LEFT(Base_Periodo1[[#This Row],[CLASS]],3)</f>
        <v>1.2</v>
      </c>
    </row>
    <row r="2104" spans="1:23" hidden="1">
      <c r="A2104" s="3" t="str">
        <f t="shared" si="32"/>
        <v>Período 1</v>
      </c>
      <c r="B2104">
        <v>58476</v>
      </c>
      <c r="C2104" t="s">
        <v>6328</v>
      </c>
      <c r="D2104" t="s">
        <v>6329</v>
      </c>
      <c r="E2104" s="3" t="str">
        <f>IF(LEN(Base_Periodo1[[#This Row],[CLASS]])&gt;=7,LEFT(Base_Periodo1[[#This Row],[CLASS]],7),"")</f>
        <v>1.2.4.2</v>
      </c>
      <c r="F2104" s="3" t="str">
        <f>VLOOKUP(Base_Periodo1[[#This Row],[Aux]],Base_Contas_Balanco[#All],2,FALSE)</f>
        <v>Imobilizacao em Andamento</v>
      </c>
      <c r="G2104" s="1">
        <v>42844</v>
      </c>
      <c r="H2104" s="225">
        <v>4466.25</v>
      </c>
      <c r="I2104" s="225">
        <v>0</v>
      </c>
      <c r="J2104" s="225">
        <v>0</v>
      </c>
      <c r="K2104" s="225">
        <v>4466.25</v>
      </c>
      <c r="L21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4466.25</v>
      </c>
      <c r="M2104" s="225">
        <f>ROUND(IF(AND(Base_Periodo1[[#This Row],[Tipo_Linha]]="-",Base_Periodo1[[#This Row],[TIPOSALDO]]="D"),Base_Periodo1[[#This Row],[SALDO_ATUAL]]*-1,Base_Periodo1[[#This Row],[SALDO_ATUAL]]),4)</f>
        <v>4466.25</v>
      </c>
      <c r="N2104" t="s">
        <v>116</v>
      </c>
      <c r="O2104" t="s">
        <v>397</v>
      </c>
      <c r="P2104" t="s">
        <v>397</v>
      </c>
      <c r="Q2104">
        <v>5</v>
      </c>
      <c r="R2104" s="225">
        <f>Base_Periodo1[[#This Row],[CREDITOS]]-Base_Periodo1[[#This Row],[DEBITOS]]</f>
        <v>0</v>
      </c>
      <c r="S2104" s="3" t="str">
        <f>IF(ISERROR(VLOOKUP(Base_Periodo1[[#This Row],[CONTA]],BaseContasDRE[#All],4,FALSE)),"Fora do DRE",VLOOKUP(Base_Periodo1[[#This Row],[CONTA]],BaseContasDRE[#All],4,FALSE))</f>
        <v>Fora do DRE</v>
      </c>
      <c r="T2104" s="3" t="str">
        <f>IF(ISERROR(VLOOKUP(Base_Periodo1[[#This Row],[CONTA]],BaseContasDRE[#All],5,FALSE)),"Fora do DRE",VLOOKUP(Base_Periodo1[[#This Row],[CONTA]],BaseContasDRE[#All],6,FALSE))</f>
        <v>Fora do DRE</v>
      </c>
      <c r="U2104" s="3" t="str">
        <f>IF(ISERROR(VLOOKUP(Base_Periodo1[[#This Row],[CONTA]],BaseContasDRE[#All],7,FALSE)),"Fora do DRE",VLOOKUP(Base_Periodo1[[#This Row],[CONTA]],BaseContasDRE[#All],7,FALSE))</f>
        <v>Fora do DRE</v>
      </c>
      <c r="V2104" s="3" t="str">
        <f>IF(Base_Periodo1[[#This Row],[Tipo_Linha]]="Fora do DRE","Fora do DRE","( "&amp;Base_Periodo1[[#This Row],[Tipo_Linha]]&amp;" ) "&amp;Base_Periodo1[[#This Row],[Filtro]])</f>
        <v>Fora do DRE</v>
      </c>
      <c r="W2104" s="3" t="str">
        <f>LEFT(Base_Periodo1[[#This Row],[CLASS]],3)</f>
        <v>1.2</v>
      </c>
    </row>
    <row r="2105" spans="1:23" hidden="1">
      <c r="A2105" s="3" t="str">
        <f t="shared" si="32"/>
        <v>Período 1</v>
      </c>
      <c r="B2105">
        <v>31826</v>
      </c>
      <c r="C2105" t="s">
        <v>76</v>
      </c>
      <c r="D2105" t="s">
        <v>77</v>
      </c>
      <c r="E2105" s="3" t="str">
        <f>IF(LEN(Base_Periodo1[[#This Row],[CLASS]])&gt;=7,LEFT(Base_Periodo1[[#This Row],[CLASS]],7),"")</f>
        <v>1.2.4.3</v>
      </c>
      <c r="F2105" s="3" t="str">
        <f>VLOOKUP(Base_Periodo1[[#This Row],[Aux]],Base_Contas_Balanco[#All],2,FALSE)</f>
        <v>Imobilizado Custo Atribuido</v>
      </c>
      <c r="G2105" s="1"/>
      <c r="H2105" s="225">
        <v>17458535.069999989</v>
      </c>
      <c r="I2105" s="225">
        <v>0</v>
      </c>
      <c r="J2105" s="225">
        <v>0</v>
      </c>
      <c r="K2105" s="225">
        <v>17458535.069999989</v>
      </c>
      <c r="L21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17458535.07</v>
      </c>
      <c r="M2105" s="225">
        <f>ROUND(IF(AND(Base_Periodo1[[#This Row],[Tipo_Linha]]="-",Base_Periodo1[[#This Row],[TIPOSALDO]]="D"),Base_Periodo1[[#This Row],[SALDO_ATUAL]]*-1,Base_Periodo1[[#This Row],[SALDO_ATUAL]]),4)</f>
        <v>17458535.07</v>
      </c>
      <c r="N2105" t="s">
        <v>396</v>
      </c>
      <c r="O2105" t="s">
        <v>397</v>
      </c>
      <c r="P2105" t="s">
        <v>397</v>
      </c>
      <c r="Q2105">
        <v>4</v>
      </c>
      <c r="R2105" s="225">
        <f>Base_Periodo1[[#This Row],[CREDITOS]]-Base_Periodo1[[#This Row],[DEBITOS]]</f>
        <v>0</v>
      </c>
      <c r="S2105" s="3" t="str">
        <f>IF(ISERROR(VLOOKUP(Base_Periodo1[[#This Row],[CONTA]],BaseContasDRE[#All],4,FALSE)),"Fora do DRE",VLOOKUP(Base_Periodo1[[#This Row],[CONTA]],BaseContasDRE[#All],4,FALSE))</f>
        <v>Fora do DRE</v>
      </c>
      <c r="T2105" s="3" t="str">
        <f>IF(ISERROR(VLOOKUP(Base_Periodo1[[#This Row],[CONTA]],BaseContasDRE[#All],5,FALSE)),"Fora do DRE",VLOOKUP(Base_Periodo1[[#This Row],[CONTA]],BaseContasDRE[#All],6,FALSE))</f>
        <v>Fora do DRE</v>
      </c>
      <c r="U2105" s="3" t="str">
        <f>IF(ISERROR(VLOOKUP(Base_Periodo1[[#This Row],[CONTA]],BaseContasDRE[#All],7,FALSE)),"Fora do DRE",VLOOKUP(Base_Periodo1[[#This Row],[CONTA]],BaseContasDRE[#All],7,FALSE))</f>
        <v>Fora do DRE</v>
      </c>
      <c r="V2105" s="3" t="str">
        <f>IF(Base_Periodo1[[#This Row],[Tipo_Linha]]="Fora do DRE","Fora do DRE","( "&amp;Base_Periodo1[[#This Row],[Tipo_Linha]]&amp;" ) "&amp;Base_Periodo1[[#This Row],[Filtro]])</f>
        <v>Fora do DRE</v>
      </c>
      <c r="W2105" s="3" t="str">
        <f>LEFT(Base_Periodo1[[#This Row],[CLASS]],3)</f>
        <v>1.2</v>
      </c>
    </row>
    <row r="2106" spans="1:23" hidden="1">
      <c r="A2106" s="3" t="str">
        <f t="shared" si="32"/>
        <v>Período 1</v>
      </c>
      <c r="B2106">
        <v>31850</v>
      </c>
      <c r="C2106" t="s">
        <v>1680</v>
      </c>
      <c r="D2106" t="s">
        <v>1681</v>
      </c>
      <c r="E2106" s="3" t="str">
        <f>IF(LEN(Base_Periodo1[[#This Row],[CLASS]])&gt;=7,LEFT(Base_Periodo1[[#This Row],[CLASS]],7),"")</f>
        <v>1.2.4.3</v>
      </c>
      <c r="F2106" s="3" t="str">
        <f>VLOOKUP(Base_Periodo1[[#This Row],[Aux]],Base_Contas_Balanco[#All],2,FALSE)</f>
        <v>Imobilizado Custo Atribuido</v>
      </c>
      <c r="G2106" s="1"/>
      <c r="H2106" s="225">
        <v>20057792.82</v>
      </c>
      <c r="I2106" s="225">
        <v>0</v>
      </c>
      <c r="J2106" s="225">
        <v>0</v>
      </c>
      <c r="K2106" s="225">
        <v>20057792.82</v>
      </c>
      <c r="L21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20057792.82</v>
      </c>
      <c r="M2106" s="225">
        <f>ROUND(IF(AND(Base_Periodo1[[#This Row],[Tipo_Linha]]="-",Base_Periodo1[[#This Row],[TIPOSALDO]]="D"),Base_Periodo1[[#This Row],[SALDO_ATUAL]]*-1,Base_Periodo1[[#This Row],[SALDO_ATUAL]]),4)</f>
        <v>20057792.82</v>
      </c>
      <c r="N2106" t="s">
        <v>396</v>
      </c>
      <c r="O2106" t="s">
        <v>397</v>
      </c>
      <c r="P2106" t="s">
        <v>397</v>
      </c>
      <c r="Q2106">
        <v>5</v>
      </c>
      <c r="R2106" s="225">
        <f>Base_Periodo1[[#This Row],[CREDITOS]]-Base_Periodo1[[#This Row],[DEBITOS]]</f>
        <v>0</v>
      </c>
      <c r="S2106" s="3" t="str">
        <f>IF(ISERROR(VLOOKUP(Base_Periodo1[[#This Row],[CONTA]],BaseContasDRE[#All],4,FALSE)),"Fora do DRE",VLOOKUP(Base_Periodo1[[#This Row],[CONTA]],BaseContasDRE[#All],4,FALSE))</f>
        <v>Fora do DRE</v>
      </c>
      <c r="T2106" s="3" t="str">
        <f>IF(ISERROR(VLOOKUP(Base_Periodo1[[#This Row],[CONTA]],BaseContasDRE[#All],5,FALSE)),"Fora do DRE",VLOOKUP(Base_Periodo1[[#This Row],[CONTA]],BaseContasDRE[#All],6,FALSE))</f>
        <v>Fora do DRE</v>
      </c>
      <c r="U2106" s="3" t="str">
        <f>IF(ISERROR(VLOOKUP(Base_Periodo1[[#This Row],[CONTA]],BaseContasDRE[#All],7,FALSE)),"Fora do DRE",VLOOKUP(Base_Periodo1[[#This Row],[CONTA]],BaseContasDRE[#All],7,FALSE))</f>
        <v>Fora do DRE</v>
      </c>
      <c r="V2106" s="3" t="str">
        <f>IF(Base_Periodo1[[#This Row],[Tipo_Linha]]="Fora do DRE","Fora do DRE","( "&amp;Base_Periodo1[[#This Row],[Tipo_Linha]]&amp;" ) "&amp;Base_Periodo1[[#This Row],[Filtro]])</f>
        <v>Fora do DRE</v>
      </c>
      <c r="W2106" s="3" t="str">
        <f>LEFT(Base_Periodo1[[#This Row],[CLASS]],3)</f>
        <v>1.2</v>
      </c>
    </row>
    <row r="2107" spans="1:23" hidden="1">
      <c r="A2107" s="3" t="str">
        <f t="shared" si="32"/>
        <v>Período 1</v>
      </c>
      <c r="B2107">
        <v>31859</v>
      </c>
      <c r="C2107" t="s">
        <v>1682</v>
      </c>
      <c r="D2107" t="s">
        <v>1660</v>
      </c>
      <c r="E2107" s="3" t="str">
        <f>IF(LEN(Base_Periodo1[[#This Row],[CLASS]])&gt;=7,LEFT(Base_Periodo1[[#This Row],[CLASS]],7),"")</f>
        <v>1.2.4.3</v>
      </c>
      <c r="F2107" s="3" t="str">
        <f>VLOOKUP(Base_Periodo1[[#This Row],[Aux]],Base_Contas_Balanco[#All],2,FALSE)</f>
        <v>Imobilizado Custo Atribuido</v>
      </c>
      <c r="G2107" s="1">
        <v>42006</v>
      </c>
      <c r="H2107" s="225">
        <v>5093463.540000001</v>
      </c>
      <c r="I2107" s="225">
        <v>0</v>
      </c>
      <c r="J2107" s="225">
        <v>0</v>
      </c>
      <c r="K2107" s="225">
        <v>5093463.540000001</v>
      </c>
      <c r="L21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5093463.54</v>
      </c>
      <c r="M2107" s="225">
        <f>ROUND(IF(AND(Base_Periodo1[[#This Row],[Tipo_Linha]]="-",Base_Periodo1[[#This Row],[TIPOSALDO]]="D"),Base_Periodo1[[#This Row],[SALDO_ATUAL]]*-1,Base_Periodo1[[#This Row],[SALDO_ATUAL]]),4)</f>
        <v>5093463.54</v>
      </c>
      <c r="N2107" t="s">
        <v>116</v>
      </c>
      <c r="O2107" t="s">
        <v>397</v>
      </c>
      <c r="P2107" t="s">
        <v>397</v>
      </c>
      <c r="Q2107">
        <v>6</v>
      </c>
      <c r="R2107" s="225">
        <f>Base_Periodo1[[#This Row],[CREDITOS]]-Base_Periodo1[[#This Row],[DEBITOS]]</f>
        <v>0</v>
      </c>
      <c r="S2107" s="3" t="str">
        <f>IF(ISERROR(VLOOKUP(Base_Periodo1[[#This Row],[CONTA]],BaseContasDRE[#All],4,FALSE)),"Fora do DRE",VLOOKUP(Base_Periodo1[[#This Row],[CONTA]],BaseContasDRE[#All],4,FALSE))</f>
        <v>Fora do DRE</v>
      </c>
      <c r="T2107" s="3" t="str">
        <f>IF(ISERROR(VLOOKUP(Base_Periodo1[[#This Row],[CONTA]],BaseContasDRE[#All],5,FALSE)),"Fora do DRE",VLOOKUP(Base_Periodo1[[#This Row],[CONTA]],BaseContasDRE[#All],6,FALSE))</f>
        <v>Fora do DRE</v>
      </c>
      <c r="U2107" s="3" t="str">
        <f>IF(ISERROR(VLOOKUP(Base_Periodo1[[#This Row],[CONTA]],BaseContasDRE[#All],7,FALSE)),"Fora do DRE",VLOOKUP(Base_Periodo1[[#This Row],[CONTA]],BaseContasDRE[#All],7,FALSE))</f>
        <v>Fora do DRE</v>
      </c>
      <c r="V2107" s="3" t="str">
        <f>IF(Base_Periodo1[[#This Row],[Tipo_Linha]]="Fora do DRE","Fora do DRE","( "&amp;Base_Periodo1[[#This Row],[Tipo_Linha]]&amp;" ) "&amp;Base_Periodo1[[#This Row],[Filtro]])</f>
        <v>Fora do DRE</v>
      </c>
      <c r="W2107" s="3" t="str">
        <f>LEFT(Base_Periodo1[[#This Row],[CLASS]],3)</f>
        <v>1.2</v>
      </c>
    </row>
    <row r="2108" spans="1:23" hidden="1">
      <c r="A2108" s="3" t="str">
        <f t="shared" si="32"/>
        <v>Período 1</v>
      </c>
      <c r="B2108">
        <v>31848</v>
      </c>
      <c r="C2108" t="s">
        <v>1683</v>
      </c>
      <c r="D2108" t="s">
        <v>1670</v>
      </c>
      <c r="E2108" s="3" t="str">
        <f>IF(LEN(Base_Periodo1[[#This Row],[CLASS]])&gt;=7,LEFT(Base_Periodo1[[#This Row],[CLASS]],7),"")</f>
        <v>1.2.4.3</v>
      </c>
      <c r="F2108" s="3" t="str">
        <f>VLOOKUP(Base_Periodo1[[#This Row],[Aux]],Base_Contas_Balanco[#All],2,FALSE)</f>
        <v>Imobilizado Custo Atribuido</v>
      </c>
      <c r="G2108" s="1">
        <v>42818</v>
      </c>
      <c r="H2108" s="225">
        <v>977299.07000000076</v>
      </c>
      <c r="I2108" s="225">
        <v>0</v>
      </c>
      <c r="J2108" s="225">
        <v>0</v>
      </c>
      <c r="K2108" s="225">
        <v>977299.07000000076</v>
      </c>
      <c r="L21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977299.07</v>
      </c>
      <c r="M2108" s="225">
        <f>ROUND(IF(AND(Base_Periodo1[[#This Row],[Tipo_Linha]]="-",Base_Periodo1[[#This Row],[TIPOSALDO]]="D"),Base_Periodo1[[#This Row],[SALDO_ATUAL]]*-1,Base_Periodo1[[#This Row],[SALDO_ATUAL]]),4)</f>
        <v>977299.07</v>
      </c>
      <c r="N2108" t="s">
        <v>116</v>
      </c>
      <c r="O2108" t="s">
        <v>397</v>
      </c>
      <c r="P2108" t="s">
        <v>397</v>
      </c>
      <c r="Q2108">
        <v>6</v>
      </c>
      <c r="R2108" s="225">
        <f>Base_Periodo1[[#This Row],[CREDITOS]]-Base_Periodo1[[#This Row],[DEBITOS]]</f>
        <v>0</v>
      </c>
      <c r="S2108" s="3" t="str">
        <f>IF(ISERROR(VLOOKUP(Base_Periodo1[[#This Row],[CONTA]],BaseContasDRE[#All],4,FALSE)),"Fora do DRE",VLOOKUP(Base_Periodo1[[#This Row],[CONTA]],BaseContasDRE[#All],4,FALSE))</f>
        <v>Fora do DRE</v>
      </c>
      <c r="T2108" s="3" t="str">
        <f>IF(ISERROR(VLOOKUP(Base_Periodo1[[#This Row],[CONTA]],BaseContasDRE[#All],5,FALSE)),"Fora do DRE",VLOOKUP(Base_Periodo1[[#This Row],[CONTA]],BaseContasDRE[#All],6,FALSE))</f>
        <v>Fora do DRE</v>
      </c>
      <c r="U2108" s="3" t="str">
        <f>IF(ISERROR(VLOOKUP(Base_Periodo1[[#This Row],[CONTA]],BaseContasDRE[#All],7,FALSE)),"Fora do DRE",VLOOKUP(Base_Periodo1[[#This Row],[CONTA]],BaseContasDRE[#All],7,FALSE))</f>
        <v>Fora do DRE</v>
      </c>
      <c r="V2108" s="3" t="str">
        <f>IF(Base_Periodo1[[#This Row],[Tipo_Linha]]="Fora do DRE","Fora do DRE","( "&amp;Base_Periodo1[[#This Row],[Tipo_Linha]]&amp;" ) "&amp;Base_Periodo1[[#This Row],[Filtro]])</f>
        <v>Fora do DRE</v>
      </c>
      <c r="W2108" s="3" t="str">
        <f>LEFT(Base_Periodo1[[#This Row],[CLASS]],3)</f>
        <v>1.2</v>
      </c>
    </row>
    <row r="2109" spans="1:23" hidden="1">
      <c r="A2109" s="3" t="str">
        <f t="shared" si="32"/>
        <v>Período 1</v>
      </c>
      <c r="B2109">
        <v>31864</v>
      </c>
      <c r="C2109" t="s">
        <v>1684</v>
      </c>
      <c r="D2109" t="s">
        <v>1685</v>
      </c>
      <c r="E2109" s="3" t="str">
        <f>IF(LEN(Base_Periodo1[[#This Row],[CLASS]])&gt;=7,LEFT(Base_Periodo1[[#This Row],[CLASS]],7),"")</f>
        <v>1.2.4.3</v>
      </c>
      <c r="F2109" s="3" t="str">
        <f>VLOOKUP(Base_Periodo1[[#This Row],[Aux]],Base_Contas_Balanco[#All],2,FALSE)</f>
        <v>Imobilizado Custo Atribuido</v>
      </c>
      <c r="G2109" s="1">
        <v>42035</v>
      </c>
      <c r="H2109" s="225">
        <v>5802030.2100000009</v>
      </c>
      <c r="I2109" s="225">
        <v>0</v>
      </c>
      <c r="J2109" s="225">
        <v>0</v>
      </c>
      <c r="K2109" s="225">
        <v>5802030.2100000009</v>
      </c>
      <c r="L21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5802030.21</v>
      </c>
      <c r="M2109" s="225">
        <f>ROUND(IF(AND(Base_Periodo1[[#This Row],[Tipo_Linha]]="-",Base_Periodo1[[#This Row],[TIPOSALDO]]="D"),Base_Periodo1[[#This Row],[SALDO_ATUAL]]*-1,Base_Periodo1[[#This Row],[SALDO_ATUAL]]),4)</f>
        <v>5802030.21</v>
      </c>
      <c r="N2109" t="s">
        <v>116</v>
      </c>
      <c r="O2109" t="s">
        <v>397</v>
      </c>
      <c r="P2109" t="s">
        <v>397</v>
      </c>
      <c r="Q2109">
        <v>6</v>
      </c>
      <c r="R2109" s="225">
        <f>Base_Periodo1[[#This Row],[CREDITOS]]-Base_Periodo1[[#This Row],[DEBITOS]]</f>
        <v>0</v>
      </c>
      <c r="S2109" s="3" t="str">
        <f>IF(ISERROR(VLOOKUP(Base_Periodo1[[#This Row],[CONTA]],BaseContasDRE[#All],4,FALSE)),"Fora do DRE",VLOOKUP(Base_Periodo1[[#This Row],[CONTA]],BaseContasDRE[#All],4,FALSE))</f>
        <v>Fora do DRE</v>
      </c>
      <c r="T2109" s="3" t="str">
        <f>IF(ISERROR(VLOOKUP(Base_Periodo1[[#This Row],[CONTA]],BaseContasDRE[#All],5,FALSE)),"Fora do DRE",VLOOKUP(Base_Periodo1[[#This Row],[CONTA]],BaseContasDRE[#All],6,FALSE))</f>
        <v>Fora do DRE</v>
      </c>
      <c r="U2109" s="3" t="str">
        <f>IF(ISERROR(VLOOKUP(Base_Periodo1[[#This Row],[CONTA]],BaseContasDRE[#All],7,FALSE)),"Fora do DRE",VLOOKUP(Base_Periodo1[[#This Row],[CONTA]],BaseContasDRE[#All],7,FALSE))</f>
        <v>Fora do DRE</v>
      </c>
      <c r="V2109" s="3" t="str">
        <f>IF(Base_Periodo1[[#This Row],[Tipo_Linha]]="Fora do DRE","Fora do DRE","( "&amp;Base_Periodo1[[#This Row],[Tipo_Linha]]&amp;" ) "&amp;Base_Periodo1[[#This Row],[Filtro]])</f>
        <v>Fora do DRE</v>
      </c>
      <c r="W2109" s="3" t="str">
        <f>LEFT(Base_Periodo1[[#This Row],[CLASS]],3)</f>
        <v>1.2</v>
      </c>
    </row>
    <row r="2110" spans="1:23" hidden="1">
      <c r="A2110" s="3" t="str">
        <f t="shared" si="32"/>
        <v>Período 1</v>
      </c>
      <c r="B2110">
        <v>31831</v>
      </c>
      <c r="C2110" t="s">
        <v>1686</v>
      </c>
      <c r="D2110" t="s">
        <v>1668</v>
      </c>
      <c r="E2110" s="3" t="str">
        <f>IF(LEN(Base_Periodo1[[#This Row],[CLASS]])&gt;=7,LEFT(Base_Periodo1[[#This Row],[CLASS]],7),"")</f>
        <v>1.2.4.3</v>
      </c>
      <c r="F2110" s="3" t="str">
        <f>VLOOKUP(Base_Periodo1[[#This Row],[Aux]],Base_Contas_Balanco[#All],2,FALSE)</f>
        <v>Imobilizado Custo Atribuido</v>
      </c>
      <c r="G2110" s="1">
        <v>42185</v>
      </c>
      <c r="H2110" s="225">
        <v>8185000</v>
      </c>
      <c r="I2110" s="225">
        <v>0</v>
      </c>
      <c r="J2110" s="225">
        <v>0</v>
      </c>
      <c r="K2110" s="225">
        <v>8185000</v>
      </c>
      <c r="L21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8185000</v>
      </c>
      <c r="M2110" s="225">
        <f>ROUND(IF(AND(Base_Periodo1[[#This Row],[Tipo_Linha]]="-",Base_Periodo1[[#This Row],[TIPOSALDO]]="D"),Base_Periodo1[[#This Row],[SALDO_ATUAL]]*-1,Base_Periodo1[[#This Row],[SALDO_ATUAL]]),4)</f>
        <v>8185000</v>
      </c>
      <c r="N2110" t="s">
        <v>116</v>
      </c>
      <c r="O2110" t="s">
        <v>397</v>
      </c>
      <c r="P2110" t="s">
        <v>397</v>
      </c>
      <c r="Q2110">
        <v>6</v>
      </c>
      <c r="R2110" s="225">
        <f>Base_Periodo1[[#This Row],[CREDITOS]]-Base_Periodo1[[#This Row],[DEBITOS]]</f>
        <v>0</v>
      </c>
      <c r="S2110" s="3" t="str">
        <f>IF(ISERROR(VLOOKUP(Base_Periodo1[[#This Row],[CONTA]],BaseContasDRE[#All],4,FALSE)),"Fora do DRE",VLOOKUP(Base_Periodo1[[#This Row],[CONTA]],BaseContasDRE[#All],4,FALSE))</f>
        <v>Fora do DRE</v>
      </c>
      <c r="T2110" s="3" t="str">
        <f>IF(ISERROR(VLOOKUP(Base_Periodo1[[#This Row],[CONTA]],BaseContasDRE[#All],5,FALSE)),"Fora do DRE",VLOOKUP(Base_Periodo1[[#This Row],[CONTA]],BaseContasDRE[#All],6,FALSE))</f>
        <v>Fora do DRE</v>
      </c>
      <c r="U2110" s="3" t="str">
        <f>IF(ISERROR(VLOOKUP(Base_Periodo1[[#This Row],[CONTA]],BaseContasDRE[#All],7,FALSE)),"Fora do DRE",VLOOKUP(Base_Periodo1[[#This Row],[CONTA]],BaseContasDRE[#All],7,FALSE))</f>
        <v>Fora do DRE</v>
      </c>
      <c r="V2110" s="3" t="str">
        <f>IF(Base_Periodo1[[#This Row],[Tipo_Linha]]="Fora do DRE","Fora do DRE","( "&amp;Base_Periodo1[[#This Row],[Tipo_Linha]]&amp;" ) "&amp;Base_Periodo1[[#This Row],[Filtro]])</f>
        <v>Fora do DRE</v>
      </c>
      <c r="W2110" s="3" t="str">
        <f>LEFT(Base_Periodo1[[#This Row],[CLASS]],3)</f>
        <v>1.2</v>
      </c>
    </row>
    <row r="2111" spans="1:23" hidden="1">
      <c r="A2111" s="3" t="str">
        <f t="shared" si="32"/>
        <v>Período 1</v>
      </c>
      <c r="B2111">
        <v>31851</v>
      </c>
      <c r="C2111" t="s">
        <v>1687</v>
      </c>
      <c r="D2111" t="s">
        <v>1688</v>
      </c>
      <c r="E2111" s="3" t="str">
        <f>IF(LEN(Base_Periodo1[[#This Row],[CLASS]])&gt;=7,LEFT(Base_Periodo1[[#This Row],[CLASS]],7),"")</f>
        <v>1.2.4.3</v>
      </c>
      <c r="F2111" s="3" t="str">
        <f>VLOOKUP(Base_Periodo1[[#This Row],[Aux]],Base_Contas_Balanco[#All],2,FALSE)</f>
        <v>Imobilizado Custo Atribuido</v>
      </c>
      <c r="G2111" s="1"/>
      <c r="H2111" s="225">
        <v>2599257.7500000112</v>
      </c>
      <c r="I2111" s="225">
        <v>0</v>
      </c>
      <c r="J2111" s="225">
        <v>0</v>
      </c>
      <c r="K2111" s="225">
        <v>2599257.7500000112</v>
      </c>
      <c r="L21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-2599257.75</v>
      </c>
      <c r="M2111" s="225">
        <f>ROUND(IF(AND(Base_Periodo1[[#This Row],[Tipo_Linha]]="-",Base_Periodo1[[#This Row],[TIPOSALDO]]="D"),Base_Periodo1[[#This Row],[SALDO_ATUAL]]*-1,Base_Periodo1[[#This Row],[SALDO_ATUAL]]),4)</f>
        <v>2599257.75</v>
      </c>
      <c r="N2111" t="s">
        <v>396</v>
      </c>
      <c r="O2111" t="s">
        <v>459</v>
      </c>
      <c r="P2111" t="s">
        <v>459</v>
      </c>
      <c r="Q2111">
        <v>5</v>
      </c>
      <c r="R2111" s="225">
        <f>Base_Periodo1[[#This Row],[CREDITOS]]-Base_Periodo1[[#This Row],[DEBITOS]]</f>
        <v>0</v>
      </c>
      <c r="S2111" s="3" t="str">
        <f>IF(ISERROR(VLOOKUP(Base_Periodo1[[#This Row],[CONTA]],BaseContasDRE[#All],4,FALSE)),"Fora do DRE",VLOOKUP(Base_Periodo1[[#This Row],[CONTA]],BaseContasDRE[#All],4,FALSE))</f>
        <v>Fora do DRE</v>
      </c>
      <c r="T2111" s="3" t="str">
        <f>IF(ISERROR(VLOOKUP(Base_Periodo1[[#This Row],[CONTA]],BaseContasDRE[#All],5,FALSE)),"Fora do DRE",VLOOKUP(Base_Periodo1[[#This Row],[CONTA]],BaseContasDRE[#All],6,FALSE))</f>
        <v>Fora do DRE</v>
      </c>
      <c r="U2111" s="3" t="str">
        <f>IF(ISERROR(VLOOKUP(Base_Periodo1[[#This Row],[CONTA]],BaseContasDRE[#All],7,FALSE)),"Fora do DRE",VLOOKUP(Base_Periodo1[[#This Row],[CONTA]],BaseContasDRE[#All],7,FALSE))</f>
        <v>Fora do DRE</v>
      </c>
      <c r="V2111" s="3" t="str">
        <f>IF(Base_Periodo1[[#This Row],[Tipo_Linha]]="Fora do DRE","Fora do DRE","( "&amp;Base_Periodo1[[#This Row],[Tipo_Linha]]&amp;" ) "&amp;Base_Periodo1[[#This Row],[Filtro]])</f>
        <v>Fora do DRE</v>
      </c>
      <c r="W2111" s="3" t="str">
        <f>LEFT(Base_Periodo1[[#This Row],[CLASS]],3)</f>
        <v>1.2</v>
      </c>
    </row>
    <row r="2112" spans="1:23" hidden="1">
      <c r="A2112" s="3" t="str">
        <f t="shared" si="32"/>
        <v>Período 1</v>
      </c>
      <c r="B2112">
        <v>31860</v>
      </c>
      <c r="C2112" t="s">
        <v>1689</v>
      </c>
      <c r="D2112" t="s">
        <v>5046</v>
      </c>
      <c r="E2112" s="3" t="str">
        <f>IF(LEN(Base_Periodo1[[#This Row],[CLASS]])&gt;=7,LEFT(Base_Periodo1[[#This Row],[CLASS]],7),"")</f>
        <v>1.2.4.3</v>
      </c>
      <c r="F2112" s="3" t="str">
        <f>VLOOKUP(Base_Periodo1[[#This Row],[Aux]],Base_Contas_Balanco[#All],2,FALSE)</f>
        <v>Imobilizado Custo Atribuido</v>
      </c>
      <c r="G2112" s="1">
        <v>42735</v>
      </c>
      <c r="H2112" s="225">
        <v>771482.28000000014</v>
      </c>
      <c r="I2112" s="225">
        <v>0</v>
      </c>
      <c r="J2112" s="225">
        <v>0</v>
      </c>
      <c r="K2112" s="225">
        <v>771482.28000000014</v>
      </c>
      <c r="L21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-771482.28</v>
      </c>
      <c r="M2112" s="225">
        <f>ROUND(IF(AND(Base_Periodo1[[#This Row],[Tipo_Linha]]="-",Base_Periodo1[[#This Row],[TIPOSALDO]]="D"),Base_Periodo1[[#This Row],[SALDO_ATUAL]]*-1,Base_Periodo1[[#This Row],[SALDO_ATUAL]]),4)</f>
        <v>771482.28</v>
      </c>
      <c r="N2112" t="s">
        <v>116</v>
      </c>
      <c r="O2112" t="s">
        <v>459</v>
      </c>
      <c r="P2112" t="s">
        <v>459</v>
      </c>
      <c r="Q2112">
        <v>6</v>
      </c>
      <c r="R2112" s="225">
        <f>Base_Periodo1[[#This Row],[CREDITOS]]-Base_Periodo1[[#This Row],[DEBITOS]]</f>
        <v>0</v>
      </c>
      <c r="S2112" s="3" t="str">
        <f>IF(ISERROR(VLOOKUP(Base_Periodo1[[#This Row],[CONTA]],BaseContasDRE[#All],4,FALSE)),"Fora do DRE",VLOOKUP(Base_Periodo1[[#This Row],[CONTA]],BaseContasDRE[#All],4,FALSE))</f>
        <v>Fora do DRE</v>
      </c>
      <c r="T2112" s="3" t="str">
        <f>IF(ISERROR(VLOOKUP(Base_Periodo1[[#This Row],[CONTA]],BaseContasDRE[#All],5,FALSE)),"Fora do DRE",VLOOKUP(Base_Periodo1[[#This Row],[CONTA]],BaseContasDRE[#All],6,FALSE))</f>
        <v>Fora do DRE</v>
      </c>
      <c r="U2112" s="3" t="str">
        <f>IF(ISERROR(VLOOKUP(Base_Periodo1[[#This Row],[CONTA]],BaseContasDRE[#All],7,FALSE)),"Fora do DRE",VLOOKUP(Base_Periodo1[[#This Row],[CONTA]],BaseContasDRE[#All],7,FALSE))</f>
        <v>Fora do DRE</v>
      </c>
      <c r="V2112" s="3" t="str">
        <f>IF(Base_Periodo1[[#This Row],[Tipo_Linha]]="Fora do DRE","Fora do DRE","( "&amp;Base_Periodo1[[#This Row],[Tipo_Linha]]&amp;" ) "&amp;Base_Periodo1[[#This Row],[Filtro]])</f>
        <v>Fora do DRE</v>
      </c>
      <c r="W2112" s="3" t="str">
        <f>LEFT(Base_Periodo1[[#This Row],[CLASS]],3)</f>
        <v>1.2</v>
      </c>
    </row>
    <row r="2113" spans="1:23" hidden="1">
      <c r="A2113" s="3" t="str">
        <f t="shared" si="32"/>
        <v>Período 1</v>
      </c>
      <c r="B2113">
        <v>31852</v>
      </c>
      <c r="C2113" t="s">
        <v>1690</v>
      </c>
      <c r="D2113" t="s">
        <v>5050</v>
      </c>
      <c r="E2113" s="3" t="str">
        <f>IF(LEN(Base_Periodo1[[#This Row],[CLASS]])&gt;=7,LEFT(Base_Periodo1[[#This Row],[CLASS]],7),"")</f>
        <v>1.2.4.3</v>
      </c>
      <c r="F2113" s="3" t="str">
        <f>VLOOKUP(Base_Periodo1[[#This Row],[Aux]],Base_Contas_Balanco[#All],2,FALSE)</f>
        <v>Imobilizado Custo Atribuido</v>
      </c>
      <c r="G2113" s="1">
        <v>42735</v>
      </c>
      <c r="H2113" s="225">
        <v>750619.25000000419</v>
      </c>
      <c r="I2113" s="225">
        <v>0</v>
      </c>
      <c r="J2113" s="225">
        <v>0</v>
      </c>
      <c r="K2113" s="225">
        <v>750619.25000000419</v>
      </c>
      <c r="L21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-750619.25</v>
      </c>
      <c r="M2113" s="225">
        <f>ROUND(IF(AND(Base_Periodo1[[#This Row],[Tipo_Linha]]="-",Base_Periodo1[[#This Row],[TIPOSALDO]]="D"),Base_Periodo1[[#This Row],[SALDO_ATUAL]]*-1,Base_Periodo1[[#This Row],[SALDO_ATUAL]]),4)</f>
        <v>750619.25</v>
      </c>
      <c r="N2113" t="s">
        <v>116</v>
      </c>
      <c r="O2113" t="s">
        <v>459</v>
      </c>
      <c r="P2113" t="s">
        <v>459</v>
      </c>
      <c r="Q2113">
        <v>6</v>
      </c>
      <c r="R2113" s="225">
        <f>Base_Periodo1[[#This Row],[CREDITOS]]-Base_Periodo1[[#This Row],[DEBITOS]]</f>
        <v>0</v>
      </c>
      <c r="S2113" s="3" t="str">
        <f>IF(ISERROR(VLOOKUP(Base_Periodo1[[#This Row],[CONTA]],BaseContasDRE[#All],4,FALSE)),"Fora do DRE",VLOOKUP(Base_Periodo1[[#This Row],[CONTA]],BaseContasDRE[#All],4,FALSE))</f>
        <v>Fora do DRE</v>
      </c>
      <c r="T2113" s="3" t="str">
        <f>IF(ISERROR(VLOOKUP(Base_Periodo1[[#This Row],[CONTA]],BaseContasDRE[#All],5,FALSE)),"Fora do DRE",VLOOKUP(Base_Periodo1[[#This Row],[CONTA]],BaseContasDRE[#All],6,FALSE))</f>
        <v>Fora do DRE</v>
      </c>
      <c r="U2113" s="3" t="str">
        <f>IF(ISERROR(VLOOKUP(Base_Periodo1[[#This Row],[CONTA]],BaseContasDRE[#All],7,FALSE)),"Fora do DRE",VLOOKUP(Base_Periodo1[[#This Row],[CONTA]],BaseContasDRE[#All],7,FALSE))</f>
        <v>Fora do DRE</v>
      </c>
      <c r="V2113" s="3" t="str">
        <f>IF(Base_Periodo1[[#This Row],[Tipo_Linha]]="Fora do DRE","Fora do DRE","( "&amp;Base_Periodo1[[#This Row],[Tipo_Linha]]&amp;" ) "&amp;Base_Periodo1[[#This Row],[Filtro]])</f>
        <v>Fora do DRE</v>
      </c>
      <c r="W2113" s="3" t="str">
        <f>LEFT(Base_Periodo1[[#This Row],[CLASS]],3)</f>
        <v>1.2</v>
      </c>
    </row>
    <row r="2114" spans="1:23" hidden="1">
      <c r="A2114" s="3" t="str">
        <f t="shared" si="32"/>
        <v>Período 1</v>
      </c>
      <c r="B2114">
        <v>31868</v>
      </c>
      <c r="C2114" t="s">
        <v>1691</v>
      </c>
      <c r="D2114" t="s">
        <v>5052</v>
      </c>
      <c r="E2114" s="3" t="str">
        <f>IF(LEN(Base_Periodo1[[#This Row],[CLASS]])&gt;=7,LEFT(Base_Periodo1[[#This Row],[CLASS]],7),"")</f>
        <v>1.2.4.3</v>
      </c>
      <c r="F2114" s="3" t="str">
        <f>VLOOKUP(Base_Periodo1[[#This Row],[Aux]],Base_Contas_Balanco[#All],2,FALSE)</f>
        <v>Imobilizado Custo Atribuido</v>
      </c>
      <c r="G2114" s="1">
        <v>42735</v>
      </c>
      <c r="H2114" s="225">
        <v>1077156.220000007</v>
      </c>
      <c r="I2114" s="225">
        <v>0</v>
      </c>
      <c r="J2114" s="225">
        <v>0</v>
      </c>
      <c r="K2114" s="225">
        <v>1077156.220000007</v>
      </c>
      <c r="L21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-1077156.22</v>
      </c>
      <c r="M2114" s="225">
        <f>ROUND(IF(AND(Base_Periodo1[[#This Row],[Tipo_Linha]]="-",Base_Periodo1[[#This Row],[TIPOSALDO]]="D"),Base_Periodo1[[#This Row],[SALDO_ATUAL]]*-1,Base_Periodo1[[#This Row],[SALDO_ATUAL]]),4)</f>
        <v>1077156.22</v>
      </c>
      <c r="N2114" t="s">
        <v>116</v>
      </c>
      <c r="O2114" t="s">
        <v>459</v>
      </c>
      <c r="P2114" t="s">
        <v>459</v>
      </c>
      <c r="Q2114">
        <v>6</v>
      </c>
      <c r="R2114" s="225">
        <f>Base_Periodo1[[#This Row],[CREDITOS]]-Base_Periodo1[[#This Row],[DEBITOS]]</f>
        <v>0</v>
      </c>
      <c r="S2114" s="3" t="str">
        <f>IF(ISERROR(VLOOKUP(Base_Periodo1[[#This Row],[CONTA]],BaseContasDRE[#All],4,FALSE)),"Fora do DRE",VLOOKUP(Base_Periodo1[[#This Row],[CONTA]],BaseContasDRE[#All],4,FALSE))</f>
        <v>Fora do DRE</v>
      </c>
      <c r="T2114" s="3" t="str">
        <f>IF(ISERROR(VLOOKUP(Base_Periodo1[[#This Row],[CONTA]],BaseContasDRE[#All],5,FALSE)),"Fora do DRE",VLOOKUP(Base_Periodo1[[#This Row],[CONTA]],BaseContasDRE[#All],6,FALSE))</f>
        <v>Fora do DRE</v>
      </c>
      <c r="U2114" s="3" t="str">
        <f>IF(ISERROR(VLOOKUP(Base_Periodo1[[#This Row],[CONTA]],BaseContasDRE[#All],7,FALSE)),"Fora do DRE",VLOOKUP(Base_Periodo1[[#This Row],[CONTA]],BaseContasDRE[#All],7,FALSE))</f>
        <v>Fora do DRE</v>
      </c>
      <c r="V2114" s="3" t="str">
        <f>IF(Base_Periodo1[[#This Row],[Tipo_Linha]]="Fora do DRE","Fora do DRE","( "&amp;Base_Periodo1[[#This Row],[Tipo_Linha]]&amp;" ) "&amp;Base_Periodo1[[#This Row],[Filtro]])</f>
        <v>Fora do DRE</v>
      </c>
      <c r="W2114" s="3" t="str">
        <f>LEFT(Base_Periodo1[[#This Row],[CLASS]],3)</f>
        <v>1.2</v>
      </c>
    </row>
    <row r="2115" spans="1:23" hidden="1">
      <c r="A2115" s="3" t="str">
        <f t="shared" si="32"/>
        <v>Período 1</v>
      </c>
      <c r="B2115">
        <v>1416</v>
      </c>
      <c r="C2115" t="s">
        <v>1692</v>
      </c>
      <c r="D2115" t="s">
        <v>35</v>
      </c>
      <c r="E2115" s="3" t="str">
        <f>IF(LEN(Base_Periodo1[[#This Row],[CLASS]])&gt;=7,LEFT(Base_Periodo1[[#This Row],[CLASS]],7),"")</f>
        <v/>
      </c>
      <c r="F2115" s="3" t="e">
        <f>VLOOKUP(Base_Periodo1[[#This Row],[Aux]],Base_Contas_Balanco[#All],2,FALSE)</f>
        <v>#N/A</v>
      </c>
      <c r="G2115" s="1"/>
      <c r="H2115" s="225">
        <v>84774.9</v>
      </c>
      <c r="I2115" s="225">
        <v>0</v>
      </c>
      <c r="J2115" s="225">
        <v>0</v>
      </c>
      <c r="K2115" s="225">
        <v>84774.9</v>
      </c>
      <c r="L21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84774.9</v>
      </c>
      <c r="M2115" s="225">
        <f>ROUND(IF(AND(Base_Periodo1[[#This Row],[Tipo_Linha]]="-",Base_Periodo1[[#This Row],[TIPOSALDO]]="D"),Base_Periodo1[[#This Row],[SALDO_ATUAL]]*-1,Base_Periodo1[[#This Row],[SALDO_ATUAL]]),4)</f>
        <v>84774.9</v>
      </c>
      <c r="N2115" t="s">
        <v>396</v>
      </c>
      <c r="O2115" t="s">
        <v>397</v>
      </c>
      <c r="P2115" t="s">
        <v>397</v>
      </c>
      <c r="Q2115">
        <v>3</v>
      </c>
      <c r="R2115" s="225">
        <f>Base_Periodo1[[#This Row],[CREDITOS]]-Base_Periodo1[[#This Row],[DEBITOS]]</f>
        <v>0</v>
      </c>
      <c r="S2115" s="3" t="str">
        <f>IF(ISERROR(VLOOKUP(Base_Periodo1[[#This Row],[CONTA]],BaseContasDRE[#All],4,FALSE)),"Fora do DRE",VLOOKUP(Base_Periodo1[[#This Row],[CONTA]],BaseContasDRE[#All],4,FALSE))</f>
        <v>Fora do DRE</v>
      </c>
      <c r="T2115" s="3" t="str">
        <f>IF(ISERROR(VLOOKUP(Base_Periodo1[[#This Row],[CONTA]],BaseContasDRE[#All],5,FALSE)),"Fora do DRE",VLOOKUP(Base_Periodo1[[#This Row],[CONTA]],BaseContasDRE[#All],6,FALSE))</f>
        <v>Fora do DRE</v>
      </c>
      <c r="U2115" s="3" t="str">
        <f>IF(ISERROR(VLOOKUP(Base_Periodo1[[#This Row],[CONTA]],BaseContasDRE[#All],7,FALSE)),"Fora do DRE",VLOOKUP(Base_Periodo1[[#This Row],[CONTA]],BaseContasDRE[#All],7,FALSE))</f>
        <v>Fora do DRE</v>
      </c>
      <c r="V2115" s="3" t="str">
        <f>IF(Base_Periodo1[[#This Row],[Tipo_Linha]]="Fora do DRE","Fora do DRE","( "&amp;Base_Periodo1[[#This Row],[Tipo_Linha]]&amp;" ) "&amp;Base_Periodo1[[#This Row],[Filtro]])</f>
        <v>Fora do DRE</v>
      </c>
      <c r="W2115" s="3" t="str">
        <f>LEFT(Base_Periodo1[[#This Row],[CLASS]],3)</f>
        <v>1.2</v>
      </c>
    </row>
    <row r="2116" spans="1:23" hidden="1">
      <c r="A2116" s="3" t="str">
        <f t="shared" si="32"/>
        <v>Período 1</v>
      </c>
      <c r="B2116">
        <v>1422</v>
      </c>
      <c r="C2116" t="s">
        <v>34</v>
      </c>
      <c r="D2116" t="s">
        <v>35</v>
      </c>
      <c r="E2116" s="3" t="str">
        <f>IF(LEN(Base_Periodo1[[#This Row],[CLASS]])&gt;=7,LEFT(Base_Periodo1[[#This Row],[CLASS]],7),"")</f>
        <v>1.2.5.1</v>
      </c>
      <c r="F2116" s="3" t="str">
        <f>VLOOKUP(Base_Periodo1[[#This Row],[Aux]],Base_Contas_Balanco[#All],2,FALSE)</f>
        <v>Intangivel</v>
      </c>
      <c r="G2116" s="1"/>
      <c r="H2116" s="225">
        <v>84774.9</v>
      </c>
      <c r="I2116" s="225">
        <v>0</v>
      </c>
      <c r="J2116" s="225">
        <v>0</v>
      </c>
      <c r="K2116" s="225">
        <v>84774.9</v>
      </c>
      <c r="L21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84774.9</v>
      </c>
      <c r="M2116" s="225">
        <f>ROUND(IF(AND(Base_Periodo1[[#This Row],[Tipo_Linha]]="-",Base_Periodo1[[#This Row],[TIPOSALDO]]="D"),Base_Periodo1[[#This Row],[SALDO_ATUAL]]*-1,Base_Periodo1[[#This Row],[SALDO_ATUAL]]),4)</f>
        <v>84774.9</v>
      </c>
      <c r="N2116" t="s">
        <v>396</v>
      </c>
      <c r="O2116" t="s">
        <v>397</v>
      </c>
      <c r="P2116" t="s">
        <v>397</v>
      </c>
      <c r="Q2116">
        <v>4</v>
      </c>
      <c r="R2116" s="225">
        <f>Base_Periodo1[[#This Row],[CREDITOS]]-Base_Periodo1[[#This Row],[DEBITOS]]</f>
        <v>0</v>
      </c>
      <c r="S2116" s="3" t="str">
        <f>IF(ISERROR(VLOOKUP(Base_Periodo1[[#This Row],[CONTA]],BaseContasDRE[#All],4,FALSE)),"Fora do DRE",VLOOKUP(Base_Periodo1[[#This Row],[CONTA]],BaseContasDRE[#All],4,FALSE))</f>
        <v>Fora do DRE</v>
      </c>
      <c r="T2116" s="3" t="str">
        <f>IF(ISERROR(VLOOKUP(Base_Periodo1[[#This Row],[CONTA]],BaseContasDRE[#All],5,FALSE)),"Fora do DRE",VLOOKUP(Base_Periodo1[[#This Row],[CONTA]],BaseContasDRE[#All],6,FALSE))</f>
        <v>Fora do DRE</v>
      </c>
      <c r="U2116" s="3" t="str">
        <f>IF(ISERROR(VLOOKUP(Base_Periodo1[[#This Row],[CONTA]],BaseContasDRE[#All],7,FALSE)),"Fora do DRE",VLOOKUP(Base_Periodo1[[#This Row],[CONTA]],BaseContasDRE[#All],7,FALSE))</f>
        <v>Fora do DRE</v>
      </c>
      <c r="V2116" s="3" t="str">
        <f>IF(Base_Periodo1[[#This Row],[Tipo_Linha]]="Fora do DRE","Fora do DRE","( "&amp;Base_Periodo1[[#This Row],[Tipo_Linha]]&amp;" ) "&amp;Base_Periodo1[[#This Row],[Filtro]])</f>
        <v>Fora do DRE</v>
      </c>
      <c r="W2116" s="3" t="str">
        <f>LEFT(Base_Periodo1[[#This Row],[CLASS]],3)</f>
        <v>1.2</v>
      </c>
    </row>
    <row r="2117" spans="1:23" hidden="1">
      <c r="A2117" s="3" t="str">
        <f t="shared" si="32"/>
        <v>Período 1</v>
      </c>
      <c r="B2117">
        <v>1407</v>
      </c>
      <c r="C2117" t="s">
        <v>1693</v>
      </c>
      <c r="D2117" t="s">
        <v>1651</v>
      </c>
      <c r="E2117" s="3" t="str">
        <f>IF(LEN(Base_Periodo1[[#This Row],[CLASS]])&gt;=7,LEFT(Base_Periodo1[[#This Row],[CLASS]],7),"")</f>
        <v>1.2.5.1</v>
      </c>
      <c r="F2117" s="3" t="str">
        <f>VLOOKUP(Base_Periodo1[[#This Row],[Aux]],Base_Contas_Balanco[#All],2,FALSE)</f>
        <v>Intangivel</v>
      </c>
      <c r="G2117" s="1">
        <v>42493</v>
      </c>
      <c r="H2117" s="225">
        <v>84774.9</v>
      </c>
      <c r="I2117" s="225">
        <v>0</v>
      </c>
      <c r="J2117" s="225">
        <v>0</v>
      </c>
      <c r="K2117" s="225">
        <v>84774.9</v>
      </c>
      <c r="L21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84774.9</v>
      </c>
      <c r="M2117" s="225">
        <f>ROUND(IF(AND(Base_Periodo1[[#This Row],[Tipo_Linha]]="-",Base_Periodo1[[#This Row],[TIPOSALDO]]="D"),Base_Periodo1[[#This Row],[SALDO_ATUAL]]*-1,Base_Periodo1[[#This Row],[SALDO_ATUAL]]),4)</f>
        <v>84774.9</v>
      </c>
      <c r="N2117" t="s">
        <v>116</v>
      </c>
      <c r="O2117" t="s">
        <v>397</v>
      </c>
      <c r="P2117" t="s">
        <v>397</v>
      </c>
      <c r="Q2117">
        <v>5</v>
      </c>
      <c r="R2117" s="225">
        <f>Base_Periodo1[[#This Row],[CREDITOS]]-Base_Periodo1[[#This Row],[DEBITOS]]</f>
        <v>0</v>
      </c>
      <c r="S2117" s="3" t="str">
        <f>IF(ISERROR(VLOOKUP(Base_Periodo1[[#This Row],[CONTA]],BaseContasDRE[#All],4,FALSE)),"Fora do DRE",VLOOKUP(Base_Periodo1[[#This Row],[CONTA]],BaseContasDRE[#All],4,FALSE))</f>
        <v>Fora do DRE</v>
      </c>
      <c r="T2117" s="3" t="str">
        <f>IF(ISERROR(VLOOKUP(Base_Periodo1[[#This Row],[CONTA]],BaseContasDRE[#All],5,FALSE)),"Fora do DRE",VLOOKUP(Base_Periodo1[[#This Row],[CONTA]],BaseContasDRE[#All],6,FALSE))</f>
        <v>Fora do DRE</v>
      </c>
      <c r="U2117" s="3" t="str">
        <f>IF(ISERROR(VLOOKUP(Base_Periodo1[[#This Row],[CONTA]],BaseContasDRE[#All],7,FALSE)),"Fora do DRE",VLOOKUP(Base_Periodo1[[#This Row],[CONTA]],BaseContasDRE[#All],7,FALSE))</f>
        <v>Fora do DRE</v>
      </c>
      <c r="V2117" s="3" t="str">
        <f>IF(Base_Periodo1[[#This Row],[Tipo_Linha]]="Fora do DRE","Fora do DRE","( "&amp;Base_Periodo1[[#This Row],[Tipo_Linha]]&amp;" ) "&amp;Base_Periodo1[[#This Row],[Filtro]])</f>
        <v>Fora do DRE</v>
      </c>
      <c r="W2117" s="3" t="str">
        <f>LEFT(Base_Periodo1[[#This Row],[CLASS]],3)</f>
        <v>1.2</v>
      </c>
    </row>
    <row r="2118" spans="1:23" hidden="1">
      <c r="A2118" s="3" t="str">
        <f t="shared" ref="A2118:A2181" si="33">"Período 1"</f>
        <v>Período 1</v>
      </c>
      <c r="B2118">
        <v>1430</v>
      </c>
      <c r="C2118" t="s">
        <v>1694</v>
      </c>
      <c r="D2118" t="s">
        <v>1695</v>
      </c>
      <c r="E2118" s="3" t="str">
        <f>IF(LEN(Base_Periodo1[[#This Row],[CLASS]])&gt;=7,LEFT(Base_Periodo1[[#This Row],[CLASS]],7),"")</f>
        <v/>
      </c>
      <c r="F2118" s="3" t="e">
        <f>VLOOKUP(Base_Periodo1[[#This Row],[Aux]],Base_Contas_Balanco[#All],2,FALSE)</f>
        <v>#N/A</v>
      </c>
      <c r="G2118" s="1"/>
      <c r="H2118" s="225">
        <v>2160829.23999997</v>
      </c>
      <c r="I2118" s="225">
        <v>8500300</v>
      </c>
      <c r="J2118" s="225">
        <v>9237776.2100000009</v>
      </c>
      <c r="K2118" s="225">
        <v>1423353.0299999695</v>
      </c>
      <c r="L21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1423353.03</v>
      </c>
      <c r="M2118" s="225">
        <f>ROUND(IF(AND(Base_Periodo1[[#This Row],[Tipo_Linha]]="-",Base_Periodo1[[#This Row],[TIPOSALDO]]="D"),Base_Periodo1[[#This Row],[SALDO_ATUAL]]*-1,Base_Periodo1[[#This Row],[SALDO_ATUAL]]),4)</f>
        <v>1423353.03</v>
      </c>
      <c r="N2118" t="s">
        <v>396</v>
      </c>
      <c r="O2118" t="s">
        <v>397</v>
      </c>
      <c r="P2118" t="s">
        <v>397</v>
      </c>
      <c r="Q2118">
        <v>2</v>
      </c>
      <c r="R2118" s="225">
        <f>Base_Periodo1[[#This Row],[CREDITOS]]-Base_Periodo1[[#This Row],[DEBITOS]]</f>
        <v>737476.21000000089</v>
      </c>
      <c r="S2118" s="3" t="str">
        <f>IF(ISERROR(VLOOKUP(Base_Periodo1[[#This Row],[CONTA]],BaseContasDRE[#All],4,FALSE)),"Fora do DRE",VLOOKUP(Base_Periodo1[[#This Row],[CONTA]],BaseContasDRE[#All],4,FALSE))</f>
        <v>Fora do DRE</v>
      </c>
      <c r="T2118" s="3" t="str">
        <f>IF(ISERROR(VLOOKUP(Base_Periodo1[[#This Row],[CONTA]],BaseContasDRE[#All],5,FALSE)),"Fora do DRE",VLOOKUP(Base_Periodo1[[#This Row],[CONTA]],BaseContasDRE[#All],6,FALSE))</f>
        <v>Fora do DRE</v>
      </c>
      <c r="U2118" s="3" t="str">
        <f>IF(ISERROR(VLOOKUP(Base_Periodo1[[#This Row],[CONTA]],BaseContasDRE[#All],7,FALSE)),"Fora do DRE",VLOOKUP(Base_Periodo1[[#This Row],[CONTA]],BaseContasDRE[#All],7,FALSE))</f>
        <v>Fora do DRE</v>
      </c>
      <c r="V2118" s="3" t="str">
        <f>IF(Base_Periodo1[[#This Row],[Tipo_Linha]]="Fora do DRE","Fora do DRE","( "&amp;Base_Periodo1[[#This Row],[Tipo_Linha]]&amp;" ) "&amp;Base_Periodo1[[#This Row],[Filtro]])</f>
        <v>Fora do DRE</v>
      </c>
      <c r="W2118" s="3" t="str">
        <f>LEFT(Base_Periodo1[[#This Row],[CLASS]],3)</f>
        <v>1.5</v>
      </c>
    </row>
    <row r="2119" spans="1:23" hidden="1">
      <c r="A2119" s="3" t="str">
        <f t="shared" si="33"/>
        <v>Período 1</v>
      </c>
      <c r="B2119">
        <v>1431</v>
      </c>
      <c r="C2119" t="s">
        <v>1696</v>
      </c>
      <c r="D2119" t="s">
        <v>1697</v>
      </c>
      <c r="E2119" s="3" t="str">
        <f>IF(LEN(Base_Periodo1[[#This Row],[CLASS]])&gt;=7,LEFT(Base_Periodo1[[#This Row],[CLASS]],7),"")</f>
        <v/>
      </c>
      <c r="F2119" s="3" t="e">
        <f>VLOOKUP(Base_Periodo1[[#This Row],[Aux]],Base_Contas_Balanco[#All],2,FALSE)</f>
        <v>#N/A</v>
      </c>
      <c r="G2119" s="1"/>
      <c r="H2119" s="225">
        <v>2160829.23999997</v>
      </c>
      <c r="I2119" s="225">
        <v>8500300</v>
      </c>
      <c r="J2119" s="225">
        <v>9237776.2100000009</v>
      </c>
      <c r="K2119" s="225">
        <v>1423353.0299999695</v>
      </c>
      <c r="L21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1423353.03</v>
      </c>
      <c r="M2119" s="225">
        <f>ROUND(IF(AND(Base_Periodo1[[#This Row],[Tipo_Linha]]="-",Base_Periodo1[[#This Row],[TIPOSALDO]]="D"),Base_Periodo1[[#This Row],[SALDO_ATUAL]]*-1,Base_Periodo1[[#This Row],[SALDO_ATUAL]]),4)</f>
        <v>1423353.03</v>
      </c>
      <c r="N2119" t="s">
        <v>396</v>
      </c>
      <c r="O2119" t="s">
        <v>397</v>
      </c>
      <c r="P2119" t="s">
        <v>397</v>
      </c>
      <c r="Q2119">
        <v>3</v>
      </c>
      <c r="R2119" s="225">
        <f>Base_Periodo1[[#This Row],[CREDITOS]]-Base_Periodo1[[#This Row],[DEBITOS]]</f>
        <v>737476.21000000089</v>
      </c>
      <c r="S2119" s="3" t="str">
        <f>IF(ISERROR(VLOOKUP(Base_Periodo1[[#This Row],[CONTA]],BaseContasDRE[#All],4,FALSE)),"Fora do DRE",VLOOKUP(Base_Periodo1[[#This Row],[CONTA]],BaseContasDRE[#All],4,FALSE))</f>
        <v>Fora do DRE</v>
      </c>
      <c r="T2119" s="3" t="str">
        <f>IF(ISERROR(VLOOKUP(Base_Periodo1[[#This Row],[CONTA]],BaseContasDRE[#All],5,FALSE)),"Fora do DRE",VLOOKUP(Base_Periodo1[[#This Row],[CONTA]],BaseContasDRE[#All],6,FALSE))</f>
        <v>Fora do DRE</v>
      </c>
      <c r="U2119" s="3" t="str">
        <f>IF(ISERROR(VLOOKUP(Base_Periodo1[[#This Row],[CONTA]],BaseContasDRE[#All],7,FALSE)),"Fora do DRE",VLOOKUP(Base_Periodo1[[#This Row],[CONTA]],BaseContasDRE[#All],7,FALSE))</f>
        <v>Fora do DRE</v>
      </c>
      <c r="V2119" s="3" t="str">
        <f>IF(Base_Periodo1[[#This Row],[Tipo_Linha]]="Fora do DRE","Fora do DRE","( "&amp;Base_Periodo1[[#This Row],[Tipo_Linha]]&amp;" ) "&amp;Base_Periodo1[[#This Row],[Filtro]])</f>
        <v>Fora do DRE</v>
      </c>
      <c r="W2119" s="3" t="str">
        <f>LEFT(Base_Periodo1[[#This Row],[CLASS]],3)</f>
        <v>1.5</v>
      </c>
    </row>
    <row r="2120" spans="1:23" hidden="1">
      <c r="A2120" s="3" t="str">
        <f t="shared" si="33"/>
        <v>Período 1</v>
      </c>
      <c r="B2120">
        <v>1432</v>
      </c>
      <c r="C2120" t="s">
        <v>1698</v>
      </c>
      <c r="D2120" t="s">
        <v>25</v>
      </c>
      <c r="E2120" s="3" t="str">
        <f>IF(LEN(Base_Periodo1[[#This Row],[CLASS]])&gt;=7,LEFT(Base_Periodo1[[#This Row],[CLASS]],7),"")</f>
        <v>1.5.1.1</v>
      </c>
      <c r="F2120" s="3" t="e">
        <f>VLOOKUP(Base_Periodo1[[#This Row],[Aux]],Base_Contas_Balanco[#All],2,FALSE)</f>
        <v>#N/A</v>
      </c>
      <c r="G2120" s="1"/>
      <c r="H2120" s="225">
        <v>1954360.6399999547</v>
      </c>
      <c r="I2120" s="225">
        <v>8500300</v>
      </c>
      <c r="J2120" s="225">
        <v>9213086</v>
      </c>
      <c r="K2120" s="225">
        <v>1241574.639999954</v>
      </c>
      <c r="L21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1241574.6399999999</v>
      </c>
      <c r="M2120" s="225">
        <f>ROUND(IF(AND(Base_Periodo1[[#This Row],[Tipo_Linha]]="-",Base_Periodo1[[#This Row],[TIPOSALDO]]="D"),Base_Periodo1[[#This Row],[SALDO_ATUAL]]*-1,Base_Periodo1[[#This Row],[SALDO_ATUAL]]),4)</f>
        <v>1241574.6399999999</v>
      </c>
      <c r="N2120" t="s">
        <v>396</v>
      </c>
      <c r="O2120" t="s">
        <v>397</v>
      </c>
      <c r="P2120" t="s">
        <v>397</v>
      </c>
      <c r="Q2120">
        <v>4</v>
      </c>
      <c r="R2120" s="225">
        <f>Base_Periodo1[[#This Row],[CREDITOS]]-Base_Periodo1[[#This Row],[DEBITOS]]</f>
        <v>712786</v>
      </c>
      <c r="S2120" s="3" t="str">
        <f>IF(ISERROR(VLOOKUP(Base_Periodo1[[#This Row],[CONTA]],BaseContasDRE[#All],4,FALSE)),"Fora do DRE",VLOOKUP(Base_Periodo1[[#This Row],[CONTA]],BaseContasDRE[#All],4,FALSE))</f>
        <v>Fora do DRE</v>
      </c>
      <c r="T2120" s="3" t="str">
        <f>IF(ISERROR(VLOOKUP(Base_Periodo1[[#This Row],[CONTA]],BaseContasDRE[#All],5,FALSE)),"Fora do DRE",VLOOKUP(Base_Periodo1[[#This Row],[CONTA]],BaseContasDRE[#All],6,FALSE))</f>
        <v>Fora do DRE</v>
      </c>
      <c r="U2120" s="3" t="str">
        <f>IF(ISERROR(VLOOKUP(Base_Periodo1[[#This Row],[CONTA]],BaseContasDRE[#All],7,FALSE)),"Fora do DRE",VLOOKUP(Base_Periodo1[[#This Row],[CONTA]],BaseContasDRE[#All],7,FALSE))</f>
        <v>Fora do DRE</v>
      </c>
      <c r="V2120" s="3" t="str">
        <f>IF(Base_Periodo1[[#This Row],[Tipo_Linha]]="Fora do DRE","Fora do DRE","( "&amp;Base_Periodo1[[#This Row],[Tipo_Linha]]&amp;" ) "&amp;Base_Periodo1[[#This Row],[Filtro]])</f>
        <v>Fora do DRE</v>
      </c>
      <c r="W2120" s="3" t="str">
        <f>LEFT(Base_Periodo1[[#This Row],[CLASS]],3)</f>
        <v>1.5</v>
      </c>
    </row>
    <row r="2121" spans="1:23" hidden="1">
      <c r="A2121" s="3" t="str">
        <f t="shared" si="33"/>
        <v>Período 1</v>
      </c>
      <c r="B2121">
        <v>1433</v>
      </c>
      <c r="C2121" t="s">
        <v>1699</v>
      </c>
      <c r="D2121" t="s">
        <v>1048</v>
      </c>
      <c r="E2121" s="3" t="str">
        <f>IF(LEN(Base_Periodo1[[#This Row],[CLASS]])&gt;=7,LEFT(Base_Periodo1[[#This Row],[CLASS]],7),"")</f>
        <v>1.5.1.1</v>
      </c>
      <c r="F2121" s="3" t="e">
        <f>VLOOKUP(Base_Periodo1[[#This Row],[Aux]],Base_Contas_Balanco[#All],2,FALSE)</f>
        <v>#N/A</v>
      </c>
      <c r="G2121" s="1"/>
      <c r="H2121" s="225">
        <v>1634454.6699999557</v>
      </c>
      <c r="I2121" s="225">
        <v>8500300</v>
      </c>
      <c r="J2121" s="225">
        <v>9213086</v>
      </c>
      <c r="K2121" s="225">
        <v>921668.66999995522</v>
      </c>
      <c r="L21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921668.67</v>
      </c>
      <c r="M2121" s="225">
        <f>ROUND(IF(AND(Base_Periodo1[[#This Row],[Tipo_Linha]]="-",Base_Periodo1[[#This Row],[TIPOSALDO]]="D"),Base_Periodo1[[#This Row],[SALDO_ATUAL]]*-1,Base_Periodo1[[#This Row],[SALDO_ATUAL]]),4)</f>
        <v>921668.67</v>
      </c>
      <c r="N2121" t="s">
        <v>396</v>
      </c>
      <c r="O2121" t="s">
        <v>397</v>
      </c>
      <c r="P2121" t="s">
        <v>397</v>
      </c>
      <c r="Q2121">
        <v>5</v>
      </c>
      <c r="R2121" s="225">
        <f>Base_Periodo1[[#This Row],[CREDITOS]]-Base_Periodo1[[#This Row],[DEBITOS]]</f>
        <v>712786</v>
      </c>
      <c r="S2121" s="3" t="str">
        <f>IF(ISERROR(VLOOKUP(Base_Periodo1[[#This Row],[CONTA]],BaseContasDRE[#All],4,FALSE)),"Fora do DRE",VLOOKUP(Base_Periodo1[[#This Row],[CONTA]],BaseContasDRE[#All],4,FALSE))</f>
        <v>Fora do DRE</v>
      </c>
      <c r="T2121" s="3" t="str">
        <f>IF(ISERROR(VLOOKUP(Base_Periodo1[[#This Row],[CONTA]],BaseContasDRE[#All],5,FALSE)),"Fora do DRE",VLOOKUP(Base_Periodo1[[#This Row],[CONTA]],BaseContasDRE[#All],6,FALSE))</f>
        <v>Fora do DRE</v>
      </c>
      <c r="U2121" s="3" t="str">
        <f>IF(ISERROR(VLOOKUP(Base_Periodo1[[#This Row],[CONTA]],BaseContasDRE[#All],7,FALSE)),"Fora do DRE",VLOOKUP(Base_Periodo1[[#This Row],[CONTA]],BaseContasDRE[#All],7,FALSE))</f>
        <v>Fora do DRE</v>
      </c>
      <c r="V2121" s="3" t="str">
        <f>IF(Base_Periodo1[[#This Row],[Tipo_Linha]]="Fora do DRE","Fora do DRE","( "&amp;Base_Periodo1[[#This Row],[Tipo_Linha]]&amp;" ) "&amp;Base_Periodo1[[#This Row],[Filtro]])</f>
        <v>Fora do DRE</v>
      </c>
      <c r="W2121" s="3" t="str">
        <f>LEFT(Base_Periodo1[[#This Row],[CLASS]],3)</f>
        <v>1.5</v>
      </c>
    </row>
    <row r="2122" spans="1:23" hidden="1">
      <c r="A2122" s="3" t="str">
        <f t="shared" si="33"/>
        <v>Período 1</v>
      </c>
      <c r="B2122">
        <v>1434</v>
      </c>
      <c r="C2122" t="s">
        <v>1700</v>
      </c>
      <c r="D2122" t="s">
        <v>1050</v>
      </c>
      <c r="E2122" s="3" t="str">
        <f>IF(LEN(Base_Periodo1[[#This Row],[CLASS]])&gt;=7,LEFT(Base_Periodo1[[#This Row],[CLASS]],7),"")</f>
        <v>1.5.1.1</v>
      </c>
      <c r="F2122" s="3" t="e">
        <f>VLOOKUP(Base_Periodo1[[#This Row],[Aux]],Base_Contas_Balanco[#All],2,FALSE)</f>
        <v>#N/A</v>
      </c>
      <c r="G2122" s="1"/>
      <c r="H2122" s="225">
        <v>1634454.6699999557</v>
      </c>
      <c r="I2122" s="225">
        <v>8500300</v>
      </c>
      <c r="J2122" s="225">
        <v>9213086</v>
      </c>
      <c r="K2122" s="225">
        <v>921668.66999995522</v>
      </c>
      <c r="L21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921668.67</v>
      </c>
      <c r="M2122" s="225">
        <f>ROUND(IF(AND(Base_Periodo1[[#This Row],[Tipo_Linha]]="-",Base_Periodo1[[#This Row],[TIPOSALDO]]="D"),Base_Periodo1[[#This Row],[SALDO_ATUAL]]*-1,Base_Periodo1[[#This Row],[SALDO_ATUAL]]),4)</f>
        <v>921668.67</v>
      </c>
      <c r="N2122" t="s">
        <v>396</v>
      </c>
      <c r="O2122" t="s">
        <v>397</v>
      </c>
      <c r="P2122" t="s">
        <v>397</v>
      </c>
      <c r="Q2122">
        <v>6</v>
      </c>
      <c r="R2122" s="225">
        <f>Base_Periodo1[[#This Row],[CREDITOS]]-Base_Periodo1[[#This Row],[DEBITOS]]</f>
        <v>712786</v>
      </c>
      <c r="S2122" s="3" t="str">
        <f>IF(ISERROR(VLOOKUP(Base_Periodo1[[#This Row],[CONTA]],BaseContasDRE[#All],4,FALSE)),"Fora do DRE",VLOOKUP(Base_Periodo1[[#This Row],[CONTA]],BaseContasDRE[#All],4,FALSE))</f>
        <v>Fora do DRE</v>
      </c>
      <c r="T2122" s="3" t="str">
        <f>IF(ISERROR(VLOOKUP(Base_Periodo1[[#This Row],[CONTA]],BaseContasDRE[#All],5,FALSE)),"Fora do DRE",VLOOKUP(Base_Periodo1[[#This Row],[CONTA]],BaseContasDRE[#All],6,FALSE))</f>
        <v>Fora do DRE</v>
      </c>
      <c r="U2122" s="3" t="str">
        <f>IF(ISERROR(VLOOKUP(Base_Periodo1[[#This Row],[CONTA]],BaseContasDRE[#All],7,FALSE)),"Fora do DRE",VLOOKUP(Base_Periodo1[[#This Row],[CONTA]],BaseContasDRE[#All],7,FALSE))</f>
        <v>Fora do DRE</v>
      </c>
      <c r="V2122" s="3" t="str">
        <f>IF(Base_Periodo1[[#This Row],[Tipo_Linha]]="Fora do DRE","Fora do DRE","( "&amp;Base_Periodo1[[#This Row],[Tipo_Linha]]&amp;" ) "&amp;Base_Periodo1[[#This Row],[Filtro]])</f>
        <v>Fora do DRE</v>
      </c>
      <c r="W2122" s="3" t="str">
        <f>LEFT(Base_Periodo1[[#This Row],[CLASS]],3)</f>
        <v>1.5</v>
      </c>
    </row>
    <row r="2123" spans="1:23" hidden="1">
      <c r="A2123" s="3" t="str">
        <f t="shared" si="33"/>
        <v>Período 1</v>
      </c>
      <c r="B2123">
        <v>1435</v>
      </c>
      <c r="C2123" t="s">
        <v>1701</v>
      </c>
      <c r="D2123" t="s">
        <v>1052</v>
      </c>
      <c r="E2123" s="3" t="str">
        <f>IF(LEN(Base_Periodo1[[#This Row],[CLASS]])&gt;=7,LEFT(Base_Periodo1[[#This Row],[CLASS]],7),"")</f>
        <v>1.5.1.1</v>
      </c>
      <c r="F2123" s="3" t="e">
        <f>VLOOKUP(Base_Periodo1[[#This Row],[Aux]],Base_Contas_Balanco[#All],2,FALSE)</f>
        <v>#N/A</v>
      </c>
      <c r="G2123" s="1"/>
      <c r="H2123" s="225">
        <v>1634454.6699999571</v>
      </c>
      <c r="I2123" s="225">
        <v>8500300</v>
      </c>
      <c r="J2123" s="225">
        <v>9213086</v>
      </c>
      <c r="K2123" s="225">
        <v>921668.66999995708</v>
      </c>
      <c r="L21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921668.67</v>
      </c>
      <c r="M2123" s="225">
        <f>ROUND(IF(AND(Base_Periodo1[[#This Row],[Tipo_Linha]]="-",Base_Periodo1[[#This Row],[TIPOSALDO]]="D"),Base_Periodo1[[#This Row],[SALDO_ATUAL]]*-1,Base_Periodo1[[#This Row],[SALDO_ATUAL]]),4)</f>
        <v>921668.67</v>
      </c>
      <c r="N2123" t="s">
        <v>396</v>
      </c>
      <c r="O2123" t="s">
        <v>397</v>
      </c>
      <c r="P2123" t="s">
        <v>397</v>
      </c>
      <c r="Q2123">
        <v>7</v>
      </c>
      <c r="R2123" s="225">
        <f>Base_Periodo1[[#This Row],[CREDITOS]]-Base_Periodo1[[#This Row],[DEBITOS]]</f>
        <v>712786</v>
      </c>
      <c r="S2123" s="3" t="str">
        <f>IF(ISERROR(VLOOKUP(Base_Periodo1[[#This Row],[CONTA]],BaseContasDRE[#All],4,FALSE)),"Fora do DRE",VLOOKUP(Base_Periodo1[[#This Row],[CONTA]],BaseContasDRE[#All],4,FALSE))</f>
        <v>Fora do DRE</v>
      </c>
      <c r="T2123" s="3" t="str">
        <f>IF(ISERROR(VLOOKUP(Base_Periodo1[[#This Row],[CONTA]],BaseContasDRE[#All],5,FALSE)),"Fora do DRE",VLOOKUP(Base_Periodo1[[#This Row],[CONTA]],BaseContasDRE[#All],6,FALSE))</f>
        <v>Fora do DRE</v>
      </c>
      <c r="U2123" s="3" t="str">
        <f>IF(ISERROR(VLOOKUP(Base_Periodo1[[#This Row],[CONTA]],BaseContasDRE[#All],7,FALSE)),"Fora do DRE",VLOOKUP(Base_Periodo1[[#This Row],[CONTA]],BaseContasDRE[#All],7,FALSE))</f>
        <v>Fora do DRE</v>
      </c>
      <c r="V2123" s="3" t="str">
        <f>IF(Base_Periodo1[[#This Row],[Tipo_Linha]]="Fora do DRE","Fora do DRE","( "&amp;Base_Periodo1[[#This Row],[Tipo_Linha]]&amp;" ) "&amp;Base_Periodo1[[#This Row],[Filtro]])</f>
        <v>Fora do DRE</v>
      </c>
      <c r="W2123" s="3" t="str">
        <f>LEFT(Base_Periodo1[[#This Row],[CLASS]],3)</f>
        <v>1.5</v>
      </c>
    </row>
    <row r="2124" spans="1:23" hidden="1">
      <c r="A2124" s="3" t="str">
        <f t="shared" si="33"/>
        <v>Período 1</v>
      </c>
      <c r="B2124">
        <v>1436</v>
      </c>
      <c r="C2124" t="s">
        <v>5940</v>
      </c>
      <c r="D2124" t="s">
        <v>1702</v>
      </c>
      <c r="E2124" s="3" t="str">
        <f>IF(LEN(Base_Periodo1[[#This Row],[CLASS]])&gt;=7,LEFT(Base_Periodo1[[#This Row],[CLASS]],7),"")</f>
        <v>1.5.1.1</v>
      </c>
      <c r="F2124" s="3" t="e">
        <f>VLOOKUP(Base_Periodo1[[#This Row],[Aux]],Base_Contas_Balanco[#All],2,FALSE)</f>
        <v>#N/A</v>
      </c>
      <c r="G2124" s="1">
        <v>42873</v>
      </c>
      <c r="H2124" s="225">
        <v>570000</v>
      </c>
      <c r="I2124" s="225">
        <v>2000000</v>
      </c>
      <c r="J2124" s="225">
        <v>2570000</v>
      </c>
      <c r="K2124" s="225">
        <v>0</v>
      </c>
      <c r="L21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24" s="225">
        <f>ROUND(IF(AND(Base_Periodo1[[#This Row],[Tipo_Linha]]="-",Base_Periodo1[[#This Row],[TIPOSALDO]]="D"),Base_Periodo1[[#This Row],[SALDO_ATUAL]]*-1,Base_Periodo1[[#This Row],[SALDO_ATUAL]]),4)</f>
        <v>0</v>
      </c>
      <c r="N2124" t="s">
        <v>116</v>
      </c>
      <c r="O2124" t="s">
        <v>397</v>
      </c>
      <c r="P2124" t="s">
        <v>436</v>
      </c>
      <c r="Q2124">
        <v>8</v>
      </c>
      <c r="R2124" s="225">
        <f>Base_Periodo1[[#This Row],[CREDITOS]]-Base_Periodo1[[#This Row],[DEBITOS]]</f>
        <v>570000</v>
      </c>
      <c r="S2124" s="3" t="str">
        <f>IF(ISERROR(VLOOKUP(Base_Periodo1[[#This Row],[CONTA]],BaseContasDRE[#All],4,FALSE)),"Fora do DRE",VLOOKUP(Base_Periodo1[[#This Row],[CONTA]],BaseContasDRE[#All],4,FALSE))</f>
        <v>Fora do DRE</v>
      </c>
      <c r="T2124" s="3" t="str">
        <f>IF(ISERROR(VLOOKUP(Base_Periodo1[[#This Row],[CONTA]],BaseContasDRE[#All],5,FALSE)),"Fora do DRE",VLOOKUP(Base_Periodo1[[#This Row],[CONTA]],BaseContasDRE[#All],6,FALSE))</f>
        <v>Fora do DRE</v>
      </c>
      <c r="U2124" s="3" t="str">
        <f>IF(ISERROR(VLOOKUP(Base_Periodo1[[#This Row],[CONTA]],BaseContasDRE[#All],7,FALSE)),"Fora do DRE",VLOOKUP(Base_Periodo1[[#This Row],[CONTA]],BaseContasDRE[#All],7,FALSE))</f>
        <v>Fora do DRE</v>
      </c>
      <c r="V2124" s="3" t="str">
        <f>IF(Base_Periodo1[[#This Row],[Tipo_Linha]]="Fora do DRE","Fora do DRE","( "&amp;Base_Periodo1[[#This Row],[Tipo_Linha]]&amp;" ) "&amp;Base_Periodo1[[#This Row],[Filtro]])</f>
        <v>Fora do DRE</v>
      </c>
      <c r="W2124" s="3" t="str">
        <f>LEFT(Base_Periodo1[[#This Row],[CLASS]],3)</f>
        <v>1.5</v>
      </c>
    </row>
    <row r="2125" spans="1:23" hidden="1">
      <c r="A2125" s="3" t="str">
        <f t="shared" si="33"/>
        <v>Período 1</v>
      </c>
      <c r="B2125">
        <v>1438</v>
      </c>
      <c r="C2125" t="s">
        <v>1703</v>
      </c>
      <c r="D2125" t="s">
        <v>1704</v>
      </c>
      <c r="E2125" s="3" t="str">
        <f>IF(LEN(Base_Periodo1[[#This Row],[CLASS]])&gt;=7,LEFT(Base_Periodo1[[#This Row],[CLASS]],7),"")</f>
        <v>1.5.1.1</v>
      </c>
      <c r="F2125" s="3" t="e">
        <f>VLOOKUP(Base_Periodo1[[#This Row],[Aux]],Base_Contas_Balanco[#All],2,FALSE)</f>
        <v>#N/A</v>
      </c>
      <c r="G2125" s="1">
        <v>42885</v>
      </c>
      <c r="H2125" s="225">
        <v>1052136.6699999571</v>
      </c>
      <c r="I2125" s="225">
        <v>6500300</v>
      </c>
      <c r="J2125" s="225">
        <v>6643086</v>
      </c>
      <c r="K2125" s="225">
        <v>909350.66999995708</v>
      </c>
      <c r="L21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909350.67</v>
      </c>
      <c r="M2125" s="225">
        <f>ROUND(IF(AND(Base_Periodo1[[#This Row],[Tipo_Linha]]="-",Base_Periodo1[[#This Row],[TIPOSALDO]]="D"),Base_Periodo1[[#This Row],[SALDO_ATUAL]]*-1,Base_Periodo1[[#This Row],[SALDO_ATUAL]]),4)</f>
        <v>909350.67</v>
      </c>
      <c r="N2125" t="s">
        <v>116</v>
      </c>
      <c r="O2125" t="s">
        <v>397</v>
      </c>
      <c r="P2125" t="s">
        <v>397</v>
      </c>
      <c r="Q2125">
        <v>8</v>
      </c>
      <c r="R2125" s="225">
        <f>Base_Periodo1[[#This Row],[CREDITOS]]-Base_Periodo1[[#This Row],[DEBITOS]]</f>
        <v>142786</v>
      </c>
      <c r="S2125" s="3" t="str">
        <f>IF(ISERROR(VLOOKUP(Base_Periodo1[[#This Row],[CONTA]],BaseContasDRE[#All],4,FALSE)),"Fora do DRE",VLOOKUP(Base_Periodo1[[#This Row],[CONTA]],BaseContasDRE[#All],4,FALSE))</f>
        <v>Fora do DRE</v>
      </c>
      <c r="T2125" s="3" t="str">
        <f>IF(ISERROR(VLOOKUP(Base_Periodo1[[#This Row],[CONTA]],BaseContasDRE[#All],5,FALSE)),"Fora do DRE",VLOOKUP(Base_Periodo1[[#This Row],[CONTA]],BaseContasDRE[#All],6,FALSE))</f>
        <v>Fora do DRE</v>
      </c>
      <c r="U2125" s="3" t="str">
        <f>IF(ISERROR(VLOOKUP(Base_Periodo1[[#This Row],[CONTA]],BaseContasDRE[#All],7,FALSE)),"Fora do DRE",VLOOKUP(Base_Periodo1[[#This Row],[CONTA]],BaseContasDRE[#All],7,FALSE))</f>
        <v>Fora do DRE</v>
      </c>
      <c r="V2125" s="3" t="str">
        <f>IF(Base_Periodo1[[#This Row],[Tipo_Linha]]="Fora do DRE","Fora do DRE","( "&amp;Base_Periodo1[[#This Row],[Tipo_Linha]]&amp;" ) "&amp;Base_Periodo1[[#This Row],[Filtro]])</f>
        <v>Fora do DRE</v>
      </c>
      <c r="W2125" s="3" t="str">
        <f>LEFT(Base_Periodo1[[#This Row],[CLASS]],3)</f>
        <v>1.5</v>
      </c>
    </row>
    <row r="2126" spans="1:23" hidden="1">
      <c r="A2126" s="3" t="str">
        <f t="shared" si="33"/>
        <v>Período 1</v>
      </c>
      <c r="B2126">
        <v>33802</v>
      </c>
      <c r="C2126" t="s">
        <v>1705</v>
      </c>
      <c r="D2126" t="s">
        <v>1706</v>
      </c>
      <c r="E2126" s="3" t="str">
        <f>IF(LEN(Base_Periodo1[[#This Row],[CLASS]])&gt;=7,LEFT(Base_Periodo1[[#This Row],[CLASS]],7),"")</f>
        <v>1.5.1.1</v>
      </c>
      <c r="F2126" s="3" t="e">
        <f>VLOOKUP(Base_Periodo1[[#This Row],[Aux]],Base_Contas_Balanco[#All],2,FALSE)</f>
        <v>#N/A</v>
      </c>
      <c r="G2126" s="1">
        <v>42636</v>
      </c>
      <c r="H2126" s="225">
        <v>12318</v>
      </c>
      <c r="I2126" s="225">
        <v>0</v>
      </c>
      <c r="J2126" s="225">
        <v>0</v>
      </c>
      <c r="K2126" s="225">
        <v>12318</v>
      </c>
      <c r="L21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12318</v>
      </c>
      <c r="M2126" s="225">
        <f>ROUND(IF(AND(Base_Periodo1[[#This Row],[Tipo_Linha]]="-",Base_Periodo1[[#This Row],[TIPOSALDO]]="D"),Base_Periodo1[[#This Row],[SALDO_ATUAL]]*-1,Base_Periodo1[[#This Row],[SALDO_ATUAL]]),4)</f>
        <v>12318</v>
      </c>
      <c r="N2126" t="s">
        <v>116</v>
      </c>
      <c r="O2126" t="s">
        <v>397</v>
      </c>
      <c r="P2126" t="s">
        <v>397</v>
      </c>
      <c r="Q2126">
        <v>8</v>
      </c>
      <c r="R2126" s="225">
        <f>Base_Periodo1[[#This Row],[CREDITOS]]-Base_Periodo1[[#This Row],[DEBITOS]]</f>
        <v>0</v>
      </c>
      <c r="S2126" s="3" t="str">
        <f>IF(ISERROR(VLOOKUP(Base_Periodo1[[#This Row],[CONTA]],BaseContasDRE[#All],4,FALSE)),"Fora do DRE",VLOOKUP(Base_Periodo1[[#This Row],[CONTA]],BaseContasDRE[#All],4,FALSE))</f>
        <v>Fora do DRE</v>
      </c>
      <c r="T2126" s="3" t="str">
        <f>IF(ISERROR(VLOOKUP(Base_Periodo1[[#This Row],[CONTA]],BaseContasDRE[#All],5,FALSE)),"Fora do DRE",VLOOKUP(Base_Periodo1[[#This Row],[CONTA]],BaseContasDRE[#All],6,FALSE))</f>
        <v>Fora do DRE</v>
      </c>
      <c r="U2126" s="3" t="str">
        <f>IF(ISERROR(VLOOKUP(Base_Periodo1[[#This Row],[CONTA]],BaseContasDRE[#All],7,FALSE)),"Fora do DRE",VLOOKUP(Base_Periodo1[[#This Row],[CONTA]],BaseContasDRE[#All],7,FALSE))</f>
        <v>Fora do DRE</v>
      </c>
      <c r="V2126" s="3" t="str">
        <f>IF(Base_Periodo1[[#This Row],[Tipo_Linha]]="Fora do DRE","Fora do DRE","( "&amp;Base_Periodo1[[#This Row],[Tipo_Linha]]&amp;" ) "&amp;Base_Periodo1[[#This Row],[Filtro]])</f>
        <v>Fora do DRE</v>
      </c>
      <c r="W2126" s="3" t="str">
        <f>LEFT(Base_Periodo1[[#This Row],[CLASS]],3)</f>
        <v>1.5</v>
      </c>
    </row>
    <row r="2127" spans="1:23" hidden="1">
      <c r="A2127" s="3" t="str">
        <f t="shared" si="33"/>
        <v>Período 1</v>
      </c>
      <c r="B2127">
        <v>1450</v>
      </c>
      <c r="C2127" t="s">
        <v>1707</v>
      </c>
      <c r="D2127" t="s">
        <v>1152</v>
      </c>
      <c r="E2127" s="3" t="str">
        <f>IF(LEN(Base_Periodo1[[#This Row],[CLASS]])&gt;=7,LEFT(Base_Periodo1[[#This Row],[CLASS]],7),"")</f>
        <v>1.5.1.1</v>
      </c>
      <c r="F2127" s="3" t="e">
        <f>VLOOKUP(Base_Periodo1[[#This Row],[Aux]],Base_Contas_Balanco[#All],2,FALSE)</f>
        <v>#N/A</v>
      </c>
      <c r="G2127" s="1"/>
      <c r="H2127" s="225">
        <v>318132.83999999927</v>
      </c>
      <c r="I2127" s="225">
        <v>0</v>
      </c>
      <c r="J2127" s="225">
        <v>0</v>
      </c>
      <c r="K2127" s="225">
        <v>318132.83999999927</v>
      </c>
      <c r="L21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318132.84000000003</v>
      </c>
      <c r="M2127" s="225">
        <f>ROUND(IF(AND(Base_Periodo1[[#This Row],[Tipo_Linha]]="-",Base_Periodo1[[#This Row],[TIPOSALDO]]="D"),Base_Periodo1[[#This Row],[SALDO_ATUAL]]*-1,Base_Periodo1[[#This Row],[SALDO_ATUAL]]),4)</f>
        <v>318132.84000000003</v>
      </c>
      <c r="N2127" t="s">
        <v>396</v>
      </c>
      <c r="O2127" t="s">
        <v>397</v>
      </c>
      <c r="P2127" t="s">
        <v>397</v>
      </c>
      <c r="Q2127">
        <v>5</v>
      </c>
      <c r="R2127" s="225">
        <f>Base_Periodo1[[#This Row],[CREDITOS]]-Base_Periodo1[[#This Row],[DEBITOS]]</f>
        <v>0</v>
      </c>
      <c r="S2127" s="3" t="str">
        <f>IF(ISERROR(VLOOKUP(Base_Periodo1[[#This Row],[CONTA]],BaseContasDRE[#All],4,FALSE)),"Fora do DRE",VLOOKUP(Base_Periodo1[[#This Row],[CONTA]],BaseContasDRE[#All],4,FALSE))</f>
        <v>Fora do DRE</v>
      </c>
      <c r="T2127" s="3" t="str">
        <f>IF(ISERROR(VLOOKUP(Base_Periodo1[[#This Row],[CONTA]],BaseContasDRE[#All],5,FALSE)),"Fora do DRE",VLOOKUP(Base_Periodo1[[#This Row],[CONTA]],BaseContasDRE[#All],6,FALSE))</f>
        <v>Fora do DRE</v>
      </c>
      <c r="U2127" s="3" t="str">
        <f>IF(ISERROR(VLOOKUP(Base_Periodo1[[#This Row],[CONTA]],BaseContasDRE[#All],7,FALSE)),"Fora do DRE",VLOOKUP(Base_Periodo1[[#This Row],[CONTA]],BaseContasDRE[#All],7,FALSE))</f>
        <v>Fora do DRE</v>
      </c>
      <c r="V2127" s="3" t="str">
        <f>IF(Base_Periodo1[[#This Row],[Tipo_Linha]]="Fora do DRE","Fora do DRE","( "&amp;Base_Periodo1[[#This Row],[Tipo_Linha]]&amp;" ) "&amp;Base_Periodo1[[#This Row],[Filtro]])</f>
        <v>Fora do DRE</v>
      </c>
      <c r="W2127" s="3" t="str">
        <f>LEFT(Base_Periodo1[[#This Row],[CLASS]],3)</f>
        <v>1.5</v>
      </c>
    </row>
    <row r="2128" spans="1:23" hidden="1">
      <c r="A2128" s="3" t="str">
        <f t="shared" si="33"/>
        <v>Período 1</v>
      </c>
      <c r="B2128">
        <v>1451</v>
      </c>
      <c r="C2128" t="s">
        <v>1708</v>
      </c>
      <c r="D2128" t="s">
        <v>1154</v>
      </c>
      <c r="E2128" s="3" t="str">
        <f>IF(LEN(Base_Periodo1[[#This Row],[CLASS]])&gt;=7,LEFT(Base_Periodo1[[#This Row],[CLASS]],7),"")</f>
        <v>1.5.1.1</v>
      </c>
      <c r="F2128" s="3" t="e">
        <f>VLOOKUP(Base_Periodo1[[#This Row],[Aux]],Base_Contas_Balanco[#All],2,FALSE)</f>
        <v>#N/A</v>
      </c>
      <c r="G2128" s="1"/>
      <c r="H2128" s="225">
        <v>132511.24999999933</v>
      </c>
      <c r="I2128" s="225">
        <v>0</v>
      </c>
      <c r="J2128" s="225">
        <v>0</v>
      </c>
      <c r="K2128" s="225">
        <v>132511.24999999933</v>
      </c>
      <c r="L21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132511.25</v>
      </c>
      <c r="M2128" s="225">
        <f>ROUND(IF(AND(Base_Periodo1[[#This Row],[Tipo_Linha]]="-",Base_Periodo1[[#This Row],[TIPOSALDO]]="D"),Base_Periodo1[[#This Row],[SALDO_ATUAL]]*-1,Base_Periodo1[[#This Row],[SALDO_ATUAL]]),4)</f>
        <v>132511.25</v>
      </c>
      <c r="N2128" t="s">
        <v>396</v>
      </c>
      <c r="O2128" t="s">
        <v>397</v>
      </c>
      <c r="P2128" t="s">
        <v>397</v>
      </c>
      <c r="Q2128">
        <v>6</v>
      </c>
      <c r="R2128" s="225">
        <f>Base_Periodo1[[#This Row],[CREDITOS]]-Base_Periodo1[[#This Row],[DEBITOS]]</f>
        <v>0</v>
      </c>
      <c r="S2128" s="3" t="str">
        <f>IF(ISERROR(VLOOKUP(Base_Periodo1[[#This Row],[CONTA]],BaseContasDRE[#All],4,FALSE)),"Fora do DRE",VLOOKUP(Base_Periodo1[[#This Row],[CONTA]],BaseContasDRE[#All],4,FALSE))</f>
        <v>Fora do DRE</v>
      </c>
      <c r="T2128" s="3" t="str">
        <f>IF(ISERROR(VLOOKUP(Base_Periodo1[[#This Row],[CONTA]],BaseContasDRE[#All],5,FALSE)),"Fora do DRE",VLOOKUP(Base_Periodo1[[#This Row],[CONTA]],BaseContasDRE[#All],6,FALSE))</f>
        <v>Fora do DRE</v>
      </c>
      <c r="U2128" s="3" t="str">
        <f>IF(ISERROR(VLOOKUP(Base_Periodo1[[#This Row],[CONTA]],BaseContasDRE[#All],7,FALSE)),"Fora do DRE",VLOOKUP(Base_Periodo1[[#This Row],[CONTA]],BaseContasDRE[#All],7,FALSE))</f>
        <v>Fora do DRE</v>
      </c>
      <c r="V2128" s="3" t="str">
        <f>IF(Base_Periodo1[[#This Row],[Tipo_Linha]]="Fora do DRE","Fora do DRE","( "&amp;Base_Periodo1[[#This Row],[Tipo_Linha]]&amp;" ) "&amp;Base_Periodo1[[#This Row],[Filtro]])</f>
        <v>Fora do DRE</v>
      </c>
      <c r="W2128" s="3" t="str">
        <f>LEFT(Base_Periodo1[[#This Row],[CLASS]],3)</f>
        <v>1.5</v>
      </c>
    </row>
    <row r="2129" spans="1:23" hidden="1">
      <c r="A2129" s="3" t="str">
        <f t="shared" si="33"/>
        <v>Período 1</v>
      </c>
      <c r="B2129">
        <v>1452</v>
      </c>
      <c r="C2129" t="s">
        <v>5416</v>
      </c>
      <c r="D2129" t="s">
        <v>1156</v>
      </c>
      <c r="E2129" s="3" t="str">
        <f>IF(LEN(Base_Periodo1[[#This Row],[CLASS]])&gt;=7,LEFT(Base_Periodo1[[#This Row],[CLASS]],7),"")</f>
        <v>1.5.1.1</v>
      </c>
      <c r="F2129" s="3" t="e">
        <f>VLOOKUP(Base_Periodo1[[#This Row],[Aux]],Base_Contas_Balanco[#All],2,FALSE)</f>
        <v>#N/A</v>
      </c>
      <c r="G2129" s="1"/>
      <c r="H2129" s="225">
        <v>46538.239999999998</v>
      </c>
      <c r="I2129" s="225">
        <v>0</v>
      </c>
      <c r="J2129" s="225">
        <v>0</v>
      </c>
      <c r="K2129" s="225">
        <v>46538.239999999998</v>
      </c>
      <c r="L21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46538.239999999998</v>
      </c>
      <c r="M2129" s="225">
        <f>ROUND(IF(AND(Base_Periodo1[[#This Row],[Tipo_Linha]]="-",Base_Periodo1[[#This Row],[TIPOSALDO]]="D"),Base_Periodo1[[#This Row],[SALDO_ATUAL]]*-1,Base_Periodo1[[#This Row],[SALDO_ATUAL]]),4)</f>
        <v>46538.239999999998</v>
      </c>
      <c r="N2129" t="s">
        <v>396</v>
      </c>
      <c r="O2129" t="s">
        <v>397</v>
      </c>
      <c r="P2129" t="s">
        <v>397</v>
      </c>
      <c r="Q2129">
        <v>7</v>
      </c>
      <c r="R2129" s="225">
        <f>Base_Periodo1[[#This Row],[CREDITOS]]-Base_Periodo1[[#This Row],[DEBITOS]]</f>
        <v>0</v>
      </c>
      <c r="S2129" s="3" t="str">
        <f>IF(ISERROR(VLOOKUP(Base_Periodo1[[#This Row],[CONTA]],BaseContasDRE[#All],4,FALSE)),"Fora do DRE",VLOOKUP(Base_Periodo1[[#This Row],[CONTA]],BaseContasDRE[#All],4,FALSE))</f>
        <v>Fora do DRE</v>
      </c>
      <c r="T2129" s="3" t="str">
        <f>IF(ISERROR(VLOOKUP(Base_Periodo1[[#This Row],[CONTA]],BaseContasDRE[#All],5,FALSE)),"Fora do DRE",VLOOKUP(Base_Periodo1[[#This Row],[CONTA]],BaseContasDRE[#All],6,FALSE))</f>
        <v>Fora do DRE</v>
      </c>
      <c r="U2129" s="3" t="str">
        <f>IF(ISERROR(VLOOKUP(Base_Periodo1[[#This Row],[CONTA]],BaseContasDRE[#All],7,FALSE)),"Fora do DRE",VLOOKUP(Base_Periodo1[[#This Row],[CONTA]],BaseContasDRE[#All],7,FALSE))</f>
        <v>Fora do DRE</v>
      </c>
      <c r="V2129" s="3" t="str">
        <f>IF(Base_Periodo1[[#This Row],[Tipo_Linha]]="Fora do DRE","Fora do DRE","( "&amp;Base_Periodo1[[#This Row],[Tipo_Linha]]&amp;" ) "&amp;Base_Periodo1[[#This Row],[Filtro]])</f>
        <v>Fora do DRE</v>
      </c>
      <c r="W2129" s="3" t="str">
        <f>LEFT(Base_Periodo1[[#This Row],[CLASS]],3)</f>
        <v>1.5</v>
      </c>
    </row>
    <row r="2130" spans="1:23" hidden="1">
      <c r="A2130" s="3" t="str">
        <f t="shared" si="33"/>
        <v>Período 1</v>
      </c>
      <c r="B2130">
        <v>1454</v>
      </c>
      <c r="C2130" t="s">
        <v>5417</v>
      </c>
      <c r="D2130" t="s">
        <v>4356</v>
      </c>
      <c r="E2130" s="3" t="str">
        <f>IF(LEN(Base_Periodo1[[#This Row],[CLASS]])&gt;=7,LEFT(Base_Periodo1[[#This Row],[CLASS]],7),"")</f>
        <v>1.5.1.1</v>
      </c>
      <c r="F2130" s="3" t="e">
        <f>VLOOKUP(Base_Periodo1[[#This Row],[Aux]],Base_Contas_Balanco[#All],2,FALSE)</f>
        <v>#N/A</v>
      </c>
      <c r="G2130" s="1">
        <v>42801</v>
      </c>
      <c r="H2130" s="225">
        <v>46538.239999999998</v>
      </c>
      <c r="I2130" s="225">
        <v>0</v>
      </c>
      <c r="J2130" s="225">
        <v>0</v>
      </c>
      <c r="K2130" s="225">
        <v>46538.239999999998</v>
      </c>
      <c r="L21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46538.239999999998</v>
      </c>
      <c r="M2130" s="225">
        <f>ROUND(IF(AND(Base_Periodo1[[#This Row],[Tipo_Linha]]="-",Base_Periodo1[[#This Row],[TIPOSALDO]]="D"),Base_Periodo1[[#This Row],[SALDO_ATUAL]]*-1,Base_Periodo1[[#This Row],[SALDO_ATUAL]]),4)</f>
        <v>46538.239999999998</v>
      </c>
      <c r="N2130" t="s">
        <v>116</v>
      </c>
      <c r="O2130" t="s">
        <v>397</v>
      </c>
      <c r="P2130" t="s">
        <v>397</v>
      </c>
      <c r="Q2130">
        <v>8</v>
      </c>
      <c r="R2130" s="225">
        <f>Base_Periodo1[[#This Row],[CREDITOS]]-Base_Periodo1[[#This Row],[DEBITOS]]</f>
        <v>0</v>
      </c>
      <c r="S2130" s="3" t="str">
        <f>IF(ISERROR(VLOOKUP(Base_Periodo1[[#This Row],[CONTA]],BaseContasDRE[#All],4,FALSE)),"Fora do DRE",VLOOKUP(Base_Periodo1[[#This Row],[CONTA]],BaseContasDRE[#All],4,FALSE))</f>
        <v>Fora do DRE</v>
      </c>
      <c r="T2130" s="3" t="str">
        <f>IF(ISERROR(VLOOKUP(Base_Periodo1[[#This Row],[CONTA]],BaseContasDRE[#All],5,FALSE)),"Fora do DRE",VLOOKUP(Base_Periodo1[[#This Row],[CONTA]],BaseContasDRE[#All],6,FALSE))</f>
        <v>Fora do DRE</v>
      </c>
      <c r="U2130" s="3" t="str">
        <f>IF(ISERROR(VLOOKUP(Base_Periodo1[[#This Row],[CONTA]],BaseContasDRE[#All],7,FALSE)),"Fora do DRE",VLOOKUP(Base_Periodo1[[#This Row],[CONTA]],BaseContasDRE[#All],7,FALSE))</f>
        <v>Fora do DRE</v>
      </c>
      <c r="V2130" s="3" t="str">
        <f>IF(Base_Periodo1[[#This Row],[Tipo_Linha]]="Fora do DRE","Fora do DRE","( "&amp;Base_Periodo1[[#This Row],[Tipo_Linha]]&amp;" ) "&amp;Base_Periodo1[[#This Row],[Filtro]])</f>
        <v>Fora do DRE</v>
      </c>
      <c r="W2130" s="3" t="str">
        <f>LEFT(Base_Periodo1[[#This Row],[CLASS]],3)</f>
        <v>1.5</v>
      </c>
    </row>
    <row r="2131" spans="1:23" hidden="1">
      <c r="A2131" s="3" t="str">
        <f t="shared" si="33"/>
        <v>Período 1</v>
      </c>
      <c r="B2131">
        <v>1455</v>
      </c>
      <c r="C2131" t="s">
        <v>4354</v>
      </c>
      <c r="D2131" t="s">
        <v>1178</v>
      </c>
      <c r="E2131" s="3" t="str">
        <f>IF(LEN(Base_Periodo1[[#This Row],[CLASS]])&gt;=7,LEFT(Base_Periodo1[[#This Row],[CLASS]],7),"")</f>
        <v>1.5.1.1</v>
      </c>
      <c r="F2131" s="3" t="e">
        <f>VLOOKUP(Base_Periodo1[[#This Row],[Aux]],Base_Contas_Balanco[#All],2,FALSE)</f>
        <v>#N/A</v>
      </c>
      <c r="G2131" s="1"/>
      <c r="H2131" s="225">
        <v>73387.509999999311</v>
      </c>
      <c r="I2131" s="225">
        <v>0</v>
      </c>
      <c r="J2131" s="225">
        <v>0</v>
      </c>
      <c r="K2131" s="225">
        <v>73387.509999999311</v>
      </c>
      <c r="L21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73387.509999999995</v>
      </c>
      <c r="M2131" s="225">
        <f>ROUND(IF(AND(Base_Periodo1[[#This Row],[Tipo_Linha]]="-",Base_Periodo1[[#This Row],[TIPOSALDO]]="D"),Base_Periodo1[[#This Row],[SALDO_ATUAL]]*-1,Base_Periodo1[[#This Row],[SALDO_ATUAL]]),4)</f>
        <v>73387.509999999995</v>
      </c>
      <c r="N2131" t="s">
        <v>396</v>
      </c>
      <c r="O2131" t="s">
        <v>397</v>
      </c>
      <c r="P2131" t="s">
        <v>397</v>
      </c>
      <c r="Q2131">
        <v>7</v>
      </c>
      <c r="R2131" s="225">
        <f>Base_Periodo1[[#This Row],[CREDITOS]]-Base_Periodo1[[#This Row],[DEBITOS]]</f>
        <v>0</v>
      </c>
      <c r="S2131" s="3" t="str">
        <f>IF(ISERROR(VLOOKUP(Base_Periodo1[[#This Row],[CONTA]],BaseContasDRE[#All],4,FALSE)),"Fora do DRE",VLOOKUP(Base_Periodo1[[#This Row],[CONTA]],BaseContasDRE[#All],4,FALSE))</f>
        <v>Fora do DRE</v>
      </c>
      <c r="T2131" s="3" t="str">
        <f>IF(ISERROR(VLOOKUP(Base_Periodo1[[#This Row],[CONTA]],BaseContasDRE[#All],5,FALSE)),"Fora do DRE",VLOOKUP(Base_Periodo1[[#This Row],[CONTA]],BaseContasDRE[#All],6,FALSE))</f>
        <v>Fora do DRE</v>
      </c>
      <c r="U2131" s="3" t="str">
        <f>IF(ISERROR(VLOOKUP(Base_Periodo1[[#This Row],[CONTA]],BaseContasDRE[#All],7,FALSE)),"Fora do DRE",VLOOKUP(Base_Periodo1[[#This Row],[CONTA]],BaseContasDRE[#All],7,FALSE))</f>
        <v>Fora do DRE</v>
      </c>
      <c r="V2131" s="3" t="str">
        <f>IF(Base_Periodo1[[#This Row],[Tipo_Linha]]="Fora do DRE","Fora do DRE","( "&amp;Base_Periodo1[[#This Row],[Tipo_Linha]]&amp;" ) "&amp;Base_Periodo1[[#This Row],[Filtro]])</f>
        <v>Fora do DRE</v>
      </c>
      <c r="W2131" s="3" t="str">
        <f>LEFT(Base_Periodo1[[#This Row],[CLASS]],3)</f>
        <v>1.5</v>
      </c>
    </row>
    <row r="2132" spans="1:23" hidden="1">
      <c r="A2132" s="3" t="str">
        <f t="shared" si="33"/>
        <v>Período 1</v>
      </c>
      <c r="B2132">
        <v>1457</v>
      </c>
      <c r="C2132" t="s">
        <v>4355</v>
      </c>
      <c r="D2132" t="s">
        <v>4356</v>
      </c>
      <c r="E2132" s="3" t="str">
        <f>IF(LEN(Base_Periodo1[[#This Row],[CLASS]])&gt;=7,LEFT(Base_Periodo1[[#This Row],[CLASS]],7),"")</f>
        <v>1.5.1.1</v>
      </c>
      <c r="F2132" s="3" t="e">
        <f>VLOOKUP(Base_Periodo1[[#This Row],[Aux]],Base_Contas_Balanco[#All],2,FALSE)</f>
        <v>#N/A</v>
      </c>
      <c r="G2132" s="1">
        <v>42759</v>
      </c>
      <c r="H2132" s="225">
        <v>73387.509999999311</v>
      </c>
      <c r="I2132" s="225">
        <v>0</v>
      </c>
      <c r="J2132" s="225">
        <v>0</v>
      </c>
      <c r="K2132" s="225">
        <v>73387.509999999311</v>
      </c>
      <c r="L21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73387.509999999995</v>
      </c>
      <c r="M2132" s="225">
        <f>ROUND(IF(AND(Base_Periodo1[[#This Row],[Tipo_Linha]]="-",Base_Periodo1[[#This Row],[TIPOSALDO]]="D"),Base_Periodo1[[#This Row],[SALDO_ATUAL]]*-1,Base_Periodo1[[#This Row],[SALDO_ATUAL]]),4)</f>
        <v>73387.509999999995</v>
      </c>
      <c r="N2132" t="s">
        <v>116</v>
      </c>
      <c r="O2132" t="s">
        <v>397</v>
      </c>
      <c r="P2132" t="s">
        <v>397</v>
      </c>
      <c r="Q2132">
        <v>8</v>
      </c>
      <c r="R2132" s="225">
        <f>Base_Periodo1[[#This Row],[CREDITOS]]-Base_Periodo1[[#This Row],[DEBITOS]]</f>
        <v>0</v>
      </c>
      <c r="S2132" s="3" t="str">
        <f>IF(ISERROR(VLOOKUP(Base_Periodo1[[#This Row],[CONTA]],BaseContasDRE[#All],4,FALSE)),"Fora do DRE",VLOOKUP(Base_Periodo1[[#This Row],[CONTA]],BaseContasDRE[#All],4,FALSE))</f>
        <v>Fora do DRE</v>
      </c>
      <c r="T2132" s="3" t="str">
        <f>IF(ISERROR(VLOOKUP(Base_Periodo1[[#This Row],[CONTA]],BaseContasDRE[#All],5,FALSE)),"Fora do DRE",VLOOKUP(Base_Periodo1[[#This Row],[CONTA]],BaseContasDRE[#All],6,FALSE))</f>
        <v>Fora do DRE</v>
      </c>
      <c r="U2132" s="3" t="str">
        <f>IF(ISERROR(VLOOKUP(Base_Periodo1[[#This Row],[CONTA]],BaseContasDRE[#All],7,FALSE)),"Fora do DRE",VLOOKUP(Base_Periodo1[[#This Row],[CONTA]],BaseContasDRE[#All],7,FALSE))</f>
        <v>Fora do DRE</v>
      </c>
      <c r="V2132" s="3" t="str">
        <f>IF(Base_Periodo1[[#This Row],[Tipo_Linha]]="Fora do DRE","Fora do DRE","( "&amp;Base_Periodo1[[#This Row],[Tipo_Linha]]&amp;" ) "&amp;Base_Periodo1[[#This Row],[Filtro]])</f>
        <v>Fora do DRE</v>
      </c>
      <c r="W2132" s="3" t="str">
        <f>LEFT(Base_Periodo1[[#This Row],[CLASS]],3)</f>
        <v>1.5</v>
      </c>
    </row>
    <row r="2133" spans="1:23" hidden="1">
      <c r="A2133" s="3" t="str">
        <f t="shared" si="33"/>
        <v>Período 1</v>
      </c>
      <c r="B2133">
        <v>1458</v>
      </c>
      <c r="C2133" t="s">
        <v>1709</v>
      </c>
      <c r="D2133" t="s">
        <v>1194</v>
      </c>
      <c r="E2133" s="3" t="str">
        <f>IF(LEN(Base_Periodo1[[#This Row],[CLASS]])&gt;=7,LEFT(Base_Periodo1[[#This Row],[CLASS]],7),"")</f>
        <v>1.5.1.1</v>
      </c>
      <c r="F2133" s="3" t="e">
        <f>VLOOKUP(Base_Periodo1[[#This Row],[Aux]],Base_Contas_Balanco[#All],2,FALSE)</f>
        <v>#N/A</v>
      </c>
      <c r="G2133" s="1"/>
      <c r="H2133" s="225">
        <v>12585.500000000029</v>
      </c>
      <c r="I2133" s="225">
        <v>0</v>
      </c>
      <c r="J2133" s="225">
        <v>0</v>
      </c>
      <c r="K2133" s="225">
        <v>12585.500000000029</v>
      </c>
      <c r="L21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12585.5</v>
      </c>
      <c r="M2133" s="225">
        <f>ROUND(IF(AND(Base_Periodo1[[#This Row],[Tipo_Linha]]="-",Base_Periodo1[[#This Row],[TIPOSALDO]]="D"),Base_Periodo1[[#This Row],[SALDO_ATUAL]]*-1,Base_Periodo1[[#This Row],[SALDO_ATUAL]]),4)</f>
        <v>12585.5</v>
      </c>
      <c r="N2133" t="s">
        <v>396</v>
      </c>
      <c r="O2133" t="s">
        <v>397</v>
      </c>
      <c r="P2133" t="s">
        <v>397</v>
      </c>
      <c r="Q2133">
        <v>7</v>
      </c>
      <c r="R2133" s="225">
        <f>Base_Periodo1[[#This Row],[CREDITOS]]-Base_Periodo1[[#This Row],[DEBITOS]]</f>
        <v>0</v>
      </c>
      <c r="S2133" s="3" t="str">
        <f>IF(ISERROR(VLOOKUP(Base_Periodo1[[#This Row],[CONTA]],BaseContasDRE[#All],4,FALSE)),"Fora do DRE",VLOOKUP(Base_Periodo1[[#This Row],[CONTA]],BaseContasDRE[#All],4,FALSE))</f>
        <v>Fora do DRE</v>
      </c>
      <c r="T2133" s="3" t="str">
        <f>IF(ISERROR(VLOOKUP(Base_Periodo1[[#This Row],[CONTA]],BaseContasDRE[#All],5,FALSE)),"Fora do DRE",VLOOKUP(Base_Periodo1[[#This Row],[CONTA]],BaseContasDRE[#All],6,FALSE))</f>
        <v>Fora do DRE</v>
      </c>
      <c r="U2133" s="3" t="str">
        <f>IF(ISERROR(VLOOKUP(Base_Periodo1[[#This Row],[CONTA]],BaseContasDRE[#All],7,FALSE)),"Fora do DRE",VLOOKUP(Base_Periodo1[[#This Row],[CONTA]],BaseContasDRE[#All],7,FALSE))</f>
        <v>Fora do DRE</v>
      </c>
      <c r="V2133" s="3" t="str">
        <f>IF(Base_Periodo1[[#This Row],[Tipo_Linha]]="Fora do DRE","Fora do DRE","( "&amp;Base_Periodo1[[#This Row],[Tipo_Linha]]&amp;" ) "&amp;Base_Periodo1[[#This Row],[Filtro]])</f>
        <v>Fora do DRE</v>
      </c>
      <c r="W2133" s="3" t="str">
        <f>LEFT(Base_Periodo1[[#This Row],[CLASS]],3)</f>
        <v>1.5</v>
      </c>
    </row>
    <row r="2134" spans="1:23" hidden="1">
      <c r="A2134" s="3" t="str">
        <f t="shared" si="33"/>
        <v>Período 1</v>
      </c>
      <c r="B2134">
        <v>1459</v>
      </c>
      <c r="C2134" t="s">
        <v>1710</v>
      </c>
      <c r="D2134" t="s">
        <v>1702</v>
      </c>
      <c r="E2134" s="3" t="str">
        <f>IF(LEN(Base_Periodo1[[#This Row],[CLASS]])&gt;=7,LEFT(Base_Periodo1[[#This Row],[CLASS]],7),"")</f>
        <v>1.5.1.1</v>
      </c>
      <c r="F2134" s="3" t="e">
        <f>VLOOKUP(Base_Periodo1[[#This Row],[Aux]],Base_Contas_Balanco[#All],2,FALSE)</f>
        <v>#N/A</v>
      </c>
      <c r="G2134" s="1">
        <v>41948</v>
      </c>
      <c r="H2134" s="225">
        <v>3500.0000000000291</v>
      </c>
      <c r="I2134" s="225">
        <v>0</v>
      </c>
      <c r="J2134" s="225">
        <v>0</v>
      </c>
      <c r="K2134" s="225">
        <v>3500.0000000000291</v>
      </c>
      <c r="L21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3500</v>
      </c>
      <c r="M2134" s="225">
        <f>ROUND(IF(AND(Base_Periodo1[[#This Row],[Tipo_Linha]]="-",Base_Periodo1[[#This Row],[TIPOSALDO]]="D"),Base_Periodo1[[#This Row],[SALDO_ATUAL]]*-1,Base_Periodo1[[#This Row],[SALDO_ATUAL]]),4)</f>
        <v>3500</v>
      </c>
      <c r="N2134" t="s">
        <v>116</v>
      </c>
      <c r="O2134" t="s">
        <v>397</v>
      </c>
      <c r="P2134" t="s">
        <v>397</v>
      </c>
      <c r="Q2134">
        <v>8</v>
      </c>
      <c r="R2134" s="225">
        <f>Base_Periodo1[[#This Row],[CREDITOS]]-Base_Periodo1[[#This Row],[DEBITOS]]</f>
        <v>0</v>
      </c>
      <c r="S2134" s="3" t="str">
        <f>IF(ISERROR(VLOOKUP(Base_Periodo1[[#This Row],[CONTA]],BaseContasDRE[#All],4,FALSE)),"Fora do DRE",VLOOKUP(Base_Periodo1[[#This Row],[CONTA]],BaseContasDRE[#All],4,FALSE))</f>
        <v>Fora do DRE</v>
      </c>
      <c r="T2134" s="3" t="str">
        <f>IF(ISERROR(VLOOKUP(Base_Periodo1[[#This Row],[CONTA]],BaseContasDRE[#All],5,FALSE)),"Fora do DRE",VLOOKUP(Base_Periodo1[[#This Row],[CONTA]],BaseContasDRE[#All],6,FALSE))</f>
        <v>Fora do DRE</v>
      </c>
      <c r="U2134" s="3" t="str">
        <f>IF(ISERROR(VLOOKUP(Base_Periodo1[[#This Row],[CONTA]],BaseContasDRE[#All],7,FALSE)),"Fora do DRE",VLOOKUP(Base_Periodo1[[#This Row],[CONTA]],BaseContasDRE[#All],7,FALSE))</f>
        <v>Fora do DRE</v>
      </c>
      <c r="V2134" s="3" t="str">
        <f>IF(Base_Periodo1[[#This Row],[Tipo_Linha]]="Fora do DRE","Fora do DRE","( "&amp;Base_Periodo1[[#This Row],[Tipo_Linha]]&amp;" ) "&amp;Base_Periodo1[[#This Row],[Filtro]])</f>
        <v>Fora do DRE</v>
      </c>
      <c r="W2134" s="3" t="str">
        <f>LEFT(Base_Periodo1[[#This Row],[CLASS]],3)</f>
        <v>1.5</v>
      </c>
    </row>
    <row r="2135" spans="1:23" hidden="1">
      <c r="A2135" s="3" t="str">
        <f t="shared" si="33"/>
        <v>Período 1</v>
      </c>
      <c r="B2135">
        <v>1460</v>
      </c>
      <c r="C2135" t="s">
        <v>4357</v>
      </c>
      <c r="D2135" t="s">
        <v>4356</v>
      </c>
      <c r="E2135" s="3" t="str">
        <f>IF(LEN(Base_Periodo1[[#This Row],[CLASS]])&gt;=7,LEFT(Base_Periodo1[[#This Row],[CLASS]],7),"")</f>
        <v>1.5.1.1</v>
      </c>
      <c r="F2135" s="3" t="e">
        <f>VLOOKUP(Base_Periodo1[[#This Row],[Aux]],Base_Contas_Balanco[#All],2,FALSE)</f>
        <v>#N/A</v>
      </c>
      <c r="G2135" s="1">
        <v>42669</v>
      </c>
      <c r="H2135" s="225">
        <v>9085.5</v>
      </c>
      <c r="I2135" s="225">
        <v>0</v>
      </c>
      <c r="J2135" s="225">
        <v>0</v>
      </c>
      <c r="K2135" s="225">
        <v>9085.5</v>
      </c>
      <c r="L21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9085.5</v>
      </c>
      <c r="M2135" s="225">
        <f>ROUND(IF(AND(Base_Periodo1[[#This Row],[Tipo_Linha]]="-",Base_Periodo1[[#This Row],[TIPOSALDO]]="D"),Base_Periodo1[[#This Row],[SALDO_ATUAL]]*-1,Base_Periodo1[[#This Row],[SALDO_ATUAL]]),4)</f>
        <v>9085.5</v>
      </c>
      <c r="N2135" t="s">
        <v>116</v>
      </c>
      <c r="O2135" t="s">
        <v>397</v>
      </c>
      <c r="P2135" t="s">
        <v>397</v>
      </c>
      <c r="Q2135">
        <v>8</v>
      </c>
      <c r="R2135" s="225">
        <f>Base_Periodo1[[#This Row],[CREDITOS]]-Base_Periodo1[[#This Row],[DEBITOS]]</f>
        <v>0</v>
      </c>
      <c r="S2135" s="3" t="str">
        <f>IF(ISERROR(VLOOKUP(Base_Periodo1[[#This Row],[CONTA]],BaseContasDRE[#All],4,FALSE)),"Fora do DRE",VLOOKUP(Base_Periodo1[[#This Row],[CONTA]],BaseContasDRE[#All],4,FALSE))</f>
        <v>Fora do DRE</v>
      </c>
      <c r="T2135" s="3" t="str">
        <f>IF(ISERROR(VLOOKUP(Base_Periodo1[[#This Row],[CONTA]],BaseContasDRE[#All],5,FALSE)),"Fora do DRE",VLOOKUP(Base_Periodo1[[#This Row],[CONTA]],BaseContasDRE[#All],6,FALSE))</f>
        <v>Fora do DRE</v>
      </c>
      <c r="U2135" s="3" t="str">
        <f>IF(ISERROR(VLOOKUP(Base_Periodo1[[#This Row],[CONTA]],BaseContasDRE[#All],7,FALSE)),"Fora do DRE",VLOOKUP(Base_Periodo1[[#This Row],[CONTA]],BaseContasDRE[#All],7,FALSE))</f>
        <v>Fora do DRE</v>
      </c>
      <c r="V2135" s="3" t="str">
        <f>IF(Base_Periodo1[[#This Row],[Tipo_Linha]]="Fora do DRE","Fora do DRE","( "&amp;Base_Periodo1[[#This Row],[Tipo_Linha]]&amp;" ) "&amp;Base_Periodo1[[#This Row],[Filtro]])</f>
        <v>Fora do DRE</v>
      </c>
      <c r="W2135" s="3" t="str">
        <f>LEFT(Base_Periodo1[[#This Row],[CLASS]],3)</f>
        <v>1.5</v>
      </c>
    </row>
    <row r="2136" spans="1:23" hidden="1">
      <c r="A2136" s="3" t="str">
        <f t="shared" si="33"/>
        <v>Período 1</v>
      </c>
      <c r="B2136">
        <v>1468</v>
      </c>
      <c r="C2136" t="s">
        <v>5203</v>
      </c>
      <c r="D2136" t="s">
        <v>1244</v>
      </c>
      <c r="E2136" s="3" t="str">
        <f>IF(LEN(Base_Periodo1[[#This Row],[CLASS]])&gt;=7,LEFT(Base_Periodo1[[#This Row],[CLASS]],7),"")</f>
        <v>1.5.1.1</v>
      </c>
      <c r="F2136" s="3" t="e">
        <f>VLOOKUP(Base_Periodo1[[#This Row],[Aux]],Base_Contas_Balanco[#All],2,FALSE)</f>
        <v>#N/A</v>
      </c>
      <c r="G2136" s="1"/>
      <c r="H2136" s="225">
        <v>33214.619999999995</v>
      </c>
      <c r="I2136" s="225">
        <v>0</v>
      </c>
      <c r="J2136" s="225">
        <v>0</v>
      </c>
      <c r="K2136" s="225">
        <v>33214.619999999995</v>
      </c>
      <c r="L21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33214.620000000003</v>
      </c>
      <c r="M2136" s="225">
        <f>ROUND(IF(AND(Base_Periodo1[[#This Row],[Tipo_Linha]]="-",Base_Periodo1[[#This Row],[TIPOSALDO]]="D"),Base_Periodo1[[#This Row],[SALDO_ATUAL]]*-1,Base_Periodo1[[#This Row],[SALDO_ATUAL]]),4)</f>
        <v>33214.620000000003</v>
      </c>
      <c r="N2136" t="s">
        <v>396</v>
      </c>
      <c r="O2136" t="s">
        <v>397</v>
      </c>
      <c r="P2136" t="s">
        <v>397</v>
      </c>
      <c r="Q2136">
        <v>6</v>
      </c>
      <c r="R2136" s="225">
        <f>Base_Periodo1[[#This Row],[CREDITOS]]-Base_Periodo1[[#This Row],[DEBITOS]]</f>
        <v>0</v>
      </c>
      <c r="S2136" s="3" t="str">
        <f>IF(ISERROR(VLOOKUP(Base_Periodo1[[#This Row],[CONTA]],BaseContasDRE[#All],4,FALSE)),"Fora do DRE",VLOOKUP(Base_Periodo1[[#This Row],[CONTA]],BaseContasDRE[#All],4,FALSE))</f>
        <v>Fora do DRE</v>
      </c>
      <c r="T2136" s="3" t="str">
        <f>IF(ISERROR(VLOOKUP(Base_Periodo1[[#This Row],[CONTA]],BaseContasDRE[#All],5,FALSE)),"Fora do DRE",VLOOKUP(Base_Periodo1[[#This Row],[CONTA]],BaseContasDRE[#All],6,FALSE))</f>
        <v>Fora do DRE</v>
      </c>
      <c r="U2136" s="3" t="str">
        <f>IF(ISERROR(VLOOKUP(Base_Periodo1[[#This Row],[CONTA]],BaseContasDRE[#All],7,FALSE)),"Fora do DRE",VLOOKUP(Base_Periodo1[[#This Row],[CONTA]],BaseContasDRE[#All],7,FALSE))</f>
        <v>Fora do DRE</v>
      </c>
      <c r="V2136" s="3" t="str">
        <f>IF(Base_Periodo1[[#This Row],[Tipo_Linha]]="Fora do DRE","Fora do DRE","( "&amp;Base_Periodo1[[#This Row],[Tipo_Linha]]&amp;" ) "&amp;Base_Periodo1[[#This Row],[Filtro]])</f>
        <v>Fora do DRE</v>
      </c>
      <c r="W2136" s="3" t="str">
        <f>LEFT(Base_Periodo1[[#This Row],[CLASS]],3)</f>
        <v>1.5</v>
      </c>
    </row>
    <row r="2137" spans="1:23" hidden="1">
      <c r="A2137" s="3" t="str">
        <f t="shared" si="33"/>
        <v>Período 1</v>
      </c>
      <c r="B2137">
        <v>1469</v>
      </c>
      <c r="C2137" t="s">
        <v>5204</v>
      </c>
      <c r="D2137" t="s">
        <v>1245</v>
      </c>
      <c r="E2137" s="3" t="str">
        <f>IF(LEN(Base_Periodo1[[#This Row],[CLASS]])&gt;=7,LEFT(Base_Periodo1[[#This Row],[CLASS]],7),"")</f>
        <v>1.5.1.1</v>
      </c>
      <c r="F2137" s="3" t="e">
        <f>VLOOKUP(Base_Periodo1[[#This Row],[Aux]],Base_Contas_Balanco[#All],2,FALSE)</f>
        <v>#N/A</v>
      </c>
      <c r="G2137" s="1"/>
      <c r="H2137" s="225">
        <v>33214.619999999995</v>
      </c>
      <c r="I2137" s="225">
        <v>0</v>
      </c>
      <c r="J2137" s="225">
        <v>0</v>
      </c>
      <c r="K2137" s="225">
        <v>33214.619999999995</v>
      </c>
      <c r="L21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33214.620000000003</v>
      </c>
      <c r="M2137" s="225">
        <f>ROUND(IF(AND(Base_Periodo1[[#This Row],[Tipo_Linha]]="-",Base_Periodo1[[#This Row],[TIPOSALDO]]="D"),Base_Periodo1[[#This Row],[SALDO_ATUAL]]*-1,Base_Periodo1[[#This Row],[SALDO_ATUAL]]),4)</f>
        <v>33214.620000000003</v>
      </c>
      <c r="N2137" t="s">
        <v>396</v>
      </c>
      <c r="O2137" t="s">
        <v>397</v>
      </c>
      <c r="P2137" t="s">
        <v>397</v>
      </c>
      <c r="Q2137">
        <v>7</v>
      </c>
      <c r="R2137" s="225">
        <f>Base_Periodo1[[#This Row],[CREDITOS]]-Base_Periodo1[[#This Row],[DEBITOS]]</f>
        <v>0</v>
      </c>
      <c r="S2137" s="3" t="str">
        <f>IF(ISERROR(VLOOKUP(Base_Periodo1[[#This Row],[CONTA]],BaseContasDRE[#All],4,FALSE)),"Fora do DRE",VLOOKUP(Base_Periodo1[[#This Row],[CONTA]],BaseContasDRE[#All],4,FALSE))</f>
        <v>Fora do DRE</v>
      </c>
      <c r="T2137" s="3" t="str">
        <f>IF(ISERROR(VLOOKUP(Base_Periodo1[[#This Row],[CONTA]],BaseContasDRE[#All],5,FALSE)),"Fora do DRE",VLOOKUP(Base_Periodo1[[#This Row],[CONTA]],BaseContasDRE[#All],6,FALSE))</f>
        <v>Fora do DRE</v>
      </c>
      <c r="U2137" s="3" t="str">
        <f>IF(ISERROR(VLOOKUP(Base_Periodo1[[#This Row],[CONTA]],BaseContasDRE[#All],7,FALSE)),"Fora do DRE",VLOOKUP(Base_Periodo1[[#This Row],[CONTA]],BaseContasDRE[#All],7,FALSE))</f>
        <v>Fora do DRE</v>
      </c>
      <c r="V2137" s="3" t="str">
        <f>IF(Base_Periodo1[[#This Row],[Tipo_Linha]]="Fora do DRE","Fora do DRE","( "&amp;Base_Periodo1[[#This Row],[Tipo_Linha]]&amp;" ) "&amp;Base_Periodo1[[#This Row],[Filtro]])</f>
        <v>Fora do DRE</v>
      </c>
      <c r="W2137" s="3" t="str">
        <f>LEFT(Base_Periodo1[[#This Row],[CLASS]],3)</f>
        <v>1.5</v>
      </c>
    </row>
    <row r="2138" spans="1:23" hidden="1">
      <c r="A2138" s="3" t="str">
        <f t="shared" si="33"/>
        <v>Período 1</v>
      </c>
      <c r="B2138">
        <v>51959</v>
      </c>
      <c r="C2138" t="s">
        <v>5205</v>
      </c>
      <c r="D2138" t="s">
        <v>5206</v>
      </c>
      <c r="E2138" s="3" t="str">
        <f>IF(LEN(Base_Periodo1[[#This Row],[CLASS]])&gt;=7,LEFT(Base_Periodo1[[#This Row],[CLASS]],7),"")</f>
        <v>1.5.1.1</v>
      </c>
      <c r="F2138" s="3" t="e">
        <f>VLOOKUP(Base_Periodo1[[#This Row],[Aux]],Base_Contas_Balanco[#All],2,FALSE)</f>
        <v>#N/A</v>
      </c>
      <c r="G2138" s="1">
        <v>42634</v>
      </c>
      <c r="H2138" s="225">
        <v>33214.619999999995</v>
      </c>
      <c r="I2138" s="225">
        <v>0</v>
      </c>
      <c r="J2138" s="225">
        <v>0</v>
      </c>
      <c r="K2138" s="225">
        <v>33214.619999999995</v>
      </c>
      <c r="L21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33214.620000000003</v>
      </c>
      <c r="M2138" s="225">
        <f>ROUND(IF(AND(Base_Periodo1[[#This Row],[Tipo_Linha]]="-",Base_Periodo1[[#This Row],[TIPOSALDO]]="D"),Base_Periodo1[[#This Row],[SALDO_ATUAL]]*-1,Base_Periodo1[[#This Row],[SALDO_ATUAL]]),4)</f>
        <v>33214.620000000003</v>
      </c>
      <c r="N2138" t="s">
        <v>116</v>
      </c>
      <c r="O2138" t="s">
        <v>397</v>
      </c>
      <c r="P2138" t="s">
        <v>397</v>
      </c>
      <c r="Q2138">
        <v>8</v>
      </c>
      <c r="R2138" s="225">
        <f>Base_Periodo1[[#This Row],[CREDITOS]]-Base_Periodo1[[#This Row],[DEBITOS]]</f>
        <v>0</v>
      </c>
      <c r="S2138" s="3" t="str">
        <f>IF(ISERROR(VLOOKUP(Base_Periodo1[[#This Row],[CONTA]],BaseContasDRE[#All],4,FALSE)),"Fora do DRE",VLOOKUP(Base_Periodo1[[#This Row],[CONTA]],BaseContasDRE[#All],4,FALSE))</f>
        <v>Fora do DRE</v>
      </c>
      <c r="T2138" s="3" t="str">
        <f>IF(ISERROR(VLOOKUP(Base_Periodo1[[#This Row],[CONTA]],BaseContasDRE[#All],5,FALSE)),"Fora do DRE",VLOOKUP(Base_Periodo1[[#This Row],[CONTA]],BaseContasDRE[#All],6,FALSE))</f>
        <v>Fora do DRE</v>
      </c>
      <c r="U2138" s="3" t="str">
        <f>IF(ISERROR(VLOOKUP(Base_Periodo1[[#This Row],[CONTA]],BaseContasDRE[#All],7,FALSE)),"Fora do DRE",VLOOKUP(Base_Periodo1[[#This Row],[CONTA]],BaseContasDRE[#All],7,FALSE))</f>
        <v>Fora do DRE</v>
      </c>
      <c r="V2138" s="3" t="str">
        <f>IF(Base_Periodo1[[#This Row],[Tipo_Linha]]="Fora do DRE","Fora do DRE","( "&amp;Base_Periodo1[[#This Row],[Tipo_Linha]]&amp;" ) "&amp;Base_Periodo1[[#This Row],[Filtro]])</f>
        <v>Fora do DRE</v>
      </c>
      <c r="W2138" s="3" t="str">
        <f>LEFT(Base_Periodo1[[#This Row],[CLASS]],3)</f>
        <v>1.5</v>
      </c>
    </row>
    <row r="2139" spans="1:23" hidden="1">
      <c r="A2139" s="3" t="str">
        <f t="shared" si="33"/>
        <v>Período 1</v>
      </c>
      <c r="B2139">
        <v>1474</v>
      </c>
      <c r="C2139" t="s">
        <v>5311</v>
      </c>
      <c r="D2139" t="s">
        <v>1303</v>
      </c>
      <c r="E2139" s="3" t="str">
        <f>IF(LEN(Base_Periodo1[[#This Row],[CLASS]])&gt;=7,LEFT(Base_Periodo1[[#This Row],[CLASS]],7),"")</f>
        <v>1.5.1.1</v>
      </c>
      <c r="F2139" s="3" t="e">
        <f>VLOOKUP(Base_Periodo1[[#This Row],[Aux]],Base_Contas_Balanco[#All],2,FALSE)</f>
        <v>#N/A</v>
      </c>
      <c r="G2139" s="1"/>
      <c r="H2139" s="225">
        <v>152406.96999999991</v>
      </c>
      <c r="I2139" s="225">
        <v>0</v>
      </c>
      <c r="J2139" s="225">
        <v>0</v>
      </c>
      <c r="K2139" s="225">
        <v>152406.96999999991</v>
      </c>
      <c r="L21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152406.97</v>
      </c>
      <c r="M2139" s="225">
        <f>ROUND(IF(AND(Base_Periodo1[[#This Row],[Tipo_Linha]]="-",Base_Periodo1[[#This Row],[TIPOSALDO]]="D"),Base_Periodo1[[#This Row],[SALDO_ATUAL]]*-1,Base_Periodo1[[#This Row],[SALDO_ATUAL]]),4)</f>
        <v>152406.97</v>
      </c>
      <c r="N2139" t="s">
        <v>396</v>
      </c>
      <c r="O2139" t="s">
        <v>397</v>
      </c>
      <c r="P2139" t="s">
        <v>397</v>
      </c>
      <c r="Q2139">
        <v>6</v>
      </c>
      <c r="R2139" s="225">
        <f>Base_Periodo1[[#This Row],[CREDITOS]]-Base_Periodo1[[#This Row],[DEBITOS]]</f>
        <v>0</v>
      </c>
      <c r="S2139" s="3" t="str">
        <f>IF(ISERROR(VLOOKUP(Base_Periodo1[[#This Row],[CONTA]],BaseContasDRE[#All],4,FALSE)),"Fora do DRE",VLOOKUP(Base_Periodo1[[#This Row],[CONTA]],BaseContasDRE[#All],4,FALSE))</f>
        <v>Fora do DRE</v>
      </c>
      <c r="T2139" s="3" t="str">
        <f>IF(ISERROR(VLOOKUP(Base_Periodo1[[#This Row],[CONTA]],BaseContasDRE[#All],5,FALSE)),"Fora do DRE",VLOOKUP(Base_Periodo1[[#This Row],[CONTA]],BaseContasDRE[#All],6,FALSE))</f>
        <v>Fora do DRE</v>
      </c>
      <c r="U2139" s="3" t="str">
        <f>IF(ISERROR(VLOOKUP(Base_Periodo1[[#This Row],[CONTA]],BaseContasDRE[#All],7,FALSE)),"Fora do DRE",VLOOKUP(Base_Periodo1[[#This Row],[CONTA]],BaseContasDRE[#All],7,FALSE))</f>
        <v>Fora do DRE</v>
      </c>
      <c r="V2139" s="3" t="str">
        <f>IF(Base_Periodo1[[#This Row],[Tipo_Linha]]="Fora do DRE","Fora do DRE","( "&amp;Base_Periodo1[[#This Row],[Tipo_Linha]]&amp;" ) "&amp;Base_Periodo1[[#This Row],[Filtro]])</f>
        <v>Fora do DRE</v>
      </c>
      <c r="W2139" s="3" t="str">
        <f>LEFT(Base_Periodo1[[#This Row],[CLASS]],3)</f>
        <v>1.5</v>
      </c>
    </row>
    <row r="2140" spans="1:23" hidden="1">
      <c r="A2140" s="3" t="str">
        <f t="shared" si="33"/>
        <v>Período 1</v>
      </c>
      <c r="B2140">
        <v>10983</v>
      </c>
      <c r="C2140" t="s">
        <v>5312</v>
      </c>
      <c r="D2140" t="s">
        <v>3548</v>
      </c>
      <c r="E2140" s="3" t="str">
        <f>IF(LEN(Base_Periodo1[[#This Row],[CLASS]])&gt;=7,LEFT(Base_Periodo1[[#This Row],[CLASS]],7),"")</f>
        <v>1.5.1.1</v>
      </c>
      <c r="F2140" s="3" t="e">
        <f>VLOOKUP(Base_Periodo1[[#This Row],[Aux]],Base_Contas_Balanco[#All],2,FALSE)</f>
        <v>#N/A</v>
      </c>
      <c r="G2140" s="1"/>
      <c r="H2140" s="225">
        <v>152406.97000000003</v>
      </c>
      <c r="I2140" s="225">
        <v>0</v>
      </c>
      <c r="J2140" s="225">
        <v>0</v>
      </c>
      <c r="K2140" s="225">
        <v>152406.97000000003</v>
      </c>
      <c r="L21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152406.97</v>
      </c>
      <c r="M2140" s="225">
        <f>ROUND(IF(AND(Base_Periodo1[[#This Row],[Tipo_Linha]]="-",Base_Periodo1[[#This Row],[TIPOSALDO]]="D"),Base_Periodo1[[#This Row],[SALDO_ATUAL]]*-1,Base_Periodo1[[#This Row],[SALDO_ATUAL]]),4)</f>
        <v>152406.97</v>
      </c>
      <c r="N2140" t="s">
        <v>396</v>
      </c>
      <c r="O2140" t="s">
        <v>397</v>
      </c>
      <c r="P2140" t="s">
        <v>397</v>
      </c>
      <c r="Q2140">
        <v>7</v>
      </c>
      <c r="R2140" s="225">
        <f>Base_Periodo1[[#This Row],[CREDITOS]]-Base_Periodo1[[#This Row],[DEBITOS]]</f>
        <v>0</v>
      </c>
      <c r="S2140" s="3" t="str">
        <f>IF(ISERROR(VLOOKUP(Base_Periodo1[[#This Row],[CONTA]],BaseContasDRE[#All],4,FALSE)),"Fora do DRE",VLOOKUP(Base_Periodo1[[#This Row],[CONTA]],BaseContasDRE[#All],4,FALSE))</f>
        <v>Fora do DRE</v>
      </c>
      <c r="T2140" s="3" t="str">
        <f>IF(ISERROR(VLOOKUP(Base_Periodo1[[#This Row],[CONTA]],BaseContasDRE[#All],5,FALSE)),"Fora do DRE",VLOOKUP(Base_Periodo1[[#This Row],[CONTA]],BaseContasDRE[#All],6,FALSE))</f>
        <v>Fora do DRE</v>
      </c>
      <c r="U2140" s="3" t="str">
        <f>IF(ISERROR(VLOOKUP(Base_Periodo1[[#This Row],[CONTA]],BaseContasDRE[#All],7,FALSE)),"Fora do DRE",VLOOKUP(Base_Periodo1[[#This Row],[CONTA]],BaseContasDRE[#All],7,FALSE))</f>
        <v>Fora do DRE</v>
      </c>
      <c r="V2140" s="3" t="str">
        <f>IF(Base_Periodo1[[#This Row],[Tipo_Linha]]="Fora do DRE","Fora do DRE","( "&amp;Base_Periodo1[[#This Row],[Tipo_Linha]]&amp;" ) "&amp;Base_Periodo1[[#This Row],[Filtro]])</f>
        <v>Fora do DRE</v>
      </c>
      <c r="W2140" s="3" t="str">
        <f>LEFT(Base_Periodo1[[#This Row],[CLASS]],3)</f>
        <v>1.5</v>
      </c>
    </row>
    <row r="2141" spans="1:23" hidden="1">
      <c r="A2141" s="3" t="str">
        <f t="shared" si="33"/>
        <v>Período 1</v>
      </c>
      <c r="B2141">
        <v>54968</v>
      </c>
      <c r="C2141" t="s">
        <v>5313</v>
      </c>
      <c r="D2141" t="s">
        <v>5314</v>
      </c>
      <c r="E2141" s="3" t="str">
        <f>IF(LEN(Base_Periodo1[[#This Row],[CLASS]])&gt;=7,LEFT(Base_Periodo1[[#This Row],[CLASS]],7),"")</f>
        <v>1.5.1.1</v>
      </c>
      <c r="F2141" s="3" t="e">
        <f>VLOOKUP(Base_Periodo1[[#This Row],[Aux]],Base_Contas_Balanco[#All],2,FALSE)</f>
        <v>#N/A</v>
      </c>
      <c r="G2141" s="1">
        <v>42705</v>
      </c>
      <c r="H2141" s="225">
        <v>0.27000000001862645</v>
      </c>
      <c r="I2141" s="225">
        <v>0</v>
      </c>
      <c r="J2141" s="225">
        <v>0</v>
      </c>
      <c r="K2141" s="225">
        <v>0.27000000001862645</v>
      </c>
      <c r="L21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0.27</v>
      </c>
      <c r="M2141" s="225">
        <f>ROUND(IF(AND(Base_Periodo1[[#This Row],[Tipo_Linha]]="-",Base_Periodo1[[#This Row],[TIPOSALDO]]="D"),Base_Periodo1[[#This Row],[SALDO_ATUAL]]*-1,Base_Periodo1[[#This Row],[SALDO_ATUAL]]),4)</f>
        <v>0.27</v>
      </c>
      <c r="N2141" t="s">
        <v>116</v>
      </c>
      <c r="O2141" t="s">
        <v>397</v>
      </c>
      <c r="P2141" t="s">
        <v>397</v>
      </c>
      <c r="Q2141">
        <v>8</v>
      </c>
      <c r="R2141" s="225">
        <f>Base_Periodo1[[#This Row],[CREDITOS]]-Base_Periodo1[[#This Row],[DEBITOS]]</f>
        <v>0</v>
      </c>
      <c r="S2141" s="3" t="str">
        <f>IF(ISERROR(VLOOKUP(Base_Periodo1[[#This Row],[CONTA]],BaseContasDRE[#All],4,FALSE)),"Fora do DRE",VLOOKUP(Base_Periodo1[[#This Row],[CONTA]],BaseContasDRE[#All],4,FALSE))</f>
        <v>Fora do DRE</v>
      </c>
      <c r="T2141" s="3" t="str">
        <f>IF(ISERROR(VLOOKUP(Base_Periodo1[[#This Row],[CONTA]],BaseContasDRE[#All],5,FALSE)),"Fora do DRE",VLOOKUP(Base_Periodo1[[#This Row],[CONTA]],BaseContasDRE[#All],6,FALSE))</f>
        <v>Fora do DRE</v>
      </c>
      <c r="U2141" s="3" t="str">
        <f>IF(ISERROR(VLOOKUP(Base_Periodo1[[#This Row],[CONTA]],BaseContasDRE[#All],7,FALSE)),"Fora do DRE",VLOOKUP(Base_Periodo1[[#This Row],[CONTA]],BaseContasDRE[#All],7,FALSE))</f>
        <v>Fora do DRE</v>
      </c>
      <c r="V2141" s="3" t="str">
        <f>IF(Base_Periodo1[[#This Row],[Tipo_Linha]]="Fora do DRE","Fora do DRE","( "&amp;Base_Periodo1[[#This Row],[Tipo_Linha]]&amp;" ) "&amp;Base_Periodo1[[#This Row],[Filtro]])</f>
        <v>Fora do DRE</v>
      </c>
      <c r="W2141" s="3" t="str">
        <f>LEFT(Base_Periodo1[[#This Row],[CLASS]],3)</f>
        <v>1.5</v>
      </c>
    </row>
    <row r="2142" spans="1:23" hidden="1">
      <c r="A2142" s="3" t="str">
        <f t="shared" si="33"/>
        <v>Período 1</v>
      </c>
      <c r="B2142">
        <v>25810</v>
      </c>
      <c r="C2142" t="s">
        <v>6330</v>
      </c>
      <c r="D2142" t="s">
        <v>6331</v>
      </c>
      <c r="E2142" s="3" t="str">
        <f>IF(LEN(Base_Periodo1[[#This Row],[CLASS]])&gt;=7,LEFT(Base_Periodo1[[#This Row],[CLASS]],7),"")</f>
        <v>1.5.1.1</v>
      </c>
      <c r="F2142" s="3" t="e">
        <f>VLOOKUP(Base_Periodo1[[#This Row],[Aux]],Base_Contas_Balanco[#All],2,FALSE)</f>
        <v>#N/A</v>
      </c>
      <c r="G2142" s="1">
        <v>42851</v>
      </c>
      <c r="H2142" s="225">
        <v>152406.70000000001</v>
      </c>
      <c r="I2142" s="225">
        <v>0</v>
      </c>
      <c r="J2142" s="225">
        <v>0</v>
      </c>
      <c r="K2142" s="225">
        <v>152406.70000000001</v>
      </c>
      <c r="L21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152406.70000000001</v>
      </c>
      <c r="M2142" s="225">
        <f>ROUND(IF(AND(Base_Periodo1[[#This Row],[Tipo_Linha]]="-",Base_Periodo1[[#This Row],[TIPOSALDO]]="D"),Base_Periodo1[[#This Row],[SALDO_ATUAL]]*-1,Base_Periodo1[[#This Row],[SALDO_ATUAL]]),4)</f>
        <v>152406.70000000001</v>
      </c>
      <c r="N2142" t="s">
        <v>116</v>
      </c>
      <c r="O2142" t="s">
        <v>397</v>
      </c>
      <c r="P2142" t="s">
        <v>397</v>
      </c>
      <c r="Q2142">
        <v>8</v>
      </c>
      <c r="R2142" s="225">
        <f>Base_Periodo1[[#This Row],[CREDITOS]]-Base_Periodo1[[#This Row],[DEBITOS]]</f>
        <v>0</v>
      </c>
      <c r="S2142" s="3" t="str">
        <f>IF(ISERROR(VLOOKUP(Base_Periodo1[[#This Row],[CONTA]],BaseContasDRE[#All],4,FALSE)),"Fora do DRE",VLOOKUP(Base_Periodo1[[#This Row],[CONTA]],BaseContasDRE[#All],4,FALSE))</f>
        <v>Fora do DRE</v>
      </c>
      <c r="T2142" s="3" t="str">
        <f>IF(ISERROR(VLOOKUP(Base_Periodo1[[#This Row],[CONTA]],BaseContasDRE[#All],5,FALSE)),"Fora do DRE",VLOOKUP(Base_Periodo1[[#This Row],[CONTA]],BaseContasDRE[#All],6,FALSE))</f>
        <v>Fora do DRE</v>
      </c>
      <c r="U2142" s="3" t="str">
        <f>IF(ISERROR(VLOOKUP(Base_Periodo1[[#This Row],[CONTA]],BaseContasDRE[#All],7,FALSE)),"Fora do DRE",VLOOKUP(Base_Periodo1[[#This Row],[CONTA]],BaseContasDRE[#All],7,FALSE))</f>
        <v>Fora do DRE</v>
      </c>
      <c r="V2142" s="3" t="str">
        <f>IF(Base_Periodo1[[#This Row],[Tipo_Linha]]="Fora do DRE","Fora do DRE","( "&amp;Base_Periodo1[[#This Row],[Tipo_Linha]]&amp;" ) "&amp;Base_Periodo1[[#This Row],[Filtro]])</f>
        <v>Fora do DRE</v>
      </c>
      <c r="W2142" s="3" t="str">
        <f>LEFT(Base_Periodo1[[#This Row],[CLASS]],3)</f>
        <v>1.5</v>
      </c>
    </row>
    <row r="2143" spans="1:23" hidden="1">
      <c r="A2143" s="3" t="str">
        <f t="shared" si="33"/>
        <v>Período 1</v>
      </c>
      <c r="B2143">
        <v>1498</v>
      </c>
      <c r="C2143" t="s">
        <v>4442</v>
      </c>
      <c r="D2143" t="s">
        <v>1381</v>
      </c>
      <c r="E2143" s="3" t="str">
        <f>IF(LEN(Base_Periodo1[[#This Row],[CLASS]])&gt;=7,LEFT(Base_Periodo1[[#This Row],[CLASS]],7),"")</f>
        <v>1.5.1.1</v>
      </c>
      <c r="F2143" s="3" t="e">
        <f>VLOOKUP(Base_Periodo1[[#This Row],[Aux]],Base_Contas_Balanco[#All],2,FALSE)</f>
        <v>#N/A</v>
      </c>
      <c r="G2143" s="1"/>
      <c r="H2143" s="225">
        <v>1773.130000000001</v>
      </c>
      <c r="I2143" s="225">
        <v>0</v>
      </c>
      <c r="J2143" s="225">
        <v>0</v>
      </c>
      <c r="K2143" s="225">
        <v>1773.130000000001</v>
      </c>
      <c r="L21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1773.13</v>
      </c>
      <c r="M2143" s="225">
        <f>ROUND(IF(AND(Base_Periodo1[[#This Row],[Tipo_Linha]]="-",Base_Periodo1[[#This Row],[TIPOSALDO]]="D"),Base_Periodo1[[#This Row],[SALDO_ATUAL]]*-1,Base_Periodo1[[#This Row],[SALDO_ATUAL]]),4)</f>
        <v>1773.13</v>
      </c>
      <c r="N2143" t="s">
        <v>396</v>
      </c>
      <c r="O2143" t="s">
        <v>397</v>
      </c>
      <c r="P2143" t="s">
        <v>397</v>
      </c>
      <c r="Q2143">
        <v>5</v>
      </c>
      <c r="R2143" s="225">
        <f>Base_Periodo1[[#This Row],[CREDITOS]]-Base_Periodo1[[#This Row],[DEBITOS]]</f>
        <v>0</v>
      </c>
      <c r="S2143" s="3" t="str">
        <f>IF(ISERROR(VLOOKUP(Base_Periodo1[[#This Row],[CONTA]],BaseContasDRE[#All],4,FALSE)),"Fora do DRE",VLOOKUP(Base_Periodo1[[#This Row],[CONTA]],BaseContasDRE[#All],4,FALSE))</f>
        <v>Fora do DRE</v>
      </c>
      <c r="T2143" s="3" t="str">
        <f>IF(ISERROR(VLOOKUP(Base_Periodo1[[#This Row],[CONTA]],BaseContasDRE[#All],5,FALSE)),"Fora do DRE",VLOOKUP(Base_Periodo1[[#This Row],[CONTA]],BaseContasDRE[#All],6,FALSE))</f>
        <v>Fora do DRE</v>
      </c>
      <c r="U2143" s="3" t="str">
        <f>IF(ISERROR(VLOOKUP(Base_Periodo1[[#This Row],[CONTA]],BaseContasDRE[#All],7,FALSE)),"Fora do DRE",VLOOKUP(Base_Periodo1[[#This Row],[CONTA]],BaseContasDRE[#All],7,FALSE))</f>
        <v>Fora do DRE</v>
      </c>
      <c r="V2143" s="3" t="str">
        <f>IF(Base_Periodo1[[#This Row],[Tipo_Linha]]="Fora do DRE","Fora do DRE","( "&amp;Base_Periodo1[[#This Row],[Tipo_Linha]]&amp;" ) "&amp;Base_Periodo1[[#This Row],[Filtro]])</f>
        <v>Fora do DRE</v>
      </c>
      <c r="W2143" s="3" t="str">
        <f>LEFT(Base_Periodo1[[#This Row],[CLASS]],3)</f>
        <v>1.5</v>
      </c>
    </row>
    <row r="2144" spans="1:23" hidden="1">
      <c r="A2144" s="3" t="str">
        <f t="shared" si="33"/>
        <v>Período 1</v>
      </c>
      <c r="B2144">
        <v>1499</v>
      </c>
      <c r="C2144" t="s">
        <v>4443</v>
      </c>
      <c r="D2144" t="s">
        <v>1383</v>
      </c>
      <c r="E2144" s="3" t="str">
        <f>IF(LEN(Base_Periodo1[[#This Row],[CLASS]])&gt;=7,LEFT(Base_Periodo1[[#This Row],[CLASS]],7),"")</f>
        <v>1.5.1.1</v>
      </c>
      <c r="F2144" s="3" t="e">
        <f>VLOOKUP(Base_Periodo1[[#This Row],[Aux]],Base_Contas_Balanco[#All],2,FALSE)</f>
        <v>#N/A</v>
      </c>
      <c r="G2144" s="1"/>
      <c r="H2144" s="225">
        <v>1773.130000000001</v>
      </c>
      <c r="I2144" s="225">
        <v>0</v>
      </c>
      <c r="J2144" s="225">
        <v>0</v>
      </c>
      <c r="K2144" s="225">
        <v>1773.130000000001</v>
      </c>
      <c r="L21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1773.13</v>
      </c>
      <c r="M2144" s="225">
        <f>ROUND(IF(AND(Base_Periodo1[[#This Row],[Tipo_Linha]]="-",Base_Periodo1[[#This Row],[TIPOSALDO]]="D"),Base_Periodo1[[#This Row],[SALDO_ATUAL]]*-1,Base_Periodo1[[#This Row],[SALDO_ATUAL]]),4)</f>
        <v>1773.13</v>
      </c>
      <c r="N2144" t="s">
        <v>396</v>
      </c>
      <c r="O2144" t="s">
        <v>397</v>
      </c>
      <c r="P2144" t="s">
        <v>397</v>
      </c>
      <c r="Q2144">
        <v>6</v>
      </c>
      <c r="R2144" s="225">
        <f>Base_Periodo1[[#This Row],[CREDITOS]]-Base_Periodo1[[#This Row],[DEBITOS]]</f>
        <v>0</v>
      </c>
      <c r="S2144" s="3" t="str">
        <f>IF(ISERROR(VLOOKUP(Base_Periodo1[[#This Row],[CONTA]],BaseContasDRE[#All],4,FALSE)),"Fora do DRE",VLOOKUP(Base_Periodo1[[#This Row],[CONTA]],BaseContasDRE[#All],4,FALSE))</f>
        <v>Fora do DRE</v>
      </c>
      <c r="T2144" s="3" t="str">
        <f>IF(ISERROR(VLOOKUP(Base_Periodo1[[#This Row],[CONTA]],BaseContasDRE[#All],5,FALSE)),"Fora do DRE",VLOOKUP(Base_Periodo1[[#This Row],[CONTA]],BaseContasDRE[#All],6,FALSE))</f>
        <v>Fora do DRE</v>
      </c>
      <c r="U2144" s="3" t="str">
        <f>IF(ISERROR(VLOOKUP(Base_Periodo1[[#This Row],[CONTA]],BaseContasDRE[#All],7,FALSE)),"Fora do DRE",VLOOKUP(Base_Periodo1[[#This Row],[CONTA]],BaseContasDRE[#All],7,FALSE))</f>
        <v>Fora do DRE</v>
      </c>
      <c r="V2144" s="3" t="str">
        <f>IF(Base_Periodo1[[#This Row],[Tipo_Linha]]="Fora do DRE","Fora do DRE","( "&amp;Base_Periodo1[[#This Row],[Tipo_Linha]]&amp;" ) "&amp;Base_Periodo1[[#This Row],[Filtro]])</f>
        <v>Fora do DRE</v>
      </c>
      <c r="W2144" s="3" t="str">
        <f>LEFT(Base_Periodo1[[#This Row],[CLASS]],3)</f>
        <v>1.5</v>
      </c>
    </row>
    <row r="2145" spans="1:23" hidden="1">
      <c r="A2145" s="3" t="str">
        <f t="shared" si="33"/>
        <v>Período 1</v>
      </c>
      <c r="B2145">
        <v>29660</v>
      </c>
      <c r="C2145" t="s">
        <v>4444</v>
      </c>
      <c r="D2145" t="s">
        <v>4445</v>
      </c>
      <c r="E2145" s="3" t="str">
        <f>IF(LEN(Base_Periodo1[[#This Row],[CLASS]])&gt;=7,LEFT(Base_Periodo1[[#This Row],[CLASS]],7),"")</f>
        <v>1.5.1.1</v>
      </c>
      <c r="F2145" s="3" t="e">
        <f>VLOOKUP(Base_Periodo1[[#This Row],[Aux]],Base_Contas_Balanco[#All],2,FALSE)</f>
        <v>#N/A</v>
      </c>
      <c r="G2145" s="1"/>
      <c r="H2145" s="225">
        <v>1773.130000000001</v>
      </c>
      <c r="I2145" s="225">
        <v>0</v>
      </c>
      <c r="J2145" s="225">
        <v>0</v>
      </c>
      <c r="K2145" s="225">
        <v>1773.130000000001</v>
      </c>
      <c r="L21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1773.13</v>
      </c>
      <c r="M2145" s="225">
        <f>ROUND(IF(AND(Base_Periodo1[[#This Row],[Tipo_Linha]]="-",Base_Periodo1[[#This Row],[TIPOSALDO]]="D"),Base_Periodo1[[#This Row],[SALDO_ATUAL]]*-1,Base_Periodo1[[#This Row],[SALDO_ATUAL]]),4)</f>
        <v>1773.13</v>
      </c>
      <c r="N2145" t="s">
        <v>396</v>
      </c>
      <c r="O2145" t="s">
        <v>397</v>
      </c>
      <c r="P2145" t="s">
        <v>397</v>
      </c>
      <c r="Q2145">
        <v>7</v>
      </c>
      <c r="R2145" s="225">
        <f>Base_Periodo1[[#This Row],[CREDITOS]]-Base_Periodo1[[#This Row],[DEBITOS]]</f>
        <v>0</v>
      </c>
      <c r="S2145" s="3" t="str">
        <f>IF(ISERROR(VLOOKUP(Base_Periodo1[[#This Row],[CONTA]],BaseContasDRE[#All],4,FALSE)),"Fora do DRE",VLOOKUP(Base_Periodo1[[#This Row],[CONTA]],BaseContasDRE[#All],4,FALSE))</f>
        <v>Fora do DRE</v>
      </c>
      <c r="T2145" s="3" t="str">
        <f>IF(ISERROR(VLOOKUP(Base_Periodo1[[#This Row],[CONTA]],BaseContasDRE[#All],5,FALSE)),"Fora do DRE",VLOOKUP(Base_Periodo1[[#This Row],[CONTA]],BaseContasDRE[#All],6,FALSE))</f>
        <v>Fora do DRE</v>
      </c>
      <c r="U2145" s="3" t="str">
        <f>IF(ISERROR(VLOOKUP(Base_Periodo1[[#This Row],[CONTA]],BaseContasDRE[#All],7,FALSE)),"Fora do DRE",VLOOKUP(Base_Periodo1[[#This Row],[CONTA]],BaseContasDRE[#All],7,FALSE))</f>
        <v>Fora do DRE</v>
      </c>
      <c r="V2145" s="3" t="str">
        <f>IF(Base_Periodo1[[#This Row],[Tipo_Linha]]="Fora do DRE","Fora do DRE","( "&amp;Base_Periodo1[[#This Row],[Tipo_Linha]]&amp;" ) "&amp;Base_Periodo1[[#This Row],[Filtro]])</f>
        <v>Fora do DRE</v>
      </c>
      <c r="W2145" s="3" t="str">
        <f>LEFT(Base_Periodo1[[#This Row],[CLASS]],3)</f>
        <v>1.5</v>
      </c>
    </row>
    <row r="2146" spans="1:23" hidden="1">
      <c r="A2146" s="3" t="str">
        <f t="shared" si="33"/>
        <v>Período 1</v>
      </c>
      <c r="B2146">
        <v>29661</v>
      </c>
      <c r="C2146" t="s">
        <v>4446</v>
      </c>
      <c r="D2146" t="s">
        <v>4447</v>
      </c>
      <c r="E2146" s="3" t="str">
        <f>IF(LEN(Base_Periodo1[[#This Row],[CLASS]])&gt;=7,LEFT(Base_Periodo1[[#This Row],[CLASS]],7),"")</f>
        <v>1.5.1.1</v>
      </c>
      <c r="F2146" s="3" t="e">
        <f>VLOOKUP(Base_Periodo1[[#This Row],[Aux]],Base_Contas_Balanco[#All],2,FALSE)</f>
        <v>#N/A</v>
      </c>
      <c r="G2146" s="1">
        <v>42851</v>
      </c>
      <c r="H2146" s="225">
        <v>1773.130000000001</v>
      </c>
      <c r="I2146" s="225">
        <v>0</v>
      </c>
      <c r="J2146" s="225">
        <v>0</v>
      </c>
      <c r="K2146" s="225">
        <v>1773.130000000001</v>
      </c>
      <c r="L21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1773.13</v>
      </c>
      <c r="M2146" s="225">
        <f>ROUND(IF(AND(Base_Periodo1[[#This Row],[Tipo_Linha]]="-",Base_Periodo1[[#This Row],[TIPOSALDO]]="D"),Base_Periodo1[[#This Row],[SALDO_ATUAL]]*-1,Base_Periodo1[[#This Row],[SALDO_ATUAL]]),4)</f>
        <v>1773.13</v>
      </c>
      <c r="N2146" t="s">
        <v>116</v>
      </c>
      <c r="O2146" t="s">
        <v>397</v>
      </c>
      <c r="P2146" t="s">
        <v>397</v>
      </c>
      <c r="Q2146">
        <v>8</v>
      </c>
      <c r="R2146" s="225">
        <f>Base_Periodo1[[#This Row],[CREDITOS]]-Base_Periodo1[[#This Row],[DEBITOS]]</f>
        <v>0</v>
      </c>
      <c r="S2146" s="3" t="str">
        <f>IF(ISERROR(VLOOKUP(Base_Periodo1[[#This Row],[CONTA]],BaseContasDRE[#All],4,FALSE)),"Fora do DRE",VLOOKUP(Base_Periodo1[[#This Row],[CONTA]],BaseContasDRE[#All],4,FALSE))</f>
        <v>Fora do DRE</v>
      </c>
      <c r="T2146" s="3" t="str">
        <f>IF(ISERROR(VLOOKUP(Base_Periodo1[[#This Row],[CONTA]],BaseContasDRE[#All],5,FALSE)),"Fora do DRE",VLOOKUP(Base_Periodo1[[#This Row],[CONTA]],BaseContasDRE[#All],6,FALSE))</f>
        <v>Fora do DRE</v>
      </c>
      <c r="U2146" s="3" t="str">
        <f>IF(ISERROR(VLOOKUP(Base_Periodo1[[#This Row],[CONTA]],BaseContasDRE[#All],7,FALSE)),"Fora do DRE",VLOOKUP(Base_Periodo1[[#This Row],[CONTA]],BaseContasDRE[#All],7,FALSE))</f>
        <v>Fora do DRE</v>
      </c>
      <c r="V2146" s="3" t="str">
        <f>IF(Base_Periodo1[[#This Row],[Tipo_Linha]]="Fora do DRE","Fora do DRE","( "&amp;Base_Periodo1[[#This Row],[Tipo_Linha]]&amp;" ) "&amp;Base_Periodo1[[#This Row],[Filtro]])</f>
        <v>Fora do DRE</v>
      </c>
      <c r="W2146" s="3" t="str">
        <f>LEFT(Base_Periodo1[[#This Row],[CLASS]],3)</f>
        <v>1.5</v>
      </c>
    </row>
    <row r="2147" spans="1:23" hidden="1">
      <c r="A2147" s="3" t="str">
        <f t="shared" si="33"/>
        <v>Período 1</v>
      </c>
      <c r="B2147">
        <v>1502</v>
      </c>
      <c r="C2147" t="s">
        <v>5315</v>
      </c>
      <c r="D2147" t="s">
        <v>5316</v>
      </c>
      <c r="E2147" s="3" t="str">
        <f>IF(LEN(Base_Periodo1[[#This Row],[CLASS]])&gt;=7,LEFT(Base_Periodo1[[#This Row],[CLASS]],7),"")</f>
        <v>1.5.1.2</v>
      </c>
      <c r="F2147" s="3" t="e">
        <f>VLOOKUP(Base_Periodo1[[#This Row],[Aux]],Base_Contas_Balanco[#All],2,FALSE)</f>
        <v>#N/A</v>
      </c>
      <c r="G2147" s="1"/>
      <c r="H2147" s="225">
        <v>108674.94</v>
      </c>
      <c r="I2147" s="225">
        <v>0</v>
      </c>
      <c r="J2147" s="225">
        <v>0</v>
      </c>
      <c r="K2147" s="225">
        <v>108674.94</v>
      </c>
      <c r="L21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108674.94</v>
      </c>
      <c r="M2147" s="225">
        <f>ROUND(IF(AND(Base_Periodo1[[#This Row],[Tipo_Linha]]="-",Base_Periodo1[[#This Row],[TIPOSALDO]]="D"),Base_Periodo1[[#This Row],[SALDO_ATUAL]]*-1,Base_Periodo1[[#This Row],[SALDO_ATUAL]]),4)</f>
        <v>108674.94</v>
      </c>
      <c r="N2147" t="s">
        <v>396</v>
      </c>
      <c r="O2147" t="s">
        <v>397</v>
      </c>
      <c r="P2147" t="s">
        <v>397</v>
      </c>
      <c r="Q2147">
        <v>4</v>
      </c>
      <c r="R2147" s="225">
        <f>Base_Periodo1[[#This Row],[CREDITOS]]-Base_Periodo1[[#This Row],[DEBITOS]]</f>
        <v>0</v>
      </c>
      <c r="S2147" s="3" t="str">
        <f>IF(ISERROR(VLOOKUP(Base_Periodo1[[#This Row],[CONTA]],BaseContasDRE[#All],4,FALSE)),"Fora do DRE",VLOOKUP(Base_Periodo1[[#This Row],[CONTA]],BaseContasDRE[#All],4,FALSE))</f>
        <v>Fora do DRE</v>
      </c>
      <c r="T2147" s="3" t="str">
        <f>IF(ISERROR(VLOOKUP(Base_Periodo1[[#This Row],[CONTA]],BaseContasDRE[#All],5,FALSE)),"Fora do DRE",VLOOKUP(Base_Periodo1[[#This Row],[CONTA]],BaseContasDRE[#All],6,FALSE))</f>
        <v>Fora do DRE</v>
      </c>
      <c r="U2147" s="3" t="str">
        <f>IF(ISERROR(VLOOKUP(Base_Periodo1[[#This Row],[CONTA]],BaseContasDRE[#All],7,FALSE)),"Fora do DRE",VLOOKUP(Base_Periodo1[[#This Row],[CONTA]],BaseContasDRE[#All],7,FALSE))</f>
        <v>Fora do DRE</v>
      </c>
      <c r="V2147" s="3" t="str">
        <f>IF(Base_Periodo1[[#This Row],[Tipo_Linha]]="Fora do DRE","Fora do DRE","( "&amp;Base_Periodo1[[#This Row],[Tipo_Linha]]&amp;" ) "&amp;Base_Periodo1[[#This Row],[Filtro]])</f>
        <v>Fora do DRE</v>
      </c>
      <c r="W2147" s="3" t="str">
        <f>LEFT(Base_Periodo1[[#This Row],[CLASS]],3)</f>
        <v>1.5</v>
      </c>
    </row>
    <row r="2148" spans="1:23" hidden="1">
      <c r="A2148" s="3" t="str">
        <f t="shared" si="33"/>
        <v>Período 1</v>
      </c>
      <c r="B2148">
        <v>38042</v>
      </c>
      <c r="C2148" t="s">
        <v>5317</v>
      </c>
      <c r="D2148" t="s">
        <v>1381</v>
      </c>
      <c r="E2148" s="3" t="str">
        <f>IF(LEN(Base_Periodo1[[#This Row],[CLASS]])&gt;=7,LEFT(Base_Periodo1[[#This Row],[CLASS]],7),"")</f>
        <v>1.5.1.2</v>
      </c>
      <c r="F2148" s="3" t="e">
        <f>VLOOKUP(Base_Periodo1[[#This Row],[Aux]],Base_Contas_Balanco[#All],2,FALSE)</f>
        <v>#N/A</v>
      </c>
      <c r="G2148" s="1"/>
      <c r="H2148" s="225">
        <v>108674.94</v>
      </c>
      <c r="I2148" s="225">
        <v>0</v>
      </c>
      <c r="J2148" s="225">
        <v>0</v>
      </c>
      <c r="K2148" s="225">
        <v>108674.94</v>
      </c>
      <c r="L21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108674.94</v>
      </c>
      <c r="M2148" s="225">
        <f>ROUND(IF(AND(Base_Periodo1[[#This Row],[Tipo_Linha]]="-",Base_Periodo1[[#This Row],[TIPOSALDO]]="D"),Base_Periodo1[[#This Row],[SALDO_ATUAL]]*-1,Base_Periodo1[[#This Row],[SALDO_ATUAL]]),4)</f>
        <v>108674.94</v>
      </c>
      <c r="N2148" t="s">
        <v>396</v>
      </c>
      <c r="O2148" t="s">
        <v>397</v>
      </c>
      <c r="P2148" t="s">
        <v>397</v>
      </c>
      <c r="Q2148">
        <v>5</v>
      </c>
      <c r="R2148" s="225">
        <f>Base_Periodo1[[#This Row],[CREDITOS]]-Base_Periodo1[[#This Row],[DEBITOS]]</f>
        <v>0</v>
      </c>
      <c r="S2148" s="3" t="str">
        <f>IF(ISERROR(VLOOKUP(Base_Periodo1[[#This Row],[CONTA]],BaseContasDRE[#All],4,FALSE)),"Fora do DRE",VLOOKUP(Base_Periodo1[[#This Row],[CONTA]],BaseContasDRE[#All],4,FALSE))</f>
        <v>Fora do DRE</v>
      </c>
      <c r="T2148" s="3" t="str">
        <f>IF(ISERROR(VLOOKUP(Base_Periodo1[[#This Row],[CONTA]],BaseContasDRE[#All],5,FALSE)),"Fora do DRE",VLOOKUP(Base_Periodo1[[#This Row],[CONTA]],BaseContasDRE[#All],6,FALSE))</f>
        <v>Fora do DRE</v>
      </c>
      <c r="U2148" s="3" t="str">
        <f>IF(ISERROR(VLOOKUP(Base_Periodo1[[#This Row],[CONTA]],BaseContasDRE[#All],7,FALSE)),"Fora do DRE",VLOOKUP(Base_Periodo1[[#This Row],[CONTA]],BaseContasDRE[#All],7,FALSE))</f>
        <v>Fora do DRE</v>
      </c>
      <c r="V2148" s="3" t="str">
        <f>IF(Base_Periodo1[[#This Row],[Tipo_Linha]]="Fora do DRE","Fora do DRE","( "&amp;Base_Periodo1[[#This Row],[Tipo_Linha]]&amp;" ) "&amp;Base_Periodo1[[#This Row],[Filtro]])</f>
        <v>Fora do DRE</v>
      </c>
      <c r="W2148" s="3" t="str">
        <f>LEFT(Base_Periodo1[[#This Row],[CLASS]],3)</f>
        <v>1.5</v>
      </c>
    </row>
    <row r="2149" spans="1:23" hidden="1">
      <c r="A2149" s="3" t="str">
        <f t="shared" si="33"/>
        <v>Período 1</v>
      </c>
      <c r="B2149">
        <v>38043</v>
      </c>
      <c r="C2149" t="s">
        <v>5318</v>
      </c>
      <c r="D2149" t="s">
        <v>1383</v>
      </c>
      <c r="E2149" s="3" t="str">
        <f>IF(LEN(Base_Periodo1[[#This Row],[CLASS]])&gt;=7,LEFT(Base_Periodo1[[#This Row],[CLASS]],7),"")</f>
        <v>1.5.1.2</v>
      </c>
      <c r="F2149" s="3" t="e">
        <f>VLOOKUP(Base_Periodo1[[#This Row],[Aux]],Base_Contas_Balanco[#All],2,FALSE)</f>
        <v>#N/A</v>
      </c>
      <c r="G2149" s="1"/>
      <c r="H2149" s="225">
        <v>108674.94</v>
      </c>
      <c r="I2149" s="225">
        <v>0</v>
      </c>
      <c r="J2149" s="225">
        <v>0</v>
      </c>
      <c r="K2149" s="225">
        <v>108674.94</v>
      </c>
      <c r="L21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108674.94</v>
      </c>
      <c r="M2149" s="225">
        <f>ROUND(IF(AND(Base_Periodo1[[#This Row],[Tipo_Linha]]="-",Base_Periodo1[[#This Row],[TIPOSALDO]]="D"),Base_Periodo1[[#This Row],[SALDO_ATUAL]]*-1,Base_Periodo1[[#This Row],[SALDO_ATUAL]]),4)</f>
        <v>108674.94</v>
      </c>
      <c r="N2149" t="s">
        <v>396</v>
      </c>
      <c r="O2149" t="s">
        <v>397</v>
      </c>
      <c r="P2149" t="s">
        <v>397</v>
      </c>
      <c r="Q2149">
        <v>6</v>
      </c>
      <c r="R2149" s="225">
        <f>Base_Periodo1[[#This Row],[CREDITOS]]-Base_Periodo1[[#This Row],[DEBITOS]]</f>
        <v>0</v>
      </c>
      <c r="S2149" s="3" t="str">
        <f>IF(ISERROR(VLOOKUP(Base_Periodo1[[#This Row],[CONTA]],BaseContasDRE[#All],4,FALSE)),"Fora do DRE",VLOOKUP(Base_Periodo1[[#This Row],[CONTA]],BaseContasDRE[#All],4,FALSE))</f>
        <v>Fora do DRE</v>
      </c>
      <c r="T2149" s="3" t="str">
        <f>IF(ISERROR(VLOOKUP(Base_Periodo1[[#This Row],[CONTA]],BaseContasDRE[#All],5,FALSE)),"Fora do DRE",VLOOKUP(Base_Periodo1[[#This Row],[CONTA]],BaseContasDRE[#All],6,FALSE))</f>
        <v>Fora do DRE</v>
      </c>
      <c r="U2149" s="3" t="str">
        <f>IF(ISERROR(VLOOKUP(Base_Periodo1[[#This Row],[CONTA]],BaseContasDRE[#All],7,FALSE)),"Fora do DRE",VLOOKUP(Base_Periodo1[[#This Row],[CONTA]],BaseContasDRE[#All],7,FALSE))</f>
        <v>Fora do DRE</v>
      </c>
      <c r="V2149" s="3" t="str">
        <f>IF(Base_Periodo1[[#This Row],[Tipo_Linha]]="Fora do DRE","Fora do DRE","( "&amp;Base_Periodo1[[#This Row],[Tipo_Linha]]&amp;" ) "&amp;Base_Periodo1[[#This Row],[Filtro]])</f>
        <v>Fora do DRE</v>
      </c>
      <c r="W2149" s="3" t="str">
        <f>LEFT(Base_Periodo1[[#This Row],[CLASS]],3)</f>
        <v>1.5</v>
      </c>
    </row>
    <row r="2150" spans="1:23" hidden="1">
      <c r="A2150" s="3" t="str">
        <f t="shared" si="33"/>
        <v>Período 1</v>
      </c>
      <c r="B2150">
        <v>38044</v>
      </c>
      <c r="C2150" t="s">
        <v>5319</v>
      </c>
      <c r="D2150" t="s">
        <v>1425</v>
      </c>
      <c r="E2150" s="3" t="str">
        <f>IF(LEN(Base_Periodo1[[#This Row],[CLASS]])&gt;=7,LEFT(Base_Periodo1[[#This Row],[CLASS]],7),"")</f>
        <v>1.5.1.2</v>
      </c>
      <c r="F2150" s="3" t="e">
        <f>VLOOKUP(Base_Periodo1[[#This Row],[Aux]],Base_Contas_Balanco[#All],2,FALSE)</f>
        <v>#N/A</v>
      </c>
      <c r="G2150" s="1"/>
      <c r="H2150" s="225">
        <v>108674.94</v>
      </c>
      <c r="I2150" s="225">
        <v>0</v>
      </c>
      <c r="J2150" s="225">
        <v>0</v>
      </c>
      <c r="K2150" s="225">
        <v>108674.94</v>
      </c>
      <c r="L21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108674.94</v>
      </c>
      <c r="M2150" s="225">
        <f>ROUND(IF(AND(Base_Periodo1[[#This Row],[Tipo_Linha]]="-",Base_Periodo1[[#This Row],[TIPOSALDO]]="D"),Base_Periodo1[[#This Row],[SALDO_ATUAL]]*-1,Base_Periodo1[[#This Row],[SALDO_ATUAL]]),4)</f>
        <v>108674.94</v>
      </c>
      <c r="N2150" t="s">
        <v>396</v>
      </c>
      <c r="O2150" t="s">
        <v>397</v>
      </c>
      <c r="P2150" t="s">
        <v>397</v>
      </c>
      <c r="Q2150">
        <v>7</v>
      </c>
      <c r="R2150" s="225">
        <f>Base_Periodo1[[#This Row],[CREDITOS]]-Base_Periodo1[[#This Row],[DEBITOS]]</f>
        <v>0</v>
      </c>
      <c r="S2150" s="3" t="str">
        <f>IF(ISERROR(VLOOKUP(Base_Periodo1[[#This Row],[CONTA]],BaseContasDRE[#All],4,FALSE)),"Fora do DRE",VLOOKUP(Base_Periodo1[[#This Row],[CONTA]],BaseContasDRE[#All],4,FALSE))</f>
        <v>Fora do DRE</v>
      </c>
      <c r="T2150" s="3" t="str">
        <f>IF(ISERROR(VLOOKUP(Base_Periodo1[[#This Row],[CONTA]],BaseContasDRE[#All],5,FALSE)),"Fora do DRE",VLOOKUP(Base_Periodo1[[#This Row],[CONTA]],BaseContasDRE[#All],6,FALSE))</f>
        <v>Fora do DRE</v>
      </c>
      <c r="U2150" s="3" t="str">
        <f>IF(ISERROR(VLOOKUP(Base_Periodo1[[#This Row],[CONTA]],BaseContasDRE[#All],7,FALSE)),"Fora do DRE",VLOOKUP(Base_Periodo1[[#This Row],[CONTA]],BaseContasDRE[#All],7,FALSE))</f>
        <v>Fora do DRE</v>
      </c>
      <c r="V2150" s="3" t="str">
        <f>IF(Base_Periodo1[[#This Row],[Tipo_Linha]]="Fora do DRE","Fora do DRE","( "&amp;Base_Periodo1[[#This Row],[Tipo_Linha]]&amp;" ) "&amp;Base_Periodo1[[#This Row],[Filtro]])</f>
        <v>Fora do DRE</v>
      </c>
      <c r="W2150" s="3" t="str">
        <f>LEFT(Base_Periodo1[[#This Row],[CLASS]],3)</f>
        <v>1.5</v>
      </c>
    </row>
    <row r="2151" spans="1:23" hidden="1">
      <c r="A2151" s="3" t="str">
        <f t="shared" si="33"/>
        <v>Período 1</v>
      </c>
      <c r="B2151">
        <v>38045</v>
      </c>
      <c r="C2151" t="s">
        <v>5320</v>
      </c>
      <c r="D2151" t="s">
        <v>5321</v>
      </c>
      <c r="E2151" s="3" t="str">
        <f>IF(LEN(Base_Periodo1[[#This Row],[CLASS]])&gt;=7,LEFT(Base_Periodo1[[#This Row],[CLASS]],7),"")</f>
        <v>1.5.1.2</v>
      </c>
      <c r="F2151" s="3" t="e">
        <f>VLOOKUP(Base_Periodo1[[#This Row],[Aux]],Base_Contas_Balanco[#All],2,FALSE)</f>
        <v>#N/A</v>
      </c>
      <c r="G2151" s="1">
        <v>42845</v>
      </c>
      <c r="H2151" s="225">
        <v>108674.94</v>
      </c>
      <c r="I2151" s="225">
        <v>0</v>
      </c>
      <c r="J2151" s="225">
        <v>0</v>
      </c>
      <c r="K2151" s="225">
        <v>108674.94</v>
      </c>
      <c r="L21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108674.94</v>
      </c>
      <c r="M2151" s="225">
        <f>ROUND(IF(AND(Base_Periodo1[[#This Row],[Tipo_Linha]]="-",Base_Periodo1[[#This Row],[TIPOSALDO]]="D"),Base_Periodo1[[#This Row],[SALDO_ATUAL]]*-1,Base_Periodo1[[#This Row],[SALDO_ATUAL]]),4)</f>
        <v>108674.94</v>
      </c>
      <c r="N2151" t="s">
        <v>116</v>
      </c>
      <c r="O2151" t="s">
        <v>397</v>
      </c>
      <c r="P2151" t="s">
        <v>397</v>
      </c>
      <c r="Q2151">
        <v>8</v>
      </c>
      <c r="R2151" s="225">
        <f>Base_Periodo1[[#This Row],[CREDITOS]]-Base_Periodo1[[#This Row],[DEBITOS]]</f>
        <v>0</v>
      </c>
      <c r="S2151" s="3" t="str">
        <f>IF(ISERROR(VLOOKUP(Base_Periodo1[[#This Row],[CONTA]],BaseContasDRE[#All],4,FALSE)),"Fora do DRE",VLOOKUP(Base_Periodo1[[#This Row],[CONTA]],BaseContasDRE[#All],4,FALSE))</f>
        <v>Fora do DRE</v>
      </c>
      <c r="T2151" s="3" t="str">
        <f>IF(ISERROR(VLOOKUP(Base_Periodo1[[#This Row],[CONTA]],BaseContasDRE[#All],5,FALSE)),"Fora do DRE",VLOOKUP(Base_Periodo1[[#This Row],[CONTA]],BaseContasDRE[#All],6,FALSE))</f>
        <v>Fora do DRE</v>
      </c>
      <c r="U2151" s="3" t="str">
        <f>IF(ISERROR(VLOOKUP(Base_Periodo1[[#This Row],[CONTA]],BaseContasDRE[#All],7,FALSE)),"Fora do DRE",VLOOKUP(Base_Periodo1[[#This Row],[CONTA]],BaseContasDRE[#All],7,FALSE))</f>
        <v>Fora do DRE</v>
      </c>
      <c r="V2151" s="3" t="str">
        <f>IF(Base_Periodo1[[#This Row],[Tipo_Linha]]="Fora do DRE","Fora do DRE","( "&amp;Base_Periodo1[[#This Row],[Tipo_Linha]]&amp;" ) "&amp;Base_Periodo1[[#This Row],[Filtro]])</f>
        <v>Fora do DRE</v>
      </c>
      <c r="W2151" s="3" t="str">
        <f>LEFT(Base_Periodo1[[#This Row],[CLASS]],3)</f>
        <v>1.5</v>
      </c>
    </row>
    <row r="2152" spans="1:23" hidden="1">
      <c r="A2152" s="3" t="str">
        <f t="shared" si="33"/>
        <v>Período 1</v>
      </c>
      <c r="B2152">
        <v>1503</v>
      </c>
      <c r="C2152" t="s">
        <v>1711</v>
      </c>
      <c r="D2152" t="s">
        <v>1712</v>
      </c>
      <c r="E2152" s="3" t="str">
        <f>IF(LEN(Base_Periodo1[[#This Row],[CLASS]])&gt;=7,LEFT(Base_Periodo1[[#This Row],[CLASS]],7),"")</f>
        <v>1.5.1.3</v>
      </c>
      <c r="F2152" s="3" t="e">
        <f>VLOOKUP(Base_Periodo1[[#This Row],[Aux]],Base_Contas_Balanco[#All],2,FALSE)</f>
        <v>#N/A</v>
      </c>
      <c r="G2152" s="1"/>
      <c r="H2152" s="225">
        <v>97793.660000014861</v>
      </c>
      <c r="I2152" s="225">
        <v>0</v>
      </c>
      <c r="J2152" s="225">
        <v>24690.21</v>
      </c>
      <c r="K2152" s="225">
        <v>73103.450000014855</v>
      </c>
      <c r="L21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73103.45</v>
      </c>
      <c r="M2152" s="225">
        <f>ROUND(IF(AND(Base_Periodo1[[#This Row],[Tipo_Linha]]="-",Base_Periodo1[[#This Row],[TIPOSALDO]]="D"),Base_Periodo1[[#This Row],[SALDO_ATUAL]]*-1,Base_Periodo1[[#This Row],[SALDO_ATUAL]]),4)</f>
        <v>73103.45</v>
      </c>
      <c r="N2152" t="s">
        <v>396</v>
      </c>
      <c r="O2152" t="s">
        <v>397</v>
      </c>
      <c r="P2152" t="s">
        <v>397</v>
      </c>
      <c r="Q2152">
        <v>4</v>
      </c>
      <c r="R2152" s="225">
        <f>Base_Periodo1[[#This Row],[CREDITOS]]-Base_Periodo1[[#This Row],[DEBITOS]]</f>
        <v>24690.21</v>
      </c>
      <c r="S2152" s="3" t="str">
        <f>IF(ISERROR(VLOOKUP(Base_Periodo1[[#This Row],[CONTA]],BaseContasDRE[#All],4,FALSE)),"Fora do DRE",VLOOKUP(Base_Periodo1[[#This Row],[CONTA]],BaseContasDRE[#All],4,FALSE))</f>
        <v>Fora do DRE</v>
      </c>
      <c r="T2152" s="3" t="str">
        <f>IF(ISERROR(VLOOKUP(Base_Periodo1[[#This Row],[CONTA]],BaseContasDRE[#All],5,FALSE)),"Fora do DRE",VLOOKUP(Base_Periodo1[[#This Row],[CONTA]],BaseContasDRE[#All],6,FALSE))</f>
        <v>Fora do DRE</v>
      </c>
      <c r="U2152" s="3" t="str">
        <f>IF(ISERROR(VLOOKUP(Base_Periodo1[[#This Row],[CONTA]],BaseContasDRE[#All],7,FALSE)),"Fora do DRE",VLOOKUP(Base_Periodo1[[#This Row],[CONTA]],BaseContasDRE[#All],7,FALSE))</f>
        <v>Fora do DRE</v>
      </c>
      <c r="V2152" s="3" t="str">
        <f>IF(Base_Periodo1[[#This Row],[Tipo_Linha]]="Fora do DRE","Fora do DRE","( "&amp;Base_Periodo1[[#This Row],[Tipo_Linha]]&amp;" ) "&amp;Base_Periodo1[[#This Row],[Filtro]])</f>
        <v>Fora do DRE</v>
      </c>
      <c r="W2152" s="3" t="str">
        <f>LEFT(Base_Periodo1[[#This Row],[CLASS]],3)</f>
        <v>1.5</v>
      </c>
    </row>
    <row r="2153" spans="1:23" hidden="1">
      <c r="A2153" s="3" t="str">
        <f t="shared" si="33"/>
        <v>Período 1</v>
      </c>
      <c r="B2153">
        <v>1505</v>
      </c>
      <c r="C2153" t="s">
        <v>1713</v>
      </c>
      <c r="D2153" t="s">
        <v>1714</v>
      </c>
      <c r="E2153" s="3" t="str">
        <f>IF(LEN(Base_Periodo1[[#This Row],[CLASS]])&gt;=7,LEFT(Base_Periodo1[[#This Row],[CLASS]],7),"")</f>
        <v>1.5.1.3</v>
      </c>
      <c r="F2153" s="3" t="e">
        <f>VLOOKUP(Base_Periodo1[[#This Row],[Aux]],Base_Contas_Balanco[#All],2,FALSE)</f>
        <v>#N/A</v>
      </c>
      <c r="G2153" s="1">
        <v>42886</v>
      </c>
      <c r="H2153" s="225">
        <v>35280.51999999996</v>
      </c>
      <c r="I2153" s="225">
        <v>0</v>
      </c>
      <c r="J2153" s="225">
        <v>24690.21</v>
      </c>
      <c r="K2153" s="225">
        <v>10590.309999999961</v>
      </c>
      <c r="L21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10590.31</v>
      </c>
      <c r="M2153" s="225">
        <f>ROUND(IF(AND(Base_Periodo1[[#This Row],[Tipo_Linha]]="-",Base_Periodo1[[#This Row],[TIPOSALDO]]="D"),Base_Periodo1[[#This Row],[SALDO_ATUAL]]*-1,Base_Periodo1[[#This Row],[SALDO_ATUAL]]),4)</f>
        <v>10590.31</v>
      </c>
      <c r="N2153" t="s">
        <v>116</v>
      </c>
      <c r="O2153" t="s">
        <v>397</v>
      </c>
      <c r="P2153" t="s">
        <v>397</v>
      </c>
      <c r="Q2153">
        <v>5</v>
      </c>
      <c r="R2153" s="225">
        <f>Base_Periodo1[[#This Row],[CREDITOS]]-Base_Periodo1[[#This Row],[DEBITOS]]</f>
        <v>24690.21</v>
      </c>
      <c r="S2153" s="3" t="str">
        <f>IF(ISERROR(VLOOKUP(Base_Periodo1[[#This Row],[CONTA]],BaseContasDRE[#All],4,FALSE)),"Fora do DRE",VLOOKUP(Base_Periodo1[[#This Row],[CONTA]],BaseContasDRE[#All],4,FALSE))</f>
        <v>Fora do DRE</v>
      </c>
      <c r="T2153" s="3" t="str">
        <f>IF(ISERROR(VLOOKUP(Base_Periodo1[[#This Row],[CONTA]],BaseContasDRE[#All],5,FALSE)),"Fora do DRE",VLOOKUP(Base_Periodo1[[#This Row],[CONTA]],BaseContasDRE[#All],6,FALSE))</f>
        <v>Fora do DRE</v>
      </c>
      <c r="U2153" s="3" t="str">
        <f>IF(ISERROR(VLOOKUP(Base_Periodo1[[#This Row],[CONTA]],BaseContasDRE[#All],7,FALSE)),"Fora do DRE",VLOOKUP(Base_Periodo1[[#This Row],[CONTA]],BaseContasDRE[#All],7,FALSE))</f>
        <v>Fora do DRE</v>
      </c>
      <c r="V2153" s="3" t="str">
        <f>IF(Base_Periodo1[[#This Row],[Tipo_Linha]]="Fora do DRE","Fora do DRE","( "&amp;Base_Periodo1[[#This Row],[Tipo_Linha]]&amp;" ) "&amp;Base_Periodo1[[#This Row],[Filtro]])</f>
        <v>Fora do DRE</v>
      </c>
      <c r="W2153" s="3" t="str">
        <f>LEFT(Base_Periodo1[[#This Row],[CLASS]],3)</f>
        <v>1.5</v>
      </c>
    </row>
    <row r="2154" spans="1:23" hidden="1">
      <c r="A2154" s="3" t="str">
        <f t="shared" si="33"/>
        <v>Período 1</v>
      </c>
      <c r="B2154">
        <v>1507</v>
      </c>
      <c r="C2154" t="s">
        <v>5207</v>
      </c>
      <c r="D2154" t="s">
        <v>5208</v>
      </c>
      <c r="E2154" s="3" t="str">
        <f>IF(LEN(Base_Periodo1[[#This Row],[CLASS]])&gt;=7,LEFT(Base_Periodo1[[#This Row],[CLASS]],7),"")</f>
        <v>1.5.1.3</v>
      </c>
      <c r="F2154" s="3" t="e">
        <f>VLOOKUP(Base_Periodo1[[#This Row],[Aux]],Base_Contas_Balanco[#All],2,FALSE)</f>
        <v>#N/A</v>
      </c>
      <c r="G2154" s="1">
        <v>42627</v>
      </c>
      <c r="H2154" s="225">
        <v>24236</v>
      </c>
      <c r="I2154" s="225">
        <v>0</v>
      </c>
      <c r="J2154" s="225">
        <v>0</v>
      </c>
      <c r="K2154" s="225">
        <v>24236</v>
      </c>
      <c r="L21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24236</v>
      </c>
      <c r="M2154" s="225">
        <f>ROUND(IF(AND(Base_Periodo1[[#This Row],[Tipo_Linha]]="-",Base_Periodo1[[#This Row],[TIPOSALDO]]="D"),Base_Periodo1[[#This Row],[SALDO_ATUAL]]*-1,Base_Periodo1[[#This Row],[SALDO_ATUAL]]),4)</f>
        <v>24236</v>
      </c>
      <c r="N2154" t="s">
        <v>116</v>
      </c>
      <c r="O2154" t="s">
        <v>397</v>
      </c>
      <c r="P2154" t="s">
        <v>397</v>
      </c>
      <c r="Q2154">
        <v>5</v>
      </c>
      <c r="R2154" s="225">
        <f>Base_Periodo1[[#This Row],[CREDITOS]]-Base_Periodo1[[#This Row],[DEBITOS]]</f>
        <v>0</v>
      </c>
      <c r="S2154" s="3" t="str">
        <f>IF(ISERROR(VLOOKUP(Base_Periodo1[[#This Row],[CONTA]],BaseContasDRE[#All],4,FALSE)),"Fora do DRE",VLOOKUP(Base_Periodo1[[#This Row],[CONTA]],BaseContasDRE[#All],4,FALSE))</f>
        <v>Fora do DRE</v>
      </c>
      <c r="T2154" s="3" t="str">
        <f>IF(ISERROR(VLOOKUP(Base_Periodo1[[#This Row],[CONTA]],BaseContasDRE[#All],5,FALSE)),"Fora do DRE",VLOOKUP(Base_Periodo1[[#This Row],[CONTA]],BaseContasDRE[#All],6,FALSE))</f>
        <v>Fora do DRE</v>
      </c>
      <c r="U2154" s="3" t="str">
        <f>IF(ISERROR(VLOOKUP(Base_Periodo1[[#This Row],[CONTA]],BaseContasDRE[#All],7,FALSE)),"Fora do DRE",VLOOKUP(Base_Periodo1[[#This Row],[CONTA]],BaseContasDRE[#All],7,FALSE))</f>
        <v>Fora do DRE</v>
      </c>
      <c r="V2154" s="3" t="str">
        <f>IF(Base_Periodo1[[#This Row],[Tipo_Linha]]="Fora do DRE","Fora do DRE","( "&amp;Base_Periodo1[[#This Row],[Tipo_Linha]]&amp;" ) "&amp;Base_Periodo1[[#This Row],[Filtro]])</f>
        <v>Fora do DRE</v>
      </c>
      <c r="W2154" s="3" t="str">
        <f>LEFT(Base_Periodo1[[#This Row],[CLASS]],3)</f>
        <v>1.5</v>
      </c>
    </row>
    <row r="2155" spans="1:23" hidden="1">
      <c r="A2155" s="3" t="str">
        <f t="shared" si="33"/>
        <v>Período 1</v>
      </c>
      <c r="B2155">
        <v>33774</v>
      </c>
      <c r="C2155" t="s">
        <v>4666</v>
      </c>
      <c r="D2155" t="s">
        <v>4667</v>
      </c>
      <c r="E2155" s="3" t="str">
        <f>IF(LEN(Base_Periodo1[[#This Row],[CLASS]])&gt;=7,LEFT(Base_Periodo1[[#This Row],[CLASS]],7),"")</f>
        <v>1.5.1.3</v>
      </c>
      <c r="F2155" s="3" t="e">
        <f>VLOOKUP(Base_Periodo1[[#This Row],[Aux]],Base_Contas_Balanco[#All],2,FALSE)</f>
        <v>#N/A</v>
      </c>
      <c r="G2155" s="1">
        <v>42842</v>
      </c>
      <c r="H2155" s="225">
        <v>38277.14</v>
      </c>
      <c r="I2155" s="225">
        <v>0</v>
      </c>
      <c r="J2155" s="225">
        <v>0</v>
      </c>
      <c r="K2155" s="225">
        <v>38277.14</v>
      </c>
      <c r="L21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38277.14</v>
      </c>
      <c r="M2155" s="225">
        <f>ROUND(IF(AND(Base_Periodo1[[#This Row],[Tipo_Linha]]="-",Base_Periodo1[[#This Row],[TIPOSALDO]]="D"),Base_Periodo1[[#This Row],[SALDO_ATUAL]]*-1,Base_Periodo1[[#This Row],[SALDO_ATUAL]]),4)</f>
        <v>38277.14</v>
      </c>
      <c r="N2155" t="s">
        <v>116</v>
      </c>
      <c r="O2155" t="s">
        <v>397</v>
      </c>
      <c r="P2155" t="s">
        <v>397</v>
      </c>
      <c r="Q2155">
        <v>5</v>
      </c>
      <c r="R2155" s="225">
        <f>Base_Periodo1[[#This Row],[CREDITOS]]-Base_Periodo1[[#This Row],[DEBITOS]]</f>
        <v>0</v>
      </c>
      <c r="S2155" s="3" t="str">
        <f>IF(ISERROR(VLOOKUP(Base_Periodo1[[#This Row],[CONTA]],BaseContasDRE[#All],4,FALSE)),"Fora do DRE",VLOOKUP(Base_Periodo1[[#This Row],[CONTA]],BaseContasDRE[#All],4,FALSE))</f>
        <v>Fora do DRE</v>
      </c>
      <c r="T2155" s="3" t="str">
        <f>IF(ISERROR(VLOOKUP(Base_Periodo1[[#This Row],[CONTA]],BaseContasDRE[#All],5,FALSE)),"Fora do DRE",VLOOKUP(Base_Periodo1[[#This Row],[CONTA]],BaseContasDRE[#All],6,FALSE))</f>
        <v>Fora do DRE</v>
      </c>
      <c r="U2155" s="3" t="str">
        <f>IF(ISERROR(VLOOKUP(Base_Periodo1[[#This Row],[CONTA]],BaseContasDRE[#All],7,FALSE)),"Fora do DRE",VLOOKUP(Base_Periodo1[[#This Row],[CONTA]],BaseContasDRE[#All],7,FALSE))</f>
        <v>Fora do DRE</v>
      </c>
      <c r="V2155" s="3" t="str">
        <f>IF(Base_Periodo1[[#This Row],[Tipo_Linha]]="Fora do DRE","Fora do DRE","( "&amp;Base_Periodo1[[#This Row],[Tipo_Linha]]&amp;" ) "&amp;Base_Periodo1[[#This Row],[Filtro]])</f>
        <v>Fora do DRE</v>
      </c>
      <c r="W2155" s="3" t="str">
        <f>LEFT(Base_Periodo1[[#This Row],[CLASS]],3)</f>
        <v>1.5</v>
      </c>
    </row>
    <row r="2156" spans="1:23" hidden="1">
      <c r="A2156" s="3" t="str">
        <f t="shared" si="33"/>
        <v>Período 1</v>
      </c>
      <c r="B2156">
        <v>1508</v>
      </c>
      <c r="C2156" t="s">
        <v>1715</v>
      </c>
      <c r="D2156" t="s">
        <v>93</v>
      </c>
      <c r="E2156" s="3" t="str">
        <f>IF(LEN(Base_Periodo1[[#This Row],[CLASS]])&gt;=7,LEFT(Base_Periodo1[[#This Row],[CLASS]],7),"")</f>
        <v/>
      </c>
      <c r="F2156" s="3" t="e">
        <f>VLOOKUP(Base_Periodo1[[#This Row],[Aux]],Base_Contas_Balanco[#All],2,FALSE)</f>
        <v>#N/A</v>
      </c>
      <c r="G2156" s="1"/>
      <c r="H2156" s="225">
        <v>548648003.48009706</v>
      </c>
      <c r="I2156" s="225">
        <v>198030109.83000001</v>
      </c>
      <c r="J2156" s="225">
        <v>162483213.14000022</v>
      </c>
      <c r="K2156" s="225">
        <v>513101106.79009724</v>
      </c>
      <c r="L21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513101106.79009998</v>
      </c>
      <c r="M2156" s="225">
        <f>ROUND(IF(AND(Base_Periodo1[[#This Row],[Tipo_Linha]]="-",Base_Periodo1[[#This Row],[TIPOSALDO]]="D"),Base_Periodo1[[#This Row],[SALDO_ATUAL]]*-1,Base_Periodo1[[#This Row],[SALDO_ATUAL]]),4)</f>
        <v>513101106.79009998</v>
      </c>
      <c r="N2156" t="s">
        <v>396</v>
      </c>
      <c r="O2156" t="s">
        <v>459</v>
      </c>
      <c r="P2156" t="s">
        <v>459</v>
      </c>
      <c r="Q2156">
        <v>1</v>
      </c>
      <c r="R2156" s="225">
        <f>Base_Periodo1[[#This Row],[CREDITOS]]-Base_Periodo1[[#This Row],[DEBITOS]]</f>
        <v>-35546896.689999789</v>
      </c>
      <c r="S2156" s="3" t="str">
        <f>IF(ISERROR(VLOOKUP(Base_Periodo1[[#This Row],[CONTA]],BaseContasDRE[#All],4,FALSE)),"Fora do DRE",VLOOKUP(Base_Periodo1[[#This Row],[CONTA]],BaseContasDRE[#All],4,FALSE))</f>
        <v>Fora do DRE</v>
      </c>
      <c r="T2156" s="3" t="str">
        <f>IF(ISERROR(VLOOKUP(Base_Periodo1[[#This Row],[CONTA]],BaseContasDRE[#All],5,FALSE)),"Fora do DRE",VLOOKUP(Base_Periodo1[[#This Row],[CONTA]],BaseContasDRE[#All],6,FALSE))</f>
        <v>Fora do DRE</v>
      </c>
      <c r="U2156" s="3" t="str">
        <f>IF(ISERROR(VLOOKUP(Base_Periodo1[[#This Row],[CONTA]],BaseContasDRE[#All],7,FALSE)),"Fora do DRE",VLOOKUP(Base_Periodo1[[#This Row],[CONTA]],BaseContasDRE[#All],7,FALSE))</f>
        <v>Fora do DRE</v>
      </c>
      <c r="V2156" s="3" t="str">
        <f>IF(Base_Periodo1[[#This Row],[Tipo_Linha]]="Fora do DRE","Fora do DRE","( "&amp;Base_Periodo1[[#This Row],[Tipo_Linha]]&amp;" ) "&amp;Base_Periodo1[[#This Row],[Filtro]])</f>
        <v>Fora do DRE</v>
      </c>
      <c r="W2156" s="3" t="str">
        <f>LEFT(Base_Periodo1[[#This Row],[CLASS]],3)</f>
        <v>2</v>
      </c>
    </row>
    <row r="2157" spans="1:23" hidden="1">
      <c r="A2157" s="3" t="str">
        <f t="shared" si="33"/>
        <v>Período 1</v>
      </c>
      <c r="B2157">
        <v>1509</v>
      </c>
      <c r="C2157" t="s">
        <v>1716</v>
      </c>
      <c r="D2157" t="s">
        <v>94</v>
      </c>
      <c r="E2157" s="3" t="str">
        <f>IF(LEN(Base_Periodo1[[#This Row],[CLASS]])&gt;=7,LEFT(Base_Periodo1[[#This Row],[CLASS]],7),"")</f>
        <v/>
      </c>
      <c r="F2157" s="3" t="e">
        <f>VLOOKUP(Base_Periodo1[[#This Row],[Aux]],Base_Contas_Balanco[#All],2,FALSE)</f>
        <v>#N/A</v>
      </c>
      <c r="G2157" s="1"/>
      <c r="H2157" s="225">
        <v>400113753.84009737</v>
      </c>
      <c r="I2157" s="225">
        <v>185487356.03</v>
      </c>
      <c r="J2157" s="225">
        <v>151971805.95000023</v>
      </c>
      <c r="K2157" s="225">
        <v>366598203.76009762</v>
      </c>
      <c r="L21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366598203.76010001</v>
      </c>
      <c r="M2157" s="225">
        <f>ROUND(IF(AND(Base_Periodo1[[#This Row],[Tipo_Linha]]="-",Base_Periodo1[[#This Row],[TIPOSALDO]]="D"),Base_Periodo1[[#This Row],[SALDO_ATUAL]]*-1,Base_Periodo1[[#This Row],[SALDO_ATUAL]]),4)</f>
        <v>366598203.76010001</v>
      </c>
      <c r="N2157" t="s">
        <v>396</v>
      </c>
      <c r="O2157" t="s">
        <v>459</v>
      </c>
      <c r="P2157" t="s">
        <v>459</v>
      </c>
      <c r="Q2157">
        <v>2</v>
      </c>
      <c r="R2157" s="225">
        <f>Base_Periodo1[[#This Row],[CREDITOS]]-Base_Periodo1[[#This Row],[DEBITOS]]</f>
        <v>-33515550.079999775</v>
      </c>
      <c r="S2157" s="3" t="str">
        <f>IF(ISERROR(VLOOKUP(Base_Periodo1[[#This Row],[CONTA]],BaseContasDRE[#All],4,FALSE)),"Fora do DRE",VLOOKUP(Base_Periodo1[[#This Row],[CONTA]],BaseContasDRE[#All],4,FALSE))</f>
        <v>Fora do DRE</v>
      </c>
      <c r="T2157" s="3" t="str">
        <f>IF(ISERROR(VLOOKUP(Base_Periodo1[[#This Row],[CONTA]],BaseContasDRE[#All],5,FALSE)),"Fora do DRE",VLOOKUP(Base_Periodo1[[#This Row],[CONTA]],BaseContasDRE[#All],6,FALSE))</f>
        <v>Fora do DRE</v>
      </c>
      <c r="U2157" s="3" t="str">
        <f>IF(ISERROR(VLOOKUP(Base_Periodo1[[#This Row],[CONTA]],BaseContasDRE[#All],7,FALSE)),"Fora do DRE",VLOOKUP(Base_Periodo1[[#This Row],[CONTA]],BaseContasDRE[#All],7,FALSE))</f>
        <v>Fora do DRE</v>
      </c>
      <c r="V2157" s="3" t="str">
        <f>IF(Base_Periodo1[[#This Row],[Tipo_Linha]]="Fora do DRE","Fora do DRE","( "&amp;Base_Periodo1[[#This Row],[Tipo_Linha]]&amp;" ) "&amp;Base_Periodo1[[#This Row],[Filtro]])</f>
        <v>Fora do DRE</v>
      </c>
      <c r="W2157" s="3" t="str">
        <f>LEFT(Base_Periodo1[[#This Row],[CLASS]],3)</f>
        <v>2.1</v>
      </c>
    </row>
    <row r="2158" spans="1:23" hidden="1">
      <c r="A2158" s="3" t="str">
        <f t="shared" si="33"/>
        <v>Período 1</v>
      </c>
      <c r="B2158">
        <v>1510</v>
      </c>
      <c r="C2158" t="s">
        <v>1717</v>
      </c>
      <c r="D2158" t="s">
        <v>92</v>
      </c>
      <c r="E2158" s="3" t="str">
        <f>IF(LEN(Base_Periodo1[[#This Row],[CLASS]])&gt;=7,LEFT(Base_Periodo1[[#This Row],[CLASS]],7),"")</f>
        <v/>
      </c>
      <c r="F2158" s="3" t="e">
        <f>VLOOKUP(Base_Periodo1[[#This Row],[Aux]],Base_Contas_Balanco[#All],2,FALSE)</f>
        <v>#N/A</v>
      </c>
      <c r="G2158" s="1"/>
      <c r="H2158" s="225">
        <v>164685629.98000133</v>
      </c>
      <c r="I2158" s="225">
        <v>10780894.4</v>
      </c>
      <c r="J2158" s="225">
        <v>5096213.5700000012</v>
      </c>
      <c r="K2158" s="225">
        <v>159000949.15000132</v>
      </c>
      <c r="L21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159000949.15000001</v>
      </c>
      <c r="M2158" s="225">
        <f>ROUND(IF(AND(Base_Periodo1[[#This Row],[Tipo_Linha]]="-",Base_Periodo1[[#This Row],[TIPOSALDO]]="D"),Base_Periodo1[[#This Row],[SALDO_ATUAL]]*-1,Base_Periodo1[[#This Row],[SALDO_ATUAL]]),4)</f>
        <v>159000949.15000001</v>
      </c>
      <c r="N2158" t="s">
        <v>396</v>
      </c>
      <c r="O2158" t="s">
        <v>459</v>
      </c>
      <c r="P2158" t="s">
        <v>459</v>
      </c>
      <c r="Q2158">
        <v>3</v>
      </c>
      <c r="R2158" s="225">
        <f>Base_Periodo1[[#This Row],[CREDITOS]]-Base_Periodo1[[#This Row],[DEBITOS]]</f>
        <v>-5684680.8299999991</v>
      </c>
      <c r="S2158" s="3" t="str">
        <f>IF(ISERROR(VLOOKUP(Base_Periodo1[[#This Row],[CONTA]],BaseContasDRE[#All],4,FALSE)),"Fora do DRE",VLOOKUP(Base_Periodo1[[#This Row],[CONTA]],BaseContasDRE[#All],4,FALSE))</f>
        <v>Fora do DRE</v>
      </c>
      <c r="T2158" s="3" t="str">
        <f>IF(ISERROR(VLOOKUP(Base_Periodo1[[#This Row],[CONTA]],BaseContasDRE[#All],5,FALSE)),"Fora do DRE",VLOOKUP(Base_Periodo1[[#This Row],[CONTA]],BaseContasDRE[#All],6,FALSE))</f>
        <v>Fora do DRE</v>
      </c>
      <c r="U2158" s="3" t="str">
        <f>IF(ISERROR(VLOOKUP(Base_Periodo1[[#This Row],[CONTA]],BaseContasDRE[#All],7,FALSE)),"Fora do DRE",VLOOKUP(Base_Periodo1[[#This Row],[CONTA]],BaseContasDRE[#All],7,FALSE))</f>
        <v>Fora do DRE</v>
      </c>
      <c r="V2158" s="3" t="str">
        <f>IF(Base_Periodo1[[#This Row],[Tipo_Linha]]="Fora do DRE","Fora do DRE","( "&amp;Base_Periodo1[[#This Row],[Tipo_Linha]]&amp;" ) "&amp;Base_Periodo1[[#This Row],[Filtro]])</f>
        <v>Fora do DRE</v>
      </c>
      <c r="W2158" s="3" t="str">
        <f>LEFT(Base_Periodo1[[#This Row],[CLASS]],3)</f>
        <v>2.1</v>
      </c>
    </row>
    <row r="2159" spans="1:23" hidden="1">
      <c r="A2159" s="3" t="str">
        <f t="shared" si="33"/>
        <v>Período 1</v>
      </c>
      <c r="B2159">
        <v>1511</v>
      </c>
      <c r="C2159" t="s">
        <v>38</v>
      </c>
      <c r="D2159" t="s">
        <v>39</v>
      </c>
      <c r="E2159" s="3" t="str">
        <f>IF(LEN(Base_Periodo1[[#This Row],[CLASS]])&gt;=7,LEFT(Base_Periodo1[[#This Row],[CLASS]],7),"")</f>
        <v>2.1.1.1</v>
      </c>
      <c r="F2159" s="3" t="str">
        <f>VLOOKUP(Base_Periodo1[[#This Row],[Aux]],Base_Contas_Balanco[#All],2,FALSE)</f>
        <v>Financiamentos Bancarios A Curto Prazo</v>
      </c>
      <c r="G2159" s="1"/>
      <c r="H2159" s="225">
        <v>164685629.98000133</v>
      </c>
      <c r="I2159" s="225">
        <v>10780894.4</v>
      </c>
      <c r="J2159" s="225">
        <v>5096213.5700000012</v>
      </c>
      <c r="K2159" s="225">
        <v>159000949.15000132</v>
      </c>
      <c r="L21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159000949.15000001</v>
      </c>
      <c r="M2159" s="225">
        <f>ROUND(IF(AND(Base_Periodo1[[#This Row],[Tipo_Linha]]="-",Base_Periodo1[[#This Row],[TIPOSALDO]]="D"),Base_Periodo1[[#This Row],[SALDO_ATUAL]]*-1,Base_Periodo1[[#This Row],[SALDO_ATUAL]]),4)</f>
        <v>159000949.15000001</v>
      </c>
      <c r="N2159" t="s">
        <v>396</v>
      </c>
      <c r="O2159" t="s">
        <v>459</v>
      </c>
      <c r="P2159" t="s">
        <v>459</v>
      </c>
      <c r="Q2159">
        <v>4</v>
      </c>
      <c r="R2159" s="225">
        <f>Base_Periodo1[[#This Row],[CREDITOS]]-Base_Periodo1[[#This Row],[DEBITOS]]</f>
        <v>-5684680.8299999991</v>
      </c>
      <c r="S2159" s="3" t="str">
        <f>IF(ISERROR(VLOOKUP(Base_Periodo1[[#This Row],[CONTA]],BaseContasDRE[#All],4,FALSE)),"Fora do DRE",VLOOKUP(Base_Periodo1[[#This Row],[CONTA]],BaseContasDRE[#All],4,FALSE))</f>
        <v>Fora do DRE</v>
      </c>
      <c r="T2159" s="3" t="str">
        <f>IF(ISERROR(VLOOKUP(Base_Periodo1[[#This Row],[CONTA]],BaseContasDRE[#All],5,FALSE)),"Fora do DRE",VLOOKUP(Base_Periodo1[[#This Row],[CONTA]],BaseContasDRE[#All],6,FALSE))</f>
        <v>Fora do DRE</v>
      </c>
      <c r="U2159" s="3" t="str">
        <f>IF(ISERROR(VLOOKUP(Base_Periodo1[[#This Row],[CONTA]],BaseContasDRE[#All],7,FALSE)),"Fora do DRE",VLOOKUP(Base_Periodo1[[#This Row],[CONTA]],BaseContasDRE[#All],7,FALSE))</f>
        <v>Fora do DRE</v>
      </c>
      <c r="V2159" s="3" t="str">
        <f>IF(Base_Periodo1[[#This Row],[Tipo_Linha]]="Fora do DRE","Fora do DRE","( "&amp;Base_Periodo1[[#This Row],[Tipo_Linha]]&amp;" ) "&amp;Base_Periodo1[[#This Row],[Filtro]])</f>
        <v>Fora do DRE</v>
      </c>
      <c r="W2159" s="3" t="str">
        <f>LEFT(Base_Periodo1[[#This Row],[CLASS]],3)</f>
        <v>2.1</v>
      </c>
    </row>
    <row r="2160" spans="1:23" hidden="1">
      <c r="A2160" s="3" t="str">
        <f t="shared" si="33"/>
        <v>Período 1</v>
      </c>
      <c r="B2160">
        <v>1517</v>
      </c>
      <c r="C2160" t="s">
        <v>1718</v>
      </c>
      <c r="D2160" t="s">
        <v>1719</v>
      </c>
      <c r="E2160" s="3" t="str">
        <f>IF(LEN(Base_Periodo1[[#This Row],[CLASS]])&gt;=7,LEFT(Base_Periodo1[[#This Row],[CLASS]],7),"")</f>
        <v>2.1.1.1</v>
      </c>
      <c r="F2160" s="3" t="str">
        <f>VLOOKUP(Base_Periodo1[[#This Row],[Aux]],Base_Contas_Balanco[#All],2,FALSE)</f>
        <v>Financiamentos Bancarios A Curto Prazo</v>
      </c>
      <c r="G2160" s="1"/>
      <c r="H2160" s="225">
        <v>164685629.98000133</v>
      </c>
      <c r="I2160" s="225">
        <v>10780894.4</v>
      </c>
      <c r="J2160" s="225">
        <v>5096213.5700000012</v>
      </c>
      <c r="K2160" s="225">
        <v>159000949.15000132</v>
      </c>
      <c r="L21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159000949.15000001</v>
      </c>
      <c r="M2160" s="225">
        <f>ROUND(IF(AND(Base_Periodo1[[#This Row],[Tipo_Linha]]="-",Base_Periodo1[[#This Row],[TIPOSALDO]]="D"),Base_Periodo1[[#This Row],[SALDO_ATUAL]]*-1,Base_Periodo1[[#This Row],[SALDO_ATUAL]]),4)</f>
        <v>159000949.15000001</v>
      </c>
      <c r="N2160" t="s">
        <v>396</v>
      </c>
      <c r="O2160" t="s">
        <v>459</v>
      </c>
      <c r="P2160" t="s">
        <v>459</v>
      </c>
      <c r="Q2160">
        <v>5</v>
      </c>
      <c r="R2160" s="225">
        <f>Base_Periodo1[[#This Row],[CREDITOS]]-Base_Periodo1[[#This Row],[DEBITOS]]</f>
        <v>-5684680.8299999991</v>
      </c>
      <c r="S2160" s="3" t="str">
        <f>IF(ISERROR(VLOOKUP(Base_Periodo1[[#This Row],[CONTA]],BaseContasDRE[#All],4,FALSE)),"Fora do DRE",VLOOKUP(Base_Periodo1[[#This Row],[CONTA]],BaseContasDRE[#All],4,FALSE))</f>
        <v>Fora do DRE</v>
      </c>
      <c r="T2160" s="3" t="str">
        <f>IF(ISERROR(VLOOKUP(Base_Periodo1[[#This Row],[CONTA]],BaseContasDRE[#All],5,FALSE)),"Fora do DRE",VLOOKUP(Base_Periodo1[[#This Row],[CONTA]],BaseContasDRE[#All],6,FALSE))</f>
        <v>Fora do DRE</v>
      </c>
      <c r="U2160" s="3" t="str">
        <f>IF(ISERROR(VLOOKUP(Base_Periodo1[[#This Row],[CONTA]],BaseContasDRE[#All],7,FALSE)),"Fora do DRE",VLOOKUP(Base_Periodo1[[#This Row],[CONTA]],BaseContasDRE[#All],7,FALSE))</f>
        <v>Fora do DRE</v>
      </c>
      <c r="V2160" s="3" t="str">
        <f>IF(Base_Periodo1[[#This Row],[Tipo_Linha]]="Fora do DRE","Fora do DRE","( "&amp;Base_Periodo1[[#This Row],[Tipo_Linha]]&amp;" ) "&amp;Base_Periodo1[[#This Row],[Filtro]])</f>
        <v>Fora do DRE</v>
      </c>
      <c r="W2160" s="3" t="str">
        <f>LEFT(Base_Periodo1[[#This Row],[CLASS]],3)</f>
        <v>2.1</v>
      </c>
    </row>
    <row r="2161" spans="1:23" hidden="1">
      <c r="A2161" s="3" t="str">
        <f t="shared" si="33"/>
        <v>Período 1</v>
      </c>
      <c r="B2161">
        <v>1518</v>
      </c>
      <c r="C2161" t="s">
        <v>1720</v>
      </c>
      <c r="D2161" t="s">
        <v>1721</v>
      </c>
      <c r="E2161" s="3" t="str">
        <f>IF(LEN(Base_Periodo1[[#This Row],[CLASS]])&gt;=7,LEFT(Base_Periodo1[[#This Row],[CLASS]],7),"")</f>
        <v>2.1.1.1</v>
      </c>
      <c r="F2161" s="3" t="str">
        <f>VLOOKUP(Base_Periodo1[[#This Row],[Aux]],Base_Contas_Balanco[#All],2,FALSE)</f>
        <v>Financiamentos Bancarios A Curto Prazo</v>
      </c>
      <c r="G2161" s="1">
        <v>42886</v>
      </c>
      <c r="H2161" s="225">
        <v>36871416.179999977</v>
      </c>
      <c r="I2161" s="225">
        <v>0</v>
      </c>
      <c r="J2161" s="225">
        <v>256547.8</v>
      </c>
      <c r="K2161" s="225">
        <v>37127963.979999974</v>
      </c>
      <c r="L21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37127963.979999997</v>
      </c>
      <c r="M2161" s="225">
        <f>ROUND(IF(AND(Base_Periodo1[[#This Row],[Tipo_Linha]]="-",Base_Periodo1[[#This Row],[TIPOSALDO]]="D"),Base_Periodo1[[#This Row],[SALDO_ATUAL]]*-1,Base_Periodo1[[#This Row],[SALDO_ATUAL]]),4)</f>
        <v>37127963.979999997</v>
      </c>
      <c r="N2161" t="s">
        <v>116</v>
      </c>
      <c r="O2161" t="s">
        <v>459</v>
      </c>
      <c r="P2161" t="s">
        <v>459</v>
      </c>
      <c r="Q2161">
        <v>6</v>
      </c>
      <c r="R2161" s="225">
        <f>Base_Periodo1[[#This Row],[CREDITOS]]-Base_Periodo1[[#This Row],[DEBITOS]]</f>
        <v>256547.8</v>
      </c>
      <c r="S2161" s="3" t="str">
        <f>IF(ISERROR(VLOOKUP(Base_Periodo1[[#This Row],[CONTA]],BaseContasDRE[#All],4,FALSE)),"Fora do DRE",VLOOKUP(Base_Periodo1[[#This Row],[CONTA]],BaseContasDRE[#All],4,FALSE))</f>
        <v>Fora do DRE</v>
      </c>
      <c r="T2161" s="3" t="str">
        <f>IF(ISERROR(VLOOKUP(Base_Periodo1[[#This Row],[CONTA]],BaseContasDRE[#All],5,FALSE)),"Fora do DRE",VLOOKUP(Base_Periodo1[[#This Row],[CONTA]],BaseContasDRE[#All],6,FALSE))</f>
        <v>Fora do DRE</v>
      </c>
      <c r="U2161" s="3" t="str">
        <f>IF(ISERROR(VLOOKUP(Base_Periodo1[[#This Row],[CONTA]],BaseContasDRE[#All],7,FALSE)),"Fora do DRE",VLOOKUP(Base_Periodo1[[#This Row],[CONTA]],BaseContasDRE[#All],7,FALSE))</f>
        <v>Fora do DRE</v>
      </c>
      <c r="V2161" s="3" t="str">
        <f>IF(Base_Periodo1[[#This Row],[Tipo_Linha]]="Fora do DRE","Fora do DRE","( "&amp;Base_Periodo1[[#This Row],[Tipo_Linha]]&amp;" ) "&amp;Base_Periodo1[[#This Row],[Filtro]])</f>
        <v>Fora do DRE</v>
      </c>
      <c r="W2161" s="3" t="str">
        <f>LEFT(Base_Periodo1[[#This Row],[CLASS]],3)</f>
        <v>2.1</v>
      </c>
    </row>
    <row r="2162" spans="1:23" hidden="1">
      <c r="A2162" s="3" t="str">
        <f t="shared" si="33"/>
        <v>Período 1</v>
      </c>
      <c r="B2162">
        <v>1519</v>
      </c>
      <c r="C2162" t="s">
        <v>1722</v>
      </c>
      <c r="D2162" t="s">
        <v>1723</v>
      </c>
      <c r="E2162" s="3" t="str">
        <f>IF(LEN(Base_Periodo1[[#This Row],[CLASS]])&gt;=7,LEFT(Base_Periodo1[[#This Row],[CLASS]],7),"")</f>
        <v>2.1.1.1</v>
      </c>
      <c r="F2162" s="3" t="str">
        <f>VLOOKUP(Base_Periodo1[[#This Row],[Aux]],Base_Contas_Balanco[#All],2,FALSE)</f>
        <v>Financiamentos Bancarios A Curto Prazo</v>
      </c>
      <c r="G2162" s="1">
        <v>42886</v>
      </c>
      <c r="H2162" s="225">
        <v>124736910.34000134</v>
      </c>
      <c r="I2162" s="225">
        <v>10772700.310000001</v>
      </c>
      <c r="J2162" s="225">
        <v>4839234.9000000013</v>
      </c>
      <c r="K2162" s="225">
        <v>118803444.93000135</v>
      </c>
      <c r="L21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118803444.93000001</v>
      </c>
      <c r="M2162" s="225">
        <f>ROUND(IF(AND(Base_Periodo1[[#This Row],[Tipo_Linha]]="-",Base_Periodo1[[#This Row],[TIPOSALDO]]="D"),Base_Periodo1[[#This Row],[SALDO_ATUAL]]*-1,Base_Periodo1[[#This Row],[SALDO_ATUAL]]),4)</f>
        <v>118803444.93000001</v>
      </c>
      <c r="N2162" t="s">
        <v>116</v>
      </c>
      <c r="O2162" t="s">
        <v>459</v>
      </c>
      <c r="P2162" t="s">
        <v>459</v>
      </c>
      <c r="Q2162">
        <v>6</v>
      </c>
      <c r="R2162" s="225">
        <f>Base_Periodo1[[#This Row],[CREDITOS]]-Base_Periodo1[[#This Row],[DEBITOS]]</f>
        <v>-5933465.4099999992</v>
      </c>
      <c r="S2162" s="3" t="str">
        <f>IF(ISERROR(VLOOKUP(Base_Periodo1[[#This Row],[CONTA]],BaseContasDRE[#All],4,FALSE)),"Fora do DRE",VLOOKUP(Base_Periodo1[[#This Row],[CONTA]],BaseContasDRE[#All],4,FALSE))</f>
        <v>Fora do DRE</v>
      </c>
      <c r="T2162" s="3" t="str">
        <f>IF(ISERROR(VLOOKUP(Base_Periodo1[[#This Row],[CONTA]],BaseContasDRE[#All],5,FALSE)),"Fora do DRE",VLOOKUP(Base_Periodo1[[#This Row],[CONTA]],BaseContasDRE[#All],6,FALSE))</f>
        <v>Fora do DRE</v>
      </c>
      <c r="U2162" s="3" t="str">
        <f>IF(ISERROR(VLOOKUP(Base_Periodo1[[#This Row],[CONTA]],BaseContasDRE[#All],7,FALSE)),"Fora do DRE",VLOOKUP(Base_Periodo1[[#This Row],[CONTA]],BaseContasDRE[#All],7,FALSE))</f>
        <v>Fora do DRE</v>
      </c>
      <c r="V2162" s="3" t="str">
        <f>IF(Base_Periodo1[[#This Row],[Tipo_Linha]]="Fora do DRE","Fora do DRE","( "&amp;Base_Periodo1[[#This Row],[Tipo_Linha]]&amp;" ) "&amp;Base_Periodo1[[#This Row],[Filtro]])</f>
        <v>Fora do DRE</v>
      </c>
      <c r="W2162" s="3" t="str">
        <f>LEFT(Base_Periodo1[[#This Row],[CLASS]],3)</f>
        <v>2.1</v>
      </c>
    </row>
    <row r="2163" spans="1:23" hidden="1">
      <c r="A2163" s="3" t="str">
        <f t="shared" si="33"/>
        <v>Período 1</v>
      </c>
      <c r="B2163">
        <v>1520</v>
      </c>
      <c r="C2163" t="s">
        <v>1724</v>
      </c>
      <c r="D2163" t="s">
        <v>1725</v>
      </c>
      <c r="E2163" s="3" t="str">
        <f>IF(LEN(Base_Periodo1[[#This Row],[CLASS]])&gt;=7,LEFT(Base_Periodo1[[#This Row],[CLASS]],7),"")</f>
        <v>2.1.1.1</v>
      </c>
      <c r="F2163" s="3" t="str">
        <f>VLOOKUP(Base_Periodo1[[#This Row],[Aux]],Base_Contas_Balanco[#All],2,FALSE)</f>
        <v>Financiamentos Bancarios A Curto Prazo</v>
      </c>
      <c r="G2163" s="1">
        <v>42886</v>
      </c>
      <c r="H2163" s="225">
        <v>3077303.4600000065</v>
      </c>
      <c r="I2163" s="225">
        <v>8194.09</v>
      </c>
      <c r="J2163" s="225">
        <v>430.87</v>
      </c>
      <c r="K2163" s="225">
        <v>3069540.2400000067</v>
      </c>
      <c r="L21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3069540.24</v>
      </c>
      <c r="M2163" s="225">
        <f>ROUND(IF(AND(Base_Periodo1[[#This Row],[Tipo_Linha]]="-",Base_Periodo1[[#This Row],[TIPOSALDO]]="D"),Base_Periodo1[[#This Row],[SALDO_ATUAL]]*-1,Base_Periodo1[[#This Row],[SALDO_ATUAL]]),4)</f>
        <v>3069540.24</v>
      </c>
      <c r="N2163" t="s">
        <v>116</v>
      </c>
      <c r="O2163" t="s">
        <v>459</v>
      </c>
      <c r="P2163" t="s">
        <v>459</v>
      </c>
      <c r="Q2163">
        <v>6</v>
      </c>
      <c r="R2163" s="225">
        <f>Base_Periodo1[[#This Row],[CREDITOS]]-Base_Periodo1[[#This Row],[DEBITOS]]</f>
        <v>-7763.22</v>
      </c>
      <c r="S2163" s="3" t="str">
        <f>IF(ISERROR(VLOOKUP(Base_Periodo1[[#This Row],[CONTA]],BaseContasDRE[#All],4,FALSE)),"Fora do DRE",VLOOKUP(Base_Periodo1[[#This Row],[CONTA]],BaseContasDRE[#All],4,FALSE))</f>
        <v>Fora do DRE</v>
      </c>
      <c r="T2163" s="3" t="str">
        <f>IF(ISERROR(VLOOKUP(Base_Periodo1[[#This Row],[CONTA]],BaseContasDRE[#All],5,FALSE)),"Fora do DRE",VLOOKUP(Base_Periodo1[[#This Row],[CONTA]],BaseContasDRE[#All],6,FALSE))</f>
        <v>Fora do DRE</v>
      </c>
      <c r="U2163" s="3" t="str">
        <f>IF(ISERROR(VLOOKUP(Base_Periodo1[[#This Row],[CONTA]],BaseContasDRE[#All],7,FALSE)),"Fora do DRE",VLOOKUP(Base_Periodo1[[#This Row],[CONTA]],BaseContasDRE[#All],7,FALSE))</f>
        <v>Fora do DRE</v>
      </c>
      <c r="V2163" s="3" t="str">
        <f>IF(Base_Periodo1[[#This Row],[Tipo_Linha]]="Fora do DRE","Fora do DRE","( "&amp;Base_Periodo1[[#This Row],[Tipo_Linha]]&amp;" ) "&amp;Base_Periodo1[[#This Row],[Filtro]])</f>
        <v>Fora do DRE</v>
      </c>
      <c r="W2163" s="3" t="str">
        <f>LEFT(Base_Periodo1[[#This Row],[CLASS]],3)</f>
        <v>2.1</v>
      </c>
    </row>
    <row r="2164" spans="1:23" hidden="1">
      <c r="A2164" s="3" t="str">
        <f t="shared" si="33"/>
        <v>Período 1</v>
      </c>
      <c r="B2164">
        <v>1521</v>
      </c>
      <c r="C2164" t="s">
        <v>1726</v>
      </c>
      <c r="D2164" t="s">
        <v>95</v>
      </c>
      <c r="E2164" s="3" t="str">
        <f>IF(LEN(Base_Periodo1[[#This Row],[CLASS]])&gt;=7,LEFT(Base_Periodo1[[#This Row],[CLASS]],7),"")</f>
        <v/>
      </c>
      <c r="F2164" s="3" t="e">
        <f>VLOOKUP(Base_Periodo1[[#This Row],[Aux]],Base_Contas_Balanco[#All],2,FALSE)</f>
        <v>#N/A</v>
      </c>
      <c r="G2164" s="1"/>
      <c r="H2164" s="225">
        <v>52258333.270100378</v>
      </c>
      <c r="I2164" s="225">
        <v>76415292.020000011</v>
      </c>
      <c r="J2164" s="225">
        <v>73133729.299999967</v>
      </c>
      <c r="K2164" s="225">
        <v>48976770.550100334</v>
      </c>
      <c r="L21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48976770.550099999</v>
      </c>
      <c r="M2164" s="225">
        <f>ROUND(IF(AND(Base_Periodo1[[#This Row],[Tipo_Linha]]="-",Base_Periodo1[[#This Row],[TIPOSALDO]]="D"),Base_Periodo1[[#This Row],[SALDO_ATUAL]]*-1,Base_Periodo1[[#This Row],[SALDO_ATUAL]]),4)</f>
        <v>48976770.550099999</v>
      </c>
      <c r="N2164" t="s">
        <v>396</v>
      </c>
      <c r="O2164" t="s">
        <v>459</v>
      </c>
      <c r="P2164" t="s">
        <v>459</v>
      </c>
      <c r="Q2164">
        <v>3</v>
      </c>
      <c r="R2164" s="225">
        <f>Base_Periodo1[[#This Row],[CREDITOS]]-Base_Periodo1[[#This Row],[DEBITOS]]</f>
        <v>-3281562.7200000435</v>
      </c>
      <c r="S2164" s="3" t="str">
        <f>IF(ISERROR(VLOOKUP(Base_Periodo1[[#This Row],[CONTA]],BaseContasDRE[#All],4,FALSE)),"Fora do DRE",VLOOKUP(Base_Periodo1[[#This Row],[CONTA]],BaseContasDRE[#All],4,FALSE))</f>
        <v>Fora do DRE</v>
      </c>
      <c r="T2164" s="3" t="str">
        <f>IF(ISERROR(VLOOKUP(Base_Periodo1[[#This Row],[CONTA]],BaseContasDRE[#All],5,FALSE)),"Fora do DRE",VLOOKUP(Base_Periodo1[[#This Row],[CONTA]],BaseContasDRE[#All],6,FALSE))</f>
        <v>Fora do DRE</v>
      </c>
      <c r="U2164" s="3" t="str">
        <f>IF(ISERROR(VLOOKUP(Base_Periodo1[[#This Row],[CONTA]],BaseContasDRE[#All],7,FALSE)),"Fora do DRE",VLOOKUP(Base_Periodo1[[#This Row],[CONTA]],BaseContasDRE[#All],7,FALSE))</f>
        <v>Fora do DRE</v>
      </c>
      <c r="V2164" s="3" t="str">
        <f>IF(Base_Periodo1[[#This Row],[Tipo_Linha]]="Fora do DRE","Fora do DRE","( "&amp;Base_Periodo1[[#This Row],[Tipo_Linha]]&amp;" ) "&amp;Base_Periodo1[[#This Row],[Filtro]])</f>
        <v>Fora do DRE</v>
      </c>
      <c r="W2164" s="3" t="str">
        <f>LEFT(Base_Periodo1[[#This Row],[CLASS]],3)</f>
        <v>2.1</v>
      </c>
    </row>
    <row r="2165" spans="1:23" hidden="1">
      <c r="A2165" s="3" t="str">
        <f t="shared" si="33"/>
        <v>Período 1</v>
      </c>
      <c r="B2165">
        <v>1522</v>
      </c>
      <c r="C2165" t="s">
        <v>40</v>
      </c>
      <c r="D2165" t="s">
        <v>41</v>
      </c>
      <c r="E2165" s="3" t="str">
        <f>IF(LEN(Base_Periodo1[[#This Row],[CLASS]])&gt;=7,LEFT(Base_Periodo1[[#This Row],[CLASS]],7),"")</f>
        <v>2.1.2.1</v>
      </c>
      <c r="F2165" s="3" t="str">
        <f>VLOOKUP(Base_Periodo1[[#This Row],[Aux]],Base_Contas_Balanco[#All],2,FALSE)</f>
        <v>Fornecedores Cooperados</v>
      </c>
      <c r="G2165" s="1"/>
      <c r="H2165" s="225">
        <v>31318538.920000039</v>
      </c>
      <c r="I2165" s="225">
        <v>45505706.860000007</v>
      </c>
      <c r="J2165" s="225">
        <v>42286842.329999976</v>
      </c>
      <c r="K2165" s="225">
        <v>28099674.390000008</v>
      </c>
      <c r="L21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28099674.390000001</v>
      </c>
      <c r="M2165" s="225">
        <f>ROUND(IF(AND(Base_Periodo1[[#This Row],[Tipo_Linha]]="-",Base_Periodo1[[#This Row],[TIPOSALDO]]="D"),Base_Periodo1[[#This Row],[SALDO_ATUAL]]*-1,Base_Periodo1[[#This Row],[SALDO_ATUAL]]),4)</f>
        <v>28099674.390000001</v>
      </c>
      <c r="N2165" t="s">
        <v>396</v>
      </c>
      <c r="O2165" t="s">
        <v>459</v>
      </c>
      <c r="P2165" t="s">
        <v>459</v>
      </c>
      <c r="Q2165">
        <v>4</v>
      </c>
      <c r="R2165" s="225">
        <f>Base_Periodo1[[#This Row],[CREDITOS]]-Base_Periodo1[[#This Row],[DEBITOS]]</f>
        <v>-3218864.530000031</v>
      </c>
      <c r="S2165" s="3" t="str">
        <f>IF(ISERROR(VLOOKUP(Base_Periodo1[[#This Row],[CONTA]],BaseContasDRE[#All],4,FALSE)),"Fora do DRE",VLOOKUP(Base_Periodo1[[#This Row],[CONTA]],BaseContasDRE[#All],4,FALSE))</f>
        <v>Fora do DRE</v>
      </c>
      <c r="T2165" s="3" t="str">
        <f>IF(ISERROR(VLOOKUP(Base_Periodo1[[#This Row],[CONTA]],BaseContasDRE[#All],5,FALSE)),"Fora do DRE",VLOOKUP(Base_Periodo1[[#This Row],[CONTA]],BaseContasDRE[#All],6,FALSE))</f>
        <v>Fora do DRE</v>
      </c>
      <c r="U2165" s="3" t="str">
        <f>IF(ISERROR(VLOOKUP(Base_Periodo1[[#This Row],[CONTA]],BaseContasDRE[#All],7,FALSE)),"Fora do DRE",VLOOKUP(Base_Periodo1[[#This Row],[CONTA]],BaseContasDRE[#All],7,FALSE))</f>
        <v>Fora do DRE</v>
      </c>
      <c r="V2165" s="3" t="str">
        <f>IF(Base_Periodo1[[#This Row],[Tipo_Linha]]="Fora do DRE","Fora do DRE","( "&amp;Base_Periodo1[[#This Row],[Tipo_Linha]]&amp;" ) "&amp;Base_Periodo1[[#This Row],[Filtro]])</f>
        <v>Fora do DRE</v>
      </c>
      <c r="W2165" s="3" t="str">
        <f>LEFT(Base_Periodo1[[#This Row],[CLASS]],3)</f>
        <v>2.1</v>
      </c>
    </row>
    <row r="2166" spans="1:23" hidden="1">
      <c r="A2166" s="3" t="str">
        <f t="shared" si="33"/>
        <v>Período 1</v>
      </c>
      <c r="B2166">
        <v>1523</v>
      </c>
      <c r="C2166" t="s">
        <v>1727</v>
      </c>
      <c r="D2166" t="s">
        <v>1640</v>
      </c>
      <c r="E2166" s="3" t="str">
        <f>IF(LEN(Base_Periodo1[[#This Row],[CLASS]])&gt;=7,LEFT(Base_Periodo1[[#This Row],[CLASS]],7),"")</f>
        <v>2.1.2.1</v>
      </c>
      <c r="F2166" s="3" t="str">
        <f>VLOOKUP(Base_Periodo1[[#This Row],[Aux]],Base_Contas_Balanco[#All],2,FALSE)</f>
        <v>Fornecedores Cooperados</v>
      </c>
      <c r="G2166" s="1"/>
      <c r="H2166" s="225">
        <v>13859203.109999981</v>
      </c>
      <c r="I2166" s="225">
        <v>42919048.040000021</v>
      </c>
      <c r="J2166" s="225">
        <v>36034203.859999999</v>
      </c>
      <c r="K2166" s="225">
        <v>6974358.9299999587</v>
      </c>
      <c r="L21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6974358.9299999997</v>
      </c>
      <c r="M2166" s="225">
        <f>ROUND(IF(AND(Base_Periodo1[[#This Row],[Tipo_Linha]]="-",Base_Periodo1[[#This Row],[TIPOSALDO]]="D"),Base_Periodo1[[#This Row],[SALDO_ATUAL]]*-1,Base_Periodo1[[#This Row],[SALDO_ATUAL]]),4)</f>
        <v>6974358.9299999997</v>
      </c>
      <c r="N2166" t="s">
        <v>396</v>
      </c>
      <c r="O2166" t="s">
        <v>459</v>
      </c>
      <c r="P2166" t="s">
        <v>459</v>
      </c>
      <c r="Q2166">
        <v>5</v>
      </c>
      <c r="R2166" s="225">
        <f>Base_Periodo1[[#This Row],[CREDITOS]]-Base_Periodo1[[#This Row],[DEBITOS]]</f>
        <v>-6884844.1800000221</v>
      </c>
      <c r="S2166" s="3" t="str">
        <f>IF(ISERROR(VLOOKUP(Base_Periodo1[[#This Row],[CONTA]],BaseContasDRE[#All],4,FALSE)),"Fora do DRE",VLOOKUP(Base_Periodo1[[#This Row],[CONTA]],BaseContasDRE[#All],4,FALSE))</f>
        <v>Fora do DRE</v>
      </c>
      <c r="T2166" s="3" t="str">
        <f>IF(ISERROR(VLOOKUP(Base_Periodo1[[#This Row],[CONTA]],BaseContasDRE[#All],5,FALSE)),"Fora do DRE",VLOOKUP(Base_Periodo1[[#This Row],[CONTA]],BaseContasDRE[#All],6,FALSE))</f>
        <v>Fora do DRE</v>
      </c>
      <c r="U2166" s="3" t="str">
        <f>IF(ISERROR(VLOOKUP(Base_Periodo1[[#This Row],[CONTA]],BaseContasDRE[#All],7,FALSE)),"Fora do DRE",VLOOKUP(Base_Periodo1[[#This Row],[CONTA]],BaseContasDRE[#All],7,FALSE))</f>
        <v>Fora do DRE</v>
      </c>
      <c r="V2166" s="3" t="str">
        <f>IF(Base_Periodo1[[#This Row],[Tipo_Linha]]="Fora do DRE","Fora do DRE","( "&amp;Base_Periodo1[[#This Row],[Tipo_Linha]]&amp;" ) "&amp;Base_Periodo1[[#This Row],[Filtro]])</f>
        <v>Fora do DRE</v>
      </c>
      <c r="W2166" s="3" t="str">
        <f>LEFT(Base_Periodo1[[#This Row],[CLASS]],3)</f>
        <v>2.1</v>
      </c>
    </row>
    <row r="2167" spans="1:23" hidden="1">
      <c r="A2167" s="3" t="str">
        <f t="shared" si="33"/>
        <v>Período 1</v>
      </c>
      <c r="B2167">
        <v>1524</v>
      </c>
      <c r="C2167" t="s">
        <v>1728</v>
      </c>
      <c r="D2167" t="s">
        <v>1729</v>
      </c>
      <c r="E2167" s="3" t="str">
        <f>IF(LEN(Base_Periodo1[[#This Row],[CLASS]])&gt;=7,LEFT(Base_Periodo1[[#This Row],[CLASS]],7),"")</f>
        <v>2.1.2.1</v>
      </c>
      <c r="F2167" s="3" t="str">
        <f>VLOOKUP(Base_Periodo1[[#This Row],[Aux]],Base_Contas_Balanco[#All],2,FALSE)</f>
        <v>Fornecedores Cooperados</v>
      </c>
      <c r="G2167" s="1"/>
      <c r="H2167" s="225">
        <v>13859203.109999981</v>
      </c>
      <c r="I2167" s="225">
        <v>42919048.040000021</v>
      </c>
      <c r="J2167" s="225">
        <v>36034203.859999999</v>
      </c>
      <c r="K2167" s="225">
        <v>6974358.9299999587</v>
      </c>
      <c r="L21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6974358.9299999997</v>
      </c>
      <c r="M2167" s="225">
        <f>ROUND(IF(AND(Base_Periodo1[[#This Row],[Tipo_Linha]]="-",Base_Periodo1[[#This Row],[TIPOSALDO]]="D"),Base_Periodo1[[#This Row],[SALDO_ATUAL]]*-1,Base_Periodo1[[#This Row],[SALDO_ATUAL]]),4)</f>
        <v>6974358.9299999997</v>
      </c>
      <c r="N2167" t="s">
        <v>396</v>
      </c>
      <c r="O2167" t="s">
        <v>459</v>
      </c>
      <c r="P2167" t="s">
        <v>459</v>
      </c>
      <c r="Q2167">
        <v>6</v>
      </c>
      <c r="R2167" s="225">
        <f>Base_Periodo1[[#This Row],[CREDITOS]]-Base_Periodo1[[#This Row],[DEBITOS]]</f>
        <v>-6884844.1800000221</v>
      </c>
      <c r="S2167" s="3" t="str">
        <f>IF(ISERROR(VLOOKUP(Base_Periodo1[[#This Row],[CONTA]],BaseContasDRE[#All],4,FALSE)),"Fora do DRE",VLOOKUP(Base_Periodo1[[#This Row],[CONTA]],BaseContasDRE[#All],4,FALSE))</f>
        <v>Fora do DRE</v>
      </c>
      <c r="T2167" s="3" t="str">
        <f>IF(ISERROR(VLOOKUP(Base_Periodo1[[#This Row],[CONTA]],BaseContasDRE[#All],5,FALSE)),"Fora do DRE",VLOOKUP(Base_Periodo1[[#This Row],[CONTA]],BaseContasDRE[#All],6,FALSE))</f>
        <v>Fora do DRE</v>
      </c>
      <c r="U2167" s="3" t="str">
        <f>IF(ISERROR(VLOOKUP(Base_Periodo1[[#This Row],[CONTA]],BaseContasDRE[#All],7,FALSE)),"Fora do DRE",VLOOKUP(Base_Periodo1[[#This Row],[CONTA]],BaseContasDRE[#All],7,FALSE))</f>
        <v>Fora do DRE</v>
      </c>
      <c r="V2167" s="3" t="str">
        <f>IF(Base_Periodo1[[#This Row],[Tipo_Linha]]="Fora do DRE","Fora do DRE","( "&amp;Base_Periodo1[[#This Row],[Tipo_Linha]]&amp;" ) "&amp;Base_Periodo1[[#This Row],[Filtro]])</f>
        <v>Fora do DRE</v>
      </c>
      <c r="W2167" s="3" t="str">
        <f>LEFT(Base_Periodo1[[#This Row],[CLASS]],3)</f>
        <v>2.1</v>
      </c>
    </row>
    <row r="2168" spans="1:23" hidden="1">
      <c r="A2168" s="3" t="str">
        <f t="shared" si="33"/>
        <v>Período 1</v>
      </c>
      <c r="B2168">
        <v>21024</v>
      </c>
      <c r="C2168" t="s">
        <v>1730</v>
      </c>
      <c r="D2168" t="s">
        <v>504</v>
      </c>
      <c r="E2168" s="3" t="str">
        <f>IF(LEN(Base_Periodo1[[#This Row],[CLASS]])&gt;=7,LEFT(Base_Periodo1[[#This Row],[CLASS]],7),"")</f>
        <v>2.1.2.1</v>
      </c>
      <c r="F2168" s="3" t="str">
        <f>VLOOKUP(Base_Periodo1[[#This Row],[Aux]],Base_Contas_Balanco[#All],2,FALSE)</f>
        <v>Fornecedores Cooperados</v>
      </c>
      <c r="G2168" s="1">
        <v>42885</v>
      </c>
      <c r="I2168" s="225">
        <v>53697.51</v>
      </c>
      <c r="J2168" s="225">
        <v>53697.509999999995</v>
      </c>
      <c r="K2168" s="225">
        <v>-2.255546860396862E-10</v>
      </c>
      <c r="L21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68" s="225">
        <f>ROUND(IF(AND(Base_Periodo1[[#This Row],[Tipo_Linha]]="-",Base_Periodo1[[#This Row],[TIPOSALDO]]="D"),Base_Periodo1[[#This Row],[SALDO_ATUAL]]*-1,Base_Periodo1[[#This Row],[SALDO_ATUAL]]),4)</f>
        <v>0</v>
      </c>
      <c r="N2168" t="s">
        <v>116</v>
      </c>
      <c r="O2168" t="s">
        <v>436</v>
      </c>
      <c r="P2168" t="s">
        <v>436</v>
      </c>
      <c r="Q2168">
        <v>7</v>
      </c>
      <c r="R2168" s="225">
        <f>Base_Periodo1[[#This Row],[CREDITOS]]-Base_Periodo1[[#This Row],[DEBITOS]]</f>
        <v>0</v>
      </c>
      <c r="S2168" s="3" t="str">
        <f>IF(ISERROR(VLOOKUP(Base_Periodo1[[#This Row],[CONTA]],BaseContasDRE[#All],4,FALSE)),"Fora do DRE",VLOOKUP(Base_Periodo1[[#This Row],[CONTA]],BaseContasDRE[#All],4,FALSE))</f>
        <v>Fora do DRE</v>
      </c>
      <c r="T2168" s="3" t="str">
        <f>IF(ISERROR(VLOOKUP(Base_Periodo1[[#This Row],[CONTA]],BaseContasDRE[#All],5,FALSE)),"Fora do DRE",VLOOKUP(Base_Periodo1[[#This Row],[CONTA]],BaseContasDRE[#All],6,FALSE))</f>
        <v>Fora do DRE</v>
      </c>
      <c r="U2168" s="3" t="str">
        <f>IF(ISERROR(VLOOKUP(Base_Periodo1[[#This Row],[CONTA]],BaseContasDRE[#All],7,FALSE)),"Fora do DRE",VLOOKUP(Base_Periodo1[[#This Row],[CONTA]],BaseContasDRE[#All],7,FALSE))</f>
        <v>Fora do DRE</v>
      </c>
      <c r="V2168" s="3" t="str">
        <f>IF(Base_Periodo1[[#This Row],[Tipo_Linha]]="Fora do DRE","Fora do DRE","( "&amp;Base_Periodo1[[#This Row],[Tipo_Linha]]&amp;" ) "&amp;Base_Periodo1[[#This Row],[Filtro]])</f>
        <v>Fora do DRE</v>
      </c>
      <c r="W2168" s="3" t="str">
        <f>LEFT(Base_Periodo1[[#This Row],[CLASS]],3)</f>
        <v>2.1</v>
      </c>
    </row>
    <row r="2169" spans="1:23" hidden="1">
      <c r="A2169" s="3" t="str">
        <f t="shared" si="33"/>
        <v>Período 1</v>
      </c>
      <c r="B2169">
        <v>47179</v>
      </c>
      <c r="C2169" t="s">
        <v>1730</v>
      </c>
      <c r="D2169" t="s">
        <v>4668</v>
      </c>
      <c r="E2169" s="3" t="str">
        <f>IF(LEN(Base_Periodo1[[#This Row],[CLASS]])&gt;=7,LEFT(Base_Periodo1[[#This Row],[CLASS]],7),"")</f>
        <v>2.1.2.1</v>
      </c>
      <c r="F2169" s="3" t="str">
        <f>VLOOKUP(Base_Periodo1[[#This Row],[Aux]],Base_Contas_Balanco[#All],2,FALSE)</f>
        <v>Fornecedores Cooperados</v>
      </c>
      <c r="G2169" s="1">
        <v>42870</v>
      </c>
      <c r="I2169" s="225">
        <v>5777.0999999999995</v>
      </c>
      <c r="J2169" s="225">
        <v>5777.1</v>
      </c>
      <c r="K2169" s="225">
        <v>2.8194335754960775E-11</v>
      </c>
      <c r="L21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69" s="225">
        <f>ROUND(IF(AND(Base_Periodo1[[#This Row],[Tipo_Linha]]="-",Base_Periodo1[[#This Row],[TIPOSALDO]]="D"),Base_Periodo1[[#This Row],[SALDO_ATUAL]]*-1,Base_Periodo1[[#This Row],[SALDO_ATUAL]]),4)</f>
        <v>0</v>
      </c>
      <c r="N2169" t="s">
        <v>116</v>
      </c>
      <c r="O2169" t="s">
        <v>436</v>
      </c>
      <c r="P2169" t="s">
        <v>436</v>
      </c>
      <c r="Q2169">
        <v>7</v>
      </c>
      <c r="R2169" s="225">
        <f>Base_Periodo1[[#This Row],[CREDITOS]]-Base_Periodo1[[#This Row],[DEBITOS]]</f>
        <v>0</v>
      </c>
      <c r="S2169" s="3" t="str">
        <f>IF(ISERROR(VLOOKUP(Base_Periodo1[[#This Row],[CONTA]],BaseContasDRE[#All],4,FALSE)),"Fora do DRE",VLOOKUP(Base_Periodo1[[#This Row],[CONTA]],BaseContasDRE[#All],4,FALSE))</f>
        <v>Fora do DRE</v>
      </c>
      <c r="T2169" s="3" t="str">
        <f>IF(ISERROR(VLOOKUP(Base_Periodo1[[#This Row],[CONTA]],BaseContasDRE[#All],5,FALSE)),"Fora do DRE",VLOOKUP(Base_Periodo1[[#This Row],[CONTA]],BaseContasDRE[#All],6,FALSE))</f>
        <v>Fora do DRE</v>
      </c>
      <c r="U2169" s="3" t="str">
        <f>IF(ISERROR(VLOOKUP(Base_Periodo1[[#This Row],[CONTA]],BaseContasDRE[#All],7,FALSE)),"Fora do DRE",VLOOKUP(Base_Periodo1[[#This Row],[CONTA]],BaseContasDRE[#All],7,FALSE))</f>
        <v>Fora do DRE</v>
      </c>
      <c r="V2169" s="3" t="str">
        <f>IF(Base_Periodo1[[#This Row],[Tipo_Linha]]="Fora do DRE","Fora do DRE","( "&amp;Base_Periodo1[[#This Row],[Tipo_Linha]]&amp;" ) "&amp;Base_Periodo1[[#This Row],[Filtro]])</f>
        <v>Fora do DRE</v>
      </c>
      <c r="W2169" s="3" t="str">
        <f>LEFT(Base_Periodo1[[#This Row],[CLASS]],3)</f>
        <v>2.1</v>
      </c>
    </row>
    <row r="2170" spans="1:23" hidden="1">
      <c r="A2170" s="3" t="str">
        <f t="shared" si="33"/>
        <v>Período 1</v>
      </c>
      <c r="B2170">
        <v>49567</v>
      </c>
      <c r="C2170" t="s">
        <v>1730</v>
      </c>
      <c r="D2170" t="s">
        <v>923</v>
      </c>
      <c r="E2170" s="3" t="str">
        <f>IF(LEN(Base_Periodo1[[#This Row],[CLASS]])&gt;=7,LEFT(Base_Periodo1[[#This Row],[CLASS]],7),"")</f>
        <v>2.1.2.1</v>
      </c>
      <c r="F2170" s="3" t="str">
        <f>VLOOKUP(Base_Periodo1[[#This Row],[Aux]],Base_Contas_Balanco[#All],2,FALSE)</f>
        <v>Fornecedores Cooperados</v>
      </c>
      <c r="G2170" s="1">
        <v>42885</v>
      </c>
      <c r="I2170" s="225">
        <v>5800</v>
      </c>
      <c r="J2170" s="225">
        <v>5800</v>
      </c>
      <c r="K2170" s="225">
        <v>0</v>
      </c>
      <c r="L21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70" s="225">
        <f>ROUND(IF(AND(Base_Periodo1[[#This Row],[Tipo_Linha]]="-",Base_Periodo1[[#This Row],[TIPOSALDO]]="D"),Base_Periodo1[[#This Row],[SALDO_ATUAL]]*-1,Base_Periodo1[[#This Row],[SALDO_ATUAL]]),4)</f>
        <v>0</v>
      </c>
      <c r="N2170" t="s">
        <v>116</v>
      </c>
      <c r="O2170" t="s">
        <v>436</v>
      </c>
      <c r="P2170" t="s">
        <v>436</v>
      </c>
      <c r="Q2170">
        <v>7</v>
      </c>
      <c r="R2170" s="225">
        <f>Base_Periodo1[[#This Row],[CREDITOS]]-Base_Periodo1[[#This Row],[DEBITOS]]</f>
        <v>0</v>
      </c>
      <c r="S2170" s="3" t="str">
        <f>IF(ISERROR(VLOOKUP(Base_Periodo1[[#This Row],[CONTA]],BaseContasDRE[#All],4,FALSE)),"Fora do DRE",VLOOKUP(Base_Periodo1[[#This Row],[CONTA]],BaseContasDRE[#All],4,FALSE))</f>
        <v>Fora do DRE</v>
      </c>
      <c r="T2170" s="3" t="str">
        <f>IF(ISERROR(VLOOKUP(Base_Periodo1[[#This Row],[CONTA]],BaseContasDRE[#All],5,FALSE)),"Fora do DRE",VLOOKUP(Base_Periodo1[[#This Row],[CONTA]],BaseContasDRE[#All],6,FALSE))</f>
        <v>Fora do DRE</v>
      </c>
      <c r="U2170" s="3" t="str">
        <f>IF(ISERROR(VLOOKUP(Base_Periodo1[[#This Row],[CONTA]],BaseContasDRE[#All],7,FALSE)),"Fora do DRE",VLOOKUP(Base_Periodo1[[#This Row],[CONTA]],BaseContasDRE[#All],7,FALSE))</f>
        <v>Fora do DRE</v>
      </c>
      <c r="V2170" s="3" t="str">
        <f>IF(Base_Periodo1[[#This Row],[Tipo_Linha]]="Fora do DRE","Fora do DRE","( "&amp;Base_Periodo1[[#This Row],[Tipo_Linha]]&amp;" ) "&amp;Base_Periodo1[[#This Row],[Filtro]])</f>
        <v>Fora do DRE</v>
      </c>
      <c r="W2170" s="3" t="str">
        <f>LEFT(Base_Periodo1[[#This Row],[CLASS]],3)</f>
        <v>2.1</v>
      </c>
    </row>
    <row r="2171" spans="1:23" hidden="1">
      <c r="A2171" s="3" t="str">
        <f t="shared" si="33"/>
        <v>Período 1</v>
      </c>
      <c r="B2171">
        <v>4613</v>
      </c>
      <c r="C2171" t="s">
        <v>1730</v>
      </c>
      <c r="D2171" t="s">
        <v>5261</v>
      </c>
      <c r="E2171" s="3" t="str">
        <f>IF(LEN(Base_Periodo1[[#This Row],[CLASS]])&gt;=7,LEFT(Base_Periodo1[[#This Row],[CLASS]],7),"")</f>
        <v>2.1.2.1</v>
      </c>
      <c r="F2171" s="3" t="str">
        <f>VLOOKUP(Base_Periodo1[[#This Row],[Aux]],Base_Contas_Balanco[#All],2,FALSE)</f>
        <v>Fornecedores Cooperados</v>
      </c>
      <c r="G2171" s="1">
        <v>42886</v>
      </c>
      <c r="I2171" s="225">
        <v>24399.99</v>
      </c>
      <c r="J2171" s="225">
        <v>24399.99</v>
      </c>
      <c r="K2171" s="225">
        <v>0</v>
      </c>
      <c r="L21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71" s="225">
        <f>ROUND(IF(AND(Base_Periodo1[[#This Row],[Tipo_Linha]]="-",Base_Periodo1[[#This Row],[TIPOSALDO]]="D"),Base_Periodo1[[#This Row],[SALDO_ATUAL]]*-1,Base_Periodo1[[#This Row],[SALDO_ATUAL]]),4)</f>
        <v>0</v>
      </c>
      <c r="N2171" t="s">
        <v>116</v>
      </c>
      <c r="O2171" t="s">
        <v>436</v>
      </c>
      <c r="P2171" t="s">
        <v>436</v>
      </c>
      <c r="Q2171">
        <v>7</v>
      </c>
      <c r="R2171" s="225">
        <f>Base_Periodo1[[#This Row],[CREDITOS]]-Base_Periodo1[[#This Row],[DEBITOS]]</f>
        <v>0</v>
      </c>
      <c r="S2171" s="3" t="str">
        <f>IF(ISERROR(VLOOKUP(Base_Periodo1[[#This Row],[CONTA]],BaseContasDRE[#All],4,FALSE)),"Fora do DRE",VLOOKUP(Base_Periodo1[[#This Row],[CONTA]],BaseContasDRE[#All],4,FALSE))</f>
        <v>Fora do DRE</v>
      </c>
      <c r="T2171" s="3" t="str">
        <f>IF(ISERROR(VLOOKUP(Base_Periodo1[[#This Row],[CONTA]],BaseContasDRE[#All],5,FALSE)),"Fora do DRE",VLOOKUP(Base_Periodo1[[#This Row],[CONTA]],BaseContasDRE[#All],6,FALSE))</f>
        <v>Fora do DRE</v>
      </c>
      <c r="U2171" s="3" t="str">
        <f>IF(ISERROR(VLOOKUP(Base_Periodo1[[#This Row],[CONTA]],BaseContasDRE[#All],7,FALSE)),"Fora do DRE",VLOOKUP(Base_Periodo1[[#This Row],[CONTA]],BaseContasDRE[#All],7,FALSE))</f>
        <v>Fora do DRE</v>
      </c>
      <c r="V2171" s="3" t="str">
        <f>IF(Base_Periodo1[[#This Row],[Tipo_Linha]]="Fora do DRE","Fora do DRE","( "&amp;Base_Periodo1[[#This Row],[Tipo_Linha]]&amp;" ) "&amp;Base_Periodo1[[#This Row],[Filtro]])</f>
        <v>Fora do DRE</v>
      </c>
      <c r="W2171" s="3" t="str">
        <f>LEFT(Base_Periodo1[[#This Row],[CLASS]],3)</f>
        <v>2.1</v>
      </c>
    </row>
    <row r="2172" spans="1:23" hidden="1">
      <c r="A2172" s="3" t="str">
        <f t="shared" si="33"/>
        <v>Período 1</v>
      </c>
      <c r="B2172">
        <v>4729</v>
      </c>
      <c r="C2172" t="s">
        <v>1730</v>
      </c>
      <c r="D2172" t="s">
        <v>5476</v>
      </c>
      <c r="E2172" s="3" t="str">
        <f>IF(LEN(Base_Periodo1[[#This Row],[CLASS]])&gt;=7,LEFT(Base_Periodo1[[#This Row],[CLASS]],7),"")</f>
        <v>2.1.2.1</v>
      </c>
      <c r="F2172" s="3" t="str">
        <f>VLOOKUP(Base_Periodo1[[#This Row],[Aux]],Base_Contas_Balanco[#All],2,FALSE)</f>
        <v>Fornecedores Cooperados</v>
      </c>
      <c r="G2172" s="1">
        <v>42884</v>
      </c>
      <c r="I2172" s="225">
        <v>51601.69</v>
      </c>
      <c r="J2172" s="225">
        <v>85211.709999999992</v>
      </c>
      <c r="K2172" s="225">
        <v>33610.01999999964</v>
      </c>
      <c r="L21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33610.019999999997</v>
      </c>
      <c r="M2172" s="225">
        <f>ROUND(IF(AND(Base_Periodo1[[#This Row],[Tipo_Linha]]="-",Base_Periodo1[[#This Row],[TIPOSALDO]]="D"),Base_Periodo1[[#This Row],[SALDO_ATUAL]]*-1,Base_Periodo1[[#This Row],[SALDO_ATUAL]]),4)</f>
        <v>33610.019999999997</v>
      </c>
      <c r="N2172" t="s">
        <v>116</v>
      </c>
      <c r="O2172" t="s">
        <v>436</v>
      </c>
      <c r="P2172" t="s">
        <v>459</v>
      </c>
      <c r="Q2172">
        <v>7</v>
      </c>
      <c r="R2172" s="225">
        <f>Base_Periodo1[[#This Row],[CREDITOS]]-Base_Periodo1[[#This Row],[DEBITOS]]</f>
        <v>33610.01999999999</v>
      </c>
      <c r="S2172" s="3" t="str">
        <f>IF(ISERROR(VLOOKUP(Base_Periodo1[[#This Row],[CONTA]],BaseContasDRE[#All],4,FALSE)),"Fora do DRE",VLOOKUP(Base_Periodo1[[#This Row],[CONTA]],BaseContasDRE[#All],4,FALSE))</f>
        <v>Fora do DRE</v>
      </c>
      <c r="T2172" s="3" t="str">
        <f>IF(ISERROR(VLOOKUP(Base_Periodo1[[#This Row],[CONTA]],BaseContasDRE[#All],5,FALSE)),"Fora do DRE",VLOOKUP(Base_Periodo1[[#This Row],[CONTA]],BaseContasDRE[#All],6,FALSE))</f>
        <v>Fora do DRE</v>
      </c>
      <c r="U2172" s="3" t="str">
        <f>IF(ISERROR(VLOOKUP(Base_Periodo1[[#This Row],[CONTA]],BaseContasDRE[#All],7,FALSE)),"Fora do DRE",VLOOKUP(Base_Periodo1[[#This Row],[CONTA]],BaseContasDRE[#All],7,FALSE))</f>
        <v>Fora do DRE</v>
      </c>
      <c r="V2172" s="3" t="str">
        <f>IF(Base_Periodo1[[#This Row],[Tipo_Linha]]="Fora do DRE","Fora do DRE","( "&amp;Base_Periodo1[[#This Row],[Tipo_Linha]]&amp;" ) "&amp;Base_Periodo1[[#This Row],[Filtro]])</f>
        <v>Fora do DRE</v>
      </c>
      <c r="W2172" s="3" t="str">
        <f>LEFT(Base_Periodo1[[#This Row],[CLASS]],3)</f>
        <v>2.1</v>
      </c>
    </row>
    <row r="2173" spans="1:23" hidden="1">
      <c r="A2173" s="3" t="str">
        <f t="shared" si="33"/>
        <v>Período 1</v>
      </c>
      <c r="B2173">
        <v>13161</v>
      </c>
      <c r="C2173" t="s">
        <v>1730</v>
      </c>
      <c r="D2173" t="s">
        <v>506</v>
      </c>
      <c r="E2173" s="3" t="str">
        <f>IF(LEN(Base_Periodo1[[#This Row],[CLASS]])&gt;=7,LEFT(Base_Periodo1[[#This Row],[CLASS]],7),"")</f>
        <v>2.1.2.1</v>
      </c>
      <c r="F2173" s="3" t="str">
        <f>VLOOKUP(Base_Periodo1[[#This Row],[Aux]],Base_Contas_Balanco[#All],2,FALSE)</f>
        <v>Fornecedores Cooperados</v>
      </c>
      <c r="G2173" s="1">
        <v>42863</v>
      </c>
      <c r="H2173" s="225">
        <v>3631.1799999999639</v>
      </c>
      <c r="I2173" s="225">
        <v>6421.24</v>
      </c>
      <c r="J2173" s="225">
        <v>2790.06</v>
      </c>
      <c r="K2173" s="225">
        <v>3.5925040720030665E-11</v>
      </c>
      <c r="L21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73" s="225">
        <f>ROUND(IF(AND(Base_Periodo1[[#This Row],[Tipo_Linha]]="-",Base_Periodo1[[#This Row],[TIPOSALDO]]="D"),Base_Periodo1[[#This Row],[SALDO_ATUAL]]*-1,Base_Periodo1[[#This Row],[SALDO_ATUAL]]),4)</f>
        <v>0</v>
      </c>
      <c r="N2173" t="s">
        <v>116</v>
      </c>
      <c r="O2173" t="s">
        <v>459</v>
      </c>
      <c r="P2173" t="s">
        <v>436</v>
      </c>
      <c r="Q2173">
        <v>7</v>
      </c>
      <c r="R2173" s="225">
        <f>Base_Periodo1[[#This Row],[CREDITOS]]-Base_Periodo1[[#This Row],[DEBITOS]]</f>
        <v>-3631.18</v>
      </c>
      <c r="S2173" s="3" t="str">
        <f>IF(ISERROR(VLOOKUP(Base_Periodo1[[#This Row],[CONTA]],BaseContasDRE[#All],4,FALSE)),"Fora do DRE",VLOOKUP(Base_Periodo1[[#This Row],[CONTA]],BaseContasDRE[#All],4,FALSE))</f>
        <v>Fora do DRE</v>
      </c>
      <c r="T2173" s="3" t="str">
        <f>IF(ISERROR(VLOOKUP(Base_Periodo1[[#This Row],[CONTA]],BaseContasDRE[#All],5,FALSE)),"Fora do DRE",VLOOKUP(Base_Periodo1[[#This Row],[CONTA]],BaseContasDRE[#All],6,FALSE))</f>
        <v>Fora do DRE</v>
      </c>
      <c r="U2173" s="3" t="str">
        <f>IF(ISERROR(VLOOKUP(Base_Periodo1[[#This Row],[CONTA]],BaseContasDRE[#All],7,FALSE)),"Fora do DRE",VLOOKUP(Base_Periodo1[[#This Row],[CONTA]],BaseContasDRE[#All],7,FALSE))</f>
        <v>Fora do DRE</v>
      </c>
      <c r="V2173" s="3" t="str">
        <f>IF(Base_Periodo1[[#This Row],[Tipo_Linha]]="Fora do DRE","Fora do DRE","( "&amp;Base_Periodo1[[#This Row],[Tipo_Linha]]&amp;" ) "&amp;Base_Periodo1[[#This Row],[Filtro]])</f>
        <v>Fora do DRE</v>
      </c>
      <c r="W2173" s="3" t="str">
        <f>LEFT(Base_Periodo1[[#This Row],[CLASS]],3)</f>
        <v>2.1</v>
      </c>
    </row>
    <row r="2174" spans="1:23" hidden="1">
      <c r="A2174" s="3" t="str">
        <f t="shared" si="33"/>
        <v>Período 1</v>
      </c>
      <c r="B2174">
        <v>2917</v>
      </c>
      <c r="C2174" t="s">
        <v>1730</v>
      </c>
      <c r="D2174" t="s">
        <v>507</v>
      </c>
      <c r="E2174" s="3" t="str">
        <f>IF(LEN(Base_Periodo1[[#This Row],[CLASS]])&gt;=7,LEFT(Base_Periodo1[[#This Row],[CLASS]],7),"")</f>
        <v>2.1.2.1</v>
      </c>
      <c r="F2174" s="3" t="str">
        <f>VLOOKUP(Base_Periodo1[[#This Row],[Aux]],Base_Contas_Balanco[#All],2,FALSE)</f>
        <v>Fornecedores Cooperados</v>
      </c>
      <c r="G2174" s="1">
        <v>42865</v>
      </c>
      <c r="I2174" s="225">
        <v>6142</v>
      </c>
      <c r="J2174" s="225">
        <v>6142</v>
      </c>
      <c r="K2174" s="225">
        <v>1.7462298274040222E-10</v>
      </c>
      <c r="L21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74" s="225">
        <f>ROUND(IF(AND(Base_Periodo1[[#This Row],[Tipo_Linha]]="-",Base_Periodo1[[#This Row],[TIPOSALDO]]="D"),Base_Periodo1[[#This Row],[SALDO_ATUAL]]*-1,Base_Periodo1[[#This Row],[SALDO_ATUAL]]),4)</f>
        <v>0</v>
      </c>
      <c r="N2174" t="s">
        <v>116</v>
      </c>
      <c r="O2174" t="s">
        <v>436</v>
      </c>
      <c r="P2174" t="s">
        <v>436</v>
      </c>
      <c r="Q2174">
        <v>7</v>
      </c>
      <c r="R2174" s="225">
        <f>Base_Periodo1[[#This Row],[CREDITOS]]-Base_Periodo1[[#This Row],[DEBITOS]]</f>
        <v>0</v>
      </c>
      <c r="S2174" s="3" t="str">
        <f>IF(ISERROR(VLOOKUP(Base_Periodo1[[#This Row],[CONTA]],BaseContasDRE[#All],4,FALSE)),"Fora do DRE",VLOOKUP(Base_Periodo1[[#This Row],[CONTA]],BaseContasDRE[#All],4,FALSE))</f>
        <v>Fora do DRE</v>
      </c>
      <c r="T2174" s="3" t="str">
        <f>IF(ISERROR(VLOOKUP(Base_Periodo1[[#This Row],[CONTA]],BaseContasDRE[#All],5,FALSE)),"Fora do DRE",VLOOKUP(Base_Periodo1[[#This Row],[CONTA]],BaseContasDRE[#All],6,FALSE))</f>
        <v>Fora do DRE</v>
      </c>
      <c r="U2174" s="3" t="str">
        <f>IF(ISERROR(VLOOKUP(Base_Periodo1[[#This Row],[CONTA]],BaseContasDRE[#All],7,FALSE)),"Fora do DRE",VLOOKUP(Base_Periodo1[[#This Row],[CONTA]],BaseContasDRE[#All],7,FALSE))</f>
        <v>Fora do DRE</v>
      </c>
      <c r="V2174" s="3" t="str">
        <f>IF(Base_Periodo1[[#This Row],[Tipo_Linha]]="Fora do DRE","Fora do DRE","( "&amp;Base_Periodo1[[#This Row],[Tipo_Linha]]&amp;" ) "&amp;Base_Periodo1[[#This Row],[Filtro]])</f>
        <v>Fora do DRE</v>
      </c>
      <c r="W2174" s="3" t="str">
        <f>LEFT(Base_Periodo1[[#This Row],[CLASS]],3)</f>
        <v>2.1</v>
      </c>
    </row>
    <row r="2175" spans="1:23" hidden="1">
      <c r="A2175" s="3" t="str">
        <f t="shared" si="33"/>
        <v>Período 1</v>
      </c>
      <c r="B2175">
        <v>16607</v>
      </c>
      <c r="C2175" t="s">
        <v>1730</v>
      </c>
      <c r="D2175" t="s">
        <v>6111</v>
      </c>
      <c r="E2175" s="3" t="str">
        <f>IF(LEN(Base_Periodo1[[#This Row],[CLASS]])&gt;=7,LEFT(Base_Periodo1[[#This Row],[CLASS]],7),"")</f>
        <v>2.1.2.1</v>
      </c>
      <c r="F2175" s="3" t="str">
        <f>VLOOKUP(Base_Periodo1[[#This Row],[Aux]],Base_Contas_Balanco[#All],2,FALSE)</f>
        <v>Fornecedores Cooperados</v>
      </c>
      <c r="G2175" s="1">
        <v>42858</v>
      </c>
      <c r="I2175" s="225">
        <v>576.91999999999996</v>
      </c>
      <c r="J2175" s="225">
        <v>576.91999999999996</v>
      </c>
      <c r="K2175" s="225">
        <v>0</v>
      </c>
      <c r="L21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75" s="225">
        <f>ROUND(IF(AND(Base_Periodo1[[#This Row],[Tipo_Linha]]="-",Base_Periodo1[[#This Row],[TIPOSALDO]]="D"),Base_Periodo1[[#This Row],[SALDO_ATUAL]]*-1,Base_Periodo1[[#This Row],[SALDO_ATUAL]]),4)</f>
        <v>0</v>
      </c>
      <c r="N2175" t="s">
        <v>116</v>
      </c>
      <c r="O2175" t="s">
        <v>436</v>
      </c>
      <c r="P2175" t="s">
        <v>436</v>
      </c>
      <c r="Q2175">
        <v>7</v>
      </c>
      <c r="R2175" s="225">
        <f>Base_Periodo1[[#This Row],[CREDITOS]]-Base_Periodo1[[#This Row],[DEBITOS]]</f>
        <v>0</v>
      </c>
      <c r="S2175" s="3" t="str">
        <f>IF(ISERROR(VLOOKUP(Base_Periodo1[[#This Row],[CONTA]],BaseContasDRE[#All],4,FALSE)),"Fora do DRE",VLOOKUP(Base_Periodo1[[#This Row],[CONTA]],BaseContasDRE[#All],4,FALSE))</f>
        <v>Fora do DRE</v>
      </c>
      <c r="T2175" s="3" t="str">
        <f>IF(ISERROR(VLOOKUP(Base_Periodo1[[#This Row],[CONTA]],BaseContasDRE[#All],5,FALSE)),"Fora do DRE",VLOOKUP(Base_Periodo1[[#This Row],[CONTA]],BaseContasDRE[#All],6,FALSE))</f>
        <v>Fora do DRE</v>
      </c>
      <c r="U2175" s="3" t="str">
        <f>IF(ISERROR(VLOOKUP(Base_Periodo1[[#This Row],[CONTA]],BaseContasDRE[#All],7,FALSE)),"Fora do DRE",VLOOKUP(Base_Periodo1[[#This Row],[CONTA]],BaseContasDRE[#All],7,FALSE))</f>
        <v>Fora do DRE</v>
      </c>
      <c r="V2175" s="3" t="str">
        <f>IF(Base_Periodo1[[#This Row],[Tipo_Linha]]="Fora do DRE","Fora do DRE","( "&amp;Base_Periodo1[[#This Row],[Tipo_Linha]]&amp;" ) "&amp;Base_Periodo1[[#This Row],[Filtro]])</f>
        <v>Fora do DRE</v>
      </c>
      <c r="W2175" s="3" t="str">
        <f>LEFT(Base_Periodo1[[#This Row],[CLASS]],3)</f>
        <v>2.1</v>
      </c>
    </row>
    <row r="2176" spans="1:23" hidden="1">
      <c r="A2176" s="3" t="str">
        <f t="shared" si="33"/>
        <v>Período 1</v>
      </c>
      <c r="B2176">
        <v>2705</v>
      </c>
      <c r="C2176" t="s">
        <v>1730</v>
      </c>
      <c r="D2176" t="s">
        <v>508</v>
      </c>
      <c r="E2176" s="3" t="str">
        <f>IF(LEN(Base_Periodo1[[#This Row],[CLASS]])&gt;=7,LEFT(Base_Periodo1[[#This Row],[CLASS]],7),"")</f>
        <v>2.1.2.1</v>
      </c>
      <c r="F2176" s="3" t="str">
        <f>VLOOKUP(Base_Periodo1[[#This Row],[Aux]],Base_Contas_Balanco[#All],2,FALSE)</f>
        <v>Fornecedores Cooperados</v>
      </c>
      <c r="G2176" s="1">
        <v>42871</v>
      </c>
      <c r="H2176" s="225">
        <v>43.599999999976717</v>
      </c>
      <c r="I2176" s="225">
        <v>2422.92</v>
      </c>
      <c r="J2176" s="225">
        <v>2400</v>
      </c>
      <c r="K2176" s="225">
        <v>20.679999999976644</v>
      </c>
      <c r="L21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20.68</v>
      </c>
      <c r="M2176" s="225">
        <f>ROUND(IF(AND(Base_Periodo1[[#This Row],[Tipo_Linha]]="-",Base_Periodo1[[#This Row],[TIPOSALDO]]="D"),Base_Periodo1[[#This Row],[SALDO_ATUAL]]*-1,Base_Periodo1[[#This Row],[SALDO_ATUAL]]),4)</f>
        <v>20.68</v>
      </c>
      <c r="N2176" t="s">
        <v>116</v>
      </c>
      <c r="O2176" t="s">
        <v>459</v>
      </c>
      <c r="P2176" t="s">
        <v>459</v>
      </c>
      <c r="Q2176">
        <v>7</v>
      </c>
      <c r="R2176" s="225">
        <f>Base_Periodo1[[#This Row],[CREDITOS]]-Base_Periodo1[[#This Row],[DEBITOS]]</f>
        <v>-22.920000000000073</v>
      </c>
      <c r="S2176" s="3" t="str">
        <f>IF(ISERROR(VLOOKUP(Base_Periodo1[[#This Row],[CONTA]],BaseContasDRE[#All],4,FALSE)),"Fora do DRE",VLOOKUP(Base_Periodo1[[#This Row],[CONTA]],BaseContasDRE[#All],4,FALSE))</f>
        <v>Fora do DRE</v>
      </c>
      <c r="T2176" s="3" t="str">
        <f>IF(ISERROR(VLOOKUP(Base_Periodo1[[#This Row],[CONTA]],BaseContasDRE[#All],5,FALSE)),"Fora do DRE",VLOOKUP(Base_Periodo1[[#This Row],[CONTA]],BaseContasDRE[#All],6,FALSE))</f>
        <v>Fora do DRE</v>
      </c>
      <c r="U2176" s="3" t="str">
        <f>IF(ISERROR(VLOOKUP(Base_Periodo1[[#This Row],[CONTA]],BaseContasDRE[#All],7,FALSE)),"Fora do DRE",VLOOKUP(Base_Periodo1[[#This Row],[CONTA]],BaseContasDRE[#All],7,FALSE))</f>
        <v>Fora do DRE</v>
      </c>
      <c r="V2176" s="3" t="str">
        <f>IF(Base_Periodo1[[#This Row],[Tipo_Linha]]="Fora do DRE","Fora do DRE","( "&amp;Base_Periodo1[[#This Row],[Tipo_Linha]]&amp;" ) "&amp;Base_Periodo1[[#This Row],[Filtro]])</f>
        <v>Fora do DRE</v>
      </c>
      <c r="W2176" s="3" t="str">
        <f>LEFT(Base_Periodo1[[#This Row],[CLASS]],3)</f>
        <v>2.1</v>
      </c>
    </row>
    <row r="2177" spans="1:23" hidden="1">
      <c r="A2177" s="3" t="str">
        <f t="shared" si="33"/>
        <v>Período 1</v>
      </c>
      <c r="B2177">
        <v>22798</v>
      </c>
      <c r="C2177" t="s">
        <v>1730</v>
      </c>
      <c r="D2177" t="s">
        <v>509</v>
      </c>
      <c r="E2177" s="3" t="str">
        <f>IF(LEN(Base_Periodo1[[#This Row],[CLASS]])&gt;=7,LEFT(Base_Periodo1[[#This Row],[CLASS]],7),"")</f>
        <v>2.1.2.1</v>
      </c>
      <c r="F2177" s="3" t="str">
        <f>VLOOKUP(Base_Periodo1[[#This Row],[Aux]],Base_Contas_Balanco[#All],2,FALSE)</f>
        <v>Fornecedores Cooperados</v>
      </c>
      <c r="G2177" s="1">
        <v>42873</v>
      </c>
      <c r="H2177" s="225">
        <v>1654.929999999993</v>
      </c>
      <c r="I2177" s="225">
        <v>8730.2800000000007</v>
      </c>
      <c r="J2177" s="225">
        <v>7075.35</v>
      </c>
      <c r="K2177" s="225">
        <v>7.2759576141834259E-12</v>
      </c>
      <c r="L21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77" s="225">
        <f>ROUND(IF(AND(Base_Periodo1[[#This Row],[Tipo_Linha]]="-",Base_Periodo1[[#This Row],[TIPOSALDO]]="D"),Base_Periodo1[[#This Row],[SALDO_ATUAL]]*-1,Base_Periodo1[[#This Row],[SALDO_ATUAL]]),4)</f>
        <v>0</v>
      </c>
      <c r="N2177" t="s">
        <v>116</v>
      </c>
      <c r="O2177" t="s">
        <v>459</v>
      </c>
      <c r="P2177" t="s">
        <v>436</v>
      </c>
      <c r="Q2177">
        <v>7</v>
      </c>
      <c r="R2177" s="225">
        <f>Base_Periodo1[[#This Row],[CREDITOS]]-Base_Periodo1[[#This Row],[DEBITOS]]</f>
        <v>-1654.9300000000003</v>
      </c>
      <c r="S2177" s="3" t="str">
        <f>IF(ISERROR(VLOOKUP(Base_Periodo1[[#This Row],[CONTA]],BaseContasDRE[#All],4,FALSE)),"Fora do DRE",VLOOKUP(Base_Periodo1[[#This Row],[CONTA]],BaseContasDRE[#All],4,FALSE))</f>
        <v>Fora do DRE</v>
      </c>
      <c r="T2177" s="3" t="str">
        <f>IF(ISERROR(VLOOKUP(Base_Periodo1[[#This Row],[CONTA]],BaseContasDRE[#All],5,FALSE)),"Fora do DRE",VLOOKUP(Base_Periodo1[[#This Row],[CONTA]],BaseContasDRE[#All],6,FALSE))</f>
        <v>Fora do DRE</v>
      </c>
      <c r="U2177" s="3" t="str">
        <f>IF(ISERROR(VLOOKUP(Base_Periodo1[[#This Row],[CONTA]],BaseContasDRE[#All],7,FALSE)),"Fora do DRE",VLOOKUP(Base_Periodo1[[#This Row],[CONTA]],BaseContasDRE[#All],7,FALSE))</f>
        <v>Fora do DRE</v>
      </c>
      <c r="V2177" s="3" t="str">
        <f>IF(Base_Periodo1[[#This Row],[Tipo_Linha]]="Fora do DRE","Fora do DRE","( "&amp;Base_Periodo1[[#This Row],[Tipo_Linha]]&amp;" ) "&amp;Base_Periodo1[[#This Row],[Filtro]])</f>
        <v>Fora do DRE</v>
      </c>
      <c r="W2177" s="3" t="str">
        <f>LEFT(Base_Periodo1[[#This Row],[CLASS]],3)</f>
        <v>2.1</v>
      </c>
    </row>
    <row r="2178" spans="1:23" hidden="1">
      <c r="A2178" s="3" t="str">
        <f t="shared" si="33"/>
        <v>Período 1</v>
      </c>
      <c r="B2178">
        <v>21300</v>
      </c>
      <c r="C2178" t="s">
        <v>1730</v>
      </c>
      <c r="D2178" t="s">
        <v>6332</v>
      </c>
      <c r="E2178" s="3" t="str">
        <f>IF(LEN(Base_Periodo1[[#This Row],[CLASS]])&gt;=7,LEFT(Base_Periodo1[[#This Row],[CLASS]],7),"")</f>
        <v>2.1.2.1</v>
      </c>
      <c r="F2178" s="3" t="str">
        <f>VLOOKUP(Base_Periodo1[[#This Row],[Aux]],Base_Contas_Balanco[#All],2,FALSE)</f>
        <v>Fornecedores Cooperados</v>
      </c>
      <c r="G2178" s="1">
        <v>42878</v>
      </c>
      <c r="I2178" s="225">
        <v>21665</v>
      </c>
      <c r="J2178" s="225">
        <v>21665</v>
      </c>
      <c r="K2178" s="225">
        <v>-2.9103830456733704E-11</v>
      </c>
      <c r="L21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78" s="225">
        <f>ROUND(IF(AND(Base_Periodo1[[#This Row],[Tipo_Linha]]="-",Base_Periodo1[[#This Row],[TIPOSALDO]]="D"),Base_Periodo1[[#This Row],[SALDO_ATUAL]]*-1,Base_Periodo1[[#This Row],[SALDO_ATUAL]]),4)</f>
        <v>0</v>
      </c>
      <c r="N2178" t="s">
        <v>116</v>
      </c>
      <c r="O2178" t="s">
        <v>436</v>
      </c>
      <c r="P2178" t="s">
        <v>436</v>
      </c>
      <c r="Q2178">
        <v>7</v>
      </c>
      <c r="R2178" s="225">
        <f>Base_Periodo1[[#This Row],[CREDITOS]]-Base_Periodo1[[#This Row],[DEBITOS]]</f>
        <v>0</v>
      </c>
      <c r="S2178" s="3" t="str">
        <f>IF(ISERROR(VLOOKUP(Base_Periodo1[[#This Row],[CONTA]],BaseContasDRE[#All],4,FALSE)),"Fora do DRE",VLOOKUP(Base_Periodo1[[#This Row],[CONTA]],BaseContasDRE[#All],4,FALSE))</f>
        <v>Fora do DRE</v>
      </c>
      <c r="T2178" s="3" t="str">
        <f>IF(ISERROR(VLOOKUP(Base_Periodo1[[#This Row],[CONTA]],BaseContasDRE[#All],5,FALSE)),"Fora do DRE",VLOOKUP(Base_Periodo1[[#This Row],[CONTA]],BaseContasDRE[#All],6,FALSE))</f>
        <v>Fora do DRE</v>
      </c>
      <c r="U2178" s="3" t="str">
        <f>IF(ISERROR(VLOOKUP(Base_Periodo1[[#This Row],[CONTA]],BaseContasDRE[#All],7,FALSE)),"Fora do DRE",VLOOKUP(Base_Periodo1[[#This Row],[CONTA]],BaseContasDRE[#All],7,FALSE))</f>
        <v>Fora do DRE</v>
      </c>
      <c r="V2178" s="3" t="str">
        <f>IF(Base_Periodo1[[#This Row],[Tipo_Linha]]="Fora do DRE","Fora do DRE","( "&amp;Base_Periodo1[[#This Row],[Tipo_Linha]]&amp;" ) "&amp;Base_Periodo1[[#This Row],[Filtro]])</f>
        <v>Fora do DRE</v>
      </c>
      <c r="W2178" s="3" t="str">
        <f>LEFT(Base_Periodo1[[#This Row],[CLASS]],3)</f>
        <v>2.1</v>
      </c>
    </row>
    <row r="2179" spans="1:23" hidden="1">
      <c r="A2179" s="3" t="str">
        <f t="shared" si="33"/>
        <v>Período 1</v>
      </c>
      <c r="B2179">
        <v>2749</v>
      </c>
      <c r="C2179" t="s">
        <v>1730</v>
      </c>
      <c r="D2179" t="s">
        <v>511</v>
      </c>
      <c r="E2179" s="3" t="str">
        <f>IF(LEN(Base_Periodo1[[#This Row],[CLASS]])&gt;=7,LEFT(Base_Periodo1[[#This Row],[CLASS]],7),"")</f>
        <v>2.1.2.1</v>
      </c>
      <c r="F2179" s="3" t="str">
        <f>VLOOKUP(Base_Periodo1[[#This Row],[Aux]],Base_Contas_Balanco[#All],2,FALSE)</f>
        <v>Fornecedores Cooperados</v>
      </c>
      <c r="G2179" s="1">
        <v>42886</v>
      </c>
      <c r="H2179" s="225">
        <v>1207.4999999590218</v>
      </c>
      <c r="I2179" s="225">
        <v>254848.02000000002</v>
      </c>
      <c r="J2179" s="225">
        <v>255215.32</v>
      </c>
      <c r="K2179" s="225">
        <v>1574.7999999590102</v>
      </c>
      <c r="L21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1574.8</v>
      </c>
      <c r="M2179" s="225">
        <f>ROUND(IF(AND(Base_Periodo1[[#This Row],[Tipo_Linha]]="-",Base_Periodo1[[#This Row],[TIPOSALDO]]="D"),Base_Periodo1[[#This Row],[SALDO_ATUAL]]*-1,Base_Periodo1[[#This Row],[SALDO_ATUAL]]),4)</f>
        <v>1574.8</v>
      </c>
      <c r="N2179" t="s">
        <v>116</v>
      </c>
      <c r="O2179" t="s">
        <v>459</v>
      </c>
      <c r="P2179" t="s">
        <v>459</v>
      </c>
      <c r="Q2179">
        <v>7</v>
      </c>
      <c r="R2179" s="225">
        <f>Base_Periodo1[[#This Row],[CREDITOS]]-Base_Periodo1[[#This Row],[DEBITOS]]</f>
        <v>367.29999999998836</v>
      </c>
      <c r="S2179" s="3" t="str">
        <f>IF(ISERROR(VLOOKUP(Base_Periodo1[[#This Row],[CONTA]],BaseContasDRE[#All],4,FALSE)),"Fora do DRE",VLOOKUP(Base_Periodo1[[#This Row],[CONTA]],BaseContasDRE[#All],4,FALSE))</f>
        <v>Fora do DRE</v>
      </c>
      <c r="T2179" s="3" t="str">
        <f>IF(ISERROR(VLOOKUP(Base_Periodo1[[#This Row],[CONTA]],BaseContasDRE[#All],5,FALSE)),"Fora do DRE",VLOOKUP(Base_Periodo1[[#This Row],[CONTA]],BaseContasDRE[#All],6,FALSE))</f>
        <v>Fora do DRE</v>
      </c>
      <c r="U2179" s="3" t="str">
        <f>IF(ISERROR(VLOOKUP(Base_Periodo1[[#This Row],[CONTA]],BaseContasDRE[#All],7,FALSE)),"Fora do DRE",VLOOKUP(Base_Periodo1[[#This Row],[CONTA]],BaseContasDRE[#All],7,FALSE))</f>
        <v>Fora do DRE</v>
      </c>
      <c r="V2179" s="3" t="str">
        <f>IF(Base_Periodo1[[#This Row],[Tipo_Linha]]="Fora do DRE","Fora do DRE","( "&amp;Base_Periodo1[[#This Row],[Tipo_Linha]]&amp;" ) "&amp;Base_Periodo1[[#This Row],[Filtro]])</f>
        <v>Fora do DRE</v>
      </c>
      <c r="W2179" s="3" t="str">
        <f>LEFT(Base_Periodo1[[#This Row],[CLASS]],3)</f>
        <v>2.1</v>
      </c>
    </row>
    <row r="2180" spans="1:23" hidden="1">
      <c r="A2180" s="3" t="str">
        <f t="shared" si="33"/>
        <v>Período 1</v>
      </c>
      <c r="B2180">
        <v>4209</v>
      </c>
      <c r="C2180" t="s">
        <v>1730</v>
      </c>
      <c r="D2180" t="s">
        <v>4981</v>
      </c>
      <c r="E2180" s="3" t="str">
        <f>IF(LEN(Base_Periodo1[[#This Row],[CLASS]])&gt;=7,LEFT(Base_Periodo1[[#This Row],[CLASS]],7),"")</f>
        <v>2.1.2.1</v>
      </c>
      <c r="F2180" s="3" t="str">
        <f>VLOOKUP(Base_Periodo1[[#This Row],[Aux]],Base_Contas_Balanco[#All],2,FALSE)</f>
        <v>Fornecedores Cooperados</v>
      </c>
      <c r="G2180" s="1">
        <v>42858</v>
      </c>
      <c r="I2180" s="225">
        <v>100000</v>
      </c>
      <c r="J2180" s="225">
        <v>100000</v>
      </c>
      <c r="K2180" s="225">
        <v>2.3283064365386963E-10</v>
      </c>
      <c r="L21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80" s="225">
        <f>ROUND(IF(AND(Base_Periodo1[[#This Row],[Tipo_Linha]]="-",Base_Periodo1[[#This Row],[TIPOSALDO]]="D"),Base_Periodo1[[#This Row],[SALDO_ATUAL]]*-1,Base_Periodo1[[#This Row],[SALDO_ATUAL]]),4)</f>
        <v>0</v>
      </c>
      <c r="N2180" t="s">
        <v>116</v>
      </c>
      <c r="O2180" t="s">
        <v>436</v>
      </c>
      <c r="P2180" t="s">
        <v>436</v>
      </c>
      <c r="Q2180">
        <v>7</v>
      </c>
      <c r="R2180" s="225">
        <f>Base_Periodo1[[#This Row],[CREDITOS]]-Base_Periodo1[[#This Row],[DEBITOS]]</f>
        <v>0</v>
      </c>
      <c r="S2180" s="3" t="str">
        <f>IF(ISERROR(VLOOKUP(Base_Periodo1[[#This Row],[CONTA]],BaseContasDRE[#All],4,FALSE)),"Fora do DRE",VLOOKUP(Base_Periodo1[[#This Row],[CONTA]],BaseContasDRE[#All],4,FALSE))</f>
        <v>Fora do DRE</v>
      </c>
      <c r="T2180" s="3" t="str">
        <f>IF(ISERROR(VLOOKUP(Base_Periodo1[[#This Row],[CONTA]],BaseContasDRE[#All],5,FALSE)),"Fora do DRE",VLOOKUP(Base_Periodo1[[#This Row],[CONTA]],BaseContasDRE[#All],6,FALSE))</f>
        <v>Fora do DRE</v>
      </c>
      <c r="U2180" s="3" t="str">
        <f>IF(ISERROR(VLOOKUP(Base_Periodo1[[#This Row],[CONTA]],BaseContasDRE[#All],7,FALSE)),"Fora do DRE",VLOOKUP(Base_Periodo1[[#This Row],[CONTA]],BaseContasDRE[#All],7,FALSE))</f>
        <v>Fora do DRE</v>
      </c>
      <c r="V2180" s="3" t="str">
        <f>IF(Base_Periodo1[[#This Row],[Tipo_Linha]]="Fora do DRE","Fora do DRE","( "&amp;Base_Periodo1[[#This Row],[Tipo_Linha]]&amp;" ) "&amp;Base_Periodo1[[#This Row],[Filtro]])</f>
        <v>Fora do DRE</v>
      </c>
      <c r="W2180" s="3" t="str">
        <f>LEFT(Base_Periodo1[[#This Row],[CLASS]],3)</f>
        <v>2.1</v>
      </c>
    </row>
    <row r="2181" spans="1:23" hidden="1">
      <c r="A2181" s="3" t="str">
        <f t="shared" si="33"/>
        <v>Período 1</v>
      </c>
      <c r="B2181">
        <v>39355</v>
      </c>
      <c r="C2181" t="s">
        <v>1730</v>
      </c>
      <c r="D2181" t="s">
        <v>513</v>
      </c>
      <c r="E2181" s="3" t="str">
        <f>IF(LEN(Base_Periodo1[[#This Row],[CLASS]])&gt;=7,LEFT(Base_Periodo1[[#This Row],[CLASS]],7),"")</f>
        <v>2.1.2.1</v>
      </c>
      <c r="F2181" s="3" t="str">
        <f>VLOOKUP(Base_Periodo1[[#This Row],[Aux]],Base_Contas_Balanco[#All],2,FALSE)</f>
        <v>Fornecedores Cooperados</v>
      </c>
      <c r="G2181" s="1">
        <v>42877</v>
      </c>
      <c r="H2181" s="225">
        <v>199599.99</v>
      </c>
      <c r="I2181" s="225">
        <v>349097.86999999994</v>
      </c>
      <c r="J2181" s="225">
        <v>151315.78000000003</v>
      </c>
      <c r="K2181" s="225">
        <v>1817.9000000000815</v>
      </c>
      <c r="L21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1817.9</v>
      </c>
      <c r="M2181" s="225">
        <f>ROUND(IF(AND(Base_Periodo1[[#This Row],[Tipo_Linha]]="-",Base_Periodo1[[#This Row],[TIPOSALDO]]="D"),Base_Periodo1[[#This Row],[SALDO_ATUAL]]*-1,Base_Periodo1[[#This Row],[SALDO_ATUAL]]),4)</f>
        <v>1817.9</v>
      </c>
      <c r="N2181" t="s">
        <v>116</v>
      </c>
      <c r="O2181" t="s">
        <v>459</v>
      </c>
      <c r="P2181" t="s">
        <v>459</v>
      </c>
      <c r="Q2181">
        <v>7</v>
      </c>
      <c r="R2181" s="225">
        <f>Base_Periodo1[[#This Row],[CREDITOS]]-Base_Periodo1[[#This Row],[DEBITOS]]</f>
        <v>-197782.08999999991</v>
      </c>
      <c r="S2181" s="3" t="str">
        <f>IF(ISERROR(VLOOKUP(Base_Periodo1[[#This Row],[CONTA]],BaseContasDRE[#All],4,FALSE)),"Fora do DRE",VLOOKUP(Base_Periodo1[[#This Row],[CONTA]],BaseContasDRE[#All],4,FALSE))</f>
        <v>Fora do DRE</v>
      </c>
      <c r="T2181" s="3" t="str">
        <f>IF(ISERROR(VLOOKUP(Base_Periodo1[[#This Row],[CONTA]],BaseContasDRE[#All],5,FALSE)),"Fora do DRE",VLOOKUP(Base_Periodo1[[#This Row],[CONTA]],BaseContasDRE[#All],6,FALSE))</f>
        <v>Fora do DRE</v>
      </c>
      <c r="U2181" s="3" t="str">
        <f>IF(ISERROR(VLOOKUP(Base_Periodo1[[#This Row],[CONTA]],BaseContasDRE[#All],7,FALSE)),"Fora do DRE",VLOOKUP(Base_Periodo1[[#This Row],[CONTA]],BaseContasDRE[#All],7,FALSE))</f>
        <v>Fora do DRE</v>
      </c>
      <c r="V2181" s="3" t="str">
        <f>IF(Base_Periodo1[[#This Row],[Tipo_Linha]]="Fora do DRE","Fora do DRE","( "&amp;Base_Periodo1[[#This Row],[Tipo_Linha]]&amp;" ) "&amp;Base_Periodo1[[#This Row],[Filtro]])</f>
        <v>Fora do DRE</v>
      </c>
      <c r="W2181" s="3" t="str">
        <f>LEFT(Base_Periodo1[[#This Row],[CLASS]],3)</f>
        <v>2.1</v>
      </c>
    </row>
    <row r="2182" spans="1:23" hidden="1">
      <c r="A2182" s="3" t="str">
        <f t="shared" ref="A2182:A2245" si="34">"Período 1"</f>
        <v>Período 1</v>
      </c>
      <c r="B2182">
        <v>7086</v>
      </c>
      <c r="C2182" t="s">
        <v>1730</v>
      </c>
      <c r="D2182" t="s">
        <v>514</v>
      </c>
      <c r="E2182" s="3" t="str">
        <f>IF(LEN(Base_Periodo1[[#This Row],[CLASS]])&gt;=7,LEFT(Base_Periodo1[[#This Row],[CLASS]],7),"")</f>
        <v>2.1.2.1</v>
      </c>
      <c r="F2182" s="3" t="str">
        <f>VLOOKUP(Base_Periodo1[[#This Row],[Aux]],Base_Contas_Balanco[#All],2,FALSE)</f>
        <v>Fornecedores Cooperados</v>
      </c>
      <c r="G2182" s="1">
        <v>42884</v>
      </c>
      <c r="I2182" s="225">
        <v>26300</v>
      </c>
      <c r="J2182" s="225">
        <v>26300</v>
      </c>
      <c r="K2182" s="225">
        <v>0</v>
      </c>
      <c r="L21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82" s="225">
        <f>ROUND(IF(AND(Base_Periodo1[[#This Row],[Tipo_Linha]]="-",Base_Periodo1[[#This Row],[TIPOSALDO]]="D"),Base_Periodo1[[#This Row],[SALDO_ATUAL]]*-1,Base_Periodo1[[#This Row],[SALDO_ATUAL]]),4)</f>
        <v>0</v>
      </c>
      <c r="N2182" t="s">
        <v>116</v>
      </c>
      <c r="O2182" t="s">
        <v>436</v>
      </c>
      <c r="P2182" t="s">
        <v>436</v>
      </c>
      <c r="Q2182">
        <v>7</v>
      </c>
      <c r="R2182" s="225">
        <f>Base_Periodo1[[#This Row],[CREDITOS]]-Base_Periodo1[[#This Row],[DEBITOS]]</f>
        <v>0</v>
      </c>
      <c r="S2182" s="3" t="str">
        <f>IF(ISERROR(VLOOKUP(Base_Periodo1[[#This Row],[CONTA]],BaseContasDRE[#All],4,FALSE)),"Fora do DRE",VLOOKUP(Base_Periodo1[[#This Row],[CONTA]],BaseContasDRE[#All],4,FALSE))</f>
        <v>Fora do DRE</v>
      </c>
      <c r="T2182" s="3" t="str">
        <f>IF(ISERROR(VLOOKUP(Base_Periodo1[[#This Row],[CONTA]],BaseContasDRE[#All],5,FALSE)),"Fora do DRE",VLOOKUP(Base_Periodo1[[#This Row],[CONTA]],BaseContasDRE[#All],6,FALSE))</f>
        <v>Fora do DRE</v>
      </c>
      <c r="U2182" s="3" t="str">
        <f>IF(ISERROR(VLOOKUP(Base_Periodo1[[#This Row],[CONTA]],BaseContasDRE[#All],7,FALSE)),"Fora do DRE",VLOOKUP(Base_Periodo1[[#This Row],[CONTA]],BaseContasDRE[#All],7,FALSE))</f>
        <v>Fora do DRE</v>
      </c>
      <c r="V2182" s="3" t="str">
        <f>IF(Base_Periodo1[[#This Row],[Tipo_Linha]]="Fora do DRE","Fora do DRE","( "&amp;Base_Periodo1[[#This Row],[Tipo_Linha]]&amp;" ) "&amp;Base_Periodo1[[#This Row],[Filtro]])</f>
        <v>Fora do DRE</v>
      </c>
      <c r="W2182" s="3" t="str">
        <f>LEFT(Base_Periodo1[[#This Row],[CLASS]],3)</f>
        <v>2.1</v>
      </c>
    </row>
    <row r="2183" spans="1:23" hidden="1">
      <c r="A2183" s="3" t="str">
        <f t="shared" si="34"/>
        <v>Período 1</v>
      </c>
      <c r="B2183">
        <v>55880</v>
      </c>
      <c r="C2183" t="s">
        <v>1730</v>
      </c>
      <c r="D2183" t="s">
        <v>5477</v>
      </c>
      <c r="E2183" s="3" t="str">
        <f>IF(LEN(Base_Periodo1[[#This Row],[CLASS]])&gt;=7,LEFT(Base_Periodo1[[#This Row],[CLASS]],7),"")</f>
        <v>2.1.2.1</v>
      </c>
      <c r="F2183" s="3" t="str">
        <f>VLOOKUP(Base_Periodo1[[#This Row],[Aux]],Base_Contas_Balanco[#All],2,FALSE)</f>
        <v>Fornecedores Cooperados</v>
      </c>
      <c r="G2183" s="1">
        <v>42858</v>
      </c>
      <c r="I2183" s="225">
        <v>120714.09</v>
      </c>
      <c r="J2183" s="225">
        <v>120714.09</v>
      </c>
      <c r="K2183" s="225">
        <v>0</v>
      </c>
      <c r="L21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83" s="225">
        <f>ROUND(IF(AND(Base_Periodo1[[#This Row],[Tipo_Linha]]="-",Base_Periodo1[[#This Row],[TIPOSALDO]]="D"),Base_Periodo1[[#This Row],[SALDO_ATUAL]]*-1,Base_Periodo1[[#This Row],[SALDO_ATUAL]]),4)</f>
        <v>0</v>
      </c>
      <c r="N2183" t="s">
        <v>116</v>
      </c>
      <c r="O2183" t="s">
        <v>436</v>
      </c>
      <c r="P2183" t="s">
        <v>436</v>
      </c>
      <c r="Q2183">
        <v>7</v>
      </c>
      <c r="R2183" s="225">
        <f>Base_Periodo1[[#This Row],[CREDITOS]]-Base_Periodo1[[#This Row],[DEBITOS]]</f>
        <v>0</v>
      </c>
      <c r="S2183" s="3" t="str">
        <f>IF(ISERROR(VLOOKUP(Base_Periodo1[[#This Row],[CONTA]],BaseContasDRE[#All],4,FALSE)),"Fora do DRE",VLOOKUP(Base_Periodo1[[#This Row],[CONTA]],BaseContasDRE[#All],4,FALSE))</f>
        <v>Fora do DRE</v>
      </c>
      <c r="T2183" s="3" t="str">
        <f>IF(ISERROR(VLOOKUP(Base_Periodo1[[#This Row],[CONTA]],BaseContasDRE[#All],5,FALSE)),"Fora do DRE",VLOOKUP(Base_Periodo1[[#This Row],[CONTA]],BaseContasDRE[#All],6,FALSE))</f>
        <v>Fora do DRE</v>
      </c>
      <c r="U2183" s="3" t="str">
        <f>IF(ISERROR(VLOOKUP(Base_Periodo1[[#This Row],[CONTA]],BaseContasDRE[#All],7,FALSE)),"Fora do DRE",VLOOKUP(Base_Periodo1[[#This Row],[CONTA]],BaseContasDRE[#All],7,FALSE))</f>
        <v>Fora do DRE</v>
      </c>
      <c r="V2183" s="3" t="str">
        <f>IF(Base_Periodo1[[#This Row],[Tipo_Linha]]="Fora do DRE","Fora do DRE","( "&amp;Base_Periodo1[[#This Row],[Tipo_Linha]]&amp;" ) "&amp;Base_Periodo1[[#This Row],[Filtro]])</f>
        <v>Fora do DRE</v>
      </c>
      <c r="W2183" s="3" t="str">
        <f>LEFT(Base_Periodo1[[#This Row],[CLASS]],3)</f>
        <v>2.1</v>
      </c>
    </row>
    <row r="2184" spans="1:23" hidden="1">
      <c r="A2184" s="3" t="str">
        <f t="shared" si="34"/>
        <v>Período 1</v>
      </c>
      <c r="B2184">
        <v>52951</v>
      </c>
      <c r="C2184" t="s">
        <v>1730</v>
      </c>
      <c r="D2184" t="s">
        <v>5125</v>
      </c>
      <c r="E2184" s="3" t="str">
        <f>IF(LEN(Base_Periodo1[[#This Row],[CLASS]])&gt;=7,LEFT(Base_Periodo1[[#This Row],[CLASS]],7),"")</f>
        <v>2.1.2.1</v>
      </c>
      <c r="F2184" s="3" t="str">
        <f>VLOOKUP(Base_Periodo1[[#This Row],[Aux]],Base_Contas_Balanco[#All],2,FALSE)</f>
        <v>Fornecedores Cooperados</v>
      </c>
      <c r="G2184" s="1">
        <v>42858</v>
      </c>
      <c r="H2184" s="225">
        <v>65.809999999999988</v>
      </c>
      <c r="I2184" s="225">
        <v>65.81</v>
      </c>
      <c r="J2184" s="225">
        <v>0</v>
      </c>
      <c r="K2184" s="225">
        <v>1.4210854715202004E-14</v>
      </c>
      <c r="L21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84" s="225">
        <f>ROUND(IF(AND(Base_Periodo1[[#This Row],[Tipo_Linha]]="-",Base_Periodo1[[#This Row],[TIPOSALDO]]="D"),Base_Periodo1[[#This Row],[SALDO_ATUAL]]*-1,Base_Periodo1[[#This Row],[SALDO_ATUAL]]),4)</f>
        <v>0</v>
      </c>
      <c r="N2184" t="s">
        <v>116</v>
      </c>
      <c r="O2184" t="s">
        <v>459</v>
      </c>
      <c r="P2184" t="s">
        <v>436</v>
      </c>
      <c r="Q2184">
        <v>7</v>
      </c>
      <c r="R2184" s="225">
        <f>Base_Periodo1[[#This Row],[CREDITOS]]-Base_Periodo1[[#This Row],[DEBITOS]]</f>
        <v>-65.81</v>
      </c>
      <c r="S2184" s="3" t="str">
        <f>IF(ISERROR(VLOOKUP(Base_Periodo1[[#This Row],[CONTA]],BaseContasDRE[#All],4,FALSE)),"Fora do DRE",VLOOKUP(Base_Periodo1[[#This Row],[CONTA]],BaseContasDRE[#All],4,FALSE))</f>
        <v>Fora do DRE</v>
      </c>
      <c r="T2184" s="3" t="str">
        <f>IF(ISERROR(VLOOKUP(Base_Periodo1[[#This Row],[CONTA]],BaseContasDRE[#All],5,FALSE)),"Fora do DRE",VLOOKUP(Base_Periodo1[[#This Row],[CONTA]],BaseContasDRE[#All],6,FALSE))</f>
        <v>Fora do DRE</v>
      </c>
      <c r="U2184" s="3" t="str">
        <f>IF(ISERROR(VLOOKUP(Base_Periodo1[[#This Row],[CONTA]],BaseContasDRE[#All],7,FALSE)),"Fora do DRE",VLOOKUP(Base_Periodo1[[#This Row],[CONTA]],BaseContasDRE[#All],7,FALSE))</f>
        <v>Fora do DRE</v>
      </c>
      <c r="V2184" s="3" t="str">
        <f>IF(Base_Periodo1[[#This Row],[Tipo_Linha]]="Fora do DRE","Fora do DRE","( "&amp;Base_Periodo1[[#This Row],[Tipo_Linha]]&amp;" ) "&amp;Base_Periodo1[[#This Row],[Filtro]])</f>
        <v>Fora do DRE</v>
      </c>
      <c r="W2184" s="3" t="str">
        <f>LEFT(Base_Periodo1[[#This Row],[CLASS]],3)</f>
        <v>2.1</v>
      </c>
    </row>
    <row r="2185" spans="1:23" hidden="1">
      <c r="A2185" s="3" t="str">
        <f t="shared" si="34"/>
        <v>Período 1</v>
      </c>
      <c r="B2185">
        <v>3601</v>
      </c>
      <c r="C2185" t="s">
        <v>1730</v>
      </c>
      <c r="D2185" t="s">
        <v>6333</v>
      </c>
      <c r="E2185" s="3" t="str">
        <f>IF(LEN(Base_Periodo1[[#This Row],[CLASS]])&gt;=7,LEFT(Base_Periodo1[[#This Row],[CLASS]],7),"")</f>
        <v>2.1.2.1</v>
      </c>
      <c r="F2185" s="3" t="str">
        <f>VLOOKUP(Base_Periodo1[[#This Row],[Aux]],Base_Contas_Balanco[#All],2,FALSE)</f>
        <v>Fornecedores Cooperados</v>
      </c>
      <c r="G2185" s="1">
        <v>42885</v>
      </c>
      <c r="H2185" s="225">
        <v>159680.00000000023</v>
      </c>
      <c r="I2185" s="225">
        <v>350479.99999999994</v>
      </c>
      <c r="J2185" s="225">
        <v>190800</v>
      </c>
      <c r="K2185" s="225">
        <v>-2.9103830456733704E-10</v>
      </c>
      <c r="L21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85" s="225">
        <f>ROUND(IF(AND(Base_Periodo1[[#This Row],[Tipo_Linha]]="-",Base_Periodo1[[#This Row],[TIPOSALDO]]="D"),Base_Periodo1[[#This Row],[SALDO_ATUAL]]*-1,Base_Periodo1[[#This Row],[SALDO_ATUAL]]),4)</f>
        <v>0</v>
      </c>
      <c r="N2185" t="s">
        <v>116</v>
      </c>
      <c r="O2185" t="s">
        <v>459</v>
      </c>
      <c r="P2185" t="s">
        <v>436</v>
      </c>
      <c r="Q2185">
        <v>7</v>
      </c>
      <c r="R2185" s="225">
        <f>Base_Periodo1[[#This Row],[CREDITOS]]-Base_Periodo1[[#This Row],[DEBITOS]]</f>
        <v>-159679.99999999994</v>
      </c>
      <c r="S2185" s="3" t="str">
        <f>IF(ISERROR(VLOOKUP(Base_Periodo1[[#This Row],[CONTA]],BaseContasDRE[#All],4,FALSE)),"Fora do DRE",VLOOKUP(Base_Periodo1[[#This Row],[CONTA]],BaseContasDRE[#All],4,FALSE))</f>
        <v>Fora do DRE</v>
      </c>
      <c r="T2185" s="3" t="str">
        <f>IF(ISERROR(VLOOKUP(Base_Periodo1[[#This Row],[CONTA]],BaseContasDRE[#All],5,FALSE)),"Fora do DRE",VLOOKUP(Base_Periodo1[[#This Row],[CONTA]],BaseContasDRE[#All],6,FALSE))</f>
        <v>Fora do DRE</v>
      </c>
      <c r="U2185" s="3" t="str">
        <f>IF(ISERROR(VLOOKUP(Base_Periodo1[[#This Row],[CONTA]],BaseContasDRE[#All],7,FALSE)),"Fora do DRE",VLOOKUP(Base_Periodo1[[#This Row],[CONTA]],BaseContasDRE[#All],7,FALSE))</f>
        <v>Fora do DRE</v>
      </c>
      <c r="V2185" s="3" t="str">
        <f>IF(Base_Periodo1[[#This Row],[Tipo_Linha]]="Fora do DRE","Fora do DRE","( "&amp;Base_Periodo1[[#This Row],[Tipo_Linha]]&amp;" ) "&amp;Base_Periodo1[[#This Row],[Filtro]])</f>
        <v>Fora do DRE</v>
      </c>
      <c r="W2185" s="3" t="str">
        <f>LEFT(Base_Periodo1[[#This Row],[CLASS]],3)</f>
        <v>2.1</v>
      </c>
    </row>
    <row r="2186" spans="1:23" hidden="1">
      <c r="A2186" s="3" t="str">
        <f t="shared" si="34"/>
        <v>Período 1</v>
      </c>
      <c r="B2186">
        <v>24219</v>
      </c>
      <c r="C2186" t="s">
        <v>1730</v>
      </c>
      <c r="D2186" t="s">
        <v>515</v>
      </c>
      <c r="E2186" s="3" t="str">
        <f>IF(LEN(Base_Periodo1[[#This Row],[CLASS]])&gt;=7,LEFT(Base_Periodo1[[#This Row],[CLASS]],7),"")</f>
        <v>2.1.2.1</v>
      </c>
      <c r="F2186" s="3" t="str">
        <f>VLOOKUP(Base_Periodo1[[#This Row],[Aux]],Base_Contas_Balanco[#All],2,FALSE)</f>
        <v>Fornecedores Cooperados</v>
      </c>
      <c r="G2186" s="1">
        <v>42886</v>
      </c>
      <c r="H2186" s="225">
        <v>169.21000000005006</v>
      </c>
      <c r="I2186" s="225">
        <v>3400</v>
      </c>
      <c r="J2186" s="225">
        <v>3400</v>
      </c>
      <c r="K2186" s="225">
        <v>169.21000000005006</v>
      </c>
      <c r="L21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169.21</v>
      </c>
      <c r="M2186" s="225">
        <f>ROUND(IF(AND(Base_Periodo1[[#This Row],[Tipo_Linha]]="-",Base_Periodo1[[#This Row],[TIPOSALDO]]="D"),Base_Periodo1[[#This Row],[SALDO_ATUAL]]*-1,Base_Periodo1[[#This Row],[SALDO_ATUAL]]),4)</f>
        <v>169.21</v>
      </c>
      <c r="N2186" t="s">
        <v>116</v>
      </c>
      <c r="O2186" t="s">
        <v>459</v>
      </c>
      <c r="P2186" t="s">
        <v>459</v>
      </c>
      <c r="Q2186">
        <v>7</v>
      </c>
      <c r="R2186" s="225">
        <f>Base_Periodo1[[#This Row],[CREDITOS]]-Base_Periodo1[[#This Row],[DEBITOS]]</f>
        <v>0</v>
      </c>
      <c r="S2186" s="3" t="str">
        <f>IF(ISERROR(VLOOKUP(Base_Periodo1[[#This Row],[CONTA]],BaseContasDRE[#All],4,FALSE)),"Fora do DRE",VLOOKUP(Base_Periodo1[[#This Row],[CONTA]],BaseContasDRE[#All],4,FALSE))</f>
        <v>Fora do DRE</v>
      </c>
      <c r="T2186" s="3" t="str">
        <f>IF(ISERROR(VLOOKUP(Base_Periodo1[[#This Row],[CONTA]],BaseContasDRE[#All],5,FALSE)),"Fora do DRE",VLOOKUP(Base_Periodo1[[#This Row],[CONTA]],BaseContasDRE[#All],6,FALSE))</f>
        <v>Fora do DRE</v>
      </c>
      <c r="U2186" s="3" t="str">
        <f>IF(ISERROR(VLOOKUP(Base_Periodo1[[#This Row],[CONTA]],BaseContasDRE[#All],7,FALSE)),"Fora do DRE",VLOOKUP(Base_Periodo1[[#This Row],[CONTA]],BaseContasDRE[#All],7,FALSE))</f>
        <v>Fora do DRE</v>
      </c>
      <c r="V2186" s="3" t="str">
        <f>IF(Base_Periodo1[[#This Row],[Tipo_Linha]]="Fora do DRE","Fora do DRE","( "&amp;Base_Periodo1[[#This Row],[Tipo_Linha]]&amp;" ) "&amp;Base_Periodo1[[#This Row],[Filtro]])</f>
        <v>Fora do DRE</v>
      </c>
      <c r="W2186" s="3" t="str">
        <f>LEFT(Base_Periodo1[[#This Row],[CLASS]],3)</f>
        <v>2.1</v>
      </c>
    </row>
    <row r="2187" spans="1:23" hidden="1">
      <c r="A2187" s="3" t="str">
        <f t="shared" si="34"/>
        <v>Período 1</v>
      </c>
      <c r="B2187">
        <v>55161</v>
      </c>
      <c r="C2187" t="s">
        <v>1730</v>
      </c>
      <c r="D2187" t="s">
        <v>5071</v>
      </c>
      <c r="E2187" s="3" t="str">
        <f>IF(LEN(Base_Periodo1[[#This Row],[CLASS]])&gt;=7,LEFT(Base_Periodo1[[#This Row],[CLASS]],7),"")</f>
        <v>2.1.2.1</v>
      </c>
      <c r="F2187" s="3" t="str">
        <f>VLOOKUP(Base_Periodo1[[#This Row],[Aux]],Base_Contas_Balanco[#All],2,FALSE)</f>
        <v>Fornecedores Cooperados</v>
      </c>
      <c r="G2187" s="1"/>
      <c r="H2187" s="225">
        <v>287.07</v>
      </c>
      <c r="I2187" s="225">
        <v>0</v>
      </c>
      <c r="J2187" s="225">
        <v>0</v>
      </c>
      <c r="K2187" s="225">
        <v>287.07</v>
      </c>
      <c r="L21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287.07</v>
      </c>
      <c r="M2187" s="225">
        <f>ROUND(IF(AND(Base_Periodo1[[#This Row],[Tipo_Linha]]="-",Base_Periodo1[[#This Row],[TIPOSALDO]]="D"),Base_Periodo1[[#This Row],[SALDO_ATUAL]]*-1,Base_Periodo1[[#This Row],[SALDO_ATUAL]]),4)</f>
        <v>287.07</v>
      </c>
      <c r="N2187" t="s">
        <v>116</v>
      </c>
      <c r="O2187" t="s">
        <v>459</v>
      </c>
      <c r="P2187" t="s">
        <v>459</v>
      </c>
      <c r="Q2187">
        <v>7</v>
      </c>
      <c r="R2187" s="225">
        <f>Base_Periodo1[[#This Row],[CREDITOS]]-Base_Periodo1[[#This Row],[DEBITOS]]</f>
        <v>0</v>
      </c>
      <c r="S2187" s="3" t="str">
        <f>IF(ISERROR(VLOOKUP(Base_Periodo1[[#This Row],[CONTA]],BaseContasDRE[#All],4,FALSE)),"Fora do DRE",VLOOKUP(Base_Periodo1[[#This Row],[CONTA]],BaseContasDRE[#All],4,FALSE))</f>
        <v>Fora do DRE</v>
      </c>
      <c r="T2187" s="3" t="str">
        <f>IF(ISERROR(VLOOKUP(Base_Periodo1[[#This Row],[CONTA]],BaseContasDRE[#All],5,FALSE)),"Fora do DRE",VLOOKUP(Base_Periodo1[[#This Row],[CONTA]],BaseContasDRE[#All],6,FALSE))</f>
        <v>Fora do DRE</v>
      </c>
      <c r="U2187" s="3" t="str">
        <f>IF(ISERROR(VLOOKUP(Base_Periodo1[[#This Row],[CONTA]],BaseContasDRE[#All],7,FALSE)),"Fora do DRE",VLOOKUP(Base_Periodo1[[#This Row],[CONTA]],BaseContasDRE[#All],7,FALSE))</f>
        <v>Fora do DRE</v>
      </c>
      <c r="V2187" s="3" t="str">
        <f>IF(Base_Periodo1[[#This Row],[Tipo_Linha]]="Fora do DRE","Fora do DRE","( "&amp;Base_Periodo1[[#This Row],[Tipo_Linha]]&amp;" ) "&amp;Base_Periodo1[[#This Row],[Filtro]])</f>
        <v>Fora do DRE</v>
      </c>
      <c r="W2187" s="3" t="str">
        <f>LEFT(Base_Periodo1[[#This Row],[CLASS]],3)</f>
        <v>2.1</v>
      </c>
    </row>
    <row r="2188" spans="1:23" hidden="1">
      <c r="A2188" s="3" t="str">
        <f t="shared" si="34"/>
        <v>Período 1</v>
      </c>
      <c r="B2188">
        <v>53301</v>
      </c>
      <c r="C2188" t="s">
        <v>1730</v>
      </c>
      <c r="D2188" t="s">
        <v>4811</v>
      </c>
      <c r="E2188" s="3" t="str">
        <f>IF(LEN(Base_Periodo1[[#This Row],[CLASS]])&gt;=7,LEFT(Base_Periodo1[[#This Row],[CLASS]],7),"")</f>
        <v>2.1.2.1</v>
      </c>
      <c r="F2188" s="3" t="str">
        <f>VLOOKUP(Base_Periodo1[[#This Row],[Aux]],Base_Contas_Balanco[#All],2,FALSE)</f>
        <v>Fornecedores Cooperados</v>
      </c>
      <c r="G2188" s="1">
        <v>42878</v>
      </c>
      <c r="I2188" s="225">
        <v>18239.550000000003</v>
      </c>
      <c r="J2188" s="225">
        <v>18239.55</v>
      </c>
      <c r="K2188" s="225">
        <v>-1.0913936421275139E-11</v>
      </c>
      <c r="L21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88" s="225">
        <f>ROUND(IF(AND(Base_Periodo1[[#This Row],[Tipo_Linha]]="-",Base_Periodo1[[#This Row],[TIPOSALDO]]="D"),Base_Periodo1[[#This Row],[SALDO_ATUAL]]*-1,Base_Periodo1[[#This Row],[SALDO_ATUAL]]),4)</f>
        <v>0</v>
      </c>
      <c r="N2188" t="s">
        <v>116</v>
      </c>
      <c r="O2188" t="s">
        <v>436</v>
      </c>
      <c r="P2188" t="s">
        <v>436</v>
      </c>
      <c r="Q2188">
        <v>7</v>
      </c>
      <c r="R2188" s="225">
        <f>Base_Periodo1[[#This Row],[CREDITOS]]-Base_Periodo1[[#This Row],[DEBITOS]]</f>
        <v>0</v>
      </c>
      <c r="S2188" s="3" t="str">
        <f>IF(ISERROR(VLOOKUP(Base_Periodo1[[#This Row],[CONTA]],BaseContasDRE[#All],4,FALSE)),"Fora do DRE",VLOOKUP(Base_Periodo1[[#This Row],[CONTA]],BaseContasDRE[#All],4,FALSE))</f>
        <v>Fora do DRE</v>
      </c>
      <c r="T2188" s="3" t="str">
        <f>IF(ISERROR(VLOOKUP(Base_Periodo1[[#This Row],[CONTA]],BaseContasDRE[#All],5,FALSE)),"Fora do DRE",VLOOKUP(Base_Periodo1[[#This Row],[CONTA]],BaseContasDRE[#All],6,FALSE))</f>
        <v>Fora do DRE</v>
      </c>
      <c r="U2188" s="3" t="str">
        <f>IF(ISERROR(VLOOKUP(Base_Periodo1[[#This Row],[CONTA]],BaseContasDRE[#All],7,FALSE)),"Fora do DRE",VLOOKUP(Base_Periodo1[[#This Row],[CONTA]],BaseContasDRE[#All],7,FALSE))</f>
        <v>Fora do DRE</v>
      </c>
      <c r="V2188" s="3" t="str">
        <f>IF(Base_Periodo1[[#This Row],[Tipo_Linha]]="Fora do DRE","Fora do DRE","( "&amp;Base_Periodo1[[#This Row],[Tipo_Linha]]&amp;" ) "&amp;Base_Periodo1[[#This Row],[Filtro]])</f>
        <v>Fora do DRE</v>
      </c>
      <c r="W2188" s="3" t="str">
        <f>LEFT(Base_Periodo1[[#This Row],[CLASS]],3)</f>
        <v>2.1</v>
      </c>
    </row>
    <row r="2189" spans="1:23" hidden="1">
      <c r="A2189" s="3" t="str">
        <f t="shared" si="34"/>
        <v>Período 1</v>
      </c>
      <c r="B2189">
        <v>2429</v>
      </c>
      <c r="C2189" t="s">
        <v>1730</v>
      </c>
      <c r="D2189" t="s">
        <v>516</v>
      </c>
      <c r="E2189" s="3" t="str">
        <f>IF(LEN(Base_Periodo1[[#This Row],[CLASS]])&gt;=7,LEFT(Base_Periodo1[[#This Row],[CLASS]],7),"")</f>
        <v>2.1.2.1</v>
      </c>
      <c r="F2189" s="3" t="str">
        <f>VLOOKUP(Base_Periodo1[[#This Row],[Aux]],Base_Contas_Balanco[#All],2,FALSE)</f>
        <v>Fornecedores Cooperados</v>
      </c>
      <c r="G2189" s="1">
        <v>42886</v>
      </c>
      <c r="I2189" s="225">
        <v>29269.519999999997</v>
      </c>
      <c r="J2189" s="225">
        <v>129916.29000000001</v>
      </c>
      <c r="K2189" s="225">
        <v>100646.77000000002</v>
      </c>
      <c r="L21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100646.77</v>
      </c>
      <c r="M2189" s="225">
        <f>ROUND(IF(AND(Base_Periodo1[[#This Row],[Tipo_Linha]]="-",Base_Periodo1[[#This Row],[TIPOSALDO]]="D"),Base_Periodo1[[#This Row],[SALDO_ATUAL]]*-1,Base_Periodo1[[#This Row],[SALDO_ATUAL]]),4)</f>
        <v>100646.77</v>
      </c>
      <c r="N2189" t="s">
        <v>116</v>
      </c>
      <c r="O2189" t="s">
        <v>436</v>
      </c>
      <c r="P2189" t="s">
        <v>459</v>
      </c>
      <c r="Q2189">
        <v>7</v>
      </c>
      <c r="R2189" s="225">
        <f>Base_Periodo1[[#This Row],[CREDITOS]]-Base_Periodo1[[#This Row],[DEBITOS]]</f>
        <v>100646.77000000002</v>
      </c>
      <c r="S2189" s="3" t="str">
        <f>IF(ISERROR(VLOOKUP(Base_Periodo1[[#This Row],[CONTA]],BaseContasDRE[#All],4,FALSE)),"Fora do DRE",VLOOKUP(Base_Periodo1[[#This Row],[CONTA]],BaseContasDRE[#All],4,FALSE))</f>
        <v>Fora do DRE</v>
      </c>
      <c r="T2189" s="3" t="str">
        <f>IF(ISERROR(VLOOKUP(Base_Periodo1[[#This Row],[CONTA]],BaseContasDRE[#All],5,FALSE)),"Fora do DRE",VLOOKUP(Base_Periodo1[[#This Row],[CONTA]],BaseContasDRE[#All],6,FALSE))</f>
        <v>Fora do DRE</v>
      </c>
      <c r="U2189" s="3" t="str">
        <f>IF(ISERROR(VLOOKUP(Base_Periodo1[[#This Row],[CONTA]],BaseContasDRE[#All],7,FALSE)),"Fora do DRE",VLOOKUP(Base_Periodo1[[#This Row],[CONTA]],BaseContasDRE[#All],7,FALSE))</f>
        <v>Fora do DRE</v>
      </c>
      <c r="V2189" s="3" t="str">
        <f>IF(Base_Periodo1[[#This Row],[Tipo_Linha]]="Fora do DRE","Fora do DRE","( "&amp;Base_Periodo1[[#This Row],[Tipo_Linha]]&amp;" ) "&amp;Base_Periodo1[[#This Row],[Filtro]])</f>
        <v>Fora do DRE</v>
      </c>
      <c r="W2189" s="3" t="str">
        <f>LEFT(Base_Periodo1[[#This Row],[CLASS]],3)</f>
        <v>2.1</v>
      </c>
    </row>
    <row r="2190" spans="1:23" hidden="1">
      <c r="A2190" s="3" t="str">
        <f t="shared" si="34"/>
        <v>Período 1</v>
      </c>
      <c r="B2190">
        <v>3653</v>
      </c>
      <c r="C2190" t="s">
        <v>1730</v>
      </c>
      <c r="D2190" t="s">
        <v>517</v>
      </c>
      <c r="E2190" s="3" t="str">
        <f>IF(LEN(Base_Periodo1[[#This Row],[CLASS]])&gt;=7,LEFT(Base_Periodo1[[#This Row],[CLASS]],7),"")</f>
        <v>2.1.2.1</v>
      </c>
      <c r="F2190" s="3" t="str">
        <f>VLOOKUP(Base_Periodo1[[#This Row],[Aux]],Base_Contas_Balanco[#All],2,FALSE)</f>
        <v>Fornecedores Cooperados</v>
      </c>
      <c r="G2190" s="1">
        <v>42886</v>
      </c>
      <c r="I2190" s="225">
        <v>525.32000000000005</v>
      </c>
      <c r="J2190" s="225">
        <v>525.32000000000005</v>
      </c>
      <c r="K2190" s="225">
        <v>2.7939677238464355E-9</v>
      </c>
      <c r="L21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90" s="225">
        <f>ROUND(IF(AND(Base_Periodo1[[#This Row],[Tipo_Linha]]="-",Base_Periodo1[[#This Row],[TIPOSALDO]]="D"),Base_Periodo1[[#This Row],[SALDO_ATUAL]]*-1,Base_Periodo1[[#This Row],[SALDO_ATUAL]]),4)</f>
        <v>0</v>
      </c>
      <c r="N2190" t="s">
        <v>116</v>
      </c>
      <c r="O2190" t="s">
        <v>436</v>
      </c>
      <c r="P2190" t="s">
        <v>436</v>
      </c>
      <c r="Q2190">
        <v>7</v>
      </c>
      <c r="R2190" s="225">
        <f>Base_Periodo1[[#This Row],[CREDITOS]]-Base_Periodo1[[#This Row],[DEBITOS]]</f>
        <v>0</v>
      </c>
      <c r="S2190" s="3" t="str">
        <f>IF(ISERROR(VLOOKUP(Base_Periodo1[[#This Row],[CONTA]],BaseContasDRE[#All],4,FALSE)),"Fora do DRE",VLOOKUP(Base_Periodo1[[#This Row],[CONTA]],BaseContasDRE[#All],4,FALSE))</f>
        <v>Fora do DRE</v>
      </c>
      <c r="T2190" s="3" t="str">
        <f>IF(ISERROR(VLOOKUP(Base_Periodo1[[#This Row],[CONTA]],BaseContasDRE[#All],5,FALSE)),"Fora do DRE",VLOOKUP(Base_Periodo1[[#This Row],[CONTA]],BaseContasDRE[#All],6,FALSE))</f>
        <v>Fora do DRE</v>
      </c>
      <c r="U2190" s="3" t="str">
        <f>IF(ISERROR(VLOOKUP(Base_Periodo1[[#This Row],[CONTA]],BaseContasDRE[#All],7,FALSE)),"Fora do DRE",VLOOKUP(Base_Periodo1[[#This Row],[CONTA]],BaseContasDRE[#All],7,FALSE))</f>
        <v>Fora do DRE</v>
      </c>
      <c r="V2190" s="3" t="str">
        <f>IF(Base_Periodo1[[#This Row],[Tipo_Linha]]="Fora do DRE","Fora do DRE","( "&amp;Base_Periodo1[[#This Row],[Tipo_Linha]]&amp;" ) "&amp;Base_Periodo1[[#This Row],[Filtro]])</f>
        <v>Fora do DRE</v>
      </c>
      <c r="W2190" s="3" t="str">
        <f>LEFT(Base_Periodo1[[#This Row],[CLASS]],3)</f>
        <v>2.1</v>
      </c>
    </row>
    <row r="2191" spans="1:23" hidden="1">
      <c r="A2191" s="3" t="str">
        <f t="shared" si="34"/>
        <v>Período 1</v>
      </c>
      <c r="B2191">
        <v>20829</v>
      </c>
      <c r="C2191" t="s">
        <v>1730</v>
      </c>
      <c r="D2191" t="s">
        <v>4358</v>
      </c>
      <c r="E2191" s="3" t="str">
        <f>IF(LEN(Base_Periodo1[[#This Row],[CLASS]])&gt;=7,LEFT(Base_Periodo1[[#This Row],[CLASS]],7),"")</f>
        <v>2.1.2.1</v>
      </c>
      <c r="F2191" s="3" t="str">
        <f>VLOOKUP(Base_Periodo1[[#This Row],[Aux]],Base_Contas_Balanco[#All],2,FALSE)</f>
        <v>Fornecedores Cooperados</v>
      </c>
      <c r="G2191" s="1">
        <v>42389</v>
      </c>
      <c r="H2191" s="225">
        <v>108.8799999999992</v>
      </c>
      <c r="I2191" s="225">
        <v>0</v>
      </c>
      <c r="J2191" s="225">
        <v>0</v>
      </c>
      <c r="K2191" s="225">
        <v>108.8799999999992</v>
      </c>
      <c r="L21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108.88</v>
      </c>
      <c r="M2191" s="225">
        <f>ROUND(IF(AND(Base_Periodo1[[#This Row],[Tipo_Linha]]="-",Base_Periodo1[[#This Row],[TIPOSALDO]]="D"),Base_Periodo1[[#This Row],[SALDO_ATUAL]]*-1,Base_Periodo1[[#This Row],[SALDO_ATUAL]]),4)</f>
        <v>108.88</v>
      </c>
      <c r="N2191" t="s">
        <v>116</v>
      </c>
      <c r="O2191" t="s">
        <v>459</v>
      </c>
      <c r="P2191" t="s">
        <v>459</v>
      </c>
      <c r="Q2191">
        <v>7</v>
      </c>
      <c r="R2191" s="225">
        <f>Base_Periodo1[[#This Row],[CREDITOS]]-Base_Periodo1[[#This Row],[DEBITOS]]</f>
        <v>0</v>
      </c>
      <c r="S2191" s="3" t="str">
        <f>IF(ISERROR(VLOOKUP(Base_Periodo1[[#This Row],[CONTA]],BaseContasDRE[#All],4,FALSE)),"Fora do DRE",VLOOKUP(Base_Periodo1[[#This Row],[CONTA]],BaseContasDRE[#All],4,FALSE))</f>
        <v>Fora do DRE</v>
      </c>
      <c r="T2191" s="3" t="str">
        <f>IF(ISERROR(VLOOKUP(Base_Periodo1[[#This Row],[CONTA]],BaseContasDRE[#All],5,FALSE)),"Fora do DRE",VLOOKUP(Base_Periodo1[[#This Row],[CONTA]],BaseContasDRE[#All],6,FALSE))</f>
        <v>Fora do DRE</v>
      </c>
      <c r="U2191" s="3" t="str">
        <f>IF(ISERROR(VLOOKUP(Base_Periodo1[[#This Row],[CONTA]],BaseContasDRE[#All],7,FALSE)),"Fora do DRE",VLOOKUP(Base_Periodo1[[#This Row],[CONTA]],BaseContasDRE[#All],7,FALSE))</f>
        <v>Fora do DRE</v>
      </c>
      <c r="V2191" s="3" t="str">
        <f>IF(Base_Periodo1[[#This Row],[Tipo_Linha]]="Fora do DRE","Fora do DRE","( "&amp;Base_Periodo1[[#This Row],[Tipo_Linha]]&amp;" ) "&amp;Base_Periodo1[[#This Row],[Filtro]])</f>
        <v>Fora do DRE</v>
      </c>
      <c r="W2191" s="3" t="str">
        <f>LEFT(Base_Periodo1[[#This Row],[CLASS]],3)</f>
        <v>2.1</v>
      </c>
    </row>
    <row r="2192" spans="1:23" hidden="1">
      <c r="A2192" s="3" t="str">
        <f t="shared" si="34"/>
        <v>Período 1</v>
      </c>
      <c r="B2192">
        <v>3525</v>
      </c>
      <c r="C2192" t="s">
        <v>1730</v>
      </c>
      <c r="D2192" t="s">
        <v>518</v>
      </c>
      <c r="E2192" s="3" t="str">
        <f>IF(LEN(Base_Periodo1[[#This Row],[CLASS]])&gt;=7,LEFT(Base_Periodo1[[#This Row],[CLASS]],7),"")</f>
        <v>2.1.2.1</v>
      </c>
      <c r="F2192" s="3" t="str">
        <f>VLOOKUP(Base_Periodo1[[#This Row],[Aux]],Base_Contas_Balanco[#All],2,FALSE)</f>
        <v>Fornecedores Cooperados</v>
      </c>
      <c r="G2192" s="1">
        <v>42873</v>
      </c>
      <c r="H2192" s="225">
        <v>306784.70999999996</v>
      </c>
      <c r="I2192" s="225">
        <v>705445.21</v>
      </c>
      <c r="J2192" s="225">
        <v>398660.5</v>
      </c>
      <c r="K2192" s="225">
        <v>0</v>
      </c>
      <c r="L21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92" s="225">
        <f>ROUND(IF(AND(Base_Periodo1[[#This Row],[Tipo_Linha]]="-",Base_Periodo1[[#This Row],[TIPOSALDO]]="D"),Base_Periodo1[[#This Row],[SALDO_ATUAL]]*-1,Base_Periodo1[[#This Row],[SALDO_ATUAL]]),4)</f>
        <v>0</v>
      </c>
      <c r="N2192" t="s">
        <v>116</v>
      </c>
      <c r="O2192" t="s">
        <v>459</v>
      </c>
      <c r="P2192" t="s">
        <v>436</v>
      </c>
      <c r="Q2192">
        <v>7</v>
      </c>
      <c r="R2192" s="225">
        <f>Base_Periodo1[[#This Row],[CREDITOS]]-Base_Periodo1[[#This Row],[DEBITOS]]</f>
        <v>-306784.70999999996</v>
      </c>
      <c r="S2192" s="3" t="str">
        <f>IF(ISERROR(VLOOKUP(Base_Periodo1[[#This Row],[CONTA]],BaseContasDRE[#All],4,FALSE)),"Fora do DRE",VLOOKUP(Base_Periodo1[[#This Row],[CONTA]],BaseContasDRE[#All],4,FALSE))</f>
        <v>Fora do DRE</v>
      </c>
      <c r="T2192" s="3" t="str">
        <f>IF(ISERROR(VLOOKUP(Base_Periodo1[[#This Row],[CONTA]],BaseContasDRE[#All],5,FALSE)),"Fora do DRE",VLOOKUP(Base_Periodo1[[#This Row],[CONTA]],BaseContasDRE[#All],6,FALSE))</f>
        <v>Fora do DRE</v>
      </c>
      <c r="U2192" s="3" t="str">
        <f>IF(ISERROR(VLOOKUP(Base_Periodo1[[#This Row],[CONTA]],BaseContasDRE[#All],7,FALSE)),"Fora do DRE",VLOOKUP(Base_Periodo1[[#This Row],[CONTA]],BaseContasDRE[#All],7,FALSE))</f>
        <v>Fora do DRE</v>
      </c>
      <c r="V2192" s="3" t="str">
        <f>IF(Base_Periodo1[[#This Row],[Tipo_Linha]]="Fora do DRE","Fora do DRE","( "&amp;Base_Periodo1[[#This Row],[Tipo_Linha]]&amp;" ) "&amp;Base_Periodo1[[#This Row],[Filtro]])</f>
        <v>Fora do DRE</v>
      </c>
      <c r="W2192" s="3" t="str">
        <f>LEFT(Base_Periodo1[[#This Row],[CLASS]],3)</f>
        <v>2.1</v>
      </c>
    </row>
    <row r="2193" spans="1:23" hidden="1">
      <c r="A2193" s="3" t="str">
        <f t="shared" si="34"/>
        <v>Período 1</v>
      </c>
      <c r="B2193">
        <v>48108</v>
      </c>
      <c r="C2193" t="s">
        <v>1730</v>
      </c>
      <c r="D2193" t="s">
        <v>519</v>
      </c>
      <c r="E2193" s="3" t="str">
        <f>IF(LEN(Base_Periodo1[[#This Row],[CLASS]])&gt;=7,LEFT(Base_Periodo1[[#This Row],[CLASS]],7),"")</f>
        <v>2.1.2.1</v>
      </c>
      <c r="F2193" s="3" t="str">
        <f>VLOOKUP(Base_Periodo1[[#This Row],[Aux]],Base_Contas_Balanco[#All],2,FALSE)</f>
        <v>Fornecedores Cooperados</v>
      </c>
      <c r="G2193" s="1">
        <v>42885</v>
      </c>
      <c r="H2193" s="225">
        <v>297000</v>
      </c>
      <c r="I2193" s="225">
        <v>673142.94</v>
      </c>
      <c r="J2193" s="225">
        <v>577869.37</v>
      </c>
      <c r="K2193" s="225">
        <v>201726.43000000005</v>
      </c>
      <c r="L21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201726.43</v>
      </c>
      <c r="M2193" s="225">
        <f>ROUND(IF(AND(Base_Periodo1[[#This Row],[Tipo_Linha]]="-",Base_Periodo1[[#This Row],[TIPOSALDO]]="D"),Base_Periodo1[[#This Row],[SALDO_ATUAL]]*-1,Base_Periodo1[[#This Row],[SALDO_ATUAL]]),4)</f>
        <v>201726.43</v>
      </c>
      <c r="N2193" t="s">
        <v>116</v>
      </c>
      <c r="O2193" t="s">
        <v>459</v>
      </c>
      <c r="P2193" t="s">
        <v>459</v>
      </c>
      <c r="Q2193">
        <v>7</v>
      </c>
      <c r="R2193" s="225">
        <f>Base_Periodo1[[#This Row],[CREDITOS]]-Base_Periodo1[[#This Row],[DEBITOS]]</f>
        <v>-95273.569999999949</v>
      </c>
      <c r="S2193" s="3" t="str">
        <f>IF(ISERROR(VLOOKUP(Base_Periodo1[[#This Row],[CONTA]],BaseContasDRE[#All],4,FALSE)),"Fora do DRE",VLOOKUP(Base_Periodo1[[#This Row],[CONTA]],BaseContasDRE[#All],4,FALSE))</f>
        <v>Fora do DRE</v>
      </c>
      <c r="T2193" s="3" t="str">
        <f>IF(ISERROR(VLOOKUP(Base_Periodo1[[#This Row],[CONTA]],BaseContasDRE[#All],5,FALSE)),"Fora do DRE",VLOOKUP(Base_Periodo1[[#This Row],[CONTA]],BaseContasDRE[#All],6,FALSE))</f>
        <v>Fora do DRE</v>
      </c>
      <c r="U2193" s="3" t="str">
        <f>IF(ISERROR(VLOOKUP(Base_Periodo1[[#This Row],[CONTA]],BaseContasDRE[#All],7,FALSE)),"Fora do DRE",VLOOKUP(Base_Periodo1[[#This Row],[CONTA]],BaseContasDRE[#All],7,FALSE))</f>
        <v>Fora do DRE</v>
      </c>
      <c r="V2193" s="3" t="str">
        <f>IF(Base_Periodo1[[#This Row],[Tipo_Linha]]="Fora do DRE","Fora do DRE","( "&amp;Base_Periodo1[[#This Row],[Tipo_Linha]]&amp;" ) "&amp;Base_Periodo1[[#This Row],[Filtro]])</f>
        <v>Fora do DRE</v>
      </c>
      <c r="W2193" s="3" t="str">
        <f>LEFT(Base_Periodo1[[#This Row],[CLASS]],3)</f>
        <v>2.1</v>
      </c>
    </row>
    <row r="2194" spans="1:23" hidden="1">
      <c r="A2194" s="3" t="str">
        <f t="shared" si="34"/>
        <v>Período 1</v>
      </c>
      <c r="B2194">
        <v>50798</v>
      </c>
      <c r="C2194" t="s">
        <v>1730</v>
      </c>
      <c r="D2194" t="s">
        <v>4983</v>
      </c>
      <c r="E2194" s="3" t="str">
        <f>IF(LEN(Base_Periodo1[[#This Row],[CLASS]])&gt;=7,LEFT(Base_Periodo1[[#This Row],[CLASS]],7),"")</f>
        <v>2.1.2.1</v>
      </c>
      <c r="F2194" s="3" t="str">
        <f>VLOOKUP(Base_Periodo1[[#This Row],[Aux]],Base_Contas_Balanco[#All],2,FALSE)</f>
        <v>Fornecedores Cooperados</v>
      </c>
      <c r="G2194" s="1">
        <v>42886</v>
      </c>
      <c r="I2194" s="225">
        <v>426582.4</v>
      </c>
      <c r="J2194" s="225">
        <v>426582.4</v>
      </c>
      <c r="K2194" s="225">
        <v>0</v>
      </c>
      <c r="L21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94" s="225">
        <f>ROUND(IF(AND(Base_Periodo1[[#This Row],[Tipo_Linha]]="-",Base_Periodo1[[#This Row],[TIPOSALDO]]="D"),Base_Periodo1[[#This Row],[SALDO_ATUAL]]*-1,Base_Periodo1[[#This Row],[SALDO_ATUAL]]),4)</f>
        <v>0</v>
      </c>
      <c r="N2194" t="s">
        <v>116</v>
      </c>
      <c r="O2194" t="s">
        <v>436</v>
      </c>
      <c r="P2194" t="s">
        <v>436</v>
      </c>
      <c r="Q2194">
        <v>7</v>
      </c>
      <c r="R2194" s="225">
        <f>Base_Periodo1[[#This Row],[CREDITOS]]-Base_Periodo1[[#This Row],[DEBITOS]]</f>
        <v>0</v>
      </c>
      <c r="S2194" s="3" t="str">
        <f>IF(ISERROR(VLOOKUP(Base_Periodo1[[#This Row],[CONTA]],BaseContasDRE[#All],4,FALSE)),"Fora do DRE",VLOOKUP(Base_Periodo1[[#This Row],[CONTA]],BaseContasDRE[#All],4,FALSE))</f>
        <v>Fora do DRE</v>
      </c>
      <c r="T2194" s="3" t="str">
        <f>IF(ISERROR(VLOOKUP(Base_Periodo1[[#This Row],[CONTA]],BaseContasDRE[#All],5,FALSE)),"Fora do DRE",VLOOKUP(Base_Periodo1[[#This Row],[CONTA]],BaseContasDRE[#All],6,FALSE))</f>
        <v>Fora do DRE</v>
      </c>
      <c r="U2194" s="3" t="str">
        <f>IF(ISERROR(VLOOKUP(Base_Periodo1[[#This Row],[CONTA]],BaseContasDRE[#All],7,FALSE)),"Fora do DRE",VLOOKUP(Base_Periodo1[[#This Row],[CONTA]],BaseContasDRE[#All],7,FALSE))</f>
        <v>Fora do DRE</v>
      </c>
      <c r="V2194" s="3" t="str">
        <f>IF(Base_Periodo1[[#This Row],[Tipo_Linha]]="Fora do DRE","Fora do DRE","( "&amp;Base_Periodo1[[#This Row],[Tipo_Linha]]&amp;" ) "&amp;Base_Periodo1[[#This Row],[Filtro]])</f>
        <v>Fora do DRE</v>
      </c>
      <c r="W2194" s="3" t="str">
        <f>LEFT(Base_Periodo1[[#This Row],[CLASS]],3)</f>
        <v>2.1</v>
      </c>
    </row>
    <row r="2195" spans="1:23" hidden="1">
      <c r="A2195" s="3" t="str">
        <f t="shared" si="34"/>
        <v>Período 1</v>
      </c>
      <c r="B2195">
        <v>49093</v>
      </c>
      <c r="C2195" t="s">
        <v>1730</v>
      </c>
      <c r="D2195" t="s">
        <v>4241</v>
      </c>
      <c r="E2195" s="3" t="str">
        <f>IF(LEN(Base_Periodo1[[#This Row],[CLASS]])&gt;=7,LEFT(Base_Periodo1[[#This Row],[CLASS]],7),"")</f>
        <v>2.1.2.1</v>
      </c>
      <c r="F2195" s="3" t="str">
        <f>VLOOKUP(Base_Periodo1[[#This Row],[Aux]],Base_Contas_Balanco[#All],2,FALSE)</f>
        <v>Fornecedores Cooperados</v>
      </c>
      <c r="G2195" s="1">
        <v>42878</v>
      </c>
      <c r="I2195" s="225">
        <v>99738.5</v>
      </c>
      <c r="J2195" s="225">
        <v>99738.5</v>
      </c>
      <c r="K2195" s="225">
        <v>-1.1641532182693481E-10</v>
      </c>
      <c r="L21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95" s="225">
        <f>ROUND(IF(AND(Base_Periodo1[[#This Row],[Tipo_Linha]]="-",Base_Periodo1[[#This Row],[TIPOSALDO]]="D"),Base_Periodo1[[#This Row],[SALDO_ATUAL]]*-1,Base_Periodo1[[#This Row],[SALDO_ATUAL]]),4)</f>
        <v>0</v>
      </c>
      <c r="N2195" t="s">
        <v>116</v>
      </c>
      <c r="O2195" t="s">
        <v>436</v>
      </c>
      <c r="P2195" t="s">
        <v>436</v>
      </c>
      <c r="Q2195">
        <v>7</v>
      </c>
      <c r="R2195" s="225">
        <f>Base_Periodo1[[#This Row],[CREDITOS]]-Base_Periodo1[[#This Row],[DEBITOS]]</f>
        <v>0</v>
      </c>
      <c r="S2195" s="3" t="str">
        <f>IF(ISERROR(VLOOKUP(Base_Periodo1[[#This Row],[CONTA]],BaseContasDRE[#All],4,FALSE)),"Fora do DRE",VLOOKUP(Base_Periodo1[[#This Row],[CONTA]],BaseContasDRE[#All],4,FALSE))</f>
        <v>Fora do DRE</v>
      </c>
      <c r="T2195" s="3" t="str">
        <f>IF(ISERROR(VLOOKUP(Base_Periodo1[[#This Row],[CONTA]],BaseContasDRE[#All],5,FALSE)),"Fora do DRE",VLOOKUP(Base_Periodo1[[#This Row],[CONTA]],BaseContasDRE[#All],6,FALSE))</f>
        <v>Fora do DRE</v>
      </c>
      <c r="U2195" s="3" t="str">
        <f>IF(ISERROR(VLOOKUP(Base_Periodo1[[#This Row],[CONTA]],BaseContasDRE[#All],7,FALSE)),"Fora do DRE",VLOOKUP(Base_Periodo1[[#This Row],[CONTA]],BaseContasDRE[#All],7,FALSE))</f>
        <v>Fora do DRE</v>
      </c>
      <c r="V2195" s="3" t="str">
        <f>IF(Base_Periodo1[[#This Row],[Tipo_Linha]]="Fora do DRE","Fora do DRE","( "&amp;Base_Periodo1[[#This Row],[Tipo_Linha]]&amp;" ) "&amp;Base_Periodo1[[#This Row],[Filtro]])</f>
        <v>Fora do DRE</v>
      </c>
      <c r="W2195" s="3" t="str">
        <f>LEFT(Base_Periodo1[[#This Row],[CLASS]],3)</f>
        <v>2.1</v>
      </c>
    </row>
    <row r="2196" spans="1:23" hidden="1">
      <c r="A2196" s="3" t="str">
        <f t="shared" si="34"/>
        <v>Período 1</v>
      </c>
      <c r="B2196">
        <v>20881</v>
      </c>
      <c r="C2196" t="s">
        <v>1730</v>
      </c>
      <c r="D2196" t="s">
        <v>522</v>
      </c>
      <c r="E2196" s="3" t="str">
        <f>IF(LEN(Base_Periodo1[[#This Row],[CLASS]])&gt;=7,LEFT(Base_Periodo1[[#This Row],[CLASS]],7),"")</f>
        <v>2.1.2.1</v>
      </c>
      <c r="F2196" s="3" t="str">
        <f>VLOOKUP(Base_Periodo1[[#This Row],[Aux]],Base_Contas_Balanco[#All],2,FALSE)</f>
        <v>Fornecedores Cooperados</v>
      </c>
      <c r="G2196" s="1">
        <v>42877</v>
      </c>
      <c r="H2196" s="225">
        <v>14459.600000000093</v>
      </c>
      <c r="I2196" s="225">
        <v>24457.269999999997</v>
      </c>
      <c r="J2196" s="225">
        <v>9997.67</v>
      </c>
      <c r="K2196" s="225">
        <v>-9.6406438387930393E-11</v>
      </c>
      <c r="L21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96" s="225">
        <f>ROUND(IF(AND(Base_Periodo1[[#This Row],[Tipo_Linha]]="-",Base_Periodo1[[#This Row],[TIPOSALDO]]="D"),Base_Periodo1[[#This Row],[SALDO_ATUAL]]*-1,Base_Periodo1[[#This Row],[SALDO_ATUAL]]),4)</f>
        <v>0</v>
      </c>
      <c r="N2196" t="s">
        <v>116</v>
      </c>
      <c r="O2196" t="s">
        <v>459</v>
      </c>
      <c r="P2196" t="s">
        <v>436</v>
      </c>
      <c r="Q2196">
        <v>7</v>
      </c>
      <c r="R2196" s="225">
        <f>Base_Periodo1[[#This Row],[CREDITOS]]-Base_Periodo1[[#This Row],[DEBITOS]]</f>
        <v>-14459.599999999997</v>
      </c>
      <c r="S2196" s="3" t="str">
        <f>IF(ISERROR(VLOOKUP(Base_Periodo1[[#This Row],[CONTA]],BaseContasDRE[#All],4,FALSE)),"Fora do DRE",VLOOKUP(Base_Periodo1[[#This Row],[CONTA]],BaseContasDRE[#All],4,FALSE))</f>
        <v>Fora do DRE</v>
      </c>
      <c r="T2196" s="3" t="str">
        <f>IF(ISERROR(VLOOKUP(Base_Periodo1[[#This Row],[CONTA]],BaseContasDRE[#All],5,FALSE)),"Fora do DRE",VLOOKUP(Base_Periodo1[[#This Row],[CONTA]],BaseContasDRE[#All],6,FALSE))</f>
        <v>Fora do DRE</v>
      </c>
      <c r="U2196" s="3" t="str">
        <f>IF(ISERROR(VLOOKUP(Base_Periodo1[[#This Row],[CONTA]],BaseContasDRE[#All],7,FALSE)),"Fora do DRE",VLOOKUP(Base_Periodo1[[#This Row],[CONTA]],BaseContasDRE[#All],7,FALSE))</f>
        <v>Fora do DRE</v>
      </c>
      <c r="V2196" s="3" t="str">
        <f>IF(Base_Periodo1[[#This Row],[Tipo_Linha]]="Fora do DRE","Fora do DRE","( "&amp;Base_Periodo1[[#This Row],[Tipo_Linha]]&amp;" ) "&amp;Base_Periodo1[[#This Row],[Filtro]])</f>
        <v>Fora do DRE</v>
      </c>
      <c r="W2196" s="3" t="str">
        <f>LEFT(Base_Periodo1[[#This Row],[CLASS]],3)</f>
        <v>2.1</v>
      </c>
    </row>
    <row r="2197" spans="1:23" hidden="1">
      <c r="A2197" s="3" t="str">
        <f t="shared" si="34"/>
        <v>Período 1</v>
      </c>
      <c r="B2197">
        <v>7446</v>
      </c>
      <c r="C2197" t="s">
        <v>1730</v>
      </c>
      <c r="D2197" t="s">
        <v>6699</v>
      </c>
      <c r="E2197" s="3" t="str">
        <f>IF(LEN(Base_Periodo1[[#This Row],[CLASS]])&gt;=7,LEFT(Base_Periodo1[[#This Row],[CLASS]],7),"")</f>
        <v>2.1.2.1</v>
      </c>
      <c r="F2197" s="3" t="str">
        <f>VLOOKUP(Base_Periodo1[[#This Row],[Aux]],Base_Contas_Balanco[#All],2,FALSE)</f>
        <v>Fornecedores Cooperados</v>
      </c>
      <c r="G2197" s="1">
        <v>42880</v>
      </c>
      <c r="I2197" s="225">
        <v>3054.01</v>
      </c>
      <c r="J2197" s="225">
        <v>3054.01</v>
      </c>
      <c r="K2197" s="225">
        <v>9.3132257461547852E-10</v>
      </c>
      <c r="L21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97" s="225">
        <f>ROUND(IF(AND(Base_Periodo1[[#This Row],[Tipo_Linha]]="-",Base_Periodo1[[#This Row],[TIPOSALDO]]="D"),Base_Periodo1[[#This Row],[SALDO_ATUAL]]*-1,Base_Periodo1[[#This Row],[SALDO_ATUAL]]),4)</f>
        <v>0</v>
      </c>
      <c r="N2197" t="s">
        <v>116</v>
      </c>
      <c r="O2197" t="s">
        <v>436</v>
      </c>
      <c r="P2197" t="s">
        <v>436</v>
      </c>
      <c r="Q2197">
        <v>7</v>
      </c>
      <c r="R2197" s="225">
        <f>Base_Periodo1[[#This Row],[CREDITOS]]-Base_Periodo1[[#This Row],[DEBITOS]]</f>
        <v>0</v>
      </c>
      <c r="S2197" s="3" t="str">
        <f>IF(ISERROR(VLOOKUP(Base_Periodo1[[#This Row],[CONTA]],BaseContasDRE[#All],4,FALSE)),"Fora do DRE",VLOOKUP(Base_Periodo1[[#This Row],[CONTA]],BaseContasDRE[#All],4,FALSE))</f>
        <v>Fora do DRE</v>
      </c>
      <c r="T2197" s="3" t="str">
        <f>IF(ISERROR(VLOOKUP(Base_Periodo1[[#This Row],[CONTA]],BaseContasDRE[#All],5,FALSE)),"Fora do DRE",VLOOKUP(Base_Periodo1[[#This Row],[CONTA]],BaseContasDRE[#All],6,FALSE))</f>
        <v>Fora do DRE</v>
      </c>
      <c r="U2197" s="3" t="str">
        <f>IF(ISERROR(VLOOKUP(Base_Periodo1[[#This Row],[CONTA]],BaseContasDRE[#All],7,FALSE)),"Fora do DRE",VLOOKUP(Base_Periodo1[[#This Row],[CONTA]],BaseContasDRE[#All],7,FALSE))</f>
        <v>Fora do DRE</v>
      </c>
      <c r="V2197" s="3" t="str">
        <f>IF(Base_Periodo1[[#This Row],[Tipo_Linha]]="Fora do DRE","Fora do DRE","( "&amp;Base_Periodo1[[#This Row],[Tipo_Linha]]&amp;" ) "&amp;Base_Periodo1[[#This Row],[Filtro]])</f>
        <v>Fora do DRE</v>
      </c>
      <c r="W2197" s="3" t="str">
        <f>LEFT(Base_Periodo1[[#This Row],[CLASS]],3)</f>
        <v>2.1</v>
      </c>
    </row>
    <row r="2198" spans="1:23" hidden="1">
      <c r="A2198" s="3" t="str">
        <f t="shared" si="34"/>
        <v>Período 1</v>
      </c>
      <c r="B2198">
        <v>29202</v>
      </c>
      <c r="C2198" t="s">
        <v>1730</v>
      </c>
      <c r="D2198" t="s">
        <v>523</v>
      </c>
      <c r="E2198" s="3" t="str">
        <f>IF(LEN(Base_Periodo1[[#This Row],[CLASS]])&gt;=7,LEFT(Base_Periodo1[[#This Row],[CLASS]],7),"")</f>
        <v>2.1.2.1</v>
      </c>
      <c r="F2198" s="3" t="str">
        <f>VLOOKUP(Base_Periodo1[[#This Row],[Aux]],Base_Contas_Balanco[#All],2,FALSE)</f>
        <v>Fornecedores Cooperados</v>
      </c>
      <c r="G2198" s="1">
        <v>42864</v>
      </c>
      <c r="I2198" s="225">
        <v>15532.75</v>
      </c>
      <c r="J2198" s="225">
        <v>15532.75</v>
      </c>
      <c r="K2198" s="225">
        <v>-1.4551915228366852E-11</v>
      </c>
      <c r="L21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98" s="225">
        <f>ROUND(IF(AND(Base_Periodo1[[#This Row],[Tipo_Linha]]="-",Base_Periodo1[[#This Row],[TIPOSALDO]]="D"),Base_Periodo1[[#This Row],[SALDO_ATUAL]]*-1,Base_Periodo1[[#This Row],[SALDO_ATUAL]]),4)</f>
        <v>0</v>
      </c>
      <c r="N2198" t="s">
        <v>116</v>
      </c>
      <c r="O2198" t="s">
        <v>436</v>
      </c>
      <c r="P2198" t="s">
        <v>436</v>
      </c>
      <c r="Q2198">
        <v>7</v>
      </c>
      <c r="R2198" s="225">
        <f>Base_Periodo1[[#This Row],[CREDITOS]]-Base_Periodo1[[#This Row],[DEBITOS]]</f>
        <v>0</v>
      </c>
      <c r="S2198" s="3" t="str">
        <f>IF(ISERROR(VLOOKUP(Base_Periodo1[[#This Row],[CONTA]],BaseContasDRE[#All],4,FALSE)),"Fora do DRE",VLOOKUP(Base_Periodo1[[#This Row],[CONTA]],BaseContasDRE[#All],4,FALSE))</f>
        <v>Fora do DRE</v>
      </c>
      <c r="T2198" s="3" t="str">
        <f>IF(ISERROR(VLOOKUP(Base_Periodo1[[#This Row],[CONTA]],BaseContasDRE[#All],5,FALSE)),"Fora do DRE",VLOOKUP(Base_Periodo1[[#This Row],[CONTA]],BaseContasDRE[#All],6,FALSE))</f>
        <v>Fora do DRE</v>
      </c>
      <c r="U2198" s="3" t="str">
        <f>IF(ISERROR(VLOOKUP(Base_Periodo1[[#This Row],[CONTA]],BaseContasDRE[#All],7,FALSE)),"Fora do DRE",VLOOKUP(Base_Periodo1[[#This Row],[CONTA]],BaseContasDRE[#All],7,FALSE))</f>
        <v>Fora do DRE</v>
      </c>
      <c r="V2198" s="3" t="str">
        <f>IF(Base_Periodo1[[#This Row],[Tipo_Linha]]="Fora do DRE","Fora do DRE","( "&amp;Base_Periodo1[[#This Row],[Tipo_Linha]]&amp;" ) "&amp;Base_Periodo1[[#This Row],[Filtro]])</f>
        <v>Fora do DRE</v>
      </c>
      <c r="W2198" s="3" t="str">
        <f>LEFT(Base_Periodo1[[#This Row],[CLASS]],3)</f>
        <v>2.1</v>
      </c>
    </row>
    <row r="2199" spans="1:23" hidden="1">
      <c r="A2199" s="3" t="str">
        <f t="shared" si="34"/>
        <v>Período 1</v>
      </c>
      <c r="B2199">
        <v>39422</v>
      </c>
      <c r="C2199" t="s">
        <v>1730</v>
      </c>
      <c r="D2199" t="s">
        <v>524</v>
      </c>
      <c r="E2199" s="3" t="str">
        <f>IF(LEN(Base_Periodo1[[#This Row],[CLASS]])&gt;=7,LEFT(Base_Periodo1[[#This Row],[CLASS]],7),"")</f>
        <v>2.1.2.1</v>
      </c>
      <c r="F2199" s="3" t="str">
        <f>VLOOKUP(Base_Periodo1[[#This Row],[Aux]],Base_Contas_Balanco[#All],2,FALSE)</f>
        <v>Fornecedores Cooperados</v>
      </c>
      <c r="G2199" s="1">
        <v>42886</v>
      </c>
      <c r="I2199" s="225">
        <v>76719.39</v>
      </c>
      <c r="J2199" s="225">
        <v>76719.39</v>
      </c>
      <c r="K2199" s="225">
        <v>-5.8207660913467407E-11</v>
      </c>
      <c r="L21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199" s="225">
        <f>ROUND(IF(AND(Base_Periodo1[[#This Row],[Tipo_Linha]]="-",Base_Periodo1[[#This Row],[TIPOSALDO]]="D"),Base_Periodo1[[#This Row],[SALDO_ATUAL]]*-1,Base_Periodo1[[#This Row],[SALDO_ATUAL]]),4)</f>
        <v>0</v>
      </c>
      <c r="N2199" t="s">
        <v>116</v>
      </c>
      <c r="O2199" t="s">
        <v>436</v>
      </c>
      <c r="P2199" t="s">
        <v>436</v>
      </c>
      <c r="Q2199">
        <v>7</v>
      </c>
      <c r="R2199" s="225">
        <f>Base_Periodo1[[#This Row],[CREDITOS]]-Base_Periodo1[[#This Row],[DEBITOS]]</f>
        <v>0</v>
      </c>
      <c r="S2199" s="3" t="str">
        <f>IF(ISERROR(VLOOKUP(Base_Periodo1[[#This Row],[CONTA]],BaseContasDRE[#All],4,FALSE)),"Fora do DRE",VLOOKUP(Base_Periodo1[[#This Row],[CONTA]],BaseContasDRE[#All],4,FALSE))</f>
        <v>Fora do DRE</v>
      </c>
      <c r="T2199" s="3" t="str">
        <f>IF(ISERROR(VLOOKUP(Base_Periodo1[[#This Row],[CONTA]],BaseContasDRE[#All],5,FALSE)),"Fora do DRE",VLOOKUP(Base_Periodo1[[#This Row],[CONTA]],BaseContasDRE[#All],6,FALSE))</f>
        <v>Fora do DRE</v>
      </c>
      <c r="U2199" s="3" t="str">
        <f>IF(ISERROR(VLOOKUP(Base_Periodo1[[#This Row],[CONTA]],BaseContasDRE[#All],7,FALSE)),"Fora do DRE",VLOOKUP(Base_Periodo1[[#This Row],[CONTA]],BaseContasDRE[#All],7,FALSE))</f>
        <v>Fora do DRE</v>
      </c>
      <c r="V2199" s="3" t="str">
        <f>IF(Base_Periodo1[[#This Row],[Tipo_Linha]]="Fora do DRE","Fora do DRE","( "&amp;Base_Periodo1[[#This Row],[Tipo_Linha]]&amp;" ) "&amp;Base_Periodo1[[#This Row],[Filtro]])</f>
        <v>Fora do DRE</v>
      </c>
      <c r="W2199" s="3" t="str">
        <f>LEFT(Base_Periodo1[[#This Row],[CLASS]],3)</f>
        <v>2.1</v>
      </c>
    </row>
    <row r="2200" spans="1:23" hidden="1">
      <c r="A2200" s="3" t="str">
        <f t="shared" si="34"/>
        <v>Período 1</v>
      </c>
      <c r="B2200">
        <v>12408</v>
      </c>
      <c r="C2200" t="s">
        <v>1730</v>
      </c>
      <c r="D2200" t="s">
        <v>5505</v>
      </c>
      <c r="E2200" s="3" t="str">
        <f>IF(LEN(Base_Periodo1[[#This Row],[CLASS]])&gt;=7,LEFT(Base_Periodo1[[#This Row],[CLASS]],7),"")</f>
        <v>2.1.2.1</v>
      </c>
      <c r="F2200" s="3" t="str">
        <f>VLOOKUP(Base_Periodo1[[#This Row],[Aux]],Base_Contas_Balanco[#All],2,FALSE)</f>
        <v>Fornecedores Cooperados</v>
      </c>
      <c r="G2200" s="1">
        <v>42717</v>
      </c>
      <c r="H2200" s="225">
        <v>75.32999999995809</v>
      </c>
      <c r="I2200" s="225">
        <v>0</v>
      </c>
      <c r="J2200" s="225">
        <v>0</v>
      </c>
      <c r="K2200" s="225">
        <v>75.32999999995809</v>
      </c>
      <c r="L22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75.33</v>
      </c>
      <c r="M2200" s="225">
        <f>ROUND(IF(AND(Base_Periodo1[[#This Row],[Tipo_Linha]]="-",Base_Periodo1[[#This Row],[TIPOSALDO]]="D"),Base_Periodo1[[#This Row],[SALDO_ATUAL]]*-1,Base_Periodo1[[#This Row],[SALDO_ATUAL]]),4)</f>
        <v>75.33</v>
      </c>
      <c r="N2200" t="s">
        <v>116</v>
      </c>
      <c r="O2200" t="s">
        <v>459</v>
      </c>
      <c r="P2200" t="s">
        <v>459</v>
      </c>
      <c r="Q2200">
        <v>7</v>
      </c>
      <c r="R2200" s="225">
        <f>Base_Periodo1[[#This Row],[CREDITOS]]-Base_Periodo1[[#This Row],[DEBITOS]]</f>
        <v>0</v>
      </c>
      <c r="S2200" s="3" t="str">
        <f>IF(ISERROR(VLOOKUP(Base_Periodo1[[#This Row],[CONTA]],BaseContasDRE[#All],4,FALSE)),"Fora do DRE",VLOOKUP(Base_Periodo1[[#This Row],[CONTA]],BaseContasDRE[#All],4,FALSE))</f>
        <v>Fora do DRE</v>
      </c>
      <c r="T2200" s="3" t="str">
        <f>IF(ISERROR(VLOOKUP(Base_Periodo1[[#This Row],[CONTA]],BaseContasDRE[#All],5,FALSE)),"Fora do DRE",VLOOKUP(Base_Periodo1[[#This Row],[CONTA]],BaseContasDRE[#All],6,FALSE))</f>
        <v>Fora do DRE</v>
      </c>
      <c r="U2200" s="3" t="str">
        <f>IF(ISERROR(VLOOKUP(Base_Periodo1[[#This Row],[CONTA]],BaseContasDRE[#All],7,FALSE)),"Fora do DRE",VLOOKUP(Base_Periodo1[[#This Row],[CONTA]],BaseContasDRE[#All],7,FALSE))</f>
        <v>Fora do DRE</v>
      </c>
      <c r="V2200" s="3" t="str">
        <f>IF(Base_Periodo1[[#This Row],[Tipo_Linha]]="Fora do DRE","Fora do DRE","( "&amp;Base_Periodo1[[#This Row],[Tipo_Linha]]&amp;" ) "&amp;Base_Periodo1[[#This Row],[Filtro]])</f>
        <v>Fora do DRE</v>
      </c>
      <c r="W2200" s="3" t="str">
        <f>LEFT(Base_Periodo1[[#This Row],[CLASS]],3)</f>
        <v>2.1</v>
      </c>
    </row>
    <row r="2201" spans="1:23" hidden="1">
      <c r="A2201" s="3" t="str">
        <f t="shared" si="34"/>
        <v>Período 1</v>
      </c>
      <c r="B2201">
        <v>4597</v>
      </c>
      <c r="C2201" t="s">
        <v>1730</v>
      </c>
      <c r="D2201" t="s">
        <v>525</v>
      </c>
      <c r="E2201" s="3" t="str">
        <f>IF(LEN(Base_Periodo1[[#This Row],[CLASS]])&gt;=7,LEFT(Base_Periodo1[[#This Row],[CLASS]],7),"")</f>
        <v>2.1.2.1</v>
      </c>
      <c r="F2201" s="3" t="str">
        <f>VLOOKUP(Base_Periodo1[[#This Row],[Aux]],Base_Contas_Balanco[#All],2,FALSE)</f>
        <v>Fornecedores Cooperados</v>
      </c>
      <c r="G2201" s="1">
        <v>42858</v>
      </c>
      <c r="H2201" s="225">
        <v>7969.1600000002654</v>
      </c>
      <c r="I2201" s="225">
        <v>7969.16</v>
      </c>
      <c r="J2201" s="225">
        <v>0</v>
      </c>
      <c r="K2201" s="225">
        <v>-2.6557245291769505E-10</v>
      </c>
      <c r="L22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01" s="225">
        <f>ROUND(IF(AND(Base_Periodo1[[#This Row],[Tipo_Linha]]="-",Base_Periodo1[[#This Row],[TIPOSALDO]]="D"),Base_Periodo1[[#This Row],[SALDO_ATUAL]]*-1,Base_Periodo1[[#This Row],[SALDO_ATUAL]]),4)</f>
        <v>0</v>
      </c>
      <c r="N2201" t="s">
        <v>116</v>
      </c>
      <c r="O2201" t="s">
        <v>459</v>
      </c>
      <c r="P2201" t="s">
        <v>436</v>
      </c>
      <c r="Q2201">
        <v>7</v>
      </c>
      <c r="R2201" s="225">
        <f>Base_Periodo1[[#This Row],[CREDITOS]]-Base_Periodo1[[#This Row],[DEBITOS]]</f>
        <v>-7969.16</v>
      </c>
      <c r="S2201" s="3" t="str">
        <f>IF(ISERROR(VLOOKUP(Base_Periodo1[[#This Row],[CONTA]],BaseContasDRE[#All],4,FALSE)),"Fora do DRE",VLOOKUP(Base_Periodo1[[#This Row],[CONTA]],BaseContasDRE[#All],4,FALSE))</f>
        <v>Fora do DRE</v>
      </c>
      <c r="T2201" s="3" t="str">
        <f>IF(ISERROR(VLOOKUP(Base_Periodo1[[#This Row],[CONTA]],BaseContasDRE[#All],5,FALSE)),"Fora do DRE",VLOOKUP(Base_Periodo1[[#This Row],[CONTA]],BaseContasDRE[#All],6,FALSE))</f>
        <v>Fora do DRE</v>
      </c>
      <c r="U2201" s="3" t="str">
        <f>IF(ISERROR(VLOOKUP(Base_Periodo1[[#This Row],[CONTA]],BaseContasDRE[#All],7,FALSE)),"Fora do DRE",VLOOKUP(Base_Periodo1[[#This Row],[CONTA]],BaseContasDRE[#All],7,FALSE))</f>
        <v>Fora do DRE</v>
      </c>
      <c r="V2201" s="3" t="str">
        <f>IF(Base_Periodo1[[#This Row],[Tipo_Linha]]="Fora do DRE","Fora do DRE","( "&amp;Base_Periodo1[[#This Row],[Tipo_Linha]]&amp;" ) "&amp;Base_Periodo1[[#This Row],[Filtro]])</f>
        <v>Fora do DRE</v>
      </c>
      <c r="W2201" s="3" t="str">
        <f>LEFT(Base_Periodo1[[#This Row],[CLASS]],3)</f>
        <v>2.1</v>
      </c>
    </row>
    <row r="2202" spans="1:23" hidden="1">
      <c r="A2202" s="3" t="str">
        <f t="shared" si="34"/>
        <v>Período 1</v>
      </c>
      <c r="B2202">
        <v>19981</v>
      </c>
      <c r="C2202" t="s">
        <v>1730</v>
      </c>
      <c r="D2202" t="s">
        <v>5372</v>
      </c>
      <c r="E2202" s="3" t="str">
        <f>IF(LEN(Base_Periodo1[[#This Row],[CLASS]])&gt;=7,LEFT(Base_Periodo1[[#This Row],[CLASS]],7),"")</f>
        <v>2.1.2.1</v>
      </c>
      <c r="F2202" s="3" t="str">
        <f>VLOOKUP(Base_Periodo1[[#This Row],[Aux]],Base_Contas_Balanco[#All],2,FALSE)</f>
        <v>Fornecedores Cooperados</v>
      </c>
      <c r="G2202" s="1">
        <v>42858</v>
      </c>
      <c r="I2202" s="225">
        <v>235.76999999999998</v>
      </c>
      <c r="J2202" s="225">
        <v>235.77</v>
      </c>
      <c r="K2202" s="225">
        <v>2.90754087473033E-11</v>
      </c>
      <c r="L22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02" s="225">
        <f>ROUND(IF(AND(Base_Periodo1[[#This Row],[Tipo_Linha]]="-",Base_Periodo1[[#This Row],[TIPOSALDO]]="D"),Base_Periodo1[[#This Row],[SALDO_ATUAL]]*-1,Base_Periodo1[[#This Row],[SALDO_ATUAL]]),4)</f>
        <v>0</v>
      </c>
      <c r="N2202" t="s">
        <v>116</v>
      </c>
      <c r="O2202" t="s">
        <v>436</v>
      </c>
      <c r="P2202" t="s">
        <v>436</v>
      </c>
      <c r="Q2202">
        <v>7</v>
      </c>
      <c r="R2202" s="225">
        <f>Base_Periodo1[[#This Row],[CREDITOS]]-Base_Periodo1[[#This Row],[DEBITOS]]</f>
        <v>0</v>
      </c>
      <c r="S2202" s="3" t="str">
        <f>IF(ISERROR(VLOOKUP(Base_Periodo1[[#This Row],[CONTA]],BaseContasDRE[#All],4,FALSE)),"Fora do DRE",VLOOKUP(Base_Periodo1[[#This Row],[CONTA]],BaseContasDRE[#All],4,FALSE))</f>
        <v>Fora do DRE</v>
      </c>
      <c r="T2202" s="3" t="str">
        <f>IF(ISERROR(VLOOKUP(Base_Periodo1[[#This Row],[CONTA]],BaseContasDRE[#All],5,FALSE)),"Fora do DRE",VLOOKUP(Base_Periodo1[[#This Row],[CONTA]],BaseContasDRE[#All],6,FALSE))</f>
        <v>Fora do DRE</v>
      </c>
      <c r="U2202" s="3" t="str">
        <f>IF(ISERROR(VLOOKUP(Base_Periodo1[[#This Row],[CONTA]],BaseContasDRE[#All],7,FALSE)),"Fora do DRE",VLOOKUP(Base_Periodo1[[#This Row],[CONTA]],BaseContasDRE[#All],7,FALSE))</f>
        <v>Fora do DRE</v>
      </c>
      <c r="V2202" s="3" t="str">
        <f>IF(Base_Periodo1[[#This Row],[Tipo_Linha]]="Fora do DRE","Fora do DRE","( "&amp;Base_Periodo1[[#This Row],[Tipo_Linha]]&amp;" ) "&amp;Base_Periodo1[[#This Row],[Filtro]])</f>
        <v>Fora do DRE</v>
      </c>
      <c r="W2202" s="3" t="str">
        <f>LEFT(Base_Periodo1[[#This Row],[CLASS]],3)</f>
        <v>2.1</v>
      </c>
    </row>
    <row r="2203" spans="1:23" hidden="1">
      <c r="A2203" s="3" t="str">
        <f t="shared" si="34"/>
        <v>Período 1</v>
      </c>
      <c r="B2203">
        <v>2249</v>
      </c>
      <c r="C2203" t="s">
        <v>1730</v>
      </c>
      <c r="D2203" t="s">
        <v>5478</v>
      </c>
      <c r="E2203" s="3" t="str">
        <f>IF(LEN(Base_Periodo1[[#This Row],[CLASS]])&gt;=7,LEFT(Base_Periodo1[[#This Row],[CLASS]],7),"")</f>
        <v>2.1.2.1</v>
      </c>
      <c r="F2203" s="3" t="str">
        <f>VLOOKUP(Base_Periodo1[[#This Row],[Aux]],Base_Contas_Balanco[#All],2,FALSE)</f>
        <v>Fornecedores Cooperados</v>
      </c>
      <c r="G2203" s="1">
        <v>42866</v>
      </c>
      <c r="H2203" s="225">
        <v>3706.3100000000559</v>
      </c>
      <c r="I2203" s="225">
        <v>3706.31</v>
      </c>
      <c r="J2203" s="225">
        <v>0</v>
      </c>
      <c r="K2203" s="225">
        <v>-5.5933924159035087E-11</v>
      </c>
      <c r="L22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03" s="225">
        <f>ROUND(IF(AND(Base_Periodo1[[#This Row],[Tipo_Linha]]="-",Base_Periodo1[[#This Row],[TIPOSALDO]]="D"),Base_Periodo1[[#This Row],[SALDO_ATUAL]]*-1,Base_Periodo1[[#This Row],[SALDO_ATUAL]]),4)</f>
        <v>0</v>
      </c>
      <c r="N2203" t="s">
        <v>116</v>
      </c>
      <c r="O2203" t="s">
        <v>459</v>
      </c>
      <c r="P2203" t="s">
        <v>436</v>
      </c>
      <c r="Q2203">
        <v>7</v>
      </c>
      <c r="R2203" s="225">
        <f>Base_Periodo1[[#This Row],[CREDITOS]]-Base_Periodo1[[#This Row],[DEBITOS]]</f>
        <v>-3706.31</v>
      </c>
      <c r="S2203" s="3" t="str">
        <f>IF(ISERROR(VLOOKUP(Base_Periodo1[[#This Row],[CONTA]],BaseContasDRE[#All],4,FALSE)),"Fora do DRE",VLOOKUP(Base_Periodo1[[#This Row],[CONTA]],BaseContasDRE[#All],4,FALSE))</f>
        <v>Fora do DRE</v>
      </c>
      <c r="T2203" s="3" t="str">
        <f>IF(ISERROR(VLOOKUP(Base_Periodo1[[#This Row],[CONTA]],BaseContasDRE[#All],5,FALSE)),"Fora do DRE",VLOOKUP(Base_Periodo1[[#This Row],[CONTA]],BaseContasDRE[#All],6,FALSE))</f>
        <v>Fora do DRE</v>
      </c>
      <c r="U2203" s="3" t="str">
        <f>IF(ISERROR(VLOOKUP(Base_Periodo1[[#This Row],[CONTA]],BaseContasDRE[#All],7,FALSE)),"Fora do DRE",VLOOKUP(Base_Periodo1[[#This Row],[CONTA]],BaseContasDRE[#All],7,FALSE))</f>
        <v>Fora do DRE</v>
      </c>
      <c r="V2203" s="3" t="str">
        <f>IF(Base_Periodo1[[#This Row],[Tipo_Linha]]="Fora do DRE","Fora do DRE","( "&amp;Base_Periodo1[[#This Row],[Tipo_Linha]]&amp;" ) "&amp;Base_Periodo1[[#This Row],[Filtro]])</f>
        <v>Fora do DRE</v>
      </c>
      <c r="W2203" s="3" t="str">
        <f>LEFT(Base_Periodo1[[#This Row],[CLASS]],3)</f>
        <v>2.1</v>
      </c>
    </row>
    <row r="2204" spans="1:23" hidden="1">
      <c r="A2204" s="3" t="str">
        <f t="shared" si="34"/>
        <v>Período 1</v>
      </c>
      <c r="B2204">
        <v>3773</v>
      </c>
      <c r="C2204" t="s">
        <v>1730</v>
      </c>
      <c r="D2204" t="s">
        <v>526</v>
      </c>
      <c r="E2204" s="3" t="str">
        <f>IF(LEN(Base_Periodo1[[#This Row],[CLASS]])&gt;=7,LEFT(Base_Periodo1[[#This Row],[CLASS]],7),"")</f>
        <v>2.1.2.1</v>
      </c>
      <c r="F2204" s="3" t="str">
        <f>VLOOKUP(Base_Periodo1[[#This Row],[Aux]],Base_Contas_Balanco[#All],2,FALSE)</f>
        <v>Fornecedores Cooperados</v>
      </c>
      <c r="G2204" s="1">
        <v>42873</v>
      </c>
      <c r="I2204" s="225">
        <v>258740</v>
      </c>
      <c r="J2204" s="225">
        <v>258740</v>
      </c>
      <c r="K2204" s="225">
        <v>1.862645149230957E-9</v>
      </c>
      <c r="L22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04" s="225">
        <f>ROUND(IF(AND(Base_Periodo1[[#This Row],[Tipo_Linha]]="-",Base_Periodo1[[#This Row],[TIPOSALDO]]="D"),Base_Periodo1[[#This Row],[SALDO_ATUAL]]*-1,Base_Periodo1[[#This Row],[SALDO_ATUAL]]),4)</f>
        <v>0</v>
      </c>
      <c r="N2204" t="s">
        <v>116</v>
      </c>
      <c r="O2204" t="s">
        <v>436</v>
      </c>
      <c r="P2204" t="s">
        <v>436</v>
      </c>
      <c r="Q2204">
        <v>7</v>
      </c>
      <c r="R2204" s="225">
        <f>Base_Periodo1[[#This Row],[CREDITOS]]-Base_Periodo1[[#This Row],[DEBITOS]]</f>
        <v>0</v>
      </c>
      <c r="S2204" s="3" t="str">
        <f>IF(ISERROR(VLOOKUP(Base_Periodo1[[#This Row],[CONTA]],BaseContasDRE[#All],4,FALSE)),"Fora do DRE",VLOOKUP(Base_Periodo1[[#This Row],[CONTA]],BaseContasDRE[#All],4,FALSE))</f>
        <v>Fora do DRE</v>
      </c>
      <c r="T2204" s="3" t="str">
        <f>IF(ISERROR(VLOOKUP(Base_Periodo1[[#This Row],[CONTA]],BaseContasDRE[#All],5,FALSE)),"Fora do DRE",VLOOKUP(Base_Periodo1[[#This Row],[CONTA]],BaseContasDRE[#All],6,FALSE))</f>
        <v>Fora do DRE</v>
      </c>
      <c r="U2204" s="3" t="str">
        <f>IF(ISERROR(VLOOKUP(Base_Periodo1[[#This Row],[CONTA]],BaseContasDRE[#All],7,FALSE)),"Fora do DRE",VLOOKUP(Base_Periodo1[[#This Row],[CONTA]],BaseContasDRE[#All],7,FALSE))</f>
        <v>Fora do DRE</v>
      </c>
      <c r="V2204" s="3" t="str">
        <f>IF(Base_Periodo1[[#This Row],[Tipo_Linha]]="Fora do DRE","Fora do DRE","( "&amp;Base_Periodo1[[#This Row],[Tipo_Linha]]&amp;" ) "&amp;Base_Periodo1[[#This Row],[Filtro]])</f>
        <v>Fora do DRE</v>
      </c>
      <c r="W2204" s="3" t="str">
        <f>LEFT(Base_Periodo1[[#This Row],[CLASS]],3)</f>
        <v>2.1</v>
      </c>
    </row>
    <row r="2205" spans="1:23" hidden="1">
      <c r="A2205" s="3" t="str">
        <f t="shared" si="34"/>
        <v>Período 1</v>
      </c>
      <c r="B2205">
        <v>52730</v>
      </c>
      <c r="C2205" t="s">
        <v>1730</v>
      </c>
      <c r="D2205" t="s">
        <v>5128</v>
      </c>
      <c r="E2205" s="3" t="str">
        <f>IF(LEN(Base_Periodo1[[#This Row],[CLASS]])&gt;=7,LEFT(Base_Periodo1[[#This Row],[CLASS]],7),"")</f>
        <v>2.1.2.1</v>
      </c>
      <c r="F2205" s="3" t="str">
        <f>VLOOKUP(Base_Periodo1[[#This Row],[Aux]],Base_Contas_Balanco[#All],2,FALSE)</f>
        <v>Fornecedores Cooperados</v>
      </c>
      <c r="G2205" s="1">
        <v>42886</v>
      </c>
      <c r="I2205" s="225">
        <v>20880.55</v>
      </c>
      <c r="J2205" s="225">
        <v>26537.38</v>
      </c>
      <c r="K2205" s="225">
        <v>5656.8300000000017</v>
      </c>
      <c r="L22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5656.83</v>
      </c>
      <c r="M2205" s="225">
        <f>ROUND(IF(AND(Base_Periodo1[[#This Row],[Tipo_Linha]]="-",Base_Periodo1[[#This Row],[TIPOSALDO]]="D"),Base_Periodo1[[#This Row],[SALDO_ATUAL]]*-1,Base_Periodo1[[#This Row],[SALDO_ATUAL]]),4)</f>
        <v>5656.83</v>
      </c>
      <c r="N2205" t="s">
        <v>116</v>
      </c>
      <c r="O2205" t="s">
        <v>436</v>
      </c>
      <c r="P2205" t="s">
        <v>459</v>
      </c>
      <c r="Q2205">
        <v>7</v>
      </c>
      <c r="R2205" s="225">
        <f>Base_Periodo1[[#This Row],[CREDITOS]]-Base_Periodo1[[#This Row],[DEBITOS]]</f>
        <v>5656.8300000000017</v>
      </c>
      <c r="S2205" s="3" t="str">
        <f>IF(ISERROR(VLOOKUP(Base_Periodo1[[#This Row],[CONTA]],BaseContasDRE[#All],4,FALSE)),"Fora do DRE",VLOOKUP(Base_Periodo1[[#This Row],[CONTA]],BaseContasDRE[#All],4,FALSE))</f>
        <v>Fora do DRE</v>
      </c>
      <c r="T2205" s="3" t="str">
        <f>IF(ISERROR(VLOOKUP(Base_Periodo1[[#This Row],[CONTA]],BaseContasDRE[#All],5,FALSE)),"Fora do DRE",VLOOKUP(Base_Periodo1[[#This Row],[CONTA]],BaseContasDRE[#All],6,FALSE))</f>
        <v>Fora do DRE</v>
      </c>
      <c r="U2205" s="3" t="str">
        <f>IF(ISERROR(VLOOKUP(Base_Periodo1[[#This Row],[CONTA]],BaseContasDRE[#All],7,FALSE)),"Fora do DRE",VLOOKUP(Base_Periodo1[[#This Row],[CONTA]],BaseContasDRE[#All],7,FALSE))</f>
        <v>Fora do DRE</v>
      </c>
      <c r="V2205" s="3" t="str">
        <f>IF(Base_Periodo1[[#This Row],[Tipo_Linha]]="Fora do DRE","Fora do DRE","( "&amp;Base_Periodo1[[#This Row],[Tipo_Linha]]&amp;" ) "&amp;Base_Periodo1[[#This Row],[Filtro]])</f>
        <v>Fora do DRE</v>
      </c>
      <c r="W2205" s="3" t="str">
        <f>LEFT(Base_Periodo1[[#This Row],[CLASS]],3)</f>
        <v>2.1</v>
      </c>
    </row>
    <row r="2206" spans="1:23" hidden="1">
      <c r="A2206" s="3" t="str">
        <f t="shared" si="34"/>
        <v>Período 1</v>
      </c>
      <c r="B2206">
        <v>4829</v>
      </c>
      <c r="C2206" t="s">
        <v>1730</v>
      </c>
      <c r="D2206" t="s">
        <v>527</v>
      </c>
      <c r="E2206" s="3" t="str">
        <f>IF(LEN(Base_Periodo1[[#This Row],[CLASS]])&gt;=7,LEFT(Base_Periodo1[[#This Row],[CLASS]],7),"")</f>
        <v>2.1.2.1</v>
      </c>
      <c r="F2206" s="3" t="str">
        <f>VLOOKUP(Base_Periodo1[[#This Row],[Aux]],Base_Contas_Balanco[#All],2,FALSE)</f>
        <v>Fornecedores Cooperados</v>
      </c>
      <c r="G2206" s="1">
        <v>42867</v>
      </c>
      <c r="H2206" s="225">
        <v>4516.999999998603</v>
      </c>
      <c r="I2206" s="225">
        <v>11407</v>
      </c>
      <c r="J2206" s="225">
        <v>6890</v>
      </c>
      <c r="K2206" s="225">
        <v>1.3969838619232178E-9</v>
      </c>
      <c r="L22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06" s="225">
        <f>ROUND(IF(AND(Base_Periodo1[[#This Row],[Tipo_Linha]]="-",Base_Periodo1[[#This Row],[TIPOSALDO]]="D"),Base_Periodo1[[#This Row],[SALDO_ATUAL]]*-1,Base_Periodo1[[#This Row],[SALDO_ATUAL]]),4)</f>
        <v>0</v>
      </c>
      <c r="N2206" t="s">
        <v>116</v>
      </c>
      <c r="O2206" t="s">
        <v>459</v>
      </c>
      <c r="P2206" t="s">
        <v>436</v>
      </c>
      <c r="Q2206">
        <v>7</v>
      </c>
      <c r="R2206" s="225">
        <f>Base_Periodo1[[#This Row],[CREDITOS]]-Base_Periodo1[[#This Row],[DEBITOS]]</f>
        <v>-4517</v>
      </c>
      <c r="S2206" s="3" t="str">
        <f>IF(ISERROR(VLOOKUP(Base_Periodo1[[#This Row],[CONTA]],BaseContasDRE[#All],4,FALSE)),"Fora do DRE",VLOOKUP(Base_Periodo1[[#This Row],[CONTA]],BaseContasDRE[#All],4,FALSE))</f>
        <v>Fora do DRE</v>
      </c>
      <c r="T2206" s="3" t="str">
        <f>IF(ISERROR(VLOOKUP(Base_Periodo1[[#This Row],[CONTA]],BaseContasDRE[#All],5,FALSE)),"Fora do DRE",VLOOKUP(Base_Periodo1[[#This Row],[CONTA]],BaseContasDRE[#All],6,FALSE))</f>
        <v>Fora do DRE</v>
      </c>
      <c r="U2206" s="3" t="str">
        <f>IF(ISERROR(VLOOKUP(Base_Periodo1[[#This Row],[CONTA]],BaseContasDRE[#All],7,FALSE)),"Fora do DRE",VLOOKUP(Base_Periodo1[[#This Row],[CONTA]],BaseContasDRE[#All],7,FALSE))</f>
        <v>Fora do DRE</v>
      </c>
      <c r="V2206" s="3" t="str">
        <f>IF(Base_Periodo1[[#This Row],[Tipo_Linha]]="Fora do DRE","Fora do DRE","( "&amp;Base_Periodo1[[#This Row],[Tipo_Linha]]&amp;" ) "&amp;Base_Periodo1[[#This Row],[Filtro]])</f>
        <v>Fora do DRE</v>
      </c>
      <c r="W2206" s="3" t="str">
        <f>LEFT(Base_Periodo1[[#This Row],[CLASS]],3)</f>
        <v>2.1</v>
      </c>
    </row>
    <row r="2207" spans="1:23" hidden="1">
      <c r="A2207" s="3" t="str">
        <f t="shared" si="34"/>
        <v>Período 1</v>
      </c>
      <c r="B2207">
        <v>2949</v>
      </c>
      <c r="C2207" t="s">
        <v>1730</v>
      </c>
      <c r="D2207" t="s">
        <v>5849</v>
      </c>
      <c r="E2207" s="3" t="str">
        <f>IF(LEN(Base_Periodo1[[#This Row],[CLASS]])&gt;=7,LEFT(Base_Periodo1[[#This Row],[CLASS]],7),"")</f>
        <v>2.1.2.1</v>
      </c>
      <c r="F2207" s="3" t="str">
        <f>VLOOKUP(Base_Periodo1[[#This Row],[Aux]],Base_Contas_Balanco[#All],2,FALSE)</f>
        <v>Fornecedores Cooperados</v>
      </c>
      <c r="G2207" s="1">
        <v>42858</v>
      </c>
      <c r="I2207" s="225">
        <v>2687.28</v>
      </c>
      <c r="J2207" s="225">
        <v>2687.28</v>
      </c>
      <c r="K2207" s="225">
        <v>-4.6566128730773926E-10</v>
      </c>
      <c r="L22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07" s="225">
        <f>ROUND(IF(AND(Base_Periodo1[[#This Row],[Tipo_Linha]]="-",Base_Periodo1[[#This Row],[TIPOSALDO]]="D"),Base_Periodo1[[#This Row],[SALDO_ATUAL]]*-1,Base_Periodo1[[#This Row],[SALDO_ATUAL]]),4)</f>
        <v>0</v>
      </c>
      <c r="N2207" t="s">
        <v>116</v>
      </c>
      <c r="O2207" t="s">
        <v>436</v>
      </c>
      <c r="P2207" t="s">
        <v>436</v>
      </c>
      <c r="Q2207">
        <v>7</v>
      </c>
      <c r="R2207" s="225">
        <f>Base_Periodo1[[#This Row],[CREDITOS]]-Base_Periodo1[[#This Row],[DEBITOS]]</f>
        <v>0</v>
      </c>
      <c r="S2207" s="3" t="str">
        <f>IF(ISERROR(VLOOKUP(Base_Periodo1[[#This Row],[CONTA]],BaseContasDRE[#All],4,FALSE)),"Fora do DRE",VLOOKUP(Base_Periodo1[[#This Row],[CONTA]],BaseContasDRE[#All],4,FALSE))</f>
        <v>Fora do DRE</v>
      </c>
      <c r="T2207" s="3" t="str">
        <f>IF(ISERROR(VLOOKUP(Base_Periodo1[[#This Row],[CONTA]],BaseContasDRE[#All],5,FALSE)),"Fora do DRE",VLOOKUP(Base_Periodo1[[#This Row],[CONTA]],BaseContasDRE[#All],6,FALSE))</f>
        <v>Fora do DRE</v>
      </c>
      <c r="U2207" s="3" t="str">
        <f>IF(ISERROR(VLOOKUP(Base_Periodo1[[#This Row],[CONTA]],BaseContasDRE[#All],7,FALSE)),"Fora do DRE",VLOOKUP(Base_Periodo1[[#This Row],[CONTA]],BaseContasDRE[#All],7,FALSE))</f>
        <v>Fora do DRE</v>
      </c>
      <c r="V2207" s="3" t="str">
        <f>IF(Base_Periodo1[[#This Row],[Tipo_Linha]]="Fora do DRE","Fora do DRE","( "&amp;Base_Periodo1[[#This Row],[Tipo_Linha]]&amp;" ) "&amp;Base_Periodo1[[#This Row],[Filtro]])</f>
        <v>Fora do DRE</v>
      </c>
      <c r="W2207" s="3" t="str">
        <f>LEFT(Base_Periodo1[[#This Row],[CLASS]],3)</f>
        <v>2.1</v>
      </c>
    </row>
    <row r="2208" spans="1:23" hidden="1">
      <c r="A2208" s="3" t="str">
        <f t="shared" si="34"/>
        <v>Período 1</v>
      </c>
      <c r="B2208">
        <v>55602</v>
      </c>
      <c r="C2208" t="s">
        <v>1730</v>
      </c>
      <c r="D2208" t="s">
        <v>5292</v>
      </c>
      <c r="E2208" s="3" t="str">
        <f>IF(LEN(Base_Periodo1[[#This Row],[CLASS]])&gt;=7,LEFT(Base_Periodo1[[#This Row],[CLASS]],7),"")</f>
        <v>2.1.2.1</v>
      </c>
      <c r="F2208" s="3" t="str">
        <f>VLOOKUP(Base_Periodo1[[#This Row],[Aux]],Base_Contas_Balanco[#All],2,FALSE)</f>
        <v>Fornecedores Cooperados</v>
      </c>
      <c r="G2208" s="1">
        <v>42860</v>
      </c>
      <c r="I2208" s="225">
        <v>34475.909999999996</v>
      </c>
      <c r="J2208" s="225">
        <v>34475.910000000003</v>
      </c>
      <c r="K2208" s="225">
        <v>-7.2759576141834259E-12</v>
      </c>
      <c r="L22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08" s="225">
        <f>ROUND(IF(AND(Base_Periodo1[[#This Row],[Tipo_Linha]]="-",Base_Periodo1[[#This Row],[TIPOSALDO]]="D"),Base_Periodo1[[#This Row],[SALDO_ATUAL]]*-1,Base_Periodo1[[#This Row],[SALDO_ATUAL]]),4)</f>
        <v>0</v>
      </c>
      <c r="N2208" t="s">
        <v>116</v>
      </c>
      <c r="O2208" t="s">
        <v>436</v>
      </c>
      <c r="P2208" t="s">
        <v>436</v>
      </c>
      <c r="Q2208">
        <v>7</v>
      </c>
      <c r="R2208" s="225">
        <f>Base_Periodo1[[#This Row],[CREDITOS]]-Base_Periodo1[[#This Row],[DEBITOS]]</f>
        <v>0</v>
      </c>
      <c r="S2208" s="3" t="str">
        <f>IF(ISERROR(VLOOKUP(Base_Periodo1[[#This Row],[CONTA]],BaseContasDRE[#All],4,FALSE)),"Fora do DRE",VLOOKUP(Base_Periodo1[[#This Row],[CONTA]],BaseContasDRE[#All],4,FALSE))</f>
        <v>Fora do DRE</v>
      </c>
      <c r="T2208" s="3" t="str">
        <f>IF(ISERROR(VLOOKUP(Base_Periodo1[[#This Row],[CONTA]],BaseContasDRE[#All],5,FALSE)),"Fora do DRE",VLOOKUP(Base_Periodo1[[#This Row],[CONTA]],BaseContasDRE[#All],6,FALSE))</f>
        <v>Fora do DRE</v>
      </c>
      <c r="U2208" s="3" t="str">
        <f>IF(ISERROR(VLOOKUP(Base_Periodo1[[#This Row],[CONTA]],BaseContasDRE[#All],7,FALSE)),"Fora do DRE",VLOOKUP(Base_Periodo1[[#This Row],[CONTA]],BaseContasDRE[#All],7,FALSE))</f>
        <v>Fora do DRE</v>
      </c>
      <c r="V2208" s="3" t="str">
        <f>IF(Base_Periodo1[[#This Row],[Tipo_Linha]]="Fora do DRE","Fora do DRE","( "&amp;Base_Periodo1[[#This Row],[Tipo_Linha]]&amp;" ) "&amp;Base_Periodo1[[#This Row],[Filtro]])</f>
        <v>Fora do DRE</v>
      </c>
      <c r="W2208" s="3" t="str">
        <f>LEFT(Base_Periodo1[[#This Row],[CLASS]],3)</f>
        <v>2.1</v>
      </c>
    </row>
    <row r="2209" spans="1:23" hidden="1">
      <c r="A2209" s="3" t="str">
        <f t="shared" si="34"/>
        <v>Período 1</v>
      </c>
      <c r="B2209">
        <v>8389</v>
      </c>
      <c r="C2209" t="s">
        <v>1730</v>
      </c>
      <c r="D2209" t="s">
        <v>530</v>
      </c>
      <c r="E2209" s="3" t="str">
        <f>IF(LEN(Base_Periodo1[[#This Row],[CLASS]])&gt;=7,LEFT(Base_Periodo1[[#This Row],[CLASS]],7),"")</f>
        <v>2.1.2.1</v>
      </c>
      <c r="F2209" s="3" t="str">
        <f>VLOOKUP(Base_Periodo1[[#This Row],[Aux]],Base_Contas_Balanco[#All],2,FALSE)</f>
        <v>Fornecedores Cooperados</v>
      </c>
      <c r="G2209" s="1">
        <v>42877</v>
      </c>
      <c r="I2209" s="225">
        <v>1230</v>
      </c>
      <c r="J2209" s="225">
        <v>1230</v>
      </c>
      <c r="K2209" s="225">
        <v>5.8207660913467407E-11</v>
      </c>
      <c r="L22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09" s="225">
        <f>ROUND(IF(AND(Base_Periodo1[[#This Row],[Tipo_Linha]]="-",Base_Periodo1[[#This Row],[TIPOSALDO]]="D"),Base_Periodo1[[#This Row],[SALDO_ATUAL]]*-1,Base_Periodo1[[#This Row],[SALDO_ATUAL]]),4)</f>
        <v>0</v>
      </c>
      <c r="N2209" t="s">
        <v>116</v>
      </c>
      <c r="O2209" t="s">
        <v>436</v>
      </c>
      <c r="P2209" t="s">
        <v>436</v>
      </c>
      <c r="Q2209">
        <v>7</v>
      </c>
      <c r="R2209" s="225">
        <f>Base_Periodo1[[#This Row],[CREDITOS]]-Base_Periodo1[[#This Row],[DEBITOS]]</f>
        <v>0</v>
      </c>
      <c r="S2209" s="3" t="str">
        <f>IF(ISERROR(VLOOKUP(Base_Periodo1[[#This Row],[CONTA]],BaseContasDRE[#All],4,FALSE)),"Fora do DRE",VLOOKUP(Base_Periodo1[[#This Row],[CONTA]],BaseContasDRE[#All],4,FALSE))</f>
        <v>Fora do DRE</v>
      </c>
      <c r="T2209" s="3" t="str">
        <f>IF(ISERROR(VLOOKUP(Base_Periodo1[[#This Row],[CONTA]],BaseContasDRE[#All],5,FALSE)),"Fora do DRE",VLOOKUP(Base_Periodo1[[#This Row],[CONTA]],BaseContasDRE[#All],6,FALSE))</f>
        <v>Fora do DRE</v>
      </c>
      <c r="U2209" s="3" t="str">
        <f>IF(ISERROR(VLOOKUP(Base_Periodo1[[#This Row],[CONTA]],BaseContasDRE[#All],7,FALSE)),"Fora do DRE",VLOOKUP(Base_Periodo1[[#This Row],[CONTA]],BaseContasDRE[#All],7,FALSE))</f>
        <v>Fora do DRE</v>
      </c>
      <c r="V2209" s="3" t="str">
        <f>IF(Base_Periodo1[[#This Row],[Tipo_Linha]]="Fora do DRE","Fora do DRE","( "&amp;Base_Periodo1[[#This Row],[Tipo_Linha]]&amp;" ) "&amp;Base_Periodo1[[#This Row],[Filtro]])</f>
        <v>Fora do DRE</v>
      </c>
      <c r="W2209" s="3" t="str">
        <f>LEFT(Base_Periodo1[[#This Row],[CLASS]],3)</f>
        <v>2.1</v>
      </c>
    </row>
    <row r="2210" spans="1:23" hidden="1">
      <c r="A2210" s="3" t="str">
        <f t="shared" si="34"/>
        <v>Período 1</v>
      </c>
      <c r="B2210">
        <v>4193</v>
      </c>
      <c r="C2210" t="s">
        <v>1730</v>
      </c>
      <c r="D2210" t="s">
        <v>4984</v>
      </c>
      <c r="E2210" s="3" t="str">
        <f>IF(LEN(Base_Periodo1[[#This Row],[CLASS]])&gt;=7,LEFT(Base_Periodo1[[#This Row],[CLASS]],7),"")</f>
        <v>2.1.2.1</v>
      </c>
      <c r="F2210" s="3" t="str">
        <f>VLOOKUP(Base_Periodo1[[#This Row],[Aux]],Base_Contas_Balanco[#All],2,FALSE)</f>
        <v>Fornecedores Cooperados</v>
      </c>
      <c r="G2210" s="1">
        <v>42878</v>
      </c>
      <c r="H2210" s="225">
        <v>3010.0000000001164</v>
      </c>
      <c r="I2210" s="225">
        <v>3010</v>
      </c>
      <c r="J2210" s="225">
        <v>749.44</v>
      </c>
      <c r="K2210" s="225">
        <v>749.44000000011647</v>
      </c>
      <c r="L22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749.44</v>
      </c>
      <c r="M2210" s="225">
        <f>ROUND(IF(AND(Base_Periodo1[[#This Row],[Tipo_Linha]]="-",Base_Periodo1[[#This Row],[TIPOSALDO]]="D"),Base_Periodo1[[#This Row],[SALDO_ATUAL]]*-1,Base_Periodo1[[#This Row],[SALDO_ATUAL]]),4)</f>
        <v>749.44</v>
      </c>
      <c r="N2210" t="s">
        <v>116</v>
      </c>
      <c r="O2210" t="s">
        <v>459</v>
      </c>
      <c r="P2210" t="s">
        <v>459</v>
      </c>
      <c r="Q2210">
        <v>7</v>
      </c>
      <c r="R2210" s="225">
        <f>Base_Periodo1[[#This Row],[CREDITOS]]-Base_Periodo1[[#This Row],[DEBITOS]]</f>
        <v>-2260.56</v>
      </c>
      <c r="S2210" s="3" t="str">
        <f>IF(ISERROR(VLOOKUP(Base_Periodo1[[#This Row],[CONTA]],BaseContasDRE[#All],4,FALSE)),"Fora do DRE",VLOOKUP(Base_Periodo1[[#This Row],[CONTA]],BaseContasDRE[#All],4,FALSE))</f>
        <v>Fora do DRE</v>
      </c>
      <c r="T2210" s="3" t="str">
        <f>IF(ISERROR(VLOOKUP(Base_Periodo1[[#This Row],[CONTA]],BaseContasDRE[#All],5,FALSE)),"Fora do DRE",VLOOKUP(Base_Periodo1[[#This Row],[CONTA]],BaseContasDRE[#All],6,FALSE))</f>
        <v>Fora do DRE</v>
      </c>
      <c r="U2210" s="3" t="str">
        <f>IF(ISERROR(VLOOKUP(Base_Periodo1[[#This Row],[CONTA]],BaseContasDRE[#All],7,FALSE)),"Fora do DRE",VLOOKUP(Base_Periodo1[[#This Row],[CONTA]],BaseContasDRE[#All],7,FALSE))</f>
        <v>Fora do DRE</v>
      </c>
      <c r="V2210" s="3" t="str">
        <f>IF(Base_Periodo1[[#This Row],[Tipo_Linha]]="Fora do DRE","Fora do DRE","( "&amp;Base_Periodo1[[#This Row],[Tipo_Linha]]&amp;" ) "&amp;Base_Periodo1[[#This Row],[Filtro]])</f>
        <v>Fora do DRE</v>
      </c>
      <c r="W2210" s="3" t="str">
        <f>LEFT(Base_Periodo1[[#This Row],[CLASS]],3)</f>
        <v>2.1</v>
      </c>
    </row>
    <row r="2211" spans="1:23" hidden="1">
      <c r="A2211" s="3" t="str">
        <f t="shared" si="34"/>
        <v>Período 1</v>
      </c>
      <c r="B2211">
        <v>23018</v>
      </c>
      <c r="C2211" t="s">
        <v>1730</v>
      </c>
      <c r="D2211" t="s">
        <v>6834</v>
      </c>
      <c r="E2211" s="3" t="str">
        <f>IF(LEN(Base_Periodo1[[#This Row],[CLASS]])&gt;=7,LEFT(Base_Periodo1[[#This Row],[CLASS]],7),"")</f>
        <v>2.1.2.1</v>
      </c>
      <c r="F2211" s="3" t="str">
        <f>VLOOKUP(Base_Periodo1[[#This Row],[Aux]],Base_Contas_Balanco[#All],2,FALSE)</f>
        <v>Fornecedores Cooperados</v>
      </c>
      <c r="G2211" s="1">
        <v>42874</v>
      </c>
      <c r="I2211" s="225">
        <v>27280</v>
      </c>
      <c r="J2211" s="225">
        <v>27280</v>
      </c>
      <c r="K2211" s="225">
        <v>-5.8207660913467407E-11</v>
      </c>
      <c r="L22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11" s="225">
        <f>ROUND(IF(AND(Base_Periodo1[[#This Row],[Tipo_Linha]]="-",Base_Periodo1[[#This Row],[TIPOSALDO]]="D"),Base_Periodo1[[#This Row],[SALDO_ATUAL]]*-1,Base_Periodo1[[#This Row],[SALDO_ATUAL]]),4)</f>
        <v>0</v>
      </c>
      <c r="N2211" t="s">
        <v>116</v>
      </c>
      <c r="O2211" t="s">
        <v>436</v>
      </c>
      <c r="P2211" t="s">
        <v>436</v>
      </c>
      <c r="Q2211">
        <v>7</v>
      </c>
      <c r="R2211" s="225">
        <f>Base_Periodo1[[#This Row],[CREDITOS]]-Base_Periodo1[[#This Row],[DEBITOS]]</f>
        <v>0</v>
      </c>
      <c r="S2211" s="3" t="str">
        <f>IF(ISERROR(VLOOKUP(Base_Periodo1[[#This Row],[CONTA]],BaseContasDRE[#All],4,FALSE)),"Fora do DRE",VLOOKUP(Base_Periodo1[[#This Row],[CONTA]],BaseContasDRE[#All],4,FALSE))</f>
        <v>Fora do DRE</v>
      </c>
      <c r="T2211" s="3" t="str">
        <f>IF(ISERROR(VLOOKUP(Base_Periodo1[[#This Row],[CONTA]],BaseContasDRE[#All],5,FALSE)),"Fora do DRE",VLOOKUP(Base_Periodo1[[#This Row],[CONTA]],BaseContasDRE[#All],6,FALSE))</f>
        <v>Fora do DRE</v>
      </c>
      <c r="U2211" s="3" t="str">
        <f>IF(ISERROR(VLOOKUP(Base_Periodo1[[#This Row],[CONTA]],BaseContasDRE[#All],7,FALSE)),"Fora do DRE",VLOOKUP(Base_Periodo1[[#This Row],[CONTA]],BaseContasDRE[#All],7,FALSE))</f>
        <v>Fora do DRE</v>
      </c>
      <c r="V2211" s="3" t="str">
        <f>IF(Base_Periodo1[[#This Row],[Tipo_Linha]]="Fora do DRE","Fora do DRE","( "&amp;Base_Periodo1[[#This Row],[Tipo_Linha]]&amp;" ) "&amp;Base_Periodo1[[#This Row],[Filtro]])</f>
        <v>Fora do DRE</v>
      </c>
      <c r="W2211" s="3" t="str">
        <f>LEFT(Base_Periodo1[[#This Row],[CLASS]],3)</f>
        <v>2.1</v>
      </c>
    </row>
    <row r="2212" spans="1:23" hidden="1">
      <c r="A2212" s="3" t="str">
        <f t="shared" si="34"/>
        <v>Período 1</v>
      </c>
      <c r="B2212">
        <v>55107</v>
      </c>
      <c r="C2212" t="s">
        <v>1730</v>
      </c>
      <c r="D2212" t="s">
        <v>5262</v>
      </c>
      <c r="E2212" s="3" t="str">
        <f>IF(LEN(Base_Periodo1[[#This Row],[CLASS]])&gt;=7,LEFT(Base_Periodo1[[#This Row],[CLASS]],7),"")</f>
        <v>2.1.2.1</v>
      </c>
      <c r="F2212" s="3" t="str">
        <f>VLOOKUP(Base_Periodo1[[#This Row],[Aux]],Base_Contas_Balanco[#All],2,FALSE)</f>
        <v>Fornecedores Cooperados</v>
      </c>
      <c r="G2212" s="1">
        <v>42880</v>
      </c>
      <c r="I2212" s="225">
        <v>738013.33</v>
      </c>
      <c r="J2212" s="225">
        <v>738013.33</v>
      </c>
      <c r="K2212" s="225">
        <v>0</v>
      </c>
      <c r="L22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12" s="225">
        <f>ROUND(IF(AND(Base_Periodo1[[#This Row],[Tipo_Linha]]="-",Base_Periodo1[[#This Row],[TIPOSALDO]]="D"),Base_Periodo1[[#This Row],[SALDO_ATUAL]]*-1,Base_Periodo1[[#This Row],[SALDO_ATUAL]]),4)</f>
        <v>0</v>
      </c>
      <c r="N2212" t="s">
        <v>116</v>
      </c>
      <c r="O2212" t="s">
        <v>436</v>
      </c>
      <c r="P2212" t="s">
        <v>436</v>
      </c>
      <c r="Q2212">
        <v>7</v>
      </c>
      <c r="R2212" s="225">
        <f>Base_Periodo1[[#This Row],[CREDITOS]]-Base_Periodo1[[#This Row],[DEBITOS]]</f>
        <v>0</v>
      </c>
      <c r="S2212" s="3" t="str">
        <f>IF(ISERROR(VLOOKUP(Base_Periodo1[[#This Row],[CONTA]],BaseContasDRE[#All],4,FALSE)),"Fora do DRE",VLOOKUP(Base_Periodo1[[#This Row],[CONTA]],BaseContasDRE[#All],4,FALSE))</f>
        <v>Fora do DRE</v>
      </c>
      <c r="T2212" s="3" t="str">
        <f>IF(ISERROR(VLOOKUP(Base_Periodo1[[#This Row],[CONTA]],BaseContasDRE[#All],5,FALSE)),"Fora do DRE",VLOOKUP(Base_Periodo1[[#This Row],[CONTA]],BaseContasDRE[#All],6,FALSE))</f>
        <v>Fora do DRE</v>
      </c>
      <c r="U2212" s="3" t="str">
        <f>IF(ISERROR(VLOOKUP(Base_Periodo1[[#This Row],[CONTA]],BaseContasDRE[#All],7,FALSE)),"Fora do DRE",VLOOKUP(Base_Periodo1[[#This Row],[CONTA]],BaseContasDRE[#All],7,FALSE))</f>
        <v>Fora do DRE</v>
      </c>
      <c r="V2212" s="3" t="str">
        <f>IF(Base_Periodo1[[#This Row],[Tipo_Linha]]="Fora do DRE","Fora do DRE","( "&amp;Base_Periodo1[[#This Row],[Tipo_Linha]]&amp;" ) "&amp;Base_Periodo1[[#This Row],[Filtro]])</f>
        <v>Fora do DRE</v>
      </c>
      <c r="W2212" s="3" t="str">
        <f>LEFT(Base_Periodo1[[#This Row],[CLASS]],3)</f>
        <v>2.1</v>
      </c>
    </row>
    <row r="2213" spans="1:23" hidden="1">
      <c r="A2213" s="3" t="str">
        <f t="shared" si="34"/>
        <v>Período 1</v>
      </c>
      <c r="B2213">
        <v>47161</v>
      </c>
      <c r="C2213" t="s">
        <v>1730</v>
      </c>
      <c r="D2213" t="s">
        <v>6700</v>
      </c>
      <c r="E2213" s="3" t="str">
        <f>IF(LEN(Base_Periodo1[[#This Row],[CLASS]])&gt;=7,LEFT(Base_Periodo1[[#This Row],[CLASS]],7),"")</f>
        <v>2.1.2.1</v>
      </c>
      <c r="F2213" s="3" t="str">
        <f>VLOOKUP(Base_Periodo1[[#This Row],[Aux]],Base_Contas_Balanco[#All],2,FALSE)</f>
        <v>Fornecedores Cooperados</v>
      </c>
      <c r="G2213" s="1">
        <v>42880</v>
      </c>
      <c r="I2213" s="225">
        <v>507.36</v>
      </c>
      <c r="J2213" s="225">
        <v>507.36</v>
      </c>
      <c r="K2213" s="225">
        <v>-2.9103830456733704E-11</v>
      </c>
      <c r="L22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13" s="225">
        <f>ROUND(IF(AND(Base_Periodo1[[#This Row],[Tipo_Linha]]="-",Base_Periodo1[[#This Row],[TIPOSALDO]]="D"),Base_Periodo1[[#This Row],[SALDO_ATUAL]]*-1,Base_Periodo1[[#This Row],[SALDO_ATUAL]]),4)</f>
        <v>0</v>
      </c>
      <c r="N2213" t="s">
        <v>116</v>
      </c>
      <c r="O2213" t="s">
        <v>436</v>
      </c>
      <c r="P2213" t="s">
        <v>436</v>
      </c>
      <c r="Q2213">
        <v>7</v>
      </c>
      <c r="R2213" s="225">
        <f>Base_Periodo1[[#This Row],[CREDITOS]]-Base_Periodo1[[#This Row],[DEBITOS]]</f>
        <v>0</v>
      </c>
      <c r="S2213" s="3" t="str">
        <f>IF(ISERROR(VLOOKUP(Base_Periodo1[[#This Row],[CONTA]],BaseContasDRE[#All],4,FALSE)),"Fora do DRE",VLOOKUP(Base_Periodo1[[#This Row],[CONTA]],BaseContasDRE[#All],4,FALSE))</f>
        <v>Fora do DRE</v>
      </c>
      <c r="T2213" s="3" t="str">
        <f>IF(ISERROR(VLOOKUP(Base_Periodo1[[#This Row],[CONTA]],BaseContasDRE[#All],5,FALSE)),"Fora do DRE",VLOOKUP(Base_Periodo1[[#This Row],[CONTA]],BaseContasDRE[#All],6,FALSE))</f>
        <v>Fora do DRE</v>
      </c>
      <c r="U2213" s="3" t="str">
        <f>IF(ISERROR(VLOOKUP(Base_Periodo1[[#This Row],[CONTA]],BaseContasDRE[#All],7,FALSE)),"Fora do DRE",VLOOKUP(Base_Periodo1[[#This Row],[CONTA]],BaseContasDRE[#All],7,FALSE))</f>
        <v>Fora do DRE</v>
      </c>
      <c r="V2213" s="3" t="str">
        <f>IF(Base_Periodo1[[#This Row],[Tipo_Linha]]="Fora do DRE","Fora do DRE","( "&amp;Base_Periodo1[[#This Row],[Tipo_Linha]]&amp;" ) "&amp;Base_Periodo1[[#This Row],[Filtro]])</f>
        <v>Fora do DRE</v>
      </c>
      <c r="W2213" s="3" t="str">
        <f>LEFT(Base_Periodo1[[#This Row],[CLASS]],3)</f>
        <v>2.1</v>
      </c>
    </row>
    <row r="2214" spans="1:23" hidden="1">
      <c r="A2214" s="3" t="str">
        <f t="shared" si="34"/>
        <v>Período 1</v>
      </c>
      <c r="B2214">
        <v>47552</v>
      </c>
      <c r="C2214" t="s">
        <v>1730</v>
      </c>
      <c r="D2214" t="s">
        <v>6334</v>
      </c>
      <c r="E2214" s="3" t="str">
        <f>IF(LEN(Base_Periodo1[[#This Row],[CLASS]])&gt;=7,LEFT(Base_Periodo1[[#This Row],[CLASS]],7),"")</f>
        <v>2.1.2.1</v>
      </c>
      <c r="F2214" s="3" t="str">
        <f>VLOOKUP(Base_Periodo1[[#This Row],[Aux]],Base_Contas_Balanco[#All],2,FALSE)</f>
        <v>Fornecedores Cooperados</v>
      </c>
      <c r="G2214" s="1">
        <v>42880</v>
      </c>
      <c r="H2214" s="225">
        <v>5656.8300000000163</v>
      </c>
      <c r="I2214" s="225">
        <v>10209.590000000002</v>
      </c>
      <c r="J2214" s="225">
        <v>4552.76</v>
      </c>
      <c r="K2214" s="225">
        <v>-1.4551915228366852E-11</v>
      </c>
      <c r="L22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14" s="225">
        <f>ROUND(IF(AND(Base_Periodo1[[#This Row],[Tipo_Linha]]="-",Base_Periodo1[[#This Row],[TIPOSALDO]]="D"),Base_Periodo1[[#This Row],[SALDO_ATUAL]]*-1,Base_Periodo1[[#This Row],[SALDO_ATUAL]]),4)</f>
        <v>0</v>
      </c>
      <c r="N2214" t="s">
        <v>116</v>
      </c>
      <c r="O2214" t="s">
        <v>459</v>
      </c>
      <c r="P2214" t="s">
        <v>436</v>
      </c>
      <c r="Q2214">
        <v>7</v>
      </c>
      <c r="R2214" s="225">
        <f>Base_Periodo1[[#This Row],[CREDITOS]]-Base_Periodo1[[#This Row],[DEBITOS]]</f>
        <v>-5656.8300000000017</v>
      </c>
      <c r="S2214" s="3" t="str">
        <f>IF(ISERROR(VLOOKUP(Base_Periodo1[[#This Row],[CONTA]],BaseContasDRE[#All],4,FALSE)),"Fora do DRE",VLOOKUP(Base_Periodo1[[#This Row],[CONTA]],BaseContasDRE[#All],4,FALSE))</f>
        <v>Fora do DRE</v>
      </c>
      <c r="T2214" s="3" t="str">
        <f>IF(ISERROR(VLOOKUP(Base_Periodo1[[#This Row],[CONTA]],BaseContasDRE[#All],5,FALSE)),"Fora do DRE",VLOOKUP(Base_Periodo1[[#This Row],[CONTA]],BaseContasDRE[#All],6,FALSE))</f>
        <v>Fora do DRE</v>
      </c>
      <c r="U2214" s="3" t="str">
        <f>IF(ISERROR(VLOOKUP(Base_Periodo1[[#This Row],[CONTA]],BaseContasDRE[#All],7,FALSE)),"Fora do DRE",VLOOKUP(Base_Periodo1[[#This Row],[CONTA]],BaseContasDRE[#All],7,FALSE))</f>
        <v>Fora do DRE</v>
      </c>
      <c r="V2214" s="3" t="str">
        <f>IF(Base_Periodo1[[#This Row],[Tipo_Linha]]="Fora do DRE","Fora do DRE","( "&amp;Base_Periodo1[[#This Row],[Tipo_Linha]]&amp;" ) "&amp;Base_Periodo1[[#This Row],[Filtro]])</f>
        <v>Fora do DRE</v>
      </c>
      <c r="W2214" s="3" t="str">
        <f>LEFT(Base_Periodo1[[#This Row],[CLASS]],3)</f>
        <v>2.1</v>
      </c>
    </row>
    <row r="2215" spans="1:23" hidden="1">
      <c r="A2215" s="3" t="str">
        <f t="shared" si="34"/>
        <v>Período 1</v>
      </c>
      <c r="B2215">
        <v>4045</v>
      </c>
      <c r="C2215" t="s">
        <v>1730</v>
      </c>
      <c r="D2215" t="s">
        <v>4985</v>
      </c>
      <c r="E2215" s="3" t="str">
        <f>IF(LEN(Base_Periodo1[[#This Row],[CLASS]])&gt;=7,LEFT(Base_Periodo1[[#This Row],[CLASS]],7),"")</f>
        <v>2.1.2.1</v>
      </c>
      <c r="F2215" s="3" t="str">
        <f>VLOOKUP(Base_Periodo1[[#This Row],[Aux]],Base_Contas_Balanco[#All],2,FALSE)</f>
        <v>Fornecedores Cooperados</v>
      </c>
      <c r="G2215" s="1">
        <v>42871</v>
      </c>
      <c r="H2215" s="225">
        <v>1879.1899999999441</v>
      </c>
      <c r="I2215" s="225">
        <v>70648.75</v>
      </c>
      <c r="J2215" s="225">
        <v>98289.040000000008</v>
      </c>
      <c r="K2215" s="225">
        <v>29519.479999999952</v>
      </c>
      <c r="L22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29519.48</v>
      </c>
      <c r="M2215" s="225">
        <f>ROUND(IF(AND(Base_Periodo1[[#This Row],[Tipo_Linha]]="-",Base_Periodo1[[#This Row],[TIPOSALDO]]="D"),Base_Periodo1[[#This Row],[SALDO_ATUAL]]*-1,Base_Periodo1[[#This Row],[SALDO_ATUAL]]),4)</f>
        <v>29519.48</v>
      </c>
      <c r="N2215" t="s">
        <v>116</v>
      </c>
      <c r="O2215" t="s">
        <v>459</v>
      </c>
      <c r="P2215" t="s">
        <v>459</v>
      </c>
      <c r="Q2215">
        <v>7</v>
      </c>
      <c r="R2215" s="225">
        <f>Base_Periodo1[[#This Row],[CREDITOS]]-Base_Periodo1[[#This Row],[DEBITOS]]</f>
        <v>27640.290000000008</v>
      </c>
      <c r="S2215" s="3" t="str">
        <f>IF(ISERROR(VLOOKUP(Base_Periodo1[[#This Row],[CONTA]],BaseContasDRE[#All],4,FALSE)),"Fora do DRE",VLOOKUP(Base_Periodo1[[#This Row],[CONTA]],BaseContasDRE[#All],4,FALSE))</f>
        <v>Fora do DRE</v>
      </c>
      <c r="T2215" s="3" t="str">
        <f>IF(ISERROR(VLOOKUP(Base_Periodo1[[#This Row],[CONTA]],BaseContasDRE[#All],5,FALSE)),"Fora do DRE",VLOOKUP(Base_Periodo1[[#This Row],[CONTA]],BaseContasDRE[#All],6,FALSE))</f>
        <v>Fora do DRE</v>
      </c>
      <c r="U2215" s="3" t="str">
        <f>IF(ISERROR(VLOOKUP(Base_Periodo1[[#This Row],[CONTA]],BaseContasDRE[#All],7,FALSE)),"Fora do DRE",VLOOKUP(Base_Periodo1[[#This Row],[CONTA]],BaseContasDRE[#All],7,FALSE))</f>
        <v>Fora do DRE</v>
      </c>
      <c r="V2215" s="3" t="str">
        <f>IF(Base_Periodo1[[#This Row],[Tipo_Linha]]="Fora do DRE","Fora do DRE","( "&amp;Base_Periodo1[[#This Row],[Tipo_Linha]]&amp;" ) "&amp;Base_Periodo1[[#This Row],[Filtro]])</f>
        <v>Fora do DRE</v>
      </c>
      <c r="W2215" s="3" t="str">
        <f>LEFT(Base_Periodo1[[#This Row],[CLASS]],3)</f>
        <v>2.1</v>
      </c>
    </row>
    <row r="2216" spans="1:23" hidden="1">
      <c r="A2216" s="3" t="str">
        <f t="shared" si="34"/>
        <v>Período 1</v>
      </c>
      <c r="B2216">
        <v>22914</v>
      </c>
      <c r="C2216" t="s">
        <v>1730</v>
      </c>
      <c r="D2216" t="s">
        <v>4986</v>
      </c>
      <c r="E2216" s="3" t="str">
        <f>IF(LEN(Base_Periodo1[[#This Row],[CLASS]])&gt;=7,LEFT(Base_Periodo1[[#This Row],[CLASS]],7),"")</f>
        <v>2.1.2.1</v>
      </c>
      <c r="F2216" s="3" t="str">
        <f>VLOOKUP(Base_Periodo1[[#This Row],[Aux]],Base_Contas_Balanco[#All],2,FALSE)</f>
        <v>Fornecedores Cooperados</v>
      </c>
      <c r="G2216" s="1">
        <v>42858</v>
      </c>
      <c r="H2216" s="225">
        <v>9493.4999999999854</v>
      </c>
      <c r="I2216" s="225">
        <v>9493.5</v>
      </c>
      <c r="J2216" s="225">
        <v>0</v>
      </c>
      <c r="K2216" s="225">
        <v>1.4551915228366852E-11</v>
      </c>
      <c r="L22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16" s="225">
        <f>ROUND(IF(AND(Base_Periodo1[[#This Row],[Tipo_Linha]]="-",Base_Periodo1[[#This Row],[TIPOSALDO]]="D"),Base_Periodo1[[#This Row],[SALDO_ATUAL]]*-1,Base_Periodo1[[#This Row],[SALDO_ATUAL]]),4)</f>
        <v>0</v>
      </c>
      <c r="N2216" t="s">
        <v>116</v>
      </c>
      <c r="O2216" t="s">
        <v>459</v>
      </c>
      <c r="P2216" t="s">
        <v>436</v>
      </c>
      <c r="Q2216">
        <v>7</v>
      </c>
      <c r="R2216" s="225">
        <f>Base_Periodo1[[#This Row],[CREDITOS]]-Base_Periodo1[[#This Row],[DEBITOS]]</f>
        <v>-9493.5</v>
      </c>
      <c r="S2216" s="3" t="str">
        <f>IF(ISERROR(VLOOKUP(Base_Periodo1[[#This Row],[CONTA]],BaseContasDRE[#All],4,FALSE)),"Fora do DRE",VLOOKUP(Base_Periodo1[[#This Row],[CONTA]],BaseContasDRE[#All],4,FALSE))</f>
        <v>Fora do DRE</v>
      </c>
      <c r="T2216" s="3" t="str">
        <f>IF(ISERROR(VLOOKUP(Base_Periodo1[[#This Row],[CONTA]],BaseContasDRE[#All],5,FALSE)),"Fora do DRE",VLOOKUP(Base_Periodo1[[#This Row],[CONTA]],BaseContasDRE[#All],6,FALSE))</f>
        <v>Fora do DRE</v>
      </c>
      <c r="U2216" s="3" t="str">
        <f>IF(ISERROR(VLOOKUP(Base_Periodo1[[#This Row],[CONTA]],BaseContasDRE[#All],7,FALSE)),"Fora do DRE",VLOOKUP(Base_Periodo1[[#This Row],[CONTA]],BaseContasDRE[#All],7,FALSE))</f>
        <v>Fora do DRE</v>
      </c>
      <c r="V2216" s="3" t="str">
        <f>IF(Base_Periodo1[[#This Row],[Tipo_Linha]]="Fora do DRE","Fora do DRE","( "&amp;Base_Periodo1[[#This Row],[Tipo_Linha]]&amp;" ) "&amp;Base_Periodo1[[#This Row],[Filtro]])</f>
        <v>Fora do DRE</v>
      </c>
      <c r="W2216" s="3" t="str">
        <f>LEFT(Base_Periodo1[[#This Row],[CLASS]],3)</f>
        <v>2.1</v>
      </c>
    </row>
    <row r="2217" spans="1:23" hidden="1">
      <c r="A2217" s="3" t="str">
        <f t="shared" si="34"/>
        <v>Período 1</v>
      </c>
      <c r="B2217">
        <v>3733</v>
      </c>
      <c r="C2217" t="s">
        <v>1730</v>
      </c>
      <c r="D2217" t="s">
        <v>531</v>
      </c>
      <c r="E2217" s="3" t="str">
        <f>IF(LEN(Base_Periodo1[[#This Row],[CLASS]])&gt;=7,LEFT(Base_Periodo1[[#This Row],[CLASS]],7),"")</f>
        <v>2.1.2.1</v>
      </c>
      <c r="F2217" s="3" t="str">
        <f>VLOOKUP(Base_Periodo1[[#This Row],[Aux]],Base_Contas_Balanco[#All],2,FALSE)</f>
        <v>Fornecedores Cooperados</v>
      </c>
      <c r="G2217" s="1">
        <v>42884</v>
      </c>
      <c r="I2217" s="225">
        <v>619.91999999999996</v>
      </c>
      <c r="J2217" s="225">
        <v>619.91999999999996</v>
      </c>
      <c r="K2217" s="225">
        <v>1.7462298274040222E-10</v>
      </c>
      <c r="L22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17" s="225">
        <f>ROUND(IF(AND(Base_Periodo1[[#This Row],[Tipo_Linha]]="-",Base_Periodo1[[#This Row],[TIPOSALDO]]="D"),Base_Periodo1[[#This Row],[SALDO_ATUAL]]*-1,Base_Periodo1[[#This Row],[SALDO_ATUAL]]),4)</f>
        <v>0</v>
      </c>
      <c r="N2217" t="s">
        <v>116</v>
      </c>
      <c r="O2217" t="s">
        <v>436</v>
      </c>
      <c r="P2217" t="s">
        <v>436</v>
      </c>
      <c r="Q2217">
        <v>7</v>
      </c>
      <c r="R2217" s="225">
        <f>Base_Periodo1[[#This Row],[CREDITOS]]-Base_Periodo1[[#This Row],[DEBITOS]]</f>
        <v>0</v>
      </c>
      <c r="S2217" s="3" t="str">
        <f>IF(ISERROR(VLOOKUP(Base_Periodo1[[#This Row],[CONTA]],BaseContasDRE[#All],4,FALSE)),"Fora do DRE",VLOOKUP(Base_Periodo1[[#This Row],[CONTA]],BaseContasDRE[#All],4,FALSE))</f>
        <v>Fora do DRE</v>
      </c>
      <c r="T2217" s="3" t="str">
        <f>IF(ISERROR(VLOOKUP(Base_Periodo1[[#This Row],[CONTA]],BaseContasDRE[#All],5,FALSE)),"Fora do DRE",VLOOKUP(Base_Periodo1[[#This Row],[CONTA]],BaseContasDRE[#All],6,FALSE))</f>
        <v>Fora do DRE</v>
      </c>
      <c r="U2217" s="3" t="str">
        <f>IF(ISERROR(VLOOKUP(Base_Periodo1[[#This Row],[CONTA]],BaseContasDRE[#All],7,FALSE)),"Fora do DRE",VLOOKUP(Base_Periodo1[[#This Row],[CONTA]],BaseContasDRE[#All],7,FALSE))</f>
        <v>Fora do DRE</v>
      </c>
      <c r="V2217" s="3" t="str">
        <f>IF(Base_Periodo1[[#This Row],[Tipo_Linha]]="Fora do DRE","Fora do DRE","( "&amp;Base_Periodo1[[#This Row],[Tipo_Linha]]&amp;" ) "&amp;Base_Periodo1[[#This Row],[Filtro]])</f>
        <v>Fora do DRE</v>
      </c>
      <c r="W2217" s="3" t="str">
        <f>LEFT(Base_Periodo1[[#This Row],[CLASS]],3)</f>
        <v>2.1</v>
      </c>
    </row>
    <row r="2218" spans="1:23" hidden="1">
      <c r="A2218" s="3" t="str">
        <f t="shared" si="34"/>
        <v>Período 1</v>
      </c>
      <c r="B2218">
        <v>3121</v>
      </c>
      <c r="C2218" t="s">
        <v>1730</v>
      </c>
      <c r="D2218" t="s">
        <v>532</v>
      </c>
      <c r="E2218" s="3" t="str">
        <f>IF(LEN(Base_Periodo1[[#This Row],[CLASS]])&gt;=7,LEFT(Base_Periodo1[[#This Row],[CLASS]],7),"")</f>
        <v>2.1.2.1</v>
      </c>
      <c r="F2218" s="3" t="str">
        <f>VLOOKUP(Base_Periodo1[[#This Row],[Aux]],Base_Contas_Balanco[#All],2,FALSE)</f>
        <v>Fornecedores Cooperados</v>
      </c>
      <c r="G2218" s="1">
        <v>42879</v>
      </c>
      <c r="H2218" s="225">
        <v>458322.24999999441</v>
      </c>
      <c r="I2218" s="225">
        <v>701248.19000000006</v>
      </c>
      <c r="J2218" s="225">
        <v>242925.94</v>
      </c>
      <c r="K2218" s="225">
        <v>5.6461431086063385E-9</v>
      </c>
      <c r="L22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18" s="225">
        <f>ROUND(IF(AND(Base_Periodo1[[#This Row],[Tipo_Linha]]="-",Base_Periodo1[[#This Row],[TIPOSALDO]]="D"),Base_Periodo1[[#This Row],[SALDO_ATUAL]]*-1,Base_Periodo1[[#This Row],[SALDO_ATUAL]]),4)</f>
        <v>0</v>
      </c>
      <c r="N2218" t="s">
        <v>116</v>
      </c>
      <c r="O2218" t="s">
        <v>459</v>
      </c>
      <c r="P2218" t="s">
        <v>436</v>
      </c>
      <c r="Q2218">
        <v>7</v>
      </c>
      <c r="R2218" s="225">
        <f>Base_Periodo1[[#This Row],[CREDITOS]]-Base_Periodo1[[#This Row],[DEBITOS]]</f>
        <v>-458322.25000000006</v>
      </c>
      <c r="S2218" s="3" t="str">
        <f>IF(ISERROR(VLOOKUP(Base_Periodo1[[#This Row],[CONTA]],BaseContasDRE[#All],4,FALSE)),"Fora do DRE",VLOOKUP(Base_Periodo1[[#This Row],[CONTA]],BaseContasDRE[#All],4,FALSE))</f>
        <v>Fora do DRE</v>
      </c>
      <c r="T2218" s="3" t="str">
        <f>IF(ISERROR(VLOOKUP(Base_Periodo1[[#This Row],[CONTA]],BaseContasDRE[#All],5,FALSE)),"Fora do DRE",VLOOKUP(Base_Periodo1[[#This Row],[CONTA]],BaseContasDRE[#All],6,FALSE))</f>
        <v>Fora do DRE</v>
      </c>
      <c r="U2218" s="3" t="str">
        <f>IF(ISERROR(VLOOKUP(Base_Periodo1[[#This Row],[CONTA]],BaseContasDRE[#All],7,FALSE)),"Fora do DRE",VLOOKUP(Base_Periodo1[[#This Row],[CONTA]],BaseContasDRE[#All],7,FALSE))</f>
        <v>Fora do DRE</v>
      </c>
      <c r="V2218" s="3" t="str">
        <f>IF(Base_Periodo1[[#This Row],[Tipo_Linha]]="Fora do DRE","Fora do DRE","( "&amp;Base_Periodo1[[#This Row],[Tipo_Linha]]&amp;" ) "&amp;Base_Periodo1[[#This Row],[Filtro]])</f>
        <v>Fora do DRE</v>
      </c>
      <c r="W2218" s="3" t="str">
        <f>LEFT(Base_Periodo1[[#This Row],[CLASS]],3)</f>
        <v>2.1</v>
      </c>
    </row>
    <row r="2219" spans="1:23" hidden="1">
      <c r="A2219" s="3" t="str">
        <f t="shared" si="34"/>
        <v>Período 1</v>
      </c>
      <c r="B2219">
        <v>2905</v>
      </c>
      <c r="C2219" t="s">
        <v>1730</v>
      </c>
      <c r="D2219" t="s">
        <v>4186</v>
      </c>
      <c r="E2219" s="3" t="str">
        <f>IF(LEN(Base_Periodo1[[#This Row],[CLASS]])&gt;=7,LEFT(Base_Periodo1[[#This Row],[CLASS]],7),"")</f>
        <v>2.1.2.1</v>
      </c>
      <c r="F2219" s="3" t="str">
        <f>VLOOKUP(Base_Periodo1[[#This Row],[Aux]],Base_Contas_Balanco[#All],2,FALSE)</f>
        <v>Fornecedores Cooperados</v>
      </c>
      <c r="G2219" s="1">
        <v>42662</v>
      </c>
      <c r="H2219" s="225">
        <v>2807.1899999999732</v>
      </c>
      <c r="I2219" s="225">
        <v>0</v>
      </c>
      <c r="J2219" s="225">
        <v>0</v>
      </c>
      <c r="K2219" s="225">
        <v>2807.1899999999732</v>
      </c>
      <c r="L22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2807.19</v>
      </c>
      <c r="M2219" s="225">
        <f>ROUND(IF(AND(Base_Periodo1[[#This Row],[Tipo_Linha]]="-",Base_Periodo1[[#This Row],[TIPOSALDO]]="D"),Base_Periodo1[[#This Row],[SALDO_ATUAL]]*-1,Base_Periodo1[[#This Row],[SALDO_ATUAL]]),4)</f>
        <v>2807.19</v>
      </c>
      <c r="N2219" t="s">
        <v>116</v>
      </c>
      <c r="O2219" t="s">
        <v>459</v>
      </c>
      <c r="P2219" t="s">
        <v>459</v>
      </c>
      <c r="Q2219">
        <v>7</v>
      </c>
      <c r="R2219" s="225">
        <f>Base_Periodo1[[#This Row],[CREDITOS]]-Base_Periodo1[[#This Row],[DEBITOS]]</f>
        <v>0</v>
      </c>
      <c r="S2219" s="3" t="str">
        <f>IF(ISERROR(VLOOKUP(Base_Periodo1[[#This Row],[CONTA]],BaseContasDRE[#All],4,FALSE)),"Fora do DRE",VLOOKUP(Base_Periodo1[[#This Row],[CONTA]],BaseContasDRE[#All],4,FALSE))</f>
        <v>Fora do DRE</v>
      </c>
      <c r="T2219" s="3" t="str">
        <f>IF(ISERROR(VLOOKUP(Base_Periodo1[[#This Row],[CONTA]],BaseContasDRE[#All],5,FALSE)),"Fora do DRE",VLOOKUP(Base_Periodo1[[#This Row],[CONTA]],BaseContasDRE[#All],6,FALSE))</f>
        <v>Fora do DRE</v>
      </c>
      <c r="U2219" s="3" t="str">
        <f>IF(ISERROR(VLOOKUP(Base_Periodo1[[#This Row],[CONTA]],BaseContasDRE[#All],7,FALSE)),"Fora do DRE",VLOOKUP(Base_Periodo1[[#This Row],[CONTA]],BaseContasDRE[#All],7,FALSE))</f>
        <v>Fora do DRE</v>
      </c>
      <c r="V2219" s="3" t="str">
        <f>IF(Base_Periodo1[[#This Row],[Tipo_Linha]]="Fora do DRE","Fora do DRE","( "&amp;Base_Periodo1[[#This Row],[Tipo_Linha]]&amp;" ) "&amp;Base_Periodo1[[#This Row],[Filtro]])</f>
        <v>Fora do DRE</v>
      </c>
      <c r="W2219" s="3" t="str">
        <f>LEFT(Base_Periodo1[[#This Row],[CLASS]],3)</f>
        <v>2.1</v>
      </c>
    </row>
    <row r="2220" spans="1:23" hidden="1">
      <c r="A2220" s="3" t="str">
        <f t="shared" si="34"/>
        <v>Período 1</v>
      </c>
      <c r="B2220">
        <v>7566</v>
      </c>
      <c r="C2220" t="s">
        <v>1730</v>
      </c>
      <c r="D2220" t="s">
        <v>533</v>
      </c>
      <c r="E2220" s="3" t="str">
        <f>IF(LEN(Base_Periodo1[[#This Row],[CLASS]])&gt;=7,LEFT(Base_Periodo1[[#This Row],[CLASS]],7),"")</f>
        <v>2.1.2.1</v>
      </c>
      <c r="F2220" s="3" t="str">
        <f>VLOOKUP(Base_Periodo1[[#This Row],[Aux]],Base_Contas_Balanco[#All],2,FALSE)</f>
        <v>Fornecedores Cooperados</v>
      </c>
      <c r="G2220" s="1">
        <v>42871</v>
      </c>
      <c r="I2220" s="225">
        <v>1473.77</v>
      </c>
      <c r="J2220" s="225">
        <v>1473.77</v>
      </c>
      <c r="K2220" s="225">
        <v>2.3283064365386963E-10</v>
      </c>
      <c r="L22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20" s="225">
        <f>ROUND(IF(AND(Base_Periodo1[[#This Row],[Tipo_Linha]]="-",Base_Periodo1[[#This Row],[TIPOSALDO]]="D"),Base_Periodo1[[#This Row],[SALDO_ATUAL]]*-1,Base_Periodo1[[#This Row],[SALDO_ATUAL]]),4)</f>
        <v>0</v>
      </c>
      <c r="N2220" t="s">
        <v>116</v>
      </c>
      <c r="O2220" t="s">
        <v>436</v>
      </c>
      <c r="P2220" t="s">
        <v>436</v>
      </c>
      <c r="Q2220">
        <v>7</v>
      </c>
      <c r="R2220" s="225">
        <f>Base_Periodo1[[#This Row],[CREDITOS]]-Base_Periodo1[[#This Row],[DEBITOS]]</f>
        <v>0</v>
      </c>
      <c r="S2220" s="3" t="str">
        <f>IF(ISERROR(VLOOKUP(Base_Periodo1[[#This Row],[CONTA]],BaseContasDRE[#All],4,FALSE)),"Fora do DRE",VLOOKUP(Base_Periodo1[[#This Row],[CONTA]],BaseContasDRE[#All],4,FALSE))</f>
        <v>Fora do DRE</v>
      </c>
      <c r="T2220" s="3" t="str">
        <f>IF(ISERROR(VLOOKUP(Base_Periodo1[[#This Row],[CONTA]],BaseContasDRE[#All],5,FALSE)),"Fora do DRE",VLOOKUP(Base_Periodo1[[#This Row],[CONTA]],BaseContasDRE[#All],6,FALSE))</f>
        <v>Fora do DRE</v>
      </c>
      <c r="U2220" s="3" t="str">
        <f>IF(ISERROR(VLOOKUP(Base_Periodo1[[#This Row],[CONTA]],BaseContasDRE[#All],7,FALSE)),"Fora do DRE",VLOOKUP(Base_Periodo1[[#This Row],[CONTA]],BaseContasDRE[#All],7,FALSE))</f>
        <v>Fora do DRE</v>
      </c>
      <c r="V2220" s="3" t="str">
        <f>IF(Base_Periodo1[[#This Row],[Tipo_Linha]]="Fora do DRE","Fora do DRE","( "&amp;Base_Periodo1[[#This Row],[Tipo_Linha]]&amp;" ) "&amp;Base_Periodo1[[#This Row],[Filtro]])</f>
        <v>Fora do DRE</v>
      </c>
      <c r="W2220" s="3" t="str">
        <f>LEFT(Base_Periodo1[[#This Row],[CLASS]],3)</f>
        <v>2.1</v>
      </c>
    </row>
    <row r="2221" spans="1:23" hidden="1">
      <c r="A2221" s="3" t="str">
        <f t="shared" si="34"/>
        <v>Período 1</v>
      </c>
      <c r="B2221">
        <v>52966</v>
      </c>
      <c r="C2221" t="s">
        <v>1730</v>
      </c>
      <c r="D2221" t="s">
        <v>4987</v>
      </c>
      <c r="E2221" s="3" t="str">
        <f>IF(LEN(Base_Periodo1[[#This Row],[CLASS]])&gt;=7,LEFT(Base_Periodo1[[#This Row],[CLASS]],7),"")</f>
        <v>2.1.2.1</v>
      </c>
      <c r="F2221" s="3" t="str">
        <f>VLOOKUP(Base_Periodo1[[#This Row],[Aux]],Base_Contas_Balanco[#All],2,FALSE)</f>
        <v>Fornecedores Cooperados</v>
      </c>
      <c r="G2221" s="1">
        <v>42864</v>
      </c>
      <c r="I2221" s="225">
        <v>3889.51</v>
      </c>
      <c r="J2221" s="225">
        <v>3889.51</v>
      </c>
      <c r="K2221" s="225">
        <v>0</v>
      </c>
      <c r="L22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21" s="225">
        <f>ROUND(IF(AND(Base_Periodo1[[#This Row],[Tipo_Linha]]="-",Base_Periodo1[[#This Row],[TIPOSALDO]]="D"),Base_Periodo1[[#This Row],[SALDO_ATUAL]]*-1,Base_Periodo1[[#This Row],[SALDO_ATUAL]]),4)</f>
        <v>0</v>
      </c>
      <c r="N2221" t="s">
        <v>116</v>
      </c>
      <c r="O2221" t="s">
        <v>436</v>
      </c>
      <c r="P2221" t="s">
        <v>436</v>
      </c>
      <c r="Q2221">
        <v>7</v>
      </c>
      <c r="R2221" s="225">
        <f>Base_Periodo1[[#This Row],[CREDITOS]]-Base_Periodo1[[#This Row],[DEBITOS]]</f>
        <v>0</v>
      </c>
      <c r="S2221" s="3" t="str">
        <f>IF(ISERROR(VLOOKUP(Base_Periodo1[[#This Row],[CONTA]],BaseContasDRE[#All],4,FALSE)),"Fora do DRE",VLOOKUP(Base_Periodo1[[#This Row],[CONTA]],BaseContasDRE[#All],4,FALSE))</f>
        <v>Fora do DRE</v>
      </c>
      <c r="T2221" s="3" t="str">
        <f>IF(ISERROR(VLOOKUP(Base_Periodo1[[#This Row],[CONTA]],BaseContasDRE[#All],5,FALSE)),"Fora do DRE",VLOOKUP(Base_Periodo1[[#This Row],[CONTA]],BaseContasDRE[#All],6,FALSE))</f>
        <v>Fora do DRE</v>
      </c>
      <c r="U2221" s="3" t="str">
        <f>IF(ISERROR(VLOOKUP(Base_Periodo1[[#This Row],[CONTA]],BaseContasDRE[#All],7,FALSE)),"Fora do DRE",VLOOKUP(Base_Periodo1[[#This Row],[CONTA]],BaseContasDRE[#All],7,FALSE))</f>
        <v>Fora do DRE</v>
      </c>
      <c r="V2221" s="3" t="str">
        <f>IF(Base_Periodo1[[#This Row],[Tipo_Linha]]="Fora do DRE","Fora do DRE","( "&amp;Base_Periodo1[[#This Row],[Tipo_Linha]]&amp;" ) "&amp;Base_Periodo1[[#This Row],[Filtro]])</f>
        <v>Fora do DRE</v>
      </c>
      <c r="W2221" s="3" t="str">
        <f>LEFT(Base_Periodo1[[#This Row],[CLASS]],3)</f>
        <v>2.1</v>
      </c>
    </row>
    <row r="2222" spans="1:23" hidden="1">
      <c r="A2222" s="3" t="str">
        <f t="shared" si="34"/>
        <v>Período 1</v>
      </c>
      <c r="B2222">
        <v>3357</v>
      </c>
      <c r="C2222" t="s">
        <v>1730</v>
      </c>
      <c r="D2222" t="s">
        <v>534</v>
      </c>
      <c r="E2222" s="3" t="str">
        <f>IF(LEN(Base_Periodo1[[#This Row],[CLASS]])&gt;=7,LEFT(Base_Periodo1[[#This Row],[CLASS]],7),"")</f>
        <v>2.1.2.1</v>
      </c>
      <c r="F2222" s="3" t="str">
        <f>VLOOKUP(Base_Periodo1[[#This Row],[Aux]],Base_Contas_Balanco[#All],2,FALSE)</f>
        <v>Fornecedores Cooperados</v>
      </c>
      <c r="G2222" s="1">
        <v>42870</v>
      </c>
      <c r="I2222" s="225">
        <v>60984</v>
      </c>
      <c r="J2222" s="225">
        <v>60984</v>
      </c>
      <c r="K2222" s="225">
        <v>2.3283064365386963E-10</v>
      </c>
      <c r="L22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22" s="225">
        <f>ROUND(IF(AND(Base_Periodo1[[#This Row],[Tipo_Linha]]="-",Base_Periodo1[[#This Row],[TIPOSALDO]]="D"),Base_Periodo1[[#This Row],[SALDO_ATUAL]]*-1,Base_Periodo1[[#This Row],[SALDO_ATUAL]]),4)</f>
        <v>0</v>
      </c>
      <c r="N2222" t="s">
        <v>116</v>
      </c>
      <c r="O2222" t="s">
        <v>436</v>
      </c>
      <c r="P2222" t="s">
        <v>436</v>
      </c>
      <c r="Q2222">
        <v>7</v>
      </c>
      <c r="R2222" s="225">
        <f>Base_Periodo1[[#This Row],[CREDITOS]]-Base_Periodo1[[#This Row],[DEBITOS]]</f>
        <v>0</v>
      </c>
      <c r="S2222" s="3" t="str">
        <f>IF(ISERROR(VLOOKUP(Base_Periodo1[[#This Row],[CONTA]],BaseContasDRE[#All],4,FALSE)),"Fora do DRE",VLOOKUP(Base_Periodo1[[#This Row],[CONTA]],BaseContasDRE[#All],4,FALSE))</f>
        <v>Fora do DRE</v>
      </c>
      <c r="T2222" s="3" t="str">
        <f>IF(ISERROR(VLOOKUP(Base_Periodo1[[#This Row],[CONTA]],BaseContasDRE[#All],5,FALSE)),"Fora do DRE",VLOOKUP(Base_Periodo1[[#This Row],[CONTA]],BaseContasDRE[#All],6,FALSE))</f>
        <v>Fora do DRE</v>
      </c>
      <c r="U2222" s="3" t="str">
        <f>IF(ISERROR(VLOOKUP(Base_Periodo1[[#This Row],[CONTA]],BaseContasDRE[#All],7,FALSE)),"Fora do DRE",VLOOKUP(Base_Periodo1[[#This Row],[CONTA]],BaseContasDRE[#All],7,FALSE))</f>
        <v>Fora do DRE</v>
      </c>
      <c r="V2222" s="3" t="str">
        <f>IF(Base_Periodo1[[#This Row],[Tipo_Linha]]="Fora do DRE","Fora do DRE","( "&amp;Base_Periodo1[[#This Row],[Tipo_Linha]]&amp;" ) "&amp;Base_Periodo1[[#This Row],[Filtro]])</f>
        <v>Fora do DRE</v>
      </c>
      <c r="W2222" s="3" t="str">
        <f>LEFT(Base_Periodo1[[#This Row],[CLASS]],3)</f>
        <v>2.1</v>
      </c>
    </row>
    <row r="2223" spans="1:23" hidden="1">
      <c r="A2223" s="3" t="str">
        <f t="shared" si="34"/>
        <v>Período 1</v>
      </c>
      <c r="B2223">
        <v>21793</v>
      </c>
      <c r="C2223" t="s">
        <v>1730</v>
      </c>
      <c r="D2223" t="s">
        <v>4574</v>
      </c>
      <c r="E2223" s="3" t="str">
        <f>IF(LEN(Base_Periodo1[[#This Row],[CLASS]])&gt;=7,LEFT(Base_Periodo1[[#This Row],[CLASS]],7),"")</f>
        <v>2.1.2.1</v>
      </c>
      <c r="F2223" s="3" t="str">
        <f>VLOOKUP(Base_Periodo1[[#This Row],[Aux]],Base_Contas_Balanco[#All],2,FALSE)</f>
        <v>Fornecedores Cooperados</v>
      </c>
      <c r="G2223" s="1">
        <v>42871</v>
      </c>
      <c r="H2223" s="225">
        <v>0.52000000001862645</v>
      </c>
      <c r="I2223" s="225">
        <v>16434.22</v>
      </c>
      <c r="J2223" s="225">
        <v>111950.12</v>
      </c>
      <c r="K2223" s="225">
        <v>95516.420000000013</v>
      </c>
      <c r="L22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95516.42</v>
      </c>
      <c r="M2223" s="225">
        <f>ROUND(IF(AND(Base_Periodo1[[#This Row],[Tipo_Linha]]="-",Base_Periodo1[[#This Row],[TIPOSALDO]]="D"),Base_Periodo1[[#This Row],[SALDO_ATUAL]]*-1,Base_Periodo1[[#This Row],[SALDO_ATUAL]]),4)</f>
        <v>95516.42</v>
      </c>
      <c r="N2223" t="s">
        <v>116</v>
      </c>
      <c r="O2223" t="s">
        <v>459</v>
      </c>
      <c r="P2223" t="s">
        <v>459</v>
      </c>
      <c r="Q2223">
        <v>7</v>
      </c>
      <c r="R2223" s="225">
        <f>Base_Periodo1[[#This Row],[CREDITOS]]-Base_Periodo1[[#This Row],[DEBITOS]]</f>
        <v>95515.9</v>
      </c>
      <c r="S2223" s="3" t="str">
        <f>IF(ISERROR(VLOOKUP(Base_Periodo1[[#This Row],[CONTA]],BaseContasDRE[#All],4,FALSE)),"Fora do DRE",VLOOKUP(Base_Periodo1[[#This Row],[CONTA]],BaseContasDRE[#All],4,FALSE))</f>
        <v>Fora do DRE</v>
      </c>
      <c r="T2223" s="3" t="str">
        <f>IF(ISERROR(VLOOKUP(Base_Periodo1[[#This Row],[CONTA]],BaseContasDRE[#All],5,FALSE)),"Fora do DRE",VLOOKUP(Base_Periodo1[[#This Row],[CONTA]],BaseContasDRE[#All],6,FALSE))</f>
        <v>Fora do DRE</v>
      </c>
      <c r="U2223" s="3" t="str">
        <f>IF(ISERROR(VLOOKUP(Base_Periodo1[[#This Row],[CONTA]],BaseContasDRE[#All],7,FALSE)),"Fora do DRE",VLOOKUP(Base_Periodo1[[#This Row],[CONTA]],BaseContasDRE[#All],7,FALSE))</f>
        <v>Fora do DRE</v>
      </c>
      <c r="V2223" s="3" t="str">
        <f>IF(Base_Periodo1[[#This Row],[Tipo_Linha]]="Fora do DRE","Fora do DRE","( "&amp;Base_Periodo1[[#This Row],[Tipo_Linha]]&amp;" ) "&amp;Base_Periodo1[[#This Row],[Filtro]])</f>
        <v>Fora do DRE</v>
      </c>
      <c r="W2223" s="3" t="str">
        <f>LEFT(Base_Periodo1[[#This Row],[CLASS]],3)</f>
        <v>2.1</v>
      </c>
    </row>
    <row r="2224" spans="1:23" hidden="1">
      <c r="A2224" s="3" t="str">
        <f t="shared" si="34"/>
        <v>Período 1</v>
      </c>
      <c r="B2224">
        <v>39061</v>
      </c>
      <c r="C2224" t="s">
        <v>1730</v>
      </c>
      <c r="D2224" t="s">
        <v>535</v>
      </c>
      <c r="E2224" s="3" t="str">
        <f>IF(LEN(Base_Periodo1[[#This Row],[CLASS]])&gt;=7,LEFT(Base_Periodo1[[#This Row],[CLASS]],7),"")</f>
        <v>2.1.2.1</v>
      </c>
      <c r="F2224" s="3" t="str">
        <f>VLOOKUP(Base_Periodo1[[#This Row],[Aux]],Base_Contas_Balanco[#All],2,FALSE)</f>
        <v>Fornecedores Cooperados</v>
      </c>
      <c r="G2224" s="1">
        <v>42885</v>
      </c>
      <c r="I2224" s="225">
        <v>14919.79</v>
      </c>
      <c r="J2224" s="225">
        <v>54937.599999999999</v>
      </c>
      <c r="K2224" s="225">
        <v>40017.810000000114</v>
      </c>
      <c r="L22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40017.81</v>
      </c>
      <c r="M2224" s="225">
        <f>ROUND(IF(AND(Base_Periodo1[[#This Row],[Tipo_Linha]]="-",Base_Periodo1[[#This Row],[TIPOSALDO]]="D"),Base_Periodo1[[#This Row],[SALDO_ATUAL]]*-1,Base_Periodo1[[#This Row],[SALDO_ATUAL]]),4)</f>
        <v>40017.81</v>
      </c>
      <c r="N2224" t="s">
        <v>116</v>
      </c>
      <c r="O2224" t="s">
        <v>436</v>
      </c>
      <c r="P2224" t="s">
        <v>459</v>
      </c>
      <c r="Q2224">
        <v>7</v>
      </c>
      <c r="R2224" s="225">
        <f>Base_Periodo1[[#This Row],[CREDITOS]]-Base_Periodo1[[#This Row],[DEBITOS]]</f>
        <v>40017.81</v>
      </c>
      <c r="S2224" s="3" t="str">
        <f>IF(ISERROR(VLOOKUP(Base_Periodo1[[#This Row],[CONTA]],BaseContasDRE[#All],4,FALSE)),"Fora do DRE",VLOOKUP(Base_Periodo1[[#This Row],[CONTA]],BaseContasDRE[#All],4,FALSE))</f>
        <v>Fora do DRE</v>
      </c>
      <c r="T2224" s="3" t="str">
        <f>IF(ISERROR(VLOOKUP(Base_Periodo1[[#This Row],[CONTA]],BaseContasDRE[#All],5,FALSE)),"Fora do DRE",VLOOKUP(Base_Periodo1[[#This Row],[CONTA]],BaseContasDRE[#All],6,FALSE))</f>
        <v>Fora do DRE</v>
      </c>
      <c r="U2224" s="3" t="str">
        <f>IF(ISERROR(VLOOKUP(Base_Periodo1[[#This Row],[CONTA]],BaseContasDRE[#All],7,FALSE)),"Fora do DRE",VLOOKUP(Base_Periodo1[[#This Row],[CONTA]],BaseContasDRE[#All],7,FALSE))</f>
        <v>Fora do DRE</v>
      </c>
      <c r="V2224" s="3" t="str">
        <f>IF(Base_Periodo1[[#This Row],[Tipo_Linha]]="Fora do DRE","Fora do DRE","( "&amp;Base_Periodo1[[#This Row],[Tipo_Linha]]&amp;" ) "&amp;Base_Periodo1[[#This Row],[Filtro]])</f>
        <v>Fora do DRE</v>
      </c>
      <c r="W2224" s="3" t="str">
        <f>LEFT(Base_Periodo1[[#This Row],[CLASS]],3)</f>
        <v>2.1</v>
      </c>
    </row>
    <row r="2225" spans="1:23" hidden="1">
      <c r="A2225" s="3" t="str">
        <f t="shared" si="34"/>
        <v>Período 1</v>
      </c>
      <c r="B2225">
        <v>46863</v>
      </c>
      <c r="C2225" t="s">
        <v>1730</v>
      </c>
      <c r="D2225" t="s">
        <v>6113</v>
      </c>
      <c r="E2225" s="3" t="str">
        <f>IF(LEN(Base_Periodo1[[#This Row],[CLASS]])&gt;=7,LEFT(Base_Periodo1[[#This Row],[CLASS]],7),"")</f>
        <v>2.1.2.1</v>
      </c>
      <c r="F2225" s="3" t="str">
        <f>VLOOKUP(Base_Periodo1[[#This Row],[Aux]],Base_Contas_Balanco[#All],2,FALSE)</f>
        <v>Fornecedores Cooperados</v>
      </c>
      <c r="G2225" s="1">
        <v>42866</v>
      </c>
      <c r="I2225" s="225">
        <v>3415.2</v>
      </c>
      <c r="J2225" s="225">
        <v>3415.2</v>
      </c>
      <c r="K2225" s="225">
        <v>0</v>
      </c>
      <c r="L22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25" s="225">
        <f>ROUND(IF(AND(Base_Periodo1[[#This Row],[Tipo_Linha]]="-",Base_Periodo1[[#This Row],[TIPOSALDO]]="D"),Base_Periodo1[[#This Row],[SALDO_ATUAL]]*-1,Base_Periodo1[[#This Row],[SALDO_ATUAL]]),4)</f>
        <v>0</v>
      </c>
      <c r="N2225" t="s">
        <v>116</v>
      </c>
      <c r="O2225" t="s">
        <v>436</v>
      </c>
      <c r="P2225" t="s">
        <v>436</v>
      </c>
      <c r="Q2225">
        <v>7</v>
      </c>
      <c r="R2225" s="225">
        <f>Base_Periodo1[[#This Row],[CREDITOS]]-Base_Periodo1[[#This Row],[DEBITOS]]</f>
        <v>0</v>
      </c>
      <c r="S2225" s="3" t="str">
        <f>IF(ISERROR(VLOOKUP(Base_Periodo1[[#This Row],[CONTA]],BaseContasDRE[#All],4,FALSE)),"Fora do DRE",VLOOKUP(Base_Periodo1[[#This Row],[CONTA]],BaseContasDRE[#All],4,FALSE))</f>
        <v>Fora do DRE</v>
      </c>
      <c r="T2225" s="3" t="str">
        <f>IF(ISERROR(VLOOKUP(Base_Periodo1[[#This Row],[CONTA]],BaseContasDRE[#All],5,FALSE)),"Fora do DRE",VLOOKUP(Base_Periodo1[[#This Row],[CONTA]],BaseContasDRE[#All],6,FALSE))</f>
        <v>Fora do DRE</v>
      </c>
      <c r="U2225" s="3" t="str">
        <f>IF(ISERROR(VLOOKUP(Base_Periodo1[[#This Row],[CONTA]],BaseContasDRE[#All],7,FALSE)),"Fora do DRE",VLOOKUP(Base_Periodo1[[#This Row],[CONTA]],BaseContasDRE[#All],7,FALSE))</f>
        <v>Fora do DRE</v>
      </c>
      <c r="V2225" s="3" t="str">
        <f>IF(Base_Periodo1[[#This Row],[Tipo_Linha]]="Fora do DRE","Fora do DRE","( "&amp;Base_Periodo1[[#This Row],[Tipo_Linha]]&amp;" ) "&amp;Base_Periodo1[[#This Row],[Filtro]])</f>
        <v>Fora do DRE</v>
      </c>
      <c r="W2225" s="3" t="str">
        <f>LEFT(Base_Periodo1[[#This Row],[CLASS]],3)</f>
        <v>2.1</v>
      </c>
    </row>
    <row r="2226" spans="1:23" hidden="1">
      <c r="A2226" s="3" t="str">
        <f t="shared" si="34"/>
        <v>Período 1</v>
      </c>
      <c r="B2226">
        <v>16664</v>
      </c>
      <c r="C2226" t="s">
        <v>1730</v>
      </c>
      <c r="D2226" t="s">
        <v>537</v>
      </c>
      <c r="E2226" s="3" t="str">
        <f>IF(LEN(Base_Periodo1[[#This Row],[CLASS]])&gt;=7,LEFT(Base_Periodo1[[#This Row],[CLASS]],7),"")</f>
        <v>2.1.2.1</v>
      </c>
      <c r="F2226" s="3" t="str">
        <f>VLOOKUP(Base_Periodo1[[#This Row],[Aux]],Base_Contas_Balanco[#All],2,FALSE)</f>
        <v>Fornecedores Cooperados</v>
      </c>
      <c r="G2226" s="1">
        <v>42878</v>
      </c>
      <c r="I2226" s="225">
        <v>26741</v>
      </c>
      <c r="J2226" s="225">
        <v>26741</v>
      </c>
      <c r="K2226" s="225">
        <v>5.8207660913467407E-11</v>
      </c>
      <c r="L22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26" s="225">
        <f>ROUND(IF(AND(Base_Periodo1[[#This Row],[Tipo_Linha]]="-",Base_Periodo1[[#This Row],[TIPOSALDO]]="D"),Base_Periodo1[[#This Row],[SALDO_ATUAL]]*-1,Base_Periodo1[[#This Row],[SALDO_ATUAL]]),4)</f>
        <v>0</v>
      </c>
      <c r="N2226" t="s">
        <v>116</v>
      </c>
      <c r="O2226" t="s">
        <v>436</v>
      </c>
      <c r="P2226" t="s">
        <v>436</v>
      </c>
      <c r="Q2226">
        <v>7</v>
      </c>
      <c r="R2226" s="225">
        <f>Base_Periodo1[[#This Row],[CREDITOS]]-Base_Periodo1[[#This Row],[DEBITOS]]</f>
        <v>0</v>
      </c>
      <c r="S2226" s="3" t="str">
        <f>IF(ISERROR(VLOOKUP(Base_Periodo1[[#This Row],[CONTA]],BaseContasDRE[#All],4,FALSE)),"Fora do DRE",VLOOKUP(Base_Periodo1[[#This Row],[CONTA]],BaseContasDRE[#All],4,FALSE))</f>
        <v>Fora do DRE</v>
      </c>
      <c r="T2226" s="3" t="str">
        <f>IF(ISERROR(VLOOKUP(Base_Periodo1[[#This Row],[CONTA]],BaseContasDRE[#All],5,FALSE)),"Fora do DRE",VLOOKUP(Base_Periodo1[[#This Row],[CONTA]],BaseContasDRE[#All],6,FALSE))</f>
        <v>Fora do DRE</v>
      </c>
      <c r="U2226" s="3" t="str">
        <f>IF(ISERROR(VLOOKUP(Base_Periodo1[[#This Row],[CONTA]],BaseContasDRE[#All],7,FALSE)),"Fora do DRE",VLOOKUP(Base_Periodo1[[#This Row],[CONTA]],BaseContasDRE[#All],7,FALSE))</f>
        <v>Fora do DRE</v>
      </c>
      <c r="V2226" s="3" t="str">
        <f>IF(Base_Periodo1[[#This Row],[Tipo_Linha]]="Fora do DRE","Fora do DRE","( "&amp;Base_Periodo1[[#This Row],[Tipo_Linha]]&amp;" ) "&amp;Base_Periodo1[[#This Row],[Filtro]])</f>
        <v>Fora do DRE</v>
      </c>
      <c r="W2226" s="3" t="str">
        <f>LEFT(Base_Periodo1[[#This Row],[CLASS]],3)</f>
        <v>2.1</v>
      </c>
    </row>
    <row r="2227" spans="1:23" hidden="1">
      <c r="A2227" s="3" t="str">
        <f t="shared" si="34"/>
        <v>Período 1</v>
      </c>
      <c r="B2227">
        <v>51135</v>
      </c>
      <c r="C2227" t="s">
        <v>1730</v>
      </c>
      <c r="D2227" t="s">
        <v>6835</v>
      </c>
      <c r="E2227" s="3" t="str">
        <f>IF(LEN(Base_Periodo1[[#This Row],[CLASS]])&gt;=7,LEFT(Base_Periodo1[[#This Row],[CLASS]],7),"")</f>
        <v>2.1.2.1</v>
      </c>
      <c r="F2227" s="3" t="str">
        <f>VLOOKUP(Base_Periodo1[[#This Row],[Aux]],Base_Contas_Balanco[#All],2,FALSE)</f>
        <v>Fornecedores Cooperados</v>
      </c>
      <c r="G2227" s="1">
        <v>42872</v>
      </c>
      <c r="I2227" s="225">
        <v>27985.279999999999</v>
      </c>
      <c r="J2227" s="225">
        <v>27985.279999999999</v>
      </c>
      <c r="K2227" s="225">
        <v>0</v>
      </c>
      <c r="L22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27" s="225">
        <f>ROUND(IF(AND(Base_Periodo1[[#This Row],[Tipo_Linha]]="-",Base_Periodo1[[#This Row],[TIPOSALDO]]="D"),Base_Periodo1[[#This Row],[SALDO_ATUAL]]*-1,Base_Periodo1[[#This Row],[SALDO_ATUAL]]),4)</f>
        <v>0</v>
      </c>
      <c r="N2227" t="s">
        <v>116</v>
      </c>
      <c r="O2227" t="s">
        <v>436</v>
      </c>
      <c r="P2227" t="s">
        <v>436</v>
      </c>
      <c r="Q2227">
        <v>7</v>
      </c>
      <c r="R2227" s="225">
        <f>Base_Periodo1[[#This Row],[CREDITOS]]-Base_Periodo1[[#This Row],[DEBITOS]]</f>
        <v>0</v>
      </c>
      <c r="S2227" s="3" t="str">
        <f>IF(ISERROR(VLOOKUP(Base_Periodo1[[#This Row],[CONTA]],BaseContasDRE[#All],4,FALSE)),"Fora do DRE",VLOOKUP(Base_Periodo1[[#This Row],[CONTA]],BaseContasDRE[#All],4,FALSE))</f>
        <v>Fora do DRE</v>
      </c>
      <c r="T2227" s="3" t="str">
        <f>IF(ISERROR(VLOOKUP(Base_Periodo1[[#This Row],[CONTA]],BaseContasDRE[#All],5,FALSE)),"Fora do DRE",VLOOKUP(Base_Periodo1[[#This Row],[CONTA]],BaseContasDRE[#All],6,FALSE))</f>
        <v>Fora do DRE</v>
      </c>
      <c r="U2227" s="3" t="str">
        <f>IF(ISERROR(VLOOKUP(Base_Periodo1[[#This Row],[CONTA]],BaseContasDRE[#All],7,FALSE)),"Fora do DRE",VLOOKUP(Base_Periodo1[[#This Row],[CONTA]],BaseContasDRE[#All],7,FALSE))</f>
        <v>Fora do DRE</v>
      </c>
      <c r="V2227" s="3" t="str">
        <f>IF(Base_Periodo1[[#This Row],[Tipo_Linha]]="Fora do DRE","Fora do DRE","( "&amp;Base_Periodo1[[#This Row],[Tipo_Linha]]&amp;" ) "&amp;Base_Periodo1[[#This Row],[Filtro]])</f>
        <v>Fora do DRE</v>
      </c>
      <c r="W2227" s="3" t="str">
        <f>LEFT(Base_Periodo1[[#This Row],[CLASS]],3)</f>
        <v>2.1</v>
      </c>
    </row>
    <row r="2228" spans="1:23" hidden="1">
      <c r="A2228" s="3" t="str">
        <f t="shared" si="34"/>
        <v>Período 1</v>
      </c>
      <c r="B2228">
        <v>23470</v>
      </c>
      <c r="C2228" t="s">
        <v>1730</v>
      </c>
      <c r="D2228" t="s">
        <v>540</v>
      </c>
      <c r="E2228" s="3" t="str">
        <f>IF(LEN(Base_Periodo1[[#This Row],[CLASS]])&gt;=7,LEFT(Base_Periodo1[[#This Row],[CLASS]],7),"")</f>
        <v>2.1.2.1</v>
      </c>
      <c r="F2228" s="3" t="str">
        <f>VLOOKUP(Base_Periodo1[[#This Row],[Aux]],Base_Contas_Balanco[#All],2,FALSE)</f>
        <v>Fornecedores Cooperados</v>
      </c>
      <c r="G2228" s="1">
        <v>42886</v>
      </c>
      <c r="I2228" s="225">
        <v>141897.5</v>
      </c>
      <c r="J2228" s="225">
        <v>280269.51</v>
      </c>
      <c r="K2228" s="225">
        <v>138372.01</v>
      </c>
      <c r="L22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138372.01</v>
      </c>
      <c r="M2228" s="225">
        <f>ROUND(IF(AND(Base_Periodo1[[#This Row],[Tipo_Linha]]="-",Base_Periodo1[[#This Row],[TIPOSALDO]]="D"),Base_Periodo1[[#This Row],[SALDO_ATUAL]]*-1,Base_Periodo1[[#This Row],[SALDO_ATUAL]]),4)</f>
        <v>138372.01</v>
      </c>
      <c r="N2228" t="s">
        <v>116</v>
      </c>
      <c r="O2228" t="s">
        <v>436</v>
      </c>
      <c r="P2228" t="s">
        <v>459</v>
      </c>
      <c r="Q2228">
        <v>7</v>
      </c>
      <c r="R2228" s="225">
        <f>Base_Periodo1[[#This Row],[CREDITOS]]-Base_Periodo1[[#This Row],[DEBITOS]]</f>
        <v>138372.01</v>
      </c>
      <c r="S2228" s="3" t="str">
        <f>IF(ISERROR(VLOOKUP(Base_Periodo1[[#This Row],[CONTA]],BaseContasDRE[#All],4,FALSE)),"Fora do DRE",VLOOKUP(Base_Periodo1[[#This Row],[CONTA]],BaseContasDRE[#All],4,FALSE))</f>
        <v>Fora do DRE</v>
      </c>
      <c r="T2228" s="3" t="str">
        <f>IF(ISERROR(VLOOKUP(Base_Periodo1[[#This Row],[CONTA]],BaseContasDRE[#All],5,FALSE)),"Fora do DRE",VLOOKUP(Base_Periodo1[[#This Row],[CONTA]],BaseContasDRE[#All],6,FALSE))</f>
        <v>Fora do DRE</v>
      </c>
      <c r="U2228" s="3" t="str">
        <f>IF(ISERROR(VLOOKUP(Base_Periodo1[[#This Row],[CONTA]],BaseContasDRE[#All],7,FALSE)),"Fora do DRE",VLOOKUP(Base_Periodo1[[#This Row],[CONTA]],BaseContasDRE[#All],7,FALSE))</f>
        <v>Fora do DRE</v>
      </c>
      <c r="V2228" s="3" t="str">
        <f>IF(Base_Periodo1[[#This Row],[Tipo_Linha]]="Fora do DRE","Fora do DRE","( "&amp;Base_Periodo1[[#This Row],[Tipo_Linha]]&amp;" ) "&amp;Base_Periodo1[[#This Row],[Filtro]])</f>
        <v>Fora do DRE</v>
      </c>
      <c r="W2228" s="3" t="str">
        <f>LEFT(Base_Periodo1[[#This Row],[CLASS]],3)</f>
        <v>2.1</v>
      </c>
    </row>
    <row r="2229" spans="1:23" hidden="1">
      <c r="A2229" s="3" t="str">
        <f t="shared" si="34"/>
        <v>Período 1</v>
      </c>
      <c r="B2229">
        <v>18986</v>
      </c>
      <c r="C2229" t="s">
        <v>1730</v>
      </c>
      <c r="D2229" t="s">
        <v>6335</v>
      </c>
      <c r="E2229" s="3" t="str">
        <f>IF(LEN(Base_Periodo1[[#This Row],[CLASS]])&gt;=7,LEFT(Base_Periodo1[[#This Row],[CLASS]],7),"")</f>
        <v>2.1.2.1</v>
      </c>
      <c r="F2229" s="3" t="str">
        <f>VLOOKUP(Base_Periodo1[[#This Row],[Aux]],Base_Contas_Balanco[#All],2,FALSE)</f>
        <v>Fornecedores Cooperados</v>
      </c>
      <c r="G2229" s="1">
        <v>42886</v>
      </c>
      <c r="H2229" s="225">
        <v>190773.52000000002</v>
      </c>
      <c r="I2229" s="225">
        <v>145045</v>
      </c>
      <c r="J2229" s="225">
        <v>0</v>
      </c>
      <c r="K2229" s="225">
        <v>45728.520000000019</v>
      </c>
      <c r="L22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45728.52</v>
      </c>
      <c r="M2229" s="225">
        <f>ROUND(IF(AND(Base_Periodo1[[#This Row],[Tipo_Linha]]="-",Base_Periodo1[[#This Row],[TIPOSALDO]]="D"),Base_Periodo1[[#This Row],[SALDO_ATUAL]]*-1,Base_Periodo1[[#This Row],[SALDO_ATUAL]]),4)</f>
        <v>45728.52</v>
      </c>
      <c r="N2229" t="s">
        <v>116</v>
      </c>
      <c r="O2229" t="s">
        <v>459</v>
      </c>
      <c r="P2229" t="s">
        <v>459</v>
      </c>
      <c r="Q2229">
        <v>7</v>
      </c>
      <c r="R2229" s="225">
        <f>Base_Periodo1[[#This Row],[CREDITOS]]-Base_Periodo1[[#This Row],[DEBITOS]]</f>
        <v>-145045</v>
      </c>
      <c r="S2229" s="3" t="str">
        <f>IF(ISERROR(VLOOKUP(Base_Periodo1[[#This Row],[CONTA]],BaseContasDRE[#All],4,FALSE)),"Fora do DRE",VLOOKUP(Base_Periodo1[[#This Row],[CONTA]],BaseContasDRE[#All],4,FALSE))</f>
        <v>Fora do DRE</v>
      </c>
      <c r="T2229" s="3" t="str">
        <f>IF(ISERROR(VLOOKUP(Base_Periodo1[[#This Row],[CONTA]],BaseContasDRE[#All],5,FALSE)),"Fora do DRE",VLOOKUP(Base_Periodo1[[#This Row],[CONTA]],BaseContasDRE[#All],6,FALSE))</f>
        <v>Fora do DRE</v>
      </c>
      <c r="U2229" s="3" t="str">
        <f>IF(ISERROR(VLOOKUP(Base_Periodo1[[#This Row],[CONTA]],BaseContasDRE[#All],7,FALSE)),"Fora do DRE",VLOOKUP(Base_Periodo1[[#This Row],[CONTA]],BaseContasDRE[#All],7,FALSE))</f>
        <v>Fora do DRE</v>
      </c>
      <c r="V2229" s="3" t="str">
        <f>IF(Base_Periodo1[[#This Row],[Tipo_Linha]]="Fora do DRE","Fora do DRE","( "&amp;Base_Periodo1[[#This Row],[Tipo_Linha]]&amp;" ) "&amp;Base_Periodo1[[#This Row],[Filtro]])</f>
        <v>Fora do DRE</v>
      </c>
      <c r="W2229" s="3" t="str">
        <f>LEFT(Base_Periodo1[[#This Row],[CLASS]],3)</f>
        <v>2.1</v>
      </c>
    </row>
    <row r="2230" spans="1:23" hidden="1">
      <c r="A2230" s="3" t="str">
        <f t="shared" si="34"/>
        <v>Período 1</v>
      </c>
      <c r="B2230">
        <v>25441</v>
      </c>
      <c r="C2230" t="s">
        <v>1730</v>
      </c>
      <c r="D2230" t="s">
        <v>4267</v>
      </c>
      <c r="E2230" s="3" t="str">
        <f>IF(LEN(Base_Periodo1[[#This Row],[CLASS]])&gt;=7,LEFT(Base_Periodo1[[#This Row],[CLASS]],7),"")</f>
        <v>2.1.2.1</v>
      </c>
      <c r="F2230" s="3" t="str">
        <f>VLOOKUP(Base_Periodo1[[#This Row],[Aux]],Base_Contas_Balanco[#All],2,FALSE)</f>
        <v>Fornecedores Cooperados</v>
      </c>
      <c r="G2230" s="1">
        <v>42340</v>
      </c>
      <c r="H2230" s="225">
        <v>221.32999999999447</v>
      </c>
      <c r="I2230" s="225">
        <v>0</v>
      </c>
      <c r="J2230" s="225">
        <v>0</v>
      </c>
      <c r="K2230" s="225">
        <v>221.32999999999447</v>
      </c>
      <c r="L22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221.33</v>
      </c>
      <c r="M2230" s="225">
        <f>ROUND(IF(AND(Base_Periodo1[[#This Row],[Tipo_Linha]]="-",Base_Periodo1[[#This Row],[TIPOSALDO]]="D"),Base_Periodo1[[#This Row],[SALDO_ATUAL]]*-1,Base_Periodo1[[#This Row],[SALDO_ATUAL]]),4)</f>
        <v>221.33</v>
      </c>
      <c r="N2230" t="s">
        <v>116</v>
      </c>
      <c r="O2230" t="s">
        <v>459</v>
      </c>
      <c r="P2230" t="s">
        <v>459</v>
      </c>
      <c r="Q2230">
        <v>7</v>
      </c>
      <c r="R2230" s="225">
        <f>Base_Periodo1[[#This Row],[CREDITOS]]-Base_Periodo1[[#This Row],[DEBITOS]]</f>
        <v>0</v>
      </c>
      <c r="S2230" s="3" t="str">
        <f>IF(ISERROR(VLOOKUP(Base_Periodo1[[#This Row],[CONTA]],BaseContasDRE[#All],4,FALSE)),"Fora do DRE",VLOOKUP(Base_Periodo1[[#This Row],[CONTA]],BaseContasDRE[#All],4,FALSE))</f>
        <v>Fora do DRE</v>
      </c>
      <c r="T2230" s="3" t="str">
        <f>IF(ISERROR(VLOOKUP(Base_Periodo1[[#This Row],[CONTA]],BaseContasDRE[#All],5,FALSE)),"Fora do DRE",VLOOKUP(Base_Periodo1[[#This Row],[CONTA]],BaseContasDRE[#All],6,FALSE))</f>
        <v>Fora do DRE</v>
      </c>
      <c r="U2230" s="3" t="str">
        <f>IF(ISERROR(VLOOKUP(Base_Periodo1[[#This Row],[CONTA]],BaseContasDRE[#All],7,FALSE)),"Fora do DRE",VLOOKUP(Base_Periodo1[[#This Row],[CONTA]],BaseContasDRE[#All],7,FALSE))</f>
        <v>Fora do DRE</v>
      </c>
      <c r="V2230" s="3" t="str">
        <f>IF(Base_Periodo1[[#This Row],[Tipo_Linha]]="Fora do DRE","Fora do DRE","( "&amp;Base_Periodo1[[#This Row],[Tipo_Linha]]&amp;" ) "&amp;Base_Periodo1[[#This Row],[Filtro]])</f>
        <v>Fora do DRE</v>
      </c>
      <c r="W2230" s="3" t="str">
        <f>LEFT(Base_Periodo1[[#This Row],[CLASS]],3)</f>
        <v>2.1</v>
      </c>
    </row>
    <row r="2231" spans="1:23" hidden="1">
      <c r="A2231" s="3" t="str">
        <f t="shared" si="34"/>
        <v>Período 1</v>
      </c>
      <c r="B2231">
        <v>8405</v>
      </c>
      <c r="C2231" t="s">
        <v>1730</v>
      </c>
      <c r="D2231" t="s">
        <v>5941</v>
      </c>
      <c r="E2231" s="3" t="str">
        <f>IF(LEN(Base_Periodo1[[#This Row],[CLASS]])&gt;=7,LEFT(Base_Periodo1[[#This Row],[CLASS]],7),"")</f>
        <v>2.1.2.1</v>
      </c>
      <c r="F2231" s="3" t="str">
        <f>VLOOKUP(Base_Periodo1[[#This Row],[Aux]],Base_Contas_Balanco[#All],2,FALSE)</f>
        <v>Fornecedores Cooperados</v>
      </c>
      <c r="G2231" s="1">
        <v>42859</v>
      </c>
      <c r="H2231" s="225">
        <v>25613.549999999814</v>
      </c>
      <c r="I2231" s="225">
        <v>25613.55</v>
      </c>
      <c r="J2231" s="225">
        <v>0</v>
      </c>
      <c r="K2231" s="225">
        <v>1.8553691916167736E-10</v>
      </c>
      <c r="L22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31" s="225">
        <f>ROUND(IF(AND(Base_Periodo1[[#This Row],[Tipo_Linha]]="-",Base_Periodo1[[#This Row],[TIPOSALDO]]="D"),Base_Periodo1[[#This Row],[SALDO_ATUAL]]*-1,Base_Periodo1[[#This Row],[SALDO_ATUAL]]),4)</f>
        <v>0</v>
      </c>
      <c r="N2231" t="s">
        <v>116</v>
      </c>
      <c r="O2231" t="s">
        <v>459</v>
      </c>
      <c r="P2231" t="s">
        <v>436</v>
      </c>
      <c r="Q2231">
        <v>7</v>
      </c>
      <c r="R2231" s="225">
        <f>Base_Periodo1[[#This Row],[CREDITOS]]-Base_Periodo1[[#This Row],[DEBITOS]]</f>
        <v>-25613.55</v>
      </c>
      <c r="S2231" s="3" t="str">
        <f>IF(ISERROR(VLOOKUP(Base_Periodo1[[#This Row],[CONTA]],BaseContasDRE[#All],4,FALSE)),"Fora do DRE",VLOOKUP(Base_Periodo1[[#This Row],[CONTA]],BaseContasDRE[#All],4,FALSE))</f>
        <v>Fora do DRE</v>
      </c>
      <c r="T2231" s="3" t="str">
        <f>IF(ISERROR(VLOOKUP(Base_Periodo1[[#This Row],[CONTA]],BaseContasDRE[#All],5,FALSE)),"Fora do DRE",VLOOKUP(Base_Periodo1[[#This Row],[CONTA]],BaseContasDRE[#All],6,FALSE))</f>
        <v>Fora do DRE</v>
      </c>
      <c r="U2231" s="3" t="str">
        <f>IF(ISERROR(VLOOKUP(Base_Periodo1[[#This Row],[CONTA]],BaseContasDRE[#All],7,FALSE)),"Fora do DRE",VLOOKUP(Base_Periodo1[[#This Row],[CONTA]],BaseContasDRE[#All],7,FALSE))</f>
        <v>Fora do DRE</v>
      </c>
      <c r="V2231" s="3" t="str">
        <f>IF(Base_Periodo1[[#This Row],[Tipo_Linha]]="Fora do DRE","Fora do DRE","( "&amp;Base_Periodo1[[#This Row],[Tipo_Linha]]&amp;" ) "&amp;Base_Periodo1[[#This Row],[Filtro]])</f>
        <v>Fora do DRE</v>
      </c>
      <c r="W2231" s="3" t="str">
        <f>LEFT(Base_Periodo1[[#This Row],[CLASS]],3)</f>
        <v>2.1</v>
      </c>
    </row>
    <row r="2232" spans="1:23" hidden="1">
      <c r="A2232" s="3" t="str">
        <f t="shared" si="34"/>
        <v>Período 1</v>
      </c>
      <c r="B2232">
        <v>57674</v>
      </c>
      <c r="C2232" t="s">
        <v>1730</v>
      </c>
      <c r="D2232" t="s">
        <v>6115</v>
      </c>
      <c r="E2232" s="3" t="str">
        <f>IF(LEN(Base_Periodo1[[#This Row],[CLASS]])&gt;=7,LEFT(Base_Periodo1[[#This Row],[CLASS]],7),"")</f>
        <v>2.1.2.1</v>
      </c>
      <c r="F2232" s="3" t="str">
        <f>VLOOKUP(Base_Periodo1[[#This Row],[Aux]],Base_Contas_Balanco[#All],2,FALSE)</f>
        <v>Fornecedores Cooperados</v>
      </c>
      <c r="G2232" s="1">
        <v>42879</v>
      </c>
      <c r="I2232" s="225">
        <v>7034.0599999999995</v>
      </c>
      <c r="J2232" s="225">
        <v>23584.5</v>
      </c>
      <c r="K2232" s="225">
        <v>16550.440000000002</v>
      </c>
      <c r="L22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16550.439999999999</v>
      </c>
      <c r="M2232" s="225">
        <f>ROUND(IF(AND(Base_Periodo1[[#This Row],[Tipo_Linha]]="-",Base_Periodo1[[#This Row],[TIPOSALDO]]="D"),Base_Periodo1[[#This Row],[SALDO_ATUAL]]*-1,Base_Periodo1[[#This Row],[SALDO_ATUAL]]),4)</f>
        <v>16550.439999999999</v>
      </c>
      <c r="N2232" t="s">
        <v>116</v>
      </c>
      <c r="O2232" t="s">
        <v>436</v>
      </c>
      <c r="P2232" t="s">
        <v>459</v>
      </c>
      <c r="Q2232">
        <v>7</v>
      </c>
      <c r="R2232" s="225">
        <f>Base_Periodo1[[#This Row],[CREDITOS]]-Base_Periodo1[[#This Row],[DEBITOS]]</f>
        <v>16550.440000000002</v>
      </c>
      <c r="S2232" s="3" t="str">
        <f>IF(ISERROR(VLOOKUP(Base_Periodo1[[#This Row],[CONTA]],BaseContasDRE[#All],4,FALSE)),"Fora do DRE",VLOOKUP(Base_Periodo1[[#This Row],[CONTA]],BaseContasDRE[#All],4,FALSE))</f>
        <v>Fora do DRE</v>
      </c>
      <c r="T2232" s="3" t="str">
        <f>IF(ISERROR(VLOOKUP(Base_Periodo1[[#This Row],[CONTA]],BaseContasDRE[#All],5,FALSE)),"Fora do DRE",VLOOKUP(Base_Periodo1[[#This Row],[CONTA]],BaseContasDRE[#All],6,FALSE))</f>
        <v>Fora do DRE</v>
      </c>
      <c r="U2232" s="3" t="str">
        <f>IF(ISERROR(VLOOKUP(Base_Periodo1[[#This Row],[CONTA]],BaseContasDRE[#All],7,FALSE)),"Fora do DRE",VLOOKUP(Base_Periodo1[[#This Row],[CONTA]],BaseContasDRE[#All],7,FALSE))</f>
        <v>Fora do DRE</v>
      </c>
      <c r="V2232" s="3" t="str">
        <f>IF(Base_Periodo1[[#This Row],[Tipo_Linha]]="Fora do DRE","Fora do DRE","( "&amp;Base_Periodo1[[#This Row],[Tipo_Linha]]&amp;" ) "&amp;Base_Periodo1[[#This Row],[Filtro]])</f>
        <v>Fora do DRE</v>
      </c>
      <c r="W2232" s="3" t="str">
        <f>LEFT(Base_Periodo1[[#This Row],[CLASS]],3)</f>
        <v>2.1</v>
      </c>
    </row>
    <row r="2233" spans="1:23" hidden="1">
      <c r="A2233" s="3" t="str">
        <f t="shared" si="34"/>
        <v>Período 1</v>
      </c>
      <c r="B2233">
        <v>3785</v>
      </c>
      <c r="C2233" t="s">
        <v>1730</v>
      </c>
      <c r="D2233" t="s">
        <v>1731</v>
      </c>
      <c r="E2233" s="3" t="str">
        <f>IF(LEN(Base_Periodo1[[#This Row],[CLASS]])&gt;=7,LEFT(Base_Periodo1[[#This Row],[CLASS]],7),"")</f>
        <v>2.1.2.1</v>
      </c>
      <c r="F2233" s="3" t="str">
        <f>VLOOKUP(Base_Periodo1[[#This Row],[Aux]],Base_Contas_Balanco[#All],2,FALSE)</f>
        <v>Fornecedores Cooperados</v>
      </c>
      <c r="G2233" s="1">
        <v>41719</v>
      </c>
      <c r="H2233" s="225">
        <v>1990.9000000000233</v>
      </c>
      <c r="I2233" s="225">
        <v>0</v>
      </c>
      <c r="J2233" s="225">
        <v>0</v>
      </c>
      <c r="K2233" s="225">
        <v>1990.9000000000233</v>
      </c>
      <c r="L22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1990.9</v>
      </c>
      <c r="M2233" s="225">
        <f>ROUND(IF(AND(Base_Periodo1[[#This Row],[Tipo_Linha]]="-",Base_Periodo1[[#This Row],[TIPOSALDO]]="D"),Base_Periodo1[[#This Row],[SALDO_ATUAL]]*-1,Base_Periodo1[[#This Row],[SALDO_ATUAL]]),4)</f>
        <v>1990.9</v>
      </c>
      <c r="N2233" t="s">
        <v>116</v>
      </c>
      <c r="O2233" t="s">
        <v>459</v>
      </c>
      <c r="P2233" t="s">
        <v>459</v>
      </c>
      <c r="Q2233">
        <v>7</v>
      </c>
      <c r="R2233" s="225">
        <f>Base_Periodo1[[#This Row],[CREDITOS]]-Base_Periodo1[[#This Row],[DEBITOS]]</f>
        <v>0</v>
      </c>
      <c r="S2233" s="3" t="str">
        <f>IF(ISERROR(VLOOKUP(Base_Periodo1[[#This Row],[CONTA]],BaseContasDRE[#All],4,FALSE)),"Fora do DRE",VLOOKUP(Base_Periodo1[[#This Row],[CONTA]],BaseContasDRE[#All],4,FALSE))</f>
        <v>Fora do DRE</v>
      </c>
      <c r="T2233" s="3" t="str">
        <f>IF(ISERROR(VLOOKUP(Base_Periodo1[[#This Row],[CONTA]],BaseContasDRE[#All],5,FALSE)),"Fora do DRE",VLOOKUP(Base_Periodo1[[#This Row],[CONTA]],BaseContasDRE[#All],6,FALSE))</f>
        <v>Fora do DRE</v>
      </c>
      <c r="U2233" s="3" t="str">
        <f>IF(ISERROR(VLOOKUP(Base_Periodo1[[#This Row],[CONTA]],BaseContasDRE[#All],7,FALSE)),"Fora do DRE",VLOOKUP(Base_Periodo1[[#This Row],[CONTA]],BaseContasDRE[#All],7,FALSE))</f>
        <v>Fora do DRE</v>
      </c>
      <c r="V2233" s="3" t="str">
        <f>IF(Base_Periodo1[[#This Row],[Tipo_Linha]]="Fora do DRE","Fora do DRE","( "&amp;Base_Periodo1[[#This Row],[Tipo_Linha]]&amp;" ) "&amp;Base_Periodo1[[#This Row],[Filtro]])</f>
        <v>Fora do DRE</v>
      </c>
      <c r="W2233" s="3" t="str">
        <f>LEFT(Base_Periodo1[[#This Row],[CLASS]],3)</f>
        <v>2.1</v>
      </c>
    </row>
    <row r="2234" spans="1:23" hidden="1">
      <c r="A2234" s="3" t="str">
        <f t="shared" si="34"/>
        <v>Período 1</v>
      </c>
      <c r="B2234">
        <v>48437</v>
      </c>
      <c r="C2234" t="s">
        <v>1730</v>
      </c>
      <c r="D2234" t="s">
        <v>928</v>
      </c>
      <c r="E2234" s="3" t="str">
        <f>IF(LEN(Base_Periodo1[[#This Row],[CLASS]])&gt;=7,LEFT(Base_Periodo1[[#This Row],[CLASS]],7),"")</f>
        <v>2.1.2.1</v>
      </c>
      <c r="F2234" s="3" t="str">
        <f>VLOOKUP(Base_Periodo1[[#This Row],[Aux]],Base_Contas_Balanco[#All],2,FALSE)</f>
        <v>Fornecedores Cooperados</v>
      </c>
      <c r="G2234" s="1">
        <v>42881</v>
      </c>
      <c r="H2234" s="225">
        <v>25000.349999999991</v>
      </c>
      <c r="I2234" s="225">
        <v>26966.489999999998</v>
      </c>
      <c r="J2234" s="225">
        <v>1966.14</v>
      </c>
      <c r="K2234" s="225">
        <v>6.5938365878537297E-12</v>
      </c>
      <c r="L22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34" s="225">
        <f>ROUND(IF(AND(Base_Periodo1[[#This Row],[Tipo_Linha]]="-",Base_Periodo1[[#This Row],[TIPOSALDO]]="D"),Base_Periodo1[[#This Row],[SALDO_ATUAL]]*-1,Base_Periodo1[[#This Row],[SALDO_ATUAL]]),4)</f>
        <v>0</v>
      </c>
      <c r="N2234" t="s">
        <v>116</v>
      </c>
      <c r="O2234" t="s">
        <v>459</v>
      </c>
      <c r="P2234" t="s">
        <v>436</v>
      </c>
      <c r="Q2234">
        <v>7</v>
      </c>
      <c r="R2234" s="225">
        <f>Base_Periodo1[[#This Row],[CREDITOS]]-Base_Periodo1[[#This Row],[DEBITOS]]</f>
        <v>-25000.35</v>
      </c>
      <c r="S2234" s="3" t="str">
        <f>IF(ISERROR(VLOOKUP(Base_Periodo1[[#This Row],[CONTA]],BaseContasDRE[#All],4,FALSE)),"Fora do DRE",VLOOKUP(Base_Periodo1[[#This Row],[CONTA]],BaseContasDRE[#All],4,FALSE))</f>
        <v>Fora do DRE</v>
      </c>
      <c r="T2234" s="3" t="str">
        <f>IF(ISERROR(VLOOKUP(Base_Periodo1[[#This Row],[CONTA]],BaseContasDRE[#All],5,FALSE)),"Fora do DRE",VLOOKUP(Base_Periodo1[[#This Row],[CONTA]],BaseContasDRE[#All],6,FALSE))</f>
        <v>Fora do DRE</v>
      </c>
      <c r="U2234" s="3" t="str">
        <f>IF(ISERROR(VLOOKUP(Base_Periodo1[[#This Row],[CONTA]],BaseContasDRE[#All],7,FALSE)),"Fora do DRE",VLOOKUP(Base_Periodo1[[#This Row],[CONTA]],BaseContasDRE[#All],7,FALSE))</f>
        <v>Fora do DRE</v>
      </c>
      <c r="V2234" s="3" t="str">
        <f>IF(Base_Periodo1[[#This Row],[Tipo_Linha]]="Fora do DRE","Fora do DRE","( "&amp;Base_Periodo1[[#This Row],[Tipo_Linha]]&amp;" ) "&amp;Base_Periodo1[[#This Row],[Filtro]])</f>
        <v>Fora do DRE</v>
      </c>
      <c r="W2234" s="3" t="str">
        <f>LEFT(Base_Periodo1[[#This Row],[CLASS]],3)</f>
        <v>2.1</v>
      </c>
    </row>
    <row r="2235" spans="1:23" hidden="1">
      <c r="A2235" s="3" t="str">
        <f t="shared" si="34"/>
        <v>Período 1</v>
      </c>
      <c r="B2235">
        <v>12308</v>
      </c>
      <c r="C2235" t="s">
        <v>1730</v>
      </c>
      <c r="D2235" t="s">
        <v>542</v>
      </c>
      <c r="E2235" s="3" t="str">
        <f>IF(LEN(Base_Periodo1[[#This Row],[CLASS]])&gt;=7,LEFT(Base_Periodo1[[#This Row],[CLASS]],7),"")</f>
        <v>2.1.2.1</v>
      </c>
      <c r="F2235" s="3" t="str">
        <f>VLOOKUP(Base_Periodo1[[#This Row],[Aux]],Base_Contas_Balanco[#All],2,FALSE)</f>
        <v>Fornecedores Cooperados</v>
      </c>
      <c r="G2235" s="1">
        <v>42886</v>
      </c>
      <c r="I2235" s="225">
        <v>68604.86</v>
      </c>
      <c r="J2235" s="225">
        <v>68604.86</v>
      </c>
      <c r="K2235" s="225">
        <v>4.6566128730773926E-10</v>
      </c>
      <c r="L22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35" s="225">
        <f>ROUND(IF(AND(Base_Periodo1[[#This Row],[Tipo_Linha]]="-",Base_Periodo1[[#This Row],[TIPOSALDO]]="D"),Base_Periodo1[[#This Row],[SALDO_ATUAL]]*-1,Base_Periodo1[[#This Row],[SALDO_ATUAL]]),4)</f>
        <v>0</v>
      </c>
      <c r="N2235" t="s">
        <v>116</v>
      </c>
      <c r="O2235" t="s">
        <v>436</v>
      </c>
      <c r="P2235" t="s">
        <v>436</v>
      </c>
      <c r="Q2235">
        <v>7</v>
      </c>
      <c r="R2235" s="225">
        <f>Base_Periodo1[[#This Row],[CREDITOS]]-Base_Periodo1[[#This Row],[DEBITOS]]</f>
        <v>0</v>
      </c>
      <c r="S2235" s="3" t="str">
        <f>IF(ISERROR(VLOOKUP(Base_Periodo1[[#This Row],[CONTA]],BaseContasDRE[#All],4,FALSE)),"Fora do DRE",VLOOKUP(Base_Periodo1[[#This Row],[CONTA]],BaseContasDRE[#All],4,FALSE))</f>
        <v>Fora do DRE</v>
      </c>
      <c r="T2235" s="3" t="str">
        <f>IF(ISERROR(VLOOKUP(Base_Periodo1[[#This Row],[CONTA]],BaseContasDRE[#All],5,FALSE)),"Fora do DRE",VLOOKUP(Base_Periodo1[[#This Row],[CONTA]],BaseContasDRE[#All],6,FALSE))</f>
        <v>Fora do DRE</v>
      </c>
      <c r="U2235" s="3" t="str">
        <f>IF(ISERROR(VLOOKUP(Base_Periodo1[[#This Row],[CONTA]],BaseContasDRE[#All],7,FALSE)),"Fora do DRE",VLOOKUP(Base_Periodo1[[#This Row],[CONTA]],BaseContasDRE[#All],7,FALSE))</f>
        <v>Fora do DRE</v>
      </c>
      <c r="V2235" s="3" t="str">
        <f>IF(Base_Periodo1[[#This Row],[Tipo_Linha]]="Fora do DRE","Fora do DRE","( "&amp;Base_Periodo1[[#This Row],[Tipo_Linha]]&amp;" ) "&amp;Base_Periodo1[[#This Row],[Filtro]])</f>
        <v>Fora do DRE</v>
      </c>
      <c r="W2235" s="3" t="str">
        <f>LEFT(Base_Periodo1[[#This Row],[CLASS]],3)</f>
        <v>2.1</v>
      </c>
    </row>
    <row r="2236" spans="1:23" hidden="1">
      <c r="A2236" s="3" t="str">
        <f t="shared" si="34"/>
        <v>Período 1</v>
      </c>
      <c r="B2236">
        <v>57847</v>
      </c>
      <c r="C2236" t="s">
        <v>1730</v>
      </c>
      <c r="D2236" t="s">
        <v>6116</v>
      </c>
      <c r="E2236" s="3" t="str">
        <f>IF(LEN(Base_Periodo1[[#This Row],[CLASS]])&gt;=7,LEFT(Base_Periodo1[[#This Row],[CLASS]],7),"")</f>
        <v>2.1.2.1</v>
      </c>
      <c r="F2236" s="3" t="str">
        <f>VLOOKUP(Base_Periodo1[[#This Row],[Aux]],Base_Contas_Balanco[#All],2,FALSE)</f>
        <v>Fornecedores Cooperados</v>
      </c>
      <c r="G2236" s="1">
        <v>42881</v>
      </c>
      <c r="H2236" s="225">
        <v>50</v>
      </c>
      <c r="I2236" s="225">
        <v>3025</v>
      </c>
      <c r="J2236" s="225">
        <v>3025</v>
      </c>
      <c r="K2236" s="225">
        <v>50</v>
      </c>
      <c r="L22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2236" s="225">
        <f>ROUND(IF(AND(Base_Periodo1[[#This Row],[Tipo_Linha]]="-",Base_Periodo1[[#This Row],[TIPOSALDO]]="D"),Base_Periodo1[[#This Row],[SALDO_ATUAL]]*-1,Base_Periodo1[[#This Row],[SALDO_ATUAL]]),4)</f>
        <v>50</v>
      </c>
      <c r="N2236" t="s">
        <v>116</v>
      </c>
      <c r="O2236" t="s">
        <v>459</v>
      </c>
      <c r="P2236" t="s">
        <v>459</v>
      </c>
      <c r="Q2236">
        <v>7</v>
      </c>
      <c r="R2236" s="225">
        <f>Base_Periodo1[[#This Row],[CREDITOS]]-Base_Periodo1[[#This Row],[DEBITOS]]</f>
        <v>0</v>
      </c>
      <c r="S2236" s="3" t="str">
        <f>IF(ISERROR(VLOOKUP(Base_Periodo1[[#This Row],[CONTA]],BaseContasDRE[#All],4,FALSE)),"Fora do DRE",VLOOKUP(Base_Periodo1[[#This Row],[CONTA]],BaseContasDRE[#All],4,FALSE))</f>
        <v>Fora do DRE</v>
      </c>
      <c r="T2236" s="3" t="str">
        <f>IF(ISERROR(VLOOKUP(Base_Periodo1[[#This Row],[CONTA]],BaseContasDRE[#All],5,FALSE)),"Fora do DRE",VLOOKUP(Base_Periodo1[[#This Row],[CONTA]],BaseContasDRE[#All],6,FALSE))</f>
        <v>Fora do DRE</v>
      </c>
      <c r="U2236" s="3" t="str">
        <f>IF(ISERROR(VLOOKUP(Base_Periodo1[[#This Row],[CONTA]],BaseContasDRE[#All],7,FALSE)),"Fora do DRE",VLOOKUP(Base_Periodo1[[#This Row],[CONTA]],BaseContasDRE[#All],7,FALSE))</f>
        <v>Fora do DRE</v>
      </c>
      <c r="V2236" s="3" t="str">
        <f>IF(Base_Periodo1[[#This Row],[Tipo_Linha]]="Fora do DRE","Fora do DRE","( "&amp;Base_Periodo1[[#This Row],[Tipo_Linha]]&amp;" ) "&amp;Base_Periodo1[[#This Row],[Filtro]])</f>
        <v>Fora do DRE</v>
      </c>
      <c r="W2236" s="3" t="str">
        <f>LEFT(Base_Periodo1[[#This Row],[CLASS]],3)</f>
        <v>2.1</v>
      </c>
    </row>
    <row r="2237" spans="1:23" hidden="1">
      <c r="A2237" s="3" t="str">
        <f t="shared" si="34"/>
        <v>Período 1</v>
      </c>
      <c r="B2237">
        <v>2637</v>
      </c>
      <c r="C2237" t="s">
        <v>1730</v>
      </c>
      <c r="D2237" t="s">
        <v>543</v>
      </c>
      <c r="E2237" s="3" t="str">
        <f>IF(LEN(Base_Periodo1[[#This Row],[CLASS]])&gt;=7,LEFT(Base_Periodo1[[#This Row],[CLASS]],7),"")</f>
        <v>2.1.2.1</v>
      </c>
      <c r="F2237" s="3" t="str">
        <f>VLOOKUP(Base_Periodo1[[#This Row],[Aux]],Base_Contas_Balanco[#All],2,FALSE)</f>
        <v>Fornecedores Cooperados</v>
      </c>
      <c r="G2237" s="1">
        <v>42867</v>
      </c>
      <c r="I2237" s="225">
        <v>85992</v>
      </c>
      <c r="J2237" s="225">
        <v>85992</v>
      </c>
      <c r="K2237" s="225">
        <v>-9.3132257461547852E-10</v>
      </c>
      <c r="L22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37" s="225">
        <f>ROUND(IF(AND(Base_Periodo1[[#This Row],[Tipo_Linha]]="-",Base_Periodo1[[#This Row],[TIPOSALDO]]="D"),Base_Periodo1[[#This Row],[SALDO_ATUAL]]*-1,Base_Periodo1[[#This Row],[SALDO_ATUAL]]),4)</f>
        <v>0</v>
      </c>
      <c r="N2237" t="s">
        <v>116</v>
      </c>
      <c r="O2237" t="s">
        <v>436</v>
      </c>
      <c r="P2237" t="s">
        <v>436</v>
      </c>
      <c r="Q2237">
        <v>7</v>
      </c>
      <c r="R2237" s="225">
        <f>Base_Periodo1[[#This Row],[CREDITOS]]-Base_Periodo1[[#This Row],[DEBITOS]]</f>
        <v>0</v>
      </c>
      <c r="S2237" s="3" t="str">
        <f>IF(ISERROR(VLOOKUP(Base_Periodo1[[#This Row],[CONTA]],BaseContasDRE[#All],4,FALSE)),"Fora do DRE",VLOOKUP(Base_Periodo1[[#This Row],[CONTA]],BaseContasDRE[#All],4,FALSE))</f>
        <v>Fora do DRE</v>
      </c>
      <c r="T2237" s="3" t="str">
        <f>IF(ISERROR(VLOOKUP(Base_Periodo1[[#This Row],[CONTA]],BaseContasDRE[#All],5,FALSE)),"Fora do DRE",VLOOKUP(Base_Periodo1[[#This Row],[CONTA]],BaseContasDRE[#All],6,FALSE))</f>
        <v>Fora do DRE</v>
      </c>
      <c r="U2237" s="3" t="str">
        <f>IF(ISERROR(VLOOKUP(Base_Periodo1[[#This Row],[CONTA]],BaseContasDRE[#All],7,FALSE)),"Fora do DRE",VLOOKUP(Base_Periodo1[[#This Row],[CONTA]],BaseContasDRE[#All],7,FALSE))</f>
        <v>Fora do DRE</v>
      </c>
      <c r="V2237" s="3" t="str">
        <f>IF(Base_Periodo1[[#This Row],[Tipo_Linha]]="Fora do DRE","Fora do DRE","( "&amp;Base_Periodo1[[#This Row],[Tipo_Linha]]&amp;" ) "&amp;Base_Periodo1[[#This Row],[Filtro]])</f>
        <v>Fora do DRE</v>
      </c>
      <c r="W2237" s="3" t="str">
        <f>LEFT(Base_Periodo1[[#This Row],[CLASS]],3)</f>
        <v>2.1</v>
      </c>
    </row>
    <row r="2238" spans="1:23" hidden="1">
      <c r="A2238" s="3" t="str">
        <f t="shared" si="34"/>
        <v>Período 1</v>
      </c>
      <c r="B2238">
        <v>39347</v>
      </c>
      <c r="C2238" t="s">
        <v>1730</v>
      </c>
      <c r="D2238" t="s">
        <v>544</v>
      </c>
      <c r="E2238" s="3" t="str">
        <f>IF(LEN(Base_Periodo1[[#This Row],[CLASS]])&gt;=7,LEFT(Base_Periodo1[[#This Row],[CLASS]],7),"")</f>
        <v>2.1.2.1</v>
      </c>
      <c r="F2238" s="3" t="str">
        <f>VLOOKUP(Base_Periodo1[[#This Row],[Aux]],Base_Contas_Balanco[#All],2,FALSE)</f>
        <v>Fornecedores Cooperados</v>
      </c>
      <c r="G2238" s="1">
        <v>42878</v>
      </c>
      <c r="I2238" s="225">
        <v>58040.219999999994</v>
      </c>
      <c r="J2238" s="225">
        <v>58040.22</v>
      </c>
      <c r="K2238" s="225">
        <v>-7.2759576141834259E-12</v>
      </c>
      <c r="L22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38" s="225">
        <f>ROUND(IF(AND(Base_Periodo1[[#This Row],[Tipo_Linha]]="-",Base_Periodo1[[#This Row],[TIPOSALDO]]="D"),Base_Periodo1[[#This Row],[SALDO_ATUAL]]*-1,Base_Periodo1[[#This Row],[SALDO_ATUAL]]),4)</f>
        <v>0</v>
      </c>
      <c r="N2238" t="s">
        <v>116</v>
      </c>
      <c r="O2238" t="s">
        <v>436</v>
      </c>
      <c r="P2238" t="s">
        <v>436</v>
      </c>
      <c r="Q2238">
        <v>7</v>
      </c>
      <c r="R2238" s="225">
        <f>Base_Periodo1[[#This Row],[CREDITOS]]-Base_Periodo1[[#This Row],[DEBITOS]]</f>
        <v>0</v>
      </c>
      <c r="S2238" s="3" t="str">
        <f>IF(ISERROR(VLOOKUP(Base_Periodo1[[#This Row],[CONTA]],BaseContasDRE[#All],4,FALSE)),"Fora do DRE",VLOOKUP(Base_Periodo1[[#This Row],[CONTA]],BaseContasDRE[#All],4,FALSE))</f>
        <v>Fora do DRE</v>
      </c>
      <c r="T2238" s="3" t="str">
        <f>IF(ISERROR(VLOOKUP(Base_Periodo1[[#This Row],[CONTA]],BaseContasDRE[#All],5,FALSE)),"Fora do DRE",VLOOKUP(Base_Periodo1[[#This Row],[CONTA]],BaseContasDRE[#All],6,FALSE))</f>
        <v>Fora do DRE</v>
      </c>
      <c r="U2238" s="3" t="str">
        <f>IF(ISERROR(VLOOKUP(Base_Periodo1[[#This Row],[CONTA]],BaseContasDRE[#All],7,FALSE)),"Fora do DRE",VLOOKUP(Base_Periodo1[[#This Row],[CONTA]],BaseContasDRE[#All],7,FALSE))</f>
        <v>Fora do DRE</v>
      </c>
      <c r="V2238" s="3" t="str">
        <f>IF(Base_Periodo1[[#This Row],[Tipo_Linha]]="Fora do DRE","Fora do DRE","( "&amp;Base_Periodo1[[#This Row],[Tipo_Linha]]&amp;" ) "&amp;Base_Periodo1[[#This Row],[Filtro]])</f>
        <v>Fora do DRE</v>
      </c>
      <c r="W2238" s="3" t="str">
        <f>LEFT(Base_Periodo1[[#This Row],[CLASS]],3)</f>
        <v>2.1</v>
      </c>
    </row>
    <row r="2239" spans="1:23" hidden="1">
      <c r="A2239" s="3" t="str">
        <f t="shared" si="34"/>
        <v>Período 1</v>
      </c>
      <c r="B2239">
        <v>28650</v>
      </c>
      <c r="C2239" t="s">
        <v>1730</v>
      </c>
      <c r="D2239" t="s">
        <v>545</v>
      </c>
      <c r="E2239" s="3" t="str">
        <f>IF(LEN(Base_Periodo1[[#This Row],[CLASS]])&gt;=7,LEFT(Base_Periodo1[[#This Row],[CLASS]],7),"")</f>
        <v>2.1.2.1</v>
      </c>
      <c r="F2239" s="3" t="str">
        <f>VLOOKUP(Base_Periodo1[[#This Row],[Aux]],Base_Contas_Balanco[#All],2,FALSE)</f>
        <v>Fornecedores Cooperados</v>
      </c>
      <c r="G2239" s="1">
        <v>42863</v>
      </c>
      <c r="H2239" s="225">
        <v>1096.9799999999814</v>
      </c>
      <c r="I2239" s="225">
        <v>487983.69</v>
      </c>
      <c r="J2239" s="225">
        <v>487983.69</v>
      </c>
      <c r="K2239" s="225">
        <v>1096.9799999999814</v>
      </c>
      <c r="L22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1096.98</v>
      </c>
      <c r="M2239" s="225">
        <f>ROUND(IF(AND(Base_Periodo1[[#This Row],[Tipo_Linha]]="-",Base_Periodo1[[#This Row],[TIPOSALDO]]="D"),Base_Periodo1[[#This Row],[SALDO_ATUAL]]*-1,Base_Periodo1[[#This Row],[SALDO_ATUAL]]),4)</f>
        <v>1096.98</v>
      </c>
      <c r="N2239" t="s">
        <v>116</v>
      </c>
      <c r="O2239" t="s">
        <v>459</v>
      </c>
      <c r="P2239" t="s">
        <v>459</v>
      </c>
      <c r="Q2239">
        <v>7</v>
      </c>
      <c r="R2239" s="225">
        <f>Base_Periodo1[[#This Row],[CREDITOS]]-Base_Periodo1[[#This Row],[DEBITOS]]</f>
        <v>0</v>
      </c>
      <c r="S2239" s="3" t="str">
        <f>IF(ISERROR(VLOOKUP(Base_Periodo1[[#This Row],[CONTA]],BaseContasDRE[#All],4,FALSE)),"Fora do DRE",VLOOKUP(Base_Periodo1[[#This Row],[CONTA]],BaseContasDRE[#All],4,FALSE))</f>
        <v>Fora do DRE</v>
      </c>
      <c r="T2239" s="3" t="str">
        <f>IF(ISERROR(VLOOKUP(Base_Periodo1[[#This Row],[CONTA]],BaseContasDRE[#All],5,FALSE)),"Fora do DRE",VLOOKUP(Base_Periodo1[[#This Row],[CONTA]],BaseContasDRE[#All],6,FALSE))</f>
        <v>Fora do DRE</v>
      </c>
      <c r="U2239" s="3" t="str">
        <f>IF(ISERROR(VLOOKUP(Base_Periodo1[[#This Row],[CONTA]],BaseContasDRE[#All],7,FALSE)),"Fora do DRE",VLOOKUP(Base_Periodo1[[#This Row],[CONTA]],BaseContasDRE[#All],7,FALSE))</f>
        <v>Fora do DRE</v>
      </c>
      <c r="V2239" s="3" t="str">
        <f>IF(Base_Periodo1[[#This Row],[Tipo_Linha]]="Fora do DRE","Fora do DRE","( "&amp;Base_Periodo1[[#This Row],[Tipo_Linha]]&amp;" ) "&amp;Base_Periodo1[[#This Row],[Filtro]])</f>
        <v>Fora do DRE</v>
      </c>
      <c r="W2239" s="3" t="str">
        <f>LEFT(Base_Periodo1[[#This Row],[CLASS]],3)</f>
        <v>2.1</v>
      </c>
    </row>
    <row r="2240" spans="1:23" hidden="1">
      <c r="A2240" s="3" t="str">
        <f t="shared" si="34"/>
        <v>Período 1</v>
      </c>
      <c r="B2240">
        <v>15633</v>
      </c>
      <c r="C2240" t="s">
        <v>1730</v>
      </c>
      <c r="D2240" t="s">
        <v>546</v>
      </c>
      <c r="E2240" s="3" t="str">
        <f>IF(LEN(Base_Periodo1[[#This Row],[CLASS]])&gt;=7,LEFT(Base_Periodo1[[#This Row],[CLASS]],7),"")</f>
        <v>2.1.2.1</v>
      </c>
      <c r="F2240" s="3" t="str">
        <f>VLOOKUP(Base_Periodo1[[#This Row],[Aux]],Base_Contas_Balanco[#All],2,FALSE)</f>
        <v>Fornecedores Cooperados</v>
      </c>
      <c r="G2240" s="1">
        <v>42865</v>
      </c>
      <c r="H2240" s="225">
        <v>763.60999999998603</v>
      </c>
      <c r="I2240" s="225">
        <v>763.61</v>
      </c>
      <c r="J2240" s="225">
        <v>0</v>
      </c>
      <c r="K2240" s="225">
        <v>1.3983481039758772E-11</v>
      </c>
      <c r="L22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40" s="225">
        <f>ROUND(IF(AND(Base_Periodo1[[#This Row],[Tipo_Linha]]="-",Base_Periodo1[[#This Row],[TIPOSALDO]]="D"),Base_Periodo1[[#This Row],[SALDO_ATUAL]]*-1,Base_Periodo1[[#This Row],[SALDO_ATUAL]]),4)</f>
        <v>0</v>
      </c>
      <c r="N2240" t="s">
        <v>116</v>
      </c>
      <c r="O2240" t="s">
        <v>459</v>
      </c>
      <c r="P2240" t="s">
        <v>436</v>
      </c>
      <c r="Q2240">
        <v>7</v>
      </c>
      <c r="R2240" s="225">
        <f>Base_Periodo1[[#This Row],[CREDITOS]]-Base_Periodo1[[#This Row],[DEBITOS]]</f>
        <v>-763.61</v>
      </c>
      <c r="S2240" s="3" t="str">
        <f>IF(ISERROR(VLOOKUP(Base_Periodo1[[#This Row],[CONTA]],BaseContasDRE[#All],4,FALSE)),"Fora do DRE",VLOOKUP(Base_Periodo1[[#This Row],[CONTA]],BaseContasDRE[#All],4,FALSE))</f>
        <v>Fora do DRE</v>
      </c>
      <c r="T2240" s="3" t="str">
        <f>IF(ISERROR(VLOOKUP(Base_Periodo1[[#This Row],[CONTA]],BaseContasDRE[#All],5,FALSE)),"Fora do DRE",VLOOKUP(Base_Periodo1[[#This Row],[CONTA]],BaseContasDRE[#All],6,FALSE))</f>
        <v>Fora do DRE</v>
      </c>
      <c r="U2240" s="3" t="str">
        <f>IF(ISERROR(VLOOKUP(Base_Periodo1[[#This Row],[CONTA]],BaseContasDRE[#All],7,FALSE)),"Fora do DRE",VLOOKUP(Base_Periodo1[[#This Row],[CONTA]],BaseContasDRE[#All],7,FALSE))</f>
        <v>Fora do DRE</v>
      </c>
      <c r="V2240" s="3" t="str">
        <f>IF(Base_Periodo1[[#This Row],[Tipo_Linha]]="Fora do DRE","Fora do DRE","( "&amp;Base_Periodo1[[#This Row],[Tipo_Linha]]&amp;" ) "&amp;Base_Periodo1[[#This Row],[Filtro]])</f>
        <v>Fora do DRE</v>
      </c>
      <c r="W2240" s="3" t="str">
        <f>LEFT(Base_Periodo1[[#This Row],[CLASS]],3)</f>
        <v>2.1</v>
      </c>
    </row>
    <row r="2241" spans="1:23" hidden="1">
      <c r="A2241" s="3" t="str">
        <f t="shared" si="34"/>
        <v>Período 1</v>
      </c>
      <c r="B2241">
        <v>22546</v>
      </c>
      <c r="C2241" t="s">
        <v>1730</v>
      </c>
      <c r="D2241" t="s">
        <v>547</v>
      </c>
      <c r="E2241" s="3" t="str">
        <f>IF(LEN(Base_Periodo1[[#This Row],[CLASS]])&gt;=7,LEFT(Base_Periodo1[[#This Row],[CLASS]],7),"")</f>
        <v>2.1.2.1</v>
      </c>
      <c r="F2241" s="3" t="str">
        <f>VLOOKUP(Base_Periodo1[[#This Row],[Aux]],Base_Contas_Balanco[#All],2,FALSE)</f>
        <v>Fornecedores Cooperados</v>
      </c>
      <c r="G2241" s="1">
        <v>42865</v>
      </c>
      <c r="I2241" s="225">
        <v>11280</v>
      </c>
      <c r="J2241" s="225">
        <v>11675</v>
      </c>
      <c r="K2241" s="225">
        <v>395.00000000023283</v>
      </c>
      <c r="L22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395</v>
      </c>
      <c r="M2241" s="225">
        <f>ROUND(IF(AND(Base_Periodo1[[#This Row],[Tipo_Linha]]="-",Base_Periodo1[[#This Row],[TIPOSALDO]]="D"),Base_Periodo1[[#This Row],[SALDO_ATUAL]]*-1,Base_Periodo1[[#This Row],[SALDO_ATUAL]]),4)</f>
        <v>395</v>
      </c>
      <c r="N2241" t="s">
        <v>116</v>
      </c>
      <c r="O2241" t="s">
        <v>436</v>
      </c>
      <c r="P2241" t="s">
        <v>459</v>
      </c>
      <c r="Q2241">
        <v>7</v>
      </c>
      <c r="R2241" s="225">
        <f>Base_Periodo1[[#This Row],[CREDITOS]]-Base_Periodo1[[#This Row],[DEBITOS]]</f>
        <v>395</v>
      </c>
      <c r="S2241" s="3" t="str">
        <f>IF(ISERROR(VLOOKUP(Base_Periodo1[[#This Row],[CONTA]],BaseContasDRE[#All],4,FALSE)),"Fora do DRE",VLOOKUP(Base_Periodo1[[#This Row],[CONTA]],BaseContasDRE[#All],4,FALSE))</f>
        <v>Fora do DRE</v>
      </c>
      <c r="T2241" s="3" t="str">
        <f>IF(ISERROR(VLOOKUP(Base_Periodo1[[#This Row],[CONTA]],BaseContasDRE[#All],5,FALSE)),"Fora do DRE",VLOOKUP(Base_Periodo1[[#This Row],[CONTA]],BaseContasDRE[#All],6,FALSE))</f>
        <v>Fora do DRE</v>
      </c>
      <c r="U2241" s="3" t="str">
        <f>IF(ISERROR(VLOOKUP(Base_Periodo1[[#This Row],[CONTA]],BaseContasDRE[#All],7,FALSE)),"Fora do DRE",VLOOKUP(Base_Periodo1[[#This Row],[CONTA]],BaseContasDRE[#All],7,FALSE))</f>
        <v>Fora do DRE</v>
      </c>
      <c r="V2241" s="3" t="str">
        <f>IF(Base_Periodo1[[#This Row],[Tipo_Linha]]="Fora do DRE","Fora do DRE","( "&amp;Base_Periodo1[[#This Row],[Tipo_Linha]]&amp;" ) "&amp;Base_Periodo1[[#This Row],[Filtro]])</f>
        <v>Fora do DRE</v>
      </c>
      <c r="W2241" s="3" t="str">
        <f>LEFT(Base_Periodo1[[#This Row],[CLASS]],3)</f>
        <v>2.1</v>
      </c>
    </row>
    <row r="2242" spans="1:23" hidden="1">
      <c r="A2242" s="3" t="str">
        <f t="shared" si="34"/>
        <v>Período 1</v>
      </c>
      <c r="B2242">
        <v>26269</v>
      </c>
      <c r="C2242" t="s">
        <v>1730</v>
      </c>
      <c r="D2242" t="s">
        <v>548</v>
      </c>
      <c r="E2242" s="3" t="str">
        <f>IF(LEN(Base_Periodo1[[#This Row],[CLASS]])&gt;=7,LEFT(Base_Periodo1[[#This Row],[CLASS]],7),"")</f>
        <v>2.1.2.1</v>
      </c>
      <c r="F2242" s="3" t="str">
        <f>VLOOKUP(Base_Periodo1[[#This Row],[Aux]],Base_Contas_Balanco[#All],2,FALSE)</f>
        <v>Fornecedores Cooperados</v>
      </c>
      <c r="G2242" s="1">
        <v>42878</v>
      </c>
      <c r="I2242" s="225">
        <v>22332.400000000001</v>
      </c>
      <c r="J2242" s="225">
        <v>22332.400000000001</v>
      </c>
      <c r="K2242" s="225">
        <v>-1.7462298274040222E-10</v>
      </c>
      <c r="L22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42" s="225">
        <f>ROUND(IF(AND(Base_Periodo1[[#This Row],[Tipo_Linha]]="-",Base_Periodo1[[#This Row],[TIPOSALDO]]="D"),Base_Periodo1[[#This Row],[SALDO_ATUAL]]*-1,Base_Periodo1[[#This Row],[SALDO_ATUAL]]),4)</f>
        <v>0</v>
      </c>
      <c r="N2242" t="s">
        <v>116</v>
      </c>
      <c r="O2242" t="s">
        <v>436</v>
      </c>
      <c r="P2242" t="s">
        <v>436</v>
      </c>
      <c r="Q2242">
        <v>7</v>
      </c>
      <c r="R2242" s="225">
        <f>Base_Periodo1[[#This Row],[CREDITOS]]-Base_Periodo1[[#This Row],[DEBITOS]]</f>
        <v>0</v>
      </c>
      <c r="S2242" s="3" t="str">
        <f>IF(ISERROR(VLOOKUP(Base_Periodo1[[#This Row],[CONTA]],BaseContasDRE[#All],4,FALSE)),"Fora do DRE",VLOOKUP(Base_Periodo1[[#This Row],[CONTA]],BaseContasDRE[#All],4,FALSE))</f>
        <v>Fora do DRE</v>
      </c>
      <c r="T2242" s="3" t="str">
        <f>IF(ISERROR(VLOOKUP(Base_Periodo1[[#This Row],[CONTA]],BaseContasDRE[#All],5,FALSE)),"Fora do DRE",VLOOKUP(Base_Periodo1[[#This Row],[CONTA]],BaseContasDRE[#All],6,FALSE))</f>
        <v>Fora do DRE</v>
      </c>
      <c r="U2242" s="3" t="str">
        <f>IF(ISERROR(VLOOKUP(Base_Periodo1[[#This Row],[CONTA]],BaseContasDRE[#All],7,FALSE)),"Fora do DRE",VLOOKUP(Base_Periodo1[[#This Row],[CONTA]],BaseContasDRE[#All],7,FALSE))</f>
        <v>Fora do DRE</v>
      </c>
      <c r="V2242" s="3" t="str">
        <f>IF(Base_Periodo1[[#This Row],[Tipo_Linha]]="Fora do DRE","Fora do DRE","( "&amp;Base_Periodo1[[#This Row],[Tipo_Linha]]&amp;" ) "&amp;Base_Periodo1[[#This Row],[Filtro]])</f>
        <v>Fora do DRE</v>
      </c>
      <c r="W2242" s="3" t="str">
        <f>LEFT(Base_Periodo1[[#This Row],[CLASS]],3)</f>
        <v>2.1</v>
      </c>
    </row>
    <row r="2243" spans="1:23" hidden="1">
      <c r="A2243" s="3" t="str">
        <f t="shared" si="34"/>
        <v>Período 1</v>
      </c>
      <c r="B2243">
        <v>3389</v>
      </c>
      <c r="C2243" t="s">
        <v>1730</v>
      </c>
      <c r="D2243" t="s">
        <v>552</v>
      </c>
      <c r="E2243" s="3" t="str">
        <f>IF(LEN(Base_Periodo1[[#This Row],[CLASS]])&gt;=7,LEFT(Base_Periodo1[[#This Row],[CLASS]],7),"")</f>
        <v>2.1.2.1</v>
      </c>
      <c r="F2243" s="3" t="str">
        <f>VLOOKUP(Base_Periodo1[[#This Row],[Aux]],Base_Contas_Balanco[#All],2,FALSE)</f>
        <v>Fornecedores Cooperados</v>
      </c>
      <c r="G2243" s="1">
        <v>42880</v>
      </c>
      <c r="I2243" s="225">
        <v>2574.59</v>
      </c>
      <c r="J2243" s="225">
        <v>9145.2999999999993</v>
      </c>
      <c r="K2243" s="225">
        <v>6570.7100000004648</v>
      </c>
      <c r="L22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6570.71</v>
      </c>
      <c r="M2243" s="225">
        <f>ROUND(IF(AND(Base_Periodo1[[#This Row],[Tipo_Linha]]="-",Base_Periodo1[[#This Row],[TIPOSALDO]]="D"),Base_Periodo1[[#This Row],[SALDO_ATUAL]]*-1,Base_Periodo1[[#This Row],[SALDO_ATUAL]]),4)</f>
        <v>6570.71</v>
      </c>
      <c r="N2243" t="s">
        <v>116</v>
      </c>
      <c r="O2243" t="s">
        <v>436</v>
      </c>
      <c r="P2243" t="s">
        <v>459</v>
      </c>
      <c r="Q2243">
        <v>7</v>
      </c>
      <c r="R2243" s="225">
        <f>Base_Periodo1[[#This Row],[CREDITOS]]-Base_Periodo1[[#This Row],[DEBITOS]]</f>
        <v>6570.7099999999991</v>
      </c>
      <c r="S2243" s="3" t="str">
        <f>IF(ISERROR(VLOOKUP(Base_Periodo1[[#This Row],[CONTA]],BaseContasDRE[#All],4,FALSE)),"Fora do DRE",VLOOKUP(Base_Periodo1[[#This Row],[CONTA]],BaseContasDRE[#All],4,FALSE))</f>
        <v>Fora do DRE</v>
      </c>
      <c r="T2243" s="3" t="str">
        <f>IF(ISERROR(VLOOKUP(Base_Periodo1[[#This Row],[CONTA]],BaseContasDRE[#All],5,FALSE)),"Fora do DRE",VLOOKUP(Base_Periodo1[[#This Row],[CONTA]],BaseContasDRE[#All],6,FALSE))</f>
        <v>Fora do DRE</v>
      </c>
      <c r="U2243" s="3" t="str">
        <f>IF(ISERROR(VLOOKUP(Base_Periodo1[[#This Row],[CONTA]],BaseContasDRE[#All],7,FALSE)),"Fora do DRE",VLOOKUP(Base_Periodo1[[#This Row],[CONTA]],BaseContasDRE[#All],7,FALSE))</f>
        <v>Fora do DRE</v>
      </c>
      <c r="V2243" s="3" t="str">
        <f>IF(Base_Periodo1[[#This Row],[Tipo_Linha]]="Fora do DRE","Fora do DRE","( "&amp;Base_Periodo1[[#This Row],[Tipo_Linha]]&amp;" ) "&amp;Base_Periodo1[[#This Row],[Filtro]])</f>
        <v>Fora do DRE</v>
      </c>
      <c r="W2243" s="3" t="str">
        <f>LEFT(Base_Periodo1[[#This Row],[CLASS]],3)</f>
        <v>2.1</v>
      </c>
    </row>
    <row r="2244" spans="1:23" hidden="1">
      <c r="A2244" s="3" t="str">
        <f t="shared" si="34"/>
        <v>Período 1</v>
      </c>
      <c r="B2244">
        <v>55622</v>
      </c>
      <c r="C2244" t="s">
        <v>1730</v>
      </c>
      <c r="D2244" t="s">
        <v>6836</v>
      </c>
      <c r="E2244" s="3" t="str">
        <f>IF(LEN(Base_Periodo1[[#This Row],[CLASS]])&gt;=7,LEFT(Base_Periodo1[[#This Row],[CLASS]],7),"")</f>
        <v>2.1.2.1</v>
      </c>
      <c r="F2244" s="3" t="str">
        <f>VLOOKUP(Base_Periodo1[[#This Row],[Aux]],Base_Contas_Balanco[#All],2,FALSE)</f>
        <v>Fornecedores Cooperados</v>
      </c>
      <c r="G2244" s="1">
        <v>42866</v>
      </c>
      <c r="I2244" s="225">
        <v>32075.47</v>
      </c>
      <c r="J2244" s="225">
        <v>32075.47</v>
      </c>
      <c r="K2244" s="225">
        <v>0</v>
      </c>
      <c r="L22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44" s="225">
        <f>ROUND(IF(AND(Base_Periodo1[[#This Row],[Tipo_Linha]]="-",Base_Periodo1[[#This Row],[TIPOSALDO]]="D"),Base_Periodo1[[#This Row],[SALDO_ATUAL]]*-1,Base_Periodo1[[#This Row],[SALDO_ATUAL]]),4)</f>
        <v>0</v>
      </c>
      <c r="N2244" t="s">
        <v>116</v>
      </c>
      <c r="O2244" t="s">
        <v>436</v>
      </c>
      <c r="P2244" t="s">
        <v>436</v>
      </c>
      <c r="Q2244">
        <v>7</v>
      </c>
      <c r="R2244" s="225">
        <f>Base_Periodo1[[#This Row],[CREDITOS]]-Base_Periodo1[[#This Row],[DEBITOS]]</f>
        <v>0</v>
      </c>
      <c r="S2244" s="3" t="str">
        <f>IF(ISERROR(VLOOKUP(Base_Periodo1[[#This Row],[CONTA]],BaseContasDRE[#All],4,FALSE)),"Fora do DRE",VLOOKUP(Base_Periodo1[[#This Row],[CONTA]],BaseContasDRE[#All],4,FALSE))</f>
        <v>Fora do DRE</v>
      </c>
      <c r="T2244" s="3" t="str">
        <f>IF(ISERROR(VLOOKUP(Base_Periodo1[[#This Row],[CONTA]],BaseContasDRE[#All],5,FALSE)),"Fora do DRE",VLOOKUP(Base_Periodo1[[#This Row],[CONTA]],BaseContasDRE[#All],6,FALSE))</f>
        <v>Fora do DRE</v>
      </c>
      <c r="U2244" s="3" t="str">
        <f>IF(ISERROR(VLOOKUP(Base_Periodo1[[#This Row],[CONTA]],BaseContasDRE[#All],7,FALSE)),"Fora do DRE",VLOOKUP(Base_Periodo1[[#This Row],[CONTA]],BaseContasDRE[#All],7,FALSE))</f>
        <v>Fora do DRE</v>
      </c>
      <c r="V2244" s="3" t="str">
        <f>IF(Base_Periodo1[[#This Row],[Tipo_Linha]]="Fora do DRE","Fora do DRE","( "&amp;Base_Periodo1[[#This Row],[Tipo_Linha]]&amp;" ) "&amp;Base_Periodo1[[#This Row],[Filtro]])</f>
        <v>Fora do DRE</v>
      </c>
      <c r="W2244" s="3" t="str">
        <f>LEFT(Base_Periodo1[[#This Row],[CLASS]],3)</f>
        <v>2.1</v>
      </c>
    </row>
    <row r="2245" spans="1:23" hidden="1">
      <c r="A2245" s="3" t="str">
        <f t="shared" si="34"/>
        <v>Período 1</v>
      </c>
      <c r="B2245">
        <v>47295</v>
      </c>
      <c r="C2245" t="s">
        <v>1730</v>
      </c>
      <c r="D2245" t="s">
        <v>553</v>
      </c>
      <c r="E2245" s="3" t="str">
        <f>IF(LEN(Base_Periodo1[[#This Row],[CLASS]])&gt;=7,LEFT(Base_Periodo1[[#This Row],[CLASS]],7),"")</f>
        <v>2.1.2.1</v>
      </c>
      <c r="F2245" s="3" t="str">
        <f>VLOOKUP(Base_Periodo1[[#This Row],[Aux]],Base_Contas_Balanco[#All],2,FALSE)</f>
        <v>Fornecedores Cooperados</v>
      </c>
      <c r="G2245" s="1">
        <v>42879</v>
      </c>
      <c r="I2245" s="225">
        <v>9842.18</v>
      </c>
      <c r="J2245" s="225">
        <v>9842.18</v>
      </c>
      <c r="K2245" s="225">
        <v>0</v>
      </c>
      <c r="L22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45" s="225">
        <f>ROUND(IF(AND(Base_Periodo1[[#This Row],[Tipo_Linha]]="-",Base_Periodo1[[#This Row],[TIPOSALDO]]="D"),Base_Periodo1[[#This Row],[SALDO_ATUAL]]*-1,Base_Periodo1[[#This Row],[SALDO_ATUAL]]),4)</f>
        <v>0</v>
      </c>
      <c r="N2245" t="s">
        <v>116</v>
      </c>
      <c r="O2245" t="s">
        <v>436</v>
      </c>
      <c r="P2245" t="s">
        <v>436</v>
      </c>
      <c r="Q2245">
        <v>7</v>
      </c>
      <c r="R2245" s="225">
        <f>Base_Periodo1[[#This Row],[CREDITOS]]-Base_Periodo1[[#This Row],[DEBITOS]]</f>
        <v>0</v>
      </c>
      <c r="S2245" s="3" t="str">
        <f>IF(ISERROR(VLOOKUP(Base_Periodo1[[#This Row],[CONTA]],BaseContasDRE[#All],4,FALSE)),"Fora do DRE",VLOOKUP(Base_Periodo1[[#This Row],[CONTA]],BaseContasDRE[#All],4,FALSE))</f>
        <v>Fora do DRE</v>
      </c>
      <c r="T2245" s="3" t="str">
        <f>IF(ISERROR(VLOOKUP(Base_Periodo1[[#This Row],[CONTA]],BaseContasDRE[#All],5,FALSE)),"Fora do DRE",VLOOKUP(Base_Periodo1[[#This Row],[CONTA]],BaseContasDRE[#All],6,FALSE))</f>
        <v>Fora do DRE</v>
      </c>
      <c r="U2245" s="3" t="str">
        <f>IF(ISERROR(VLOOKUP(Base_Periodo1[[#This Row],[CONTA]],BaseContasDRE[#All],7,FALSE)),"Fora do DRE",VLOOKUP(Base_Periodo1[[#This Row],[CONTA]],BaseContasDRE[#All],7,FALSE))</f>
        <v>Fora do DRE</v>
      </c>
      <c r="V2245" s="3" t="str">
        <f>IF(Base_Periodo1[[#This Row],[Tipo_Linha]]="Fora do DRE","Fora do DRE","( "&amp;Base_Periodo1[[#This Row],[Tipo_Linha]]&amp;" ) "&amp;Base_Periodo1[[#This Row],[Filtro]])</f>
        <v>Fora do DRE</v>
      </c>
      <c r="W2245" s="3" t="str">
        <f>LEFT(Base_Periodo1[[#This Row],[CLASS]],3)</f>
        <v>2.1</v>
      </c>
    </row>
    <row r="2246" spans="1:23" hidden="1">
      <c r="A2246" s="3" t="str">
        <f t="shared" ref="A2246:A2309" si="35">"Período 1"</f>
        <v>Período 1</v>
      </c>
      <c r="B2246">
        <v>2317</v>
      </c>
      <c r="C2246" t="s">
        <v>1730</v>
      </c>
      <c r="D2246" t="s">
        <v>554</v>
      </c>
      <c r="E2246" s="3" t="str">
        <f>IF(LEN(Base_Periodo1[[#This Row],[CLASS]])&gt;=7,LEFT(Base_Periodo1[[#This Row],[CLASS]],7),"")</f>
        <v>2.1.2.1</v>
      </c>
      <c r="F2246" s="3" t="str">
        <f>VLOOKUP(Base_Periodo1[[#This Row],[Aux]],Base_Contas_Balanco[#All],2,FALSE)</f>
        <v>Fornecedores Cooperados</v>
      </c>
      <c r="G2246" s="1">
        <v>42864</v>
      </c>
      <c r="I2246" s="225">
        <v>15527.83</v>
      </c>
      <c r="J2246" s="225">
        <v>15527.83</v>
      </c>
      <c r="K2246" s="225">
        <v>5.8207660913467407E-11</v>
      </c>
      <c r="L22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46" s="225">
        <f>ROUND(IF(AND(Base_Periodo1[[#This Row],[Tipo_Linha]]="-",Base_Periodo1[[#This Row],[TIPOSALDO]]="D"),Base_Periodo1[[#This Row],[SALDO_ATUAL]]*-1,Base_Periodo1[[#This Row],[SALDO_ATUAL]]),4)</f>
        <v>0</v>
      </c>
      <c r="N2246" t="s">
        <v>116</v>
      </c>
      <c r="O2246" t="s">
        <v>436</v>
      </c>
      <c r="P2246" t="s">
        <v>436</v>
      </c>
      <c r="Q2246">
        <v>7</v>
      </c>
      <c r="R2246" s="225">
        <f>Base_Periodo1[[#This Row],[CREDITOS]]-Base_Periodo1[[#This Row],[DEBITOS]]</f>
        <v>0</v>
      </c>
      <c r="S2246" s="3" t="str">
        <f>IF(ISERROR(VLOOKUP(Base_Periodo1[[#This Row],[CONTA]],BaseContasDRE[#All],4,FALSE)),"Fora do DRE",VLOOKUP(Base_Periodo1[[#This Row],[CONTA]],BaseContasDRE[#All],4,FALSE))</f>
        <v>Fora do DRE</v>
      </c>
      <c r="T2246" s="3" t="str">
        <f>IF(ISERROR(VLOOKUP(Base_Periodo1[[#This Row],[CONTA]],BaseContasDRE[#All],5,FALSE)),"Fora do DRE",VLOOKUP(Base_Periodo1[[#This Row],[CONTA]],BaseContasDRE[#All],6,FALSE))</f>
        <v>Fora do DRE</v>
      </c>
      <c r="U2246" s="3" t="str">
        <f>IF(ISERROR(VLOOKUP(Base_Periodo1[[#This Row],[CONTA]],BaseContasDRE[#All],7,FALSE)),"Fora do DRE",VLOOKUP(Base_Periodo1[[#This Row],[CONTA]],BaseContasDRE[#All],7,FALSE))</f>
        <v>Fora do DRE</v>
      </c>
      <c r="V2246" s="3" t="str">
        <f>IF(Base_Periodo1[[#This Row],[Tipo_Linha]]="Fora do DRE","Fora do DRE","( "&amp;Base_Periodo1[[#This Row],[Tipo_Linha]]&amp;" ) "&amp;Base_Periodo1[[#This Row],[Filtro]])</f>
        <v>Fora do DRE</v>
      </c>
      <c r="W2246" s="3" t="str">
        <f>LEFT(Base_Periodo1[[#This Row],[CLASS]],3)</f>
        <v>2.1</v>
      </c>
    </row>
    <row r="2247" spans="1:23" hidden="1">
      <c r="A2247" s="3" t="str">
        <f t="shared" si="35"/>
        <v>Período 1</v>
      </c>
      <c r="B2247">
        <v>5077</v>
      </c>
      <c r="C2247" t="s">
        <v>1730</v>
      </c>
      <c r="D2247" t="s">
        <v>5264</v>
      </c>
      <c r="E2247" s="3" t="str">
        <f>IF(LEN(Base_Periodo1[[#This Row],[CLASS]])&gt;=7,LEFT(Base_Periodo1[[#This Row],[CLASS]],7),"")</f>
        <v>2.1.2.1</v>
      </c>
      <c r="F2247" s="3" t="str">
        <f>VLOOKUP(Base_Periodo1[[#This Row],[Aux]],Base_Contas_Balanco[#All],2,FALSE)</f>
        <v>Fornecedores Cooperados</v>
      </c>
      <c r="G2247" s="1">
        <v>42877</v>
      </c>
      <c r="I2247" s="225">
        <v>40623.5</v>
      </c>
      <c r="J2247" s="225">
        <v>40623.5</v>
      </c>
      <c r="K2247" s="225">
        <v>0</v>
      </c>
      <c r="L22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47" s="225">
        <f>ROUND(IF(AND(Base_Periodo1[[#This Row],[Tipo_Linha]]="-",Base_Periodo1[[#This Row],[TIPOSALDO]]="D"),Base_Periodo1[[#This Row],[SALDO_ATUAL]]*-1,Base_Periodo1[[#This Row],[SALDO_ATUAL]]),4)</f>
        <v>0</v>
      </c>
      <c r="N2247" t="s">
        <v>116</v>
      </c>
      <c r="O2247" t="s">
        <v>436</v>
      </c>
      <c r="P2247" t="s">
        <v>436</v>
      </c>
      <c r="Q2247">
        <v>7</v>
      </c>
      <c r="R2247" s="225">
        <f>Base_Periodo1[[#This Row],[CREDITOS]]-Base_Periodo1[[#This Row],[DEBITOS]]</f>
        <v>0</v>
      </c>
      <c r="S2247" s="3" t="str">
        <f>IF(ISERROR(VLOOKUP(Base_Periodo1[[#This Row],[CONTA]],BaseContasDRE[#All],4,FALSE)),"Fora do DRE",VLOOKUP(Base_Periodo1[[#This Row],[CONTA]],BaseContasDRE[#All],4,FALSE))</f>
        <v>Fora do DRE</v>
      </c>
      <c r="T2247" s="3" t="str">
        <f>IF(ISERROR(VLOOKUP(Base_Periodo1[[#This Row],[CONTA]],BaseContasDRE[#All],5,FALSE)),"Fora do DRE",VLOOKUP(Base_Periodo1[[#This Row],[CONTA]],BaseContasDRE[#All],6,FALSE))</f>
        <v>Fora do DRE</v>
      </c>
      <c r="U2247" s="3" t="str">
        <f>IF(ISERROR(VLOOKUP(Base_Periodo1[[#This Row],[CONTA]],BaseContasDRE[#All],7,FALSE)),"Fora do DRE",VLOOKUP(Base_Periodo1[[#This Row],[CONTA]],BaseContasDRE[#All],7,FALSE))</f>
        <v>Fora do DRE</v>
      </c>
      <c r="V2247" s="3" t="str">
        <f>IF(Base_Periodo1[[#This Row],[Tipo_Linha]]="Fora do DRE","Fora do DRE","( "&amp;Base_Periodo1[[#This Row],[Tipo_Linha]]&amp;" ) "&amp;Base_Periodo1[[#This Row],[Filtro]])</f>
        <v>Fora do DRE</v>
      </c>
      <c r="W2247" s="3" t="str">
        <f>LEFT(Base_Periodo1[[#This Row],[CLASS]],3)</f>
        <v>2.1</v>
      </c>
    </row>
    <row r="2248" spans="1:23" hidden="1">
      <c r="A2248" s="3" t="str">
        <f t="shared" si="35"/>
        <v>Período 1</v>
      </c>
      <c r="B2248">
        <v>54573</v>
      </c>
      <c r="C2248" t="s">
        <v>1730</v>
      </c>
      <c r="D2248" t="s">
        <v>5130</v>
      </c>
      <c r="E2248" s="3" t="str">
        <f>IF(LEN(Base_Periodo1[[#This Row],[CLASS]])&gt;=7,LEFT(Base_Periodo1[[#This Row],[CLASS]],7),"")</f>
        <v>2.1.2.1</v>
      </c>
      <c r="F2248" s="3" t="str">
        <f>VLOOKUP(Base_Periodo1[[#This Row],[Aux]],Base_Contas_Balanco[#All],2,FALSE)</f>
        <v>Fornecedores Cooperados</v>
      </c>
      <c r="G2248" s="1">
        <v>42842</v>
      </c>
      <c r="H2248" s="225">
        <v>258.38000000000102</v>
      </c>
      <c r="I2248" s="225">
        <v>0</v>
      </c>
      <c r="J2248" s="225">
        <v>0</v>
      </c>
      <c r="K2248" s="225">
        <v>258.38000000000102</v>
      </c>
      <c r="L22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258.38</v>
      </c>
      <c r="M2248" s="225">
        <f>ROUND(IF(AND(Base_Periodo1[[#This Row],[Tipo_Linha]]="-",Base_Periodo1[[#This Row],[TIPOSALDO]]="D"),Base_Periodo1[[#This Row],[SALDO_ATUAL]]*-1,Base_Periodo1[[#This Row],[SALDO_ATUAL]]),4)</f>
        <v>258.38</v>
      </c>
      <c r="N2248" t="s">
        <v>116</v>
      </c>
      <c r="O2248" t="s">
        <v>459</v>
      </c>
      <c r="P2248" t="s">
        <v>459</v>
      </c>
      <c r="Q2248">
        <v>7</v>
      </c>
      <c r="R2248" s="225">
        <f>Base_Periodo1[[#This Row],[CREDITOS]]-Base_Periodo1[[#This Row],[DEBITOS]]</f>
        <v>0</v>
      </c>
      <c r="S2248" s="3" t="str">
        <f>IF(ISERROR(VLOOKUP(Base_Periodo1[[#This Row],[CONTA]],BaseContasDRE[#All],4,FALSE)),"Fora do DRE",VLOOKUP(Base_Periodo1[[#This Row],[CONTA]],BaseContasDRE[#All],4,FALSE))</f>
        <v>Fora do DRE</v>
      </c>
      <c r="T2248" s="3" t="str">
        <f>IF(ISERROR(VLOOKUP(Base_Periodo1[[#This Row],[CONTA]],BaseContasDRE[#All],5,FALSE)),"Fora do DRE",VLOOKUP(Base_Periodo1[[#This Row],[CONTA]],BaseContasDRE[#All],6,FALSE))</f>
        <v>Fora do DRE</v>
      </c>
      <c r="U2248" s="3" t="str">
        <f>IF(ISERROR(VLOOKUP(Base_Periodo1[[#This Row],[CONTA]],BaseContasDRE[#All],7,FALSE)),"Fora do DRE",VLOOKUP(Base_Periodo1[[#This Row],[CONTA]],BaseContasDRE[#All],7,FALSE))</f>
        <v>Fora do DRE</v>
      </c>
      <c r="V2248" s="3" t="str">
        <f>IF(Base_Periodo1[[#This Row],[Tipo_Linha]]="Fora do DRE","Fora do DRE","( "&amp;Base_Periodo1[[#This Row],[Tipo_Linha]]&amp;" ) "&amp;Base_Periodo1[[#This Row],[Filtro]])</f>
        <v>Fora do DRE</v>
      </c>
      <c r="W2248" s="3" t="str">
        <f>LEFT(Base_Periodo1[[#This Row],[CLASS]],3)</f>
        <v>2.1</v>
      </c>
    </row>
    <row r="2249" spans="1:23" hidden="1">
      <c r="A2249" s="3" t="str">
        <f t="shared" si="35"/>
        <v>Período 1</v>
      </c>
      <c r="B2249">
        <v>27191</v>
      </c>
      <c r="C2249" t="s">
        <v>1730</v>
      </c>
      <c r="D2249" t="s">
        <v>6837</v>
      </c>
      <c r="E2249" s="3" t="str">
        <f>IF(LEN(Base_Periodo1[[#This Row],[CLASS]])&gt;=7,LEFT(Base_Periodo1[[#This Row],[CLASS]],7),"")</f>
        <v>2.1.2.1</v>
      </c>
      <c r="F2249" s="3" t="str">
        <f>VLOOKUP(Base_Periodo1[[#This Row],[Aux]],Base_Contas_Balanco[#All],2,FALSE)</f>
        <v>Fornecedores Cooperados</v>
      </c>
      <c r="G2249" s="1">
        <v>42886</v>
      </c>
      <c r="I2249" s="225">
        <v>8881.6</v>
      </c>
      <c r="J2249" s="225">
        <v>8881.6</v>
      </c>
      <c r="K2249" s="225">
        <v>2.9103830456733704E-11</v>
      </c>
      <c r="L22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49" s="225">
        <f>ROUND(IF(AND(Base_Periodo1[[#This Row],[Tipo_Linha]]="-",Base_Periodo1[[#This Row],[TIPOSALDO]]="D"),Base_Periodo1[[#This Row],[SALDO_ATUAL]]*-1,Base_Periodo1[[#This Row],[SALDO_ATUAL]]),4)</f>
        <v>0</v>
      </c>
      <c r="N2249" t="s">
        <v>116</v>
      </c>
      <c r="O2249" t="s">
        <v>436</v>
      </c>
      <c r="P2249" t="s">
        <v>436</v>
      </c>
      <c r="Q2249">
        <v>7</v>
      </c>
      <c r="R2249" s="225">
        <f>Base_Periodo1[[#This Row],[CREDITOS]]-Base_Periodo1[[#This Row],[DEBITOS]]</f>
        <v>0</v>
      </c>
      <c r="S2249" s="3" t="str">
        <f>IF(ISERROR(VLOOKUP(Base_Periodo1[[#This Row],[CONTA]],BaseContasDRE[#All],4,FALSE)),"Fora do DRE",VLOOKUP(Base_Periodo1[[#This Row],[CONTA]],BaseContasDRE[#All],4,FALSE))</f>
        <v>Fora do DRE</v>
      </c>
      <c r="T2249" s="3" t="str">
        <f>IF(ISERROR(VLOOKUP(Base_Periodo1[[#This Row],[CONTA]],BaseContasDRE[#All],5,FALSE)),"Fora do DRE",VLOOKUP(Base_Periodo1[[#This Row],[CONTA]],BaseContasDRE[#All],6,FALSE))</f>
        <v>Fora do DRE</v>
      </c>
      <c r="U2249" s="3" t="str">
        <f>IF(ISERROR(VLOOKUP(Base_Periodo1[[#This Row],[CONTA]],BaseContasDRE[#All],7,FALSE)),"Fora do DRE",VLOOKUP(Base_Periodo1[[#This Row],[CONTA]],BaseContasDRE[#All],7,FALSE))</f>
        <v>Fora do DRE</v>
      </c>
      <c r="V2249" s="3" t="str">
        <f>IF(Base_Periodo1[[#This Row],[Tipo_Linha]]="Fora do DRE","Fora do DRE","( "&amp;Base_Periodo1[[#This Row],[Tipo_Linha]]&amp;" ) "&amp;Base_Periodo1[[#This Row],[Filtro]])</f>
        <v>Fora do DRE</v>
      </c>
      <c r="W2249" s="3" t="str">
        <f>LEFT(Base_Periodo1[[#This Row],[CLASS]],3)</f>
        <v>2.1</v>
      </c>
    </row>
    <row r="2250" spans="1:23" hidden="1">
      <c r="A2250" s="3" t="str">
        <f t="shared" si="35"/>
        <v>Período 1</v>
      </c>
      <c r="B2250">
        <v>40182</v>
      </c>
      <c r="C2250" t="s">
        <v>1730</v>
      </c>
      <c r="D2250" t="s">
        <v>4988</v>
      </c>
      <c r="E2250" s="3" t="str">
        <f>IF(LEN(Base_Periodo1[[#This Row],[CLASS]])&gt;=7,LEFT(Base_Periodo1[[#This Row],[CLASS]],7),"")</f>
        <v>2.1.2.1</v>
      </c>
      <c r="F2250" s="3" t="str">
        <f>VLOOKUP(Base_Periodo1[[#This Row],[Aux]],Base_Contas_Balanco[#All],2,FALSE)</f>
        <v>Fornecedores Cooperados</v>
      </c>
      <c r="G2250" s="1">
        <v>42867</v>
      </c>
      <c r="H2250" s="225">
        <v>7636.7199999999721</v>
      </c>
      <c r="I2250" s="225">
        <v>10756.720000000001</v>
      </c>
      <c r="J2250" s="225">
        <v>3120</v>
      </c>
      <c r="K2250" s="225">
        <v>2.9103830456733704E-11</v>
      </c>
      <c r="L22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50" s="225">
        <f>ROUND(IF(AND(Base_Periodo1[[#This Row],[Tipo_Linha]]="-",Base_Periodo1[[#This Row],[TIPOSALDO]]="D"),Base_Periodo1[[#This Row],[SALDO_ATUAL]]*-1,Base_Periodo1[[#This Row],[SALDO_ATUAL]]),4)</f>
        <v>0</v>
      </c>
      <c r="N2250" t="s">
        <v>116</v>
      </c>
      <c r="O2250" t="s">
        <v>459</v>
      </c>
      <c r="P2250" t="s">
        <v>436</v>
      </c>
      <c r="Q2250">
        <v>7</v>
      </c>
      <c r="R2250" s="225">
        <f>Base_Periodo1[[#This Row],[CREDITOS]]-Base_Periodo1[[#This Row],[DEBITOS]]</f>
        <v>-7636.7200000000012</v>
      </c>
      <c r="S2250" s="3" t="str">
        <f>IF(ISERROR(VLOOKUP(Base_Periodo1[[#This Row],[CONTA]],BaseContasDRE[#All],4,FALSE)),"Fora do DRE",VLOOKUP(Base_Periodo1[[#This Row],[CONTA]],BaseContasDRE[#All],4,FALSE))</f>
        <v>Fora do DRE</v>
      </c>
      <c r="T2250" s="3" t="str">
        <f>IF(ISERROR(VLOOKUP(Base_Periodo1[[#This Row],[CONTA]],BaseContasDRE[#All],5,FALSE)),"Fora do DRE",VLOOKUP(Base_Periodo1[[#This Row],[CONTA]],BaseContasDRE[#All],6,FALSE))</f>
        <v>Fora do DRE</v>
      </c>
      <c r="U2250" s="3" t="str">
        <f>IF(ISERROR(VLOOKUP(Base_Periodo1[[#This Row],[CONTA]],BaseContasDRE[#All],7,FALSE)),"Fora do DRE",VLOOKUP(Base_Periodo1[[#This Row],[CONTA]],BaseContasDRE[#All],7,FALSE))</f>
        <v>Fora do DRE</v>
      </c>
      <c r="V2250" s="3" t="str">
        <f>IF(Base_Periodo1[[#This Row],[Tipo_Linha]]="Fora do DRE","Fora do DRE","( "&amp;Base_Periodo1[[#This Row],[Tipo_Linha]]&amp;" ) "&amp;Base_Periodo1[[#This Row],[Filtro]])</f>
        <v>Fora do DRE</v>
      </c>
      <c r="W2250" s="3" t="str">
        <f>LEFT(Base_Periodo1[[#This Row],[CLASS]],3)</f>
        <v>2.1</v>
      </c>
    </row>
    <row r="2251" spans="1:23" hidden="1">
      <c r="A2251" s="3" t="str">
        <f t="shared" si="35"/>
        <v>Período 1</v>
      </c>
      <c r="B2251">
        <v>4449</v>
      </c>
      <c r="C2251" t="s">
        <v>1730</v>
      </c>
      <c r="D2251" t="s">
        <v>4902</v>
      </c>
      <c r="E2251" s="3" t="str">
        <f>IF(LEN(Base_Periodo1[[#This Row],[CLASS]])&gt;=7,LEFT(Base_Periodo1[[#This Row],[CLASS]],7),"")</f>
        <v>2.1.2.1</v>
      </c>
      <c r="F2251" s="3" t="str">
        <f>VLOOKUP(Base_Periodo1[[#This Row],[Aux]],Base_Contas_Balanco[#All],2,FALSE)</f>
        <v>Fornecedores Cooperados</v>
      </c>
      <c r="G2251" s="1">
        <v>42859</v>
      </c>
      <c r="I2251" s="225">
        <v>48000</v>
      </c>
      <c r="J2251" s="225">
        <v>48000</v>
      </c>
      <c r="K2251" s="225">
        <v>-2.3283064365386963E-10</v>
      </c>
      <c r="L22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51" s="225">
        <f>ROUND(IF(AND(Base_Periodo1[[#This Row],[Tipo_Linha]]="-",Base_Periodo1[[#This Row],[TIPOSALDO]]="D"),Base_Periodo1[[#This Row],[SALDO_ATUAL]]*-1,Base_Periodo1[[#This Row],[SALDO_ATUAL]]),4)</f>
        <v>0</v>
      </c>
      <c r="N2251" t="s">
        <v>116</v>
      </c>
      <c r="O2251" t="s">
        <v>436</v>
      </c>
      <c r="P2251" t="s">
        <v>436</v>
      </c>
      <c r="Q2251">
        <v>7</v>
      </c>
      <c r="R2251" s="225">
        <f>Base_Periodo1[[#This Row],[CREDITOS]]-Base_Periodo1[[#This Row],[DEBITOS]]</f>
        <v>0</v>
      </c>
      <c r="S2251" s="3" t="str">
        <f>IF(ISERROR(VLOOKUP(Base_Periodo1[[#This Row],[CONTA]],BaseContasDRE[#All],4,FALSE)),"Fora do DRE",VLOOKUP(Base_Periodo1[[#This Row],[CONTA]],BaseContasDRE[#All],4,FALSE))</f>
        <v>Fora do DRE</v>
      </c>
      <c r="T2251" s="3" t="str">
        <f>IF(ISERROR(VLOOKUP(Base_Periodo1[[#This Row],[CONTA]],BaseContasDRE[#All],5,FALSE)),"Fora do DRE",VLOOKUP(Base_Periodo1[[#This Row],[CONTA]],BaseContasDRE[#All],6,FALSE))</f>
        <v>Fora do DRE</v>
      </c>
      <c r="U2251" s="3" t="str">
        <f>IF(ISERROR(VLOOKUP(Base_Periodo1[[#This Row],[CONTA]],BaseContasDRE[#All],7,FALSE)),"Fora do DRE",VLOOKUP(Base_Periodo1[[#This Row],[CONTA]],BaseContasDRE[#All],7,FALSE))</f>
        <v>Fora do DRE</v>
      </c>
      <c r="V2251" s="3" t="str">
        <f>IF(Base_Periodo1[[#This Row],[Tipo_Linha]]="Fora do DRE","Fora do DRE","( "&amp;Base_Periodo1[[#This Row],[Tipo_Linha]]&amp;" ) "&amp;Base_Periodo1[[#This Row],[Filtro]])</f>
        <v>Fora do DRE</v>
      </c>
      <c r="W2251" s="3" t="str">
        <f>LEFT(Base_Periodo1[[#This Row],[CLASS]],3)</f>
        <v>2.1</v>
      </c>
    </row>
    <row r="2252" spans="1:23" hidden="1">
      <c r="A2252" s="3" t="str">
        <f t="shared" si="35"/>
        <v>Período 1</v>
      </c>
      <c r="B2252">
        <v>8707</v>
      </c>
      <c r="C2252" t="s">
        <v>1730</v>
      </c>
      <c r="D2252" t="s">
        <v>6838</v>
      </c>
      <c r="E2252" s="3" t="str">
        <f>IF(LEN(Base_Periodo1[[#This Row],[CLASS]])&gt;=7,LEFT(Base_Periodo1[[#This Row],[CLASS]],7),"")</f>
        <v>2.1.2.1</v>
      </c>
      <c r="F2252" s="3" t="str">
        <f>VLOOKUP(Base_Periodo1[[#This Row],[Aux]],Base_Contas_Balanco[#All],2,FALSE)</f>
        <v>Fornecedores Cooperados</v>
      </c>
      <c r="G2252" s="1">
        <v>42886</v>
      </c>
      <c r="I2252" s="225">
        <v>7289.63</v>
      </c>
      <c r="J2252" s="225">
        <v>7289.63</v>
      </c>
      <c r="K2252" s="225">
        <v>0</v>
      </c>
      <c r="L22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52" s="225">
        <f>ROUND(IF(AND(Base_Periodo1[[#This Row],[Tipo_Linha]]="-",Base_Periodo1[[#This Row],[TIPOSALDO]]="D"),Base_Periodo1[[#This Row],[SALDO_ATUAL]]*-1,Base_Periodo1[[#This Row],[SALDO_ATUAL]]),4)</f>
        <v>0</v>
      </c>
      <c r="N2252" t="s">
        <v>116</v>
      </c>
      <c r="O2252" t="s">
        <v>436</v>
      </c>
      <c r="P2252" t="s">
        <v>436</v>
      </c>
      <c r="Q2252">
        <v>7</v>
      </c>
      <c r="R2252" s="225">
        <f>Base_Periodo1[[#This Row],[CREDITOS]]-Base_Periodo1[[#This Row],[DEBITOS]]</f>
        <v>0</v>
      </c>
      <c r="S2252" s="3" t="str">
        <f>IF(ISERROR(VLOOKUP(Base_Periodo1[[#This Row],[CONTA]],BaseContasDRE[#All],4,FALSE)),"Fora do DRE",VLOOKUP(Base_Periodo1[[#This Row],[CONTA]],BaseContasDRE[#All],4,FALSE))</f>
        <v>Fora do DRE</v>
      </c>
      <c r="T2252" s="3" t="str">
        <f>IF(ISERROR(VLOOKUP(Base_Periodo1[[#This Row],[CONTA]],BaseContasDRE[#All],5,FALSE)),"Fora do DRE",VLOOKUP(Base_Periodo1[[#This Row],[CONTA]],BaseContasDRE[#All],6,FALSE))</f>
        <v>Fora do DRE</v>
      </c>
      <c r="U2252" s="3" t="str">
        <f>IF(ISERROR(VLOOKUP(Base_Periodo1[[#This Row],[CONTA]],BaseContasDRE[#All],7,FALSE)),"Fora do DRE",VLOOKUP(Base_Periodo1[[#This Row],[CONTA]],BaseContasDRE[#All],7,FALSE))</f>
        <v>Fora do DRE</v>
      </c>
      <c r="V2252" s="3" t="str">
        <f>IF(Base_Periodo1[[#This Row],[Tipo_Linha]]="Fora do DRE","Fora do DRE","( "&amp;Base_Periodo1[[#This Row],[Tipo_Linha]]&amp;" ) "&amp;Base_Periodo1[[#This Row],[Filtro]])</f>
        <v>Fora do DRE</v>
      </c>
      <c r="W2252" s="3" t="str">
        <f>LEFT(Base_Periodo1[[#This Row],[CLASS]],3)</f>
        <v>2.1</v>
      </c>
    </row>
    <row r="2253" spans="1:23" hidden="1">
      <c r="A2253" s="3" t="str">
        <f t="shared" si="35"/>
        <v>Período 1</v>
      </c>
      <c r="B2253">
        <v>2533</v>
      </c>
      <c r="C2253" t="s">
        <v>1730</v>
      </c>
      <c r="D2253" t="s">
        <v>4932</v>
      </c>
      <c r="E2253" s="3" t="str">
        <f>IF(LEN(Base_Periodo1[[#This Row],[CLASS]])&gt;=7,LEFT(Base_Periodo1[[#This Row],[CLASS]],7),"")</f>
        <v>2.1.2.1</v>
      </c>
      <c r="F2253" s="3" t="str">
        <f>VLOOKUP(Base_Periodo1[[#This Row],[Aux]],Base_Contas_Balanco[#All],2,FALSE)</f>
        <v>Fornecedores Cooperados</v>
      </c>
      <c r="G2253" s="1">
        <v>42877</v>
      </c>
      <c r="H2253" s="225">
        <v>1009934.1600000001</v>
      </c>
      <c r="I2253" s="225">
        <v>1019917.53</v>
      </c>
      <c r="J2253" s="225">
        <v>14782.37</v>
      </c>
      <c r="K2253" s="225">
        <v>4799.0000000001219</v>
      </c>
      <c r="L22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4799</v>
      </c>
      <c r="M2253" s="225">
        <f>ROUND(IF(AND(Base_Periodo1[[#This Row],[Tipo_Linha]]="-",Base_Periodo1[[#This Row],[TIPOSALDO]]="D"),Base_Periodo1[[#This Row],[SALDO_ATUAL]]*-1,Base_Periodo1[[#This Row],[SALDO_ATUAL]]),4)</f>
        <v>4799</v>
      </c>
      <c r="N2253" t="s">
        <v>116</v>
      </c>
      <c r="O2253" t="s">
        <v>459</v>
      </c>
      <c r="P2253" t="s">
        <v>459</v>
      </c>
      <c r="Q2253">
        <v>7</v>
      </c>
      <c r="R2253" s="225">
        <f>Base_Periodo1[[#This Row],[CREDITOS]]-Base_Periodo1[[#This Row],[DEBITOS]]</f>
        <v>-1005135.16</v>
      </c>
      <c r="S2253" s="3" t="str">
        <f>IF(ISERROR(VLOOKUP(Base_Periodo1[[#This Row],[CONTA]],BaseContasDRE[#All],4,FALSE)),"Fora do DRE",VLOOKUP(Base_Periodo1[[#This Row],[CONTA]],BaseContasDRE[#All],4,FALSE))</f>
        <v>Fora do DRE</v>
      </c>
      <c r="T2253" s="3" t="str">
        <f>IF(ISERROR(VLOOKUP(Base_Periodo1[[#This Row],[CONTA]],BaseContasDRE[#All],5,FALSE)),"Fora do DRE",VLOOKUP(Base_Periodo1[[#This Row],[CONTA]],BaseContasDRE[#All],6,FALSE))</f>
        <v>Fora do DRE</v>
      </c>
      <c r="U2253" s="3" t="str">
        <f>IF(ISERROR(VLOOKUP(Base_Periodo1[[#This Row],[CONTA]],BaseContasDRE[#All],7,FALSE)),"Fora do DRE",VLOOKUP(Base_Periodo1[[#This Row],[CONTA]],BaseContasDRE[#All],7,FALSE))</f>
        <v>Fora do DRE</v>
      </c>
      <c r="V2253" s="3" t="str">
        <f>IF(Base_Periodo1[[#This Row],[Tipo_Linha]]="Fora do DRE","Fora do DRE","( "&amp;Base_Periodo1[[#This Row],[Tipo_Linha]]&amp;" ) "&amp;Base_Periodo1[[#This Row],[Filtro]])</f>
        <v>Fora do DRE</v>
      </c>
      <c r="W2253" s="3" t="str">
        <f>LEFT(Base_Periodo1[[#This Row],[CLASS]],3)</f>
        <v>2.1</v>
      </c>
    </row>
    <row r="2254" spans="1:23" hidden="1">
      <c r="A2254" s="3" t="str">
        <f t="shared" si="35"/>
        <v>Período 1</v>
      </c>
      <c r="B2254">
        <v>2797</v>
      </c>
      <c r="C2254" t="s">
        <v>1730</v>
      </c>
      <c r="D2254" t="s">
        <v>4730</v>
      </c>
      <c r="E2254" s="3" t="str">
        <f>IF(LEN(Base_Periodo1[[#This Row],[CLASS]])&gt;=7,LEFT(Base_Periodo1[[#This Row],[CLASS]],7),"")</f>
        <v>2.1.2.1</v>
      </c>
      <c r="F2254" s="3" t="str">
        <f>VLOOKUP(Base_Periodo1[[#This Row],[Aux]],Base_Contas_Balanco[#All],2,FALSE)</f>
        <v>Fornecedores Cooperados</v>
      </c>
      <c r="G2254" s="1">
        <v>42865</v>
      </c>
      <c r="I2254" s="225">
        <v>9720.7699999999986</v>
      </c>
      <c r="J2254" s="225">
        <v>9720.77</v>
      </c>
      <c r="K2254" s="225">
        <v>-6.0026650317013264E-11</v>
      </c>
      <c r="L22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54" s="225">
        <f>ROUND(IF(AND(Base_Periodo1[[#This Row],[Tipo_Linha]]="-",Base_Periodo1[[#This Row],[TIPOSALDO]]="D"),Base_Periodo1[[#This Row],[SALDO_ATUAL]]*-1,Base_Periodo1[[#This Row],[SALDO_ATUAL]]),4)</f>
        <v>0</v>
      </c>
      <c r="N2254" t="s">
        <v>116</v>
      </c>
      <c r="O2254" t="s">
        <v>436</v>
      </c>
      <c r="P2254" t="s">
        <v>436</v>
      </c>
      <c r="Q2254">
        <v>7</v>
      </c>
      <c r="R2254" s="225">
        <f>Base_Periodo1[[#This Row],[CREDITOS]]-Base_Periodo1[[#This Row],[DEBITOS]]</f>
        <v>0</v>
      </c>
      <c r="S2254" s="3" t="str">
        <f>IF(ISERROR(VLOOKUP(Base_Periodo1[[#This Row],[CONTA]],BaseContasDRE[#All],4,FALSE)),"Fora do DRE",VLOOKUP(Base_Periodo1[[#This Row],[CONTA]],BaseContasDRE[#All],4,FALSE))</f>
        <v>Fora do DRE</v>
      </c>
      <c r="T2254" s="3" t="str">
        <f>IF(ISERROR(VLOOKUP(Base_Periodo1[[#This Row],[CONTA]],BaseContasDRE[#All],5,FALSE)),"Fora do DRE",VLOOKUP(Base_Periodo1[[#This Row],[CONTA]],BaseContasDRE[#All],6,FALSE))</f>
        <v>Fora do DRE</v>
      </c>
      <c r="U2254" s="3" t="str">
        <f>IF(ISERROR(VLOOKUP(Base_Periodo1[[#This Row],[CONTA]],BaseContasDRE[#All],7,FALSE)),"Fora do DRE",VLOOKUP(Base_Periodo1[[#This Row],[CONTA]],BaseContasDRE[#All],7,FALSE))</f>
        <v>Fora do DRE</v>
      </c>
      <c r="V2254" s="3" t="str">
        <f>IF(Base_Periodo1[[#This Row],[Tipo_Linha]]="Fora do DRE","Fora do DRE","( "&amp;Base_Periodo1[[#This Row],[Tipo_Linha]]&amp;" ) "&amp;Base_Periodo1[[#This Row],[Filtro]])</f>
        <v>Fora do DRE</v>
      </c>
      <c r="W2254" s="3" t="str">
        <f>LEFT(Base_Periodo1[[#This Row],[CLASS]],3)</f>
        <v>2.1</v>
      </c>
    </row>
    <row r="2255" spans="1:23" hidden="1">
      <c r="A2255" s="3" t="str">
        <f t="shared" si="35"/>
        <v>Período 1</v>
      </c>
      <c r="B2255">
        <v>2829</v>
      </c>
      <c r="C2255" t="s">
        <v>1730</v>
      </c>
      <c r="D2255" t="s">
        <v>556</v>
      </c>
      <c r="E2255" s="3" t="str">
        <f>IF(LEN(Base_Periodo1[[#This Row],[CLASS]])&gt;=7,LEFT(Base_Periodo1[[#This Row],[CLASS]],7),"")</f>
        <v>2.1.2.1</v>
      </c>
      <c r="F2255" s="3" t="str">
        <f>VLOOKUP(Base_Periodo1[[#This Row],[Aux]],Base_Contas_Balanco[#All],2,FALSE)</f>
        <v>Fornecedores Cooperados</v>
      </c>
      <c r="G2255" s="1">
        <v>42866</v>
      </c>
      <c r="I2255" s="225">
        <v>10639.91</v>
      </c>
      <c r="J2255" s="225">
        <v>10639.91</v>
      </c>
      <c r="K2255" s="225">
        <v>1.1641532182693481E-10</v>
      </c>
      <c r="L22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55" s="225">
        <f>ROUND(IF(AND(Base_Periodo1[[#This Row],[Tipo_Linha]]="-",Base_Periodo1[[#This Row],[TIPOSALDO]]="D"),Base_Periodo1[[#This Row],[SALDO_ATUAL]]*-1,Base_Periodo1[[#This Row],[SALDO_ATUAL]]),4)</f>
        <v>0</v>
      </c>
      <c r="N2255" t="s">
        <v>116</v>
      </c>
      <c r="O2255" t="s">
        <v>436</v>
      </c>
      <c r="P2255" t="s">
        <v>436</v>
      </c>
      <c r="Q2255">
        <v>7</v>
      </c>
      <c r="R2255" s="225">
        <f>Base_Periodo1[[#This Row],[CREDITOS]]-Base_Periodo1[[#This Row],[DEBITOS]]</f>
        <v>0</v>
      </c>
      <c r="S2255" s="3" t="str">
        <f>IF(ISERROR(VLOOKUP(Base_Periodo1[[#This Row],[CONTA]],BaseContasDRE[#All],4,FALSE)),"Fora do DRE",VLOOKUP(Base_Periodo1[[#This Row],[CONTA]],BaseContasDRE[#All],4,FALSE))</f>
        <v>Fora do DRE</v>
      </c>
      <c r="T2255" s="3" t="str">
        <f>IF(ISERROR(VLOOKUP(Base_Periodo1[[#This Row],[CONTA]],BaseContasDRE[#All],5,FALSE)),"Fora do DRE",VLOOKUP(Base_Periodo1[[#This Row],[CONTA]],BaseContasDRE[#All],6,FALSE))</f>
        <v>Fora do DRE</v>
      </c>
      <c r="U2255" s="3" t="str">
        <f>IF(ISERROR(VLOOKUP(Base_Periodo1[[#This Row],[CONTA]],BaseContasDRE[#All],7,FALSE)),"Fora do DRE",VLOOKUP(Base_Periodo1[[#This Row],[CONTA]],BaseContasDRE[#All],7,FALSE))</f>
        <v>Fora do DRE</v>
      </c>
      <c r="V2255" s="3" t="str">
        <f>IF(Base_Periodo1[[#This Row],[Tipo_Linha]]="Fora do DRE","Fora do DRE","( "&amp;Base_Periodo1[[#This Row],[Tipo_Linha]]&amp;" ) "&amp;Base_Periodo1[[#This Row],[Filtro]])</f>
        <v>Fora do DRE</v>
      </c>
      <c r="W2255" s="3" t="str">
        <f>LEFT(Base_Periodo1[[#This Row],[CLASS]],3)</f>
        <v>2.1</v>
      </c>
    </row>
    <row r="2256" spans="1:23" hidden="1">
      <c r="A2256" s="3" t="str">
        <f t="shared" si="35"/>
        <v>Período 1</v>
      </c>
      <c r="B2256">
        <v>17014</v>
      </c>
      <c r="C2256" t="s">
        <v>1730</v>
      </c>
      <c r="D2256" t="s">
        <v>4989</v>
      </c>
      <c r="E2256" s="3" t="str">
        <f>IF(LEN(Base_Periodo1[[#This Row],[CLASS]])&gt;=7,LEFT(Base_Periodo1[[#This Row],[CLASS]],7),"")</f>
        <v>2.1.2.1</v>
      </c>
      <c r="F2256" s="3" t="str">
        <f>VLOOKUP(Base_Periodo1[[#This Row],[Aux]],Base_Contas_Balanco[#All],2,FALSE)</f>
        <v>Fornecedores Cooperados</v>
      </c>
      <c r="G2256" s="1">
        <v>42885</v>
      </c>
      <c r="I2256" s="225">
        <v>73978.090000000011</v>
      </c>
      <c r="J2256" s="225">
        <v>73978.090000000011</v>
      </c>
      <c r="K2256" s="225">
        <v>3.4924596548080444E-10</v>
      </c>
      <c r="L22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56" s="225">
        <f>ROUND(IF(AND(Base_Periodo1[[#This Row],[Tipo_Linha]]="-",Base_Periodo1[[#This Row],[TIPOSALDO]]="D"),Base_Periodo1[[#This Row],[SALDO_ATUAL]]*-1,Base_Periodo1[[#This Row],[SALDO_ATUAL]]),4)</f>
        <v>0</v>
      </c>
      <c r="N2256" t="s">
        <v>116</v>
      </c>
      <c r="O2256" t="s">
        <v>436</v>
      </c>
      <c r="P2256" t="s">
        <v>436</v>
      </c>
      <c r="Q2256">
        <v>7</v>
      </c>
      <c r="R2256" s="225">
        <f>Base_Periodo1[[#This Row],[CREDITOS]]-Base_Periodo1[[#This Row],[DEBITOS]]</f>
        <v>0</v>
      </c>
      <c r="S2256" s="3" t="str">
        <f>IF(ISERROR(VLOOKUP(Base_Periodo1[[#This Row],[CONTA]],BaseContasDRE[#All],4,FALSE)),"Fora do DRE",VLOOKUP(Base_Periodo1[[#This Row],[CONTA]],BaseContasDRE[#All],4,FALSE))</f>
        <v>Fora do DRE</v>
      </c>
      <c r="T2256" s="3" t="str">
        <f>IF(ISERROR(VLOOKUP(Base_Periodo1[[#This Row],[CONTA]],BaseContasDRE[#All],5,FALSE)),"Fora do DRE",VLOOKUP(Base_Periodo1[[#This Row],[CONTA]],BaseContasDRE[#All],6,FALSE))</f>
        <v>Fora do DRE</v>
      </c>
      <c r="U2256" s="3" t="str">
        <f>IF(ISERROR(VLOOKUP(Base_Periodo1[[#This Row],[CONTA]],BaseContasDRE[#All],7,FALSE)),"Fora do DRE",VLOOKUP(Base_Periodo1[[#This Row],[CONTA]],BaseContasDRE[#All],7,FALSE))</f>
        <v>Fora do DRE</v>
      </c>
      <c r="V2256" s="3" t="str">
        <f>IF(Base_Periodo1[[#This Row],[Tipo_Linha]]="Fora do DRE","Fora do DRE","( "&amp;Base_Periodo1[[#This Row],[Tipo_Linha]]&amp;" ) "&amp;Base_Periodo1[[#This Row],[Filtro]])</f>
        <v>Fora do DRE</v>
      </c>
      <c r="W2256" s="3" t="str">
        <f>LEFT(Base_Periodo1[[#This Row],[CLASS]],3)</f>
        <v>2.1</v>
      </c>
    </row>
    <row r="2257" spans="1:23" hidden="1">
      <c r="A2257" s="3" t="str">
        <f t="shared" si="35"/>
        <v>Período 1</v>
      </c>
      <c r="B2257">
        <v>8309</v>
      </c>
      <c r="C2257" t="s">
        <v>1730</v>
      </c>
      <c r="D2257" t="s">
        <v>5131</v>
      </c>
      <c r="E2257" s="3" t="str">
        <f>IF(LEN(Base_Periodo1[[#This Row],[CLASS]])&gt;=7,LEFT(Base_Periodo1[[#This Row],[CLASS]],7),"")</f>
        <v>2.1.2.1</v>
      </c>
      <c r="F2257" s="3" t="str">
        <f>VLOOKUP(Base_Periodo1[[#This Row],[Aux]],Base_Contas_Balanco[#All],2,FALSE)</f>
        <v>Fornecedores Cooperados</v>
      </c>
      <c r="G2257" s="1">
        <v>42881</v>
      </c>
      <c r="I2257" s="225">
        <v>2354</v>
      </c>
      <c r="J2257" s="225">
        <v>2354</v>
      </c>
      <c r="K2257" s="225">
        <v>-5.8207660913467407E-11</v>
      </c>
      <c r="L22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57" s="225">
        <f>ROUND(IF(AND(Base_Periodo1[[#This Row],[Tipo_Linha]]="-",Base_Periodo1[[#This Row],[TIPOSALDO]]="D"),Base_Periodo1[[#This Row],[SALDO_ATUAL]]*-1,Base_Periodo1[[#This Row],[SALDO_ATUAL]]),4)</f>
        <v>0</v>
      </c>
      <c r="N2257" t="s">
        <v>116</v>
      </c>
      <c r="O2257" t="s">
        <v>436</v>
      </c>
      <c r="P2257" t="s">
        <v>436</v>
      </c>
      <c r="Q2257">
        <v>7</v>
      </c>
      <c r="R2257" s="225">
        <f>Base_Periodo1[[#This Row],[CREDITOS]]-Base_Periodo1[[#This Row],[DEBITOS]]</f>
        <v>0</v>
      </c>
      <c r="S2257" s="3" t="str">
        <f>IF(ISERROR(VLOOKUP(Base_Periodo1[[#This Row],[CONTA]],BaseContasDRE[#All],4,FALSE)),"Fora do DRE",VLOOKUP(Base_Periodo1[[#This Row],[CONTA]],BaseContasDRE[#All],4,FALSE))</f>
        <v>Fora do DRE</v>
      </c>
      <c r="T2257" s="3" t="str">
        <f>IF(ISERROR(VLOOKUP(Base_Periodo1[[#This Row],[CONTA]],BaseContasDRE[#All],5,FALSE)),"Fora do DRE",VLOOKUP(Base_Periodo1[[#This Row],[CONTA]],BaseContasDRE[#All],6,FALSE))</f>
        <v>Fora do DRE</v>
      </c>
      <c r="U2257" s="3" t="str">
        <f>IF(ISERROR(VLOOKUP(Base_Periodo1[[#This Row],[CONTA]],BaseContasDRE[#All],7,FALSE)),"Fora do DRE",VLOOKUP(Base_Periodo1[[#This Row],[CONTA]],BaseContasDRE[#All],7,FALSE))</f>
        <v>Fora do DRE</v>
      </c>
      <c r="V2257" s="3" t="str">
        <f>IF(Base_Periodo1[[#This Row],[Tipo_Linha]]="Fora do DRE","Fora do DRE","( "&amp;Base_Periodo1[[#This Row],[Tipo_Linha]]&amp;" ) "&amp;Base_Periodo1[[#This Row],[Filtro]])</f>
        <v>Fora do DRE</v>
      </c>
      <c r="W2257" s="3" t="str">
        <f>LEFT(Base_Periodo1[[#This Row],[CLASS]],3)</f>
        <v>2.1</v>
      </c>
    </row>
    <row r="2258" spans="1:23" hidden="1">
      <c r="A2258" s="3" t="str">
        <f t="shared" si="35"/>
        <v>Período 1</v>
      </c>
      <c r="B2258">
        <v>47587</v>
      </c>
      <c r="C2258" t="s">
        <v>1730</v>
      </c>
      <c r="D2258" t="s">
        <v>6336</v>
      </c>
      <c r="E2258" s="3" t="str">
        <f>IF(LEN(Base_Periodo1[[#This Row],[CLASS]])&gt;=7,LEFT(Base_Periodo1[[#This Row],[CLASS]],7),"")</f>
        <v>2.1.2.1</v>
      </c>
      <c r="F2258" s="3" t="str">
        <f>VLOOKUP(Base_Periodo1[[#This Row],[Aux]],Base_Contas_Balanco[#All],2,FALSE)</f>
        <v>Fornecedores Cooperados</v>
      </c>
      <c r="G2258" s="1">
        <v>42879</v>
      </c>
      <c r="I2258" s="225">
        <v>906</v>
      </c>
      <c r="J2258" s="225">
        <v>906</v>
      </c>
      <c r="K2258" s="225">
        <v>0</v>
      </c>
      <c r="L22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58" s="225">
        <f>ROUND(IF(AND(Base_Periodo1[[#This Row],[Tipo_Linha]]="-",Base_Periodo1[[#This Row],[TIPOSALDO]]="D"),Base_Periodo1[[#This Row],[SALDO_ATUAL]]*-1,Base_Periodo1[[#This Row],[SALDO_ATUAL]]),4)</f>
        <v>0</v>
      </c>
      <c r="N2258" t="s">
        <v>116</v>
      </c>
      <c r="O2258" t="s">
        <v>436</v>
      </c>
      <c r="P2258" t="s">
        <v>436</v>
      </c>
      <c r="Q2258">
        <v>7</v>
      </c>
      <c r="R2258" s="225">
        <f>Base_Periodo1[[#This Row],[CREDITOS]]-Base_Periodo1[[#This Row],[DEBITOS]]</f>
        <v>0</v>
      </c>
      <c r="S2258" s="3" t="str">
        <f>IF(ISERROR(VLOOKUP(Base_Periodo1[[#This Row],[CONTA]],BaseContasDRE[#All],4,FALSE)),"Fora do DRE",VLOOKUP(Base_Periodo1[[#This Row],[CONTA]],BaseContasDRE[#All],4,FALSE))</f>
        <v>Fora do DRE</v>
      </c>
      <c r="T2258" s="3" t="str">
        <f>IF(ISERROR(VLOOKUP(Base_Periodo1[[#This Row],[CONTA]],BaseContasDRE[#All],5,FALSE)),"Fora do DRE",VLOOKUP(Base_Periodo1[[#This Row],[CONTA]],BaseContasDRE[#All],6,FALSE))</f>
        <v>Fora do DRE</v>
      </c>
      <c r="U2258" s="3" t="str">
        <f>IF(ISERROR(VLOOKUP(Base_Periodo1[[#This Row],[CONTA]],BaseContasDRE[#All],7,FALSE)),"Fora do DRE",VLOOKUP(Base_Periodo1[[#This Row],[CONTA]],BaseContasDRE[#All],7,FALSE))</f>
        <v>Fora do DRE</v>
      </c>
      <c r="V2258" s="3" t="str">
        <f>IF(Base_Periodo1[[#This Row],[Tipo_Linha]]="Fora do DRE","Fora do DRE","( "&amp;Base_Periodo1[[#This Row],[Tipo_Linha]]&amp;" ) "&amp;Base_Periodo1[[#This Row],[Filtro]])</f>
        <v>Fora do DRE</v>
      </c>
      <c r="W2258" s="3" t="str">
        <f>LEFT(Base_Periodo1[[#This Row],[CLASS]],3)</f>
        <v>2.1</v>
      </c>
    </row>
    <row r="2259" spans="1:23" hidden="1">
      <c r="A2259" s="3" t="str">
        <f t="shared" si="35"/>
        <v>Período 1</v>
      </c>
      <c r="B2259">
        <v>5277</v>
      </c>
      <c r="C2259" t="s">
        <v>1730</v>
      </c>
      <c r="D2259" t="s">
        <v>558</v>
      </c>
      <c r="E2259" s="3" t="str">
        <f>IF(LEN(Base_Periodo1[[#This Row],[CLASS]])&gt;=7,LEFT(Base_Periodo1[[#This Row],[CLASS]],7),"")</f>
        <v>2.1.2.1</v>
      </c>
      <c r="F2259" s="3" t="str">
        <f>VLOOKUP(Base_Periodo1[[#This Row],[Aux]],Base_Contas_Balanco[#All],2,FALSE)</f>
        <v>Fornecedores Cooperados</v>
      </c>
      <c r="G2259" s="1">
        <v>42857</v>
      </c>
      <c r="I2259" s="225">
        <v>7283.9699999999993</v>
      </c>
      <c r="J2259" s="225">
        <v>7283.97</v>
      </c>
      <c r="K2259" s="225">
        <v>-5.9117155615240335E-11</v>
      </c>
      <c r="L22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59" s="225">
        <f>ROUND(IF(AND(Base_Periodo1[[#This Row],[Tipo_Linha]]="-",Base_Periodo1[[#This Row],[TIPOSALDO]]="D"),Base_Periodo1[[#This Row],[SALDO_ATUAL]]*-1,Base_Periodo1[[#This Row],[SALDO_ATUAL]]),4)</f>
        <v>0</v>
      </c>
      <c r="N2259" t="s">
        <v>116</v>
      </c>
      <c r="O2259" t="s">
        <v>436</v>
      </c>
      <c r="P2259" t="s">
        <v>436</v>
      </c>
      <c r="Q2259">
        <v>7</v>
      </c>
      <c r="R2259" s="225">
        <f>Base_Periodo1[[#This Row],[CREDITOS]]-Base_Periodo1[[#This Row],[DEBITOS]]</f>
        <v>0</v>
      </c>
      <c r="S2259" s="3" t="str">
        <f>IF(ISERROR(VLOOKUP(Base_Periodo1[[#This Row],[CONTA]],BaseContasDRE[#All],4,FALSE)),"Fora do DRE",VLOOKUP(Base_Periodo1[[#This Row],[CONTA]],BaseContasDRE[#All],4,FALSE))</f>
        <v>Fora do DRE</v>
      </c>
      <c r="T2259" s="3" t="str">
        <f>IF(ISERROR(VLOOKUP(Base_Periodo1[[#This Row],[CONTA]],BaseContasDRE[#All],5,FALSE)),"Fora do DRE",VLOOKUP(Base_Periodo1[[#This Row],[CONTA]],BaseContasDRE[#All],6,FALSE))</f>
        <v>Fora do DRE</v>
      </c>
      <c r="U2259" s="3" t="str">
        <f>IF(ISERROR(VLOOKUP(Base_Periodo1[[#This Row],[CONTA]],BaseContasDRE[#All],7,FALSE)),"Fora do DRE",VLOOKUP(Base_Periodo1[[#This Row],[CONTA]],BaseContasDRE[#All],7,FALSE))</f>
        <v>Fora do DRE</v>
      </c>
      <c r="V2259" s="3" t="str">
        <f>IF(Base_Periodo1[[#This Row],[Tipo_Linha]]="Fora do DRE","Fora do DRE","( "&amp;Base_Periodo1[[#This Row],[Tipo_Linha]]&amp;" ) "&amp;Base_Periodo1[[#This Row],[Filtro]])</f>
        <v>Fora do DRE</v>
      </c>
      <c r="W2259" s="3" t="str">
        <f>LEFT(Base_Periodo1[[#This Row],[CLASS]],3)</f>
        <v>2.1</v>
      </c>
    </row>
    <row r="2260" spans="1:23" hidden="1">
      <c r="A2260" s="3" t="str">
        <f t="shared" si="35"/>
        <v>Período 1</v>
      </c>
      <c r="B2260">
        <v>4585</v>
      </c>
      <c r="C2260" t="s">
        <v>1730</v>
      </c>
      <c r="D2260" t="s">
        <v>5209</v>
      </c>
      <c r="E2260" s="3" t="str">
        <f>IF(LEN(Base_Periodo1[[#This Row],[CLASS]])&gt;=7,LEFT(Base_Periodo1[[#This Row],[CLASS]],7),"")</f>
        <v>2.1.2.1</v>
      </c>
      <c r="F2260" s="3" t="str">
        <f>VLOOKUP(Base_Periodo1[[#This Row],[Aux]],Base_Contas_Balanco[#All],2,FALSE)</f>
        <v>Fornecedores Cooperados</v>
      </c>
      <c r="G2260" s="1">
        <v>42864</v>
      </c>
      <c r="I2260" s="225">
        <v>29848</v>
      </c>
      <c r="J2260" s="225">
        <v>29848</v>
      </c>
      <c r="K2260" s="225">
        <v>2.3283064365386963E-10</v>
      </c>
      <c r="L22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60" s="225">
        <f>ROUND(IF(AND(Base_Periodo1[[#This Row],[Tipo_Linha]]="-",Base_Periodo1[[#This Row],[TIPOSALDO]]="D"),Base_Periodo1[[#This Row],[SALDO_ATUAL]]*-1,Base_Periodo1[[#This Row],[SALDO_ATUAL]]),4)</f>
        <v>0</v>
      </c>
      <c r="N2260" t="s">
        <v>116</v>
      </c>
      <c r="O2260" t="s">
        <v>436</v>
      </c>
      <c r="P2260" t="s">
        <v>436</v>
      </c>
      <c r="Q2260">
        <v>7</v>
      </c>
      <c r="R2260" s="225">
        <f>Base_Periodo1[[#This Row],[CREDITOS]]-Base_Periodo1[[#This Row],[DEBITOS]]</f>
        <v>0</v>
      </c>
      <c r="S2260" s="3" t="str">
        <f>IF(ISERROR(VLOOKUP(Base_Periodo1[[#This Row],[CONTA]],BaseContasDRE[#All],4,FALSE)),"Fora do DRE",VLOOKUP(Base_Periodo1[[#This Row],[CONTA]],BaseContasDRE[#All],4,FALSE))</f>
        <v>Fora do DRE</v>
      </c>
      <c r="T2260" s="3" t="str">
        <f>IF(ISERROR(VLOOKUP(Base_Periodo1[[#This Row],[CONTA]],BaseContasDRE[#All],5,FALSE)),"Fora do DRE",VLOOKUP(Base_Periodo1[[#This Row],[CONTA]],BaseContasDRE[#All],6,FALSE))</f>
        <v>Fora do DRE</v>
      </c>
      <c r="U2260" s="3" t="str">
        <f>IF(ISERROR(VLOOKUP(Base_Periodo1[[#This Row],[CONTA]],BaseContasDRE[#All],7,FALSE)),"Fora do DRE",VLOOKUP(Base_Periodo1[[#This Row],[CONTA]],BaseContasDRE[#All],7,FALSE))</f>
        <v>Fora do DRE</v>
      </c>
      <c r="V2260" s="3" t="str">
        <f>IF(Base_Periodo1[[#This Row],[Tipo_Linha]]="Fora do DRE","Fora do DRE","( "&amp;Base_Periodo1[[#This Row],[Tipo_Linha]]&amp;" ) "&amp;Base_Periodo1[[#This Row],[Filtro]])</f>
        <v>Fora do DRE</v>
      </c>
      <c r="W2260" s="3" t="str">
        <f>LEFT(Base_Periodo1[[#This Row],[CLASS]],3)</f>
        <v>2.1</v>
      </c>
    </row>
    <row r="2261" spans="1:23" hidden="1">
      <c r="A2261" s="3" t="str">
        <f t="shared" si="35"/>
        <v>Período 1</v>
      </c>
      <c r="B2261">
        <v>4113</v>
      </c>
      <c r="C2261" t="s">
        <v>1730</v>
      </c>
      <c r="D2261" t="s">
        <v>560</v>
      </c>
      <c r="E2261" s="3" t="str">
        <f>IF(LEN(Base_Periodo1[[#This Row],[CLASS]])&gt;=7,LEFT(Base_Periodo1[[#This Row],[CLASS]],7),"")</f>
        <v>2.1.2.1</v>
      </c>
      <c r="F2261" s="3" t="str">
        <f>VLOOKUP(Base_Periodo1[[#This Row],[Aux]],Base_Contas_Balanco[#All],2,FALSE)</f>
        <v>Fornecedores Cooperados</v>
      </c>
      <c r="G2261" s="1">
        <v>42858</v>
      </c>
      <c r="H2261" s="225">
        <v>1640.8499999991618</v>
      </c>
      <c r="I2261" s="225">
        <v>1640.85</v>
      </c>
      <c r="J2261" s="225">
        <v>0</v>
      </c>
      <c r="K2261" s="225">
        <v>8.3809936768375337E-10</v>
      </c>
      <c r="L22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61" s="225">
        <f>ROUND(IF(AND(Base_Periodo1[[#This Row],[Tipo_Linha]]="-",Base_Periodo1[[#This Row],[TIPOSALDO]]="D"),Base_Periodo1[[#This Row],[SALDO_ATUAL]]*-1,Base_Periodo1[[#This Row],[SALDO_ATUAL]]),4)</f>
        <v>0</v>
      </c>
      <c r="N2261" t="s">
        <v>116</v>
      </c>
      <c r="O2261" t="s">
        <v>459</v>
      </c>
      <c r="P2261" t="s">
        <v>436</v>
      </c>
      <c r="Q2261">
        <v>7</v>
      </c>
      <c r="R2261" s="225">
        <f>Base_Periodo1[[#This Row],[CREDITOS]]-Base_Periodo1[[#This Row],[DEBITOS]]</f>
        <v>-1640.85</v>
      </c>
      <c r="S2261" s="3" t="str">
        <f>IF(ISERROR(VLOOKUP(Base_Periodo1[[#This Row],[CONTA]],BaseContasDRE[#All],4,FALSE)),"Fora do DRE",VLOOKUP(Base_Periodo1[[#This Row],[CONTA]],BaseContasDRE[#All],4,FALSE))</f>
        <v>Fora do DRE</v>
      </c>
      <c r="T2261" s="3" t="str">
        <f>IF(ISERROR(VLOOKUP(Base_Periodo1[[#This Row],[CONTA]],BaseContasDRE[#All],5,FALSE)),"Fora do DRE",VLOOKUP(Base_Periodo1[[#This Row],[CONTA]],BaseContasDRE[#All],6,FALSE))</f>
        <v>Fora do DRE</v>
      </c>
      <c r="U2261" s="3" t="str">
        <f>IF(ISERROR(VLOOKUP(Base_Periodo1[[#This Row],[CONTA]],BaseContasDRE[#All],7,FALSE)),"Fora do DRE",VLOOKUP(Base_Periodo1[[#This Row],[CONTA]],BaseContasDRE[#All],7,FALSE))</f>
        <v>Fora do DRE</v>
      </c>
      <c r="V2261" s="3" t="str">
        <f>IF(Base_Periodo1[[#This Row],[Tipo_Linha]]="Fora do DRE","Fora do DRE","( "&amp;Base_Periodo1[[#This Row],[Tipo_Linha]]&amp;" ) "&amp;Base_Periodo1[[#This Row],[Filtro]])</f>
        <v>Fora do DRE</v>
      </c>
      <c r="W2261" s="3" t="str">
        <f>LEFT(Base_Periodo1[[#This Row],[CLASS]],3)</f>
        <v>2.1</v>
      </c>
    </row>
    <row r="2262" spans="1:23" hidden="1">
      <c r="A2262" s="3" t="str">
        <f t="shared" si="35"/>
        <v>Período 1</v>
      </c>
      <c r="B2262">
        <v>12420</v>
      </c>
      <c r="C2262" t="s">
        <v>1730</v>
      </c>
      <c r="D2262" t="s">
        <v>562</v>
      </c>
      <c r="E2262" s="3" t="str">
        <f>IF(LEN(Base_Periodo1[[#This Row],[CLASS]])&gt;=7,LEFT(Base_Periodo1[[#This Row],[CLASS]],7),"")</f>
        <v>2.1.2.1</v>
      </c>
      <c r="F2262" s="3" t="str">
        <f>VLOOKUP(Base_Periodo1[[#This Row],[Aux]],Base_Contas_Balanco[#All],2,FALSE)</f>
        <v>Fornecedores Cooperados</v>
      </c>
      <c r="G2262" s="1">
        <v>42717</v>
      </c>
      <c r="H2262" s="225">
        <v>736.40999999998894</v>
      </c>
      <c r="I2262" s="225">
        <v>0</v>
      </c>
      <c r="J2262" s="225">
        <v>0</v>
      </c>
      <c r="K2262" s="225">
        <v>736.40999999998894</v>
      </c>
      <c r="L22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736.41</v>
      </c>
      <c r="M2262" s="225">
        <f>ROUND(IF(AND(Base_Periodo1[[#This Row],[Tipo_Linha]]="-",Base_Periodo1[[#This Row],[TIPOSALDO]]="D"),Base_Periodo1[[#This Row],[SALDO_ATUAL]]*-1,Base_Periodo1[[#This Row],[SALDO_ATUAL]]),4)</f>
        <v>736.41</v>
      </c>
      <c r="N2262" t="s">
        <v>116</v>
      </c>
      <c r="O2262" t="s">
        <v>459</v>
      </c>
      <c r="P2262" t="s">
        <v>459</v>
      </c>
      <c r="Q2262">
        <v>7</v>
      </c>
      <c r="R2262" s="225">
        <f>Base_Periodo1[[#This Row],[CREDITOS]]-Base_Periodo1[[#This Row],[DEBITOS]]</f>
        <v>0</v>
      </c>
      <c r="S2262" s="3" t="str">
        <f>IF(ISERROR(VLOOKUP(Base_Periodo1[[#This Row],[CONTA]],BaseContasDRE[#All],4,FALSE)),"Fora do DRE",VLOOKUP(Base_Periodo1[[#This Row],[CONTA]],BaseContasDRE[#All],4,FALSE))</f>
        <v>Fora do DRE</v>
      </c>
      <c r="T2262" s="3" t="str">
        <f>IF(ISERROR(VLOOKUP(Base_Periodo1[[#This Row],[CONTA]],BaseContasDRE[#All],5,FALSE)),"Fora do DRE",VLOOKUP(Base_Periodo1[[#This Row],[CONTA]],BaseContasDRE[#All],6,FALSE))</f>
        <v>Fora do DRE</v>
      </c>
      <c r="U2262" s="3" t="str">
        <f>IF(ISERROR(VLOOKUP(Base_Periodo1[[#This Row],[CONTA]],BaseContasDRE[#All],7,FALSE)),"Fora do DRE",VLOOKUP(Base_Periodo1[[#This Row],[CONTA]],BaseContasDRE[#All],7,FALSE))</f>
        <v>Fora do DRE</v>
      </c>
      <c r="V2262" s="3" t="str">
        <f>IF(Base_Periodo1[[#This Row],[Tipo_Linha]]="Fora do DRE","Fora do DRE","( "&amp;Base_Periodo1[[#This Row],[Tipo_Linha]]&amp;" ) "&amp;Base_Periodo1[[#This Row],[Filtro]])</f>
        <v>Fora do DRE</v>
      </c>
      <c r="W2262" s="3" t="str">
        <f>LEFT(Base_Periodo1[[#This Row],[CLASS]],3)</f>
        <v>2.1</v>
      </c>
    </row>
    <row r="2263" spans="1:23" hidden="1">
      <c r="A2263" s="3" t="str">
        <f t="shared" si="35"/>
        <v>Período 1</v>
      </c>
      <c r="B2263">
        <v>7190</v>
      </c>
      <c r="C2263" t="s">
        <v>1730</v>
      </c>
      <c r="D2263" t="s">
        <v>564</v>
      </c>
      <c r="E2263" s="3" t="str">
        <f>IF(LEN(Base_Periodo1[[#This Row],[CLASS]])&gt;=7,LEFT(Base_Periodo1[[#This Row],[CLASS]],7),"")</f>
        <v>2.1.2.1</v>
      </c>
      <c r="F2263" s="3" t="str">
        <f>VLOOKUP(Base_Periodo1[[#This Row],[Aux]],Base_Contas_Balanco[#All],2,FALSE)</f>
        <v>Fornecedores Cooperados</v>
      </c>
      <c r="G2263" s="1">
        <v>42866</v>
      </c>
      <c r="H2263" s="225">
        <v>31836.19000000041</v>
      </c>
      <c r="I2263" s="225">
        <v>31836.19</v>
      </c>
      <c r="J2263" s="225">
        <v>0</v>
      </c>
      <c r="K2263" s="225">
        <v>-4.1109160520136356E-10</v>
      </c>
      <c r="L22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63" s="225">
        <f>ROUND(IF(AND(Base_Periodo1[[#This Row],[Tipo_Linha]]="-",Base_Periodo1[[#This Row],[TIPOSALDO]]="D"),Base_Periodo1[[#This Row],[SALDO_ATUAL]]*-1,Base_Periodo1[[#This Row],[SALDO_ATUAL]]),4)</f>
        <v>0</v>
      </c>
      <c r="N2263" t="s">
        <v>116</v>
      </c>
      <c r="O2263" t="s">
        <v>459</v>
      </c>
      <c r="P2263" t="s">
        <v>436</v>
      </c>
      <c r="Q2263">
        <v>7</v>
      </c>
      <c r="R2263" s="225">
        <f>Base_Periodo1[[#This Row],[CREDITOS]]-Base_Periodo1[[#This Row],[DEBITOS]]</f>
        <v>-31836.19</v>
      </c>
      <c r="S2263" s="3" t="str">
        <f>IF(ISERROR(VLOOKUP(Base_Periodo1[[#This Row],[CONTA]],BaseContasDRE[#All],4,FALSE)),"Fora do DRE",VLOOKUP(Base_Periodo1[[#This Row],[CONTA]],BaseContasDRE[#All],4,FALSE))</f>
        <v>Fora do DRE</v>
      </c>
      <c r="T2263" s="3" t="str">
        <f>IF(ISERROR(VLOOKUP(Base_Periodo1[[#This Row],[CONTA]],BaseContasDRE[#All],5,FALSE)),"Fora do DRE",VLOOKUP(Base_Periodo1[[#This Row],[CONTA]],BaseContasDRE[#All],6,FALSE))</f>
        <v>Fora do DRE</v>
      </c>
      <c r="U2263" s="3" t="str">
        <f>IF(ISERROR(VLOOKUP(Base_Periodo1[[#This Row],[CONTA]],BaseContasDRE[#All],7,FALSE)),"Fora do DRE",VLOOKUP(Base_Periodo1[[#This Row],[CONTA]],BaseContasDRE[#All],7,FALSE))</f>
        <v>Fora do DRE</v>
      </c>
      <c r="V2263" s="3" t="str">
        <f>IF(Base_Periodo1[[#This Row],[Tipo_Linha]]="Fora do DRE","Fora do DRE","( "&amp;Base_Periodo1[[#This Row],[Tipo_Linha]]&amp;" ) "&amp;Base_Periodo1[[#This Row],[Filtro]])</f>
        <v>Fora do DRE</v>
      </c>
      <c r="W2263" s="3" t="str">
        <f>LEFT(Base_Periodo1[[#This Row],[CLASS]],3)</f>
        <v>2.1</v>
      </c>
    </row>
    <row r="2264" spans="1:23" hidden="1">
      <c r="A2264" s="3" t="str">
        <f t="shared" si="35"/>
        <v>Período 1</v>
      </c>
      <c r="B2264">
        <v>4173</v>
      </c>
      <c r="C2264" t="s">
        <v>1730</v>
      </c>
      <c r="D2264" t="s">
        <v>565</v>
      </c>
      <c r="E2264" s="3" t="str">
        <f>IF(LEN(Base_Periodo1[[#This Row],[CLASS]])&gt;=7,LEFT(Base_Periodo1[[#This Row],[CLASS]],7),"")</f>
        <v>2.1.2.1</v>
      </c>
      <c r="F2264" s="3" t="str">
        <f>VLOOKUP(Base_Periodo1[[#This Row],[Aux]],Base_Contas_Balanco[#All],2,FALSE)</f>
        <v>Fornecedores Cooperados</v>
      </c>
      <c r="G2264" s="1">
        <v>42866</v>
      </c>
      <c r="I2264" s="225">
        <v>1794</v>
      </c>
      <c r="J2264" s="225">
        <v>1794</v>
      </c>
      <c r="K2264" s="225">
        <v>5.8207660913467407E-11</v>
      </c>
      <c r="L22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64" s="225">
        <f>ROUND(IF(AND(Base_Periodo1[[#This Row],[Tipo_Linha]]="-",Base_Periodo1[[#This Row],[TIPOSALDO]]="D"),Base_Periodo1[[#This Row],[SALDO_ATUAL]]*-1,Base_Periodo1[[#This Row],[SALDO_ATUAL]]),4)</f>
        <v>0</v>
      </c>
      <c r="N2264" t="s">
        <v>116</v>
      </c>
      <c r="O2264" t="s">
        <v>436</v>
      </c>
      <c r="P2264" t="s">
        <v>436</v>
      </c>
      <c r="Q2264">
        <v>7</v>
      </c>
      <c r="R2264" s="225">
        <f>Base_Periodo1[[#This Row],[CREDITOS]]-Base_Periodo1[[#This Row],[DEBITOS]]</f>
        <v>0</v>
      </c>
      <c r="S2264" s="3" t="str">
        <f>IF(ISERROR(VLOOKUP(Base_Periodo1[[#This Row],[CONTA]],BaseContasDRE[#All],4,FALSE)),"Fora do DRE",VLOOKUP(Base_Periodo1[[#This Row],[CONTA]],BaseContasDRE[#All],4,FALSE))</f>
        <v>Fora do DRE</v>
      </c>
      <c r="T2264" s="3" t="str">
        <f>IF(ISERROR(VLOOKUP(Base_Periodo1[[#This Row],[CONTA]],BaseContasDRE[#All],5,FALSE)),"Fora do DRE",VLOOKUP(Base_Periodo1[[#This Row],[CONTA]],BaseContasDRE[#All],6,FALSE))</f>
        <v>Fora do DRE</v>
      </c>
      <c r="U2264" s="3" t="str">
        <f>IF(ISERROR(VLOOKUP(Base_Periodo1[[#This Row],[CONTA]],BaseContasDRE[#All],7,FALSE)),"Fora do DRE",VLOOKUP(Base_Periodo1[[#This Row],[CONTA]],BaseContasDRE[#All],7,FALSE))</f>
        <v>Fora do DRE</v>
      </c>
      <c r="V2264" s="3" t="str">
        <f>IF(Base_Periodo1[[#This Row],[Tipo_Linha]]="Fora do DRE","Fora do DRE","( "&amp;Base_Periodo1[[#This Row],[Tipo_Linha]]&amp;" ) "&amp;Base_Periodo1[[#This Row],[Filtro]])</f>
        <v>Fora do DRE</v>
      </c>
      <c r="W2264" s="3" t="str">
        <f>LEFT(Base_Periodo1[[#This Row],[CLASS]],3)</f>
        <v>2.1</v>
      </c>
    </row>
    <row r="2265" spans="1:23" hidden="1">
      <c r="A2265" s="3" t="str">
        <f t="shared" si="35"/>
        <v>Período 1</v>
      </c>
      <c r="B2265">
        <v>3913</v>
      </c>
      <c r="C2265" t="s">
        <v>1730</v>
      </c>
      <c r="D2265" t="s">
        <v>566</v>
      </c>
      <c r="E2265" s="3" t="str">
        <f>IF(LEN(Base_Periodo1[[#This Row],[CLASS]])&gt;=7,LEFT(Base_Periodo1[[#This Row],[CLASS]],7),"")</f>
        <v>2.1.2.1</v>
      </c>
      <c r="F2265" s="3" t="str">
        <f>VLOOKUP(Base_Periodo1[[#This Row],[Aux]],Base_Contas_Balanco[#All],2,FALSE)</f>
        <v>Fornecedores Cooperados</v>
      </c>
      <c r="G2265" s="1">
        <v>42858</v>
      </c>
      <c r="H2265" s="225">
        <v>25240.669999999925</v>
      </c>
      <c r="I2265" s="225">
        <v>25240.67</v>
      </c>
      <c r="J2265" s="225">
        <v>0</v>
      </c>
      <c r="K2265" s="225">
        <v>7.2759576141834259E-11</v>
      </c>
      <c r="L22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65" s="225">
        <f>ROUND(IF(AND(Base_Periodo1[[#This Row],[Tipo_Linha]]="-",Base_Periodo1[[#This Row],[TIPOSALDO]]="D"),Base_Periodo1[[#This Row],[SALDO_ATUAL]]*-1,Base_Periodo1[[#This Row],[SALDO_ATUAL]]),4)</f>
        <v>0</v>
      </c>
      <c r="N2265" t="s">
        <v>116</v>
      </c>
      <c r="O2265" t="s">
        <v>459</v>
      </c>
      <c r="P2265" t="s">
        <v>436</v>
      </c>
      <c r="Q2265">
        <v>7</v>
      </c>
      <c r="R2265" s="225">
        <f>Base_Periodo1[[#This Row],[CREDITOS]]-Base_Periodo1[[#This Row],[DEBITOS]]</f>
        <v>-25240.67</v>
      </c>
      <c r="S2265" s="3" t="str">
        <f>IF(ISERROR(VLOOKUP(Base_Periodo1[[#This Row],[CONTA]],BaseContasDRE[#All],4,FALSE)),"Fora do DRE",VLOOKUP(Base_Periodo1[[#This Row],[CONTA]],BaseContasDRE[#All],4,FALSE))</f>
        <v>Fora do DRE</v>
      </c>
      <c r="T2265" s="3" t="str">
        <f>IF(ISERROR(VLOOKUP(Base_Periodo1[[#This Row],[CONTA]],BaseContasDRE[#All],5,FALSE)),"Fora do DRE",VLOOKUP(Base_Periodo1[[#This Row],[CONTA]],BaseContasDRE[#All],6,FALSE))</f>
        <v>Fora do DRE</v>
      </c>
      <c r="U2265" s="3" t="str">
        <f>IF(ISERROR(VLOOKUP(Base_Periodo1[[#This Row],[CONTA]],BaseContasDRE[#All],7,FALSE)),"Fora do DRE",VLOOKUP(Base_Periodo1[[#This Row],[CONTA]],BaseContasDRE[#All],7,FALSE))</f>
        <v>Fora do DRE</v>
      </c>
      <c r="V2265" s="3" t="str">
        <f>IF(Base_Periodo1[[#This Row],[Tipo_Linha]]="Fora do DRE","Fora do DRE","( "&amp;Base_Periodo1[[#This Row],[Tipo_Linha]]&amp;" ) "&amp;Base_Periodo1[[#This Row],[Filtro]])</f>
        <v>Fora do DRE</v>
      </c>
      <c r="W2265" s="3" t="str">
        <f>LEFT(Base_Periodo1[[#This Row],[CLASS]],3)</f>
        <v>2.1</v>
      </c>
    </row>
    <row r="2266" spans="1:23" hidden="1">
      <c r="A2266" s="3" t="str">
        <f t="shared" si="35"/>
        <v>Período 1</v>
      </c>
      <c r="B2266">
        <v>22670</v>
      </c>
      <c r="C2266" t="s">
        <v>1730</v>
      </c>
      <c r="D2266" t="s">
        <v>5132</v>
      </c>
      <c r="E2266" s="3" t="str">
        <f>IF(LEN(Base_Periodo1[[#This Row],[CLASS]])&gt;=7,LEFT(Base_Periodo1[[#This Row],[CLASS]],7),"")</f>
        <v>2.1.2.1</v>
      </c>
      <c r="F2266" s="3" t="str">
        <f>VLOOKUP(Base_Periodo1[[#This Row],[Aux]],Base_Contas_Balanco[#All],2,FALSE)</f>
        <v>Fornecedores Cooperados</v>
      </c>
      <c r="G2266" s="1">
        <v>42884</v>
      </c>
      <c r="I2266" s="225">
        <v>19642</v>
      </c>
      <c r="J2266" s="225">
        <v>19642</v>
      </c>
      <c r="K2266" s="225">
        <v>5.8207660913467407E-11</v>
      </c>
      <c r="L22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66" s="225">
        <f>ROUND(IF(AND(Base_Periodo1[[#This Row],[Tipo_Linha]]="-",Base_Periodo1[[#This Row],[TIPOSALDO]]="D"),Base_Periodo1[[#This Row],[SALDO_ATUAL]]*-1,Base_Periodo1[[#This Row],[SALDO_ATUAL]]),4)</f>
        <v>0</v>
      </c>
      <c r="N2266" t="s">
        <v>116</v>
      </c>
      <c r="O2266" t="s">
        <v>436</v>
      </c>
      <c r="P2266" t="s">
        <v>436</v>
      </c>
      <c r="Q2266">
        <v>7</v>
      </c>
      <c r="R2266" s="225">
        <f>Base_Periodo1[[#This Row],[CREDITOS]]-Base_Periodo1[[#This Row],[DEBITOS]]</f>
        <v>0</v>
      </c>
      <c r="S2266" s="3" t="str">
        <f>IF(ISERROR(VLOOKUP(Base_Periodo1[[#This Row],[CONTA]],BaseContasDRE[#All],4,FALSE)),"Fora do DRE",VLOOKUP(Base_Periodo1[[#This Row],[CONTA]],BaseContasDRE[#All],4,FALSE))</f>
        <v>Fora do DRE</v>
      </c>
      <c r="T2266" s="3" t="str">
        <f>IF(ISERROR(VLOOKUP(Base_Periodo1[[#This Row],[CONTA]],BaseContasDRE[#All],5,FALSE)),"Fora do DRE",VLOOKUP(Base_Periodo1[[#This Row],[CONTA]],BaseContasDRE[#All],6,FALSE))</f>
        <v>Fora do DRE</v>
      </c>
      <c r="U2266" s="3" t="str">
        <f>IF(ISERROR(VLOOKUP(Base_Periodo1[[#This Row],[CONTA]],BaseContasDRE[#All],7,FALSE)),"Fora do DRE",VLOOKUP(Base_Periodo1[[#This Row],[CONTA]],BaseContasDRE[#All],7,FALSE))</f>
        <v>Fora do DRE</v>
      </c>
      <c r="V2266" s="3" t="str">
        <f>IF(Base_Periodo1[[#This Row],[Tipo_Linha]]="Fora do DRE","Fora do DRE","( "&amp;Base_Periodo1[[#This Row],[Tipo_Linha]]&amp;" ) "&amp;Base_Periodo1[[#This Row],[Filtro]])</f>
        <v>Fora do DRE</v>
      </c>
      <c r="W2266" s="3" t="str">
        <f>LEFT(Base_Periodo1[[#This Row],[CLASS]],3)</f>
        <v>2.1</v>
      </c>
    </row>
    <row r="2267" spans="1:23" hidden="1">
      <c r="A2267" s="3" t="str">
        <f t="shared" si="35"/>
        <v>Período 1</v>
      </c>
      <c r="B2267">
        <v>39315</v>
      </c>
      <c r="C2267" t="s">
        <v>1730</v>
      </c>
      <c r="D2267" t="s">
        <v>567</v>
      </c>
      <c r="E2267" s="3" t="str">
        <f>IF(LEN(Base_Periodo1[[#This Row],[CLASS]])&gt;=7,LEFT(Base_Periodo1[[#This Row],[CLASS]],7),"")</f>
        <v>2.1.2.1</v>
      </c>
      <c r="F2267" s="3" t="str">
        <f>VLOOKUP(Base_Periodo1[[#This Row],[Aux]],Base_Contas_Balanco[#All],2,FALSE)</f>
        <v>Fornecedores Cooperados</v>
      </c>
      <c r="G2267" s="1">
        <v>42879</v>
      </c>
      <c r="I2267" s="225">
        <v>60288.829999999994</v>
      </c>
      <c r="J2267" s="225">
        <v>60288.83</v>
      </c>
      <c r="K2267" s="225">
        <v>-7.2759576141834259E-12</v>
      </c>
      <c r="L22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67" s="225">
        <f>ROUND(IF(AND(Base_Periodo1[[#This Row],[Tipo_Linha]]="-",Base_Periodo1[[#This Row],[TIPOSALDO]]="D"),Base_Periodo1[[#This Row],[SALDO_ATUAL]]*-1,Base_Periodo1[[#This Row],[SALDO_ATUAL]]),4)</f>
        <v>0</v>
      </c>
      <c r="N2267" t="s">
        <v>116</v>
      </c>
      <c r="O2267" t="s">
        <v>436</v>
      </c>
      <c r="P2267" t="s">
        <v>436</v>
      </c>
      <c r="Q2267">
        <v>7</v>
      </c>
      <c r="R2267" s="225">
        <f>Base_Periodo1[[#This Row],[CREDITOS]]-Base_Periodo1[[#This Row],[DEBITOS]]</f>
        <v>0</v>
      </c>
      <c r="S2267" s="3" t="str">
        <f>IF(ISERROR(VLOOKUP(Base_Periodo1[[#This Row],[CONTA]],BaseContasDRE[#All],4,FALSE)),"Fora do DRE",VLOOKUP(Base_Periodo1[[#This Row],[CONTA]],BaseContasDRE[#All],4,FALSE))</f>
        <v>Fora do DRE</v>
      </c>
      <c r="T2267" s="3" t="str">
        <f>IF(ISERROR(VLOOKUP(Base_Periodo1[[#This Row],[CONTA]],BaseContasDRE[#All],5,FALSE)),"Fora do DRE",VLOOKUP(Base_Periodo1[[#This Row],[CONTA]],BaseContasDRE[#All],6,FALSE))</f>
        <v>Fora do DRE</v>
      </c>
      <c r="U2267" s="3" t="str">
        <f>IF(ISERROR(VLOOKUP(Base_Periodo1[[#This Row],[CONTA]],BaseContasDRE[#All],7,FALSE)),"Fora do DRE",VLOOKUP(Base_Periodo1[[#This Row],[CONTA]],BaseContasDRE[#All],7,FALSE))</f>
        <v>Fora do DRE</v>
      </c>
      <c r="V2267" s="3" t="str">
        <f>IF(Base_Periodo1[[#This Row],[Tipo_Linha]]="Fora do DRE","Fora do DRE","( "&amp;Base_Periodo1[[#This Row],[Tipo_Linha]]&amp;" ) "&amp;Base_Periodo1[[#This Row],[Filtro]])</f>
        <v>Fora do DRE</v>
      </c>
      <c r="W2267" s="3" t="str">
        <f>LEFT(Base_Periodo1[[#This Row],[CLASS]],3)</f>
        <v>2.1</v>
      </c>
    </row>
    <row r="2268" spans="1:23" hidden="1">
      <c r="A2268" s="3" t="str">
        <f t="shared" si="35"/>
        <v>Período 1</v>
      </c>
      <c r="B2268">
        <v>2789</v>
      </c>
      <c r="C2268" t="s">
        <v>1730</v>
      </c>
      <c r="D2268" t="s">
        <v>569</v>
      </c>
      <c r="E2268" s="3" t="str">
        <f>IF(LEN(Base_Periodo1[[#This Row],[CLASS]])&gt;=7,LEFT(Base_Periodo1[[#This Row],[CLASS]],7),"")</f>
        <v>2.1.2.1</v>
      </c>
      <c r="F2268" s="3" t="str">
        <f>VLOOKUP(Base_Periodo1[[#This Row],[Aux]],Base_Contas_Balanco[#All],2,FALSE)</f>
        <v>Fornecedores Cooperados</v>
      </c>
      <c r="G2268" s="1">
        <v>42885</v>
      </c>
      <c r="I2268" s="225">
        <v>467608.80999999994</v>
      </c>
      <c r="J2268" s="225">
        <v>484115.74</v>
      </c>
      <c r="K2268" s="225">
        <v>16506.92999999912</v>
      </c>
      <c r="L22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16506.93</v>
      </c>
      <c r="M2268" s="225">
        <f>ROUND(IF(AND(Base_Periodo1[[#This Row],[Tipo_Linha]]="-",Base_Periodo1[[#This Row],[TIPOSALDO]]="D"),Base_Periodo1[[#This Row],[SALDO_ATUAL]]*-1,Base_Periodo1[[#This Row],[SALDO_ATUAL]]),4)</f>
        <v>16506.93</v>
      </c>
      <c r="N2268" t="s">
        <v>116</v>
      </c>
      <c r="O2268" t="s">
        <v>436</v>
      </c>
      <c r="P2268" t="s">
        <v>459</v>
      </c>
      <c r="Q2268">
        <v>7</v>
      </c>
      <c r="R2268" s="225">
        <f>Base_Periodo1[[#This Row],[CREDITOS]]-Base_Periodo1[[#This Row],[DEBITOS]]</f>
        <v>16506.930000000051</v>
      </c>
      <c r="S2268" s="3" t="str">
        <f>IF(ISERROR(VLOOKUP(Base_Periodo1[[#This Row],[CONTA]],BaseContasDRE[#All],4,FALSE)),"Fora do DRE",VLOOKUP(Base_Periodo1[[#This Row],[CONTA]],BaseContasDRE[#All],4,FALSE))</f>
        <v>Fora do DRE</v>
      </c>
      <c r="T2268" s="3" t="str">
        <f>IF(ISERROR(VLOOKUP(Base_Periodo1[[#This Row],[CONTA]],BaseContasDRE[#All],5,FALSE)),"Fora do DRE",VLOOKUP(Base_Periodo1[[#This Row],[CONTA]],BaseContasDRE[#All],6,FALSE))</f>
        <v>Fora do DRE</v>
      </c>
      <c r="U2268" s="3" t="str">
        <f>IF(ISERROR(VLOOKUP(Base_Periodo1[[#This Row],[CONTA]],BaseContasDRE[#All],7,FALSE)),"Fora do DRE",VLOOKUP(Base_Periodo1[[#This Row],[CONTA]],BaseContasDRE[#All],7,FALSE))</f>
        <v>Fora do DRE</v>
      </c>
      <c r="V2268" s="3" t="str">
        <f>IF(Base_Periodo1[[#This Row],[Tipo_Linha]]="Fora do DRE","Fora do DRE","( "&amp;Base_Periodo1[[#This Row],[Tipo_Linha]]&amp;" ) "&amp;Base_Periodo1[[#This Row],[Filtro]])</f>
        <v>Fora do DRE</v>
      </c>
      <c r="W2268" s="3" t="str">
        <f>LEFT(Base_Periodo1[[#This Row],[CLASS]],3)</f>
        <v>2.1</v>
      </c>
    </row>
    <row r="2269" spans="1:23" hidden="1">
      <c r="A2269" s="3" t="str">
        <f t="shared" si="35"/>
        <v>Período 1</v>
      </c>
      <c r="B2269">
        <v>20074</v>
      </c>
      <c r="C2269" t="s">
        <v>1730</v>
      </c>
      <c r="D2269" t="s">
        <v>570</v>
      </c>
      <c r="E2269" s="3" t="str">
        <f>IF(LEN(Base_Periodo1[[#This Row],[CLASS]])&gt;=7,LEFT(Base_Periodo1[[#This Row],[CLASS]],7),"")</f>
        <v>2.1.2.1</v>
      </c>
      <c r="F2269" s="3" t="str">
        <f>VLOOKUP(Base_Periodo1[[#This Row],[Aux]],Base_Contas_Balanco[#All],2,FALSE)</f>
        <v>Fornecedores Cooperados</v>
      </c>
      <c r="G2269" s="1">
        <v>42866</v>
      </c>
      <c r="I2269" s="225">
        <v>23734</v>
      </c>
      <c r="J2269" s="225">
        <v>23734</v>
      </c>
      <c r="K2269" s="225">
        <v>-1.1641532182693481E-10</v>
      </c>
      <c r="L22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69" s="225">
        <f>ROUND(IF(AND(Base_Periodo1[[#This Row],[Tipo_Linha]]="-",Base_Periodo1[[#This Row],[TIPOSALDO]]="D"),Base_Periodo1[[#This Row],[SALDO_ATUAL]]*-1,Base_Periodo1[[#This Row],[SALDO_ATUAL]]),4)</f>
        <v>0</v>
      </c>
      <c r="N2269" t="s">
        <v>116</v>
      </c>
      <c r="O2269" t="s">
        <v>436</v>
      </c>
      <c r="P2269" t="s">
        <v>436</v>
      </c>
      <c r="Q2269">
        <v>7</v>
      </c>
      <c r="R2269" s="225">
        <f>Base_Periodo1[[#This Row],[CREDITOS]]-Base_Periodo1[[#This Row],[DEBITOS]]</f>
        <v>0</v>
      </c>
      <c r="S2269" s="3" t="str">
        <f>IF(ISERROR(VLOOKUP(Base_Periodo1[[#This Row],[CONTA]],BaseContasDRE[#All],4,FALSE)),"Fora do DRE",VLOOKUP(Base_Periodo1[[#This Row],[CONTA]],BaseContasDRE[#All],4,FALSE))</f>
        <v>Fora do DRE</v>
      </c>
      <c r="T2269" s="3" t="str">
        <f>IF(ISERROR(VLOOKUP(Base_Periodo1[[#This Row],[CONTA]],BaseContasDRE[#All],5,FALSE)),"Fora do DRE",VLOOKUP(Base_Periodo1[[#This Row],[CONTA]],BaseContasDRE[#All],6,FALSE))</f>
        <v>Fora do DRE</v>
      </c>
      <c r="U2269" s="3" t="str">
        <f>IF(ISERROR(VLOOKUP(Base_Periodo1[[#This Row],[CONTA]],BaseContasDRE[#All],7,FALSE)),"Fora do DRE",VLOOKUP(Base_Periodo1[[#This Row],[CONTA]],BaseContasDRE[#All],7,FALSE))</f>
        <v>Fora do DRE</v>
      </c>
      <c r="V2269" s="3" t="str">
        <f>IF(Base_Periodo1[[#This Row],[Tipo_Linha]]="Fora do DRE","Fora do DRE","( "&amp;Base_Periodo1[[#This Row],[Tipo_Linha]]&amp;" ) "&amp;Base_Periodo1[[#This Row],[Filtro]])</f>
        <v>Fora do DRE</v>
      </c>
      <c r="W2269" s="3" t="str">
        <f>LEFT(Base_Periodo1[[#This Row],[CLASS]],3)</f>
        <v>2.1</v>
      </c>
    </row>
    <row r="2270" spans="1:23" hidden="1">
      <c r="A2270" s="3" t="str">
        <f t="shared" si="35"/>
        <v>Período 1</v>
      </c>
      <c r="B2270">
        <v>4477</v>
      </c>
      <c r="C2270" t="s">
        <v>1730</v>
      </c>
      <c r="D2270" t="s">
        <v>571</v>
      </c>
      <c r="E2270" s="3" t="str">
        <f>IF(LEN(Base_Periodo1[[#This Row],[CLASS]])&gt;=7,LEFT(Base_Periodo1[[#This Row],[CLASS]],7),"")</f>
        <v>2.1.2.1</v>
      </c>
      <c r="F2270" s="3" t="str">
        <f>VLOOKUP(Base_Periodo1[[#This Row],[Aux]],Base_Contas_Balanco[#All],2,FALSE)</f>
        <v>Fornecedores Cooperados</v>
      </c>
      <c r="G2270" s="1">
        <v>42884</v>
      </c>
      <c r="I2270" s="225">
        <v>554308.79</v>
      </c>
      <c r="J2270" s="225">
        <v>554308.79</v>
      </c>
      <c r="K2270" s="225">
        <v>-5.5879354476928711E-9</v>
      </c>
      <c r="L22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70" s="225">
        <f>ROUND(IF(AND(Base_Periodo1[[#This Row],[Tipo_Linha]]="-",Base_Periodo1[[#This Row],[TIPOSALDO]]="D"),Base_Periodo1[[#This Row],[SALDO_ATUAL]]*-1,Base_Periodo1[[#This Row],[SALDO_ATUAL]]),4)</f>
        <v>0</v>
      </c>
      <c r="N2270" t="s">
        <v>116</v>
      </c>
      <c r="O2270" t="s">
        <v>436</v>
      </c>
      <c r="P2270" t="s">
        <v>436</v>
      </c>
      <c r="Q2270">
        <v>7</v>
      </c>
      <c r="R2270" s="225">
        <f>Base_Periodo1[[#This Row],[CREDITOS]]-Base_Periodo1[[#This Row],[DEBITOS]]</f>
        <v>0</v>
      </c>
      <c r="S2270" s="3" t="str">
        <f>IF(ISERROR(VLOOKUP(Base_Periodo1[[#This Row],[CONTA]],BaseContasDRE[#All],4,FALSE)),"Fora do DRE",VLOOKUP(Base_Periodo1[[#This Row],[CONTA]],BaseContasDRE[#All],4,FALSE))</f>
        <v>Fora do DRE</v>
      </c>
      <c r="T2270" s="3" t="str">
        <f>IF(ISERROR(VLOOKUP(Base_Periodo1[[#This Row],[CONTA]],BaseContasDRE[#All],5,FALSE)),"Fora do DRE",VLOOKUP(Base_Periodo1[[#This Row],[CONTA]],BaseContasDRE[#All],6,FALSE))</f>
        <v>Fora do DRE</v>
      </c>
      <c r="U2270" s="3" t="str">
        <f>IF(ISERROR(VLOOKUP(Base_Periodo1[[#This Row],[CONTA]],BaseContasDRE[#All],7,FALSE)),"Fora do DRE",VLOOKUP(Base_Periodo1[[#This Row],[CONTA]],BaseContasDRE[#All],7,FALSE))</f>
        <v>Fora do DRE</v>
      </c>
      <c r="V2270" s="3" t="str">
        <f>IF(Base_Periodo1[[#This Row],[Tipo_Linha]]="Fora do DRE","Fora do DRE","( "&amp;Base_Periodo1[[#This Row],[Tipo_Linha]]&amp;" ) "&amp;Base_Periodo1[[#This Row],[Filtro]])</f>
        <v>Fora do DRE</v>
      </c>
      <c r="W2270" s="3" t="str">
        <f>LEFT(Base_Periodo1[[#This Row],[CLASS]],3)</f>
        <v>2.1</v>
      </c>
    </row>
    <row r="2271" spans="1:23" hidden="1">
      <c r="A2271" s="3" t="str">
        <f t="shared" si="35"/>
        <v>Período 1</v>
      </c>
      <c r="B2271">
        <v>5133</v>
      </c>
      <c r="C2271" t="s">
        <v>1730</v>
      </c>
      <c r="D2271" t="s">
        <v>6839</v>
      </c>
      <c r="E2271" s="3" t="str">
        <f>IF(LEN(Base_Periodo1[[#This Row],[CLASS]])&gt;=7,LEFT(Base_Periodo1[[#This Row],[CLASS]],7),"")</f>
        <v>2.1.2.1</v>
      </c>
      <c r="F2271" s="3" t="str">
        <f>VLOOKUP(Base_Periodo1[[#This Row],[Aux]],Base_Contas_Balanco[#All],2,FALSE)</f>
        <v>Fornecedores Cooperados</v>
      </c>
      <c r="G2271" s="1">
        <v>42866</v>
      </c>
      <c r="I2271" s="225">
        <v>4045.17</v>
      </c>
      <c r="J2271" s="225">
        <v>4045.17</v>
      </c>
      <c r="K2271" s="225">
        <v>0</v>
      </c>
      <c r="L22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71" s="225">
        <f>ROUND(IF(AND(Base_Periodo1[[#This Row],[Tipo_Linha]]="-",Base_Periodo1[[#This Row],[TIPOSALDO]]="D"),Base_Periodo1[[#This Row],[SALDO_ATUAL]]*-1,Base_Periodo1[[#This Row],[SALDO_ATUAL]]),4)</f>
        <v>0</v>
      </c>
      <c r="N2271" t="s">
        <v>116</v>
      </c>
      <c r="O2271" t="s">
        <v>436</v>
      </c>
      <c r="P2271" t="s">
        <v>436</v>
      </c>
      <c r="Q2271">
        <v>7</v>
      </c>
      <c r="R2271" s="225">
        <f>Base_Periodo1[[#This Row],[CREDITOS]]-Base_Periodo1[[#This Row],[DEBITOS]]</f>
        <v>0</v>
      </c>
      <c r="S2271" s="3" t="str">
        <f>IF(ISERROR(VLOOKUP(Base_Periodo1[[#This Row],[CONTA]],BaseContasDRE[#All],4,FALSE)),"Fora do DRE",VLOOKUP(Base_Periodo1[[#This Row],[CONTA]],BaseContasDRE[#All],4,FALSE))</f>
        <v>Fora do DRE</v>
      </c>
      <c r="T2271" s="3" t="str">
        <f>IF(ISERROR(VLOOKUP(Base_Periodo1[[#This Row],[CONTA]],BaseContasDRE[#All],5,FALSE)),"Fora do DRE",VLOOKUP(Base_Periodo1[[#This Row],[CONTA]],BaseContasDRE[#All],6,FALSE))</f>
        <v>Fora do DRE</v>
      </c>
      <c r="U2271" s="3" t="str">
        <f>IF(ISERROR(VLOOKUP(Base_Periodo1[[#This Row],[CONTA]],BaseContasDRE[#All],7,FALSE)),"Fora do DRE",VLOOKUP(Base_Periodo1[[#This Row],[CONTA]],BaseContasDRE[#All],7,FALSE))</f>
        <v>Fora do DRE</v>
      </c>
      <c r="V2271" s="3" t="str">
        <f>IF(Base_Periodo1[[#This Row],[Tipo_Linha]]="Fora do DRE","Fora do DRE","( "&amp;Base_Periodo1[[#This Row],[Tipo_Linha]]&amp;" ) "&amp;Base_Periodo1[[#This Row],[Filtro]])</f>
        <v>Fora do DRE</v>
      </c>
      <c r="W2271" s="3" t="str">
        <f>LEFT(Base_Periodo1[[#This Row],[CLASS]],3)</f>
        <v>2.1</v>
      </c>
    </row>
    <row r="2272" spans="1:23" hidden="1">
      <c r="A2272" s="3" t="str">
        <f t="shared" si="35"/>
        <v>Período 1</v>
      </c>
      <c r="B2272">
        <v>18152</v>
      </c>
      <c r="C2272" t="s">
        <v>1730</v>
      </c>
      <c r="D2272" t="s">
        <v>573</v>
      </c>
      <c r="E2272" s="3" t="str">
        <f>IF(LEN(Base_Periodo1[[#This Row],[CLASS]])&gt;=7,LEFT(Base_Periodo1[[#This Row],[CLASS]],7),"")</f>
        <v>2.1.2.1</v>
      </c>
      <c r="F2272" s="3" t="str">
        <f>VLOOKUP(Base_Periodo1[[#This Row],[Aux]],Base_Contas_Balanco[#All],2,FALSE)</f>
        <v>Fornecedores Cooperados</v>
      </c>
      <c r="G2272" s="1">
        <v>42878</v>
      </c>
      <c r="I2272" s="225">
        <v>906</v>
      </c>
      <c r="J2272" s="225">
        <v>906</v>
      </c>
      <c r="K2272" s="225">
        <v>1.4551915228366852E-11</v>
      </c>
      <c r="L22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72" s="225">
        <f>ROUND(IF(AND(Base_Periodo1[[#This Row],[Tipo_Linha]]="-",Base_Periodo1[[#This Row],[TIPOSALDO]]="D"),Base_Periodo1[[#This Row],[SALDO_ATUAL]]*-1,Base_Periodo1[[#This Row],[SALDO_ATUAL]]),4)</f>
        <v>0</v>
      </c>
      <c r="N2272" t="s">
        <v>116</v>
      </c>
      <c r="O2272" t="s">
        <v>436</v>
      </c>
      <c r="P2272" t="s">
        <v>436</v>
      </c>
      <c r="Q2272">
        <v>7</v>
      </c>
      <c r="R2272" s="225">
        <f>Base_Periodo1[[#This Row],[CREDITOS]]-Base_Periodo1[[#This Row],[DEBITOS]]</f>
        <v>0</v>
      </c>
      <c r="S2272" s="3" t="str">
        <f>IF(ISERROR(VLOOKUP(Base_Periodo1[[#This Row],[CONTA]],BaseContasDRE[#All],4,FALSE)),"Fora do DRE",VLOOKUP(Base_Periodo1[[#This Row],[CONTA]],BaseContasDRE[#All],4,FALSE))</f>
        <v>Fora do DRE</v>
      </c>
      <c r="T2272" s="3" t="str">
        <f>IF(ISERROR(VLOOKUP(Base_Periodo1[[#This Row],[CONTA]],BaseContasDRE[#All],5,FALSE)),"Fora do DRE",VLOOKUP(Base_Periodo1[[#This Row],[CONTA]],BaseContasDRE[#All],6,FALSE))</f>
        <v>Fora do DRE</v>
      </c>
      <c r="U2272" s="3" t="str">
        <f>IF(ISERROR(VLOOKUP(Base_Periodo1[[#This Row],[CONTA]],BaseContasDRE[#All],7,FALSE)),"Fora do DRE",VLOOKUP(Base_Periodo1[[#This Row],[CONTA]],BaseContasDRE[#All],7,FALSE))</f>
        <v>Fora do DRE</v>
      </c>
      <c r="V2272" s="3" t="str">
        <f>IF(Base_Periodo1[[#This Row],[Tipo_Linha]]="Fora do DRE","Fora do DRE","( "&amp;Base_Periodo1[[#This Row],[Tipo_Linha]]&amp;" ) "&amp;Base_Periodo1[[#This Row],[Filtro]])</f>
        <v>Fora do DRE</v>
      </c>
      <c r="W2272" s="3" t="str">
        <f>LEFT(Base_Periodo1[[#This Row],[CLASS]],3)</f>
        <v>2.1</v>
      </c>
    </row>
    <row r="2273" spans="1:23" hidden="1">
      <c r="A2273" s="3" t="str">
        <f t="shared" si="35"/>
        <v>Período 1</v>
      </c>
      <c r="B2273">
        <v>26433</v>
      </c>
      <c r="C2273" t="s">
        <v>1730</v>
      </c>
      <c r="D2273" t="s">
        <v>574</v>
      </c>
      <c r="E2273" s="3" t="str">
        <f>IF(LEN(Base_Periodo1[[#This Row],[CLASS]])&gt;=7,LEFT(Base_Periodo1[[#This Row],[CLASS]],7),"")</f>
        <v>2.1.2.1</v>
      </c>
      <c r="F2273" s="3" t="str">
        <f>VLOOKUP(Base_Periodo1[[#This Row],[Aux]],Base_Contas_Balanco[#All],2,FALSE)</f>
        <v>Fornecedores Cooperados</v>
      </c>
      <c r="G2273" s="1">
        <v>42886</v>
      </c>
      <c r="I2273" s="225">
        <v>5799.02</v>
      </c>
      <c r="J2273" s="225">
        <v>35092.06</v>
      </c>
      <c r="K2273" s="225">
        <v>29293.039999999764</v>
      </c>
      <c r="L22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29293.040000000001</v>
      </c>
      <c r="M2273" s="225">
        <f>ROUND(IF(AND(Base_Periodo1[[#This Row],[Tipo_Linha]]="-",Base_Periodo1[[#This Row],[TIPOSALDO]]="D"),Base_Periodo1[[#This Row],[SALDO_ATUAL]]*-1,Base_Periodo1[[#This Row],[SALDO_ATUAL]]),4)</f>
        <v>29293.040000000001</v>
      </c>
      <c r="N2273" t="s">
        <v>116</v>
      </c>
      <c r="O2273" t="s">
        <v>436</v>
      </c>
      <c r="P2273" t="s">
        <v>459</v>
      </c>
      <c r="Q2273">
        <v>7</v>
      </c>
      <c r="R2273" s="225">
        <f>Base_Periodo1[[#This Row],[CREDITOS]]-Base_Periodo1[[#This Row],[DEBITOS]]</f>
        <v>29293.039999999997</v>
      </c>
      <c r="S2273" s="3" t="str">
        <f>IF(ISERROR(VLOOKUP(Base_Periodo1[[#This Row],[CONTA]],BaseContasDRE[#All],4,FALSE)),"Fora do DRE",VLOOKUP(Base_Periodo1[[#This Row],[CONTA]],BaseContasDRE[#All],4,FALSE))</f>
        <v>Fora do DRE</v>
      </c>
      <c r="T2273" s="3" t="str">
        <f>IF(ISERROR(VLOOKUP(Base_Periodo1[[#This Row],[CONTA]],BaseContasDRE[#All],5,FALSE)),"Fora do DRE",VLOOKUP(Base_Periodo1[[#This Row],[CONTA]],BaseContasDRE[#All],6,FALSE))</f>
        <v>Fora do DRE</v>
      </c>
      <c r="U2273" s="3" t="str">
        <f>IF(ISERROR(VLOOKUP(Base_Periodo1[[#This Row],[CONTA]],BaseContasDRE[#All],7,FALSE)),"Fora do DRE",VLOOKUP(Base_Periodo1[[#This Row],[CONTA]],BaseContasDRE[#All],7,FALSE))</f>
        <v>Fora do DRE</v>
      </c>
      <c r="V2273" s="3" t="str">
        <f>IF(Base_Periodo1[[#This Row],[Tipo_Linha]]="Fora do DRE","Fora do DRE","( "&amp;Base_Periodo1[[#This Row],[Tipo_Linha]]&amp;" ) "&amp;Base_Periodo1[[#This Row],[Filtro]])</f>
        <v>Fora do DRE</v>
      </c>
      <c r="W2273" s="3" t="str">
        <f>LEFT(Base_Periodo1[[#This Row],[CLASS]],3)</f>
        <v>2.1</v>
      </c>
    </row>
    <row r="2274" spans="1:23" hidden="1">
      <c r="A2274" s="3" t="str">
        <f t="shared" si="35"/>
        <v>Período 1</v>
      </c>
      <c r="B2274">
        <v>55097</v>
      </c>
      <c r="C2274" t="s">
        <v>1730</v>
      </c>
      <c r="D2274" t="s">
        <v>5374</v>
      </c>
      <c r="E2274" s="3" t="str">
        <f>IF(LEN(Base_Periodo1[[#This Row],[CLASS]])&gt;=7,LEFT(Base_Periodo1[[#This Row],[CLASS]],7),"")</f>
        <v>2.1.2.1</v>
      </c>
      <c r="F2274" s="3" t="str">
        <f>VLOOKUP(Base_Periodo1[[#This Row],[Aux]],Base_Contas_Balanco[#All],2,FALSE)</f>
        <v>Fornecedores Cooperados</v>
      </c>
      <c r="G2274" s="1">
        <v>42872</v>
      </c>
      <c r="I2274" s="225">
        <v>453117.08</v>
      </c>
      <c r="J2274" s="225">
        <v>453117.08000000007</v>
      </c>
      <c r="K2274" s="225">
        <v>-5.8207660913467407E-11</v>
      </c>
      <c r="L22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74" s="225">
        <f>ROUND(IF(AND(Base_Periodo1[[#This Row],[Tipo_Linha]]="-",Base_Periodo1[[#This Row],[TIPOSALDO]]="D"),Base_Periodo1[[#This Row],[SALDO_ATUAL]]*-1,Base_Periodo1[[#This Row],[SALDO_ATUAL]]),4)</f>
        <v>0</v>
      </c>
      <c r="N2274" t="s">
        <v>116</v>
      </c>
      <c r="O2274" t="s">
        <v>436</v>
      </c>
      <c r="P2274" t="s">
        <v>436</v>
      </c>
      <c r="Q2274">
        <v>7</v>
      </c>
      <c r="R2274" s="225">
        <f>Base_Periodo1[[#This Row],[CREDITOS]]-Base_Periodo1[[#This Row],[DEBITOS]]</f>
        <v>0</v>
      </c>
      <c r="S2274" s="3" t="str">
        <f>IF(ISERROR(VLOOKUP(Base_Periodo1[[#This Row],[CONTA]],BaseContasDRE[#All],4,FALSE)),"Fora do DRE",VLOOKUP(Base_Periodo1[[#This Row],[CONTA]],BaseContasDRE[#All],4,FALSE))</f>
        <v>Fora do DRE</v>
      </c>
      <c r="T2274" s="3" t="str">
        <f>IF(ISERROR(VLOOKUP(Base_Periodo1[[#This Row],[CONTA]],BaseContasDRE[#All],5,FALSE)),"Fora do DRE",VLOOKUP(Base_Periodo1[[#This Row],[CONTA]],BaseContasDRE[#All],6,FALSE))</f>
        <v>Fora do DRE</v>
      </c>
      <c r="U2274" s="3" t="str">
        <f>IF(ISERROR(VLOOKUP(Base_Periodo1[[#This Row],[CONTA]],BaseContasDRE[#All],7,FALSE)),"Fora do DRE",VLOOKUP(Base_Periodo1[[#This Row],[CONTA]],BaseContasDRE[#All],7,FALSE))</f>
        <v>Fora do DRE</v>
      </c>
      <c r="V2274" s="3" t="str">
        <f>IF(Base_Periodo1[[#This Row],[Tipo_Linha]]="Fora do DRE","Fora do DRE","( "&amp;Base_Periodo1[[#This Row],[Tipo_Linha]]&amp;" ) "&amp;Base_Periodo1[[#This Row],[Filtro]])</f>
        <v>Fora do DRE</v>
      </c>
      <c r="W2274" s="3" t="str">
        <f>LEFT(Base_Periodo1[[#This Row],[CLASS]],3)</f>
        <v>2.1</v>
      </c>
    </row>
    <row r="2275" spans="1:23" hidden="1">
      <c r="A2275" s="3" t="str">
        <f t="shared" si="35"/>
        <v>Período 1</v>
      </c>
      <c r="B2275">
        <v>3261</v>
      </c>
      <c r="C2275" t="s">
        <v>1730</v>
      </c>
      <c r="D2275" t="s">
        <v>575</v>
      </c>
      <c r="E2275" s="3" t="str">
        <f>IF(LEN(Base_Periodo1[[#This Row],[CLASS]])&gt;=7,LEFT(Base_Periodo1[[#This Row],[CLASS]],7),"")</f>
        <v>2.1.2.1</v>
      </c>
      <c r="F2275" s="3" t="str">
        <f>VLOOKUP(Base_Periodo1[[#This Row],[Aux]],Base_Contas_Balanco[#All],2,FALSE)</f>
        <v>Fornecedores Cooperados</v>
      </c>
      <c r="G2275" s="1">
        <v>42863</v>
      </c>
      <c r="H2275" s="225">
        <v>152270.35999999999</v>
      </c>
      <c r="I2275" s="225">
        <v>152270.35999999999</v>
      </c>
      <c r="J2275" s="225">
        <v>0</v>
      </c>
      <c r="K2275" s="225">
        <v>0</v>
      </c>
      <c r="L22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75" s="225">
        <f>ROUND(IF(AND(Base_Periodo1[[#This Row],[Tipo_Linha]]="-",Base_Periodo1[[#This Row],[TIPOSALDO]]="D"),Base_Periodo1[[#This Row],[SALDO_ATUAL]]*-1,Base_Periodo1[[#This Row],[SALDO_ATUAL]]),4)</f>
        <v>0</v>
      </c>
      <c r="N2275" t="s">
        <v>116</v>
      </c>
      <c r="O2275" t="s">
        <v>459</v>
      </c>
      <c r="P2275" t="s">
        <v>436</v>
      </c>
      <c r="Q2275">
        <v>7</v>
      </c>
      <c r="R2275" s="225">
        <f>Base_Periodo1[[#This Row],[CREDITOS]]-Base_Periodo1[[#This Row],[DEBITOS]]</f>
        <v>-152270.35999999999</v>
      </c>
      <c r="S2275" s="3" t="str">
        <f>IF(ISERROR(VLOOKUP(Base_Periodo1[[#This Row],[CONTA]],BaseContasDRE[#All],4,FALSE)),"Fora do DRE",VLOOKUP(Base_Periodo1[[#This Row],[CONTA]],BaseContasDRE[#All],4,FALSE))</f>
        <v>Fora do DRE</v>
      </c>
      <c r="T2275" s="3" t="str">
        <f>IF(ISERROR(VLOOKUP(Base_Periodo1[[#This Row],[CONTA]],BaseContasDRE[#All],5,FALSE)),"Fora do DRE",VLOOKUP(Base_Periodo1[[#This Row],[CONTA]],BaseContasDRE[#All],6,FALSE))</f>
        <v>Fora do DRE</v>
      </c>
      <c r="U2275" s="3" t="str">
        <f>IF(ISERROR(VLOOKUP(Base_Periodo1[[#This Row],[CONTA]],BaseContasDRE[#All],7,FALSE)),"Fora do DRE",VLOOKUP(Base_Periodo1[[#This Row],[CONTA]],BaseContasDRE[#All],7,FALSE))</f>
        <v>Fora do DRE</v>
      </c>
      <c r="V2275" s="3" t="str">
        <f>IF(Base_Periodo1[[#This Row],[Tipo_Linha]]="Fora do DRE","Fora do DRE","( "&amp;Base_Periodo1[[#This Row],[Tipo_Linha]]&amp;" ) "&amp;Base_Periodo1[[#This Row],[Filtro]])</f>
        <v>Fora do DRE</v>
      </c>
      <c r="W2275" s="3" t="str">
        <f>LEFT(Base_Periodo1[[#This Row],[CLASS]],3)</f>
        <v>2.1</v>
      </c>
    </row>
    <row r="2276" spans="1:23" hidden="1">
      <c r="A2276" s="3" t="str">
        <f t="shared" si="35"/>
        <v>Período 1</v>
      </c>
      <c r="B2276">
        <v>25189</v>
      </c>
      <c r="C2276" t="s">
        <v>1730</v>
      </c>
      <c r="D2276" t="s">
        <v>6840</v>
      </c>
      <c r="E2276" s="3" t="str">
        <f>IF(LEN(Base_Periodo1[[#This Row],[CLASS]])&gt;=7,LEFT(Base_Periodo1[[#This Row],[CLASS]],7),"")</f>
        <v>2.1.2.1</v>
      </c>
      <c r="F2276" s="3" t="str">
        <f>VLOOKUP(Base_Periodo1[[#This Row],[Aux]],Base_Contas_Balanco[#All],2,FALSE)</f>
        <v>Fornecedores Cooperados</v>
      </c>
      <c r="G2276" s="1">
        <v>42860</v>
      </c>
      <c r="I2276" s="225">
        <v>3000</v>
      </c>
      <c r="J2276" s="225">
        <v>3000</v>
      </c>
      <c r="K2276" s="225">
        <v>5.8207660913467407E-11</v>
      </c>
      <c r="L22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76" s="225">
        <f>ROUND(IF(AND(Base_Periodo1[[#This Row],[Tipo_Linha]]="-",Base_Periodo1[[#This Row],[TIPOSALDO]]="D"),Base_Periodo1[[#This Row],[SALDO_ATUAL]]*-1,Base_Periodo1[[#This Row],[SALDO_ATUAL]]),4)</f>
        <v>0</v>
      </c>
      <c r="N2276" t="s">
        <v>116</v>
      </c>
      <c r="O2276" t="s">
        <v>436</v>
      </c>
      <c r="P2276" t="s">
        <v>436</v>
      </c>
      <c r="Q2276">
        <v>7</v>
      </c>
      <c r="R2276" s="225">
        <f>Base_Periodo1[[#This Row],[CREDITOS]]-Base_Periodo1[[#This Row],[DEBITOS]]</f>
        <v>0</v>
      </c>
      <c r="S2276" s="3" t="str">
        <f>IF(ISERROR(VLOOKUP(Base_Periodo1[[#This Row],[CONTA]],BaseContasDRE[#All],4,FALSE)),"Fora do DRE",VLOOKUP(Base_Periodo1[[#This Row],[CONTA]],BaseContasDRE[#All],4,FALSE))</f>
        <v>Fora do DRE</v>
      </c>
      <c r="T2276" s="3" t="str">
        <f>IF(ISERROR(VLOOKUP(Base_Periodo1[[#This Row],[CONTA]],BaseContasDRE[#All],5,FALSE)),"Fora do DRE",VLOOKUP(Base_Periodo1[[#This Row],[CONTA]],BaseContasDRE[#All],6,FALSE))</f>
        <v>Fora do DRE</v>
      </c>
      <c r="U2276" s="3" t="str">
        <f>IF(ISERROR(VLOOKUP(Base_Periodo1[[#This Row],[CONTA]],BaseContasDRE[#All],7,FALSE)),"Fora do DRE",VLOOKUP(Base_Periodo1[[#This Row],[CONTA]],BaseContasDRE[#All],7,FALSE))</f>
        <v>Fora do DRE</v>
      </c>
      <c r="V2276" s="3" t="str">
        <f>IF(Base_Periodo1[[#This Row],[Tipo_Linha]]="Fora do DRE","Fora do DRE","( "&amp;Base_Periodo1[[#This Row],[Tipo_Linha]]&amp;" ) "&amp;Base_Periodo1[[#This Row],[Filtro]])</f>
        <v>Fora do DRE</v>
      </c>
      <c r="W2276" s="3" t="str">
        <f>LEFT(Base_Periodo1[[#This Row],[CLASS]],3)</f>
        <v>2.1</v>
      </c>
    </row>
    <row r="2277" spans="1:23" hidden="1">
      <c r="A2277" s="3" t="str">
        <f t="shared" si="35"/>
        <v>Período 1</v>
      </c>
      <c r="B2277">
        <v>25266</v>
      </c>
      <c r="C2277" t="s">
        <v>1730</v>
      </c>
      <c r="D2277" t="s">
        <v>5134</v>
      </c>
      <c r="E2277" s="3" t="str">
        <f>IF(LEN(Base_Periodo1[[#This Row],[CLASS]])&gt;=7,LEFT(Base_Periodo1[[#This Row],[CLASS]],7),"")</f>
        <v>2.1.2.1</v>
      </c>
      <c r="F2277" s="3" t="str">
        <f>VLOOKUP(Base_Periodo1[[#This Row],[Aux]],Base_Contas_Balanco[#All],2,FALSE)</f>
        <v>Fornecedores Cooperados</v>
      </c>
      <c r="G2277" s="1">
        <v>42872</v>
      </c>
      <c r="H2277" s="225">
        <v>1441.0700000000215</v>
      </c>
      <c r="I2277" s="225">
        <v>2148.3199999999997</v>
      </c>
      <c r="J2277" s="225">
        <v>707.25</v>
      </c>
      <c r="K2277" s="225">
        <v>-2.1827872842550278E-11</v>
      </c>
      <c r="L22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77" s="225">
        <f>ROUND(IF(AND(Base_Periodo1[[#This Row],[Tipo_Linha]]="-",Base_Periodo1[[#This Row],[TIPOSALDO]]="D"),Base_Periodo1[[#This Row],[SALDO_ATUAL]]*-1,Base_Periodo1[[#This Row],[SALDO_ATUAL]]),4)</f>
        <v>0</v>
      </c>
      <c r="N2277" t="s">
        <v>116</v>
      </c>
      <c r="O2277" t="s">
        <v>459</v>
      </c>
      <c r="P2277" t="s">
        <v>436</v>
      </c>
      <c r="Q2277">
        <v>7</v>
      </c>
      <c r="R2277" s="225">
        <f>Base_Periodo1[[#This Row],[CREDITOS]]-Base_Periodo1[[#This Row],[DEBITOS]]</f>
        <v>-1441.0699999999997</v>
      </c>
      <c r="S2277" s="3" t="str">
        <f>IF(ISERROR(VLOOKUP(Base_Periodo1[[#This Row],[CONTA]],BaseContasDRE[#All],4,FALSE)),"Fora do DRE",VLOOKUP(Base_Periodo1[[#This Row],[CONTA]],BaseContasDRE[#All],4,FALSE))</f>
        <v>Fora do DRE</v>
      </c>
      <c r="T2277" s="3" t="str">
        <f>IF(ISERROR(VLOOKUP(Base_Periodo1[[#This Row],[CONTA]],BaseContasDRE[#All],5,FALSE)),"Fora do DRE",VLOOKUP(Base_Periodo1[[#This Row],[CONTA]],BaseContasDRE[#All],6,FALSE))</f>
        <v>Fora do DRE</v>
      </c>
      <c r="U2277" s="3" t="str">
        <f>IF(ISERROR(VLOOKUP(Base_Periodo1[[#This Row],[CONTA]],BaseContasDRE[#All],7,FALSE)),"Fora do DRE",VLOOKUP(Base_Periodo1[[#This Row],[CONTA]],BaseContasDRE[#All],7,FALSE))</f>
        <v>Fora do DRE</v>
      </c>
      <c r="V2277" s="3" t="str">
        <f>IF(Base_Periodo1[[#This Row],[Tipo_Linha]]="Fora do DRE","Fora do DRE","( "&amp;Base_Periodo1[[#This Row],[Tipo_Linha]]&amp;" ) "&amp;Base_Periodo1[[#This Row],[Filtro]])</f>
        <v>Fora do DRE</v>
      </c>
      <c r="W2277" s="3" t="str">
        <f>LEFT(Base_Periodo1[[#This Row],[CLASS]],3)</f>
        <v>2.1</v>
      </c>
    </row>
    <row r="2278" spans="1:23" hidden="1">
      <c r="A2278" s="3" t="str">
        <f t="shared" si="35"/>
        <v>Período 1</v>
      </c>
      <c r="B2278">
        <v>3705</v>
      </c>
      <c r="C2278" t="s">
        <v>1730</v>
      </c>
      <c r="D2278" t="s">
        <v>5135</v>
      </c>
      <c r="E2278" s="3" t="str">
        <f>IF(LEN(Base_Periodo1[[#This Row],[CLASS]])&gt;=7,LEFT(Base_Periodo1[[#This Row],[CLASS]],7),"")</f>
        <v>2.1.2.1</v>
      </c>
      <c r="F2278" s="3" t="str">
        <f>VLOOKUP(Base_Periodo1[[#This Row],[Aux]],Base_Contas_Balanco[#All],2,FALSE)</f>
        <v>Fornecedores Cooperados</v>
      </c>
      <c r="G2278" s="1">
        <v>42884</v>
      </c>
      <c r="I2278" s="225">
        <v>948.82999999999993</v>
      </c>
      <c r="J2278" s="225">
        <v>948.83</v>
      </c>
      <c r="K2278" s="225">
        <v>-1.1652900866465643E-10</v>
      </c>
      <c r="L22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78" s="225">
        <f>ROUND(IF(AND(Base_Periodo1[[#This Row],[Tipo_Linha]]="-",Base_Periodo1[[#This Row],[TIPOSALDO]]="D"),Base_Periodo1[[#This Row],[SALDO_ATUAL]]*-1,Base_Periodo1[[#This Row],[SALDO_ATUAL]]),4)</f>
        <v>0</v>
      </c>
      <c r="N2278" t="s">
        <v>116</v>
      </c>
      <c r="O2278" t="s">
        <v>436</v>
      </c>
      <c r="P2278" t="s">
        <v>436</v>
      </c>
      <c r="Q2278">
        <v>7</v>
      </c>
      <c r="R2278" s="225">
        <f>Base_Periodo1[[#This Row],[CREDITOS]]-Base_Periodo1[[#This Row],[DEBITOS]]</f>
        <v>0</v>
      </c>
      <c r="S2278" s="3" t="str">
        <f>IF(ISERROR(VLOOKUP(Base_Periodo1[[#This Row],[CONTA]],BaseContasDRE[#All],4,FALSE)),"Fora do DRE",VLOOKUP(Base_Periodo1[[#This Row],[CONTA]],BaseContasDRE[#All],4,FALSE))</f>
        <v>Fora do DRE</v>
      </c>
      <c r="T2278" s="3" t="str">
        <f>IF(ISERROR(VLOOKUP(Base_Periodo1[[#This Row],[CONTA]],BaseContasDRE[#All],5,FALSE)),"Fora do DRE",VLOOKUP(Base_Periodo1[[#This Row],[CONTA]],BaseContasDRE[#All],6,FALSE))</f>
        <v>Fora do DRE</v>
      </c>
      <c r="U2278" s="3" t="str">
        <f>IF(ISERROR(VLOOKUP(Base_Periodo1[[#This Row],[CONTA]],BaseContasDRE[#All],7,FALSE)),"Fora do DRE",VLOOKUP(Base_Periodo1[[#This Row],[CONTA]],BaseContasDRE[#All],7,FALSE))</f>
        <v>Fora do DRE</v>
      </c>
      <c r="V2278" s="3" t="str">
        <f>IF(Base_Periodo1[[#This Row],[Tipo_Linha]]="Fora do DRE","Fora do DRE","( "&amp;Base_Periodo1[[#This Row],[Tipo_Linha]]&amp;" ) "&amp;Base_Periodo1[[#This Row],[Filtro]])</f>
        <v>Fora do DRE</v>
      </c>
      <c r="W2278" s="3" t="str">
        <f>LEFT(Base_Periodo1[[#This Row],[CLASS]],3)</f>
        <v>2.1</v>
      </c>
    </row>
    <row r="2279" spans="1:23" hidden="1">
      <c r="A2279" s="3" t="str">
        <f t="shared" si="35"/>
        <v>Período 1</v>
      </c>
      <c r="B2279">
        <v>47152</v>
      </c>
      <c r="C2279" t="s">
        <v>1730</v>
      </c>
      <c r="D2279" t="s">
        <v>577</v>
      </c>
      <c r="E2279" s="3" t="str">
        <f>IF(LEN(Base_Periodo1[[#This Row],[CLASS]])&gt;=7,LEFT(Base_Periodo1[[#This Row],[CLASS]],7),"")</f>
        <v>2.1.2.1</v>
      </c>
      <c r="F2279" s="3" t="str">
        <f>VLOOKUP(Base_Periodo1[[#This Row],[Aux]],Base_Contas_Balanco[#All],2,FALSE)</f>
        <v>Fornecedores Cooperados</v>
      </c>
      <c r="G2279" s="1">
        <v>42858</v>
      </c>
      <c r="H2279" s="225">
        <v>58334.199999999895</v>
      </c>
      <c r="I2279" s="225">
        <v>58334.2</v>
      </c>
      <c r="J2279" s="225">
        <v>0</v>
      </c>
      <c r="K2279" s="225">
        <v>1.0186340659856796E-10</v>
      </c>
      <c r="L22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79" s="225">
        <f>ROUND(IF(AND(Base_Periodo1[[#This Row],[Tipo_Linha]]="-",Base_Periodo1[[#This Row],[TIPOSALDO]]="D"),Base_Periodo1[[#This Row],[SALDO_ATUAL]]*-1,Base_Periodo1[[#This Row],[SALDO_ATUAL]]),4)</f>
        <v>0</v>
      </c>
      <c r="N2279" t="s">
        <v>116</v>
      </c>
      <c r="O2279" t="s">
        <v>459</v>
      </c>
      <c r="P2279" t="s">
        <v>436</v>
      </c>
      <c r="Q2279">
        <v>7</v>
      </c>
      <c r="R2279" s="225">
        <f>Base_Periodo1[[#This Row],[CREDITOS]]-Base_Periodo1[[#This Row],[DEBITOS]]</f>
        <v>-58334.2</v>
      </c>
      <c r="S2279" s="3" t="str">
        <f>IF(ISERROR(VLOOKUP(Base_Periodo1[[#This Row],[CONTA]],BaseContasDRE[#All],4,FALSE)),"Fora do DRE",VLOOKUP(Base_Periodo1[[#This Row],[CONTA]],BaseContasDRE[#All],4,FALSE))</f>
        <v>Fora do DRE</v>
      </c>
      <c r="T2279" s="3" t="str">
        <f>IF(ISERROR(VLOOKUP(Base_Periodo1[[#This Row],[CONTA]],BaseContasDRE[#All],5,FALSE)),"Fora do DRE",VLOOKUP(Base_Periodo1[[#This Row],[CONTA]],BaseContasDRE[#All],6,FALSE))</f>
        <v>Fora do DRE</v>
      </c>
      <c r="U2279" s="3" t="str">
        <f>IF(ISERROR(VLOOKUP(Base_Periodo1[[#This Row],[CONTA]],BaseContasDRE[#All],7,FALSE)),"Fora do DRE",VLOOKUP(Base_Periodo1[[#This Row],[CONTA]],BaseContasDRE[#All],7,FALSE))</f>
        <v>Fora do DRE</v>
      </c>
      <c r="V2279" s="3" t="str">
        <f>IF(Base_Periodo1[[#This Row],[Tipo_Linha]]="Fora do DRE","Fora do DRE","( "&amp;Base_Periodo1[[#This Row],[Tipo_Linha]]&amp;" ) "&amp;Base_Periodo1[[#This Row],[Filtro]])</f>
        <v>Fora do DRE</v>
      </c>
      <c r="W2279" s="3" t="str">
        <f>LEFT(Base_Periodo1[[#This Row],[CLASS]],3)</f>
        <v>2.1</v>
      </c>
    </row>
    <row r="2280" spans="1:23" hidden="1">
      <c r="A2280" s="3" t="str">
        <f t="shared" si="35"/>
        <v>Período 1</v>
      </c>
      <c r="B2280">
        <v>4821</v>
      </c>
      <c r="C2280" t="s">
        <v>1730</v>
      </c>
      <c r="D2280" t="s">
        <v>578</v>
      </c>
      <c r="E2280" s="3" t="str">
        <f>IF(LEN(Base_Periodo1[[#This Row],[CLASS]])&gt;=7,LEFT(Base_Periodo1[[#This Row],[CLASS]],7),"")</f>
        <v>2.1.2.1</v>
      </c>
      <c r="F2280" s="3" t="str">
        <f>VLOOKUP(Base_Periodo1[[#This Row],[Aux]],Base_Contas_Balanco[#All],2,FALSE)</f>
        <v>Fornecedores Cooperados</v>
      </c>
      <c r="G2280" s="1">
        <v>42884</v>
      </c>
      <c r="I2280" s="225">
        <v>100087.02</v>
      </c>
      <c r="J2280" s="225">
        <v>100087.01999999999</v>
      </c>
      <c r="K2280" s="225">
        <v>1.4551915228366852E-11</v>
      </c>
      <c r="L22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80" s="225">
        <f>ROUND(IF(AND(Base_Periodo1[[#This Row],[Tipo_Linha]]="-",Base_Periodo1[[#This Row],[TIPOSALDO]]="D"),Base_Periodo1[[#This Row],[SALDO_ATUAL]]*-1,Base_Periodo1[[#This Row],[SALDO_ATUAL]]),4)</f>
        <v>0</v>
      </c>
      <c r="N2280" t="s">
        <v>116</v>
      </c>
      <c r="O2280" t="s">
        <v>436</v>
      </c>
      <c r="P2280" t="s">
        <v>436</v>
      </c>
      <c r="Q2280">
        <v>7</v>
      </c>
      <c r="R2280" s="225">
        <f>Base_Periodo1[[#This Row],[CREDITOS]]-Base_Periodo1[[#This Row],[DEBITOS]]</f>
        <v>0</v>
      </c>
      <c r="S2280" s="3" t="str">
        <f>IF(ISERROR(VLOOKUP(Base_Periodo1[[#This Row],[CONTA]],BaseContasDRE[#All],4,FALSE)),"Fora do DRE",VLOOKUP(Base_Periodo1[[#This Row],[CONTA]],BaseContasDRE[#All],4,FALSE))</f>
        <v>Fora do DRE</v>
      </c>
      <c r="T2280" s="3" t="str">
        <f>IF(ISERROR(VLOOKUP(Base_Periodo1[[#This Row],[CONTA]],BaseContasDRE[#All],5,FALSE)),"Fora do DRE",VLOOKUP(Base_Periodo1[[#This Row],[CONTA]],BaseContasDRE[#All],6,FALSE))</f>
        <v>Fora do DRE</v>
      </c>
      <c r="U2280" s="3" t="str">
        <f>IF(ISERROR(VLOOKUP(Base_Periodo1[[#This Row],[CONTA]],BaseContasDRE[#All],7,FALSE)),"Fora do DRE",VLOOKUP(Base_Periodo1[[#This Row],[CONTA]],BaseContasDRE[#All],7,FALSE))</f>
        <v>Fora do DRE</v>
      </c>
      <c r="V2280" s="3" t="str">
        <f>IF(Base_Periodo1[[#This Row],[Tipo_Linha]]="Fora do DRE","Fora do DRE","( "&amp;Base_Periodo1[[#This Row],[Tipo_Linha]]&amp;" ) "&amp;Base_Periodo1[[#This Row],[Filtro]])</f>
        <v>Fora do DRE</v>
      </c>
      <c r="W2280" s="3" t="str">
        <f>LEFT(Base_Periodo1[[#This Row],[CLASS]],3)</f>
        <v>2.1</v>
      </c>
    </row>
    <row r="2281" spans="1:23" hidden="1">
      <c r="A2281" s="3" t="str">
        <f t="shared" si="35"/>
        <v>Período 1</v>
      </c>
      <c r="B2281">
        <v>48146</v>
      </c>
      <c r="C2281" t="s">
        <v>1730</v>
      </c>
      <c r="D2281" t="s">
        <v>6841</v>
      </c>
      <c r="E2281" s="3" t="str">
        <f>IF(LEN(Base_Periodo1[[#This Row],[CLASS]])&gt;=7,LEFT(Base_Periodo1[[#This Row],[CLASS]],7),"")</f>
        <v>2.1.2.1</v>
      </c>
      <c r="F2281" s="3" t="str">
        <f>VLOOKUP(Base_Periodo1[[#This Row],[Aux]],Base_Contas_Balanco[#All],2,FALSE)</f>
        <v>Fornecedores Cooperados</v>
      </c>
      <c r="G2281" s="1">
        <v>42878</v>
      </c>
      <c r="I2281" s="225">
        <v>8022.9400000000005</v>
      </c>
      <c r="J2281" s="225">
        <v>8022.9400000000005</v>
      </c>
      <c r="K2281" s="225">
        <v>0</v>
      </c>
      <c r="L22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81" s="225">
        <f>ROUND(IF(AND(Base_Periodo1[[#This Row],[Tipo_Linha]]="-",Base_Periodo1[[#This Row],[TIPOSALDO]]="D"),Base_Periodo1[[#This Row],[SALDO_ATUAL]]*-1,Base_Periodo1[[#This Row],[SALDO_ATUAL]]),4)</f>
        <v>0</v>
      </c>
      <c r="N2281" t="s">
        <v>116</v>
      </c>
      <c r="O2281" t="s">
        <v>436</v>
      </c>
      <c r="P2281" t="s">
        <v>436</v>
      </c>
      <c r="Q2281">
        <v>7</v>
      </c>
      <c r="R2281" s="225">
        <f>Base_Periodo1[[#This Row],[CREDITOS]]-Base_Periodo1[[#This Row],[DEBITOS]]</f>
        <v>0</v>
      </c>
      <c r="S2281" s="3" t="str">
        <f>IF(ISERROR(VLOOKUP(Base_Periodo1[[#This Row],[CONTA]],BaseContasDRE[#All],4,FALSE)),"Fora do DRE",VLOOKUP(Base_Periodo1[[#This Row],[CONTA]],BaseContasDRE[#All],4,FALSE))</f>
        <v>Fora do DRE</v>
      </c>
      <c r="T2281" s="3" t="str">
        <f>IF(ISERROR(VLOOKUP(Base_Periodo1[[#This Row],[CONTA]],BaseContasDRE[#All],5,FALSE)),"Fora do DRE",VLOOKUP(Base_Periodo1[[#This Row],[CONTA]],BaseContasDRE[#All],6,FALSE))</f>
        <v>Fora do DRE</v>
      </c>
      <c r="U2281" s="3" t="str">
        <f>IF(ISERROR(VLOOKUP(Base_Periodo1[[#This Row],[CONTA]],BaseContasDRE[#All],7,FALSE)),"Fora do DRE",VLOOKUP(Base_Periodo1[[#This Row],[CONTA]],BaseContasDRE[#All],7,FALSE))</f>
        <v>Fora do DRE</v>
      </c>
      <c r="V2281" s="3" t="str">
        <f>IF(Base_Periodo1[[#This Row],[Tipo_Linha]]="Fora do DRE","Fora do DRE","( "&amp;Base_Periodo1[[#This Row],[Tipo_Linha]]&amp;" ) "&amp;Base_Periodo1[[#This Row],[Filtro]])</f>
        <v>Fora do DRE</v>
      </c>
      <c r="W2281" s="3" t="str">
        <f>LEFT(Base_Periodo1[[#This Row],[CLASS]],3)</f>
        <v>2.1</v>
      </c>
    </row>
    <row r="2282" spans="1:23" hidden="1">
      <c r="A2282" s="3" t="str">
        <f t="shared" si="35"/>
        <v>Período 1</v>
      </c>
      <c r="B2282">
        <v>12644</v>
      </c>
      <c r="C2282" t="s">
        <v>1730</v>
      </c>
      <c r="D2282" t="s">
        <v>579</v>
      </c>
      <c r="E2282" s="3" t="str">
        <f>IF(LEN(Base_Periodo1[[#This Row],[CLASS]])&gt;=7,LEFT(Base_Periodo1[[#This Row],[CLASS]],7),"")</f>
        <v>2.1.2.1</v>
      </c>
      <c r="F2282" s="3" t="str">
        <f>VLOOKUP(Base_Periodo1[[#This Row],[Aux]],Base_Contas_Balanco[#All],2,FALSE)</f>
        <v>Fornecedores Cooperados</v>
      </c>
      <c r="G2282" s="1">
        <v>42885</v>
      </c>
      <c r="I2282" s="225">
        <v>71037.350000000006</v>
      </c>
      <c r="J2282" s="225">
        <v>71601.679999999993</v>
      </c>
      <c r="K2282" s="225">
        <v>564.33000000091852</v>
      </c>
      <c r="L22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564.33000000000004</v>
      </c>
      <c r="M2282" s="225">
        <f>ROUND(IF(AND(Base_Periodo1[[#This Row],[Tipo_Linha]]="-",Base_Periodo1[[#This Row],[TIPOSALDO]]="D"),Base_Periodo1[[#This Row],[SALDO_ATUAL]]*-1,Base_Periodo1[[#This Row],[SALDO_ATUAL]]),4)</f>
        <v>564.33000000000004</v>
      </c>
      <c r="N2282" t="s">
        <v>116</v>
      </c>
      <c r="O2282" t="s">
        <v>436</v>
      </c>
      <c r="P2282" t="s">
        <v>459</v>
      </c>
      <c r="Q2282">
        <v>7</v>
      </c>
      <c r="R2282" s="225">
        <f>Base_Periodo1[[#This Row],[CREDITOS]]-Base_Periodo1[[#This Row],[DEBITOS]]</f>
        <v>564.32999999998719</v>
      </c>
      <c r="S2282" s="3" t="str">
        <f>IF(ISERROR(VLOOKUP(Base_Periodo1[[#This Row],[CONTA]],BaseContasDRE[#All],4,FALSE)),"Fora do DRE",VLOOKUP(Base_Periodo1[[#This Row],[CONTA]],BaseContasDRE[#All],4,FALSE))</f>
        <v>Fora do DRE</v>
      </c>
      <c r="T2282" s="3" t="str">
        <f>IF(ISERROR(VLOOKUP(Base_Periodo1[[#This Row],[CONTA]],BaseContasDRE[#All],5,FALSE)),"Fora do DRE",VLOOKUP(Base_Periodo1[[#This Row],[CONTA]],BaseContasDRE[#All],6,FALSE))</f>
        <v>Fora do DRE</v>
      </c>
      <c r="U2282" s="3" t="str">
        <f>IF(ISERROR(VLOOKUP(Base_Periodo1[[#This Row],[CONTA]],BaseContasDRE[#All],7,FALSE)),"Fora do DRE",VLOOKUP(Base_Periodo1[[#This Row],[CONTA]],BaseContasDRE[#All],7,FALSE))</f>
        <v>Fora do DRE</v>
      </c>
      <c r="V2282" s="3" t="str">
        <f>IF(Base_Periodo1[[#This Row],[Tipo_Linha]]="Fora do DRE","Fora do DRE","( "&amp;Base_Periodo1[[#This Row],[Tipo_Linha]]&amp;" ) "&amp;Base_Periodo1[[#This Row],[Filtro]])</f>
        <v>Fora do DRE</v>
      </c>
      <c r="W2282" s="3" t="str">
        <f>LEFT(Base_Periodo1[[#This Row],[CLASS]],3)</f>
        <v>2.1</v>
      </c>
    </row>
    <row r="2283" spans="1:23" hidden="1">
      <c r="A2283" s="3" t="str">
        <f t="shared" si="35"/>
        <v>Período 1</v>
      </c>
      <c r="B2283">
        <v>27498</v>
      </c>
      <c r="C2283" t="s">
        <v>1730</v>
      </c>
      <c r="D2283" t="s">
        <v>580</v>
      </c>
      <c r="E2283" s="3" t="str">
        <f>IF(LEN(Base_Periodo1[[#This Row],[CLASS]])&gt;=7,LEFT(Base_Periodo1[[#This Row],[CLASS]],7),"")</f>
        <v>2.1.2.1</v>
      </c>
      <c r="F2283" s="3" t="str">
        <f>VLOOKUP(Base_Periodo1[[#This Row],[Aux]],Base_Contas_Balanco[#All],2,FALSE)</f>
        <v>Fornecedores Cooperados</v>
      </c>
      <c r="G2283" s="1">
        <v>42884</v>
      </c>
      <c r="H2283" s="225">
        <v>71321.020000000077</v>
      </c>
      <c r="I2283" s="225">
        <v>75817.049999999988</v>
      </c>
      <c r="J2283" s="225">
        <v>4496.03</v>
      </c>
      <c r="K2283" s="225">
        <v>-8.8220986071974039E-11</v>
      </c>
      <c r="L22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83" s="225">
        <f>ROUND(IF(AND(Base_Periodo1[[#This Row],[Tipo_Linha]]="-",Base_Periodo1[[#This Row],[TIPOSALDO]]="D"),Base_Periodo1[[#This Row],[SALDO_ATUAL]]*-1,Base_Periodo1[[#This Row],[SALDO_ATUAL]]),4)</f>
        <v>0</v>
      </c>
      <c r="N2283" t="s">
        <v>116</v>
      </c>
      <c r="O2283" t="s">
        <v>459</v>
      </c>
      <c r="P2283" t="s">
        <v>436</v>
      </c>
      <c r="Q2283">
        <v>7</v>
      </c>
      <c r="R2283" s="225">
        <f>Base_Periodo1[[#This Row],[CREDITOS]]-Base_Periodo1[[#This Row],[DEBITOS]]</f>
        <v>-71321.01999999999</v>
      </c>
      <c r="S2283" s="3" t="str">
        <f>IF(ISERROR(VLOOKUP(Base_Periodo1[[#This Row],[CONTA]],BaseContasDRE[#All],4,FALSE)),"Fora do DRE",VLOOKUP(Base_Periodo1[[#This Row],[CONTA]],BaseContasDRE[#All],4,FALSE))</f>
        <v>Fora do DRE</v>
      </c>
      <c r="T2283" s="3" t="str">
        <f>IF(ISERROR(VLOOKUP(Base_Periodo1[[#This Row],[CONTA]],BaseContasDRE[#All],5,FALSE)),"Fora do DRE",VLOOKUP(Base_Periodo1[[#This Row],[CONTA]],BaseContasDRE[#All],6,FALSE))</f>
        <v>Fora do DRE</v>
      </c>
      <c r="U2283" s="3" t="str">
        <f>IF(ISERROR(VLOOKUP(Base_Periodo1[[#This Row],[CONTA]],BaseContasDRE[#All],7,FALSE)),"Fora do DRE",VLOOKUP(Base_Periodo1[[#This Row],[CONTA]],BaseContasDRE[#All],7,FALSE))</f>
        <v>Fora do DRE</v>
      </c>
      <c r="V2283" s="3" t="str">
        <f>IF(Base_Periodo1[[#This Row],[Tipo_Linha]]="Fora do DRE","Fora do DRE","( "&amp;Base_Periodo1[[#This Row],[Tipo_Linha]]&amp;" ) "&amp;Base_Periodo1[[#This Row],[Filtro]])</f>
        <v>Fora do DRE</v>
      </c>
      <c r="W2283" s="3" t="str">
        <f>LEFT(Base_Periodo1[[#This Row],[CLASS]],3)</f>
        <v>2.1</v>
      </c>
    </row>
    <row r="2284" spans="1:23" hidden="1">
      <c r="A2284" s="3" t="str">
        <f t="shared" si="35"/>
        <v>Período 1</v>
      </c>
      <c r="B2284">
        <v>11635</v>
      </c>
      <c r="C2284" t="s">
        <v>1730</v>
      </c>
      <c r="D2284" t="s">
        <v>581</v>
      </c>
      <c r="E2284" s="3" t="str">
        <f>IF(LEN(Base_Periodo1[[#This Row],[CLASS]])&gt;=7,LEFT(Base_Periodo1[[#This Row],[CLASS]],7),"")</f>
        <v>2.1.2.1</v>
      </c>
      <c r="F2284" s="3" t="str">
        <f>VLOOKUP(Base_Periodo1[[#This Row],[Aux]],Base_Contas_Balanco[#All],2,FALSE)</f>
        <v>Fornecedores Cooperados</v>
      </c>
      <c r="G2284" s="1">
        <v>42884</v>
      </c>
      <c r="H2284" s="225">
        <v>308.09000000020023</v>
      </c>
      <c r="I2284" s="225">
        <v>308.08999999999997</v>
      </c>
      <c r="J2284" s="225">
        <v>0</v>
      </c>
      <c r="K2284" s="225">
        <v>-2.0025936464662664E-10</v>
      </c>
      <c r="L22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84" s="225">
        <f>ROUND(IF(AND(Base_Periodo1[[#This Row],[Tipo_Linha]]="-",Base_Periodo1[[#This Row],[TIPOSALDO]]="D"),Base_Periodo1[[#This Row],[SALDO_ATUAL]]*-1,Base_Periodo1[[#This Row],[SALDO_ATUAL]]),4)</f>
        <v>0</v>
      </c>
      <c r="N2284" t="s">
        <v>116</v>
      </c>
      <c r="O2284" t="s">
        <v>459</v>
      </c>
      <c r="P2284" t="s">
        <v>436</v>
      </c>
      <c r="Q2284">
        <v>7</v>
      </c>
      <c r="R2284" s="225">
        <f>Base_Periodo1[[#This Row],[CREDITOS]]-Base_Periodo1[[#This Row],[DEBITOS]]</f>
        <v>-308.08999999999997</v>
      </c>
      <c r="S2284" s="3" t="str">
        <f>IF(ISERROR(VLOOKUP(Base_Periodo1[[#This Row],[CONTA]],BaseContasDRE[#All],4,FALSE)),"Fora do DRE",VLOOKUP(Base_Periodo1[[#This Row],[CONTA]],BaseContasDRE[#All],4,FALSE))</f>
        <v>Fora do DRE</v>
      </c>
      <c r="T2284" s="3" t="str">
        <f>IF(ISERROR(VLOOKUP(Base_Periodo1[[#This Row],[CONTA]],BaseContasDRE[#All],5,FALSE)),"Fora do DRE",VLOOKUP(Base_Periodo1[[#This Row],[CONTA]],BaseContasDRE[#All],6,FALSE))</f>
        <v>Fora do DRE</v>
      </c>
      <c r="U2284" s="3" t="str">
        <f>IF(ISERROR(VLOOKUP(Base_Periodo1[[#This Row],[CONTA]],BaseContasDRE[#All],7,FALSE)),"Fora do DRE",VLOOKUP(Base_Periodo1[[#This Row],[CONTA]],BaseContasDRE[#All],7,FALSE))</f>
        <v>Fora do DRE</v>
      </c>
      <c r="V2284" s="3" t="str">
        <f>IF(Base_Periodo1[[#This Row],[Tipo_Linha]]="Fora do DRE","Fora do DRE","( "&amp;Base_Periodo1[[#This Row],[Tipo_Linha]]&amp;" ) "&amp;Base_Periodo1[[#This Row],[Filtro]])</f>
        <v>Fora do DRE</v>
      </c>
      <c r="W2284" s="3" t="str">
        <f>LEFT(Base_Periodo1[[#This Row],[CLASS]],3)</f>
        <v>2.1</v>
      </c>
    </row>
    <row r="2285" spans="1:23" hidden="1">
      <c r="A2285" s="3" t="str">
        <f t="shared" si="35"/>
        <v>Período 1</v>
      </c>
      <c r="B2285">
        <v>24012</v>
      </c>
      <c r="C2285" t="s">
        <v>1730</v>
      </c>
      <c r="D2285" t="s">
        <v>5375</v>
      </c>
      <c r="E2285" s="3" t="str">
        <f>IF(LEN(Base_Periodo1[[#This Row],[CLASS]])&gt;=7,LEFT(Base_Periodo1[[#This Row],[CLASS]],7),"")</f>
        <v>2.1.2.1</v>
      </c>
      <c r="F2285" s="3" t="str">
        <f>VLOOKUP(Base_Periodo1[[#This Row],[Aux]],Base_Contas_Balanco[#All],2,FALSE)</f>
        <v>Fornecedores Cooperados</v>
      </c>
      <c r="G2285" s="1">
        <v>42828</v>
      </c>
      <c r="H2285" s="225">
        <v>65.279999999998836</v>
      </c>
      <c r="I2285" s="225">
        <v>0</v>
      </c>
      <c r="J2285" s="225">
        <v>0</v>
      </c>
      <c r="K2285" s="225">
        <v>65.279999999998836</v>
      </c>
      <c r="L22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65.28</v>
      </c>
      <c r="M2285" s="225">
        <f>ROUND(IF(AND(Base_Periodo1[[#This Row],[Tipo_Linha]]="-",Base_Periodo1[[#This Row],[TIPOSALDO]]="D"),Base_Periodo1[[#This Row],[SALDO_ATUAL]]*-1,Base_Periodo1[[#This Row],[SALDO_ATUAL]]),4)</f>
        <v>65.28</v>
      </c>
      <c r="N2285" t="s">
        <v>116</v>
      </c>
      <c r="O2285" t="s">
        <v>459</v>
      </c>
      <c r="P2285" t="s">
        <v>459</v>
      </c>
      <c r="Q2285">
        <v>7</v>
      </c>
      <c r="R2285" s="225">
        <f>Base_Periodo1[[#This Row],[CREDITOS]]-Base_Periodo1[[#This Row],[DEBITOS]]</f>
        <v>0</v>
      </c>
      <c r="S2285" s="3" t="str">
        <f>IF(ISERROR(VLOOKUP(Base_Periodo1[[#This Row],[CONTA]],BaseContasDRE[#All],4,FALSE)),"Fora do DRE",VLOOKUP(Base_Periodo1[[#This Row],[CONTA]],BaseContasDRE[#All],4,FALSE))</f>
        <v>Fora do DRE</v>
      </c>
      <c r="T2285" s="3" t="str">
        <f>IF(ISERROR(VLOOKUP(Base_Periodo1[[#This Row],[CONTA]],BaseContasDRE[#All],5,FALSE)),"Fora do DRE",VLOOKUP(Base_Periodo1[[#This Row],[CONTA]],BaseContasDRE[#All],6,FALSE))</f>
        <v>Fora do DRE</v>
      </c>
      <c r="U2285" s="3" t="str">
        <f>IF(ISERROR(VLOOKUP(Base_Periodo1[[#This Row],[CONTA]],BaseContasDRE[#All],7,FALSE)),"Fora do DRE",VLOOKUP(Base_Periodo1[[#This Row],[CONTA]],BaseContasDRE[#All],7,FALSE))</f>
        <v>Fora do DRE</v>
      </c>
      <c r="V2285" s="3" t="str">
        <f>IF(Base_Periodo1[[#This Row],[Tipo_Linha]]="Fora do DRE","Fora do DRE","( "&amp;Base_Periodo1[[#This Row],[Tipo_Linha]]&amp;" ) "&amp;Base_Periodo1[[#This Row],[Filtro]])</f>
        <v>Fora do DRE</v>
      </c>
      <c r="W2285" s="3" t="str">
        <f>LEFT(Base_Periodo1[[#This Row],[CLASS]],3)</f>
        <v>2.1</v>
      </c>
    </row>
    <row r="2286" spans="1:23" hidden="1">
      <c r="A2286" s="3" t="str">
        <f t="shared" si="35"/>
        <v>Período 1</v>
      </c>
      <c r="B2286">
        <v>11691</v>
      </c>
      <c r="C2286" t="s">
        <v>1730</v>
      </c>
      <c r="D2286" t="s">
        <v>583</v>
      </c>
      <c r="E2286" s="3" t="str">
        <f>IF(LEN(Base_Periodo1[[#This Row],[CLASS]])&gt;=7,LEFT(Base_Periodo1[[#This Row],[CLASS]],7),"")</f>
        <v>2.1.2.1</v>
      </c>
      <c r="F2286" s="3" t="str">
        <f>VLOOKUP(Base_Periodo1[[#This Row],[Aux]],Base_Contas_Balanco[#All],2,FALSE)</f>
        <v>Fornecedores Cooperados</v>
      </c>
      <c r="G2286" s="1">
        <v>42864</v>
      </c>
      <c r="H2286" s="225">
        <v>2693.5899999999674</v>
      </c>
      <c r="I2286" s="225">
        <v>18046.96</v>
      </c>
      <c r="J2286" s="225">
        <v>15353.37</v>
      </c>
      <c r="K2286" s="225">
        <v>3.092281986027956E-11</v>
      </c>
      <c r="L22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86" s="225">
        <f>ROUND(IF(AND(Base_Periodo1[[#This Row],[Tipo_Linha]]="-",Base_Periodo1[[#This Row],[TIPOSALDO]]="D"),Base_Periodo1[[#This Row],[SALDO_ATUAL]]*-1,Base_Periodo1[[#This Row],[SALDO_ATUAL]]),4)</f>
        <v>0</v>
      </c>
      <c r="N2286" t="s">
        <v>116</v>
      </c>
      <c r="O2286" t="s">
        <v>459</v>
      </c>
      <c r="P2286" t="s">
        <v>436</v>
      </c>
      <c r="Q2286">
        <v>7</v>
      </c>
      <c r="R2286" s="225">
        <f>Base_Periodo1[[#This Row],[CREDITOS]]-Base_Periodo1[[#This Row],[DEBITOS]]</f>
        <v>-2693.5899999999983</v>
      </c>
      <c r="S2286" s="3" t="str">
        <f>IF(ISERROR(VLOOKUP(Base_Periodo1[[#This Row],[CONTA]],BaseContasDRE[#All],4,FALSE)),"Fora do DRE",VLOOKUP(Base_Periodo1[[#This Row],[CONTA]],BaseContasDRE[#All],4,FALSE))</f>
        <v>Fora do DRE</v>
      </c>
      <c r="T2286" s="3" t="str">
        <f>IF(ISERROR(VLOOKUP(Base_Periodo1[[#This Row],[CONTA]],BaseContasDRE[#All],5,FALSE)),"Fora do DRE",VLOOKUP(Base_Periodo1[[#This Row],[CONTA]],BaseContasDRE[#All],6,FALSE))</f>
        <v>Fora do DRE</v>
      </c>
      <c r="U2286" s="3" t="str">
        <f>IF(ISERROR(VLOOKUP(Base_Periodo1[[#This Row],[CONTA]],BaseContasDRE[#All],7,FALSE)),"Fora do DRE",VLOOKUP(Base_Periodo1[[#This Row],[CONTA]],BaseContasDRE[#All],7,FALSE))</f>
        <v>Fora do DRE</v>
      </c>
      <c r="V2286" s="3" t="str">
        <f>IF(Base_Periodo1[[#This Row],[Tipo_Linha]]="Fora do DRE","Fora do DRE","( "&amp;Base_Periodo1[[#This Row],[Tipo_Linha]]&amp;" ) "&amp;Base_Periodo1[[#This Row],[Filtro]])</f>
        <v>Fora do DRE</v>
      </c>
      <c r="W2286" s="3" t="str">
        <f>LEFT(Base_Periodo1[[#This Row],[CLASS]],3)</f>
        <v>2.1</v>
      </c>
    </row>
    <row r="2287" spans="1:23" hidden="1">
      <c r="A2287" s="3" t="str">
        <f t="shared" si="35"/>
        <v>Período 1</v>
      </c>
      <c r="B2287">
        <v>50607</v>
      </c>
      <c r="C2287" t="s">
        <v>1730</v>
      </c>
      <c r="D2287" t="s">
        <v>936</v>
      </c>
      <c r="E2287" s="3" t="str">
        <f>IF(LEN(Base_Periodo1[[#This Row],[CLASS]])&gt;=7,LEFT(Base_Periodo1[[#This Row],[CLASS]],7),"")</f>
        <v>2.1.2.1</v>
      </c>
      <c r="F2287" s="3" t="str">
        <f>VLOOKUP(Base_Periodo1[[#This Row],[Aux]],Base_Contas_Balanco[#All],2,FALSE)</f>
        <v>Fornecedores Cooperados</v>
      </c>
      <c r="G2287" s="1">
        <v>42867</v>
      </c>
      <c r="I2287" s="225">
        <v>100134</v>
      </c>
      <c r="J2287" s="225">
        <v>100134</v>
      </c>
      <c r="K2287" s="225">
        <v>0</v>
      </c>
      <c r="L22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87" s="225">
        <f>ROUND(IF(AND(Base_Periodo1[[#This Row],[Tipo_Linha]]="-",Base_Periodo1[[#This Row],[TIPOSALDO]]="D"),Base_Periodo1[[#This Row],[SALDO_ATUAL]]*-1,Base_Periodo1[[#This Row],[SALDO_ATUAL]]),4)</f>
        <v>0</v>
      </c>
      <c r="N2287" t="s">
        <v>116</v>
      </c>
      <c r="O2287" t="s">
        <v>436</v>
      </c>
      <c r="P2287" t="s">
        <v>436</v>
      </c>
      <c r="Q2287">
        <v>7</v>
      </c>
      <c r="R2287" s="225">
        <f>Base_Periodo1[[#This Row],[CREDITOS]]-Base_Periodo1[[#This Row],[DEBITOS]]</f>
        <v>0</v>
      </c>
      <c r="S2287" s="3" t="str">
        <f>IF(ISERROR(VLOOKUP(Base_Periodo1[[#This Row],[CONTA]],BaseContasDRE[#All],4,FALSE)),"Fora do DRE",VLOOKUP(Base_Periodo1[[#This Row],[CONTA]],BaseContasDRE[#All],4,FALSE))</f>
        <v>Fora do DRE</v>
      </c>
      <c r="T2287" s="3" t="str">
        <f>IF(ISERROR(VLOOKUP(Base_Periodo1[[#This Row],[CONTA]],BaseContasDRE[#All],5,FALSE)),"Fora do DRE",VLOOKUP(Base_Periodo1[[#This Row],[CONTA]],BaseContasDRE[#All],6,FALSE))</f>
        <v>Fora do DRE</v>
      </c>
      <c r="U2287" s="3" t="str">
        <f>IF(ISERROR(VLOOKUP(Base_Periodo1[[#This Row],[CONTA]],BaseContasDRE[#All],7,FALSE)),"Fora do DRE",VLOOKUP(Base_Periodo1[[#This Row],[CONTA]],BaseContasDRE[#All],7,FALSE))</f>
        <v>Fora do DRE</v>
      </c>
      <c r="V2287" s="3" t="str">
        <f>IF(Base_Periodo1[[#This Row],[Tipo_Linha]]="Fora do DRE","Fora do DRE","( "&amp;Base_Periodo1[[#This Row],[Tipo_Linha]]&amp;" ) "&amp;Base_Periodo1[[#This Row],[Filtro]])</f>
        <v>Fora do DRE</v>
      </c>
      <c r="W2287" s="3" t="str">
        <f>LEFT(Base_Periodo1[[#This Row],[CLASS]],3)</f>
        <v>2.1</v>
      </c>
    </row>
    <row r="2288" spans="1:23" hidden="1">
      <c r="A2288" s="3" t="str">
        <f t="shared" si="35"/>
        <v>Período 1</v>
      </c>
      <c r="B2288">
        <v>24416</v>
      </c>
      <c r="C2288" t="s">
        <v>1730</v>
      </c>
      <c r="D2288" t="s">
        <v>6842</v>
      </c>
      <c r="E2288" s="3" t="str">
        <f>IF(LEN(Base_Periodo1[[#This Row],[CLASS]])&gt;=7,LEFT(Base_Periodo1[[#This Row],[CLASS]],7),"")</f>
        <v>2.1.2.1</v>
      </c>
      <c r="F2288" s="3" t="str">
        <f>VLOOKUP(Base_Periodo1[[#This Row],[Aux]],Base_Contas_Balanco[#All],2,FALSE)</f>
        <v>Fornecedores Cooperados</v>
      </c>
      <c r="G2288" s="1">
        <v>42873</v>
      </c>
      <c r="I2288" s="225">
        <v>16377.310000000001</v>
      </c>
      <c r="J2288" s="225">
        <v>16377.31</v>
      </c>
      <c r="K2288" s="225">
        <v>1.8189894035458565E-12</v>
      </c>
      <c r="L22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88" s="225">
        <f>ROUND(IF(AND(Base_Periodo1[[#This Row],[Tipo_Linha]]="-",Base_Periodo1[[#This Row],[TIPOSALDO]]="D"),Base_Periodo1[[#This Row],[SALDO_ATUAL]]*-1,Base_Periodo1[[#This Row],[SALDO_ATUAL]]),4)</f>
        <v>0</v>
      </c>
      <c r="N2288" t="s">
        <v>116</v>
      </c>
      <c r="O2288" t="s">
        <v>436</v>
      </c>
      <c r="P2288" t="s">
        <v>436</v>
      </c>
      <c r="Q2288">
        <v>7</v>
      </c>
      <c r="R2288" s="225">
        <f>Base_Periodo1[[#This Row],[CREDITOS]]-Base_Periodo1[[#This Row],[DEBITOS]]</f>
        <v>0</v>
      </c>
      <c r="S2288" s="3" t="str">
        <f>IF(ISERROR(VLOOKUP(Base_Periodo1[[#This Row],[CONTA]],BaseContasDRE[#All],4,FALSE)),"Fora do DRE",VLOOKUP(Base_Periodo1[[#This Row],[CONTA]],BaseContasDRE[#All],4,FALSE))</f>
        <v>Fora do DRE</v>
      </c>
      <c r="T2288" s="3" t="str">
        <f>IF(ISERROR(VLOOKUP(Base_Periodo1[[#This Row],[CONTA]],BaseContasDRE[#All],5,FALSE)),"Fora do DRE",VLOOKUP(Base_Periodo1[[#This Row],[CONTA]],BaseContasDRE[#All],6,FALSE))</f>
        <v>Fora do DRE</v>
      </c>
      <c r="U2288" s="3" t="str">
        <f>IF(ISERROR(VLOOKUP(Base_Periodo1[[#This Row],[CONTA]],BaseContasDRE[#All],7,FALSE)),"Fora do DRE",VLOOKUP(Base_Periodo1[[#This Row],[CONTA]],BaseContasDRE[#All],7,FALSE))</f>
        <v>Fora do DRE</v>
      </c>
      <c r="V2288" s="3" t="str">
        <f>IF(Base_Periodo1[[#This Row],[Tipo_Linha]]="Fora do DRE","Fora do DRE","( "&amp;Base_Periodo1[[#This Row],[Tipo_Linha]]&amp;" ) "&amp;Base_Periodo1[[#This Row],[Filtro]])</f>
        <v>Fora do DRE</v>
      </c>
      <c r="W2288" s="3" t="str">
        <f>LEFT(Base_Periodo1[[#This Row],[CLASS]],3)</f>
        <v>2.1</v>
      </c>
    </row>
    <row r="2289" spans="1:23" hidden="1">
      <c r="A2289" s="3" t="str">
        <f t="shared" si="35"/>
        <v>Período 1</v>
      </c>
      <c r="B2289">
        <v>2853</v>
      </c>
      <c r="C2289" t="s">
        <v>1730</v>
      </c>
      <c r="D2289" t="s">
        <v>586</v>
      </c>
      <c r="E2289" s="3" t="str">
        <f>IF(LEN(Base_Periodo1[[#This Row],[CLASS]])&gt;=7,LEFT(Base_Periodo1[[#This Row],[CLASS]],7),"")</f>
        <v>2.1.2.1</v>
      </c>
      <c r="F2289" s="3" t="str">
        <f>VLOOKUP(Base_Periodo1[[#This Row],[Aux]],Base_Contas_Balanco[#All],2,FALSE)</f>
        <v>Fornecedores Cooperados</v>
      </c>
      <c r="G2289" s="1">
        <v>42835</v>
      </c>
      <c r="H2289" s="225">
        <v>965.1999999997206</v>
      </c>
      <c r="I2289" s="225">
        <v>0</v>
      </c>
      <c r="J2289" s="225">
        <v>0</v>
      </c>
      <c r="K2289" s="225">
        <v>965.1999999997206</v>
      </c>
      <c r="L22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965.2</v>
      </c>
      <c r="M2289" s="225">
        <f>ROUND(IF(AND(Base_Periodo1[[#This Row],[Tipo_Linha]]="-",Base_Periodo1[[#This Row],[TIPOSALDO]]="D"),Base_Periodo1[[#This Row],[SALDO_ATUAL]]*-1,Base_Periodo1[[#This Row],[SALDO_ATUAL]]),4)</f>
        <v>965.2</v>
      </c>
      <c r="N2289" t="s">
        <v>116</v>
      </c>
      <c r="O2289" t="s">
        <v>459</v>
      </c>
      <c r="P2289" t="s">
        <v>459</v>
      </c>
      <c r="Q2289">
        <v>7</v>
      </c>
      <c r="R2289" s="225">
        <f>Base_Periodo1[[#This Row],[CREDITOS]]-Base_Periodo1[[#This Row],[DEBITOS]]</f>
        <v>0</v>
      </c>
      <c r="S2289" s="3" t="str">
        <f>IF(ISERROR(VLOOKUP(Base_Periodo1[[#This Row],[CONTA]],BaseContasDRE[#All],4,FALSE)),"Fora do DRE",VLOOKUP(Base_Periodo1[[#This Row],[CONTA]],BaseContasDRE[#All],4,FALSE))</f>
        <v>Fora do DRE</v>
      </c>
      <c r="T2289" s="3" t="str">
        <f>IF(ISERROR(VLOOKUP(Base_Periodo1[[#This Row],[CONTA]],BaseContasDRE[#All],5,FALSE)),"Fora do DRE",VLOOKUP(Base_Periodo1[[#This Row],[CONTA]],BaseContasDRE[#All],6,FALSE))</f>
        <v>Fora do DRE</v>
      </c>
      <c r="U2289" s="3" t="str">
        <f>IF(ISERROR(VLOOKUP(Base_Periodo1[[#This Row],[CONTA]],BaseContasDRE[#All],7,FALSE)),"Fora do DRE",VLOOKUP(Base_Periodo1[[#This Row],[CONTA]],BaseContasDRE[#All],7,FALSE))</f>
        <v>Fora do DRE</v>
      </c>
      <c r="V2289" s="3" t="str">
        <f>IF(Base_Periodo1[[#This Row],[Tipo_Linha]]="Fora do DRE","Fora do DRE","( "&amp;Base_Periodo1[[#This Row],[Tipo_Linha]]&amp;" ) "&amp;Base_Periodo1[[#This Row],[Filtro]])</f>
        <v>Fora do DRE</v>
      </c>
      <c r="W2289" s="3" t="str">
        <f>LEFT(Base_Periodo1[[#This Row],[CLASS]],3)</f>
        <v>2.1</v>
      </c>
    </row>
    <row r="2290" spans="1:23" hidden="1">
      <c r="A2290" s="3" t="str">
        <f t="shared" si="35"/>
        <v>Período 1</v>
      </c>
      <c r="B2290">
        <v>38969</v>
      </c>
      <c r="C2290" t="s">
        <v>1730</v>
      </c>
      <c r="D2290" t="s">
        <v>587</v>
      </c>
      <c r="E2290" s="3" t="str">
        <f>IF(LEN(Base_Periodo1[[#This Row],[CLASS]])&gt;=7,LEFT(Base_Periodo1[[#This Row],[CLASS]],7),"")</f>
        <v>2.1.2.1</v>
      </c>
      <c r="F2290" s="3" t="str">
        <f>VLOOKUP(Base_Periodo1[[#This Row],[Aux]],Base_Contas_Balanco[#All],2,FALSE)</f>
        <v>Fornecedores Cooperados</v>
      </c>
      <c r="G2290" s="1">
        <v>42865</v>
      </c>
      <c r="H2290" s="225">
        <v>98675.180000000168</v>
      </c>
      <c r="I2290" s="225">
        <v>98867.579999999987</v>
      </c>
      <c r="J2290" s="225">
        <v>384.81</v>
      </c>
      <c r="K2290" s="225">
        <v>192.41000000018045</v>
      </c>
      <c r="L22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192.41</v>
      </c>
      <c r="M2290" s="225">
        <f>ROUND(IF(AND(Base_Periodo1[[#This Row],[Tipo_Linha]]="-",Base_Periodo1[[#This Row],[TIPOSALDO]]="D"),Base_Periodo1[[#This Row],[SALDO_ATUAL]]*-1,Base_Periodo1[[#This Row],[SALDO_ATUAL]]),4)</f>
        <v>192.41</v>
      </c>
      <c r="N2290" t="s">
        <v>116</v>
      </c>
      <c r="O2290" t="s">
        <v>459</v>
      </c>
      <c r="P2290" t="s">
        <v>459</v>
      </c>
      <c r="Q2290">
        <v>7</v>
      </c>
      <c r="R2290" s="225">
        <f>Base_Periodo1[[#This Row],[CREDITOS]]-Base_Periodo1[[#This Row],[DEBITOS]]</f>
        <v>-98482.76999999999</v>
      </c>
      <c r="S2290" s="3" t="str">
        <f>IF(ISERROR(VLOOKUP(Base_Periodo1[[#This Row],[CONTA]],BaseContasDRE[#All],4,FALSE)),"Fora do DRE",VLOOKUP(Base_Periodo1[[#This Row],[CONTA]],BaseContasDRE[#All],4,FALSE))</f>
        <v>Fora do DRE</v>
      </c>
      <c r="T2290" s="3" t="str">
        <f>IF(ISERROR(VLOOKUP(Base_Periodo1[[#This Row],[CONTA]],BaseContasDRE[#All],5,FALSE)),"Fora do DRE",VLOOKUP(Base_Periodo1[[#This Row],[CONTA]],BaseContasDRE[#All],6,FALSE))</f>
        <v>Fora do DRE</v>
      </c>
      <c r="U2290" s="3" t="str">
        <f>IF(ISERROR(VLOOKUP(Base_Periodo1[[#This Row],[CONTA]],BaseContasDRE[#All],7,FALSE)),"Fora do DRE",VLOOKUP(Base_Periodo1[[#This Row],[CONTA]],BaseContasDRE[#All],7,FALSE))</f>
        <v>Fora do DRE</v>
      </c>
      <c r="V2290" s="3" t="str">
        <f>IF(Base_Periodo1[[#This Row],[Tipo_Linha]]="Fora do DRE","Fora do DRE","( "&amp;Base_Periodo1[[#This Row],[Tipo_Linha]]&amp;" ) "&amp;Base_Periodo1[[#This Row],[Filtro]])</f>
        <v>Fora do DRE</v>
      </c>
      <c r="W2290" s="3" t="str">
        <f>LEFT(Base_Periodo1[[#This Row],[CLASS]],3)</f>
        <v>2.1</v>
      </c>
    </row>
    <row r="2291" spans="1:23" hidden="1">
      <c r="A2291" s="3" t="str">
        <f t="shared" si="35"/>
        <v>Período 1</v>
      </c>
      <c r="B2291">
        <v>5261</v>
      </c>
      <c r="C2291" t="s">
        <v>1730</v>
      </c>
      <c r="D2291" t="s">
        <v>4193</v>
      </c>
      <c r="E2291" s="3" t="str">
        <f>IF(LEN(Base_Periodo1[[#This Row],[CLASS]])&gt;=7,LEFT(Base_Periodo1[[#This Row],[CLASS]],7),"")</f>
        <v>2.1.2.1</v>
      </c>
      <c r="F2291" s="3" t="str">
        <f>VLOOKUP(Base_Periodo1[[#This Row],[Aux]],Base_Contas_Balanco[#All],2,FALSE)</f>
        <v>Fornecedores Cooperados</v>
      </c>
      <c r="G2291" s="1">
        <v>42884</v>
      </c>
      <c r="H2291" s="225">
        <v>107.91000000201166</v>
      </c>
      <c r="I2291" s="225">
        <v>495003.06</v>
      </c>
      <c r="J2291" s="225">
        <v>496529.28</v>
      </c>
      <c r="K2291" s="225">
        <v>1634.1300000020419</v>
      </c>
      <c r="L22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1634.13</v>
      </c>
      <c r="M2291" s="225">
        <f>ROUND(IF(AND(Base_Periodo1[[#This Row],[Tipo_Linha]]="-",Base_Periodo1[[#This Row],[TIPOSALDO]]="D"),Base_Periodo1[[#This Row],[SALDO_ATUAL]]*-1,Base_Periodo1[[#This Row],[SALDO_ATUAL]]),4)</f>
        <v>1634.13</v>
      </c>
      <c r="N2291" t="s">
        <v>116</v>
      </c>
      <c r="O2291" t="s">
        <v>459</v>
      </c>
      <c r="P2291" t="s">
        <v>459</v>
      </c>
      <c r="Q2291">
        <v>7</v>
      </c>
      <c r="R2291" s="225">
        <f>Base_Periodo1[[#This Row],[CREDITOS]]-Base_Periodo1[[#This Row],[DEBITOS]]</f>
        <v>1526.2200000000303</v>
      </c>
      <c r="S2291" s="3" t="str">
        <f>IF(ISERROR(VLOOKUP(Base_Periodo1[[#This Row],[CONTA]],BaseContasDRE[#All],4,FALSE)),"Fora do DRE",VLOOKUP(Base_Periodo1[[#This Row],[CONTA]],BaseContasDRE[#All],4,FALSE))</f>
        <v>Fora do DRE</v>
      </c>
      <c r="T2291" s="3" t="str">
        <f>IF(ISERROR(VLOOKUP(Base_Periodo1[[#This Row],[CONTA]],BaseContasDRE[#All],5,FALSE)),"Fora do DRE",VLOOKUP(Base_Periodo1[[#This Row],[CONTA]],BaseContasDRE[#All],6,FALSE))</f>
        <v>Fora do DRE</v>
      </c>
      <c r="U2291" s="3" t="str">
        <f>IF(ISERROR(VLOOKUP(Base_Periodo1[[#This Row],[CONTA]],BaseContasDRE[#All],7,FALSE)),"Fora do DRE",VLOOKUP(Base_Periodo1[[#This Row],[CONTA]],BaseContasDRE[#All],7,FALSE))</f>
        <v>Fora do DRE</v>
      </c>
      <c r="V2291" s="3" t="str">
        <f>IF(Base_Periodo1[[#This Row],[Tipo_Linha]]="Fora do DRE","Fora do DRE","( "&amp;Base_Periodo1[[#This Row],[Tipo_Linha]]&amp;" ) "&amp;Base_Periodo1[[#This Row],[Filtro]])</f>
        <v>Fora do DRE</v>
      </c>
      <c r="W2291" s="3" t="str">
        <f>LEFT(Base_Periodo1[[#This Row],[CLASS]],3)</f>
        <v>2.1</v>
      </c>
    </row>
    <row r="2292" spans="1:23" hidden="1">
      <c r="A2292" s="3" t="str">
        <f t="shared" si="35"/>
        <v>Período 1</v>
      </c>
      <c r="B2292">
        <v>4165</v>
      </c>
      <c r="C2292" t="s">
        <v>1730</v>
      </c>
      <c r="D2292" t="s">
        <v>588</v>
      </c>
      <c r="E2292" s="3" t="str">
        <f>IF(LEN(Base_Periodo1[[#This Row],[CLASS]])&gt;=7,LEFT(Base_Periodo1[[#This Row],[CLASS]],7),"")</f>
        <v>2.1.2.1</v>
      </c>
      <c r="F2292" s="3" t="str">
        <f>VLOOKUP(Base_Periodo1[[#This Row],[Aux]],Base_Contas_Balanco[#All],2,FALSE)</f>
        <v>Fornecedores Cooperados</v>
      </c>
      <c r="G2292" s="1">
        <v>42873</v>
      </c>
      <c r="I2292" s="225">
        <v>3095</v>
      </c>
      <c r="J2292" s="225">
        <v>3095</v>
      </c>
      <c r="K2292" s="225">
        <v>2.9103830456733704E-11</v>
      </c>
      <c r="L22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92" s="225">
        <f>ROUND(IF(AND(Base_Periodo1[[#This Row],[Tipo_Linha]]="-",Base_Periodo1[[#This Row],[TIPOSALDO]]="D"),Base_Periodo1[[#This Row],[SALDO_ATUAL]]*-1,Base_Periodo1[[#This Row],[SALDO_ATUAL]]),4)</f>
        <v>0</v>
      </c>
      <c r="N2292" t="s">
        <v>116</v>
      </c>
      <c r="O2292" t="s">
        <v>436</v>
      </c>
      <c r="P2292" t="s">
        <v>436</v>
      </c>
      <c r="Q2292">
        <v>7</v>
      </c>
      <c r="R2292" s="225">
        <f>Base_Periodo1[[#This Row],[CREDITOS]]-Base_Periodo1[[#This Row],[DEBITOS]]</f>
        <v>0</v>
      </c>
      <c r="S2292" s="3" t="str">
        <f>IF(ISERROR(VLOOKUP(Base_Periodo1[[#This Row],[CONTA]],BaseContasDRE[#All],4,FALSE)),"Fora do DRE",VLOOKUP(Base_Periodo1[[#This Row],[CONTA]],BaseContasDRE[#All],4,FALSE))</f>
        <v>Fora do DRE</v>
      </c>
      <c r="T2292" s="3" t="str">
        <f>IF(ISERROR(VLOOKUP(Base_Periodo1[[#This Row],[CONTA]],BaseContasDRE[#All],5,FALSE)),"Fora do DRE",VLOOKUP(Base_Periodo1[[#This Row],[CONTA]],BaseContasDRE[#All],6,FALSE))</f>
        <v>Fora do DRE</v>
      </c>
      <c r="U2292" s="3" t="str">
        <f>IF(ISERROR(VLOOKUP(Base_Periodo1[[#This Row],[CONTA]],BaseContasDRE[#All],7,FALSE)),"Fora do DRE",VLOOKUP(Base_Periodo1[[#This Row],[CONTA]],BaseContasDRE[#All],7,FALSE))</f>
        <v>Fora do DRE</v>
      </c>
      <c r="V2292" s="3" t="str">
        <f>IF(Base_Periodo1[[#This Row],[Tipo_Linha]]="Fora do DRE","Fora do DRE","( "&amp;Base_Periodo1[[#This Row],[Tipo_Linha]]&amp;" ) "&amp;Base_Periodo1[[#This Row],[Filtro]])</f>
        <v>Fora do DRE</v>
      </c>
      <c r="W2292" s="3" t="str">
        <f>LEFT(Base_Periodo1[[#This Row],[CLASS]],3)</f>
        <v>2.1</v>
      </c>
    </row>
    <row r="2293" spans="1:23" hidden="1">
      <c r="A2293" s="3" t="str">
        <f t="shared" si="35"/>
        <v>Período 1</v>
      </c>
      <c r="B2293">
        <v>4529</v>
      </c>
      <c r="C2293" t="s">
        <v>1730</v>
      </c>
      <c r="D2293" t="s">
        <v>590</v>
      </c>
      <c r="E2293" s="3" t="str">
        <f>IF(LEN(Base_Periodo1[[#This Row],[CLASS]])&gt;=7,LEFT(Base_Periodo1[[#This Row],[CLASS]],7),"")</f>
        <v>2.1.2.1</v>
      </c>
      <c r="F2293" s="3" t="str">
        <f>VLOOKUP(Base_Periodo1[[#This Row],[Aux]],Base_Contas_Balanco[#All],2,FALSE)</f>
        <v>Fornecedores Cooperados</v>
      </c>
      <c r="G2293" s="1">
        <v>42884</v>
      </c>
      <c r="I2293" s="225">
        <v>84284.459999999992</v>
      </c>
      <c r="J2293" s="225">
        <v>84284.459999999992</v>
      </c>
      <c r="K2293" s="225">
        <v>3.7252902984619141E-9</v>
      </c>
      <c r="L22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93" s="225">
        <f>ROUND(IF(AND(Base_Periodo1[[#This Row],[Tipo_Linha]]="-",Base_Periodo1[[#This Row],[TIPOSALDO]]="D"),Base_Periodo1[[#This Row],[SALDO_ATUAL]]*-1,Base_Periodo1[[#This Row],[SALDO_ATUAL]]),4)</f>
        <v>0</v>
      </c>
      <c r="N2293" t="s">
        <v>116</v>
      </c>
      <c r="O2293" t="s">
        <v>436</v>
      </c>
      <c r="P2293" t="s">
        <v>436</v>
      </c>
      <c r="Q2293">
        <v>7</v>
      </c>
      <c r="R2293" s="225">
        <f>Base_Periodo1[[#This Row],[CREDITOS]]-Base_Periodo1[[#This Row],[DEBITOS]]</f>
        <v>0</v>
      </c>
      <c r="S2293" s="3" t="str">
        <f>IF(ISERROR(VLOOKUP(Base_Periodo1[[#This Row],[CONTA]],BaseContasDRE[#All],4,FALSE)),"Fora do DRE",VLOOKUP(Base_Periodo1[[#This Row],[CONTA]],BaseContasDRE[#All],4,FALSE))</f>
        <v>Fora do DRE</v>
      </c>
      <c r="T2293" s="3" t="str">
        <f>IF(ISERROR(VLOOKUP(Base_Periodo1[[#This Row],[CONTA]],BaseContasDRE[#All],5,FALSE)),"Fora do DRE",VLOOKUP(Base_Periodo1[[#This Row],[CONTA]],BaseContasDRE[#All],6,FALSE))</f>
        <v>Fora do DRE</v>
      </c>
      <c r="U2293" s="3" t="str">
        <f>IF(ISERROR(VLOOKUP(Base_Periodo1[[#This Row],[CONTA]],BaseContasDRE[#All],7,FALSE)),"Fora do DRE",VLOOKUP(Base_Periodo1[[#This Row],[CONTA]],BaseContasDRE[#All],7,FALSE))</f>
        <v>Fora do DRE</v>
      </c>
      <c r="V2293" s="3" t="str">
        <f>IF(Base_Periodo1[[#This Row],[Tipo_Linha]]="Fora do DRE","Fora do DRE","( "&amp;Base_Periodo1[[#This Row],[Tipo_Linha]]&amp;" ) "&amp;Base_Periodo1[[#This Row],[Filtro]])</f>
        <v>Fora do DRE</v>
      </c>
      <c r="W2293" s="3" t="str">
        <f>LEFT(Base_Periodo1[[#This Row],[CLASS]],3)</f>
        <v>2.1</v>
      </c>
    </row>
    <row r="2294" spans="1:23" hidden="1">
      <c r="A2294" s="3" t="str">
        <f t="shared" si="35"/>
        <v>Período 1</v>
      </c>
      <c r="B2294">
        <v>25607</v>
      </c>
      <c r="C2294" t="s">
        <v>1730</v>
      </c>
      <c r="D2294" t="s">
        <v>4904</v>
      </c>
      <c r="E2294" s="3" t="str">
        <f>IF(LEN(Base_Periodo1[[#This Row],[CLASS]])&gt;=7,LEFT(Base_Periodo1[[#This Row],[CLASS]],7),"")</f>
        <v>2.1.2.1</v>
      </c>
      <c r="F2294" s="3" t="str">
        <f>VLOOKUP(Base_Periodo1[[#This Row],[Aux]],Base_Contas_Balanco[#All],2,FALSE)</f>
        <v>Fornecedores Cooperados</v>
      </c>
      <c r="G2294" s="1">
        <v>42873</v>
      </c>
      <c r="I2294" s="225">
        <v>130900</v>
      </c>
      <c r="J2294" s="225">
        <v>130900</v>
      </c>
      <c r="K2294" s="225">
        <v>1.1641532182693481E-10</v>
      </c>
      <c r="L22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94" s="225">
        <f>ROUND(IF(AND(Base_Periodo1[[#This Row],[Tipo_Linha]]="-",Base_Periodo1[[#This Row],[TIPOSALDO]]="D"),Base_Periodo1[[#This Row],[SALDO_ATUAL]]*-1,Base_Periodo1[[#This Row],[SALDO_ATUAL]]),4)</f>
        <v>0</v>
      </c>
      <c r="N2294" t="s">
        <v>116</v>
      </c>
      <c r="O2294" t="s">
        <v>436</v>
      </c>
      <c r="P2294" t="s">
        <v>436</v>
      </c>
      <c r="Q2294">
        <v>7</v>
      </c>
      <c r="R2294" s="225">
        <f>Base_Periodo1[[#This Row],[CREDITOS]]-Base_Periodo1[[#This Row],[DEBITOS]]</f>
        <v>0</v>
      </c>
      <c r="S2294" s="3" t="str">
        <f>IF(ISERROR(VLOOKUP(Base_Periodo1[[#This Row],[CONTA]],BaseContasDRE[#All],4,FALSE)),"Fora do DRE",VLOOKUP(Base_Periodo1[[#This Row],[CONTA]],BaseContasDRE[#All],4,FALSE))</f>
        <v>Fora do DRE</v>
      </c>
      <c r="T2294" s="3" t="str">
        <f>IF(ISERROR(VLOOKUP(Base_Periodo1[[#This Row],[CONTA]],BaseContasDRE[#All],5,FALSE)),"Fora do DRE",VLOOKUP(Base_Periodo1[[#This Row],[CONTA]],BaseContasDRE[#All],6,FALSE))</f>
        <v>Fora do DRE</v>
      </c>
      <c r="U2294" s="3" t="str">
        <f>IF(ISERROR(VLOOKUP(Base_Periodo1[[#This Row],[CONTA]],BaseContasDRE[#All],7,FALSE)),"Fora do DRE",VLOOKUP(Base_Periodo1[[#This Row],[CONTA]],BaseContasDRE[#All],7,FALSE))</f>
        <v>Fora do DRE</v>
      </c>
      <c r="V2294" s="3" t="str">
        <f>IF(Base_Periodo1[[#This Row],[Tipo_Linha]]="Fora do DRE","Fora do DRE","( "&amp;Base_Periodo1[[#This Row],[Tipo_Linha]]&amp;" ) "&amp;Base_Periodo1[[#This Row],[Filtro]])</f>
        <v>Fora do DRE</v>
      </c>
      <c r="W2294" s="3" t="str">
        <f>LEFT(Base_Periodo1[[#This Row],[CLASS]],3)</f>
        <v>2.1</v>
      </c>
    </row>
    <row r="2295" spans="1:23" hidden="1">
      <c r="A2295" s="3" t="str">
        <f t="shared" si="35"/>
        <v>Período 1</v>
      </c>
      <c r="B2295">
        <v>53681</v>
      </c>
      <c r="C2295" t="s">
        <v>1730</v>
      </c>
      <c r="D2295" t="s">
        <v>4771</v>
      </c>
      <c r="E2295" s="3" t="str">
        <f>IF(LEN(Base_Periodo1[[#This Row],[CLASS]])&gt;=7,LEFT(Base_Periodo1[[#This Row],[CLASS]],7),"")</f>
        <v>2.1.2.1</v>
      </c>
      <c r="F2295" s="3" t="str">
        <f>VLOOKUP(Base_Periodo1[[#This Row],[Aux]],Base_Contas_Balanco[#All],2,FALSE)</f>
        <v>Fornecedores Cooperados</v>
      </c>
      <c r="G2295" s="1">
        <v>42879</v>
      </c>
      <c r="I2295" s="225">
        <v>7689.9000000000005</v>
      </c>
      <c r="J2295" s="225">
        <v>7689.9</v>
      </c>
      <c r="K2295" s="225">
        <v>-1.3642420526593924E-11</v>
      </c>
      <c r="L22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95" s="225">
        <f>ROUND(IF(AND(Base_Periodo1[[#This Row],[Tipo_Linha]]="-",Base_Periodo1[[#This Row],[TIPOSALDO]]="D"),Base_Periodo1[[#This Row],[SALDO_ATUAL]]*-1,Base_Periodo1[[#This Row],[SALDO_ATUAL]]),4)</f>
        <v>0</v>
      </c>
      <c r="N2295" t="s">
        <v>116</v>
      </c>
      <c r="O2295" t="s">
        <v>436</v>
      </c>
      <c r="P2295" t="s">
        <v>436</v>
      </c>
      <c r="Q2295">
        <v>7</v>
      </c>
      <c r="R2295" s="225">
        <f>Base_Periodo1[[#This Row],[CREDITOS]]-Base_Periodo1[[#This Row],[DEBITOS]]</f>
        <v>0</v>
      </c>
      <c r="S2295" s="3" t="str">
        <f>IF(ISERROR(VLOOKUP(Base_Periodo1[[#This Row],[CONTA]],BaseContasDRE[#All],4,FALSE)),"Fora do DRE",VLOOKUP(Base_Periodo1[[#This Row],[CONTA]],BaseContasDRE[#All],4,FALSE))</f>
        <v>Fora do DRE</v>
      </c>
      <c r="T2295" s="3" t="str">
        <f>IF(ISERROR(VLOOKUP(Base_Periodo1[[#This Row],[CONTA]],BaseContasDRE[#All],5,FALSE)),"Fora do DRE",VLOOKUP(Base_Periodo1[[#This Row],[CONTA]],BaseContasDRE[#All],6,FALSE))</f>
        <v>Fora do DRE</v>
      </c>
      <c r="U2295" s="3" t="str">
        <f>IF(ISERROR(VLOOKUP(Base_Periodo1[[#This Row],[CONTA]],BaseContasDRE[#All],7,FALSE)),"Fora do DRE",VLOOKUP(Base_Periodo1[[#This Row],[CONTA]],BaseContasDRE[#All],7,FALSE))</f>
        <v>Fora do DRE</v>
      </c>
      <c r="V2295" s="3" t="str">
        <f>IF(Base_Periodo1[[#This Row],[Tipo_Linha]]="Fora do DRE","Fora do DRE","( "&amp;Base_Periodo1[[#This Row],[Tipo_Linha]]&amp;" ) "&amp;Base_Periodo1[[#This Row],[Filtro]])</f>
        <v>Fora do DRE</v>
      </c>
      <c r="W2295" s="3" t="str">
        <f>LEFT(Base_Periodo1[[#This Row],[CLASS]],3)</f>
        <v>2.1</v>
      </c>
    </row>
    <row r="2296" spans="1:23" hidden="1">
      <c r="A2296" s="3" t="str">
        <f t="shared" si="35"/>
        <v>Período 1</v>
      </c>
      <c r="B2296">
        <v>9155</v>
      </c>
      <c r="C2296" t="s">
        <v>1730</v>
      </c>
      <c r="D2296" t="s">
        <v>6337</v>
      </c>
      <c r="E2296" s="3" t="str">
        <f>IF(LEN(Base_Periodo1[[#This Row],[CLASS]])&gt;=7,LEFT(Base_Periodo1[[#This Row],[CLASS]],7),"")</f>
        <v>2.1.2.1</v>
      </c>
      <c r="F2296" s="3" t="str">
        <f>VLOOKUP(Base_Periodo1[[#This Row],[Aux]],Base_Contas_Balanco[#All],2,FALSE)</f>
        <v>Fornecedores Cooperados</v>
      </c>
      <c r="G2296" s="1">
        <v>42874</v>
      </c>
      <c r="I2296" s="225">
        <v>6766.67</v>
      </c>
      <c r="J2296" s="225">
        <v>6766.67</v>
      </c>
      <c r="K2296" s="225">
        <v>0</v>
      </c>
      <c r="L22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96" s="225">
        <f>ROUND(IF(AND(Base_Periodo1[[#This Row],[Tipo_Linha]]="-",Base_Periodo1[[#This Row],[TIPOSALDO]]="D"),Base_Periodo1[[#This Row],[SALDO_ATUAL]]*-1,Base_Periodo1[[#This Row],[SALDO_ATUAL]]),4)</f>
        <v>0</v>
      </c>
      <c r="N2296" t="s">
        <v>116</v>
      </c>
      <c r="O2296" t="s">
        <v>436</v>
      </c>
      <c r="P2296" t="s">
        <v>436</v>
      </c>
      <c r="Q2296">
        <v>7</v>
      </c>
      <c r="R2296" s="225">
        <f>Base_Periodo1[[#This Row],[CREDITOS]]-Base_Periodo1[[#This Row],[DEBITOS]]</f>
        <v>0</v>
      </c>
      <c r="S2296" s="3" t="str">
        <f>IF(ISERROR(VLOOKUP(Base_Periodo1[[#This Row],[CONTA]],BaseContasDRE[#All],4,FALSE)),"Fora do DRE",VLOOKUP(Base_Periodo1[[#This Row],[CONTA]],BaseContasDRE[#All],4,FALSE))</f>
        <v>Fora do DRE</v>
      </c>
      <c r="T2296" s="3" t="str">
        <f>IF(ISERROR(VLOOKUP(Base_Periodo1[[#This Row],[CONTA]],BaseContasDRE[#All],5,FALSE)),"Fora do DRE",VLOOKUP(Base_Periodo1[[#This Row],[CONTA]],BaseContasDRE[#All],6,FALSE))</f>
        <v>Fora do DRE</v>
      </c>
      <c r="U2296" s="3" t="str">
        <f>IF(ISERROR(VLOOKUP(Base_Periodo1[[#This Row],[CONTA]],BaseContasDRE[#All],7,FALSE)),"Fora do DRE",VLOOKUP(Base_Periodo1[[#This Row],[CONTA]],BaseContasDRE[#All],7,FALSE))</f>
        <v>Fora do DRE</v>
      </c>
      <c r="V2296" s="3" t="str">
        <f>IF(Base_Periodo1[[#This Row],[Tipo_Linha]]="Fora do DRE","Fora do DRE","( "&amp;Base_Periodo1[[#This Row],[Tipo_Linha]]&amp;" ) "&amp;Base_Periodo1[[#This Row],[Filtro]])</f>
        <v>Fora do DRE</v>
      </c>
      <c r="W2296" s="3" t="str">
        <f>LEFT(Base_Periodo1[[#This Row],[CLASS]],3)</f>
        <v>2.1</v>
      </c>
    </row>
    <row r="2297" spans="1:23" hidden="1">
      <c r="A2297" s="3" t="str">
        <f t="shared" si="35"/>
        <v>Período 1</v>
      </c>
      <c r="B2297">
        <v>4509</v>
      </c>
      <c r="C2297" t="s">
        <v>1730</v>
      </c>
      <c r="D2297" t="s">
        <v>591</v>
      </c>
      <c r="E2297" s="3" t="str">
        <f>IF(LEN(Base_Periodo1[[#This Row],[CLASS]])&gt;=7,LEFT(Base_Periodo1[[#This Row],[CLASS]],7),"")</f>
        <v>2.1.2.1</v>
      </c>
      <c r="F2297" s="3" t="str">
        <f>VLOOKUP(Base_Periodo1[[#This Row],[Aux]],Base_Contas_Balanco[#All],2,FALSE)</f>
        <v>Fornecedores Cooperados</v>
      </c>
      <c r="G2297" s="1">
        <v>42881</v>
      </c>
      <c r="I2297" s="225">
        <v>466168.78</v>
      </c>
      <c r="J2297" s="225">
        <v>925568.78</v>
      </c>
      <c r="K2297" s="225">
        <v>459400.00000001118</v>
      </c>
      <c r="L22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459400</v>
      </c>
      <c r="M2297" s="225">
        <f>ROUND(IF(AND(Base_Periodo1[[#This Row],[Tipo_Linha]]="-",Base_Periodo1[[#This Row],[TIPOSALDO]]="D"),Base_Periodo1[[#This Row],[SALDO_ATUAL]]*-1,Base_Periodo1[[#This Row],[SALDO_ATUAL]]),4)</f>
        <v>459400</v>
      </c>
      <c r="N2297" t="s">
        <v>116</v>
      </c>
      <c r="O2297" t="s">
        <v>436</v>
      </c>
      <c r="P2297" t="s">
        <v>459</v>
      </c>
      <c r="Q2297">
        <v>7</v>
      </c>
      <c r="R2297" s="225">
        <f>Base_Periodo1[[#This Row],[CREDITOS]]-Base_Periodo1[[#This Row],[DEBITOS]]</f>
        <v>459400</v>
      </c>
      <c r="S2297" s="3" t="str">
        <f>IF(ISERROR(VLOOKUP(Base_Periodo1[[#This Row],[CONTA]],BaseContasDRE[#All],4,FALSE)),"Fora do DRE",VLOOKUP(Base_Periodo1[[#This Row],[CONTA]],BaseContasDRE[#All],4,FALSE))</f>
        <v>Fora do DRE</v>
      </c>
      <c r="T2297" s="3" t="str">
        <f>IF(ISERROR(VLOOKUP(Base_Periodo1[[#This Row],[CONTA]],BaseContasDRE[#All],5,FALSE)),"Fora do DRE",VLOOKUP(Base_Periodo1[[#This Row],[CONTA]],BaseContasDRE[#All],6,FALSE))</f>
        <v>Fora do DRE</v>
      </c>
      <c r="U2297" s="3" t="str">
        <f>IF(ISERROR(VLOOKUP(Base_Periodo1[[#This Row],[CONTA]],BaseContasDRE[#All],7,FALSE)),"Fora do DRE",VLOOKUP(Base_Periodo1[[#This Row],[CONTA]],BaseContasDRE[#All],7,FALSE))</f>
        <v>Fora do DRE</v>
      </c>
      <c r="V2297" s="3" t="str">
        <f>IF(Base_Periodo1[[#This Row],[Tipo_Linha]]="Fora do DRE","Fora do DRE","( "&amp;Base_Periodo1[[#This Row],[Tipo_Linha]]&amp;" ) "&amp;Base_Periodo1[[#This Row],[Filtro]])</f>
        <v>Fora do DRE</v>
      </c>
      <c r="W2297" s="3" t="str">
        <f>LEFT(Base_Periodo1[[#This Row],[CLASS]],3)</f>
        <v>2.1</v>
      </c>
    </row>
    <row r="2298" spans="1:23" hidden="1">
      <c r="A2298" s="3" t="str">
        <f t="shared" si="35"/>
        <v>Período 1</v>
      </c>
      <c r="B2298">
        <v>3561</v>
      </c>
      <c r="C2298" t="s">
        <v>1730</v>
      </c>
      <c r="D2298" t="s">
        <v>592</v>
      </c>
      <c r="E2298" s="3" t="str">
        <f>IF(LEN(Base_Periodo1[[#This Row],[CLASS]])&gt;=7,LEFT(Base_Periodo1[[#This Row],[CLASS]],7),"")</f>
        <v>2.1.2.1</v>
      </c>
      <c r="F2298" s="3" t="str">
        <f>VLOOKUP(Base_Periodo1[[#This Row],[Aux]],Base_Contas_Balanco[#All],2,FALSE)</f>
        <v>Fornecedores Cooperados</v>
      </c>
      <c r="G2298" s="1">
        <v>42886</v>
      </c>
      <c r="H2298" s="225">
        <v>10473.919999999925</v>
      </c>
      <c r="I2298" s="225">
        <v>696340.79999999981</v>
      </c>
      <c r="J2298" s="225">
        <v>685925.45000000007</v>
      </c>
      <c r="K2298" s="225">
        <v>58.570000000181608</v>
      </c>
      <c r="L22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58.57</v>
      </c>
      <c r="M2298" s="225">
        <f>ROUND(IF(AND(Base_Periodo1[[#This Row],[Tipo_Linha]]="-",Base_Periodo1[[#This Row],[TIPOSALDO]]="D"),Base_Periodo1[[#This Row],[SALDO_ATUAL]]*-1,Base_Periodo1[[#This Row],[SALDO_ATUAL]]),4)</f>
        <v>58.57</v>
      </c>
      <c r="N2298" t="s">
        <v>116</v>
      </c>
      <c r="O2298" t="s">
        <v>459</v>
      </c>
      <c r="P2298" t="s">
        <v>459</v>
      </c>
      <c r="Q2298">
        <v>7</v>
      </c>
      <c r="R2298" s="225">
        <f>Base_Periodo1[[#This Row],[CREDITOS]]-Base_Periodo1[[#This Row],[DEBITOS]]</f>
        <v>-10415.349999999744</v>
      </c>
      <c r="S2298" s="3" t="str">
        <f>IF(ISERROR(VLOOKUP(Base_Periodo1[[#This Row],[CONTA]],BaseContasDRE[#All],4,FALSE)),"Fora do DRE",VLOOKUP(Base_Periodo1[[#This Row],[CONTA]],BaseContasDRE[#All],4,FALSE))</f>
        <v>Fora do DRE</v>
      </c>
      <c r="T2298" s="3" t="str">
        <f>IF(ISERROR(VLOOKUP(Base_Periodo1[[#This Row],[CONTA]],BaseContasDRE[#All],5,FALSE)),"Fora do DRE",VLOOKUP(Base_Periodo1[[#This Row],[CONTA]],BaseContasDRE[#All],6,FALSE))</f>
        <v>Fora do DRE</v>
      </c>
      <c r="U2298" s="3" t="str">
        <f>IF(ISERROR(VLOOKUP(Base_Periodo1[[#This Row],[CONTA]],BaseContasDRE[#All],7,FALSE)),"Fora do DRE",VLOOKUP(Base_Periodo1[[#This Row],[CONTA]],BaseContasDRE[#All],7,FALSE))</f>
        <v>Fora do DRE</v>
      </c>
      <c r="V2298" s="3" t="str">
        <f>IF(Base_Periodo1[[#This Row],[Tipo_Linha]]="Fora do DRE","Fora do DRE","( "&amp;Base_Periodo1[[#This Row],[Tipo_Linha]]&amp;" ) "&amp;Base_Periodo1[[#This Row],[Filtro]])</f>
        <v>Fora do DRE</v>
      </c>
      <c r="W2298" s="3" t="str">
        <f>LEFT(Base_Periodo1[[#This Row],[CLASS]],3)</f>
        <v>2.1</v>
      </c>
    </row>
    <row r="2299" spans="1:23" hidden="1">
      <c r="A2299" s="3" t="str">
        <f t="shared" si="35"/>
        <v>Período 1</v>
      </c>
      <c r="B2299">
        <v>2721</v>
      </c>
      <c r="C2299" t="s">
        <v>1730</v>
      </c>
      <c r="D2299" t="s">
        <v>595</v>
      </c>
      <c r="E2299" s="3" t="str">
        <f>IF(LEN(Base_Periodo1[[#This Row],[CLASS]])&gt;=7,LEFT(Base_Periodo1[[#This Row],[CLASS]],7),"")</f>
        <v>2.1.2.1</v>
      </c>
      <c r="F2299" s="3" t="str">
        <f>VLOOKUP(Base_Periodo1[[#This Row],[Aux]],Base_Contas_Balanco[#All],2,FALSE)</f>
        <v>Fornecedores Cooperados</v>
      </c>
      <c r="G2299" s="1">
        <v>42857</v>
      </c>
      <c r="I2299" s="225">
        <v>2345</v>
      </c>
      <c r="J2299" s="225">
        <v>2345</v>
      </c>
      <c r="K2299" s="225">
        <v>-1.7462298274040222E-10</v>
      </c>
      <c r="L22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299" s="225">
        <f>ROUND(IF(AND(Base_Periodo1[[#This Row],[Tipo_Linha]]="-",Base_Periodo1[[#This Row],[TIPOSALDO]]="D"),Base_Periodo1[[#This Row],[SALDO_ATUAL]]*-1,Base_Periodo1[[#This Row],[SALDO_ATUAL]]),4)</f>
        <v>0</v>
      </c>
      <c r="N2299" t="s">
        <v>116</v>
      </c>
      <c r="O2299" t="s">
        <v>436</v>
      </c>
      <c r="P2299" t="s">
        <v>436</v>
      </c>
      <c r="Q2299">
        <v>7</v>
      </c>
      <c r="R2299" s="225">
        <f>Base_Periodo1[[#This Row],[CREDITOS]]-Base_Periodo1[[#This Row],[DEBITOS]]</f>
        <v>0</v>
      </c>
      <c r="S2299" s="3" t="str">
        <f>IF(ISERROR(VLOOKUP(Base_Periodo1[[#This Row],[CONTA]],BaseContasDRE[#All],4,FALSE)),"Fora do DRE",VLOOKUP(Base_Periodo1[[#This Row],[CONTA]],BaseContasDRE[#All],4,FALSE))</f>
        <v>Fora do DRE</v>
      </c>
      <c r="T2299" s="3" t="str">
        <f>IF(ISERROR(VLOOKUP(Base_Periodo1[[#This Row],[CONTA]],BaseContasDRE[#All],5,FALSE)),"Fora do DRE",VLOOKUP(Base_Periodo1[[#This Row],[CONTA]],BaseContasDRE[#All],6,FALSE))</f>
        <v>Fora do DRE</v>
      </c>
      <c r="U2299" s="3" t="str">
        <f>IF(ISERROR(VLOOKUP(Base_Periodo1[[#This Row],[CONTA]],BaseContasDRE[#All],7,FALSE)),"Fora do DRE",VLOOKUP(Base_Periodo1[[#This Row],[CONTA]],BaseContasDRE[#All],7,FALSE))</f>
        <v>Fora do DRE</v>
      </c>
      <c r="V2299" s="3" t="str">
        <f>IF(Base_Periodo1[[#This Row],[Tipo_Linha]]="Fora do DRE","Fora do DRE","( "&amp;Base_Periodo1[[#This Row],[Tipo_Linha]]&amp;" ) "&amp;Base_Periodo1[[#This Row],[Filtro]])</f>
        <v>Fora do DRE</v>
      </c>
      <c r="W2299" s="3" t="str">
        <f>LEFT(Base_Periodo1[[#This Row],[CLASS]],3)</f>
        <v>2.1</v>
      </c>
    </row>
    <row r="2300" spans="1:23" hidden="1">
      <c r="A2300" s="3" t="str">
        <f t="shared" si="35"/>
        <v>Período 1</v>
      </c>
      <c r="B2300">
        <v>13413</v>
      </c>
      <c r="C2300" t="s">
        <v>1730</v>
      </c>
      <c r="D2300" t="s">
        <v>5378</v>
      </c>
      <c r="E2300" s="3" t="str">
        <f>IF(LEN(Base_Periodo1[[#This Row],[CLASS]])&gt;=7,LEFT(Base_Periodo1[[#This Row],[CLASS]],7),"")</f>
        <v>2.1.2.1</v>
      </c>
      <c r="F2300" s="3" t="str">
        <f>VLOOKUP(Base_Periodo1[[#This Row],[Aux]],Base_Contas_Balanco[#All],2,FALSE)</f>
        <v>Fornecedores Cooperados</v>
      </c>
      <c r="G2300" s="1">
        <v>42858</v>
      </c>
      <c r="I2300" s="225">
        <v>14679.72</v>
      </c>
      <c r="J2300" s="225">
        <v>14679.72</v>
      </c>
      <c r="K2300" s="225">
        <v>0</v>
      </c>
      <c r="L23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00" s="225">
        <f>ROUND(IF(AND(Base_Periodo1[[#This Row],[Tipo_Linha]]="-",Base_Periodo1[[#This Row],[TIPOSALDO]]="D"),Base_Periodo1[[#This Row],[SALDO_ATUAL]]*-1,Base_Periodo1[[#This Row],[SALDO_ATUAL]]),4)</f>
        <v>0</v>
      </c>
      <c r="N2300" t="s">
        <v>116</v>
      </c>
      <c r="O2300" t="s">
        <v>436</v>
      </c>
      <c r="P2300" t="s">
        <v>436</v>
      </c>
      <c r="Q2300">
        <v>7</v>
      </c>
      <c r="R2300" s="225">
        <f>Base_Periodo1[[#This Row],[CREDITOS]]-Base_Periodo1[[#This Row],[DEBITOS]]</f>
        <v>0</v>
      </c>
      <c r="S2300" s="3" t="str">
        <f>IF(ISERROR(VLOOKUP(Base_Periodo1[[#This Row],[CONTA]],BaseContasDRE[#All],4,FALSE)),"Fora do DRE",VLOOKUP(Base_Periodo1[[#This Row],[CONTA]],BaseContasDRE[#All],4,FALSE))</f>
        <v>Fora do DRE</v>
      </c>
      <c r="T2300" s="3" t="str">
        <f>IF(ISERROR(VLOOKUP(Base_Periodo1[[#This Row],[CONTA]],BaseContasDRE[#All],5,FALSE)),"Fora do DRE",VLOOKUP(Base_Periodo1[[#This Row],[CONTA]],BaseContasDRE[#All],6,FALSE))</f>
        <v>Fora do DRE</v>
      </c>
      <c r="U2300" s="3" t="str">
        <f>IF(ISERROR(VLOOKUP(Base_Periodo1[[#This Row],[CONTA]],BaseContasDRE[#All],7,FALSE)),"Fora do DRE",VLOOKUP(Base_Periodo1[[#This Row],[CONTA]],BaseContasDRE[#All],7,FALSE))</f>
        <v>Fora do DRE</v>
      </c>
      <c r="V2300" s="3" t="str">
        <f>IF(Base_Periodo1[[#This Row],[Tipo_Linha]]="Fora do DRE","Fora do DRE","( "&amp;Base_Periodo1[[#This Row],[Tipo_Linha]]&amp;" ) "&amp;Base_Periodo1[[#This Row],[Filtro]])</f>
        <v>Fora do DRE</v>
      </c>
      <c r="W2300" s="3" t="str">
        <f>LEFT(Base_Periodo1[[#This Row],[CLASS]],3)</f>
        <v>2.1</v>
      </c>
    </row>
    <row r="2301" spans="1:23" hidden="1">
      <c r="A2301" s="3" t="str">
        <f t="shared" si="35"/>
        <v>Período 1</v>
      </c>
      <c r="B2301">
        <v>8124</v>
      </c>
      <c r="C2301" t="s">
        <v>1730</v>
      </c>
      <c r="D2301" t="s">
        <v>597</v>
      </c>
      <c r="E2301" s="3" t="str">
        <f>IF(LEN(Base_Periodo1[[#This Row],[CLASS]])&gt;=7,LEFT(Base_Periodo1[[#This Row],[CLASS]],7),"")</f>
        <v>2.1.2.1</v>
      </c>
      <c r="F2301" s="3" t="str">
        <f>VLOOKUP(Base_Periodo1[[#This Row],[Aux]],Base_Contas_Balanco[#All],2,FALSE)</f>
        <v>Fornecedores Cooperados</v>
      </c>
      <c r="G2301" s="1">
        <v>42874</v>
      </c>
      <c r="H2301" s="225">
        <v>732.75</v>
      </c>
      <c r="I2301" s="225">
        <v>106764.40000000001</v>
      </c>
      <c r="J2301" s="225">
        <v>106764.4</v>
      </c>
      <c r="K2301" s="225">
        <v>732.74999999998545</v>
      </c>
      <c r="L23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732.75</v>
      </c>
      <c r="M2301" s="225">
        <f>ROUND(IF(AND(Base_Periodo1[[#This Row],[Tipo_Linha]]="-",Base_Periodo1[[#This Row],[TIPOSALDO]]="D"),Base_Periodo1[[#This Row],[SALDO_ATUAL]]*-1,Base_Periodo1[[#This Row],[SALDO_ATUAL]]),4)</f>
        <v>732.75</v>
      </c>
      <c r="N2301" t="s">
        <v>116</v>
      </c>
      <c r="O2301" t="s">
        <v>459</v>
      </c>
      <c r="P2301" t="s">
        <v>459</v>
      </c>
      <c r="Q2301">
        <v>7</v>
      </c>
      <c r="R2301" s="225">
        <f>Base_Periodo1[[#This Row],[CREDITOS]]-Base_Periodo1[[#This Row],[DEBITOS]]</f>
        <v>0</v>
      </c>
      <c r="S2301" s="3" t="str">
        <f>IF(ISERROR(VLOOKUP(Base_Periodo1[[#This Row],[CONTA]],BaseContasDRE[#All],4,FALSE)),"Fora do DRE",VLOOKUP(Base_Periodo1[[#This Row],[CONTA]],BaseContasDRE[#All],4,FALSE))</f>
        <v>Fora do DRE</v>
      </c>
      <c r="T2301" s="3" t="str">
        <f>IF(ISERROR(VLOOKUP(Base_Periodo1[[#This Row],[CONTA]],BaseContasDRE[#All],5,FALSE)),"Fora do DRE",VLOOKUP(Base_Periodo1[[#This Row],[CONTA]],BaseContasDRE[#All],6,FALSE))</f>
        <v>Fora do DRE</v>
      </c>
      <c r="U2301" s="3" t="str">
        <f>IF(ISERROR(VLOOKUP(Base_Periodo1[[#This Row],[CONTA]],BaseContasDRE[#All],7,FALSE)),"Fora do DRE",VLOOKUP(Base_Periodo1[[#This Row],[CONTA]],BaseContasDRE[#All],7,FALSE))</f>
        <v>Fora do DRE</v>
      </c>
      <c r="V2301" s="3" t="str">
        <f>IF(Base_Periodo1[[#This Row],[Tipo_Linha]]="Fora do DRE","Fora do DRE","( "&amp;Base_Periodo1[[#This Row],[Tipo_Linha]]&amp;" ) "&amp;Base_Periodo1[[#This Row],[Filtro]])</f>
        <v>Fora do DRE</v>
      </c>
      <c r="W2301" s="3" t="str">
        <f>LEFT(Base_Periodo1[[#This Row],[CLASS]],3)</f>
        <v>2.1</v>
      </c>
    </row>
    <row r="2302" spans="1:23" hidden="1">
      <c r="A2302" s="3" t="str">
        <f t="shared" si="35"/>
        <v>Período 1</v>
      </c>
      <c r="B2302">
        <v>2517</v>
      </c>
      <c r="C2302" t="s">
        <v>1730</v>
      </c>
      <c r="D2302" t="s">
        <v>4188</v>
      </c>
      <c r="E2302" s="3" t="str">
        <f>IF(LEN(Base_Periodo1[[#This Row],[CLASS]])&gt;=7,LEFT(Base_Periodo1[[#This Row],[CLASS]],7),"")</f>
        <v>2.1.2.1</v>
      </c>
      <c r="F2302" s="3" t="str">
        <f>VLOOKUP(Base_Periodo1[[#This Row],[Aux]],Base_Contas_Balanco[#All],2,FALSE)</f>
        <v>Fornecedores Cooperados</v>
      </c>
      <c r="G2302" s="1">
        <v>42811</v>
      </c>
      <c r="H2302" s="225">
        <v>262.07000000000698</v>
      </c>
      <c r="I2302" s="225">
        <v>0</v>
      </c>
      <c r="J2302" s="225">
        <v>0</v>
      </c>
      <c r="K2302" s="225">
        <v>262.07000000000698</v>
      </c>
      <c r="L23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262.07</v>
      </c>
      <c r="M2302" s="225">
        <f>ROUND(IF(AND(Base_Periodo1[[#This Row],[Tipo_Linha]]="-",Base_Periodo1[[#This Row],[TIPOSALDO]]="D"),Base_Periodo1[[#This Row],[SALDO_ATUAL]]*-1,Base_Periodo1[[#This Row],[SALDO_ATUAL]]),4)</f>
        <v>262.07</v>
      </c>
      <c r="N2302" t="s">
        <v>116</v>
      </c>
      <c r="O2302" t="s">
        <v>459</v>
      </c>
      <c r="P2302" t="s">
        <v>459</v>
      </c>
      <c r="Q2302">
        <v>7</v>
      </c>
      <c r="R2302" s="225">
        <f>Base_Periodo1[[#This Row],[CREDITOS]]-Base_Periodo1[[#This Row],[DEBITOS]]</f>
        <v>0</v>
      </c>
      <c r="S2302" s="3" t="str">
        <f>IF(ISERROR(VLOOKUP(Base_Periodo1[[#This Row],[CONTA]],BaseContasDRE[#All],4,FALSE)),"Fora do DRE",VLOOKUP(Base_Periodo1[[#This Row],[CONTA]],BaseContasDRE[#All],4,FALSE))</f>
        <v>Fora do DRE</v>
      </c>
      <c r="T2302" s="3" t="str">
        <f>IF(ISERROR(VLOOKUP(Base_Periodo1[[#This Row],[CONTA]],BaseContasDRE[#All],5,FALSE)),"Fora do DRE",VLOOKUP(Base_Periodo1[[#This Row],[CONTA]],BaseContasDRE[#All],6,FALSE))</f>
        <v>Fora do DRE</v>
      </c>
      <c r="U2302" s="3" t="str">
        <f>IF(ISERROR(VLOOKUP(Base_Periodo1[[#This Row],[CONTA]],BaseContasDRE[#All],7,FALSE)),"Fora do DRE",VLOOKUP(Base_Periodo1[[#This Row],[CONTA]],BaseContasDRE[#All],7,FALSE))</f>
        <v>Fora do DRE</v>
      </c>
      <c r="V2302" s="3" t="str">
        <f>IF(Base_Periodo1[[#This Row],[Tipo_Linha]]="Fora do DRE","Fora do DRE","( "&amp;Base_Periodo1[[#This Row],[Tipo_Linha]]&amp;" ) "&amp;Base_Periodo1[[#This Row],[Filtro]])</f>
        <v>Fora do DRE</v>
      </c>
      <c r="W2302" s="3" t="str">
        <f>LEFT(Base_Periodo1[[#This Row],[CLASS]],3)</f>
        <v>2.1</v>
      </c>
    </row>
    <row r="2303" spans="1:23" hidden="1">
      <c r="A2303" s="3" t="str">
        <f t="shared" si="35"/>
        <v>Período 1</v>
      </c>
      <c r="B2303">
        <v>46272</v>
      </c>
      <c r="C2303" t="s">
        <v>1730</v>
      </c>
      <c r="D2303" t="s">
        <v>940</v>
      </c>
      <c r="E2303" s="3" t="str">
        <f>IF(LEN(Base_Periodo1[[#This Row],[CLASS]])&gt;=7,LEFT(Base_Periodo1[[#This Row],[CLASS]],7),"")</f>
        <v>2.1.2.1</v>
      </c>
      <c r="F2303" s="3" t="str">
        <f>VLOOKUP(Base_Periodo1[[#This Row],[Aux]],Base_Contas_Balanco[#All],2,FALSE)</f>
        <v>Fornecedores Cooperados</v>
      </c>
      <c r="G2303" s="1">
        <v>42884</v>
      </c>
      <c r="I2303" s="225">
        <v>1877.28</v>
      </c>
      <c r="J2303" s="225">
        <v>1877.2800000000002</v>
      </c>
      <c r="K2303" s="225">
        <v>-2.2737367544323206E-13</v>
      </c>
      <c r="L23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03" s="225">
        <f>ROUND(IF(AND(Base_Periodo1[[#This Row],[Tipo_Linha]]="-",Base_Periodo1[[#This Row],[TIPOSALDO]]="D"),Base_Periodo1[[#This Row],[SALDO_ATUAL]]*-1,Base_Periodo1[[#This Row],[SALDO_ATUAL]]),4)</f>
        <v>0</v>
      </c>
      <c r="N2303" t="s">
        <v>116</v>
      </c>
      <c r="O2303" t="s">
        <v>436</v>
      </c>
      <c r="P2303" t="s">
        <v>436</v>
      </c>
      <c r="Q2303">
        <v>7</v>
      </c>
      <c r="R2303" s="225">
        <f>Base_Periodo1[[#This Row],[CREDITOS]]-Base_Periodo1[[#This Row],[DEBITOS]]</f>
        <v>0</v>
      </c>
      <c r="S2303" s="3" t="str">
        <f>IF(ISERROR(VLOOKUP(Base_Periodo1[[#This Row],[CONTA]],BaseContasDRE[#All],4,FALSE)),"Fora do DRE",VLOOKUP(Base_Periodo1[[#This Row],[CONTA]],BaseContasDRE[#All],4,FALSE))</f>
        <v>Fora do DRE</v>
      </c>
      <c r="T2303" s="3" t="str">
        <f>IF(ISERROR(VLOOKUP(Base_Periodo1[[#This Row],[CONTA]],BaseContasDRE[#All],5,FALSE)),"Fora do DRE",VLOOKUP(Base_Periodo1[[#This Row],[CONTA]],BaseContasDRE[#All],6,FALSE))</f>
        <v>Fora do DRE</v>
      </c>
      <c r="U2303" s="3" t="str">
        <f>IF(ISERROR(VLOOKUP(Base_Periodo1[[#This Row],[CONTA]],BaseContasDRE[#All],7,FALSE)),"Fora do DRE",VLOOKUP(Base_Periodo1[[#This Row],[CONTA]],BaseContasDRE[#All],7,FALSE))</f>
        <v>Fora do DRE</v>
      </c>
      <c r="V2303" s="3" t="str">
        <f>IF(Base_Periodo1[[#This Row],[Tipo_Linha]]="Fora do DRE","Fora do DRE","( "&amp;Base_Periodo1[[#This Row],[Tipo_Linha]]&amp;" ) "&amp;Base_Periodo1[[#This Row],[Filtro]])</f>
        <v>Fora do DRE</v>
      </c>
      <c r="W2303" s="3" t="str">
        <f>LEFT(Base_Periodo1[[#This Row],[CLASS]],3)</f>
        <v>2.1</v>
      </c>
    </row>
    <row r="2304" spans="1:23" hidden="1">
      <c r="A2304" s="3" t="str">
        <f t="shared" si="35"/>
        <v>Período 1</v>
      </c>
      <c r="B2304">
        <v>11491</v>
      </c>
      <c r="C2304" t="s">
        <v>1730</v>
      </c>
      <c r="D2304" t="s">
        <v>5136</v>
      </c>
      <c r="E2304" s="3" t="str">
        <f>IF(LEN(Base_Periodo1[[#This Row],[CLASS]])&gt;=7,LEFT(Base_Periodo1[[#This Row],[CLASS]],7),"")</f>
        <v>2.1.2.1</v>
      </c>
      <c r="F2304" s="3" t="str">
        <f>VLOOKUP(Base_Periodo1[[#This Row],[Aux]],Base_Contas_Balanco[#All],2,FALSE)</f>
        <v>Fornecedores Cooperados</v>
      </c>
      <c r="G2304" s="1">
        <v>42864</v>
      </c>
      <c r="I2304" s="225">
        <v>904.5</v>
      </c>
      <c r="J2304" s="225">
        <v>904.5</v>
      </c>
      <c r="K2304" s="225">
        <v>0</v>
      </c>
      <c r="L23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04" s="225">
        <f>ROUND(IF(AND(Base_Periodo1[[#This Row],[Tipo_Linha]]="-",Base_Periodo1[[#This Row],[TIPOSALDO]]="D"),Base_Periodo1[[#This Row],[SALDO_ATUAL]]*-1,Base_Periodo1[[#This Row],[SALDO_ATUAL]]),4)</f>
        <v>0</v>
      </c>
      <c r="N2304" t="s">
        <v>116</v>
      </c>
      <c r="O2304" t="s">
        <v>436</v>
      </c>
      <c r="P2304" t="s">
        <v>436</v>
      </c>
      <c r="Q2304">
        <v>7</v>
      </c>
      <c r="R2304" s="225">
        <f>Base_Periodo1[[#This Row],[CREDITOS]]-Base_Periodo1[[#This Row],[DEBITOS]]</f>
        <v>0</v>
      </c>
      <c r="S2304" s="3" t="str">
        <f>IF(ISERROR(VLOOKUP(Base_Periodo1[[#This Row],[CONTA]],BaseContasDRE[#All],4,FALSE)),"Fora do DRE",VLOOKUP(Base_Periodo1[[#This Row],[CONTA]],BaseContasDRE[#All],4,FALSE))</f>
        <v>Fora do DRE</v>
      </c>
      <c r="T2304" s="3" t="str">
        <f>IF(ISERROR(VLOOKUP(Base_Periodo1[[#This Row],[CONTA]],BaseContasDRE[#All],5,FALSE)),"Fora do DRE",VLOOKUP(Base_Periodo1[[#This Row],[CONTA]],BaseContasDRE[#All],6,FALSE))</f>
        <v>Fora do DRE</v>
      </c>
      <c r="U2304" s="3" t="str">
        <f>IF(ISERROR(VLOOKUP(Base_Periodo1[[#This Row],[CONTA]],BaseContasDRE[#All],7,FALSE)),"Fora do DRE",VLOOKUP(Base_Periodo1[[#This Row],[CONTA]],BaseContasDRE[#All],7,FALSE))</f>
        <v>Fora do DRE</v>
      </c>
      <c r="V2304" s="3" t="str">
        <f>IF(Base_Periodo1[[#This Row],[Tipo_Linha]]="Fora do DRE","Fora do DRE","( "&amp;Base_Periodo1[[#This Row],[Tipo_Linha]]&amp;" ) "&amp;Base_Periodo1[[#This Row],[Filtro]])</f>
        <v>Fora do DRE</v>
      </c>
      <c r="W2304" s="3" t="str">
        <f>LEFT(Base_Periodo1[[#This Row],[CLASS]],3)</f>
        <v>2.1</v>
      </c>
    </row>
    <row r="2305" spans="1:23" hidden="1">
      <c r="A2305" s="3" t="str">
        <f t="shared" si="35"/>
        <v>Período 1</v>
      </c>
      <c r="B2305">
        <v>59316</v>
      </c>
      <c r="C2305" t="s">
        <v>1730</v>
      </c>
      <c r="D2305" t="s">
        <v>6843</v>
      </c>
      <c r="E2305" s="3" t="str">
        <f>IF(LEN(Base_Periodo1[[#This Row],[CLASS]])&gt;=7,LEFT(Base_Periodo1[[#This Row],[CLASS]],7),"")</f>
        <v>2.1.2.1</v>
      </c>
      <c r="F2305" s="3" t="str">
        <f>VLOOKUP(Base_Periodo1[[#This Row],[Aux]],Base_Contas_Balanco[#All],2,FALSE)</f>
        <v>Fornecedores Cooperados</v>
      </c>
      <c r="G2305" s="1"/>
      <c r="I2305" s="225">
        <v>0</v>
      </c>
      <c r="J2305" s="225">
        <v>50</v>
      </c>
      <c r="K2305" s="225">
        <v>50</v>
      </c>
      <c r="L23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2305" s="225">
        <f>ROUND(IF(AND(Base_Periodo1[[#This Row],[Tipo_Linha]]="-",Base_Periodo1[[#This Row],[TIPOSALDO]]="D"),Base_Periodo1[[#This Row],[SALDO_ATUAL]]*-1,Base_Periodo1[[#This Row],[SALDO_ATUAL]]),4)</f>
        <v>50</v>
      </c>
      <c r="N2305" t="s">
        <v>116</v>
      </c>
      <c r="O2305" t="s">
        <v>436</v>
      </c>
      <c r="P2305" t="s">
        <v>459</v>
      </c>
      <c r="Q2305">
        <v>7</v>
      </c>
      <c r="R2305" s="225">
        <f>Base_Periodo1[[#This Row],[CREDITOS]]-Base_Periodo1[[#This Row],[DEBITOS]]</f>
        <v>50</v>
      </c>
      <c r="S2305" s="3" t="str">
        <f>IF(ISERROR(VLOOKUP(Base_Periodo1[[#This Row],[CONTA]],BaseContasDRE[#All],4,FALSE)),"Fora do DRE",VLOOKUP(Base_Periodo1[[#This Row],[CONTA]],BaseContasDRE[#All],4,FALSE))</f>
        <v>Fora do DRE</v>
      </c>
      <c r="T2305" s="3" t="str">
        <f>IF(ISERROR(VLOOKUP(Base_Periodo1[[#This Row],[CONTA]],BaseContasDRE[#All],5,FALSE)),"Fora do DRE",VLOOKUP(Base_Periodo1[[#This Row],[CONTA]],BaseContasDRE[#All],6,FALSE))</f>
        <v>Fora do DRE</v>
      </c>
      <c r="U2305" s="3" t="str">
        <f>IF(ISERROR(VLOOKUP(Base_Periodo1[[#This Row],[CONTA]],BaseContasDRE[#All],7,FALSE)),"Fora do DRE",VLOOKUP(Base_Periodo1[[#This Row],[CONTA]],BaseContasDRE[#All],7,FALSE))</f>
        <v>Fora do DRE</v>
      </c>
      <c r="V2305" s="3" t="str">
        <f>IF(Base_Periodo1[[#This Row],[Tipo_Linha]]="Fora do DRE","Fora do DRE","( "&amp;Base_Periodo1[[#This Row],[Tipo_Linha]]&amp;" ) "&amp;Base_Periodo1[[#This Row],[Filtro]])</f>
        <v>Fora do DRE</v>
      </c>
      <c r="W2305" s="3" t="str">
        <f>LEFT(Base_Periodo1[[#This Row],[CLASS]],3)</f>
        <v>2.1</v>
      </c>
    </row>
    <row r="2306" spans="1:23" hidden="1">
      <c r="A2306" s="3" t="str">
        <f t="shared" si="35"/>
        <v>Período 1</v>
      </c>
      <c r="B2306">
        <v>3445</v>
      </c>
      <c r="C2306" t="s">
        <v>1730</v>
      </c>
      <c r="D2306" t="s">
        <v>5479</v>
      </c>
      <c r="E2306" s="3" t="str">
        <f>IF(LEN(Base_Periodo1[[#This Row],[CLASS]])&gt;=7,LEFT(Base_Periodo1[[#This Row],[CLASS]],7),"")</f>
        <v>2.1.2.1</v>
      </c>
      <c r="F2306" s="3" t="str">
        <f>VLOOKUP(Base_Periodo1[[#This Row],[Aux]],Base_Contas_Balanco[#All],2,FALSE)</f>
        <v>Fornecedores Cooperados</v>
      </c>
      <c r="G2306" s="1">
        <v>42880</v>
      </c>
      <c r="H2306" s="225">
        <v>4271.7600000016391</v>
      </c>
      <c r="I2306" s="225">
        <v>431742.07000000007</v>
      </c>
      <c r="J2306" s="225">
        <v>427470.31</v>
      </c>
      <c r="K2306" s="225">
        <v>-1.57160684466362E-9</v>
      </c>
      <c r="L23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06" s="225">
        <f>ROUND(IF(AND(Base_Periodo1[[#This Row],[Tipo_Linha]]="-",Base_Periodo1[[#This Row],[TIPOSALDO]]="D"),Base_Periodo1[[#This Row],[SALDO_ATUAL]]*-1,Base_Periodo1[[#This Row],[SALDO_ATUAL]]),4)</f>
        <v>0</v>
      </c>
      <c r="N2306" t="s">
        <v>116</v>
      </c>
      <c r="O2306" t="s">
        <v>459</v>
      </c>
      <c r="P2306" t="s">
        <v>436</v>
      </c>
      <c r="Q2306">
        <v>7</v>
      </c>
      <c r="R2306" s="225">
        <f>Base_Periodo1[[#This Row],[CREDITOS]]-Base_Periodo1[[#This Row],[DEBITOS]]</f>
        <v>-4271.7600000000675</v>
      </c>
      <c r="S2306" s="3" t="str">
        <f>IF(ISERROR(VLOOKUP(Base_Periodo1[[#This Row],[CONTA]],BaseContasDRE[#All],4,FALSE)),"Fora do DRE",VLOOKUP(Base_Periodo1[[#This Row],[CONTA]],BaseContasDRE[#All],4,FALSE))</f>
        <v>Fora do DRE</v>
      </c>
      <c r="T2306" s="3" t="str">
        <f>IF(ISERROR(VLOOKUP(Base_Periodo1[[#This Row],[CONTA]],BaseContasDRE[#All],5,FALSE)),"Fora do DRE",VLOOKUP(Base_Periodo1[[#This Row],[CONTA]],BaseContasDRE[#All],6,FALSE))</f>
        <v>Fora do DRE</v>
      </c>
      <c r="U2306" s="3" t="str">
        <f>IF(ISERROR(VLOOKUP(Base_Periodo1[[#This Row],[CONTA]],BaseContasDRE[#All],7,FALSE)),"Fora do DRE",VLOOKUP(Base_Periodo1[[#This Row],[CONTA]],BaseContasDRE[#All],7,FALSE))</f>
        <v>Fora do DRE</v>
      </c>
      <c r="V2306" s="3" t="str">
        <f>IF(Base_Periodo1[[#This Row],[Tipo_Linha]]="Fora do DRE","Fora do DRE","( "&amp;Base_Periodo1[[#This Row],[Tipo_Linha]]&amp;" ) "&amp;Base_Periodo1[[#This Row],[Filtro]])</f>
        <v>Fora do DRE</v>
      </c>
      <c r="W2306" s="3" t="str">
        <f>LEFT(Base_Periodo1[[#This Row],[CLASS]],3)</f>
        <v>2.1</v>
      </c>
    </row>
    <row r="2307" spans="1:23" hidden="1">
      <c r="A2307" s="3" t="str">
        <f t="shared" si="35"/>
        <v>Período 1</v>
      </c>
      <c r="B2307">
        <v>9063</v>
      </c>
      <c r="C2307" t="s">
        <v>1730</v>
      </c>
      <c r="D2307" t="s">
        <v>6338</v>
      </c>
      <c r="E2307" s="3" t="str">
        <f>IF(LEN(Base_Periodo1[[#This Row],[CLASS]])&gt;=7,LEFT(Base_Periodo1[[#This Row],[CLASS]],7),"")</f>
        <v>2.1.2.1</v>
      </c>
      <c r="F2307" s="3" t="str">
        <f>VLOOKUP(Base_Periodo1[[#This Row],[Aux]],Base_Contas_Balanco[#All],2,FALSE)</f>
        <v>Fornecedores Cooperados</v>
      </c>
      <c r="G2307" s="1">
        <v>42885</v>
      </c>
      <c r="H2307" s="225">
        <v>21503.179999999935</v>
      </c>
      <c r="I2307" s="225">
        <v>21503.18</v>
      </c>
      <c r="J2307" s="225">
        <v>0</v>
      </c>
      <c r="K2307" s="225">
        <v>6.5483618527650833E-11</v>
      </c>
      <c r="L23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07" s="225">
        <f>ROUND(IF(AND(Base_Periodo1[[#This Row],[Tipo_Linha]]="-",Base_Periodo1[[#This Row],[TIPOSALDO]]="D"),Base_Periodo1[[#This Row],[SALDO_ATUAL]]*-1,Base_Periodo1[[#This Row],[SALDO_ATUAL]]),4)</f>
        <v>0</v>
      </c>
      <c r="N2307" t="s">
        <v>116</v>
      </c>
      <c r="O2307" t="s">
        <v>459</v>
      </c>
      <c r="P2307" t="s">
        <v>436</v>
      </c>
      <c r="Q2307">
        <v>7</v>
      </c>
      <c r="R2307" s="225">
        <f>Base_Periodo1[[#This Row],[CREDITOS]]-Base_Periodo1[[#This Row],[DEBITOS]]</f>
        <v>-21503.18</v>
      </c>
      <c r="S2307" s="3" t="str">
        <f>IF(ISERROR(VLOOKUP(Base_Periodo1[[#This Row],[CONTA]],BaseContasDRE[#All],4,FALSE)),"Fora do DRE",VLOOKUP(Base_Periodo1[[#This Row],[CONTA]],BaseContasDRE[#All],4,FALSE))</f>
        <v>Fora do DRE</v>
      </c>
      <c r="T2307" s="3" t="str">
        <f>IF(ISERROR(VLOOKUP(Base_Periodo1[[#This Row],[CONTA]],BaseContasDRE[#All],5,FALSE)),"Fora do DRE",VLOOKUP(Base_Periodo1[[#This Row],[CONTA]],BaseContasDRE[#All],6,FALSE))</f>
        <v>Fora do DRE</v>
      </c>
      <c r="U2307" s="3" t="str">
        <f>IF(ISERROR(VLOOKUP(Base_Periodo1[[#This Row],[CONTA]],BaseContasDRE[#All],7,FALSE)),"Fora do DRE",VLOOKUP(Base_Periodo1[[#This Row],[CONTA]],BaseContasDRE[#All],7,FALSE))</f>
        <v>Fora do DRE</v>
      </c>
      <c r="V2307" s="3" t="str">
        <f>IF(Base_Periodo1[[#This Row],[Tipo_Linha]]="Fora do DRE","Fora do DRE","( "&amp;Base_Periodo1[[#This Row],[Tipo_Linha]]&amp;" ) "&amp;Base_Periodo1[[#This Row],[Filtro]])</f>
        <v>Fora do DRE</v>
      </c>
      <c r="W2307" s="3" t="str">
        <f>LEFT(Base_Periodo1[[#This Row],[CLASS]],3)</f>
        <v>2.1</v>
      </c>
    </row>
    <row r="2308" spans="1:23" hidden="1">
      <c r="A2308" s="3" t="str">
        <f t="shared" si="35"/>
        <v>Período 1</v>
      </c>
      <c r="B2308">
        <v>26045</v>
      </c>
      <c r="C2308" t="s">
        <v>1730</v>
      </c>
      <c r="D2308" t="s">
        <v>6844</v>
      </c>
      <c r="E2308" s="3" t="str">
        <f>IF(LEN(Base_Periodo1[[#This Row],[CLASS]])&gt;=7,LEFT(Base_Periodo1[[#This Row],[CLASS]],7),"")</f>
        <v>2.1.2.1</v>
      </c>
      <c r="F2308" s="3" t="str">
        <f>VLOOKUP(Base_Periodo1[[#This Row],[Aux]],Base_Contas_Balanco[#All],2,FALSE)</f>
        <v>Fornecedores Cooperados</v>
      </c>
      <c r="G2308" s="1">
        <v>42880</v>
      </c>
      <c r="I2308" s="225">
        <v>0</v>
      </c>
      <c r="J2308" s="225">
        <v>339660</v>
      </c>
      <c r="K2308" s="225">
        <v>339660</v>
      </c>
      <c r="L23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339660</v>
      </c>
      <c r="M2308" s="225">
        <f>ROUND(IF(AND(Base_Periodo1[[#This Row],[Tipo_Linha]]="-",Base_Periodo1[[#This Row],[TIPOSALDO]]="D"),Base_Periodo1[[#This Row],[SALDO_ATUAL]]*-1,Base_Periodo1[[#This Row],[SALDO_ATUAL]]),4)</f>
        <v>339660</v>
      </c>
      <c r="N2308" t="s">
        <v>116</v>
      </c>
      <c r="O2308" t="s">
        <v>436</v>
      </c>
      <c r="P2308" t="s">
        <v>459</v>
      </c>
      <c r="Q2308">
        <v>7</v>
      </c>
      <c r="R2308" s="225">
        <f>Base_Periodo1[[#This Row],[CREDITOS]]-Base_Periodo1[[#This Row],[DEBITOS]]</f>
        <v>339660</v>
      </c>
      <c r="S2308" s="3" t="str">
        <f>IF(ISERROR(VLOOKUP(Base_Periodo1[[#This Row],[CONTA]],BaseContasDRE[#All],4,FALSE)),"Fora do DRE",VLOOKUP(Base_Periodo1[[#This Row],[CONTA]],BaseContasDRE[#All],4,FALSE))</f>
        <v>Fora do DRE</v>
      </c>
      <c r="T2308" s="3" t="str">
        <f>IF(ISERROR(VLOOKUP(Base_Periodo1[[#This Row],[CONTA]],BaseContasDRE[#All],5,FALSE)),"Fora do DRE",VLOOKUP(Base_Periodo1[[#This Row],[CONTA]],BaseContasDRE[#All],6,FALSE))</f>
        <v>Fora do DRE</v>
      </c>
      <c r="U2308" s="3" t="str">
        <f>IF(ISERROR(VLOOKUP(Base_Periodo1[[#This Row],[CONTA]],BaseContasDRE[#All],7,FALSE)),"Fora do DRE",VLOOKUP(Base_Periodo1[[#This Row],[CONTA]],BaseContasDRE[#All],7,FALSE))</f>
        <v>Fora do DRE</v>
      </c>
      <c r="V2308" s="3" t="str">
        <f>IF(Base_Periodo1[[#This Row],[Tipo_Linha]]="Fora do DRE","Fora do DRE","( "&amp;Base_Periodo1[[#This Row],[Tipo_Linha]]&amp;" ) "&amp;Base_Periodo1[[#This Row],[Filtro]])</f>
        <v>Fora do DRE</v>
      </c>
      <c r="W2308" s="3" t="str">
        <f>LEFT(Base_Periodo1[[#This Row],[CLASS]],3)</f>
        <v>2.1</v>
      </c>
    </row>
    <row r="2309" spans="1:23" hidden="1">
      <c r="A2309" s="3" t="str">
        <f t="shared" si="35"/>
        <v>Período 1</v>
      </c>
      <c r="B2309">
        <v>7950</v>
      </c>
      <c r="C2309" t="s">
        <v>1730</v>
      </c>
      <c r="D2309" t="s">
        <v>1732</v>
      </c>
      <c r="E2309" s="3" t="str">
        <f>IF(LEN(Base_Periodo1[[#This Row],[CLASS]])&gt;=7,LEFT(Base_Periodo1[[#This Row],[CLASS]],7),"")</f>
        <v>2.1.2.1</v>
      </c>
      <c r="F2309" s="3" t="str">
        <f>VLOOKUP(Base_Periodo1[[#This Row],[Aux]],Base_Contas_Balanco[#All],2,FALSE)</f>
        <v>Fornecedores Cooperados</v>
      </c>
      <c r="G2309" s="1">
        <v>42822</v>
      </c>
      <c r="H2309" s="225">
        <v>3870</v>
      </c>
      <c r="I2309" s="225">
        <v>0</v>
      </c>
      <c r="J2309" s="225">
        <v>0</v>
      </c>
      <c r="K2309" s="225">
        <v>3870</v>
      </c>
      <c r="L23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3870</v>
      </c>
      <c r="M2309" s="225">
        <f>ROUND(IF(AND(Base_Periodo1[[#This Row],[Tipo_Linha]]="-",Base_Periodo1[[#This Row],[TIPOSALDO]]="D"),Base_Periodo1[[#This Row],[SALDO_ATUAL]]*-1,Base_Periodo1[[#This Row],[SALDO_ATUAL]]),4)</f>
        <v>3870</v>
      </c>
      <c r="N2309" t="s">
        <v>116</v>
      </c>
      <c r="O2309" t="s">
        <v>459</v>
      </c>
      <c r="P2309" t="s">
        <v>459</v>
      </c>
      <c r="Q2309">
        <v>7</v>
      </c>
      <c r="R2309" s="225">
        <f>Base_Periodo1[[#This Row],[CREDITOS]]-Base_Periodo1[[#This Row],[DEBITOS]]</f>
        <v>0</v>
      </c>
      <c r="S2309" s="3" t="str">
        <f>IF(ISERROR(VLOOKUP(Base_Periodo1[[#This Row],[CONTA]],BaseContasDRE[#All],4,FALSE)),"Fora do DRE",VLOOKUP(Base_Periodo1[[#This Row],[CONTA]],BaseContasDRE[#All],4,FALSE))</f>
        <v>Fora do DRE</v>
      </c>
      <c r="T2309" s="3" t="str">
        <f>IF(ISERROR(VLOOKUP(Base_Periodo1[[#This Row],[CONTA]],BaseContasDRE[#All],5,FALSE)),"Fora do DRE",VLOOKUP(Base_Periodo1[[#This Row],[CONTA]],BaseContasDRE[#All],6,FALSE))</f>
        <v>Fora do DRE</v>
      </c>
      <c r="U2309" s="3" t="str">
        <f>IF(ISERROR(VLOOKUP(Base_Periodo1[[#This Row],[CONTA]],BaseContasDRE[#All],7,FALSE)),"Fora do DRE",VLOOKUP(Base_Periodo1[[#This Row],[CONTA]],BaseContasDRE[#All],7,FALSE))</f>
        <v>Fora do DRE</v>
      </c>
      <c r="V2309" s="3" t="str">
        <f>IF(Base_Periodo1[[#This Row],[Tipo_Linha]]="Fora do DRE","Fora do DRE","( "&amp;Base_Periodo1[[#This Row],[Tipo_Linha]]&amp;" ) "&amp;Base_Periodo1[[#This Row],[Filtro]])</f>
        <v>Fora do DRE</v>
      </c>
      <c r="W2309" s="3" t="str">
        <f>LEFT(Base_Periodo1[[#This Row],[CLASS]],3)</f>
        <v>2.1</v>
      </c>
    </row>
    <row r="2310" spans="1:23" hidden="1">
      <c r="A2310" s="3" t="str">
        <f t="shared" ref="A2310:A2373" si="36">"Período 1"</f>
        <v>Período 1</v>
      </c>
      <c r="B2310">
        <v>24207</v>
      </c>
      <c r="C2310" t="s">
        <v>1730</v>
      </c>
      <c r="D2310" t="s">
        <v>601</v>
      </c>
      <c r="E2310" s="3" t="str">
        <f>IF(LEN(Base_Periodo1[[#This Row],[CLASS]])&gt;=7,LEFT(Base_Periodo1[[#This Row],[CLASS]],7),"")</f>
        <v>2.1.2.1</v>
      </c>
      <c r="F2310" s="3" t="str">
        <f>VLOOKUP(Base_Periodo1[[#This Row],[Aux]],Base_Contas_Balanco[#All],2,FALSE)</f>
        <v>Fornecedores Cooperados</v>
      </c>
      <c r="G2310" s="1">
        <v>42863</v>
      </c>
      <c r="I2310" s="225">
        <v>19228</v>
      </c>
      <c r="J2310" s="225">
        <v>19228</v>
      </c>
      <c r="K2310" s="225">
        <v>-1.1641532182693481E-10</v>
      </c>
      <c r="L23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10" s="225">
        <f>ROUND(IF(AND(Base_Periodo1[[#This Row],[Tipo_Linha]]="-",Base_Periodo1[[#This Row],[TIPOSALDO]]="D"),Base_Periodo1[[#This Row],[SALDO_ATUAL]]*-1,Base_Periodo1[[#This Row],[SALDO_ATUAL]]),4)</f>
        <v>0</v>
      </c>
      <c r="N2310" t="s">
        <v>116</v>
      </c>
      <c r="O2310" t="s">
        <v>436</v>
      </c>
      <c r="P2310" t="s">
        <v>436</v>
      </c>
      <c r="Q2310">
        <v>7</v>
      </c>
      <c r="R2310" s="225">
        <f>Base_Periodo1[[#This Row],[CREDITOS]]-Base_Periodo1[[#This Row],[DEBITOS]]</f>
        <v>0</v>
      </c>
      <c r="S2310" s="3" t="str">
        <f>IF(ISERROR(VLOOKUP(Base_Periodo1[[#This Row],[CONTA]],BaseContasDRE[#All],4,FALSE)),"Fora do DRE",VLOOKUP(Base_Periodo1[[#This Row],[CONTA]],BaseContasDRE[#All],4,FALSE))</f>
        <v>Fora do DRE</v>
      </c>
      <c r="T2310" s="3" t="str">
        <f>IF(ISERROR(VLOOKUP(Base_Periodo1[[#This Row],[CONTA]],BaseContasDRE[#All],5,FALSE)),"Fora do DRE",VLOOKUP(Base_Periodo1[[#This Row],[CONTA]],BaseContasDRE[#All],6,FALSE))</f>
        <v>Fora do DRE</v>
      </c>
      <c r="U2310" s="3" t="str">
        <f>IF(ISERROR(VLOOKUP(Base_Periodo1[[#This Row],[CONTA]],BaseContasDRE[#All],7,FALSE)),"Fora do DRE",VLOOKUP(Base_Periodo1[[#This Row],[CONTA]],BaseContasDRE[#All],7,FALSE))</f>
        <v>Fora do DRE</v>
      </c>
      <c r="V2310" s="3" t="str">
        <f>IF(Base_Periodo1[[#This Row],[Tipo_Linha]]="Fora do DRE","Fora do DRE","( "&amp;Base_Periodo1[[#This Row],[Tipo_Linha]]&amp;" ) "&amp;Base_Periodo1[[#This Row],[Filtro]])</f>
        <v>Fora do DRE</v>
      </c>
      <c r="W2310" s="3" t="str">
        <f>LEFT(Base_Periodo1[[#This Row],[CLASS]],3)</f>
        <v>2.1</v>
      </c>
    </row>
    <row r="2311" spans="1:23" hidden="1">
      <c r="A2311" s="3" t="str">
        <f t="shared" si="36"/>
        <v>Período 1</v>
      </c>
      <c r="B2311">
        <v>3513</v>
      </c>
      <c r="C2311" t="s">
        <v>1730</v>
      </c>
      <c r="D2311" t="s">
        <v>602</v>
      </c>
      <c r="E2311" s="3" t="str">
        <f>IF(LEN(Base_Periodo1[[#This Row],[CLASS]])&gt;=7,LEFT(Base_Periodo1[[#This Row],[CLASS]],7),"")</f>
        <v>2.1.2.1</v>
      </c>
      <c r="F2311" s="3" t="str">
        <f>VLOOKUP(Base_Periodo1[[#This Row],[Aux]],Base_Contas_Balanco[#All],2,FALSE)</f>
        <v>Fornecedores Cooperados</v>
      </c>
      <c r="G2311" s="1">
        <v>42879</v>
      </c>
      <c r="I2311" s="225">
        <v>2420.3000000000002</v>
      </c>
      <c r="J2311" s="225">
        <v>2420.3000000000002</v>
      </c>
      <c r="K2311" s="225">
        <v>6.9849193096160889E-10</v>
      </c>
      <c r="L23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11" s="225">
        <f>ROUND(IF(AND(Base_Periodo1[[#This Row],[Tipo_Linha]]="-",Base_Periodo1[[#This Row],[TIPOSALDO]]="D"),Base_Periodo1[[#This Row],[SALDO_ATUAL]]*-1,Base_Periodo1[[#This Row],[SALDO_ATUAL]]),4)</f>
        <v>0</v>
      </c>
      <c r="N2311" t="s">
        <v>116</v>
      </c>
      <c r="O2311" t="s">
        <v>436</v>
      </c>
      <c r="P2311" t="s">
        <v>436</v>
      </c>
      <c r="Q2311">
        <v>7</v>
      </c>
      <c r="R2311" s="225">
        <f>Base_Periodo1[[#This Row],[CREDITOS]]-Base_Periodo1[[#This Row],[DEBITOS]]</f>
        <v>0</v>
      </c>
      <c r="S2311" s="3" t="str">
        <f>IF(ISERROR(VLOOKUP(Base_Periodo1[[#This Row],[CONTA]],BaseContasDRE[#All],4,FALSE)),"Fora do DRE",VLOOKUP(Base_Periodo1[[#This Row],[CONTA]],BaseContasDRE[#All],4,FALSE))</f>
        <v>Fora do DRE</v>
      </c>
      <c r="T2311" s="3" t="str">
        <f>IF(ISERROR(VLOOKUP(Base_Periodo1[[#This Row],[CONTA]],BaseContasDRE[#All],5,FALSE)),"Fora do DRE",VLOOKUP(Base_Periodo1[[#This Row],[CONTA]],BaseContasDRE[#All],6,FALSE))</f>
        <v>Fora do DRE</v>
      </c>
      <c r="U2311" s="3" t="str">
        <f>IF(ISERROR(VLOOKUP(Base_Periodo1[[#This Row],[CONTA]],BaseContasDRE[#All],7,FALSE)),"Fora do DRE",VLOOKUP(Base_Periodo1[[#This Row],[CONTA]],BaseContasDRE[#All],7,FALSE))</f>
        <v>Fora do DRE</v>
      </c>
      <c r="V2311" s="3" t="str">
        <f>IF(Base_Periodo1[[#This Row],[Tipo_Linha]]="Fora do DRE","Fora do DRE","( "&amp;Base_Periodo1[[#This Row],[Tipo_Linha]]&amp;" ) "&amp;Base_Periodo1[[#This Row],[Filtro]])</f>
        <v>Fora do DRE</v>
      </c>
      <c r="W2311" s="3" t="str">
        <f>LEFT(Base_Periodo1[[#This Row],[CLASS]],3)</f>
        <v>2.1</v>
      </c>
    </row>
    <row r="2312" spans="1:23" hidden="1">
      <c r="A2312" s="3" t="str">
        <f t="shared" si="36"/>
        <v>Período 1</v>
      </c>
      <c r="B2312">
        <v>37077</v>
      </c>
      <c r="C2312" t="s">
        <v>1730</v>
      </c>
      <c r="D2312" t="s">
        <v>603</v>
      </c>
      <c r="E2312" s="3" t="str">
        <f>IF(LEN(Base_Periodo1[[#This Row],[CLASS]])&gt;=7,LEFT(Base_Periodo1[[#This Row],[CLASS]],7),"")</f>
        <v>2.1.2.1</v>
      </c>
      <c r="F2312" s="3" t="str">
        <f>VLOOKUP(Base_Periodo1[[#This Row],[Aux]],Base_Contas_Balanco[#All],2,FALSE)</f>
        <v>Fornecedores Cooperados</v>
      </c>
      <c r="G2312" s="1">
        <v>42884</v>
      </c>
      <c r="H2312" s="225">
        <v>125444.16999999993</v>
      </c>
      <c r="I2312" s="225">
        <v>253894.16999999998</v>
      </c>
      <c r="J2312" s="225">
        <v>128450</v>
      </c>
      <c r="K2312" s="225">
        <v>5.8207660913467407E-11</v>
      </c>
      <c r="L23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12" s="225">
        <f>ROUND(IF(AND(Base_Periodo1[[#This Row],[Tipo_Linha]]="-",Base_Periodo1[[#This Row],[TIPOSALDO]]="D"),Base_Periodo1[[#This Row],[SALDO_ATUAL]]*-1,Base_Periodo1[[#This Row],[SALDO_ATUAL]]),4)</f>
        <v>0</v>
      </c>
      <c r="N2312" t="s">
        <v>116</v>
      </c>
      <c r="O2312" t="s">
        <v>459</v>
      </c>
      <c r="P2312" t="s">
        <v>436</v>
      </c>
      <c r="Q2312">
        <v>7</v>
      </c>
      <c r="R2312" s="225">
        <f>Base_Periodo1[[#This Row],[CREDITOS]]-Base_Periodo1[[#This Row],[DEBITOS]]</f>
        <v>-125444.16999999998</v>
      </c>
      <c r="S2312" s="3" t="str">
        <f>IF(ISERROR(VLOOKUP(Base_Periodo1[[#This Row],[CONTA]],BaseContasDRE[#All],4,FALSE)),"Fora do DRE",VLOOKUP(Base_Periodo1[[#This Row],[CONTA]],BaseContasDRE[#All],4,FALSE))</f>
        <v>Fora do DRE</v>
      </c>
      <c r="T2312" s="3" t="str">
        <f>IF(ISERROR(VLOOKUP(Base_Periodo1[[#This Row],[CONTA]],BaseContasDRE[#All],5,FALSE)),"Fora do DRE",VLOOKUP(Base_Periodo1[[#This Row],[CONTA]],BaseContasDRE[#All],6,FALSE))</f>
        <v>Fora do DRE</v>
      </c>
      <c r="U2312" s="3" t="str">
        <f>IF(ISERROR(VLOOKUP(Base_Periodo1[[#This Row],[CONTA]],BaseContasDRE[#All],7,FALSE)),"Fora do DRE",VLOOKUP(Base_Periodo1[[#This Row],[CONTA]],BaseContasDRE[#All],7,FALSE))</f>
        <v>Fora do DRE</v>
      </c>
      <c r="V2312" s="3" t="str">
        <f>IF(Base_Periodo1[[#This Row],[Tipo_Linha]]="Fora do DRE","Fora do DRE","( "&amp;Base_Periodo1[[#This Row],[Tipo_Linha]]&amp;" ) "&amp;Base_Periodo1[[#This Row],[Filtro]])</f>
        <v>Fora do DRE</v>
      </c>
      <c r="W2312" s="3" t="str">
        <f>LEFT(Base_Periodo1[[#This Row],[CLASS]],3)</f>
        <v>2.1</v>
      </c>
    </row>
    <row r="2313" spans="1:23" hidden="1">
      <c r="A2313" s="3" t="str">
        <f t="shared" si="36"/>
        <v>Período 1</v>
      </c>
      <c r="B2313">
        <v>48123</v>
      </c>
      <c r="C2313" t="s">
        <v>1730</v>
      </c>
      <c r="D2313" t="s">
        <v>5137</v>
      </c>
      <c r="E2313" s="3" t="str">
        <f>IF(LEN(Base_Periodo1[[#This Row],[CLASS]])&gt;=7,LEFT(Base_Periodo1[[#This Row],[CLASS]],7),"")</f>
        <v>2.1.2.1</v>
      </c>
      <c r="F2313" s="3" t="str">
        <f>VLOOKUP(Base_Periodo1[[#This Row],[Aux]],Base_Contas_Balanco[#All],2,FALSE)</f>
        <v>Fornecedores Cooperados</v>
      </c>
      <c r="G2313" s="1">
        <v>42885</v>
      </c>
      <c r="I2313" s="225">
        <v>79360.430000000008</v>
      </c>
      <c r="J2313" s="225">
        <v>79360.430000000008</v>
      </c>
      <c r="K2313" s="225">
        <v>-2.9103830456733704E-11</v>
      </c>
      <c r="L23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13" s="225">
        <f>ROUND(IF(AND(Base_Periodo1[[#This Row],[Tipo_Linha]]="-",Base_Periodo1[[#This Row],[TIPOSALDO]]="D"),Base_Periodo1[[#This Row],[SALDO_ATUAL]]*-1,Base_Periodo1[[#This Row],[SALDO_ATUAL]]),4)</f>
        <v>0</v>
      </c>
      <c r="N2313" t="s">
        <v>116</v>
      </c>
      <c r="O2313" t="s">
        <v>436</v>
      </c>
      <c r="P2313" t="s">
        <v>436</v>
      </c>
      <c r="Q2313">
        <v>7</v>
      </c>
      <c r="R2313" s="225">
        <f>Base_Periodo1[[#This Row],[CREDITOS]]-Base_Periodo1[[#This Row],[DEBITOS]]</f>
        <v>0</v>
      </c>
      <c r="S2313" s="3" t="str">
        <f>IF(ISERROR(VLOOKUP(Base_Periodo1[[#This Row],[CONTA]],BaseContasDRE[#All],4,FALSE)),"Fora do DRE",VLOOKUP(Base_Periodo1[[#This Row],[CONTA]],BaseContasDRE[#All],4,FALSE))</f>
        <v>Fora do DRE</v>
      </c>
      <c r="T2313" s="3" t="str">
        <f>IF(ISERROR(VLOOKUP(Base_Periodo1[[#This Row],[CONTA]],BaseContasDRE[#All],5,FALSE)),"Fora do DRE",VLOOKUP(Base_Periodo1[[#This Row],[CONTA]],BaseContasDRE[#All],6,FALSE))</f>
        <v>Fora do DRE</v>
      </c>
      <c r="U2313" s="3" t="str">
        <f>IF(ISERROR(VLOOKUP(Base_Periodo1[[#This Row],[CONTA]],BaseContasDRE[#All],7,FALSE)),"Fora do DRE",VLOOKUP(Base_Periodo1[[#This Row],[CONTA]],BaseContasDRE[#All],7,FALSE))</f>
        <v>Fora do DRE</v>
      </c>
      <c r="V2313" s="3" t="str">
        <f>IF(Base_Periodo1[[#This Row],[Tipo_Linha]]="Fora do DRE","Fora do DRE","( "&amp;Base_Periodo1[[#This Row],[Tipo_Linha]]&amp;" ) "&amp;Base_Periodo1[[#This Row],[Filtro]])</f>
        <v>Fora do DRE</v>
      </c>
      <c r="W2313" s="3" t="str">
        <f>LEFT(Base_Periodo1[[#This Row],[CLASS]],3)</f>
        <v>2.1</v>
      </c>
    </row>
    <row r="2314" spans="1:23" hidden="1">
      <c r="A2314" s="3" t="str">
        <f t="shared" si="36"/>
        <v>Período 1</v>
      </c>
      <c r="B2314">
        <v>4033</v>
      </c>
      <c r="C2314" t="s">
        <v>1730</v>
      </c>
      <c r="D2314" t="s">
        <v>604</v>
      </c>
      <c r="E2314" s="3" t="str">
        <f>IF(LEN(Base_Periodo1[[#This Row],[CLASS]])&gt;=7,LEFT(Base_Periodo1[[#This Row],[CLASS]],7),"")</f>
        <v>2.1.2.1</v>
      </c>
      <c r="F2314" s="3" t="str">
        <f>VLOOKUP(Base_Periodo1[[#This Row],[Aux]],Base_Contas_Balanco[#All],2,FALSE)</f>
        <v>Fornecedores Cooperados</v>
      </c>
      <c r="G2314" s="1">
        <v>42886</v>
      </c>
      <c r="I2314" s="225">
        <v>142588.07999999999</v>
      </c>
      <c r="J2314" s="225">
        <v>145264.75</v>
      </c>
      <c r="K2314" s="225">
        <v>2676.6699999990815</v>
      </c>
      <c r="L23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2676.67</v>
      </c>
      <c r="M2314" s="225">
        <f>ROUND(IF(AND(Base_Periodo1[[#This Row],[Tipo_Linha]]="-",Base_Periodo1[[#This Row],[TIPOSALDO]]="D"),Base_Periodo1[[#This Row],[SALDO_ATUAL]]*-1,Base_Periodo1[[#This Row],[SALDO_ATUAL]]),4)</f>
        <v>2676.67</v>
      </c>
      <c r="N2314" t="s">
        <v>116</v>
      </c>
      <c r="O2314" t="s">
        <v>436</v>
      </c>
      <c r="P2314" t="s">
        <v>459</v>
      </c>
      <c r="Q2314">
        <v>7</v>
      </c>
      <c r="R2314" s="225">
        <f>Base_Periodo1[[#This Row],[CREDITOS]]-Base_Periodo1[[#This Row],[DEBITOS]]</f>
        <v>2676.6700000000128</v>
      </c>
      <c r="S2314" s="3" t="str">
        <f>IF(ISERROR(VLOOKUP(Base_Periodo1[[#This Row],[CONTA]],BaseContasDRE[#All],4,FALSE)),"Fora do DRE",VLOOKUP(Base_Periodo1[[#This Row],[CONTA]],BaseContasDRE[#All],4,FALSE))</f>
        <v>Fora do DRE</v>
      </c>
      <c r="T2314" s="3" t="str">
        <f>IF(ISERROR(VLOOKUP(Base_Periodo1[[#This Row],[CONTA]],BaseContasDRE[#All],5,FALSE)),"Fora do DRE",VLOOKUP(Base_Periodo1[[#This Row],[CONTA]],BaseContasDRE[#All],6,FALSE))</f>
        <v>Fora do DRE</v>
      </c>
      <c r="U2314" s="3" t="str">
        <f>IF(ISERROR(VLOOKUP(Base_Periodo1[[#This Row],[CONTA]],BaseContasDRE[#All],7,FALSE)),"Fora do DRE",VLOOKUP(Base_Periodo1[[#This Row],[CONTA]],BaseContasDRE[#All],7,FALSE))</f>
        <v>Fora do DRE</v>
      </c>
      <c r="V2314" s="3" t="str">
        <f>IF(Base_Periodo1[[#This Row],[Tipo_Linha]]="Fora do DRE","Fora do DRE","( "&amp;Base_Periodo1[[#This Row],[Tipo_Linha]]&amp;" ) "&amp;Base_Periodo1[[#This Row],[Filtro]])</f>
        <v>Fora do DRE</v>
      </c>
      <c r="W2314" s="3" t="str">
        <f>LEFT(Base_Periodo1[[#This Row],[CLASS]],3)</f>
        <v>2.1</v>
      </c>
    </row>
    <row r="2315" spans="1:23" hidden="1">
      <c r="A2315" s="3" t="str">
        <f t="shared" si="36"/>
        <v>Período 1</v>
      </c>
      <c r="B2315">
        <v>20334</v>
      </c>
      <c r="C2315" t="s">
        <v>1730</v>
      </c>
      <c r="D2315" t="s">
        <v>6845</v>
      </c>
      <c r="E2315" s="3" t="str">
        <f>IF(LEN(Base_Periodo1[[#This Row],[CLASS]])&gt;=7,LEFT(Base_Periodo1[[#This Row],[CLASS]],7),"")</f>
        <v>2.1.2.1</v>
      </c>
      <c r="F2315" s="3" t="str">
        <f>VLOOKUP(Base_Periodo1[[#This Row],[Aux]],Base_Contas_Balanco[#All],2,FALSE)</f>
        <v>Fornecedores Cooperados</v>
      </c>
      <c r="G2315" s="1">
        <v>42881</v>
      </c>
      <c r="I2315" s="225">
        <v>941</v>
      </c>
      <c r="J2315" s="225">
        <v>941</v>
      </c>
      <c r="K2315" s="225">
        <v>0</v>
      </c>
      <c r="L23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15" s="225">
        <f>ROUND(IF(AND(Base_Periodo1[[#This Row],[Tipo_Linha]]="-",Base_Periodo1[[#This Row],[TIPOSALDO]]="D"),Base_Periodo1[[#This Row],[SALDO_ATUAL]]*-1,Base_Periodo1[[#This Row],[SALDO_ATUAL]]),4)</f>
        <v>0</v>
      </c>
      <c r="N2315" t="s">
        <v>116</v>
      </c>
      <c r="O2315" t="s">
        <v>436</v>
      </c>
      <c r="P2315" t="s">
        <v>436</v>
      </c>
      <c r="Q2315">
        <v>7</v>
      </c>
      <c r="R2315" s="225">
        <f>Base_Periodo1[[#This Row],[CREDITOS]]-Base_Periodo1[[#This Row],[DEBITOS]]</f>
        <v>0</v>
      </c>
      <c r="S2315" s="3" t="str">
        <f>IF(ISERROR(VLOOKUP(Base_Periodo1[[#This Row],[CONTA]],BaseContasDRE[#All],4,FALSE)),"Fora do DRE",VLOOKUP(Base_Periodo1[[#This Row],[CONTA]],BaseContasDRE[#All],4,FALSE))</f>
        <v>Fora do DRE</v>
      </c>
      <c r="T2315" s="3" t="str">
        <f>IF(ISERROR(VLOOKUP(Base_Periodo1[[#This Row],[CONTA]],BaseContasDRE[#All],5,FALSE)),"Fora do DRE",VLOOKUP(Base_Periodo1[[#This Row],[CONTA]],BaseContasDRE[#All],6,FALSE))</f>
        <v>Fora do DRE</v>
      </c>
      <c r="U2315" s="3" t="str">
        <f>IF(ISERROR(VLOOKUP(Base_Periodo1[[#This Row],[CONTA]],BaseContasDRE[#All],7,FALSE)),"Fora do DRE",VLOOKUP(Base_Periodo1[[#This Row],[CONTA]],BaseContasDRE[#All],7,FALSE))</f>
        <v>Fora do DRE</v>
      </c>
      <c r="V2315" s="3" t="str">
        <f>IF(Base_Periodo1[[#This Row],[Tipo_Linha]]="Fora do DRE","Fora do DRE","( "&amp;Base_Periodo1[[#This Row],[Tipo_Linha]]&amp;" ) "&amp;Base_Periodo1[[#This Row],[Filtro]])</f>
        <v>Fora do DRE</v>
      </c>
      <c r="W2315" s="3" t="str">
        <f>LEFT(Base_Periodo1[[#This Row],[CLASS]],3)</f>
        <v>2.1</v>
      </c>
    </row>
    <row r="2316" spans="1:23" hidden="1">
      <c r="A2316" s="3" t="str">
        <f t="shared" si="36"/>
        <v>Período 1</v>
      </c>
      <c r="B2316">
        <v>46532</v>
      </c>
      <c r="C2316" t="s">
        <v>1730</v>
      </c>
      <c r="D2316" t="s">
        <v>2046</v>
      </c>
      <c r="E2316" s="3" t="str">
        <f>IF(LEN(Base_Periodo1[[#This Row],[CLASS]])&gt;=7,LEFT(Base_Periodo1[[#This Row],[CLASS]],7),"")</f>
        <v>2.1.2.1</v>
      </c>
      <c r="F2316" s="3" t="str">
        <f>VLOOKUP(Base_Periodo1[[#This Row],[Aux]],Base_Contas_Balanco[#All],2,FALSE)</f>
        <v>Fornecedores Cooperados</v>
      </c>
      <c r="G2316" s="1"/>
      <c r="H2316" s="225">
        <v>44</v>
      </c>
      <c r="I2316" s="225">
        <v>0</v>
      </c>
      <c r="J2316" s="225">
        <v>0</v>
      </c>
      <c r="K2316" s="225">
        <v>44</v>
      </c>
      <c r="L23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</v>
      </c>
      <c r="M2316" s="225">
        <f>ROUND(IF(AND(Base_Periodo1[[#This Row],[Tipo_Linha]]="-",Base_Periodo1[[#This Row],[TIPOSALDO]]="D"),Base_Periodo1[[#This Row],[SALDO_ATUAL]]*-1,Base_Periodo1[[#This Row],[SALDO_ATUAL]]),4)</f>
        <v>44</v>
      </c>
      <c r="N2316" t="s">
        <v>116</v>
      </c>
      <c r="O2316" t="s">
        <v>459</v>
      </c>
      <c r="P2316" t="s">
        <v>459</v>
      </c>
      <c r="Q2316">
        <v>7</v>
      </c>
      <c r="R2316" s="225">
        <f>Base_Periodo1[[#This Row],[CREDITOS]]-Base_Periodo1[[#This Row],[DEBITOS]]</f>
        <v>0</v>
      </c>
      <c r="S2316" s="3" t="str">
        <f>IF(ISERROR(VLOOKUP(Base_Periodo1[[#This Row],[CONTA]],BaseContasDRE[#All],4,FALSE)),"Fora do DRE",VLOOKUP(Base_Periodo1[[#This Row],[CONTA]],BaseContasDRE[#All],4,FALSE))</f>
        <v>Fora do DRE</v>
      </c>
      <c r="T2316" s="3" t="str">
        <f>IF(ISERROR(VLOOKUP(Base_Periodo1[[#This Row],[CONTA]],BaseContasDRE[#All],5,FALSE)),"Fora do DRE",VLOOKUP(Base_Periodo1[[#This Row],[CONTA]],BaseContasDRE[#All],6,FALSE))</f>
        <v>Fora do DRE</v>
      </c>
      <c r="U2316" s="3" t="str">
        <f>IF(ISERROR(VLOOKUP(Base_Periodo1[[#This Row],[CONTA]],BaseContasDRE[#All],7,FALSE)),"Fora do DRE",VLOOKUP(Base_Periodo1[[#This Row],[CONTA]],BaseContasDRE[#All],7,FALSE))</f>
        <v>Fora do DRE</v>
      </c>
      <c r="V2316" s="3" t="str">
        <f>IF(Base_Periodo1[[#This Row],[Tipo_Linha]]="Fora do DRE","Fora do DRE","( "&amp;Base_Periodo1[[#This Row],[Tipo_Linha]]&amp;" ) "&amp;Base_Periodo1[[#This Row],[Filtro]])</f>
        <v>Fora do DRE</v>
      </c>
      <c r="W2316" s="3" t="str">
        <f>LEFT(Base_Periodo1[[#This Row],[CLASS]],3)</f>
        <v>2.1</v>
      </c>
    </row>
    <row r="2317" spans="1:23" hidden="1">
      <c r="A2317" s="3" t="str">
        <f t="shared" si="36"/>
        <v>Período 1</v>
      </c>
      <c r="B2317">
        <v>46966</v>
      </c>
      <c r="C2317" t="s">
        <v>1730</v>
      </c>
      <c r="D2317" t="s">
        <v>6706</v>
      </c>
      <c r="E2317" s="3" t="str">
        <f>IF(LEN(Base_Periodo1[[#This Row],[CLASS]])&gt;=7,LEFT(Base_Periodo1[[#This Row],[CLASS]],7),"")</f>
        <v>2.1.2.1</v>
      </c>
      <c r="F2317" s="3" t="str">
        <f>VLOOKUP(Base_Periodo1[[#This Row],[Aux]],Base_Contas_Balanco[#All],2,FALSE)</f>
        <v>Fornecedores Cooperados</v>
      </c>
      <c r="G2317" s="1">
        <v>42879</v>
      </c>
      <c r="I2317" s="225">
        <v>6190</v>
      </c>
      <c r="J2317" s="225">
        <v>6190</v>
      </c>
      <c r="K2317" s="225">
        <v>0</v>
      </c>
      <c r="L23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17" s="225">
        <f>ROUND(IF(AND(Base_Periodo1[[#This Row],[Tipo_Linha]]="-",Base_Periodo1[[#This Row],[TIPOSALDO]]="D"),Base_Periodo1[[#This Row],[SALDO_ATUAL]]*-1,Base_Periodo1[[#This Row],[SALDO_ATUAL]]),4)</f>
        <v>0</v>
      </c>
      <c r="N2317" t="s">
        <v>116</v>
      </c>
      <c r="O2317" t="s">
        <v>436</v>
      </c>
      <c r="P2317" t="s">
        <v>436</v>
      </c>
      <c r="Q2317">
        <v>7</v>
      </c>
      <c r="R2317" s="225">
        <f>Base_Periodo1[[#This Row],[CREDITOS]]-Base_Periodo1[[#This Row],[DEBITOS]]</f>
        <v>0</v>
      </c>
      <c r="S2317" s="3" t="str">
        <f>IF(ISERROR(VLOOKUP(Base_Periodo1[[#This Row],[CONTA]],BaseContasDRE[#All],4,FALSE)),"Fora do DRE",VLOOKUP(Base_Periodo1[[#This Row],[CONTA]],BaseContasDRE[#All],4,FALSE))</f>
        <v>Fora do DRE</v>
      </c>
      <c r="T2317" s="3" t="str">
        <f>IF(ISERROR(VLOOKUP(Base_Periodo1[[#This Row],[CONTA]],BaseContasDRE[#All],5,FALSE)),"Fora do DRE",VLOOKUP(Base_Periodo1[[#This Row],[CONTA]],BaseContasDRE[#All],6,FALSE))</f>
        <v>Fora do DRE</v>
      </c>
      <c r="U2317" s="3" t="str">
        <f>IF(ISERROR(VLOOKUP(Base_Periodo1[[#This Row],[CONTA]],BaseContasDRE[#All],7,FALSE)),"Fora do DRE",VLOOKUP(Base_Periodo1[[#This Row],[CONTA]],BaseContasDRE[#All],7,FALSE))</f>
        <v>Fora do DRE</v>
      </c>
      <c r="V2317" s="3" t="str">
        <f>IF(Base_Periodo1[[#This Row],[Tipo_Linha]]="Fora do DRE","Fora do DRE","( "&amp;Base_Periodo1[[#This Row],[Tipo_Linha]]&amp;" ) "&amp;Base_Periodo1[[#This Row],[Filtro]])</f>
        <v>Fora do DRE</v>
      </c>
      <c r="W2317" s="3" t="str">
        <f>LEFT(Base_Periodo1[[#This Row],[CLASS]],3)</f>
        <v>2.1</v>
      </c>
    </row>
    <row r="2318" spans="1:23" hidden="1">
      <c r="A2318" s="3" t="str">
        <f t="shared" si="36"/>
        <v>Período 1</v>
      </c>
      <c r="B2318">
        <v>18308</v>
      </c>
      <c r="C2318" t="s">
        <v>1730</v>
      </c>
      <c r="D2318" t="s">
        <v>606</v>
      </c>
      <c r="E2318" s="3" t="str">
        <f>IF(LEN(Base_Periodo1[[#This Row],[CLASS]])&gt;=7,LEFT(Base_Periodo1[[#This Row],[CLASS]],7),"")</f>
        <v>2.1.2.1</v>
      </c>
      <c r="F2318" s="3" t="str">
        <f>VLOOKUP(Base_Periodo1[[#This Row],[Aux]],Base_Contas_Balanco[#All],2,FALSE)</f>
        <v>Fornecedores Cooperados</v>
      </c>
      <c r="G2318" s="1">
        <v>41997</v>
      </c>
      <c r="H2318" s="225">
        <v>128.47999999999593</v>
      </c>
      <c r="I2318" s="225">
        <v>0</v>
      </c>
      <c r="J2318" s="225">
        <v>0</v>
      </c>
      <c r="K2318" s="225">
        <v>128.47999999999593</v>
      </c>
      <c r="L23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128.47999999999999</v>
      </c>
      <c r="M2318" s="225">
        <f>ROUND(IF(AND(Base_Periodo1[[#This Row],[Tipo_Linha]]="-",Base_Periodo1[[#This Row],[TIPOSALDO]]="D"),Base_Periodo1[[#This Row],[SALDO_ATUAL]]*-1,Base_Periodo1[[#This Row],[SALDO_ATUAL]]),4)</f>
        <v>128.47999999999999</v>
      </c>
      <c r="N2318" t="s">
        <v>116</v>
      </c>
      <c r="O2318" t="s">
        <v>459</v>
      </c>
      <c r="P2318" t="s">
        <v>459</v>
      </c>
      <c r="Q2318">
        <v>7</v>
      </c>
      <c r="R2318" s="225">
        <f>Base_Periodo1[[#This Row],[CREDITOS]]-Base_Periodo1[[#This Row],[DEBITOS]]</f>
        <v>0</v>
      </c>
      <c r="S2318" s="3" t="str">
        <f>IF(ISERROR(VLOOKUP(Base_Periodo1[[#This Row],[CONTA]],BaseContasDRE[#All],4,FALSE)),"Fora do DRE",VLOOKUP(Base_Periodo1[[#This Row],[CONTA]],BaseContasDRE[#All],4,FALSE))</f>
        <v>Fora do DRE</v>
      </c>
      <c r="T2318" s="3" t="str">
        <f>IF(ISERROR(VLOOKUP(Base_Periodo1[[#This Row],[CONTA]],BaseContasDRE[#All],5,FALSE)),"Fora do DRE",VLOOKUP(Base_Periodo1[[#This Row],[CONTA]],BaseContasDRE[#All],6,FALSE))</f>
        <v>Fora do DRE</v>
      </c>
      <c r="U2318" s="3" t="str">
        <f>IF(ISERROR(VLOOKUP(Base_Periodo1[[#This Row],[CONTA]],BaseContasDRE[#All],7,FALSE)),"Fora do DRE",VLOOKUP(Base_Periodo1[[#This Row],[CONTA]],BaseContasDRE[#All],7,FALSE))</f>
        <v>Fora do DRE</v>
      </c>
      <c r="V2318" s="3" t="str">
        <f>IF(Base_Periodo1[[#This Row],[Tipo_Linha]]="Fora do DRE","Fora do DRE","( "&amp;Base_Periodo1[[#This Row],[Tipo_Linha]]&amp;" ) "&amp;Base_Periodo1[[#This Row],[Filtro]])</f>
        <v>Fora do DRE</v>
      </c>
      <c r="W2318" s="3" t="str">
        <f>LEFT(Base_Periodo1[[#This Row],[CLASS]],3)</f>
        <v>2.1</v>
      </c>
    </row>
    <row r="2319" spans="1:23" hidden="1">
      <c r="A2319" s="3" t="str">
        <f t="shared" si="36"/>
        <v>Período 1</v>
      </c>
      <c r="B2319">
        <v>48288</v>
      </c>
      <c r="C2319" t="s">
        <v>1730</v>
      </c>
      <c r="D2319" t="s">
        <v>607</v>
      </c>
      <c r="E2319" s="3" t="str">
        <f>IF(LEN(Base_Periodo1[[#This Row],[CLASS]])&gt;=7,LEFT(Base_Periodo1[[#This Row],[CLASS]],7),"")</f>
        <v>2.1.2.1</v>
      </c>
      <c r="F2319" s="3" t="str">
        <f>VLOOKUP(Base_Periodo1[[#This Row],[Aux]],Base_Contas_Balanco[#All],2,FALSE)</f>
        <v>Fornecedores Cooperados</v>
      </c>
      <c r="G2319" s="1">
        <v>42851</v>
      </c>
      <c r="H2319" s="225">
        <v>675</v>
      </c>
      <c r="I2319" s="225">
        <v>0</v>
      </c>
      <c r="J2319" s="225">
        <v>0</v>
      </c>
      <c r="K2319" s="225">
        <v>675</v>
      </c>
      <c r="L23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675</v>
      </c>
      <c r="M2319" s="225">
        <f>ROUND(IF(AND(Base_Periodo1[[#This Row],[Tipo_Linha]]="-",Base_Periodo1[[#This Row],[TIPOSALDO]]="D"),Base_Periodo1[[#This Row],[SALDO_ATUAL]]*-1,Base_Periodo1[[#This Row],[SALDO_ATUAL]]),4)</f>
        <v>675</v>
      </c>
      <c r="N2319" t="s">
        <v>116</v>
      </c>
      <c r="O2319" t="s">
        <v>459</v>
      </c>
      <c r="P2319" t="s">
        <v>459</v>
      </c>
      <c r="Q2319">
        <v>7</v>
      </c>
      <c r="R2319" s="225">
        <f>Base_Periodo1[[#This Row],[CREDITOS]]-Base_Periodo1[[#This Row],[DEBITOS]]</f>
        <v>0</v>
      </c>
      <c r="S2319" s="3" t="str">
        <f>IF(ISERROR(VLOOKUP(Base_Periodo1[[#This Row],[CONTA]],BaseContasDRE[#All],4,FALSE)),"Fora do DRE",VLOOKUP(Base_Periodo1[[#This Row],[CONTA]],BaseContasDRE[#All],4,FALSE))</f>
        <v>Fora do DRE</v>
      </c>
      <c r="T2319" s="3" t="str">
        <f>IF(ISERROR(VLOOKUP(Base_Periodo1[[#This Row],[CONTA]],BaseContasDRE[#All],5,FALSE)),"Fora do DRE",VLOOKUP(Base_Periodo1[[#This Row],[CONTA]],BaseContasDRE[#All],6,FALSE))</f>
        <v>Fora do DRE</v>
      </c>
      <c r="U2319" s="3" t="str">
        <f>IF(ISERROR(VLOOKUP(Base_Periodo1[[#This Row],[CONTA]],BaseContasDRE[#All],7,FALSE)),"Fora do DRE",VLOOKUP(Base_Periodo1[[#This Row],[CONTA]],BaseContasDRE[#All],7,FALSE))</f>
        <v>Fora do DRE</v>
      </c>
      <c r="V2319" s="3" t="str">
        <f>IF(Base_Periodo1[[#This Row],[Tipo_Linha]]="Fora do DRE","Fora do DRE","( "&amp;Base_Periodo1[[#This Row],[Tipo_Linha]]&amp;" ) "&amp;Base_Periodo1[[#This Row],[Filtro]])</f>
        <v>Fora do DRE</v>
      </c>
      <c r="W2319" s="3" t="str">
        <f>LEFT(Base_Periodo1[[#This Row],[CLASS]],3)</f>
        <v>2.1</v>
      </c>
    </row>
    <row r="2320" spans="1:23" hidden="1">
      <c r="A2320" s="3" t="str">
        <f t="shared" si="36"/>
        <v>Período 1</v>
      </c>
      <c r="B2320">
        <v>52971</v>
      </c>
      <c r="C2320" t="s">
        <v>1730</v>
      </c>
      <c r="D2320" t="s">
        <v>946</v>
      </c>
      <c r="E2320" s="3" t="str">
        <f>IF(LEN(Base_Periodo1[[#This Row],[CLASS]])&gt;=7,LEFT(Base_Periodo1[[#This Row],[CLASS]],7),"")</f>
        <v>2.1.2.1</v>
      </c>
      <c r="F2320" s="3" t="str">
        <f>VLOOKUP(Base_Periodo1[[#This Row],[Aux]],Base_Contas_Balanco[#All],2,FALSE)</f>
        <v>Fornecedores Cooperados</v>
      </c>
      <c r="G2320" s="1">
        <v>42858</v>
      </c>
      <c r="I2320" s="225">
        <v>842008.75</v>
      </c>
      <c r="J2320" s="225">
        <v>842008.75</v>
      </c>
      <c r="K2320" s="225">
        <v>-9.3132257461547852E-10</v>
      </c>
      <c r="L23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20" s="225">
        <f>ROUND(IF(AND(Base_Periodo1[[#This Row],[Tipo_Linha]]="-",Base_Periodo1[[#This Row],[TIPOSALDO]]="D"),Base_Periodo1[[#This Row],[SALDO_ATUAL]]*-1,Base_Periodo1[[#This Row],[SALDO_ATUAL]]),4)</f>
        <v>0</v>
      </c>
      <c r="N2320" t="s">
        <v>116</v>
      </c>
      <c r="O2320" t="s">
        <v>436</v>
      </c>
      <c r="P2320" t="s">
        <v>436</v>
      </c>
      <c r="Q2320">
        <v>7</v>
      </c>
      <c r="R2320" s="225">
        <f>Base_Periodo1[[#This Row],[CREDITOS]]-Base_Periodo1[[#This Row],[DEBITOS]]</f>
        <v>0</v>
      </c>
      <c r="S2320" s="3" t="str">
        <f>IF(ISERROR(VLOOKUP(Base_Periodo1[[#This Row],[CONTA]],BaseContasDRE[#All],4,FALSE)),"Fora do DRE",VLOOKUP(Base_Periodo1[[#This Row],[CONTA]],BaseContasDRE[#All],4,FALSE))</f>
        <v>Fora do DRE</v>
      </c>
      <c r="T2320" s="3" t="str">
        <f>IF(ISERROR(VLOOKUP(Base_Periodo1[[#This Row],[CONTA]],BaseContasDRE[#All],5,FALSE)),"Fora do DRE",VLOOKUP(Base_Periodo1[[#This Row],[CONTA]],BaseContasDRE[#All],6,FALSE))</f>
        <v>Fora do DRE</v>
      </c>
      <c r="U2320" s="3" t="str">
        <f>IF(ISERROR(VLOOKUP(Base_Periodo1[[#This Row],[CONTA]],BaseContasDRE[#All],7,FALSE)),"Fora do DRE",VLOOKUP(Base_Periodo1[[#This Row],[CONTA]],BaseContasDRE[#All],7,FALSE))</f>
        <v>Fora do DRE</v>
      </c>
      <c r="V2320" s="3" t="str">
        <f>IF(Base_Periodo1[[#This Row],[Tipo_Linha]]="Fora do DRE","Fora do DRE","( "&amp;Base_Periodo1[[#This Row],[Tipo_Linha]]&amp;" ) "&amp;Base_Periodo1[[#This Row],[Filtro]])</f>
        <v>Fora do DRE</v>
      </c>
      <c r="W2320" s="3" t="str">
        <f>LEFT(Base_Periodo1[[#This Row],[CLASS]],3)</f>
        <v>2.1</v>
      </c>
    </row>
    <row r="2321" spans="1:23" hidden="1">
      <c r="A2321" s="3" t="str">
        <f t="shared" si="36"/>
        <v>Período 1</v>
      </c>
      <c r="B2321">
        <v>24481</v>
      </c>
      <c r="C2321" t="s">
        <v>1730</v>
      </c>
      <c r="D2321" t="s">
        <v>608</v>
      </c>
      <c r="E2321" s="3" t="str">
        <f>IF(LEN(Base_Periodo1[[#This Row],[CLASS]])&gt;=7,LEFT(Base_Periodo1[[#This Row],[CLASS]],7),"")</f>
        <v>2.1.2.1</v>
      </c>
      <c r="F2321" s="3" t="str">
        <f>VLOOKUP(Base_Periodo1[[#This Row],[Aux]],Base_Contas_Balanco[#All],2,FALSE)</f>
        <v>Fornecedores Cooperados</v>
      </c>
      <c r="G2321" s="1">
        <v>42860</v>
      </c>
      <c r="I2321" s="225">
        <v>1030.28</v>
      </c>
      <c r="J2321" s="225">
        <v>1030.28</v>
      </c>
      <c r="K2321" s="225">
        <v>-1.1641532182693481E-9</v>
      </c>
      <c r="L23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21" s="225">
        <f>ROUND(IF(AND(Base_Periodo1[[#This Row],[Tipo_Linha]]="-",Base_Periodo1[[#This Row],[TIPOSALDO]]="D"),Base_Periodo1[[#This Row],[SALDO_ATUAL]]*-1,Base_Periodo1[[#This Row],[SALDO_ATUAL]]),4)</f>
        <v>0</v>
      </c>
      <c r="N2321" t="s">
        <v>116</v>
      </c>
      <c r="O2321" t="s">
        <v>436</v>
      </c>
      <c r="P2321" t="s">
        <v>436</v>
      </c>
      <c r="Q2321">
        <v>7</v>
      </c>
      <c r="R2321" s="225">
        <f>Base_Periodo1[[#This Row],[CREDITOS]]-Base_Periodo1[[#This Row],[DEBITOS]]</f>
        <v>0</v>
      </c>
      <c r="S2321" s="3" t="str">
        <f>IF(ISERROR(VLOOKUP(Base_Periodo1[[#This Row],[CONTA]],BaseContasDRE[#All],4,FALSE)),"Fora do DRE",VLOOKUP(Base_Periodo1[[#This Row],[CONTA]],BaseContasDRE[#All],4,FALSE))</f>
        <v>Fora do DRE</v>
      </c>
      <c r="T2321" s="3" t="str">
        <f>IF(ISERROR(VLOOKUP(Base_Periodo1[[#This Row],[CONTA]],BaseContasDRE[#All],5,FALSE)),"Fora do DRE",VLOOKUP(Base_Periodo1[[#This Row],[CONTA]],BaseContasDRE[#All],6,FALSE))</f>
        <v>Fora do DRE</v>
      </c>
      <c r="U2321" s="3" t="str">
        <f>IF(ISERROR(VLOOKUP(Base_Periodo1[[#This Row],[CONTA]],BaseContasDRE[#All],7,FALSE)),"Fora do DRE",VLOOKUP(Base_Periodo1[[#This Row],[CONTA]],BaseContasDRE[#All],7,FALSE))</f>
        <v>Fora do DRE</v>
      </c>
      <c r="V2321" s="3" t="str">
        <f>IF(Base_Periodo1[[#This Row],[Tipo_Linha]]="Fora do DRE","Fora do DRE","( "&amp;Base_Periodo1[[#This Row],[Tipo_Linha]]&amp;" ) "&amp;Base_Periodo1[[#This Row],[Filtro]])</f>
        <v>Fora do DRE</v>
      </c>
      <c r="W2321" s="3" t="str">
        <f>LEFT(Base_Periodo1[[#This Row],[CLASS]],3)</f>
        <v>2.1</v>
      </c>
    </row>
    <row r="2322" spans="1:23" hidden="1">
      <c r="A2322" s="3" t="str">
        <f t="shared" si="36"/>
        <v>Período 1</v>
      </c>
      <c r="B2322">
        <v>8715</v>
      </c>
      <c r="C2322" t="s">
        <v>1730</v>
      </c>
      <c r="D2322" t="s">
        <v>609</v>
      </c>
      <c r="E2322" s="3" t="str">
        <f>IF(LEN(Base_Periodo1[[#This Row],[CLASS]])&gt;=7,LEFT(Base_Periodo1[[#This Row],[CLASS]],7),"")</f>
        <v>2.1.2.1</v>
      </c>
      <c r="F2322" s="3" t="str">
        <f>VLOOKUP(Base_Periodo1[[#This Row],[Aux]],Base_Contas_Balanco[#All],2,FALSE)</f>
        <v>Fornecedores Cooperados</v>
      </c>
      <c r="G2322" s="1">
        <v>42886</v>
      </c>
      <c r="H2322" s="225">
        <v>526197.07000001892</v>
      </c>
      <c r="I2322" s="225">
        <v>1087947.0999999999</v>
      </c>
      <c r="J2322" s="225">
        <v>562809.22</v>
      </c>
      <c r="K2322" s="225">
        <v>1059.1900000190362</v>
      </c>
      <c r="L23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1059.19</v>
      </c>
      <c r="M2322" s="225">
        <f>ROUND(IF(AND(Base_Periodo1[[#This Row],[Tipo_Linha]]="-",Base_Periodo1[[#This Row],[TIPOSALDO]]="D"),Base_Periodo1[[#This Row],[SALDO_ATUAL]]*-1,Base_Periodo1[[#This Row],[SALDO_ATUAL]]),4)</f>
        <v>1059.19</v>
      </c>
      <c r="N2322" t="s">
        <v>116</v>
      </c>
      <c r="O2322" t="s">
        <v>459</v>
      </c>
      <c r="P2322" t="s">
        <v>459</v>
      </c>
      <c r="Q2322">
        <v>7</v>
      </c>
      <c r="R2322" s="225">
        <f>Base_Periodo1[[#This Row],[CREDITOS]]-Base_Periodo1[[#This Row],[DEBITOS]]</f>
        <v>-525137.87999999989</v>
      </c>
      <c r="S2322" s="3" t="str">
        <f>IF(ISERROR(VLOOKUP(Base_Periodo1[[#This Row],[CONTA]],BaseContasDRE[#All],4,FALSE)),"Fora do DRE",VLOOKUP(Base_Periodo1[[#This Row],[CONTA]],BaseContasDRE[#All],4,FALSE))</f>
        <v>Fora do DRE</v>
      </c>
      <c r="T2322" s="3" t="str">
        <f>IF(ISERROR(VLOOKUP(Base_Periodo1[[#This Row],[CONTA]],BaseContasDRE[#All],5,FALSE)),"Fora do DRE",VLOOKUP(Base_Periodo1[[#This Row],[CONTA]],BaseContasDRE[#All],6,FALSE))</f>
        <v>Fora do DRE</v>
      </c>
      <c r="U2322" s="3" t="str">
        <f>IF(ISERROR(VLOOKUP(Base_Periodo1[[#This Row],[CONTA]],BaseContasDRE[#All],7,FALSE)),"Fora do DRE",VLOOKUP(Base_Periodo1[[#This Row],[CONTA]],BaseContasDRE[#All],7,FALSE))</f>
        <v>Fora do DRE</v>
      </c>
      <c r="V2322" s="3" t="str">
        <f>IF(Base_Periodo1[[#This Row],[Tipo_Linha]]="Fora do DRE","Fora do DRE","( "&amp;Base_Periodo1[[#This Row],[Tipo_Linha]]&amp;" ) "&amp;Base_Periodo1[[#This Row],[Filtro]])</f>
        <v>Fora do DRE</v>
      </c>
      <c r="W2322" s="3" t="str">
        <f>LEFT(Base_Periodo1[[#This Row],[CLASS]],3)</f>
        <v>2.1</v>
      </c>
    </row>
    <row r="2323" spans="1:23" hidden="1">
      <c r="A2323" s="3" t="str">
        <f t="shared" si="36"/>
        <v>Período 1</v>
      </c>
      <c r="B2323">
        <v>4897</v>
      </c>
      <c r="C2323" t="s">
        <v>1730</v>
      </c>
      <c r="D2323" t="s">
        <v>610</v>
      </c>
      <c r="E2323" s="3" t="str">
        <f>IF(LEN(Base_Periodo1[[#This Row],[CLASS]])&gt;=7,LEFT(Base_Periodo1[[#This Row],[CLASS]],7),"")</f>
        <v>2.1.2.1</v>
      </c>
      <c r="F2323" s="3" t="str">
        <f>VLOOKUP(Base_Periodo1[[#This Row],[Aux]],Base_Contas_Balanco[#All],2,FALSE)</f>
        <v>Fornecedores Cooperados</v>
      </c>
      <c r="G2323" s="1">
        <v>42871</v>
      </c>
      <c r="I2323" s="225">
        <v>36492.44</v>
      </c>
      <c r="J2323" s="225">
        <v>36492.44</v>
      </c>
      <c r="K2323" s="225">
        <v>9.3132257461547852E-10</v>
      </c>
      <c r="L23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23" s="225">
        <f>ROUND(IF(AND(Base_Periodo1[[#This Row],[Tipo_Linha]]="-",Base_Periodo1[[#This Row],[TIPOSALDO]]="D"),Base_Periodo1[[#This Row],[SALDO_ATUAL]]*-1,Base_Periodo1[[#This Row],[SALDO_ATUAL]]),4)</f>
        <v>0</v>
      </c>
      <c r="N2323" t="s">
        <v>116</v>
      </c>
      <c r="O2323" t="s">
        <v>436</v>
      </c>
      <c r="P2323" t="s">
        <v>436</v>
      </c>
      <c r="Q2323">
        <v>7</v>
      </c>
      <c r="R2323" s="225">
        <f>Base_Periodo1[[#This Row],[CREDITOS]]-Base_Periodo1[[#This Row],[DEBITOS]]</f>
        <v>0</v>
      </c>
      <c r="S2323" s="3" t="str">
        <f>IF(ISERROR(VLOOKUP(Base_Periodo1[[#This Row],[CONTA]],BaseContasDRE[#All],4,FALSE)),"Fora do DRE",VLOOKUP(Base_Periodo1[[#This Row],[CONTA]],BaseContasDRE[#All],4,FALSE))</f>
        <v>Fora do DRE</v>
      </c>
      <c r="T2323" s="3" t="str">
        <f>IF(ISERROR(VLOOKUP(Base_Periodo1[[#This Row],[CONTA]],BaseContasDRE[#All],5,FALSE)),"Fora do DRE",VLOOKUP(Base_Periodo1[[#This Row],[CONTA]],BaseContasDRE[#All],6,FALSE))</f>
        <v>Fora do DRE</v>
      </c>
      <c r="U2323" s="3" t="str">
        <f>IF(ISERROR(VLOOKUP(Base_Periodo1[[#This Row],[CONTA]],BaseContasDRE[#All],7,FALSE)),"Fora do DRE",VLOOKUP(Base_Periodo1[[#This Row],[CONTA]],BaseContasDRE[#All],7,FALSE))</f>
        <v>Fora do DRE</v>
      </c>
      <c r="V2323" s="3" t="str">
        <f>IF(Base_Periodo1[[#This Row],[Tipo_Linha]]="Fora do DRE","Fora do DRE","( "&amp;Base_Periodo1[[#This Row],[Tipo_Linha]]&amp;" ) "&amp;Base_Periodo1[[#This Row],[Filtro]])</f>
        <v>Fora do DRE</v>
      </c>
      <c r="W2323" s="3" t="str">
        <f>LEFT(Base_Periodo1[[#This Row],[CLASS]],3)</f>
        <v>2.1</v>
      </c>
    </row>
    <row r="2324" spans="1:23" hidden="1">
      <c r="A2324" s="3" t="str">
        <f t="shared" si="36"/>
        <v>Período 1</v>
      </c>
      <c r="B2324">
        <v>5029</v>
      </c>
      <c r="C2324" t="s">
        <v>1730</v>
      </c>
      <c r="D2324" t="s">
        <v>1734</v>
      </c>
      <c r="E2324" s="3" t="str">
        <f>IF(LEN(Base_Periodo1[[#This Row],[CLASS]])&gt;=7,LEFT(Base_Periodo1[[#This Row],[CLASS]],7),"")</f>
        <v>2.1.2.1</v>
      </c>
      <c r="F2324" s="3" t="str">
        <f>VLOOKUP(Base_Periodo1[[#This Row],[Aux]],Base_Contas_Balanco[#All],2,FALSE)</f>
        <v>Fornecedores Cooperados</v>
      </c>
      <c r="G2324" s="1">
        <v>42543</v>
      </c>
      <c r="H2324" s="225">
        <v>721928.77</v>
      </c>
      <c r="I2324" s="225">
        <v>0</v>
      </c>
      <c r="J2324" s="225">
        <v>0</v>
      </c>
      <c r="K2324" s="225">
        <v>721928.77</v>
      </c>
      <c r="L23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721928.77</v>
      </c>
      <c r="M2324" s="225">
        <f>ROUND(IF(AND(Base_Periodo1[[#This Row],[Tipo_Linha]]="-",Base_Periodo1[[#This Row],[TIPOSALDO]]="D"),Base_Periodo1[[#This Row],[SALDO_ATUAL]]*-1,Base_Periodo1[[#This Row],[SALDO_ATUAL]]),4)</f>
        <v>721928.77</v>
      </c>
      <c r="N2324" t="s">
        <v>116</v>
      </c>
      <c r="O2324" t="s">
        <v>459</v>
      </c>
      <c r="P2324" t="s">
        <v>459</v>
      </c>
      <c r="Q2324">
        <v>7</v>
      </c>
      <c r="R2324" s="225">
        <f>Base_Periodo1[[#This Row],[CREDITOS]]-Base_Periodo1[[#This Row],[DEBITOS]]</f>
        <v>0</v>
      </c>
      <c r="S2324" s="3" t="str">
        <f>IF(ISERROR(VLOOKUP(Base_Periodo1[[#This Row],[CONTA]],BaseContasDRE[#All],4,FALSE)),"Fora do DRE",VLOOKUP(Base_Periodo1[[#This Row],[CONTA]],BaseContasDRE[#All],4,FALSE))</f>
        <v>Fora do DRE</v>
      </c>
      <c r="T2324" s="3" t="str">
        <f>IF(ISERROR(VLOOKUP(Base_Periodo1[[#This Row],[CONTA]],BaseContasDRE[#All],5,FALSE)),"Fora do DRE",VLOOKUP(Base_Periodo1[[#This Row],[CONTA]],BaseContasDRE[#All],6,FALSE))</f>
        <v>Fora do DRE</v>
      </c>
      <c r="U2324" s="3" t="str">
        <f>IF(ISERROR(VLOOKUP(Base_Periodo1[[#This Row],[CONTA]],BaseContasDRE[#All],7,FALSE)),"Fora do DRE",VLOOKUP(Base_Periodo1[[#This Row],[CONTA]],BaseContasDRE[#All],7,FALSE))</f>
        <v>Fora do DRE</v>
      </c>
      <c r="V2324" s="3" t="str">
        <f>IF(Base_Periodo1[[#This Row],[Tipo_Linha]]="Fora do DRE","Fora do DRE","( "&amp;Base_Periodo1[[#This Row],[Tipo_Linha]]&amp;" ) "&amp;Base_Periodo1[[#This Row],[Filtro]])</f>
        <v>Fora do DRE</v>
      </c>
      <c r="W2324" s="3" t="str">
        <f>LEFT(Base_Periodo1[[#This Row],[CLASS]],3)</f>
        <v>2.1</v>
      </c>
    </row>
    <row r="2325" spans="1:23" hidden="1">
      <c r="A2325" s="3" t="str">
        <f t="shared" si="36"/>
        <v>Período 1</v>
      </c>
      <c r="B2325">
        <v>3305</v>
      </c>
      <c r="C2325" t="s">
        <v>1730</v>
      </c>
      <c r="D2325" t="s">
        <v>612</v>
      </c>
      <c r="E2325" s="3" t="str">
        <f>IF(LEN(Base_Periodo1[[#This Row],[CLASS]])&gt;=7,LEFT(Base_Periodo1[[#This Row],[CLASS]],7),"")</f>
        <v>2.1.2.1</v>
      </c>
      <c r="F2325" s="3" t="str">
        <f>VLOOKUP(Base_Periodo1[[#This Row],[Aux]],Base_Contas_Balanco[#All],2,FALSE)</f>
        <v>Fornecedores Cooperados</v>
      </c>
      <c r="G2325" s="1">
        <v>42885</v>
      </c>
      <c r="I2325" s="225">
        <v>40573.980000000003</v>
      </c>
      <c r="J2325" s="225">
        <v>40573.980000000003</v>
      </c>
      <c r="K2325" s="225">
        <v>-4.6566128730773926E-10</v>
      </c>
      <c r="L23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25" s="225">
        <f>ROUND(IF(AND(Base_Periodo1[[#This Row],[Tipo_Linha]]="-",Base_Periodo1[[#This Row],[TIPOSALDO]]="D"),Base_Periodo1[[#This Row],[SALDO_ATUAL]]*-1,Base_Periodo1[[#This Row],[SALDO_ATUAL]]),4)</f>
        <v>0</v>
      </c>
      <c r="N2325" t="s">
        <v>116</v>
      </c>
      <c r="O2325" t="s">
        <v>436</v>
      </c>
      <c r="P2325" t="s">
        <v>436</v>
      </c>
      <c r="Q2325">
        <v>7</v>
      </c>
      <c r="R2325" s="225">
        <f>Base_Periodo1[[#This Row],[CREDITOS]]-Base_Periodo1[[#This Row],[DEBITOS]]</f>
        <v>0</v>
      </c>
      <c r="S2325" s="3" t="str">
        <f>IF(ISERROR(VLOOKUP(Base_Periodo1[[#This Row],[CONTA]],BaseContasDRE[#All],4,FALSE)),"Fora do DRE",VLOOKUP(Base_Periodo1[[#This Row],[CONTA]],BaseContasDRE[#All],4,FALSE))</f>
        <v>Fora do DRE</v>
      </c>
      <c r="T2325" s="3" t="str">
        <f>IF(ISERROR(VLOOKUP(Base_Periodo1[[#This Row],[CONTA]],BaseContasDRE[#All],5,FALSE)),"Fora do DRE",VLOOKUP(Base_Periodo1[[#This Row],[CONTA]],BaseContasDRE[#All],6,FALSE))</f>
        <v>Fora do DRE</v>
      </c>
      <c r="U2325" s="3" t="str">
        <f>IF(ISERROR(VLOOKUP(Base_Periodo1[[#This Row],[CONTA]],BaseContasDRE[#All],7,FALSE)),"Fora do DRE",VLOOKUP(Base_Periodo1[[#This Row],[CONTA]],BaseContasDRE[#All],7,FALSE))</f>
        <v>Fora do DRE</v>
      </c>
      <c r="V2325" s="3" t="str">
        <f>IF(Base_Periodo1[[#This Row],[Tipo_Linha]]="Fora do DRE","Fora do DRE","( "&amp;Base_Periodo1[[#This Row],[Tipo_Linha]]&amp;" ) "&amp;Base_Periodo1[[#This Row],[Filtro]])</f>
        <v>Fora do DRE</v>
      </c>
      <c r="W2325" s="3" t="str">
        <f>LEFT(Base_Periodo1[[#This Row],[CLASS]],3)</f>
        <v>2.1</v>
      </c>
    </row>
    <row r="2326" spans="1:23" hidden="1">
      <c r="A2326" s="3" t="str">
        <f t="shared" si="36"/>
        <v>Período 1</v>
      </c>
      <c r="B2326">
        <v>4405</v>
      </c>
      <c r="C2326" t="s">
        <v>1730</v>
      </c>
      <c r="D2326" t="s">
        <v>615</v>
      </c>
      <c r="E2326" s="3" t="str">
        <f>IF(LEN(Base_Periodo1[[#This Row],[CLASS]])&gt;=7,LEFT(Base_Periodo1[[#This Row],[CLASS]],7),"")</f>
        <v>2.1.2.1</v>
      </c>
      <c r="F2326" s="3" t="str">
        <f>VLOOKUP(Base_Periodo1[[#This Row],[Aux]],Base_Contas_Balanco[#All],2,FALSE)</f>
        <v>Fornecedores Cooperados</v>
      </c>
      <c r="G2326" s="1">
        <v>42872</v>
      </c>
      <c r="I2326" s="225">
        <v>519550.08000000007</v>
      </c>
      <c r="J2326" s="225">
        <v>519550.08000000007</v>
      </c>
      <c r="K2326" s="225">
        <v>4.6566128730773926E-10</v>
      </c>
      <c r="L23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26" s="225">
        <f>ROUND(IF(AND(Base_Periodo1[[#This Row],[Tipo_Linha]]="-",Base_Periodo1[[#This Row],[TIPOSALDO]]="D"),Base_Periodo1[[#This Row],[SALDO_ATUAL]]*-1,Base_Periodo1[[#This Row],[SALDO_ATUAL]]),4)</f>
        <v>0</v>
      </c>
      <c r="N2326" t="s">
        <v>116</v>
      </c>
      <c r="O2326" t="s">
        <v>436</v>
      </c>
      <c r="P2326" t="s">
        <v>436</v>
      </c>
      <c r="Q2326">
        <v>7</v>
      </c>
      <c r="R2326" s="225">
        <f>Base_Periodo1[[#This Row],[CREDITOS]]-Base_Periodo1[[#This Row],[DEBITOS]]</f>
        <v>0</v>
      </c>
      <c r="S2326" s="3" t="str">
        <f>IF(ISERROR(VLOOKUP(Base_Periodo1[[#This Row],[CONTA]],BaseContasDRE[#All],4,FALSE)),"Fora do DRE",VLOOKUP(Base_Periodo1[[#This Row],[CONTA]],BaseContasDRE[#All],4,FALSE))</f>
        <v>Fora do DRE</v>
      </c>
      <c r="T2326" s="3" t="str">
        <f>IF(ISERROR(VLOOKUP(Base_Periodo1[[#This Row],[CONTA]],BaseContasDRE[#All],5,FALSE)),"Fora do DRE",VLOOKUP(Base_Periodo1[[#This Row],[CONTA]],BaseContasDRE[#All],6,FALSE))</f>
        <v>Fora do DRE</v>
      </c>
      <c r="U2326" s="3" t="str">
        <f>IF(ISERROR(VLOOKUP(Base_Periodo1[[#This Row],[CONTA]],BaseContasDRE[#All],7,FALSE)),"Fora do DRE",VLOOKUP(Base_Periodo1[[#This Row],[CONTA]],BaseContasDRE[#All],7,FALSE))</f>
        <v>Fora do DRE</v>
      </c>
      <c r="V2326" s="3" t="str">
        <f>IF(Base_Periodo1[[#This Row],[Tipo_Linha]]="Fora do DRE","Fora do DRE","( "&amp;Base_Periodo1[[#This Row],[Tipo_Linha]]&amp;" ) "&amp;Base_Periodo1[[#This Row],[Filtro]])</f>
        <v>Fora do DRE</v>
      </c>
      <c r="W2326" s="3" t="str">
        <f>LEFT(Base_Periodo1[[#This Row],[CLASS]],3)</f>
        <v>2.1</v>
      </c>
    </row>
    <row r="2327" spans="1:23" hidden="1">
      <c r="A2327" s="3" t="str">
        <f t="shared" si="36"/>
        <v>Período 1</v>
      </c>
      <c r="B2327">
        <v>4229</v>
      </c>
      <c r="C2327" t="s">
        <v>1730</v>
      </c>
      <c r="D2327" t="s">
        <v>619</v>
      </c>
      <c r="E2327" s="3" t="str">
        <f>IF(LEN(Base_Periodo1[[#This Row],[CLASS]])&gt;=7,LEFT(Base_Periodo1[[#This Row],[CLASS]],7),"")</f>
        <v>2.1.2.1</v>
      </c>
      <c r="F2327" s="3" t="str">
        <f>VLOOKUP(Base_Periodo1[[#This Row],[Aux]],Base_Contas_Balanco[#All],2,FALSE)</f>
        <v>Fornecedores Cooperados</v>
      </c>
      <c r="G2327" s="1">
        <v>42879</v>
      </c>
      <c r="I2327" s="225">
        <v>1391.5</v>
      </c>
      <c r="J2327" s="225">
        <v>1391.5</v>
      </c>
      <c r="K2327" s="225">
        <v>-1.1641532182693481E-10</v>
      </c>
      <c r="L23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27" s="225">
        <f>ROUND(IF(AND(Base_Periodo1[[#This Row],[Tipo_Linha]]="-",Base_Periodo1[[#This Row],[TIPOSALDO]]="D"),Base_Periodo1[[#This Row],[SALDO_ATUAL]]*-1,Base_Periodo1[[#This Row],[SALDO_ATUAL]]),4)</f>
        <v>0</v>
      </c>
      <c r="N2327" t="s">
        <v>116</v>
      </c>
      <c r="O2327" t="s">
        <v>436</v>
      </c>
      <c r="P2327" t="s">
        <v>436</v>
      </c>
      <c r="Q2327">
        <v>7</v>
      </c>
      <c r="R2327" s="225">
        <f>Base_Periodo1[[#This Row],[CREDITOS]]-Base_Periodo1[[#This Row],[DEBITOS]]</f>
        <v>0</v>
      </c>
      <c r="S2327" s="3" t="str">
        <f>IF(ISERROR(VLOOKUP(Base_Periodo1[[#This Row],[CONTA]],BaseContasDRE[#All],4,FALSE)),"Fora do DRE",VLOOKUP(Base_Periodo1[[#This Row],[CONTA]],BaseContasDRE[#All],4,FALSE))</f>
        <v>Fora do DRE</v>
      </c>
      <c r="T2327" s="3" t="str">
        <f>IF(ISERROR(VLOOKUP(Base_Periodo1[[#This Row],[CONTA]],BaseContasDRE[#All],5,FALSE)),"Fora do DRE",VLOOKUP(Base_Periodo1[[#This Row],[CONTA]],BaseContasDRE[#All],6,FALSE))</f>
        <v>Fora do DRE</v>
      </c>
      <c r="U2327" s="3" t="str">
        <f>IF(ISERROR(VLOOKUP(Base_Periodo1[[#This Row],[CONTA]],BaseContasDRE[#All],7,FALSE)),"Fora do DRE",VLOOKUP(Base_Periodo1[[#This Row],[CONTA]],BaseContasDRE[#All],7,FALSE))</f>
        <v>Fora do DRE</v>
      </c>
      <c r="V2327" s="3" t="str">
        <f>IF(Base_Periodo1[[#This Row],[Tipo_Linha]]="Fora do DRE","Fora do DRE","( "&amp;Base_Periodo1[[#This Row],[Tipo_Linha]]&amp;" ) "&amp;Base_Periodo1[[#This Row],[Filtro]])</f>
        <v>Fora do DRE</v>
      </c>
      <c r="W2327" s="3" t="str">
        <f>LEFT(Base_Periodo1[[#This Row],[CLASS]],3)</f>
        <v>2.1</v>
      </c>
    </row>
    <row r="2328" spans="1:23" hidden="1">
      <c r="A2328" s="3" t="str">
        <f t="shared" si="36"/>
        <v>Período 1</v>
      </c>
      <c r="B2328">
        <v>38039</v>
      </c>
      <c r="C2328" t="s">
        <v>1730</v>
      </c>
      <c r="D2328" t="s">
        <v>622</v>
      </c>
      <c r="E2328" s="3" t="str">
        <f>IF(LEN(Base_Periodo1[[#This Row],[CLASS]])&gt;=7,LEFT(Base_Periodo1[[#This Row],[CLASS]],7),"")</f>
        <v>2.1.2.1</v>
      </c>
      <c r="F2328" s="3" t="str">
        <f>VLOOKUP(Base_Periodo1[[#This Row],[Aux]],Base_Contas_Balanco[#All],2,FALSE)</f>
        <v>Fornecedores Cooperados</v>
      </c>
      <c r="G2328" s="1">
        <v>42865</v>
      </c>
      <c r="I2328" s="225">
        <v>5328</v>
      </c>
      <c r="J2328" s="225">
        <v>5328</v>
      </c>
      <c r="K2328" s="225">
        <v>-5.8207660913467407E-11</v>
      </c>
      <c r="L23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28" s="225">
        <f>ROUND(IF(AND(Base_Periodo1[[#This Row],[Tipo_Linha]]="-",Base_Periodo1[[#This Row],[TIPOSALDO]]="D"),Base_Periodo1[[#This Row],[SALDO_ATUAL]]*-1,Base_Periodo1[[#This Row],[SALDO_ATUAL]]),4)</f>
        <v>0</v>
      </c>
      <c r="N2328" t="s">
        <v>116</v>
      </c>
      <c r="O2328" t="s">
        <v>436</v>
      </c>
      <c r="P2328" t="s">
        <v>436</v>
      </c>
      <c r="Q2328">
        <v>7</v>
      </c>
      <c r="R2328" s="225">
        <f>Base_Periodo1[[#This Row],[CREDITOS]]-Base_Periodo1[[#This Row],[DEBITOS]]</f>
        <v>0</v>
      </c>
      <c r="S2328" s="3" t="str">
        <f>IF(ISERROR(VLOOKUP(Base_Periodo1[[#This Row],[CONTA]],BaseContasDRE[#All],4,FALSE)),"Fora do DRE",VLOOKUP(Base_Periodo1[[#This Row],[CONTA]],BaseContasDRE[#All],4,FALSE))</f>
        <v>Fora do DRE</v>
      </c>
      <c r="T2328" s="3" t="str">
        <f>IF(ISERROR(VLOOKUP(Base_Periodo1[[#This Row],[CONTA]],BaseContasDRE[#All],5,FALSE)),"Fora do DRE",VLOOKUP(Base_Periodo1[[#This Row],[CONTA]],BaseContasDRE[#All],6,FALSE))</f>
        <v>Fora do DRE</v>
      </c>
      <c r="U2328" s="3" t="str">
        <f>IF(ISERROR(VLOOKUP(Base_Periodo1[[#This Row],[CONTA]],BaseContasDRE[#All],7,FALSE)),"Fora do DRE",VLOOKUP(Base_Periodo1[[#This Row],[CONTA]],BaseContasDRE[#All],7,FALSE))</f>
        <v>Fora do DRE</v>
      </c>
      <c r="V2328" s="3" t="str">
        <f>IF(Base_Periodo1[[#This Row],[Tipo_Linha]]="Fora do DRE","Fora do DRE","( "&amp;Base_Periodo1[[#This Row],[Tipo_Linha]]&amp;" ) "&amp;Base_Periodo1[[#This Row],[Filtro]])</f>
        <v>Fora do DRE</v>
      </c>
      <c r="W2328" s="3" t="str">
        <f>LEFT(Base_Periodo1[[#This Row],[CLASS]],3)</f>
        <v>2.1</v>
      </c>
    </row>
    <row r="2329" spans="1:23" hidden="1">
      <c r="A2329" s="3" t="str">
        <f t="shared" si="36"/>
        <v>Período 1</v>
      </c>
      <c r="B2329">
        <v>12079</v>
      </c>
      <c r="C2329" t="s">
        <v>1730</v>
      </c>
      <c r="D2329" t="s">
        <v>5138</v>
      </c>
      <c r="E2329" s="3" t="str">
        <f>IF(LEN(Base_Periodo1[[#This Row],[CLASS]])&gt;=7,LEFT(Base_Periodo1[[#This Row],[CLASS]],7),"")</f>
        <v>2.1.2.1</v>
      </c>
      <c r="F2329" s="3" t="str">
        <f>VLOOKUP(Base_Periodo1[[#This Row],[Aux]],Base_Contas_Balanco[#All],2,FALSE)</f>
        <v>Fornecedores Cooperados</v>
      </c>
      <c r="G2329" s="1">
        <v>42871</v>
      </c>
      <c r="I2329" s="225">
        <v>5117.9900000000007</v>
      </c>
      <c r="J2329" s="225">
        <v>5117.99</v>
      </c>
      <c r="K2329" s="225">
        <v>5.82986103836447E-10</v>
      </c>
      <c r="L23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29" s="225">
        <f>ROUND(IF(AND(Base_Periodo1[[#This Row],[Tipo_Linha]]="-",Base_Periodo1[[#This Row],[TIPOSALDO]]="D"),Base_Periodo1[[#This Row],[SALDO_ATUAL]]*-1,Base_Periodo1[[#This Row],[SALDO_ATUAL]]),4)</f>
        <v>0</v>
      </c>
      <c r="N2329" t="s">
        <v>116</v>
      </c>
      <c r="O2329" t="s">
        <v>436</v>
      </c>
      <c r="P2329" t="s">
        <v>436</v>
      </c>
      <c r="Q2329">
        <v>7</v>
      </c>
      <c r="R2329" s="225">
        <f>Base_Periodo1[[#This Row],[CREDITOS]]-Base_Periodo1[[#This Row],[DEBITOS]]</f>
        <v>0</v>
      </c>
      <c r="S2329" s="3" t="str">
        <f>IF(ISERROR(VLOOKUP(Base_Periodo1[[#This Row],[CONTA]],BaseContasDRE[#All],4,FALSE)),"Fora do DRE",VLOOKUP(Base_Periodo1[[#This Row],[CONTA]],BaseContasDRE[#All],4,FALSE))</f>
        <v>Fora do DRE</v>
      </c>
      <c r="T2329" s="3" t="str">
        <f>IF(ISERROR(VLOOKUP(Base_Periodo1[[#This Row],[CONTA]],BaseContasDRE[#All],5,FALSE)),"Fora do DRE",VLOOKUP(Base_Periodo1[[#This Row],[CONTA]],BaseContasDRE[#All],6,FALSE))</f>
        <v>Fora do DRE</v>
      </c>
      <c r="U2329" s="3" t="str">
        <f>IF(ISERROR(VLOOKUP(Base_Periodo1[[#This Row],[CONTA]],BaseContasDRE[#All],7,FALSE)),"Fora do DRE",VLOOKUP(Base_Periodo1[[#This Row],[CONTA]],BaseContasDRE[#All],7,FALSE))</f>
        <v>Fora do DRE</v>
      </c>
      <c r="V2329" s="3" t="str">
        <f>IF(Base_Periodo1[[#This Row],[Tipo_Linha]]="Fora do DRE","Fora do DRE","( "&amp;Base_Periodo1[[#This Row],[Tipo_Linha]]&amp;" ) "&amp;Base_Periodo1[[#This Row],[Filtro]])</f>
        <v>Fora do DRE</v>
      </c>
      <c r="W2329" s="3" t="str">
        <f>LEFT(Base_Periodo1[[#This Row],[CLASS]],3)</f>
        <v>2.1</v>
      </c>
    </row>
    <row r="2330" spans="1:23" hidden="1">
      <c r="A2330" s="3" t="str">
        <f t="shared" si="36"/>
        <v>Período 1</v>
      </c>
      <c r="B2330">
        <v>11711</v>
      </c>
      <c r="C2330" t="s">
        <v>1730</v>
      </c>
      <c r="D2330" t="s">
        <v>625</v>
      </c>
      <c r="E2330" s="3" t="str">
        <f>IF(LEN(Base_Periodo1[[#This Row],[CLASS]])&gt;=7,LEFT(Base_Periodo1[[#This Row],[CLASS]],7),"")</f>
        <v>2.1.2.1</v>
      </c>
      <c r="F2330" s="3" t="str">
        <f>VLOOKUP(Base_Periodo1[[#This Row],[Aux]],Base_Contas_Balanco[#All],2,FALSE)</f>
        <v>Fornecedores Cooperados</v>
      </c>
      <c r="G2330" s="1">
        <v>42874</v>
      </c>
      <c r="I2330" s="225">
        <v>10225.15</v>
      </c>
      <c r="J2330" s="225">
        <v>10225.15</v>
      </c>
      <c r="K2330" s="225">
        <v>-5.8207660913467407E-11</v>
      </c>
      <c r="L23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30" s="225">
        <f>ROUND(IF(AND(Base_Periodo1[[#This Row],[Tipo_Linha]]="-",Base_Periodo1[[#This Row],[TIPOSALDO]]="D"),Base_Periodo1[[#This Row],[SALDO_ATUAL]]*-1,Base_Periodo1[[#This Row],[SALDO_ATUAL]]),4)</f>
        <v>0</v>
      </c>
      <c r="N2330" t="s">
        <v>116</v>
      </c>
      <c r="O2330" t="s">
        <v>436</v>
      </c>
      <c r="P2330" t="s">
        <v>436</v>
      </c>
      <c r="Q2330">
        <v>7</v>
      </c>
      <c r="R2330" s="225">
        <f>Base_Periodo1[[#This Row],[CREDITOS]]-Base_Periodo1[[#This Row],[DEBITOS]]</f>
        <v>0</v>
      </c>
      <c r="S2330" s="3" t="str">
        <f>IF(ISERROR(VLOOKUP(Base_Periodo1[[#This Row],[CONTA]],BaseContasDRE[#All],4,FALSE)),"Fora do DRE",VLOOKUP(Base_Periodo1[[#This Row],[CONTA]],BaseContasDRE[#All],4,FALSE))</f>
        <v>Fora do DRE</v>
      </c>
      <c r="T2330" s="3" t="str">
        <f>IF(ISERROR(VLOOKUP(Base_Periodo1[[#This Row],[CONTA]],BaseContasDRE[#All],5,FALSE)),"Fora do DRE",VLOOKUP(Base_Periodo1[[#This Row],[CONTA]],BaseContasDRE[#All],6,FALSE))</f>
        <v>Fora do DRE</v>
      </c>
      <c r="U2330" s="3" t="str">
        <f>IF(ISERROR(VLOOKUP(Base_Periodo1[[#This Row],[CONTA]],BaseContasDRE[#All],7,FALSE)),"Fora do DRE",VLOOKUP(Base_Periodo1[[#This Row],[CONTA]],BaseContasDRE[#All],7,FALSE))</f>
        <v>Fora do DRE</v>
      </c>
      <c r="V2330" s="3" t="str">
        <f>IF(Base_Periodo1[[#This Row],[Tipo_Linha]]="Fora do DRE","Fora do DRE","( "&amp;Base_Periodo1[[#This Row],[Tipo_Linha]]&amp;" ) "&amp;Base_Periodo1[[#This Row],[Filtro]])</f>
        <v>Fora do DRE</v>
      </c>
      <c r="W2330" s="3" t="str">
        <f>LEFT(Base_Periodo1[[#This Row],[CLASS]],3)</f>
        <v>2.1</v>
      </c>
    </row>
    <row r="2331" spans="1:23" hidden="1">
      <c r="A2331" s="3" t="str">
        <f t="shared" si="36"/>
        <v>Período 1</v>
      </c>
      <c r="B2331">
        <v>13825</v>
      </c>
      <c r="C2331" t="s">
        <v>1730</v>
      </c>
      <c r="D2331" t="s">
        <v>626</v>
      </c>
      <c r="E2331" s="3" t="str">
        <f>IF(LEN(Base_Periodo1[[#This Row],[CLASS]])&gt;=7,LEFT(Base_Periodo1[[#This Row],[CLASS]],7),"")</f>
        <v>2.1.2.1</v>
      </c>
      <c r="F2331" s="3" t="str">
        <f>VLOOKUP(Base_Periodo1[[#This Row],[Aux]],Base_Contas_Balanco[#All],2,FALSE)</f>
        <v>Fornecedores Cooperados</v>
      </c>
      <c r="G2331" s="1">
        <v>42864</v>
      </c>
      <c r="I2331" s="225">
        <v>69114.200000000012</v>
      </c>
      <c r="J2331" s="225">
        <v>69114.2</v>
      </c>
      <c r="K2331" s="225">
        <v>1.4551915228366852E-11</v>
      </c>
      <c r="L23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31" s="225">
        <f>ROUND(IF(AND(Base_Periodo1[[#This Row],[Tipo_Linha]]="-",Base_Periodo1[[#This Row],[TIPOSALDO]]="D"),Base_Periodo1[[#This Row],[SALDO_ATUAL]]*-1,Base_Periodo1[[#This Row],[SALDO_ATUAL]]),4)</f>
        <v>0</v>
      </c>
      <c r="N2331" t="s">
        <v>116</v>
      </c>
      <c r="O2331" t="s">
        <v>436</v>
      </c>
      <c r="P2331" t="s">
        <v>436</v>
      </c>
      <c r="Q2331">
        <v>7</v>
      </c>
      <c r="R2331" s="225">
        <f>Base_Periodo1[[#This Row],[CREDITOS]]-Base_Periodo1[[#This Row],[DEBITOS]]</f>
        <v>0</v>
      </c>
      <c r="S2331" s="3" t="str">
        <f>IF(ISERROR(VLOOKUP(Base_Periodo1[[#This Row],[CONTA]],BaseContasDRE[#All],4,FALSE)),"Fora do DRE",VLOOKUP(Base_Periodo1[[#This Row],[CONTA]],BaseContasDRE[#All],4,FALSE))</f>
        <v>Fora do DRE</v>
      </c>
      <c r="T2331" s="3" t="str">
        <f>IF(ISERROR(VLOOKUP(Base_Periodo1[[#This Row],[CONTA]],BaseContasDRE[#All],5,FALSE)),"Fora do DRE",VLOOKUP(Base_Periodo1[[#This Row],[CONTA]],BaseContasDRE[#All],6,FALSE))</f>
        <v>Fora do DRE</v>
      </c>
      <c r="U2331" s="3" t="str">
        <f>IF(ISERROR(VLOOKUP(Base_Periodo1[[#This Row],[CONTA]],BaseContasDRE[#All],7,FALSE)),"Fora do DRE",VLOOKUP(Base_Periodo1[[#This Row],[CONTA]],BaseContasDRE[#All],7,FALSE))</f>
        <v>Fora do DRE</v>
      </c>
      <c r="V2331" s="3" t="str">
        <f>IF(Base_Periodo1[[#This Row],[Tipo_Linha]]="Fora do DRE","Fora do DRE","( "&amp;Base_Periodo1[[#This Row],[Tipo_Linha]]&amp;" ) "&amp;Base_Periodo1[[#This Row],[Filtro]])</f>
        <v>Fora do DRE</v>
      </c>
      <c r="W2331" s="3" t="str">
        <f>LEFT(Base_Periodo1[[#This Row],[CLASS]],3)</f>
        <v>2.1</v>
      </c>
    </row>
    <row r="2332" spans="1:23" hidden="1">
      <c r="A2332" s="3" t="str">
        <f t="shared" si="36"/>
        <v>Período 1</v>
      </c>
      <c r="B2332">
        <v>5153</v>
      </c>
      <c r="C2332" t="s">
        <v>1730</v>
      </c>
      <c r="D2332" t="s">
        <v>628</v>
      </c>
      <c r="E2332" s="3" t="str">
        <f>IF(LEN(Base_Periodo1[[#This Row],[CLASS]])&gt;=7,LEFT(Base_Periodo1[[#This Row],[CLASS]],7),"")</f>
        <v>2.1.2.1</v>
      </c>
      <c r="F2332" s="3" t="str">
        <f>VLOOKUP(Base_Periodo1[[#This Row],[Aux]],Base_Contas_Balanco[#All],2,FALSE)</f>
        <v>Fornecedores Cooperados</v>
      </c>
      <c r="G2332" s="1">
        <v>42880</v>
      </c>
      <c r="I2332" s="225">
        <v>22536</v>
      </c>
      <c r="J2332" s="225">
        <v>22536</v>
      </c>
      <c r="K2332" s="225">
        <v>-2.3283064365386963E-10</v>
      </c>
      <c r="L23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32" s="225">
        <f>ROUND(IF(AND(Base_Periodo1[[#This Row],[Tipo_Linha]]="-",Base_Periodo1[[#This Row],[TIPOSALDO]]="D"),Base_Periodo1[[#This Row],[SALDO_ATUAL]]*-1,Base_Periodo1[[#This Row],[SALDO_ATUAL]]),4)</f>
        <v>0</v>
      </c>
      <c r="N2332" t="s">
        <v>116</v>
      </c>
      <c r="O2332" t="s">
        <v>436</v>
      </c>
      <c r="P2332" t="s">
        <v>436</v>
      </c>
      <c r="Q2332">
        <v>7</v>
      </c>
      <c r="R2332" s="225">
        <f>Base_Periodo1[[#This Row],[CREDITOS]]-Base_Periodo1[[#This Row],[DEBITOS]]</f>
        <v>0</v>
      </c>
      <c r="S2332" s="3" t="str">
        <f>IF(ISERROR(VLOOKUP(Base_Periodo1[[#This Row],[CONTA]],BaseContasDRE[#All],4,FALSE)),"Fora do DRE",VLOOKUP(Base_Periodo1[[#This Row],[CONTA]],BaseContasDRE[#All],4,FALSE))</f>
        <v>Fora do DRE</v>
      </c>
      <c r="T2332" s="3" t="str">
        <f>IF(ISERROR(VLOOKUP(Base_Periodo1[[#This Row],[CONTA]],BaseContasDRE[#All],5,FALSE)),"Fora do DRE",VLOOKUP(Base_Periodo1[[#This Row],[CONTA]],BaseContasDRE[#All],6,FALSE))</f>
        <v>Fora do DRE</v>
      </c>
      <c r="U2332" s="3" t="str">
        <f>IF(ISERROR(VLOOKUP(Base_Periodo1[[#This Row],[CONTA]],BaseContasDRE[#All],7,FALSE)),"Fora do DRE",VLOOKUP(Base_Periodo1[[#This Row],[CONTA]],BaseContasDRE[#All],7,FALSE))</f>
        <v>Fora do DRE</v>
      </c>
      <c r="V2332" s="3" t="str">
        <f>IF(Base_Periodo1[[#This Row],[Tipo_Linha]]="Fora do DRE","Fora do DRE","( "&amp;Base_Periodo1[[#This Row],[Tipo_Linha]]&amp;" ) "&amp;Base_Periodo1[[#This Row],[Filtro]])</f>
        <v>Fora do DRE</v>
      </c>
      <c r="W2332" s="3" t="str">
        <f>LEFT(Base_Periodo1[[#This Row],[CLASS]],3)</f>
        <v>2.1</v>
      </c>
    </row>
    <row r="2333" spans="1:23" hidden="1">
      <c r="A2333" s="3" t="str">
        <f t="shared" si="36"/>
        <v>Período 1</v>
      </c>
      <c r="B2333">
        <v>47567</v>
      </c>
      <c r="C2333" t="s">
        <v>1730</v>
      </c>
      <c r="D2333" t="s">
        <v>629</v>
      </c>
      <c r="E2333" s="3" t="str">
        <f>IF(LEN(Base_Periodo1[[#This Row],[CLASS]])&gt;=7,LEFT(Base_Periodo1[[#This Row],[CLASS]],7),"")</f>
        <v>2.1.2.1</v>
      </c>
      <c r="F2333" s="3" t="str">
        <f>VLOOKUP(Base_Periodo1[[#This Row],[Aux]],Base_Contas_Balanco[#All],2,FALSE)</f>
        <v>Fornecedores Cooperados</v>
      </c>
      <c r="G2333" s="1">
        <v>42863</v>
      </c>
      <c r="H2333" s="225">
        <v>184293.03000000003</v>
      </c>
      <c r="I2333" s="225">
        <v>184293.03</v>
      </c>
      <c r="J2333" s="225">
        <v>0</v>
      </c>
      <c r="K2333" s="225">
        <v>-2.9103830456733704E-11</v>
      </c>
      <c r="L23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33" s="225">
        <f>ROUND(IF(AND(Base_Periodo1[[#This Row],[Tipo_Linha]]="-",Base_Periodo1[[#This Row],[TIPOSALDO]]="D"),Base_Periodo1[[#This Row],[SALDO_ATUAL]]*-1,Base_Periodo1[[#This Row],[SALDO_ATUAL]]),4)</f>
        <v>0</v>
      </c>
      <c r="N2333" t="s">
        <v>116</v>
      </c>
      <c r="O2333" t="s">
        <v>459</v>
      </c>
      <c r="P2333" t="s">
        <v>436</v>
      </c>
      <c r="Q2333">
        <v>7</v>
      </c>
      <c r="R2333" s="225">
        <f>Base_Periodo1[[#This Row],[CREDITOS]]-Base_Periodo1[[#This Row],[DEBITOS]]</f>
        <v>-184293.03</v>
      </c>
      <c r="S2333" s="3" t="str">
        <f>IF(ISERROR(VLOOKUP(Base_Periodo1[[#This Row],[CONTA]],BaseContasDRE[#All],4,FALSE)),"Fora do DRE",VLOOKUP(Base_Periodo1[[#This Row],[CONTA]],BaseContasDRE[#All],4,FALSE))</f>
        <v>Fora do DRE</v>
      </c>
      <c r="T2333" s="3" t="str">
        <f>IF(ISERROR(VLOOKUP(Base_Periodo1[[#This Row],[CONTA]],BaseContasDRE[#All],5,FALSE)),"Fora do DRE",VLOOKUP(Base_Periodo1[[#This Row],[CONTA]],BaseContasDRE[#All],6,FALSE))</f>
        <v>Fora do DRE</v>
      </c>
      <c r="U2333" s="3" t="str">
        <f>IF(ISERROR(VLOOKUP(Base_Periodo1[[#This Row],[CONTA]],BaseContasDRE[#All],7,FALSE)),"Fora do DRE",VLOOKUP(Base_Periodo1[[#This Row],[CONTA]],BaseContasDRE[#All],7,FALSE))</f>
        <v>Fora do DRE</v>
      </c>
      <c r="V2333" s="3" t="str">
        <f>IF(Base_Periodo1[[#This Row],[Tipo_Linha]]="Fora do DRE","Fora do DRE","( "&amp;Base_Periodo1[[#This Row],[Tipo_Linha]]&amp;" ) "&amp;Base_Periodo1[[#This Row],[Filtro]])</f>
        <v>Fora do DRE</v>
      </c>
      <c r="W2333" s="3" t="str">
        <f>LEFT(Base_Periodo1[[#This Row],[CLASS]],3)</f>
        <v>2.1</v>
      </c>
    </row>
    <row r="2334" spans="1:23" hidden="1">
      <c r="A2334" s="3" t="str">
        <f t="shared" si="36"/>
        <v>Período 1</v>
      </c>
      <c r="B2334">
        <v>18883</v>
      </c>
      <c r="C2334" t="s">
        <v>1730</v>
      </c>
      <c r="D2334" t="s">
        <v>630</v>
      </c>
      <c r="E2334" s="3" t="str">
        <f>IF(LEN(Base_Periodo1[[#This Row],[CLASS]])&gt;=7,LEFT(Base_Periodo1[[#This Row],[CLASS]],7),"")</f>
        <v>2.1.2.1</v>
      </c>
      <c r="F2334" s="3" t="str">
        <f>VLOOKUP(Base_Periodo1[[#This Row],[Aux]],Base_Contas_Balanco[#All],2,FALSE)</f>
        <v>Fornecedores Cooperados</v>
      </c>
      <c r="G2334" s="1">
        <v>42859</v>
      </c>
      <c r="H2334" s="225">
        <v>74209.790000000037</v>
      </c>
      <c r="I2334" s="225">
        <v>74209.789999999994</v>
      </c>
      <c r="J2334" s="225">
        <v>0</v>
      </c>
      <c r="K2334" s="225">
        <v>-4.3655745685100555E-11</v>
      </c>
      <c r="L23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34" s="225">
        <f>ROUND(IF(AND(Base_Periodo1[[#This Row],[Tipo_Linha]]="-",Base_Periodo1[[#This Row],[TIPOSALDO]]="D"),Base_Periodo1[[#This Row],[SALDO_ATUAL]]*-1,Base_Periodo1[[#This Row],[SALDO_ATUAL]]),4)</f>
        <v>0</v>
      </c>
      <c r="N2334" t="s">
        <v>116</v>
      </c>
      <c r="O2334" t="s">
        <v>459</v>
      </c>
      <c r="P2334" t="s">
        <v>436</v>
      </c>
      <c r="Q2334">
        <v>7</v>
      </c>
      <c r="R2334" s="225">
        <f>Base_Periodo1[[#This Row],[CREDITOS]]-Base_Periodo1[[#This Row],[DEBITOS]]</f>
        <v>-74209.789999999994</v>
      </c>
      <c r="S2334" s="3" t="str">
        <f>IF(ISERROR(VLOOKUP(Base_Periodo1[[#This Row],[CONTA]],BaseContasDRE[#All],4,FALSE)),"Fora do DRE",VLOOKUP(Base_Periodo1[[#This Row],[CONTA]],BaseContasDRE[#All],4,FALSE))</f>
        <v>Fora do DRE</v>
      </c>
      <c r="T2334" s="3" t="str">
        <f>IF(ISERROR(VLOOKUP(Base_Periodo1[[#This Row],[CONTA]],BaseContasDRE[#All],5,FALSE)),"Fora do DRE",VLOOKUP(Base_Periodo1[[#This Row],[CONTA]],BaseContasDRE[#All],6,FALSE))</f>
        <v>Fora do DRE</v>
      </c>
      <c r="U2334" s="3" t="str">
        <f>IF(ISERROR(VLOOKUP(Base_Periodo1[[#This Row],[CONTA]],BaseContasDRE[#All],7,FALSE)),"Fora do DRE",VLOOKUP(Base_Periodo1[[#This Row],[CONTA]],BaseContasDRE[#All],7,FALSE))</f>
        <v>Fora do DRE</v>
      </c>
      <c r="V2334" s="3" t="str">
        <f>IF(Base_Periodo1[[#This Row],[Tipo_Linha]]="Fora do DRE","Fora do DRE","( "&amp;Base_Periodo1[[#This Row],[Tipo_Linha]]&amp;" ) "&amp;Base_Periodo1[[#This Row],[Filtro]])</f>
        <v>Fora do DRE</v>
      </c>
      <c r="W2334" s="3" t="str">
        <f>LEFT(Base_Periodo1[[#This Row],[CLASS]],3)</f>
        <v>2.1</v>
      </c>
    </row>
    <row r="2335" spans="1:23" hidden="1">
      <c r="A2335" s="3" t="str">
        <f t="shared" si="36"/>
        <v>Período 1</v>
      </c>
      <c r="B2335">
        <v>38929</v>
      </c>
      <c r="C2335" t="s">
        <v>1730</v>
      </c>
      <c r="D2335" t="s">
        <v>631</v>
      </c>
      <c r="E2335" s="3" t="str">
        <f>IF(LEN(Base_Periodo1[[#This Row],[CLASS]])&gt;=7,LEFT(Base_Periodo1[[#This Row],[CLASS]],7),"")</f>
        <v>2.1.2.1</v>
      </c>
      <c r="F2335" s="3" t="str">
        <f>VLOOKUP(Base_Periodo1[[#This Row],[Aux]],Base_Contas_Balanco[#All],2,FALSE)</f>
        <v>Fornecedores Cooperados</v>
      </c>
      <c r="G2335" s="1">
        <v>42885</v>
      </c>
      <c r="H2335" s="225">
        <v>73852.010000000009</v>
      </c>
      <c r="I2335" s="225">
        <v>73852.009999999995</v>
      </c>
      <c r="J2335" s="225">
        <v>0</v>
      </c>
      <c r="K2335" s="225">
        <v>-1.4551915228366852E-11</v>
      </c>
      <c r="L23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35" s="225">
        <f>ROUND(IF(AND(Base_Periodo1[[#This Row],[Tipo_Linha]]="-",Base_Periodo1[[#This Row],[TIPOSALDO]]="D"),Base_Periodo1[[#This Row],[SALDO_ATUAL]]*-1,Base_Periodo1[[#This Row],[SALDO_ATUAL]]),4)</f>
        <v>0</v>
      </c>
      <c r="N2335" t="s">
        <v>116</v>
      </c>
      <c r="O2335" t="s">
        <v>459</v>
      </c>
      <c r="P2335" t="s">
        <v>436</v>
      </c>
      <c r="Q2335">
        <v>7</v>
      </c>
      <c r="R2335" s="225">
        <f>Base_Periodo1[[#This Row],[CREDITOS]]-Base_Periodo1[[#This Row],[DEBITOS]]</f>
        <v>-73852.009999999995</v>
      </c>
      <c r="S2335" s="3" t="str">
        <f>IF(ISERROR(VLOOKUP(Base_Periodo1[[#This Row],[CONTA]],BaseContasDRE[#All],4,FALSE)),"Fora do DRE",VLOOKUP(Base_Periodo1[[#This Row],[CONTA]],BaseContasDRE[#All],4,FALSE))</f>
        <v>Fora do DRE</v>
      </c>
      <c r="T2335" s="3" t="str">
        <f>IF(ISERROR(VLOOKUP(Base_Periodo1[[#This Row],[CONTA]],BaseContasDRE[#All],5,FALSE)),"Fora do DRE",VLOOKUP(Base_Periodo1[[#This Row],[CONTA]],BaseContasDRE[#All],6,FALSE))</f>
        <v>Fora do DRE</v>
      </c>
      <c r="U2335" s="3" t="str">
        <f>IF(ISERROR(VLOOKUP(Base_Periodo1[[#This Row],[CONTA]],BaseContasDRE[#All],7,FALSE)),"Fora do DRE",VLOOKUP(Base_Periodo1[[#This Row],[CONTA]],BaseContasDRE[#All],7,FALSE))</f>
        <v>Fora do DRE</v>
      </c>
      <c r="V2335" s="3" t="str">
        <f>IF(Base_Periodo1[[#This Row],[Tipo_Linha]]="Fora do DRE","Fora do DRE","( "&amp;Base_Periodo1[[#This Row],[Tipo_Linha]]&amp;" ) "&amp;Base_Periodo1[[#This Row],[Filtro]])</f>
        <v>Fora do DRE</v>
      </c>
      <c r="W2335" s="3" t="str">
        <f>LEFT(Base_Periodo1[[#This Row],[CLASS]],3)</f>
        <v>2.1</v>
      </c>
    </row>
    <row r="2336" spans="1:23" hidden="1">
      <c r="A2336" s="3" t="str">
        <f t="shared" si="36"/>
        <v>Período 1</v>
      </c>
      <c r="B2336">
        <v>4021</v>
      </c>
      <c r="C2336" t="s">
        <v>1730</v>
      </c>
      <c r="D2336" t="s">
        <v>632</v>
      </c>
      <c r="E2336" s="3" t="str">
        <f>IF(LEN(Base_Periodo1[[#This Row],[CLASS]])&gt;=7,LEFT(Base_Periodo1[[#This Row],[CLASS]],7),"")</f>
        <v>2.1.2.1</v>
      </c>
      <c r="F2336" s="3" t="str">
        <f>VLOOKUP(Base_Periodo1[[#This Row],[Aux]],Base_Contas_Balanco[#All],2,FALSE)</f>
        <v>Fornecedores Cooperados</v>
      </c>
      <c r="G2336" s="1">
        <v>42886</v>
      </c>
      <c r="I2336" s="225">
        <v>35714.06</v>
      </c>
      <c r="J2336" s="225">
        <v>35714.06</v>
      </c>
      <c r="K2336" s="225">
        <v>-5.8207660913467407E-11</v>
      </c>
      <c r="L23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36" s="225">
        <f>ROUND(IF(AND(Base_Periodo1[[#This Row],[Tipo_Linha]]="-",Base_Periodo1[[#This Row],[TIPOSALDO]]="D"),Base_Periodo1[[#This Row],[SALDO_ATUAL]]*-1,Base_Periodo1[[#This Row],[SALDO_ATUAL]]),4)</f>
        <v>0</v>
      </c>
      <c r="N2336" t="s">
        <v>116</v>
      </c>
      <c r="O2336" t="s">
        <v>436</v>
      </c>
      <c r="P2336" t="s">
        <v>436</v>
      </c>
      <c r="Q2336">
        <v>7</v>
      </c>
      <c r="R2336" s="225">
        <f>Base_Periodo1[[#This Row],[CREDITOS]]-Base_Periodo1[[#This Row],[DEBITOS]]</f>
        <v>0</v>
      </c>
      <c r="S2336" s="3" t="str">
        <f>IF(ISERROR(VLOOKUP(Base_Periodo1[[#This Row],[CONTA]],BaseContasDRE[#All],4,FALSE)),"Fora do DRE",VLOOKUP(Base_Periodo1[[#This Row],[CONTA]],BaseContasDRE[#All],4,FALSE))</f>
        <v>Fora do DRE</v>
      </c>
      <c r="T2336" s="3" t="str">
        <f>IF(ISERROR(VLOOKUP(Base_Periodo1[[#This Row],[CONTA]],BaseContasDRE[#All],5,FALSE)),"Fora do DRE",VLOOKUP(Base_Periodo1[[#This Row],[CONTA]],BaseContasDRE[#All],6,FALSE))</f>
        <v>Fora do DRE</v>
      </c>
      <c r="U2336" s="3" t="str">
        <f>IF(ISERROR(VLOOKUP(Base_Periodo1[[#This Row],[CONTA]],BaseContasDRE[#All],7,FALSE)),"Fora do DRE",VLOOKUP(Base_Periodo1[[#This Row],[CONTA]],BaseContasDRE[#All],7,FALSE))</f>
        <v>Fora do DRE</v>
      </c>
      <c r="V2336" s="3" t="str">
        <f>IF(Base_Periodo1[[#This Row],[Tipo_Linha]]="Fora do DRE","Fora do DRE","( "&amp;Base_Periodo1[[#This Row],[Tipo_Linha]]&amp;" ) "&amp;Base_Periodo1[[#This Row],[Filtro]])</f>
        <v>Fora do DRE</v>
      </c>
      <c r="W2336" s="3" t="str">
        <f>LEFT(Base_Periodo1[[#This Row],[CLASS]],3)</f>
        <v>2.1</v>
      </c>
    </row>
    <row r="2337" spans="1:23" hidden="1">
      <c r="A2337" s="3" t="str">
        <f t="shared" si="36"/>
        <v>Período 1</v>
      </c>
      <c r="B2337">
        <v>3193</v>
      </c>
      <c r="C2337" t="s">
        <v>1730</v>
      </c>
      <c r="D2337" t="s">
        <v>633</v>
      </c>
      <c r="E2337" s="3" t="str">
        <f>IF(LEN(Base_Periodo1[[#This Row],[CLASS]])&gt;=7,LEFT(Base_Periodo1[[#This Row],[CLASS]],7),"")</f>
        <v>2.1.2.1</v>
      </c>
      <c r="F2337" s="3" t="str">
        <f>VLOOKUP(Base_Periodo1[[#This Row],[Aux]],Base_Contas_Balanco[#All],2,FALSE)</f>
        <v>Fornecedores Cooperados</v>
      </c>
      <c r="G2337" s="1">
        <v>42886</v>
      </c>
      <c r="H2337" s="225">
        <v>3768.5600000000559</v>
      </c>
      <c r="I2337" s="225">
        <v>1085.5999999999999</v>
      </c>
      <c r="J2337" s="225">
        <v>0</v>
      </c>
      <c r="K2337" s="225">
        <v>2682.960000000056</v>
      </c>
      <c r="L23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2682.96</v>
      </c>
      <c r="M2337" s="225">
        <f>ROUND(IF(AND(Base_Periodo1[[#This Row],[Tipo_Linha]]="-",Base_Periodo1[[#This Row],[TIPOSALDO]]="D"),Base_Periodo1[[#This Row],[SALDO_ATUAL]]*-1,Base_Periodo1[[#This Row],[SALDO_ATUAL]]),4)</f>
        <v>2682.96</v>
      </c>
      <c r="N2337" t="s">
        <v>116</v>
      </c>
      <c r="O2337" t="s">
        <v>459</v>
      </c>
      <c r="P2337" t="s">
        <v>459</v>
      </c>
      <c r="Q2337">
        <v>7</v>
      </c>
      <c r="R2337" s="225">
        <f>Base_Periodo1[[#This Row],[CREDITOS]]-Base_Periodo1[[#This Row],[DEBITOS]]</f>
        <v>-1085.5999999999999</v>
      </c>
      <c r="S2337" s="3" t="str">
        <f>IF(ISERROR(VLOOKUP(Base_Periodo1[[#This Row],[CONTA]],BaseContasDRE[#All],4,FALSE)),"Fora do DRE",VLOOKUP(Base_Periodo1[[#This Row],[CONTA]],BaseContasDRE[#All],4,FALSE))</f>
        <v>Fora do DRE</v>
      </c>
      <c r="T2337" s="3" t="str">
        <f>IF(ISERROR(VLOOKUP(Base_Periodo1[[#This Row],[CONTA]],BaseContasDRE[#All],5,FALSE)),"Fora do DRE",VLOOKUP(Base_Periodo1[[#This Row],[CONTA]],BaseContasDRE[#All],6,FALSE))</f>
        <v>Fora do DRE</v>
      </c>
      <c r="U2337" s="3" t="str">
        <f>IF(ISERROR(VLOOKUP(Base_Periodo1[[#This Row],[CONTA]],BaseContasDRE[#All],7,FALSE)),"Fora do DRE",VLOOKUP(Base_Periodo1[[#This Row],[CONTA]],BaseContasDRE[#All],7,FALSE))</f>
        <v>Fora do DRE</v>
      </c>
      <c r="V2337" s="3" t="str">
        <f>IF(Base_Periodo1[[#This Row],[Tipo_Linha]]="Fora do DRE","Fora do DRE","( "&amp;Base_Periodo1[[#This Row],[Tipo_Linha]]&amp;" ) "&amp;Base_Periodo1[[#This Row],[Filtro]])</f>
        <v>Fora do DRE</v>
      </c>
      <c r="W2337" s="3" t="str">
        <f>LEFT(Base_Periodo1[[#This Row],[CLASS]],3)</f>
        <v>2.1</v>
      </c>
    </row>
    <row r="2338" spans="1:23" hidden="1">
      <c r="A2338" s="3" t="str">
        <f t="shared" si="36"/>
        <v>Período 1</v>
      </c>
      <c r="B2338">
        <v>52986</v>
      </c>
      <c r="C2338" t="s">
        <v>1730</v>
      </c>
      <c r="D2338" t="s">
        <v>4813</v>
      </c>
      <c r="E2338" s="3" t="str">
        <f>IF(LEN(Base_Periodo1[[#This Row],[CLASS]])&gt;=7,LEFT(Base_Periodo1[[#This Row],[CLASS]],7),"")</f>
        <v>2.1.2.1</v>
      </c>
      <c r="F2338" s="3" t="str">
        <f>VLOOKUP(Base_Periodo1[[#This Row],[Aux]],Base_Contas_Balanco[#All],2,FALSE)</f>
        <v>Fornecedores Cooperados</v>
      </c>
      <c r="G2338" s="1">
        <v>42879</v>
      </c>
      <c r="I2338" s="225">
        <v>20075.080000000002</v>
      </c>
      <c r="J2338" s="225">
        <v>20075.080000000002</v>
      </c>
      <c r="K2338" s="225">
        <v>0</v>
      </c>
      <c r="L23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38" s="225">
        <f>ROUND(IF(AND(Base_Periodo1[[#This Row],[Tipo_Linha]]="-",Base_Periodo1[[#This Row],[TIPOSALDO]]="D"),Base_Periodo1[[#This Row],[SALDO_ATUAL]]*-1,Base_Periodo1[[#This Row],[SALDO_ATUAL]]),4)</f>
        <v>0</v>
      </c>
      <c r="N2338" t="s">
        <v>116</v>
      </c>
      <c r="O2338" t="s">
        <v>436</v>
      </c>
      <c r="P2338" t="s">
        <v>436</v>
      </c>
      <c r="Q2338">
        <v>7</v>
      </c>
      <c r="R2338" s="225">
        <f>Base_Periodo1[[#This Row],[CREDITOS]]-Base_Periodo1[[#This Row],[DEBITOS]]</f>
        <v>0</v>
      </c>
      <c r="S2338" s="3" t="str">
        <f>IF(ISERROR(VLOOKUP(Base_Periodo1[[#This Row],[CONTA]],BaseContasDRE[#All],4,FALSE)),"Fora do DRE",VLOOKUP(Base_Periodo1[[#This Row],[CONTA]],BaseContasDRE[#All],4,FALSE))</f>
        <v>Fora do DRE</v>
      </c>
      <c r="T2338" s="3" t="str">
        <f>IF(ISERROR(VLOOKUP(Base_Periodo1[[#This Row],[CONTA]],BaseContasDRE[#All],5,FALSE)),"Fora do DRE",VLOOKUP(Base_Periodo1[[#This Row],[CONTA]],BaseContasDRE[#All],6,FALSE))</f>
        <v>Fora do DRE</v>
      </c>
      <c r="U2338" s="3" t="str">
        <f>IF(ISERROR(VLOOKUP(Base_Periodo1[[#This Row],[CONTA]],BaseContasDRE[#All],7,FALSE)),"Fora do DRE",VLOOKUP(Base_Periodo1[[#This Row],[CONTA]],BaseContasDRE[#All],7,FALSE))</f>
        <v>Fora do DRE</v>
      </c>
      <c r="V2338" s="3" t="str">
        <f>IF(Base_Periodo1[[#This Row],[Tipo_Linha]]="Fora do DRE","Fora do DRE","( "&amp;Base_Periodo1[[#This Row],[Tipo_Linha]]&amp;" ) "&amp;Base_Periodo1[[#This Row],[Filtro]])</f>
        <v>Fora do DRE</v>
      </c>
      <c r="W2338" s="3" t="str">
        <f>LEFT(Base_Periodo1[[#This Row],[CLASS]],3)</f>
        <v>2.1</v>
      </c>
    </row>
    <row r="2339" spans="1:23" hidden="1">
      <c r="A2339" s="3" t="str">
        <f t="shared" si="36"/>
        <v>Período 1</v>
      </c>
      <c r="B2339">
        <v>4533</v>
      </c>
      <c r="C2339" t="s">
        <v>1730</v>
      </c>
      <c r="D2339" t="s">
        <v>5383</v>
      </c>
      <c r="E2339" s="3" t="str">
        <f>IF(LEN(Base_Periodo1[[#This Row],[CLASS]])&gt;=7,LEFT(Base_Periodo1[[#This Row],[CLASS]],7),"")</f>
        <v>2.1.2.1</v>
      </c>
      <c r="F2339" s="3" t="str">
        <f>VLOOKUP(Base_Periodo1[[#This Row],[Aux]],Base_Contas_Balanco[#All],2,FALSE)</f>
        <v>Fornecedores Cooperados</v>
      </c>
      <c r="G2339" s="1">
        <v>42871</v>
      </c>
      <c r="I2339" s="225">
        <v>16377.44</v>
      </c>
      <c r="J2339" s="225">
        <v>16377.44</v>
      </c>
      <c r="K2339" s="225">
        <v>5.8207660913467407E-11</v>
      </c>
      <c r="L23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39" s="225">
        <f>ROUND(IF(AND(Base_Periodo1[[#This Row],[Tipo_Linha]]="-",Base_Periodo1[[#This Row],[TIPOSALDO]]="D"),Base_Periodo1[[#This Row],[SALDO_ATUAL]]*-1,Base_Periodo1[[#This Row],[SALDO_ATUAL]]),4)</f>
        <v>0</v>
      </c>
      <c r="N2339" t="s">
        <v>116</v>
      </c>
      <c r="O2339" t="s">
        <v>436</v>
      </c>
      <c r="P2339" t="s">
        <v>436</v>
      </c>
      <c r="Q2339">
        <v>7</v>
      </c>
      <c r="R2339" s="225">
        <f>Base_Periodo1[[#This Row],[CREDITOS]]-Base_Periodo1[[#This Row],[DEBITOS]]</f>
        <v>0</v>
      </c>
      <c r="S2339" s="3" t="str">
        <f>IF(ISERROR(VLOOKUP(Base_Periodo1[[#This Row],[CONTA]],BaseContasDRE[#All],4,FALSE)),"Fora do DRE",VLOOKUP(Base_Periodo1[[#This Row],[CONTA]],BaseContasDRE[#All],4,FALSE))</f>
        <v>Fora do DRE</v>
      </c>
      <c r="T2339" s="3" t="str">
        <f>IF(ISERROR(VLOOKUP(Base_Periodo1[[#This Row],[CONTA]],BaseContasDRE[#All],5,FALSE)),"Fora do DRE",VLOOKUP(Base_Periodo1[[#This Row],[CONTA]],BaseContasDRE[#All],6,FALSE))</f>
        <v>Fora do DRE</v>
      </c>
      <c r="U2339" s="3" t="str">
        <f>IF(ISERROR(VLOOKUP(Base_Periodo1[[#This Row],[CONTA]],BaseContasDRE[#All],7,FALSE)),"Fora do DRE",VLOOKUP(Base_Periodo1[[#This Row],[CONTA]],BaseContasDRE[#All],7,FALSE))</f>
        <v>Fora do DRE</v>
      </c>
      <c r="V2339" s="3" t="str">
        <f>IF(Base_Periodo1[[#This Row],[Tipo_Linha]]="Fora do DRE","Fora do DRE","( "&amp;Base_Periodo1[[#This Row],[Tipo_Linha]]&amp;" ) "&amp;Base_Periodo1[[#This Row],[Filtro]])</f>
        <v>Fora do DRE</v>
      </c>
      <c r="W2339" s="3" t="str">
        <f>LEFT(Base_Periodo1[[#This Row],[CLASS]],3)</f>
        <v>2.1</v>
      </c>
    </row>
    <row r="2340" spans="1:23" hidden="1">
      <c r="A2340" s="3" t="str">
        <f t="shared" si="36"/>
        <v>Período 1</v>
      </c>
      <c r="B2340">
        <v>47888</v>
      </c>
      <c r="C2340" t="s">
        <v>1730</v>
      </c>
      <c r="D2340" t="s">
        <v>634</v>
      </c>
      <c r="E2340" s="3" t="str">
        <f>IF(LEN(Base_Periodo1[[#This Row],[CLASS]])&gt;=7,LEFT(Base_Periodo1[[#This Row],[CLASS]],7),"")</f>
        <v>2.1.2.1</v>
      </c>
      <c r="F2340" s="3" t="str">
        <f>VLOOKUP(Base_Periodo1[[#This Row],[Aux]],Base_Contas_Balanco[#All],2,FALSE)</f>
        <v>Fornecedores Cooperados</v>
      </c>
      <c r="G2340" s="1">
        <v>42860</v>
      </c>
      <c r="H2340" s="225">
        <v>76747.829999999958</v>
      </c>
      <c r="I2340" s="225">
        <v>76747.83</v>
      </c>
      <c r="J2340" s="225">
        <v>0</v>
      </c>
      <c r="K2340" s="225">
        <v>4.3655745685100555E-11</v>
      </c>
      <c r="L23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40" s="225">
        <f>ROUND(IF(AND(Base_Periodo1[[#This Row],[Tipo_Linha]]="-",Base_Periodo1[[#This Row],[TIPOSALDO]]="D"),Base_Periodo1[[#This Row],[SALDO_ATUAL]]*-1,Base_Periodo1[[#This Row],[SALDO_ATUAL]]),4)</f>
        <v>0</v>
      </c>
      <c r="N2340" t="s">
        <v>116</v>
      </c>
      <c r="O2340" t="s">
        <v>459</v>
      </c>
      <c r="P2340" t="s">
        <v>436</v>
      </c>
      <c r="Q2340">
        <v>7</v>
      </c>
      <c r="R2340" s="225">
        <f>Base_Periodo1[[#This Row],[CREDITOS]]-Base_Periodo1[[#This Row],[DEBITOS]]</f>
        <v>-76747.83</v>
      </c>
      <c r="S2340" s="3" t="str">
        <f>IF(ISERROR(VLOOKUP(Base_Periodo1[[#This Row],[CONTA]],BaseContasDRE[#All],4,FALSE)),"Fora do DRE",VLOOKUP(Base_Periodo1[[#This Row],[CONTA]],BaseContasDRE[#All],4,FALSE))</f>
        <v>Fora do DRE</v>
      </c>
      <c r="T2340" s="3" t="str">
        <f>IF(ISERROR(VLOOKUP(Base_Periodo1[[#This Row],[CONTA]],BaseContasDRE[#All],5,FALSE)),"Fora do DRE",VLOOKUP(Base_Periodo1[[#This Row],[CONTA]],BaseContasDRE[#All],6,FALSE))</f>
        <v>Fora do DRE</v>
      </c>
      <c r="U2340" s="3" t="str">
        <f>IF(ISERROR(VLOOKUP(Base_Periodo1[[#This Row],[CONTA]],BaseContasDRE[#All],7,FALSE)),"Fora do DRE",VLOOKUP(Base_Periodo1[[#This Row],[CONTA]],BaseContasDRE[#All],7,FALSE))</f>
        <v>Fora do DRE</v>
      </c>
      <c r="V2340" s="3" t="str">
        <f>IF(Base_Periodo1[[#This Row],[Tipo_Linha]]="Fora do DRE","Fora do DRE","( "&amp;Base_Periodo1[[#This Row],[Tipo_Linha]]&amp;" ) "&amp;Base_Periodo1[[#This Row],[Filtro]])</f>
        <v>Fora do DRE</v>
      </c>
      <c r="W2340" s="3" t="str">
        <f>LEFT(Base_Periodo1[[#This Row],[CLASS]],3)</f>
        <v>2.1</v>
      </c>
    </row>
    <row r="2341" spans="1:23" hidden="1">
      <c r="A2341" s="3" t="str">
        <f t="shared" si="36"/>
        <v>Período 1</v>
      </c>
      <c r="B2341">
        <v>55855</v>
      </c>
      <c r="C2341" t="s">
        <v>1730</v>
      </c>
      <c r="D2341" t="s">
        <v>5480</v>
      </c>
      <c r="E2341" s="3" t="str">
        <f>IF(LEN(Base_Periodo1[[#This Row],[CLASS]])&gt;=7,LEFT(Base_Periodo1[[#This Row],[CLASS]],7),"")</f>
        <v>2.1.2.1</v>
      </c>
      <c r="F2341" s="3" t="str">
        <f>VLOOKUP(Base_Periodo1[[#This Row],[Aux]],Base_Contas_Balanco[#All],2,FALSE)</f>
        <v>Fornecedores Cooperados</v>
      </c>
      <c r="G2341" s="1">
        <v>42815</v>
      </c>
      <c r="H2341" s="225">
        <v>213.26999999996042</v>
      </c>
      <c r="I2341" s="225">
        <v>0</v>
      </c>
      <c r="J2341" s="225">
        <v>0</v>
      </c>
      <c r="K2341" s="225">
        <v>213.26999999996042</v>
      </c>
      <c r="L23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213.27</v>
      </c>
      <c r="M2341" s="225">
        <f>ROUND(IF(AND(Base_Periodo1[[#This Row],[Tipo_Linha]]="-",Base_Periodo1[[#This Row],[TIPOSALDO]]="D"),Base_Periodo1[[#This Row],[SALDO_ATUAL]]*-1,Base_Periodo1[[#This Row],[SALDO_ATUAL]]),4)</f>
        <v>213.27</v>
      </c>
      <c r="N2341" t="s">
        <v>116</v>
      </c>
      <c r="O2341" t="s">
        <v>459</v>
      </c>
      <c r="P2341" t="s">
        <v>459</v>
      </c>
      <c r="Q2341">
        <v>7</v>
      </c>
      <c r="R2341" s="225">
        <f>Base_Periodo1[[#This Row],[CREDITOS]]-Base_Periodo1[[#This Row],[DEBITOS]]</f>
        <v>0</v>
      </c>
      <c r="S2341" s="3" t="str">
        <f>IF(ISERROR(VLOOKUP(Base_Periodo1[[#This Row],[CONTA]],BaseContasDRE[#All],4,FALSE)),"Fora do DRE",VLOOKUP(Base_Periodo1[[#This Row],[CONTA]],BaseContasDRE[#All],4,FALSE))</f>
        <v>Fora do DRE</v>
      </c>
      <c r="T2341" s="3" t="str">
        <f>IF(ISERROR(VLOOKUP(Base_Periodo1[[#This Row],[CONTA]],BaseContasDRE[#All],5,FALSE)),"Fora do DRE",VLOOKUP(Base_Periodo1[[#This Row],[CONTA]],BaseContasDRE[#All],6,FALSE))</f>
        <v>Fora do DRE</v>
      </c>
      <c r="U2341" s="3" t="str">
        <f>IF(ISERROR(VLOOKUP(Base_Periodo1[[#This Row],[CONTA]],BaseContasDRE[#All],7,FALSE)),"Fora do DRE",VLOOKUP(Base_Periodo1[[#This Row],[CONTA]],BaseContasDRE[#All],7,FALSE))</f>
        <v>Fora do DRE</v>
      </c>
      <c r="V2341" s="3" t="str">
        <f>IF(Base_Periodo1[[#This Row],[Tipo_Linha]]="Fora do DRE","Fora do DRE","( "&amp;Base_Periodo1[[#This Row],[Tipo_Linha]]&amp;" ) "&amp;Base_Periodo1[[#This Row],[Filtro]])</f>
        <v>Fora do DRE</v>
      </c>
      <c r="W2341" s="3" t="str">
        <f>LEFT(Base_Periodo1[[#This Row],[CLASS]],3)</f>
        <v>2.1</v>
      </c>
    </row>
    <row r="2342" spans="1:23" hidden="1">
      <c r="A2342" s="3" t="str">
        <f t="shared" si="36"/>
        <v>Período 1</v>
      </c>
      <c r="B2342">
        <v>20151</v>
      </c>
      <c r="C2342" t="s">
        <v>1730</v>
      </c>
      <c r="D2342" t="s">
        <v>5942</v>
      </c>
      <c r="E2342" s="3" t="str">
        <f>IF(LEN(Base_Periodo1[[#This Row],[CLASS]])&gt;=7,LEFT(Base_Periodo1[[#This Row],[CLASS]],7),"")</f>
        <v>2.1.2.1</v>
      </c>
      <c r="F2342" s="3" t="str">
        <f>VLOOKUP(Base_Periodo1[[#This Row],[Aux]],Base_Contas_Balanco[#All],2,FALSE)</f>
        <v>Fornecedores Cooperados</v>
      </c>
      <c r="G2342" s="1">
        <v>42865</v>
      </c>
      <c r="I2342" s="225">
        <v>17970</v>
      </c>
      <c r="J2342" s="225">
        <v>17970</v>
      </c>
      <c r="K2342" s="225">
        <v>0</v>
      </c>
      <c r="L23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42" s="225">
        <f>ROUND(IF(AND(Base_Periodo1[[#This Row],[Tipo_Linha]]="-",Base_Periodo1[[#This Row],[TIPOSALDO]]="D"),Base_Periodo1[[#This Row],[SALDO_ATUAL]]*-1,Base_Periodo1[[#This Row],[SALDO_ATUAL]]),4)</f>
        <v>0</v>
      </c>
      <c r="N2342" t="s">
        <v>116</v>
      </c>
      <c r="O2342" t="s">
        <v>436</v>
      </c>
      <c r="P2342" t="s">
        <v>436</v>
      </c>
      <c r="Q2342">
        <v>7</v>
      </c>
      <c r="R2342" s="225">
        <f>Base_Periodo1[[#This Row],[CREDITOS]]-Base_Periodo1[[#This Row],[DEBITOS]]</f>
        <v>0</v>
      </c>
      <c r="S2342" s="3" t="str">
        <f>IF(ISERROR(VLOOKUP(Base_Periodo1[[#This Row],[CONTA]],BaseContasDRE[#All],4,FALSE)),"Fora do DRE",VLOOKUP(Base_Periodo1[[#This Row],[CONTA]],BaseContasDRE[#All],4,FALSE))</f>
        <v>Fora do DRE</v>
      </c>
      <c r="T2342" s="3" t="str">
        <f>IF(ISERROR(VLOOKUP(Base_Periodo1[[#This Row],[CONTA]],BaseContasDRE[#All],5,FALSE)),"Fora do DRE",VLOOKUP(Base_Periodo1[[#This Row],[CONTA]],BaseContasDRE[#All],6,FALSE))</f>
        <v>Fora do DRE</v>
      </c>
      <c r="U2342" s="3" t="str">
        <f>IF(ISERROR(VLOOKUP(Base_Periodo1[[#This Row],[CONTA]],BaseContasDRE[#All],7,FALSE)),"Fora do DRE",VLOOKUP(Base_Periodo1[[#This Row],[CONTA]],BaseContasDRE[#All],7,FALSE))</f>
        <v>Fora do DRE</v>
      </c>
      <c r="V2342" s="3" t="str">
        <f>IF(Base_Periodo1[[#This Row],[Tipo_Linha]]="Fora do DRE","Fora do DRE","( "&amp;Base_Periodo1[[#This Row],[Tipo_Linha]]&amp;" ) "&amp;Base_Periodo1[[#This Row],[Filtro]])</f>
        <v>Fora do DRE</v>
      </c>
      <c r="W2342" s="3" t="str">
        <f>LEFT(Base_Periodo1[[#This Row],[CLASS]],3)</f>
        <v>2.1</v>
      </c>
    </row>
    <row r="2343" spans="1:23" hidden="1">
      <c r="A2343" s="3" t="str">
        <f t="shared" si="36"/>
        <v>Período 1</v>
      </c>
      <c r="B2343">
        <v>55617</v>
      </c>
      <c r="C2343" t="s">
        <v>1730</v>
      </c>
      <c r="D2343" t="s">
        <v>6339</v>
      </c>
      <c r="E2343" s="3" t="str">
        <f>IF(LEN(Base_Periodo1[[#This Row],[CLASS]])&gt;=7,LEFT(Base_Periodo1[[#This Row],[CLASS]],7),"")</f>
        <v>2.1.2.1</v>
      </c>
      <c r="F2343" s="3" t="str">
        <f>VLOOKUP(Base_Periodo1[[#This Row],[Aux]],Base_Contas_Balanco[#All],2,FALSE)</f>
        <v>Fornecedores Cooperados</v>
      </c>
      <c r="G2343" s="1">
        <v>42859</v>
      </c>
      <c r="I2343" s="225">
        <v>16633.36</v>
      </c>
      <c r="J2343" s="225">
        <v>16633.36</v>
      </c>
      <c r="K2343" s="225">
        <v>4.3655745685100555E-11</v>
      </c>
      <c r="L23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43" s="225">
        <f>ROUND(IF(AND(Base_Periodo1[[#This Row],[Tipo_Linha]]="-",Base_Periodo1[[#This Row],[TIPOSALDO]]="D"),Base_Periodo1[[#This Row],[SALDO_ATUAL]]*-1,Base_Periodo1[[#This Row],[SALDO_ATUAL]]),4)</f>
        <v>0</v>
      </c>
      <c r="N2343" t="s">
        <v>116</v>
      </c>
      <c r="O2343" t="s">
        <v>436</v>
      </c>
      <c r="P2343" t="s">
        <v>436</v>
      </c>
      <c r="Q2343">
        <v>7</v>
      </c>
      <c r="R2343" s="225">
        <f>Base_Periodo1[[#This Row],[CREDITOS]]-Base_Periodo1[[#This Row],[DEBITOS]]</f>
        <v>0</v>
      </c>
      <c r="S2343" s="3" t="str">
        <f>IF(ISERROR(VLOOKUP(Base_Periodo1[[#This Row],[CONTA]],BaseContasDRE[#All],4,FALSE)),"Fora do DRE",VLOOKUP(Base_Periodo1[[#This Row],[CONTA]],BaseContasDRE[#All],4,FALSE))</f>
        <v>Fora do DRE</v>
      </c>
      <c r="T2343" s="3" t="str">
        <f>IF(ISERROR(VLOOKUP(Base_Periodo1[[#This Row],[CONTA]],BaseContasDRE[#All],5,FALSE)),"Fora do DRE",VLOOKUP(Base_Periodo1[[#This Row],[CONTA]],BaseContasDRE[#All],6,FALSE))</f>
        <v>Fora do DRE</v>
      </c>
      <c r="U2343" s="3" t="str">
        <f>IF(ISERROR(VLOOKUP(Base_Periodo1[[#This Row],[CONTA]],BaseContasDRE[#All],7,FALSE)),"Fora do DRE",VLOOKUP(Base_Periodo1[[#This Row],[CONTA]],BaseContasDRE[#All],7,FALSE))</f>
        <v>Fora do DRE</v>
      </c>
      <c r="V2343" s="3" t="str">
        <f>IF(Base_Periodo1[[#This Row],[Tipo_Linha]]="Fora do DRE","Fora do DRE","( "&amp;Base_Periodo1[[#This Row],[Tipo_Linha]]&amp;" ) "&amp;Base_Periodo1[[#This Row],[Filtro]])</f>
        <v>Fora do DRE</v>
      </c>
      <c r="W2343" s="3" t="str">
        <f>LEFT(Base_Periodo1[[#This Row],[CLASS]],3)</f>
        <v>2.1</v>
      </c>
    </row>
    <row r="2344" spans="1:23" hidden="1">
      <c r="A2344" s="3" t="str">
        <f t="shared" si="36"/>
        <v>Período 1</v>
      </c>
      <c r="B2344">
        <v>4109</v>
      </c>
      <c r="C2344" t="s">
        <v>1730</v>
      </c>
      <c r="D2344" t="s">
        <v>637</v>
      </c>
      <c r="E2344" s="3" t="str">
        <f>IF(LEN(Base_Periodo1[[#This Row],[CLASS]])&gt;=7,LEFT(Base_Periodo1[[#This Row],[CLASS]],7),"")</f>
        <v>2.1.2.1</v>
      </c>
      <c r="F2344" s="3" t="str">
        <f>VLOOKUP(Base_Periodo1[[#This Row],[Aux]],Base_Contas_Balanco[#All],2,FALSE)</f>
        <v>Fornecedores Cooperados</v>
      </c>
      <c r="G2344" s="1">
        <v>42884</v>
      </c>
      <c r="I2344" s="225">
        <v>19365.169999999998</v>
      </c>
      <c r="J2344" s="225">
        <v>19365.169999999998</v>
      </c>
      <c r="K2344" s="225">
        <v>-2.3283064365386963E-10</v>
      </c>
      <c r="L23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44" s="225">
        <f>ROUND(IF(AND(Base_Periodo1[[#This Row],[Tipo_Linha]]="-",Base_Periodo1[[#This Row],[TIPOSALDO]]="D"),Base_Periodo1[[#This Row],[SALDO_ATUAL]]*-1,Base_Periodo1[[#This Row],[SALDO_ATUAL]]),4)</f>
        <v>0</v>
      </c>
      <c r="N2344" t="s">
        <v>116</v>
      </c>
      <c r="O2344" t="s">
        <v>436</v>
      </c>
      <c r="P2344" t="s">
        <v>436</v>
      </c>
      <c r="Q2344">
        <v>7</v>
      </c>
      <c r="R2344" s="225">
        <f>Base_Periodo1[[#This Row],[CREDITOS]]-Base_Periodo1[[#This Row],[DEBITOS]]</f>
        <v>0</v>
      </c>
      <c r="S2344" s="3" t="str">
        <f>IF(ISERROR(VLOOKUP(Base_Periodo1[[#This Row],[CONTA]],BaseContasDRE[#All],4,FALSE)),"Fora do DRE",VLOOKUP(Base_Periodo1[[#This Row],[CONTA]],BaseContasDRE[#All],4,FALSE))</f>
        <v>Fora do DRE</v>
      </c>
      <c r="T2344" s="3" t="str">
        <f>IF(ISERROR(VLOOKUP(Base_Periodo1[[#This Row],[CONTA]],BaseContasDRE[#All],5,FALSE)),"Fora do DRE",VLOOKUP(Base_Periodo1[[#This Row],[CONTA]],BaseContasDRE[#All],6,FALSE))</f>
        <v>Fora do DRE</v>
      </c>
      <c r="U2344" s="3" t="str">
        <f>IF(ISERROR(VLOOKUP(Base_Periodo1[[#This Row],[CONTA]],BaseContasDRE[#All],7,FALSE)),"Fora do DRE",VLOOKUP(Base_Periodo1[[#This Row],[CONTA]],BaseContasDRE[#All],7,FALSE))</f>
        <v>Fora do DRE</v>
      </c>
      <c r="V2344" s="3" t="str">
        <f>IF(Base_Periodo1[[#This Row],[Tipo_Linha]]="Fora do DRE","Fora do DRE","( "&amp;Base_Periodo1[[#This Row],[Tipo_Linha]]&amp;" ) "&amp;Base_Periodo1[[#This Row],[Filtro]])</f>
        <v>Fora do DRE</v>
      </c>
      <c r="W2344" s="3" t="str">
        <f>LEFT(Base_Periodo1[[#This Row],[CLASS]],3)</f>
        <v>2.1</v>
      </c>
    </row>
    <row r="2345" spans="1:23" hidden="1">
      <c r="A2345" s="3" t="str">
        <f t="shared" si="36"/>
        <v>Período 1</v>
      </c>
      <c r="B2345">
        <v>20503</v>
      </c>
      <c r="C2345" t="s">
        <v>1730</v>
      </c>
      <c r="D2345" t="s">
        <v>6846</v>
      </c>
      <c r="E2345" s="3" t="str">
        <f>IF(LEN(Base_Periodo1[[#This Row],[CLASS]])&gt;=7,LEFT(Base_Periodo1[[#This Row],[CLASS]],7),"")</f>
        <v>2.1.2.1</v>
      </c>
      <c r="F2345" s="3" t="str">
        <f>VLOOKUP(Base_Periodo1[[#This Row],[Aux]],Base_Contas_Balanco[#All],2,FALSE)</f>
        <v>Fornecedores Cooperados</v>
      </c>
      <c r="G2345" s="1">
        <v>42885</v>
      </c>
      <c r="I2345" s="225">
        <v>0</v>
      </c>
      <c r="J2345" s="225">
        <v>37023.410000000003</v>
      </c>
      <c r="K2345" s="225">
        <v>37023.410000000003</v>
      </c>
      <c r="L23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37023.410000000003</v>
      </c>
      <c r="M2345" s="225">
        <f>ROUND(IF(AND(Base_Periodo1[[#This Row],[Tipo_Linha]]="-",Base_Periodo1[[#This Row],[TIPOSALDO]]="D"),Base_Periodo1[[#This Row],[SALDO_ATUAL]]*-1,Base_Periodo1[[#This Row],[SALDO_ATUAL]]),4)</f>
        <v>37023.410000000003</v>
      </c>
      <c r="N2345" t="s">
        <v>116</v>
      </c>
      <c r="O2345" t="s">
        <v>436</v>
      </c>
      <c r="P2345" t="s">
        <v>459</v>
      </c>
      <c r="Q2345">
        <v>7</v>
      </c>
      <c r="R2345" s="225">
        <f>Base_Periodo1[[#This Row],[CREDITOS]]-Base_Periodo1[[#This Row],[DEBITOS]]</f>
        <v>37023.410000000003</v>
      </c>
      <c r="S2345" s="3" t="str">
        <f>IF(ISERROR(VLOOKUP(Base_Periodo1[[#This Row],[CONTA]],BaseContasDRE[#All],4,FALSE)),"Fora do DRE",VLOOKUP(Base_Periodo1[[#This Row],[CONTA]],BaseContasDRE[#All],4,FALSE))</f>
        <v>Fora do DRE</v>
      </c>
      <c r="T2345" s="3" t="str">
        <f>IF(ISERROR(VLOOKUP(Base_Periodo1[[#This Row],[CONTA]],BaseContasDRE[#All],5,FALSE)),"Fora do DRE",VLOOKUP(Base_Periodo1[[#This Row],[CONTA]],BaseContasDRE[#All],6,FALSE))</f>
        <v>Fora do DRE</v>
      </c>
      <c r="U2345" s="3" t="str">
        <f>IF(ISERROR(VLOOKUP(Base_Periodo1[[#This Row],[CONTA]],BaseContasDRE[#All],7,FALSE)),"Fora do DRE",VLOOKUP(Base_Periodo1[[#This Row],[CONTA]],BaseContasDRE[#All],7,FALSE))</f>
        <v>Fora do DRE</v>
      </c>
      <c r="V2345" s="3" t="str">
        <f>IF(Base_Periodo1[[#This Row],[Tipo_Linha]]="Fora do DRE","Fora do DRE","( "&amp;Base_Periodo1[[#This Row],[Tipo_Linha]]&amp;" ) "&amp;Base_Periodo1[[#This Row],[Filtro]])</f>
        <v>Fora do DRE</v>
      </c>
      <c r="W2345" s="3" t="str">
        <f>LEFT(Base_Periodo1[[#This Row],[CLASS]],3)</f>
        <v>2.1</v>
      </c>
    </row>
    <row r="2346" spans="1:23" hidden="1">
      <c r="A2346" s="3" t="str">
        <f t="shared" si="36"/>
        <v>Período 1</v>
      </c>
      <c r="B2346">
        <v>3129</v>
      </c>
      <c r="C2346" t="s">
        <v>1730</v>
      </c>
      <c r="D2346" t="s">
        <v>639</v>
      </c>
      <c r="E2346" s="3" t="str">
        <f>IF(LEN(Base_Periodo1[[#This Row],[CLASS]])&gt;=7,LEFT(Base_Periodo1[[#This Row],[CLASS]],7),"")</f>
        <v>2.1.2.1</v>
      </c>
      <c r="F2346" s="3" t="str">
        <f>VLOOKUP(Base_Periodo1[[#This Row],[Aux]],Base_Contas_Balanco[#All],2,FALSE)</f>
        <v>Fornecedores Cooperados</v>
      </c>
      <c r="G2346" s="1">
        <v>42872</v>
      </c>
      <c r="H2346" s="225">
        <v>247.69999999366701</v>
      </c>
      <c r="I2346" s="225">
        <v>11045.650000000001</v>
      </c>
      <c r="J2346" s="225">
        <v>11045.65</v>
      </c>
      <c r="K2346" s="225">
        <v>247.69999999366519</v>
      </c>
      <c r="L23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247.7</v>
      </c>
      <c r="M2346" s="225">
        <f>ROUND(IF(AND(Base_Periodo1[[#This Row],[Tipo_Linha]]="-",Base_Periodo1[[#This Row],[TIPOSALDO]]="D"),Base_Periodo1[[#This Row],[SALDO_ATUAL]]*-1,Base_Periodo1[[#This Row],[SALDO_ATUAL]]),4)</f>
        <v>247.7</v>
      </c>
      <c r="N2346" t="s">
        <v>116</v>
      </c>
      <c r="O2346" t="s">
        <v>459</v>
      </c>
      <c r="P2346" t="s">
        <v>459</v>
      </c>
      <c r="Q2346">
        <v>7</v>
      </c>
      <c r="R2346" s="225">
        <f>Base_Periodo1[[#This Row],[CREDITOS]]-Base_Periodo1[[#This Row],[DEBITOS]]</f>
        <v>0</v>
      </c>
      <c r="S2346" s="3" t="str">
        <f>IF(ISERROR(VLOOKUP(Base_Periodo1[[#This Row],[CONTA]],BaseContasDRE[#All],4,FALSE)),"Fora do DRE",VLOOKUP(Base_Periodo1[[#This Row],[CONTA]],BaseContasDRE[#All],4,FALSE))</f>
        <v>Fora do DRE</v>
      </c>
      <c r="T2346" s="3" t="str">
        <f>IF(ISERROR(VLOOKUP(Base_Periodo1[[#This Row],[CONTA]],BaseContasDRE[#All],5,FALSE)),"Fora do DRE",VLOOKUP(Base_Periodo1[[#This Row],[CONTA]],BaseContasDRE[#All],6,FALSE))</f>
        <v>Fora do DRE</v>
      </c>
      <c r="U2346" s="3" t="str">
        <f>IF(ISERROR(VLOOKUP(Base_Periodo1[[#This Row],[CONTA]],BaseContasDRE[#All],7,FALSE)),"Fora do DRE",VLOOKUP(Base_Periodo1[[#This Row],[CONTA]],BaseContasDRE[#All],7,FALSE))</f>
        <v>Fora do DRE</v>
      </c>
      <c r="V2346" s="3" t="str">
        <f>IF(Base_Periodo1[[#This Row],[Tipo_Linha]]="Fora do DRE","Fora do DRE","( "&amp;Base_Periodo1[[#This Row],[Tipo_Linha]]&amp;" ) "&amp;Base_Periodo1[[#This Row],[Filtro]])</f>
        <v>Fora do DRE</v>
      </c>
      <c r="W2346" s="3" t="str">
        <f>LEFT(Base_Periodo1[[#This Row],[CLASS]],3)</f>
        <v>2.1</v>
      </c>
    </row>
    <row r="2347" spans="1:23" hidden="1">
      <c r="A2347" s="3" t="str">
        <f t="shared" si="36"/>
        <v>Período 1</v>
      </c>
      <c r="B2347">
        <v>57857</v>
      </c>
      <c r="C2347" t="s">
        <v>1730</v>
      </c>
      <c r="D2347" t="s">
        <v>5494</v>
      </c>
      <c r="E2347" s="3" t="str">
        <f>IF(LEN(Base_Periodo1[[#This Row],[CLASS]])&gt;=7,LEFT(Base_Periodo1[[#This Row],[CLASS]],7),"")</f>
        <v>2.1.2.1</v>
      </c>
      <c r="F2347" s="3" t="str">
        <f>VLOOKUP(Base_Periodo1[[#This Row],[Aux]],Base_Contas_Balanco[#All],2,FALSE)</f>
        <v>Fornecedores Cooperados</v>
      </c>
      <c r="G2347" s="1">
        <v>42878</v>
      </c>
      <c r="I2347" s="225">
        <v>15648.849999999999</v>
      </c>
      <c r="J2347" s="225">
        <v>15648.85</v>
      </c>
      <c r="K2347" s="225">
        <v>-1.8189894035458565E-12</v>
      </c>
      <c r="L23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47" s="225">
        <f>ROUND(IF(AND(Base_Periodo1[[#This Row],[Tipo_Linha]]="-",Base_Periodo1[[#This Row],[TIPOSALDO]]="D"),Base_Periodo1[[#This Row],[SALDO_ATUAL]]*-1,Base_Periodo1[[#This Row],[SALDO_ATUAL]]),4)</f>
        <v>0</v>
      </c>
      <c r="N2347" t="s">
        <v>116</v>
      </c>
      <c r="O2347" t="s">
        <v>436</v>
      </c>
      <c r="P2347" t="s">
        <v>436</v>
      </c>
      <c r="Q2347">
        <v>7</v>
      </c>
      <c r="R2347" s="225">
        <f>Base_Periodo1[[#This Row],[CREDITOS]]-Base_Periodo1[[#This Row],[DEBITOS]]</f>
        <v>0</v>
      </c>
      <c r="S2347" s="3" t="str">
        <f>IF(ISERROR(VLOOKUP(Base_Periodo1[[#This Row],[CONTA]],BaseContasDRE[#All],4,FALSE)),"Fora do DRE",VLOOKUP(Base_Periodo1[[#This Row],[CONTA]],BaseContasDRE[#All],4,FALSE))</f>
        <v>Fora do DRE</v>
      </c>
      <c r="T2347" s="3" t="str">
        <f>IF(ISERROR(VLOOKUP(Base_Periodo1[[#This Row],[CONTA]],BaseContasDRE[#All],5,FALSE)),"Fora do DRE",VLOOKUP(Base_Periodo1[[#This Row],[CONTA]],BaseContasDRE[#All],6,FALSE))</f>
        <v>Fora do DRE</v>
      </c>
      <c r="U2347" s="3" t="str">
        <f>IF(ISERROR(VLOOKUP(Base_Periodo1[[#This Row],[CONTA]],BaseContasDRE[#All],7,FALSE)),"Fora do DRE",VLOOKUP(Base_Periodo1[[#This Row],[CONTA]],BaseContasDRE[#All],7,FALSE))</f>
        <v>Fora do DRE</v>
      </c>
      <c r="V2347" s="3" t="str">
        <f>IF(Base_Periodo1[[#This Row],[Tipo_Linha]]="Fora do DRE","Fora do DRE","( "&amp;Base_Periodo1[[#This Row],[Tipo_Linha]]&amp;" ) "&amp;Base_Periodo1[[#This Row],[Filtro]])</f>
        <v>Fora do DRE</v>
      </c>
      <c r="W2347" s="3" t="str">
        <f>LEFT(Base_Periodo1[[#This Row],[CLASS]],3)</f>
        <v>2.1</v>
      </c>
    </row>
    <row r="2348" spans="1:23" hidden="1">
      <c r="A2348" s="3" t="str">
        <f t="shared" si="36"/>
        <v>Período 1</v>
      </c>
      <c r="B2348">
        <v>47743</v>
      </c>
      <c r="C2348" t="s">
        <v>1730</v>
      </c>
      <c r="D2348" t="s">
        <v>641</v>
      </c>
      <c r="E2348" s="3" t="str">
        <f>IF(LEN(Base_Periodo1[[#This Row],[CLASS]])&gt;=7,LEFT(Base_Periodo1[[#This Row],[CLASS]],7),"")</f>
        <v>2.1.2.1</v>
      </c>
      <c r="F2348" s="3" t="str">
        <f>VLOOKUP(Base_Periodo1[[#This Row],[Aux]],Base_Contas_Balanco[#All],2,FALSE)</f>
        <v>Fornecedores Cooperados</v>
      </c>
      <c r="G2348" s="1">
        <v>42881</v>
      </c>
      <c r="I2348" s="225">
        <v>243778.72</v>
      </c>
      <c r="J2348" s="225">
        <v>243778.72</v>
      </c>
      <c r="K2348" s="225">
        <v>0</v>
      </c>
      <c r="L23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48" s="225">
        <f>ROUND(IF(AND(Base_Periodo1[[#This Row],[Tipo_Linha]]="-",Base_Periodo1[[#This Row],[TIPOSALDO]]="D"),Base_Periodo1[[#This Row],[SALDO_ATUAL]]*-1,Base_Periodo1[[#This Row],[SALDO_ATUAL]]),4)</f>
        <v>0</v>
      </c>
      <c r="N2348" t="s">
        <v>116</v>
      </c>
      <c r="O2348" t="s">
        <v>436</v>
      </c>
      <c r="P2348" t="s">
        <v>436</v>
      </c>
      <c r="Q2348">
        <v>7</v>
      </c>
      <c r="R2348" s="225">
        <f>Base_Periodo1[[#This Row],[CREDITOS]]-Base_Periodo1[[#This Row],[DEBITOS]]</f>
        <v>0</v>
      </c>
      <c r="S2348" s="3" t="str">
        <f>IF(ISERROR(VLOOKUP(Base_Periodo1[[#This Row],[CONTA]],BaseContasDRE[#All],4,FALSE)),"Fora do DRE",VLOOKUP(Base_Periodo1[[#This Row],[CONTA]],BaseContasDRE[#All],4,FALSE))</f>
        <v>Fora do DRE</v>
      </c>
      <c r="T2348" s="3" t="str">
        <f>IF(ISERROR(VLOOKUP(Base_Periodo1[[#This Row],[CONTA]],BaseContasDRE[#All],5,FALSE)),"Fora do DRE",VLOOKUP(Base_Periodo1[[#This Row],[CONTA]],BaseContasDRE[#All],6,FALSE))</f>
        <v>Fora do DRE</v>
      </c>
      <c r="U2348" s="3" t="str">
        <f>IF(ISERROR(VLOOKUP(Base_Periodo1[[#This Row],[CONTA]],BaseContasDRE[#All],7,FALSE)),"Fora do DRE",VLOOKUP(Base_Periodo1[[#This Row],[CONTA]],BaseContasDRE[#All],7,FALSE))</f>
        <v>Fora do DRE</v>
      </c>
      <c r="V2348" s="3" t="str">
        <f>IF(Base_Periodo1[[#This Row],[Tipo_Linha]]="Fora do DRE","Fora do DRE","( "&amp;Base_Periodo1[[#This Row],[Tipo_Linha]]&amp;" ) "&amp;Base_Periodo1[[#This Row],[Filtro]])</f>
        <v>Fora do DRE</v>
      </c>
      <c r="W2348" s="3" t="str">
        <f>LEFT(Base_Periodo1[[#This Row],[CLASS]],3)</f>
        <v>2.1</v>
      </c>
    </row>
    <row r="2349" spans="1:23" hidden="1">
      <c r="A2349" s="3" t="str">
        <f t="shared" si="36"/>
        <v>Período 1</v>
      </c>
      <c r="B2349">
        <v>3801</v>
      </c>
      <c r="C2349" t="s">
        <v>1730</v>
      </c>
      <c r="D2349" t="s">
        <v>642</v>
      </c>
      <c r="E2349" s="3" t="str">
        <f>IF(LEN(Base_Periodo1[[#This Row],[CLASS]])&gt;=7,LEFT(Base_Periodo1[[#This Row],[CLASS]],7),"")</f>
        <v>2.1.2.1</v>
      </c>
      <c r="F2349" s="3" t="str">
        <f>VLOOKUP(Base_Periodo1[[#This Row],[Aux]],Base_Contas_Balanco[#All],2,FALSE)</f>
        <v>Fornecedores Cooperados</v>
      </c>
      <c r="G2349" s="1">
        <v>42886</v>
      </c>
      <c r="I2349" s="225">
        <v>2519.3000000000002</v>
      </c>
      <c r="J2349" s="225">
        <v>2519.3000000000002</v>
      </c>
      <c r="K2349" s="225">
        <v>4.6566128730773926E-10</v>
      </c>
      <c r="L23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49" s="225">
        <f>ROUND(IF(AND(Base_Periodo1[[#This Row],[Tipo_Linha]]="-",Base_Periodo1[[#This Row],[TIPOSALDO]]="D"),Base_Periodo1[[#This Row],[SALDO_ATUAL]]*-1,Base_Periodo1[[#This Row],[SALDO_ATUAL]]),4)</f>
        <v>0</v>
      </c>
      <c r="N2349" t="s">
        <v>116</v>
      </c>
      <c r="O2349" t="s">
        <v>436</v>
      </c>
      <c r="P2349" t="s">
        <v>436</v>
      </c>
      <c r="Q2349">
        <v>7</v>
      </c>
      <c r="R2349" s="225">
        <f>Base_Periodo1[[#This Row],[CREDITOS]]-Base_Periodo1[[#This Row],[DEBITOS]]</f>
        <v>0</v>
      </c>
      <c r="S2349" s="3" t="str">
        <f>IF(ISERROR(VLOOKUP(Base_Periodo1[[#This Row],[CONTA]],BaseContasDRE[#All],4,FALSE)),"Fora do DRE",VLOOKUP(Base_Periodo1[[#This Row],[CONTA]],BaseContasDRE[#All],4,FALSE))</f>
        <v>Fora do DRE</v>
      </c>
      <c r="T2349" s="3" t="str">
        <f>IF(ISERROR(VLOOKUP(Base_Periodo1[[#This Row],[CONTA]],BaseContasDRE[#All],5,FALSE)),"Fora do DRE",VLOOKUP(Base_Periodo1[[#This Row],[CONTA]],BaseContasDRE[#All],6,FALSE))</f>
        <v>Fora do DRE</v>
      </c>
      <c r="U2349" s="3" t="str">
        <f>IF(ISERROR(VLOOKUP(Base_Periodo1[[#This Row],[CONTA]],BaseContasDRE[#All],7,FALSE)),"Fora do DRE",VLOOKUP(Base_Periodo1[[#This Row],[CONTA]],BaseContasDRE[#All],7,FALSE))</f>
        <v>Fora do DRE</v>
      </c>
      <c r="V2349" s="3" t="str">
        <f>IF(Base_Periodo1[[#This Row],[Tipo_Linha]]="Fora do DRE","Fora do DRE","( "&amp;Base_Periodo1[[#This Row],[Tipo_Linha]]&amp;" ) "&amp;Base_Periodo1[[#This Row],[Filtro]])</f>
        <v>Fora do DRE</v>
      </c>
      <c r="W2349" s="3" t="str">
        <f>LEFT(Base_Periodo1[[#This Row],[CLASS]],3)</f>
        <v>2.1</v>
      </c>
    </row>
    <row r="2350" spans="1:23" hidden="1">
      <c r="A2350" s="3" t="str">
        <f t="shared" si="36"/>
        <v>Período 1</v>
      </c>
      <c r="B2350">
        <v>2793</v>
      </c>
      <c r="C2350" t="s">
        <v>1730</v>
      </c>
      <c r="D2350" t="s">
        <v>643</v>
      </c>
      <c r="E2350" s="3" t="str">
        <f>IF(LEN(Base_Periodo1[[#This Row],[CLASS]])&gt;=7,LEFT(Base_Periodo1[[#This Row],[CLASS]],7),"")</f>
        <v>2.1.2.1</v>
      </c>
      <c r="F2350" s="3" t="str">
        <f>VLOOKUP(Base_Periodo1[[#This Row],[Aux]],Base_Contas_Balanco[#All],2,FALSE)</f>
        <v>Fornecedores Cooperados</v>
      </c>
      <c r="G2350" s="1">
        <v>42886</v>
      </c>
      <c r="H2350" s="225">
        <v>5162.9599999999627</v>
      </c>
      <c r="I2350" s="225">
        <v>33525.53</v>
      </c>
      <c r="J2350" s="225">
        <v>29124.880000000001</v>
      </c>
      <c r="K2350" s="225">
        <v>762.30999999996493</v>
      </c>
      <c r="L23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762.31</v>
      </c>
      <c r="M2350" s="225">
        <f>ROUND(IF(AND(Base_Periodo1[[#This Row],[Tipo_Linha]]="-",Base_Periodo1[[#This Row],[TIPOSALDO]]="D"),Base_Periodo1[[#This Row],[SALDO_ATUAL]]*-1,Base_Periodo1[[#This Row],[SALDO_ATUAL]]),4)</f>
        <v>762.31</v>
      </c>
      <c r="N2350" t="s">
        <v>116</v>
      </c>
      <c r="O2350" t="s">
        <v>459</v>
      </c>
      <c r="P2350" t="s">
        <v>459</v>
      </c>
      <c r="Q2350">
        <v>7</v>
      </c>
      <c r="R2350" s="225">
        <f>Base_Periodo1[[#This Row],[CREDITOS]]-Base_Periodo1[[#This Row],[DEBITOS]]</f>
        <v>-4400.6499999999978</v>
      </c>
      <c r="S2350" s="3" t="str">
        <f>IF(ISERROR(VLOOKUP(Base_Periodo1[[#This Row],[CONTA]],BaseContasDRE[#All],4,FALSE)),"Fora do DRE",VLOOKUP(Base_Periodo1[[#This Row],[CONTA]],BaseContasDRE[#All],4,FALSE))</f>
        <v>Fora do DRE</v>
      </c>
      <c r="T2350" s="3" t="str">
        <f>IF(ISERROR(VLOOKUP(Base_Periodo1[[#This Row],[CONTA]],BaseContasDRE[#All],5,FALSE)),"Fora do DRE",VLOOKUP(Base_Periodo1[[#This Row],[CONTA]],BaseContasDRE[#All],6,FALSE))</f>
        <v>Fora do DRE</v>
      </c>
      <c r="U2350" s="3" t="str">
        <f>IF(ISERROR(VLOOKUP(Base_Periodo1[[#This Row],[CONTA]],BaseContasDRE[#All],7,FALSE)),"Fora do DRE",VLOOKUP(Base_Periodo1[[#This Row],[CONTA]],BaseContasDRE[#All],7,FALSE))</f>
        <v>Fora do DRE</v>
      </c>
      <c r="V2350" s="3" t="str">
        <f>IF(Base_Periodo1[[#This Row],[Tipo_Linha]]="Fora do DRE","Fora do DRE","( "&amp;Base_Periodo1[[#This Row],[Tipo_Linha]]&amp;" ) "&amp;Base_Periodo1[[#This Row],[Filtro]])</f>
        <v>Fora do DRE</v>
      </c>
      <c r="W2350" s="3" t="str">
        <f>LEFT(Base_Periodo1[[#This Row],[CLASS]],3)</f>
        <v>2.1</v>
      </c>
    </row>
    <row r="2351" spans="1:23" hidden="1">
      <c r="A2351" s="3" t="str">
        <f t="shared" si="36"/>
        <v>Período 1</v>
      </c>
      <c r="B2351">
        <v>5157</v>
      </c>
      <c r="C2351" t="s">
        <v>1730</v>
      </c>
      <c r="D2351" t="s">
        <v>4994</v>
      </c>
      <c r="E2351" s="3" t="str">
        <f>IF(LEN(Base_Periodo1[[#This Row],[CLASS]])&gt;=7,LEFT(Base_Periodo1[[#This Row],[CLASS]],7),"")</f>
        <v>2.1.2.1</v>
      </c>
      <c r="F2351" s="3" t="str">
        <f>VLOOKUP(Base_Periodo1[[#This Row],[Aux]],Base_Contas_Balanco[#All],2,FALSE)</f>
        <v>Fornecedores Cooperados</v>
      </c>
      <c r="G2351" s="1">
        <v>42858</v>
      </c>
      <c r="H2351" s="225">
        <v>59267.229999999981</v>
      </c>
      <c r="I2351" s="225">
        <v>59267.23</v>
      </c>
      <c r="J2351" s="225">
        <v>0</v>
      </c>
      <c r="K2351" s="225">
        <v>2.1827872842550278E-11</v>
      </c>
      <c r="L23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51" s="225">
        <f>ROUND(IF(AND(Base_Periodo1[[#This Row],[Tipo_Linha]]="-",Base_Periodo1[[#This Row],[TIPOSALDO]]="D"),Base_Periodo1[[#This Row],[SALDO_ATUAL]]*-1,Base_Periodo1[[#This Row],[SALDO_ATUAL]]),4)</f>
        <v>0</v>
      </c>
      <c r="N2351" t="s">
        <v>116</v>
      </c>
      <c r="O2351" t="s">
        <v>459</v>
      </c>
      <c r="P2351" t="s">
        <v>436</v>
      </c>
      <c r="Q2351">
        <v>7</v>
      </c>
      <c r="R2351" s="225">
        <f>Base_Periodo1[[#This Row],[CREDITOS]]-Base_Periodo1[[#This Row],[DEBITOS]]</f>
        <v>-59267.23</v>
      </c>
      <c r="S2351" s="3" t="str">
        <f>IF(ISERROR(VLOOKUP(Base_Periodo1[[#This Row],[CONTA]],BaseContasDRE[#All],4,FALSE)),"Fora do DRE",VLOOKUP(Base_Periodo1[[#This Row],[CONTA]],BaseContasDRE[#All],4,FALSE))</f>
        <v>Fora do DRE</v>
      </c>
      <c r="T2351" s="3" t="str">
        <f>IF(ISERROR(VLOOKUP(Base_Periodo1[[#This Row],[CONTA]],BaseContasDRE[#All],5,FALSE)),"Fora do DRE",VLOOKUP(Base_Periodo1[[#This Row],[CONTA]],BaseContasDRE[#All],6,FALSE))</f>
        <v>Fora do DRE</v>
      </c>
      <c r="U2351" s="3" t="str">
        <f>IF(ISERROR(VLOOKUP(Base_Periodo1[[#This Row],[CONTA]],BaseContasDRE[#All],7,FALSE)),"Fora do DRE",VLOOKUP(Base_Periodo1[[#This Row],[CONTA]],BaseContasDRE[#All],7,FALSE))</f>
        <v>Fora do DRE</v>
      </c>
      <c r="V2351" s="3" t="str">
        <f>IF(Base_Periodo1[[#This Row],[Tipo_Linha]]="Fora do DRE","Fora do DRE","( "&amp;Base_Periodo1[[#This Row],[Tipo_Linha]]&amp;" ) "&amp;Base_Periodo1[[#This Row],[Filtro]])</f>
        <v>Fora do DRE</v>
      </c>
      <c r="W2351" s="3" t="str">
        <f>LEFT(Base_Periodo1[[#This Row],[CLASS]],3)</f>
        <v>2.1</v>
      </c>
    </row>
    <row r="2352" spans="1:23" hidden="1">
      <c r="A2352" s="3" t="str">
        <f t="shared" si="36"/>
        <v>Período 1</v>
      </c>
      <c r="B2352">
        <v>3133</v>
      </c>
      <c r="C2352" t="s">
        <v>1730</v>
      </c>
      <c r="D2352" t="s">
        <v>644</v>
      </c>
      <c r="E2352" s="3" t="str">
        <f>IF(LEN(Base_Periodo1[[#This Row],[CLASS]])&gt;=7,LEFT(Base_Periodo1[[#This Row],[CLASS]],7),"")</f>
        <v>2.1.2.1</v>
      </c>
      <c r="F2352" s="3" t="str">
        <f>VLOOKUP(Base_Periodo1[[#This Row],[Aux]],Base_Contas_Balanco[#All],2,FALSE)</f>
        <v>Fornecedores Cooperados</v>
      </c>
      <c r="G2352" s="1">
        <v>42886</v>
      </c>
      <c r="I2352" s="225">
        <v>151928.99000000002</v>
      </c>
      <c r="J2352" s="225">
        <v>151928.99000000002</v>
      </c>
      <c r="K2352" s="225">
        <v>-3.7252902984619141E-9</v>
      </c>
      <c r="L23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52" s="225">
        <f>ROUND(IF(AND(Base_Periodo1[[#This Row],[Tipo_Linha]]="-",Base_Periodo1[[#This Row],[TIPOSALDO]]="D"),Base_Periodo1[[#This Row],[SALDO_ATUAL]]*-1,Base_Periodo1[[#This Row],[SALDO_ATUAL]]),4)</f>
        <v>0</v>
      </c>
      <c r="N2352" t="s">
        <v>116</v>
      </c>
      <c r="O2352" t="s">
        <v>436</v>
      </c>
      <c r="P2352" t="s">
        <v>436</v>
      </c>
      <c r="Q2352">
        <v>7</v>
      </c>
      <c r="R2352" s="225">
        <f>Base_Periodo1[[#This Row],[CREDITOS]]-Base_Periodo1[[#This Row],[DEBITOS]]</f>
        <v>0</v>
      </c>
      <c r="S2352" s="3" t="str">
        <f>IF(ISERROR(VLOOKUP(Base_Periodo1[[#This Row],[CONTA]],BaseContasDRE[#All],4,FALSE)),"Fora do DRE",VLOOKUP(Base_Periodo1[[#This Row],[CONTA]],BaseContasDRE[#All],4,FALSE))</f>
        <v>Fora do DRE</v>
      </c>
      <c r="T2352" s="3" t="str">
        <f>IF(ISERROR(VLOOKUP(Base_Periodo1[[#This Row],[CONTA]],BaseContasDRE[#All],5,FALSE)),"Fora do DRE",VLOOKUP(Base_Periodo1[[#This Row],[CONTA]],BaseContasDRE[#All],6,FALSE))</f>
        <v>Fora do DRE</v>
      </c>
      <c r="U2352" s="3" t="str">
        <f>IF(ISERROR(VLOOKUP(Base_Periodo1[[#This Row],[CONTA]],BaseContasDRE[#All],7,FALSE)),"Fora do DRE",VLOOKUP(Base_Periodo1[[#This Row],[CONTA]],BaseContasDRE[#All],7,FALSE))</f>
        <v>Fora do DRE</v>
      </c>
      <c r="V2352" s="3" t="str">
        <f>IF(Base_Periodo1[[#This Row],[Tipo_Linha]]="Fora do DRE","Fora do DRE","( "&amp;Base_Periodo1[[#This Row],[Tipo_Linha]]&amp;" ) "&amp;Base_Periodo1[[#This Row],[Filtro]])</f>
        <v>Fora do DRE</v>
      </c>
      <c r="W2352" s="3" t="str">
        <f>LEFT(Base_Periodo1[[#This Row],[CLASS]],3)</f>
        <v>2.1</v>
      </c>
    </row>
    <row r="2353" spans="1:23" hidden="1">
      <c r="A2353" s="3" t="str">
        <f t="shared" si="36"/>
        <v>Período 1</v>
      </c>
      <c r="B2353">
        <v>9325</v>
      </c>
      <c r="C2353" t="s">
        <v>1730</v>
      </c>
      <c r="D2353" t="s">
        <v>648</v>
      </c>
      <c r="E2353" s="3" t="str">
        <f>IF(LEN(Base_Periodo1[[#This Row],[CLASS]])&gt;=7,LEFT(Base_Periodo1[[#This Row],[CLASS]],7),"")</f>
        <v>2.1.2.1</v>
      </c>
      <c r="F2353" s="3" t="str">
        <f>VLOOKUP(Base_Periodo1[[#This Row],[Aux]],Base_Contas_Balanco[#All],2,FALSE)</f>
        <v>Fornecedores Cooperados</v>
      </c>
      <c r="G2353" s="1">
        <v>42884</v>
      </c>
      <c r="I2353" s="225">
        <v>1314.24</v>
      </c>
      <c r="J2353" s="225">
        <v>1314.24</v>
      </c>
      <c r="K2353" s="225">
        <v>1.1641532182693481E-10</v>
      </c>
      <c r="L23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53" s="225">
        <f>ROUND(IF(AND(Base_Periodo1[[#This Row],[Tipo_Linha]]="-",Base_Periodo1[[#This Row],[TIPOSALDO]]="D"),Base_Periodo1[[#This Row],[SALDO_ATUAL]]*-1,Base_Periodo1[[#This Row],[SALDO_ATUAL]]),4)</f>
        <v>0</v>
      </c>
      <c r="N2353" t="s">
        <v>116</v>
      </c>
      <c r="O2353" t="s">
        <v>436</v>
      </c>
      <c r="P2353" t="s">
        <v>436</v>
      </c>
      <c r="Q2353">
        <v>7</v>
      </c>
      <c r="R2353" s="225">
        <f>Base_Periodo1[[#This Row],[CREDITOS]]-Base_Periodo1[[#This Row],[DEBITOS]]</f>
        <v>0</v>
      </c>
      <c r="S2353" s="3" t="str">
        <f>IF(ISERROR(VLOOKUP(Base_Periodo1[[#This Row],[CONTA]],BaseContasDRE[#All],4,FALSE)),"Fora do DRE",VLOOKUP(Base_Periodo1[[#This Row],[CONTA]],BaseContasDRE[#All],4,FALSE))</f>
        <v>Fora do DRE</v>
      </c>
      <c r="T2353" s="3" t="str">
        <f>IF(ISERROR(VLOOKUP(Base_Periodo1[[#This Row],[CONTA]],BaseContasDRE[#All],5,FALSE)),"Fora do DRE",VLOOKUP(Base_Periodo1[[#This Row],[CONTA]],BaseContasDRE[#All],6,FALSE))</f>
        <v>Fora do DRE</v>
      </c>
      <c r="U2353" s="3" t="str">
        <f>IF(ISERROR(VLOOKUP(Base_Periodo1[[#This Row],[CONTA]],BaseContasDRE[#All],7,FALSE)),"Fora do DRE",VLOOKUP(Base_Periodo1[[#This Row],[CONTA]],BaseContasDRE[#All],7,FALSE))</f>
        <v>Fora do DRE</v>
      </c>
      <c r="V2353" s="3" t="str">
        <f>IF(Base_Periodo1[[#This Row],[Tipo_Linha]]="Fora do DRE","Fora do DRE","( "&amp;Base_Periodo1[[#This Row],[Tipo_Linha]]&amp;" ) "&amp;Base_Periodo1[[#This Row],[Filtro]])</f>
        <v>Fora do DRE</v>
      </c>
      <c r="W2353" s="3" t="str">
        <f>LEFT(Base_Periodo1[[#This Row],[CLASS]],3)</f>
        <v>2.1</v>
      </c>
    </row>
    <row r="2354" spans="1:23" hidden="1">
      <c r="A2354" s="3" t="str">
        <f t="shared" si="36"/>
        <v>Período 1</v>
      </c>
      <c r="B2354">
        <v>11004</v>
      </c>
      <c r="C2354" t="s">
        <v>1730</v>
      </c>
      <c r="D2354" t="s">
        <v>649</v>
      </c>
      <c r="E2354" s="3" t="str">
        <f>IF(LEN(Base_Periodo1[[#This Row],[CLASS]])&gt;=7,LEFT(Base_Periodo1[[#This Row],[CLASS]],7),"")</f>
        <v>2.1.2.1</v>
      </c>
      <c r="F2354" s="3" t="str">
        <f>VLOOKUP(Base_Periodo1[[#This Row],[Aux]],Base_Contas_Balanco[#All],2,FALSE)</f>
        <v>Fornecedores Cooperados</v>
      </c>
      <c r="G2354" s="1">
        <v>42886</v>
      </c>
      <c r="I2354" s="225">
        <v>4219.47</v>
      </c>
      <c r="J2354" s="225">
        <v>4219.47</v>
      </c>
      <c r="K2354" s="225">
        <v>2.3283064365386963E-10</v>
      </c>
      <c r="L23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54" s="225">
        <f>ROUND(IF(AND(Base_Periodo1[[#This Row],[Tipo_Linha]]="-",Base_Periodo1[[#This Row],[TIPOSALDO]]="D"),Base_Periodo1[[#This Row],[SALDO_ATUAL]]*-1,Base_Periodo1[[#This Row],[SALDO_ATUAL]]),4)</f>
        <v>0</v>
      </c>
      <c r="N2354" t="s">
        <v>116</v>
      </c>
      <c r="O2354" t="s">
        <v>436</v>
      </c>
      <c r="P2354" t="s">
        <v>436</v>
      </c>
      <c r="Q2354">
        <v>7</v>
      </c>
      <c r="R2354" s="225">
        <f>Base_Periodo1[[#This Row],[CREDITOS]]-Base_Periodo1[[#This Row],[DEBITOS]]</f>
        <v>0</v>
      </c>
      <c r="S2354" s="3" t="str">
        <f>IF(ISERROR(VLOOKUP(Base_Periodo1[[#This Row],[CONTA]],BaseContasDRE[#All],4,FALSE)),"Fora do DRE",VLOOKUP(Base_Periodo1[[#This Row],[CONTA]],BaseContasDRE[#All],4,FALSE))</f>
        <v>Fora do DRE</v>
      </c>
      <c r="T2354" s="3" t="str">
        <f>IF(ISERROR(VLOOKUP(Base_Periodo1[[#This Row],[CONTA]],BaseContasDRE[#All],5,FALSE)),"Fora do DRE",VLOOKUP(Base_Periodo1[[#This Row],[CONTA]],BaseContasDRE[#All],6,FALSE))</f>
        <v>Fora do DRE</v>
      </c>
      <c r="U2354" s="3" t="str">
        <f>IF(ISERROR(VLOOKUP(Base_Periodo1[[#This Row],[CONTA]],BaseContasDRE[#All],7,FALSE)),"Fora do DRE",VLOOKUP(Base_Periodo1[[#This Row],[CONTA]],BaseContasDRE[#All],7,FALSE))</f>
        <v>Fora do DRE</v>
      </c>
      <c r="V2354" s="3" t="str">
        <f>IF(Base_Periodo1[[#This Row],[Tipo_Linha]]="Fora do DRE","Fora do DRE","( "&amp;Base_Periodo1[[#This Row],[Tipo_Linha]]&amp;" ) "&amp;Base_Periodo1[[#This Row],[Filtro]])</f>
        <v>Fora do DRE</v>
      </c>
      <c r="W2354" s="3" t="str">
        <f>LEFT(Base_Periodo1[[#This Row],[CLASS]],3)</f>
        <v>2.1</v>
      </c>
    </row>
    <row r="2355" spans="1:23" hidden="1">
      <c r="A2355" s="3" t="str">
        <f t="shared" si="36"/>
        <v>Período 1</v>
      </c>
      <c r="B2355">
        <v>11967</v>
      </c>
      <c r="C2355" t="s">
        <v>1730</v>
      </c>
      <c r="D2355" t="s">
        <v>650</v>
      </c>
      <c r="E2355" s="3" t="str">
        <f>IF(LEN(Base_Periodo1[[#This Row],[CLASS]])&gt;=7,LEFT(Base_Periodo1[[#This Row],[CLASS]],7),"")</f>
        <v>2.1.2.1</v>
      </c>
      <c r="F2355" s="3" t="str">
        <f>VLOOKUP(Base_Periodo1[[#This Row],[Aux]],Base_Contas_Balanco[#All],2,FALSE)</f>
        <v>Fornecedores Cooperados</v>
      </c>
      <c r="G2355" s="1">
        <v>42866</v>
      </c>
      <c r="H2355" s="225">
        <v>3246.7999999999884</v>
      </c>
      <c r="I2355" s="225">
        <v>3246.8</v>
      </c>
      <c r="J2355" s="225">
        <v>0</v>
      </c>
      <c r="K2355" s="225">
        <v>1.1823431123048067E-11</v>
      </c>
      <c r="L23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55" s="225">
        <f>ROUND(IF(AND(Base_Periodo1[[#This Row],[Tipo_Linha]]="-",Base_Periodo1[[#This Row],[TIPOSALDO]]="D"),Base_Periodo1[[#This Row],[SALDO_ATUAL]]*-1,Base_Periodo1[[#This Row],[SALDO_ATUAL]]),4)</f>
        <v>0</v>
      </c>
      <c r="N2355" t="s">
        <v>116</v>
      </c>
      <c r="O2355" t="s">
        <v>459</v>
      </c>
      <c r="P2355" t="s">
        <v>436</v>
      </c>
      <c r="Q2355">
        <v>7</v>
      </c>
      <c r="R2355" s="225">
        <f>Base_Periodo1[[#This Row],[CREDITOS]]-Base_Periodo1[[#This Row],[DEBITOS]]</f>
        <v>-3246.8</v>
      </c>
      <c r="S2355" s="3" t="str">
        <f>IF(ISERROR(VLOOKUP(Base_Periodo1[[#This Row],[CONTA]],BaseContasDRE[#All],4,FALSE)),"Fora do DRE",VLOOKUP(Base_Periodo1[[#This Row],[CONTA]],BaseContasDRE[#All],4,FALSE))</f>
        <v>Fora do DRE</v>
      </c>
      <c r="T2355" s="3" t="str">
        <f>IF(ISERROR(VLOOKUP(Base_Periodo1[[#This Row],[CONTA]],BaseContasDRE[#All],5,FALSE)),"Fora do DRE",VLOOKUP(Base_Periodo1[[#This Row],[CONTA]],BaseContasDRE[#All],6,FALSE))</f>
        <v>Fora do DRE</v>
      </c>
      <c r="U2355" s="3" t="str">
        <f>IF(ISERROR(VLOOKUP(Base_Periodo1[[#This Row],[CONTA]],BaseContasDRE[#All],7,FALSE)),"Fora do DRE",VLOOKUP(Base_Periodo1[[#This Row],[CONTA]],BaseContasDRE[#All],7,FALSE))</f>
        <v>Fora do DRE</v>
      </c>
      <c r="V2355" s="3" t="str">
        <f>IF(Base_Periodo1[[#This Row],[Tipo_Linha]]="Fora do DRE","Fora do DRE","( "&amp;Base_Periodo1[[#This Row],[Tipo_Linha]]&amp;" ) "&amp;Base_Periodo1[[#This Row],[Filtro]])</f>
        <v>Fora do DRE</v>
      </c>
      <c r="W2355" s="3" t="str">
        <f>LEFT(Base_Periodo1[[#This Row],[CLASS]],3)</f>
        <v>2.1</v>
      </c>
    </row>
    <row r="2356" spans="1:23" hidden="1">
      <c r="A2356" s="3" t="str">
        <f t="shared" si="36"/>
        <v>Período 1</v>
      </c>
      <c r="B2356">
        <v>3025</v>
      </c>
      <c r="C2356" t="s">
        <v>1730</v>
      </c>
      <c r="D2356" t="s">
        <v>651</v>
      </c>
      <c r="E2356" s="3" t="str">
        <f>IF(LEN(Base_Periodo1[[#This Row],[CLASS]])&gt;=7,LEFT(Base_Periodo1[[#This Row],[CLASS]],7),"")</f>
        <v>2.1.2.1</v>
      </c>
      <c r="F2356" s="3" t="str">
        <f>VLOOKUP(Base_Periodo1[[#This Row],[Aux]],Base_Contas_Balanco[#All],2,FALSE)</f>
        <v>Fornecedores Cooperados</v>
      </c>
      <c r="G2356" s="1">
        <v>42886</v>
      </c>
      <c r="I2356" s="225">
        <v>30775.32</v>
      </c>
      <c r="J2356" s="225">
        <v>30775.32</v>
      </c>
      <c r="K2356" s="225">
        <v>6.5192580223083496E-9</v>
      </c>
      <c r="L23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56" s="225">
        <f>ROUND(IF(AND(Base_Periodo1[[#This Row],[Tipo_Linha]]="-",Base_Periodo1[[#This Row],[TIPOSALDO]]="D"),Base_Periodo1[[#This Row],[SALDO_ATUAL]]*-1,Base_Periodo1[[#This Row],[SALDO_ATUAL]]),4)</f>
        <v>0</v>
      </c>
      <c r="N2356" t="s">
        <v>116</v>
      </c>
      <c r="O2356" t="s">
        <v>436</v>
      </c>
      <c r="P2356" t="s">
        <v>436</v>
      </c>
      <c r="Q2356">
        <v>7</v>
      </c>
      <c r="R2356" s="225">
        <f>Base_Periodo1[[#This Row],[CREDITOS]]-Base_Periodo1[[#This Row],[DEBITOS]]</f>
        <v>0</v>
      </c>
      <c r="S2356" s="3" t="str">
        <f>IF(ISERROR(VLOOKUP(Base_Periodo1[[#This Row],[CONTA]],BaseContasDRE[#All],4,FALSE)),"Fora do DRE",VLOOKUP(Base_Periodo1[[#This Row],[CONTA]],BaseContasDRE[#All],4,FALSE))</f>
        <v>Fora do DRE</v>
      </c>
      <c r="T2356" s="3" t="str">
        <f>IF(ISERROR(VLOOKUP(Base_Periodo1[[#This Row],[CONTA]],BaseContasDRE[#All],5,FALSE)),"Fora do DRE",VLOOKUP(Base_Periodo1[[#This Row],[CONTA]],BaseContasDRE[#All],6,FALSE))</f>
        <v>Fora do DRE</v>
      </c>
      <c r="U2356" s="3" t="str">
        <f>IF(ISERROR(VLOOKUP(Base_Periodo1[[#This Row],[CONTA]],BaseContasDRE[#All],7,FALSE)),"Fora do DRE",VLOOKUP(Base_Periodo1[[#This Row],[CONTA]],BaseContasDRE[#All],7,FALSE))</f>
        <v>Fora do DRE</v>
      </c>
      <c r="V2356" s="3" t="str">
        <f>IF(Base_Periodo1[[#This Row],[Tipo_Linha]]="Fora do DRE","Fora do DRE","( "&amp;Base_Periodo1[[#This Row],[Tipo_Linha]]&amp;" ) "&amp;Base_Periodo1[[#This Row],[Filtro]])</f>
        <v>Fora do DRE</v>
      </c>
      <c r="W2356" s="3" t="str">
        <f>LEFT(Base_Periodo1[[#This Row],[CLASS]],3)</f>
        <v>2.1</v>
      </c>
    </row>
    <row r="2357" spans="1:23" hidden="1">
      <c r="A2357" s="3" t="str">
        <f t="shared" si="36"/>
        <v>Período 1</v>
      </c>
      <c r="B2357">
        <v>10655</v>
      </c>
      <c r="C2357" t="s">
        <v>1730</v>
      </c>
      <c r="D2357" t="s">
        <v>5944</v>
      </c>
      <c r="E2357" s="3" t="str">
        <f>IF(LEN(Base_Periodo1[[#This Row],[CLASS]])&gt;=7,LEFT(Base_Periodo1[[#This Row],[CLASS]],7),"")</f>
        <v>2.1.2.1</v>
      </c>
      <c r="F2357" s="3" t="str">
        <f>VLOOKUP(Base_Periodo1[[#This Row],[Aux]],Base_Contas_Balanco[#All],2,FALSE)</f>
        <v>Fornecedores Cooperados</v>
      </c>
      <c r="G2357" s="1">
        <v>42871</v>
      </c>
      <c r="H2357" s="225">
        <v>20691.860000000102</v>
      </c>
      <c r="I2357" s="225">
        <v>20691.86</v>
      </c>
      <c r="J2357" s="225">
        <v>0</v>
      </c>
      <c r="K2357" s="225">
        <v>-1.0186340659856796E-10</v>
      </c>
      <c r="L23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57" s="225">
        <f>ROUND(IF(AND(Base_Periodo1[[#This Row],[Tipo_Linha]]="-",Base_Periodo1[[#This Row],[TIPOSALDO]]="D"),Base_Periodo1[[#This Row],[SALDO_ATUAL]]*-1,Base_Periodo1[[#This Row],[SALDO_ATUAL]]),4)</f>
        <v>0</v>
      </c>
      <c r="N2357" t="s">
        <v>116</v>
      </c>
      <c r="O2357" t="s">
        <v>459</v>
      </c>
      <c r="P2357" t="s">
        <v>436</v>
      </c>
      <c r="Q2357">
        <v>7</v>
      </c>
      <c r="R2357" s="225">
        <f>Base_Periodo1[[#This Row],[CREDITOS]]-Base_Periodo1[[#This Row],[DEBITOS]]</f>
        <v>-20691.86</v>
      </c>
      <c r="S2357" s="3" t="str">
        <f>IF(ISERROR(VLOOKUP(Base_Periodo1[[#This Row],[CONTA]],BaseContasDRE[#All],4,FALSE)),"Fora do DRE",VLOOKUP(Base_Periodo1[[#This Row],[CONTA]],BaseContasDRE[#All],4,FALSE))</f>
        <v>Fora do DRE</v>
      </c>
      <c r="T2357" s="3" t="str">
        <f>IF(ISERROR(VLOOKUP(Base_Periodo1[[#This Row],[CONTA]],BaseContasDRE[#All],5,FALSE)),"Fora do DRE",VLOOKUP(Base_Periodo1[[#This Row],[CONTA]],BaseContasDRE[#All],6,FALSE))</f>
        <v>Fora do DRE</v>
      </c>
      <c r="U2357" s="3" t="str">
        <f>IF(ISERROR(VLOOKUP(Base_Periodo1[[#This Row],[CONTA]],BaseContasDRE[#All],7,FALSE)),"Fora do DRE",VLOOKUP(Base_Periodo1[[#This Row],[CONTA]],BaseContasDRE[#All],7,FALSE))</f>
        <v>Fora do DRE</v>
      </c>
      <c r="V2357" s="3" t="str">
        <f>IF(Base_Periodo1[[#This Row],[Tipo_Linha]]="Fora do DRE","Fora do DRE","( "&amp;Base_Periodo1[[#This Row],[Tipo_Linha]]&amp;" ) "&amp;Base_Periodo1[[#This Row],[Filtro]])</f>
        <v>Fora do DRE</v>
      </c>
      <c r="W2357" s="3" t="str">
        <f>LEFT(Base_Periodo1[[#This Row],[CLASS]],3)</f>
        <v>2.1</v>
      </c>
    </row>
    <row r="2358" spans="1:23" hidden="1">
      <c r="A2358" s="3" t="str">
        <f t="shared" si="36"/>
        <v>Período 1</v>
      </c>
      <c r="B2358">
        <v>3505</v>
      </c>
      <c r="C2358" t="s">
        <v>1730</v>
      </c>
      <c r="D2358" t="s">
        <v>652</v>
      </c>
      <c r="E2358" s="3" t="str">
        <f>IF(LEN(Base_Periodo1[[#This Row],[CLASS]])&gt;=7,LEFT(Base_Periodo1[[#This Row],[CLASS]],7),"")</f>
        <v>2.1.2.1</v>
      </c>
      <c r="F2358" s="3" t="str">
        <f>VLOOKUP(Base_Periodo1[[#This Row],[Aux]],Base_Contas_Balanco[#All],2,FALSE)</f>
        <v>Fornecedores Cooperados</v>
      </c>
      <c r="G2358" s="1">
        <v>42886</v>
      </c>
      <c r="H2358" s="225">
        <v>49162.940000000061</v>
      </c>
      <c r="I2358" s="225">
        <v>49162.94</v>
      </c>
      <c r="J2358" s="225">
        <v>0</v>
      </c>
      <c r="K2358" s="225">
        <v>-5.8207660913467407E-11</v>
      </c>
      <c r="L23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58" s="225">
        <f>ROUND(IF(AND(Base_Periodo1[[#This Row],[Tipo_Linha]]="-",Base_Periodo1[[#This Row],[TIPOSALDO]]="D"),Base_Periodo1[[#This Row],[SALDO_ATUAL]]*-1,Base_Periodo1[[#This Row],[SALDO_ATUAL]]),4)</f>
        <v>0</v>
      </c>
      <c r="N2358" t="s">
        <v>116</v>
      </c>
      <c r="O2358" t="s">
        <v>459</v>
      </c>
      <c r="P2358" t="s">
        <v>436</v>
      </c>
      <c r="Q2358">
        <v>7</v>
      </c>
      <c r="R2358" s="225">
        <f>Base_Periodo1[[#This Row],[CREDITOS]]-Base_Periodo1[[#This Row],[DEBITOS]]</f>
        <v>-49162.94</v>
      </c>
      <c r="S2358" s="3" t="str">
        <f>IF(ISERROR(VLOOKUP(Base_Periodo1[[#This Row],[CONTA]],BaseContasDRE[#All],4,FALSE)),"Fora do DRE",VLOOKUP(Base_Periodo1[[#This Row],[CONTA]],BaseContasDRE[#All],4,FALSE))</f>
        <v>Fora do DRE</v>
      </c>
      <c r="T2358" s="3" t="str">
        <f>IF(ISERROR(VLOOKUP(Base_Periodo1[[#This Row],[CONTA]],BaseContasDRE[#All],5,FALSE)),"Fora do DRE",VLOOKUP(Base_Periodo1[[#This Row],[CONTA]],BaseContasDRE[#All],6,FALSE))</f>
        <v>Fora do DRE</v>
      </c>
      <c r="U2358" s="3" t="str">
        <f>IF(ISERROR(VLOOKUP(Base_Periodo1[[#This Row],[CONTA]],BaseContasDRE[#All],7,FALSE)),"Fora do DRE",VLOOKUP(Base_Periodo1[[#This Row],[CONTA]],BaseContasDRE[#All],7,FALSE))</f>
        <v>Fora do DRE</v>
      </c>
      <c r="V2358" s="3" t="str">
        <f>IF(Base_Periodo1[[#This Row],[Tipo_Linha]]="Fora do DRE","Fora do DRE","( "&amp;Base_Periodo1[[#This Row],[Tipo_Linha]]&amp;" ) "&amp;Base_Periodo1[[#This Row],[Filtro]])</f>
        <v>Fora do DRE</v>
      </c>
      <c r="W2358" s="3" t="str">
        <f>LEFT(Base_Periodo1[[#This Row],[CLASS]],3)</f>
        <v>2.1</v>
      </c>
    </row>
    <row r="2359" spans="1:23" hidden="1">
      <c r="A2359" s="3" t="str">
        <f t="shared" si="36"/>
        <v>Período 1</v>
      </c>
      <c r="B2359">
        <v>55082</v>
      </c>
      <c r="C2359" t="s">
        <v>1730</v>
      </c>
      <c r="D2359" t="s">
        <v>5269</v>
      </c>
      <c r="E2359" s="3" t="str">
        <f>IF(LEN(Base_Periodo1[[#This Row],[CLASS]])&gt;=7,LEFT(Base_Periodo1[[#This Row],[CLASS]],7),"")</f>
        <v>2.1.2.1</v>
      </c>
      <c r="F2359" s="3" t="str">
        <f>VLOOKUP(Base_Periodo1[[#This Row],[Aux]],Base_Contas_Balanco[#All],2,FALSE)</f>
        <v>Fornecedores Cooperados</v>
      </c>
      <c r="G2359" s="1">
        <v>42859</v>
      </c>
      <c r="I2359" s="225">
        <v>15262.52</v>
      </c>
      <c r="J2359" s="225">
        <v>15262.52</v>
      </c>
      <c r="K2359" s="225">
        <v>-7.2759576141834259E-12</v>
      </c>
      <c r="L23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59" s="225">
        <f>ROUND(IF(AND(Base_Periodo1[[#This Row],[Tipo_Linha]]="-",Base_Periodo1[[#This Row],[TIPOSALDO]]="D"),Base_Periodo1[[#This Row],[SALDO_ATUAL]]*-1,Base_Periodo1[[#This Row],[SALDO_ATUAL]]),4)</f>
        <v>0</v>
      </c>
      <c r="N2359" t="s">
        <v>116</v>
      </c>
      <c r="O2359" t="s">
        <v>436</v>
      </c>
      <c r="P2359" t="s">
        <v>436</v>
      </c>
      <c r="Q2359">
        <v>7</v>
      </c>
      <c r="R2359" s="225">
        <f>Base_Periodo1[[#This Row],[CREDITOS]]-Base_Periodo1[[#This Row],[DEBITOS]]</f>
        <v>0</v>
      </c>
      <c r="S2359" s="3" t="str">
        <f>IF(ISERROR(VLOOKUP(Base_Periodo1[[#This Row],[CONTA]],BaseContasDRE[#All],4,FALSE)),"Fora do DRE",VLOOKUP(Base_Periodo1[[#This Row],[CONTA]],BaseContasDRE[#All],4,FALSE))</f>
        <v>Fora do DRE</v>
      </c>
      <c r="T2359" s="3" t="str">
        <f>IF(ISERROR(VLOOKUP(Base_Periodo1[[#This Row],[CONTA]],BaseContasDRE[#All],5,FALSE)),"Fora do DRE",VLOOKUP(Base_Periodo1[[#This Row],[CONTA]],BaseContasDRE[#All],6,FALSE))</f>
        <v>Fora do DRE</v>
      </c>
      <c r="U2359" s="3" t="str">
        <f>IF(ISERROR(VLOOKUP(Base_Periodo1[[#This Row],[CONTA]],BaseContasDRE[#All],7,FALSE)),"Fora do DRE",VLOOKUP(Base_Periodo1[[#This Row],[CONTA]],BaseContasDRE[#All],7,FALSE))</f>
        <v>Fora do DRE</v>
      </c>
      <c r="V2359" s="3" t="str">
        <f>IF(Base_Periodo1[[#This Row],[Tipo_Linha]]="Fora do DRE","Fora do DRE","( "&amp;Base_Periodo1[[#This Row],[Tipo_Linha]]&amp;" ) "&amp;Base_Periodo1[[#This Row],[Filtro]])</f>
        <v>Fora do DRE</v>
      </c>
      <c r="W2359" s="3" t="str">
        <f>LEFT(Base_Periodo1[[#This Row],[CLASS]],3)</f>
        <v>2.1</v>
      </c>
    </row>
    <row r="2360" spans="1:23" hidden="1">
      <c r="A2360" s="3" t="str">
        <f t="shared" si="36"/>
        <v>Período 1</v>
      </c>
      <c r="B2360">
        <v>21308</v>
      </c>
      <c r="C2360" t="s">
        <v>1730</v>
      </c>
      <c r="D2360" t="s">
        <v>5270</v>
      </c>
      <c r="E2360" s="3" t="str">
        <f>IF(LEN(Base_Periodo1[[#This Row],[CLASS]])&gt;=7,LEFT(Base_Periodo1[[#This Row],[CLASS]],7),"")</f>
        <v>2.1.2.1</v>
      </c>
      <c r="F2360" s="3" t="str">
        <f>VLOOKUP(Base_Periodo1[[#This Row],[Aux]],Base_Contas_Balanco[#All],2,FALSE)</f>
        <v>Fornecedores Cooperados</v>
      </c>
      <c r="G2360" s="1">
        <v>42865</v>
      </c>
      <c r="I2360" s="225">
        <v>6426</v>
      </c>
      <c r="J2360" s="225">
        <v>6426</v>
      </c>
      <c r="K2360" s="225">
        <v>-2.3283064365386963E-10</v>
      </c>
      <c r="L23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60" s="225">
        <f>ROUND(IF(AND(Base_Periodo1[[#This Row],[Tipo_Linha]]="-",Base_Periodo1[[#This Row],[TIPOSALDO]]="D"),Base_Periodo1[[#This Row],[SALDO_ATUAL]]*-1,Base_Periodo1[[#This Row],[SALDO_ATUAL]]),4)</f>
        <v>0</v>
      </c>
      <c r="N2360" t="s">
        <v>116</v>
      </c>
      <c r="O2360" t="s">
        <v>436</v>
      </c>
      <c r="P2360" t="s">
        <v>436</v>
      </c>
      <c r="Q2360">
        <v>7</v>
      </c>
      <c r="R2360" s="225">
        <f>Base_Periodo1[[#This Row],[CREDITOS]]-Base_Periodo1[[#This Row],[DEBITOS]]</f>
        <v>0</v>
      </c>
      <c r="S2360" s="3" t="str">
        <f>IF(ISERROR(VLOOKUP(Base_Periodo1[[#This Row],[CONTA]],BaseContasDRE[#All],4,FALSE)),"Fora do DRE",VLOOKUP(Base_Periodo1[[#This Row],[CONTA]],BaseContasDRE[#All],4,FALSE))</f>
        <v>Fora do DRE</v>
      </c>
      <c r="T2360" s="3" t="str">
        <f>IF(ISERROR(VLOOKUP(Base_Periodo1[[#This Row],[CONTA]],BaseContasDRE[#All],5,FALSE)),"Fora do DRE",VLOOKUP(Base_Periodo1[[#This Row],[CONTA]],BaseContasDRE[#All],6,FALSE))</f>
        <v>Fora do DRE</v>
      </c>
      <c r="U2360" s="3" t="str">
        <f>IF(ISERROR(VLOOKUP(Base_Periodo1[[#This Row],[CONTA]],BaseContasDRE[#All],7,FALSE)),"Fora do DRE",VLOOKUP(Base_Periodo1[[#This Row],[CONTA]],BaseContasDRE[#All],7,FALSE))</f>
        <v>Fora do DRE</v>
      </c>
      <c r="V2360" s="3" t="str">
        <f>IF(Base_Periodo1[[#This Row],[Tipo_Linha]]="Fora do DRE","Fora do DRE","( "&amp;Base_Periodo1[[#This Row],[Tipo_Linha]]&amp;" ) "&amp;Base_Periodo1[[#This Row],[Filtro]])</f>
        <v>Fora do DRE</v>
      </c>
      <c r="W2360" s="3" t="str">
        <f>LEFT(Base_Periodo1[[#This Row],[CLASS]],3)</f>
        <v>2.1</v>
      </c>
    </row>
    <row r="2361" spans="1:23" hidden="1">
      <c r="A2361" s="3" t="str">
        <f t="shared" si="36"/>
        <v>Período 1</v>
      </c>
      <c r="B2361">
        <v>21092</v>
      </c>
      <c r="C2361" t="s">
        <v>1730</v>
      </c>
      <c r="D2361" t="s">
        <v>653</v>
      </c>
      <c r="E2361" s="3" t="str">
        <f>IF(LEN(Base_Periodo1[[#This Row],[CLASS]])&gt;=7,LEFT(Base_Periodo1[[#This Row],[CLASS]],7),"")</f>
        <v>2.1.2.1</v>
      </c>
      <c r="F2361" s="3" t="str">
        <f>VLOOKUP(Base_Periodo1[[#This Row],[Aux]],Base_Contas_Balanco[#All],2,FALSE)</f>
        <v>Fornecedores Cooperados</v>
      </c>
      <c r="G2361" s="1">
        <v>42880</v>
      </c>
      <c r="I2361" s="225">
        <v>6040</v>
      </c>
      <c r="J2361" s="225">
        <v>6040</v>
      </c>
      <c r="K2361" s="225">
        <v>0</v>
      </c>
      <c r="L23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61" s="225">
        <f>ROUND(IF(AND(Base_Periodo1[[#This Row],[Tipo_Linha]]="-",Base_Periodo1[[#This Row],[TIPOSALDO]]="D"),Base_Periodo1[[#This Row],[SALDO_ATUAL]]*-1,Base_Periodo1[[#This Row],[SALDO_ATUAL]]),4)</f>
        <v>0</v>
      </c>
      <c r="N2361" t="s">
        <v>116</v>
      </c>
      <c r="O2361" t="s">
        <v>436</v>
      </c>
      <c r="P2361" t="s">
        <v>436</v>
      </c>
      <c r="Q2361">
        <v>7</v>
      </c>
      <c r="R2361" s="225">
        <f>Base_Periodo1[[#This Row],[CREDITOS]]-Base_Periodo1[[#This Row],[DEBITOS]]</f>
        <v>0</v>
      </c>
      <c r="S2361" s="3" t="str">
        <f>IF(ISERROR(VLOOKUP(Base_Periodo1[[#This Row],[CONTA]],BaseContasDRE[#All],4,FALSE)),"Fora do DRE",VLOOKUP(Base_Periodo1[[#This Row],[CONTA]],BaseContasDRE[#All],4,FALSE))</f>
        <v>Fora do DRE</v>
      </c>
      <c r="T2361" s="3" t="str">
        <f>IF(ISERROR(VLOOKUP(Base_Periodo1[[#This Row],[CONTA]],BaseContasDRE[#All],5,FALSE)),"Fora do DRE",VLOOKUP(Base_Periodo1[[#This Row],[CONTA]],BaseContasDRE[#All],6,FALSE))</f>
        <v>Fora do DRE</v>
      </c>
      <c r="U2361" s="3" t="str">
        <f>IF(ISERROR(VLOOKUP(Base_Periodo1[[#This Row],[CONTA]],BaseContasDRE[#All],7,FALSE)),"Fora do DRE",VLOOKUP(Base_Periodo1[[#This Row],[CONTA]],BaseContasDRE[#All],7,FALSE))</f>
        <v>Fora do DRE</v>
      </c>
      <c r="V2361" s="3" t="str">
        <f>IF(Base_Periodo1[[#This Row],[Tipo_Linha]]="Fora do DRE","Fora do DRE","( "&amp;Base_Periodo1[[#This Row],[Tipo_Linha]]&amp;" ) "&amp;Base_Periodo1[[#This Row],[Filtro]])</f>
        <v>Fora do DRE</v>
      </c>
      <c r="W2361" s="3" t="str">
        <f>LEFT(Base_Periodo1[[#This Row],[CLASS]],3)</f>
        <v>2.1</v>
      </c>
    </row>
    <row r="2362" spans="1:23" hidden="1">
      <c r="A2362" s="3" t="str">
        <f t="shared" si="36"/>
        <v>Período 1</v>
      </c>
      <c r="B2362">
        <v>53980</v>
      </c>
      <c r="C2362" t="s">
        <v>1730</v>
      </c>
      <c r="D2362" t="s">
        <v>5271</v>
      </c>
      <c r="E2362" s="3" t="str">
        <f>IF(LEN(Base_Periodo1[[#This Row],[CLASS]])&gt;=7,LEFT(Base_Periodo1[[#This Row],[CLASS]],7),"")</f>
        <v>2.1.2.1</v>
      </c>
      <c r="F2362" s="3" t="str">
        <f>VLOOKUP(Base_Periodo1[[#This Row],[Aux]],Base_Contas_Balanco[#All],2,FALSE)</f>
        <v>Fornecedores Cooperados</v>
      </c>
      <c r="G2362" s="1">
        <v>42873</v>
      </c>
      <c r="H2362" s="225">
        <v>3.2199999999720603</v>
      </c>
      <c r="I2362" s="225">
        <v>126149.31999999999</v>
      </c>
      <c r="J2362" s="225">
        <v>126146.1</v>
      </c>
      <c r="K2362" s="225">
        <v>1.4551915228366852E-11</v>
      </c>
      <c r="L23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62" s="225">
        <f>ROUND(IF(AND(Base_Periodo1[[#This Row],[Tipo_Linha]]="-",Base_Periodo1[[#This Row],[TIPOSALDO]]="D"),Base_Periodo1[[#This Row],[SALDO_ATUAL]]*-1,Base_Periodo1[[#This Row],[SALDO_ATUAL]]),4)</f>
        <v>0</v>
      </c>
      <c r="N2362" t="s">
        <v>116</v>
      </c>
      <c r="O2362" t="s">
        <v>459</v>
      </c>
      <c r="P2362" t="s">
        <v>436</v>
      </c>
      <c r="Q2362">
        <v>7</v>
      </c>
      <c r="R2362" s="225">
        <f>Base_Periodo1[[#This Row],[CREDITOS]]-Base_Periodo1[[#This Row],[DEBITOS]]</f>
        <v>-3.2199999999866122</v>
      </c>
      <c r="S2362" s="3" t="str">
        <f>IF(ISERROR(VLOOKUP(Base_Periodo1[[#This Row],[CONTA]],BaseContasDRE[#All],4,FALSE)),"Fora do DRE",VLOOKUP(Base_Periodo1[[#This Row],[CONTA]],BaseContasDRE[#All],4,FALSE))</f>
        <v>Fora do DRE</v>
      </c>
      <c r="T2362" s="3" t="str">
        <f>IF(ISERROR(VLOOKUP(Base_Periodo1[[#This Row],[CONTA]],BaseContasDRE[#All],5,FALSE)),"Fora do DRE",VLOOKUP(Base_Periodo1[[#This Row],[CONTA]],BaseContasDRE[#All],6,FALSE))</f>
        <v>Fora do DRE</v>
      </c>
      <c r="U2362" s="3" t="str">
        <f>IF(ISERROR(VLOOKUP(Base_Periodo1[[#This Row],[CONTA]],BaseContasDRE[#All],7,FALSE)),"Fora do DRE",VLOOKUP(Base_Periodo1[[#This Row],[CONTA]],BaseContasDRE[#All],7,FALSE))</f>
        <v>Fora do DRE</v>
      </c>
      <c r="V2362" s="3" t="str">
        <f>IF(Base_Periodo1[[#This Row],[Tipo_Linha]]="Fora do DRE","Fora do DRE","( "&amp;Base_Periodo1[[#This Row],[Tipo_Linha]]&amp;" ) "&amp;Base_Periodo1[[#This Row],[Filtro]])</f>
        <v>Fora do DRE</v>
      </c>
      <c r="W2362" s="3" t="str">
        <f>LEFT(Base_Periodo1[[#This Row],[CLASS]],3)</f>
        <v>2.1</v>
      </c>
    </row>
    <row r="2363" spans="1:23" hidden="1">
      <c r="A2363" s="3" t="str">
        <f t="shared" si="36"/>
        <v>Período 1</v>
      </c>
      <c r="B2363">
        <v>3769</v>
      </c>
      <c r="C2363" t="s">
        <v>1730</v>
      </c>
      <c r="D2363" t="s">
        <v>4933</v>
      </c>
      <c r="E2363" s="3" t="str">
        <f>IF(LEN(Base_Periodo1[[#This Row],[CLASS]])&gt;=7,LEFT(Base_Periodo1[[#This Row],[CLASS]],7),"")</f>
        <v>2.1.2.1</v>
      </c>
      <c r="F2363" s="3" t="str">
        <f>VLOOKUP(Base_Periodo1[[#This Row],[Aux]],Base_Contas_Balanco[#All],2,FALSE)</f>
        <v>Fornecedores Cooperados</v>
      </c>
      <c r="G2363" s="1">
        <v>42885</v>
      </c>
      <c r="I2363" s="225">
        <v>2668</v>
      </c>
      <c r="J2363" s="225">
        <v>2668</v>
      </c>
      <c r="K2363" s="225">
        <v>0</v>
      </c>
      <c r="L23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63" s="225">
        <f>ROUND(IF(AND(Base_Periodo1[[#This Row],[Tipo_Linha]]="-",Base_Periodo1[[#This Row],[TIPOSALDO]]="D"),Base_Periodo1[[#This Row],[SALDO_ATUAL]]*-1,Base_Periodo1[[#This Row],[SALDO_ATUAL]]),4)</f>
        <v>0</v>
      </c>
      <c r="N2363" t="s">
        <v>116</v>
      </c>
      <c r="O2363" t="s">
        <v>436</v>
      </c>
      <c r="P2363" t="s">
        <v>436</v>
      </c>
      <c r="Q2363">
        <v>7</v>
      </c>
      <c r="R2363" s="225">
        <f>Base_Periodo1[[#This Row],[CREDITOS]]-Base_Periodo1[[#This Row],[DEBITOS]]</f>
        <v>0</v>
      </c>
      <c r="S2363" s="3" t="str">
        <f>IF(ISERROR(VLOOKUP(Base_Periodo1[[#This Row],[CONTA]],BaseContasDRE[#All],4,FALSE)),"Fora do DRE",VLOOKUP(Base_Periodo1[[#This Row],[CONTA]],BaseContasDRE[#All],4,FALSE))</f>
        <v>Fora do DRE</v>
      </c>
      <c r="T2363" s="3" t="str">
        <f>IF(ISERROR(VLOOKUP(Base_Periodo1[[#This Row],[CONTA]],BaseContasDRE[#All],5,FALSE)),"Fora do DRE",VLOOKUP(Base_Periodo1[[#This Row],[CONTA]],BaseContasDRE[#All],6,FALSE))</f>
        <v>Fora do DRE</v>
      </c>
      <c r="U2363" s="3" t="str">
        <f>IF(ISERROR(VLOOKUP(Base_Periodo1[[#This Row],[CONTA]],BaseContasDRE[#All],7,FALSE)),"Fora do DRE",VLOOKUP(Base_Periodo1[[#This Row],[CONTA]],BaseContasDRE[#All],7,FALSE))</f>
        <v>Fora do DRE</v>
      </c>
      <c r="V2363" s="3" t="str">
        <f>IF(Base_Periodo1[[#This Row],[Tipo_Linha]]="Fora do DRE","Fora do DRE","( "&amp;Base_Periodo1[[#This Row],[Tipo_Linha]]&amp;" ) "&amp;Base_Periodo1[[#This Row],[Filtro]])</f>
        <v>Fora do DRE</v>
      </c>
      <c r="W2363" s="3" t="str">
        <f>LEFT(Base_Periodo1[[#This Row],[CLASS]],3)</f>
        <v>2.1</v>
      </c>
    </row>
    <row r="2364" spans="1:23" hidden="1">
      <c r="A2364" s="3" t="str">
        <f t="shared" si="36"/>
        <v>Período 1</v>
      </c>
      <c r="B2364">
        <v>25030</v>
      </c>
      <c r="C2364" t="s">
        <v>1730</v>
      </c>
      <c r="D2364" t="s">
        <v>5140</v>
      </c>
      <c r="E2364" s="3" t="str">
        <f>IF(LEN(Base_Periodo1[[#This Row],[CLASS]])&gt;=7,LEFT(Base_Periodo1[[#This Row],[CLASS]],7),"")</f>
        <v>2.1.2.1</v>
      </c>
      <c r="F2364" s="3" t="str">
        <f>VLOOKUP(Base_Periodo1[[#This Row],[Aux]],Base_Contas_Balanco[#All],2,FALSE)</f>
        <v>Fornecedores Cooperados</v>
      </c>
      <c r="G2364" s="1">
        <v>42865</v>
      </c>
      <c r="I2364" s="225">
        <v>30000</v>
      </c>
      <c r="J2364" s="225">
        <v>30000</v>
      </c>
      <c r="K2364" s="225">
        <v>0</v>
      </c>
      <c r="L23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64" s="225">
        <f>ROUND(IF(AND(Base_Periodo1[[#This Row],[Tipo_Linha]]="-",Base_Periodo1[[#This Row],[TIPOSALDO]]="D"),Base_Periodo1[[#This Row],[SALDO_ATUAL]]*-1,Base_Periodo1[[#This Row],[SALDO_ATUAL]]),4)</f>
        <v>0</v>
      </c>
      <c r="N2364" t="s">
        <v>116</v>
      </c>
      <c r="O2364" t="s">
        <v>436</v>
      </c>
      <c r="P2364" t="s">
        <v>436</v>
      </c>
      <c r="Q2364">
        <v>7</v>
      </c>
      <c r="R2364" s="225">
        <f>Base_Periodo1[[#This Row],[CREDITOS]]-Base_Periodo1[[#This Row],[DEBITOS]]</f>
        <v>0</v>
      </c>
      <c r="S2364" s="3" t="str">
        <f>IF(ISERROR(VLOOKUP(Base_Periodo1[[#This Row],[CONTA]],BaseContasDRE[#All],4,FALSE)),"Fora do DRE",VLOOKUP(Base_Periodo1[[#This Row],[CONTA]],BaseContasDRE[#All],4,FALSE))</f>
        <v>Fora do DRE</v>
      </c>
      <c r="T2364" s="3" t="str">
        <f>IF(ISERROR(VLOOKUP(Base_Periodo1[[#This Row],[CONTA]],BaseContasDRE[#All],5,FALSE)),"Fora do DRE",VLOOKUP(Base_Periodo1[[#This Row],[CONTA]],BaseContasDRE[#All],6,FALSE))</f>
        <v>Fora do DRE</v>
      </c>
      <c r="U2364" s="3" t="str">
        <f>IF(ISERROR(VLOOKUP(Base_Periodo1[[#This Row],[CONTA]],BaseContasDRE[#All],7,FALSE)),"Fora do DRE",VLOOKUP(Base_Periodo1[[#This Row],[CONTA]],BaseContasDRE[#All],7,FALSE))</f>
        <v>Fora do DRE</v>
      </c>
      <c r="V2364" s="3" t="str">
        <f>IF(Base_Periodo1[[#This Row],[Tipo_Linha]]="Fora do DRE","Fora do DRE","( "&amp;Base_Periodo1[[#This Row],[Tipo_Linha]]&amp;" ) "&amp;Base_Periodo1[[#This Row],[Filtro]])</f>
        <v>Fora do DRE</v>
      </c>
      <c r="W2364" s="3" t="str">
        <f>LEFT(Base_Periodo1[[#This Row],[CLASS]],3)</f>
        <v>2.1</v>
      </c>
    </row>
    <row r="2365" spans="1:23" hidden="1">
      <c r="A2365" s="3" t="str">
        <f t="shared" si="36"/>
        <v>Período 1</v>
      </c>
      <c r="B2365">
        <v>3569</v>
      </c>
      <c r="C2365" t="s">
        <v>1730</v>
      </c>
      <c r="D2365" t="s">
        <v>4905</v>
      </c>
      <c r="E2365" s="3" t="str">
        <f>IF(LEN(Base_Periodo1[[#This Row],[CLASS]])&gt;=7,LEFT(Base_Periodo1[[#This Row],[CLASS]],7),"")</f>
        <v>2.1.2.1</v>
      </c>
      <c r="F2365" s="3" t="str">
        <f>VLOOKUP(Base_Periodo1[[#This Row],[Aux]],Base_Contas_Balanco[#All],2,FALSE)</f>
        <v>Fornecedores Cooperados</v>
      </c>
      <c r="G2365" s="1">
        <v>42881</v>
      </c>
      <c r="I2365" s="225">
        <v>12200</v>
      </c>
      <c r="J2365" s="225">
        <v>12200</v>
      </c>
      <c r="K2365" s="225">
        <v>1.1641532182693481E-10</v>
      </c>
      <c r="L23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65" s="225">
        <f>ROUND(IF(AND(Base_Periodo1[[#This Row],[Tipo_Linha]]="-",Base_Periodo1[[#This Row],[TIPOSALDO]]="D"),Base_Periodo1[[#This Row],[SALDO_ATUAL]]*-1,Base_Periodo1[[#This Row],[SALDO_ATUAL]]),4)</f>
        <v>0</v>
      </c>
      <c r="N2365" t="s">
        <v>116</v>
      </c>
      <c r="O2365" t="s">
        <v>436</v>
      </c>
      <c r="P2365" t="s">
        <v>436</v>
      </c>
      <c r="Q2365">
        <v>7</v>
      </c>
      <c r="R2365" s="225">
        <f>Base_Periodo1[[#This Row],[CREDITOS]]-Base_Periodo1[[#This Row],[DEBITOS]]</f>
        <v>0</v>
      </c>
      <c r="S2365" s="3" t="str">
        <f>IF(ISERROR(VLOOKUP(Base_Periodo1[[#This Row],[CONTA]],BaseContasDRE[#All],4,FALSE)),"Fora do DRE",VLOOKUP(Base_Periodo1[[#This Row],[CONTA]],BaseContasDRE[#All],4,FALSE))</f>
        <v>Fora do DRE</v>
      </c>
      <c r="T2365" s="3" t="str">
        <f>IF(ISERROR(VLOOKUP(Base_Periodo1[[#This Row],[CONTA]],BaseContasDRE[#All],5,FALSE)),"Fora do DRE",VLOOKUP(Base_Periodo1[[#This Row],[CONTA]],BaseContasDRE[#All],6,FALSE))</f>
        <v>Fora do DRE</v>
      </c>
      <c r="U2365" s="3" t="str">
        <f>IF(ISERROR(VLOOKUP(Base_Periodo1[[#This Row],[CONTA]],BaseContasDRE[#All],7,FALSE)),"Fora do DRE",VLOOKUP(Base_Periodo1[[#This Row],[CONTA]],BaseContasDRE[#All],7,FALSE))</f>
        <v>Fora do DRE</v>
      </c>
      <c r="V2365" s="3" t="str">
        <f>IF(Base_Periodo1[[#This Row],[Tipo_Linha]]="Fora do DRE","Fora do DRE","( "&amp;Base_Periodo1[[#This Row],[Tipo_Linha]]&amp;" ) "&amp;Base_Periodo1[[#This Row],[Filtro]])</f>
        <v>Fora do DRE</v>
      </c>
      <c r="W2365" s="3" t="str">
        <f>LEFT(Base_Periodo1[[#This Row],[CLASS]],3)</f>
        <v>2.1</v>
      </c>
    </row>
    <row r="2366" spans="1:23" hidden="1">
      <c r="A2366" s="3" t="str">
        <f t="shared" si="36"/>
        <v>Período 1</v>
      </c>
      <c r="B2366">
        <v>2717</v>
      </c>
      <c r="C2366" t="s">
        <v>1730</v>
      </c>
      <c r="D2366" t="s">
        <v>657</v>
      </c>
      <c r="E2366" s="3" t="str">
        <f>IF(LEN(Base_Periodo1[[#This Row],[CLASS]])&gt;=7,LEFT(Base_Periodo1[[#This Row],[CLASS]],7),"")</f>
        <v>2.1.2.1</v>
      </c>
      <c r="F2366" s="3" t="str">
        <f>VLOOKUP(Base_Periodo1[[#This Row],[Aux]],Base_Contas_Balanco[#All],2,FALSE)</f>
        <v>Fornecedores Cooperados</v>
      </c>
      <c r="G2366" s="1">
        <v>42804</v>
      </c>
      <c r="H2366" s="225">
        <v>15.919999999809079</v>
      </c>
      <c r="I2366" s="225">
        <v>0</v>
      </c>
      <c r="J2366" s="225">
        <v>0</v>
      </c>
      <c r="K2366" s="225">
        <v>15.919999999809079</v>
      </c>
      <c r="L23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15.92</v>
      </c>
      <c r="M2366" s="225">
        <f>ROUND(IF(AND(Base_Periodo1[[#This Row],[Tipo_Linha]]="-",Base_Periodo1[[#This Row],[TIPOSALDO]]="D"),Base_Periodo1[[#This Row],[SALDO_ATUAL]]*-1,Base_Periodo1[[#This Row],[SALDO_ATUAL]]),4)</f>
        <v>15.92</v>
      </c>
      <c r="N2366" t="s">
        <v>116</v>
      </c>
      <c r="O2366" t="s">
        <v>459</v>
      </c>
      <c r="P2366" t="s">
        <v>459</v>
      </c>
      <c r="Q2366">
        <v>7</v>
      </c>
      <c r="R2366" s="225">
        <f>Base_Periodo1[[#This Row],[CREDITOS]]-Base_Periodo1[[#This Row],[DEBITOS]]</f>
        <v>0</v>
      </c>
      <c r="S2366" s="3" t="str">
        <f>IF(ISERROR(VLOOKUP(Base_Periodo1[[#This Row],[CONTA]],BaseContasDRE[#All],4,FALSE)),"Fora do DRE",VLOOKUP(Base_Periodo1[[#This Row],[CONTA]],BaseContasDRE[#All],4,FALSE))</f>
        <v>Fora do DRE</v>
      </c>
      <c r="T2366" s="3" t="str">
        <f>IF(ISERROR(VLOOKUP(Base_Periodo1[[#This Row],[CONTA]],BaseContasDRE[#All],5,FALSE)),"Fora do DRE",VLOOKUP(Base_Periodo1[[#This Row],[CONTA]],BaseContasDRE[#All],6,FALSE))</f>
        <v>Fora do DRE</v>
      </c>
      <c r="U2366" s="3" t="str">
        <f>IF(ISERROR(VLOOKUP(Base_Periodo1[[#This Row],[CONTA]],BaseContasDRE[#All],7,FALSE)),"Fora do DRE",VLOOKUP(Base_Periodo1[[#This Row],[CONTA]],BaseContasDRE[#All],7,FALSE))</f>
        <v>Fora do DRE</v>
      </c>
      <c r="V2366" s="3" t="str">
        <f>IF(Base_Periodo1[[#This Row],[Tipo_Linha]]="Fora do DRE","Fora do DRE","( "&amp;Base_Periodo1[[#This Row],[Tipo_Linha]]&amp;" ) "&amp;Base_Periodo1[[#This Row],[Filtro]])</f>
        <v>Fora do DRE</v>
      </c>
      <c r="W2366" s="3" t="str">
        <f>LEFT(Base_Periodo1[[#This Row],[CLASS]],3)</f>
        <v>2.1</v>
      </c>
    </row>
    <row r="2367" spans="1:23" hidden="1">
      <c r="A2367" s="3" t="str">
        <f t="shared" si="36"/>
        <v>Período 1</v>
      </c>
      <c r="B2367">
        <v>2153</v>
      </c>
      <c r="C2367" t="s">
        <v>1730</v>
      </c>
      <c r="D2367" t="s">
        <v>658</v>
      </c>
      <c r="E2367" s="3" t="str">
        <f>IF(LEN(Base_Periodo1[[#This Row],[CLASS]])&gt;=7,LEFT(Base_Periodo1[[#This Row],[CLASS]],7),"")</f>
        <v>2.1.2.1</v>
      </c>
      <c r="F2367" s="3" t="str">
        <f>VLOOKUP(Base_Periodo1[[#This Row],[Aux]],Base_Contas_Balanco[#All],2,FALSE)</f>
        <v>Fornecedores Cooperados</v>
      </c>
      <c r="G2367" s="1">
        <v>42885</v>
      </c>
      <c r="H2367" s="225">
        <v>35205.210000000894</v>
      </c>
      <c r="I2367" s="225">
        <v>710038.01</v>
      </c>
      <c r="J2367" s="225">
        <v>749705.75</v>
      </c>
      <c r="K2367" s="225">
        <v>74872.950000000885</v>
      </c>
      <c r="L23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74872.95</v>
      </c>
      <c r="M2367" s="225">
        <f>ROUND(IF(AND(Base_Periodo1[[#This Row],[Tipo_Linha]]="-",Base_Periodo1[[#This Row],[TIPOSALDO]]="D"),Base_Periodo1[[#This Row],[SALDO_ATUAL]]*-1,Base_Periodo1[[#This Row],[SALDO_ATUAL]]),4)</f>
        <v>74872.95</v>
      </c>
      <c r="N2367" t="s">
        <v>116</v>
      </c>
      <c r="O2367" t="s">
        <v>459</v>
      </c>
      <c r="P2367" t="s">
        <v>459</v>
      </c>
      <c r="Q2367">
        <v>7</v>
      </c>
      <c r="R2367" s="225">
        <f>Base_Periodo1[[#This Row],[CREDITOS]]-Base_Periodo1[[#This Row],[DEBITOS]]</f>
        <v>39667.739999999991</v>
      </c>
      <c r="S2367" s="3" t="str">
        <f>IF(ISERROR(VLOOKUP(Base_Periodo1[[#This Row],[CONTA]],BaseContasDRE[#All],4,FALSE)),"Fora do DRE",VLOOKUP(Base_Periodo1[[#This Row],[CONTA]],BaseContasDRE[#All],4,FALSE))</f>
        <v>Fora do DRE</v>
      </c>
      <c r="T2367" s="3" t="str">
        <f>IF(ISERROR(VLOOKUP(Base_Periodo1[[#This Row],[CONTA]],BaseContasDRE[#All],5,FALSE)),"Fora do DRE",VLOOKUP(Base_Periodo1[[#This Row],[CONTA]],BaseContasDRE[#All],6,FALSE))</f>
        <v>Fora do DRE</v>
      </c>
      <c r="U2367" s="3" t="str">
        <f>IF(ISERROR(VLOOKUP(Base_Periodo1[[#This Row],[CONTA]],BaseContasDRE[#All],7,FALSE)),"Fora do DRE",VLOOKUP(Base_Periodo1[[#This Row],[CONTA]],BaseContasDRE[#All],7,FALSE))</f>
        <v>Fora do DRE</v>
      </c>
      <c r="V2367" s="3" t="str">
        <f>IF(Base_Periodo1[[#This Row],[Tipo_Linha]]="Fora do DRE","Fora do DRE","( "&amp;Base_Periodo1[[#This Row],[Tipo_Linha]]&amp;" ) "&amp;Base_Periodo1[[#This Row],[Filtro]])</f>
        <v>Fora do DRE</v>
      </c>
      <c r="W2367" s="3" t="str">
        <f>LEFT(Base_Periodo1[[#This Row],[CLASS]],3)</f>
        <v>2.1</v>
      </c>
    </row>
    <row r="2368" spans="1:23" hidden="1">
      <c r="A2368" s="3" t="str">
        <f t="shared" si="36"/>
        <v>Período 1</v>
      </c>
      <c r="B2368">
        <v>40227</v>
      </c>
      <c r="C2368" t="s">
        <v>1730</v>
      </c>
      <c r="D2368" t="s">
        <v>659</v>
      </c>
      <c r="E2368" s="3" t="str">
        <f>IF(LEN(Base_Periodo1[[#This Row],[CLASS]])&gt;=7,LEFT(Base_Periodo1[[#This Row],[CLASS]],7),"")</f>
        <v>2.1.2.1</v>
      </c>
      <c r="F2368" s="3" t="str">
        <f>VLOOKUP(Base_Periodo1[[#This Row],[Aux]],Base_Contas_Balanco[#All],2,FALSE)</f>
        <v>Fornecedores Cooperados</v>
      </c>
      <c r="G2368" s="1">
        <v>42870</v>
      </c>
      <c r="I2368" s="225">
        <v>2367.5</v>
      </c>
      <c r="J2368" s="225">
        <v>2367.5</v>
      </c>
      <c r="K2368" s="225">
        <v>4.3655745685100555E-11</v>
      </c>
      <c r="L23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68" s="225">
        <f>ROUND(IF(AND(Base_Periodo1[[#This Row],[Tipo_Linha]]="-",Base_Periodo1[[#This Row],[TIPOSALDO]]="D"),Base_Periodo1[[#This Row],[SALDO_ATUAL]]*-1,Base_Periodo1[[#This Row],[SALDO_ATUAL]]),4)</f>
        <v>0</v>
      </c>
      <c r="N2368" t="s">
        <v>116</v>
      </c>
      <c r="O2368" t="s">
        <v>436</v>
      </c>
      <c r="P2368" t="s">
        <v>436</v>
      </c>
      <c r="Q2368">
        <v>7</v>
      </c>
      <c r="R2368" s="225">
        <f>Base_Periodo1[[#This Row],[CREDITOS]]-Base_Periodo1[[#This Row],[DEBITOS]]</f>
        <v>0</v>
      </c>
      <c r="S2368" s="3" t="str">
        <f>IF(ISERROR(VLOOKUP(Base_Periodo1[[#This Row],[CONTA]],BaseContasDRE[#All],4,FALSE)),"Fora do DRE",VLOOKUP(Base_Periodo1[[#This Row],[CONTA]],BaseContasDRE[#All],4,FALSE))</f>
        <v>Fora do DRE</v>
      </c>
      <c r="T2368" s="3" t="str">
        <f>IF(ISERROR(VLOOKUP(Base_Periodo1[[#This Row],[CONTA]],BaseContasDRE[#All],5,FALSE)),"Fora do DRE",VLOOKUP(Base_Periodo1[[#This Row],[CONTA]],BaseContasDRE[#All],6,FALSE))</f>
        <v>Fora do DRE</v>
      </c>
      <c r="U2368" s="3" t="str">
        <f>IF(ISERROR(VLOOKUP(Base_Periodo1[[#This Row],[CONTA]],BaseContasDRE[#All],7,FALSE)),"Fora do DRE",VLOOKUP(Base_Periodo1[[#This Row],[CONTA]],BaseContasDRE[#All],7,FALSE))</f>
        <v>Fora do DRE</v>
      </c>
      <c r="V2368" s="3" t="str">
        <f>IF(Base_Periodo1[[#This Row],[Tipo_Linha]]="Fora do DRE","Fora do DRE","( "&amp;Base_Periodo1[[#This Row],[Tipo_Linha]]&amp;" ) "&amp;Base_Periodo1[[#This Row],[Filtro]])</f>
        <v>Fora do DRE</v>
      </c>
      <c r="W2368" s="3" t="str">
        <f>LEFT(Base_Periodo1[[#This Row],[CLASS]],3)</f>
        <v>2.1</v>
      </c>
    </row>
    <row r="2369" spans="1:23" hidden="1">
      <c r="A2369" s="3" t="str">
        <f t="shared" si="36"/>
        <v>Período 1</v>
      </c>
      <c r="B2369">
        <v>3117</v>
      </c>
      <c r="C2369" t="s">
        <v>1730</v>
      </c>
      <c r="D2369" t="s">
        <v>660</v>
      </c>
      <c r="E2369" s="3" t="str">
        <f>IF(LEN(Base_Periodo1[[#This Row],[CLASS]])&gt;=7,LEFT(Base_Periodo1[[#This Row],[CLASS]],7),"")</f>
        <v>2.1.2.1</v>
      </c>
      <c r="F2369" s="3" t="str">
        <f>VLOOKUP(Base_Periodo1[[#This Row],[Aux]],Base_Contas_Balanco[#All],2,FALSE)</f>
        <v>Fornecedores Cooperados</v>
      </c>
      <c r="G2369" s="1">
        <v>42884</v>
      </c>
      <c r="H2369" s="225">
        <v>779.36000000406057</v>
      </c>
      <c r="I2369" s="225">
        <v>37753.31</v>
      </c>
      <c r="J2369" s="225">
        <v>36973.949999999997</v>
      </c>
      <c r="K2369" s="225">
        <v>-4.0599843487143517E-9</v>
      </c>
      <c r="L23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69" s="225">
        <f>ROUND(IF(AND(Base_Periodo1[[#This Row],[Tipo_Linha]]="-",Base_Periodo1[[#This Row],[TIPOSALDO]]="D"),Base_Periodo1[[#This Row],[SALDO_ATUAL]]*-1,Base_Periodo1[[#This Row],[SALDO_ATUAL]]),4)</f>
        <v>0</v>
      </c>
      <c r="N2369" t="s">
        <v>116</v>
      </c>
      <c r="O2369" t="s">
        <v>459</v>
      </c>
      <c r="P2369" t="s">
        <v>436</v>
      </c>
      <c r="Q2369">
        <v>7</v>
      </c>
      <c r="R2369" s="225">
        <f>Base_Periodo1[[#This Row],[CREDITOS]]-Base_Periodo1[[#This Row],[DEBITOS]]</f>
        <v>-779.36000000000058</v>
      </c>
      <c r="S2369" s="3" t="str">
        <f>IF(ISERROR(VLOOKUP(Base_Periodo1[[#This Row],[CONTA]],BaseContasDRE[#All],4,FALSE)),"Fora do DRE",VLOOKUP(Base_Periodo1[[#This Row],[CONTA]],BaseContasDRE[#All],4,FALSE))</f>
        <v>Fora do DRE</v>
      </c>
      <c r="T2369" s="3" t="str">
        <f>IF(ISERROR(VLOOKUP(Base_Periodo1[[#This Row],[CONTA]],BaseContasDRE[#All],5,FALSE)),"Fora do DRE",VLOOKUP(Base_Periodo1[[#This Row],[CONTA]],BaseContasDRE[#All],6,FALSE))</f>
        <v>Fora do DRE</v>
      </c>
      <c r="U2369" s="3" t="str">
        <f>IF(ISERROR(VLOOKUP(Base_Periodo1[[#This Row],[CONTA]],BaseContasDRE[#All],7,FALSE)),"Fora do DRE",VLOOKUP(Base_Periodo1[[#This Row],[CONTA]],BaseContasDRE[#All],7,FALSE))</f>
        <v>Fora do DRE</v>
      </c>
      <c r="V2369" s="3" t="str">
        <f>IF(Base_Periodo1[[#This Row],[Tipo_Linha]]="Fora do DRE","Fora do DRE","( "&amp;Base_Periodo1[[#This Row],[Tipo_Linha]]&amp;" ) "&amp;Base_Periodo1[[#This Row],[Filtro]])</f>
        <v>Fora do DRE</v>
      </c>
      <c r="W2369" s="3" t="str">
        <f>LEFT(Base_Periodo1[[#This Row],[CLASS]],3)</f>
        <v>2.1</v>
      </c>
    </row>
    <row r="2370" spans="1:23" hidden="1">
      <c r="A2370" s="3" t="str">
        <f t="shared" si="36"/>
        <v>Período 1</v>
      </c>
      <c r="B2370">
        <v>16587</v>
      </c>
      <c r="C2370" t="s">
        <v>1730</v>
      </c>
      <c r="D2370" t="s">
        <v>6847</v>
      </c>
      <c r="E2370" s="3" t="str">
        <f>IF(LEN(Base_Periodo1[[#This Row],[CLASS]])&gt;=7,LEFT(Base_Periodo1[[#This Row],[CLASS]],7),"")</f>
        <v>2.1.2.1</v>
      </c>
      <c r="F2370" s="3" t="str">
        <f>VLOOKUP(Base_Periodo1[[#This Row],[Aux]],Base_Contas_Balanco[#All],2,FALSE)</f>
        <v>Fornecedores Cooperados</v>
      </c>
      <c r="G2370" s="1">
        <v>42884</v>
      </c>
      <c r="I2370" s="225">
        <v>3015</v>
      </c>
      <c r="J2370" s="225">
        <v>3015</v>
      </c>
      <c r="K2370" s="225">
        <v>5.8207660913467407E-11</v>
      </c>
      <c r="L23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70" s="225">
        <f>ROUND(IF(AND(Base_Periodo1[[#This Row],[Tipo_Linha]]="-",Base_Periodo1[[#This Row],[TIPOSALDO]]="D"),Base_Periodo1[[#This Row],[SALDO_ATUAL]]*-1,Base_Periodo1[[#This Row],[SALDO_ATUAL]]),4)</f>
        <v>0</v>
      </c>
      <c r="N2370" t="s">
        <v>116</v>
      </c>
      <c r="O2370" t="s">
        <v>436</v>
      </c>
      <c r="P2370" t="s">
        <v>436</v>
      </c>
      <c r="Q2370">
        <v>7</v>
      </c>
      <c r="R2370" s="225">
        <f>Base_Periodo1[[#This Row],[CREDITOS]]-Base_Periodo1[[#This Row],[DEBITOS]]</f>
        <v>0</v>
      </c>
      <c r="S2370" s="3" t="str">
        <f>IF(ISERROR(VLOOKUP(Base_Periodo1[[#This Row],[CONTA]],BaseContasDRE[#All],4,FALSE)),"Fora do DRE",VLOOKUP(Base_Periodo1[[#This Row],[CONTA]],BaseContasDRE[#All],4,FALSE))</f>
        <v>Fora do DRE</v>
      </c>
      <c r="T2370" s="3" t="str">
        <f>IF(ISERROR(VLOOKUP(Base_Periodo1[[#This Row],[CONTA]],BaseContasDRE[#All],5,FALSE)),"Fora do DRE",VLOOKUP(Base_Periodo1[[#This Row],[CONTA]],BaseContasDRE[#All],6,FALSE))</f>
        <v>Fora do DRE</v>
      </c>
      <c r="U2370" s="3" t="str">
        <f>IF(ISERROR(VLOOKUP(Base_Periodo1[[#This Row],[CONTA]],BaseContasDRE[#All],7,FALSE)),"Fora do DRE",VLOOKUP(Base_Periodo1[[#This Row],[CONTA]],BaseContasDRE[#All],7,FALSE))</f>
        <v>Fora do DRE</v>
      </c>
      <c r="V2370" s="3" t="str">
        <f>IF(Base_Periodo1[[#This Row],[Tipo_Linha]]="Fora do DRE","Fora do DRE","( "&amp;Base_Periodo1[[#This Row],[Tipo_Linha]]&amp;" ) "&amp;Base_Periodo1[[#This Row],[Filtro]])</f>
        <v>Fora do DRE</v>
      </c>
      <c r="W2370" s="3" t="str">
        <f>LEFT(Base_Periodo1[[#This Row],[CLASS]],3)</f>
        <v>2.1</v>
      </c>
    </row>
    <row r="2371" spans="1:23" hidden="1">
      <c r="A2371" s="3" t="str">
        <f t="shared" si="36"/>
        <v>Período 1</v>
      </c>
      <c r="B2371">
        <v>39053</v>
      </c>
      <c r="C2371" t="s">
        <v>1730</v>
      </c>
      <c r="D2371" t="s">
        <v>663</v>
      </c>
      <c r="E2371" s="3" t="str">
        <f>IF(LEN(Base_Periodo1[[#This Row],[CLASS]])&gt;=7,LEFT(Base_Periodo1[[#This Row],[CLASS]],7),"")</f>
        <v>2.1.2.1</v>
      </c>
      <c r="F2371" s="3" t="str">
        <f>VLOOKUP(Base_Periodo1[[#This Row],[Aux]],Base_Contas_Balanco[#All],2,FALSE)</f>
        <v>Fornecedores Cooperados</v>
      </c>
      <c r="G2371" s="1">
        <v>42880</v>
      </c>
      <c r="I2371" s="225">
        <v>2818.67</v>
      </c>
      <c r="J2371" s="225">
        <v>2818.67</v>
      </c>
      <c r="K2371" s="225">
        <v>0</v>
      </c>
      <c r="L23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71" s="225">
        <f>ROUND(IF(AND(Base_Periodo1[[#This Row],[Tipo_Linha]]="-",Base_Periodo1[[#This Row],[TIPOSALDO]]="D"),Base_Periodo1[[#This Row],[SALDO_ATUAL]]*-1,Base_Periodo1[[#This Row],[SALDO_ATUAL]]),4)</f>
        <v>0</v>
      </c>
      <c r="N2371" t="s">
        <v>116</v>
      </c>
      <c r="O2371" t="s">
        <v>436</v>
      </c>
      <c r="P2371" t="s">
        <v>436</v>
      </c>
      <c r="Q2371">
        <v>7</v>
      </c>
      <c r="R2371" s="225">
        <f>Base_Periodo1[[#This Row],[CREDITOS]]-Base_Periodo1[[#This Row],[DEBITOS]]</f>
        <v>0</v>
      </c>
      <c r="S2371" s="3" t="str">
        <f>IF(ISERROR(VLOOKUP(Base_Periodo1[[#This Row],[CONTA]],BaseContasDRE[#All],4,FALSE)),"Fora do DRE",VLOOKUP(Base_Periodo1[[#This Row],[CONTA]],BaseContasDRE[#All],4,FALSE))</f>
        <v>Fora do DRE</v>
      </c>
      <c r="T2371" s="3" t="str">
        <f>IF(ISERROR(VLOOKUP(Base_Periodo1[[#This Row],[CONTA]],BaseContasDRE[#All],5,FALSE)),"Fora do DRE",VLOOKUP(Base_Periodo1[[#This Row],[CONTA]],BaseContasDRE[#All],6,FALSE))</f>
        <v>Fora do DRE</v>
      </c>
      <c r="U2371" s="3" t="str">
        <f>IF(ISERROR(VLOOKUP(Base_Periodo1[[#This Row],[CONTA]],BaseContasDRE[#All],7,FALSE)),"Fora do DRE",VLOOKUP(Base_Periodo1[[#This Row],[CONTA]],BaseContasDRE[#All],7,FALSE))</f>
        <v>Fora do DRE</v>
      </c>
      <c r="V2371" s="3" t="str">
        <f>IF(Base_Periodo1[[#This Row],[Tipo_Linha]]="Fora do DRE","Fora do DRE","( "&amp;Base_Periodo1[[#This Row],[Tipo_Linha]]&amp;" ) "&amp;Base_Periodo1[[#This Row],[Filtro]])</f>
        <v>Fora do DRE</v>
      </c>
      <c r="W2371" s="3" t="str">
        <f>LEFT(Base_Periodo1[[#This Row],[CLASS]],3)</f>
        <v>2.1</v>
      </c>
    </row>
    <row r="2372" spans="1:23" hidden="1">
      <c r="A2372" s="3" t="str">
        <f t="shared" si="36"/>
        <v>Período 1</v>
      </c>
      <c r="B2372">
        <v>23807</v>
      </c>
      <c r="C2372" t="s">
        <v>1730</v>
      </c>
      <c r="D2372" t="s">
        <v>664</v>
      </c>
      <c r="E2372" s="3" t="str">
        <f>IF(LEN(Base_Periodo1[[#This Row],[CLASS]])&gt;=7,LEFT(Base_Periodo1[[#This Row],[CLASS]],7),"")</f>
        <v>2.1.2.1</v>
      </c>
      <c r="F2372" s="3" t="str">
        <f>VLOOKUP(Base_Periodo1[[#This Row],[Aux]],Base_Contas_Balanco[#All],2,FALSE)</f>
        <v>Fornecedores Cooperados</v>
      </c>
      <c r="G2372" s="1">
        <v>42860</v>
      </c>
      <c r="I2372" s="225">
        <v>10020.27</v>
      </c>
      <c r="J2372" s="225">
        <v>10020.27</v>
      </c>
      <c r="K2372" s="225">
        <v>0</v>
      </c>
      <c r="L23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72" s="225">
        <f>ROUND(IF(AND(Base_Periodo1[[#This Row],[Tipo_Linha]]="-",Base_Periodo1[[#This Row],[TIPOSALDO]]="D"),Base_Periodo1[[#This Row],[SALDO_ATUAL]]*-1,Base_Periodo1[[#This Row],[SALDO_ATUAL]]),4)</f>
        <v>0</v>
      </c>
      <c r="N2372" t="s">
        <v>116</v>
      </c>
      <c r="O2372" t="s">
        <v>436</v>
      </c>
      <c r="P2372" t="s">
        <v>436</v>
      </c>
      <c r="Q2372">
        <v>7</v>
      </c>
      <c r="R2372" s="225">
        <f>Base_Periodo1[[#This Row],[CREDITOS]]-Base_Periodo1[[#This Row],[DEBITOS]]</f>
        <v>0</v>
      </c>
      <c r="S2372" s="3" t="str">
        <f>IF(ISERROR(VLOOKUP(Base_Periodo1[[#This Row],[CONTA]],BaseContasDRE[#All],4,FALSE)),"Fora do DRE",VLOOKUP(Base_Periodo1[[#This Row],[CONTA]],BaseContasDRE[#All],4,FALSE))</f>
        <v>Fora do DRE</v>
      </c>
      <c r="T2372" s="3" t="str">
        <f>IF(ISERROR(VLOOKUP(Base_Periodo1[[#This Row],[CONTA]],BaseContasDRE[#All],5,FALSE)),"Fora do DRE",VLOOKUP(Base_Periodo1[[#This Row],[CONTA]],BaseContasDRE[#All],6,FALSE))</f>
        <v>Fora do DRE</v>
      </c>
      <c r="U2372" s="3" t="str">
        <f>IF(ISERROR(VLOOKUP(Base_Periodo1[[#This Row],[CONTA]],BaseContasDRE[#All],7,FALSE)),"Fora do DRE",VLOOKUP(Base_Periodo1[[#This Row],[CONTA]],BaseContasDRE[#All],7,FALSE))</f>
        <v>Fora do DRE</v>
      </c>
      <c r="V2372" s="3" t="str">
        <f>IF(Base_Periodo1[[#This Row],[Tipo_Linha]]="Fora do DRE","Fora do DRE","( "&amp;Base_Periodo1[[#This Row],[Tipo_Linha]]&amp;" ) "&amp;Base_Periodo1[[#This Row],[Filtro]])</f>
        <v>Fora do DRE</v>
      </c>
      <c r="W2372" s="3" t="str">
        <f>LEFT(Base_Periodo1[[#This Row],[CLASS]],3)</f>
        <v>2.1</v>
      </c>
    </row>
    <row r="2373" spans="1:23" hidden="1">
      <c r="A2373" s="3" t="str">
        <f t="shared" si="36"/>
        <v>Período 1</v>
      </c>
      <c r="B2373">
        <v>55607</v>
      </c>
      <c r="C2373" t="s">
        <v>1730</v>
      </c>
      <c r="D2373" t="s">
        <v>5295</v>
      </c>
      <c r="E2373" s="3" t="str">
        <f>IF(LEN(Base_Periodo1[[#This Row],[CLASS]])&gt;=7,LEFT(Base_Periodo1[[#This Row],[CLASS]],7),"")</f>
        <v>2.1.2.1</v>
      </c>
      <c r="F2373" s="3" t="str">
        <f>VLOOKUP(Base_Periodo1[[#This Row],[Aux]],Base_Contas_Balanco[#All],2,FALSE)</f>
        <v>Fornecedores Cooperados</v>
      </c>
      <c r="G2373" s="1">
        <v>42886</v>
      </c>
      <c r="I2373" s="225">
        <v>44582.86</v>
      </c>
      <c r="J2373" s="225">
        <v>48647.86</v>
      </c>
      <c r="K2373" s="225">
        <v>4064.9999999999854</v>
      </c>
      <c r="L23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4065</v>
      </c>
      <c r="M2373" s="225">
        <f>ROUND(IF(AND(Base_Periodo1[[#This Row],[Tipo_Linha]]="-",Base_Periodo1[[#This Row],[TIPOSALDO]]="D"),Base_Periodo1[[#This Row],[SALDO_ATUAL]]*-1,Base_Periodo1[[#This Row],[SALDO_ATUAL]]),4)</f>
        <v>4065</v>
      </c>
      <c r="N2373" t="s">
        <v>116</v>
      </c>
      <c r="O2373" t="s">
        <v>436</v>
      </c>
      <c r="P2373" t="s">
        <v>459</v>
      </c>
      <c r="Q2373">
        <v>7</v>
      </c>
      <c r="R2373" s="225">
        <f>Base_Periodo1[[#This Row],[CREDITOS]]-Base_Periodo1[[#This Row],[DEBITOS]]</f>
        <v>4065</v>
      </c>
      <c r="S2373" s="3" t="str">
        <f>IF(ISERROR(VLOOKUP(Base_Periodo1[[#This Row],[CONTA]],BaseContasDRE[#All],4,FALSE)),"Fora do DRE",VLOOKUP(Base_Periodo1[[#This Row],[CONTA]],BaseContasDRE[#All],4,FALSE))</f>
        <v>Fora do DRE</v>
      </c>
      <c r="T2373" s="3" t="str">
        <f>IF(ISERROR(VLOOKUP(Base_Periodo1[[#This Row],[CONTA]],BaseContasDRE[#All],5,FALSE)),"Fora do DRE",VLOOKUP(Base_Periodo1[[#This Row],[CONTA]],BaseContasDRE[#All],6,FALSE))</f>
        <v>Fora do DRE</v>
      </c>
      <c r="U2373" s="3" t="str">
        <f>IF(ISERROR(VLOOKUP(Base_Periodo1[[#This Row],[CONTA]],BaseContasDRE[#All],7,FALSE)),"Fora do DRE",VLOOKUP(Base_Periodo1[[#This Row],[CONTA]],BaseContasDRE[#All],7,FALSE))</f>
        <v>Fora do DRE</v>
      </c>
      <c r="V2373" s="3" t="str">
        <f>IF(Base_Periodo1[[#This Row],[Tipo_Linha]]="Fora do DRE","Fora do DRE","( "&amp;Base_Periodo1[[#This Row],[Tipo_Linha]]&amp;" ) "&amp;Base_Periodo1[[#This Row],[Filtro]])</f>
        <v>Fora do DRE</v>
      </c>
      <c r="W2373" s="3" t="str">
        <f>LEFT(Base_Periodo1[[#This Row],[CLASS]],3)</f>
        <v>2.1</v>
      </c>
    </row>
    <row r="2374" spans="1:23" hidden="1">
      <c r="A2374" s="3" t="str">
        <f t="shared" ref="A2374:A2437" si="37">"Período 1"</f>
        <v>Período 1</v>
      </c>
      <c r="B2374">
        <v>5177</v>
      </c>
      <c r="C2374" t="s">
        <v>1730</v>
      </c>
      <c r="D2374" t="s">
        <v>4269</v>
      </c>
      <c r="E2374" s="3" t="str">
        <f>IF(LEN(Base_Periodo1[[#This Row],[CLASS]])&gt;=7,LEFT(Base_Periodo1[[#This Row],[CLASS]],7),"")</f>
        <v>2.1.2.1</v>
      </c>
      <c r="F2374" s="3" t="str">
        <f>VLOOKUP(Base_Periodo1[[#This Row],[Aux]],Base_Contas_Balanco[#All],2,FALSE)</f>
        <v>Fornecedores Cooperados</v>
      </c>
      <c r="G2374" s="1">
        <v>42340</v>
      </c>
      <c r="H2374" s="225">
        <v>338.53000000000611</v>
      </c>
      <c r="I2374" s="225">
        <v>0</v>
      </c>
      <c r="J2374" s="225">
        <v>0</v>
      </c>
      <c r="K2374" s="225">
        <v>338.53000000000611</v>
      </c>
      <c r="L23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338.53</v>
      </c>
      <c r="M2374" s="225">
        <f>ROUND(IF(AND(Base_Periodo1[[#This Row],[Tipo_Linha]]="-",Base_Periodo1[[#This Row],[TIPOSALDO]]="D"),Base_Periodo1[[#This Row],[SALDO_ATUAL]]*-1,Base_Periodo1[[#This Row],[SALDO_ATUAL]]),4)</f>
        <v>338.53</v>
      </c>
      <c r="N2374" t="s">
        <v>116</v>
      </c>
      <c r="O2374" t="s">
        <v>459</v>
      </c>
      <c r="P2374" t="s">
        <v>459</v>
      </c>
      <c r="Q2374">
        <v>7</v>
      </c>
      <c r="R2374" s="225">
        <f>Base_Periodo1[[#This Row],[CREDITOS]]-Base_Periodo1[[#This Row],[DEBITOS]]</f>
        <v>0</v>
      </c>
      <c r="S2374" s="3" t="str">
        <f>IF(ISERROR(VLOOKUP(Base_Periodo1[[#This Row],[CONTA]],BaseContasDRE[#All],4,FALSE)),"Fora do DRE",VLOOKUP(Base_Periodo1[[#This Row],[CONTA]],BaseContasDRE[#All],4,FALSE))</f>
        <v>Fora do DRE</v>
      </c>
      <c r="T2374" s="3" t="str">
        <f>IF(ISERROR(VLOOKUP(Base_Periodo1[[#This Row],[CONTA]],BaseContasDRE[#All],5,FALSE)),"Fora do DRE",VLOOKUP(Base_Periodo1[[#This Row],[CONTA]],BaseContasDRE[#All],6,FALSE))</f>
        <v>Fora do DRE</v>
      </c>
      <c r="U2374" s="3" t="str">
        <f>IF(ISERROR(VLOOKUP(Base_Periodo1[[#This Row],[CONTA]],BaseContasDRE[#All],7,FALSE)),"Fora do DRE",VLOOKUP(Base_Periodo1[[#This Row],[CONTA]],BaseContasDRE[#All],7,FALSE))</f>
        <v>Fora do DRE</v>
      </c>
      <c r="V2374" s="3" t="str">
        <f>IF(Base_Periodo1[[#This Row],[Tipo_Linha]]="Fora do DRE","Fora do DRE","( "&amp;Base_Periodo1[[#This Row],[Tipo_Linha]]&amp;" ) "&amp;Base_Periodo1[[#This Row],[Filtro]])</f>
        <v>Fora do DRE</v>
      </c>
      <c r="W2374" s="3" t="str">
        <f>LEFT(Base_Periodo1[[#This Row],[CLASS]],3)</f>
        <v>2.1</v>
      </c>
    </row>
    <row r="2375" spans="1:23" hidden="1">
      <c r="A2375" s="3" t="str">
        <f t="shared" si="37"/>
        <v>Período 1</v>
      </c>
      <c r="B2375">
        <v>51848</v>
      </c>
      <c r="C2375" t="s">
        <v>1730</v>
      </c>
      <c r="D2375" t="s">
        <v>5385</v>
      </c>
      <c r="E2375" s="3" t="str">
        <f>IF(LEN(Base_Periodo1[[#This Row],[CLASS]])&gt;=7,LEFT(Base_Periodo1[[#This Row],[CLASS]],7),"")</f>
        <v>2.1.2.1</v>
      </c>
      <c r="F2375" s="3" t="str">
        <f>VLOOKUP(Base_Periodo1[[#This Row],[Aux]],Base_Contas_Balanco[#All],2,FALSE)</f>
        <v>Fornecedores Cooperados</v>
      </c>
      <c r="G2375" s="1">
        <v>42864</v>
      </c>
      <c r="H2375" s="225">
        <v>131.88999999999942</v>
      </c>
      <c r="I2375" s="225">
        <v>1329.8899999999999</v>
      </c>
      <c r="J2375" s="225">
        <v>1198</v>
      </c>
      <c r="K2375" s="225">
        <v>4.5474735088646412E-13</v>
      </c>
      <c r="L23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75" s="225">
        <f>ROUND(IF(AND(Base_Periodo1[[#This Row],[Tipo_Linha]]="-",Base_Periodo1[[#This Row],[TIPOSALDO]]="D"),Base_Periodo1[[#This Row],[SALDO_ATUAL]]*-1,Base_Periodo1[[#This Row],[SALDO_ATUAL]]),4)</f>
        <v>0</v>
      </c>
      <c r="N2375" t="s">
        <v>116</v>
      </c>
      <c r="O2375" t="s">
        <v>459</v>
      </c>
      <c r="P2375" t="s">
        <v>436</v>
      </c>
      <c r="Q2375">
        <v>7</v>
      </c>
      <c r="R2375" s="225">
        <f>Base_Periodo1[[#This Row],[CREDITOS]]-Base_Periodo1[[#This Row],[DEBITOS]]</f>
        <v>-131.88999999999987</v>
      </c>
      <c r="S2375" s="3" t="str">
        <f>IF(ISERROR(VLOOKUP(Base_Periodo1[[#This Row],[CONTA]],BaseContasDRE[#All],4,FALSE)),"Fora do DRE",VLOOKUP(Base_Periodo1[[#This Row],[CONTA]],BaseContasDRE[#All],4,FALSE))</f>
        <v>Fora do DRE</v>
      </c>
      <c r="T2375" s="3" t="str">
        <f>IF(ISERROR(VLOOKUP(Base_Periodo1[[#This Row],[CONTA]],BaseContasDRE[#All],5,FALSE)),"Fora do DRE",VLOOKUP(Base_Periodo1[[#This Row],[CONTA]],BaseContasDRE[#All],6,FALSE))</f>
        <v>Fora do DRE</v>
      </c>
      <c r="U2375" s="3" t="str">
        <f>IF(ISERROR(VLOOKUP(Base_Periodo1[[#This Row],[CONTA]],BaseContasDRE[#All],7,FALSE)),"Fora do DRE",VLOOKUP(Base_Periodo1[[#This Row],[CONTA]],BaseContasDRE[#All],7,FALSE))</f>
        <v>Fora do DRE</v>
      </c>
      <c r="V2375" s="3" t="str">
        <f>IF(Base_Periodo1[[#This Row],[Tipo_Linha]]="Fora do DRE","Fora do DRE","( "&amp;Base_Periodo1[[#This Row],[Tipo_Linha]]&amp;" ) "&amp;Base_Periodo1[[#This Row],[Filtro]])</f>
        <v>Fora do DRE</v>
      </c>
      <c r="W2375" s="3" t="str">
        <f>LEFT(Base_Periodo1[[#This Row],[CLASS]],3)</f>
        <v>2.1</v>
      </c>
    </row>
    <row r="2376" spans="1:23" hidden="1">
      <c r="A2376" s="3" t="str">
        <f t="shared" si="37"/>
        <v>Período 1</v>
      </c>
      <c r="B2376">
        <v>8983</v>
      </c>
      <c r="C2376" t="s">
        <v>1730</v>
      </c>
      <c r="D2376" t="s">
        <v>665</v>
      </c>
      <c r="E2376" s="3" t="str">
        <f>IF(LEN(Base_Periodo1[[#This Row],[CLASS]])&gt;=7,LEFT(Base_Periodo1[[#This Row],[CLASS]],7),"")</f>
        <v>2.1.2.1</v>
      </c>
      <c r="F2376" s="3" t="str">
        <f>VLOOKUP(Base_Periodo1[[#This Row],[Aux]],Base_Contas_Balanco[#All],2,FALSE)</f>
        <v>Fornecedores Cooperados</v>
      </c>
      <c r="G2376" s="1">
        <v>42884</v>
      </c>
      <c r="I2376" s="225">
        <v>0</v>
      </c>
      <c r="J2376" s="225">
        <v>30000</v>
      </c>
      <c r="K2376" s="225">
        <v>30000</v>
      </c>
      <c r="L23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30000</v>
      </c>
      <c r="M2376" s="225">
        <f>ROUND(IF(AND(Base_Periodo1[[#This Row],[Tipo_Linha]]="-",Base_Periodo1[[#This Row],[TIPOSALDO]]="D"),Base_Periodo1[[#This Row],[SALDO_ATUAL]]*-1,Base_Periodo1[[#This Row],[SALDO_ATUAL]]),4)</f>
        <v>30000</v>
      </c>
      <c r="N2376" t="s">
        <v>116</v>
      </c>
      <c r="O2376" t="s">
        <v>436</v>
      </c>
      <c r="P2376" t="s">
        <v>459</v>
      </c>
      <c r="Q2376">
        <v>7</v>
      </c>
      <c r="R2376" s="225">
        <f>Base_Periodo1[[#This Row],[CREDITOS]]-Base_Periodo1[[#This Row],[DEBITOS]]</f>
        <v>30000</v>
      </c>
      <c r="S2376" s="3" t="str">
        <f>IF(ISERROR(VLOOKUP(Base_Periodo1[[#This Row],[CONTA]],BaseContasDRE[#All],4,FALSE)),"Fora do DRE",VLOOKUP(Base_Periodo1[[#This Row],[CONTA]],BaseContasDRE[#All],4,FALSE))</f>
        <v>Fora do DRE</v>
      </c>
      <c r="T2376" s="3" t="str">
        <f>IF(ISERROR(VLOOKUP(Base_Periodo1[[#This Row],[CONTA]],BaseContasDRE[#All],5,FALSE)),"Fora do DRE",VLOOKUP(Base_Periodo1[[#This Row],[CONTA]],BaseContasDRE[#All],6,FALSE))</f>
        <v>Fora do DRE</v>
      </c>
      <c r="U2376" s="3" t="str">
        <f>IF(ISERROR(VLOOKUP(Base_Periodo1[[#This Row],[CONTA]],BaseContasDRE[#All],7,FALSE)),"Fora do DRE",VLOOKUP(Base_Periodo1[[#This Row],[CONTA]],BaseContasDRE[#All],7,FALSE))</f>
        <v>Fora do DRE</v>
      </c>
      <c r="V2376" s="3" t="str">
        <f>IF(Base_Periodo1[[#This Row],[Tipo_Linha]]="Fora do DRE","Fora do DRE","( "&amp;Base_Periodo1[[#This Row],[Tipo_Linha]]&amp;" ) "&amp;Base_Periodo1[[#This Row],[Filtro]])</f>
        <v>Fora do DRE</v>
      </c>
      <c r="W2376" s="3" t="str">
        <f>LEFT(Base_Periodo1[[#This Row],[CLASS]],3)</f>
        <v>2.1</v>
      </c>
    </row>
    <row r="2377" spans="1:23" hidden="1">
      <c r="A2377" s="3" t="str">
        <f t="shared" si="37"/>
        <v>Período 1</v>
      </c>
      <c r="B2377">
        <v>18978</v>
      </c>
      <c r="C2377" t="s">
        <v>1730</v>
      </c>
      <c r="D2377" t="s">
        <v>5386</v>
      </c>
      <c r="E2377" s="3" t="str">
        <f>IF(LEN(Base_Periodo1[[#This Row],[CLASS]])&gt;=7,LEFT(Base_Periodo1[[#This Row],[CLASS]],7),"")</f>
        <v>2.1.2.1</v>
      </c>
      <c r="F2377" s="3" t="str">
        <f>VLOOKUP(Base_Periodo1[[#This Row],[Aux]],Base_Contas_Balanco[#All],2,FALSE)</f>
        <v>Fornecedores Cooperados</v>
      </c>
      <c r="G2377" s="1">
        <v>42880</v>
      </c>
      <c r="I2377" s="225">
        <v>6100.0000000000009</v>
      </c>
      <c r="J2377" s="225">
        <v>6100</v>
      </c>
      <c r="K2377" s="225">
        <v>2.3374013835564256E-10</v>
      </c>
      <c r="L23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77" s="225">
        <f>ROUND(IF(AND(Base_Periodo1[[#This Row],[Tipo_Linha]]="-",Base_Periodo1[[#This Row],[TIPOSALDO]]="D"),Base_Periodo1[[#This Row],[SALDO_ATUAL]]*-1,Base_Periodo1[[#This Row],[SALDO_ATUAL]]),4)</f>
        <v>0</v>
      </c>
      <c r="N2377" t="s">
        <v>116</v>
      </c>
      <c r="O2377" t="s">
        <v>436</v>
      </c>
      <c r="P2377" t="s">
        <v>436</v>
      </c>
      <c r="Q2377">
        <v>7</v>
      </c>
      <c r="R2377" s="225">
        <f>Base_Periodo1[[#This Row],[CREDITOS]]-Base_Periodo1[[#This Row],[DEBITOS]]</f>
        <v>0</v>
      </c>
      <c r="S2377" s="3" t="str">
        <f>IF(ISERROR(VLOOKUP(Base_Periodo1[[#This Row],[CONTA]],BaseContasDRE[#All],4,FALSE)),"Fora do DRE",VLOOKUP(Base_Periodo1[[#This Row],[CONTA]],BaseContasDRE[#All],4,FALSE))</f>
        <v>Fora do DRE</v>
      </c>
      <c r="T2377" s="3" t="str">
        <f>IF(ISERROR(VLOOKUP(Base_Periodo1[[#This Row],[CONTA]],BaseContasDRE[#All],5,FALSE)),"Fora do DRE",VLOOKUP(Base_Periodo1[[#This Row],[CONTA]],BaseContasDRE[#All],6,FALSE))</f>
        <v>Fora do DRE</v>
      </c>
      <c r="U2377" s="3" t="str">
        <f>IF(ISERROR(VLOOKUP(Base_Periodo1[[#This Row],[CONTA]],BaseContasDRE[#All],7,FALSE)),"Fora do DRE",VLOOKUP(Base_Periodo1[[#This Row],[CONTA]],BaseContasDRE[#All],7,FALSE))</f>
        <v>Fora do DRE</v>
      </c>
      <c r="V2377" s="3" t="str">
        <f>IF(Base_Periodo1[[#This Row],[Tipo_Linha]]="Fora do DRE","Fora do DRE","( "&amp;Base_Periodo1[[#This Row],[Tipo_Linha]]&amp;" ) "&amp;Base_Periodo1[[#This Row],[Filtro]])</f>
        <v>Fora do DRE</v>
      </c>
      <c r="W2377" s="3" t="str">
        <f>LEFT(Base_Periodo1[[#This Row],[CLASS]],3)</f>
        <v>2.1</v>
      </c>
    </row>
    <row r="2378" spans="1:23" hidden="1">
      <c r="A2378" s="3" t="str">
        <f t="shared" si="37"/>
        <v>Período 1</v>
      </c>
      <c r="B2378">
        <v>3293</v>
      </c>
      <c r="C2378" t="s">
        <v>1730</v>
      </c>
      <c r="D2378" t="s">
        <v>6125</v>
      </c>
      <c r="E2378" s="3" t="str">
        <f>IF(LEN(Base_Periodo1[[#This Row],[CLASS]])&gt;=7,LEFT(Base_Periodo1[[#This Row],[CLASS]],7),"")</f>
        <v>2.1.2.1</v>
      </c>
      <c r="F2378" s="3" t="str">
        <f>VLOOKUP(Base_Periodo1[[#This Row],[Aux]],Base_Contas_Balanco[#All],2,FALSE)</f>
        <v>Fornecedores Cooperados</v>
      </c>
      <c r="G2378" s="1">
        <v>42872</v>
      </c>
      <c r="I2378" s="225">
        <v>28980.370000000003</v>
      </c>
      <c r="J2378" s="225">
        <v>28980.37</v>
      </c>
      <c r="K2378" s="225">
        <v>3.637978807091713E-12</v>
      </c>
      <c r="L23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78" s="225">
        <f>ROUND(IF(AND(Base_Periodo1[[#This Row],[Tipo_Linha]]="-",Base_Periodo1[[#This Row],[TIPOSALDO]]="D"),Base_Periodo1[[#This Row],[SALDO_ATUAL]]*-1,Base_Periodo1[[#This Row],[SALDO_ATUAL]]),4)</f>
        <v>0</v>
      </c>
      <c r="N2378" t="s">
        <v>116</v>
      </c>
      <c r="O2378" t="s">
        <v>436</v>
      </c>
      <c r="P2378" t="s">
        <v>436</v>
      </c>
      <c r="Q2378">
        <v>7</v>
      </c>
      <c r="R2378" s="225">
        <f>Base_Periodo1[[#This Row],[CREDITOS]]-Base_Periodo1[[#This Row],[DEBITOS]]</f>
        <v>0</v>
      </c>
      <c r="S2378" s="3" t="str">
        <f>IF(ISERROR(VLOOKUP(Base_Periodo1[[#This Row],[CONTA]],BaseContasDRE[#All],4,FALSE)),"Fora do DRE",VLOOKUP(Base_Periodo1[[#This Row],[CONTA]],BaseContasDRE[#All],4,FALSE))</f>
        <v>Fora do DRE</v>
      </c>
      <c r="T2378" s="3" t="str">
        <f>IF(ISERROR(VLOOKUP(Base_Periodo1[[#This Row],[CONTA]],BaseContasDRE[#All],5,FALSE)),"Fora do DRE",VLOOKUP(Base_Periodo1[[#This Row],[CONTA]],BaseContasDRE[#All],6,FALSE))</f>
        <v>Fora do DRE</v>
      </c>
      <c r="U2378" s="3" t="str">
        <f>IF(ISERROR(VLOOKUP(Base_Periodo1[[#This Row],[CONTA]],BaseContasDRE[#All],7,FALSE)),"Fora do DRE",VLOOKUP(Base_Periodo1[[#This Row],[CONTA]],BaseContasDRE[#All],7,FALSE))</f>
        <v>Fora do DRE</v>
      </c>
      <c r="V2378" s="3" t="str">
        <f>IF(Base_Periodo1[[#This Row],[Tipo_Linha]]="Fora do DRE","Fora do DRE","( "&amp;Base_Periodo1[[#This Row],[Tipo_Linha]]&amp;" ) "&amp;Base_Periodo1[[#This Row],[Filtro]])</f>
        <v>Fora do DRE</v>
      </c>
      <c r="W2378" s="3" t="str">
        <f>LEFT(Base_Periodo1[[#This Row],[CLASS]],3)</f>
        <v>2.1</v>
      </c>
    </row>
    <row r="2379" spans="1:23" hidden="1">
      <c r="A2379" s="3" t="str">
        <f t="shared" si="37"/>
        <v>Período 1</v>
      </c>
      <c r="B2379">
        <v>7274</v>
      </c>
      <c r="C2379" t="s">
        <v>1730</v>
      </c>
      <c r="D2379" t="s">
        <v>4669</v>
      </c>
      <c r="E2379" s="3" t="str">
        <f>IF(LEN(Base_Periodo1[[#This Row],[CLASS]])&gt;=7,LEFT(Base_Periodo1[[#This Row],[CLASS]],7),"")</f>
        <v>2.1.2.1</v>
      </c>
      <c r="F2379" s="3" t="str">
        <f>VLOOKUP(Base_Periodo1[[#This Row],[Aux]],Base_Contas_Balanco[#All],2,FALSE)</f>
        <v>Fornecedores Cooperados</v>
      </c>
      <c r="G2379" s="1">
        <v>42871</v>
      </c>
      <c r="I2379" s="225">
        <v>1816.9</v>
      </c>
      <c r="J2379" s="225">
        <v>1816.9</v>
      </c>
      <c r="K2379" s="225">
        <v>0</v>
      </c>
      <c r="L23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79" s="225">
        <f>ROUND(IF(AND(Base_Periodo1[[#This Row],[Tipo_Linha]]="-",Base_Periodo1[[#This Row],[TIPOSALDO]]="D"),Base_Periodo1[[#This Row],[SALDO_ATUAL]]*-1,Base_Periodo1[[#This Row],[SALDO_ATUAL]]),4)</f>
        <v>0</v>
      </c>
      <c r="N2379" t="s">
        <v>116</v>
      </c>
      <c r="O2379" t="s">
        <v>436</v>
      </c>
      <c r="P2379" t="s">
        <v>436</v>
      </c>
      <c r="Q2379">
        <v>7</v>
      </c>
      <c r="R2379" s="225">
        <f>Base_Periodo1[[#This Row],[CREDITOS]]-Base_Periodo1[[#This Row],[DEBITOS]]</f>
        <v>0</v>
      </c>
      <c r="S2379" s="3" t="str">
        <f>IF(ISERROR(VLOOKUP(Base_Periodo1[[#This Row],[CONTA]],BaseContasDRE[#All],4,FALSE)),"Fora do DRE",VLOOKUP(Base_Periodo1[[#This Row],[CONTA]],BaseContasDRE[#All],4,FALSE))</f>
        <v>Fora do DRE</v>
      </c>
      <c r="T2379" s="3" t="str">
        <f>IF(ISERROR(VLOOKUP(Base_Periodo1[[#This Row],[CONTA]],BaseContasDRE[#All],5,FALSE)),"Fora do DRE",VLOOKUP(Base_Periodo1[[#This Row],[CONTA]],BaseContasDRE[#All],6,FALSE))</f>
        <v>Fora do DRE</v>
      </c>
      <c r="U2379" s="3" t="str">
        <f>IF(ISERROR(VLOOKUP(Base_Periodo1[[#This Row],[CONTA]],BaseContasDRE[#All],7,FALSE)),"Fora do DRE",VLOOKUP(Base_Periodo1[[#This Row],[CONTA]],BaseContasDRE[#All],7,FALSE))</f>
        <v>Fora do DRE</v>
      </c>
      <c r="V2379" s="3" t="str">
        <f>IF(Base_Periodo1[[#This Row],[Tipo_Linha]]="Fora do DRE","Fora do DRE","( "&amp;Base_Periodo1[[#This Row],[Tipo_Linha]]&amp;" ) "&amp;Base_Periodo1[[#This Row],[Filtro]])</f>
        <v>Fora do DRE</v>
      </c>
      <c r="W2379" s="3" t="str">
        <f>LEFT(Base_Periodo1[[#This Row],[CLASS]],3)</f>
        <v>2.1</v>
      </c>
    </row>
    <row r="2380" spans="1:23" hidden="1">
      <c r="A2380" s="3" t="str">
        <f t="shared" si="37"/>
        <v>Período 1</v>
      </c>
      <c r="B2380">
        <v>4149</v>
      </c>
      <c r="C2380" t="s">
        <v>1730</v>
      </c>
      <c r="D2380" t="s">
        <v>666</v>
      </c>
      <c r="E2380" s="3" t="str">
        <f>IF(LEN(Base_Periodo1[[#This Row],[CLASS]])&gt;=7,LEFT(Base_Periodo1[[#This Row],[CLASS]],7),"")</f>
        <v>2.1.2.1</v>
      </c>
      <c r="F2380" s="3" t="str">
        <f>VLOOKUP(Base_Periodo1[[#This Row],[Aux]],Base_Contas_Balanco[#All],2,FALSE)</f>
        <v>Fornecedores Cooperados</v>
      </c>
      <c r="G2380" s="1">
        <v>42885</v>
      </c>
      <c r="I2380" s="225">
        <v>96.71</v>
      </c>
      <c r="J2380" s="225">
        <v>4204.8</v>
      </c>
      <c r="K2380" s="225">
        <v>4108.0900000000584</v>
      </c>
      <c r="L23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4108.09</v>
      </c>
      <c r="M2380" s="225">
        <f>ROUND(IF(AND(Base_Periodo1[[#This Row],[Tipo_Linha]]="-",Base_Periodo1[[#This Row],[TIPOSALDO]]="D"),Base_Periodo1[[#This Row],[SALDO_ATUAL]]*-1,Base_Periodo1[[#This Row],[SALDO_ATUAL]]),4)</f>
        <v>4108.09</v>
      </c>
      <c r="N2380" t="s">
        <v>116</v>
      </c>
      <c r="O2380" t="s">
        <v>436</v>
      </c>
      <c r="P2380" t="s">
        <v>459</v>
      </c>
      <c r="Q2380">
        <v>7</v>
      </c>
      <c r="R2380" s="225">
        <f>Base_Periodo1[[#This Row],[CREDITOS]]-Base_Periodo1[[#This Row],[DEBITOS]]</f>
        <v>4108.09</v>
      </c>
      <c r="S2380" s="3" t="str">
        <f>IF(ISERROR(VLOOKUP(Base_Periodo1[[#This Row],[CONTA]],BaseContasDRE[#All],4,FALSE)),"Fora do DRE",VLOOKUP(Base_Periodo1[[#This Row],[CONTA]],BaseContasDRE[#All],4,FALSE))</f>
        <v>Fora do DRE</v>
      </c>
      <c r="T2380" s="3" t="str">
        <f>IF(ISERROR(VLOOKUP(Base_Periodo1[[#This Row],[CONTA]],BaseContasDRE[#All],5,FALSE)),"Fora do DRE",VLOOKUP(Base_Periodo1[[#This Row],[CONTA]],BaseContasDRE[#All],6,FALSE))</f>
        <v>Fora do DRE</v>
      </c>
      <c r="U2380" s="3" t="str">
        <f>IF(ISERROR(VLOOKUP(Base_Periodo1[[#This Row],[CONTA]],BaseContasDRE[#All],7,FALSE)),"Fora do DRE",VLOOKUP(Base_Periodo1[[#This Row],[CONTA]],BaseContasDRE[#All],7,FALSE))</f>
        <v>Fora do DRE</v>
      </c>
      <c r="V2380" s="3" t="str">
        <f>IF(Base_Periodo1[[#This Row],[Tipo_Linha]]="Fora do DRE","Fora do DRE","( "&amp;Base_Periodo1[[#This Row],[Tipo_Linha]]&amp;" ) "&amp;Base_Periodo1[[#This Row],[Filtro]])</f>
        <v>Fora do DRE</v>
      </c>
      <c r="W2380" s="3" t="str">
        <f>LEFT(Base_Periodo1[[#This Row],[CLASS]],3)</f>
        <v>2.1</v>
      </c>
    </row>
    <row r="2381" spans="1:23" hidden="1">
      <c r="A2381" s="3" t="str">
        <f t="shared" si="37"/>
        <v>Período 1</v>
      </c>
      <c r="B2381">
        <v>47695</v>
      </c>
      <c r="C2381" t="s">
        <v>1730</v>
      </c>
      <c r="D2381" t="s">
        <v>667</v>
      </c>
      <c r="E2381" s="3" t="str">
        <f>IF(LEN(Base_Periodo1[[#This Row],[CLASS]])&gt;=7,LEFT(Base_Periodo1[[#This Row],[CLASS]],7),"")</f>
        <v>2.1.2.1</v>
      </c>
      <c r="F2381" s="3" t="str">
        <f>VLOOKUP(Base_Periodo1[[#This Row],[Aux]],Base_Contas_Balanco[#All],2,FALSE)</f>
        <v>Fornecedores Cooperados</v>
      </c>
      <c r="G2381" s="1">
        <v>42886</v>
      </c>
      <c r="I2381" s="225">
        <v>3346.62</v>
      </c>
      <c r="J2381" s="225">
        <v>3346.62</v>
      </c>
      <c r="K2381" s="225">
        <v>0</v>
      </c>
      <c r="L23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81" s="225">
        <f>ROUND(IF(AND(Base_Periodo1[[#This Row],[Tipo_Linha]]="-",Base_Periodo1[[#This Row],[TIPOSALDO]]="D"),Base_Periodo1[[#This Row],[SALDO_ATUAL]]*-1,Base_Periodo1[[#This Row],[SALDO_ATUAL]]),4)</f>
        <v>0</v>
      </c>
      <c r="N2381" t="s">
        <v>116</v>
      </c>
      <c r="O2381" t="s">
        <v>436</v>
      </c>
      <c r="P2381" t="s">
        <v>436</v>
      </c>
      <c r="Q2381">
        <v>7</v>
      </c>
      <c r="R2381" s="225">
        <f>Base_Periodo1[[#This Row],[CREDITOS]]-Base_Periodo1[[#This Row],[DEBITOS]]</f>
        <v>0</v>
      </c>
      <c r="S2381" s="3" t="str">
        <f>IF(ISERROR(VLOOKUP(Base_Periodo1[[#This Row],[CONTA]],BaseContasDRE[#All],4,FALSE)),"Fora do DRE",VLOOKUP(Base_Periodo1[[#This Row],[CONTA]],BaseContasDRE[#All],4,FALSE))</f>
        <v>Fora do DRE</v>
      </c>
      <c r="T2381" s="3" t="str">
        <f>IF(ISERROR(VLOOKUP(Base_Periodo1[[#This Row],[CONTA]],BaseContasDRE[#All],5,FALSE)),"Fora do DRE",VLOOKUP(Base_Periodo1[[#This Row],[CONTA]],BaseContasDRE[#All],6,FALSE))</f>
        <v>Fora do DRE</v>
      </c>
      <c r="U2381" s="3" t="str">
        <f>IF(ISERROR(VLOOKUP(Base_Periodo1[[#This Row],[CONTA]],BaseContasDRE[#All],7,FALSE)),"Fora do DRE",VLOOKUP(Base_Periodo1[[#This Row],[CONTA]],BaseContasDRE[#All],7,FALSE))</f>
        <v>Fora do DRE</v>
      </c>
      <c r="V2381" s="3" t="str">
        <f>IF(Base_Periodo1[[#This Row],[Tipo_Linha]]="Fora do DRE","Fora do DRE","( "&amp;Base_Periodo1[[#This Row],[Tipo_Linha]]&amp;" ) "&amp;Base_Periodo1[[#This Row],[Filtro]])</f>
        <v>Fora do DRE</v>
      </c>
      <c r="W2381" s="3" t="str">
        <f>LEFT(Base_Periodo1[[#This Row],[CLASS]],3)</f>
        <v>2.1</v>
      </c>
    </row>
    <row r="2382" spans="1:23" hidden="1">
      <c r="A2382" s="3" t="str">
        <f t="shared" si="37"/>
        <v>Período 1</v>
      </c>
      <c r="B2382">
        <v>3165</v>
      </c>
      <c r="C2382" t="s">
        <v>1730</v>
      </c>
      <c r="D2382" t="s">
        <v>669</v>
      </c>
      <c r="E2382" s="3" t="str">
        <f>IF(LEN(Base_Periodo1[[#This Row],[CLASS]])&gt;=7,LEFT(Base_Periodo1[[#This Row],[CLASS]],7),"")</f>
        <v>2.1.2.1</v>
      </c>
      <c r="F2382" s="3" t="str">
        <f>VLOOKUP(Base_Periodo1[[#This Row],[Aux]],Base_Contas_Balanco[#All],2,FALSE)</f>
        <v>Fornecedores Cooperados</v>
      </c>
      <c r="G2382" s="1">
        <v>42885</v>
      </c>
      <c r="H2382" s="225">
        <v>540107.43000000017</v>
      </c>
      <c r="I2382" s="225">
        <v>717743.37999999977</v>
      </c>
      <c r="J2382" s="225">
        <v>177635.95</v>
      </c>
      <c r="K2382" s="225">
        <v>-4.0745362639427185E-10</v>
      </c>
      <c r="L23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82" s="225">
        <f>ROUND(IF(AND(Base_Periodo1[[#This Row],[Tipo_Linha]]="-",Base_Periodo1[[#This Row],[TIPOSALDO]]="D"),Base_Periodo1[[#This Row],[SALDO_ATUAL]]*-1,Base_Periodo1[[#This Row],[SALDO_ATUAL]]),4)</f>
        <v>0</v>
      </c>
      <c r="N2382" t="s">
        <v>116</v>
      </c>
      <c r="O2382" t="s">
        <v>459</v>
      </c>
      <c r="P2382" t="s">
        <v>436</v>
      </c>
      <c r="Q2382">
        <v>7</v>
      </c>
      <c r="R2382" s="225">
        <f>Base_Periodo1[[#This Row],[CREDITOS]]-Base_Periodo1[[#This Row],[DEBITOS]]</f>
        <v>-540107.4299999997</v>
      </c>
      <c r="S2382" s="3" t="str">
        <f>IF(ISERROR(VLOOKUP(Base_Periodo1[[#This Row],[CONTA]],BaseContasDRE[#All],4,FALSE)),"Fora do DRE",VLOOKUP(Base_Periodo1[[#This Row],[CONTA]],BaseContasDRE[#All],4,FALSE))</f>
        <v>Fora do DRE</v>
      </c>
      <c r="T2382" s="3" t="str">
        <f>IF(ISERROR(VLOOKUP(Base_Periodo1[[#This Row],[CONTA]],BaseContasDRE[#All],5,FALSE)),"Fora do DRE",VLOOKUP(Base_Periodo1[[#This Row],[CONTA]],BaseContasDRE[#All],6,FALSE))</f>
        <v>Fora do DRE</v>
      </c>
      <c r="U2382" s="3" t="str">
        <f>IF(ISERROR(VLOOKUP(Base_Periodo1[[#This Row],[CONTA]],BaseContasDRE[#All],7,FALSE)),"Fora do DRE",VLOOKUP(Base_Periodo1[[#This Row],[CONTA]],BaseContasDRE[#All],7,FALSE))</f>
        <v>Fora do DRE</v>
      </c>
      <c r="V2382" s="3" t="str">
        <f>IF(Base_Periodo1[[#This Row],[Tipo_Linha]]="Fora do DRE","Fora do DRE","( "&amp;Base_Periodo1[[#This Row],[Tipo_Linha]]&amp;" ) "&amp;Base_Periodo1[[#This Row],[Filtro]])</f>
        <v>Fora do DRE</v>
      </c>
      <c r="W2382" s="3" t="str">
        <f>LEFT(Base_Periodo1[[#This Row],[CLASS]],3)</f>
        <v>2.1</v>
      </c>
    </row>
    <row r="2383" spans="1:23" hidden="1">
      <c r="A2383" s="3" t="str">
        <f t="shared" si="37"/>
        <v>Período 1</v>
      </c>
      <c r="B2383">
        <v>4053</v>
      </c>
      <c r="C2383" t="s">
        <v>1730</v>
      </c>
      <c r="D2383" t="s">
        <v>5322</v>
      </c>
      <c r="E2383" s="3" t="str">
        <f>IF(LEN(Base_Periodo1[[#This Row],[CLASS]])&gt;=7,LEFT(Base_Periodo1[[#This Row],[CLASS]],7),"")</f>
        <v>2.1.2.1</v>
      </c>
      <c r="F2383" s="3" t="str">
        <f>VLOOKUP(Base_Periodo1[[#This Row],[Aux]],Base_Contas_Balanco[#All],2,FALSE)</f>
        <v>Fornecedores Cooperados</v>
      </c>
      <c r="G2383" s="1">
        <v>42886</v>
      </c>
      <c r="I2383" s="225">
        <v>2050</v>
      </c>
      <c r="J2383" s="225">
        <v>2050</v>
      </c>
      <c r="K2383" s="225">
        <v>5.8207660913467407E-11</v>
      </c>
      <c r="L23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83" s="225">
        <f>ROUND(IF(AND(Base_Periodo1[[#This Row],[Tipo_Linha]]="-",Base_Periodo1[[#This Row],[TIPOSALDO]]="D"),Base_Periodo1[[#This Row],[SALDO_ATUAL]]*-1,Base_Periodo1[[#This Row],[SALDO_ATUAL]]),4)</f>
        <v>0</v>
      </c>
      <c r="N2383" t="s">
        <v>116</v>
      </c>
      <c r="O2383" t="s">
        <v>436</v>
      </c>
      <c r="P2383" t="s">
        <v>436</v>
      </c>
      <c r="Q2383">
        <v>7</v>
      </c>
      <c r="R2383" s="225">
        <f>Base_Periodo1[[#This Row],[CREDITOS]]-Base_Periodo1[[#This Row],[DEBITOS]]</f>
        <v>0</v>
      </c>
      <c r="S2383" s="3" t="str">
        <f>IF(ISERROR(VLOOKUP(Base_Periodo1[[#This Row],[CONTA]],BaseContasDRE[#All],4,FALSE)),"Fora do DRE",VLOOKUP(Base_Periodo1[[#This Row],[CONTA]],BaseContasDRE[#All],4,FALSE))</f>
        <v>Fora do DRE</v>
      </c>
      <c r="T2383" s="3" t="str">
        <f>IF(ISERROR(VLOOKUP(Base_Periodo1[[#This Row],[CONTA]],BaseContasDRE[#All],5,FALSE)),"Fora do DRE",VLOOKUP(Base_Periodo1[[#This Row],[CONTA]],BaseContasDRE[#All],6,FALSE))</f>
        <v>Fora do DRE</v>
      </c>
      <c r="U2383" s="3" t="str">
        <f>IF(ISERROR(VLOOKUP(Base_Periodo1[[#This Row],[CONTA]],BaseContasDRE[#All],7,FALSE)),"Fora do DRE",VLOOKUP(Base_Periodo1[[#This Row],[CONTA]],BaseContasDRE[#All],7,FALSE))</f>
        <v>Fora do DRE</v>
      </c>
      <c r="V2383" s="3" t="str">
        <f>IF(Base_Periodo1[[#This Row],[Tipo_Linha]]="Fora do DRE","Fora do DRE","( "&amp;Base_Periodo1[[#This Row],[Tipo_Linha]]&amp;" ) "&amp;Base_Periodo1[[#This Row],[Filtro]])</f>
        <v>Fora do DRE</v>
      </c>
      <c r="W2383" s="3" t="str">
        <f>LEFT(Base_Periodo1[[#This Row],[CLASS]],3)</f>
        <v>2.1</v>
      </c>
    </row>
    <row r="2384" spans="1:23" hidden="1">
      <c r="A2384" s="3" t="str">
        <f t="shared" si="37"/>
        <v>Período 1</v>
      </c>
      <c r="B2384">
        <v>2273</v>
      </c>
      <c r="C2384" t="s">
        <v>1730</v>
      </c>
      <c r="D2384" t="s">
        <v>670</v>
      </c>
      <c r="E2384" s="3" t="str">
        <f>IF(LEN(Base_Periodo1[[#This Row],[CLASS]])&gt;=7,LEFT(Base_Periodo1[[#This Row],[CLASS]],7),"")</f>
        <v>2.1.2.1</v>
      </c>
      <c r="F2384" s="3" t="str">
        <f>VLOOKUP(Base_Periodo1[[#This Row],[Aux]],Base_Contas_Balanco[#All],2,FALSE)</f>
        <v>Fornecedores Cooperados</v>
      </c>
      <c r="G2384" s="1">
        <v>42858</v>
      </c>
      <c r="I2384" s="225">
        <v>150335.54999999999</v>
      </c>
      <c r="J2384" s="225">
        <v>150335.54999999999</v>
      </c>
      <c r="K2384" s="225">
        <v>9.3132257461547852E-10</v>
      </c>
      <c r="L23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84" s="225">
        <f>ROUND(IF(AND(Base_Periodo1[[#This Row],[Tipo_Linha]]="-",Base_Periodo1[[#This Row],[TIPOSALDO]]="D"),Base_Periodo1[[#This Row],[SALDO_ATUAL]]*-1,Base_Periodo1[[#This Row],[SALDO_ATUAL]]),4)</f>
        <v>0</v>
      </c>
      <c r="N2384" t="s">
        <v>116</v>
      </c>
      <c r="O2384" t="s">
        <v>436</v>
      </c>
      <c r="P2384" t="s">
        <v>436</v>
      </c>
      <c r="Q2384">
        <v>7</v>
      </c>
      <c r="R2384" s="225">
        <f>Base_Periodo1[[#This Row],[CREDITOS]]-Base_Periodo1[[#This Row],[DEBITOS]]</f>
        <v>0</v>
      </c>
      <c r="S2384" s="3" t="str">
        <f>IF(ISERROR(VLOOKUP(Base_Periodo1[[#This Row],[CONTA]],BaseContasDRE[#All],4,FALSE)),"Fora do DRE",VLOOKUP(Base_Periodo1[[#This Row],[CONTA]],BaseContasDRE[#All],4,FALSE))</f>
        <v>Fora do DRE</v>
      </c>
      <c r="T2384" s="3" t="str">
        <f>IF(ISERROR(VLOOKUP(Base_Periodo1[[#This Row],[CONTA]],BaseContasDRE[#All],5,FALSE)),"Fora do DRE",VLOOKUP(Base_Periodo1[[#This Row],[CONTA]],BaseContasDRE[#All],6,FALSE))</f>
        <v>Fora do DRE</v>
      </c>
      <c r="U2384" s="3" t="str">
        <f>IF(ISERROR(VLOOKUP(Base_Periodo1[[#This Row],[CONTA]],BaseContasDRE[#All],7,FALSE)),"Fora do DRE",VLOOKUP(Base_Periodo1[[#This Row],[CONTA]],BaseContasDRE[#All],7,FALSE))</f>
        <v>Fora do DRE</v>
      </c>
      <c r="V2384" s="3" t="str">
        <f>IF(Base_Periodo1[[#This Row],[Tipo_Linha]]="Fora do DRE","Fora do DRE","( "&amp;Base_Periodo1[[#This Row],[Tipo_Linha]]&amp;" ) "&amp;Base_Periodo1[[#This Row],[Filtro]])</f>
        <v>Fora do DRE</v>
      </c>
      <c r="W2384" s="3" t="str">
        <f>LEFT(Base_Periodo1[[#This Row],[CLASS]],3)</f>
        <v>2.1</v>
      </c>
    </row>
    <row r="2385" spans="1:23" hidden="1">
      <c r="A2385" s="3" t="str">
        <f t="shared" si="37"/>
        <v>Período 1</v>
      </c>
      <c r="B2385">
        <v>39281</v>
      </c>
      <c r="C2385" t="s">
        <v>1730</v>
      </c>
      <c r="D2385" t="s">
        <v>6340</v>
      </c>
      <c r="E2385" s="3" t="str">
        <f>IF(LEN(Base_Periodo1[[#This Row],[CLASS]])&gt;=7,LEFT(Base_Periodo1[[#This Row],[CLASS]],7),"")</f>
        <v>2.1.2.1</v>
      </c>
      <c r="F2385" s="3" t="str">
        <f>VLOOKUP(Base_Periodo1[[#This Row],[Aux]],Base_Contas_Balanco[#All],2,FALSE)</f>
        <v>Fornecedores Cooperados</v>
      </c>
      <c r="G2385" s="1">
        <v>42879</v>
      </c>
      <c r="I2385" s="225">
        <v>18092.12</v>
      </c>
      <c r="J2385" s="225">
        <v>18092.12</v>
      </c>
      <c r="K2385" s="225">
        <v>1.4551915228366852E-11</v>
      </c>
      <c r="L23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85" s="225">
        <f>ROUND(IF(AND(Base_Periodo1[[#This Row],[Tipo_Linha]]="-",Base_Periodo1[[#This Row],[TIPOSALDO]]="D"),Base_Periodo1[[#This Row],[SALDO_ATUAL]]*-1,Base_Periodo1[[#This Row],[SALDO_ATUAL]]),4)</f>
        <v>0</v>
      </c>
      <c r="N2385" t="s">
        <v>116</v>
      </c>
      <c r="O2385" t="s">
        <v>436</v>
      </c>
      <c r="P2385" t="s">
        <v>436</v>
      </c>
      <c r="Q2385">
        <v>7</v>
      </c>
      <c r="R2385" s="225">
        <f>Base_Periodo1[[#This Row],[CREDITOS]]-Base_Periodo1[[#This Row],[DEBITOS]]</f>
        <v>0</v>
      </c>
      <c r="S2385" s="3" t="str">
        <f>IF(ISERROR(VLOOKUP(Base_Periodo1[[#This Row],[CONTA]],BaseContasDRE[#All],4,FALSE)),"Fora do DRE",VLOOKUP(Base_Periodo1[[#This Row],[CONTA]],BaseContasDRE[#All],4,FALSE))</f>
        <v>Fora do DRE</v>
      </c>
      <c r="T2385" s="3" t="str">
        <f>IF(ISERROR(VLOOKUP(Base_Periodo1[[#This Row],[CONTA]],BaseContasDRE[#All],5,FALSE)),"Fora do DRE",VLOOKUP(Base_Periodo1[[#This Row],[CONTA]],BaseContasDRE[#All],6,FALSE))</f>
        <v>Fora do DRE</v>
      </c>
      <c r="U2385" s="3" t="str">
        <f>IF(ISERROR(VLOOKUP(Base_Periodo1[[#This Row],[CONTA]],BaseContasDRE[#All],7,FALSE)),"Fora do DRE",VLOOKUP(Base_Periodo1[[#This Row],[CONTA]],BaseContasDRE[#All],7,FALSE))</f>
        <v>Fora do DRE</v>
      </c>
      <c r="V2385" s="3" t="str">
        <f>IF(Base_Periodo1[[#This Row],[Tipo_Linha]]="Fora do DRE","Fora do DRE","( "&amp;Base_Periodo1[[#This Row],[Tipo_Linha]]&amp;" ) "&amp;Base_Periodo1[[#This Row],[Filtro]])</f>
        <v>Fora do DRE</v>
      </c>
      <c r="W2385" s="3" t="str">
        <f>LEFT(Base_Periodo1[[#This Row],[CLASS]],3)</f>
        <v>2.1</v>
      </c>
    </row>
    <row r="2386" spans="1:23" hidden="1">
      <c r="A2386" s="3" t="str">
        <f t="shared" si="37"/>
        <v>Período 1</v>
      </c>
      <c r="B2386">
        <v>59321</v>
      </c>
      <c r="C2386" t="s">
        <v>1730</v>
      </c>
      <c r="D2386" t="s">
        <v>956</v>
      </c>
      <c r="E2386" s="3" t="str">
        <f>IF(LEN(Base_Periodo1[[#This Row],[CLASS]])&gt;=7,LEFT(Base_Periodo1[[#This Row],[CLASS]],7),"")</f>
        <v>2.1.2.1</v>
      </c>
      <c r="F2386" s="3" t="str">
        <f>VLOOKUP(Base_Periodo1[[#This Row],[Aux]],Base_Contas_Balanco[#All],2,FALSE)</f>
        <v>Fornecedores Cooperados</v>
      </c>
      <c r="G2386" s="1"/>
      <c r="I2386" s="225">
        <v>0</v>
      </c>
      <c r="J2386" s="225">
        <v>240</v>
      </c>
      <c r="K2386" s="225">
        <v>240</v>
      </c>
      <c r="L23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2386" s="225">
        <f>ROUND(IF(AND(Base_Periodo1[[#This Row],[Tipo_Linha]]="-",Base_Periodo1[[#This Row],[TIPOSALDO]]="D"),Base_Periodo1[[#This Row],[SALDO_ATUAL]]*-1,Base_Periodo1[[#This Row],[SALDO_ATUAL]]),4)</f>
        <v>240</v>
      </c>
      <c r="N2386" t="s">
        <v>116</v>
      </c>
      <c r="O2386" t="s">
        <v>436</v>
      </c>
      <c r="P2386" t="s">
        <v>459</v>
      </c>
      <c r="Q2386">
        <v>7</v>
      </c>
      <c r="R2386" s="225">
        <f>Base_Periodo1[[#This Row],[CREDITOS]]-Base_Periodo1[[#This Row],[DEBITOS]]</f>
        <v>240</v>
      </c>
      <c r="S2386" s="3" t="str">
        <f>IF(ISERROR(VLOOKUP(Base_Periodo1[[#This Row],[CONTA]],BaseContasDRE[#All],4,FALSE)),"Fora do DRE",VLOOKUP(Base_Periodo1[[#This Row],[CONTA]],BaseContasDRE[#All],4,FALSE))</f>
        <v>Fora do DRE</v>
      </c>
      <c r="T2386" s="3" t="str">
        <f>IF(ISERROR(VLOOKUP(Base_Periodo1[[#This Row],[CONTA]],BaseContasDRE[#All],5,FALSE)),"Fora do DRE",VLOOKUP(Base_Periodo1[[#This Row],[CONTA]],BaseContasDRE[#All],6,FALSE))</f>
        <v>Fora do DRE</v>
      </c>
      <c r="U2386" s="3" t="str">
        <f>IF(ISERROR(VLOOKUP(Base_Periodo1[[#This Row],[CONTA]],BaseContasDRE[#All],7,FALSE)),"Fora do DRE",VLOOKUP(Base_Periodo1[[#This Row],[CONTA]],BaseContasDRE[#All],7,FALSE))</f>
        <v>Fora do DRE</v>
      </c>
      <c r="V2386" s="3" t="str">
        <f>IF(Base_Periodo1[[#This Row],[Tipo_Linha]]="Fora do DRE","Fora do DRE","( "&amp;Base_Periodo1[[#This Row],[Tipo_Linha]]&amp;" ) "&amp;Base_Periodo1[[#This Row],[Filtro]])</f>
        <v>Fora do DRE</v>
      </c>
      <c r="W2386" s="3" t="str">
        <f>LEFT(Base_Periodo1[[#This Row],[CLASS]],3)</f>
        <v>2.1</v>
      </c>
    </row>
    <row r="2387" spans="1:23" hidden="1">
      <c r="A2387" s="3" t="str">
        <f t="shared" si="37"/>
        <v>Período 1</v>
      </c>
      <c r="B2387">
        <v>21040</v>
      </c>
      <c r="C2387" t="s">
        <v>1730</v>
      </c>
      <c r="D2387" t="s">
        <v>4270</v>
      </c>
      <c r="E2387" s="3" t="str">
        <f>IF(LEN(Base_Periodo1[[#This Row],[CLASS]])&gt;=7,LEFT(Base_Periodo1[[#This Row],[CLASS]],7),"")</f>
        <v>2.1.2.1</v>
      </c>
      <c r="F2387" s="3" t="str">
        <f>VLOOKUP(Base_Periodo1[[#This Row],[Aux]],Base_Contas_Balanco[#All],2,FALSE)</f>
        <v>Fornecedores Cooperados</v>
      </c>
      <c r="G2387" s="1">
        <v>42341</v>
      </c>
      <c r="H2387" s="225">
        <v>48.809999999997672</v>
      </c>
      <c r="I2387" s="225">
        <v>0</v>
      </c>
      <c r="J2387" s="225">
        <v>0</v>
      </c>
      <c r="K2387" s="225">
        <v>48.809999999997672</v>
      </c>
      <c r="L23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48.81</v>
      </c>
      <c r="M2387" s="225">
        <f>ROUND(IF(AND(Base_Periodo1[[#This Row],[Tipo_Linha]]="-",Base_Periodo1[[#This Row],[TIPOSALDO]]="D"),Base_Periodo1[[#This Row],[SALDO_ATUAL]]*-1,Base_Periodo1[[#This Row],[SALDO_ATUAL]]),4)</f>
        <v>48.81</v>
      </c>
      <c r="N2387" t="s">
        <v>116</v>
      </c>
      <c r="O2387" t="s">
        <v>459</v>
      </c>
      <c r="P2387" t="s">
        <v>459</v>
      </c>
      <c r="Q2387">
        <v>7</v>
      </c>
      <c r="R2387" s="225">
        <f>Base_Periodo1[[#This Row],[CREDITOS]]-Base_Periodo1[[#This Row],[DEBITOS]]</f>
        <v>0</v>
      </c>
      <c r="S2387" s="3" t="str">
        <f>IF(ISERROR(VLOOKUP(Base_Periodo1[[#This Row],[CONTA]],BaseContasDRE[#All],4,FALSE)),"Fora do DRE",VLOOKUP(Base_Periodo1[[#This Row],[CONTA]],BaseContasDRE[#All],4,FALSE))</f>
        <v>Fora do DRE</v>
      </c>
      <c r="T2387" s="3" t="str">
        <f>IF(ISERROR(VLOOKUP(Base_Periodo1[[#This Row],[CONTA]],BaseContasDRE[#All],5,FALSE)),"Fora do DRE",VLOOKUP(Base_Periodo1[[#This Row],[CONTA]],BaseContasDRE[#All],6,FALSE))</f>
        <v>Fora do DRE</v>
      </c>
      <c r="U2387" s="3" t="str">
        <f>IF(ISERROR(VLOOKUP(Base_Periodo1[[#This Row],[CONTA]],BaseContasDRE[#All],7,FALSE)),"Fora do DRE",VLOOKUP(Base_Periodo1[[#This Row],[CONTA]],BaseContasDRE[#All],7,FALSE))</f>
        <v>Fora do DRE</v>
      </c>
      <c r="V2387" s="3" t="str">
        <f>IF(Base_Periodo1[[#This Row],[Tipo_Linha]]="Fora do DRE","Fora do DRE","( "&amp;Base_Periodo1[[#This Row],[Tipo_Linha]]&amp;" ) "&amp;Base_Periodo1[[#This Row],[Filtro]])</f>
        <v>Fora do DRE</v>
      </c>
      <c r="W2387" s="3" t="str">
        <f>LEFT(Base_Periodo1[[#This Row],[CLASS]],3)</f>
        <v>2.1</v>
      </c>
    </row>
    <row r="2388" spans="1:23" hidden="1">
      <c r="A2388" s="3" t="str">
        <f t="shared" si="37"/>
        <v>Período 1</v>
      </c>
      <c r="B2388">
        <v>3033</v>
      </c>
      <c r="C2388" t="s">
        <v>1730</v>
      </c>
      <c r="D2388" t="s">
        <v>671</v>
      </c>
      <c r="E2388" s="3" t="str">
        <f>IF(LEN(Base_Periodo1[[#This Row],[CLASS]])&gt;=7,LEFT(Base_Periodo1[[#This Row],[CLASS]],7),"")</f>
        <v>2.1.2.1</v>
      </c>
      <c r="F2388" s="3" t="str">
        <f>VLOOKUP(Base_Periodo1[[#This Row],[Aux]],Base_Contas_Balanco[#All],2,FALSE)</f>
        <v>Fornecedores Cooperados</v>
      </c>
      <c r="G2388" s="1">
        <v>42886</v>
      </c>
      <c r="I2388" s="225">
        <v>57434.270000000011</v>
      </c>
      <c r="J2388" s="225">
        <v>57434.270000000004</v>
      </c>
      <c r="K2388" s="225">
        <v>1.8699211068451405E-9</v>
      </c>
      <c r="L23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88" s="225">
        <f>ROUND(IF(AND(Base_Periodo1[[#This Row],[Tipo_Linha]]="-",Base_Periodo1[[#This Row],[TIPOSALDO]]="D"),Base_Periodo1[[#This Row],[SALDO_ATUAL]]*-1,Base_Periodo1[[#This Row],[SALDO_ATUAL]]),4)</f>
        <v>0</v>
      </c>
      <c r="N2388" t="s">
        <v>116</v>
      </c>
      <c r="O2388" t="s">
        <v>436</v>
      </c>
      <c r="P2388" t="s">
        <v>436</v>
      </c>
      <c r="Q2388">
        <v>7</v>
      </c>
      <c r="R2388" s="225">
        <f>Base_Periodo1[[#This Row],[CREDITOS]]-Base_Periodo1[[#This Row],[DEBITOS]]</f>
        <v>0</v>
      </c>
      <c r="S2388" s="3" t="str">
        <f>IF(ISERROR(VLOOKUP(Base_Periodo1[[#This Row],[CONTA]],BaseContasDRE[#All],4,FALSE)),"Fora do DRE",VLOOKUP(Base_Periodo1[[#This Row],[CONTA]],BaseContasDRE[#All],4,FALSE))</f>
        <v>Fora do DRE</v>
      </c>
      <c r="T2388" s="3" t="str">
        <f>IF(ISERROR(VLOOKUP(Base_Periodo1[[#This Row],[CONTA]],BaseContasDRE[#All],5,FALSE)),"Fora do DRE",VLOOKUP(Base_Periodo1[[#This Row],[CONTA]],BaseContasDRE[#All],6,FALSE))</f>
        <v>Fora do DRE</v>
      </c>
      <c r="U2388" s="3" t="str">
        <f>IF(ISERROR(VLOOKUP(Base_Periodo1[[#This Row],[CONTA]],BaseContasDRE[#All],7,FALSE)),"Fora do DRE",VLOOKUP(Base_Periodo1[[#This Row],[CONTA]],BaseContasDRE[#All],7,FALSE))</f>
        <v>Fora do DRE</v>
      </c>
      <c r="V2388" s="3" t="str">
        <f>IF(Base_Periodo1[[#This Row],[Tipo_Linha]]="Fora do DRE","Fora do DRE","( "&amp;Base_Periodo1[[#This Row],[Tipo_Linha]]&amp;" ) "&amp;Base_Periodo1[[#This Row],[Filtro]])</f>
        <v>Fora do DRE</v>
      </c>
      <c r="W2388" s="3" t="str">
        <f>LEFT(Base_Periodo1[[#This Row],[CLASS]],3)</f>
        <v>2.1</v>
      </c>
    </row>
    <row r="2389" spans="1:23" hidden="1">
      <c r="A2389" s="3" t="str">
        <f t="shared" si="37"/>
        <v>Período 1</v>
      </c>
      <c r="B2389">
        <v>2713</v>
      </c>
      <c r="C2389" t="s">
        <v>1730</v>
      </c>
      <c r="D2389" t="s">
        <v>674</v>
      </c>
      <c r="E2389" s="3" t="str">
        <f>IF(LEN(Base_Periodo1[[#This Row],[CLASS]])&gt;=7,LEFT(Base_Periodo1[[#This Row],[CLASS]],7),"")</f>
        <v>2.1.2.1</v>
      </c>
      <c r="F2389" s="3" t="str">
        <f>VLOOKUP(Base_Periodo1[[#This Row],[Aux]],Base_Contas_Balanco[#All],2,FALSE)</f>
        <v>Fornecedores Cooperados</v>
      </c>
      <c r="G2389" s="1">
        <v>42885</v>
      </c>
      <c r="H2389" s="225">
        <v>296.5899999999674</v>
      </c>
      <c r="I2389" s="225">
        <v>135.01</v>
      </c>
      <c r="J2389" s="225">
        <v>5870</v>
      </c>
      <c r="K2389" s="225">
        <v>6031.5799999999672</v>
      </c>
      <c r="L23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6031.58</v>
      </c>
      <c r="M2389" s="225">
        <f>ROUND(IF(AND(Base_Periodo1[[#This Row],[Tipo_Linha]]="-",Base_Periodo1[[#This Row],[TIPOSALDO]]="D"),Base_Periodo1[[#This Row],[SALDO_ATUAL]]*-1,Base_Periodo1[[#This Row],[SALDO_ATUAL]]),4)</f>
        <v>6031.58</v>
      </c>
      <c r="N2389" t="s">
        <v>116</v>
      </c>
      <c r="O2389" t="s">
        <v>459</v>
      </c>
      <c r="P2389" t="s">
        <v>459</v>
      </c>
      <c r="Q2389">
        <v>7</v>
      </c>
      <c r="R2389" s="225">
        <f>Base_Periodo1[[#This Row],[CREDITOS]]-Base_Periodo1[[#This Row],[DEBITOS]]</f>
        <v>5734.99</v>
      </c>
      <c r="S2389" s="3" t="str">
        <f>IF(ISERROR(VLOOKUP(Base_Periodo1[[#This Row],[CONTA]],BaseContasDRE[#All],4,FALSE)),"Fora do DRE",VLOOKUP(Base_Periodo1[[#This Row],[CONTA]],BaseContasDRE[#All],4,FALSE))</f>
        <v>Fora do DRE</v>
      </c>
      <c r="T2389" s="3" t="str">
        <f>IF(ISERROR(VLOOKUP(Base_Periodo1[[#This Row],[CONTA]],BaseContasDRE[#All],5,FALSE)),"Fora do DRE",VLOOKUP(Base_Periodo1[[#This Row],[CONTA]],BaseContasDRE[#All],6,FALSE))</f>
        <v>Fora do DRE</v>
      </c>
      <c r="U2389" s="3" t="str">
        <f>IF(ISERROR(VLOOKUP(Base_Periodo1[[#This Row],[CONTA]],BaseContasDRE[#All],7,FALSE)),"Fora do DRE",VLOOKUP(Base_Periodo1[[#This Row],[CONTA]],BaseContasDRE[#All],7,FALSE))</f>
        <v>Fora do DRE</v>
      </c>
      <c r="V2389" s="3" t="str">
        <f>IF(Base_Periodo1[[#This Row],[Tipo_Linha]]="Fora do DRE","Fora do DRE","( "&amp;Base_Periodo1[[#This Row],[Tipo_Linha]]&amp;" ) "&amp;Base_Periodo1[[#This Row],[Filtro]])</f>
        <v>Fora do DRE</v>
      </c>
      <c r="W2389" s="3" t="str">
        <f>LEFT(Base_Periodo1[[#This Row],[CLASS]],3)</f>
        <v>2.1</v>
      </c>
    </row>
    <row r="2390" spans="1:23" hidden="1">
      <c r="A2390" s="3" t="str">
        <f t="shared" si="37"/>
        <v>Período 1</v>
      </c>
      <c r="B2390">
        <v>2209</v>
      </c>
      <c r="C2390" t="s">
        <v>1730</v>
      </c>
      <c r="D2390" t="s">
        <v>675</v>
      </c>
      <c r="E2390" s="3" t="str">
        <f>IF(LEN(Base_Periodo1[[#This Row],[CLASS]])&gt;=7,LEFT(Base_Periodo1[[#This Row],[CLASS]],7),"")</f>
        <v>2.1.2.1</v>
      </c>
      <c r="F2390" s="3" t="str">
        <f>VLOOKUP(Base_Periodo1[[#This Row],[Aux]],Base_Contas_Balanco[#All],2,FALSE)</f>
        <v>Fornecedores Cooperados</v>
      </c>
      <c r="G2390" s="1">
        <v>42886</v>
      </c>
      <c r="H2390" s="225">
        <v>600828.18000002205</v>
      </c>
      <c r="I2390" s="225">
        <v>3108023.58</v>
      </c>
      <c r="J2390" s="225">
        <v>2672859.9499999993</v>
      </c>
      <c r="K2390" s="225">
        <v>165664.55000002123</v>
      </c>
      <c r="L23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165664.54999999999</v>
      </c>
      <c r="M2390" s="225">
        <f>ROUND(IF(AND(Base_Periodo1[[#This Row],[Tipo_Linha]]="-",Base_Periodo1[[#This Row],[TIPOSALDO]]="D"),Base_Periodo1[[#This Row],[SALDO_ATUAL]]*-1,Base_Periodo1[[#This Row],[SALDO_ATUAL]]),4)</f>
        <v>165664.54999999999</v>
      </c>
      <c r="N2390" t="s">
        <v>116</v>
      </c>
      <c r="O2390" t="s">
        <v>459</v>
      </c>
      <c r="P2390" t="s">
        <v>459</v>
      </c>
      <c r="Q2390">
        <v>7</v>
      </c>
      <c r="R2390" s="225">
        <f>Base_Periodo1[[#This Row],[CREDITOS]]-Base_Periodo1[[#This Row],[DEBITOS]]</f>
        <v>-435163.63000000082</v>
      </c>
      <c r="S2390" s="3" t="str">
        <f>IF(ISERROR(VLOOKUP(Base_Periodo1[[#This Row],[CONTA]],BaseContasDRE[#All],4,FALSE)),"Fora do DRE",VLOOKUP(Base_Periodo1[[#This Row],[CONTA]],BaseContasDRE[#All],4,FALSE))</f>
        <v>Fora do DRE</v>
      </c>
      <c r="T2390" s="3" t="str">
        <f>IF(ISERROR(VLOOKUP(Base_Periodo1[[#This Row],[CONTA]],BaseContasDRE[#All],5,FALSE)),"Fora do DRE",VLOOKUP(Base_Periodo1[[#This Row],[CONTA]],BaseContasDRE[#All],6,FALSE))</f>
        <v>Fora do DRE</v>
      </c>
      <c r="U2390" s="3" t="str">
        <f>IF(ISERROR(VLOOKUP(Base_Periodo1[[#This Row],[CONTA]],BaseContasDRE[#All],7,FALSE)),"Fora do DRE",VLOOKUP(Base_Periodo1[[#This Row],[CONTA]],BaseContasDRE[#All],7,FALSE))</f>
        <v>Fora do DRE</v>
      </c>
      <c r="V2390" s="3" t="str">
        <f>IF(Base_Periodo1[[#This Row],[Tipo_Linha]]="Fora do DRE","Fora do DRE","( "&amp;Base_Periodo1[[#This Row],[Tipo_Linha]]&amp;" ) "&amp;Base_Periodo1[[#This Row],[Filtro]])</f>
        <v>Fora do DRE</v>
      </c>
      <c r="W2390" s="3" t="str">
        <f>LEFT(Base_Periodo1[[#This Row],[CLASS]],3)</f>
        <v>2.1</v>
      </c>
    </row>
    <row r="2391" spans="1:23" hidden="1">
      <c r="A2391" s="3" t="str">
        <f t="shared" si="37"/>
        <v>Período 1</v>
      </c>
      <c r="B2391">
        <v>52788</v>
      </c>
      <c r="C2391" t="s">
        <v>1730</v>
      </c>
      <c r="D2391" t="s">
        <v>4814</v>
      </c>
      <c r="E2391" s="3" t="str">
        <f>IF(LEN(Base_Periodo1[[#This Row],[CLASS]])&gt;=7,LEFT(Base_Periodo1[[#This Row],[CLASS]],7),"")</f>
        <v>2.1.2.1</v>
      </c>
      <c r="F2391" s="3" t="str">
        <f>VLOOKUP(Base_Periodo1[[#This Row],[Aux]],Base_Contas_Balanco[#All],2,FALSE)</f>
        <v>Fornecedores Cooperados</v>
      </c>
      <c r="G2391" s="1">
        <v>42886</v>
      </c>
      <c r="H2391" s="225">
        <v>638720</v>
      </c>
      <c r="I2391" s="225">
        <v>818909.23</v>
      </c>
      <c r="J2391" s="225">
        <v>192668.75</v>
      </c>
      <c r="K2391" s="225">
        <v>12479.520000000019</v>
      </c>
      <c r="L23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12479.52</v>
      </c>
      <c r="M2391" s="225">
        <f>ROUND(IF(AND(Base_Periodo1[[#This Row],[Tipo_Linha]]="-",Base_Periodo1[[#This Row],[TIPOSALDO]]="D"),Base_Periodo1[[#This Row],[SALDO_ATUAL]]*-1,Base_Periodo1[[#This Row],[SALDO_ATUAL]]),4)</f>
        <v>12479.52</v>
      </c>
      <c r="N2391" t="s">
        <v>116</v>
      </c>
      <c r="O2391" t="s">
        <v>459</v>
      </c>
      <c r="P2391" t="s">
        <v>459</v>
      </c>
      <c r="Q2391">
        <v>7</v>
      </c>
      <c r="R2391" s="225">
        <f>Base_Periodo1[[#This Row],[CREDITOS]]-Base_Periodo1[[#This Row],[DEBITOS]]</f>
        <v>-626240.48</v>
      </c>
      <c r="S2391" s="3" t="str">
        <f>IF(ISERROR(VLOOKUP(Base_Periodo1[[#This Row],[CONTA]],BaseContasDRE[#All],4,FALSE)),"Fora do DRE",VLOOKUP(Base_Periodo1[[#This Row],[CONTA]],BaseContasDRE[#All],4,FALSE))</f>
        <v>Fora do DRE</v>
      </c>
      <c r="T2391" s="3" t="str">
        <f>IF(ISERROR(VLOOKUP(Base_Periodo1[[#This Row],[CONTA]],BaseContasDRE[#All],5,FALSE)),"Fora do DRE",VLOOKUP(Base_Periodo1[[#This Row],[CONTA]],BaseContasDRE[#All],6,FALSE))</f>
        <v>Fora do DRE</v>
      </c>
      <c r="U2391" s="3" t="str">
        <f>IF(ISERROR(VLOOKUP(Base_Periodo1[[#This Row],[CONTA]],BaseContasDRE[#All],7,FALSE)),"Fora do DRE",VLOOKUP(Base_Periodo1[[#This Row],[CONTA]],BaseContasDRE[#All],7,FALSE))</f>
        <v>Fora do DRE</v>
      </c>
      <c r="V2391" s="3" t="str">
        <f>IF(Base_Periodo1[[#This Row],[Tipo_Linha]]="Fora do DRE","Fora do DRE","( "&amp;Base_Periodo1[[#This Row],[Tipo_Linha]]&amp;" ) "&amp;Base_Periodo1[[#This Row],[Filtro]])</f>
        <v>Fora do DRE</v>
      </c>
      <c r="W2391" s="3" t="str">
        <f>LEFT(Base_Periodo1[[#This Row],[CLASS]],3)</f>
        <v>2.1</v>
      </c>
    </row>
    <row r="2392" spans="1:23" hidden="1">
      <c r="A2392" s="3" t="str">
        <f t="shared" si="37"/>
        <v>Período 1</v>
      </c>
      <c r="B2392">
        <v>51853</v>
      </c>
      <c r="C2392" t="s">
        <v>1730</v>
      </c>
      <c r="D2392" t="s">
        <v>4365</v>
      </c>
      <c r="E2392" s="3" t="str">
        <f>IF(LEN(Base_Periodo1[[#This Row],[CLASS]])&gt;=7,LEFT(Base_Periodo1[[#This Row],[CLASS]],7),"")</f>
        <v>2.1.2.1</v>
      </c>
      <c r="F2392" s="3" t="str">
        <f>VLOOKUP(Base_Periodo1[[#This Row],[Aux]],Base_Contas_Balanco[#All],2,FALSE)</f>
        <v>Fornecedores Cooperados</v>
      </c>
      <c r="G2392" s="1">
        <v>42872</v>
      </c>
      <c r="I2392" s="225">
        <v>38482.86</v>
      </c>
      <c r="J2392" s="225">
        <v>38482.86</v>
      </c>
      <c r="K2392" s="225">
        <v>2.9103830456733704E-11</v>
      </c>
      <c r="L23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92" s="225">
        <f>ROUND(IF(AND(Base_Periodo1[[#This Row],[Tipo_Linha]]="-",Base_Periodo1[[#This Row],[TIPOSALDO]]="D"),Base_Periodo1[[#This Row],[SALDO_ATUAL]]*-1,Base_Periodo1[[#This Row],[SALDO_ATUAL]]),4)</f>
        <v>0</v>
      </c>
      <c r="N2392" t="s">
        <v>116</v>
      </c>
      <c r="O2392" t="s">
        <v>436</v>
      </c>
      <c r="P2392" t="s">
        <v>436</v>
      </c>
      <c r="Q2392">
        <v>7</v>
      </c>
      <c r="R2392" s="225">
        <f>Base_Periodo1[[#This Row],[CREDITOS]]-Base_Periodo1[[#This Row],[DEBITOS]]</f>
        <v>0</v>
      </c>
      <c r="S2392" s="3" t="str">
        <f>IF(ISERROR(VLOOKUP(Base_Periodo1[[#This Row],[CONTA]],BaseContasDRE[#All],4,FALSE)),"Fora do DRE",VLOOKUP(Base_Periodo1[[#This Row],[CONTA]],BaseContasDRE[#All],4,FALSE))</f>
        <v>Fora do DRE</v>
      </c>
      <c r="T2392" s="3" t="str">
        <f>IF(ISERROR(VLOOKUP(Base_Periodo1[[#This Row],[CONTA]],BaseContasDRE[#All],5,FALSE)),"Fora do DRE",VLOOKUP(Base_Periodo1[[#This Row],[CONTA]],BaseContasDRE[#All],6,FALSE))</f>
        <v>Fora do DRE</v>
      </c>
      <c r="U2392" s="3" t="str">
        <f>IF(ISERROR(VLOOKUP(Base_Periodo1[[#This Row],[CONTA]],BaseContasDRE[#All],7,FALSE)),"Fora do DRE",VLOOKUP(Base_Periodo1[[#This Row],[CONTA]],BaseContasDRE[#All],7,FALSE))</f>
        <v>Fora do DRE</v>
      </c>
      <c r="V2392" s="3" t="str">
        <f>IF(Base_Periodo1[[#This Row],[Tipo_Linha]]="Fora do DRE","Fora do DRE","( "&amp;Base_Periodo1[[#This Row],[Tipo_Linha]]&amp;" ) "&amp;Base_Periodo1[[#This Row],[Filtro]])</f>
        <v>Fora do DRE</v>
      </c>
      <c r="W2392" s="3" t="str">
        <f>LEFT(Base_Periodo1[[#This Row],[CLASS]],3)</f>
        <v>2.1</v>
      </c>
    </row>
    <row r="2393" spans="1:23" hidden="1">
      <c r="A2393" s="3" t="str">
        <f t="shared" si="37"/>
        <v>Período 1</v>
      </c>
      <c r="B2393">
        <v>47842</v>
      </c>
      <c r="C2393" t="s">
        <v>1730</v>
      </c>
      <c r="D2393" t="s">
        <v>4189</v>
      </c>
      <c r="E2393" s="3" t="str">
        <f>IF(LEN(Base_Periodo1[[#This Row],[CLASS]])&gt;=7,LEFT(Base_Periodo1[[#This Row],[CLASS]],7),"")</f>
        <v>2.1.2.1</v>
      </c>
      <c r="F2393" s="3" t="str">
        <f>VLOOKUP(Base_Periodo1[[#This Row],[Aux]],Base_Contas_Balanco[#All],2,FALSE)</f>
        <v>Fornecedores Cooperados</v>
      </c>
      <c r="G2393" s="1">
        <v>42870</v>
      </c>
      <c r="I2393" s="225">
        <v>19447.530000000002</v>
      </c>
      <c r="J2393" s="225">
        <v>19447.53</v>
      </c>
      <c r="K2393" s="225">
        <v>0</v>
      </c>
      <c r="L23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93" s="225">
        <f>ROUND(IF(AND(Base_Periodo1[[#This Row],[Tipo_Linha]]="-",Base_Periodo1[[#This Row],[TIPOSALDO]]="D"),Base_Periodo1[[#This Row],[SALDO_ATUAL]]*-1,Base_Periodo1[[#This Row],[SALDO_ATUAL]]),4)</f>
        <v>0</v>
      </c>
      <c r="N2393" t="s">
        <v>116</v>
      </c>
      <c r="O2393" t="s">
        <v>436</v>
      </c>
      <c r="P2393" t="s">
        <v>436</v>
      </c>
      <c r="Q2393">
        <v>7</v>
      </c>
      <c r="R2393" s="225">
        <f>Base_Periodo1[[#This Row],[CREDITOS]]-Base_Periodo1[[#This Row],[DEBITOS]]</f>
        <v>0</v>
      </c>
      <c r="S2393" s="3" t="str">
        <f>IF(ISERROR(VLOOKUP(Base_Periodo1[[#This Row],[CONTA]],BaseContasDRE[#All],4,FALSE)),"Fora do DRE",VLOOKUP(Base_Periodo1[[#This Row],[CONTA]],BaseContasDRE[#All],4,FALSE))</f>
        <v>Fora do DRE</v>
      </c>
      <c r="T2393" s="3" t="str">
        <f>IF(ISERROR(VLOOKUP(Base_Periodo1[[#This Row],[CONTA]],BaseContasDRE[#All],5,FALSE)),"Fora do DRE",VLOOKUP(Base_Periodo1[[#This Row],[CONTA]],BaseContasDRE[#All],6,FALSE))</f>
        <v>Fora do DRE</v>
      </c>
      <c r="U2393" s="3" t="str">
        <f>IF(ISERROR(VLOOKUP(Base_Periodo1[[#This Row],[CONTA]],BaseContasDRE[#All],7,FALSE)),"Fora do DRE",VLOOKUP(Base_Periodo1[[#This Row],[CONTA]],BaseContasDRE[#All],7,FALSE))</f>
        <v>Fora do DRE</v>
      </c>
      <c r="V2393" s="3" t="str">
        <f>IF(Base_Periodo1[[#This Row],[Tipo_Linha]]="Fora do DRE","Fora do DRE","( "&amp;Base_Periodo1[[#This Row],[Tipo_Linha]]&amp;" ) "&amp;Base_Periodo1[[#This Row],[Filtro]])</f>
        <v>Fora do DRE</v>
      </c>
      <c r="W2393" s="3" t="str">
        <f>LEFT(Base_Periodo1[[#This Row],[CLASS]],3)</f>
        <v>2.1</v>
      </c>
    </row>
    <row r="2394" spans="1:23" hidden="1">
      <c r="A2394" s="3" t="str">
        <f t="shared" si="37"/>
        <v>Período 1</v>
      </c>
      <c r="B2394">
        <v>2229</v>
      </c>
      <c r="C2394" t="s">
        <v>1730</v>
      </c>
      <c r="D2394" t="s">
        <v>677</v>
      </c>
      <c r="E2394" s="3" t="str">
        <f>IF(LEN(Base_Periodo1[[#This Row],[CLASS]])&gt;=7,LEFT(Base_Periodo1[[#This Row],[CLASS]],7),"")</f>
        <v>2.1.2.1</v>
      </c>
      <c r="F2394" s="3" t="str">
        <f>VLOOKUP(Base_Periodo1[[#This Row],[Aux]],Base_Contas_Balanco[#All],2,FALSE)</f>
        <v>Fornecedores Cooperados</v>
      </c>
      <c r="G2394" s="1">
        <v>42881</v>
      </c>
      <c r="I2394" s="225">
        <v>90954</v>
      </c>
      <c r="J2394" s="225">
        <v>90954</v>
      </c>
      <c r="K2394" s="225">
        <v>-6.9849193096160889E-10</v>
      </c>
      <c r="L23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94" s="225">
        <f>ROUND(IF(AND(Base_Periodo1[[#This Row],[Tipo_Linha]]="-",Base_Periodo1[[#This Row],[TIPOSALDO]]="D"),Base_Periodo1[[#This Row],[SALDO_ATUAL]]*-1,Base_Periodo1[[#This Row],[SALDO_ATUAL]]),4)</f>
        <v>0</v>
      </c>
      <c r="N2394" t="s">
        <v>116</v>
      </c>
      <c r="O2394" t="s">
        <v>436</v>
      </c>
      <c r="P2394" t="s">
        <v>436</v>
      </c>
      <c r="Q2394">
        <v>7</v>
      </c>
      <c r="R2394" s="225">
        <f>Base_Periodo1[[#This Row],[CREDITOS]]-Base_Periodo1[[#This Row],[DEBITOS]]</f>
        <v>0</v>
      </c>
      <c r="S2394" s="3" t="str">
        <f>IF(ISERROR(VLOOKUP(Base_Periodo1[[#This Row],[CONTA]],BaseContasDRE[#All],4,FALSE)),"Fora do DRE",VLOOKUP(Base_Periodo1[[#This Row],[CONTA]],BaseContasDRE[#All],4,FALSE))</f>
        <v>Fora do DRE</v>
      </c>
      <c r="T2394" s="3" t="str">
        <f>IF(ISERROR(VLOOKUP(Base_Periodo1[[#This Row],[CONTA]],BaseContasDRE[#All],5,FALSE)),"Fora do DRE",VLOOKUP(Base_Periodo1[[#This Row],[CONTA]],BaseContasDRE[#All],6,FALSE))</f>
        <v>Fora do DRE</v>
      </c>
      <c r="U2394" s="3" t="str">
        <f>IF(ISERROR(VLOOKUP(Base_Periodo1[[#This Row],[CONTA]],BaseContasDRE[#All],7,FALSE)),"Fora do DRE",VLOOKUP(Base_Periodo1[[#This Row],[CONTA]],BaseContasDRE[#All],7,FALSE))</f>
        <v>Fora do DRE</v>
      </c>
      <c r="V2394" s="3" t="str">
        <f>IF(Base_Periodo1[[#This Row],[Tipo_Linha]]="Fora do DRE","Fora do DRE","( "&amp;Base_Periodo1[[#This Row],[Tipo_Linha]]&amp;" ) "&amp;Base_Periodo1[[#This Row],[Filtro]])</f>
        <v>Fora do DRE</v>
      </c>
      <c r="W2394" s="3" t="str">
        <f>LEFT(Base_Periodo1[[#This Row],[CLASS]],3)</f>
        <v>2.1</v>
      </c>
    </row>
    <row r="2395" spans="1:23" hidden="1">
      <c r="A2395" s="3" t="str">
        <f t="shared" si="37"/>
        <v>Período 1</v>
      </c>
      <c r="B2395">
        <v>48128</v>
      </c>
      <c r="C2395" t="s">
        <v>1730</v>
      </c>
      <c r="D2395" t="s">
        <v>5143</v>
      </c>
      <c r="E2395" s="3" t="str">
        <f>IF(LEN(Base_Periodo1[[#This Row],[CLASS]])&gt;=7,LEFT(Base_Periodo1[[#This Row],[CLASS]],7),"")</f>
        <v>2.1.2.1</v>
      </c>
      <c r="F2395" s="3" t="str">
        <f>VLOOKUP(Base_Periodo1[[#This Row],[Aux]],Base_Contas_Balanco[#All],2,FALSE)</f>
        <v>Fornecedores Cooperados</v>
      </c>
      <c r="G2395" s="1">
        <v>42878</v>
      </c>
      <c r="I2395" s="225">
        <v>31008.879999999997</v>
      </c>
      <c r="J2395" s="225">
        <v>31008.880000000001</v>
      </c>
      <c r="K2395" s="225">
        <v>1.0913936421275139E-11</v>
      </c>
      <c r="L23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95" s="225">
        <f>ROUND(IF(AND(Base_Periodo1[[#This Row],[Tipo_Linha]]="-",Base_Periodo1[[#This Row],[TIPOSALDO]]="D"),Base_Periodo1[[#This Row],[SALDO_ATUAL]]*-1,Base_Periodo1[[#This Row],[SALDO_ATUAL]]),4)</f>
        <v>0</v>
      </c>
      <c r="N2395" t="s">
        <v>116</v>
      </c>
      <c r="O2395" t="s">
        <v>436</v>
      </c>
      <c r="P2395" t="s">
        <v>436</v>
      </c>
      <c r="Q2395">
        <v>7</v>
      </c>
      <c r="R2395" s="225">
        <f>Base_Periodo1[[#This Row],[CREDITOS]]-Base_Periodo1[[#This Row],[DEBITOS]]</f>
        <v>0</v>
      </c>
      <c r="S2395" s="3" t="str">
        <f>IF(ISERROR(VLOOKUP(Base_Periodo1[[#This Row],[CONTA]],BaseContasDRE[#All],4,FALSE)),"Fora do DRE",VLOOKUP(Base_Periodo1[[#This Row],[CONTA]],BaseContasDRE[#All],4,FALSE))</f>
        <v>Fora do DRE</v>
      </c>
      <c r="T2395" s="3" t="str">
        <f>IF(ISERROR(VLOOKUP(Base_Periodo1[[#This Row],[CONTA]],BaseContasDRE[#All],5,FALSE)),"Fora do DRE",VLOOKUP(Base_Periodo1[[#This Row],[CONTA]],BaseContasDRE[#All],6,FALSE))</f>
        <v>Fora do DRE</v>
      </c>
      <c r="U2395" s="3" t="str">
        <f>IF(ISERROR(VLOOKUP(Base_Periodo1[[#This Row],[CONTA]],BaseContasDRE[#All],7,FALSE)),"Fora do DRE",VLOOKUP(Base_Periodo1[[#This Row],[CONTA]],BaseContasDRE[#All],7,FALSE))</f>
        <v>Fora do DRE</v>
      </c>
      <c r="V2395" s="3" t="str">
        <f>IF(Base_Periodo1[[#This Row],[Tipo_Linha]]="Fora do DRE","Fora do DRE","( "&amp;Base_Periodo1[[#This Row],[Tipo_Linha]]&amp;" ) "&amp;Base_Periodo1[[#This Row],[Filtro]])</f>
        <v>Fora do DRE</v>
      </c>
      <c r="W2395" s="3" t="str">
        <f>LEFT(Base_Periodo1[[#This Row],[CLASS]],3)</f>
        <v>2.1</v>
      </c>
    </row>
    <row r="2396" spans="1:23" hidden="1">
      <c r="A2396" s="3" t="str">
        <f t="shared" si="37"/>
        <v>Período 1</v>
      </c>
      <c r="B2396">
        <v>37379</v>
      </c>
      <c r="C2396" t="s">
        <v>1730</v>
      </c>
      <c r="D2396" t="s">
        <v>6848</v>
      </c>
      <c r="E2396" s="3" t="str">
        <f>IF(LEN(Base_Periodo1[[#This Row],[CLASS]])&gt;=7,LEFT(Base_Periodo1[[#This Row],[CLASS]],7),"")</f>
        <v>2.1.2.1</v>
      </c>
      <c r="F2396" s="3" t="str">
        <f>VLOOKUP(Base_Periodo1[[#This Row],[Aux]],Base_Contas_Balanco[#All],2,FALSE)</f>
        <v>Fornecedores Cooperados</v>
      </c>
      <c r="G2396" s="1">
        <v>42867</v>
      </c>
      <c r="I2396" s="225">
        <v>28510.12</v>
      </c>
      <c r="J2396" s="225">
        <v>28510.12</v>
      </c>
      <c r="K2396" s="225">
        <v>5.8207660913467407E-11</v>
      </c>
      <c r="L23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396" s="225">
        <f>ROUND(IF(AND(Base_Periodo1[[#This Row],[Tipo_Linha]]="-",Base_Periodo1[[#This Row],[TIPOSALDO]]="D"),Base_Periodo1[[#This Row],[SALDO_ATUAL]]*-1,Base_Periodo1[[#This Row],[SALDO_ATUAL]]),4)</f>
        <v>0</v>
      </c>
      <c r="N2396" t="s">
        <v>116</v>
      </c>
      <c r="O2396" t="s">
        <v>436</v>
      </c>
      <c r="P2396" t="s">
        <v>436</v>
      </c>
      <c r="Q2396">
        <v>7</v>
      </c>
      <c r="R2396" s="225">
        <f>Base_Periodo1[[#This Row],[CREDITOS]]-Base_Periodo1[[#This Row],[DEBITOS]]</f>
        <v>0</v>
      </c>
      <c r="S2396" s="3" t="str">
        <f>IF(ISERROR(VLOOKUP(Base_Periodo1[[#This Row],[CONTA]],BaseContasDRE[#All],4,FALSE)),"Fora do DRE",VLOOKUP(Base_Periodo1[[#This Row],[CONTA]],BaseContasDRE[#All],4,FALSE))</f>
        <v>Fora do DRE</v>
      </c>
      <c r="T2396" s="3" t="str">
        <f>IF(ISERROR(VLOOKUP(Base_Periodo1[[#This Row],[CONTA]],BaseContasDRE[#All],5,FALSE)),"Fora do DRE",VLOOKUP(Base_Periodo1[[#This Row],[CONTA]],BaseContasDRE[#All],6,FALSE))</f>
        <v>Fora do DRE</v>
      </c>
      <c r="U2396" s="3" t="str">
        <f>IF(ISERROR(VLOOKUP(Base_Periodo1[[#This Row],[CONTA]],BaseContasDRE[#All],7,FALSE)),"Fora do DRE",VLOOKUP(Base_Periodo1[[#This Row],[CONTA]],BaseContasDRE[#All],7,FALSE))</f>
        <v>Fora do DRE</v>
      </c>
      <c r="V2396" s="3" t="str">
        <f>IF(Base_Periodo1[[#This Row],[Tipo_Linha]]="Fora do DRE","Fora do DRE","( "&amp;Base_Periodo1[[#This Row],[Tipo_Linha]]&amp;" ) "&amp;Base_Periodo1[[#This Row],[Filtro]])</f>
        <v>Fora do DRE</v>
      </c>
      <c r="W2396" s="3" t="str">
        <f>LEFT(Base_Periodo1[[#This Row],[CLASS]],3)</f>
        <v>2.1</v>
      </c>
    </row>
    <row r="2397" spans="1:23" hidden="1">
      <c r="A2397" s="3" t="str">
        <f t="shared" si="37"/>
        <v>Período 1</v>
      </c>
      <c r="B2397">
        <v>39462</v>
      </c>
      <c r="C2397" t="s">
        <v>1730</v>
      </c>
      <c r="D2397" t="s">
        <v>680</v>
      </c>
      <c r="E2397" s="3" t="str">
        <f>IF(LEN(Base_Periodo1[[#This Row],[CLASS]])&gt;=7,LEFT(Base_Periodo1[[#This Row],[CLASS]],7),"")</f>
        <v>2.1.2.1</v>
      </c>
      <c r="F2397" s="3" t="str">
        <f>VLOOKUP(Base_Periodo1[[#This Row],[Aux]],Base_Contas_Balanco[#All],2,FALSE)</f>
        <v>Fornecedores Cooperados</v>
      </c>
      <c r="G2397" s="1">
        <v>42870</v>
      </c>
      <c r="H2397" s="225">
        <v>924.26000000000931</v>
      </c>
      <c r="I2397" s="225">
        <v>187917.43000000002</v>
      </c>
      <c r="J2397" s="225">
        <v>187435.84</v>
      </c>
      <c r="K2397" s="225">
        <v>442.6699999999837</v>
      </c>
      <c r="L23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442.67</v>
      </c>
      <c r="M2397" s="225">
        <f>ROUND(IF(AND(Base_Periodo1[[#This Row],[Tipo_Linha]]="-",Base_Periodo1[[#This Row],[TIPOSALDO]]="D"),Base_Periodo1[[#This Row],[SALDO_ATUAL]]*-1,Base_Periodo1[[#This Row],[SALDO_ATUAL]]),4)</f>
        <v>442.67</v>
      </c>
      <c r="N2397" t="s">
        <v>116</v>
      </c>
      <c r="O2397" t="s">
        <v>459</v>
      </c>
      <c r="P2397" t="s">
        <v>459</v>
      </c>
      <c r="Q2397">
        <v>7</v>
      </c>
      <c r="R2397" s="225">
        <f>Base_Periodo1[[#This Row],[CREDITOS]]-Base_Periodo1[[#This Row],[DEBITOS]]</f>
        <v>-481.59000000002561</v>
      </c>
      <c r="S2397" s="3" t="str">
        <f>IF(ISERROR(VLOOKUP(Base_Periodo1[[#This Row],[CONTA]],BaseContasDRE[#All],4,FALSE)),"Fora do DRE",VLOOKUP(Base_Periodo1[[#This Row],[CONTA]],BaseContasDRE[#All],4,FALSE))</f>
        <v>Fora do DRE</v>
      </c>
      <c r="T2397" s="3" t="str">
        <f>IF(ISERROR(VLOOKUP(Base_Periodo1[[#This Row],[CONTA]],BaseContasDRE[#All],5,FALSE)),"Fora do DRE",VLOOKUP(Base_Periodo1[[#This Row],[CONTA]],BaseContasDRE[#All],6,FALSE))</f>
        <v>Fora do DRE</v>
      </c>
      <c r="U2397" s="3" t="str">
        <f>IF(ISERROR(VLOOKUP(Base_Periodo1[[#This Row],[CONTA]],BaseContasDRE[#All],7,FALSE)),"Fora do DRE",VLOOKUP(Base_Periodo1[[#This Row],[CONTA]],BaseContasDRE[#All],7,FALSE))</f>
        <v>Fora do DRE</v>
      </c>
      <c r="V2397" s="3" t="str">
        <f>IF(Base_Periodo1[[#This Row],[Tipo_Linha]]="Fora do DRE","Fora do DRE","( "&amp;Base_Periodo1[[#This Row],[Tipo_Linha]]&amp;" ) "&amp;Base_Periodo1[[#This Row],[Filtro]])</f>
        <v>Fora do DRE</v>
      </c>
      <c r="W2397" s="3" t="str">
        <f>LEFT(Base_Periodo1[[#This Row],[CLASS]],3)</f>
        <v>2.1</v>
      </c>
    </row>
    <row r="2398" spans="1:23" hidden="1">
      <c r="A2398" s="3" t="str">
        <f t="shared" si="37"/>
        <v>Período 1</v>
      </c>
      <c r="B2398">
        <v>22003</v>
      </c>
      <c r="C2398" t="s">
        <v>1730</v>
      </c>
      <c r="D2398" t="s">
        <v>681</v>
      </c>
      <c r="E2398" s="3" t="str">
        <f>IF(LEN(Base_Periodo1[[#This Row],[CLASS]])&gt;=7,LEFT(Base_Periodo1[[#This Row],[CLASS]],7),"")</f>
        <v>2.1.2.1</v>
      </c>
      <c r="F2398" s="3" t="str">
        <f>VLOOKUP(Base_Periodo1[[#This Row],[Aux]],Base_Contas_Balanco[#All],2,FALSE)</f>
        <v>Fornecedores Cooperados</v>
      </c>
      <c r="G2398" s="1">
        <v>42878</v>
      </c>
      <c r="H2398" s="225">
        <v>110832.91000000015</v>
      </c>
      <c r="I2398" s="225">
        <v>579301.78999999992</v>
      </c>
      <c r="J2398" s="225">
        <v>998702.95000000007</v>
      </c>
      <c r="K2398" s="225">
        <v>530234.0700000003</v>
      </c>
      <c r="L23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530234.06999999995</v>
      </c>
      <c r="M2398" s="225">
        <f>ROUND(IF(AND(Base_Periodo1[[#This Row],[Tipo_Linha]]="-",Base_Periodo1[[#This Row],[TIPOSALDO]]="D"),Base_Periodo1[[#This Row],[SALDO_ATUAL]]*-1,Base_Periodo1[[#This Row],[SALDO_ATUAL]]),4)</f>
        <v>530234.06999999995</v>
      </c>
      <c r="N2398" t="s">
        <v>116</v>
      </c>
      <c r="O2398" t="s">
        <v>459</v>
      </c>
      <c r="P2398" t="s">
        <v>459</v>
      </c>
      <c r="Q2398">
        <v>7</v>
      </c>
      <c r="R2398" s="225">
        <f>Base_Periodo1[[#This Row],[CREDITOS]]-Base_Periodo1[[#This Row],[DEBITOS]]</f>
        <v>419401.16000000015</v>
      </c>
      <c r="S2398" s="3" t="str">
        <f>IF(ISERROR(VLOOKUP(Base_Periodo1[[#This Row],[CONTA]],BaseContasDRE[#All],4,FALSE)),"Fora do DRE",VLOOKUP(Base_Periodo1[[#This Row],[CONTA]],BaseContasDRE[#All],4,FALSE))</f>
        <v>Fora do DRE</v>
      </c>
      <c r="T2398" s="3" t="str">
        <f>IF(ISERROR(VLOOKUP(Base_Periodo1[[#This Row],[CONTA]],BaseContasDRE[#All],5,FALSE)),"Fora do DRE",VLOOKUP(Base_Periodo1[[#This Row],[CONTA]],BaseContasDRE[#All],6,FALSE))</f>
        <v>Fora do DRE</v>
      </c>
      <c r="U2398" s="3" t="str">
        <f>IF(ISERROR(VLOOKUP(Base_Periodo1[[#This Row],[CONTA]],BaseContasDRE[#All],7,FALSE)),"Fora do DRE",VLOOKUP(Base_Periodo1[[#This Row],[CONTA]],BaseContasDRE[#All],7,FALSE))</f>
        <v>Fora do DRE</v>
      </c>
      <c r="V2398" s="3" t="str">
        <f>IF(Base_Periodo1[[#This Row],[Tipo_Linha]]="Fora do DRE","Fora do DRE","( "&amp;Base_Periodo1[[#This Row],[Tipo_Linha]]&amp;" ) "&amp;Base_Periodo1[[#This Row],[Filtro]])</f>
        <v>Fora do DRE</v>
      </c>
      <c r="W2398" s="3" t="str">
        <f>LEFT(Base_Periodo1[[#This Row],[CLASS]],3)</f>
        <v>2.1</v>
      </c>
    </row>
    <row r="2399" spans="1:23" hidden="1">
      <c r="A2399" s="3" t="str">
        <f t="shared" si="37"/>
        <v>Período 1</v>
      </c>
      <c r="B2399">
        <v>19054</v>
      </c>
      <c r="C2399" t="s">
        <v>1730</v>
      </c>
      <c r="D2399" t="s">
        <v>4271</v>
      </c>
      <c r="E2399" s="3" t="str">
        <f>IF(LEN(Base_Periodo1[[#This Row],[CLASS]])&gt;=7,LEFT(Base_Periodo1[[#This Row],[CLASS]],7),"")</f>
        <v>2.1.2.1</v>
      </c>
      <c r="F2399" s="3" t="str">
        <f>VLOOKUP(Base_Periodo1[[#This Row],[Aux]],Base_Contas_Balanco[#All],2,FALSE)</f>
        <v>Fornecedores Cooperados</v>
      </c>
      <c r="G2399" s="1">
        <v>42341</v>
      </c>
      <c r="H2399" s="225">
        <v>1501.1099999999569</v>
      </c>
      <c r="I2399" s="225">
        <v>0</v>
      </c>
      <c r="J2399" s="225">
        <v>0</v>
      </c>
      <c r="K2399" s="225">
        <v>1501.1099999999569</v>
      </c>
      <c r="L23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1501.11</v>
      </c>
      <c r="M2399" s="225">
        <f>ROUND(IF(AND(Base_Periodo1[[#This Row],[Tipo_Linha]]="-",Base_Periodo1[[#This Row],[TIPOSALDO]]="D"),Base_Periodo1[[#This Row],[SALDO_ATUAL]]*-1,Base_Periodo1[[#This Row],[SALDO_ATUAL]]),4)</f>
        <v>1501.11</v>
      </c>
      <c r="N2399" t="s">
        <v>116</v>
      </c>
      <c r="O2399" t="s">
        <v>459</v>
      </c>
      <c r="P2399" t="s">
        <v>459</v>
      </c>
      <c r="Q2399">
        <v>7</v>
      </c>
      <c r="R2399" s="225">
        <f>Base_Periodo1[[#This Row],[CREDITOS]]-Base_Periodo1[[#This Row],[DEBITOS]]</f>
        <v>0</v>
      </c>
      <c r="S2399" s="3" t="str">
        <f>IF(ISERROR(VLOOKUP(Base_Periodo1[[#This Row],[CONTA]],BaseContasDRE[#All],4,FALSE)),"Fora do DRE",VLOOKUP(Base_Periodo1[[#This Row],[CONTA]],BaseContasDRE[#All],4,FALSE))</f>
        <v>Fora do DRE</v>
      </c>
      <c r="T2399" s="3" t="str">
        <f>IF(ISERROR(VLOOKUP(Base_Periodo1[[#This Row],[CONTA]],BaseContasDRE[#All],5,FALSE)),"Fora do DRE",VLOOKUP(Base_Periodo1[[#This Row],[CONTA]],BaseContasDRE[#All],6,FALSE))</f>
        <v>Fora do DRE</v>
      </c>
      <c r="U2399" s="3" t="str">
        <f>IF(ISERROR(VLOOKUP(Base_Periodo1[[#This Row],[CONTA]],BaseContasDRE[#All],7,FALSE)),"Fora do DRE",VLOOKUP(Base_Periodo1[[#This Row],[CONTA]],BaseContasDRE[#All],7,FALSE))</f>
        <v>Fora do DRE</v>
      </c>
      <c r="V2399" s="3" t="str">
        <f>IF(Base_Periodo1[[#This Row],[Tipo_Linha]]="Fora do DRE","Fora do DRE","( "&amp;Base_Periodo1[[#This Row],[Tipo_Linha]]&amp;" ) "&amp;Base_Periodo1[[#This Row],[Filtro]])</f>
        <v>Fora do DRE</v>
      </c>
      <c r="W2399" s="3" t="str">
        <f>LEFT(Base_Periodo1[[#This Row],[CLASS]],3)</f>
        <v>2.1</v>
      </c>
    </row>
    <row r="2400" spans="1:23" hidden="1">
      <c r="A2400" s="3" t="str">
        <f t="shared" si="37"/>
        <v>Período 1</v>
      </c>
      <c r="B2400">
        <v>47265</v>
      </c>
      <c r="C2400" t="s">
        <v>1730</v>
      </c>
      <c r="D2400" t="s">
        <v>4934</v>
      </c>
      <c r="E2400" s="3" t="str">
        <f>IF(LEN(Base_Periodo1[[#This Row],[CLASS]])&gt;=7,LEFT(Base_Periodo1[[#This Row],[CLASS]],7),"")</f>
        <v>2.1.2.1</v>
      </c>
      <c r="F2400" s="3" t="str">
        <f>VLOOKUP(Base_Periodo1[[#This Row],[Aux]],Base_Contas_Balanco[#All],2,FALSE)</f>
        <v>Fornecedores Cooperados</v>
      </c>
      <c r="G2400" s="1">
        <v>42857</v>
      </c>
      <c r="I2400" s="225">
        <v>57000</v>
      </c>
      <c r="J2400" s="225">
        <v>57000</v>
      </c>
      <c r="K2400" s="225">
        <v>-2.3283064365386963E-10</v>
      </c>
      <c r="L24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00" s="225">
        <f>ROUND(IF(AND(Base_Periodo1[[#This Row],[Tipo_Linha]]="-",Base_Periodo1[[#This Row],[TIPOSALDO]]="D"),Base_Periodo1[[#This Row],[SALDO_ATUAL]]*-1,Base_Periodo1[[#This Row],[SALDO_ATUAL]]),4)</f>
        <v>0</v>
      </c>
      <c r="N2400" t="s">
        <v>116</v>
      </c>
      <c r="O2400" t="s">
        <v>436</v>
      </c>
      <c r="P2400" t="s">
        <v>436</v>
      </c>
      <c r="Q2400">
        <v>7</v>
      </c>
      <c r="R2400" s="225">
        <f>Base_Periodo1[[#This Row],[CREDITOS]]-Base_Periodo1[[#This Row],[DEBITOS]]</f>
        <v>0</v>
      </c>
      <c r="S2400" s="3" t="str">
        <f>IF(ISERROR(VLOOKUP(Base_Periodo1[[#This Row],[CONTA]],BaseContasDRE[#All],4,FALSE)),"Fora do DRE",VLOOKUP(Base_Periodo1[[#This Row],[CONTA]],BaseContasDRE[#All],4,FALSE))</f>
        <v>Fora do DRE</v>
      </c>
      <c r="T2400" s="3" t="str">
        <f>IF(ISERROR(VLOOKUP(Base_Periodo1[[#This Row],[CONTA]],BaseContasDRE[#All],5,FALSE)),"Fora do DRE",VLOOKUP(Base_Periodo1[[#This Row],[CONTA]],BaseContasDRE[#All],6,FALSE))</f>
        <v>Fora do DRE</v>
      </c>
      <c r="U2400" s="3" t="str">
        <f>IF(ISERROR(VLOOKUP(Base_Periodo1[[#This Row],[CONTA]],BaseContasDRE[#All],7,FALSE)),"Fora do DRE",VLOOKUP(Base_Periodo1[[#This Row],[CONTA]],BaseContasDRE[#All],7,FALSE))</f>
        <v>Fora do DRE</v>
      </c>
      <c r="V2400" s="3" t="str">
        <f>IF(Base_Periodo1[[#This Row],[Tipo_Linha]]="Fora do DRE","Fora do DRE","( "&amp;Base_Periodo1[[#This Row],[Tipo_Linha]]&amp;" ) "&amp;Base_Periodo1[[#This Row],[Filtro]])</f>
        <v>Fora do DRE</v>
      </c>
      <c r="W2400" s="3" t="str">
        <f>LEFT(Base_Periodo1[[#This Row],[CLASS]],3)</f>
        <v>2.1</v>
      </c>
    </row>
    <row r="2401" spans="1:23" hidden="1">
      <c r="A2401" s="3" t="str">
        <f t="shared" si="37"/>
        <v>Período 1</v>
      </c>
      <c r="B2401">
        <v>37327</v>
      </c>
      <c r="C2401" t="s">
        <v>1730</v>
      </c>
      <c r="D2401" t="s">
        <v>5388</v>
      </c>
      <c r="E2401" s="3" t="str">
        <f>IF(LEN(Base_Periodo1[[#This Row],[CLASS]])&gt;=7,LEFT(Base_Periodo1[[#This Row],[CLASS]],7),"")</f>
        <v>2.1.2.1</v>
      </c>
      <c r="F2401" s="3" t="str">
        <f>VLOOKUP(Base_Periodo1[[#This Row],[Aux]],Base_Contas_Balanco[#All],2,FALSE)</f>
        <v>Fornecedores Cooperados</v>
      </c>
      <c r="G2401" s="1">
        <v>42864</v>
      </c>
      <c r="I2401" s="225">
        <v>7924.8000000000011</v>
      </c>
      <c r="J2401" s="225">
        <v>7924.8</v>
      </c>
      <c r="K2401" s="225">
        <v>3.0013325158506632E-11</v>
      </c>
      <c r="L24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01" s="225">
        <f>ROUND(IF(AND(Base_Periodo1[[#This Row],[Tipo_Linha]]="-",Base_Periodo1[[#This Row],[TIPOSALDO]]="D"),Base_Periodo1[[#This Row],[SALDO_ATUAL]]*-1,Base_Periodo1[[#This Row],[SALDO_ATUAL]]),4)</f>
        <v>0</v>
      </c>
      <c r="N2401" t="s">
        <v>116</v>
      </c>
      <c r="O2401" t="s">
        <v>436</v>
      </c>
      <c r="P2401" t="s">
        <v>436</v>
      </c>
      <c r="Q2401">
        <v>7</v>
      </c>
      <c r="R2401" s="225">
        <f>Base_Periodo1[[#This Row],[CREDITOS]]-Base_Periodo1[[#This Row],[DEBITOS]]</f>
        <v>0</v>
      </c>
      <c r="S2401" s="3" t="str">
        <f>IF(ISERROR(VLOOKUP(Base_Periodo1[[#This Row],[CONTA]],BaseContasDRE[#All],4,FALSE)),"Fora do DRE",VLOOKUP(Base_Periodo1[[#This Row],[CONTA]],BaseContasDRE[#All],4,FALSE))</f>
        <v>Fora do DRE</v>
      </c>
      <c r="T2401" s="3" t="str">
        <f>IF(ISERROR(VLOOKUP(Base_Periodo1[[#This Row],[CONTA]],BaseContasDRE[#All],5,FALSE)),"Fora do DRE",VLOOKUP(Base_Periodo1[[#This Row],[CONTA]],BaseContasDRE[#All],6,FALSE))</f>
        <v>Fora do DRE</v>
      </c>
      <c r="U2401" s="3" t="str">
        <f>IF(ISERROR(VLOOKUP(Base_Periodo1[[#This Row],[CONTA]],BaseContasDRE[#All],7,FALSE)),"Fora do DRE",VLOOKUP(Base_Periodo1[[#This Row],[CONTA]],BaseContasDRE[#All],7,FALSE))</f>
        <v>Fora do DRE</v>
      </c>
      <c r="V2401" s="3" t="str">
        <f>IF(Base_Periodo1[[#This Row],[Tipo_Linha]]="Fora do DRE","Fora do DRE","( "&amp;Base_Periodo1[[#This Row],[Tipo_Linha]]&amp;" ) "&amp;Base_Periodo1[[#This Row],[Filtro]])</f>
        <v>Fora do DRE</v>
      </c>
      <c r="W2401" s="3" t="str">
        <f>LEFT(Base_Periodo1[[#This Row],[CLASS]],3)</f>
        <v>2.1</v>
      </c>
    </row>
    <row r="2402" spans="1:23" hidden="1">
      <c r="A2402" s="3" t="str">
        <f t="shared" si="37"/>
        <v>Período 1</v>
      </c>
      <c r="B2402">
        <v>7758</v>
      </c>
      <c r="C2402" t="s">
        <v>1730</v>
      </c>
      <c r="D2402" t="s">
        <v>682</v>
      </c>
      <c r="E2402" s="3" t="str">
        <f>IF(LEN(Base_Periodo1[[#This Row],[CLASS]])&gt;=7,LEFT(Base_Periodo1[[#This Row],[CLASS]],7),"")</f>
        <v>2.1.2.1</v>
      </c>
      <c r="F2402" s="3" t="str">
        <f>VLOOKUP(Base_Periodo1[[#This Row],[Aux]],Base_Contas_Balanco[#All],2,FALSE)</f>
        <v>Fornecedores Cooperados</v>
      </c>
      <c r="G2402" s="1">
        <v>42886</v>
      </c>
      <c r="H2402" s="225">
        <v>1.1600000001490116</v>
      </c>
      <c r="I2402" s="225">
        <v>11750</v>
      </c>
      <c r="J2402" s="225">
        <v>11750</v>
      </c>
      <c r="K2402" s="225">
        <v>1.1600000001490116</v>
      </c>
      <c r="L24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1.1599999999999999</v>
      </c>
      <c r="M2402" s="225">
        <f>ROUND(IF(AND(Base_Periodo1[[#This Row],[Tipo_Linha]]="-",Base_Periodo1[[#This Row],[TIPOSALDO]]="D"),Base_Periodo1[[#This Row],[SALDO_ATUAL]]*-1,Base_Periodo1[[#This Row],[SALDO_ATUAL]]),4)</f>
        <v>1.1599999999999999</v>
      </c>
      <c r="N2402" t="s">
        <v>116</v>
      </c>
      <c r="O2402" t="s">
        <v>459</v>
      </c>
      <c r="P2402" t="s">
        <v>459</v>
      </c>
      <c r="Q2402">
        <v>7</v>
      </c>
      <c r="R2402" s="225">
        <f>Base_Periodo1[[#This Row],[CREDITOS]]-Base_Periodo1[[#This Row],[DEBITOS]]</f>
        <v>0</v>
      </c>
      <c r="S2402" s="3" t="str">
        <f>IF(ISERROR(VLOOKUP(Base_Periodo1[[#This Row],[CONTA]],BaseContasDRE[#All],4,FALSE)),"Fora do DRE",VLOOKUP(Base_Periodo1[[#This Row],[CONTA]],BaseContasDRE[#All],4,FALSE))</f>
        <v>Fora do DRE</v>
      </c>
      <c r="T2402" s="3" t="str">
        <f>IF(ISERROR(VLOOKUP(Base_Periodo1[[#This Row],[CONTA]],BaseContasDRE[#All],5,FALSE)),"Fora do DRE",VLOOKUP(Base_Periodo1[[#This Row],[CONTA]],BaseContasDRE[#All],6,FALSE))</f>
        <v>Fora do DRE</v>
      </c>
      <c r="U2402" s="3" t="str">
        <f>IF(ISERROR(VLOOKUP(Base_Periodo1[[#This Row],[CONTA]],BaseContasDRE[#All],7,FALSE)),"Fora do DRE",VLOOKUP(Base_Periodo1[[#This Row],[CONTA]],BaseContasDRE[#All],7,FALSE))</f>
        <v>Fora do DRE</v>
      </c>
      <c r="V2402" s="3" t="str">
        <f>IF(Base_Periodo1[[#This Row],[Tipo_Linha]]="Fora do DRE","Fora do DRE","( "&amp;Base_Periodo1[[#This Row],[Tipo_Linha]]&amp;" ) "&amp;Base_Periodo1[[#This Row],[Filtro]])</f>
        <v>Fora do DRE</v>
      </c>
      <c r="W2402" s="3" t="str">
        <f>LEFT(Base_Periodo1[[#This Row],[CLASS]],3)</f>
        <v>2.1</v>
      </c>
    </row>
    <row r="2403" spans="1:23" hidden="1">
      <c r="A2403" s="3" t="str">
        <f t="shared" si="37"/>
        <v>Período 1</v>
      </c>
      <c r="B2403">
        <v>3685</v>
      </c>
      <c r="C2403" t="s">
        <v>1730</v>
      </c>
      <c r="D2403" t="s">
        <v>684</v>
      </c>
      <c r="E2403" s="3" t="str">
        <f>IF(LEN(Base_Periodo1[[#This Row],[CLASS]])&gt;=7,LEFT(Base_Periodo1[[#This Row],[CLASS]],7),"")</f>
        <v>2.1.2.1</v>
      </c>
      <c r="F2403" s="3" t="str">
        <f>VLOOKUP(Base_Periodo1[[#This Row],[Aux]],Base_Contas_Balanco[#All],2,FALSE)</f>
        <v>Fornecedores Cooperados</v>
      </c>
      <c r="G2403" s="1">
        <v>42885</v>
      </c>
      <c r="I2403" s="225">
        <v>72713.219999999987</v>
      </c>
      <c r="J2403" s="225">
        <v>76108.360000000015</v>
      </c>
      <c r="K2403" s="225">
        <v>3395.1399999997957</v>
      </c>
      <c r="L24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3395.14</v>
      </c>
      <c r="M2403" s="225">
        <f>ROUND(IF(AND(Base_Periodo1[[#This Row],[Tipo_Linha]]="-",Base_Periodo1[[#This Row],[TIPOSALDO]]="D"),Base_Periodo1[[#This Row],[SALDO_ATUAL]]*-1,Base_Periodo1[[#This Row],[SALDO_ATUAL]]),4)</f>
        <v>3395.14</v>
      </c>
      <c r="N2403" t="s">
        <v>116</v>
      </c>
      <c r="O2403" t="s">
        <v>436</v>
      </c>
      <c r="P2403" t="s">
        <v>459</v>
      </c>
      <c r="Q2403">
        <v>7</v>
      </c>
      <c r="R2403" s="225">
        <f>Base_Periodo1[[#This Row],[CREDITOS]]-Base_Periodo1[[#This Row],[DEBITOS]]</f>
        <v>3395.1400000000285</v>
      </c>
      <c r="S2403" s="3" t="str">
        <f>IF(ISERROR(VLOOKUP(Base_Periodo1[[#This Row],[CONTA]],BaseContasDRE[#All],4,FALSE)),"Fora do DRE",VLOOKUP(Base_Periodo1[[#This Row],[CONTA]],BaseContasDRE[#All],4,FALSE))</f>
        <v>Fora do DRE</v>
      </c>
      <c r="T2403" s="3" t="str">
        <f>IF(ISERROR(VLOOKUP(Base_Periodo1[[#This Row],[CONTA]],BaseContasDRE[#All],5,FALSE)),"Fora do DRE",VLOOKUP(Base_Periodo1[[#This Row],[CONTA]],BaseContasDRE[#All],6,FALSE))</f>
        <v>Fora do DRE</v>
      </c>
      <c r="U2403" s="3" t="str">
        <f>IF(ISERROR(VLOOKUP(Base_Periodo1[[#This Row],[CONTA]],BaseContasDRE[#All],7,FALSE)),"Fora do DRE",VLOOKUP(Base_Periodo1[[#This Row],[CONTA]],BaseContasDRE[#All],7,FALSE))</f>
        <v>Fora do DRE</v>
      </c>
      <c r="V2403" s="3" t="str">
        <f>IF(Base_Periodo1[[#This Row],[Tipo_Linha]]="Fora do DRE","Fora do DRE","( "&amp;Base_Periodo1[[#This Row],[Tipo_Linha]]&amp;" ) "&amp;Base_Periodo1[[#This Row],[Filtro]])</f>
        <v>Fora do DRE</v>
      </c>
      <c r="W2403" s="3" t="str">
        <f>LEFT(Base_Periodo1[[#This Row],[CLASS]],3)</f>
        <v>2.1</v>
      </c>
    </row>
    <row r="2404" spans="1:23" hidden="1">
      <c r="A2404" s="3" t="str">
        <f t="shared" si="37"/>
        <v>Período 1</v>
      </c>
      <c r="B2404">
        <v>2597</v>
      </c>
      <c r="C2404" t="s">
        <v>1730</v>
      </c>
      <c r="D2404" t="s">
        <v>685</v>
      </c>
      <c r="E2404" s="3" t="str">
        <f>IF(LEN(Base_Periodo1[[#This Row],[CLASS]])&gt;=7,LEFT(Base_Periodo1[[#This Row],[CLASS]],7),"")</f>
        <v>2.1.2.1</v>
      </c>
      <c r="F2404" s="3" t="str">
        <f>VLOOKUP(Base_Periodo1[[#This Row],[Aux]],Base_Contas_Balanco[#All],2,FALSE)</f>
        <v>Fornecedores Cooperados</v>
      </c>
      <c r="G2404" s="1">
        <v>42885</v>
      </c>
      <c r="H2404" s="225">
        <v>88602.659999998752</v>
      </c>
      <c r="I2404" s="225">
        <v>111529.55000000002</v>
      </c>
      <c r="J2404" s="225">
        <v>24768.6</v>
      </c>
      <c r="K2404" s="225">
        <v>1841.7099999987331</v>
      </c>
      <c r="L24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1841.71</v>
      </c>
      <c r="M2404" s="225">
        <f>ROUND(IF(AND(Base_Periodo1[[#This Row],[Tipo_Linha]]="-",Base_Periodo1[[#This Row],[TIPOSALDO]]="D"),Base_Periodo1[[#This Row],[SALDO_ATUAL]]*-1,Base_Periodo1[[#This Row],[SALDO_ATUAL]]),4)</f>
        <v>1841.71</v>
      </c>
      <c r="N2404" t="s">
        <v>116</v>
      </c>
      <c r="O2404" t="s">
        <v>459</v>
      </c>
      <c r="P2404" t="s">
        <v>459</v>
      </c>
      <c r="Q2404">
        <v>7</v>
      </c>
      <c r="R2404" s="225">
        <f>Base_Periodo1[[#This Row],[CREDITOS]]-Base_Periodo1[[#This Row],[DEBITOS]]</f>
        <v>-86760.950000000012</v>
      </c>
      <c r="S2404" s="3" t="str">
        <f>IF(ISERROR(VLOOKUP(Base_Periodo1[[#This Row],[CONTA]],BaseContasDRE[#All],4,FALSE)),"Fora do DRE",VLOOKUP(Base_Periodo1[[#This Row],[CONTA]],BaseContasDRE[#All],4,FALSE))</f>
        <v>Fora do DRE</v>
      </c>
      <c r="T2404" s="3" t="str">
        <f>IF(ISERROR(VLOOKUP(Base_Periodo1[[#This Row],[CONTA]],BaseContasDRE[#All],5,FALSE)),"Fora do DRE",VLOOKUP(Base_Periodo1[[#This Row],[CONTA]],BaseContasDRE[#All],6,FALSE))</f>
        <v>Fora do DRE</v>
      </c>
      <c r="U2404" s="3" t="str">
        <f>IF(ISERROR(VLOOKUP(Base_Periodo1[[#This Row],[CONTA]],BaseContasDRE[#All],7,FALSE)),"Fora do DRE",VLOOKUP(Base_Periodo1[[#This Row],[CONTA]],BaseContasDRE[#All],7,FALSE))</f>
        <v>Fora do DRE</v>
      </c>
      <c r="V2404" s="3" t="str">
        <f>IF(Base_Periodo1[[#This Row],[Tipo_Linha]]="Fora do DRE","Fora do DRE","( "&amp;Base_Periodo1[[#This Row],[Tipo_Linha]]&amp;" ) "&amp;Base_Periodo1[[#This Row],[Filtro]])</f>
        <v>Fora do DRE</v>
      </c>
      <c r="W2404" s="3" t="str">
        <f>LEFT(Base_Periodo1[[#This Row],[CLASS]],3)</f>
        <v>2.1</v>
      </c>
    </row>
    <row r="2405" spans="1:23" hidden="1">
      <c r="A2405" s="3" t="str">
        <f t="shared" si="37"/>
        <v>Período 1</v>
      </c>
      <c r="B2405">
        <v>4641</v>
      </c>
      <c r="C2405" t="s">
        <v>1730</v>
      </c>
      <c r="D2405" t="s">
        <v>686</v>
      </c>
      <c r="E2405" s="3" t="str">
        <f>IF(LEN(Base_Periodo1[[#This Row],[CLASS]])&gt;=7,LEFT(Base_Periodo1[[#This Row],[CLASS]],7),"")</f>
        <v>2.1.2.1</v>
      </c>
      <c r="F2405" s="3" t="str">
        <f>VLOOKUP(Base_Periodo1[[#This Row],[Aux]],Base_Contas_Balanco[#All],2,FALSE)</f>
        <v>Fornecedores Cooperados</v>
      </c>
      <c r="G2405" s="1">
        <v>42886</v>
      </c>
      <c r="I2405" s="225">
        <v>322566.02999999997</v>
      </c>
      <c r="J2405" s="225">
        <v>322566.02999999997</v>
      </c>
      <c r="K2405" s="225">
        <v>0</v>
      </c>
      <c r="L24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05" s="225">
        <f>ROUND(IF(AND(Base_Periodo1[[#This Row],[Tipo_Linha]]="-",Base_Periodo1[[#This Row],[TIPOSALDO]]="D"),Base_Periodo1[[#This Row],[SALDO_ATUAL]]*-1,Base_Periodo1[[#This Row],[SALDO_ATUAL]]),4)</f>
        <v>0</v>
      </c>
      <c r="N2405" t="s">
        <v>116</v>
      </c>
      <c r="O2405" t="s">
        <v>436</v>
      </c>
      <c r="P2405" t="s">
        <v>436</v>
      </c>
      <c r="Q2405">
        <v>7</v>
      </c>
      <c r="R2405" s="225">
        <f>Base_Periodo1[[#This Row],[CREDITOS]]-Base_Periodo1[[#This Row],[DEBITOS]]</f>
        <v>0</v>
      </c>
      <c r="S2405" s="3" t="str">
        <f>IF(ISERROR(VLOOKUP(Base_Periodo1[[#This Row],[CONTA]],BaseContasDRE[#All],4,FALSE)),"Fora do DRE",VLOOKUP(Base_Periodo1[[#This Row],[CONTA]],BaseContasDRE[#All],4,FALSE))</f>
        <v>Fora do DRE</v>
      </c>
      <c r="T2405" s="3" t="str">
        <f>IF(ISERROR(VLOOKUP(Base_Periodo1[[#This Row],[CONTA]],BaseContasDRE[#All],5,FALSE)),"Fora do DRE",VLOOKUP(Base_Periodo1[[#This Row],[CONTA]],BaseContasDRE[#All],6,FALSE))</f>
        <v>Fora do DRE</v>
      </c>
      <c r="U2405" s="3" t="str">
        <f>IF(ISERROR(VLOOKUP(Base_Periodo1[[#This Row],[CONTA]],BaseContasDRE[#All],7,FALSE)),"Fora do DRE",VLOOKUP(Base_Periodo1[[#This Row],[CONTA]],BaseContasDRE[#All],7,FALSE))</f>
        <v>Fora do DRE</v>
      </c>
      <c r="V2405" s="3" t="str">
        <f>IF(Base_Periodo1[[#This Row],[Tipo_Linha]]="Fora do DRE","Fora do DRE","( "&amp;Base_Periodo1[[#This Row],[Tipo_Linha]]&amp;" ) "&amp;Base_Periodo1[[#This Row],[Filtro]])</f>
        <v>Fora do DRE</v>
      </c>
      <c r="W2405" s="3" t="str">
        <f>LEFT(Base_Periodo1[[#This Row],[CLASS]],3)</f>
        <v>2.1</v>
      </c>
    </row>
    <row r="2406" spans="1:23" hidden="1">
      <c r="A2406" s="3" t="str">
        <f t="shared" si="37"/>
        <v>Período 1</v>
      </c>
      <c r="B2406">
        <v>7090</v>
      </c>
      <c r="C2406" t="s">
        <v>1730</v>
      </c>
      <c r="D2406" t="s">
        <v>687</v>
      </c>
      <c r="E2406" s="3" t="str">
        <f>IF(LEN(Base_Periodo1[[#This Row],[CLASS]])&gt;=7,LEFT(Base_Periodo1[[#This Row],[CLASS]],7),"")</f>
        <v>2.1.2.1</v>
      </c>
      <c r="F2406" s="3" t="str">
        <f>VLOOKUP(Base_Periodo1[[#This Row],[Aux]],Base_Contas_Balanco[#All],2,FALSE)</f>
        <v>Fornecedores Cooperados</v>
      </c>
      <c r="G2406" s="1">
        <v>42873</v>
      </c>
      <c r="I2406" s="225">
        <v>3270.84</v>
      </c>
      <c r="J2406" s="225">
        <v>3270.84</v>
      </c>
      <c r="K2406" s="225">
        <v>0</v>
      </c>
      <c r="L24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06" s="225">
        <f>ROUND(IF(AND(Base_Periodo1[[#This Row],[Tipo_Linha]]="-",Base_Periodo1[[#This Row],[TIPOSALDO]]="D"),Base_Periodo1[[#This Row],[SALDO_ATUAL]]*-1,Base_Periodo1[[#This Row],[SALDO_ATUAL]]),4)</f>
        <v>0</v>
      </c>
      <c r="N2406" t="s">
        <v>116</v>
      </c>
      <c r="O2406" t="s">
        <v>436</v>
      </c>
      <c r="P2406" t="s">
        <v>436</v>
      </c>
      <c r="Q2406">
        <v>7</v>
      </c>
      <c r="R2406" s="225">
        <f>Base_Periodo1[[#This Row],[CREDITOS]]-Base_Periodo1[[#This Row],[DEBITOS]]</f>
        <v>0</v>
      </c>
      <c r="S2406" s="3" t="str">
        <f>IF(ISERROR(VLOOKUP(Base_Periodo1[[#This Row],[CONTA]],BaseContasDRE[#All],4,FALSE)),"Fora do DRE",VLOOKUP(Base_Periodo1[[#This Row],[CONTA]],BaseContasDRE[#All],4,FALSE))</f>
        <v>Fora do DRE</v>
      </c>
      <c r="T2406" s="3" t="str">
        <f>IF(ISERROR(VLOOKUP(Base_Periodo1[[#This Row],[CONTA]],BaseContasDRE[#All],5,FALSE)),"Fora do DRE",VLOOKUP(Base_Periodo1[[#This Row],[CONTA]],BaseContasDRE[#All],6,FALSE))</f>
        <v>Fora do DRE</v>
      </c>
      <c r="U2406" s="3" t="str">
        <f>IF(ISERROR(VLOOKUP(Base_Periodo1[[#This Row],[CONTA]],BaseContasDRE[#All],7,FALSE)),"Fora do DRE",VLOOKUP(Base_Periodo1[[#This Row],[CONTA]],BaseContasDRE[#All],7,FALSE))</f>
        <v>Fora do DRE</v>
      </c>
      <c r="V2406" s="3" t="str">
        <f>IF(Base_Periodo1[[#This Row],[Tipo_Linha]]="Fora do DRE","Fora do DRE","( "&amp;Base_Periodo1[[#This Row],[Tipo_Linha]]&amp;" ) "&amp;Base_Periodo1[[#This Row],[Filtro]])</f>
        <v>Fora do DRE</v>
      </c>
      <c r="W2406" s="3" t="str">
        <f>LEFT(Base_Periodo1[[#This Row],[CLASS]],3)</f>
        <v>2.1</v>
      </c>
    </row>
    <row r="2407" spans="1:23" hidden="1">
      <c r="A2407" s="3" t="str">
        <f t="shared" si="37"/>
        <v>Período 1</v>
      </c>
      <c r="B2407">
        <v>35110</v>
      </c>
      <c r="C2407" t="s">
        <v>1730</v>
      </c>
      <c r="D2407" t="s">
        <v>5144</v>
      </c>
      <c r="E2407" s="3" t="str">
        <f>IF(LEN(Base_Periodo1[[#This Row],[CLASS]])&gt;=7,LEFT(Base_Periodo1[[#This Row],[CLASS]],7),"")</f>
        <v>2.1.2.1</v>
      </c>
      <c r="F2407" s="3" t="str">
        <f>VLOOKUP(Base_Periodo1[[#This Row],[Aux]],Base_Contas_Balanco[#All],2,FALSE)</f>
        <v>Fornecedores Cooperados</v>
      </c>
      <c r="G2407" s="1">
        <v>42857</v>
      </c>
      <c r="I2407" s="225">
        <v>2103.48</v>
      </c>
      <c r="J2407" s="225">
        <v>2103.48</v>
      </c>
      <c r="K2407" s="225">
        <v>-2.9103830456733704E-11</v>
      </c>
      <c r="L24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07" s="225">
        <f>ROUND(IF(AND(Base_Periodo1[[#This Row],[Tipo_Linha]]="-",Base_Periodo1[[#This Row],[TIPOSALDO]]="D"),Base_Periodo1[[#This Row],[SALDO_ATUAL]]*-1,Base_Periodo1[[#This Row],[SALDO_ATUAL]]),4)</f>
        <v>0</v>
      </c>
      <c r="N2407" t="s">
        <v>116</v>
      </c>
      <c r="O2407" t="s">
        <v>436</v>
      </c>
      <c r="P2407" t="s">
        <v>436</v>
      </c>
      <c r="Q2407">
        <v>7</v>
      </c>
      <c r="R2407" s="225">
        <f>Base_Periodo1[[#This Row],[CREDITOS]]-Base_Periodo1[[#This Row],[DEBITOS]]</f>
        <v>0</v>
      </c>
      <c r="S2407" s="3" t="str">
        <f>IF(ISERROR(VLOOKUP(Base_Periodo1[[#This Row],[CONTA]],BaseContasDRE[#All],4,FALSE)),"Fora do DRE",VLOOKUP(Base_Periodo1[[#This Row],[CONTA]],BaseContasDRE[#All],4,FALSE))</f>
        <v>Fora do DRE</v>
      </c>
      <c r="T2407" s="3" t="str">
        <f>IF(ISERROR(VLOOKUP(Base_Periodo1[[#This Row],[CONTA]],BaseContasDRE[#All],5,FALSE)),"Fora do DRE",VLOOKUP(Base_Periodo1[[#This Row],[CONTA]],BaseContasDRE[#All],6,FALSE))</f>
        <v>Fora do DRE</v>
      </c>
      <c r="U2407" s="3" t="str">
        <f>IF(ISERROR(VLOOKUP(Base_Periodo1[[#This Row],[CONTA]],BaseContasDRE[#All],7,FALSE)),"Fora do DRE",VLOOKUP(Base_Periodo1[[#This Row],[CONTA]],BaseContasDRE[#All],7,FALSE))</f>
        <v>Fora do DRE</v>
      </c>
      <c r="V2407" s="3" t="str">
        <f>IF(Base_Periodo1[[#This Row],[Tipo_Linha]]="Fora do DRE","Fora do DRE","( "&amp;Base_Periodo1[[#This Row],[Tipo_Linha]]&amp;" ) "&amp;Base_Periodo1[[#This Row],[Filtro]])</f>
        <v>Fora do DRE</v>
      </c>
      <c r="W2407" s="3" t="str">
        <f>LEFT(Base_Periodo1[[#This Row],[CLASS]],3)</f>
        <v>2.1</v>
      </c>
    </row>
    <row r="2408" spans="1:23" hidden="1">
      <c r="A2408" s="3" t="str">
        <f t="shared" si="37"/>
        <v>Período 1</v>
      </c>
      <c r="B2408">
        <v>47236</v>
      </c>
      <c r="C2408" t="s">
        <v>1730</v>
      </c>
      <c r="D2408" t="s">
        <v>689</v>
      </c>
      <c r="E2408" s="3" t="str">
        <f>IF(LEN(Base_Periodo1[[#This Row],[CLASS]])&gt;=7,LEFT(Base_Periodo1[[#This Row],[CLASS]],7),"")</f>
        <v>2.1.2.1</v>
      </c>
      <c r="F2408" s="3" t="str">
        <f>VLOOKUP(Base_Periodo1[[#This Row],[Aux]],Base_Contas_Balanco[#All],2,FALSE)</f>
        <v>Fornecedores Cooperados</v>
      </c>
      <c r="G2408" s="1">
        <v>42879</v>
      </c>
      <c r="I2408" s="225">
        <v>30950.020000000004</v>
      </c>
      <c r="J2408" s="225">
        <v>30950.02</v>
      </c>
      <c r="K2408" s="225">
        <v>-2.5465851649641991E-11</v>
      </c>
      <c r="L24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08" s="225">
        <f>ROUND(IF(AND(Base_Periodo1[[#This Row],[Tipo_Linha]]="-",Base_Periodo1[[#This Row],[TIPOSALDO]]="D"),Base_Periodo1[[#This Row],[SALDO_ATUAL]]*-1,Base_Periodo1[[#This Row],[SALDO_ATUAL]]),4)</f>
        <v>0</v>
      </c>
      <c r="N2408" t="s">
        <v>116</v>
      </c>
      <c r="O2408" t="s">
        <v>436</v>
      </c>
      <c r="P2408" t="s">
        <v>436</v>
      </c>
      <c r="Q2408">
        <v>7</v>
      </c>
      <c r="R2408" s="225">
        <f>Base_Periodo1[[#This Row],[CREDITOS]]-Base_Periodo1[[#This Row],[DEBITOS]]</f>
        <v>0</v>
      </c>
      <c r="S2408" s="3" t="str">
        <f>IF(ISERROR(VLOOKUP(Base_Periodo1[[#This Row],[CONTA]],BaseContasDRE[#All],4,FALSE)),"Fora do DRE",VLOOKUP(Base_Periodo1[[#This Row],[CONTA]],BaseContasDRE[#All],4,FALSE))</f>
        <v>Fora do DRE</v>
      </c>
      <c r="T2408" s="3" t="str">
        <f>IF(ISERROR(VLOOKUP(Base_Periodo1[[#This Row],[CONTA]],BaseContasDRE[#All],5,FALSE)),"Fora do DRE",VLOOKUP(Base_Periodo1[[#This Row],[CONTA]],BaseContasDRE[#All],6,FALSE))</f>
        <v>Fora do DRE</v>
      </c>
      <c r="U2408" s="3" t="str">
        <f>IF(ISERROR(VLOOKUP(Base_Periodo1[[#This Row],[CONTA]],BaseContasDRE[#All],7,FALSE)),"Fora do DRE",VLOOKUP(Base_Periodo1[[#This Row],[CONTA]],BaseContasDRE[#All],7,FALSE))</f>
        <v>Fora do DRE</v>
      </c>
      <c r="V2408" s="3" t="str">
        <f>IF(Base_Periodo1[[#This Row],[Tipo_Linha]]="Fora do DRE","Fora do DRE","( "&amp;Base_Periodo1[[#This Row],[Tipo_Linha]]&amp;" ) "&amp;Base_Periodo1[[#This Row],[Filtro]])</f>
        <v>Fora do DRE</v>
      </c>
      <c r="W2408" s="3" t="str">
        <f>LEFT(Base_Periodo1[[#This Row],[CLASS]],3)</f>
        <v>2.1</v>
      </c>
    </row>
    <row r="2409" spans="1:23" hidden="1">
      <c r="A2409" s="3" t="str">
        <f t="shared" si="37"/>
        <v>Período 1</v>
      </c>
      <c r="B2409">
        <v>3429</v>
      </c>
      <c r="C2409" t="s">
        <v>1730</v>
      </c>
      <c r="D2409" t="s">
        <v>690</v>
      </c>
      <c r="E2409" s="3" t="str">
        <f>IF(LEN(Base_Periodo1[[#This Row],[CLASS]])&gt;=7,LEFT(Base_Periodo1[[#This Row],[CLASS]],7),"")</f>
        <v>2.1.2.1</v>
      </c>
      <c r="F2409" s="3" t="str">
        <f>VLOOKUP(Base_Periodo1[[#This Row],[Aux]],Base_Contas_Balanco[#All],2,FALSE)</f>
        <v>Fornecedores Cooperados</v>
      </c>
      <c r="G2409" s="1">
        <v>42881</v>
      </c>
      <c r="I2409" s="225">
        <v>551141.55999999994</v>
      </c>
      <c r="J2409" s="225">
        <v>551141.56000000006</v>
      </c>
      <c r="K2409" s="225">
        <v>1.7462298274040222E-9</v>
      </c>
      <c r="L24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09" s="225">
        <f>ROUND(IF(AND(Base_Periodo1[[#This Row],[Tipo_Linha]]="-",Base_Periodo1[[#This Row],[TIPOSALDO]]="D"),Base_Periodo1[[#This Row],[SALDO_ATUAL]]*-1,Base_Periodo1[[#This Row],[SALDO_ATUAL]]),4)</f>
        <v>0</v>
      </c>
      <c r="N2409" t="s">
        <v>116</v>
      </c>
      <c r="O2409" t="s">
        <v>436</v>
      </c>
      <c r="P2409" t="s">
        <v>436</v>
      </c>
      <c r="Q2409">
        <v>7</v>
      </c>
      <c r="R2409" s="225">
        <f>Base_Periodo1[[#This Row],[CREDITOS]]-Base_Periodo1[[#This Row],[DEBITOS]]</f>
        <v>0</v>
      </c>
      <c r="S2409" s="3" t="str">
        <f>IF(ISERROR(VLOOKUP(Base_Periodo1[[#This Row],[CONTA]],BaseContasDRE[#All],4,FALSE)),"Fora do DRE",VLOOKUP(Base_Periodo1[[#This Row],[CONTA]],BaseContasDRE[#All],4,FALSE))</f>
        <v>Fora do DRE</v>
      </c>
      <c r="T2409" s="3" t="str">
        <f>IF(ISERROR(VLOOKUP(Base_Periodo1[[#This Row],[CONTA]],BaseContasDRE[#All],5,FALSE)),"Fora do DRE",VLOOKUP(Base_Periodo1[[#This Row],[CONTA]],BaseContasDRE[#All],6,FALSE))</f>
        <v>Fora do DRE</v>
      </c>
      <c r="U2409" s="3" t="str">
        <f>IF(ISERROR(VLOOKUP(Base_Periodo1[[#This Row],[CONTA]],BaseContasDRE[#All],7,FALSE)),"Fora do DRE",VLOOKUP(Base_Periodo1[[#This Row],[CONTA]],BaseContasDRE[#All],7,FALSE))</f>
        <v>Fora do DRE</v>
      </c>
      <c r="V2409" s="3" t="str">
        <f>IF(Base_Periodo1[[#This Row],[Tipo_Linha]]="Fora do DRE","Fora do DRE","( "&amp;Base_Periodo1[[#This Row],[Tipo_Linha]]&amp;" ) "&amp;Base_Periodo1[[#This Row],[Filtro]])</f>
        <v>Fora do DRE</v>
      </c>
      <c r="W2409" s="3" t="str">
        <f>LEFT(Base_Periodo1[[#This Row],[CLASS]],3)</f>
        <v>2.1</v>
      </c>
    </row>
    <row r="2410" spans="1:23" hidden="1">
      <c r="A2410" s="3" t="str">
        <f t="shared" si="37"/>
        <v>Período 1</v>
      </c>
      <c r="B2410">
        <v>2825</v>
      </c>
      <c r="C2410" t="s">
        <v>1730</v>
      </c>
      <c r="D2410" t="s">
        <v>691</v>
      </c>
      <c r="E2410" s="3" t="str">
        <f>IF(LEN(Base_Periodo1[[#This Row],[CLASS]])&gt;=7,LEFT(Base_Periodo1[[#This Row],[CLASS]],7),"")</f>
        <v>2.1.2.1</v>
      </c>
      <c r="F2410" s="3" t="str">
        <f>VLOOKUP(Base_Periodo1[[#This Row],[Aux]],Base_Contas_Balanco[#All],2,FALSE)</f>
        <v>Fornecedores Cooperados</v>
      </c>
      <c r="G2410" s="1">
        <v>42886</v>
      </c>
      <c r="H2410" s="225">
        <v>187518.23000000603</v>
      </c>
      <c r="I2410" s="225">
        <v>673099.23</v>
      </c>
      <c r="J2410" s="225">
        <v>524769.85</v>
      </c>
      <c r="K2410" s="225">
        <v>39188.85000000603</v>
      </c>
      <c r="L24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39188.85</v>
      </c>
      <c r="M2410" s="225">
        <f>ROUND(IF(AND(Base_Periodo1[[#This Row],[Tipo_Linha]]="-",Base_Periodo1[[#This Row],[TIPOSALDO]]="D"),Base_Periodo1[[#This Row],[SALDO_ATUAL]]*-1,Base_Periodo1[[#This Row],[SALDO_ATUAL]]),4)</f>
        <v>39188.85</v>
      </c>
      <c r="N2410" t="s">
        <v>116</v>
      </c>
      <c r="O2410" t="s">
        <v>459</v>
      </c>
      <c r="P2410" t="s">
        <v>459</v>
      </c>
      <c r="Q2410">
        <v>7</v>
      </c>
      <c r="R2410" s="225">
        <f>Base_Periodo1[[#This Row],[CREDITOS]]-Base_Periodo1[[#This Row],[DEBITOS]]</f>
        <v>-148329.38</v>
      </c>
      <c r="S2410" s="3" t="str">
        <f>IF(ISERROR(VLOOKUP(Base_Periodo1[[#This Row],[CONTA]],BaseContasDRE[#All],4,FALSE)),"Fora do DRE",VLOOKUP(Base_Periodo1[[#This Row],[CONTA]],BaseContasDRE[#All],4,FALSE))</f>
        <v>Fora do DRE</v>
      </c>
      <c r="T2410" s="3" t="str">
        <f>IF(ISERROR(VLOOKUP(Base_Periodo1[[#This Row],[CONTA]],BaseContasDRE[#All],5,FALSE)),"Fora do DRE",VLOOKUP(Base_Periodo1[[#This Row],[CONTA]],BaseContasDRE[#All],6,FALSE))</f>
        <v>Fora do DRE</v>
      </c>
      <c r="U2410" s="3" t="str">
        <f>IF(ISERROR(VLOOKUP(Base_Periodo1[[#This Row],[CONTA]],BaseContasDRE[#All],7,FALSE)),"Fora do DRE",VLOOKUP(Base_Periodo1[[#This Row],[CONTA]],BaseContasDRE[#All],7,FALSE))</f>
        <v>Fora do DRE</v>
      </c>
      <c r="V2410" s="3" t="str">
        <f>IF(Base_Periodo1[[#This Row],[Tipo_Linha]]="Fora do DRE","Fora do DRE","( "&amp;Base_Periodo1[[#This Row],[Tipo_Linha]]&amp;" ) "&amp;Base_Periodo1[[#This Row],[Filtro]])</f>
        <v>Fora do DRE</v>
      </c>
      <c r="W2410" s="3" t="str">
        <f>LEFT(Base_Periodo1[[#This Row],[CLASS]],3)</f>
        <v>2.1</v>
      </c>
    </row>
    <row r="2411" spans="1:23" hidden="1">
      <c r="A2411" s="3" t="str">
        <f t="shared" si="37"/>
        <v>Período 1</v>
      </c>
      <c r="B2411">
        <v>21553</v>
      </c>
      <c r="C2411" t="s">
        <v>1730</v>
      </c>
      <c r="D2411" t="s">
        <v>692</v>
      </c>
      <c r="E2411" s="3" t="str">
        <f>IF(LEN(Base_Periodo1[[#This Row],[CLASS]])&gt;=7,LEFT(Base_Periodo1[[#This Row],[CLASS]],7),"")</f>
        <v>2.1.2.1</v>
      </c>
      <c r="F2411" s="3" t="str">
        <f>VLOOKUP(Base_Periodo1[[#This Row],[Aux]],Base_Contas_Balanco[#All],2,FALSE)</f>
        <v>Fornecedores Cooperados</v>
      </c>
      <c r="G2411" s="1">
        <v>42885</v>
      </c>
      <c r="H2411" s="225">
        <v>8597.5999999999767</v>
      </c>
      <c r="I2411" s="225">
        <v>9952.3000000000011</v>
      </c>
      <c r="J2411" s="225">
        <v>1354.7</v>
      </c>
      <c r="K2411" s="225">
        <v>2.432898327242583E-11</v>
      </c>
      <c r="L24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11" s="225">
        <f>ROUND(IF(AND(Base_Periodo1[[#This Row],[Tipo_Linha]]="-",Base_Periodo1[[#This Row],[TIPOSALDO]]="D"),Base_Periodo1[[#This Row],[SALDO_ATUAL]]*-1,Base_Periodo1[[#This Row],[SALDO_ATUAL]]),4)</f>
        <v>0</v>
      </c>
      <c r="N2411" t="s">
        <v>116</v>
      </c>
      <c r="O2411" t="s">
        <v>459</v>
      </c>
      <c r="P2411" t="s">
        <v>436</v>
      </c>
      <c r="Q2411">
        <v>7</v>
      </c>
      <c r="R2411" s="225">
        <f>Base_Periodo1[[#This Row],[CREDITOS]]-Base_Periodo1[[#This Row],[DEBITOS]]</f>
        <v>-8597.6</v>
      </c>
      <c r="S2411" s="3" t="str">
        <f>IF(ISERROR(VLOOKUP(Base_Periodo1[[#This Row],[CONTA]],BaseContasDRE[#All],4,FALSE)),"Fora do DRE",VLOOKUP(Base_Periodo1[[#This Row],[CONTA]],BaseContasDRE[#All],4,FALSE))</f>
        <v>Fora do DRE</v>
      </c>
      <c r="T2411" s="3" t="str">
        <f>IF(ISERROR(VLOOKUP(Base_Periodo1[[#This Row],[CONTA]],BaseContasDRE[#All],5,FALSE)),"Fora do DRE",VLOOKUP(Base_Periodo1[[#This Row],[CONTA]],BaseContasDRE[#All],6,FALSE))</f>
        <v>Fora do DRE</v>
      </c>
      <c r="U2411" s="3" t="str">
        <f>IF(ISERROR(VLOOKUP(Base_Periodo1[[#This Row],[CONTA]],BaseContasDRE[#All],7,FALSE)),"Fora do DRE",VLOOKUP(Base_Periodo1[[#This Row],[CONTA]],BaseContasDRE[#All],7,FALSE))</f>
        <v>Fora do DRE</v>
      </c>
      <c r="V2411" s="3" t="str">
        <f>IF(Base_Periodo1[[#This Row],[Tipo_Linha]]="Fora do DRE","Fora do DRE","( "&amp;Base_Periodo1[[#This Row],[Tipo_Linha]]&amp;" ) "&amp;Base_Periodo1[[#This Row],[Filtro]])</f>
        <v>Fora do DRE</v>
      </c>
      <c r="W2411" s="3" t="str">
        <f>LEFT(Base_Periodo1[[#This Row],[CLASS]],3)</f>
        <v>2.1</v>
      </c>
    </row>
    <row r="2412" spans="1:23" hidden="1">
      <c r="A2412" s="3" t="str">
        <f t="shared" si="37"/>
        <v>Período 1</v>
      </c>
      <c r="B2412">
        <v>20199</v>
      </c>
      <c r="C2412" t="s">
        <v>1730</v>
      </c>
      <c r="D2412" t="s">
        <v>693</v>
      </c>
      <c r="E2412" s="3" t="str">
        <f>IF(LEN(Base_Periodo1[[#This Row],[CLASS]])&gt;=7,LEFT(Base_Periodo1[[#This Row],[CLASS]],7),"")</f>
        <v>2.1.2.1</v>
      </c>
      <c r="F2412" s="3" t="str">
        <f>VLOOKUP(Base_Periodo1[[#This Row],[Aux]],Base_Contas_Balanco[#All],2,FALSE)</f>
        <v>Fornecedores Cooperados</v>
      </c>
      <c r="G2412" s="1">
        <v>42858</v>
      </c>
      <c r="H2412" s="225">
        <v>952.65000000025611</v>
      </c>
      <c r="I2412" s="225">
        <v>952.65</v>
      </c>
      <c r="J2412" s="225">
        <v>0</v>
      </c>
      <c r="K2412" s="225">
        <v>-2.5613644538680092E-10</v>
      </c>
      <c r="L24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12" s="225">
        <f>ROUND(IF(AND(Base_Periodo1[[#This Row],[Tipo_Linha]]="-",Base_Periodo1[[#This Row],[TIPOSALDO]]="D"),Base_Periodo1[[#This Row],[SALDO_ATUAL]]*-1,Base_Periodo1[[#This Row],[SALDO_ATUAL]]),4)</f>
        <v>0</v>
      </c>
      <c r="N2412" t="s">
        <v>116</v>
      </c>
      <c r="O2412" t="s">
        <v>459</v>
      </c>
      <c r="P2412" t="s">
        <v>436</v>
      </c>
      <c r="Q2412">
        <v>7</v>
      </c>
      <c r="R2412" s="225">
        <f>Base_Periodo1[[#This Row],[CREDITOS]]-Base_Periodo1[[#This Row],[DEBITOS]]</f>
        <v>-952.65</v>
      </c>
      <c r="S2412" s="3" t="str">
        <f>IF(ISERROR(VLOOKUP(Base_Periodo1[[#This Row],[CONTA]],BaseContasDRE[#All],4,FALSE)),"Fora do DRE",VLOOKUP(Base_Periodo1[[#This Row],[CONTA]],BaseContasDRE[#All],4,FALSE))</f>
        <v>Fora do DRE</v>
      </c>
      <c r="T2412" s="3" t="str">
        <f>IF(ISERROR(VLOOKUP(Base_Periodo1[[#This Row],[CONTA]],BaseContasDRE[#All],5,FALSE)),"Fora do DRE",VLOOKUP(Base_Periodo1[[#This Row],[CONTA]],BaseContasDRE[#All],6,FALSE))</f>
        <v>Fora do DRE</v>
      </c>
      <c r="U2412" s="3" t="str">
        <f>IF(ISERROR(VLOOKUP(Base_Periodo1[[#This Row],[CONTA]],BaseContasDRE[#All],7,FALSE)),"Fora do DRE",VLOOKUP(Base_Periodo1[[#This Row],[CONTA]],BaseContasDRE[#All],7,FALSE))</f>
        <v>Fora do DRE</v>
      </c>
      <c r="V2412" s="3" t="str">
        <f>IF(Base_Periodo1[[#This Row],[Tipo_Linha]]="Fora do DRE","Fora do DRE","( "&amp;Base_Periodo1[[#This Row],[Tipo_Linha]]&amp;" ) "&amp;Base_Periodo1[[#This Row],[Filtro]])</f>
        <v>Fora do DRE</v>
      </c>
      <c r="W2412" s="3" t="str">
        <f>LEFT(Base_Periodo1[[#This Row],[CLASS]],3)</f>
        <v>2.1</v>
      </c>
    </row>
    <row r="2413" spans="1:23" hidden="1">
      <c r="A2413" s="3" t="str">
        <f t="shared" si="37"/>
        <v>Período 1</v>
      </c>
      <c r="B2413">
        <v>57902</v>
      </c>
      <c r="C2413" t="s">
        <v>1730</v>
      </c>
      <c r="D2413" t="s">
        <v>6341</v>
      </c>
      <c r="E2413" s="3" t="str">
        <f>IF(LEN(Base_Periodo1[[#This Row],[CLASS]])&gt;=7,LEFT(Base_Periodo1[[#This Row],[CLASS]],7),"")</f>
        <v>2.1.2.1</v>
      </c>
      <c r="F2413" s="3" t="str">
        <f>VLOOKUP(Base_Periodo1[[#This Row],[Aux]],Base_Contas_Balanco[#All],2,FALSE)</f>
        <v>Fornecedores Cooperados</v>
      </c>
      <c r="G2413" s="1">
        <v>42873</v>
      </c>
      <c r="I2413" s="225">
        <v>4424</v>
      </c>
      <c r="J2413" s="225">
        <v>4424</v>
      </c>
      <c r="K2413" s="225">
        <v>0</v>
      </c>
      <c r="L24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13" s="225">
        <f>ROUND(IF(AND(Base_Periodo1[[#This Row],[Tipo_Linha]]="-",Base_Periodo1[[#This Row],[TIPOSALDO]]="D"),Base_Periodo1[[#This Row],[SALDO_ATUAL]]*-1,Base_Periodo1[[#This Row],[SALDO_ATUAL]]),4)</f>
        <v>0</v>
      </c>
      <c r="N2413" t="s">
        <v>116</v>
      </c>
      <c r="O2413" t="s">
        <v>436</v>
      </c>
      <c r="P2413" t="s">
        <v>436</v>
      </c>
      <c r="Q2413">
        <v>7</v>
      </c>
      <c r="R2413" s="225">
        <f>Base_Periodo1[[#This Row],[CREDITOS]]-Base_Periodo1[[#This Row],[DEBITOS]]</f>
        <v>0</v>
      </c>
      <c r="S2413" s="3" t="str">
        <f>IF(ISERROR(VLOOKUP(Base_Periodo1[[#This Row],[CONTA]],BaseContasDRE[#All],4,FALSE)),"Fora do DRE",VLOOKUP(Base_Periodo1[[#This Row],[CONTA]],BaseContasDRE[#All],4,FALSE))</f>
        <v>Fora do DRE</v>
      </c>
      <c r="T2413" s="3" t="str">
        <f>IF(ISERROR(VLOOKUP(Base_Periodo1[[#This Row],[CONTA]],BaseContasDRE[#All],5,FALSE)),"Fora do DRE",VLOOKUP(Base_Periodo1[[#This Row],[CONTA]],BaseContasDRE[#All],6,FALSE))</f>
        <v>Fora do DRE</v>
      </c>
      <c r="U2413" s="3" t="str">
        <f>IF(ISERROR(VLOOKUP(Base_Periodo1[[#This Row],[CONTA]],BaseContasDRE[#All],7,FALSE)),"Fora do DRE",VLOOKUP(Base_Periodo1[[#This Row],[CONTA]],BaseContasDRE[#All],7,FALSE))</f>
        <v>Fora do DRE</v>
      </c>
      <c r="V2413" s="3" t="str">
        <f>IF(Base_Periodo1[[#This Row],[Tipo_Linha]]="Fora do DRE","Fora do DRE","( "&amp;Base_Periodo1[[#This Row],[Tipo_Linha]]&amp;" ) "&amp;Base_Periodo1[[#This Row],[Filtro]])</f>
        <v>Fora do DRE</v>
      </c>
      <c r="W2413" s="3" t="str">
        <f>LEFT(Base_Periodo1[[#This Row],[CLASS]],3)</f>
        <v>2.1</v>
      </c>
    </row>
    <row r="2414" spans="1:23" hidden="1">
      <c r="A2414" s="3" t="str">
        <f t="shared" si="37"/>
        <v>Período 1</v>
      </c>
      <c r="B2414">
        <v>22994</v>
      </c>
      <c r="C2414" t="s">
        <v>1730</v>
      </c>
      <c r="D2414" t="s">
        <v>4935</v>
      </c>
      <c r="E2414" s="3" t="str">
        <f>IF(LEN(Base_Periodo1[[#This Row],[CLASS]])&gt;=7,LEFT(Base_Periodo1[[#This Row],[CLASS]],7),"")</f>
        <v>2.1.2.1</v>
      </c>
      <c r="F2414" s="3" t="str">
        <f>VLOOKUP(Base_Periodo1[[#This Row],[Aux]],Base_Contas_Balanco[#All],2,FALSE)</f>
        <v>Fornecedores Cooperados</v>
      </c>
      <c r="G2414" s="1">
        <v>42886</v>
      </c>
      <c r="H2414" s="225">
        <v>51940.999999999884</v>
      </c>
      <c r="I2414" s="225">
        <v>51941</v>
      </c>
      <c r="J2414" s="225">
        <v>0</v>
      </c>
      <c r="K2414" s="225">
        <v>1.1641532182693481E-10</v>
      </c>
      <c r="L24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14" s="225">
        <f>ROUND(IF(AND(Base_Periodo1[[#This Row],[Tipo_Linha]]="-",Base_Periodo1[[#This Row],[TIPOSALDO]]="D"),Base_Periodo1[[#This Row],[SALDO_ATUAL]]*-1,Base_Periodo1[[#This Row],[SALDO_ATUAL]]),4)</f>
        <v>0</v>
      </c>
      <c r="N2414" t="s">
        <v>116</v>
      </c>
      <c r="O2414" t="s">
        <v>459</v>
      </c>
      <c r="P2414" t="s">
        <v>436</v>
      </c>
      <c r="Q2414">
        <v>7</v>
      </c>
      <c r="R2414" s="225">
        <f>Base_Periodo1[[#This Row],[CREDITOS]]-Base_Periodo1[[#This Row],[DEBITOS]]</f>
        <v>-51941</v>
      </c>
      <c r="S2414" s="3" t="str">
        <f>IF(ISERROR(VLOOKUP(Base_Periodo1[[#This Row],[CONTA]],BaseContasDRE[#All],4,FALSE)),"Fora do DRE",VLOOKUP(Base_Periodo1[[#This Row],[CONTA]],BaseContasDRE[#All],4,FALSE))</f>
        <v>Fora do DRE</v>
      </c>
      <c r="T2414" s="3" t="str">
        <f>IF(ISERROR(VLOOKUP(Base_Periodo1[[#This Row],[CONTA]],BaseContasDRE[#All],5,FALSE)),"Fora do DRE",VLOOKUP(Base_Periodo1[[#This Row],[CONTA]],BaseContasDRE[#All],6,FALSE))</f>
        <v>Fora do DRE</v>
      </c>
      <c r="U2414" s="3" t="str">
        <f>IF(ISERROR(VLOOKUP(Base_Periodo1[[#This Row],[CONTA]],BaseContasDRE[#All],7,FALSE)),"Fora do DRE",VLOOKUP(Base_Periodo1[[#This Row],[CONTA]],BaseContasDRE[#All],7,FALSE))</f>
        <v>Fora do DRE</v>
      </c>
      <c r="V2414" s="3" t="str">
        <f>IF(Base_Periodo1[[#This Row],[Tipo_Linha]]="Fora do DRE","Fora do DRE","( "&amp;Base_Periodo1[[#This Row],[Tipo_Linha]]&amp;" ) "&amp;Base_Periodo1[[#This Row],[Filtro]])</f>
        <v>Fora do DRE</v>
      </c>
      <c r="W2414" s="3" t="str">
        <f>LEFT(Base_Periodo1[[#This Row],[CLASS]],3)</f>
        <v>2.1</v>
      </c>
    </row>
    <row r="2415" spans="1:23" hidden="1">
      <c r="A2415" s="3" t="str">
        <f t="shared" si="37"/>
        <v>Período 1</v>
      </c>
      <c r="B2415">
        <v>52961</v>
      </c>
      <c r="C2415" t="s">
        <v>1730</v>
      </c>
      <c r="D2415" t="s">
        <v>5482</v>
      </c>
      <c r="E2415" s="3" t="str">
        <f>IF(LEN(Base_Periodo1[[#This Row],[CLASS]])&gt;=7,LEFT(Base_Periodo1[[#This Row],[CLASS]],7),"")</f>
        <v>2.1.2.1</v>
      </c>
      <c r="F2415" s="3" t="str">
        <f>VLOOKUP(Base_Periodo1[[#This Row],[Aux]],Base_Contas_Balanco[#All],2,FALSE)</f>
        <v>Fornecedores Cooperados</v>
      </c>
      <c r="G2415" s="1">
        <v>42865</v>
      </c>
      <c r="I2415" s="225">
        <v>3000</v>
      </c>
      <c r="J2415" s="225">
        <v>3000</v>
      </c>
      <c r="K2415" s="225">
        <v>0</v>
      </c>
      <c r="L24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15" s="225">
        <f>ROUND(IF(AND(Base_Periodo1[[#This Row],[Tipo_Linha]]="-",Base_Periodo1[[#This Row],[TIPOSALDO]]="D"),Base_Periodo1[[#This Row],[SALDO_ATUAL]]*-1,Base_Periodo1[[#This Row],[SALDO_ATUAL]]),4)</f>
        <v>0</v>
      </c>
      <c r="N2415" t="s">
        <v>116</v>
      </c>
      <c r="O2415" t="s">
        <v>436</v>
      </c>
      <c r="P2415" t="s">
        <v>436</v>
      </c>
      <c r="Q2415">
        <v>7</v>
      </c>
      <c r="R2415" s="225">
        <f>Base_Periodo1[[#This Row],[CREDITOS]]-Base_Periodo1[[#This Row],[DEBITOS]]</f>
        <v>0</v>
      </c>
      <c r="S2415" s="3" t="str">
        <f>IF(ISERROR(VLOOKUP(Base_Periodo1[[#This Row],[CONTA]],BaseContasDRE[#All],4,FALSE)),"Fora do DRE",VLOOKUP(Base_Periodo1[[#This Row],[CONTA]],BaseContasDRE[#All],4,FALSE))</f>
        <v>Fora do DRE</v>
      </c>
      <c r="T2415" s="3" t="str">
        <f>IF(ISERROR(VLOOKUP(Base_Periodo1[[#This Row],[CONTA]],BaseContasDRE[#All],5,FALSE)),"Fora do DRE",VLOOKUP(Base_Periodo1[[#This Row],[CONTA]],BaseContasDRE[#All],6,FALSE))</f>
        <v>Fora do DRE</v>
      </c>
      <c r="U2415" s="3" t="str">
        <f>IF(ISERROR(VLOOKUP(Base_Periodo1[[#This Row],[CONTA]],BaseContasDRE[#All],7,FALSE)),"Fora do DRE",VLOOKUP(Base_Periodo1[[#This Row],[CONTA]],BaseContasDRE[#All],7,FALSE))</f>
        <v>Fora do DRE</v>
      </c>
      <c r="V2415" s="3" t="str">
        <f>IF(Base_Periodo1[[#This Row],[Tipo_Linha]]="Fora do DRE","Fora do DRE","( "&amp;Base_Periodo1[[#This Row],[Tipo_Linha]]&amp;" ) "&amp;Base_Periodo1[[#This Row],[Filtro]])</f>
        <v>Fora do DRE</v>
      </c>
      <c r="W2415" s="3" t="str">
        <f>LEFT(Base_Periodo1[[#This Row],[CLASS]],3)</f>
        <v>2.1</v>
      </c>
    </row>
    <row r="2416" spans="1:23" hidden="1">
      <c r="A2416" s="3" t="str">
        <f t="shared" si="37"/>
        <v>Período 1</v>
      </c>
      <c r="B2416">
        <v>33193</v>
      </c>
      <c r="C2416" t="s">
        <v>1730</v>
      </c>
      <c r="D2416" t="s">
        <v>4815</v>
      </c>
      <c r="E2416" s="3" t="str">
        <f>IF(LEN(Base_Periodo1[[#This Row],[CLASS]])&gt;=7,LEFT(Base_Periodo1[[#This Row],[CLASS]],7),"")</f>
        <v>2.1.2.1</v>
      </c>
      <c r="F2416" s="3" t="str">
        <f>VLOOKUP(Base_Periodo1[[#This Row],[Aux]],Base_Contas_Balanco[#All],2,FALSE)</f>
        <v>Fornecedores Cooperados</v>
      </c>
      <c r="G2416" s="1">
        <v>42871</v>
      </c>
      <c r="I2416" s="225">
        <v>0</v>
      </c>
      <c r="J2416" s="225">
        <v>50</v>
      </c>
      <c r="K2416" s="225">
        <v>49.999999999970896</v>
      </c>
      <c r="L24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2416" s="225">
        <f>ROUND(IF(AND(Base_Periodo1[[#This Row],[Tipo_Linha]]="-",Base_Periodo1[[#This Row],[TIPOSALDO]]="D"),Base_Periodo1[[#This Row],[SALDO_ATUAL]]*-1,Base_Periodo1[[#This Row],[SALDO_ATUAL]]),4)</f>
        <v>50</v>
      </c>
      <c r="N2416" t="s">
        <v>116</v>
      </c>
      <c r="O2416" t="s">
        <v>436</v>
      </c>
      <c r="P2416" t="s">
        <v>459</v>
      </c>
      <c r="Q2416">
        <v>7</v>
      </c>
      <c r="R2416" s="225">
        <f>Base_Periodo1[[#This Row],[CREDITOS]]-Base_Periodo1[[#This Row],[DEBITOS]]</f>
        <v>50</v>
      </c>
      <c r="S2416" s="3" t="str">
        <f>IF(ISERROR(VLOOKUP(Base_Periodo1[[#This Row],[CONTA]],BaseContasDRE[#All],4,FALSE)),"Fora do DRE",VLOOKUP(Base_Periodo1[[#This Row],[CONTA]],BaseContasDRE[#All],4,FALSE))</f>
        <v>Fora do DRE</v>
      </c>
      <c r="T2416" s="3" t="str">
        <f>IF(ISERROR(VLOOKUP(Base_Periodo1[[#This Row],[CONTA]],BaseContasDRE[#All],5,FALSE)),"Fora do DRE",VLOOKUP(Base_Periodo1[[#This Row],[CONTA]],BaseContasDRE[#All],6,FALSE))</f>
        <v>Fora do DRE</v>
      </c>
      <c r="U2416" s="3" t="str">
        <f>IF(ISERROR(VLOOKUP(Base_Periodo1[[#This Row],[CONTA]],BaseContasDRE[#All],7,FALSE)),"Fora do DRE",VLOOKUP(Base_Periodo1[[#This Row],[CONTA]],BaseContasDRE[#All],7,FALSE))</f>
        <v>Fora do DRE</v>
      </c>
      <c r="V2416" s="3" t="str">
        <f>IF(Base_Periodo1[[#This Row],[Tipo_Linha]]="Fora do DRE","Fora do DRE","( "&amp;Base_Periodo1[[#This Row],[Tipo_Linha]]&amp;" ) "&amp;Base_Periodo1[[#This Row],[Filtro]])</f>
        <v>Fora do DRE</v>
      </c>
      <c r="W2416" s="3" t="str">
        <f>LEFT(Base_Periodo1[[#This Row],[CLASS]],3)</f>
        <v>2.1</v>
      </c>
    </row>
    <row r="2417" spans="1:23" hidden="1">
      <c r="A2417" s="3" t="str">
        <f t="shared" si="37"/>
        <v>Período 1</v>
      </c>
      <c r="B2417">
        <v>34267</v>
      </c>
      <c r="C2417" t="s">
        <v>1730</v>
      </c>
      <c r="D2417" t="s">
        <v>5945</v>
      </c>
      <c r="E2417" s="3" t="str">
        <f>IF(LEN(Base_Periodo1[[#This Row],[CLASS]])&gt;=7,LEFT(Base_Periodo1[[#This Row],[CLASS]],7),"")</f>
        <v>2.1.2.1</v>
      </c>
      <c r="F2417" s="3" t="str">
        <f>VLOOKUP(Base_Periodo1[[#This Row],[Aux]],Base_Contas_Balanco[#All],2,FALSE)</f>
        <v>Fornecedores Cooperados</v>
      </c>
      <c r="G2417" s="1">
        <v>42857</v>
      </c>
      <c r="H2417" s="225">
        <v>27742.149999999965</v>
      </c>
      <c r="I2417" s="225">
        <v>27742.15</v>
      </c>
      <c r="J2417" s="225">
        <v>0</v>
      </c>
      <c r="K2417" s="225">
        <v>3.637978807091713E-11</v>
      </c>
      <c r="L24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17" s="225">
        <f>ROUND(IF(AND(Base_Periodo1[[#This Row],[Tipo_Linha]]="-",Base_Periodo1[[#This Row],[TIPOSALDO]]="D"),Base_Periodo1[[#This Row],[SALDO_ATUAL]]*-1,Base_Periodo1[[#This Row],[SALDO_ATUAL]]),4)</f>
        <v>0</v>
      </c>
      <c r="N2417" t="s">
        <v>116</v>
      </c>
      <c r="O2417" t="s">
        <v>459</v>
      </c>
      <c r="P2417" t="s">
        <v>436</v>
      </c>
      <c r="Q2417">
        <v>7</v>
      </c>
      <c r="R2417" s="225">
        <f>Base_Periodo1[[#This Row],[CREDITOS]]-Base_Periodo1[[#This Row],[DEBITOS]]</f>
        <v>-27742.15</v>
      </c>
      <c r="S2417" s="3" t="str">
        <f>IF(ISERROR(VLOOKUP(Base_Periodo1[[#This Row],[CONTA]],BaseContasDRE[#All],4,FALSE)),"Fora do DRE",VLOOKUP(Base_Periodo1[[#This Row],[CONTA]],BaseContasDRE[#All],4,FALSE))</f>
        <v>Fora do DRE</v>
      </c>
      <c r="T2417" s="3" t="str">
        <f>IF(ISERROR(VLOOKUP(Base_Periodo1[[#This Row],[CONTA]],BaseContasDRE[#All],5,FALSE)),"Fora do DRE",VLOOKUP(Base_Periodo1[[#This Row],[CONTA]],BaseContasDRE[#All],6,FALSE))</f>
        <v>Fora do DRE</v>
      </c>
      <c r="U2417" s="3" t="str">
        <f>IF(ISERROR(VLOOKUP(Base_Periodo1[[#This Row],[CONTA]],BaseContasDRE[#All],7,FALSE)),"Fora do DRE",VLOOKUP(Base_Periodo1[[#This Row],[CONTA]],BaseContasDRE[#All],7,FALSE))</f>
        <v>Fora do DRE</v>
      </c>
      <c r="V2417" s="3" t="str">
        <f>IF(Base_Periodo1[[#This Row],[Tipo_Linha]]="Fora do DRE","Fora do DRE","( "&amp;Base_Periodo1[[#This Row],[Tipo_Linha]]&amp;" ) "&amp;Base_Periodo1[[#This Row],[Filtro]])</f>
        <v>Fora do DRE</v>
      </c>
      <c r="W2417" s="3" t="str">
        <f>LEFT(Base_Periodo1[[#This Row],[CLASS]],3)</f>
        <v>2.1</v>
      </c>
    </row>
    <row r="2418" spans="1:23" hidden="1">
      <c r="A2418" s="3" t="str">
        <f t="shared" si="37"/>
        <v>Período 1</v>
      </c>
      <c r="B2418">
        <v>2757</v>
      </c>
      <c r="C2418" t="s">
        <v>1730</v>
      </c>
      <c r="D2418" t="s">
        <v>694</v>
      </c>
      <c r="E2418" s="3" t="str">
        <f>IF(LEN(Base_Periodo1[[#This Row],[CLASS]])&gt;=7,LEFT(Base_Periodo1[[#This Row],[CLASS]],7),"")</f>
        <v>2.1.2.1</v>
      </c>
      <c r="F2418" s="3" t="str">
        <f>VLOOKUP(Base_Periodo1[[#This Row],[Aux]],Base_Contas_Balanco[#All],2,FALSE)</f>
        <v>Fornecedores Cooperados</v>
      </c>
      <c r="G2418" s="1">
        <v>42885</v>
      </c>
      <c r="H2418" s="225">
        <v>83045.000000000233</v>
      </c>
      <c r="I2418" s="225">
        <v>83045</v>
      </c>
      <c r="J2418" s="225">
        <v>0</v>
      </c>
      <c r="K2418" s="225">
        <v>-2.3283064365386963E-10</v>
      </c>
      <c r="L24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18" s="225">
        <f>ROUND(IF(AND(Base_Periodo1[[#This Row],[Tipo_Linha]]="-",Base_Periodo1[[#This Row],[TIPOSALDO]]="D"),Base_Periodo1[[#This Row],[SALDO_ATUAL]]*-1,Base_Periodo1[[#This Row],[SALDO_ATUAL]]),4)</f>
        <v>0</v>
      </c>
      <c r="N2418" t="s">
        <v>116</v>
      </c>
      <c r="O2418" t="s">
        <v>459</v>
      </c>
      <c r="P2418" t="s">
        <v>436</v>
      </c>
      <c r="Q2418">
        <v>7</v>
      </c>
      <c r="R2418" s="225">
        <f>Base_Periodo1[[#This Row],[CREDITOS]]-Base_Periodo1[[#This Row],[DEBITOS]]</f>
        <v>-83045</v>
      </c>
      <c r="S2418" s="3" t="str">
        <f>IF(ISERROR(VLOOKUP(Base_Periodo1[[#This Row],[CONTA]],BaseContasDRE[#All],4,FALSE)),"Fora do DRE",VLOOKUP(Base_Periodo1[[#This Row],[CONTA]],BaseContasDRE[#All],4,FALSE))</f>
        <v>Fora do DRE</v>
      </c>
      <c r="T2418" s="3" t="str">
        <f>IF(ISERROR(VLOOKUP(Base_Periodo1[[#This Row],[CONTA]],BaseContasDRE[#All],5,FALSE)),"Fora do DRE",VLOOKUP(Base_Periodo1[[#This Row],[CONTA]],BaseContasDRE[#All],6,FALSE))</f>
        <v>Fora do DRE</v>
      </c>
      <c r="U2418" s="3" t="str">
        <f>IF(ISERROR(VLOOKUP(Base_Periodo1[[#This Row],[CONTA]],BaseContasDRE[#All],7,FALSE)),"Fora do DRE",VLOOKUP(Base_Periodo1[[#This Row],[CONTA]],BaseContasDRE[#All],7,FALSE))</f>
        <v>Fora do DRE</v>
      </c>
      <c r="V2418" s="3" t="str">
        <f>IF(Base_Periodo1[[#This Row],[Tipo_Linha]]="Fora do DRE","Fora do DRE","( "&amp;Base_Periodo1[[#This Row],[Tipo_Linha]]&amp;" ) "&amp;Base_Periodo1[[#This Row],[Filtro]])</f>
        <v>Fora do DRE</v>
      </c>
      <c r="W2418" s="3" t="str">
        <f>LEFT(Base_Periodo1[[#This Row],[CLASS]],3)</f>
        <v>2.1</v>
      </c>
    </row>
    <row r="2419" spans="1:23" hidden="1">
      <c r="A2419" s="3" t="str">
        <f t="shared" si="37"/>
        <v>Período 1</v>
      </c>
      <c r="B2419">
        <v>24918</v>
      </c>
      <c r="C2419" t="s">
        <v>1730</v>
      </c>
      <c r="D2419" t="s">
        <v>695</v>
      </c>
      <c r="E2419" s="3" t="str">
        <f>IF(LEN(Base_Periodo1[[#This Row],[CLASS]])&gt;=7,LEFT(Base_Periodo1[[#This Row],[CLASS]],7),"")</f>
        <v>2.1.2.1</v>
      </c>
      <c r="F2419" s="3" t="str">
        <f>VLOOKUP(Base_Periodo1[[#This Row],[Aux]],Base_Contas_Balanco[#All],2,FALSE)</f>
        <v>Fornecedores Cooperados</v>
      </c>
      <c r="G2419" s="1">
        <v>42857</v>
      </c>
      <c r="H2419" s="225">
        <v>31125</v>
      </c>
      <c r="I2419" s="225">
        <v>31125</v>
      </c>
      <c r="J2419" s="225">
        <v>0</v>
      </c>
      <c r="K2419" s="225">
        <v>0</v>
      </c>
      <c r="L24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19" s="225">
        <f>ROUND(IF(AND(Base_Periodo1[[#This Row],[Tipo_Linha]]="-",Base_Periodo1[[#This Row],[TIPOSALDO]]="D"),Base_Periodo1[[#This Row],[SALDO_ATUAL]]*-1,Base_Periodo1[[#This Row],[SALDO_ATUAL]]),4)</f>
        <v>0</v>
      </c>
      <c r="N2419" t="s">
        <v>116</v>
      </c>
      <c r="O2419" t="s">
        <v>459</v>
      </c>
      <c r="P2419" t="s">
        <v>436</v>
      </c>
      <c r="Q2419">
        <v>7</v>
      </c>
      <c r="R2419" s="225">
        <f>Base_Periodo1[[#This Row],[CREDITOS]]-Base_Periodo1[[#This Row],[DEBITOS]]</f>
        <v>-31125</v>
      </c>
      <c r="S2419" s="3" t="str">
        <f>IF(ISERROR(VLOOKUP(Base_Periodo1[[#This Row],[CONTA]],BaseContasDRE[#All],4,FALSE)),"Fora do DRE",VLOOKUP(Base_Periodo1[[#This Row],[CONTA]],BaseContasDRE[#All],4,FALSE))</f>
        <v>Fora do DRE</v>
      </c>
      <c r="T2419" s="3" t="str">
        <f>IF(ISERROR(VLOOKUP(Base_Periodo1[[#This Row],[CONTA]],BaseContasDRE[#All],5,FALSE)),"Fora do DRE",VLOOKUP(Base_Periodo1[[#This Row],[CONTA]],BaseContasDRE[#All],6,FALSE))</f>
        <v>Fora do DRE</v>
      </c>
      <c r="U2419" s="3" t="str">
        <f>IF(ISERROR(VLOOKUP(Base_Periodo1[[#This Row],[CONTA]],BaseContasDRE[#All],7,FALSE)),"Fora do DRE",VLOOKUP(Base_Periodo1[[#This Row],[CONTA]],BaseContasDRE[#All],7,FALSE))</f>
        <v>Fora do DRE</v>
      </c>
      <c r="V2419" s="3" t="str">
        <f>IF(Base_Periodo1[[#This Row],[Tipo_Linha]]="Fora do DRE","Fora do DRE","( "&amp;Base_Periodo1[[#This Row],[Tipo_Linha]]&amp;" ) "&amp;Base_Periodo1[[#This Row],[Filtro]])</f>
        <v>Fora do DRE</v>
      </c>
      <c r="W2419" s="3" t="str">
        <f>LEFT(Base_Periodo1[[#This Row],[CLASS]],3)</f>
        <v>2.1</v>
      </c>
    </row>
    <row r="2420" spans="1:23" hidden="1">
      <c r="A2420" s="3" t="str">
        <f t="shared" si="37"/>
        <v>Período 1</v>
      </c>
      <c r="B2420">
        <v>4617</v>
      </c>
      <c r="C2420" t="s">
        <v>1730</v>
      </c>
      <c r="D2420" t="s">
        <v>695</v>
      </c>
      <c r="E2420" s="3" t="str">
        <f>IF(LEN(Base_Periodo1[[#This Row],[CLASS]])&gt;=7,LEFT(Base_Periodo1[[#This Row],[CLASS]],7),"")</f>
        <v>2.1.2.1</v>
      </c>
      <c r="F2420" s="3" t="str">
        <f>VLOOKUP(Base_Periodo1[[#This Row],[Aux]],Base_Contas_Balanco[#All],2,FALSE)</f>
        <v>Fornecedores Cooperados</v>
      </c>
      <c r="G2420" s="1">
        <v>42885</v>
      </c>
      <c r="H2420" s="225">
        <v>154235</v>
      </c>
      <c r="I2420" s="225">
        <v>148235</v>
      </c>
      <c r="J2420" s="225">
        <v>0</v>
      </c>
      <c r="K2420" s="225">
        <v>6000</v>
      </c>
      <c r="L24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6000</v>
      </c>
      <c r="M2420" s="225">
        <f>ROUND(IF(AND(Base_Periodo1[[#This Row],[Tipo_Linha]]="-",Base_Periodo1[[#This Row],[TIPOSALDO]]="D"),Base_Periodo1[[#This Row],[SALDO_ATUAL]]*-1,Base_Periodo1[[#This Row],[SALDO_ATUAL]]),4)</f>
        <v>6000</v>
      </c>
      <c r="N2420" t="s">
        <v>116</v>
      </c>
      <c r="O2420" t="s">
        <v>459</v>
      </c>
      <c r="P2420" t="s">
        <v>459</v>
      </c>
      <c r="Q2420">
        <v>7</v>
      </c>
      <c r="R2420" s="225">
        <f>Base_Periodo1[[#This Row],[CREDITOS]]-Base_Periodo1[[#This Row],[DEBITOS]]</f>
        <v>-148235</v>
      </c>
      <c r="S2420" s="3" t="str">
        <f>IF(ISERROR(VLOOKUP(Base_Periodo1[[#This Row],[CONTA]],BaseContasDRE[#All],4,FALSE)),"Fora do DRE",VLOOKUP(Base_Periodo1[[#This Row],[CONTA]],BaseContasDRE[#All],4,FALSE))</f>
        <v>Fora do DRE</v>
      </c>
      <c r="T2420" s="3" t="str">
        <f>IF(ISERROR(VLOOKUP(Base_Periodo1[[#This Row],[CONTA]],BaseContasDRE[#All],5,FALSE)),"Fora do DRE",VLOOKUP(Base_Periodo1[[#This Row],[CONTA]],BaseContasDRE[#All],6,FALSE))</f>
        <v>Fora do DRE</v>
      </c>
      <c r="U2420" s="3" t="str">
        <f>IF(ISERROR(VLOOKUP(Base_Periodo1[[#This Row],[CONTA]],BaseContasDRE[#All],7,FALSE)),"Fora do DRE",VLOOKUP(Base_Periodo1[[#This Row],[CONTA]],BaseContasDRE[#All],7,FALSE))</f>
        <v>Fora do DRE</v>
      </c>
      <c r="V2420" s="3" t="str">
        <f>IF(Base_Periodo1[[#This Row],[Tipo_Linha]]="Fora do DRE","Fora do DRE","( "&amp;Base_Periodo1[[#This Row],[Tipo_Linha]]&amp;" ) "&amp;Base_Periodo1[[#This Row],[Filtro]])</f>
        <v>Fora do DRE</v>
      </c>
      <c r="W2420" s="3" t="str">
        <f>LEFT(Base_Periodo1[[#This Row],[CLASS]],3)</f>
        <v>2.1</v>
      </c>
    </row>
    <row r="2421" spans="1:23" hidden="1">
      <c r="A2421" s="3" t="str">
        <f t="shared" si="37"/>
        <v>Período 1</v>
      </c>
      <c r="B2421">
        <v>8217</v>
      </c>
      <c r="C2421" t="s">
        <v>1730</v>
      </c>
      <c r="D2421" t="s">
        <v>697</v>
      </c>
      <c r="E2421" s="3" t="str">
        <f>IF(LEN(Base_Periodo1[[#This Row],[CLASS]])&gt;=7,LEFT(Base_Periodo1[[#This Row],[CLASS]],7),"")</f>
        <v>2.1.2.1</v>
      </c>
      <c r="F2421" s="3" t="str">
        <f>VLOOKUP(Base_Periodo1[[#This Row],[Aux]],Base_Contas_Balanco[#All],2,FALSE)</f>
        <v>Fornecedores Cooperados</v>
      </c>
      <c r="G2421" s="1">
        <v>42884</v>
      </c>
      <c r="I2421" s="225">
        <v>93619.99</v>
      </c>
      <c r="J2421" s="225">
        <v>93619.99</v>
      </c>
      <c r="K2421" s="225">
        <v>-2.3283064365386963E-10</v>
      </c>
      <c r="L24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21" s="225">
        <f>ROUND(IF(AND(Base_Periodo1[[#This Row],[Tipo_Linha]]="-",Base_Periodo1[[#This Row],[TIPOSALDO]]="D"),Base_Periodo1[[#This Row],[SALDO_ATUAL]]*-1,Base_Periodo1[[#This Row],[SALDO_ATUAL]]),4)</f>
        <v>0</v>
      </c>
      <c r="N2421" t="s">
        <v>116</v>
      </c>
      <c r="O2421" t="s">
        <v>436</v>
      </c>
      <c r="P2421" t="s">
        <v>436</v>
      </c>
      <c r="Q2421">
        <v>7</v>
      </c>
      <c r="R2421" s="225">
        <f>Base_Periodo1[[#This Row],[CREDITOS]]-Base_Periodo1[[#This Row],[DEBITOS]]</f>
        <v>0</v>
      </c>
      <c r="S2421" s="3" t="str">
        <f>IF(ISERROR(VLOOKUP(Base_Periodo1[[#This Row],[CONTA]],BaseContasDRE[#All],4,FALSE)),"Fora do DRE",VLOOKUP(Base_Periodo1[[#This Row],[CONTA]],BaseContasDRE[#All],4,FALSE))</f>
        <v>Fora do DRE</v>
      </c>
      <c r="T2421" s="3" t="str">
        <f>IF(ISERROR(VLOOKUP(Base_Periodo1[[#This Row],[CONTA]],BaseContasDRE[#All],5,FALSE)),"Fora do DRE",VLOOKUP(Base_Periodo1[[#This Row],[CONTA]],BaseContasDRE[#All],6,FALSE))</f>
        <v>Fora do DRE</v>
      </c>
      <c r="U2421" s="3" t="str">
        <f>IF(ISERROR(VLOOKUP(Base_Periodo1[[#This Row],[CONTA]],BaseContasDRE[#All],7,FALSE)),"Fora do DRE",VLOOKUP(Base_Periodo1[[#This Row],[CONTA]],BaseContasDRE[#All],7,FALSE))</f>
        <v>Fora do DRE</v>
      </c>
      <c r="V2421" s="3" t="str">
        <f>IF(Base_Periodo1[[#This Row],[Tipo_Linha]]="Fora do DRE","Fora do DRE","( "&amp;Base_Periodo1[[#This Row],[Tipo_Linha]]&amp;" ) "&amp;Base_Periodo1[[#This Row],[Filtro]])</f>
        <v>Fora do DRE</v>
      </c>
      <c r="W2421" s="3" t="str">
        <f>LEFT(Base_Periodo1[[#This Row],[CLASS]],3)</f>
        <v>2.1</v>
      </c>
    </row>
    <row r="2422" spans="1:23" hidden="1">
      <c r="A2422" s="3" t="str">
        <f t="shared" si="37"/>
        <v>Período 1</v>
      </c>
      <c r="B2422">
        <v>47883</v>
      </c>
      <c r="C2422" t="s">
        <v>1730</v>
      </c>
      <c r="D2422" t="s">
        <v>699</v>
      </c>
      <c r="E2422" s="3" t="str">
        <f>IF(LEN(Base_Periodo1[[#This Row],[CLASS]])&gt;=7,LEFT(Base_Periodo1[[#This Row],[CLASS]],7),"")</f>
        <v>2.1.2.1</v>
      </c>
      <c r="F2422" s="3" t="str">
        <f>VLOOKUP(Base_Periodo1[[#This Row],[Aux]],Base_Contas_Balanco[#All],2,FALSE)</f>
        <v>Fornecedores Cooperados</v>
      </c>
      <c r="G2422" s="1">
        <v>42871</v>
      </c>
      <c r="H2422" s="225">
        <v>3734.0999999999767</v>
      </c>
      <c r="I2422" s="225">
        <v>33399.449999999997</v>
      </c>
      <c r="J2422" s="225">
        <v>29665.35</v>
      </c>
      <c r="K2422" s="225">
        <v>2.1827872842550278E-11</v>
      </c>
      <c r="L24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22" s="225">
        <f>ROUND(IF(AND(Base_Periodo1[[#This Row],[Tipo_Linha]]="-",Base_Periodo1[[#This Row],[TIPOSALDO]]="D"),Base_Periodo1[[#This Row],[SALDO_ATUAL]]*-1,Base_Periodo1[[#This Row],[SALDO_ATUAL]]),4)</f>
        <v>0</v>
      </c>
      <c r="N2422" t="s">
        <v>116</v>
      </c>
      <c r="O2422" t="s">
        <v>459</v>
      </c>
      <c r="P2422" t="s">
        <v>436</v>
      </c>
      <c r="Q2422">
        <v>7</v>
      </c>
      <c r="R2422" s="225">
        <f>Base_Periodo1[[#This Row],[CREDITOS]]-Base_Periodo1[[#This Row],[DEBITOS]]</f>
        <v>-3734.0999999999985</v>
      </c>
      <c r="S2422" s="3" t="str">
        <f>IF(ISERROR(VLOOKUP(Base_Periodo1[[#This Row],[CONTA]],BaseContasDRE[#All],4,FALSE)),"Fora do DRE",VLOOKUP(Base_Periodo1[[#This Row],[CONTA]],BaseContasDRE[#All],4,FALSE))</f>
        <v>Fora do DRE</v>
      </c>
      <c r="T2422" s="3" t="str">
        <f>IF(ISERROR(VLOOKUP(Base_Periodo1[[#This Row],[CONTA]],BaseContasDRE[#All],5,FALSE)),"Fora do DRE",VLOOKUP(Base_Periodo1[[#This Row],[CONTA]],BaseContasDRE[#All],6,FALSE))</f>
        <v>Fora do DRE</v>
      </c>
      <c r="U2422" s="3" t="str">
        <f>IF(ISERROR(VLOOKUP(Base_Periodo1[[#This Row],[CONTA]],BaseContasDRE[#All],7,FALSE)),"Fora do DRE",VLOOKUP(Base_Periodo1[[#This Row],[CONTA]],BaseContasDRE[#All],7,FALSE))</f>
        <v>Fora do DRE</v>
      </c>
      <c r="V2422" s="3" t="str">
        <f>IF(Base_Periodo1[[#This Row],[Tipo_Linha]]="Fora do DRE","Fora do DRE","( "&amp;Base_Periodo1[[#This Row],[Tipo_Linha]]&amp;" ) "&amp;Base_Periodo1[[#This Row],[Filtro]])</f>
        <v>Fora do DRE</v>
      </c>
      <c r="W2422" s="3" t="str">
        <f>LEFT(Base_Periodo1[[#This Row],[CLASS]],3)</f>
        <v>2.1</v>
      </c>
    </row>
    <row r="2423" spans="1:23" hidden="1">
      <c r="A2423" s="3" t="str">
        <f t="shared" si="37"/>
        <v>Período 1</v>
      </c>
      <c r="B2423">
        <v>3693</v>
      </c>
      <c r="C2423" t="s">
        <v>1730</v>
      </c>
      <c r="D2423" t="s">
        <v>700</v>
      </c>
      <c r="E2423" s="3" t="str">
        <f>IF(LEN(Base_Periodo1[[#This Row],[CLASS]])&gt;=7,LEFT(Base_Periodo1[[#This Row],[CLASS]],7),"")</f>
        <v>2.1.2.1</v>
      </c>
      <c r="F2423" s="3" t="str">
        <f>VLOOKUP(Base_Periodo1[[#This Row],[Aux]],Base_Contas_Balanco[#All],2,FALSE)</f>
        <v>Fornecedores Cooperados</v>
      </c>
      <c r="G2423" s="1">
        <v>42879</v>
      </c>
      <c r="I2423" s="225">
        <v>1046.05</v>
      </c>
      <c r="J2423" s="225">
        <v>1046.05</v>
      </c>
      <c r="K2423" s="225">
        <v>0</v>
      </c>
      <c r="L24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23" s="225">
        <f>ROUND(IF(AND(Base_Periodo1[[#This Row],[Tipo_Linha]]="-",Base_Periodo1[[#This Row],[TIPOSALDO]]="D"),Base_Periodo1[[#This Row],[SALDO_ATUAL]]*-1,Base_Periodo1[[#This Row],[SALDO_ATUAL]]),4)</f>
        <v>0</v>
      </c>
      <c r="N2423" t="s">
        <v>116</v>
      </c>
      <c r="O2423" t="s">
        <v>436</v>
      </c>
      <c r="P2423" t="s">
        <v>436</v>
      </c>
      <c r="Q2423">
        <v>7</v>
      </c>
      <c r="R2423" s="225">
        <f>Base_Periodo1[[#This Row],[CREDITOS]]-Base_Periodo1[[#This Row],[DEBITOS]]</f>
        <v>0</v>
      </c>
      <c r="S2423" s="3" t="str">
        <f>IF(ISERROR(VLOOKUP(Base_Periodo1[[#This Row],[CONTA]],BaseContasDRE[#All],4,FALSE)),"Fora do DRE",VLOOKUP(Base_Periodo1[[#This Row],[CONTA]],BaseContasDRE[#All],4,FALSE))</f>
        <v>Fora do DRE</v>
      </c>
      <c r="T2423" s="3" t="str">
        <f>IF(ISERROR(VLOOKUP(Base_Periodo1[[#This Row],[CONTA]],BaseContasDRE[#All],5,FALSE)),"Fora do DRE",VLOOKUP(Base_Periodo1[[#This Row],[CONTA]],BaseContasDRE[#All],6,FALSE))</f>
        <v>Fora do DRE</v>
      </c>
      <c r="U2423" s="3" t="str">
        <f>IF(ISERROR(VLOOKUP(Base_Periodo1[[#This Row],[CONTA]],BaseContasDRE[#All],7,FALSE)),"Fora do DRE",VLOOKUP(Base_Periodo1[[#This Row],[CONTA]],BaseContasDRE[#All],7,FALSE))</f>
        <v>Fora do DRE</v>
      </c>
      <c r="V2423" s="3" t="str">
        <f>IF(Base_Periodo1[[#This Row],[Tipo_Linha]]="Fora do DRE","Fora do DRE","( "&amp;Base_Periodo1[[#This Row],[Tipo_Linha]]&amp;" ) "&amp;Base_Periodo1[[#This Row],[Filtro]])</f>
        <v>Fora do DRE</v>
      </c>
      <c r="W2423" s="3" t="str">
        <f>LEFT(Base_Periodo1[[#This Row],[CLASS]],3)</f>
        <v>2.1</v>
      </c>
    </row>
    <row r="2424" spans="1:23" hidden="1">
      <c r="A2424" s="3" t="str">
        <f t="shared" si="37"/>
        <v>Período 1</v>
      </c>
      <c r="B2424">
        <v>47138</v>
      </c>
      <c r="C2424" t="s">
        <v>1730</v>
      </c>
      <c r="D2424" t="s">
        <v>702</v>
      </c>
      <c r="E2424" s="3" t="str">
        <f>IF(LEN(Base_Periodo1[[#This Row],[CLASS]])&gt;=7,LEFT(Base_Periodo1[[#This Row],[CLASS]],7),"")</f>
        <v>2.1.2.1</v>
      </c>
      <c r="F2424" s="3" t="str">
        <f>VLOOKUP(Base_Periodo1[[#This Row],[Aux]],Base_Contas_Balanco[#All],2,FALSE)</f>
        <v>Fornecedores Cooperados</v>
      </c>
      <c r="G2424" s="1">
        <v>42884</v>
      </c>
      <c r="I2424" s="225">
        <v>447099.10000000003</v>
      </c>
      <c r="J2424" s="225">
        <v>447099.10000000003</v>
      </c>
      <c r="K2424" s="225">
        <v>-9.3132257461547852E-10</v>
      </c>
      <c r="L24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24" s="225">
        <f>ROUND(IF(AND(Base_Periodo1[[#This Row],[Tipo_Linha]]="-",Base_Periodo1[[#This Row],[TIPOSALDO]]="D"),Base_Periodo1[[#This Row],[SALDO_ATUAL]]*-1,Base_Periodo1[[#This Row],[SALDO_ATUAL]]),4)</f>
        <v>0</v>
      </c>
      <c r="N2424" t="s">
        <v>116</v>
      </c>
      <c r="O2424" t="s">
        <v>436</v>
      </c>
      <c r="P2424" t="s">
        <v>436</v>
      </c>
      <c r="Q2424">
        <v>7</v>
      </c>
      <c r="R2424" s="225">
        <f>Base_Periodo1[[#This Row],[CREDITOS]]-Base_Periodo1[[#This Row],[DEBITOS]]</f>
        <v>0</v>
      </c>
      <c r="S2424" s="3" t="str">
        <f>IF(ISERROR(VLOOKUP(Base_Periodo1[[#This Row],[CONTA]],BaseContasDRE[#All],4,FALSE)),"Fora do DRE",VLOOKUP(Base_Periodo1[[#This Row],[CONTA]],BaseContasDRE[#All],4,FALSE))</f>
        <v>Fora do DRE</v>
      </c>
      <c r="T2424" s="3" t="str">
        <f>IF(ISERROR(VLOOKUP(Base_Periodo1[[#This Row],[CONTA]],BaseContasDRE[#All],5,FALSE)),"Fora do DRE",VLOOKUP(Base_Periodo1[[#This Row],[CONTA]],BaseContasDRE[#All],6,FALSE))</f>
        <v>Fora do DRE</v>
      </c>
      <c r="U2424" s="3" t="str">
        <f>IF(ISERROR(VLOOKUP(Base_Periodo1[[#This Row],[CONTA]],BaseContasDRE[#All],7,FALSE)),"Fora do DRE",VLOOKUP(Base_Periodo1[[#This Row],[CONTA]],BaseContasDRE[#All],7,FALSE))</f>
        <v>Fora do DRE</v>
      </c>
      <c r="V2424" s="3" t="str">
        <f>IF(Base_Periodo1[[#This Row],[Tipo_Linha]]="Fora do DRE","Fora do DRE","( "&amp;Base_Periodo1[[#This Row],[Tipo_Linha]]&amp;" ) "&amp;Base_Periodo1[[#This Row],[Filtro]])</f>
        <v>Fora do DRE</v>
      </c>
      <c r="W2424" s="3" t="str">
        <f>LEFT(Base_Periodo1[[#This Row],[CLASS]],3)</f>
        <v>2.1</v>
      </c>
    </row>
    <row r="2425" spans="1:23" hidden="1">
      <c r="A2425" s="3" t="str">
        <f t="shared" si="37"/>
        <v>Período 1</v>
      </c>
      <c r="B2425">
        <v>7974</v>
      </c>
      <c r="C2425" t="s">
        <v>1730</v>
      </c>
      <c r="D2425" t="s">
        <v>703</v>
      </c>
      <c r="E2425" s="3" t="str">
        <f>IF(LEN(Base_Periodo1[[#This Row],[CLASS]])&gt;=7,LEFT(Base_Periodo1[[#This Row],[CLASS]],7),"")</f>
        <v>2.1.2.1</v>
      </c>
      <c r="F2425" s="3" t="str">
        <f>VLOOKUP(Base_Periodo1[[#This Row],[Aux]],Base_Contas_Balanco[#All],2,FALSE)</f>
        <v>Fornecedores Cooperados</v>
      </c>
      <c r="G2425" s="1">
        <v>42885</v>
      </c>
      <c r="H2425" s="225">
        <v>1059999.9999999963</v>
      </c>
      <c r="I2425" s="225">
        <v>238887.95999999996</v>
      </c>
      <c r="J2425" s="225">
        <v>212696</v>
      </c>
      <c r="K2425" s="225">
        <v>1033808.0399999963</v>
      </c>
      <c r="L24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1033808.04</v>
      </c>
      <c r="M2425" s="225">
        <f>ROUND(IF(AND(Base_Periodo1[[#This Row],[Tipo_Linha]]="-",Base_Periodo1[[#This Row],[TIPOSALDO]]="D"),Base_Periodo1[[#This Row],[SALDO_ATUAL]]*-1,Base_Periodo1[[#This Row],[SALDO_ATUAL]]),4)</f>
        <v>1033808.04</v>
      </c>
      <c r="N2425" t="s">
        <v>116</v>
      </c>
      <c r="O2425" t="s">
        <v>459</v>
      </c>
      <c r="P2425" t="s">
        <v>459</v>
      </c>
      <c r="Q2425">
        <v>7</v>
      </c>
      <c r="R2425" s="225">
        <f>Base_Periodo1[[#This Row],[CREDITOS]]-Base_Periodo1[[#This Row],[DEBITOS]]</f>
        <v>-26191.959999999963</v>
      </c>
      <c r="S2425" s="3" t="str">
        <f>IF(ISERROR(VLOOKUP(Base_Periodo1[[#This Row],[CONTA]],BaseContasDRE[#All],4,FALSE)),"Fora do DRE",VLOOKUP(Base_Periodo1[[#This Row],[CONTA]],BaseContasDRE[#All],4,FALSE))</f>
        <v>Fora do DRE</v>
      </c>
      <c r="T2425" s="3" t="str">
        <f>IF(ISERROR(VLOOKUP(Base_Periodo1[[#This Row],[CONTA]],BaseContasDRE[#All],5,FALSE)),"Fora do DRE",VLOOKUP(Base_Periodo1[[#This Row],[CONTA]],BaseContasDRE[#All],6,FALSE))</f>
        <v>Fora do DRE</v>
      </c>
      <c r="U2425" s="3" t="str">
        <f>IF(ISERROR(VLOOKUP(Base_Periodo1[[#This Row],[CONTA]],BaseContasDRE[#All],7,FALSE)),"Fora do DRE",VLOOKUP(Base_Periodo1[[#This Row],[CONTA]],BaseContasDRE[#All],7,FALSE))</f>
        <v>Fora do DRE</v>
      </c>
      <c r="V2425" s="3" t="str">
        <f>IF(Base_Periodo1[[#This Row],[Tipo_Linha]]="Fora do DRE","Fora do DRE","( "&amp;Base_Periodo1[[#This Row],[Tipo_Linha]]&amp;" ) "&amp;Base_Periodo1[[#This Row],[Filtro]])</f>
        <v>Fora do DRE</v>
      </c>
      <c r="W2425" s="3" t="str">
        <f>LEFT(Base_Periodo1[[#This Row],[CLASS]],3)</f>
        <v>2.1</v>
      </c>
    </row>
    <row r="2426" spans="1:23" hidden="1">
      <c r="A2426" s="3" t="str">
        <f t="shared" si="37"/>
        <v>Período 1</v>
      </c>
      <c r="B2426">
        <v>3421</v>
      </c>
      <c r="C2426" t="s">
        <v>1730</v>
      </c>
      <c r="D2426" t="s">
        <v>5946</v>
      </c>
      <c r="E2426" s="3" t="str">
        <f>IF(LEN(Base_Periodo1[[#This Row],[CLASS]])&gt;=7,LEFT(Base_Periodo1[[#This Row],[CLASS]],7),"")</f>
        <v>2.1.2.1</v>
      </c>
      <c r="F2426" s="3" t="str">
        <f>VLOOKUP(Base_Periodo1[[#This Row],[Aux]],Base_Contas_Balanco[#All],2,FALSE)</f>
        <v>Fornecedores Cooperados</v>
      </c>
      <c r="G2426" s="1">
        <v>42884</v>
      </c>
      <c r="H2426" s="225">
        <v>76454.9099999998</v>
      </c>
      <c r="I2426" s="225">
        <v>78372.41</v>
      </c>
      <c r="J2426" s="225">
        <v>1917.5</v>
      </c>
      <c r="K2426" s="225">
        <v>2.0372681319713593E-10</v>
      </c>
      <c r="L24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26" s="225">
        <f>ROUND(IF(AND(Base_Periodo1[[#This Row],[Tipo_Linha]]="-",Base_Periodo1[[#This Row],[TIPOSALDO]]="D"),Base_Periodo1[[#This Row],[SALDO_ATUAL]]*-1,Base_Periodo1[[#This Row],[SALDO_ATUAL]]),4)</f>
        <v>0</v>
      </c>
      <c r="N2426" t="s">
        <v>116</v>
      </c>
      <c r="O2426" t="s">
        <v>459</v>
      </c>
      <c r="P2426" t="s">
        <v>436</v>
      </c>
      <c r="Q2426">
        <v>7</v>
      </c>
      <c r="R2426" s="225">
        <f>Base_Periodo1[[#This Row],[CREDITOS]]-Base_Periodo1[[#This Row],[DEBITOS]]</f>
        <v>-76454.91</v>
      </c>
      <c r="S2426" s="3" t="str">
        <f>IF(ISERROR(VLOOKUP(Base_Periodo1[[#This Row],[CONTA]],BaseContasDRE[#All],4,FALSE)),"Fora do DRE",VLOOKUP(Base_Periodo1[[#This Row],[CONTA]],BaseContasDRE[#All],4,FALSE))</f>
        <v>Fora do DRE</v>
      </c>
      <c r="T2426" s="3" t="str">
        <f>IF(ISERROR(VLOOKUP(Base_Periodo1[[#This Row],[CONTA]],BaseContasDRE[#All],5,FALSE)),"Fora do DRE",VLOOKUP(Base_Periodo1[[#This Row],[CONTA]],BaseContasDRE[#All],6,FALSE))</f>
        <v>Fora do DRE</v>
      </c>
      <c r="U2426" s="3" t="str">
        <f>IF(ISERROR(VLOOKUP(Base_Periodo1[[#This Row],[CONTA]],BaseContasDRE[#All],7,FALSE)),"Fora do DRE",VLOOKUP(Base_Periodo1[[#This Row],[CONTA]],BaseContasDRE[#All],7,FALSE))</f>
        <v>Fora do DRE</v>
      </c>
      <c r="V2426" s="3" t="str">
        <f>IF(Base_Periodo1[[#This Row],[Tipo_Linha]]="Fora do DRE","Fora do DRE","( "&amp;Base_Periodo1[[#This Row],[Tipo_Linha]]&amp;" ) "&amp;Base_Periodo1[[#This Row],[Filtro]])</f>
        <v>Fora do DRE</v>
      </c>
      <c r="W2426" s="3" t="str">
        <f>LEFT(Base_Periodo1[[#This Row],[CLASS]],3)</f>
        <v>2.1</v>
      </c>
    </row>
    <row r="2427" spans="1:23" hidden="1">
      <c r="A2427" s="3" t="str">
        <f t="shared" si="37"/>
        <v>Período 1</v>
      </c>
      <c r="B2427">
        <v>4997</v>
      </c>
      <c r="C2427" t="s">
        <v>1730</v>
      </c>
      <c r="D2427" t="s">
        <v>5506</v>
      </c>
      <c r="E2427" s="3" t="str">
        <f>IF(LEN(Base_Periodo1[[#This Row],[CLASS]])&gt;=7,LEFT(Base_Periodo1[[#This Row],[CLASS]],7),"")</f>
        <v>2.1.2.1</v>
      </c>
      <c r="F2427" s="3" t="str">
        <f>VLOOKUP(Base_Periodo1[[#This Row],[Aux]],Base_Contas_Balanco[#All],2,FALSE)</f>
        <v>Fornecedores Cooperados</v>
      </c>
      <c r="G2427" s="1">
        <v>42717</v>
      </c>
      <c r="H2427" s="225">
        <v>98.090000000142027</v>
      </c>
      <c r="I2427" s="225">
        <v>0</v>
      </c>
      <c r="J2427" s="225">
        <v>0</v>
      </c>
      <c r="K2427" s="225">
        <v>98.090000000142027</v>
      </c>
      <c r="L24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98.09</v>
      </c>
      <c r="M2427" s="225">
        <f>ROUND(IF(AND(Base_Periodo1[[#This Row],[Tipo_Linha]]="-",Base_Periodo1[[#This Row],[TIPOSALDO]]="D"),Base_Periodo1[[#This Row],[SALDO_ATUAL]]*-1,Base_Periodo1[[#This Row],[SALDO_ATUAL]]),4)</f>
        <v>98.09</v>
      </c>
      <c r="N2427" t="s">
        <v>116</v>
      </c>
      <c r="O2427" t="s">
        <v>459</v>
      </c>
      <c r="P2427" t="s">
        <v>459</v>
      </c>
      <c r="Q2427">
        <v>7</v>
      </c>
      <c r="R2427" s="225">
        <f>Base_Periodo1[[#This Row],[CREDITOS]]-Base_Periodo1[[#This Row],[DEBITOS]]</f>
        <v>0</v>
      </c>
      <c r="S2427" s="3" t="str">
        <f>IF(ISERROR(VLOOKUP(Base_Periodo1[[#This Row],[CONTA]],BaseContasDRE[#All],4,FALSE)),"Fora do DRE",VLOOKUP(Base_Periodo1[[#This Row],[CONTA]],BaseContasDRE[#All],4,FALSE))</f>
        <v>Fora do DRE</v>
      </c>
      <c r="T2427" s="3" t="str">
        <f>IF(ISERROR(VLOOKUP(Base_Periodo1[[#This Row],[CONTA]],BaseContasDRE[#All],5,FALSE)),"Fora do DRE",VLOOKUP(Base_Periodo1[[#This Row],[CONTA]],BaseContasDRE[#All],6,FALSE))</f>
        <v>Fora do DRE</v>
      </c>
      <c r="U2427" s="3" t="str">
        <f>IF(ISERROR(VLOOKUP(Base_Periodo1[[#This Row],[CONTA]],BaseContasDRE[#All],7,FALSE)),"Fora do DRE",VLOOKUP(Base_Periodo1[[#This Row],[CONTA]],BaseContasDRE[#All],7,FALSE))</f>
        <v>Fora do DRE</v>
      </c>
      <c r="V2427" s="3" t="str">
        <f>IF(Base_Periodo1[[#This Row],[Tipo_Linha]]="Fora do DRE","Fora do DRE","( "&amp;Base_Periodo1[[#This Row],[Tipo_Linha]]&amp;" ) "&amp;Base_Periodo1[[#This Row],[Filtro]])</f>
        <v>Fora do DRE</v>
      </c>
      <c r="W2427" s="3" t="str">
        <f>LEFT(Base_Periodo1[[#This Row],[CLASS]],3)</f>
        <v>2.1</v>
      </c>
    </row>
    <row r="2428" spans="1:23" hidden="1">
      <c r="A2428" s="3" t="str">
        <f t="shared" si="37"/>
        <v>Período 1</v>
      </c>
      <c r="B2428">
        <v>3137</v>
      </c>
      <c r="C2428" t="s">
        <v>1730</v>
      </c>
      <c r="D2428" t="s">
        <v>704</v>
      </c>
      <c r="E2428" s="3" t="str">
        <f>IF(LEN(Base_Periodo1[[#This Row],[CLASS]])&gt;=7,LEFT(Base_Periodo1[[#This Row],[CLASS]],7),"")</f>
        <v>2.1.2.1</v>
      </c>
      <c r="F2428" s="3" t="str">
        <f>VLOOKUP(Base_Periodo1[[#This Row],[Aux]],Base_Contas_Balanco[#All],2,FALSE)</f>
        <v>Fornecedores Cooperados</v>
      </c>
      <c r="G2428" s="1">
        <v>42886</v>
      </c>
      <c r="I2428" s="225">
        <v>201787.77000000002</v>
      </c>
      <c r="J2428" s="225">
        <v>201787.77</v>
      </c>
      <c r="K2428" s="225">
        <v>9.6042640507221222E-10</v>
      </c>
      <c r="L24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28" s="225">
        <f>ROUND(IF(AND(Base_Periodo1[[#This Row],[Tipo_Linha]]="-",Base_Periodo1[[#This Row],[TIPOSALDO]]="D"),Base_Periodo1[[#This Row],[SALDO_ATUAL]]*-1,Base_Periodo1[[#This Row],[SALDO_ATUAL]]),4)</f>
        <v>0</v>
      </c>
      <c r="N2428" t="s">
        <v>116</v>
      </c>
      <c r="O2428" t="s">
        <v>436</v>
      </c>
      <c r="P2428" t="s">
        <v>436</v>
      </c>
      <c r="Q2428">
        <v>7</v>
      </c>
      <c r="R2428" s="225">
        <f>Base_Periodo1[[#This Row],[CREDITOS]]-Base_Periodo1[[#This Row],[DEBITOS]]</f>
        <v>0</v>
      </c>
      <c r="S2428" s="3" t="str">
        <f>IF(ISERROR(VLOOKUP(Base_Periodo1[[#This Row],[CONTA]],BaseContasDRE[#All],4,FALSE)),"Fora do DRE",VLOOKUP(Base_Periodo1[[#This Row],[CONTA]],BaseContasDRE[#All],4,FALSE))</f>
        <v>Fora do DRE</v>
      </c>
      <c r="T2428" s="3" t="str">
        <f>IF(ISERROR(VLOOKUP(Base_Periodo1[[#This Row],[CONTA]],BaseContasDRE[#All],5,FALSE)),"Fora do DRE",VLOOKUP(Base_Periodo1[[#This Row],[CONTA]],BaseContasDRE[#All],6,FALSE))</f>
        <v>Fora do DRE</v>
      </c>
      <c r="U2428" s="3" t="str">
        <f>IF(ISERROR(VLOOKUP(Base_Periodo1[[#This Row],[CONTA]],BaseContasDRE[#All],7,FALSE)),"Fora do DRE",VLOOKUP(Base_Periodo1[[#This Row],[CONTA]],BaseContasDRE[#All],7,FALSE))</f>
        <v>Fora do DRE</v>
      </c>
      <c r="V2428" s="3" t="str">
        <f>IF(Base_Periodo1[[#This Row],[Tipo_Linha]]="Fora do DRE","Fora do DRE","( "&amp;Base_Periodo1[[#This Row],[Tipo_Linha]]&amp;" ) "&amp;Base_Periodo1[[#This Row],[Filtro]])</f>
        <v>Fora do DRE</v>
      </c>
      <c r="W2428" s="3" t="str">
        <f>LEFT(Base_Periodo1[[#This Row],[CLASS]],3)</f>
        <v>2.1</v>
      </c>
    </row>
    <row r="2429" spans="1:23" hidden="1">
      <c r="A2429" s="3" t="str">
        <f t="shared" si="37"/>
        <v>Período 1</v>
      </c>
      <c r="B2429">
        <v>9377</v>
      </c>
      <c r="C2429" t="s">
        <v>1730</v>
      </c>
      <c r="D2429" t="s">
        <v>5853</v>
      </c>
      <c r="E2429" s="3" t="str">
        <f>IF(LEN(Base_Periodo1[[#This Row],[CLASS]])&gt;=7,LEFT(Base_Periodo1[[#This Row],[CLASS]],7),"")</f>
        <v>2.1.2.1</v>
      </c>
      <c r="F2429" s="3" t="str">
        <f>VLOOKUP(Base_Periodo1[[#This Row],[Aux]],Base_Contas_Balanco[#All],2,FALSE)</f>
        <v>Fornecedores Cooperados</v>
      </c>
      <c r="G2429" s="1">
        <v>42881</v>
      </c>
      <c r="I2429" s="225">
        <v>2728.07</v>
      </c>
      <c r="J2429" s="225">
        <v>2728.07</v>
      </c>
      <c r="K2429" s="225">
        <v>5.8207660913467407E-11</v>
      </c>
      <c r="L24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29" s="225">
        <f>ROUND(IF(AND(Base_Periodo1[[#This Row],[Tipo_Linha]]="-",Base_Periodo1[[#This Row],[TIPOSALDO]]="D"),Base_Periodo1[[#This Row],[SALDO_ATUAL]]*-1,Base_Periodo1[[#This Row],[SALDO_ATUAL]]),4)</f>
        <v>0</v>
      </c>
      <c r="N2429" t="s">
        <v>116</v>
      </c>
      <c r="O2429" t="s">
        <v>436</v>
      </c>
      <c r="P2429" t="s">
        <v>436</v>
      </c>
      <c r="Q2429">
        <v>7</v>
      </c>
      <c r="R2429" s="225">
        <f>Base_Periodo1[[#This Row],[CREDITOS]]-Base_Periodo1[[#This Row],[DEBITOS]]</f>
        <v>0</v>
      </c>
      <c r="S2429" s="3" t="str">
        <f>IF(ISERROR(VLOOKUP(Base_Periodo1[[#This Row],[CONTA]],BaseContasDRE[#All],4,FALSE)),"Fora do DRE",VLOOKUP(Base_Periodo1[[#This Row],[CONTA]],BaseContasDRE[#All],4,FALSE))</f>
        <v>Fora do DRE</v>
      </c>
      <c r="T2429" s="3" t="str">
        <f>IF(ISERROR(VLOOKUP(Base_Periodo1[[#This Row],[CONTA]],BaseContasDRE[#All],5,FALSE)),"Fora do DRE",VLOOKUP(Base_Periodo1[[#This Row],[CONTA]],BaseContasDRE[#All],6,FALSE))</f>
        <v>Fora do DRE</v>
      </c>
      <c r="U2429" s="3" t="str">
        <f>IF(ISERROR(VLOOKUP(Base_Periodo1[[#This Row],[CONTA]],BaseContasDRE[#All],7,FALSE)),"Fora do DRE",VLOOKUP(Base_Periodo1[[#This Row],[CONTA]],BaseContasDRE[#All],7,FALSE))</f>
        <v>Fora do DRE</v>
      </c>
      <c r="V2429" s="3" t="str">
        <f>IF(Base_Periodo1[[#This Row],[Tipo_Linha]]="Fora do DRE","Fora do DRE","( "&amp;Base_Periodo1[[#This Row],[Tipo_Linha]]&amp;" ) "&amp;Base_Periodo1[[#This Row],[Filtro]])</f>
        <v>Fora do DRE</v>
      </c>
      <c r="W2429" s="3" t="str">
        <f>LEFT(Base_Periodo1[[#This Row],[CLASS]],3)</f>
        <v>2.1</v>
      </c>
    </row>
    <row r="2430" spans="1:23" hidden="1">
      <c r="A2430" s="3" t="str">
        <f t="shared" si="37"/>
        <v>Período 1</v>
      </c>
      <c r="B2430">
        <v>21845</v>
      </c>
      <c r="C2430" t="s">
        <v>1730</v>
      </c>
      <c r="D2430" t="s">
        <v>4190</v>
      </c>
      <c r="E2430" s="3" t="str">
        <f>IF(LEN(Base_Periodo1[[#This Row],[CLASS]])&gt;=7,LEFT(Base_Periodo1[[#This Row],[CLASS]],7),"")</f>
        <v>2.1.2.1</v>
      </c>
      <c r="F2430" s="3" t="str">
        <f>VLOOKUP(Base_Periodo1[[#This Row],[Aux]],Base_Contas_Balanco[#All],2,FALSE)</f>
        <v>Fornecedores Cooperados</v>
      </c>
      <c r="G2430" s="1">
        <v>42717</v>
      </c>
      <c r="H2430" s="225">
        <v>71.100000000005821</v>
      </c>
      <c r="I2430" s="225">
        <v>0</v>
      </c>
      <c r="J2430" s="225">
        <v>0</v>
      </c>
      <c r="K2430" s="225">
        <v>71.100000000005821</v>
      </c>
      <c r="L24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71.099999999999994</v>
      </c>
      <c r="M2430" s="225">
        <f>ROUND(IF(AND(Base_Periodo1[[#This Row],[Tipo_Linha]]="-",Base_Periodo1[[#This Row],[TIPOSALDO]]="D"),Base_Periodo1[[#This Row],[SALDO_ATUAL]]*-1,Base_Periodo1[[#This Row],[SALDO_ATUAL]]),4)</f>
        <v>71.099999999999994</v>
      </c>
      <c r="N2430" t="s">
        <v>116</v>
      </c>
      <c r="O2430" t="s">
        <v>459</v>
      </c>
      <c r="P2430" t="s">
        <v>459</v>
      </c>
      <c r="Q2430">
        <v>7</v>
      </c>
      <c r="R2430" s="225">
        <f>Base_Periodo1[[#This Row],[CREDITOS]]-Base_Periodo1[[#This Row],[DEBITOS]]</f>
        <v>0</v>
      </c>
      <c r="S2430" s="3" t="str">
        <f>IF(ISERROR(VLOOKUP(Base_Periodo1[[#This Row],[CONTA]],BaseContasDRE[#All],4,FALSE)),"Fora do DRE",VLOOKUP(Base_Periodo1[[#This Row],[CONTA]],BaseContasDRE[#All],4,FALSE))</f>
        <v>Fora do DRE</v>
      </c>
      <c r="T2430" s="3" t="str">
        <f>IF(ISERROR(VLOOKUP(Base_Periodo1[[#This Row],[CONTA]],BaseContasDRE[#All],5,FALSE)),"Fora do DRE",VLOOKUP(Base_Periodo1[[#This Row],[CONTA]],BaseContasDRE[#All],6,FALSE))</f>
        <v>Fora do DRE</v>
      </c>
      <c r="U2430" s="3" t="str">
        <f>IF(ISERROR(VLOOKUP(Base_Periodo1[[#This Row],[CONTA]],BaseContasDRE[#All],7,FALSE)),"Fora do DRE",VLOOKUP(Base_Periodo1[[#This Row],[CONTA]],BaseContasDRE[#All],7,FALSE))</f>
        <v>Fora do DRE</v>
      </c>
      <c r="V2430" s="3" t="str">
        <f>IF(Base_Periodo1[[#This Row],[Tipo_Linha]]="Fora do DRE","Fora do DRE","( "&amp;Base_Periodo1[[#This Row],[Tipo_Linha]]&amp;" ) "&amp;Base_Periodo1[[#This Row],[Filtro]])</f>
        <v>Fora do DRE</v>
      </c>
      <c r="W2430" s="3" t="str">
        <f>LEFT(Base_Periodo1[[#This Row],[CLASS]],3)</f>
        <v>2.1</v>
      </c>
    </row>
    <row r="2431" spans="1:23" hidden="1">
      <c r="A2431" s="3" t="str">
        <f t="shared" si="37"/>
        <v>Período 1</v>
      </c>
      <c r="B2431">
        <v>23958</v>
      </c>
      <c r="C2431" t="s">
        <v>1730</v>
      </c>
      <c r="D2431" t="s">
        <v>706</v>
      </c>
      <c r="E2431" s="3" t="str">
        <f>IF(LEN(Base_Periodo1[[#This Row],[CLASS]])&gt;=7,LEFT(Base_Periodo1[[#This Row],[CLASS]],7),"")</f>
        <v>2.1.2.1</v>
      </c>
      <c r="F2431" s="3" t="str">
        <f>VLOOKUP(Base_Periodo1[[#This Row],[Aux]],Base_Contas_Balanco[#All],2,FALSE)</f>
        <v>Fornecedores Cooperados</v>
      </c>
      <c r="G2431" s="1">
        <v>42748</v>
      </c>
      <c r="H2431" s="225">
        <v>1454.079999999929</v>
      </c>
      <c r="I2431" s="225">
        <v>0</v>
      </c>
      <c r="J2431" s="225">
        <v>0</v>
      </c>
      <c r="K2431" s="225">
        <v>1454.079999999929</v>
      </c>
      <c r="L24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1454.08</v>
      </c>
      <c r="M2431" s="225">
        <f>ROUND(IF(AND(Base_Periodo1[[#This Row],[Tipo_Linha]]="-",Base_Periodo1[[#This Row],[TIPOSALDO]]="D"),Base_Periodo1[[#This Row],[SALDO_ATUAL]]*-1,Base_Periodo1[[#This Row],[SALDO_ATUAL]]),4)</f>
        <v>1454.08</v>
      </c>
      <c r="N2431" t="s">
        <v>116</v>
      </c>
      <c r="O2431" t="s">
        <v>459</v>
      </c>
      <c r="P2431" t="s">
        <v>459</v>
      </c>
      <c r="Q2431">
        <v>7</v>
      </c>
      <c r="R2431" s="225">
        <f>Base_Periodo1[[#This Row],[CREDITOS]]-Base_Periodo1[[#This Row],[DEBITOS]]</f>
        <v>0</v>
      </c>
      <c r="S2431" s="3" t="str">
        <f>IF(ISERROR(VLOOKUP(Base_Periodo1[[#This Row],[CONTA]],BaseContasDRE[#All],4,FALSE)),"Fora do DRE",VLOOKUP(Base_Periodo1[[#This Row],[CONTA]],BaseContasDRE[#All],4,FALSE))</f>
        <v>Fora do DRE</v>
      </c>
      <c r="T2431" s="3" t="str">
        <f>IF(ISERROR(VLOOKUP(Base_Periodo1[[#This Row],[CONTA]],BaseContasDRE[#All],5,FALSE)),"Fora do DRE",VLOOKUP(Base_Periodo1[[#This Row],[CONTA]],BaseContasDRE[#All],6,FALSE))</f>
        <v>Fora do DRE</v>
      </c>
      <c r="U2431" s="3" t="str">
        <f>IF(ISERROR(VLOOKUP(Base_Periodo1[[#This Row],[CONTA]],BaseContasDRE[#All],7,FALSE)),"Fora do DRE",VLOOKUP(Base_Periodo1[[#This Row],[CONTA]],BaseContasDRE[#All],7,FALSE))</f>
        <v>Fora do DRE</v>
      </c>
      <c r="V2431" s="3" t="str">
        <f>IF(Base_Periodo1[[#This Row],[Tipo_Linha]]="Fora do DRE","Fora do DRE","( "&amp;Base_Periodo1[[#This Row],[Tipo_Linha]]&amp;" ) "&amp;Base_Periodo1[[#This Row],[Filtro]])</f>
        <v>Fora do DRE</v>
      </c>
      <c r="W2431" s="3" t="str">
        <f>LEFT(Base_Periodo1[[#This Row],[CLASS]],3)</f>
        <v>2.1</v>
      </c>
    </row>
    <row r="2432" spans="1:23" hidden="1">
      <c r="A2432" s="3" t="str">
        <f t="shared" si="37"/>
        <v>Período 1</v>
      </c>
      <c r="B2432">
        <v>13449</v>
      </c>
      <c r="C2432" t="s">
        <v>1730</v>
      </c>
      <c r="D2432" t="s">
        <v>6849</v>
      </c>
      <c r="E2432" s="3" t="str">
        <f>IF(LEN(Base_Periodo1[[#This Row],[CLASS]])&gt;=7,LEFT(Base_Periodo1[[#This Row],[CLASS]],7),"")</f>
        <v>2.1.2.1</v>
      </c>
      <c r="F2432" s="3" t="str">
        <f>VLOOKUP(Base_Periodo1[[#This Row],[Aux]],Base_Contas_Balanco[#All],2,FALSE)</f>
        <v>Fornecedores Cooperados</v>
      </c>
      <c r="G2432" s="1">
        <v>42864</v>
      </c>
      <c r="I2432" s="225">
        <v>20240</v>
      </c>
      <c r="J2432" s="225">
        <v>20240</v>
      </c>
      <c r="K2432" s="225">
        <v>0</v>
      </c>
      <c r="L24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32" s="225">
        <f>ROUND(IF(AND(Base_Periodo1[[#This Row],[Tipo_Linha]]="-",Base_Periodo1[[#This Row],[TIPOSALDO]]="D"),Base_Periodo1[[#This Row],[SALDO_ATUAL]]*-1,Base_Periodo1[[#This Row],[SALDO_ATUAL]]),4)</f>
        <v>0</v>
      </c>
      <c r="N2432" t="s">
        <v>116</v>
      </c>
      <c r="O2432" t="s">
        <v>436</v>
      </c>
      <c r="P2432" t="s">
        <v>436</v>
      </c>
      <c r="Q2432">
        <v>7</v>
      </c>
      <c r="R2432" s="225">
        <f>Base_Periodo1[[#This Row],[CREDITOS]]-Base_Periodo1[[#This Row],[DEBITOS]]</f>
        <v>0</v>
      </c>
      <c r="S2432" s="3" t="str">
        <f>IF(ISERROR(VLOOKUP(Base_Periodo1[[#This Row],[CONTA]],BaseContasDRE[#All],4,FALSE)),"Fora do DRE",VLOOKUP(Base_Periodo1[[#This Row],[CONTA]],BaseContasDRE[#All],4,FALSE))</f>
        <v>Fora do DRE</v>
      </c>
      <c r="T2432" s="3" t="str">
        <f>IF(ISERROR(VLOOKUP(Base_Periodo1[[#This Row],[CONTA]],BaseContasDRE[#All],5,FALSE)),"Fora do DRE",VLOOKUP(Base_Periodo1[[#This Row],[CONTA]],BaseContasDRE[#All],6,FALSE))</f>
        <v>Fora do DRE</v>
      </c>
      <c r="U2432" s="3" t="str">
        <f>IF(ISERROR(VLOOKUP(Base_Periodo1[[#This Row],[CONTA]],BaseContasDRE[#All],7,FALSE)),"Fora do DRE",VLOOKUP(Base_Periodo1[[#This Row],[CONTA]],BaseContasDRE[#All],7,FALSE))</f>
        <v>Fora do DRE</v>
      </c>
      <c r="V2432" s="3" t="str">
        <f>IF(Base_Periodo1[[#This Row],[Tipo_Linha]]="Fora do DRE","Fora do DRE","( "&amp;Base_Periodo1[[#This Row],[Tipo_Linha]]&amp;" ) "&amp;Base_Periodo1[[#This Row],[Filtro]])</f>
        <v>Fora do DRE</v>
      </c>
      <c r="W2432" s="3" t="str">
        <f>LEFT(Base_Periodo1[[#This Row],[CLASS]],3)</f>
        <v>2.1</v>
      </c>
    </row>
    <row r="2433" spans="1:23" hidden="1">
      <c r="A2433" s="3" t="str">
        <f t="shared" si="37"/>
        <v>Período 1</v>
      </c>
      <c r="B2433">
        <v>16696</v>
      </c>
      <c r="C2433" t="s">
        <v>1730</v>
      </c>
      <c r="D2433" t="s">
        <v>5145</v>
      </c>
      <c r="E2433" s="3" t="str">
        <f>IF(LEN(Base_Periodo1[[#This Row],[CLASS]])&gt;=7,LEFT(Base_Periodo1[[#This Row],[CLASS]],7),"")</f>
        <v>2.1.2.1</v>
      </c>
      <c r="F2433" s="3" t="str">
        <f>VLOOKUP(Base_Periodo1[[#This Row],[Aux]],Base_Contas_Balanco[#All],2,FALSE)</f>
        <v>Fornecedores Cooperados</v>
      </c>
      <c r="G2433" s="1">
        <v>42880</v>
      </c>
      <c r="I2433" s="225">
        <v>21053.7</v>
      </c>
      <c r="J2433" s="225">
        <v>21053.7</v>
      </c>
      <c r="K2433" s="225">
        <v>0</v>
      </c>
      <c r="L24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33" s="225">
        <f>ROUND(IF(AND(Base_Periodo1[[#This Row],[Tipo_Linha]]="-",Base_Periodo1[[#This Row],[TIPOSALDO]]="D"),Base_Periodo1[[#This Row],[SALDO_ATUAL]]*-1,Base_Periodo1[[#This Row],[SALDO_ATUAL]]),4)</f>
        <v>0</v>
      </c>
      <c r="N2433" t="s">
        <v>116</v>
      </c>
      <c r="O2433" t="s">
        <v>436</v>
      </c>
      <c r="P2433" t="s">
        <v>436</v>
      </c>
      <c r="Q2433">
        <v>7</v>
      </c>
      <c r="R2433" s="225">
        <f>Base_Periodo1[[#This Row],[CREDITOS]]-Base_Periodo1[[#This Row],[DEBITOS]]</f>
        <v>0</v>
      </c>
      <c r="S2433" s="3" t="str">
        <f>IF(ISERROR(VLOOKUP(Base_Periodo1[[#This Row],[CONTA]],BaseContasDRE[#All],4,FALSE)),"Fora do DRE",VLOOKUP(Base_Periodo1[[#This Row],[CONTA]],BaseContasDRE[#All],4,FALSE))</f>
        <v>Fora do DRE</v>
      </c>
      <c r="T2433" s="3" t="str">
        <f>IF(ISERROR(VLOOKUP(Base_Periodo1[[#This Row],[CONTA]],BaseContasDRE[#All],5,FALSE)),"Fora do DRE",VLOOKUP(Base_Periodo1[[#This Row],[CONTA]],BaseContasDRE[#All],6,FALSE))</f>
        <v>Fora do DRE</v>
      </c>
      <c r="U2433" s="3" t="str">
        <f>IF(ISERROR(VLOOKUP(Base_Periodo1[[#This Row],[CONTA]],BaseContasDRE[#All],7,FALSE)),"Fora do DRE",VLOOKUP(Base_Periodo1[[#This Row],[CONTA]],BaseContasDRE[#All],7,FALSE))</f>
        <v>Fora do DRE</v>
      </c>
      <c r="V2433" s="3" t="str">
        <f>IF(Base_Periodo1[[#This Row],[Tipo_Linha]]="Fora do DRE","Fora do DRE","( "&amp;Base_Periodo1[[#This Row],[Tipo_Linha]]&amp;" ) "&amp;Base_Periodo1[[#This Row],[Filtro]])</f>
        <v>Fora do DRE</v>
      </c>
      <c r="W2433" s="3" t="str">
        <f>LEFT(Base_Periodo1[[#This Row],[CLASS]],3)</f>
        <v>2.1</v>
      </c>
    </row>
    <row r="2434" spans="1:23" hidden="1">
      <c r="A2434" s="3" t="str">
        <f t="shared" si="37"/>
        <v>Período 1</v>
      </c>
      <c r="B2434">
        <v>8341</v>
      </c>
      <c r="C2434" t="s">
        <v>1730</v>
      </c>
      <c r="D2434" t="s">
        <v>707</v>
      </c>
      <c r="E2434" s="3" t="str">
        <f>IF(LEN(Base_Periodo1[[#This Row],[CLASS]])&gt;=7,LEFT(Base_Periodo1[[#This Row],[CLASS]],7),"")</f>
        <v>2.1.2.1</v>
      </c>
      <c r="F2434" s="3" t="str">
        <f>VLOOKUP(Base_Periodo1[[#This Row],[Aux]],Base_Contas_Balanco[#All],2,FALSE)</f>
        <v>Fornecedores Cooperados</v>
      </c>
      <c r="G2434" s="1">
        <v>42879</v>
      </c>
      <c r="I2434" s="225">
        <v>1879.45</v>
      </c>
      <c r="J2434" s="225">
        <v>1879.45</v>
      </c>
      <c r="K2434" s="225">
        <v>1.1641532182693481E-10</v>
      </c>
      <c r="L24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34" s="225">
        <f>ROUND(IF(AND(Base_Periodo1[[#This Row],[Tipo_Linha]]="-",Base_Periodo1[[#This Row],[TIPOSALDO]]="D"),Base_Periodo1[[#This Row],[SALDO_ATUAL]]*-1,Base_Periodo1[[#This Row],[SALDO_ATUAL]]),4)</f>
        <v>0</v>
      </c>
      <c r="N2434" t="s">
        <v>116</v>
      </c>
      <c r="O2434" t="s">
        <v>436</v>
      </c>
      <c r="P2434" t="s">
        <v>436</v>
      </c>
      <c r="Q2434">
        <v>7</v>
      </c>
      <c r="R2434" s="225">
        <f>Base_Periodo1[[#This Row],[CREDITOS]]-Base_Periodo1[[#This Row],[DEBITOS]]</f>
        <v>0</v>
      </c>
      <c r="S2434" s="3" t="str">
        <f>IF(ISERROR(VLOOKUP(Base_Periodo1[[#This Row],[CONTA]],BaseContasDRE[#All],4,FALSE)),"Fora do DRE",VLOOKUP(Base_Periodo1[[#This Row],[CONTA]],BaseContasDRE[#All],4,FALSE))</f>
        <v>Fora do DRE</v>
      </c>
      <c r="T2434" s="3" t="str">
        <f>IF(ISERROR(VLOOKUP(Base_Periodo1[[#This Row],[CONTA]],BaseContasDRE[#All],5,FALSE)),"Fora do DRE",VLOOKUP(Base_Periodo1[[#This Row],[CONTA]],BaseContasDRE[#All],6,FALSE))</f>
        <v>Fora do DRE</v>
      </c>
      <c r="U2434" s="3" t="str">
        <f>IF(ISERROR(VLOOKUP(Base_Periodo1[[#This Row],[CONTA]],BaseContasDRE[#All],7,FALSE)),"Fora do DRE",VLOOKUP(Base_Periodo1[[#This Row],[CONTA]],BaseContasDRE[#All],7,FALSE))</f>
        <v>Fora do DRE</v>
      </c>
      <c r="V2434" s="3" t="str">
        <f>IF(Base_Periodo1[[#This Row],[Tipo_Linha]]="Fora do DRE","Fora do DRE","( "&amp;Base_Periodo1[[#This Row],[Tipo_Linha]]&amp;" ) "&amp;Base_Periodo1[[#This Row],[Filtro]])</f>
        <v>Fora do DRE</v>
      </c>
      <c r="W2434" s="3" t="str">
        <f>LEFT(Base_Periodo1[[#This Row],[CLASS]],3)</f>
        <v>2.1</v>
      </c>
    </row>
    <row r="2435" spans="1:23" hidden="1">
      <c r="A2435" s="3" t="str">
        <f t="shared" si="37"/>
        <v>Período 1</v>
      </c>
      <c r="B2435">
        <v>3209</v>
      </c>
      <c r="C2435" t="s">
        <v>1730</v>
      </c>
      <c r="D2435" t="s">
        <v>708</v>
      </c>
      <c r="E2435" s="3" t="str">
        <f>IF(LEN(Base_Periodo1[[#This Row],[CLASS]])&gt;=7,LEFT(Base_Periodo1[[#This Row],[CLASS]],7),"")</f>
        <v>2.1.2.1</v>
      </c>
      <c r="F2435" s="3" t="str">
        <f>VLOOKUP(Base_Periodo1[[#This Row],[Aux]],Base_Contas_Balanco[#All],2,FALSE)</f>
        <v>Fornecedores Cooperados</v>
      </c>
      <c r="G2435" s="1">
        <v>42864</v>
      </c>
      <c r="I2435" s="225">
        <v>140500</v>
      </c>
      <c r="J2435" s="225">
        <v>140500</v>
      </c>
      <c r="K2435" s="225">
        <v>-1.3969838619232178E-9</v>
      </c>
      <c r="L24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35" s="225">
        <f>ROUND(IF(AND(Base_Periodo1[[#This Row],[Tipo_Linha]]="-",Base_Periodo1[[#This Row],[TIPOSALDO]]="D"),Base_Periodo1[[#This Row],[SALDO_ATUAL]]*-1,Base_Periodo1[[#This Row],[SALDO_ATUAL]]),4)</f>
        <v>0</v>
      </c>
      <c r="N2435" t="s">
        <v>116</v>
      </c>
      <c r="O2435" t="s">
        <v>436</v>
      </c>
      <c r="P2435" t="s">
        <v>436</v>
      </c>
      <c r="Q2435">
        <v>7</v>
      </c>
      <c r="R2435" s="225">
        <f>Base_Periodo1[[#This Row],[CREDITOS]]-Base_Periodo1[[#This Row],[DEBITOS]]</f>
        <v>0</v>
      </c>
      <c r="S2435" s="3" t="str">
        <f>IF(ISERROR(VLOOKUP(Base_Periodo1[[#This Row],[CONTA]],BaseContasDRE[#All],4,FALSE)),"Fora do DRE",VLOOKUP(Base_Periodo1[[#This Row],[CONTA]],BaseContasDRE[#All],4,FALSE))</f>
        <v>Fora do DRE</v>
      </c>
      <c r="T2435" s="3" t="str">
        <f>IF(ISERROR(VLOOKUP(Base_Periodo1[[#This Row],[CONTA]],BaseContasDRE[#All],5,FALSE)),"Fora do DRE",VLOOKUP(Base_Periodo1[[#This Row],[CONTA]],BaseContasDRE[#All],6,FALSE))</f>
        <v>Fora do DRE</v>
      </c>
      <c r="U2435" s="3" t="str">
        <f>IF(ISERROR(VLOOKUP(Base_Periodo1[[#This Row],[CONTA]],BaseContasDRE[#All],7,FALSE)),"Fora do DRE",VLOOKUP(Base_Periodo1[[#This Row],[CONTA]],BaseContasDRE[#All],7,FALSE))</f>
        <v>Fora do DRE</v>
      </c>
      <c r="V2435" s="3" t="str">
        <f>IF(Base_Periodo1[[#This Row],[Tipo_Linha]]="Fora do DRE","Fora do DRE","( "&amp;Base_Periodo1[[#This Row],[Tipo_Linha]]&amp;" ) "&amp;Base_Periodo1[[#This Row],[Filtro]])</f>
        <v>Fora do DRE</v>
      </c>
      <c r="W2435" s="3" t="str">
        <f>LEFT(Base_Periodo1[[#This Row],[CLASS]],3)</f>
        <v>2.1</v>
      </c>
    </row>
    <row r="2436" spans="1:23" hidden="1">
      <c r="A2436" s="3" t="str">
        <f t="shared" si="37"/>
        <v>Período 1</v>
      </c>
      <c r="B2436">
        <v>9385</v>
      </c>
      <c r="C2436" t="s">
        <v>1730</v>
      </c>
      <c r="D2436" t="s">
        <v>711</v>
      </c>
      <c r="E2436" s="3" t="str">
        <f>IF(LEN(Base_Periodo1[[#This Row],[CLASS]])&gt;=7,LEFT(Base_Periodo1[[#This Row],[CLASS]],7),"")</f>
        <v>2.1.2.1</v>
      </c>
      <c r="F2436" s="3" t="str">
        <f>VLOOKUP(Base_Periodo1[[#This Row],[Aux]],Base_Contas_Balanco[#All],2,FALSE)</f>
        <v>Fornecedores Cooperados</v>
      </c>
      <c r="G2436" s="1">
        <v>42859</v>
      </c>
      <c r="I2436" s="225">
        <v>6170</v>
      </c>
      <c r="J2436" s="225">
        <v>6170</v>
      </c>
      <c r="K2436" s="225">
        <v>-1.1641532182693481E-10</v>
      </c>
      <c r="L24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36" s="225">
        <f>ROUND(IF(AND(Base_Periodo1[[#This Row],[Tipo_Linha]]="-",Base_Periodo1[[#This Row],[TIPOSALDO]]="D"),Base_Periodo1[[#This Row],[SALDO_ATUAL]]*-1,Base_Periodo1[[#This Row],[SALDO_ATUAL]]),4)</f>
        <v>0</v>
      </c>
      <c r="N2436" t="s">
        <v>116</v>
      </c>
      <c r="O2436" t="s">
        <v>436</v>
      </c>
      <c r="P2436" t="s">
        <v>436</v>
      </c>
      <c r="Q2436">
        <v>7</v>
      </c>
      <c r="R2436" s="225">
        <f>Base_Periodo1[[#This Row],[CREDITOS]]-Base_Periodo1[[#This Row],[DEBITOS]]</f>
        <v>0</v>
      </c>
      <c r="S2436" s="3" t="str">
        <f>IF(ISERROR(VLOOKUP(Base_Periodo1[[#This Row],[CONTA]],BaseContasDRE[#All],4,FALSE)),"Fora do DRE",VLOOKUP(Base_Periodo1[[#This Row],[CONTA]],BaseContasDRE[#All],4,FALSE))</f>
        <v>Fora do DRE</v>
      </c>
      <c r="T2436" s="3" t="str">
        <f>IF(ISERROR(VLOOKUP(Base_Periodo1[[#This Row],[CONTA]],BaseContasDRE[#All],5,FALSE)),"Fora do DRE",VLOOKUP(Base_Periodo1[[#This Row],[CONTA]],BaseContasDRE[#All],6,FALSE))</f>
        <v>Fora do DRE</v>
      </c>
      <c r="U2436" s="3" t="str">
        <f>IF(ISERROR(VLOOKUP(Base_Periodo1[[#This Row],[CONTA]],BaseContasDRE[#All],7,FALSE)),"Fora do DRE",VLOOKUP(Base_Periodo1[[#This Row],[CONTA]],BaseContasDRE[#All],7,FALSE))</f>
        <v>Fora do DRE</v>
      </c>
      <c r="V2436" s="3" t="str">
        <f>IF(Base_Periodo1[[#This Row],[Tipo_Linha]]="Fora do DRE","Fora do DRE","( "&amp;Base_Periodo1[[#This Row],[Tipo_Linha]]&amp;" ) "&amp;Base_Periodo1[[#This Row],[Filtro]])</f>
        <v>Fora do DRE</v>
      </c>
      <c r="W2436" s="3" t="str">
        <f>LEFT(Base_Periodo1[[#This Row],[CLASS]],3)</f>
        <v>2.1</v>
      </c>
    </row>
    <row r="2437" spans="1:23" hidden="1">
      <c r="A2437" s="3" t="str">
        <f t="shared" si="37"/>
        <v>Período 1</v>
      </c>
      <c r="B2437">
        <v>2933</v>
      </c>
      <c r="C2437" t="s">
        <v>1730</v>
      </c>
      <c r="D2437" t="s">
        <v>712</v>
      </c>
      <c r="E2437" s="3" t="str">
        <f>IF(LEN(Base_Periodo1[[#This Row],[CLASS]])&gt;=7,LEFT(Base_Periodo1[[#This Row],[CLASS]],7),"")</f>
        <v>2.1.2.1</v>
      </c>
      <c r="F2437" s="3" t="str">
        <f>VLOOKUP(Base_Periodo1[[#This Row],[Aux]],Base_Contas_Balanco[#All],2,FALSE)</f>
        <v>Fornecedores Cooperados</v>
      </c>
      <c r="G2437" s="1">
        <v>42884</v>
      </c>
      <c r="H2437" s="225">
        <v>74066.509999997914</v>
      </c>
      <c r="I2437" s="225">
        <v>272111.5</v>
      </c>
      <c r="J2437" s="225">
        <v>287500</v>
      </c>
      <c r="K2437" s="225">
        <v>89455.009999997914</v>
      </c>
      <c r="L24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89455.01</v>
      </c>
      <c r="M2437" s="225">
        <f>ROUND(IF(AND(Base_Periodo1[[#This Row],[Tipo_Linha]]="-",Base_Periodo1[[#This Row],[TIPOSALDO]]="D"),Base_Periodo1[[#This Row],[SALDO_ATUAL]]*-1,Base_Periodo1[[#This Row],[SALDO_ATUAL]]),4)</f>
        <v>89455.01</v>
      </c>
      <c r="N2437" t="s">
        <v>116</v>
      </c>
      <c r="O2437" t="s">
        <v>459</v>
      </c>
      <c r="P2437" t="s">
        <v>459</v>
      </c>
      <c r="Q2437">
        <v>7</v>
      </c>
      <c r="R2437" s="225">
        <f>Base_Periodo1[[#This Row],[CREDITOS]]-Base_Periodo1[[#This Row],[DEBITOS]]</f>
        <v>15388.5</v>
      </c>
      <c r="S2437" s="3" t="str">
        <f>IF(ISERROR(VLOOKUP(Base_Periodo1[[#This Row],[CONTA]],BaseContasDRE[#All],4,FALSE)),"Fora do DRE",VLOOKUP(Base_Periodo1[[#This Row],[CONTA]],BaseContasDRE[#All],4,FALSE))</f>
        <v>Fora do DRE</v>
      </c>
      <c r="T2437" s="3" t="str">
        <f>IF(ISERROR(VLOOKUP(Base_Periodo1[[#This Row],[CONTA]],BaseContasDRE[#All],5,FALSE)),"Fora do DRE",VLOOKUP(Base_Periodo1[[#This Row],[CONTA]],BaseContasDRE[#All],6,FALSE))</f>
        <v>Fora do DRE</v>
      </c>
      <c r="U2437" s="3" t="str">
        <f>IF(ISERROR(VLOOKUP(Base_Periodo1[[#This Row],[CONTA]],BaseContasDRE[#All],7,FALSE)),"Fora do DRE",VLOOKUP(Base_Periodo1[[#This Row],[CONTA]],BaseContasDRE[#All],7,FALSE))</f>
        <v>Fora do DRE</v>
      </c>
      <c r="V2437" s="3" t="str">
        <f>IF(Base_Periodo1[[#This Row],[Tipo_Linha]]="Fora do DRE","Fora do DRE","( "&amp;Base_Periodo1[[#This Row],[Tipo_Linha]]&amp;" ) "&amp;Base_Periodo1[[#This Row],[Filtro]])</f>
        <v>Fora do DRE</v>
      </c>
      <c r="W2437" s="3" t="str">
        <f>LEFT(Base_Periodo1[[#This Row],[CLASS]],3)</f>
        <v>2.1</v>
      </c>
    </row>
    <row r="2438" spans="1:23" hidden="1">
      <c r="A2438" s="3" t="str">
        <f t="shared" ref="A2438:A2501" si="38">"Período 1"</f>
        <v>Período 1</v>
      </c>
      <c r="B2438">
        <v>25105</v>
      </c>
      <c r="C2438" t="s">
        <v>1730</v>
      </c>
      <c r="D2438" t="s">
        <v>713</v>
      </c>
      <c r="E2438" s="3" t="str">
        <f>IF(LEN(Base_Periodo1[[#This Row],[CLASS]])&gt;=7,LEFT(Base_Periodo1[[#This Row],[CLASS]],7),"")</f>
        <v>2.1.2.1</v>
      </c>
      <c r="F2438" s="3" t="str">
        <f>VLOOKUP(Base_Periodo1[[#This Row],[Aux]],Base_Contas_Balanco[#All],2,FALSE)</f>
        <v>Fornecedores Cooperados</v>
      </c>
      <c r="G2438" s="1">
        <v>42857</v>
      </c>
      <c r="H2438" s="225">
        <v>747.9100000000326</v>
      </c>
      <c r="I2438" s="225">
        <v>747.91</v>
      </c>
      <c r="J2438" s="225">
        <v>0</v>
      </c>
      <c r="K2438" s="225">
        <v>-3.2628122426103801E-11</v>
      </c>
      <c r="L24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38" s="225">
        <f>ROUND(IF(AND(Base_Periodo1[[#This Row],[Tipo_Linha]]="-",Base_Periodo1[[#This Row],[TIPOSALDO]]="D"),Base_Periodo1[[#This Row],[SALDO_ATUAL]]*-1,Base_Periodo1[[#This Row],[SALDO_ATUAL]]),4)</f>
        <v>0</v>
      </c>
      <c r="N2438" t="s">
        <v>116</v>
      </c>
      <c r="O2438" t="s">
        <v>459</v>
      </c>
      <c r="P2438" t="s">
        <v>436</v>
      </c>
      <c r="Q2438">
        <v>7</v>
      </c>
      <c r="R2438" s="225">
        <f>Base_Periodo1[[#This Row],[CREDITOS]]-Base_Periodo1[[#This Row],[DEBITOS]]</f>
        <v>-747.91</v>
      </c>
      <c r="S2438" s="3" t="str">
        <f>IF(ISERROR(VLOOKUP(Base_Periodo1[[#This Row],[CONTA]],BaseContasDRE[#All],4,FALSE)),"Fora do DRE",VLOOKUP(Base_Periodo1[[#This Row],[CONTA]],BaseContasDRE[#All],4,FALSE))</f>
        <v>Fora do DRE</v>
      </c>
      <c r="T2438" s="3" t="str">
        <f>IF(ISERROR(VLOOKUP(Base_Periodo1[[#This Row],[CONTA]],BaseContasDRE[#All],5,FALSE)),"Fora do DRE",VLOOKUP(Base_Periodo1[[#This Row],[CONTA]],BaseContasDRE[#All],6,FALSE))</f>
        <v>Fora do DRE</v>
      </c>
      <c r="U2438" s="3" t="str">
        <f>IF(ISERROR(VLOOKUP(Base_Periodo1[[#This Row],[CONTA]],BaseContasDRE[#All],7,FALSE)),"Fora do DRE",VLOOKUP(Base_Periodo1[[#This Row],[CONTA]],BaseContasDRE[#All],7,FALSE))</f>
        <v>Fora do DRE</v>
      </c>
      <c r="V2438" s="3" t="str">
        <f>IF(Base_Periodo1[[#This Row],[Tipo_Linha]]="Fora do DRE","Fora do DRE","( "&amp;Base_Periodo1[[#This Row],[Tipo_Linha]]&amp;" ) "&amp;Base_Periodo1[[#This Row],[Filtro]])</f>
        <v>Fora do DRE</v>
      </c>
      <c r="W2438" s="3" t="str">
        <f>LEFT(Base_Periodo1[[#This Row],[CLASS]],3)</f>
        <v>2.1</v>
      </c>
    </row>
    <row r="2439" spans="1:23" hidden="1">
      <c r="A2439" s="3" t="str">
        <f t="shared" si="38"/>
        <v>Período 1</v>
      </c>
      <c r="B2439">
        <v>47705</v>
      </c>
      <c r="C2439" t="s">
        <v>1730</v>
      </c>
      <c r="D2439" t="s">
        <v>5146</v>
      </c>
      <c r="E2439" s="3" t="str">
        <f>IF(LEN(Base_Periodo1[[#This Row],[CLASS]])&gt;=7,LEFT(Base_Periodo1[[#This Row],[CLASS]],7),"")</f>
        <v>2.1.2.1</v>
      </c>
      <c r="F2439" s="3" t="str">
        <f>VLOOKUP(Base_Periodo1[[#This Row],[Aux]],Base_Contas_Balanco[#All],2,FALSE)</f>
        <v>Fornecedores Cooperados</v>
      </c>
      <c r="G2439" s="1">
        <v>42885</v>
      </c>
      <c r="H2439" s="225">
        <v>11430.900000000009</v>
      </c>
      <c r="I2439" s="225">
        <v>11430.9</v>
      </c>
      <c r="J2439" s="225">
        <v>0</v>
      </c>
      <c r="K2439" s="225">
        <v>-9.0949470177292824E-12</v>
      </c>
      <c r="L24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39" s="225">
        <f>ROUND(IF(AND(Base_Periodo1[[#This Row],[Tipo_Linha]]="-",Base_Periodo1[[#This Row],[TIPOSALDO]]="D"),Base_Periodo1[[#This Row],[SALDO_ATUAL]]*-1,Base_Periodo1[[#This Row],[SALDO_ATUAL]]),4)</f>
        <v>0</v>
      </c>
      <c r="N2439" t="s">
        <v>116</v>
      </c>
      <c r="O2439" t="s">
        <v>459</v>
      </c>
      <c r="P2439" t="s">
        <v>436</v>
      </c>
      <c r="Q2439">
        <v>7</v>
      </c>
      <c r="R2439" s="225">
        <f>Base_Periodo1[[#This Row],[CREDITOS]]-Base_Periodo1[[#This Row],[DEBITOS]]</f>
        <v>-11430.9</v>
      </c>
      <c r="S2439" s="3" t="str">
        <f>IF(ISERROR(VLOOKUP(Base_Periodo1[[#This Row],[CONTA]],BaseContasDRE[#All],4,FALSE)),"Fora do DRE",VLOOKUP(Base_Periodo1[[#This Row],[CONTA]],BaseContasDRE[#All],4,FALSE))</f>
        <v>Fora do DRE</v>
      </c>
      <c r="T2439" s="3" t="str">
        <f>IF(ISERROR(VLOOKUP(Base_Periodo1[[#This Row],[CONTA]],BaseContasDRE[#All],5,FALSE)),"Fora do DRE",VLOOKUP(Base_Periodo1[[#This Row],[CONTA]],BaseContasDRE[#All],6,FALSE))</f>
        <v>Fora do DRE</v>
      </c>
      <c r="U2439" s="3" t="str">
        <f>IF(ISERROR(VLOOKUP(Base_Periodo1[[#This Row],[CONTA]],BaseContasDRE[#All],7,FALSE)),"Fora do DRE",VLOOKUP(Base_Periodo1[[#This Row],[CONTA]],BaseContasDRE[#All],7,FALSE))</f>
        <v>Fora do DRE</v>
      </c>
      <c r="V2439" s="3" t="str">
        <f>IF(Base_Periodo1[[#This Row],[Tipo_Linha]]="Fora do DRE","Fora do DRE","( "&amp;Base_Periodo1[[#This Row],[Tipo_Linha]]&amp;" ) "&amp;Base_Periodo1[[#This Row],[Filtro]])</f>
        <v>Fora do DRE</v>
      </c>
      <c r="W2439" s="3" t="str">
        <f>LEFT(Base_Periodo1[[#This Row],[CLASS]],3)</f>
        <v>2.1</v>
      </c>
    </row>
    <row r="2440" spans="1:23" hidden="1">
      <c r="A2440" s="3" t="str">
        <f t="shared" si="38"/>
        <v>Período 1</v>
      </c>
      <c r="B2440">
        <v>27159</v>
      </c>
      <c r="C2440" t="s">
        <v>1730</v>
      </c>
      <c r="D2440" t="s">
        <v>718</v>
      </c>
      <c r="E2440" s="3" t="str">
        <f>IF(LEN(Base_Periodo1[[#This Row],[CLASS]])&gt;=7,LEFT(Base_Periodo1[[#This Row],[CLASS]],7),"")</f>
        <v>2.1.2.1</v>
      </c>
      <c r="F2440" s="3" t="str">
        <f>VLOOKUP(Base_Periodo1[[#This Row],[Aux]],Base_Contas_Balanco[#All],2,FALSE)</f>
        <v>Fornecedores Cooperados</v>
      </c>
      <c r="G2440" s="1">
        <v>42860</v>
      </c>
      <c r="I2440" s="225">
        <v>23663</v>
      </c>
      <c r="J2440" s="225">
        <v>23663</v>
      </c>
      <c r="K2440" s="225">
        <v>-1.1641532182693481E-10</v>
      </c>
      <c r="L24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40" s="225">
        <f>ROUND(IF(AND(Base_Periodo1[[#This Row],[Tipo_Linha]]="-",Base_Periodo1[[#This Row],[TIPOSALDO]]="D"),Base_Periodo1[[#This Row],[SALDO_ATUAL]]*-1,Base_Periodo1[[#This Row],[SALDO_ATUAL]]),4)</f>
        <v>0</v>
      </c>
      <c r="N2440" t="s">
        <v>116</v>
      </c>
      <c r="O2440" t="s">
        <v>436</v>
      </c>
      <c r="P2440" t="s">
        <v>436</v>
      </c>
      <c r="Q2440">
        <v>7</v>
      </c>
      <c r="R2440" s="225">
        <f>Base_Periodo1[[#This Row],[CREDITOS]]-Base_Periodo1[[#This Row],[DEBITOS]]</f>
        <v>0</v>
      </c>
      <c r="S2440" s="3" t="str">
        <f>IF(ISERROR(VLOOKUP(Base_Periodo1[[#This Row],[CONTA]],BaseContasDRE[#All],4,FALSE)),"Fora do DRE",VLOOKUP(Base_Periodo1[[#This Row],[CONTA]],BaseContasDRE[#All],4,FALSE))</f>
        <v>Fora do DRE</v>
      </c>
      <c r="T2440" s="3" t="str">
        <f>IF(ISERROR(VLOOKUP(Base_Periodo1[[#This Row],[CONTA]],BaseContasDRE[#All],5,FALSE)),"Fora do DRE",VLOOKUP(Base_Periodo1[[#This Row],[CONTA]],BaseContasDRE[#All],6,FALSE))</f>
        <v>Fora do DRE</v>
      </c>
      <c r="U2440" s="3" t="str">
        <f>IF(ISERROR(VLOOKUP(Base_Periodo1[[#This Row],[CONTA]],BaseContasDRE[#All],7,FALSE)),"Fora do DRE",VLOOKUP(Base_Periodo1[[#This Row],[CONTA]],BaseContasDRE[#All],7,FALSE))</f>
        <v>Fora do DRE</v>
      </c>
      <c r="V2440" s="3" t="str">
        <f>IF(Base_Periodo1[[#This Row],[Tipo_Linha]]="Fora do DRE","Fora do DRE","( "&amp;Base_Periodo1[[#This Row],[Tipo_Linha]]&amp;" ) "&amp;Base_Periodo1[[#This Row],[Filtro]])</f>
        <v>Fora do DRE</v>
      </c>
      <c r="W2440" s="3" t="str">
        <f>LEFT(Base_Periodo1[[#This Row],[CLASS]],3)</f>
        <v>2.1</v>
      </c>
    </row>
    <row r="2441" spans="1:23" hidden="1">
      <c r="A2441" s="3" t="str">
        <f t="shared" si="38"/>
        <v>Período 1</v>
      </c>
      <c r="B2441">
        <v>47715</v>
      </c>
      <c r="C2441" t="s">
        <v>1730</v>
      </c>
      <c r="D2441" t="s">
        <v>5273</v>
      </c>
      <c r="E2441" s="3" t="str">
        <f>IF(LEN(Base_Periodo1[[#This Row],[CLASS]])&gt;=7,LEFT(Base_Periodo1[[#This Row],[CLASS]],7),"")</f>
        <v>2.1.2.1</v>
      </c>
      <c r="F2441" s="3" t="str">
        <f>VLOOKUP(Base_Periodo1[[#This Row],[Aux]],Base_Contas_Balanco[#All],2,FALSE)</f>
        <v>Fornecedores Cooperados</v>
      </c>
      <c r="G2441" s="1">
        <v>42870</v>
      </c>
      <c r="I2441" s="225">
        <v>5018</v>
      </c>
      <c r="J2441" s="225">
        <v>5018</v>
      </c>
      <c r="K2441" s="225">
        <v>1.4551915228366852E-11</v>
      </c>
      <c r="L24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41" s="225">
        <f>ROUND(IF(AND(Base_Periodo1[[#This Row],[Tipo_Linha]]="-",Base_Periodo1[[#This Row],[TIPOSALDO]]="D"),Base_Periodo1[[#This Row],[SALDO_ATUAL]]*-1,Base_Periodo1[[#This Row],[SALDO_ATUAL]]),4)</f>
        <v>0</v>
      </c>
      <c r="N2441" t="s">
        <v>116</v>
      </c>
      <c r="O2441" t="s">
        <v>436</v>
      </c>
      <c r="P2441" t="s">
        <v>436</v>
      </c>
      <c r="Q2441">
        <v>7</v>
      </c>
      <c r="R2441" s="225">
        <f>Base_Periodo1[[#This Row],[CREDITOS]]-Base_Periodo1[[#This Row],[DEBITOS]]</f>
        <v>0</v>
      </c>
      <c r="S2441" s="3" t="str">
        <f>IF(ISERROR(VLOOKUP(Base_Periodo1[[#This Row],[CONTA]],BaseContasDRE[#All],4,FALSE)),"Fora do DRE",VLOOKUP(Base_Periodo1[[#This Row],[CONTA]],BaseContasDRE[#All],4,FALSE))</f>
        <v>Fora do DRE</v>
      </c>
      <c r="T2441" s="3" t="str">
        <f>IF(ISERROR(VLOOKUP(Base_Periodo1[[#This Row],[CONTA]],BaseContasDRE[#All],5,FALSE)),"Fora do DRE",VLOOKUP(Base_Periodo1[[#This Row],[CONTA]],BaseContasDRE[#All],6,FALSE))</f>
        <v>Fora do DRE</v>
      </c>
      <c r="U2441" s="3" t="str">
        <f>IF(ISERROR(VLOOKUP(Base_Periodo1[[#This Row],[CONTA]],BaseContasDRE[#All],7,FALSE)),"Fora do DRE",VLOOKUP(Base_Periodo1[[#This Row],[CONTA]],BaseContasDRE[#All],7,FALSE))</f>
        <v>Fora do DRE</v>
      </c>
      <c r="V2441" s="3" t="str">
        <f>IF(Base_Periodo1[[#This Row],[Tipo_Linha]]="Fora do DRE","Fora do DRE","( "&amp;Base_Periodo1[[#This Row],[Tipo_Linha]]&amp;" ) "&amp;Base_Periodo1[[#This Row],[Filtro]])</f>
        <v>Fora do DRE</v>
      </c>
      <c r="W2441" s="3" t="str">
        <f>LEFT(Base_Periodo1[[#This Row],[CLASS]],3)</f>
        <v>2.1</v>
      </c>
    </row>
    <row r="2442" spans="1:23" hidden="1">
      <c r="A2442" s="3" t="str">
        <f t="shared" si="38"/>
        <v>Período 1</v>
      </c>
      <c r="B2442">
        <v>7434</v>
      </c>
      <c r="C2442" t="s">
        <v>1730</v>
      </c>
      <c r="D2442" t="s">
        <v>6850</v>
      </c>
      <c r="E2442" s="3" t="str">
        <f>IF(LEN(Base_Periodo1[[#This Row],[CLASS]])&gt;=7,LEFT(Base_Periodo1[[#This Row],[CLASS]],7),"")</f>
        <v>2.1.2.1</v>
      </c>
      <c r="F2442" s="3" t="str">
        <f>VLOOKUP(Base_Periodo1[[#This Row],[Aux]],Base_Contas_Balanco[#All],2,FALSE)</f>
        <v>Fornecedores Cooperados</v>
      </c>
      <c r="G2442" s="1">
        <v>42884</v>
      </c>
      <c r="I2442" s="225">
        <v>4726.53</v>
      </c>
      <c r="J2442" s="225">
        <v>4726.53</v>
      </c>
      <c r="K2442" s="225">
        <v>-5.8207660913467407E-11</v>
      </c>
      <c r="L24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42" s="225">
        <f>ROUND(IF(AND(Base_Periodo1[[#This Row],[Tipo_Linha]]="-",Base_Periodo1[[#This Row],[TIPOSALDO]]="D"),Base_Periodo1[[#This Row],[SALDO_ATUAL]]*-1,Base_Periodo1[[#This Row],[SALDO_ATUAL]]),4)</f>
        <v>0</v>
      </c>
      <c r="N2442" t="s">
        <v>116</v>
      </c>
      <c r="O2442" t="s">
        <v>436</v>
      </c>
      <c r="P2442" t="s">
        <v>436</v>
      </c>
      <c r="Q2442">
        <v>7</v>
      </c>
      <c r="R2442" s="225">
        <f>Base_Periodo1[[#This Row],[CREDITOS]]-Base_Periodo1[[#This Row],[DEBITOS]]</f>
        <v>0</v>
      </c>
      <c r="S2442" s="3" t="str">
        <f>IF(ISERROR(VLOOKUP(Base_Periodo1[[#This Row],[CONTA]],BaseContasDRE[#All],4,FALSE)),"Fora do DRE",VLOOKUP(Base_Periodo1[[#This Row],[CONTA]],BaseContasDRE[#All],4,FALSE))</f>
        <v>Fora do DRE</v>
      </c>
      <c r="T2442" s="3" t="str">
        <f>IF(ISERROR(VLOOKUP(Base_Periodo1[[#This Row],[CONTA]],BaseContasDRE[#All],5,FALSE)),"Fora do DRE",VLOOKUP(Base_Periodo1[[#This Row],[CONTA]],BaseContasDRE[#All],6,FALSE))</f>
        <v>Fora do DRE</v>
      </c>
      <c r="U2442" s="3" t="str">
        <f>IF(ISERROR(VLOOKUP(Base_Periodo1[[#This Row],[CONTA]],BaseContasDRE[#All],7,FALSE)),"Fora do DRE",VLOOKUP(Base_Periodo1[[#This Row],[CONTA]],BaseContasDRE[#All],7,FALSE))</f>
        <v>Fora do DRE</v>
      </c>
      <c r="V2442" s="3" t="str">
        <f>IF(Base_Periodo1[[#This Row],[Tipo_Linha]]="Fora do DRE","Fora do DRE","( "&amp;Base_Periodo1[[#This Row],[Tipo_Linha]]&amp;" ) "&amp;Base_Periodo1[[#This Row],[Filtro]])</f>
        <v>Fora do DRE</v>
      </c>
      <c r="W2442" s="3" t="str">
        <f>LEFT(Base_Periodo1[[#This Row],[CLASS]],3)</f>
        <v>2.1</v>
      </c>
    </row>
    <row r="2443" spans="1:23" hidden="1">
      <c r="A2443" s="3" t="str">
        <f t="shared" si="38"/>
        <v>Período 1</v>
      </c>
      <c r="B2443">
        <v>53985</v>
      </c>
      <c r="C2443" t="s">
        <v>1730</v>
      </c>
      <c r="D2443" t="s">
        <v>5147</v>
      </c>
      <c r="E2443" s="3" t="str">
        <f>IF(LEN(Base_Periodo1[[#This Row],[CLASS]])&gt;=7,LEFT(Base_Periodo1[[#This Row],[CLASS]],7),"")</f>
        <v>2.1.2.1</v>
      </c>
      <c r="F2443" s="3" t="str">
        <f>VLOOKUP(Base_Periodo1[[#This Row],[Aux]],Base_Contas_Balanco[#All],2,FALSE)</f>
        <v>Fornecedores Cooperados</v>
      </c>
      <c r="G2443" s="1">
        <v>42859</v>
      </c>
      <c r="I2443" s="225">
        <v>2252.2400000000002</v>
      </c>
      <c r="J2443" s="225">
        <v>2252.2399999999998</v>
      </c>
      <c r="K2443" s="225">
        <v>4.5474735088646412E-13</v>
      </c>
      <c r="L24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43" s="225">
        <f>ROUND(IF(AND(Base_Periodo1[[#This Row],[Tipo_Linha]]="-",Base_Periodo1[[#This Row],[TIPOSALDO]]="D"),Base_Periodo1[[#This Row],[SALDO_ATUAL]]*-1,Base_Periodo1[[#This Row],[SALDO_ATUAL]]),4)</f>
        <v>0</v>
      </c>
      <c r="N2443" t="s">
        <v>116</v>
      </c>
      <c r="O2443" t="s">
        <v>436</v>
      </c>
      <c r="P2443" t="s">
        <v>436</v>
      </c>
      <c r="Q2443">
        <v>7</v>
      </c>
      <c r="R2443" s="225">
        <f>Base_Periodo1[[#This Row],[CREDITOS]]-Base_Periodo1[[#This Row],[DEBITOS]]</f>
        <v>0</v>
      </c>
      <c r="S2443" s="3" t="str">
        <f>IF(ISERROR(VLOOKUP(Base_Periodo1[[#This Row],[CONTA]],BaseContasDRE[#All],4,FALSE)),"Fora do DRE",VLOOKUP(Base_Periodo1[[#This Row],[CONTA]],BaseContasDRE[#All],4,FALSE))</f>
        <v>Fora do DRE</v>
      </c>
      <c r="T2443" s="3" t="str">
        <f>IF(ISERROR(VLOOKUP(Base_Periodo1[[#This Row],[CONTA]],BaseContasDRE[#All],5,FALSE)),"Fora do DRE",VLOOKUP(Base_Periodo1[[#This Row],[CONTA]],BaseContasDRE[#All],6,FALSE))</f>
        <v>Fora do DRE</v>
      </c>
      <c r="U2443" s="3" t="str">
        <f>IF(ISERROR(VLOOKUP(Base_Periodo1[[#This Row],[CONTA]],BaseContasDRE[#All],7,FALSE)),"Fora do DRE",VLOOKUP(Base_Periodo1[[#This Row],[CONTA]],BaseContasDRE[#All],7,FALSE))</f>
        <v>Fora do DRE</v>
      </c>
      <c r="V2443" s="3" t="str">
        <f>IF(Base_Periodo1[[#This Row],[Tipo_Linha]]="Fora do DRE","Fora do DRE","( "&amp;Base_Periodo1[[#This Row],[Tipo_Linha]]&amp;" ) "&amp;Base_Periodo1[[#This Row],[Filtro]])</f>
        <v>Fora do DRE</v>
      </c>
      <c r="W2443" s="3" t="str">
        <f>LEFT(Base_Periodo1[[#This Row],[CLASS]],3)</f>
        <v>2.1</v>
      </c>
    </row>
    <row r="2444" spans="1:23" hidden="1">
      <c r="A2444" s="3" t="str">
        <f t="shared" si="38"/>
        <v>Período 1</v>
      </c>
      <c r="B2444">
        <v>4465</v>
      </c>
      <c r="C2444" t="s">
        <v>1730</v>
      </c>
      <c r="D2444" t="s">
        <v>722</v>
      </c>
      <c r="E2444" s="3" t="str">
        <f>IF(LEN(Base_Periodo1[[#This Row],[CLASS]])&gt;=7,LEFT(Base_Periodo1[[#This Row],[CLASS]],7),"")</f>
        <v>2.1.2.1</v>
      </c>
      <c r="F2444" s="3" t="str">
        <f>VLOOKUP(Base_Periodo1[[#This Row],[Aux]],Base_Contas_Balanco[#All],2,FALSE)</f>
        <v>Fornecedores Cooperados</v>
      </c>
      <c r="G2444" s="1">
        <v>42873</v>
      </c>
      <c r="I2444" s="225">
        <v>482.23</v>
      </c>
      <c r="J2444" s="225">
        <v>245677.19999999998</v>
      </c>
      <c r="K2444" s="225">
        <v>245194.96999999811</v>
      </c>
      <c r="L24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245194.97</v>
      </c>
      <c r="M2444" s="225">
        <f>ROUND(IF(AND(Base_Periodo1[[#This Row],[Tipo_Linha]]="-",Base_Periodo1[[#This Row],[TIPOSALDO]]="D"),Base_Periodo1[[#This Row],[SALDO_ATUAL]]*-1,Base_Periodo1[[#This Row],[SALDO_ATUAL]]),4)</f>
        <v>245194.97</v>
      </c>
      <c r="N2444" t="s">
        <v>116</v>
      </c>
      <c r="O2444" t="s">
        <v>436</v>
      </c>
      <c r="P2444" t="s">
        <v>459</v>
      </c>
      <c r="Q2444">
        <v>7</v>
      </c>
      <c r="R2444" s="225">
        <f>Base_Periodo1[[#This Row],[CREDITOS]]-Base_Periodo1[[#This Row],[DEBITOS]]</f>
        <v>245194.96999999997</v>
      </c>
      <c r="S2444" s="3" t="str">
        <f>IF(ISERROR(VLOOKUP(Base_Periodo1[[#This Row],[CONTA]],BaseContasDRE[#All],4,FALSE)),"Fora do DRE",VLOOKUP(Base_Periodo1[[#This Row],[CONTA]],BaseContasDRE[#All],4,FALSE))</f>
        <v>Fora do DRE</v>
      </c>
      <c r="T2444" s="3" t="str">
        <f>IF(ISERROR(VLOOKUP(Base_Periodo1[[#This Row],[CONTA]],BaseContasDRE[#All],5,FALSE)),"Fora do DRE",VLOOKUP(Base_Periodo1[[#This Row],[CONTA]],BaseContasDRE[#All],6,FALSE))</f>
        <v>Fora do DRE</v>
      </c>
      <c r="U2444" s="3" t="str">
        <f>IF(ISERROR(VLOOKUP(Base_Periodo1[[#This Row],[CONTA]],BaseContasDRE[#All],7,FALSE)),"Fora do DRE",VLOOKUP(Base_Periodo1[[#This Row],[CONTA]],BaseContasDRE[#All],7,FALSE))</f>
        <v>Fora do DRE</v>
      </c>
      <c r="V2444" s="3" t="str">
        <f>IF(Base_Periodo1[[#This Row],[Tipo_Linha]]="Fora do DRE","Fora do DRE","( "&amp;Base_Periodo1[[#This Row],[Tipo_Linha]]&amp;" ) "&amp;Base_Periodo1[[#This Row],[Filtro]])</f>
        <v>Fora do DRE</v>
      </c>
      <c r="W2444" s="3" t="str">
        <f>LEFT(Base_Periodo1[[#This Row],[CLASS]],3)</f>
        <v>2.1</v>
      </c>
    </row>
    <row r="2445" spans="1:23" hidden="1">
      <c r="A2445" s="3" t="str">
        <f t="shared" si="38"/>
        <v>Período 1</v>
      </c>
      <c r="B2445">
        <v>3013</v>
      </c>
      <c r="C2445" t="s">
        <v>1730</v>
      </c>
      <c r="D2445" t="s">
        <v>723</v>
      </c>
      <c r="E2445" s="3" t="str">
        <f>IF(LEN(Base_Periodo1[[#This Row],[CLASS]])&gt;=7,LEFT(Base_Periodo1[[#This Row],[CLASS]],7),"")</f>
        <v>2.1.2.1</v>
      </c>
      <c r="F2445" s="3" t="str">
        <f>VLOOKUP(Base_Periodo1[[#This Row],[Aux]],Base_Contas_Balanco[#All],2,FALSE)</f>
        <v>Fornecedores Cooperados</v>
      </c>
      <c r="G2445" s="1">
        <v>42886</v>
      </c>
      <c r="H2445" s="225">
        <v>57.100000000325963</v>
      </c>
      <c r="I2445" s="225">
        <v>57.1</v>
      </c>
      <c r="J2445" s="225">
        <v>0</v>
      </c>
      <c r="K2445" s="225">
        <v>-3.2596148002994596E-10</v>
      </c>
      <c r="L24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45" s="225">
        <f>ROUND(IF(AND(Base_Periodo1[[#This Row],[Tipo_Linha]]="-",Base_Periodo1[[#This Row],[TIPOSALDO]]="D"),Base_Periodo1[[#This Row],[SALDO_ATUAL]]*-1,Base_Periodo1[[#This Row],[SALDO_ATUAL]]),4)</f>
        <v>0</v>
      </c>
      <c r="N2445" t="s">
        <v>116</v>
      </c>
      <c r="O2445" t="s">
        <v>459</v>
      </c>
      <c r="P2445" t="s">
        <v>436</v>
      </c>
      <c r="Q2445">
        <v>7</v>
      </c>
      <c r="R2445" s="225">
        <f>Base_Periodo1[[#This Row],[CREDITOS]]-Base_Periodo1[[#This Row],[DEBITOS]]</f>
        <v>-57.1</v>
      </c>
      <c r="S2445" s="3" t="str">
        <f>IF(ISERROR(VLOOKUP(Base_Periodo1[[#This Row],[CONTA]],BaseContasDRE[#All],4,FALSE)),"Fora do DRE",VLOOKUP(Base_Periodo1[[#This Row],[CONTA]],BaseContasDRE[#All],4,FALSE))</f>
        <v>Fora do DRE</v>
      </c>
      <c r="T2445" s="3" t="str">
        <f>IF(ISERROR(VLOOKUP(Base_Periodo1[[#This Row],[CONTA]],BaseContasDRE[#All],5,FALSE)),"Fora do DRE",VLOOKUP(Base_Periodo1[[#This Row],[CONTA]],BaseContasDRE[#All],6,FALSE))</f>
        <v>Fora do DRE</v>
      </c>
      <c r="U2445" s="3" t="str">
        <f>IF(ISERROR(VLOOKUP(Base_Periodo1[[#This Row],[CONTA]],BaseContasDRE[#All],7,FALSE)),"Fora do DRE",VLOOKUP(Base_Periodo1[[#This Row],[CONTA]],BaseContasDRE[#All],7,FALSE))</f>
        <v>Fora do DRE</v>
      </c>
      <c r="V2445" s="3" t="str">
        <f>IF(Base_Periodo1[[#This Row],[Tipo_Linha]]="Fora do DRE","Fora do DRE","( "&amp;Base_Periodo1[[#This Row],[Tipo_Linha]]&amp;" ) "&amp;Base_Periodo1[[#This Row],[Filtro]])</f>
        <v>Fora do DRE</v>
      </c>
      <c r="W2445" s="3" t="str">
        <f>LEFT(Base_Periodo1[[#This Row],[CLASS]],3)</f>
        <v>2.1</v>
      </c>
    </row>
    <row r="2446" spans="1:23" hidden="1">
      <c r="A2446" s="3" t="str">
        <f t="shared" si="38"/>
        <v>Período 1</v>
      </c>
      <c r="B2446">
        <v>3201</v>
      </c>
      <c r="C2446" t="s">
        <v>1730</v>
      </c>
      <c r="D2446" t="s">
        <v>724</v>
      </c>
      <c r="E2446" s="3" t="str">
        <f>IF(LEN(Base_Periodo1[[#This Row],[CLASS]])&gt;=7,LEFT(Base_Periodo1[[#This Row],[CLASS]],7),"")</f>
        <v>2.1.2.1</v>
      </c>
      <c r="F2446" s="3" t="str">
        <f>VLOOKUP(Base_Periodo1[[#This Row],[Aux]],Base_Contas_Balanco[#All],2,FALSE)</f>
        <v>Fornecedores Cooperados</v>
      </c>
      <c r="G2446" s="1">
        <v>42886</v>
      </c>
      <c r="I2446" s="225">
        <v>74370.22</v>
      </c>
      <c r="J2446" s="225">
        <v>74370.22</v>
      </c>
      <c r="K2446" s="225">
        <v>-1.862645149230957E-9</v>
      </c>
      <c r="L24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46" s="225">
        <f>ROUND(IF(AND(Base_Periodo1[[#This Row],[Tipo_Linha]]="-",Base_Periodo1[[#This Row],[TIPOSALDO]]="D"),Base_Periodo1[[#This Row],[SALDO_ATUAL]]*-1,Base_Periodo1[[#This Row],[SALDO_ATUAL]]),4)</f>
        <v>0</v>
      </c>
      <c r="N2446" t="s">
        <v>116</v>
      </c>
      <c r="O2446" t="s">
        <v>436</v>
      </c>
      <c r="P2446" t="s">
        <v>436</v>
      </c>
      <c r="Q2446">
        <v>7</v>
      </c>
      <c r="R2446" s="225">
        <f>Base_Periodo1[[#This Row],[CREDITOS]]-Base_Periodo1[[#This Row],[DEBITOS]]</f>
        <v>0</v>
      </c>
      <c r="S2446" s="3" t="str">
        <f>IF(ISERROR(VLOOKUP(Base_Periodo1[[#This Row],[CONTA]],BaseContasDRE[#All],4,FALSE)),"Fora do DRE",VLOOKUP(Base_Periodo1[[#This Row],[CONTA]],BaseContasDRE[#All],4,FALSE))</f>
        <v>Fora do DRE</v>
      </c>
      <c r="T2446" s="3" t="str">
        <f>IF(ISERROR(VLOOKUP(Base_Periodo1[[#This Row],[CONTA]],BaseContasDRE[#All],5,FALSE)),"Fora do DRE",VLOOKUP(Base_Periodo1[[#This Row],[CONTA]],BaseContasDRE[#All],6,FALSE))</f>
        <v>Fora do DRE</v>
      </c>
      <c r="U2446" s="3" t="str">
        <f>IF(ISERROR(VLOOKUP(Base_Periodo1[[#This Row],[CONTA]],BaseContasDRE[#All],7,FALSE)),"Fora do DRE",VLOOKUP(Base_Periodo1[[#This Row],[CONTA]],BaseContasDRE[#All],7,FALSE))</f>
        <v>Fora do DRE</v>
      </c>
      <c r="V2446" s="3" t="str">
        <f>IF(Base_Periodo1[[#This Row],[Tipo_Linha]]="Fora do DRE","Fora do DRE","( "&amp;Base_Periodo1[[#This Row],[Tipo_Linha]]&amp;" ) "&amp;Base_Periodo1[[#This Row],[Filtro]])</f>
        <v>Fora do DRE</v>
      </c>
      <c r="W2446" s="3" t="str">
        <f>LEFT(Base_Periodo1[[#This Row],[CLASS]],3)</f>
        <v>2.1</v>
      </c>
    </row>
    <row r="2447" spans="1:23" hidden="1">
      <c r="A2447" s="3" t="str">
        <f t="shared" si="38"/>
        <v>Período 1</v>
      </c>
      <c r="B2447">
        <v>4249</v>
      </c>
      <c r="C2447" t="s">
        <v>1730</v>
      </c>
      <c r="D2447" t="s">
        <v>725</v>
      </c>
      <c r="E2447" s="3" t="str">
        <f>IF(LEN(Base_Periodo1[[#This Row],[CLASS]])&gt;=7,LEFT(Base_Periodo1[[#This Row],[CLASS]],7),"")</f>
        <v>2.1.2.1</v>
      </c>
      <c r="F2447" s="3" t="str">
        <f>VLOOKUP(Base_Periodo1[[#This Row],[Aux]],Base_Contas_Balanco[#All],2,FALSE)</f>
        <v>Fornecedores Cooperados</v>
      </c>
      <c r="G2447" s="1">
        <v>42874</v>
      </c>
      <c r="H2447" s="225">
        <v>164.33000000007451</v>
      </c>
      <c r="I2447" s="225">
        <v>6851.08</v>
      </c>
      <c r="J2447" s="225">
        <v>6794.46</v>
      </c>
      <c r="K2447" s="225">
        <v>107.71000000007461</v>
      </c>
      <c r="L24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107.71</v>
      </c>
      <c r="M2447" s="225">
        <f>ROUND(IF(AND(Base_Periodo1[[#This Row],[Tipo_Linha]]="-",Base_Periodo1[[#This Row],[TIPOSALDO]]="D"),Base_Periodo1[[#This Row],[SALDO_ATUAL]]*-1,Base_Periodo1[[#This Row],[SALDO_ATUAL]]),4)</f>
        <v>107.71</v>
      </c>
      <c r="N2447" t="s">
        <v>116</v>
      </c>
      <c r="O2447" t="s">
        <v>459</v>
      </c>
      <c r="P2447" t="s">
        <v>459</v>
      </c>
      <c r="Q2447">
        <v>7</v>
      </c>
      <c r="R2447" s="225">
        <f>Base_Periodo1[[#This Row],[CREDITOS]]-Base_Periodo1[[#This Row],[DEBITOS]]</f>
        <v>-56.619999999999891</v>
      </c>
      <c r="S2447" s="3" t="str">
        <f>IF(ISERROR(VLOOKUP(Base_Periodo1[[#This Row],[CONTA]],BaseContasDRE[#All],4,FALSE)),"Fora do DRE",VLOOKUP(Base_Periodo1[[#This Row],[CONTA]],BaseContasDRE[#All],4,FALSE))</f>
        <v>Fora do DRE</v>
      </c>
      <c r="T2447" s="3" t="str">
        <f>IF(ISERROR(VLOOKUP(Base_Periodo1[[#This Row],[CONTA]],BaseContasDRE[#All],5,FALSE)),"Fora do DRE",VLOOKUP(Base_Periodo1[[#This Row],[CONTA]],BaseContasDRE[#All],6,FALSE))</f>
        <v>Fora do DRE</v>
      </c>
      <c r="U2447" s="3" t="str">
        <f>IF(ISERROR(VLOOKUP(Base_Periodo1[[#This Row],[CONTA]],BaseContasDRE[#All],7,FALSE)),"Fora do DRE",VLOOKUP(Base_Periodo1[[#This Row],[CONTA]],BaseContasDRE[#All],7,FALSE))</f>
        <v>Fora do DRE</v>
      </c>
      <c r="V2447" s="3" t="str">
        <f>IF(Base_Periodo1[[#This Row],[Tipo_Linha]]="Fora do DRE","Fora do DRE","( "&amp;Base_Periodo1[[#This Row],[Tipo_Linha]]&amp;" ) "&amp;Base_Periodo1[[#This Row],[Filtro]])</f>
        <v>Fora do DRE</v>
      </c>
      <c r="W2447" s="3" t="str">
        <f>LEFT(Base_Periodo1[[#This Row],[CLASS]],3)</f>
        <v>2.1</v>
      </c>
    </row>
    <row r="2448" spans="1:23" hidden="1">
      <c r="A2448" s="3" t="str">
        <f t="shared" si="38"/>
        <v>Período 1</v>
      </c>
      <c r="B2448">
        <v>36399</v>
      </c>
      <c r="C2448" t="s">
        <v>1730</v>
      </c>
      <c r="D2448" t="s">
        <v>726</v>
      </c>
      <c r="E2448" s="3" t="str">
        <f>IF(LEN(Base_Periodo1[[#This Row],[CLASS]])&gt;=7,LEFT(Base_Periodo1[[#This Row],[CLASS]],7),"")</f>
        <v>2.1.2.1</v>
      </c>
      <c r="F2448" s="3" t="str">
        <f>VLOOKUP(Base_Periodo1[[#This Row],[Aux]],Base_Contas_Balanco[#All],2,FALSE)</f>
        <v>Fornecedores Cooperados</v>
      </c>
      <c r="G2448" s="1">
        <v>42885</v>
      </c>
      <c r="I2448" s="225">
        <v>13588</v>
      </c>
      <c r="J2448" s="225">
        <v>13588</v>
      </c>
      <c r="K2448" s="225">
        <v>5.8207660913467407E-11</v>
      </c>
      <c r="L24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48" s="225">
        <f>ROUND(IF(AND(Base_Periodo1[[#This Row],[Tipo_Linha]]="-",Base_Periodo1[[#This Row],[TIPOSALDO]]="D"),Base_Periodo1[[#This Row],[SALDO_ATUAL]]*-1,Base_Periodo1[[#This Row],[SALDO_ATUAL]]),4)</f>
        <v>0</v>
      </c>
      <c r="N2448" t="s">
        <v>116</v>
      </c>
      <c r="O2448" t="s">
        <v>436</v>
      </c>
      <c r="P2448" t="s">
        <v>436</v>
      </c>
      <c r="Q2448">
        <v>7</v>
      </c>
      <c r="R2448" s="225">
        <f>Base_Periodo1[[#This Row],[CREDITOS]]-Base_Periodo1[[#This Row],[DEBITOS]]</f>
        <v>0</v>
      </c>
      <c r="S2448" s="3" t="str">
        <f>IF(ISERROR(VLOOKUP(Base_Periodo1[[#This Row],[CONTA]],BaseContasDRE[#All],4,FALSE)),"Fora do DRE",VLOOKUP(Base_Periodo1[[#This Row],[CONTA]],BaseContasDRE[#All],4,FALSE))</f>
        <v>Fora do DRE</v>
      </c>
      <c r="T2448" s="3" t="str">
        <f>IF(ISERROR(VLOOKUP(Base_Periodo1[[#This Row],[CONTA]],BaseContasDRE[#All],5,FALSE)),"Fora do DRE",VLOOKUP(Base_Periodo1[[#This Row],[CONTA]],BaseContasDRE[#All],6,FALSE))</f>
        <v>Fora do DRE</v>
      </c>
      <c r="U2448" s="3" t="str">
        <f>IF(ISERROR(VLOOKUP(Base_Periodo1[[#This Row],[CONTA]],BaseContasDRE[#All],7,FALSE)),"Fora do DRE",VLOOKUP(Base_Periodo1[[#This Row],[CONTA]],BaseContasDRE[#All],7,FALSE))</f>
        <v>Fora do DRE</v>
      </c>
      <c r="V2448" s="3" t="str">
        <f>IF(Base_Periodo1[[#This Row],[Tipo_Linha]]="Fora do DRE","Fora do DRE","( "&amp;Base_Periodo1[[#This Row],[Tipo_Linha]]&amp;" ) "&amp;Base_Periodo1[[#This Row],[Filtro]])</f>
        <v>Fora do DRE</v>
      </c>
      <c r="W2448" s="3" t="str">
        <f>LEFT(Base_Periodo1[[#This Row],[CLASS]],3)</f>
        <v>2.1</v>
      </c>
    </row>
    <row r="2449" spans="1:23" hidden="1">
      <c r="A2449" s="3" t="str">
        <f t="shared" si="38"/>
        <v>Período 1</v>
      </c>
      <c r="B2449">
        <v>2661</v>
      </c>
      <c r="C2449" t="s">
        <v>1730</v>
      </c>
      <c r="D2449" t="s">
        <v>5148</v>
      </c>
      <c r="E2449" s="3" t="str">
        <f>IF(LEN(Base_Periodo1[[#This Row],[CLASS]])&gt;=7,LEFT(Base_Periodo1[[#This Row],[CLASS]],7),"")</f>
        <v>2.1.2.1</v>
      </c>
      <c r="F2449" s="3" t="str">
        <f>VLOOKUP(Base_Periodo1[[#This Row],[Aux]],Base_Contas_Balanco[#All],2,FALSE)</f>
        <v>Fornecedores Cooperados</v>
      </c>
      <c r="G2449" s="1">
        <v>42885</v>
      </c>
      <c r="I2449" s="225">
        <v>158.69</v>
      </c>
      <c r="J2449" s="225">
        <v>6899.99</v>
      </c>
      <c r="K2449" s="225">
        <v>6741.2999999999856</v>
      </c>
      <c r="L24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6741.3</v>
      </c>
      <c r="M2449" s="225">
        <f>ROUND(IF(AND(Base_Periodo1[[#This Row],[Tipo_Linha]]="-",Base_Periodo1[[#This Row],[TIPOSALDO]]="D"),Base_Periodo1[[#This Row],[SALDO_ATUAL]]*-1,Base_Periodo1[[#This Row],[SALDO_ATUAL]]),4)</f>
        <v>6741.3</v>
      </c>
      <c r="N2449" t="s">
        <v>116</v>
      </c>
      <c r="O2449" t="s">
        <v>436</v>
      </c>
      <c r="P2449" t="s">
        <v>459</v>
      </c>
      <c r="Q2449">
        <v>7</v>
      </c>
      <c r="R2449" s="225">
        <f>Base_Periodo1[[#This Row],[CREDITOS]]-Base_Periodo1[[#This Row],[DEBITOS]]</f>
        <v>6741.3</v>
      </c>
      <c r="S2449" s="3" t="str">
        <f>IF(ISERROR(VLOOKUP(Base_Periodo1[[#This Row],[CONTA]],BaseContasDRE[#All],4,FALSE)),"Fora do DRE",VLOOKUP(Base_Periodo1[[#This Row],[CONTA]],BaseContasDRE[#All],4,FALSE))</f>
        <v>Fora do DRE</v>
      </c>
      <c r="T2449" s="3" t="str">
        <f>IF(ISERROR(VLOOKUP(Base_Periodo1[[#This Row],[CONTA]],BaseContasDRE[#All],5,FALSE)),"Fora do DRE",VLOOKUP(Base_Periodo1[[#This Row],[CONTA]],BaseContasDRE[#All],6,FALSE))</f>
        <v>Fora do DRE</v>
      </c>
      <c r="U2449" s="3" t="str">
        <f>IF(ISERROR(VLOOKUP(Base_Periodo1[[#This Row],[CONTA]],BaseContasDRE[#All],7,FALSE)),"Fora do DRE",VLOOKUP(Base_Periodo1[[#This Row],[CONTA]],BaseContasDRE[#All],7,FALSE))</f>
        <v>Fora do DRE</v>
      </c>
      <c r="V2449" s="3" t="str">
        <f>IF(Base_Periodo1[[#This Row],[Tipo_Linha]]="Fora do DRE","Fora do DRE","( "&amp;Base_Periodo1[[#This Row],[Tipo_Linha]]&amp;" ) "&amp;Base_Periodo1[[#This Row],[Filtro]])</f>
        <v>Fora do DRE</v>
      </c>
      <c r="W2449" s="3" t="str">
        <f>LEFT(Base_Periodo1[[#This Row],[CLASS]],3)</f>
        <v>2.1</v>
      </c>
    </row>
    <row r="2450" spans="1:23" hidden="1">
      <c r="A2450" s="3" t="str">
        <f t="shared" si="38"/>
        <v>Período 1</v>
      </c>
      <c r="B2450">
        <v>22223</v>
      </c>
      <c r="C2450" t="s">
        <v>1730</v>
      </c>
      <c r="D2450" t="s">
        <v>5211</v>
      </c>
      <c r="E2450" s="3" t="str">
        <f>IF(LEN(Base_Periodo1[[#This Row],[CLASS]])&gt;=7,LEFT(Base_Periodo1[[#This Row],[CLASS]],7),"")</f>
        <v>2.1.2.1</v>
      </c>
      <c r="F2450" s="3" t="str">
        <f>VLOOKUP(Base_Periodo1[[#This Row],[Aux]],Base_Contas_Balanco[#All],2,FALSE)</f>
        <v>Fornecedores Cooperados</v>
      </c>
      <c r="G2450" s="1">
        <v>42884</v>
      </c>
      <c r="I2450" s="225">
        <v>775.52</v>
      </c>
      <c r="J2450" s="225">
        <v>775.52</v>
      </c>
      <c r="K2450" s="225">
        <v>-5.8207660913467407E-11</v>
      </c>
      <c r="L24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50" s="225">
        <f>ROUND(IF(AND(Base_Periodo1[[#This Row],[Tipo_Linha]]="-",Base_Periodo1[[#This Row],[TIPOSALDO]]="D"),Base_Periodo1[[#This Row],[SALDO_ATUAL]]*-1,Base_Periodo1[[#This Row],[SALDO_ATUAL]]),4)</f>
        <v>0</v>
      </c>
      <c r="N2450" t="s">
        <v>116</v>
      </c>
      <c r="O2450" t="s">
        <v>436</v>
      </c>
      <c r="P2450" t="s">
        <v>436</v>
      </c>
      <c r="Q2450">
        <v>7</v>
      </c>
      <c r="R2450" s="225">
        <f>Base_Periodo1[[#This Row],[CREDITOS]]-Base_Periodo1[[#This Row],[DEBITOS]]</f>
        <v>0</v>
      </c>
      <c r="S2450" s="3" t="str">
        <f>IF(ISERROR(VLOOKUP(Base_Periodo1[[#This Row],[CONTA]],BaseContasDRE[#All],4,FALSE)),"Fora do DRE",VLOOKUP(Base_Periodo1[[#This Row],[CONTA]],BaseContasDRE[#All],4,FALSE))</f>
        <v>Fora do DRE</v>
      </c>
      <c r="T2450" s="3" t="str">
        <f>IF(ISERROR(VLOOKUP(Base_Periodo1[[#This Row],[CONTA]],BaseContasDRE[#All],5,FALSE)),"Fora do DRE",VLOOKUP(Base_Periodo1[[#This Row],[CONTA]],BaseContasDRE[#All],6,FALSE))</f>
        <v>Fora do DRE</v>
      </c>
      <c r="U2450" s="3" t="str">
        <f>IF(ISERROR(VLOOKUP(Base_Periodo1[[#This Row],[CONTA]],BaseContasDRE[#All],7,FALSE)),"Fora do DRE",VLOOKUP(Base_Periodo1[[#This Row],[CONTA]],BaseContasDRE[#All],7,FALSE))</f>
        <v>Fora do DRE</v>
      </c>
      <c r="V2450" s="3" t="str">
        <f>IF(Base_Periodo1[[#This Row],[Tipo_Linha]]="Fora do DRE","Fora do DRE","( "&amp;Base_Periodo1[[#This Row],[Tipo_Linha]]&amp;" ) "&amp;Base_Periodo1[[#This Row],[Filtro]])</f>
        <v>Fora do DRE</v>
      </c>
      <c r="W2450" s="3" t="str">
        <f>LEFT(Base_Periodo1[[#This Row],[CLASS]],3)</f>
        <v>2.1</v>
      </c>
    </row>
    <row r="2451" spans="1:23" hidden="1">
      <c r="A2451" s="3" t="str">
        <f t="shared" si="38"/>
        <v>Período 1</v>
      </c>
      <c r="B2451">
        <v>47592</v>
      </c>
      <c r="C2451" t="s">
        <v>1730</v>
      </c>
      <c r="D2451" t="s">
        <v>727</v>
      </c>
      <c r="E2451" s="3" t="str">
        <f>IF(LEN(Base_Periodo1[[#This Row],[CLASS]])&gt;=7,LEFT(Base_Periodo1[[#This Row],[CLASS]],7),"")</f>
        <v>2.1.2.1</v>
      </c>
      <c r="F2451" s="3" t="str">
        <f>VLOOKUP(Base_Periodo1[[#This Row],[Aux]],Base_Contas_Balanco[#All],2,FALSE)</f>
        <v>Fornecedores Cooperados</v>
      </c>
      <c r="G2451" s="1">
        <v>42714</v>
      </c>
      <c r="H2451" s="225">
        <v>230.32999999999993</v>
      </c>
      <c r="I2451" s="225">
        <v>0</v>
      </c>
      <c r="J2451" s="225">
        <v>0</v>
      </c>
      <c r="K2451" s="225">
        <v>230.32999999999993</v>
      </c>
      <c r="L24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230.33</v>
      </c>
      <c r="M2451" s="225">
        <f>ROUND(IF(AND(Base_Periodo1[[#This Row],[Tipo_Linha]]="-",Base_Periodo1[[#This Row],[TIPOSALDO]]="D"),Base_Periodo1[[#This Row],[SALDO_ATUAL]]*-1,Base_Periodo1[[#This Row],[SALDO_ATUAL]]),4)</f>
        <v>230.33</v>
      </c>
      <c r="N2451" t="s">
        <v>116</v>
      </c>
      <c r="O2451" t="s">
        <v>459</v>
      </c>
      <c r="P2451" t="s">
        <v>459</v>
      </c>
      <c r="Q2451">
        <v>7</v>
      </c>
      <c r="R2451" s="225">
        <f>Base_Periodo1[[#This Row],[CREDITOS]]-Base_Periodo1[[#This Row],[DEBITOS]]</f>
        <v>0</v>
      </c>
      <c r="S2451" s="3" t="str">
        <f>IF(ISERROR(VLOOKUP(Base_Periodo1[[#This Row],[CONTA]],BaseContasDRE[#All],4,FALSE)),"Fora do DRE",VLOOKUP(Base_Periodo1[[#This Row],[CONTA]],BaseContasDRE[#All],4,FALSE))</f>
        <v>Fora do DRE</v>
      </c>
      <c r="T2451" s="3" t="str">
        <f>IF(ISERROR(VLOOKUP(Base_Periodo1[[#This Row],[CONTA]],BaseContasDRE[#All],5,FALSE)),"Fora do DRE",VLOOKUP(Base_Periodo1[[#This Row],[CONTA]],BaseContasDRE[#All],6,FALSE))</f>
        <v>Fora do DRE</v>
      </c>
      <c r="U2451" s="3" t="str">
        <f>IF(ISERROR(VLOOKUP(Base_Periodo1[[#This Row],[CONTA]],BaseContasDRE[#All],7,FALSE)),"Fora do DRE",VLOOKUP(Base_Periodo1[[#This Row],[CONTA]],BaseContasDRE[#All],7,FALSE))</f>
        <v>Fora do DRE</v>
      </c>
      <c r="V2451" s="3" t="str">
        <f>IF(Base_Periodo1[[#This Row],[Tipo_Linha]]="Fora do DRE","Fora do DRE","( "&amp;Base_Periodo1[[#This Row],[Tipo_Linha]]&amp;" ) "&amp;Base_Periodo1[[#This Row],[Filtro]])</f>
        <v>Fora do DRE</v>
      </c>
      <c r="W2451" s="3" t="str">
        <f>LEFT(Base_Periodo1[[#This Row],[CLASS]],3)</f>
        <v>2.1</v>
      </c>
    </row>
    <row r="2452" spans="1:23" hidden="1">
      <c r="A2452" s="3" t="str">
        <f t="shared" si="38"/>
        <v>Período 1</v>
      </c>
      <c r="B2452">
        <v>4225</v>
      </c>
      <c r="C2452" t="s">
        <v>1730</v>
      </c>
      <c r="D2452" t="s">
        <v>729</v>
      </c>
      <c r="E2452" s="3" t="str">
        <f>IF(LEN(Base_Periodo1[[#This Row],[CLASS]])&gt;=7,LEFT(Base_Periodo1[[#This Row],[CLASS]],7),"")</f>
        <v>2.1.2.1</v>
      </c>
      <c r="F2452" s="3" t="str">
        <f>VLOOKUP(Base_Periodo1[[#This Row],[Aux]],Base_Contas_Balanco[#All],2,FALSE)</f>
        <v>Fornecedores Cooperados</v>
      </c>
      <c r="G2452" s="1">
        <v>42863</v>
      </c>
      <c r="H2452" s="225">
        <v>67.129999999990105</v>
      </c>
      <c r="I2452" s="225">
        <v>100</v>
      </c>
      <c r="J2452" s="225">
        <v>100</v>
      </c>
      <c r="K2452" s="225">
        <v>67.129999999990105</v>
      </c>
      <c r="L24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67.13</v>
      </c>
      <c r="M2452" s="225">
        <f>ROUND(IF(AND(Base_Periodo1[[#This Row],[Tipo_Linha]]="-",Base_Periodo1[[#This Row],[TIPOSALDO]]="D"),Base_Periodo1[[#This Row],[SALDO_ATUAL]]*-1,Base_Periodo1[[#This Row],[SALDO_ATUAL]]),4)</f>
        <v>67.13</v>
      </c>
      <c r="N2452" t="s">
        <v>116</v>
      </c>
      <c r="O2452" t="s">
        <v>459</v>
      </c>
      <c r="P2452" t="s">
        <v>459</v>
      </c>
      <c r="Q2452">
        <v>7</v>
      </c>
      <c r="R2452" s="225">
        <f>Base_Periodo1[[#This Row],[CREDITOS]]-Base_Periodo1[[#This Row],[DEBITOS]]</f>
        <v>0</v>
      </c>
      <c r="S2452" s="3" t="str">
        <f>IF(ISERROR(VLOOKUP(Base_Periodo1[[#This Row],[CONTA]],BaseContasDRE[#All],4,FALSE)),"Fora do DRE",VLOOKUP(Base_Periodo1[[#This Row],[CONTA]],BaseContasDRE[#All],4,FALSE))</f>
        <v>Fora do DRE</v>
      </c>
      <c r="T2452" s="3" t="str">
        <f>IF(ISERROR(VLOOKUP(Base_Periodo1[[#This Row],[CONTA]],BaseContasDRE[#All],5,FALSE)),"Fora do DRE",VLOOKUP(Base_Periodo1[[#This Row],[CONTA]],BaseContasDRE[#All],6,FALSE))</f>
        <v>Fora do DRE</v>
      </c>
      <c r="U2452" s="3" t="str">
        <f>IF(ISERROR(VLOOKUP(Base_Periodo1[[#This Row],[CONTA]],BaseContasDRE[#All],7,FALSE)),"Fora do DRE",VLOOKUP(Base_Periodo1[[#This Row],[CONTA]],BaseContasDRE[#All],7,FALSE))</f>
        <v>Fora do DRE</v>
      </c>
      <c r="V2452" s="3" t="str">
        <f>IF(Base_Periodo1[[#This Row],[Tipo_Linha]]="Fora do DRE","Fora do DRE","( "&amp;Base_Periodo1[[#This Row],[Tipo_Linha]]&amp;" ) "&amp;Base_Periodo1[[#This Row],[Filtro]])</f>
        <v>Fora do DRE</v>
      </c>
      <c r="W2452" s="3" t="str">
        <f>LEFT(Base_Periodo1[[#This Row],[CLASS]],3)</f>
        <v>2.1</v>
      </c>
    </row>
    <row r="2453" spans="1:23" hidden="1">
      <c r="A2453" s="3" t="str">
        <f t="shared" si="38"/>
        <v>Período 1</v>
      </c>
      <c r="B2453">
        <v>2809</v>
      </c>
      <c r="C2453" t="s">
        <v>1730</v>
      </c>
      <c r="D2453" t="s">
        <v>4734</v>
      </c>
      <c r="E2453" s="3" t="str">
        <f>IF(LEN(Base_Periodo1[[#This Row],[CLASS]])&gt;=7,LEFT(Base_Periodo1[[#This Row],[CLASS]],7),"")</f>
        <v>2.1.2.1</v>
      </c>
      <c r="F2453" s="3" t="str">
        <f>VLOOKUP(Base_Periodo1[[#This Row],[Aux]],Base_Contas_Balanco[#All],2,FALSE)</f>
        <v>Fornecedores Cooperados</v>
      </c>
      <c r="G2453" s="1">
        <v>42881</v>
      </c>
      <c r="I2453" s="225">
        <v>26373.129999999997</v>
      </c>
      <c r="J2453" s="225">
        <v>26373.13</v>
      </c>
      <c r="K2453" s="225">
        <v>1.127773430198431E-10</v>
      </c>
      <c r="L24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53" s="225">
        <f>ROUND(IF(AND(Base_Periodo1[[#This Row],[Tipo_Linha]]="-",Base_Periodo1[[#This Row],[TIPOSALDO]]="D"),Base_Periodo1[[#This Row],[SALDO_ATUAL]]*-1,Base_Periodo1[[#This Row],[SALDO_ATUAL]]),4)</f>
        <v>0</v>
      </c>
      <c r="N2453" t="s">
        <v>116</v>
      </c>
      <c r="O2453" t="s">
        <v>436</v>
      </c>
      <c r="P2453" t="s">
        <v>436</v>
      </c>
      <c r="Q2453">
        <v>7</v>
      </c>
      <c r="R2453" s="225">
        <f>Base_Periodo1[[#This Row],[CREDITOS]]-Base_Periodo1[[#This Row],[DEBITOS]]</f>
        <v>0</v>
      </c>
      <c r="S2453" s="3" t="str">
        <f>IF(ISERROR(VLOOKUP(Base_Periodo1[[#This Row],[CONTA]],BaseContasDRE[#All],4,FALSE)),"Fora do DRE",VLOOKUP(Base_Periodo1[[#This Row],[CONTA]],BaseContasDRE[#All],4,FALSE))</f>
        <v>Fora do DRE</v>
      </c>
      <c r="T2453" s="3" t="str">
        <f>IF(ISERROR(VLOOKUP(Base_Periodo1[[#This Row],[CONTA]],BaseContasDRE[#All],5,FALSE)),"Fora do DRE",VLOOKUP(Base_Periodo1[[#This Row],[CONTA]],BaseContasDRE[#All],6,FALSE))</f>
        <v>Fora do DRE</v>
      </c>
      <c r="U2453" s="3" t="str">
        <f>IF(ISERROR(VLOOKUP(Base_Periodo1[[#This Row],[CONTA]],BaseContasDRE[#All],7,FALSE)),"Fora do DRE",VLOOKUP(Base_Periodo1[[#This Row],[CONTA]],BaseContasDRE[#All],7,FALSE))</f>
        <v>Fora do DRE</v>
      </c>
      <c r="V2453" s="3" t="str">
        <f>IF(Base_Periodo1[[#This Row],[Tipo_Linha]]="Fora do DRE","Fora do DRE","( "&amp;Base_Periodo1[[#This Row],[Tipo_Linha]]&amp;" ) "&amp;Base_Periodo1[[#This Row],[Filtro]])</f>
        <v>Fora do DRE</v>
      </c>
      <c r="W2453" s="3" t="str">
        <f>LEFT(Base_Periodo1[[#This Row],[CLASS]],3)</f>
        <v>2.1</v>
      </c>
    </row>
    <row r="2454" spans="1:23" hidden="1">
      <c r="A2454" s="3" t="str">
        <f t="shared" si="38"/>
        <v>Período 1</v>
      </c>
      <c r="B2454">
        <v>39624</v>
      </c>
      <c r="C2454" t="s">
        <v>1730</v>
      </c>
      <c r="D2454" t="s">
        <v>5274</v>
      </c>
      <c r="E2454" s="3" t="str">
        <f>IF(LEN(Base_Periodo1[[#This Row],[CLASS]])&gt;=7,LEFT(Base_Periodo1[[#This Row],[CLASS]],7),"")</f>
        <v>2.1.2.1</v>
      </c>
      <c r="F2454" s="3" t="str">
        <f>VLOOKUP(Base_Periodo1[[#This Row],[Aux]],Base_Contas_Balanco[#All],2,FALSE)</f>
        <v>Fornecedores Cooperados</v>
      </c>
      <c r="G2454" s="1">
        <v>42863</v>
      </c>
      <c r="I2454" s="225">
        <v>5990</v>
      </c>
      <c r="J2454" s="225">
        <v>5990</v>
      </c>
      <c r="K2454" s="225">
        <v>0</v>
      </c>
      <c r="L24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54" s="225">
        <f>ROUND(IF(AND(Base_Periodo1[[#This Row],[Tipo_Linha]]="-",Base_Periodo1[[#This Row],[TIPOSALDO]]="D"),Base_Periodo1[[#This Row],[SALDO_ATUAL]]*-1,Base_Periodo1[[#This Row],[SALDO_ATUAL]]),4)</f>
        <v>0</v>
      </c>
      <c r="N2454" t="s">
        <v>116</v>
      </c>
      <c r="O2454" t="s">
        <v>436</v>
      </c>
      <c r="P2454" t="s">
        <v>436</v>
      </c>
      <c r="Q2454">
        <v>7</v>
      </c>
      <c r="R2454" s="225">
        <f>Base_Periodo1[[#This Row],[CREDITOS]]-Base_Periodo1[[#This Row],[DEBITOS]]</f>
        <v>0</v>
      </c>
      <c r="S2454" s="3" t="str">
        <f>IF(ISERROR(VLOOKUP(Base_Periodo1[[#This Row],[CONTA]],BaseContasDRE[#All],4,FALSE)),"Fora do DRE",VLOOKUP(Base_Periodo1[[#This Row],[CONTA]],BaseContasDRE[#All],4,FALSE))</f>
        <v>Fora do DRE</v>
      </c>
      <c r="T2454" s="3" t="str">
        <f>IF(ISERROR(VLOOKUP(Base_Periodo1[[#This Row],[CONTA]],BaseContasDRE[#All],5,FALSE)),"Fora do DRE",VLOOKUP(Base_Periodo1[[#This Row],[CONTA]],BaseContasDRE[#All],6,FALSE))</f>
        <v>Fora do DRE</v>
      </c>
      <c r="U2454" s="3" t="str">
        <f>IF(ISERROR(VLOOKUP(Base_Periodo1[[#This Row],[CONTA]],BaseContasDRE[#All],7,FALSE)),"Fora do DRE",VLOOKUP(Base_Periodo1[[#This Row],[CONTA]],BaseContasDRE[#All],7,FALSE))</f>
        <v>Fora do DRE</v>
      </c>
      <c r="V2454" s="3" t="str">
        <f>IF(Base_Periodo1[[#This Row],[Tipo_Linha]]="Fora do DRE","Fora do DRE","( "&amp;Base_Periodo1[[#This Row],[Tipo_Linha]]&amp;" ) "&amp;Base_Periodo1[[#This Row],[Filtro]])</f>
        <v>Fora do DRE</v>
      </c>
      <c r="W2454" s="3" t="str">
        <f>LEFT(Base_Periodo1[[#This Row],[CLASS]],3)</f>
        <v>2.1</v>
      </c>
    </row>
    <row r="2455" spans="1:23" hidden="1">
      <c r="A2455" s="3" t="str">
        <f t="shared" si="38"/>
        <v>Período 1</v>
      </c>
      <c r="B2455">
        <v>57897</v>
      </c>
      <c r="C2455" t="s">
        <v>1730</v>
      </c>
      <c r="D2455" t="s">
        <v>6851</v>
      </c>
      <c r="E2455" s="3" t="str">
        <f>IF(LEN(Base_Periodo1[[#This Row],[CLASS]])&gt;=7,LEFT(Base_Periodo1[[#This Row],[CLASS]],7),"")</f>
        <v>2.1.2.1</v>
      </c>
      <c r="F2455" s="3" t="str">
        <f>VLOOKUP(Base_Periodo1[[#This Row],[Aux]],Base_Contas_Balanco[#All],2,FALSE)</f>
        <v>Fornecedores Cooperados</v>
      </c>
      <c r="G2455" s="1">
        <v>42881</v>
      </c>
      <c r="I2455" s="225">
        <v>12986</v>
      </c>
      <c r="J2455" s="225">
        <v>12986</v>
      </c>
      <c r="K2455" s="225">
        <v>0</v>
      </c>
      <c r="L24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55" s="225">
        <f>ROUND(IF(AND(Base_Periodo1[[#This Row],[Tipo_Linha]]="-",Base_Periodo1[[#This Row],[TIPOSALDO]]="D"),Base_Periodo1[[#This Row],[SALDO_ATUAL]]*-1,Base_Periodo1[[#This Row],[SALDO_ATUAL]]),4)</f>
        <v>0</v>
      </c>
      <c r="N2455" t="s">
        <v>116</v>
      </c>
      <c r="O2455" t="s">
        <v>436</v>
      </c>
      <c r="P2455" t="s">
        <v>436</v>
      </c>
      <c r="Q2455">
        <v>7</v>
      </c>
      <c r="R2455" s="225">
        <f>Base_Periodo1[[#This Row],[CREDITOS]]-Base_Periodo1[[#This Row],[DEBITOS]]</f>
        <v>0</v>
      </c>
      <c r="S2455" s="3" t="str">
        <f>IF(ISERROR(VLOOKUP(Base_Periodo1[[#This Row],[CONTA]],BaseContasDRE[#All],4,FALSE)),"Fora do DRE",VLOOKUP(Base_Periodo1[[#This Row],[CONTA]],BaseContasDRE[#All],4,FALSE))</f>
        <v>Fora do DRE</v>
      </c>
      <c r="T2455" s="3" t="str">
        <f>IF(ISERROR(VLOOKUP(Base_Periodo1[[#This Row],[CONTA]],BaseContasDRE[#All],5,FALSE)),"Fora do DRE",VLOOKUP(Base_Periodo1[[#This Row],[CONTA]],BaseContasDRE[#All],6,FALSE))</f>
        <v>Fora do DRE</v>
      </c>
      <c r="U2455" s="3" t="str">
        <f>IF(ISERROR(VLOOKUP(Base_Periodo1[[#This Row],[CONTA]],BaseContasDRE[#All],7,FALSE)),"Fora do DRE",VLOOKUP(Base_Periodo1[[#This Row],[CONTA]],BaseContasDRE[#All],7,FALSE))</f>
        <v>Fora do DRE</v>
      </c>
      <c r="V2455" s="3" t="str">
        <f>IF(Base_Periodo1[[#This Row],[Tipo_Linha]]="Fora do DRE","Fora do DRE","( "&amp;Base_Periodo1[[#This Row],[Tipo_Linha]]&amp;" ) "&amp;Base_Periodo1[[#This Row],[Filtro]])</f>
        <v>Fora do DRE</v>
      </c>
      <c r="W2455" s="3" t="str">
        <f>LEFT(Base_Periodo1[[#This Row],[CLASS]],3)</f>
        <v>2.1</v>
      </c>
    </row>
    <row r="2456" spans="1:23" hidden="1">
      <c r="A2456" s="3" t="str">
        <f t="shared" si="38"/>
        <v>Período 1</v>
      </c>
      <c r="B2456">
        <v>2993</v>
      </c>
      <c r="C2456" t="s">
        <v>1730</v>
      </c>
      <c r="D2456" t="s">
        <v>5149</v>
      </c>
      <c r="E2456" s="3" t="str">
        <f>IF(LEN(Base_Periodo1[[#This Row],[CLASS]])&gt;=7,LEFT(Base_Periodo1[[#This Row],[CLASS]],7),"")</f>
        <v>2.1.2.1</v>
      </c>
      <c r="F2456" s="3" t="str">
        <f>VLOOKUP(Base_Periodo1[[#This Row],[Aux]],Base_Contas_Balanco[#All],2,FALSE)</f>
        <v>Fornecedores Cooperados</v>
      </c>
      <c r="G2456" s="1">
        <v>42884</v>
      </c>
      <c r="I2456" s="225">
        <v>15000</v>
      </c>
      <c r="J2456" s="225">
        <v>15000</v>
      </c>
      <c r="K2456" s="225">
        <v>-2.3283064365386963E-10</v>
      </c>
      <c r="L24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56" s="225">
        <f>ROUND(IF(AND(Base_Periodo1[[#This Row],[Tipo_Linha]]="-",Base_Periodo1[[#This Row],[TIPOSALDO]]="D"),Base_Periodo1[[#This Row],[SALDO_ATUAL]]*-1,Base_Periodo1[[#This Row],[SALDO_ATUAL]]),4)</f>
        <v>0</v>
      </c>
      <c r="N2456" t="s">
        <v>116</v>
      </c>
      <c r="O2456" t="s">
        <v>436</v>
      </c>
      <c r="P2456" t="s">
        <v>436</v>
      </c>
      <c r="Q2456">
        <v>7</v>
      </c>
      <c r="R2456" s="225">
        <f>Base_Periodo1[[#This Row],[CREDITOS]]-Base_Periodo1[[#This Row],[DEBITOS]]</f>
        <v>0</v>
      </c>
      <c r="S2456" s="3" t="str">
        <f>IF(ISERROR(VLOOKUP(Base_Periodo1[[#This Row],[CONTA]],BaseContasDRE[#All],4,FALSE)),"Fora do DRE",VLOOKUP(Base_Periodo1[[#This Row],[CONTA]],BaseContasDRE[#All],4,FALSE))</f>
        <v>Fora do DRE</v>
      </c>
      <c r="T2456" s="3" t="str">
        <f>IF(ISERROR(VLOOKUP(Base_Periodo1[[#This Row],[CONTA]],BaseContasDRE[#All],5,FALSE)),"Fora do DRE",VLOOKUP(Base_Periodo1[[#This Row],[CONTA]],BaseContasDRE[#All],6,FALSE))</f>
        <v>Fora do DRE</v>
      </c>
      <c r="U2456" s="3" t="str">
        <f>IF(ISERROR(VLOOKUP(Base_Periodo1[[#This Row],[CONTA]],BaseContasDRE[#All],7,FALSE)),"Fora do DRE",VLOOKUP(Base_Periodo1[[#This Row],[CONTA]],BaseContasDRE[#All],7,FALSE))</f>
        <v>Fora do DRE</v>
      </c>
      <c r="V2456" s="3" t="str">
        <f>IF(Base_Periodo1[[#This Row],[Tipo_Linha]]="Fora do DRE","Fora do DRE","( "&amp;Base_Periodo1[[#This Row],[Tipo_Linha]]&amp;" ) "&amp;Base_Periodo1[[#This Row],[Filtro]])</f>
        <v>Fora do DRE</v>
      </c>
      <c r="W2456" s="3" t="str">
        <f>LEFT(Base_Periodo1[[#This Row],[CLASS]],3)</f>
        <v>2.1</v>
      </c>
    </row>
    <row r="2457" spans="1:23" hidden="1">
      <c r="A2457" s="3" t="str">
        <f t="shared" si="38"/>
        <v>Período 1</v>
      </c>
      <c r="B2457">
        <v>46941</v>
      </c>
      <c r="C2457" t="s">
        <v>1730</v>
      </c>
      <c r="D2457" t="s">
        <v>6852</v>
      </c>
      <c r="E2457" s="3" t="str">
        <f>IF(LEN(Base_Periodo1[[#This Row],[CLASS]])&gt;=7,LEFT(Base_Periodo1[[#This Row],[CLASS]],7),"")</f>
        <v>2.1.2.1</v>
      </c>
      <c r="F2457" s="3" t="str">
        <f>VLOOKUP(Base_Periodo1[[#This Row],[Aux]],Base_Contas_Balanco[#All],2,FALSE)</f>
        <v>Fornecedores Cooperados</v>
      </c>
      <c r="G2457" s="1">
        <v>42886</v>
      </c>
      <c r="I2457" s="225">
        <v>16863.47</v>
      </c>
      <c r="J2457" s="225">
        <v>16863.47</v>
      </c>
      <c r="K2457" s="225">
        <v>2.9103830456733704E-11</v>
      </c>
      <c r="L24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57" s="225">
        <f>ROUND(IF(AND(Base_Periodo1[[#This Row],[Tipo_Linha]]="-",Base_Periodo1[[#This Row],[TIPOSALDO]]="D"),Base_Periodo1[[#This Row],[SALDO_ATUAL]]*-1,Base_Periodo1[[#This Row],[SALDO_ATUAL]]),4)</f>
        <v>0</v>
      </c>
      <c r="N2457" t="s">
        <v>116</v>
      </c>
      <c r="O2457" t="s">
        <v>436</v>
      </c>
      <c r="P2457" t="s">
        <v>436</v>
      </c>
      <c r="Q2457">
        <v>7</v>
      </c>
      <c r="R2457" s="225">
        <f>Base_Periodo1[[#This Row],[CREDITOS]]-Base_Periodo1[[#This Row],[DEBITOS]]</f>
        <v>0</v>
      </c>
      <c r="S2457" s="3" t="str">
        <f>IF(ISERROR(VLOOKUP(Base_Periodo1[[#This Row],[CONTA]],BaseContasDRE[#All],4,FALSE)),"Fora do DRE",VLOOKUP(Base_Periodo1[[#This Row],[CONTA]],BaseContasDRE[#All],4,FALSE))</f>
        <v>Fora do DRE</v>
      </c>
      <c r="T2457" s="3" t="str">
        <f>IF(ISERROR(VLOOKUP(Base_Periodo1[[#This Row],[CONTA]],BaseContasDRE[#All],5,FALSE)),"Fora do DRE",VLOOKUP(Base_Periodo1[[#This Row],[CONTA]],BaseContasDRE[#All],6,FALSE))</f>
        <v>Fora do DRE</v>
      </c>
      <c r="U2457" s="3" t="str">
        <f>IF(ISERROR(VLOOKUP(Base_Periodo1[[#This Row],[CONTA]],BaseContasDRE[#All],7,FALSE)),"Fora do DRE",VLOOKUP(Base_Periodo1[[#This Row],[CONTA]],BaseContasDRE[#All],7,FALSE))</f>
        <v>Fora do DRE</v>
      </c>
      <c r="V2457" s="3" t="str">
        <f>IF(Base_Periodo1[[#This Row],[Tipo_Linha]]="Fora do DRE","Fora do DRE","( "&amp;Base_Periodo1[[#This Row],[Tipo_Linha]]&amp;" ) "&amp;Base_Periodo1[[#This Row],[Filtro]])</f>
        <v>Fora do DRE</v>
      </c>
      <c r="W2457" s="3" t="str">
        <f>LEFT(Base_Periodo1[[#This Row],[CLASS]],3)</f>
        <v>2.1</v>
      </c>
    </row>
    <row r="2458" spans="1:23" hidden="1">
      <c r="A2458" s="3" t="str">
        <f t="shared" si="38"/>
        <v>Período 1</v>
      </c>
      <c r="B2458">
        <v>20338</v>
      </c>
      <c r="C2458" t="s">
        <v>1730</v>
      </c>
      <c r="D2458" t="s">
        <v>4243</v>
      </c>
      <c r="E2458" s="3" t="str">
        <f>IF(LEN(Base_Periodo1[[#This Row],[CLASS]])&gt;=7,LEFT(Base_Periodo1[[#This Row],[CLASS]],7),"")</f>
        <v>2.1.2.1</v>
      </c>
      <c r="F2458" s="3" t="str">
        <f>VLOOKUP(Base_Periodo1[[#This Row],[Aux]],Base_Contas_Balanco[#All],2,FALSE)</f>
        <v>Fornecedores Cooperados</v>
      </c>
      <c r="G2458" s="1">
        <v>42885</v>
      </c>
      <c r="H2458" s="225">
        <v>5471.2000000000698</v>
      </c>
      <c r="I2458" s="225">
        <v>19513.97</v>
      </c>
      <c r="J2458" s="225">
        <v>14042.77</v>
      </c>
      <c r="K2458" s="225">
        <v>-6.9121597334742546E-11</v>
      </c>
      <c r="L24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58" s="225">
        <f>ROUND(IF(AND(Base_Periodo1[[#This Row],[Tipo_Linha]]="-",Base_Periodo1[[#This Row],[TIPOSALDO]]="D"),Base_Periodo1[[#This Row],[SALDO_ATUAL]]*-1,Base_Periodo1[[#This Row],[SALDO_ATUAL]]),4)</f>
        <v>0</v>
      </c>
      <c r="N2458" t="s">
        <v>116</v>
      </c>
      <c r="O2458" t="s">
        <v>459</v>
      </c>
      <c r="P2458" t="s">
        <v>436</v>
      </c>
      <c r="Q2458">
        <v>7</v>
      </c>
      <c r="R2458" s="225">
        <f>Base_Periodo1[[#This Row],[CREDITOS]]-Base_Periodo1[[#This Row],[DEBITOS]]</f>
        <v>-5471.2000000000007</v>
      </c>
      <c r="S2458" s="3" t="str">
        <f>IF(ISERROR(VLOOKUP(Base_Periodo1[[#This Row],[CONTA]],BaseContasDRE[#All],4,FALSE)),"Fora do DRE",VLOOKUP(Base_Periodo1[[#This Row],[CONTA]],BaseContasDRE[#All],4,FALSE))</f>
        <v>Fora do DRE</v>
      </c>
      <c r="T2458" s="3" t="str">
        <f>IF(ISERROR(VLOOKUP(Base_Periodo1[[#This Row],[CONTA]],BaseContasDRE[#All],5,FALSE)),"Fora do DRE",VLOOKUP(Base_Periodo1[[#This Row],[CONTA]],BaseContasDRE[#All],6,FALSE))</f>
        <v>Fora do DRE</v>
      </c>
      <c r="U2458" s="3" t="str">
        <f>IF(ISERROR(VLOOKUP(Base_Periodo1[[#This Row],[CONTA]],BaseContasDRE[#All],7,FALSE)),"Fora do DRE",VLOOKUP(Base_Periodo1[[#This Row],[CONTA]],BaseContasDRE[#All],7,FALSE))</f>
        <v>Fora do DRE</v>
      </c>
      <c r="V2458" s="3" t="str">
        <f>IF(Base_Periodo1[[#This Row],[Tipo_Linha]]="Fora do DRE","Fora do DRE","( "&amp;Base_Periodo1[[#This Row],[Tipo_Linha]]&amp;" ) "&amp;Base_Periodo1[[#This Row],[Filtro]])</f>
        <v>Fora do DRE</v>
      </c>
      <c r="W2458" s="3" t="str">
        <f>LEFT(Base_Periodo1[[#This Row],[CLASS]],3)</f>
        <v>2.1</v>
      </c>
    </row>
    <row r="2459" spans="1:23" hidden="1">
      <c r="A2459" s="3" t="str">
        <f t="shared" si="38"/>
        <v>Período 1</v>
      </c>
      <c r="B2459">
        <v>3841</v>
      </c>
      <c r="C2459" t="s">
        <v>1730</v>
      </c>
      <c r="D2459" t="s">
        <v>732</v>
      </c>
      <c r="E2459" s="3" t="str">
        <f>IF(LEN(Base_Periodo1[[#This Row],[CLASS]])&gt;=7,LEFT(Base_Periodo1[[#This Row],[CLASS]],7),"")</f>
        <v>2.1.2.1</v>
      </c>
      <c r="F2459" s="3" t="str">
        <f>VLOOKUP(Base_Periodo1[[#This Row],[Aux]],Base_Contas_Balanco[#All],2,FALSE)</f>
        <v>Fornecedores Cooperados</v>
      </c>
      <c r="G2459" s="1">
        <v>42878</v>
      </c>
      <c r="I2459" s="225">
        <v>0</v>
      </c>
      <c r="J2459" s="225">
        <v>337.46</v>
      </c>
      <c r="K2459" s="225">
        <v>337.46000000011639</v>
      </c>
      <c r="L24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337.46</v>
      </c>
      <c r="M2459" s="225">
        <f>ROUND(IF(AND(Base_Periodo1[[#This Row],[Tipo_Linha]]="-",Base_Periodo1[[#This Row],[TIPOSALDO]]="D"),Base_Periodo1[[#This Row],[SALDO_ATUAL]]*-1,Base_Periodo1[[#This Row],[SALDO_ATUAL]]),4)</f>
        <v>337.46</v>
      </c>
      <c r="N2459" t="s">
        <v>116</v>
      </c>
      <c r="O2459" t="s">
        <v>436</v>
      </c>
      <c r="P2459" t="s">
        <v>459</v>
      </c>
      <c r="Q2459">
        <v>7</v>
      </c>
      <c r="R2459" s="225">
        <f>Base_Periodo1[[#This Row],[CREDITOS]]-Base_Periodo1[[#This Row],[DEBITOS]]</f>
        <v>337.46</v>
      </c>
      <c r="S2459" s="3" t="str">
        <f>IF(ISERROR(VLOOKUP(Base_Periodo1[[#This Row],[CONTA]],BaseContasDRE[#All],4,FALSE)),"Fora do DRE",VLOOKUP(Base_Periodo1[[#This Row],[CONTA]],BaseContasDRE[#All],4,FALSE))</f>
        <v>Fora do DRE</v>
      </c>
      <c r="T2459" s="3" t="str">
        <f>IF(ISERROR(VLOOKUP(Base_Periodo1[[#This Row],[CONTA]],BaseContasDRE[#All],5,FALSE)),"Fora do DRE",VLOOKUP(Base_Periodo1[[#This Row],[CONTA]],BaseContasDRE[#All],6,FALSE))</f>
        <v>Fora do DRE</v>
      </c>
      <c r="U2459" s="3" t="str">
        <f>IF(ISERROR(VLOOKUP(Base_Periodo1[[#This Row],[CONTA]],BaseContasDRE[#All],7,FALSE)),"Fora do DRE",VLOOKUP(Base_Periodo1[[#This Row],[CONTA]],BaseContasDRE[#All],7,FALSE))</f>
        <v>Fora do DRE</v>
      </c>
      <c r="V2459" s="3" t="str">
        <f>IF(Base_Periodo1[[#This Row],[Tipo_Linha]]="Fora do DRE","Fora do DRE","( "&amp;Base_Periodo1[[#This Row],[Tipo_Linha]]&amp;" ) "&amp;Base_Periodo1[[#This Row],[Filtro]])</f>
        <v>Fora do DRE</v>
      </c>
      <c r="W2459" s="3" t="str">
        <f>LEFT(Base_Periodo1[[#This Row],[CLASS]],3)</f>
        <v>2.1</v>
      </c>
    </row>
    <row r="2460" spans="1:23" hidden="1">
      <c r="A2460" s="3" t="str">
        <f t="shared" si="38"/>
        <v>Período 1</v>
      </c>
      <c r="B2460">
        <v>3777</v>
      </c>
      <c r="C2460" t="s">
        <v>1730</v>
      </c>
      <c r="D2460" t="s">
        <v>733</v>
      </c>
      <c r="E2460" s="3" t="str">
        <f>IF(LEN(Base_Periodo1[[#This Row],[CLASS]])&gt;=7,LEFT(Base_Periodo1[[#This Row],[CLASS]],7),"")</f>
        <v>2.1.2.1</v>
      </c>
      <c r="F2460" s="3" t="str">
        <f>VLOOKUP(Base_Periodo1[[#This Row],[Aux]],Base_Contas_Balanco[#All],2,FALSE)</f>
        <v>Fornecedores Cooperados</v>
      </c>
      <c r="G2460" s="1">
        <v>42884</v>
      </c>
      <c r="I2460" s="225">
        <v>318221.02999999991</v>
      </c>
      <c r="J2460" s="225">
        <v>318221.02999999997</v>
      </c>
      <c r="K2460" s="225">
        <v>-1.9208528101444244E-9</v>
      </c>
      <c r="L24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60" s="225">
        <f>ROUND(IF(AND(Base_Periodo1[[#This Row],[Tipo_Linha]]="-",Base_Periodo1[[#This Row],[TIPOSALDO]]="D"),Base_Periodo1[[#This Row],[SALDO_ATUAL]]*-1,Base_Periodo1[[#This Row],[SALDO_ATUAL]]),4)</f>
        <v>0</v>
      </c>
      <c r="N2460" t="s">
        <v>116</v>
      </c>
      <c r="O2460" t="s">
        <v>436</v>
      </c>
      <c r="P2460" t="s">
        <v>436</v>
      </c>
      <c r="Q2460">
        <v>7</v>
      </c>
      <c r="R2460" s="225">
        <f>Base_Periodo1[[#This Row],[CREDITOS]]-Base_Periodo1[[#This Row],[DEBITOS]]</f>
        <v>0</v>
      </c>
      <c r="S2460" s="3" t="str">
        <f>IF(ISERROR(VLOOKUP(Base_Periodo1[[#This Row],[CONTA]],BaseContasDRE[#All],4,FALSE)),"Fora do DRE",VLOOKUP(Base_Periodo1[[#This Row],[CONTA]],BaseContasDRE[#All],4,FALSE))</f>
        <v>Fora do DRE</v>
      </c>
      <c r="T2460" s="3" t="str">
        <f>IF(ISERROR(VLOOKUP(Base_Periodo1[[#This Row],[CONTA]],BaseContasDRE[#All],5,FALSE)),"Fora do DRE",VLOOKUP(Base_Periodo1[[#This Row],[CONTA]],BaseContasDRE[#All],6,FALSE))</f>
        <v>Fora do DRE</v>
      </c>
      <c r="U2460" s="3" t="str">
        <f>IF(ISERROR(VLOOKUP(Base_Periodo1[[#This Row],[CONTA]],BaseContasDRE[#All],7,FALSE)),"Fora do DRE",VLOOKUP(Base_Periodo1[[#This Row],[CONTA]],BaseContasDRE[#All],7,FALSE))</f>
        <v>Fora do DRE</v>
      </c>
      <c r="V2460" s="3" t="str">
        <f>IF(Base_Periodo1[[#This Row],[Tipo_Linha]]="Fora do DRE","Fora do DRE","( "&amp;Base_Periodo1[[#This Row],[Tipo_Linha]]&amp;" ) "&amp;Base_Periodo1[[#This Row],[Filtro]])</f>
        <v>Fora do DRE</v>
      </c>
      <c r="W2460" s="3" t="str">
        <f>LEFT(Base_Periodo1[[#This Row],[CLASS]],3)</f>
        <v>2.1</v>
      </c>
    </row>
    <row r="2461" spans="1:23" hidden="1">
      <c r="A2461" s="3" t="str">
        <f t="shared" si="38"/>
        <v>Período 1</v>
      </c>
      <c r="B2461">
        <v>28360</v>
      </c>
      <c r="C2461" t="s">
        <v>1730</v>
      </c>
      <c r="D2461" t="s">
        <v>6853</v>
      </c>
      <c r="E2461" s="3" t="str">
        <f>IF(LEN(Base_Periodo1[[#This Row],[CLASS]])&gt;=7,LEFT(Base_Periodo1[[#This Row],[CLASS]],7),"")</f>
        <v>2.1.2.1</v>
      </c>
      <c r="F2461" s="3" t="str">
        <f>VLOOKUP(Base_Periodo1[[#This Row],[Aux]],Base_Contas_Balanco[#All],2,FALSE)</f>
        <v>Fornecedores Cooperados</v>
      </c>
      <c r="G2461" s="1">
        <v>42857</v>
      </c>
      <c r="I2461" s="225">
        <v>2673</v>
      </c>
      <c r="J2461" s="225">
        <v>2673</v>
      </c>
      <c r="K2461" s="225">
        <v>-1.4551915228366852E-11</v>
      </c>
      <c r="L24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61" s="225">
        <f>ROUND(IF(AND(Base_Periodo1[[#This Row],[Tipo_Linha]]="-",Base_Periodo1[[#This Row],[TIPOSALDO]]="D"),Base_Periodo1[[#This Row],[SALDO_ATUAL]]*-1,Base_Periodo1[[#This Row],[SALDO_ATUAL]]),4)</f>
        <v>0</v>
      </c>
      <c r="N2461" t="s">
        <v>116</v>
      </c>
      <c r="O2461" t="s">
        <v>436</v>
      </c>
      <c r="P2461" t="s">
        <v>436</v>
      </c>
      <c r="Q2461">
        <v>7</v>
      </c>
      <c r="R2461" s="225">
        <f>Base_Periodo1[[#This Row],[CREDITOS]]-Base_Periodo1[[#This Row],[DEBITOS]]</f>
        <v>0</v>
      </c>
      <c r="S2461" s="3" t="str">
        <f>IF(ISERROR(VLOOKUP(Base_Periodo1[[#This Row],[CONTA]],BaseContasDRE[#All],4,FALSE)),"Fora do DRE",VLOOKUP(Base_Periodo1[[#This Row],[CONTA]],BaseContasDRE[#All],4,FALSE))</f>
        <v>Fora do DRE</v>
      </c>
      <c r="T2461" s="3" t="str">
        <f>IF(ISERROR(VLOOKUP(Base_Periodo1[[#This Row],[CONTA]],BaseContasDRE[#All],5,FALSE)),"Fora do DRE",VLOOKUP(Base_Periodo1[[#This Row],[CONTA]],BaseContasDRE[#All],6,FALSE))</f>
        <v>Fora do DRE</v>
      </c>
      <c r="U2461" s="3" t="str">
        <f>IF(ISERROR(VLOOKUP(Base_Periodo1[[#This Row],[CONTA]],BaseContasDRE[#All],7,FALSE)),"Fora do DRE",VLOOKUP(Base_Periodo1[[#This Row],[CONTA]],BaseContasDRE[#All],7,FALSE))</f>
        <v>Fora do DRE</v>
      </c>
      <c r="V2461" s="3" t="str">
        <f>IF(Base_Periodo1[[#This Row],[Tipo_Linha]]="Fora do DRE","Fora do DRE","( "&amp;Base_Periodo1[[#This Row],[Tipo_Linha]]&amp;" ) "&amp;Base_Periodo1[[#This Row],[Filtro]])</f>
        <v>Fora do DRE</v>
      </c>
      <c r="W2461" s="3" t="str">
        <f>LEFT(Base_Periodo1[[#This Row],[CLASS]],3)</f>
        <v>2.1</v>
      </c>
    </row>
    <row r="2462" spans="1:23" hidden="1">
      <c r="A2462" s="3" t="str">
        <f t="shared" si="38"/>
        <v>Período 1</v>
      </c>
      <c r="B2462">
        <v>27229</v>
      </c>
      <c r="C2462" t="s">
        <v>1730</v>
      </c>
      <c r="D2462" t="s">
        <v>734</v>
      </c>
      <c r="E2462" s="3" t="str">
        <f>IF(LEN(Base_Periodo1[[#This Row],[CLASS]])&gt;=7,LEFT(Base_Periodo1[[#This Row],[CLASS]],7),"")</f>
        <v>2.1.2.1</v>
      </c>
      <c r="F2462" s="3" t="str">
        <f>VLOOKUP(Base_Periodo1[[#This Row],[Aux]],Base_Contas_Balanco[#All],2,FALSE)</f>
        <v>Fornecedores Cooperados</v>
      </c>
      <c r="G2462" s="1">
        <v>42753</v>
      </c>
      <c r="H2462" s="225">
        <v>121.57999999999811</v>
      </c>
      <c r="I2462" s="225">
        <v>0</v>
      </c>
      <c r="J2462" s="225">
        <v>0</v>
      </c>
      <c r="K2462" s="225">
        <v>121.57999999999811</v>
      </c>
      <c r="L24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121.58</v>
      </c>
      <c r="M2462" s="225">
        <f>ROUND(IF(AND(Base_Periodo1[[#This Row],[Tipo_Linha]]="-",Base_Periodo1[[#This Row],[TIPOSALDO]]="D"),Base_Periodo1[[#This Row],[SALDO_ATUAL]]*-1,Base_Periodo1[[#This Row],[SALDO_ATUAL]]),4)</f>
        <v>121.58</v>
      </c>
      <c r="N2462" t="s">
        <v>116</v>
      </c>
      <c r="O2462" t="s">
        <v>459</v>
      </c>
      <c r="P2462" t="s">
        <v>459</v>
      </c>
      <c r="Q2462">
        <v>7</v>
      </c>
      <c r="R2462" s="225">
        <f>Base_Periodo1[[#This Row],[CREDITOS]]-Base_Periodo1[[#This Row],[DEBITOS]]</f>
        <v>0</v>
      </c>
      <c r="S2462" s="3" t="str">
        <f>IF(ISERROR(VLOOKUP(Base_Periodo1[[#This Row],[CONTA]],BaseContasDRE[#All],4,FALSE)),"Fora do DRE",VLOOKUP(Base_Periodo1[[#This Row],[CONTA]],BaseContasDRE[#All],4,FALSE))</f>
        <v>Fora do DRE</v>
      </c>
      <c r="T2462" s="3" t="str">
        <f>IF(ISERROR(VLOOKUP(Base_Periodo1[[#This Row],[CONTA]],BaseContasDRE[#All],5,FALSE)),"Fora do DRE",VLOOKUP(Base_Periodo1[[#This Row],[CONTA]],BaseContasDRE[#All],6,FALSE))</f>
        <v>Fora do DRE</v>
      </c>
      <c r="U2462" s="3" t="str">
        <f>IF(ISERROR(VLOOKUP(Base_Periodo1[[#This Row],[CONTA]],BaseContasDRE[#All],7,FALSE)),"Fora do DRE",VLOOKUP(Base_Periodo1[[#This Row],[CONTA]],BaseContasDRE[#All],7,FALSE))</f>
        <v>Fora do DRE</v>
      </c>
      <c r="V2462" s="3" t="str">
        <f>IF(Base_Periodo1[[#This Row],[Tipo_Linha]]="Fora do DRE","Fora do DRE","( "&amp;Base_Periodo1[[#This Row],[Tipo_Linha]]&amp;" ) "&amp;Base_Periodo1[[#This Row],[Filtro]])</f>
        <v>Fora do DRE</v>
      </c>
      <c r="W2462" s="3" t="str">
        <f>LEFT(Base_Periodo1[[#This Row],[CLASS]],3)</f>
        <v>2.1</v>
      </c>
    </row>
    <row r="2463" spans="1:23" hidden="1">
      <c r="A2463" s="3" t="str">
        <f t="shared" si="38"/>
        <v>Período 1</v>
      </c>
      <c r="B2463">
        <v>36011</v>
      </c>
      <c r="C2463" t="s">
        <v>1730</v>
      </c>
      <c r="D2463" t="s">
        <v>5151</v>
      </c>
      <c r="E2463" s="3" t="str">
        <f>IF(LEN(Base_Periodo1[[#This Row],[CLASS]])&gt;=7,LEFT(Base_Periodo1[[#This Row],[CLASS]],7),"")</f>
        <v>2.1.2.1</v>
      </c>
      <c r="F2463" s="3" t="str">
        <f>VLOOKUP(Base_Periodo1[[#This Row],[Aux]],Base_Contas_Balanco[#All],2,FALSE)</f>
        <v>Fornecedores Cooperados</v>
      </c>
      <c r="G2463" s="1">
        <v>42867</v>
      </c>
      <c r="H2463" s="225">
        <v>2.7499999999854481</v>
      </c>
      <c r="I2463" s="225">
        <v>737.15</v>
      </c>
      <c r="J2463" s="225">
        <v>734.4</v>
      </c>
      <c r="K2463" s="225">
        <v>1.4551915228366852E-11</v>
      </c>
      <c r="L24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63" s="225">
        <f>ROUND(IF(AND(Base_Periodo1[[#This Row],[Tipo_Linha]]="-",Base_Periodo1[[#This Row],[TIPOSALDO]]="D"),Base_Periodo1[[#This Row],[SALDO_ATUAL]]*-1,Base_Periodo1[[#This Row],[SALDO_ATUAL]]),4)</f>
        <v>0</v>
      </c>
      <c r="N2463" t="s">
        <v>116</v>
      </c>
      <c r="O2463" t="s">
        <v>459</v>
      </c>
      <c r="P2463" t="s">
        <v>436</v>
      </c>
      <c r="Q2463">
        <v>7</v>
      </c>
      <c r="R2463" s="225">
        <f>Base_Periodo1[[#This Row],[CREDITOS]]-Base_Periodo1[[#This Row],[DEBITOS]]</f>
        <v>-2.75</v>
      </c>
      <c r="S2463" s="3" t="str">
        <f>IF(ISERROR(VLOOKUP(Base_Periodo1[[#This Row],[CONTA]],BaseContasDRE[#All],4,FALSE)),"Fora do DRE",VLOOKUP(Base_Periodo1[[#This Row],[CONTA]],BaseContasDRE[#All],4,FALSE))</f>
        <v>Fora do DRE</v>
      </c>
      <c r="T2463" s="3" t="str">
        <f>IF(ISERROR(VLOOKUP(Base_Periodo1[[#This Row],[CONTA]],BaseContasDRE[#All],5,FALSE)),"Fora do DRE",VLOOKUP(Base_Periodo1[[#This Row],[CONTA]],BaseContasDRE[#All],6,FALSE))</f>
        <v>Fora do DRE</v>
      </c>
      <c r="U2463" s="3" t="str">
        <f>IF(ISERROR(VLOOKUP(Base_Periodo1[[#This Row],[CONTA]],BaseContasDRE[#All],7,FALSE)),"Fora do DRE",VLOOKUP(Base_Periodo1[[#This Row],[CONTA]],BaseContasDRE[#All],7,FALSE))</f>
        <v>Fora do DRE</v>
      </c>
      <c r="V2463" s="3" t="str">
        <f>IF(Base_Periodo1[[#This Row],[Tipo_Linha]]="Fora do DRE","Fora do DRE","( "&amp;Base_Periodo1[[#This Row],[Tipo_Linha]]&amp;" ) "&amp;Base_Periodo1[[#This Row],[Filtro]])</f>
        <v>Fora do DRE</v>
      </c>
      <c r="W2463" s="3" t="str">
        <f>LEFT(Base_Periodo1[[#This Row],[CLASS]],3)</f>
        <v>2.1</v>
      </c>
    </row>
    <row r="2464" spans="1:23" hidden="1">
      <c r="A2464" s="3" t="str">
        <f t="shared" si="38"/>
        <v>Período 1</v>
      </c>
      <c r="B2464">
        <v>53104</v>
      </c>
      <c r="C2464" t="s">
        <v>1730</v>
      </c>
      <c r="D2464" t="s">
        <v>4817</v>
      </c>
      <c r="E2464" s="3" t="str">
        <f>IF(LEN(Base_Periodo1[[#This Row],[CLASS]])&gt;=7,LEFT(Base_Periodo1[[#This Row],[CLASS]],7),"")</f>
        <v>2.1.2.1</v>
      </c>
      <c r="F2464" s="3" t="str">
        <f>VLOOKUP(Base_Periodo1[[#This Row],[Aux]],Base_Contas_Balanco[#All],2,FALSE)</f>
        <v>Fornecedores Cooperados</v>
      </c>
      <c r="G2464" s="1">
        <v>42877</v>
      </c>
      <c r="I2464" s="225">
        <v>6090</v>
      </c>
      <c r="J2464" s="225">
        <v>6090</v>
      </c>
      <c r="K2464" s="225">
        <v>2.9103830456733704E-11</v>
      </c>
      <c r="L24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64" s="225">
        <f>ROUND(IF(AND(Base_Periodo1[[#This Row],[Tipo_Linha]]="-",Base_Periodo1[[#This Row],[TIPOSALDO]]="D"),Base_Periodo1[[#This Row],[SALDO_ATUAL]]*-1,Base_Periodo1[[#This Row],[SALDO_ATUAL]]),4)</f>
        <v>0</v>
      </c>
      <c r="N2464" t="s">
        <v>116</v>
      </c>
      <c r="O2464" t="s">
        <v>436</v>
      </c>
      <c r="P2464" t="s">
        <v>436</v>
      </c>
      <c r="Q2464">
        <v>7</v>
      </c>
      <c r="R2464" s="225">
        <f>Base_Periodo1[[#This Row],[CREDITOS]]-Base_Periodo1[[#This Row],[DEBITOS]]</f>
        <v>0</v>
      </c>
      <c r="S2464" s="3" t="str">
        <f>IF(ISERROR(VLOOKUP(Base_Periodo1[[#This Row],[CONTA]],BaseContasDRE[#All],4,FALSE)),"Fora do DRE",VLOOKUP(Base_Periodo1[[#This Row],[CONTA]],BaseContasDRE[#All],4,FALSE))</f>
        <v>Fora do DRE</v>
      </c>
      <c r="T2464" s="3" t="str">
        <f>IF(ISERROR(VLOOKUP(Base_Periodo1[[#This Row],[CONTA]],BaseContasDRE[#All],5,FALSE)),"Fora do DRE",VLOOKUP(Base_Periodo1[[#This Row],[CONTA]],BaseContasDRE[#All],6,FALSE))</f>
        <v>Fora do DRE</v>
      </c>
      <c r="U2464" s="3" t="str">
        <f>IF(ISERROR(VLOOKUP(Base_Periodo1[[#This Row],[CONTA]],BaseContasDRE[#All],7,FALSE)),"Fora do DRE",VLOOKUP(Base_Periodo1[[#This Row],[CONTA]],BaseContasDRE[#All],7,FALSE))</f>
        <v>Fora do DRE</v>
      </c>
      <c r="V2464" s="3" t="str">
        <f>IF(Base_Periodo1[[#This Row],[Tipo_Linha]]="Fora do DRE","Fora do DRE","( "&amp;Base_Periodo1[[#This Row],[Tipo_Linha]]&amp;" ) "&amp;Base_Periodo1[[#This Row],[Filtro]])</f>
        <v>Fora do DRE</v>
      </c>
      <c r="W2464" s="3" t="str">
        <f>LEFT(Base_Periodo1[[#This Row],[CLASS]],3)</f>
        <v>2.1</v>
      </c>
    </row>
    <row r="2465" spans="1:23" hidden="1">
      <c r="A2465" s="3" t="str">
        <f t="shared" si="38"/>
        <v>Período 1</v>
      </c>
      <c r="B2465">
        <v>3501</v>
      </c>
      <c r="C2465" t="s">
        <v>1730</v>
      </c>
      <c r="D2465" t="s">
        <v>737</v>
      </c>
      <c r="E2465" s="3" t="str">
        <f>IF(LEN(Base_Periodo1[[#This Row],[CLASS]])&gt;=7,LEFT(Base_Periodo1[[#This Row],[CLASS]],7),"")</f>
        <v>2.1.2.1</v>
      </c>
      <c r="F2465" s="3" t="str">
        <f>VLOOKUP(Base_Periodo1[[#This Row],[Aux]],Base_Contas_Balanco[#All],2,FALSE)</f>
        <v>Fornecedores Cooperados</v>
      </c>
      <c r="G2465" s="1">
        <v>42871</v>
      </c>
      <c r="I2465" s="225">
        <v>1102600</v>
      </c>
      <c r="J2465" s="225">
        <v>1102600</v>
      </c>
      <c r="K2465" s="225">
        <v>-1.862645149230957E-9</v>
      </c>
      <c r="L24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65" s="225">
        <f>ROUND(IF(AND(Base_Periodo1[[#This Row],[Tipo_Linha]]="-",Base_Periodo1[[#This Row],[TIPOSALDO]]="D"),Base_Periodo1[[#This Row],[SALDO_ATUAL]]*-1,Base_Periodo1[[#This Row],[SALDO_ATUAL]]),4)</f>
        <v>0</v>
      </c>
      <c r="N2465" t="s">
        <v>116</v>
      </c>
      <c r="O2465" t="s">
        <v>436</v>
      </c>
      <c r="P2465" t="s">
        <v>436</v>
      </c>
      <c r="Q2465">
        <v>7</v>
      </c>
      <c r="R2465" s="225">
        <f>Base_Periodo1[[#This Row],[CREDITOS]]-Base_Periodo1[[#This Row],[DEBITOS]]</f>
        <v>0</v>
      </c>
      <c r="S2465" s="3" t="str">
        <f>IF(ISERROR(VLOOKUP(Base_Periodo1[[#This Row],[CONTA]],BaseContasDRE[#All],4,FALSE)),"Fora do DRE",VLOOKUP(Base_Periodo1[[#This Row],[CONTA]],BaseContasDRE[#All],4,FALSE))</f>
        <v>Fora do DRE</v>
      </c>
      <c r="T2465" s="3" t="str">
        <f>IF(ISERROR(VLOOKUP(Base_Periodo1[[#This Row],[CONTA]],BaseContasDRE[#All],5,FALSE)),"Fora do DRE",VLOOKUP(Base_Periodo1[[#This Row],[CONTA]],BaseContasDRE[#All],6,FALSE))</f>
        <v>Fora do DRE</v>
      </c>
      <c r="U2465" s="3" t="str">
        <f>IF(ISERROR(VLOOKUP(Base_Periodo1[[#This Row],[CONTA]],BaseContasDRE[#All],7,FALSE)),"Fora do DRE",VLOOKUP(Base_Periodo1[[#This Row],[CONTA]],BaseContasDRE[#All],7,FALSE))</f>
        <v>Fora do DRE</v>
      </c>
      <c r="V2465" s="3" t="str">
        <f>IF(Base_Periodo1[[#This Row],[Tipo_Linha]]="Fora do DRE","Fora do DRE","( "&amp;Base_Periodo1[[#This Row],[Tipo_Linha]]&amp;" ) "&amp;Base_Periodo1[[#This Row],[Filtro]])</f>
        <v>Fora do DRE</v>
      </c>
      <c r="W2465" s="3" t="str">
        <f>LEFT(Base_Periodo1[[#This Row],[CLASS]],3)</f>
        <v>2.1</v>
      </c>
    </row>
    <row r="2466" spans="1:23" hidden="1">
      <c r="A2466" s="3" t="str">
        <f t="shared" si="38"/>
        <v>Período 1</v>
      </c>
      <c r="B2466">
        <v>33528</v>
      </c>
      <c r="C2466" t="s">
        <v>1730</v>
      </c>
      <c r="D2466" t="s">
        <v>738</v>
      </c>
      <c r="E2466" s="3" t="str">
        <f>IF(LEN(Base_Periodo1[[#This Row],[CLASS]])&gt;=7,LEFT(Base_Periodo1[[#This Row],[CLASS]],7),"")</f>
        <v>2.1.2.1</v>
      </c>
      <c r="F2466" s="3" t="str">
        <f>VLOOKUP(Base_Periodo1[[#This Row],[Aux]],Base_Contas_Balanco[#All],2,FALSE)</f>
        <v>Fornecedores Cooperados</v>
      </c>
      <c r="G2466" s="1">
        <v>42874</v>
      </c>
      <c r="I2466" s="225">
        <v>64.41</v>
      </c>
      <c r="J2466" s="225">
        <v>2800.3</v>
      </c>
      <c r="K2466" s="225">
        <v>2735.8900000000294</v>
      </c>
      <c r="L24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2735.89</v>
      </c>
      <c r="M2466" s="225">
        <f>ROUND(IF(AND(Base_Periodo1[[#This Row],[Tipo_Linha]]="-",Base_Periodo1[[#This Row],[TIPOSALDO]]="D"),Base_Periodo1[[#This Row],[SALDO_ATUAL]]*-1,Base_Periodo1[[#This Row],[SALDO_ATUAL]]),4)</f>
        <v>2735.89</v>
      </c>
      <c r="N2466" t="s">
        <v>116</v>
      </c>
      <c r="O2466" t="s">
        <v>436</v>
      </c>
      <c r="P2466" t="s">
        <v>459</v>
      </c>
      <c r="Q2466">
        <v>7</v>
      </c>
      <c r="R2466" s="225">
        <f>Base_Periodo1[[#This Row],[CREDITOS]]-Base_Periodo1[[#This Row],[DEBITOS]]</f>
        <v>2735.8900000000003</v>
      </c>
      <c r="S2466" s="3" t="str">
        <f>IF(ISERROR(VLOOKUP(Base_Periodo1[[#This Row],[CONTA]],BaseContasDRE[#All],4,FALSE)),"Fora do DRE",VLOOKUP(Base_Periodo1[[#This Row],[CONTA]],BaseContasDRE[#All],4,FALSE))</f>
        <v>Fora do DRE</v>
      </c>
      <c r="T2466" s="3" t="str">
        <f>IF(ISERROR(VLOOKUP(Base_Periodo1[[#This Row],[CONTA]],BaseContasDRE[#All],5,FALSE)),"Fora do DRE",VLOOKUP(Base_Periodo1[[#This Row],[CONTA]],BaseContasDRE[#All],6,FALSE))</f>
        <v>Fora do DRE</v>
      </c>
      <c r="U2466" s="3" t="str">
        <f>IF(ISERROR(VLOOKUP(Base_Periodo1[[#This Row],[CONTA]],BaseContasDRE[#All],7,FALSE)),"Fora do DRE",VLOOKUP(Base_Periodo1[[#This Row],[CONTA]],BaseContasDRE[#All],7,FALSE))</f>
        <v>Fora do DRE</v>
      </c>
      <c r="V2466" s="3" t="str">
        <f>IF(Base_Periodo1[[#This Row],[Tipo_Linha]]="Fora do DRE","Fora do DRE","( "&amp;Base_Periodo1[[#This Row],[Tipo_Linha]]&amp;" ) "&amp;Base_Periodo1[[#This Row],[Filtro]])</f>
        <v>Fora do DRE</v>
      </c>
      <c r="W2466" s="3" t="str">
        <f>LEFT(Base_Periodo1[[#This Row],[CLASS]],3)</f>
        <v>2.1</v>
      </c>
    </row>
    <row r="2467" spans="1:23" hidden="1">
      <c r="A2467" s="3" t="str">
        <f t="shared" si="38"/>
        <v>Período 1</v>
      </c>
      <c r="B2467">
        <v>4161</v>
      </c>
      <c r="C2467" t="s">
        <v>1730</v>
      </c>
      <c r="D2467" t="s">
        <v>741</v>
      </c>
      <c r="E2467" s="3" t="str">
        <f>IF(LEN(Base_Periodo1[[#This Row],[CLASS]])&gt;=7,LEFT(Base_Periodo1[[#This Row],[CLASS]],7),"")</f>
        <v>2.1.2.1</v>
      </c>
      <c r="F2467" s="3" t="str">
        <f>VLOOKUP(Base_Periodo1[[#This Row],[Aux]],Base_Contas_Balanco[#All],2,FALSE)</f>
        <v>Fornecedores Cooperados</v>
      </c>
      <c r="G2467" s="1">
        <v>42858</v>
      </c>
      <c r="I2467" s="225">
        <v>70580</v>
      </c>
      <c r="J2467" s="225">
        <v>70580</v>
      </c>
      <c r="K2467" s="225">
        <v>1.1641532182693481E-10</v>
      </c>
      <c r="L24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67" s="225">
        <f>ROUND(IF(AND(Base_Periodo1[[#This Row],[Tipo_Linha]]="-",Base_Periodo1[[#This Row],[TIPOSALDO]]="D"),Base_Periodo1[[#This Row],[SALDO_ATUAL]]*-1,Base_Periodo1[[#This Row],[SALDO_ATUAL]]),4)</f>
        <v>0</v>
      </c>
      <c r="N2467" t="s">
        <v>116</v>
      </c>
      <c r="O2467" t="s">
        <v>436</v>
      </c>
      <c r="P2467" t="s">
        <v>436</v>
      </c>
      <c r="Q2467">
        <v>7</v>
      </c>
      <c r="R2467" s="225">
        <f>Base_Periodo1[[#This Row],[CREDITOS]]-Base_Periodo1[[#This Row],[DEBITOS]]</f>
        <v>0</v>
      </c>
      <c r="S2467" s="3" t="str">
        <f>IF(ISERROR(VLOOKUP(Base_Periodo1[[#This Row],[CONTA]],BaseContasDRE[#All],4,FALSE)),"Fora do DRE",VLOOKUP(Base_Periodo1[[#This Row],[CONTA]],BaseContasDRE[#All],4,FALSE))</f>
        <v>Fora do DRE</v>
      </c>
      <c r="T2467" s="3" t="str">
        <f>IF(ISERROR(VLOOKUP(Base_Periodo1[[#This Row],[CONTA]],BaseContasDRE[#All],5,FALSE)),"Fora do DRE",VLOOKUP(Base_Periodo1[[#This Row],[CONTA]],BaseContasDRE[#All],6,FALSE))</f>
        <v>Fora do DRE</v>
      </c>
      <c r="U2467" s="3" t="str">
        <f>IF(ISERROR(VLOOKUP(Base_Periodo1[[#This Row],[CONTA]],BaseContasDRE[#All],7,FALSE)),"Fora do DRE",VLOOKUP(Base_Periodo1[[#This Row],[CONTA]],BaseContasDRE[#All],7,FALSE))</f>
        <v>Fora do DRE</v>
      </c>
      <c r="V2467" s="3" t="str">
        <f>IF(Base_Periodo1[[#This Row],[Tipo_Linha]]="Fora do DRE","Fora do DRE","( "&amp;Base_Periodo1[[#This Row],[Tipo_Linha]]&amp;" ) "&amp;Base_Periodo1[[#This Row],[Filtro]])</f>
        <v>Fora do DRE</v>
      </c>
      <c r="W2467" s="3" t="str">
        <f>LEFT(Base_Periodo1[[#This Row],[CLASS]],3)</f>
        <v>2.1</v>
      </c>
    </row>
    <row r="2468" spans="1:23" hidden="1">
      <c r="A2468" s="3" t="str">
        <f t="shared" si="38"/>
        <v>Período 1</v>
      </c>
      <c r="B2468">
        <v>3425</v>
      </c>
      <c r="C2468" t="s">
        <v>1730</v>
      </c>
      <c r="D2468" t="s">
        <v>6129</v>
      </c>
      <c r="E2468" s="3" t="str">
        <f>IF(LEN(Base_Periodo1[[#This Row],[CLASS]])&gt;=7,LEFT(Base_Periodo1[[#This Row],[CLASS]],7),"")</f>
        <v>2.1.2.1</v>
      </c>
      <c r="F2468" s="3" t="str">
        <f>VLOOKUP(Base_Periodo1[[#This Row],[Aux]],Base_Contas_Balanco[#All],2,FALSE)</f>
        <v>Fornecedores Cooperados</v>
      </c>
      <c r="G2468" s="1">
        <v>42881</v>
      </c>
      <c r="I2468" s="225">
        <v>341704.85</v>
      </c>
      <c r="J2468" s="225">
        <v>341704.85</v>
      </c>
      <c r="K2468" s="225">
        <v>6.9849193096160889E-10</v>
      </c>
      <c r="L24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68" s="225">
        <f>ROUND(IF(AND(Base_Periodo1[[#This Row],[Tipo_Linha]]="-",Base_Periodo1[[#This Row],[TIPOSALDO]]="D"),Base_Periodo1[[#This Row],[SALDO_ATUAL]]*-1,Base_Periodo1[[#This Row],[SALDO_ATUAL]]),4)</f>
        <v>0</v>
      </c>
      <c r="N2468" t="s">
        <v>116</v>
      </c>
      <c r="O2468" t="s">
        <v>436</v>
      </c>
      <c r="P2468" t="s">
        <v>436</v>
      </c>
      <c r="Q2468">
        <v>7</v>
      </c>
      <c r="R2468" s="225">
        <f>Base_Periodo1[[#This Row],[CREDITOS]]-Base_Periodo1[[#This Row],[DEBITOS]]</f>
        <v>0</v>
      </c>
      <c r="S2468" s="3" t="str">
        <f>IF(ISERROR(VLOOKUP(Base_Periodo1[[#This Row],[CONTA]],BaseContasDRE[#All],4,FALSE)),"Fora do DRE",VLOOKUP(Base_Periodo1[[#This Row],[CONTA]],BaseContasDRE[#All],4,FALSE))</f>
        <v>Fora do DRE</v>
      </c>
      <c r="T2468" s="3" t="str">
        <f>IF(ISERROR(VLOOKUP(Base_Periodo1[[#This Row],[CONTA]],BaseContasDRE[#All],5,FALSE)),"Fora do DRE",VLOOKUP(Base_Periodo1[[#This Row],[CONTA]],BaseContasDRE[#All],6,FALSE))</f>
        <v>Fora do DRE</v>
      </c>
      <c r="U2468" s="3" t="str">
        <f>IF(ISERROR(VLOOKUP(Base_Periodo1[[#This Row],[CONTA]],BaseContasDRE[#All],7,FALSE)),"Fora do DRE",VLOOKUP(Base_Periodo1[[#This Row],[CONTA]],BaseContasDRE[#All],7,FALSE))</f>
        <v>Fora do DRE</v>
      </c>
      <c r="V2468" s="3" t="str">
        <f>IF(Base_Periodo1[[#This Row],[Tipo_Linha]]="Fora do DRE","Fora do DRE","( "&amp;Base_Periodo1[[#This Row],[Tipo_Linha]]&amp;" ) "&amp;Base_Periodo1[[#This Row],[Filtro]])</f>
        <v>Fora do DRE</v>
      </c>
      <c r="W2468" s="3" t="str">
        <f>LEFT(Base_Periodo1[[#This Row],[CLASS]],3)</f>
        <v>2.1</v>
      </c>
    </row>
    <row r="2469" spans="1:23" hidden="1">
      <c r="A2469" s="3" t="str">
        <f t="shared" si="38"/>
        <v>Período 1</v>
      </c>
      <c r="B2469">
        <v>4197</v>
      </c>
      <c r="C2469" t="s">
        <v>1730</v>
      </c>
      <c r="D2469" t="s">
        <v>5152</v>
      </c>
      <c r="E2469" s="3" t="str">
        <f>IF(LEN(Base_Periodo1[[#This Row],[CLASS]])&gt;=7,LEFT(Base_Periodo1[[#This Row],[CLASS]],7),"")</f>
        <v>2.1.2.1</v>
      </c>
      <c r="F2469" s="3" t="str">
        <f>VLOOKUP(Base_Periodo1[[#This Row],[Aux]],Base_Contas_Balanco[#All],2,FALSE)</f>
        <v>Fornecedores Cooperados</v>
      </c>
      <c r="G2469" s="1">
        <v>42825</v>
      </c>
      <c r="H2469" s="225">
        <v>100.55999999993946</v>
      </c>
      <c r="I2469" s="225">
        <v>0</v>
      </c>
      <c r="J2469" s="225">
        <v>0</v>
      </c>
      <c r="K2469" s="225">
        <v>100.55999999993946</v>
      </c>
      <c r="L24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100.56</v>
      </c>
      <c r="M2469" s="225">
        <f>ROUND(IF(AND(Base_Periodo1[[#This Row],[Tipo_Linha]]="-",Base_Periodo1[[#This Row],[TIPOSALDO]]="D"),Base_Periodo1[[#This Row],[SALDO_ATUAL]]*-1,Base_Periodo1[[#This Row],[SALDO_ATUAL]]),4)</f>
        <v>100.56</v>
      </c>
      <c r="N2469" t="s">
        <v>116</v>
      </c>
      <c r="O2469" t="s">
        <v>459</v>
      </c>
      <c r="P2469" t="s">
        <v>459</v>
      </c>
      <c r="Q2469">
        <v>7</v>
      </c>
      <c r="R2469" s="225">
        <f>Base_Periodo1[[#This Row],[CREDITOS]]-Base_Periodo1[[#This Row],[DEBITOS]]</f>
        <v>0</v>
      </c>
      <c r="S2469" s="3" t="str">
        <f>IF(ISERROR(VLOOKUP(Base_Periodo1[[#This Row],[CONTA]],BaseContasDRE[#All],4,FALSE)),"Fora do DRE",VLOOKUP(Base_Periodo1[[#This Row],[CONTA]],BaseContasDRE[#All],4,FALSE))</f>
        <v>Fora do DRE</v>
      </c>
      <c r="T2469" s="3" t="str">
        <f>IF(ISERROR(VLOOKUP(Base_Periodo1[[#This Row],[CONTA]],BaseContasDRE[#All],5,FALSE)),"Fora do DRE",VLOOKUP(Base_Periodo1[[#This Row],[CONTA]],BaseContasDRE[#All],6,FALSE))</f>
        <v>Fora do DRE</v>
      </c>
      <c r="U2469" s="3" t="str">
        <f>IF(ISERROR(VLOOKUP(Base_Periodo1[[#This Row],[CONTA]],BaseContasDRE[#All],7,FALSE)),"Fora do DRE",VLOOKUP(Base_Periodo1[[#This Row],[CONTA]],BaseContasDRE[#All],7,FALSE))</f>
        <v>Fora do DRE</v>
      </c>
      <c r="V2469" s="3" t="str">
        <f>IF(Base_Periodo1[[#This Row],[Tipo_Linha]]="Fora do DRE","Fora do DRE","( "&amp;Base_Periodo1[[#This Row],[Tipo_Linha]]&amp;" ) "&amp;Base_Periodo1[[#This Row],[Filtro]])</f>
        <v>Fora do DRE</v>
      </c>
      <c r="W2469" s="3" t="str">
        <f>LEFT(Base_Periodo1[[#This Row],[CLASS]],3)</f>
        <v>2.1</v>
      </c>
    </row>
    <row r="2470" spans="1:23" hidden="1">
      <c r="A2470" s="3" t="str">
        <f t="shared" si="38"/>
        <v>Período 1</v>
      </c>
      <c r="B2470">
        <v>21004</v>
      </c>
      <c r="C2470" t="s">
        <v>1730</v>
      </c>
      <c r="D2470" t="s">
        <v>743</v>
      </c>
      <c r="E2470" s="3" t="str">
        <f>IF(LEN(Base_Periodo1[[#This Row],[CLASS]])&gt;=7,LEFT(Base_Periodo1[[#This Row],[CLASS]],7),"")</f>
        <v>2.1.2.1</v>
      </c>
      <c r="F2470" s="3" t="str">
        <f>VLOOKUP(Base_Periodo1[[#This Row],[Aux]],Base_Contas_Balanco[#All],2,FALSE)</f>
        <v>Fornecedores Cooperados</v>
      </c>
      <c r="G2470" s="1">
        <v>42353</v>
      </c>
      <c r="H2470" s="225">
        <v>1325.1300000000047</v>
      </c>
      <c r="I2470" s="225">
        <v>0</v>
      </c>
      <c r="J2470" s="225">
        <v>0</v>
      </c>
      <c r="K2470" s="225">
        <v>1325.1300000000047</v>
      </c>
      <c r="L24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1325.13</v>
      </c>
      <c r="M2470" s="225">
        <f>ROUND(IF(AND(Base_Periodo1[[#This Row],[Tipo_Linha]]="-",Base_Periodo1[[#This Row],[TIPOSALDO]]="D"),Base_Periodo1[[#This Row],[SALDO_ATUAL]]*-1,Base_Periodo1[[#This Row],[SALDO_ATUAL]]),4)</f>
        <v>1325.13</v>
      </c>
      <c r="N2470" t="s">
        <v>116</v>
      </c>
      <c r="O2470" t="s">
        <v>459</v>
      </c>
      <c r="P2470" t="s">
        <v>459</v>
      </c>
      <c r="Q2470">
        <v>7</v>
      </c>
      <c r="R2470" s="225">
        <f>Base_Periodo1[[#This Row],[CREDITOS]]-Base_Periodo1[[#This Row],[DEBITOS]]</f>
        <v>0</v>
      </c>
      <c r="S2470" s="3" t="str">
        <f>IF(ISERROR(VLOOKUP(Base_Periodo1[[#This Row],[CONTA]],BaseContasDRE[#All],4,FALSE)),"Fora do DRE",VLOOKUP(Base_Periodo1[[#This Row],[CONTA]],BaseContasDRE[#All],4,FALSE))</f>
        <v>Fora do DRE</v>
      </c>
      <c r="T2470" s="3" t="str">
        <f>IF(ISERROR(VLOOKUP(Base_Periodo1[[#This Row],[CONTA]],BaseContasDRE[#All],5,FALSE)),"Fora do DRE",VLOOKUP(Base_Periodo1[[#This Row],[CONTA]],BaseContasDRE[#All],6,FALSE))</f>
        <v>Fora do DRE</v>
      </c>
      <c r="U2470" s="3" t="str">
        <f>IF(ISERROR(VLOOKUP(Base_Periodo1[[#This Row],[CONTA]],BaseContasDRE[#All],7,FALSE)),"Fora do DRE",VLOOKUP(Base_Periodo1[[#This Row],[CONTA]],BaseContasDRE[#All],7,FALSE))</f>
        <v>Fora do DRE</v>
      </c>
      <c r="V2470" s="3" t="str">
        <f>IF(Base_Periodo1[[#This Row],[Tipo_Linha]]="Fora do DRE","Fora do DRE","( "&amp;Base_Periodo1[[#This Row],[Tipo_Linha]]&amp;" ) "&amp;Base_Periodo1[[#This Row],[Filtro]])</f>
        <v>Fora do DRE</v>
      </c>
      <c r="W2470" s="3" t="str">
        <f>LEFT(Base_Periodo1[[#This Row],[CLASS]],3)</f>
        <v>2.1</v>
      </c>
    </row>
    <row r="2471" spans="1:23" hidden="1">
      <c r="A2471" s="3" t="str">
        <f t="shared" si="38"/>
        <v>Período 1</v>
      </c>
      <c r="B2471">
        <v>54037</v>
      </c>
      <c r="C2471" t="s">
        <v>1730</v>
      </c>
      <c r="D2471" t="s">
        <v>4921</v>
      </c>
      <c r="E2471" s="3" t="str">
        <f>IF(LEN(Base_Periodo1[[#This Row],[CLASS]])&gt;=7,LEFT(Base_Periodo1[[#This Row],[CLASS]],7),"")</f>
        <v>2.1.2.1</v>
      </c>
      <c r="F2471" s="3" t="str">
        <f>VLOOKUP(Base_Periodo1[[#This Row],[Aux]],Base_Contas_Balanco[#All],2,FALSE)</f>
        <v>Fornecedores Cooperados</v>
      </c>
      <c r="G2471" s="1">
        <v>42879</v>
      </c>
      <c r="I2471" s="225">
        <v>3020</v>
      </c>
      <c r="J2471" s="225">
        <v>3020</v>
      </c>
      <c r="K2471" s="225">
        <v>2.9103830456733704E-11</v>
      </c>
      <c r="L24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71" s="225">
        <f>ROUND(IF(AND(Base_Periodo1[[#This Row],[Tipo_Linha]]="-",Base_Periodo1[[#This Row],[TIPOSALDO]]="D"),Base_Periodo1[[#This Row],[SALDO_ATUAL]]*-1,Base_Periodo1[[#This Row],[SALDO_ATUAL]]),4)</f>
        <v>0</v>
      </c>
      <c r="N2471" t="s">
        <v>116</v>
      </c>
      <c r="O2471" t="s">
        <v>436</v>
      </c>
      <c r="P2471" t="s">
        <v>436</v>
      </c>
      <c r="Q2471">
        <v>7</v>
      </c>
      <c r="R2471" s="225">
        <f>Base_Periodo1[[#This Row],[CREDITOS]]-Base_Periodo1[[#This Row],[DEBITOS]]</f>
        <v>0</v>
      </c>
      <c r="S2471" s="3" t="str">
        <f>IF(ISERROR(VLOOKUP(Base_Periodo1[[#This Row],[CONTA]],BaseContasDRE[#All],4,FALSE)),"Fora do DRE",VLOOKUP(Base_Periodo1[[#This Row],[CONTA]],BaseContasDRE[#All],4,FALSE))</f>
        <v>Fora do DRE</v>
      </c>
      <c r="T2471" s="3" t="str">
        <f>IF(ISERROR(VLOOKUP(Base_Periodo1[[#This Row],[CONTA]],BaseContasDRE[#All],5,FALSE)),"Fora do DRE",VLOOKUP(Base_Periodo1[[#This Row],[CONTA]],BaseContasDRE[#All],6,FALSE))</f>
        <v>Fora do DRE</v>
      </c>
      <c r="U2471" s="3" t="str">
        <f>IF(ISERROR(VLOOKUP(Base_Periodo1[[#This Row],[CONTA]],BaseContasDRE[#All],7,FALSE)),"Fora do DRE",VLOOKUP(Base_Periodo1[[#This Row],[CONTA]],BaseContasDRE[#All],7,FALSE))</f>
        <v>Fora do DRE</v>
      </c>
      <c r="V2471" s="3" t="str">
        <f>IF(Base_Periodo1[[#This Row],[Tipo_Linha]]="Fora do DRE","Fora do DRE","( "&amp;Base_Periodo1[[#This Row],[Tipo_Linha]]&amp;" ) "&amp;Base_Periodo1[[#This Row],[Filtro]])</f>
        <v>Fora do DRE</v>
      </c>
      <c r="W2471" s="3" t="str">
        <f>LEFT(Base_Periodo1[[#This Row],[CLASS]],3)</f>
        <v>2.1</v>
      </c>
    </row>
    <row r="2472" spans="1:23" hidden="1">
      <c r="A2472" s="3" t="str">
        <f t="shared" si="38"/>
        <v>Período 1</v>
      </c>
      <c r="B2472">
        <v>48549</v>
      </c>
      <c r="C2472" t="s">
        <v>1730</v>
      </c>
      <c r="D2472" t="s">
        <v>961</v>
      </c>
      <c r="E2472" s="3" t="str">
        <f>IF(LEN(Base_Periodo1[[#This Row],[CLASS]])&gt;=7,LEFT(Base_Periodo1[[#This Row],[CLASS]],7),"")</f>
        <v>2.1.2.1</v>
      </c>
      <c r="F2472" s="3" t="str">
        <f>VLOOKUP(Base_Periodo1[[#This Row],[Aux]],Base_Contas_Balanco[#All],2,FALSE)</f>
        <v>Fornecedores Cooperados</v>
      </c>
      <c r="G2472" s="1">
        <v>42884</v>
      </c>
      <c r="I2472" s="225">
        <v>4644.3600000000006</v>
      </c>
      <c r="J2472" s="225">
        <v>4644.3599999999997</v>
      </c>
      <c r="K2472" s="225">
        <v>9.0949470177292824E-13</v>
      </c>
      <c r="L24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72" s="225">
        <f>ROUND(IF(AND(Base_Periodo1[[#This Row],[Tipo_Linha]]="-",Base_Periodo1[[#This Row],[TIPOSALDO]]="D"),Base_Periodo1[[#This Row],[SALDO_ATUAL]]*-1,Base_Periodo1[[#This Row],[SALDO_ATUAL]]),4)</f>
        <v>0</v>
      </c>
      <c r="N2472" t="s">
        <v>116</v>
      </c>
      <c r="O2472" t="s">
        <v>436</v>
      </c>
      <c r="P2472" t="s">
        <v>436</v>
      </c>
      <c r="Q2472">
        <v>7</v>
      </c>
      <c r="R2472" s="225">
        <f>Base_Periodo1[[#This Row],[CREDITOS]]-Base_Periodo1[[#This Row],[DEBITOS]]</f>
        <v>0</v>
      </c>
      <c r="S2472" s="3" t="str">
        <f>IF(ISERROR(VLOOKUP(Base_Periodo1[[#This Row],[CONTA]],BaseContasDRE[#All],4,FALSE)),"Fora do DRE",VLOOKUP(Base_Periodo1[[#This Row],[CONTA]],BaseContasDRE[#All],4,FALSE))</f>
        <v>Fora do DRE</v>
      </c>
      <c r="T2472" s="3" t="str">
        <f>IF(ISERROR(VLOOKUP(Base_Periodo1[[#This Row],[CONTA]],BaseContasDRE[#All],5,FALSE)),"Fora do DRE",VLOOKUP(Base_Periodo1[[#This Row],[CONTA]],BaseContasDRE[#All],6,FALSE))</f>
        <v>Fora do DRE</v>
      </c>
      <c r="U2472" s="3" t="str">
        <f>IF(ISERROR(VLOOKUP(Base_Periodo1[[#This Row],[CONTA]],BaseContasDRE[#All],7,FALSE)),"Fora do DRE",VLOOKUP(Base_Periodo1[[#This Row],[CONTA]],BaseContasDRE[#All],7,FALSE))</f>
        <v>Fora do DRE</v>
      </c>
      <c r="V2472" s="3" t="str">
        <f>IF(Base_Periodo1[[#This Row],[Tipo_Linha]]="Fora do DRE","Fora do DRE","( "&amp;Base_Periodo1[[#This Row],[Tipo_Linha]]&amp;" ) "&amp;Base_Periodo1[[#This Row],[Filtro]])</f>
        <v>Fora do DRE</v>
      </c>
      <c r="W2472" s="3" t="str">
        <f>LEFT(Base_Periodo1[[#This Row],[CLASS]],3)</f>
        <v>2.1</v>
      </c>
    </row>
    <row r="2473" spans="1:23" hidden="1">
      <c r="A2473" s="3" t="str">
        <f t="shared" si="38"/>
        <v>Período 1</v>
      </c>
      <c r="B2473">
        <v>54261</v>
      </c>
      <c r="C2473" t="s">
        <v>1730</v>
      </c>
      <c r="D2473" t="s">
        <v>4738</v>
      </c>
      <c r="E2473" s="3" t="str">
        <f>IF(LEN(Base_Periodo1[[#This Row],[CLASS]])&gt;=7,LEFT(Base_Periodo1[[#This Row],[CLASS]],7),"")</f>
        <v>2.1.2.1</v>
      </c>
      <c r="F2473" s="3" t="str">
        <f>VLOOKUP(Base_Periodo1[[#This Row],[Aux]],Base_Contas_Balanco[#All],2,FALSE)</f>
        <v>Fornecedores Cooperados</v>
      </c>
      <c r="G2473" s="1">
        <v>42881</v>
      </c>
      <c r="I2473" s="225">
        <v>2518.7999999999997</v>
      </c>
      <c r="J2473" s="225">
        <v>2518.8000000000002</v>
      </c>
      <c r="K2473" s="225">
        <v>-4.5474735088646412E-13</v>
      </c>
      <c r="L24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73" s="225">
        <f>ROUND(IF(AND(Base_Periodo1[[#This Row],[Tipo_Linha]]="-",Base_Periodo1[[#This Row],[TIPOSALDO]]="D"),Base_Periodo1[[#This Row],[SALDO_ATUAL]]*-1,Base_Periodo1[[#This Row],[SALDO_ATUAL]]),4)</f>
        <v>0</v>
      </c>
      <c r="N2473" t="s">
        <v>116</v>
      </c>
      <c r="O2473" t="s">
        <v>436</v>
      </c>
      <c r="P2473" t="s">
        <v>436</v>
      </c>
      <c r="Q2473">
        <v>7</v>
      </c>
      <c r="R2473" s="225">
        <f>Base_Periodo1[[#This Row],[CREDITOS]]-Base_Periodo1[[#This Row],[DEBITOS]]</f>
        <v>0</v>
      </c>
      <c r="S2473" s="3" t="str">
        <f>IF(ISERROR(VLOOKUP(Base_Periodo1[[#This Row],[CONTA]],BaseContasDRE[#All],4,FALSE)),"Fora do DRE",VLOOKUP(Base_Periodo1[[#This Row],[CONTA]],BaseContasDRE[#All],4,FALSE))</f>
        <v>Fora do DRE</v>
      </c>
      <c r="T2473" s="3" t="str">
        <f>IF(ISERROR(VLOOKUP(Base_Periodo1[[#This Row],[CONTA]],BaseContasDRE[#All],5,FALSE)),"Fora do DRE",VLOOKUP(Base_Periodo1[[#This Row],[CONTA]],BaseContasDRE[#All],6,FALSE))</f>
        <v>Fora do DRE</v>
      </c>
      <c r="U2473" s="3" t="str">
        <f>IF(ISERROR(VLOOKUP(Base_Periodo1[[#This Row],[CONTA]],BaseContasDRE[#All],7,FALSE)),"Fora do DRE",VLOOKUP(Base_Periodo1[[#This Row],[CONTA]],BaseContasDRE[#All],7,FALSE))</f>
        <v>Fora do DRE</v>
      </c>
      <c r="V2473" s="3" t="str">
        <f>IF(Base_Periodo1[[#This Row],[Tipo_Linha]]="Fora do DRE","Fora do DRE","( "&amp;Base_Periodo1[[#This Row],[Tipo_Linha]]&amp;" ) "&amp;Base_Periodo1[[#This Row],[Filtro]])</f>
        <v>Fora do DRE</v>
      </c>
      <c r="W2473" s="3" t="str">
        <f>LEFT(Base_Periodo1[[#This Row],[CLASS]],3)</f>
        <v>2.1</v>
      </c>
    </row>
    <row r="2474" spans="1:23" hidden="1">
      <c r="A2474" s="3" t="str">
        <f t="shared" si="38"/>
        <v>Período 1</v>
      </c>
      <c r="B2474">
        <v>3833</v>
      </c>
      <c r="C2474" t="s">
        <v>1730</v>
      </c>
      <c r="D2474" t="s">
        <v>744</v>
      </c>
      <c r="E2474" s="3" t="str">
        <f>IF(LEN(Base_Periodo1[[#This Row],[CLASS]])&gt;=7,LEFT(Base_Periodo1[[#This Row],[CLASS]],7),"")</f>
        <v>2.1.2.1</v>
      </c>
      <c r="F2474" s="3" t="str">
        <f>VLOOKUP(Base_Periodo1[[#This Row],[Aux]],Base_Contas_Balanco[#All],2,FALSE)</f>
        <v>Fornecedores Cooperados</v>
      </c>
      <c r="G2474" s="1">
        <v>42886</v>
      </c>
      <c r="H2474" s="225">
        <v>58131.420000000158</v>
      </c>
      <c r="I2474" s="225">
        <v>114860.15999999999</v>
      </c>
      <c r="J2474" s="225">
        <v>196728.74</v>
      </c>
      <c r="K2474" s="225">
        <v>140000.00000000017</v>
      </c>
      <c r="L24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140000</v>
      </c>
      <c r="M2474" s="225">
        <f>ROUND(IF(AND(Base_Periodo1[[#This Row],[Tipo_Linha]]="-",Base_Periodo1[[#This Row],[TIPOSALDO]]="D"),Base_Periodo1[[#This Row],[SALDO_ATUAL]]*-1,Base_Periodo1[[#This Row],[SALDO_ATUAL]]),4)</f>
        <v>140000</v>
      </c>
      <c r="N2474" t="s">
        <v>116</v>
      </c>
      <c r="O2474" t="s">
        <v>459</v>
      </c>
      <c r="P2474" t="s">
        <v>459</v>
      </c>
      <c r="Q2474">
        <v>7</v>
      </c>
      <c r="R2474" s="225">
        <f>Base_Periodo1[[#This Row],[CREDITOS]]-Base_Periodo1[[#This Row],[DEBITOS]]</f>
        <v>81868.58</v>
      </c>
      <c r="S2474" s="3" t="str">
        <f>IF(ISERROR(VLOOKUP(Base_Periodo1[[#This Row],[CONTA]],BaseContasDRE[#All],4,FALSE)),"Fora do DRE",VLOOKUP(Base_Periodo1[[#This Row],[CONTA]],BaseContasDRE[#All],4,FALSE))</f>
        <v>Fora do DRE</v>
      </c>
      <c r="T2474" s="3" t="str">
        <f>IF(ISERROR(VLOOKUP(Base_Periodo1[[#This Row],[CONTA]],BaseContasDRE[#All],5,FALSE)),"Fora do DRE",VLOOKUP(Base_Periodo1[[#This Row],[CONTA]],BaseContasDRE[#All],6,FALSE))</f>
        <v>Fora do DRE</v>
      </c>
      <c r="U2474" s="3" t="str">
        <f>IF(ISERROR(VLOOKUP(Base_Periodo1[[#This Row],[CONTA]],BaseContasDRE[#All],7,FALSE)),"Fora do DRE",VLOOKUP(Base_Periodo1[[#This Row],[CONTA]],BaseContasDRE[#All],7,FALSE))</f>
        <v>Fora do DRE</v>
      </c>
      <c r="V2474" s="3" t="str">
        <f>IF(Base_Periodo1[[#This Row],[Tipo_Linha]]="Fora do DRE","Fora do DRE","( "&amp;Base_Periodo1[[#This Row],[Tipo_Linha]]&amp;" ) "&amp;Base_Periodo1[[#This Row],[Filtro]])</f>
        <v>Fora do DRE</v>
      </c>
      <c r="W2474" s="3" t="str">
        <f>LEFT(Base_Periodo1[[#This Row],[CLASS]],3)</f>
        <v>2.1</v>
      </c>
    </row>
    <row r="2475" spans="1:23" hidden="1">
      <c r="A2475" s="3" t="str">
        <f t="shared" si="38"/>
        <v>Período 1</v>
      </c>
      <c r="B2475">
        <v>54162</v>
      </c>
      <c r="C2475" t="s">
        <v>1730</v>
      </c>
      <c r="D2475" t="s">
        <v>5001</v>
      </c>
      <c r="E2475" s="3" t="str">
        <f>IF(LEN(Base_Periodo1[[#This Row],[CLASS]])&gt;=7,LEFT(Base_Periodo1[[#This Row],[CLASS]],7),"")</f>
        <v>2.1.2.1</v>
      </c>
      <c r="F2475" s="3" t="str">
        <f>VLOOKUP(Base_Periodo1[[#This Row],[Aux]],Base_Contas_Balanco[#All],2,FALSE)</f>
        <v>Fornecedores Cooperados</v>
      </c>
      <c r="G2475" s="1">
        <v>42865</v>
      </c>
      <c r="I2475" s="225">
        <v>18400</v>
      </c>
      <c r="J2475" s="225">
        <v>18400</v>
      </c>
      <c r="K2475" s="225">
        <v>1.4551915228366852E-11</v>
      </c>
      <c r="L24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75" s="225">
        <f>ROUND(IF(AND(Base_Periodo1[[#This Row],[Tipo_Linha]]="-",Base_Periodo1[[#This Row],[TIPOSALDO]]="D"),Base_Periodo1[[#This Row],[SALDO_ATUAL]]*-1,Base_Periodo1[[#This Row],[SALDO_ATUAL]]),4)</f>
        <v>0</v>
      </c>
      <c r="N2475" t="s">
        <v>116</v>
      </c>
      <c r="O2475" t="s">
        <v>436</v>
      </c>
      <c r="P2475" t="s">
        <v>436</v>
      </c>
      <c r="Q2475">
        <v>7</v>
      </c>
      <c r="R2475" s="225">
        <f>Base_Periodo1[[#This Row],[CREDITOS]]-Base_Periodo1[[#This Row],[DEBITOS]]</f>
        <v>0</v>
      </c>
      <c r="S2475" s="3" t="str">
        <f>IF(ISERROR(VLOOKUP(Base_Periodo1[[#This Row],[CONTA]],BaseContasDRE[#All],4,FALSE)),"Fora do DRE",VLOOKUP(Base_Periodo1[[#This Row],[CONTA]],BaseContasDRE[#All],4,FALSE))</f>
        <v>Fora do DRE</v>
      </c>
      <c r="T2475" s="3" t="str">
        <f>IF(ISERROR(VLOOKUP(Base_Periodo1[[#This Row],[CONTA]],BaseContasDRE[#All],5,FALSE)),"Fora do DRE",VLOOKUP(Base_Periodo1[[#This Row],[CONTA]],BaseContasDRE[#All],6,FALSE))</f>
        <v>Fora do DRE</v>
      </c>
      <c r="U2475" s="3" t="str">
        <f>IF(ISERROR(VLOOKUP(Base_Periodo1[[#This Row],[CONTA]],BaseContasDRE[#All],7,FALSE)),"Fora do DRE",VLOOKUP(Base_Periodo1[[#This Row],[CONTA]],BaseContasDRE[#All],7,FALSE))</f>
        <v>Fora do DRE</v>
      </c>
      <c r="V2475" s="3" t="str">
        <f>IF(Base_Periodo1[[#This Row],[Tipo_Linha]]="Fora do DRE","Fora do DRE","( "&amp;Base_Periodo1[[#This Row],[Tipo_Linha]]&amp;" ) "&amp;Base_Periodo1[[#This Row],[Filtro]])</f>
        <v>Fora do DRE</v>
      </c>
      <c r="W2475" s="3" t="str">
        <f>LEFT(Base_Periodo1[[#This Row],[CLASS]],3)</f>
        <v>2.1</v>
      </c>
    </row>
    <row r="2476" spans="1:23" hidden="1">
      <c r="A2476" s="3" t="str">
        <f t="shared" si="38"/>
        <v>Período 1</v>
      </c>
      <c r="B2476">
        <v>2161</v>
      </c>
      <c r="C2476" t="s">
        <v>1730</v>
      </c>
      <c r="D2476" t="s">
        <v>745</v>
      </c>
      <c r="E2476" s="3" t="str">
        <f>IF(LEN(Base_Periodo1[[#This Row],[CLASS]])&gt;=7,LEFT(Base_Periodo1[[#This Row],[CLASS]],7),"")</f>
        <v>2.1.2.1</v>
      </c>
      <c r="F2476" s="3" t="str">
        <f>VLOOKUP(Base_Periodo1[[#This Row],[Aux]],Base_Contas_Balanco[#All],2,FALSE)</f>
        <v>Fornecedores Cooperados</v>
      </c>
      <c r="G2476" s="1">
        <v>42886</v>
      </c>
      <c r="H2476" s="225">
        <v>202148.72999998927</v>
      </c>
      <c r="I2476" s="225">
        <v>505087.22</v>
      </c>
      <c r="J2476" s="225">
        <v>862255.55</v>
      </c>
      <c r="K2476" s="225">
        <v>559317.05999998935</v>
      </c>
      <c r="L24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559317.06000000006</v>
      </c>
      <c r="M2476" s="225">
        <f>ROUND(IF(AND(Base_Periodo1[[#This Row],[Tipo_Linha]]="-",Base_Periodo1[[#This Row],[TIPOSALDO]]="D"),Base_Periodo1[[#This Row],[SALDO_ATUAL]]*-1,Base_Periodo1[[#This Row],[SALDO_ATUAL]]),4)</f>
        <v>559317.06000000006</v>
      </c>
      <c r="N2476" t="s">
        <v>116</v>
      </c>
      <c r="O2476" t="s">
        <v>459</v>
      </c>
      <c r="P2476" t="s">
        <v>459</v>
      </c>
      <c r="Q2476">
        <v>7</v>
      </c>
      <c r="R2476" s="225">
        <f>Base_Periodo1[[#This Row],[CREDITOS]]-Base_Periodo1[[#This Row],[DEBITOS]]</f>
        <v>357168.33000000007</v>
      </c>
      <c r="S2476" s="3" t="str">
        <f>IF(ISERROR(VLOOKUP(Base_Periodo1[[#This Row],[CONTA]],BaseContasDRE[#All],4,FALSE)),"Fora do DRE",VLOOKUP(Base_Periodo1[[#This Row],[CONTA]],BaseContasDRE[#All],4,FALSE))</f>
        <v>Fora do DRE</v>
      </c>
      <c r="T2476" s="3" t="str">
        <f>IF(ISERROR(VLOOKUP(Base_Periodo1[[#This Row],[CONTA]],BaseContasDRE[#All],5,FALSE)),"Fora do DRE",VLOOKUP(Base_Periodo1[[#This Row],[CONTA]],BaseContasDRE[#All],6,FALSE))</f>
        <v>Fora do DRE</v>
      </c>
      <c r="U2476" s="3" t="str">
        <f>IF(ISERROR(VLOOKUP(Base_Periodo1[[#This Row],[CONTA]],BaseContasDRE[#All],7,FALSE)),"Fora do DRE",VLOOKUP(Base_Periodo1[[#This Row],[CONTA]],BaseContasDRE[#All],7,FALSE))</f>
        <v>Fora do DRE</v>
      </c>
      <c r="V2476" s="3" t="str">
        <f>IF(Base_Periodo1[[#This Row],[Tipo_Linha]]="Fora do DRE","Fora do DRE","( "&amp;Base_Periodo1[[#This Row],[Tipo_Linha]]&amp;" ) "&amp;Base_Periodo1[[#This Row],[Filtro]])</f>
        <v>Fora do DRE</v>
      </c>
      <c r="W2476" s="3" t="str">
        <f>LEFT(Base_Periodo1[[#This Row],[CLASS]],3)</f>
        <v>2.1</v>
      </c>
    </row>
    <row r="2477" spans="1:23" hidden="1">
      <c r="A2477" s="3" t="str">
        <f t="shared" si="38"/>
        <v>Período 1</v>
      </c>
      <c r="B2477">
        <v>4757</v>
      </c>
      <c r="C2477" t="s">
        <v>1730</v>
      </c>
      <c r="D2477" t="s">
        <v>5003</v>
      </c>
      <c r="E2477" s="3" t="str">
        <f>IF(LEN(Base_Periodo1[[#This Row],[CLASS]])&gt;=7,LEFT(Base_Periodo1[[#This Row],[CLASS]],7),"")</f>
        <v>2.1.2.1</v>
      </c>
      <c r="F2477" s="3" t="str">
        <f>VLOOKUP(Base_Periodo1[[#This Row],[Aux]],Base_Contas_Balanco[#All],2,FALSE)</f>
        <v>Fornecedores Cooperados</v>
      </c>
      <c r="G2477" s="1">
        <v>42881</v>
      </c>
      <c r="H2477" s="225">
        <v>3218.7200000002049</v>
      </c>
      <c r="I2477" s="225">
        <v>70144.12</v>
      </c>
      <c r="J2477" s="225">
        <v>71368.13</v>
      </c>
      <c r="K2477" s="225">
        <v>4442.7300000002142</v>
      </c>
      <c r="L24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4442.7299999999996</v>
      </c>
      <c r="M2477" s="225">
        <f>ROUND(IF(AND(Base_Periodo1[[#This Row],[Tipo_Linha]]="-",Base_Periodo1[[#This Row],[TIPOSALDO]]="D"),Base_Periodo1[[#This Row],[SALDO_ATUAL]]*-1,Base_Periodo1[[#This Row],[SALDO_ATUAL]]),4)</f>
        <v>4442.7299999999996</v>
      </c>
      <c r="N2477" t="s">
        <v>116</v>
      </c>
      <c r="O2477" t="s">
        <v>459</v>
      </c>
      <c r="P2477" t="s">
        <v>459</v>
      </c>
      <c r="Q2477">
        <v>7</v>
      </c>
      <c r="R2477" s="225">
        <f>Base_Periodo1[[#This Row],[CREDITOS]]-Base_Periodo1[[#This Row],[DEBITOS]]</f>
        <v>1224.0100000000093</v>
      </c>
      <c r="S2477" s="3" t="str">
        <f>IF(ISERROR(VLOOKUP(Base_Periodo1[[#This Row],[CONTA]],BaseContasDRE[#All],4,FALSE)),"Fora do DRE",VLOOKUP(Base_Periodo1[[#This Row],[CONTA]],BaseContasDRE[#All],4,FALSE))</f>
        <v>Fora do DRE</v>
      </c>
      <c r="T2477" s="3" t="str">
        <f>IF(ISERROR(VLOOKUP(Base_Periodo1[[#This Row],[CONTA]],BaseContasDRE[#All],5,FALSE)),"Fora do DRE",VLOOKUP(Base_Periodo1[[#This Row],[CONTA]],BaseContasDRE[#All],6,FALSE))</f>
        <v>Fora do DRE</v>
      </c>
      <c r="U2477" s="3" t="str">
        <f>IF(ISERROR(VLOOKUP(Base_Periodo1[[#This Row],[CONTA]],BaseContasDRE[#All],7,FALSE)),"Fora do DRE",VLOOKUP(Base_Periodo1[[#This Row],[CONTA]],BaseContasDRE[#All],7,FALSE))</f>
        <v>Fora do DRE</v>
      </c>
      <c r="V2477" s="3" t="str">
        <f>IF(Base_Periodo1[[#This Row],[Tipo_Linha]]="Fora do DRE","Fora do DRE","( "&amp;Base_Periodo1[[#This Row],[Tipo_Linha]]&amp;" ) "&amp;Base_Periodo1[[#This Row],[Filtro]])</f>
        <v>Fora do DRE</v>
      </c>
      <c r="W2477" s="3" t="str">
        <f>LEFT(Base_Periodo1[[#This Row],[CLASS]],3)</f>
        <v>2.1</v>
      </c>
    </row>
    <row r="2478" spans="1:23" hidden="1">
      <c r="A2478" s="3" t="str">
        <f t="shared" si="38"/>
        <v>Período 1</v>
      </c>
      <c r="B2478">
        <v>53635</v>
      </c>
      <c r="C2478" t="s">
        <v>1730</v>
      </c>
      <c r="D2478" t="s">
        <v>4908</v>
      </c>
      <c r="E2478" s="3" t="str">
        <f>IF(LEN(Base_Periodo1[[#This Row],[CLASS]])&gt;=7,LEFT(Base_Periodo1[[#This Row],[CLASS]],7),"")</f>
        <v>2.1.2.1</v>
      </c>
      <c r="F2478" s="3" t="str">
        <f>VLOOKUP(Base_Periodo1[[#This Row],[Aux]],Base_Contas_Balanco[#All],2,FALSE)</f>
        <v>Fornecedores Cooperados</v>
      </c>
      <c r="G2478" s="1">
        <v>42886</v>
      </c>
      <c r="H2478" s="225">
        <v>20000.200000000186</v>
      </c>
      <c r="I2478" s="225">
        <v>318523.08999999997</v>
      </c>
      <c r="J2478" s="225">
        <v>298522.88999999996</v>
      </c>
      <c r="K2478" s="225">
        <v>-1.7462298274040222E-10</v>
      </c>
      <c r="L24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78" s="225">
        <f>ROUND(IF(AND(Base_Periodo1[[#This Row],[Tipo_Linha]]="-",Base_Periodo1[[#This Row],[TIPOSALDO]]="D"),Base_Periodo1[[#This Row],[SALDO_ATUAL]]*-1,Base_Periodo1[[#This Row],[SALDO_ATUAL]]),4)</f>
        <v>0</v>
      </c>
      <c r="N2478" t="s">
        <v>116</v>
      </c>
      <c r="O2478" t="s">
        <v>459</v>
      </c>
      <c r="P2478" t="s">
        <v>436</v>
      </c>
      <c r="Q2478">
        <v>7</v>
      </c>
      <c r="R2478" s="225">
        <f>Base_Periodo1[[#This Row],[CREDITOS]]-Base_Periodo1[[#This Row],[DEBITOS]]</f>
        <v>-20000.200000000012</v>
      </c>
      <c r="S2478" s="3" t="str">
        <f>IF(ISERROR(VLOOKUP(Base_Periodo1[[#This Row],[CONTA]],BaseContasDRE[#All],4,FALSE)),"Fora do DRE",VLOOKUP(Base_Periodo1[[#This Row],[CONTA]],BaseContasDRE[#All],4,FALSE))</f>
        <v>Fora do DRE</v>
      </c>
      <c r="T2478" s="3" t="str">
        <f>IF(ISERROR(VLOOKUP(Base_Periodo1[[#This Row],[CONTA]],BaseContasDRE[#All],5,FALSE)),"Fora do DRE",VLOOKUP(Base_Periodo1[[#This Row],[CONTA]],BaseContasDRE[#All],6,FALSE))</f>
        <v>Fora do DRE</v>
      </c>
      <c r="U2478" s="3" t="str">
        <f>IF(ISERROR(VLOOKUP(Base_Periodo1[[#This Row],[CONTA]],BaseContasDRE[#All],7,FALSE)),"Fora do DRE",VLOOKUP(Base_Periodo1[[#This Row],[CONTA]],BaseContasDRE[#All],7,FALSE))</f>
        <v>Fora do DRE</v>
      </c>
      <c r="V2478" s="3" t="str">
        <f>IF(Base_Periodo1[[#This Row],[Tipo_Linha]]="Fora do DRE","Fora do DRE","( "&amp;Base_Periodo1[[#This Row],[Tipo_Linha]]&amp;" ) "&amp;Base_Periodo1[[#This Row],[Filtro]])</f>
        <v>Fora do DRE</v>
      </c>
      <c r="W2478" s="3" t="str">
        <f>LEFT(Base_Periodo1[[#This Row],[CLASS]],3)</f>
        <v>2.1</v>
      </c>
    </row>
    <row r="2479" spans="1:23" hidden="1">
      <c r="A2479" s="3" t="str">
        <f t="shared" si="38"/>
        <v>Período 1</v>
      </c>
      <c r="B2479">
        <v>2865</v>
      </c>
      <c r="C2479" t="s">
        <v>1730</v>
      </c>
      <c r="D2479" t="s">
        <v>746</v>
      </c>
      <c r="E2479" s="3" t="str">
        <f>IF(LEN(Base_Periodo1[[#This Row],[CLASS]])&gt;=7,LEFT(Base_Periodo1[[#This Row],[CLASS]],7),"")</f>
        <v>2.1.2.1</v>
      </c>
      <c r="F2479" s="3" t="str">
        <f>VLOOKUP(Base_Periodo1[[#This Row],[Aux]],Base_Contas_Balanco[#All],2,FALSE)</f>
        <v>Fornecedores Cooperados</v>
      </c>
      <c r="G2479" s="1">
        <v>42878</v>
      </c>
      <c r="I2479" s="225">
        <v>384825.65999999992</v>
      </c>
      <c r="J2479" s="225">
        <v>384825.66000000003</v>
      </c>
      <c r="K2479" s="225">
        <v>3.4924596548080444E-10</v>
      </c>
      <c r="L24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79" s="225">
        <f>ROUND(IF(AND(Base_Periodo1[[#This Row],[Tipo_Linha]]="-",Base_Periodo1[[#This Row],[TIPOSALDO]]="D"),Base_Periodo1[[#This Row],[SALDO_ATUAL]]*-1,Base_Periodo1[[#This Row],[SALDO_ATUAL]]),4)</f>
        <v>0</v>
      </c>
      <c r="N2479" t="s">
        <v>116</v>
      </c>
      <c r="O2479" t="s">
        <v>436</v>
      </c>
      <c r="P2479" t="s">
        <v>436</v>
      </c>
      <c r="Q2479">
        <v>7</v>
      </c>
      <c r="R2479" s="225">
        <f>Base_Periodo1[[#This Row],[CREDITOS]]-Base_Periodo1[[#This Row],[DEBITOS]]</f>
        <v>0</v>
      </c>
      <c r="S2479" s="3" t="str">
        <f>IF(ISERROR(VLOOKUP(Base_Periodo1[[#This Row],[CONTA]],BaseContasDRE[#All],4,FALSE)),"Fora do DRE",VLOOKUP(Base_Periodo1[[#This Row],[CONTA]],BaseContasDRE[#All],4,FALSE))</f>
        <v>Fora do DRE</v>
      </c>
      <c r="T2479" s="3" t="str">
        <f>IF(ISERROR(VLOOKUP(Base_Periodo1[[#This Row],[CONTA]],BaseContasDRE[#All],5,FALSE)),"Fora do DRE",VLOOKUP(Base_Periodo1[[#This Row],[CONTA]],BaseContasDRE[#All],6,FALSE))</f>
        <v>Fora do DRE</v>
      </c>
      <c r="U2479" s="3" t="str">
        <f>IF(ISERROR(VLOOKUP(Base_Periodo1[[#This Row],[CONTA]],BaseContasDRE[#All],7,FALSE)),"Fora do DRE",VLOOKUP(Base_Periodo1[[#This Row],[CONTA]],BaseContasDRE[#All],7,FALSE))</f>
        <v>Fora do DRE</v>
      </c>
      <c r="V2479" s="3" t="str">
        <f>IF(Base_Periodo1[[#This Row],[Tipo_Linha]]="Fora do DRE","Fora do DRE","( "&amp;Base_Periodo1[[#This Row],[Tipo_Linha]]&amp;" ) "&amp;Base_Periodo1[[#This Row],[Filtro]])</f>
        <v>Fora do DRE</v>
      </c>
      <c r="W2479" s="3" t="str">
        <f>LEFT(Base_Periodo1[[#This Row],[CLASS]],3)</f>
        <v>2.1</v>
      </c>
    </row>
    <row r="2480" spans="1:23" hidden="1">
      <c r="A2480" s="3" t="str">
        <f t="shared" si="38"/>
        <v>Período 1</v>
      </c>
      <c r="B2480">
        <v>3953</v>
      </c>
      <c r="C2480" t="s">
        <v>1730</v>
      </c>
      <c r="D2480" t="s">
        <v>747</v>
      </c>
      <c r="E2480" s="3" t="str">
        <f>IF(LEN(Base_Periodo1[[#This Row],[CLASS]])&gt;=7,LEFT(Base_Periodo1[[#This Row],[CLASS]],7),"")</f>
        <v>2.1.2.1</v>
      </c>
      <c r="F2480" s="3" t="str">
        <f>VLOOKUP(Base_Periodo1[[#This Row],[Aux]],Base_Contas_Balanco[#All],2,FALSE)</f>
        <v>Fornecedores Cooperados</v>
      </c>
      <c r="G2480" s="1">
        <v>42885</v>
      </c>
      <c r="H2480" s="225">
        <v>7777.470000001369</v>
      </c>
      <c r="I2480" s="225">
        <v>19877.47</v>
      </c>
      <c r="J2480" s="225">
        <v>12100</v>
      </c>
      <c r="K2480" s="225">
        <v>-1.3678800314664841E-9</v>
      </c>
      <c r="L24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80" s="225">
        <f>ROUND(IF(AND(Base_Periodo1[[#This Row],[Tipo_Linha]]="-",Base_Periodo1[[#This Row],[TIPOSALDO]]="D"),Base_Periodo1[[#This Row],[SALDO_ATUAL]]*-1,Base_Periodo1[[#This Row],[SALDO_ATUAL]]),4)</f>
        <v>0</v>
      </c>
      <c r="N2480" t="s">
        <v>116</v>
      </c>
      <c r="O2480" t="s">
        <v>459</v>
      </c>
      <c r="P2480" t="s">
        <v>436</v>
      </c>
      <c r="Q2480">
        <v>7</v>
      </c>
      <c r="R2480" s="225">
        <f>Base_Periodo1[[#This Row],[CREDITOS]]-Base_Periodo1[[#This Row],[DEBITOS]]</f>
        <v>-7777.4700000000012</v>
      </c>
      <c r="S2480" s="3" t="str">
        <f>IF(ISERROR(VLOOKUP(Base_Periodo1[[#This Row],[CONTA]],BaseContasDRE[#All],4,FALSE)),"Fora do DRE",VLOOKUP(Base_Periodo1[[#This Row],[CONTA]],BaseContasDRE[#All],4,FALSE))</f>
        <v>Fora do DRE</v>
      </c>
      <c r="T2480" s="3" t="str">
        <f>IF(ISERROR(VLOOKUP(Base_Periodo1[[#This Row],[CONTA]],BaseContasDRE[#All],5,FALSE)),"Fora do DRE",VLOOKUP(Base_Periodo1[[#This Row],[CONTA]],BaseContasDRE[#All],6,FALSE))</f>
        <v>Fora do DRE</v>
      </c>
      <c r="U2480" s="3" t="str">
        <f>IF(ISERROR(VLOOKUP(Base_Periodo1[[#This Row],[CONTA]],BaseContasDRE[#All],7,FALSE)),"Fora do DRE",VLOOKUP(Base_Periodo1[[#This Row],[CONTA]],BaseContasDRE[#All],7,FALSE))</f>
        <v>Fora do DRE</v>
      </c>
      <c r="V2480" s="3" t="str">
        <f>IF(Base_Periodo1[[#This Row],[Tipo_Linha]]="Fora do DRE","Fora do DRE","( "&amp;Base_Periodo1[[#This Row],[Tipo_Linha]]&amp;" ) "&amp;Base_Periodo1[[#This Row],[Filtro]])</f>
        <v>Fora do DRE</v>
      </c>
      <c r="W2480" s="3" t="str">
        <f>LEFT(Base_Periodo1[[#This Row],[CLASS]],3)</f>
        <v>2.1</v>
      </c>
    </row>
    <row r="2481" spans="1:23" hidden="1">
      <c r="A2481" s="3" t="str">
        <f t="shared" si="38"/>
        <v>Período 1</v>
      </c>
      <c r="B2481">
        <v>7418</v>
      </c>
      <c r="C2481" t="s">
        <v>1730</v>
      </c>
      <c r="D2481" t="s">
        <v>748</v>
      </c>
      <c r="E2481" s="3" t="str">
        <f>IF(LEN(Base_Periodo1[[#This Row],[CLASS]])&gt;=7,LEFT(Base_Periodo1[[#This Row],[CLASS]],7),"")</f>
        <v>2.1.2.1</v>
      </c>
      <c r="F2481" s="3" t="str">
        <f>VLOOKUP(Base_Periodo1[[#This Row],[Aux]],Base_Contas_Balanco[#All],2,FALSE)</f>
        <v>Fornecedores Cooperados</v>
      </c>
      <c r="G2481" s="1">
        <v>42886</v>
      </c>
      <c r="H2481" s="225">
        <v>39080.010000000126</v>
      </c>
      <c r="I2481" s="225">
        <v>41417.47</v>
      </c>
      <c r="J2481" s="225">
        <v>3474</v>
      </c>
      <c r="K2481" s="225">
        <v>1136.5400000001246</v>
      </c>
      <c r="L24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1136.54</v>
      </c>
      <c r="M2481" s="225">
        <f>ROUND(IF(AND(Base_Periodo1[[#This Row],[Tipo_Linha]]="-",Base_Periodo1[[#This Row],[TIPOSALDO]]="D"),Base_Periodo1[[#This Row],[SALDO_ATUAL]]*-1,Base_Periodo1[[#This Row],[SALDO_ATUAL]]),4)</f>
        <v>1136.54</v>
      </c>
      <c r="N2481" t="s">
        <v>116</v>
      </c>
      <c r="O2481" t="s">
        <v>459</v>
      </c>
      <c r="P2481" t="s">
        <v>459</v>
      </c>
      <c r="Q2481">
        <v>7</v>
      </c>
      <c r="R2481" s="225">
        <f>Base_Periodo1[[#This Row],[CREDITOS]]-Base_Periodo1[[#This Row],[DEBITOS]]</f>
        <v>-37943.47</v>
      </c>
      <c r="S2481" s="3" t="str">
        <f>IF(ISERROR(VLOOKUP(Base_Periodo1[[#This Row],[CONTA]],BaseContasDRE[#All],4,FALSE)),"Fora do DRE",VLOOKUP(Base_Periodo1[[#This Row],[CONTA]],BaseContasDRE[#All],4,FALSE))</f>
        <v>Fora do DRE</v>
      </c>
      <c r="T2481" s="3" t="str">
        <f>IF(ISERROR(VLOOKUP(Base_Periodo1[[#This Row],[CONTA]],BaseContasDRE[#All],5,FALSE)),"Fora do DRE",VLOOKUP(Base_Periodo1[[#This Row],[CONTA]],BaseContasDRE[#All],6,FALSE))</f>
        <v>Fora do DRE</v>
      </c>
      <c r="U2481" s="3" t="str">
        <f>IF(ISERROR(VLOOKUP(Base_Periodo1[[#This Row],[CONTA]],BaseContasDRE[#All],7,FALSE)),"Fora do DRE",VLOOKUP(Base_Periodo1[[#This Row],[CONTA]],BaseContasDRE[#All],7,FALSE))</f>
        <v>Fora do DRE</v>
      </c>
      <c r="V2481" s="3" t="str">
        <f>IF(Base_Periodo1[[#This Row],[Tipo_Linha]]="Fora do DRE","Fora do DRE","( "&amp;Base_Periodo1[[#This Row],[Tipo_Linha]]&amp;" ) "&amp;Base_Periodo1[[#This Row],[Filtro]])</f>
        <v>Fora do DRE</v>
      </c>
      <c r="W2481" s="3" t="str">
        <f>LEFT(Base_Periodo1[[#This Row],[CLASS]],3)</f>
        <v>2.1</v>
      </c>
    </row>
    <row r="2482" spans="1:23" hidden="1">
      <c r="A2482" s="3" t="str">
        <f t="shared" si="38"/>
        <v>Período 1</v>
      </c>
      <c r="B2482">
        <v>2669</v>
      </c>
      <c r="C2482" t="s">
        <v>1730</v>
      </c>
      <c r="D2482" t="s">
        <v>749</v>
      </c>
      <c r="E2482" s="3" t="str">
        <f>IF(LEN(Base_Periodo1[[#This Row],[CLASS]])&gt;=7,LEFT(Base_Periodo1[[#This Row],[CLASS]],7),"")</f>
        <v>2.1.2.1</v>
      </c>
      <c r="F2482" s="3" t="str">
        <f>VLOOKUP(Base_Periodo1[[#This Row],[Aux]],Base_Contas_Balanco[#All],2,FALSE)</f>
        <v>Fornecedores Cooperados</v>
      </c>
      <c r="G2482" s="1">
        <v>42874</v>
      </c>
      <c r="I2482" s="225">
        <v>12000</v>
      </c>
      <c r="J2482" s="225">
        <v>12000</v>
      </c>
      <c r="K2482" s="225">
        <v>4.6566128730773926E-10</v>
      </c>
      <c r="L24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82" s="225">
        <f>ROUND(IF(AND(Base_Periodo1[[#This Row],[Tipo_Linha]]="-",Base_Periodo1[[#This Row],[TIPOSALDO]]="D"),Base_Periodo1[[#This Row],[SALDO_ATUAL]]*-1,Base_Periodo1[[#This Row],[SALDO_ATUAL]]),4)</f>
        <v>0</v>
      </c>
      <c r="N2482" t="s">
        <v>116</v>
      </c>
      <c r="O2482" t="s">
        <v>436</v>
      </c>
      <c r="P2482" t="s">
        <v>436</v>
      </c>
      <c r="Q2482">
        <v>7</v>
      </c>
      <c r="R2482" s="225">
        <f>Base_Periodo1[[#This Row],[CREDITOS]]-Base_Periodo1[[#This Row],[DEBITOS]]</f>
        <v>0</v>
      </c>
      <c r="S2482" s="3" t="str">
        <f>IF(ISERROR(VLOOKUP(Base_Periodo1[[#This Row],[CONTA]],BaseContasDRE[#All],4,FALSE)),"Fora do DRE",VLOOKUP(Base_Periodo1[[#This Row],[CONTA]],BaseContasDRE[#All],4,FALSE))</f>
        <v>Fora do DRE</v>
      </c>
      <c r="T2482" s="3" t="str">
        <f>IF(ISERROR(VLOOKUP(Base_Periodo1[[#This Row],[CONTA]],BaseContasDRE[#All],5,FALSE)),"Fora do DRE",VLOOKUP(Base_Periodo1[[#This Row],[CONTA]],BaseContasDRE[#All],6,FALSE))</f>
        <v>Fora do DRE</v>
      </c>
      <c r="U2482" s="3" t="str">
        <f>IF(ISERROR(VLOOKUP(Base_Periodo1[[#This Row],[CONTA]],BaseContasDRE[#All],7,FALSE)),"Fora do DRE",VLOOKUP(Base_Periodo1[[#This Row],[CONTA]],BaseContasDRE[#All],7,FALSE))</f>
        <v>Fora do DRE</v>
      </c>
      <c r="V2482" s="3" t="str">
        <f>IF(Base_Periodo1[[#This Row],[Tipo_Linha]]="Fora do DRE","Fora do DRE","( "&amp;Base_Periodo1[[#This Row],[Tipo_Linha]]&amp;" ) "&amp;Base_Periodo1[[#This Row],[Filtro]])</f>
        <v>Fora do DRE</v>
      </c>
      <c r="W2482" s="3" t="str">
        <f>LEFT(Base_Periodo1[[#This Row],[CLASS]],3)</f>
        <v>2.1</v>
      </c>
    </row>
    <row r="2483" spans="1:23" hidden="1">
      <c r="A2483" s="3" t="str">
        <f t="shared" si="38"/>
        <v>Período 1</v>
      </c>
      <c r="B2483">
        <v>50711</v>
      </c>
      <c r="C2483" t="s">
        <v>1730</v>
      </c>
      <c r="D2483" t="s">
        <v>4343</v>
      </c>
      <c r="E2483" s="3" t="str">
        <f>IF(LEN(Base_Periodo1[[#This Row],[CLASS]])&gt;=7,LEFT(Base_Periodo1[[#This Row],[CLASS]],7),"")</f>
        <v>2.1.2.1</v>
      </c>
      <c r="F2483" s="3" t="str">
        <f>VLOOKUP(Base_Periodo1[[#This Row],[Aux]],Base_Contas_Balanco[#All],2,FALSE)</f>
        <v>Fornecedores Cooperados</v>
      </c>
      <c r="G2483" s="1">
        <v>42885</v>
      </c>
      <c r="H2483" s="225">
        <v>162.77000000001863</v>
      </c>
      <c r="I2483" s="225">
        <v>27027.52</v>
      </c>
      <c r="J2483" s="225">
        <v>27027.52</v>
      </c>
      <c r="K2483" s="225">
        <v>162.77000000001863</v>
      </c>
      <c r="L24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162.77000000000001</v>
      </c>
      <c r="M2483" s="225">
        <f>ROUND(IF(AND(Base_Periodo1[[#This Row],[Tipo_Linha]]="-",Base_Periodo1[[#This Row],[TIPOSALDO]]="D"),Base_Periodo1[[#This Row],[SALDO_ATUAL]]*-1,Base_Periodo1[[#This Row],[SALDO_ATUAL]]),4)</f>
        <v>162.77000000000001</v>
      </c>
      <c r="N2483" t="s">
        <v>116</v>
      </c>
      <c r="O2483" t="s">
        <v>459</v>
      </c>
      <c r="P2483" t="s">
        <v>459</v>
      </c>
      <c r="Q2483">
        <v>7</v>
      </c>
      <c r="R2483" s="225">
        <f>Base_Periodo1[[#This Row],[CREDITOS]]-Base_Periodo1[[#This Row],[DEBITOS]]</f>
        <v>0</v>
      </c>
      <c r="S2483" s="3" t="str">
        <f>IF(ISERROR(VLOOKUP(Base_Periodo1[[#This Row],[CONTA]],BaseContasDRE[#All],4,FALSE)),"Fora do DRE",VLOOKUP(Base_Periodo1[[#This Row],[CONTA]],BaseContasDRE[#All],4,FALSE))</f>
        <v>Fora do DRE</v>
      </c>
      <c r="T2483" s="3" t="str">
        <f>IF(ISERROR(VLOOKUP(Base_Periodo1[[#This Row],[CONTA]],BaseContasDRE[#All],5,FALSE)),"Fora do DRE",VLOOKUP(Base_Periodo1[[#This Row],[CONTA]],BaseContasDRE[#All],6,FALSE))</f>
        <v>Fora do DRE</v>
      </c>
      <c r="U2483" s="3" t="str">
        <f>IF(ISERROR(VLOOKUP(Base_Periodo1[[#This Row],[CONTA]],BaseContasDRE[#All],7,FALSE)),"Fora do DRE",VLOOKUP(Base_Periodo1[[#This Row],[CONTA]],BaseContasDRE[#All],7,FALSE))</f>
        <v>Fora do DRE</v>
      </c>
      <c r="V2483" s="3" t="str">
        <f>IF(Base_Periodo1[[#This Row],[Tipo_Linha]]="Fora do DRE","Fora do DRE","( "&amp;Base_Periodo1[[#This Row],[Tipo_Linha]]&amp;" ) "&amp;Base_Periodo1[[#This Row],[Filtro]])</f>
        <v>Fora do DRE</v>
      </c>
      <c r="W2483" s="3" t="str">
        <f>LEFT(Base_Periodo1[[#This Row],[CLASS]],3)</f>
        <v>2.1</v>
      </c>
    </row>
    <row r="2484" spans="1:23" hidden="1">
      <c r="A2484" s="3" t="str">
        <f t="shared" si="38"/>
        <v>Período 1</v>
      </c>
      <c r="B2484">
        <v>3993</v>
      </c>
      <c r="C2484" t="s">
        <v>1730</v>
      </c>
      <c r="D2484" t="s">
        <v>5004</v>
      </c>
      <c r="E2484" s="3" t="str">
        <f>IF(LEN(Base_Periodo1[[#This Row],[CLASS]])&gt;=7,LEFT(Base_Periodo1[[#This Row],[CLASS]],7),"")</f>
        <v>2.1.2.1</v>
      </c>
      <c r="F2484" s="3" t="str">
        <f>VLOOKUP(Base_Periodo1[[#This Row],[Aux]],Base_Contas_Balanco[#All],2,FALSE)</f>
        <v>Fornecedores Cooperados</v>
      </c>
      <c r="G2484" s="1">
        <v>42880</v>
      </c>
      <c r="H2484" s="225">
        <v>1006.9099999996834</v>
      </c>
      <c r="I2484" s="225">
        <v>0</v>
      </c>
      <c r="J2484" s="225">
        <v>1456.92</v>
      </c>
      <c r="K2484" s="225">
        <v>2463.8299999996834</v>
      </c>
      <c r="L24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2463.83</v>
      </c>
      <c r="M2484" s="225">
        <f>ROUND(IF(AND(Base_Periodo1[[#This Row],[Tipo_Linha]]="-",Base_Periodo1[[#This Row],[TIPOSALDO]]="D"),Base_Periodo1[[#This Row],[SALDO_ATUAL]]*-1,Base_Periodo1[[#This Row],[SALDO_ATUAL]]),4)</f>
        <v>2463.83</v>
      </c>
      <c r="N2484" t="s">
        <v>116</v>
      </c>
      <c r="O2484" t="s">
        <v>459</v>
      </c>
      <c r="P2484" t="s">
        <v>459</v>
      </c>
      <c r="Q2484">
        <v>7</v>
      </c>
      <c r="R2484" s="225">
        <f>Base_Periodo1[[#This Row],[CREDITOS]]-Base_Periodo1[[#This Row],[DEBITOS]]</f>
        <v>1456.92</v>
      </c>
      <c r="S2484" s="3" t="str">
        <f>IF(ISERROR(VLOOKUP(Base_Periodo1[[#This Row],[CONTA]],BaseContasDRE[#All],4,FALSE)),"Fora do DRE",VLOOKUP(Base_Periodo1[[#This Row],[CONTA]],BaseContasDRE[#All],4,FALSE))</f>
        <v>Fora do DRE</v>
      </c>
      <c r="T2484" s="3" t="str">
        <f>IF(ISERROR(VLOOKUP(Base_Periodo1[[#This Row],[CONTA]],BaseContasDRE[#All],5,FALSE)),"Fora do DRE",VLOOKUP(Base_Periodo1[[#This Row],[CONTA]],BaseContasDRE[#All],6,FALSE))</f>
        <v>Fora do DRE</v>
      </c>
      <c r="U2484" s="3" t="str">
        <f>IF(ISERROR(VLOOKUP(Base_Periodo1[[#This Row],[CONTA]],BaseContasDRE[#All],7,FALSE)),"Fora do DRE",VLOOKUP(Base_Periodo1[[#This Row],[CONTA]],BaseContasDRE[#All],7,FALSE))</f>
        <v>Fora do DRE</v>
      </c>
      <c r="V2484" s="3" t="str">
        <f>IF(Base_Periodo1[[#This Row],[Tipo_Linha]]="Fora do DRE","Fora do DRE","( "&amp;Base_Periodo1[[#This Row],[Tipo_Linha]]&amp;" ) "&amp;Base_Periodo1[[#This Row],[Filtro]])</f>
        <v>Fora do DRE</v>
      </c>
      <c r="W2484" s="3" t="str">
        <f>LEFT(Base_Periodo1[[#This Row],[CLASS]],3)</f>
        <v>2.1</v>
      </c>
    </row>
    <row r="2485" spans="1:23" hidden="1">
      <c r="A2485" s="3" t="str">
        <f t="shared" si="38"/>
        <v>Período 1</v>
      </c>
      <c r="B2485">
        <v>12916</v>
      </c>
      <c r="C2485" t="s">
        <v>1730</v>
      </c>
      <c r="D2485" t="s">
        <v>750</v>
      </c>
      <c r="E2485" s="3" t="str">
        <f>IF(LEN(Base_Periodo1[[#This Row],[CLASS]])&gt;=7,LEFT(Base_Periodo1[[#This Row],[CLASS]],7),"")</f>
        <v>2.1.2.1</v>
      </c>
      <c r="F2485" s="3" t="str">
        <f>VLOOKUP(Base_Periodo1[[#This Row],[Aux]],Base_Contas_Balanco[#All],2,FALSE)</f>
        <v>Fornecedores Cooperados</v>
      </c>
      <c r="G2485" s="1">
        <v>42880</v>
      </c>
      <c r="I2485" s="225">
        <v>6040</v>
      </c>
      <c r="J2485" s="225">
        <v>6040</v>
      </c>
      <c r="K2485" s="225">
        <v>2.9103830456733704E-11</v>
      </c>
      <c r="L24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85" s="225">
        <f>ROUND(IF(AND(Base_Periodo1[[#This Row],[Tipo_Linha]]="-",Base_Periodo1[[#This Row],[TIPOSALDO]]="D"),Base_Periodo1[[#This Row],[SALDO_ATUAL]]*-1,Base_Periodo1[[#This Row],[SALDO_ATUAL]]),4)</f>
        <v>0</v>
      </c>
      <c r="N2485" t="s">
        <v>116</v>
      </c>
      <c r="O2485" t="s">
        <v>436</v>
      </c>
      <c r="P2485" t="s">
        <v>436</v>
      </c>
      <c r="Q2485">
        <v>7</v>
      </c>
      <c r="R2485" s="225">
        <f>Base_Periodo1[[#This Row],[CREDITOS]]-Base_Periodo1[[#This Row],[DEBITOS]]</f>
        <v>0</v>
      </c>
      <c r="S2485" s="3" t="str">
        <f>IF(ISERROR(VLOOKUP(Base_Periodo1[[#This Row],[CONTA]],BaseContasDRE[#All],4,FALSE)),"Fora do DRE",VLOOKUP(Base_Periodo1[[#This Row],[CONTA]],BaseContasDRE[#All],4,FALSE))</f>
        <v>Fora do DRE</v>
      </c>
      <c r="T2485" s="3" t="str">
        <f>IF(ISERROR(VLOOKUP(Base_Periodo1[[#This Row],[CONTA]],BaseContasDRE[#All],5,FALSE)),"Fora do DRE",VLOOKUP(Base_Periodo1[[#This Row],[CONTA]],BaseContasDRE[#All],6,FALSE))</f>
        <v>Fora do DRE</v>
      </c>
      <c r="U2485" s="3" t="str">
        <f>IF(ISERROR(VLOOKUP(Base_Periodo1[[#This Row],[CONTA]],BaseContasDRE[#All],7,FALSE)),"Fora do DRE",VLOOKUP(Base_Periodo1[[#This Row],[CONTA]],BaseContasDRE[#All],7,FALSE))</f>
        <v>Fora do DRE</v>
      </c>
      <c r="V2485" s="3" t="str">
        <f>IF(Base_Periodo1[[#This Row],[Tipo_Linha]]="Fora do DRE","Fora do DRE","( "&amp;Base_Periodo1[[#This Row],[Tipo_Linha]]&amp;" ) "&amp;Base_Periodo1[[#This Row],[Filtro]])</f>
        <v>Fora do DRE</v>
      </c>
      <c r="W2485" s="3" t="str">
        <f>LEFT(Base_Periodo1[[#This Row],[CLASS]],3)</f>
        <v>2.1</v>
      </c>
    </row>
    <row r="2486" spans="1:23" hidden="1">
      <c r="A2486" s="3" t="str">
        <f t="shared" si="38"/>
        <v>Período 1</v>
      </c>
      <c r="B2486">
        <v>57862</v>
      </c>
      <c r="C2486" t="s">
        <v>1730</v>
      </c>
      <c r="D2486" t="s">
        <v>6342</v>
      </c>
      <c r="E2486" s="3" t="str">
        <f>IF(LEN(Base_Periodo1[[#This Row],[CLASS]])&gt;=7,LEFT(Base_Periodo1[[#This Row],[CLASS]],7),"")</f>
        <v>2.1.2.1</v>
      </c>
      <c r="F2486" s="3" t="str">
        <f>VLOOKUP(Base_Periodo1[[#This Row],[Aux]],Base_Contas_Balanco[#All],2,FALSE)</f>
        <v>Fornecedores Cooperados</v>
      </c>
      <c r="G2486" s="1">
        <v>42830</v>
      </c>
      <c r="H2486" s="225">
        <v>50.989999999998872</v>
      </c>
      <c r="I2486" s="225">
        <v>0</v>
      </c>
      <c r="J2486" s="225">
        <v>0</v>
      </c>
      <c r="K2486" s="225">
        <v>50.989999999998872</v>
      </c>
      <c r="L24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50.99</v>
      </c>
      <c r="M2486" s="225">
        <f>ROUND(IF(AND(Base_Periodo1[[#This Row],[Tipo_Linha]]="-",Base_Periodo1[[#This Row],[TIPOSALDO]]="D"),Base_Periodo1[[#This Row],[SALDO_ATUAL]]*-1,Base_Periodo1[[#This Row],[SALDO_ATUAL]]),4)</f>
        <v>50.99</v>
      </c>
      <c r="N2486" t="s">
        <v>116</v>
      </c>
      <c r="O2486" t="s">
        <v>459</v>
      </c>
      <c r="P2486" t="s">
        <v>459</v>
      </c>
      <c r="Q2486">
        <v>7</v>
      </c>
      <c r="R2486" s="225">
        <f>Base_Periodo1[[#This Row],[CREDITOS]]-Base_Periodo1[[#This Row],[DEBITOS]]</f>
        <v>0</v>
      </c>
      <c r="S2486" s="3" t="str">
        <f>IF(ISERROR(VLOOKUP(Base_Periodo1[[#This Row],[CONTA]],BaseContasDRE[#All],4,FALSE)),"Fora do DRE",VLOOKUP(Base_Periodo1[[#This Row],[CONTA]],BaseContasDRE[#All],4,FALSE))</f>
        <v>Fora do DRE</v>
      </c>
      <c r="T2486" s="3" t="str">
        <f>IF(ISERROR(VLOOKUP(Base_Periodo1[[#This Row],[CONTA]],BaseContasDRE[#All],5,FALSE)),"Fora do DRE",VLOOKUP(Base_Periodo1[[#This Row],[CONTA]],BaseContasDRE[#All],6,FALSE))</f>
        <v>Fora do DRE</v>
      </c>
      <c r="U2486" s="3" t="str">
        <f>IF(ISERROR(VLOOKUP(Base_Periodo1[[#This Row],[CONTA]],BaseContasDRE[#All],7,FALSE)),"Fora do DRE",VLOOKUP(Base_Periodo1[[#This Row],[CONTA]],BaseContasDRE[#All],7,FALSE))</f>
        <v>Fora do DRE</v>
      </c>
      <c r="V2486" s="3" t="str">
        <f>IF(Base_Periodo1[[#This Row],[Tipo_Linha]]="Fora do DRE","Fora do DRE","( "&amp;Base_Periodo1[[#This Row],[Tipo_Linha]]&amp;" ) "&amp;Base_Periodo1[[#This Row],[Filtro]])</f>
        <v>Fora do DRE</v>
      </c>
      <c r="W2486" s="3" t="str">
        <f>LEFT(Base_Periodo1[[#This Row],[CLASS]],3)</f>
        <v>2.1</v>
      </c>
    </row>
    <row r="2487" spans="1:23" hidden="1">
      <c r="A2487" s="3" t="str">
        <f t="shared" si="38"/>
        <v>Período 1</v>
      </c>
      <c r="B2487">
        <v>46883</v>
      </c>
      <c r="C2487" t="s">
        <v>1730</v>
      </c>
      <c r="D2487" t="s">
        <v>751</v>
      </c>
      <c r="E2487" s="3" t="str">
        <f>IF(LEN(Base_Periodo1[[#This Row],[CLASS]])&gt;=7,LEFT(Base_Periodo1[[#This Row],[CLASS]],7),"")</f>
        <v>2.1.2.1</v>
      </c>
      <c r="F2487" s="3" t="str">
        <f>VLOOKUP(Base_Periodo1[[#This Row],[Aux]],Base_Contas_Balanco[#All],2,FALSE)</f>
        <v>Fornecedores Cooperados</v>
      </c>
      <c r="G2487" s="1">
        <v>42863</v>
      </c>
      <c r="I2487" s="225">
        <v>8217</v>
      </c>
      <c r="J2487" s="225">
        <v>8217</v>
      </c>
      <c r="K2487" s="225">
        <v>2.9103830456733704E-11</v>
      </c>
      <c r="L24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87" s="225">
        <f>ROUND(IF(AND(Base_Periodo1[[#This Row],[Tipo_Linha]]="-",Base_Periodo1[[#This Row],[TIPOSALDO]]="D"),Base_Periodo1[[#This Row],[SALDO_ATUAL]]*-1,Base_Periodo1[[#This Row],[SALDO_ATUAL]]),4)</f>
        <v>0</v>
      </c>
      <c r="N2487" t="s">
        <v>116</v>
      </c>
      <c r="O2487" t="s">
        <v>436</v>
      </c>
      <c r="P2487" t="s">
        <v>436</v>
      </c>
      <c r="Q2487">
        <v>7</v>
      </c>
      <c r="R2487" s="225">
        <f>Base_Periodo1[[#This Row],[CREDITOS]]-Base_Periodo1[[#This Row],[DEBITOS]]</f>
        <v>0</v>
      </c>
      <c r="S2487" s="3" t="str">
        <f>IF(ISERROR(VLOOKUP(Base_Periodo1[[#This Row],[CONTA]],BaseContasDRE[#All],4,FALSE)),"Fora do DRE",VLOOKUP(Base_Periodo1[[#This Row],[CONTA]],BaseContasDRE[#All],4,FALSE))</f>
        <v>Fora do DRE</v>
      </c>
      <c r="T2487" s="3" t="str">
        <f>IF(ISERROR(VLOOKUP(Base_Periodo1[[#This Row],[CONTA]],BaseContasDRE[#All],5,FALSE)),"Fora do DRE",VLOOKUP(Base_Periodo1[[#This Row],[CONTA]],BaseContasDRE[#All],6,FALSE))</f>
        <v>Fora do DRE</v>
      </c>
      <c r="U2487" s="3" t="str">
        <f>IF(ISERROR(VLOOKUP(Base_Periodo1[[#This Row],[CONTA]],BaseContasDRE[#All],7,FALSE)),"Fora do DRE",VLOOKUP(Base_Periodo1[[#This Row],[CONTA]],BaseContasDRE[#All],7,FALSE))</f>
        <v>Fora do DRE</v>
      </c>
      <c r="V2487" s="3" t="str">
        <f>IF(Base_Periodo1[[#This Row],[Tipo_Linha]]="Fora do DRE","Fora do DRE","( "&amp;Base_Periodo1[[#This Row],[Tipo_Linha]]&amp;" ) "&amp;Base_Periodo1[[#This Row],[Filtro]])</f>
        <v>Fora do DRE</v>
      </c>
      <c r="W2487" s="3" t="str">
        <f>LEFT(Base_Periodo1[[#This Row],[CLASS]],3)</f>
        <v>2.1</v>
      </c>
    </row>
    <row r="2488" spans="1:23" hidden="1">
      <c r="A2488" s="3" t="str">
        <f t="shared" si="38"/>
        <v>Período 1</v>
      </c>
      <c r="B2488">
        <v>7050</v>
      </c>
      <c r="C2488" t="s">
        <v>1730</v>
      </c>
      <c r="D2488" t="s">
        <v>755</v>
      </c>
      <c r="E2488" s="3" t="str">
        <f>IF(LEN(Base_Periodo1[[#This Row],[CLASS]])&gt;=7,LEFT(Base_Periodo1[[#This Row],[CLASS]],7),"")</f>
        <v>2.1.2.1</v>
      </c>
      <c r="F2488" s="3" t="str">
        <f>VLOOKUP(Base_Periodo1[[#This Row],[Aux]],Base_Contas_Balanco[#All],2,FALSE)</f>
        <v>Fornecedores Cooperados</v>
      </c>
      <c r="G2488" s="1">
        <v>42874</v>
      </c>
      <c r="H2488" s="225">
        <v>11696.640000002459</v>
      </c>
      <c r="I2488" s="225">
        <v>68594.77</v>
      </c>
      <c r="J2488" s="225">
        <v>126898.13</v>
      </c>
      <c r="K2488" s="225">
        <v>70000.000000002459</v>
      </c>
      <c r="L24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70000</v>
      </c>
      <c r="M2488" s="225">
        <f>ROUND(IF(AND(Base_Periodo1[[#This Row],[Tipo_Linha]]="-",Base_Periodo1[[#This Row],[TIPOSALDO]]="D"),Base_Periodo1[[#This Row],[SALDO_ATUAL]]*-1,Base_Periodo1[[#This Row],[SALDO_ATUAL]]),4)</f>
        <v>70000</v>
      </c>
      <c r="N2488" t="s">
        <v>116</v>
      </c>
      <c r="O2488" t="s">
        <v>459</v>
      </c>
      <c r="P2488" t="s">
        <v>459</v>
      </c>
      <c r="Q2488">
        <v>7</v>
      </c>
      <c r="R2488" s="225">
        <f>Base_Periodo1[[#This Row],[CREDITOS]]-Base_Periodo1[[#This Row],[DEBITOS]]</f>
        <v>58303.360000000001</v>
      </c>
      <c r="S2488" s="3" t="str">
        <f>IF(ISERROR(VLOOKUP(Base_Periodo1[[#This Row],[CONTA]],BaseContasDRE[#All],4,FALSE)),"Fora do DRE",VLOOKUP(Base_Periodo1[[#This Row],[CONTA]],BaseContasDRE[#All],4,FALSE))</f>
        <v>Fora do DRE</v>
      </c>
      <c r="T2488" s="3" t="str">
        <f>IF(ISERROR(VLOOKUP(Base_Periodo1[[#This Row],[CONTA]],BaseContasDRE[#All],5,FALSE)),"Fora do DRE",VLOOKUP(Base_Periodo1[[#This Row],[CONTA]],BaseContasDRE[#All],6,FALSE))</f>
        <v>Fora do DRE</v>
      </c>
      <c r="U2488" s="3" t="str">
        <f>IF(ISERROR(VLOOKUP(Base_Periodo1[[#This Row],[CONTA]],BaseContasDRE[#All],7,FALSE)),"Fora do DRE",VLOOKUP(Base_Periodo1[[#This Row],[CONTA]],BaseContasDRE[#All],7,FALSE))</f>
        <v>Fora do DRE</v>
      </c>
      <c r="V2488" s="3" t="str">
        <f>IF(Base_Periodo1[[#This Row],[Tipo_Linha]]="Fora do DRE","Fora do DRE","( "&amp;Base_Periodo1[[#This Row],[Tipo_Linha]]&amp;" ) "&amp;Base_Periodo1[[#This Row],[Filtro]])</f>
        <v>Fora do DRE</v>
      </c>
      <c r="W2488" s="3" t="str">
        <f>LEFT(Base_Periodo1[[#This Row],[CLASS]],3)</f>
        <v>2.1</v>
      </c>
    </row>
    <row r="2489" spans="1:23" hidden="1">
      <c r="A2489" s="3" t="str">
        <f t="shared" si="38"/>
        <v>Período 1</v>
      </c>
      <c r="B2489">
        <v>12760</v>
      </c>
      <c r="C2489" t="s">
        <v>1730</v>
      </c>
      <c r="D2489" t="s">
        <v>756</v>
      </c>
      <c r="E2489" s="3" t="str">
        <f>IF(LEN(Base_Periodo1[[#This Row],[CLASS]])&gt;=7,LEFT(Base_Periodo1[[#This Row],[CLASS]],7),"")</f>
        <v>2.1.2.1</v>
      </c>
      <c r="F2489" s="3" t="str">
        <f>VLOOKUP(Base_Periodo1[[#This Row],[Aux]],Base_Contas_Balanco[#All],2,FALSE)</f>
        <v>Fornecedores Cooperados</v>
      </c>
      <c r="G2489" s="1">
        <v>42717</v>
      </c>
      <c r="H2489" s="225">
        <v>1564.3999999999942</v>
      </c>
      <c r="I2489" s="225">
        <v>0</v>
      </c>
      <c r="J2489" s="225">
        <v>0</v>
      </c>
      <c r="K2489" s="225">
        <v>1564.3999999999942</v>
      </c>
      <c r="L24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1564.4</v>
      </c>
      <c r="M2489" s="225">
        <f>ROUND(IF(AND(Base_Periodo1[[#This Row],[Tipo_Linha]]="-",Base_Periodo1[[#This Row],[TIPOSALDO]]="D"),Base_Periodo1[[#This Row],[SALDO_ATUAL]]*-1,Base_Periodo1[[#This Row],[SALDO_ATUAL]]),4)</f>
        <v>1564.4</v>
      </c>
      <c r="N2489" t="s">
        <v>116</v>
      </c>
      <c r="O2489" t="s">
        <v>459</v>
      </c>
      <c r="P2489" t="s">
        <v>459</v>
      </c>
      <c r="Q2489">
        <v>7</v>
      </c>
      <c r="R2489" s="225">
        <f>Base_Periodo1[[#This Row],[CREDITOS]]-Base_Periodo1[[#This Row],[DEBITOS]]</f>
        <v>0</v>
      </c>
      <c r="S2489" s="3" t="str">
        <f>IF(ISERROR(VLOOKUP(Base_Periodo1[[#This Row],[CONTA]],BaseContasDRE[#All],4,FALSE)),"Fora do DRE",VLOOKUP(Base_Periodo1[[#This Row],[CONTA]],BaseContasDRE[#All],4,FALSE))</f>
        <v>Fora do DRE</v>
      </c>
      <c r="T2489" s="3" t="str">
        <f>IF(ISERROR(VLOOKUP(Base_Periodo1[[#This Row],[CONTA]],BaseContasDRE[#All],5,FALSE)),"Fora do DRE",VLOOKUP(Base_Periodo1[[#This Row],[CONTA]],BaseContasDRE[#All],6,FALSE))</f>
        <v>Fora do DRE</v>
      </c>
      <c r="U2489" s="3" t="str">
        <f>IF(ISERROR(VLOOKUP(Base_Periodo1[[#This Row],[CONTA]],BaseContasDRE[#All],7,FALSE)),"Fora do DRE",VLOOKUP(Base_Periodo1[[#This Row],[CONTA]],BaseContasDRE[#All],7,FALSE))</f>
        <v>Fora do DRE</v>
      </c>
      <c r="V2489" s="3" t="str">
        <f>IF(Base_Periodo1[[#This Row],[Tipo_Linha]]="Fora do DRE","Fora do DRE","( "&amp;Base_Periodo1[[#This Row],[Tipo_Linha]]&amp;" ) "&amp;Base_Periodo1[[#This Row],[Filtro]])</f>
        <v>Fora do DRE</v>
      </c>
      <c r="W2489" s="3" t="str">
        <f>LEFT(Base_Periodo1[[#This Row],[CLASS]],3)</f>
        <v>2.1</v>
      </c>
    </row>
    <row r="2490" spans="1:23" hidden="1">
      <c r="A2490" s="3" t="str">
        <f t="shared" si="38"/>
        <v>Período 1</v>
      </c>
      <c r="B2490">
        <v>12023</v>
      </c>
      <c r="C2490" t="s">
        <v>1730</v>
      </c>
      <c r="D2490" t="s">
        <v>757</v>
      </c>
      <c r="E2490" s="3" t="str">
        <f>IF(LEN(Base_Periodo1[[#This Row],[CLASS]])&gt;=7,LEFT(Base_Periodo1[[#This Row],[CLASS]],7),"")</f>
        <v>2.1.2.1</v>
      </c>
      <c r="F2490" s="3" t="str">
        <f>VLOOKUP(Base_Periodo1[[#This Row],[Aux]],Base_Contas_Balanco[#All],2,FALSE)</f>
        <v>Fornecedores Cooperados</v>
      </c>
      <c r="G2490" s="1">
        <v>42878</v>
      </c>
      <c r="I2490" s="225">
        <v>45976.229999999996</v>
      </c>
      <c r="J2490" s="225">
        <v>45976.23</v>
      </c>
      <c r="K2490" s="225">
        <v>1.0913936421275139E-10</v>
      </c>
      <c r="L24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90" s="225">
        <f>ROUND(IF(AND(Base_Periodo1[[#This Row],[Tipo_Linha]]="-",Base_Periodo1[[#This Row],[TIPOSALDO]]="D"),Base_Periodo1[[#This Row],[SALDO_ATUAL]]*-1,Base_Periodo1[[#This Row],[SALDO_ATUAL]]),4)</f>
        <v>0</v>
      </c>
      <c r="N2490" t="s">
        <v>116</v>
      </c>
      <c r="O2490" t="s">
        <v>436</v>
      </c>
      <c r="P2490" t="s">
        <v>436</v>
      </c>
      <c r="Q2490">
        <v>7</v>
      </c>
      <c r="R2490" s="225">
        <f>Base_Periodo1[[#This Row],[CREDITOS]]-Base_Periodo1[[#This Row],[DEBITOS]]</f>
        <v>0</v>
      </c>
      <c r="S2490" s="3" t="str">
        <f>IF(ISERROR(VLOOKUP(Base_Periodo1[[#This Row],[CONTA]],BaseContasDRE[#All],4,FALSE)),"Fora do DRE",VLOOKUP(Base_Periodo1[[#This Row],[CONTA]],BaseContasDRE[#All],4,FALSE))</f>
        <v>Fora do DRE</v>
      </c>
      <c r="T2490" s="3" t="str">
        <f>IF(ISERROR(VLOOKUP(Base_Periodo1[[#This Row],[CONTA]],BaseContasDRE[#All],5,FALSE)),"Fora do DRE",VLOOKUP(Base_Periodo1[[#This Row],[CONTA]],BaseContasDRE[#All],6,FALSE))</f>
        <v>Fora do DRE</v>
      </c>
      <c r="U2490" s="3" t="str">
        <f>IF(ISERROR(VLOOKUP(Base_Periodo1[[#This Row],[CONTA]],BaseContasDRE[#All],7,FALSE)),"Fora do DRE",VLOOKUP(Base_Periodo1[[#This Row],[CONTA]],BaseContasDRE[#All],7,FALSE))</f>
        <v>Fora do DRE</v>
      </c>
      <c r="V2490" s="3" t="str">
        <f>IF(Base_Periodo1[[#This Row],[Tipo_Linha]]="Fora do DRE","Fora do DRE","( "&amp;Base_Periodo1[[#This Row],[Tipo_Linha]]&amp;" ) "&amp;Base_Periodo1[[#This Row],[Filtro]])</f>
        <v>Fora do DRE</v>
      </c>
      <c r="W2490" s="3" t="str">
        <f>LEFT(Base_Periodo1[[#This Row],[CLASS]],3)</f>
        <v>2.1</v>
      </c>
    </row>
    <row r="2491" spans="1:23" hidden="1">
      <c r="A2491" s="3" t="str">
        <f t="shared" si="38"/>
        <v>Período 1</v>
      </c>
      <c r="B2491">
        <v>9187</v>
      </c>
      <c r="C2491" t="s">
        <v>1730</v>
      </c>
      <c r="D2491" t="s">
        <v>4244</v>
      </c>
      <c r="E2491" s="3" t="str">
        <f>IF(LEN(Base_Periodo1[[#This Row],[CLASS]])&gt;=7,LEFT(Base_Periodo1[[#This Row],[CLASS]],7),"")</f>
        <v>2.1.2.1</v>
      </c>
      <c r="F2491" s="3" t="str">
        <f>VLOOKUP(Base_Periodo1[[#This Row],[Aux]],Base_Contas_Balanco[#All],2,FALSE)</f>
        <v>Fornecedores Cooperados</v>
      </c>
      <c r="G2491" s="1">
        <v>42836</v>
      </c>
      <c r="H2491" s="225">
        <v>2343.0199999999604</v>
      </c>
      <c r="I2491" s="225">
        <v>0</v>
      </c>
      <c r="J2491" s="225">
        <v>0</v>
      </c>
      <c r="K2491" s="225">
        <v>2343.0199999999604</v>
      </c>
      <c r="L24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2343.02</v>
      </c>
      <c r="M2491" s="225">
        <f>ROUND(IF(AND(Base_Periodo1[[#This Row],[Tipo_Linha]]="-",Base_Periodo1[[#This Row],[TIPOSALDO]]="D"),Base_Periodo1[[#This Row],[SALDO_ATUAL]]*-1,Base_Periodo1[[#This Row],[SALDO_ATUAL]]),4)</f>
        <v>2343.02</v>
      </c>
      <c r="N2491" t="s">
        <v>116</v>
      </c>
      <c r="O2491" t="s">
        <v>459</v>
      </c>
      <c r="P2491" t="s">
        <v>459</v>
      </c>
      <c r="Q2491">
        <v>7</v>
      </c>
      <c r="R2491" s="225">
        <f>Base_Periodo1[[#This Row],[CREDITOS]]-Base_Periodo1[[#This Row],[DEBITOS]]</f>
        <v>0</v>
      </c>
      <c r="S2491" s="3" t="str">
        <f>IF(ISERROR(VLOOKUP(Base_Periodo1[[#This Row],[CONTA]],BaseContasDRE[#All],4,FALSE)),"Fora do DRE",VLOOKUP(Base_Periodo1[[#This Row],[CONTA]],BaseContasDRE[#All],4,FALSE))</f>
        <v>Fora do DRE</v>
      </c>
      <c r="T2491" s="3" t="str">
        <f>IF(ISERROR(VLOOKUP(Base_Periodo1[[#This Row],[CONTA]],BaseContasDRE[#All],5,FALSE)),"Fora do DRE",VLOOKUP(Base_Periodo1[[#This Row],[CONTA]],BaseContasDRE[#All],6,FALSE))</f>
        <v>Fora do DRE</v>
      </c>
      <c r="U2491" s="3" t="str">
        <f>IF(ISERROR(VLOOKUP(Base_Periodo1[[#This Row],[CONTA]],BaseContasDRE[#All],7,FALSE)),"Fora do DRE",VLOOKUP(Base_Periodo1[[#This Row],[CONTA]],BaseContasDRE[#All],7,FALSE))</f>
        <v>Fora do DRE</v>
      </c>
      <c r="V2491" s="3" t="str">
        <f>IF(Base_Periodo1[[#This Row],[Tipo_Linha]]="Fora do DRE","Fora do DRE","( "&amp;Base_Periodo1[[#This Row],[Tipo_Linha]]&amp;" ) "&amp;Base_Periodo1[[#This Row],[Filtro]])</f>
        <v>Fora do DRE</v>
      </c>
      <c r="W2491" s="3" t="str">
        <f>LEFT(Base_Periodo1[[#This Row],[CLASS]],3)</f>
        <v>2.1</v>
      </c>
    </row>
    <row r="2492" spans="1:23" hidden="1">
      <c r="A2492" s="3" t="str">
        <f t="shared" si="38"/>
        <v>Período 1</v>
      </c>
      <c r="B2492">
        <v>18648</v>
      </c>
      <c r="C2492" t="s">
        <v>1730</v>
      </c>
      <c r="D2492" t="s">
        <v>5006</v>
      </c>
      <c r="E2492" s="3" t="str">
        <f>IF(LEN(Base_Periodo1[[#This Row],[CLASS]])&gt;=7,LEFT(Base_Periodo1[[#This Row],[CLASS]],7),"")</f>
        <v>2.1.2.1</v>
      </c>
      <c r="F2492" s="3" t="str">
        <f>VLOOKUP(Base_Periodo1[[#This Row],[Aux]],Base_Contas_Balanco[#All],2,FALSE)</f>
        <v>Fornecedores Cooperados</v>
      </c>
      <c r="G2492" s="1">
        <v>42884</v>
      </c>
      <c r="I2492" s="225">
        <v>44278.98</v>
      </c>
      <c r="J2492" s="225">
        <v>44278.979999999996</v>
      </c>
      <c r="K2492" s="225">
        <v>3.637978807091713E-11</v>
      </c>
      <c r="L24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92" s="225">
        <f>ROUND(IF(AND(Base_Periodo1[[#This Row],[Tipo_Linha]]="-",Base_Periodo1[[#This Row],[TIPOSALDO]]="D"),Base_Periodo1[[#This Row],[SALDO_ATUAL]]*-1,Base_Periodo1[[#This Row],[SALDO_ATUAL]]),4)</f>
        <v>0</v>
      </c>
      <c r="N2492" t="s">
        <v>116</v>
      </c>
      <c r="O2492" t="s">
        <v>436</v>
      </c>
      <c r="P2492" t="s">
        <v>436</v>
      </c>
      <c r="Q2492">
        <v>7</v>
      </c>
      <c r="R2492" s="225">
        <f>Base_Periodo1[[#This Row],[CREDITOS]]-Base_Periodo1[[#This Row],[DEBITOS]]</f>
        <v>0</v>
      </c>
      <c r="S2492" s="3" t="str">
        <f>IF(ISERROR(VLOOKUP(Base_Periodo1[[#This Row],[CONTA]],BaseContasDRE[#All],4,FALSE)),"Fora do DRE",VLOOKUP(Base_Periodo1[[#This Row],[CONTA]],BaseContasDRE[#All],4,FALSE))</f>
        <v>Fora do DRE</v>
      </c>
      <c r="T2492" s="3" t="str">
        <f>IF(ISERROR(VLOOKUP(Base_Periodo1[[#This Row],[CONTA]],BaseContasDRE[#All],5,FALSE)),"Fora do DRE",VLOOKUP(Base_Periodo1[[#This Row],[CONTA]],BaseContasDRE[#All],6,FALSE))</f>
        <v>Fora do DRE</v>
      </c>
      <c r="U2492" s="3" t="str">
        <f>IF(ISERROR(VLOOKUP(Base_Periodo1[[#This Row],[CONTA]],BaseContasDRE[#All],7,FALSE)),"Fora do DRE",VLOOKUP(Base_Periodo1[[#This Row],[CONTA]],BaseContasDRE[#All],7,FALSE))</f>
        <v>Fora do DRE</v>
      </c>
      <c r="V2492" s="3" t="str">
        <f>IF(Base_Periodo1[[#This Row],[Tipo_Linha]]="Fora do DRE","Fora do DRE","( "&amp;Base_Periodo1[[#This Row],[Tipo_Linha]]&amp;" ) "&amp;Base_Periodo1[[#This Row],[Filtro]])</f>
        <v>Fora do DRE</v>
      </c>
      <c r="W2492" s="3" t="str">
        <f>LEFT(Base_Periodo1[[#This Row],[CLASS]],3)</f>
        <v>2.1</v>
      </c>
    </row>
    <row r="2493" spans="1:23" hidden="1">
      <c r="A2493" s="3" t="str">
        <f t="shared" si="38"/>
        <v>Período 1</v>
      </c>
      <c r="B2493">
        <v>48924</v>
      </c>
      <c r="C2493" t="s">
        <v>1730</v>
      </c>
      <c r="D2493" t="s">
        <v>5156</v>
      </c>
      <c r="E2493" s="3" t="str">
        <f>IF(LEN(Base_Periodo1[[#This Row],[CLASS]])&gt;=7,LEFT(Base_Periodo1[[#This Row],[CLASS]],7),"")</f>
        <v>2.1.2.1</v>
      </c>
      <c r="F2493" s="3" t="str">
        <f>VLOOKUP(Base_Periodo1[[#This Row],[Aux]],Base_Contas_Balanco[#All],2,FALSE)</f>
        <v>Fornecedores Cooperados</v>
      </c>
      <c r="G2493" s="1">
        <v>42870</v>
      </c>
      <c r="I2493" s="225">
        <v>51446.92</v>
      </c>
      <c r="J2493" s="225">
        <v>51446.92</v>
      </c>
      <c r="K2493" s="225">
        <v>0</v>
      </c>
      <c r="L24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93" s="225">
        <f>ROUND(IF(AND(Base_Periodo1[[#This Row],[Tipo_Linha]]="-",Base_Periodo1[[#This Row],[TIPOSALDO]]="D"),Base_Periodo1[[#This Row],[SALDO_ATUAL]]*-1,Base_Periodo1[[#This Row],[SALDO_ATUAL]]),4)</f>
        <v>0</v>
      </c>
      <c r="N2493" t="s">
        <v>116</v>
      </c>
      <c r="O2493" t="s">
        <v>436</v>
      </c>
      <c r="P2493" t="s">
        <v>436</v>
      </c>
      <c r="Q2493">
        <v>7</v>
      </c>
      <c r="R2493" s="225">
        <f>Base_Periodo1[[#This Row],[CREDITOS]]-Base_Periodo1[[#This Row],[DEBITOS]]</f>
        <v>0</v>
      </c>
      <c r="S2493" s="3" t="str">
        <f>IF(ISERROR(VLOOKUP(Base_Periodo1[[#This Row],[CONTA]],BaseContasDRE[#All],4,FALSE)),"Fora do DRE",VLOOKUP(Base_Periodo1[[#This Row],[CONTA]],BaseContasDRE[#All],4,FALSE))</f>
        <v>Fora do DRE</v>
      </c>
      <c r="T2493" s="3" t="str">
        <f>IF(ISERROR(VLOOKUP(Base_Periodo1[[#This Row],[CONTA]],BaseContasDRE[#All],5,FALSE)),"Fora do DRE",VLOOKUP(Base_Periodo1[[#This Row],[CONTA]],BaseContasDRE[#All],6,FALSE))</f>
        <v>Fora do DRE</v>
      </c>
      <c r="U2493" s="3" t="str">
        <f>IF(ISERROR(VLOOKUP(Base_Periodo1[[#This Row],[CONTA]],BaseContasDRE[#All],7,FALSE)),"Fora do DRE",VLOOKUP(Base_Periodo1[[#This Row],[CONTA]],BaseContasDRE[#All],7,FALSE))</f>
        <v>Fora do DRE</v>
      </c>
      <c r="V2493" s="3" t="str">
        <f>IF(Base_Periodo1[[#This Row],[Tipo_Linha]]="Fora do DRE","Fora do DRE","( "&amp;Base_Periodo1[[#This Row],[Tipo_Linha]]&amp;" ) "&amp;Base_Periodo1[[#This Row],[Filtro]])</f>
        <v>Fora do DRE</v>
      </c>
      <c r="W2493" s="3" t="str">
        <f>LEFT(Base_Periodo1[[#This Row],[CLASS]],3)</f>
        <v>2.1</v>
      </c>
    </row>
    <row r="2494" spans="1:23" hidden="1">
      <c r="A2494" s="3" t="str">
        <f t="shared" si="38"/>
        <v>Período 1</v>
      </c>
      <c r="B2494">
        <v>27999</v>
      </c>
      <c r="C2494" t="s">
        <v>1730</v>
      </c>
      <c r="D2494" t="s">
        <v>5507</v>
      </c>
      <c r="E2494" s="3" t="str">
        <f>IF(LEN(Base_Periodo1[[#This Row],[CLASS]])&gt;=7,LEFT(Base_Periodo1[[#This Row],[CLASS]],7),"")</f>
        <v>2.1.2.1</v>
      </c>
      <c r="F2494" s="3" t="str">
        <f>VLOOKUP(Base_Periodo1[[#This Row],[Aux]],Base_Contas_Balanco[#All],2,FALSE)</f>
        <v>Fornecedores Cooperados</v>
      </c>
      <c r="G2494" s="1">
        <v>42717</v>
      </c>
      <c r="H2494" s="225">
        <v>91.400000000008731</v>
      </c>
      <c r="I2494" s="225">
        <v>0</v>
      </c>
      <c r="J2494" s="225">
        <v>0</v>
      </c>
      <c r="K2494" s="225">
        <v>91.400000000008731</v>
      </c>
      <c r="L24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91.4</v>
      </c>
      <c r="M2494" s="225">
        <f>ROUND(IF(AND(Base_Periodo1[[#This Row],[Tipo_Linha]]="-",Base_Periodo1[[#This Row],[TIPOSALDO]]="D"),Base_Periodo1[[#This Row],[SALDO_ATUAL]]*-1,Base_Periodo1[[#This Row],[SALDO_ATUAL]]),4)</f>
        <v>91.4</v>
      </c>
      <c r="N2494" t="s">
        <v>116</v>
      </c>
      <c r="O2494" t="s">
        <v>459</v>
      </c>
      <c r="P2494" t="s">
        <v>459</v>
      </c>
      <c r="Q2494">
        <v>7</v>
      </c>
      <c r="R2494" s="225">
        <f>Base_Periodo1[[#This Row],[CREDITOS]]-Base_Periodo1[[#This Row],[DEBITOS]]</f>
        <v>0</v>
      </c>
      <c r="S2494" s="3" t="str">
        <f>IF(ISERROR(VLOOKUP(Base_Periodo1[[#This Row],[CONTA]],BaseContasDRE[#All],4,FALSE)),"Fora do DRE",VLOOKUP(Base_Periodo1[[#This Row],[CONTA]],BaseContasDRE[#All],4,FALSE))</f>
        <v>Fora do DRE</v>
      </c>
      <c r="T2494" s="3" t="str">
        <f>IF(ISERROR(VLOOKUP(Base_Periodo1[[#This Row],[CONTA]],BaseContasDRE[#All],5,FALSE)),"Fora do DRE",VLOOKUP(Base_Periodo1[[#This Row],[CONTA]],BaseContasDRE[#All],6,FALSE))</f>
        <v>Fora do DRE</v>
      </c>
      <c r="U2494" s="3" t="str">
        <f>IF(ISERROR(VLOOKUP(Base_Periodo1[[#This Row],[CONTA]],BaseContasDRE[#All],7,FALSE)),"Fora do DRE",VLOOKUP(Base_Periodo1[[#This Row],[CONTA]],BaseContasDRE[#All],7,FALSE))</f>
        <v>Fora do DRE</v>
      </c>
      <c r="V2494" s="3" t="str">
        <f>IF(Base_Periodo1[[#This Row],[Tipo_Linha]]="Fora do DRE","Fora do DRE","( "&amp;Base_Periodo1[[#This Row],[Tipo_Linha]]&amp;" ) "&amp;Base_Periodo1[[#This Row],[Filtro]])</f>
        <v>Fora do DRE</v>
      </c>
      <c r="W2494" s="3" t="str">
        <f>LEFT(Base_Periodo1[[#This Row],[CLASS]],3)</f>
        <v>2.1</v>
      </c>
    </row>
    <row r="2495" spans="1:23" hidden="1">
      <c r="A2495" s="3" t="str">
        <f t="shared" si="38"/>
        <v>Período 1</v>
      </c>
      <c r="B2495">
        <v>12624</v>
      </c>
      <c r="C2495" t="s">
        <v>1730</v>
      </c>
      <c r="D2495" t="s">
        <v>760</v>
      </c>
      <c r="E2495" s="3" t="str">
        <f>IF(LEN(Base_Periodo1[[#This Row],[CLASS]])&gt;=7,LEFT(Base_Periodo1[[#This Row],[CLASS]],7),"")</f>
        <v>2.1.2.1</v>
      </c>
      <c r="F2495" s="3" t="str">
        <f>VLOOKUP(Base_Periodo1[[#This Row],[Aux]],Base_Contas_Balanco[#All],2,FALSE)</f>
        <v>Fornecedores Cooperados</v>
      </c>
      <c r="G2495" s="1">
        <v>42867</v>
      </c>
      <c r="H2495" s="225">
        <v>17120.399999999907</v>
      </c>
      <c r="I2495" s="225">
        <v>18828.500000000004</v>
      </c>
      <c r="J2495" s="225">
        <v>1708.1</v>
      </c>
      <c r="K2495" s="225">
        <v>9.6861185738816857E-11</v>
      </c>
      <c r="L24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95" s="225">
        <f>ROUND(IF(AND(Base_Periodo1[[#This Row],[Tipo_Linha]]="-",Base_Periodo1[[#This Row],[TIPOSALDO]]="D"),Base_Periodo1[[#This Row],[SALDO_ATUAL]]*-1,Base_Periodo1[[#This Row],[SALDO_ATUAL]]),4)</f>
        <v>0</v>
      </c>
      <c r="N2495" t="s">
        <v>116</v>
      </c>
      <c r="O2495" t="s">
        <v>459</v>
      </c>
      <c r="P2495" t="s">
        <v>436</v>
      </c>
      <c r="Q2495">
        <v>7</v>
      </c>
      <c r="R2495" s="225">
        <f>Base_Periodo1[[#This Row],[CREDITOS]]-Base_Periodo1[[#This Row],[DEBITOS]]</f>
        <v>-17120.400000000005</v>
      </c>
      <c r="S2495" s="3" t="str">
        <f>IF(ISERROR(VLOOKUP(Base_Periodo1[[#This Row],[CONTA]],BaseContasDRE[#All],4,FALSE)),"Fora do DRE",VLOOKUP(Base_Periodo1[[#This Row],[CONTA]],BaseContasDRE[#All],4,FALSE))</f>
        <v>Fora do DRE</v>
      </c>
      <c r="T2495" s="3" t="str">
        <f>IF(ISERROR(VLOOKUP(Base_Periodo1[[#This Row],[CONTA]],BaseContasDRE[#All],5,FALSE)),"Fora do DRE",VLOOKUP(Base_Periodo1[[#This Row],[CONTA]],BaseContasDRE[#All],6,FALSE))</f>
        <v>Fora do DRE</v>
      </c>
      <c r="U2495" s="3" t="str">
        <f>IF(ISERROR(VLOOKUP(Base_Periodo1[[#This Row],[CONTA]],BaseContasDRE[#All],7,FALSE)),"Fora do DRE",VLOOKUP(Base_Periodo1[[#This Row],[CONTA]],BaseContasDRE[#All],7,FALSE))</f>
        <v>Fora do DRE</v>
      </c>
      <c r="V2495" s="3" t="str">
        <f>IF(Base_Periodo1[[#This Row],[Tipo_Linha]]="Fora do DRE","Fora do DRE","( "&amp;Base_Periodo1[[#This Row],[Tipo_Linha]]&amp;" ) "&amp;Base_Periodo1[[#This Row],[Filtro]])</f>
        <v>Fora do DRE</v>
      </c>
      <c r="W2495" s="3" t="str">
        <f>LEFT(Base_Periodo1[[#This Row],[CLASS]],3)</f>
        <v>2.1</v>
      </c>
    </row>
    <row r="2496" spans="1:23" hidden="1">
      <c r="A2496" s="3" t="str">
        <f t="shared" si="38"/>
        <v>Período 1</v>
      </c>
      <c r="B2496">
        <v>8136</v>
      </c>
      <c r="C2496" t="s">
        <v>1730</v>
      </c>
      <c r="D2496" t="s">
        <v>761</v>
      </c>
      <c r="E2496" s="3" t="str">
        <f>IF(LEN(Base_Periodo1[[#This Row],[CLASS]])&gt;=7,LEFT(Base_Periodo1[[#This Row],[CLASS]],7),"")</f>
        <v>2.1.2.1</v>
      </c>
      <c r="F2496" s="3" t="str">
        <f>VLOOKUP(Base_Periodo1[[#This Row],[Aux]],Base_Contas_Balanco[#All],2,FALSE)</f>
        <v>Fornecedores Cooperados</v>
      </c>
      <c r="G2496" s="1">
        <v>42881</v>
      </c>
      <c r="I2496" s="225">
        <v>294727.5</v>
      </c>
      <c r="J2496" s="225">
        <v>294727.5</v>
      </c>
      <c r="K2496" s="225">
        <v>-9.3132257461547852E-10</v>
      </c>
      <c r="L24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96" s="225">
        <f>ROUND(IF(AND(Base_Periodo1[[#This Row],[Tipo_Linha]]="-",Base_Periodo1[[#This Row],[TIPOSALDO]]="D"),Base_Periodo1[[#This Row],[SALDO_ATUAL]]*-1,Base_Periodo1[[#This Row],[SALDO_ATUAL]]),4)</f>
        <v>0</v>
      </c>
      <c r="N2496" t="s">
        <v>116</v>
      </c>
      <c r="O2496" t="s">
        <v>436</v>
      </c>
      <c r="P2496" t="s">
        <v>436</v>
      </c>
      <c r="Q2496">
        <v>7</v>
      </c>
      <c r="R2496" s="225">
        <f>Base_Periodo1[[#This Row],[CREDITOS]]-Base_Periodo1[[#This Row],[DEBITOS]]</f>
        <v>0</v>
      </c>
      <c r="S2496" s="3" t="str">
        <f>IF(ISERROR(VLOOKUP(Base_Periodo1[[#This Row],[CONTA]],BaseContasDRE[#All],4,FALSE)),"Fora do DRE",VLOOKUP(Base_Periodo1[[#This Row],[CONTA]],BaseContasDRE[#All],4,FALSE))</f>
        <v>Fora do DRE</v>
      </c>
      <c r="T2496" s="3" t="str">
        <f>IF(ISERROR(VLOOKUP(Base_Periodo1[[#This Row],[CONTA]],BaseContasDRE[#All],5,FALSE)),"Fora do DRE",VLOOKUP(Base_Periodo1[[#This Row],[CONTA]],BaseContasDRE[#All],6,FALSE))</f>
        <v>Fora do DRE</v>
      </c>
      <c r="U2496" s="3" t="str">
        <f>IF(ISERROR(VLOOKUP(Base_Periodo1[[#This Row],[CONTA]],BaseContasDRE[#All],7,FALSE)),"Fora do DRE",VLOOKUP(Base_Periodo1[[#This Row],[CONTA]],BaseContasDRE[#All],7,FALSE))</f>
        <v>Fora do DRE</v>
      </c>
      <c r="V2496" s="3" t="str">
        <f>IF(Base_Periodo1[[#This Row],[Tipo_Linha]]="Fora do DRE","Fora do DRE","( "&amp;Base_Periodo1[[#This Row],[Tipo_Linha]]&amp;" ) "&amp;Base_Periodo1[[#This Row],[Filtro]])</f>
        <v>Fora do DRE</v>
      </c>
      <c r="W2496" s="3" t="str">
        <f>LEFT(Base_Periodo1[[#This Row],[CLASS]],3)</f>
        <v>2.1</v>
      </c>
    </row>
    <row r="2497" spans="1:23" hidden="1">
      <c r="A2497" s="3" t="str">
        <f t="shared" si="38"/>
        <v>Período 1</v>
      </c>
      <c r="B2497">
        <v>46931</v>
      </c>
      <c r="C2497" t="s">
        <v>1730</v>
      </c>
      <c r="D2497" t="s">
        <v>5055</v>
      </c>
      <c r="E2497" s="3" t="str">
        <f>IF(LEN(Base_Periodo1[[#This Row],[CLASS]])&gt;=7,LEFT(Base_Periodo1[[#This Row],[CLASS]],7),"")</f>
        <v>2.1.2.1</v>
      </c>
      <c r="F2497" s="3" t="str">
        <f>VLOOKUP(Base_Periodo1[[#This Row],[Aux]],Base_Contas_Balanco[#All],2,FALSE)</f>
        <v>Fornecedores Cooperados</v>
      </c>
      <c r="G2497" s="1">
        <v>42879</v>
      </c>
      <c r="I2497" s="225">
        <v>2778.3999999999996</v>
      </c>
      <c r="J2497" s="225">
        <v>2778.4</v>
      </c>
      <c r="K2497" s="225">
        <v>1.4097167877480388E-11</v>
      </c>
      <c r="L24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97" s="225">
        <f>ROUND(IF(AND(Base_Periodo1[[#This Row],[Tipo_Linha]]="-",Base_Periodo1[[#This Row],[TIPOSALDO]]="D"),Base_Periodo1[[#This Row],[SALDO_ATUAL]]*-1,Base_Periodo1[[#This Row],[SALDO_ATUAL]]),4)</f>
        <v>0</v>
      </c>
      <c r="N2497" t="s">
        <v>116</v>
      </c>
      <c r="O2497" t="s">
        <v>436</v>
      </c>
      <c r="P2497" t="s">
        <v>436</v>
      </c>
      <c r="Q2497">
        <v>7</v>
      </c>
      <c r="R2497" s="225">
        <f>Base_Periodo1[[#This Row],[CREDITOS]]-Base_Periodo1[[#This Row],[DEBITOS]]</f>
        <v>0</v>
      </c>
      <c r="S2497" s="3" t="str">
        <f>IF(ISERROR(VLOOKUP(Base_Periodo1[[#This Row],[CONTA]],BaseContasDRE[#All],4,FALSE)),"Fora do DRE",VLOOKUP(Base_Periodo1[[#This Row],[CONTA]],BaseContasDRE[#All],4,FALSE))</f>
        <v>Fora do DRE</v>
      </c>
      <c r="T2497" s="3" t="str">
        <f>IF(ISERROR(VLOOKUP(Base_Periodo1[[#This Row],[CONTA]],BaseContasDRE[#All],5,FALSE)),"Fora do DRE",VLOOKUP(Base_Periodo1[[#This Row],[CONTA]],BaseContasDRE[#All],6,FALSE))</f>
        <v>Fora do DRE</v>
      </c>
      <c r="U2497" s="3" t="str">
        <f>IF(ISERROR(VLOOKUP(Base_Periodo1[[#This Row],[CONTA]],BaseContasDRE[#All],7,FALSE)),"Fora do DRE",VLOOKUP(Base_Periodo1[[#This Row],[CONTA]],BaseContasDRE[#All],7,FALSE))</f>
        <v>Fora do DRE</v>
      </c>
      <c r="V2497" s="3" t="str">
        <f>IF(Base_Periodo1[[#This Row],[Tipo_Linha]]="Fora do DRE","Fora do DRE","( "&amp;Base_Periodo1[[#This Row],[Tipo_Linha]]&amp;" ) "&amp;Base_Periodo1[[#This Row],[Filtro]])</f>
        <v>Fora do DRE</v>
      </c>
      <c r="W2497" s="3" t="str">
        <f>LEFT(Base_Periodo1[[#This Row],[CLASS]],3)</f>
        <v>2.1</v>
      </c>
    </row>
    <row r="2498" spans="1:23" hidden="1">
      <c r="A2498" s="3" t="str">
        <f t="shared" si="38"/>
        <v>Período 1</v>
      </c>
      <c r="B2498">
        <v>48118</v>
      </c>
      <c r="C2498" t="s">
        <v>1730</v>
      </c>
      <c r="D2498" t="s">
        <v>6721</v>
      </c>
      <c r="E2498" s="3" t="str">
        <f>IF(LEN(Base_Periodo1[[#This Row],[CLASS]])&gt;=7,LEFT(Base_Periodo1[[#This Row],[CLASS]],7),"")</f>
        <v>2.1.2.1</v>
      </c>
      <c r="F2498" s="3" t="str">
        <f>VLOOKUP(Base_Periodo1[[#This Row],[Aux]],Base_Contas_Balanco[#All],2,FALSE)</f>
        <v>Fornecedores Cooperados</v>
      </c>
      <c r="G2498" s="1">
        <v>42871</v>
      </c>
      <c r="I2498" s="225">
        <v>6011.31</v>
      </c>
      <c r="J2498" s="225">
        <v>6011.31</v>
      </c>
      <c r="K2498" s="225">
        <v>0</v>
      </c>
      <c r="L24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98" s="225">
        <f>ROUND(IF(AND(Base_Periodo1[[#This Row],[Tipo_Linha]]="-",Base_Periodo1[[#This Row],[TIPOSALDO]]="D"),Base_Periodo1[[#This Row],[SALDO_ATUAL]]*-1,Base_Periodo1[[#This Row],[SALDO_ATUAL]]),4)</f>
        <v>0</v>
      </c>
      <c r="N2498" t="s">
        <v>116</v>
      </c>
      <c r="O2498" t="s">
        <v>436</v>
      </c>
      <c r="P2498" t="s">
        <v>436</v>
      </c>
      <c r="Q2498">
        <v>7</v>
      </c>
      <c r="R2498" s="225">
        <f>Base_Periodo1[[#This Row],[CREDITOS]]-Base_Periodo1[[#This Row],[DEBITOS]]</f>
        <v>0</v>
      </c>
      <c r="S2498" s="3" t="str">
        <f>IF(ISERROR(VLOOKUP(Base_Periodo1[[#This Row],[CONTA]],BaseContasDRE[#All],4,FALSE)),"Fora do DRE",VLOOKUP(Base_Periodo1[[#This Row],[CONTA]],BaseContasDRE[#All],4,FALSE))</f>
        <v>Fora do DRE</v>
      </c>
      <c r="T2498" s="3" t="str">
        <f>IF(ISERROR(VLOOKUP(Base_Periodo1[[#This Row],[CONTA]],BaseContasDRE[#All],5,FALSE)),"Fora do DRE",VLOOKUP(Base_Periodo1[[#This Row],[CONTA]],BaseContasDRE[#All],6,FALSE))</f>
        <v>Fora do DRE</v>
      </c>
      <c r="U2498" s="3" t="str">
        <f>IF(ISERROR(VLOOKUP(Base_Periodo1[[#This Row],[CONTA]],BaseContasDRE[#All],7,FALSE)),"Fora do DRE",VLOOKUP(Base_Periodo1[[#This Row],[CONTA]],BaseContasDRE[#All],7,FALSE))</f>
        <v>Fora do DRE</v>
      </c>
      <c r="V2498" s="3" t="str">
        <f>IF(Base_Periodo1[[#This Row],[Tipo_Linha]]="Fora do DRE","Fora do DRE","( "&amp;Base_Periodo1[[#This Row],[Tipo_Linha]]&amp;" ) "&amp;Base_Periodo1[[#This Row],[Filtro]])</f>
        <v>Fora do DRE</v>
      </c>
      <c r="W2498" s="3" t="str">
        <f>LEFT(Base_Periodo1[[#This Row],[CLASS]],3)</f>
        <v>2.1</v>
      </c>
    </row>
    <row r="2499" spans="1:23" hidden="1">
      <c r="A2499" s="3" t="str">
        <f t="shared" si="38"/>
        <v>Período 1</v>
      </c>
      <c r="B2499">
        <v>3381</v>
      </c>
      <c r="C2499" t="s">
        <v>1730</v>
      </c>
      <c r="D2499" t="s">
        <v>762</v>
      </c>
      <c r="E2499" s="3" t="str">
        <f>IF(LEN(Base_Periodo1[[#This Row],[CLASS]])&gt;=7,LEFT(Base_Periodo1[[#This Row],[CLASS]],7),"")</f>
        <v>2.1.2.1</v>
      </c>
      <c r="F2499" s="3" t="str">
        <f>VLOOKUP(Base_Periodo1[[#This Row],[Aux]],Base_Contas_Balanco[#All],2,FALSE)</f>
        <v>Fornecedores Cooperados</v>
      </c>
      <c r="G2499" s="1">
        <v>42864</v>
      </c>
      <c r="I2499" s="225">
        <v>180</v>
      </c>
      <c r="J2499" s="225">
        <v>180</v>
      </c>
      <c r="K2499" s="225">
        <v>-9.3132257461547852E-10</v>
      </c>
      <c r="L24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499" s="225">
        <f>ROUND(IF(AND(Base_Periodo1[[#This Row],[Tipo_Linha]]="-",Base_Periodo1[[#This Row],[TIPOSALDO]]="D"),Base_Periodo1[[#This Row],[SALDO_ATUAL]]*-1,Base_Periodo1[[#This Row],[SALDO_ATUAL]]),4)</f>
        <v>0</v>
      </c>
      <c r="N2499" t="s">
        <v>116</v>
      </c>
      <c r="O2499" t="s">
        <v>436</v>
      </c>
      <c r="P2499" t="s">
        <v>436</v>
      </c>
      <c r="Q2499">
        <v>7</v>
      </c>
      <c r="R2499" s="225">
        <f>Base_Periodo1[[#This Row],[CREDITOS]]-Base_Periodo1[[#This Row],[DEBITOS]]</f>
        <v>0</v>
      </c>
      <c r="S2499" s="3" t="str">
        <f>IF(ISERROR(VLOOKUP(Base_Periodo1[[#This Row],[CONTA]],BaseContasDRE[#All],4,FALSE)),"Fora do DRE",VLOOKUP(Base_Periodo1[[#This Row],[CONTA]],BaseContasDRE[#All],4,FALSE))</f>
        <v>Fora do DRE</v>
      </c>
      <c r="T2499" s="3" t="str">
        <f>IF(ISERROR(VLOOKUP(Base_Periodo1[[#This Row],[CONTA]],BaseContasDRE[#All],5,FALSE)),"Fora do DRE",VLOOKUP(Base_Periodo1[[#This Row],[CONTA]],BaseContasDRE[#All],6,FALSE))</f>
        <v>Fora do DRE</v>
      </c>
      <c r="U2499" s="3" t="str">
        <f>IF(ISERROR(VLOOKUP(Base_Periodo1[[#This Row],[CONTA]],BaseContasDRE[#All],7,FALSE)),"Fora do DRE",VLOOKUP(Base_Periodo1[[#This Row],[CONTA]],BaseContasDRE[#All],7,FALSE))</f>
        <v>Fora do DRE</v>
      </c>
      <c r="V2499" s="3" t="str">
        <f>IF(Base_Periodo1[[#This Row],[Tipo_Linha]]="Fora do DRE","Fora do DRE","( "&amp;Base_Periodo1[[#This Row],[Tipo_Linha]]&amp;" ) "&amp;Base_Periodo1[[#This Row],[Filtro]])</f>
        <v>Fora do DRE</v>
      </c>
      <c r="W2499" s="3" t="str">
        <f>LEFT(Base_Periodo1[[#This Row],[CLASS]],3)</f>
        <v>2.1</v>
      </c>
    </row>
    <row r="2500" spans="1:23" hidden="1">
      <c r="A2500" s="3" t="str">
        <f t="shared" si="38"/>
        <v>Período 1</v>
      </c>
      <c r="B2500">
        <v>52956</v>
      </c>
      <c r="C2500" t="s">
        <v>1730</v>
      </c>
      <c r="D2500" t="s">
        <v>5485</v>
      </c>
      <c r="E2500" s="3" t="str">
        <f>IF(LEN(Base_Periodo1[[#This Row],[CLASS]])&gt;=7,LEFT(Base_Periodo1[[#This Row],[CLASS]],7),"")</f>
        <v>2.1.2.1</v>
      </c>
      <c r="F2500" s="3" t="str">
        <f>VLOOKUP(Base_Periodo1[[#This Row],[Aux]],Base_Contas_Balanco[#All],2,FALSE)</f>
        <v>Fornecedores Cooperados</v>
      </c>
      <c r="G2500" s="1">
        <v>42857</v>
      </c>
      <c r="I2500" s="225">
        <v>26473.329999999998</v>
      </c>
      <c r="J2500" s="225">
        <v>26473.33</v>
      </c>
      <c r="K2500" s="225">
        <v>-3.637978807091713E-12</v>
      </c>
      <c r="L25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00" s="225">
        <f>ROUND(IF(AND(Base_Periodo1[[#This Row],[Tipo_Linha]]="-",Base_Periodo1[[#This Row],[TIPOSALDO]]="D"),Base_Periodo1[[#This Row],[SALDO_ATUAL]]*-1,Base_Periodo1[[#This Row],[SALDO_ATUAL]]),4)</f>
        <v>0</v>
      </c>
      <c r="N2500" t="s">
        <v>116</v>
      </c>
      <c r="O2500" t="s">
        <v>436</v>
      </c>
      <c r="P2500" t="s">
        <v>436</v>
      </c>
      <c r="Q2500">
        <v>7</v>
      </c>
      <c r="R2500" s="225">
        <f>Base_Periodo1[[#This Row],[CREDITOS]]-Base_Periodo1[[#This Row],[DEBITOS]]</f>
        <v>0</v>
      </c>
      <c r="S2500" s="3" t="str">
        <f>IF(ISERROR(VLOOKUP(Base_Periodo1[[#This Row],[CONTA]],BaseContasDRE[#All],4,FALSE)),"Fora do DRE",VLOOKUP(Base_Periodo1[[#This Row],[CONTA]],BaseContasDRE[#All],4,FALSE))</f>
        <v>Fora do DRE</v>
      </c>
      <c r="T2500" s="3" t="str">
        <f>IF(ISERROR(VLOOKUP(Base_Periodo1[[#This Row],[CONTA]],BaseContasDRE[#All],5,FALSE)),"Fora do DRE",VLOOKUP(Base_Periodo1[[#This Row],[CONTA]],BaseContasDRE[#All],6,FALSE))</f>
        <v>Fora do DRE</v>
      </c>
      <c r="U2500" s="3" t="str">
        <f>IF(ISERROR(VLOOKUP(Base_Periodo1[[#This Row],[CONTA]],BaseContasDRE[#All],7,FALSE)),"Fora do DRE",VLOOKUP(Base_Periodo1[[#This Row],[CONTA]],BaseContasDRE[#All],7,FALSE))</f>
        <v>Fora do DRE</v>
      </c>
      <c r="V2500" s="3" t="str">
        <f>IF(Base_Periodo1[[#This Row],[Tipo_Linha]]="Fora do DRE","Fora do DRE","( "&amp;Base_Periodo1[[#This Row],[Tipo_Linha]]&amp;" ) "&amp;Base_Periodo1[[#This Row],[Filtro]])</f>
        <v>Fora do DRE</v>
      </c>
      <c r="W2500" s="3" t="str">
        <f>LEFT(Base_Periodo1[[#This Row],[CLASS]],3)</f>
        <v>2.1</v>
      </c>
    </row>
    <row r="2501" spans="1:23" hidden="1">
      <c r="A2501" s="3" t="str">
        <f t="shared" si="38"/>
        <v>Período 1</v>
      </c>
      <c r="B2501">
        <v>56486</v>
      </c>
      <c r="C2501" t="s">
        <v>1730</v>
      </c>
      <c r="D2501" t="s">
        <v>6343</v>
      </c>
      <c r="E2501" s="3" t="str">
        <f>IF(LEN(Base_Periodo1[[#This Row],[CLASS]])&gt;=7,LEFT(Base_Periodo1[[#This Row],[CLASS]],7),"")</f>
        <v>2.1.2.1</v>
      </c>
      <c r="F2501" s="3" t="str">
        <f>VLOOKUP(Base_Periodo1[[#This Row],[Aux]],Base_Contas_Balanco[#All],2,FALSE)</f>
        <v>Fornecedores Cooperados</v>
      </c>
      <c r="G2501" s="1">
        <v>42860</v>
      </c>
      <c r="H2501" s="225">
        <v>286542.58999999997</v>
      </c>
      <c r="I2501" s="225">
        <v>286542.59000000003</v>
      </c>
      <c r="J2501" s="225">
        <v>0</v>
      </c>
      <c r="K2501" s="225">
        <v>5.8207660913467407E-11</v>
      </c>
      <c r="L25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01" s="225">
        <f>ROUND(IF(AND(Base_Periodo1[[#This Row],[Tipo_Linha]]="-",Base_Periodo1[[#This Row],[TIPOSALDO]]="D"),Base_Periodo1[[#This Row],[SALDO_ATUAL]]*-1,Base_Periodo1[[#This Row],[SALDO_ATUAL]]),4)</f>
        <v>0</v>
      </c>
      <c r="N2501" t="s">
        <v>116</v>
      </c>
      <c r="O2501" t="s">
        <v>459</v>
      </c>
      <c r="P2501" t="s">
        <v>436</v>
      </c>
      <c r="Q2501">
        <v>7</v>
      </c>
      <c r="R2501" s="225">
        <f>Base_Periodo1[[#This Row],[CREDITOS]]-Base_Periodo1[[#This Row],[DEBITOS]]</f>
        <v>-286542.59000000003</v>
      </c>
      <c r="S2501" s="3" t="str">
        <f>IF(ISERROR(VLOOKUP(Base_Periodo1[[#This Row],[CONTA]],BaseContasDRE[#All],4,FALSE)),"Fora do DRE",VLOOKUP(Base_Periodo1[[#This Row],[CONTA]],BaseContasDRE[#All],4,FALSE))</f>
        <v>Fora do DRE</v>
      </c>
      <c r="T2501" s="3" t="str">
        <f>IF(ISERROR(VLOOKUP(Base_Periodo1[[#This Row],[CONTA]],BaseContasDRE[#All],5,FALSE)),"Fora do DRE",VLOOKUP(Base_Periodo1[[#This Row],[CONTA]],BaseContasDRE[#All],6,FALSE))</f>
        <v>Fora do DRE</v>
      </c>
      <c r="U2501" s="3" t="str">
        <f>IF(ISERROR(VLOOKUP(Base_Periodo1[[#This Row],[CONTA]],BaseContasDRE[#All],7,FALSE)),"Fora do DRE",VLOOKUP(Base_Periodo1[[#This Row],[CONTA]],BaseContasDRE[#All],7,FALSE))</f>
        <v>Fora do DRE</v>
      </c>
      <c r="V2501" s="3" t="str">
        <f>IF(Base_Periodo1[[#This Row],[Tipo_Linha]]="Fora do DRE","Fora do DRE","( "&amp;Base_Periodo1[[#This Row],[Tipo_Linha]]&amp;" ) "&amp;Base_Periodo1[[#This Row],[Filtro]])</f>
        <v>Fora do DRE</v>
      </c>
      <c r="W2501" s="3" t="str">
        <f>LEFT(Base_Periodo1[[#This Row],[CLASS]],3)</f>
        <v>2.1</v>
      </c>
    </row>
    <row r="2502" spans="1:23" hidden="1">
      <c r="A2502" s="3" t="str">
        <f t="shared" ref="A2502:A2565" si="39">"Período 1"</f>
        <v>Período 1</v>
      </c>
      <c r="B2502">
        <v>13373</v>
      </c>
      <c r="C2502" t="s">
        <v>1730</v>
      </c>
      <c r="D2502" t="s">
        <v>4752</v>
      </c>
      <c r="E2502" s="3" t="str">
        <f>IF(LEN(Base_Periodo1[[#This Row],[CLASS]])&gt;=7,LEFT(Base_Periodo1[[#This Row],[CLASS]],7),"")</f>
        <v>2.1.2.1</v>
      </c>
      <c r="F2502" s="3" t="str">
        <f>VLOOKUP(Base_Periodo1[[#This Row],[Aux]],Base_Contas_Balanco[#All],2,FALSE)</f>
        <v>Fornecedores Cooperados</v>
      </c>
      <c r="G2502" s="1">
        <v>42702</v>
      </c>
      <c r="H2502" s="225">
        <v>435.38999999998487</v>
      </c>
      <c r="I2502" s="225">
        <v>0</v>
      </c>
      <c r="J2502" s="225">
        <v>0</v>
      </c>
      <c r="K2502" s="225">
        <v>435.38999999998487</v>
      </c>
      <c r="L25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435.39</v>
      </c>
      <c r="M2502" s="225">
        <f>ROUND(IF(AND(Base_Periodo1[[#This Row],[Tipo_Linha]]="-",Base_Periodo1[[#This Row],[TIPOSALDO]]="D"),Base_Periodo1[[#This Row],[SALDO_ATUAL]]*-1,Base_Periodo1[[#This Row],[SALDO_ATUAL]]),4)</f>
        <v>435.39</v>
      </c>
      <c r="N2502" t="s">
        <v>116</v>
      </c>
      <c r="O2502" t="s">
        <v>459</v>
      </c>
      <c r="P2502" t="s">
        <v>459</v>
      </c>
      <c r="Q2502">
        <v>7</v>
      </c>
      <c r="R2502" s="225">
        <f>Base_Periodo1[[#This Row],[CREDITOS]]-Base_Periodo1[[#This Row],[DEBITOS]]</f>
        <v>0</v>
      </c>
      <c r="S2502" s="3" t="str">
        <f>IF(ISERROR(VLOOKUP(Base_Periodo1[[#This Row],[CONTA]],BaseContasDRE[#All],4,FALSE)),"Fora do DRE",VLOOKUP(Base_Periodo1[[#This Row],[CONTA]],BaseContasDRE[#All],4,FALSE))</f>
        <v>Fora do DRE</v>
      </c>
      <c r="T2502" s="3" t="str">
        <f>IF(ISERROR(VLOOKUP(Base_Periodo1[[#This Row],[CONTA]],BaseContasDRE[#All],5,FALSE)),"Fora do DRE",VLOOKUP(Base_Periodo1[[#This Row],[CONTA]],BaseContasDRE[#All],6,FALSE))</f>
        <v>Fora do DRE</v>
      </c>
      <c r="U2502" s="3" t="str">
        <f>IF(ISERROR(VLOOKUP(Base_Periodo1[[#This Row],[CONTA]],BaseContasDRE[#All],7,FALSE)),"Fora do DRE",VLOOKUP(Base_Periodo1[[#This Row],[CONTA]],BaseContasDRE[#All],7,FALSE))</f>
        <v>Fora do DRE</v>
      </c>
      <c r="V2502" s="3" t="str">
        <f>IF(Base_Periodo1[[#This Row],[Tipo_Linha]]="Fora do DRE","Fora do DRE","( "&amp;Base_Periodo1[[#This Row],[Tipo_Linha]]&amp;" ) "&amp;Base_Periodo1[[#This Row],[Filtro]])</f>
        <v>Fora do DRE</v>
      </c>
      <c r="W2502" s="3" t="str">
        <f>LEFT(Base_Periodo1[[#This Row],[CLASS]],3)</f>
        <v>2.1</v>
      </c>
    </row>
    <row r="2503" spans="1:23" hidden="1">
      <c r="A2503" s="3" t="str">
        <f t="shared" si="39"/>
        <v>Período 1</v>
      </c>
      <c r="B2503">
        <v>46552</v>
      </c>
      <c r="C2503" t="s">
        <v>1730</v>
      </c>
      <c r="D2503" t="s">
        <v>4735</v>
      </c>
      <c r="E2503" s="3" t="str">
        <f>IF(LEN(Base_Periodo1[[#This Row],[CLASS]])&gt;=7,LEFT(Base_Periodo1[[#This Row],[CLASS]],7),"")</f>
        <v>2.1.2.1</v>
      </c>
      <c r="F2503" s="3" t="str">
        <f>VLOOKUP(Base_Periodo1[[#This Row],[Aux]],Base_Contas_Balanco[#All],2,FALSE)</f>
        <v>Fornecedores Cooperados</v>
      </c>
      <c r="G2503" s="1">
        <v>42886</v>
      </c>
      <c r="I2503" s="225">
        <v>21577.3</v>
      </c>
      <c r="J2503" s="225">
        <v>21621.53</v>
      </c>
      <c r="K2503" s="225">
        <v>44.229999999941356</v>
      </c>
      <c r="L25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44.23</v>
      </c>
      <c r="M2503" s="225">
        <f>ROUND(IF(AND(Base_Periodo1[[#This Row],[Tipo_Linha]]="-",Base_Periodo1[[#This Row],[TIPOSALDO]]="D"),Base_Periodo1[[#This Row],[SALDO_ATUAL]]*-1,Base_Periodo1[[#This Row],[SALDO_ATUAL]]),4)</f>
        <v>44.23</v>
      </c>
      <c r="N2503" t="s">
        <v>116</v>
      </c>
      <c r="O2503" t="s">
        <v>436</v>
      </c>
      <c r="P2503" t="s">
        <v>459</v>
      </c>
      <c r="Q2503">
        <v>7</v>
      </c>
      <c r="R2503" s="225">
        <f>Base_Periodo1[[#This Row],[CREDITOS]]-Base_Periodo1[[#This Row],[DEBITOS]]</f>
        <v>44.229999999999563</v>
      </c>
      <c r="S2503" s="3" t="str">
        <f>IF(ISERROR(VLOOKUP(Base_Periodo1[[#This Row],[CONTA]],BaseContasDRE[#All],4,FALSE)),"Fora do DRE",VLOOKUP(Base_Periodo1[[#This Row],[CONTA]],BaseContasDRE[#All],4,FALSE))</f>
        <v>Fora do DRE</v>
      </c>
      <c r="T2503" s="3" t="str">
        <f>IF(ISERROR(VLOOKUP(Base_Periodo1[[#This Row],[CONTA]],BaseContasDRE[#All],5,FALSE)),"Fora do DRE",VLOOKUP(Base_Periodo1[[#This Row],[CONTA]],BaseContasDRE[#All],6,FALSE))</f>
        <v>Fora do DRE</v>
      </c>
      <c r="U2503" s="3" t="str">
        <f>IF(ISERROR(VLOOKUP(Base_Periodo1[[#This Row],[CONTA]],BaseContasDRE[#All],7,FALSE)),"Fora do DRE",VLOOKUP(Base_Periodo1[[#This Row],[CONTA]],BaseContasDRE[#All],7,FALSE))</f>
        <v>Fora do DRE</v>
      </c>
      <c r="V2503" s="3" t="str">
        <f>IF(Base_Periodo1[[#This Row],[Tipo_Linha]]="Fora do DRE","Fora do DRE","( "&amp;Base_Periodo1[[#This Row],[Tipo_Linha]]&amp;" ) "&amp;Base_Periodo1[[#This Row],[Filtro]])</f>
        <v>Fora do DRE</v>
      </c>
      <c r="W2503" s="3" t="str">
        <f>LEFT(Base_Periodo1[[#This Row],[CLASS]],3)</f>
        <v>2.1</v>
      </c>
    </row>
    <row r="2504" spans="1:23" hidden="1">
      <c r="A2504" s="3" t="str">
        <f t="shared" si="39"/>
        <v>Período 1</v>
      </c>
      <c r="B2504">
        <v>48902</v>
      </c>
      <c r="C2504" t="s">
        <v>1730</v>
      </c>
      <c r="D2504" t="s">
        <v>6854</v>
      </c>
      <c r="E2504" s="3" t="str">
        <f>IF(LEN(Base_Periodo1[[#This Row],[CLASS]])&gt;=7,LEFT(Base_Periodo1[[#This Row],[CLASS]],7),"")</f>
        <v>2.1.2.1</v>
      </c>
      <c r="F2504" s="3" t="str">
        <f>VLOOKUP(Base_Periodo1[[#This Row],[Aux]],Base_Contas_Balanco[#All],2,FALSE)</f>
        <v>Fornecedores Cooperados</v>
      </c>
      <c r="G2504" s="1">
        <v>42863</v>
      </c>
      <c r="I2504" s="225">
        <v>18855.849999999999</v>
      </c>
      <c r="J2504" s="225">
        <v>18855.849999999999</v>
      </c>
      <c r="K2504" s="225">
        <v>-1.4551915228366852E-11</v>
      </c>
      <c r="L25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04" s="225">
        <f>ROUND(IF(AND(Base_Periodo1[[#This Row],[Tipo_Linha]]="-",Base_Periodo1[[#This Row],[TIPOSALDO]]="D"),Base_Periodo1[[#This Row],[SALDO_ATUAL]]*-1,Base_Periodo1[[#This Row],[SALDO_ATUAL]]),4)</f>
        <v>0</v>
      </c>
      <c r="N2504" t="s">
        <v>116</v>
      </c>
      <c r="O2504" t="s">
        <v>436</v>
      </c>
      <c r="P2504" t="s">
        <v>436</v>
      </c>
      <c r="Q2504">
        <v>7</v>
      </c>
      <c r="R2504" s="225">
        <f>Base_Periodo1[[#This Row],[CREDITOS]]-Base_Periodo1[[#This Row],[DEBITOS]]</f>
        <v>0</v>
      </c>
      <c r="S2504" s="3" t="str">
        <f>IF(ISERROR(VLOOKUP(Base_Periodo1[[#This Row],[CONTA]],BaseContasDRE[#All],4,FALSE)),"Fora do DRE",VLOOKUP(Base_Periodo1[[#This Row],[CONTA]],BaseContasDRE[#All],4,FALSE))</f>
        <v>Fora do DRE</v>
      </c>
      <c r="T2504" s="3" t="str">
        <f>IF(ISERROR(VLOOKUP(Base_Periodo1[[#This Row],[CONTA]],BaseContasDRE[#All],5,FALSE)),"Fora do DRE",VLOOKUP(Base_Periodo1[[#This Row],[CONTA]],BaseContasDRE[#All],6,FALSE))</f>
        <v>Fora do DRE</v>
      </c>
      <c r="U2504" s="3" t="str">
        <f>IF(ISERROR(VLOOKUP(Base_Periodo1[[#This Row],[CONTA]],BaseContasDRE[#All],7,FALSE)),"Fora do DRE",VLOOKUP(Base_Periodo1[[#This Row],[CONTA]],BaseContasDRE[#All],7,FALSE))</f>
        <v>Fora do DRE</v>
      </c>
      <c r="V2504" s="3" t="str">
        <f>IF(Base_Periodo1[[#This Row],[Tipo_Linha]]="Fora do DRE","Fora do DRE","( "&amp;Base_Periodo1[[#This Row],[Tipo_Linha]]&amp;" ) "&amp;Base_Periodo1[[#This Row],[Filtro]])</f>
        <v>Fora do DRE</v>
      </c>
      <c r="W2504" s="3" t="str">
        <f>LEFT(Base_Periodo1[[#This Row],[CLASS]],3)</f>
        <v>2.1</v>
      </c>
    </row>
    <row r="2505" spans="1:23" hidden="1">
      <c r="A2505" s="3" t="str">
        <f t="shared" si="39"/>
        <v>Período 1</v>
      </c>
      <c r="B2505">
        <v>55087</v>
      </c>
      <c r="C2505" t="s">
        <v>1730</v>
      </c>
      <c r="D2505" t="s">
        <v>5081</v>
      </c>
      <c r="E2505" s="3" t="str">
        <f>IF(LEN(Base_Periodo1[[#This Row],[CLASS]])&gt;=7,LEFT(Base_Periodo1[[#This Row],[CLASS]],7),"")</f>
        <v>2.1.2.1</v>
      </c>
      <c r="F2505" s="3" t="str">
        <f>VLOOKUP(Base_Periodo1[[#This Row],[Aux]],Base_Contas_Balanco[#All],2,FALSE)</f>
        <v>Fornecedores Cooperados</v>
      </c>
      <c r="G2505" s="1">
        <v>42871</v>
      </c>
      <c r="I2505" s="225">
        <v>31000</v>
      </c>
      <c r="J2505" s="225">
        <v>31000</v>
      </c>
      <c r="K2505" s="225">
        <v>-1.4551915228366852E-11</v>
      </c>
      <c r="L25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05" s="225">
        <f>ROUND(IF(AND(Base_Periodo1[[#This Row],[Tipo_Linha]]="-",Base_Periodo1[[#This Row],[TIPOSALDO]]="D"),Base_Periodo1[[#This Row],[SALDO_ATUAL]]*-1,Base_Periodo1[[#This Row],[SALDO_ATUAL]]),4)</f>
        <v>0</v>
      </c>
      <c r="N2505" t="s">
        <v>116</v>
      </c>
      <c r="O2505" t="s">
        <v>436</v>
      </c>
      <c r="P2505" t="s">
        <v>436</v>
      </c>
      <c r="Q2505">
        <v>7</v>
      </c>
      <c r="R2505" s="225">
        <f>Base_Periodo1[[#This Row],[CREDITOS]]-Base_Periodo1[[#This Row],[DEBITOS]]</f>
        <v>0</v>
      </c>
      <c r="S2505" s="3" t="str">
        <f>IF(ISERROR(VLOOKUP(Base_Periodo1[[#This Row],[CONTA]],BaseContasDRE[#All],4,FALSE)),"Fora do DRE",VLOOKUP(Base_Periodo1[[#This Row],[CONTA]],BaseContasDRE[#All],4,FALSE))</f>
        <v>Fora do DRE</v>
      </c>
      <c r="T2505" s="3" t="str">
        <f>IF(ISERROR(VLOOKUP(Base_Periodo1[[#This Row],[CONTA]],BaseContasDRE[#All],5,FALSE)),"Fora do DRE",VLOOKUP(Base_Periodo1[[#This Row],[CONTA]],BaseContasDRE[#All],6,FALSE))</f>
        <v>Fora do DRE</v>
      </c>
      <c r="U2505" s="3" t="str">
        <f>IF(ISERROR(VLOOKUP(Base_Periodo1[[#This Row],[CONTA]],BaseContasDRE[#All],7,FALSE)),"Fora do DRE",VLOOKUP(Base_Periodo1[[#This Row],[CONTA]],BaseContasDRE[#All],7,FALSE))</f>
        <v>Fora do DRE</v>
      </c>
      <c r="V2505" s="3" t="str">
        <f>IF(Base_Periodo1[[#This Row],[Tipo_Linha]]="Fora do DRE","Fora do DRE","( "&amp;Base_Periodo1[[#This Row],[Tipo_Linha]]&amp;" ) "&amp;Base_Periodo1[[#This Row],[Filtro]])</f>
        <v>Fora do DRE</v>
      </c>
      <c r="W2505" s="3" t="str">
        <f>LEFT(Base_Periodo1[[#This Row],[CLASS]],3)</f>
        <v>2.1</v>
      </c>
    </row>
    <row r="2506" spans="1:23" hidden="1">
      <c r="A2506" s="3" t="str">
        <f t="shared" si="39"/>
        <v>Período 1</v>
      </c>
      <c r="B2506">
        <v>4545</v>
      </c>
      <c r="C2506" t="s">
        <v>1730</v>
      </c>
      <c r="D2506" t="s">
        <v>768</v>
      </c>
      <c r="E2506" s="3" t="str">
        <f>IF(LEN(Base_Periodo1[[#This Row],[CLASS]])&gt;=7,LEFT(Base_Periodo1[[#This Row],[CLASS]],7),"")</f>
        <v>2.1.2.1</v>
      </c>
      <c r="F2506" s="3" t="str">
        <f>VLOOKUP(Base_Periodo1[[#This Row],[Aux]],Base_Contas_Balanco[#All],2,FALSE)</f>
        <v>Fornecedores Cooperados</v>
      </c>
      <c r="G2506" s="1">
        <v>42884</v>
      </c>
      <c r="I2506" s="225">
        <v>86598.959999999992</v>
      </c>
      <c r="J2506" s="225">
        <v>86598.959999999992</v>
      </c>
      <c r="K2506" s="225">
        <v>-3.7252902984619141E-9</v>
      </c>
      <c r="L25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06" s="225">
        <f>ROUND(IF(AND(Base_Periodo1[[#This Row],[Tipo_Linha]]="-",Base_Periodo1[[#This Row],[TIPOSALDO]]="D"),Base_Periodo1[[#This Row],[SALDO_ATUAL]]*-1,Base_Periodo1[[#This Row],[SALDO_ATUAL]]),4)</f>
        <v>0</v>
      </c>
      <c r="N2506" t="s">
        <v>116</v>
      </c>
      <c r="O2506" t="s">
        <v>436</v>
      </c>
      <c r="P2506" t="s">
        <v>436</v>
      </c>
      <c r="Q2506">
        <v>7</v>
      </c>
      <c r="R2506" s="225">
        <f>Base_Periodo1[[#This Row],[CREDITOS]]-Base_Periodo1[[#This Row],[DEBITOS]]</f>
        <v>0</v>
      </c>
      <c r="S2506" s="3" t="str">
        <f>IF(ISERROR(VLOOKUP(Base_Periodo1[[#This Row],[CONTA]],BaseContasDRE[#All],4,FALSE)),"Fora do DRE",VLOOKUP(Base_Periodo1[[#This Row],[CONTA]],BaseContasDRE[#All],4,FALSE))</f>
        <v>Fora do DRE</v>
      </c>
      <c r="T2506" s="3" t="str">
        <f>IF(ISERROR(VLOOKUP(Base_Periodo1[[#This Row],[CONTA]],BaseContasDRE[#All],5,FALSE)),"Fora do DRE",VLOOKUP(Base_Periodo1[[#This Row],[CONTA]],BaseContasDRE[#All],6,FALSE))</f>
        <v>Fora do DRE</v>
      </c>
      <c r="U2506" s="3" t="str">
        <f>IF(ISERROR(VLOOKUP(Base_Periodo1[[#This Row],[CONTA]],BaseContasDRE[#All],7,FALSE)),"Fora do DRE",VLOOKUP(Base_Periodo1[[#This Row],[CONTA]],BaseContasDRE[#All],7,FALSE))</f>
        <v>Fora do DRE</v>
      </c>
      <c r="V2506" s="3" t="str">
        <f>IF(Base_Periodo1[[#This Row],[Tipo_Linha]]="Fora do DRE","Fora do DRE","( "&amp;Base_Periodo1[[#This Row],[Tipo_Linha]]&amp;" ) "&amp;Base_Periodo1[[#This Row],[Filtro]])</f>
        <v>Fora do DRE</v>
      </c>
      <c r="W2506" s="3" t="str">
        <f>LEFT(Base_Periodo1[[#This Row],[CLASS]],3)</f>
        <v>2.1</v>
      </c>
    </row>
    <row r="2507" spans="1:23" hidden="1">
      <c r="A2507" s="3" t="str">
        <f t="shared" si="39"/>
        <v>Período 1</v>
      </c>
      <c r="B2507">
        <v>2861</v>
      </c>
      <c r="C2507" t="s">
        <v>1730</v>
      </c>
      <c r="D2507" t="s">
        <v>5212</v>
      </c>
      <c r="E2507" s="3" t="str">
        <f>IF(LEN(Base_Periodo1[[#This Row],[CLASS]])&gt;=7,LEFT(Base_Periodo1[[#This Row],[CLASS]],7),"")</f>
        <v>2.1.2.1</v>
      </c>
      <c r="F2507" s="3" t="str">
        <f>VLOOKUP(Base_Periodo1[[#This Row],[Aux]],Base_Contas_Balanco[#All],2,FALSE)</f>
        <v>Fornecedores Cooperados</v>
      </c>
      <c r="G2507" s="1">
        <v>42621</v>
      </c>
      <c r="H2507" s="225">
        <v>11.090000000000146</v>
      </c>
      <c r="I2507" s="225">
        <v>0</v>
      </c>
      <c r="J2507" s="225">
        <v>0</v>
      </c>
      <c r="K2507" s="225">
        <v>11.090000000000146</v>
      </c>
      <c r="L25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11.09</v>
      </c>
      <c r="M2507" s="225">
        <f>ROUND(IF(AND(Base_Periodo1[[#This Row],[Tipo_Linha]]="-",Base_Periodo1[[#This Row],[TIPOSALDO]]="D"),Base_Periodo1[[#This Row],[SALDO_ATUAL]]*-1,Base_Periodo1[[#This Row],[SALDO_ATUAL]]),4)</f>
        <v>11.09</v>
      </c>
      <c r="N2507" t="s">
        <v>116</v>
      </c>
      <c r="O2507" t="s">
        <v>459</v>
      </c>
      <c r="P2507" t="s">
        <v>459</v>
      </c>
      <c r="Q2507">
        <v>7</v>
      </c>
      <c r="R2507" s="225">
        <f>Base_Periodo1[[#This Row],[CREDITOS]]-Base_Periodo1[[#This Row],[DEBITOS]]</f>
        <v>0</v>
      </c>
      <c r="S2507" s="3" t="str">
        <f>IF(ISERROR(VLOOKUP(Base_Periodo1[[#This Row],[CONTA]],BaseContasDRE[#All],4,FALSE)),"Fora do DRE",VLOOKUP(Base_Periodo1[[#This Row],[CONTA]],BaseContasDRE[#All],4,FALSE))</f>
        <v>Fora do DRE</v>
      </c>
      <c r="T2507" s="3" t="str">
        <f>IF(ISERROR(VLOOKUP(Base_Periodo1[[#This Row],[CONTA]],BaseContasDRE[#All],5,FALSE)),"Fora do DRE",VLOOKUP(Base_Periodo1[[#This Row],[CONTA]],BaseContasDRE[#All],6,FALSE))</f>
        <v>Fora do DRE</v>
      </c>
      <c r="U2507" s="3" t="str">
        <f>IF(ISERROR(VLOOKUP(Base_Periodo1[[#This Row],[CONTA]],BaseContasDRE[#All],7,FALSE)),"Fora do DRE",VLOOKUP(Base_Periodo1[[#This Row],[CONTA]],BaseContasDRE[#All],7,FALSE))</f>
        <v>Fora do DRE</v>
      </c>
      <c r="V2507" s="3" t="str">
        <f>IF(Base_Periodo1[[#This Row],[Tipo_Linha]]="Fora do DRE","Fora do DRE","( "&amp;Base_Periodo1[[#This Row],[Tipo_Linha]]&amp;" ) "&amp;Base_Periodo1[[#This Row],[Filtro]])</f>
        <v>Fora do DRE</v>
      </c>
      <c r="W2507" s="3" t="str">
        <f>LEFT(Base_Periodo1[[#This Row],[CLASS]],3)</f>
        <v>2.1</v>
      </c>
    </row>
    <row r="2508" spans="1:23" hidden="1">
      <c r="A2508" s="3" t="str">
        <f t="shared" si="39"/>
        <v>Período 1</v>
      </c>
      <c r="B2508">
        <v>8585</v>
      </c>
      <c r="C2508" t="s">
        <v>1730</v>
      </c>
      <c r="D2508" t="s">
        <v>1737</v>
      </c>
      <c r="E2508" s="3" t="str">
        <f>IF(LEN(Base_Periodo1[[#This Row],[CLASS]])&gt;=7,LEFT(Base_Periodo1[[#This Row],[CLASS]],7),"")</f>
        <v>2.1.2.1</v>
      </c>
      <c r="F2508" s="3" t="str">
        <f>VLOOKUP(Base_Periodo1[[#This Row],[Aux]],Base_Contas_Balanco[#All],2,FALSE)</f>
        <v>Fornecedores Cooperados</v>
      </c>
      <c r="G2508" s="1">
        <v>42403</v>
      </c>
      <c r="H2508" s="225">
        <v>2192.6000000000349</v>
      </c>
      <c r="I2508" s="225">
        <v>0</v>
      </c>
      <c r="J2508" s="225">
        <v>0</v>
      </c>
      <c r="K2508" s="225">
        <v>2192.6000000000349</v>
      </c>
      <c r="L25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2192.6</v>
      </c>
      <c r="M2508" s="225">
        <f>ROUND(IF(AND(Base_Periodo1[[#This Row],[Tipo_Linha]]="-",Base_Periodo1[[#This Row],[TIPOSALDO]]="D"),Base_Periodo1[[#This Row],[SALDO_ATUAL]]*-1,Base_Periodo1[[#This Row],[SALDO_ATUAL]]),4)</f>
        <v>2192.6</v>
      </c>
      <c r="N2508" t="s">
        <v>116</v>
      </c>
      <c r="O2508" t="s">
        <v>459</v>
      </c>
      <c r="P2508" t="s">
        <v>459</v>
      </c>
      <c r="Q2508">
        <v>7</v>
      </c>
      <c r="R2508" s="225">
        <f>Base_Periodo1[[#This Row],[CREDITOS]]-Base_Periodo1[[#This Row],[DEBITOS]]</f>
        <v>0</v>
      </c>
      <c r="S2508" s="3" t="str">
        <f>IF(ISERROR(VLOOKUP(Base_Periodo1[[#This Row],[CONTA]],BaseContasDRE[#All],4,FALSE)),"Fora do DRE",VLOOKUP(Base_Periodo1[[#This Row],[CONTA]],BaseContasDRE[#All],4,FALSE))</f>
        <v>Fora do DRE</v>
      </c>
      <c r="T2508" s="3" t="str">
        <f>IF(ISERROR(VLOOKUP(Base_Periodo1[[#This Row],[CONTA]],BaseContasDRE[#All],5,FALSE)),"Fora do DRE",VLOOKUP(Base_Periodo1[[#This Row],[CONTA]],BaseContasDRE[#All],6,FALSE))</f>
        <v>Fora do DRE</v>
      </c>
      <c r="U2508" s="3" t="str">
        <f>IF(ISERROR(VLOOKUP(Base_Periodo1[[#This Row],[CONTA]],BaseContasDRE[#All],7,FALSE)),"Fora do DRE",VLOOKUP(Base_Periodo1[[#This Row],[CONTA]],BaseContasDRE[#All],7,FALSE))</f>
        <v>Fora do DRE</v>
      </c>
      <c r="V2508" s="3" t="str">
        <f>IF(Base_Periodo1[[#This Row],[Tipo_Linha]]="Fora do DRE","Fora do DRE","( "&amp;Base_Periodo1[[#This Row],[Tipo_Linha]]&amp;" ) "&amp;Base_Periodo1[[#This Row],[Filtro]])</f>
        <v>Fora do DRE</v>
      </c>
      <c r="W2508" s="3" t="str">
        <f>LEFT(Base_Periodo1[[#This Row],[CLASS]],3)</f>
        <v>2.1</v>
      </c>
    </row>
    <row r="2509" spans="1:23" hidden="1">
      <c r="A2509" s="3" t="str">
        <f t="shared" si="39"/>
        <v>Período 1</v>
      </c>
      <c r="B2509">
        <v>3649</v>
      </c>
      <c r="C2509" t="s">
        <v>1730</v>
      </c>
      <c r="D2509" t="s">
        <v>5277</v>
      </c>
      <c r="E2509" s="3" t="str">
        <f>IF(LEN(Base_Periodo1[[#This Row],[CLASS]])&gt;=7,LEFT(Base_Periodo1[[#This Row],[CLASS]],7),"")</f>
        <v>2.1.2.1</v>
      </c>
      <c r="F2509" s="3" t="str">
        <f>VLOOKUP(Base_Periodo1[[#This Row],[Aux]],Base_Contas_Balanco[#All],2,FALSE)</f>
        <v>Fornecedores Cooperados</v>
      </c>
      <c r="G2509" s="1">
        <v>42880</v>
      </c>
      <c r="I2509" s="225">
        <v>61563.229999999996</v>
      </c>
      <c r="J2509" s="225">
        <v>61563.23</v>
      </c>
      <c r="K2509" s="225">
        <v>-3.637978807091713E-11</v>
      </c>
      <c r="L25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09" s="225">
        <f>ROUND(IF(AND(Base_Periodo1[[#This Row],[Tipo_Linha]]="-",Base_Periodo1[[#This Row],[TIPOSALDO]]="D"),Base_Periodo1[[#This Row],[SALDO_ATUAL]]*-1,Base_Periodo1[[#This Row],[SALDO_ATUAL]]),4)</f>
        <v>0</v>
      </c>
      <c r="N2509" t="s">
        <v>116</v>
      </c>
      <c r="O2509" t="s">
        <v>436</v>
      </c>
      <c r="P2509" t="s">
        <v>436</v>
      </c>
      <c r="Q2509">
        <v>7</v>
      </c>
      <c r="R2509" s="225">
        <f>Base_Periodo1[[#This Row],[CREDITOS]]-Base_Periodo1[[#This Row],[DEBITOS]]</f>
        <v>0</v>
      </c>
      <c r="S2509" s="3" t="str">
        <f>IF(ISERROR(VLOOKUP(Base_Periodo1[[#This Row],[CONTA]],BaseContasDRE[#All],4,FALSE)),"Fora do DRE",VLOOKUP(Base_Periodo1[[#This Row],[CONTA]],BaseContasDRE[#All],4,FALSE))</f>
        <v>Fora do DRE</v>
      </c>
      <c r="T2509" s="3" t="str">
        <f>IF(ISERROR(VLOOKUP(Base_Periodo1[[#This Row],[CONTA]],BaseContasDRE[#All],5,FALSE)),"Fora do DRE",VLOOKUP(Base_Periodo1[[#This Row],[CONTA]],BaseContasDRE[#All],6,FALSE))</f>
        <v>Fora do DRE</v>
      </c>
      <c r="U2509" s="3" t="str">
        <f>IF(ISERROR(VLOOKUP(Base_Periodo1[[#This Row],[CONTA]],BaseContasDRE[#All],7,FALSE)),"Fora do DRE",VLOOKUP(Base_Periodo1[[#This Row],[CONTA]],BaseContasDRE[#All],7,FALSE))</f>
        <v>Fora do DRE</v>
      </c>
      <c r="V2509" s="3" t="str">
        <f>IF(Base_Periodo1[[#This Row],[Tipo_Linha]]="Fora do DRE","Fora do DRE","( "&amp;Base_Periodo1[[#This Row],[Tipo_Linha]]&amp;" ) "&amp;Base_Periodo1[[#This Row],[Filtro]])</f>
        <v>Fora do DRE</v>
      </c>
      <c r="W2509" s="3" t="str">
        <f>LEFT(Base_Periodo1[[#This Row],[CLASS]],3)</f>
        <v>2.1</v>
      </c>
    </row>
    <row r="2510" spans="1:23" hidden="1">
      <c r="A2510" s="3" t="str">
        <f t="shared" si="39"/>
        <v>Período 1</v>
      </c>
      <c r="B2510">
        <v>4201</v>
      </c>
      <c r="C2510" t="s">
        <v>1730</v>
      </c>
      <c r="D2510" t="s">
        <v>770</v>
      </c>
      <c r="E2510" s="3" t="str">
        <f>IF(LEN(Base_Periodo1[[#This Row],[CLASS]])&gt;=7,LEFT(Base_Periodo1[[#This Row],[CLASS]],7),"")</f>
        <v>2.1.2.1</v>
      </c>
      <c r="F2510" s="3" t="str">
        <f>VLOOKUP(Base_Periodo1[[#This Row],[Aux]],Base_Contas_Balanco[#All],2,FALSE)</f>
        <v>Fornecedores Cooperados</v>
      </c>
      <c r="G2510" s="1">
        <v>42872</v>
      </c>
      <c r="I2510" s="225">
        <v>66900</v>
      </c>
      <c r="J2510" s="225">
        <v>66900</v>
      </c>
      <c r="K2510" s="225">
        <v>-2.3283064365386963E-10</v>
      </c>
      <c r="L25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10" s="225">
        <f>ROUND(IF(AND(Base_Periodo1[[#This Row],[Tipo_Linha]]="-",Base_Periodo1[[#This Row],[TIPOSALDO]]="D"),Base_Periodo1[[#This Row],[SALDO_ATUAL]]*-1,Base_Periodo1[[#This Row],[SALDO_ATUAL]]),4)</f>
        <v>0</v>
      </c>
      <c r="N2510" t="s">
        <v>116</v>
      </c>
      <c r="O2510" t="s">
        <v>436</v>
      </c>
      <c r="P2510" t="s">
        <v>436</v>
      </c>
      <c r="Q2510">
        <v>7</v>
      </c>
      <c r="R2510" s="225">
        <f>Base_Periodo1[[#This Row],[CREDITOS]]-Base_Periodo1[[#This Row],[DEBITOS]]</f>
        <v>0</v>
      </c>
      <c r="S2510" s="3" t="str">
        <f>IF(ISERROR(VLOOKUP(Base_Periodo1[[#This Row],[CONTA]],BaseContasDRE[#All],4,FALSE)),"Fora do DRE",VLOOKUP(Base_Periodo1[[#This Row],[CONTA]],BaseContasDRE[#All],4,FALSE))</f>
        <v>Fora do DRE</v>
      </c>
      <c r="T2510" s="3" t="str">
        <f>IF(ISERROR(VLOOKUP(Base_Periodo1[[#This Row],[CONTA]],BaseContasDRE[#All],5,FALSE)),"Fora do DRE",VLOOKUP(Base_Periodo1[[#This Row],[CONTA]],BaseContasDRE[#All],6,FALSE))</f>
        <v>Fora do DRE</v>
      </c>
      <c r="U2510" s="3" t="str">
        <f>IF(ISERROR(VLOOKUP(Base_Periodo1[[#This Row],[CONTA]],BaseContasDRE[#All],7,FALSE)),"Fora do DRE",VLOOKUP(Base_Periodo1[[#This Row],[CONTA]],BaseContasDRE[#All],7,FALSE))</f>
        <v>Fora do DRE</v>
      </c>
      <c r="V2510" s="3" t="str">
        <f>IF(Base_Periodo1[[#This Row],[Tipo_Linha]]="Fora do DRE","Fora do DRE","( "&amp;Base_Periodo1[[#This Row],[Tipo_Linha]]&amp;" ) "&amp;Base_Periodo1[[#This Row],[Filtro]])</f>
        <v>Fora do DRE</v>
      </c>
      <c r="W2510" s="3" t="str">
        <f>LEFT(Base_Periodo1[[#This Row],[CLASS]],3)</f>
        <v>2.1</v>
      </c>
    </row>
    <row r="2511" spans="1:23" hidden="1">
      <c r="A2511" s="3" t="str">
        <f t="shared" si="39"/>
        <v>Período 1</v>
      </c>
      <c r="B2511">
        <v>3897</v>
      </c>
      <c r="C2511" t="s">
        <v>1730</v>
      </c>
      <c r="D2511" t="s">
        <v>4819</v>
      </c>
      <c r="E2511" s="3" t="str">
        <f>IF(LEN(Base_Periodo1[[#This Row],[CLASS]])&gt;=7,LEFT(Base_Periodo1[[#This Row],[CLASS]],7),"")</f>
        <v>2.1.2.1</v>
      </c>
      <c r="F2511" s="3" t="str">
        <f>VLOOKUP(Base_Periodo1[[#This Row],[Aux]],Base_Contas_Balanco[#All],2,FALSE)</f>
        <v>Fornecedores Cooperados</v>
      </c>
      <c r="G2511" s="1">
        <v>42879</v>
      </c>
      <c r="H2511" s="225">
        <v>124755.89000000007</v>
      </c>
      <c r="I2511" s="225">
        <v>124755.89</v>
      </c>
      <c r="J2511" s="225">
        <v>0</v>
      </c>
      <c r="K2511" s="225">
        <v>-7.2759576141834259E-11</v>
      </c>
      <c r="L25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11" s="225">
        <f>ROUND(IF(AND(Base_Periodo1[[#This Row],[Tipo_Linha]]="-",Base_Periodo1[[#This Row],[TIPOSALDO]]="D"),Base_Periodo1[[#This Row],[SALDO_ATUAL]]*-1,Base_Periodo1[[#This Row],[SALDO_ATUAL]]),4)</f>
        <v>0</v>
      </c>
      <c r="N2511" t="s">
        <v>116</v>
      </c>
      <c r="O2511" t="s">
        <v>459</v>
      </c>
      <c r="P2511" t="s">
        <v>436</v>
      </c>
      <c r="Q2511">
        <v>7</v>
      </c>
      <c r="R2511" s="225">
        <f>Base_Periodo1[[#This Row],[CREDITOS]]-Base_Periodo1[[#This Row],[DEBITOS]]</f>
        <v>-124755.89</v>
      </c>
      <c r="S2511" s="3" t="str">
        <f>IF(ISERROR(VLOOKUP(Base_Periodo1[[#This Row],[CONTA]],BaseContasDRE[#All],4,FALSE)),"Fora do DRE",VLOOKUP(Base_Periodo1[[#This Row],[CONTA]],BaseContasDRE[#All],4,FALSE))</f>
        <v>Fora do DRE</v>
      </c>
      <c r="T2511" s="3" t="str">
        <f>IF(ISERROR(VLOOKUP(Base_Periodo1[[#This Row],[CONTA]],BaseContasDRE[#All],5,FALSE)),"Fora do DRE",VLOOKUP(Base_Periodo1[[#This Row],[CONTA]],BaseContasDRE[#All],6,FALSE))</f>
        <v>Fora do DRE</v>
      </c>
      <c r="U2511" s="3" t="str">
        <f>IF(ISERROR(VLOOKUP(Base_Periodo1[[#This Row],[CONTA]],BaseContasDRE[#All],7,FALSE)),"Fora do DRE",VLOOKUP(Base_Periodo1[[#This Row],[CONTA]],BaseContasDRE[#All],7,FALSE))</f>
        <v>Fora do DRE</v>
      </c>
      <c r="V2511" s="3" t="str">
        <f>IF(Base_Periodo1[[#This Row],[Tipo_Linha]]="Fora do DRE","Fora do DRE","( "&amp;Base_Periodo1[[#This Row],[Tipo_Linha]]&amp;" ) "&amp;Base_Periodo1[[#This Row],[Filtro]])</f>
        <v>Fora do DRE</v>
      </c>
      <c r="W2511" s="3" t="str">
        <f>LEFT(Base_Periodo1[[#This Row],[CLASS]],3)</f>
        <v>2.1</v>
      </c>
    </row>
    <row r="2512" spans="1:23" hidden="1">
      <c r="A2512" s="3" t="str">
        <f t="shared" si="39"/>
        <v>Período 1</v>
      </c>
      <c r="B2512">
        <v>2609</v>
      </c>
      <c r="C2512" t="s">
        <v>1730</v>
      </c>
      <c r="D2512" t="s">
        <v>771</v>
      </c>
      <c r="E2512" s="3" t="str">
        <f>IF(LEN(Base_Periodo1[[#This Row],[CLASS]])&gt;=7,LEFT(Base_Periodo1[[#This Row],[CLASS]],7),"")</f>
        <v>2.1.2.1</v>
      </c>
      <c r="F2512" s="3" t="str">
        <f>VLOOKUP(Base_Periodo1[[#This Row],[Aux]],Base_Contas_Balanco[#All],2,FALSE)</f>
        <v>Fornecedores Cooperados</v>
      </c>
      <c r="G2512" s="1">
        <v>42879</v>
      </c>
      <c r="I2512" s="225">
        <v>574.65</v>
      </c>
      <c r="J2512" s="225">
        <v>24985</v>
      </c>
      <c r="K2512" s="225">
        <v>24410.350000000115</v>
      </c>
      <c r="L25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24410.35</v>
      </c>
      <c r="M2512" s="225">
        <f>ROUND(IF(AND(Base_Periodo1[[#This Row],[Tipo_Linha]]="-",Base_Periodo1[[#This Row],[TIPOSALDO]]="D"),Base_Periodo1[[#This Row],[SALDO_ATUAL]]*-1,Base_Periodo1[[#This Row],[SALDO_ATUAL]]),4)</f>
        <v>24410.35</v>
      </c>
      <c r="N2512" t="s">
        <v>116</v>
      </c>
      <c r="O2512" t="s">
        <v>436</v>
      </c>
      <c r="P2512" t="s">
        <v>459</v>
      </c>
      <c r="Q2512">
        <v>7</v>
      </c>
      <c r="R2512" s="225">
        <f>Base_Periodo1[[#This Row],[CREDITOS]]-Base_Periodo1[[#This Row],[DEBITOS]]</f>
        <v>24410.35</v>
      </c>
      <c r="S2512" s="3" t="str">
        <f>IF(ISERROR(VLOOKUP(Base_Periodo1[[#This Row],[CONTA]],BaseContasDRE[#All],4,FALSE)),"Fora do DRE",VLOOKUP(Base_Periodo1[[#This Row],[CONTA]],BaseContasDRE[#All],4,FALSE))</f>
        <v>Fora do DRE</v>
      </c>
      <c r="T2512" s="3" t="str">
        <f>IF(ISERROR(VLOOKUP(Base_Periodo1[[#This Row],[CONTA]],BaseContasDRE[#All],5,FALSE)),"Fora do DRE",VLOOKUP(Base_Periodo1[[#This Row],[CONTA]],BaseContasDRE[#All],6,FALSE))</f>
        <v>Fora do DRE</v>
      </c>
      <c r="U2512" s="3" t="str">
        <f>IF(ISERROR(VLOOKUP(Base_Periodo1[[#This Row],[CONTA]],BaseContasDRE[#All],7,FALSE)),"Fora do DRE",VLOOKUP(Base_Periodo1[[#This Row],[CONTA]],BaseContasDRE[#All],7,FALSE))</f>
        <v>Fora do DRE</v>
      </c>
      <c r="V2512" s="3" t="str">
        <f>IF(Base_Periodo1[[#This Row],[Tipo_Linha]]="Fora do DRE","Fora do DRE","( "&amp;Base_Periodo1[[#This Row],[Tipo_Linha]]&amp;" ) "&amp;Base_Periodo1[[#This Row],[Filtro]])</f>
        <v>Fora do DRE</v>
      </c>
      <c r="W2512" s="3" t="str">
        <f>LEFT(Base_Periodo1[[#This Row],[CLASS]],3)</f>
        <v>2.1</v>
      </c>
    </row>
    <row r="2513" spans="1:23" hidden="1">
      <c r="A2513" s="3" t="str">
        <f t="shared" si="39"/>
        <v>Período 1</v>
      </c>
      <c r="B2513">
        <v>2921</v>
      </c>
      <c r="C2513" t="s">
        <v>1730</v>
      </c>
      <c r="D2513" t="s">
        <v>772</v>
      </c>
      <c r="E2513" s="3" t="str">
        <f>IF(LEN(Base_Periodo1[[#This Row],[CLASS]])&gt;=7,LEFT(Base_Periodo1[[#This Row],[CLASS]],7),"")</f>
        <v>2.1.2.1</v>
      </c>
      <c r="F2513" s="3" t="str">
        <f>VLOOKUP(Base_Periodo1[[#This Row],[Aux]],Base_Contas_Balanco[#All],2,FALSE)</f>
        <v>Fornecedores Cooperados</v>
      </c>
      <c r="G2513" s="1">
        <v>42865</v>
      </c>
      <c r="I2513" s="225">
        <v>5360.67</v>
      </c>
      <c r="J2513" s="225">
        <v>5360.67</v>
      </c>
      <c r="K2513" s="225">
        <v>-4.6566128730773926E-10</v>
      </c>
      <c r="L25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13" s="225">
        <f>ROUND(IF(AND(Base_Periodo1[[#This Row],[Tipo_Linha]]="-",Base_Periodo1[[#This Row],[TIPOSALDO]]="D"),Base_Periodo1[[#This Row],[SALDO_ATUAL]]*-1,Base_Periodo1[[#This Row],[SALDO_ATUAL]]),4)</f>
        <v>0</v>
      </c>
      <c r="N2513" t="s">
        <v>116</v>
      </c>
      <c r="O2513" t="s">
        <v>436</v>
      </c>
      <c r="P2513" t="s">
        <v>436</v>
      </c>
      <c r="Q2513">
        <v>7</v>
      </c>
      <c r="R2513" s="225">
        <f>Base_Periodo1[[#This Row],[CREDITOS]]-Base_Periodo1[[#This Row],[DEBITOS]]</f>
        <v>0</v>
      </c>
      <c r="S2513" s="3" t="str">
        <f>IF(ISERROR(VLOOKUP(Base_Periodo1[[#This Row],[CONTA]],BaseContasDRE[#All],4,FALSE)),"Fora do DRE",VLOOKUP(Base_Periodo1[[#This Row],[CONTA]],BaseContasDRE[#All],4,FALSE))</f>
        <v>Fora do DRE</v>
      </c>
      <c r="T2513" s="3" t="str">
        <f>IF(ISERROR(VLOOKUP(Base_Periodo1[[#This Row],[CONTA]],BaseContasDRE[#All],5,FALSE)),"Fora do DRE",VLOOKUP(Base_Periodo1[[#This Row],[CONTA]],BaseContasDRE[#All],6,FALSE))</f>
        <v>Fora do DRE</v>
      </c>
      <c r="U2513" s="3" t="str">
        <f>IF(ISERROR(VLOOKUP(Base_Periodo1[[#This Row],[CONTA]],BaseContasDRE[#All],7,FALSE)),"Fora do DRE",VLOOKUP(Base_Periodo1[[#This Row],[CONTA]],BaseContasDRE[#All],7,FALSE))</f>
        <v>Fora do DRE</v>
      </c>
      <c r="V2513" s="3" t="str">
        <f>IF(Base_Periodo1[[#This Row],[Tipo_Linha]]="Fora do DRE","Fora do DRE","( "&amp;Base_Periodo1[[#This Row],[Tipo_Linha]]&amp;" ) "&amp;Base_Periodo1[[#This Row],[Filtro]])</f>
        <v>Fora do DRE</v>
      </c>
      <c r="W2513" s="3" t="str">
        <f>LEFT(Base_Periodo1[[#This Row],[CLASS]],3)</f>
        <v>2.1</v>
      </c>
    </row>
    <row r="2514" spans="1:23" hidden="1">
      <c r="A2514" s="3" t="str">
        <f t="shared" si="39"/>
        <v>Período 1</v>
      </c>
      <c r="B2514">
        <v>6914</v>
      </c>
      <c r="C2514" t="s">
        <v>1730</v>
      </c>
      <c r="D2514" t="s">
        <v>773</v>
      </c>
      <c r="E2514" s="3" t="str">
        <f>IF(LEN(Base_Periodo1[[#This Row],[CLASS]])&gt;=7,LEFT(Base_Periodo1[[#This Row],[CLASS]],7),"")</f>
        <v>2.1.2.1</v>
      </c>
      <c r="F2514" s="3" t="str">
        <f>VLOOKUP(Base_Periodo1[[#This Row],[Aux]],Base_Contas_Balanco[#All],2,FALSE)</f>
        <v>Fornecedores Cooperados</v>
      </c>
      <c r="G2514" s="1">
        <v>42858</v>
      </c>
      <c r="I2514" s="225">
        <v>36000</v>
      </c>
      <c r="J2514" s="225">
        <v>36000</v>
      </c>
      <c r="K2514" s="225">
        <v>2.3283064365386963E-10</v>
      </c>
      <c r="L25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14" s="225">
        <f>ROUND(IF(AND(Base_Periodo1[[#This Row],[Tipo_Linha]]="-",Base_Periodo1[[#This Row],[TIPOSALDO]]="D"),Base_Periodo1[[#This Row],[SALDO_ATUAL]]*-1,Base_Periodo1[[#This Row],[SALDO_ATUAL]]),4)</f>
        <v>0</v>
      </c>
      <c r="N2514" t="s">
        <v>116</v>
      </c>
      <c r="O2514" t="s">
        <v>436</v>
      </c>
      <c r="P2514" t="s">
        <v>436</v>
      </c>
      <c r="Q2514">
        <v>7</v>
      </c>
      <c r="R2514" s="225">
        <f>Base_Periodo1[[#This Row],[CREDITOS]]-Base_Periodo1[[#This Row],[DEBITOS]]</f>
        <v>0</v>
      </c>
      <c r="S2514" s="3" t="str">
        <f>IF(ISERROR(VLOOKUP(Base_Periodo1[[#This Row],[CONTA]],BaseContasDRE[#All],4,FALSE)),"Fora do DRE",VLOOKUP(Base_Periodo1[[#This Row],[CONTA]],BaseContasDRE[#All],4,FALSE))</f>
        <v>Fora do DRE</v>
      </c>
      <c r="T2514" s="3" t="str">
        <f>IF(ISERROR(VLOOKUP(Base_Periodo1[[#This Row],[CONTA]],BaseContasDRE[#All],5,FALSE)),"Fora do DRE",VLOOKUP(Base_Periodo1[[#This Row],[CONTA]],BaseContasDRE[#All],6,FALSE))</f>
        <v>Fora do DRE</v>
      </c>
      <c r="U2514" s="3" t="str">
        <f>IF(ISERROR(VLOOKUP(Base_Periodo1[[#This Row],[CONTA]],BaseContasDRE[#All],7,FALSE)),"Fora do DRE",VLOOKUP(Base_Periodo1[[#This Row],[CONTA]],BaseContasDRE[#All],7,FALSE))</f>
        <v>Fora do DRE</v>
      </c>
      <c r="V2514" s="3" t="str">
        <f>IF(Base_Periodo1[[#This Row],[Tipo_Linha]]="Fora do DRE","Fora do DRE","( "&amp;Base_Periodo1[[#This Row],[Tipo_Linha]]&amp;" ) "&amp;Base_Periodo1[[#This Row],[Filtro]])</f>
        <v>Fora do DRE</v>
      </c>
      <c r="W2514" s="3" t="str">
        <f>LEFT(Base_Periodo1[[#This Row],[CLASS]],3)</f>
        <v>2.1</v>
      </c>
    </row>
    <row r="2515" spans="1:23" hidden="1">
      <c r="A2515" s="3" t="str">
        <f t="shared" si="39"/>
        <v>Período 1</v>
      </c>
      <c r="B2515">
        <v>2461</v>
      </c>
      <c r="C2515" t="s">
        <v>1730</v>
      </c>
      <c r="D2515" t="s">
        <v>774</v>
      </c>
      <c r="E2515" s="3" t="str">
        <f>IF(LEN(Base_Periodo1[[#This Row],[CLASS]])&gt;=7,LEFT(Base_Periodo1[[#This Row],[CLASS]],7),"")</f>
        <v>2.1.2.1</v>
      </c>
      <c r="F2515" s="3" t="str">
        <f>VLOOKUP(Base_Periodo1[[#This Row],[Aux]],Base_Contas_Balanco[#All],2,FALSE)</f>
        <v>Fornecedores Cooperados</v>
      </c>
      <c r="G2515" s="1">
        <v>42880</v>
      </c>
      <c r="I2515" s="225">
        <v>120000</v>
      </c>
      <c r="J2515" s="225">
        <v>120000</v>
      </c>
      <c r="K2515" s="225">
        <v>-2.3283064365386963E-10</v>
      </c>
      <c r="L25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15" s="225">
        <f>ROUND(IF(AND(Base_Periodo1[[#This Row],[Tipo_Linha]]="-",Base_Periodo1[[#This Row],[TIPOSALDO]]="D"),Base_Periodo1[[#This Row],[SALDO_ATUAL]]*-1,Base_Periodo1[[#This Row],[SALDO_ATUAL]]),4)</f>
        <v>0</v>
      </c>
      <c r="N2515" t="s">
        <v>116</v>
      </c>
      <c r="O2515" t="s">
        <v>436</v>
      </c>
      <c r="P2515" t="s">
        <v>436</v>
      </c>
      <c r="Q2515">
        <v>7</v>
      </c>
      <c r="R2515" s="225">
        <f>Base_Periodo1[[#This Row],[CREDITOS]]-Base_Periodo1[[#This Row],[DEBITOS]]</f>
        <v>0</v>
      </c>
      <c r="S2515" s="3" t="str">
        <f>IF(ISERROR(VLOOKUP(Base_Periodo1[[#This Row],[CONTA]],BaseContasDRE[#All],4,FALSE)),"Fora do DRE",VLOOKUP(Base_Periodo1[[#This Row],[CONTA]],BaseContasDRE[#All],4,FALSE))</f>
        <v>Fora do DRE</v>
      </c>
      <c r="T2515" s="3" t="str">
        <f>IF(ISERROR(VLOOKUP(Base_Periodo1[[#This Row],[CONTA]],BaseContasDRE[#All],5,FALSE)),"Fora do DRE",VLOOKUP(Base_Periodo1[[#This Row],[CONTA]],BaseContasDRE[#All],6,FALSE))</f>
        <v>Fora do DRE</v>
      </c>
      <c r="U2515" s="3" t="str">
        <f>IF(ISERROR(VLOOKUP(Base_Periodo1[[#This Row],[CONTA]],BaseContasDRE[#All],7,FALSE)),"Fora do DRE",VLOOKUP(Base_Periodo1[[#This Row],[CONTA]],BaseContasDRE[#All],7,FALSE))</f>
        <v>Fora do DRE</v>
      </c>
      <c r="V2515" s="3" t="str">
        <f>IF(Base_Periodo1[[#This Row],[Tipo_Linha]]="Fora do DRE","Fora do DRE","( "&amp;Base_Periodo1[[#This Row],[Tipo_Linha]]&amp;" ) "&amp;Base_Periodo1[[#This Row],[Filtro]])</f>
        <v>Fora do DRE</v>
      </c>
      <c r="W2515" s="3" t="str">
        <f>LEFT(Base_Periodo1[[#This Row],[CLASS]],3)</f>
        <v>2.1</v>
      </c>
    </row>
    <row r="2516" spans="1:23" hidden="1">
      <c r="A2516" s="3" t="str">
        <f t="shared" si="39"/>
        <v>Período 1</v>
      </c>
      <c r="B2516">
        <v>2413</v>
      </c>
      <c r="C2516" t="s">
        <v>1730</v>
      </c>
      <c r="D2516" t="s">
        <v>6344</v>
      </c>
      <c r="E2516" s="3" t="str">
        <f>IF(LEN(Base_Periodo1[[#This Row],[CLASS]])&gt;=7,LEFT(Base_Periodo1[[#This Row],[CLASS]],7),"")</f>
        <v>2.1.2.1</v>
      </c>
      <c r="F2516" s="3" t="str">
        <f>VLOOKUP(Base_Periodo1[[#This Row],[Aux]],Base_Contas_Balanco[#All],2,FALSE)</f>
        <v>Fornecedores Cooperados</v>
      </c>
      <c r="G2516" s="1">
        <v>42859</v>
      </c>
      <c r="H2516" s="225">
        <v>14165.000000000007</v>
      </c>
      <c r="I2516" s="225">
        <v>14165</v>
      </c>
      <c r="J2516" s="225">
        <v>0</v>
      </c>
      <c r="K2516" s="225">
        <v>-7.2759576141834259E-12</v>
      </c>
      <c r="L25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16" s="225">
        <f>ROUND(IF(AND(Base_Periodo1[[#This Row],[Tipo_Linha]]="-",Base_Periodo1[[#This Row],[TIPOSALDO]]="D"),Base_Periodo1[[#This Row],[SALDO_ATUAL]]*-1,Base_Periodo1[[#This Row],[SALDO_ATUAL]]),4)</f>
        <v>0</v>
      </c>
      <c r="N2516" t="s">
        <v>116</v>
      </c>
      <c r="O2516" t="s">
        <v>459</v>
      </c>
      <c r="P2516" t="s">
        <v>436</v>
      </c>
      <c r="Q2516">
        <v>7</v>
      </c>
      <c r="R2516" s="225">
        <f>Base_Periodo1[[#This Row],[CREDITOS]]-Base_Periodo1[[#This Row],[DEBITOS]]</f>
        <v>-14165</v>
      </c>
      <c r="S2516" s="3" t="str">
        <f>IF(ISERROR(VLOOKUP(Base_Periodo1[[#This Row],[CONTA]],BaseContasDRE[#All],4,FALSE)),"Fora do DRE",VLOOKUP(Base_Periodo1[[#This Row],[CONTA]],BaseContasDRE[#All],4,FALSE))</f>
        <v>Fora do DRE</v>
      </c>
      <c r="T2516" s="3" t="str">
        <f>IF(ISERROR(VLOOKUP(Base_Periodo1[[#This Row],[CONTA]],BaseContasDRE[#All],5,FALSE)),"Fora do DRE",VLOOKUP(Base_Periodo1[[#This Row],[CONTA]],BaseContasDRE[#All],6,FALSE))</f>
        <v>Fora do DRE</v>
      </c>
      <c r="U2516" s="3" t="str">
        <f>IF(ISERROR(VLOOKUP(Base_Periodo1[[#This Row],[CONTA]],BaseContasDRE[#All],7,FALSE)),"Fora do DRE",VLOOKUP(Base_Periodo1[[#This Row],[CONTA]],BaseContasDRE[#All],7,FALSE))</f>
        <v>Fora do DRE</v>
      </c>
      <c r="V2516" s="3" t="str">
        <f>IF(Base_Periodo1[[#This Row],[Tipo_Linha]]="Fora do DRE","Fora do DRE","( "&amp;Base_Periodo1[[#This Row],[Tipo_Linha]]&amp;" ) "&amp;Base_Periodo1[[#This Row],[Filtro]])</f>
        <v>Fora do DRE</v>
      </c>
      <c r="W2516" s="3" t="str">
        <f>LEFT(Base_Periodo1[[#This Row],[CLASS]],3)</f>
        <v>2.1</v>
      </c>
    </row>
    <row r="2517" spans="1:23" hidden="1">
      <c r="A2517" s="3" t="str">
        <f t="shared" si="39"/>
        <v>Período 1</v>
      </c>
      <c r="B2517">
        <v>47251</v>
      </c>
      <c r="C2517" t="s">
        <v>1730</v>
      </c>
      <c r="D2517" t="s">
        <v>5390</v>
      </c>
      <c r="E2517" s="3" t="str">
        <f>IF(LEN(Base_Periodo1[[#This Row],[CLASS]])&gt;=7,LEFT(Base_Periodo1[[#This Row],[CLASS]],7),"")</f>
        <v>2.1.2.1</v>
      </c>
      <c r="F2517" s="3" t="str">
        <f>VLOOKUP(Base_Periodo1[[#This Row],[Aux]],Base_Contas_Balanco[#All],2,FALSE)</f>
        <v>Fornecedores Cooperados</v>
      </c>
      <c r="G2517" s="1">
        <v>42870</v>
      </c>
      <c r="H2517" s="225">
        <v>475.00000000005821</v>
      </c>
      <c r="I2517" s="225">
        <v>5790</v>
      </c>
      <c r="J2517" s="225">
        <v>5790</v>
      </c>
      <c r="K2517" s="225">
        <v>475.00000000005821</v>
      </c>
      <c r="L25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475</v>
      </c>
      <c r="M2517" s="225">
        <f>ROUND(IF(AND(Base_Periodo1[[#This Row],[Tipo_Linha]]="-",Base_Periodo1[[#This Row],[TIPOSALDO]]="D"),Base_Periodo1[[#This Row],[SALDO_ATUAL]]*-1,Base_Periodo1[[#This Row],[SALDO_ATUAL]]),4)</f>
        <v>475</v>
      </c>
      <c r="N2517" t="s">
        <v>116</v>
      </c>
      <c r="O2517" t="s">
        <v>459</v>
      </c>
      <c r="P2517" t="s">
        <v>459</v>
      </c>
      <c r="Q2517">
        <v>7</v>
      </c>
      <c r="R2517" s="225">
        <f>Base_Periodo1[[#This Row],[CREDITOS]]-Base_Periodo1[[#This Row],[DEBITOS]]</f>
        <v>0</v>
      </c>
      <c r="S2517" s="3" t="str">
        <f>IF(ISERROR(VLOOKUP(Base_Periodo1[[#This Row],[CONTA]],BaseContasDRE[#All],4,FALSE)),"Fora do DRE",VLOOKUP(Base_Periodo1[[#This Row],[CONTA]],BaseContasDRE[#All],4,FALSE))</f>
        <v>Fora do DRE</v>
      </c>
      <c r="T2517" s="3" t="str">
        <f>IF(ISERROR(VLOOKUP(Base_Periodo1[[#This Row],[CONTA]],BaseContasDRE[#All],5,FALSE)),"Fora do DRE",VLOOKUP(Base_Periodo1[[#This Row],[CONTA]],BaseContasDRE[#All],6,FALSE))</f>
        <v>Fora do DRE</v>
      </c>
      <c r="U2517" s="3" t="str">
        <f>IF(ISERROR(VLOOKUP(Base_Periodo1[[#This Row],[CONTA]],BaseContasDRE[#All],7,FALSE)),"Fora do DRE",VLOOKUP(Base_Periodo1[[#This Row],[CONTA]],BaseContasDRE[#All],7,FALSE))</f>
        <v>Fora do DRE</v>
      </c>
      <c r="V2517" s="3" t="str">
        <f>IF(Base_Periodo1[[#This Row],[Tipo_Linha]]="Fora do DRE","Fora do DRE","( "&amp;Base_Periodo1[[#This Row],[Tipo_Linha]]&amp;" ) "&amp;Base_Periodo1[[#This Row],[Filtro]])</f>
        <v>Fora do DRE</v>
      </c>
      <c r="W2517" s="3" t="str">
        <f>LEFT(Base_Periodo1[[#This Row],[CLASS]],3)</f>
        <v>2.1</v>
      </c>
    </row>
    <row r="2518" spans="1:23" hidden="1">
      <c r="A2518" s="3" t="str">
        <f t="shared" si="39"/>
        <v>Período 1</v>
      </c>
      <c r="B2518">
        <v>4377</v>
      </c>
      <c r="C2518" t="s">
        <v>1730</v>
      </c>
      <c r="D2518" t="s">
        <v>5508</v>
      </c>
      <c r="E2518" s="3" t="str">
        <f>IF(LEN(Base_Periodo1[[#This Row],[CLASS]])&gt;=7,LEFT(Base_Periodo1[[#This Row],[CLASS]],7),"")</f>
        <v>2.1.2.1</v>
      </c>
      <c r="F2518" s="3" t="str">
        <f>VLOOKUP(Base_Periodo1[[#This Row],[Aux]],Base_Contas_Balanco[#All],2,FALSE)</f>
        <v>Fornecedores Cooperados</v>
      </c>
      <c r="G2518" s="1">
        <v>42717</v>
      </c>
      <c r="H2518" s="225">
        <v>414.36999999999534</v>
      </c>
      <c r="I2518" s="225">
        <v>0</v>
      </c>
      <c r="J2518" s="225">
        <v>0</v>
      </c>
      <c r="K2518" s="225">
        <v>414.36999999999534</v>
      </c>
      <c r="L25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414.37</v>
      </c>
      <c r="M2518" s="225">
        <f>ROUND(IF(AND(Base_Periodo1[[#This Row],[Tipo_Linha]]="-",Base_Periodo1[[#This Row],[TIPOSALDO]]="D"),Base_Periodo1[[#This Row],[SALDO_ATUAL]]*-1,Base_Periodo1[[#This Row],[SALDO_ATUAL]]),4)</f>
        <v>414.37</v>
      </c>
      <c r="N2518" t="s">
        <v>116</v>
      </c>
      <c r="O2518" t="s">
        <v>459</v>
      </c>
      <c r="P2518" t="s">
        <v>459</v>
      </c>
      <c r="Q2518">
        <v>7</v>
      </c>
      <c r="R2518" s="225">
        <f>Base_Periodo1[[#This Row],[CREDITOS]]-Base_Periodo1[[#This Row],[DEBITOS]]</f>
        <v>0</v>
      </c>
      <c r="S2518" s="3" t="str">
        <f>IF(ISERROR(VLOOKUP(Base_Periodo1[[#This Row],[CONTA]],BaseContasDRE[#All],4,FALSE)),"Fora do DRE",VLOOKUP(Base_Periodo1[[#This Row],[CONTA]],BaseContasDRE[#All],4,FALSE))</f>
        <v>Fora do DRE</v>
      </c>
      <c r="T2518" s="3" t="str">
        <f>IF(ISERROR(VLOOKUP(Base_Periodo1[[#This Row],[CONTA]],BaseContasDRE[#All],5,FALSE)),"Fora do DRE",VLOOKUP(Base_Periodo1[[#This Row],[CONTA]],BaseContasDRE[#All],6,FALSE))</f>
        <v>Fora do DRE</v>
      </c>
      <c r="U2518" s="3" t="str">
        <f>IF(ISERROR(VLOOKUP(Base_Periodo1[[#This Row],[CONTA]],BaseContasDRE[#All],7,FALSE)),"Fora do DRE",VLOOKUP(Base_Periodo1[[#This Row],[CONTA]],BaseContasDRE[#All],7,FALSE))</f>
        <v>Fora do DRE</v>
      </c>
      <c r="V2518" s="3" t="str">
        <f>IF(Base_Periodo1[[#This Row],[Tipo_Linha]]="Fora do DRE","Fora do DRE","( "&amp;Base_Periodo1[[#This Row],[Tipo_Linha]]&amp;" ) "&amp;Base_Periodo1[[#This Row],[Filtro]])</f>
        <v>Fora do DRE</v>
      </c>
      <c r="W2518" s="3" t="str">
        <f>LEFT(Base_Periodo1[[#This Row],[CLASS]],3)</f>
        <v>2.1</v>
      </c>
    </row>
    <row r="2519" spans="1:23" hidden="1">
      <c r="A2519" s="3" t="str">
        <f t="shared" si="39"/>
        <v>Período 1</v>
      </c>
      <c r="B2519">
        <v>28670</v>
      </c>
      <c r="C2519" t="s">
        <v>1730</v>
      </c>
      <c r="D2519" t="s">
        <v>5279</v>
      </c>
      <c r="E2519" s="3" t="str">
        <f>IF(LEN(Base_Periodo1[[#This Row],[CLASS]])&gt;=7,LEFT(Base_Periodo1[[#This Row],[CLASS]],7),"")</f>
        <v>2.1.2.1</v>
      </c>
      <c r="F2519" s="3" t="str">
        <f>VLOOKUP(Base_Periodo1[[#This Row],[Aux]],Base_Contas_Balanco[#All],2,FALSE)</f>
        <v>Fornecedores Cooperados</v>
      </c>
      <c r="G2519" s="1">
        <v>42863</v>
      </c>
      <c r="I2519" s="225">
        <v>140000.01999999999</v>
      </c>
      <c r="J2519" s="225">
        <v>140000.01999999999</v>
      </c>
      <c r="K2519" s="225">
        <v>0</v>
      </c>
      <c r="L25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19" s="225">
        <f>ROUND(IF(AND(Base_Periodo1[[#This Row],[Tipo_Linha]]="-",Base_Periodo1[[#This Row],[TIPOSALDO]]="D"),Base_Periodo1[[#This Row],[SALDO_ATUAL]]*-1,Base_Periodo1[[#This Row],[SALDO_ATUAL]]),4)</f>
        <v>0</v>
      </c>
      <c r="N2519" t="s">
        <v>116</v>
      </c>
      <c r="O2519" t="s">
        <v>436</v>
      </c>
      <c r="P2519" t="s">
        <v>436</v>
      </c>
      <c r="Q2519">
        <v>7</v>
      </c>
      <c r="R2519" s="225">
        <f>Base_Periodo1[[#This Row],[CREDITOS]]-Base_Periodo1[[#This Row],[DEBITOS]]</f>
        <v>0</v>
      </c>
      <c r="S2519" s="3" t="str">
        <f>IF(ISERROR(VLOOKUP(Base_Periodo1[[#This Row],[CONTA]],BaseContasDRE[#All],4,FALSE)),"Fora do DRE",VLOOKUP(Base_Periodo1[[#This Row],[CONTA]],BaseContasDRE[#All],4,FALSE))</f>
        <v>Fora do DRE</v>
      </c>
      <c r="T2519" s="3" t="str">
        <f>IF(ISERROR(VLOOKUP(Base_Periodo1[[#This Row],[CONTA]],BaseContasDRE[#All],5,FALSE)),"Fora do DRE",VLOOKUP(Base_Periodo1[[#This Row],[CONTA]],BaseContasDRE[#All],6,FALSE))</f>
        <v>Fora do DRE</v>
      </c>
      <c r="U2519" s="3" t="str">
        <f>IF(ISERROR(VLOOKUP(Base_Periodo1[[#This Row],[CONTA]],BaseContasDRE[#All],7,FALSE)),"Fora do DRE",VLOOKUP(Base_Periodo1[[#This Row],[CONTA]],BaseContasDRE[#All],7,FALSE))</f>
        <v>Fora do DRE</v>
      </c>
      <c r="V2519" s="3" t="str">
        <f>IF(Base_Periodo1[[#This Row],[Tipo_Linha]]="Fora do DRE","Fora do DRE","( "&amp;Base_Periodo1[[#This Row],[Tipo_Linha]]&amp;" ) "&amp;Base_Periodo1[[#This Row],[Filtro]])</f>
        <v>Fora do DRE</v>
      </c>
      <c r="W2519" s="3" t="str">
        <f>LEFT(Base_Periodo1[[#This Row],[CLASS]],3)</f>
        <v>2.1</v>
      </c>
    </row>
    <row r="2520" spans="1:23" hidden="1">
      <c r="A2520" s="3" t="str">
        <f t="shared" si="39"/>
        <v>Período 1</v>
      </c>
      <c r="B2520">
        <v>2321</v>
      </c>
      <c r="C2520" t="s">
        <v>1730</v>
      </c>
      <c r="D2520" t="s">
        <v>6131</v>
      </c>
      <c r="E2520" s="3" t="str">
        <f>IF(LEN(Base_Periodo1[[#This Row],[CLASS]])&gt;=7,LEFT(Base_Periodo1[[#This Row],[CLASS]],7),"")</f>
        <v>2.1.2.1</v>
      </c>
      <c r="F2520" s="3" t="str">
        <f>VLOOKUP(Base_Periodo1[[#This Row],[Aux]],Base_Contas_Balanco[#All],2,FALSE)</f>
        <v>Fornecedores Cooperados</v>
      </c>
      <c r="G2520" s="1">
        <v>42870</v>
      </c>
      <c r="H2520" s="225">
        <v>1236.6000000000931</v>
      </c>
      <c r="I2520" s="225">
        <v>523.5</v>
      </c>
      <c r="J2520" s="225">
        <v>0</v>
      </c>
      <c r="K2520" s="225">
        <v>713.10000000009313</v>
      </c>
      <c r="L25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713.1</v>
      </c>
      <c r="M2520" s="225">
        <f>ROUND(IF(AND(Base_Periodo1[[#This Row],[Tipo_Linha]]="-",Base_Periodo1[[#This Row],[TIPOSALDO]]="D"),Base_Periodo1[[#This Row],[SALDO_ATUAL]]*-1,Base_Periodo1[[#This Row],[SALDO_ATUAL]]),4)</f>
        <v>713.1</v>
      </c>
      <c r="N2520" t="s">
        <v>116</v>
      </c>
      <c r="O2520" t="s">
        <v>459</v>
      </c>
      <c r="P2520" t="s">
        <v>459</v>
      </c>
      <c r="Q2520">
        <v>7</v>
      </c>
      <c r="R2520" s="225">
        <f>Base_Periodo1[[#This Row],[CREDITOS]]-Base_Periodo1[[#This Row],[DEBITOS]]</f>
        <v>-523.5</v>
      </c>
      <c r="S2520" s="3" t="str">
        <f>IF(ISERROR(VLOOKUP(Base_Periodo1[[#This Row],[CONTA]],BaseContasDRE[#All],4,FALSE)),"Fora do DRE",VLOOKUP(Base_Periodo1[[#This Row],[CONTA]],BaseContasDRE[#All],4,FALSE))</f>
        <v>Fora do DRE</v>
      </c>
      <c r="T2520" s="3" t="str">
        <f>IF(ISERROR(VLOOKUP(Base_Periodo1[[#This Row],[CONTA]],BaseContasDRE[#All],5,FALSE)),"Fora do DRE",VLOOKUP(Base_Periodo1[[#This Row],[CONTA]],BaseContasDRE[#All],6,FALSE))</f>
        <v>Fora do DRE</v>
      </c>
      <c r="U2520" s="3" t="str">
        <f>IF(ISERROR(VLOOKUP(Base_Periodo1[[#This Row],[CONTA]],BaseContasDRE[#All],7,FALSE)),"Fora do DRE",VLOOKUP(Base_Periodo1[[#This Row],[CONTA]],BaseContasDRE[#All],7,FALSE))</f>
        <v>Fora do DRE</v>
      </c>
      <c r="V2520" s="3" t="str">
        <f>IF(Base_Periodo1[[#This Row],[Tipo_Linha]]="Fora do DRE","Fora do DRE","( "&amp;Base_Periodo1[[#This Row],[Tipo_Linha]]&amp;" ) "&amp;Base_Periodo1[[#This Row],[Filtro]])</f>
        <v>Fora do DRE</v>
      </c>
      <c r="W2520" s="3" t="str">
        <f>LEFT(Base_Periodo1[[#This Row],[CLASS]],3)</f>
        <v>2.1</v>
      </c>
    </row>
    <row r="2521" spans="1:23" hidden="1">
      <c r="A2521" s="3" t="str">
        <f t="shared" si="39"/>
        <v>Período 1</v>
      </c>
      <c r="B2521">
        <v>2841</v>
      </c>
      <c r="C2521" t="s">
        <v>1730</v>
      </c>
      <c r="D2521" t="s">
        <v>4191</v>
      </c>
      <c r="E2521" s="3" t="str">
        <f>IF(LEN(Base_Periodo1[[#This Row],[CLASS]])&gt;=7,LEFT(Base_Periodo1[[#This Row],[CLASS]],7),"")</f>
        <v>2.1.2.1</v>
      </c>
      <c r="F2521" s="3" t="str">
        <f>VLOOKUP(Base_Periodo1[[#This Row],[Aux]],Base_Contas_Balanco[#All],2,FALSE)</f>
        <v>Fornecedores Cooperados</v>
      </c>
      <c r="G2521" s="1">
        <v>42816</v>
      </c>
      <c r="H2521" s="225">
        <v>344.80999999996857</v>
      </c>
      <c r="I2521" s="225">
        <v>0</v>
      </c>
      <c r="J2521" s="225">
        <v>0</v>
      </c>
      <c r="K2521" s="225">
        <v>344.80999999996857</v>
      </c>
      <c r="L25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344.81</v>
      </c>
      <c r="M2521" s="225">
        <f>ROUND(IF(AND(Base_Periodo1[[#This Row],[Tipo_Linha]]="-",Base_Periodo1[[#This Row],[TIPOSALDO]]="D"),Base_Periodo1[[#This Row],[SALDO_ATUAL]]*-1,Base_Periodo1[[#This Row],[SALDO_ATUAL]]),4)</f>
        <v>344.81</v>
      </c>
      <c r="N2521" t="s">
        <v>116</v>
      </c>
      <c r="O2521" t="s">
        <v>459</v>
      </c>
      <c r="P2521" t="s">
        <v>459</v>
      </c>
      <c r="Q2521">
        <v>7</v>
      </c>
      <c r="R2521" s="225">
        <f>Base_Periodo1[[#This Row],[CREDITOS]]-Base_Periodo1[[#This Row],[DEBITOS]]</f>
        <v>0</v>
      </c>
      <c r="S2521" s="3" t="str">
        <f>IF(ISERROR(VLOOKUP(Base_Periodo1[[#This Row],[CONTA]],BaseContasDRE[#All],4,FALSE)),"Fora do DRE",VLOOKUP(Base_Periodo1[[#This Row],[CONTA]],BaseContasDRE[#All],4,FALSE))</f>
        <v>Fora do DRE</v>
      </c>
      <c r="T2521" s="3" t="str">
        <f>IF(ISERROR(VLOOKUP(Base_Periodo1[[#This Row],[CONTA]],BaseContasDRE[#All],5,FALSE)),"Fora do DRE",VLOOKUP(Base_Periodo1[[#This Row],[CONTA]],BaseContasDRE[#All],6,FALSE))</f>
        <v>Fora do DRE</v>
      </c>
      <c r="U2521" s="3" t="str">
        <f>IF(ISERROR(VLOOKUP(Base_Periodo1[[#This Row],[CONTA]],BaseContasDRE[#All],7,FALSE)),"Fora do DRE",VLOOKUP(Base_Periodo1[[#This Row],[CONTA]],BaseContasDRE[#All],7,FALSE))</f>
        <v>Fora do DRE</v>
      </c>
      <c r="V2521" s="3" t="str">
        <f>IF(Base_Periodo1[[#This Row],[Tipo_Linha]]="Fora do DRE","Fora do DRE","( "&amp;Base_Periodo1[[#This Row],[Tipo_Linha]]&amp;" ) "&amp;Base_Periodo1[[#This Row],[Filtro]])</f>
        <v>Fora do DRE</v>
      </c>
      <c r="W2521" s="3" t="str">
        <f>LEFT(Base_Periodo1[[#This Row],[CLASS]],3)</f>
        <v>2.1</v>
      </c>
    </row>
    <row r="2522" spans="1:23" hidden="1">
      <c r="A2522" s="3" t="str">
        <f t="shared" si="39"/>
        <v>Período 1</v>
      </c>
      <c r="B2522">
        <v>16517</v>
      </c>
      <c r="C2522" t="s">
        <v>1730</v>
      </c>
      <c r="D2522" t="s">
        <v>5280</v>
      </c>
      <c r="E2522" s="3" t="str">
        <f>IF(LEN(Base_Periodo1[[#This Row],[CLASS]])&gt;=7,LEFT(Base_Periodo1[[#This Row],[CLASS]],7),"")</f>
        <v>2.1.2.1</v>
      </c>
      <c r="F2522" s="3" t="str">
        <f>VLOOKUP(Base_Periodo1[[#This Row],[Aux]],Base_Contas_Balanco[#All],2,FALSE)</f>
        <v>Fornecedores Cooperados</v>
      </c>
      <c r="G2522" s="1">
        <v>42873</v>
      </c>
      <c r="I2522" s="225">
        <v>5215.0700000000006</v>
      </c>
      <c r="J2522" s="225">
        <v>5215.07</v>
      </c>
      <c r="K2522" s="225">
        <v>-2.7284841053187847E-12</v>
      </c>
      <c r="L25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22" s="225">
        <f>ROUND(IF(AND(Base_Periodo1[[#This Row],[Tipo_Linha]]="-",Base_Periodo1[[#This Row],[TIPOSALDO]]="D"),Base_Periodo1[[#This Row],[SALDO_ATUAL]]*-1,Base_Periodo1[[#This Row],[SALDO_ATUAL]]),4)</f>
        <v>0</v>
      </c>
      <c r="N2522" t="s">
        <v>116</v>
      </c>
      <c r="O2522" t="s">
        <v>436</v>
      </c>
      <c r="P2522" t="s">
        <v>436</v>
      </c>
      <c r="Q2522">
        <v>7</v>
      </c>
      <c r="R2522" s="225">
        <f>Base_Periodo1[[#This Row],[CREDITOS]]-Base_Periodo1[[#This Row],[DEBITOS]]</f>
        <v>0</v>
      </c>
      <c r="S2522" s="3" t="str">
        <f>IF(ISERROR(VLOOKUP(Base_Periodo1[[#This Row],[CONTA]],BaseContasDRE[#All],4,FALSE)),"Fora do DRE",VLOOKUP(Base_Periodo1[[#This Row],[CONTA]],BaseContasDRE[#All],4,FALSE))</f>
        <v>Fora do DRE</v>
      </c>
      <c r="T2522" s="3" t="str">
        <f>IF(ISERROR(VLOOKUP(Base_Periodo1[[#This Row],[CONTA]],BaseContasDRE[#All],5,FALSE)),"Fora do DRE",VLOOKUP(Base_Periodo1[[#This Row],[CONTA]],BaseContasDRE[#All],6,FALSE))</f>
        <v>Fora do DRE</v>
      </c>
      <c r="U2522" s="3" t="str">
        <f>IF(ISERROR(VLOOKUP(Base_Periodo1[[#This Row],[CONTA]],BaseContasDRE[#All],7,FALSE)),"Fora do DRE",VLOOKUP(Base_Periodo1[[#This Row],[CONTA]],BaseContasDRE[#All],7,FALSE))</f>
        <v>Fora do DRE</v>
      </c>
      <c r="V2522" s="3" t="str">
        <f>IF(Base_Periodo1[[#This Row],[Tipo_Linha]]="Fora do DRE","Fora do DRE","( "&amp;Base_Periodo1[[#This Row],[Tipo_Linha]]&amp;" ) "&amp;Base_Periodo1[[#This Row],[Filtro]])</f>
        <v>Fora do DRE</v>
      </c>
      <c r="W2522" s="3" t="str">
        <f>LEFT(Base_Periodo1[[#This Row],[CLASS]],3)</f>
        <v>2.1</v>
      </c>
    </row>
    <row r="2523" spans="1:23" hidden="1">
      <c r="A2523" s="3" t="str">
        <f t="shared" si="39"/>
        <v>Período 1</v>
      </c>
      <c r="B2523">
        <v>9191</v>
      </c>
      <c r="C2523" t="s">
        <v>1730</v>
      </c>
      <c r="D2523" t="s">
        <v>4273</v>
      </c>
      <c r="E2523" s="3" t="str">
        <f>IF(LEN(Base_Periodo1[[#This Row],[CLASS]])&gt;=7,LEFT(Base_Periodo1[[#This Row],[CLASS]],7),"")</f>
        <v>2.1.2.1</v>
      </c>
      <c r="F2523" s="3" t="str">
        <f>VLOOKUP(Base_Periodo1[[#This Row],[Aux]],Base_Contas_Balanco[#All],2,FALSE)</f>
        <v>Fornecedores Cooperados</v>
      </c>
      <c r="G2523" s="1">
        <v>42341</v>
      </c>
      <c r="H2523" s="225">
        <v>259.87999999997555</v>
      </c>
      <c r="I2523" s="225">
        <v>0</v>
      </c>
      <c r="J2523" s="225">
        <v>0</v>
      </c>
      <c r="K2523" s="225">
        <v>259.87999999997555</v>
      </c>
      <c r="L25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259.88</v>
      </c>
      <c r="M2523" s="225">
        <f>ROUND(IF(AND(Base_Periodo1[[#This Row],[Tipo_Linha]]="-",Base_Periodo1[[#This Row],[TIPOSALDO]]="D"),Base_Periodo1[[#This Row],[SALDO_ATUAL]]*-1,Base_Periodo1[[#This Row],[SALDO_ATUAL]]),4)</f>
        <v>259.88</v>
      </c>
      <c r="N2523" t="s">
        <v>116</v>
      </c>
      <c r="O2523" t="s">
        <v>459</v>
      </c>
      <c r="P2523" t="s">
        <v>459</v>
      </c>
      <c r="Q2523">
        <v>7</v>
      </c>
      <c r="R2523" s="225">
        <f>Base_Periodo1[[#This Row],[CREDITOS]]-Base_Periodo1[[#This Row],[DEBITOS]]</f>
        <v>0</v>
      </c>
      <c r="S2523" s="3" t="str">
        <f>IF(ISERROR(VLOOKUP(Base_Periodo1[[#This Row],[CONTA]],BaseContasDRE[#All],4,FALSE)),"Fora do DRE",VLOOKUP(Base_Periodo1[[#This Row],[CONTA]],BaseContasDRE[#All],4,FALSE))</f>
        <v>Fora do DRE</v>
      </c>
      <c r="T2523" s="3" t="str">
        <f>IF(ISERROR(VLOOKUP(Base_Periodo1[[#This Row],[CONTA]],BaseContasDRE[#All],5,FALSE)),"Fora do DRE",VLOOKUP(Base_Periodo1[[#This Row],[CONTA]],BaseContasDRE[#All],6,FALSE))</f>
        <v>Fora do DRE</v>
      </c>
      <c r="U2523" s="3" t="str">
        <f>IF(ISERROR(VLOOKUP(Base_Periodo1[[#This Row],[CONTA]],BaseContasDRE[#All],7,FALSE)),"Fora do DRE",VLOOKUP(Base_Periodo1[[#This Row],[CONTA]],BaseContasDRE[#All],7,FALSE))</f>
        <v>Fora do DRE</v>
      </c>
      <c r="V2523" s="3" t="str">
        <f>IF(Base_Periodo1[[#This Row],[Tipo_Linha]]="Fora do DRE","Fora do DRE","( "&amp;Base_Periodo1[[#This Row],[Tipo_Linha]]&amp;" ) "&amp;Base_Periodo1[[#This Row],[Filtro]])</f>
        <v>Fora do DRE</v>
      </c>
      <c r="W2523" s="3" t="str">
        <f>LEFT(Base_Periodo1[[#This Row],[CLASS]],3)</f>
        <v>2.1</v>
      </c>
    </row>
    <row r="2524" spans="1:23" hidden="1">
      <c r="A2524" s="3" t="str">
        <f t="shared" si="39"/>
        <v>Período 1</v>
      </c>
      <c r="B2524">
        <v>14337</v>
      </c>
      <c r="C2524" t="s">
        <v>1730</v>
      </c>
      <c r="D2524" t="s">
        <v>4938</v>
      </c>
      <c r="E2524" s="3" t="str">
        <f>IF(LEN(Base_Periodo1[[#This Row],[CLASS]])&gt;=7,LEFT(Base_Periodo1[[#This Row],[CLASS]],7),"")</f>
        <v>2.1.2.1</v>
      </c>
      <c r="F2524" s="3" t="str">
        <f>VLOOKUP(Base_Periodo1[[#This Row],[Aux]],Base_Contas_Balanco[#All],2,FALSE)</f>
        <v>Fornecedores Cooperados</v>
      </c>
      <c r="G2524" s="1">
        <v>42860</v>
      </c>
      <c r="H2524" s="225">
        <v>5764.3000000000466</v>
      </c>
      <c r="I2524" s="225">
        <v>5764.3</v>
      </c>
      <c r="J2524" s="225">
        <v>0</v>
      </c>
      <c r="K2524" s="225">
        <v>-4.638422979041934E-11</v>
      </c>
      <c r="L25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24" s="225">
        <f>ROUND(IF(AND(Base_Periodo1[[#This Row],[Tipo_Linha]]="-",Base_Periodo1[[#This Row],[TIPOSALDO]]="D"),Base_Periodo1[[#This Row],[SALDO_ATUAL]]*-1,Base_Periodo1[[#This Row],[SALDO_ATUAL]]),4)</f>
        <v>0</v>
      </c>
      <c r="N2524" t="s">
        <v>116</v>
      </c>
      <c r="O2524" t="s">
        <v>459</v>
      </c>
      <c r="P2524" t="s">
        <v>436</v>
      </c>
      <c r="Q2524">
        <v>7</v>
      </c>
      <c r="R2524" s="225">
        <f>Base_Periodo1[[#This Row],[CREDITOS]]-Base_Periodo1[[#This Row],[DEBITOS]]</f>
        <v>-5764.3</v>
      </c>
      <c r="S2524" s="3" t="str">
        <f>IF(ISERROR(VLOOKUP(Base_Periodo1[[#This Row],[CONTA]],BaseContasDRE[#All],4,FALSE)),"Fora do DRE",VLOOKUP(Base_Periodo1[[#This Row],[CONTA]],BaseContasDRE[#All],4,FALSE))</f>
        <v>Fora do DRE</v>
      </c>
      <c r="T2524" s="3" t="str">
        <f>IF(ISERROR(VLOOKUP(Base_Periodo1[[#This Row],[CONTA]],BaseContasDRE[#All],5,FALSE)),"Fora do DRE",VLOOKUP(Base_Periodo1[[#This Row],[CONTA]],BaseContasDRE[#All],6,FALSE))</f>
        <v>Fora do DRE</v>
      </c>
      <c r="U2524" s="3" t="str">
        <f>IF(ISERROR(VLOOKUP(Base_Periodo1[[#This Row],[CONTA]],BaseContasDRE[#All],7,FALSE)),"Fora do DRE",VLOOKUP(Base_Periodo1[[#This Row],[CONTA]],BaseContasDRE[#All],7,FALSE))</f>
        <v>Fora do DRE</v>
      </c>
      <c r="V2524" s="3" t="str">
        <f>IF(Base_Periodo1[[#This Row],[Tipo_Linha]]="Fora do DRE","Fora do DRE","( "&amp;Base_Periodo1[[#This Row],[Tipo_Linha]]&amp;" ) "&amp;Base_Periodo1[[#This Row],[Filtro]])</f>
        <v>Fora do DRE</v>
      </c>
      <c r="W2524" s="3" t="str">
        <f>LEFT(Base_Periodo1[[#This Row],[CLASS]],3)</f>
        <v>2.1</v>
      </c>
    </row>
    <row r="2525" spans="1:23" hidden="1">
      <c r="A2525" s="3" t="str">
        <f t="shared" si="39"/>
        <v>Período 1</v>
      </c>
      <c r="B2525">
        <v>7770</v>
      </c>
      <c r="C2525" t="s">
        <v>1730</v>
      </c>
      <c r="D2525" t="s">
        <v>781</v>
      </c>
      <c r="E2525" s="3" t="str">
        <f>IF(LEN(Base_Periodo1[[#This Row],[CLASS]])&gt;=7,LEFT(Base_Periodo1[[#This Row],[CLASS]],7),"")</f>
        <v>2.1.2.1</v>
      </c>
      <c r="F2525" s="3" t="str">
        <f>VLOOKUP(Base_Periodo1[[#This Row],[Aux]],Base_Contas_Balanco[#All],2,FALSE)</f>
        <v>Fornecedores Cooperados</v>
      </c>
      <c r="G2525" s="1">
        <v>42858</v>
      </c>
      <c r="I2525" s="225">
        <v>11860</v>
      </c>
      <c r="J2525" s="225">
        <v>11860</v>
      </c>
      <c r="K2525" s="225">
        <v>2.3283064365386963E-10</v>
      </c>
      <c r="L25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25" s="225">
        <f>ROUND(IF(AND(Base_Periodo1[[#This Row],[Tipo_Linha]]="-",Base_Periodo1[[#This Row],[TIPOSALDO]]="D"),Base_Periodo1[[#This Row],[SALDO_ATUAL]]*-1,Base_Periodo1[[#This Row],[SALDO_ATUAL]]),4)</f>
        <v>0</v>
      </c>
      <c r="N2525" t="s">
        <v>116</v>
      </c>
      <c r="O2525" t="s">
        <v>436</v>
      </c>
      <c r="P2525" t="s">
        <v>436</v>
      </c>
      <c r="Q2525">
        <v>7</v>
      </c>
      <c r="R2525" s="225">
        <f>Base_Periodo1[[#This Row],[CREDITOS]]-Base_Periodo1[[#This Row],[DEBITOS]]</f>
        <v>0</v>
      </c>
      <c r="S2525" s="3" t="str">
        <f>IF(ISERROR(VLOOKUP(Base_Periodo1[[#This Row],[CONTA]],BaseContasDRE[#All],4,FALSE)),"Fora do DRE",VLOOKUP(Base_Periodo1[[#This Row],[CONTA]],BaseContasDRE[#All],4,FALSE))</f>
        <v>Fora do DRE</v>
      </c>
      <c r="T2525" s="3" t="str">
        <f>IF(ISERROR(VLOOKUP(Base_Periodo1[[#This Row],[CONTA]],BaseContasDRE[#All],5,FALSE)),"Fora do DRE",VLOOKUP(Base_Periodo1[[#This Row],[CONTA]],BaseContasDRE[#All],6,FALSE))</f>
        <v>Fora do DRE</v>
      </c>
      <c r="U2525" s="3" t="str">
        <f>IF(ISERROR(VLOOKUP(Base_Periodo1[[#This Row],[CONTA]],BaseContasDRE[#All],7,FALSE)),"Fora do DRE",VLOOKUP(Base_Periodo1[[#This Row],[CONTA]],BaseContasDRE[#All],7,FALSE))</f>
        <v>Fora do DRE</v>
      </c>
      <c r="V2525" s="3" t="str">
        <f>IF(Base_Periodo1[[#This Row],[Tipo_Linha]]="Fora do DRE","Fora do DRE","( "&amp;Base_Periodo1[[#This Row],[Tipo_Linha]]&amp;" ) "&amp;Base_Periodo1[[#This Row],[Filtro]])</f>
        <v>Fora do DRE</v>
      </c>
      <c r="W2525" s="3" t="str">
        <f>LEFT(Base_Periodo1[[#This Row],[CLASS]],3)</f>
        <v>2.1</v>
      </c>
    </row>
    <row r="2526" spans="1:23" hidden="1">
      <c r="A2526" s="3" t="str">
        <f t="shared" si="39"/>
        <v>Período 1</v>
      </c>
      <c r="B2526">
        <v>53940</v>
      </c>
      <c r="C2526" t="s">
        <v>1730</v>
      </c>
      <c r="D2526" t="s">
        <v>4774</v>
      </c>
      <c r="E2526" s="3" t="str">
        <f>IF(LEN(Base_Periodo1[[#This Row],[CLASS]])&gt;=7,LEFT(Base_Periodo1[[#This Row],[CLASS]],7),"")</f>
        <v>2.1.2.1</v>
      </c>
      <c r="F2526" s="3" t="str">
        <f>VLOOKUP(Base_Periodo1[[#This Row],[Aux]],Base_Contas_Balanco[#All],2,FALSE)</f>
        <v>Fornecedores Cooperados</v>
      </c>
      <c r="G2526" s="1">
        <v>42870</v>
      </c>
      <c r="I2526" s="225">
        <v>5118.38</v>
      </c>
      <c r="J2526" s="225">
        <v>5118.38</v>
      </c>
      <c r="K2526" s="225">
        <v>2.9103830456733704E-11</v>
      </c>
      <c r="L25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26" s="225">
        <f>ROUND(IF(AND(Base_Periodo1[[#This Row],[Tipo_Linha]]="-",Base_Periodo1[[#This Row],[TIPOSALDO]]="D"),Base_Periodo1[[#This Row],[SALDO_ATUAL]]*-1,Base_Periodo1[[#This Row],[SALDO_ATUAL]]),4)</f>
        <v>0</v>
      </c>
      <c r="N2526" t="s">
        <v>116</v>
      </c>
      <c r="O2526" t="s">
        <v>436</v>
      </c>
      <c r="P2526" t="s">
        <v>436</v>
      </c>
      <c r="Q2526">
        <v>7</v>
      </c>
      <c r="R2526" s="225">
        <f>Base_Periodo1[[#This Row],[CREDITOS]]-Base_Periodo1[[#This Row],[DEBITOS]]</f>
        <v>0</v>
      </c>
      <c r="S2526" s="3" t="str">
        <f>IF(ISERROR(VLOOKUP(Base_Periodo1[[#This Row],[CONTA]],BaseContasDRE[#All],4,FALSE)),"Fora do DRE",VLOOKUP(Base_Periodo1[[#This Row],[CONTA]],BaseContasDRE[#All],4,FALSE))</f>
        <v>Fora do DRE</v>
      </c>
      <c r="T2526" s="3" t="str">
        <f>IF(ISERROR(VLOOKUP(Base_Periodo1[[#This Row],[CONTA]],BaseContasDRE[#All],5,FALSE)),"Fora do DRE",VLOOKUP(Base_Periodo1[[#This Row],[CONTA]],BaseContasDRE[#All],6,FALSE))</f>
        <v>Fora do DRE</v>
      </c>
      <c r="U2526" s="3" t="str">
        <f>IF(ISERROR(VLOOKUP(Base_Periodo1[[#This Row],[CONTA]],BaseContasDRE[#All],7,FALSE)),"Fora do DRE",VLOOKUP(Base_Periodo1[[#This Row],[CONTA]],BaseContasDRE[#All],7,FALSE))</f>
        <v>Fora do DRE</v>
      </c>
      <c r="V2526" s="3" t="str">
        <f>IF(Base_Periodo1[[#This Row],[Tipo_Linha]]="Fora do DRE","Fora do DRE","( "&amp;Base_Periodo1[[#This Row],[Tipo_Linha]]&amp;" ) "&amp;Base_Periodo1[[#This Row],[Filtro]])</f>
        <v>Fora do DRE</v>
      </c>
      <c r="W2526" s="3" t="str">
        <f>LEFT(Base_Periodo1[[#This Row],[CLASS]],3)</f>
        <v>2.1</v>
      </c>
    </row>
    <row r="2527" spans="1:23" hidden="1">
      <c r="A2527" s="3" t="str">
        <f t="shared" si="39"/>
        <v>Período 1</v>
      </c>
      <c r="B2527">
        <v>40082</v>
      </c>
      <c r="C2527" t="s">
        <v>1730</v>
      </c>
      <c r="D2527" t="s">
        <v>782</v>
      </c>
      <c r="E2527" s="3" t="str">
        <f>IF(LEN(Base_Periodo1[[#This Row],[CLASS]])&gt;=7,LEFT(Base_Periodo1[[#This Row],[CLASS]],7),"")</f>
        <v>2.1.2.1</v>
      </c>
      <c r="F2527" s="3" t="str">
        <f>VLOOKUP(Base_Periodo1[[#This Row],[Aux]],Base_Contas_Balanco[#All],2,FALSE)</f>
        <v>Fornecedores Cooperados</v>
      </c>
      <c r="G2527" s="1">
        <v>42884</v>
      </c>
      <c r="I2527" s="225">
        <v>19480.13</v>
      </c>
      <c r="J2527" s="225">
        <v>88604.83</v>
      </c>
      <c r="K2527" s="225">
        <v>69124.700000000026</v>
      </c>
      <c r="L25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69124.7</v>
      </c>
      <c r="M2527" s="225">
        <f>ROUND(IF(AND(Base_Periodo1[[#This Row],[Tipo_Linha]]="-",Base_Periodo1[[#This Row],[TIPOSALDO]]="D"),Base_Periodo1[[#This Row],[SALDO_ATUAL]]*-1,Base_Periodo1[[#This Row],[SALDO_ATUAL]]),4)</f>
        <v>69124.7</v>
      </c>
      <c r="N2527" t="s">
        <v>116</v>
      </c>
      <c r="O2527" t="s">
        <v>436</v>
      </c>
      <c r="P2527" t="s">
        <v>459</v>
      </c>
      <c r="Q2527">
        <v>7</v>
      </c>
      <c r="R2527" s="225">
        <f>Base_Periodo1[[#This Row],[CREDITOS]]-Base_Periodo1[[#This Row],[DEBITOS]]</f>
        <v>69124.7</v>
      </c>
      <c r="S2527" s="3" t="str">
        <f>IF(ISERROR(VLOOKUP(Base_Periodo1[[#This Row],[CONTA]],BaseContasDRE[#All],4,FALSE)),"Fora do DRE",VLOOKUP(Base_Periodo1[[#This Row],[CONTA]],BaseContasDRE[#All],4,FALSE))</f>
        <v>Fora do DRE</v>
      </c>
      <c r="T2527" s="3" t="str">
        <f>IF(ISERROR(VLOOKUP(Base_Periodo1[[#This Row],[CONTA]],BaseContasDRE[#All],5,FALSE)),"Fora do DRE",VLOOKUP(Base_Periodo1[[#This Row],[CONTA]],BaseContasDRE[#All],6,FALSE))</f>
        <v>Fora do DRE</v>
      </c>
      <c r="U2527" s="3" t="str">
        <f>IF(ISERROR(VLOOKUP(Base_Periodo1[[#This Row],[CONTA]],BaseContasDRE[#All],7,FALSE)),"Fora do DRE",VLOOKUP(Base_Periodo1[[#This Row],[CONTA]],BaseContasDRE[#All],7,FALSE))</f>
        <v>Fora do DRE</v>
      </c>
      <c r="V2527" s="3" t="str">
        <f>IF(Base_Periodo1[[#This Row],[Tipo_Linha]]="Fora do DRE","Fora do DRE","( "&amp;Base_Periodo1[[#This Row],[Tipo_Linha]]&amp;" ) "&amp;Base_Periodo1[[#This Row],[Filtro]])</f>
        <v>Fora do DRE</v>
      </c>
      <c r="W2527" s="3" t="str">
        <f>LEFT(Base_Periodo1[[#This Row],[CLASS]],3)</f>
        <v>2.1</v>
      </c>
    </row>
    <row r="2528" spans="1:23" hidden="1">
      <c r="A2528" s="3" t="str">
        <f t="shared" si="39"/>
        <v>Período 1</v>
      </c>
      <c r="B2528">
        <v>2873</v>
      </c>
      <c r="C2528" t="s">
        <v>1730</v>
      </c>
      <c r="D2528" t="s">
        <v>785</v>
      </c>
      <c r="E2528" s="3" t="str">
        <f>IF(LEN(Base_Periodo1[[#This Row],[CLASS]])&gt;=7,LEFT(Base_Periodo1[[#This Row],[CLASS]],7),"")</f>
        <v>2.1.2.1</v>
      </c>
      <c r="F2528" s="3" t="str">
        <f>VLOOKUP(Base_Periodo1[[#This Row],[Aux]],Base_Contas_Balanco[#All],2,FALSE)</f>
        <v>Fornecedores Cooperados</v>
      </c>
      <c r="G2528" s="1">
        <v>42872</v>
      </c>
      <c r="I2528" s="225">
        <v>12828.56</v>
      </c>
      <c r="J2528" s="225">
        <v>12828.56</v>
      </c>
      <c r="K2528" s="225">
        <v>5.8207660913467407E-11</v>
      </c>
      <c r="L25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28" s="225">
        <f>ROUND(IF(AND(Base_Periodo1[[#This Row],[Tipo_Linha]]="-",Base_Periodo1[[#This Row],[TIPOSALDO]]="D"),Base_Periodo1[[#This Row],[SALDO_ATUAL]]*-1,Base_Periodo1[[#This Row],[SALDO_ATUAL]]),4)</f>
        <v>0</v>
      </c>
      <c r="N2528" t="s">
        <v>116</v>
      </c>
      <c r="O2528" t="s">
        <v>436</v>
      </c>
      <c r="P2528" t="s">
        <v>436</v>
      </c>
      <c r="Q2528">
        <v>7</v>
      </c>
      <c r="R2528" s="225">
        <f>Base_Periodo1[[#This Row],[CREDITOS]]-Base_Periodo1[[#This Row],[DEBITOS]]</f>
        <v>0</v>
      </c>
      <c r="S2528" s="3" t="str">
        <f>IF(ISERROR(VLOOKUP(Base_Periodo1[[#This Row],[CONTA]],BaseContasDRE[#All],4,FALSE)),"Fora do DRE",VLOOKUP(Base_Periodo1[[#This Row],[CONTA]],BaseContasDRE[#All],4,FALSE))</f>
        <v>Fora do DRE</v>
      </c>
      <c r="T2528" s="3" t="str">
        <f>IF(ISERROR(VLOOKUP(Base_Periodo1[[#This Row],[CONTA]],BaseContasDRE[#All],5,FALSE)),"Fora do DRE",VLOOKUP(Base_Periodo1[[#This Row],[CONTA]],BaseContasDRE[#All],6,FALSE))</f>
        <v>Fora do DRE</v>
      </c>
      <c r="U2528" s="3" t="str">
        <f>IF(ISERROR(VLOOKUP(Base_Periodo1[[#This Row],[CONTA]],BaseContasDRE[#All],7,FALSE)),"Fora do DRE",VLOOKUP(Base_Periodo1[[#This Row],[CONTA]],BaseContasDRE[#All],7,FALSE))</f>
        <v>Fora do DRE</v>
      </c>
      <c r="V2528" s="3" t="str">
        <f>IF(Base_Periodo1[[#This Row],[Tipo_Linha]]="Fora do DRE","Fora do DRE","( "&amp;Base_Periodo1[[#This Row],[Tipo_Linha]]&amp;" ) "&amp;Base_Periodo1[[#This Row],[Filtro]])</f>
        <v>Fora do DRE</v>
      </c>
      <c r="W2528" s="3" t="str">
        <f>LEFT(Base_Periodo1[[#This Row],[CLASS]],3)</f>
        <v>2.1</v>
      </c>
    </row>
    <row r="2529" spans="1:23" hidden="1">
      <c r="A2529" s="3" t="str">
        <f t="shared" si="39"/>
        <v>Período 1</v>
      </c>
      <c r="B2529">
        <v>2833</v>
      </c>
      <c r="C2529" t="s">
        <v>1730</v>
      </c>
      <c r="D2529" t="s">
        <v>786</v>
      </c>
      <c r="E2529" s="3" t="str">
        <f>IF(LEN(Base_Periodo1[[#This Row],[CLASS]])&gt;=7,LEFT(Base_Periodo1[[#This Row],[CLASS]],7),"")</f>
        <v>2.1.2.1</v>
      </c>
      <c r="F2529" s="3" t="str">
        <f>VLOOKUP(Base_Periodo1[[#This Row],[Aux]],Base_Contas_Balanco[#All],2,FALSE)</f>
        <v>Fornecedores Cooperados</v>
      </c>
      <c r="G2529" s="1">
        <v>42885</v>
      </c>
      <c r="H2529" s="225">
        <v>36637.5</v>
      </c>
      <c r="I2529" s="225">
        <v>133637.5</v>
      </c>
      <c r="J2529" s="225">
        <v>97000</v>
      </c>
      <c r="K2529" s="225">
        <v>0</v>
      </c>
      <c r="L25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29" s="225">
        <f>ROUND(IF(AND(Base_Periodo1[[#This Row],[Tipo_Linha]]="-",Base_Periodo1[[#This Row],[TIPOSALDO]]="D"),Base_Periodo1[[#This Row],[SALDO_ATUAL]]*-1,Base_Periodo1[[#This Row],[SALDO_ATUAL]]),4)</f>
        <v>0</v>
      </c>
      <c r="N2529" t="s">
        <v>116</v>
      </c>
      <c r="O2529" t="s">
        <v>459</v>
      </c>
      <c r="P2529" t="s">
        <v>436</v>
      </c>
      <c r="Q2529">
        <v>7</v>
      </c>
      <c r="R2529" s="225">
        <f>Base_Periodo1[[#This Row],[CREDITOS]]-Base_Periodo1[[#This Row],[DEBITOS]]</f>
        <v>-36637.5</v>
      </c>
      <c r="S2529" s="3" t="str">
        <f>IF(ISERROR(VLOOKUP(Base_Periodo1[[#This Row],[CONTA]],BaseContasDRE[#All],4,FALSE)),"Fora do DRE",VLOOKUP(Base_Periodo1[[#This Row],[CONTA]],BaseContasDRE[#All],4,FALSE))</f>
        <v>Fora do DRE</v>
      </c>
      <c r="T2529" s="3" t="str">
        <f>IF(ISERROR(VLOOKUP(Base_Periodo1[[#This Row],[CONTA]],BaseContasDRE[#All],5,FALSE)),"Fora do DRE",VLOOKUP(Base_Periodo1[[#This Row],[CONTA]],BaseContasDRE[#All],6,FALSE))</f>
        <v>Fora do DRE</v>
      </c>
      <c r="U2529" s="3" t="str">
        <f>IF(ISERROR(VLOOKUP(Base_Periodo1[[#This Row],[CONTA]],BaseContasDRE[#All],7,FALSE)),"Fora do DRE",VLOOKUP(Base_Periodo1[[#This Row],[CONTA]],BaseContasDRE[#All],7,FALSE))</f>
        <v>Fora do DRE</v>
      </c>
      <c r="V2529" s="3" t="str">
        <f>IF(Base_Periodo1[[#This Row],[Tipo_Linha]]="Fora do DRE","Fora do DRE","( "&amp;Base_Periodo1[[#This Row],[Tipo_Linha]]&amp;" ) "&amp;Base_Periodo1[[#This Row],[Filtro]])</f>
        <v>Fora do DRE</v>
      </c>
      <c r="W2529" s="3" t="str">
        <f>LEFT(Base_Periodo1[[#This Row],[CLASS]],3)</f>
        <v>2.1</v>
      </c>
    </row>
    <row r="2530" spans="1:23" hidden="1">
      <c r="A2530" s="3" t="str">
        <f t="shared" si="39"/>
        <v>Período 1</v>
      </c>
      <c r="B2530">
        <v>3537</v>
      </c>
      <c r="C2530" t="s">
        <v>1730</v>
      </c>
      <c r="D2530" t="s">
        <v>6855</v>
      </c>
      <c r="E2530" s="3" t="str">
        <f>IF(LEN(Base_Periodo1[[#This Row],[CLASS]])&gt;=7,LEFT(Base_Periodo1[[#This Row],[CLASS]],7),"")</f>
        <v>2.1.2.1</v>
      </c>
      <c r="F2530" s="3" t="str">
        <f>VLOOKUP(Base_Periodo1[[#This Row],[Aux]],Base_Contas_Balanco[#All],2,FALSE)</f>
        <v>Fornecedores Cooperados</v>
      </c>
      <c r="G2530" s="1">
        <v>42880</v>
      </c>
      <c r="I2530" s="225">
        <v>351175.62</v>
      </c>
      <c r="J2530" s="225">
        <v>355671.41</v>
      </c>
      <c r="K2530" s="225">
        <v>4495.790000001376</v>
      </c>
      <c r="L25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4495.79</v>
      </c>
      <c r="M2530" s="225">
        <f>ROUND(IF(AND(Base_Periodo1[[#This Row],[Tipo_Linha]]="-",Base_Periodo1[[#This Row],[TIPOSALDO]]="D"),Base_Periodo1[[#This Row],[SALDO_ATUAL]]*-1,Base_Periodo1[[#This Row],[SALDO_ATUAL]]),4)</f>
        <v>4495.79</v>
      </c>
      <c r="N2530" t="s">
        <v>116</v>
      </c>
      <c r="O2530" t="s">
        <v>436</v>
      </c>
      <c r="P2530" t="s">
        <v>459</v>
      </c>
      <c r="Q2530">
        <v>7</v>
      </c>
      <c r="R2530" s="225">
        <f>Base_Periodo1[[#This Row],[CREDITOS]]-Base_Periodo1[[#This Row],[DEBITOS]]</f>
        <v>4495.789999999979</v>
      </c>
      <c r="S2530" s="3" t="str">
        <f>IF(ISERROR(VLOOKUP(Base_Periodo1[[#This Row],[CONTA]],BaseContasDRE[#All],4,FALSE)),"Fora do DRE",VLOOKUP(Base_Periodo1[[#This Row],[CONTA]],BaseContasDRE[#All],4,FALSE))</f>
        <v>Fora do DRE</v>
      </c>
      <c r="T2530" s="3" t="str">
        <f>IF(ISERROR(VLOOKUP(Base_Periodo1[[#This Row],[CONTA]],BaseContasDRE[#All],5,FALSE)),"Fora do DRE",VLOOKUP(Base_Periodo1[[#This Row],[CONTA]],BaseContasDRE[#All],6,FALSE))</f>
        <v>Fora do DRE</v>
      </c>
      <c r="U2530" s="3" t="str">
        <f>IF(ISERROR(VLOOKUP(Base_Periodo1[[#This Row],[CONTA]],BaseContasDRE[#All],7,FALSE)),"Fora do DRE",VLOOKUP(Base_Periodo1[[#This Row],[CONTA]],BaseContasDRE[#All],7,FALSE))</f>
        <v>Fora do DRE</v>
      </c>
      <c r="V2530" s="3" t="str">
        <f>IF(Base_Periodo1[[#This Row],[Tipo_Linha]]="Fora do DRE","Fora do DRE","( "&amp;Base_Periodo1[[#This Row],[Tipo_Linha]]&amp;" ) "&amp;Base_Periodo1[[#This Row],[Filtro]])</f>
        <v>Fora do DRE</v>
      </c>
      <c r="W2530" s="3" t="str">
        <f>LEFT(Base_Periodo1[[#This Row],[CLASS]],3)</f>
        <v>2.1</v>
      </c>
    </row>
    <row r="2531" spans="1:23" hidden="1">
      <c r="A2531" s="3" t="str">
        <f t="shared" si="39"/>
        <v>Período 1</v>
      </c>
      <c r="B2531">
        <v>3269</v>
      </c>
      <c r="C2531" t="s">
        <v>1730</v>
      </c>
      <c r="D2531" t="s">
        <v>787</v>
      </c>
      <c r="E2531" s="3" t="str">
        <f>IF(LEN(Base_Periodo1[[#This Row],[CLASS]])&gt;=7,LEFT(Base_Periodo1[[#This Row],[CLASS]],7),"")</f>
        <v>2.1.2.1</v>
      </c>
      <c r="F2531" s="3" t="str">
        <f>VLOOKUP(Base_Periodo1[[#This Row],[Aux]],Base_Contas_Balanco[#All],2,FALSE)</f>
        <v>Fornecedores Cooperados</v>
      </c>
      <c r="G2531" s="1">
        <v>42880</v>
      </c>
      <c r="I2531" s="225">
        <v>66931.69</v>
      </c>
      <c r="J2531" s="225">
        <v>66931.69</v>
      </c>
      <c r="K2531" s="225">
        <v>-9.3132257461547852E-10</v>
      </c>
      <c r="L25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31" s="225">
        <f>ROUND(IF(AND(Base_Periodo1[[#This Row],[Tipo_Linha]]="-",Base_Periodo1[[#This Row],[TIPOSALDO]]="D"),Base_Periodo1[[#This Row],[SALDO_ATUAL]]*-1,Base_Periodo1[[#This Row],[SALDO_ATUAL]]),4)</f>
        <v>0</v>
      </c>
      <c r="N2531" t="s">
        <v>116</v>
      </c>
      <c r="O2531" t="s">
        <v>436</v>
      </c>
      <c r="P2531" t="s">
        <v>436</v>
      </c>
      <c r="Q2531">
        <v>7</v>
      </c>
      <c r="R2531" s="225">
        <f>Base_Periodo1[[#This Row],[CREDITOS]]-Base_Periodo1[[#This Row],[DEBITOS]]</f>
        <v>0</v>
      </c>
      <c r="S2531" s="3" t="str">
        <f>IF(ISERROR(VLOOKUP(Base_Periodo1[[#This Row],[CONTA]],BaseContasDRE[#All],4,FALSE)),"Fora do DRE",VLOOKUP(Base_Periodo1[[#This Row],[CONTA]],BaseContasDRE[#All],4,FALSE))</f>
        <v>Fora do DRE</v>
      </c>
      <c r="T2531" s="3" t="str">
        <f>IF(ISERROR(VLOOKUP(Base_Periodo1[[#This Row],[CONTA]],BaseContasDRE[#All],5,FALSE)),"Fora do DRE",VLOOKUP(Base_Periodo1[[#This Row],[CONTA]],BaseContasDRE[#All],6,FALSE))</f>
        <v>Fora do DRE</v>
      </c>
      <c r="U2531" s="3" t="str">
        <f>IF(ISERROR(VLOOKUP(Base_Periodo1[[#This Row],[CONTA]],BaseContasDRE[#All],7,FALSE)),"Fora do DRE",VLOOKUP(Base_Periodo1[[#This Row],[CONTA]],BaseContasDRE[#All],7,FALSE))</f>
        <v>Fora do DRE</v>
      </c>
      <c r="V2531" s="3" t="str">
        <f>IF(Base_Periodo1[[#This Row],[Tipo_Linha]]="Fora do DRE","Fora do DRE","( "&amp;Base_Periodo1[[#This Row],[Tipo_Linha]]&amp;" ) "&amp;Base_Periodo1[[#This Row],[Filtro]])</f>
        <v>Fora do DRE</v>
      </c>
      <c r="W2531" s="3" t="str">
        <f>LEFT(Base_Periodo1[[#This Row],[CLASS]],3)</f>
        <v>2.1</v>
      </c>
    </row>
    <row r="2532" spans="1:23" hidden="1">
      <c r="A2532" s="3" t="str">
        <f t="shared" si="39"/>
        <v>Período 1</v>
      </c>
      <c r="B2532">
        <v>9473</v>
      </c>
      <c r="C2532" t="s">
        <v>1730</v>
      </c>
      <c r="D2532" t="s">
        <v>6345</v>
      </c>
      <c r="E2532" s="3" t="str">
        <f>IF(LEN(Base_Periodo1[[#This Row],[CLASS]])&gt;=7,LEFT(Base_Periodo1[[#This Row],[CLASS]],7),"")</f>
        <v>2.1.2.1</v>
      </c>
      <c r="F2532" s="3" t="str">
        <f>VLOOKUP(Base_Periodo1[[#This Row],[Aux]],Base_Contas_Balanco[#All],2,FALSE)</f>
        <v>Fornecedores Cooperados</v>
      </c>
      <c r="G2532" s="1">
        <v>42880</v>
      </c>
      <c r="I2532" s="225">
        <v>5935.8099999999995</v>
      </c>
      <c r="J2532" s="225">
        <v>5935.8099999999995</v>
      </c>
      <c r="K2532" s="225">
        <v>-3.4924596548080444E-10</v>
      </c>
      <c r="L25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32" s="225">
        <f>ROUND(IF(AND(Base_Periodo1[[#This Row],[Tipo_Linha]]="-",Base_Periodo1[[#This Row],[TIPOSALDO]]="D"),Base_Periodo1[[#This Row],[SALDO_ATUAL]]*-1,Base_Periodo1[[#This Row],[SALDO_ATUAL]]),4)</f>
        <v>0</v>
      </c>
      <c r="N2532" t="s">
        <v>116</v>
      </c>
      <c r="O2532" t="s">
        <v>436</v>
      </c>
      <c r="P2532" t="s">
        <v>436</v>
      </c>
      <c r="Q2532">
        <v>7</v>
      </c>
      <c r="R2532" s="225">
        <f>Base_Periodo1[[#This Row],[CREDITOS]]-Base_Periodo1[[#This Row],[DEBITOS]]</f>
        <v>0</v>
      </c>
      <c r="S2532" s="3" t="str">
        <f>IF(ISERROR(VLOOKUP(Base_Periodo1[[#This Row],[CONTA]],BaseContasDRE[#All],4,FALSE)),"Fora do DRE",VLOOKUP(Base_Periodo1[[#This Row],[CONTA]],BaseContasDRE[#All],4,FALSE))</f>
        <v>Fora do DRE</v>
      </c>
      <c r="T2532" s="3" t="str">
        <f>IF(ISERROR(VLOOKUP(Base_Periodo1[[#This Row],[CONTA]],BaseContasDRE[#All],5,FALSE)),"Fora do DRE",VLOOKUP(Base_Periodo1[[#This Row],[CONTA]],BaseContasDRE[#All],6,FALSE))</f>
        <v>Fora do DRE</v>
      </c>
      <c r="U2532" s="3" t="str">
        <f>IF(ISERROR(VLOOKUP(Base_Periodo1[[#This Row],[CONTA]],BaseContasDRE[#All],7,FALSE)),"Fora do DRE",VLOOKUP(Base_Periodo1[[#This Row],[CONTA]],BaseContasDRE[#All],7,FALSE))</f>
        <v>Fora do DRE</v>
      </c>
      <c r="V2532" s="3" t="str">
        <f>IF(Base_Periodo1[[#This Row],[Tipo_Linha]]="Fora do DRE","Fora do DRE","( "&amp;Base_Periodo1[[#This Row],[Tipo_Linha]]&amp;" ) "&amp;Base_Periodo1[[#This Row],[Filtro]])</f>
        <v>Fora do DRE</v>
      </c>
      <c r="W2532" s="3" t="str">
        <f>LEFT(Base_Periodo1[[#This Row],[CLASS]],3)</f>
        <v>2.1</v>
      </c>
    </row>
    <row r="2533" spans="1:23" hidden="1">
      <c r="A2533" s="3" t="str">
        <f t="shared" si="39"/>
        <v>Período 1</v>
      </c>
      <c r="B2533">
        <v>25392</v>
      </c>
      <c r="C2533" t="s">
        <v>1730</v>
      </c>
      <c r="D2533" t="s">
        <v>6346</v>
      </c>
      <c r="E2533" s="3" t="str">
        <f>IF(LEN(Base_Periodo1[[#This Row],[CLASS]])&gt;=7,LEFT(Base_Periodo1[[#This Row],[CLASS]],7),"")</f>
        <v>2.1.2.1</v>
      </c>
      <c r="F2533" s="3" t="str">
        <f>VLOOKUP(Base_Periodo1[[#This Row],[Aux]],Base_Contas_Balanco[#All],2,FALSE)</f>
        <v>Fornecedores Cooperados</v>
      </c>
      <c r="G2533" s="1">
        <v>42881</v>
      </c>
      <c r="I2533" s="225">
        <v>5431.4400000000005</v>
      </c>
      <c r="J2533" s="225">
        <v>5431.4400000000005</v>
      </c>
      <c r="K2533" s="225">
        <v>-3.637978807091713E-12</v>
      </c>
      <c r="L25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33" s="225">
        <f>ROUND(IF(AND(Base_Periodo1[[#This Row],[Tipo_Linha]]="-",Base_Periodo1[[#This Row],[TIPOSALDO]]="D"),Base_Periodo1[[#This Row],[SALDO_ATUAL]]*-1,Base_Periodo1[[#This Row],[SALDO_ATUAL]]),4)</f>
        <v>0</v>
      </c>
      <c r="N2533" t="s">
        <v>116</v>
      </c>
      <c r="O2533" t="s">
        <v>436</v>
      </c>
      <c r="P2533" t="s">
        <v>436</v>
      </c>
      <c r="Q2533">
        <v>7</v>
      </c>
      <c r="R2533" s="225">
        <f>Base_Periodo1[[#This Row],[CREDITOS]]-Base_Periodo1[[#This Row],[DEBITOS]]</f>
        <v>0</v>
      </c>
      <c r="S2533" s="3" t="str">
        <f>IF(ISERROR(VLOOKUP(Base_Periodo1[[#This Row],[CONTA]],BaseContasDRE[#All],4,FALSE)),"Fora do DRE",VLOOKUP(Base_Periodo1[[#This Row],[CONTA]],BaseContasDRE[#All],4,FALSE))</f>
        <v>Fora do DRE</v>
      </c>
      <c r="T2533" s="3" t="str">
        <f>IF(ISERROR(VLOOKUP(Base_Periodo1[[#This Row],[CONTA]],BaseContasDRE[#All],5,FALSE)),"Fora do DRE",VLOOKUP(Base_Periodo1[[#This Row],[CONTA]],BaseContasDRE[#All],6,FALSE))</f>
        <v>Fora do DRE</v>
      </c>
      <c r="U2533" s="3" t="str">
        <f>IF(ISERROR(VLOOKUP(Base_Periodo1[[#This Row],[CONTA]],BaseContasDRE[#All],7,FALSE)),"Fora do DRE",VLOOKUP(Base_Periodo1[[#This Row],[CONTA]],BaseContasDRE[#All],7,FALSE))</f>
        <v>Fora do DRE</v>
      </c>
      <c r="V2533" s="3" t="str">
        <f>IF(Base_Periodo1[[#This Row],[Tipo_Linha]]="Fora do DRE","Fora do DRE","( "&amp;Base_Periodo1[[#This Row],[Tipo_Linha]]&amp;" ) "&amp;Base_Periodo1[[#This Row],[Filtro]])</f>
        <v>Fora do DRE</v>
      </c>
      <c r="W2533" s="3" t="str">
        <f>LEFT(Base_Periodo1[[#This Row],[CLASS]],3)</f>
        <v>2.1</v>
      </c>
    </row>
    <row r="2534" spans="1:23" hidden="1">
      <c r="A2534" s="3" t="str">
        <f t="shared" si="39"/>
        <v>Período 1</v>
      </c>
      <c r="B2534">
        <v>47758</v>
      </c>
      <c r="C2534" t="s">
        <v>1730</v>
      </c>
      <c r="D2534" t="s">
        <v>789</v>
      </c>
      <c r="E2534" s="3" t="str">
        <f>IF(LEN(Base_Periodo1[[#This Row],[CLASS]])&gt;=7,LEFT(Base_Periodo1[[#This Row],[CLASS]],7),"")</f>
        <v>2.1.2.1</v>
      </c>
      <c r="F2534" s="3" t="str">
        <f>VLOOKUP(Base_Periodo1[[#This Row],[Aux]],Base_Contas_Balanco[#All],2,FALSE)</f>
        <v>Fornecedores Cooperados</v>
      </c>
      <c r="G2534" s="1">
        <v>42874</v>
      </c>
      <c r="I2534" s="225">
        <v>58491.08</v>
      </c>
      <c r="J2534" s="225">
        <v>58491.079999999994</v>
      </c>
      <c r="K2534" s="225">
        <v>-1.0913936421275139E-10</v>
      </c>
      <c r="L25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34" s="225">
        <f>ROUND(IF(AND(Base_Periodo1[[#This Row],[Tipo_Linha]]="-",Base_Periodo1[[#This Row],[TIPOSALDO]]="D"),Base_Periodo1[[#This Row],[SALDO_ATUAL]]*-1,Base_Periodo1[[#This Row],[SALDO_ATUAL]]),4)</f>
        <v>0</v>
      </c>
      <c r="N2534" t="s">
        <v>116</v>
      </c>
      <c r="O2534" t="s">
        <v>436</v>
      </c>
      <c r="P2534" t="s">
        <v>436</v>
      </c>
      <c r="Q2534">
        <v>7</v>
      </c>
      <c r="R2534" s="225">
        <f>Base_Periodo1[[#This Row],[CREDITOS]]-Base_Periodo1[[#This Row],[DEBITOS]]</f>
        <v>0</v>
      </c>
      <c r="S2534" s="3" t="str">
        <f>IF(ISERROR(VLOOKUP(Base_Periodo1[[#This Row],[CONTA]],BaseContasDRE[#All],4,FALSE)),"Fora do DRE",VLOOKUP(Base_Periodo1[[#This Row],[CONTA]],BaseContasDRE[#All],4,FALSE))</f>
        <v>Fora do DRE</v>
      </c>
      <c r="T2534" s="3" t="str">
        <f>IF(ISERROR(VLOOKUP(Base_Periodo1[[#This Row],[CONTA]],BaseContasDRE[#All],5,FALSE)),"Fora do DRE",VLOOKUP(Base_Periodo1[[#This Row],[CONTA]],BaseContasDRE[#All],6,FALSE))</f>
        <v>Fora do DRE</v>
      </c>
      <c r="U2534" s="3" t="str">
        <f>IF(ISERROR(VLOOKUP(Base_Periodo1[[#This Row],[CONTA]],BaseContasDRE[#All],7,FALSE)),"Fora do DRE",VLOOKUP(Base_Periodo1[[#This Row],[CONTA]],BaseContasDRE[#All],7,FALSE))</f>
        <v>Fora do DRE</v>
      </c>
      <c r="V2534" s="3" t="str">
        <f>IF(Base_Periodo1[[#This Row],[Tipo_Linha]]="Fora do DRE","Fora do DRE","( "&amp;Base_Periodo1[[#This Row],[Tipo_Linha]]&amp;" ) "&amp;Base_Periodo1[[#This Row],[Filtro]])</f>
        <v>Fora do DRE</v>
      </c>
      <c r="W2534" s="3" t="str">
        <f>LEFT(Base_Periodo1[[#This Row],[CLASS]],3)</f>
        <v>2.1</v>
      </c>
    </row>
    <row r="2535" spans="1:23" hidden="1">
      <c r="A2535" s="3" t="str">
        <f t="shared" si="39"/>
        <v>Período 1</v>
      </c>
      <c r="B2535">
        <v>3257</v>
      </c>
      <c r="C2535" t="s">
        <v>1730</v>
      </c>
      <c r="D2535" t="s">
        <v>4846</v>
      </c>
      <c r="E2535" s="3" t="str">
        <f>IF(LEN(Base_Periodo1[[#This Row],[CLASS]])&gt;=7,LEFT(Base_Periodo1[[#This Row],[CLASS]],7),"")</f>
        <v>2.1.2.1</v>
      </c>
      <c r="F2535" s="3" t="str">
        <f>VLOOKUP(Base_Periodo1[[#This Row],[Aux]],Base_Contas_Balanco[#All],2,FALSE)</f>
        <v>Fornecedores Cooperados</v>
      </c>
      <c r="G2535" s="1">
        <v>42714</v>
      </c>
      <c r="H2535" s="225">
        <v>83.610000000029686</v>
      </c>
      <c r="I2535" s="225">
        <v>0</v>
      </c>
      <c r="J2535" s="225">
        <v>0</v>
      </c>
      <c r="K2535" s="225">
        <v>83.610000000029686</v>
      </c>
      <c r="L25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83.61</v>
      </c>
      <c r="M2535" s="225">
        <f>ROUND(IF(AND(Base_Periodo1[[#This Row],[Tipo_Linha]]="-",Base_Periodo1[[#This Row],[TIPOSALDO]]="D"),Base_Periodo1[[#This Row],[SALDO_ATUAL]]*-1,Base_Periodo1[[#This Row],[SALDO_ATUAL]]),4)</f>
        <v>83.61</v>
      </c>
      <c r="N2535" t="s">
        <v>116</v>
      </c>
      <c r="O2535" t="s">
        <v>459</v>
      </c>
      <c r="P2535" t="s">
        <v>459</v>
      </c>
      <c r="Q2535">
        <v>7</v>
      </c>
      <c r="R2535" s="225">
        <f>Base_Periodo1[[#This Row],[CREDITOS]]-Base_Periodo1[[#This Row],[DEBITOS]]</f>
        <v>0</v>
      </c>
      <c r="S2535" s="3" t="str">
        <f>IF(ISERROR(VLOOKUP(Base_Periodo1[[#This Row],[CONTA]],BaseContasDRE[#All],4,FALSE)),"Fora do DRE",VLOOKUP(Base_Periodo1[[#This Row],[CONTA]],BaseContasDRE[#All],4,FALSE))</f>
        <v>Fora do DRE</v>
      </c>
      <c r="T2535" s="3" t="str">
        <f>IF(ISERROR(VLOOKUP(Base_Periodo1[[#This Row],[CONTA]],BaseContasDRE[#All],5,FALSE)),"Fora do DRE",VLOOKUP(Base_Periodo1[[#This Row],[CONTA]],BaseContasDRE[#All],6,FALSE))</f>
        <v>Fora do DRE</v>
      </c>
      <c r="U2535" s="3" t="str">
        <f>IF(ISERROR(VLOOKUP(Base_Periodo1[[#This Row],[CONTA]],BaseContasDRE[#All],7,FALSE)),"Fora do DRE",VLOOKUP(Base_Periodo1[[#This Row],[CONTA]],BaseContasDRE[#All],7,FALSE))</f>
        <v>Fora do DRE</v>
      </c>
      <c r="V2535" s="3" t="str">
        <f>IF(Base_Periodo1[[#This Row],[Tipo_Linha]]="Fora do DRE","Fora do DRE","( "&amp;Base_Periodo1[[#This Row],[Tipo_Linha]]&amp;" ) "&amp;Base_Periodo1[[#This Row],[Filtro]])</f>
        <v>Fora do DRE</v>
      </c>
      <c r="W2535" s="3" t="str">
        <f>LEFT(Base_Periodo1[[#This Row],[CLASS]],3)</f>
        <v>2.1</v>
      </c>
    </row>
    <row r="2536" spans="1:23" hidden="1">
      <c r="A2536" s="3" t="str">
        <f t="shared" si="39"/>
        <v>Período 1</v>
      </c>
      <c r="B2536">
        <v>52539</v>
      </c>
      <c r="C2536" t="s">
        <v>1730</v>
      </c>
      <c r="D2536" t="s">
        <v>4736</v>
      </c>
      <c r="E2536" s="3" t="str">
        <f>IF(LEN(Base_Periodo1[[#This Row],[CLASS]])&gt;=7,LEFT(Base_Periodo1[[#This Row],[CLASS]],7),"")</f>
        <v>2.1.2.1</v>
      </c>
      <c r="F2536" s="3" t="str">
        <f>VLOOKUP(Base_Periodo1[[#This Row],[Aux]],Base_Contas_Balanco[#All],2,FALSE)</f>
        <v>Fornecedores Cooperados</v>
      </c>
      <c r="G2536" s="1">
        <v>42878</v>
      </c>
      <c r="I2536" s="225">
        <v>192053.59</v>
      </c>
      <c r="J2536" s="225">
        <v>192053.59</v>
      </c>
      <c r="K2536" s="225">
        <v>2.3283064365386963E-10</v>
      </c>
      <c r="L25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36" s="225">
        <f>ROUND(IF(AND(Base_Periodo1[[#This Row],[Tipo_Linha]]="-",Base_Periodo1[[#This Row],[TIPOSALDO]]="D"),Base_Periodo1[[#This Row],[SALDO_ATUAL]]*-1,Base_Periodo1[[#This Row],[SALDO_ATUAL]]),4)</f>
        <v>0</v>
      </c>
      <c r="N2536" t="s">
        <v>116</v>
      </c>
      <c r="O2536" t="s">
        <v>436</v>
      </c>
      <c r="P2536" t="s">
        <v>436</v>
      </c>
      <c r="Q2536">
        <v>7</v>
      </c>
      <c r="R2536" s="225">
        <f>Base_Periodo1[[#This Row],[CREDITOS]]-Base_Periodo1[[#This Row],[DEBITOS]]</f>
        <v>0</v>
      </c>
      <c r="S2536" s="3" t="str">
        <f>IF(ISERROR(VLOOKUP(Base_Periodo1[[#This Row],[CONTA]],BaseContasDRE[#All],4,FALSE)),"Fora do DRE",VLOOKUP(Base_Periodo1[[#This Row],[CONTA]],BaseContasDRE[#All],4,FALSE))</f>
        <v>Fora do DRE</v>
      </c>
      <c r="T2536" s="3" t="str">
        <f>IF(ISERROR(VLOOKUP(Base_Periodo1[[#This Row],[CONTA]],BaseContasDRE[#All],5,FALSE)),"Fora do DRE",VLOOKUP(Base_Periodo1[[#This Row],[CONTA]],BaseContasDRE[#All],6,FALSE))</f>
        <v>Fora do DRE</v>
      </c>
      <c r="U2536" s="3" t="str">
        <f>IF(ISERROR(VLOOKUP(Base_Periodo1[[#This Row],[CONTA]],BaseContasDRE[#All],7,FALSE)),"Fora do DRE",VLOOKUP(Base_Periodo1[[#This Row],[CONTA]],BaseContasDRE[#All],7,FALSE))</f>
        <v>Fora do DRE</v>
      </c>
      <c r="V2536" s="3" t="str">
        <f>IF(Base_Periodo1[[#This Row],[Tipo_Linha]]="Fora do DRE","Fora do DRE","( "&amp;Base_Periodo1[[#This Row],[Tipo_Linha]]&amp;" ) "&amp;Base_Periodo1[[#This Row],[Filtro]])</f>
        <v>Fora do DRE</v>
      </c>
      <c r="W2536" s="3" t="str">
        <f>LEFT(Base_Periodo1[[#This Row],[CLASS]],3)</f>
        <v>2.1</v>
      </c>
    </row>
    <row r="2537" spans="1:23" hidden="1">
      <c r="A2537" s="3" t="str">
        <f t="shared" si="39"/>
        <v>Período 1</v>
      </c>
      <c r="B2537">
        <v>22354</v>
      </c>
      <c r="C2537" t="s">
        <v>1730</v>
      </c>
      <c r="D2537" t="s">
        <v>793</v>
      </c>
      <c r="E2537" s="3" t="str">
        <f>IF(LEN(Base_Periodo1[[#This Row],[CLASS]])&gt;=7,LEFT(Base_Periodo1[[#This Row],[CLASS]],7),"")</f>
        <v>2.1.2.1</v>
      </c>
      <c r="F2537" s="3" t="str">
        <f>VLOOKUP(Base_Periodo1[[#This Row],[Aux]],Base_Contas_Balanco[#All],2,FALSE)</f>
        <v>Fornecedores Cooperados</v>
      </c>
      <c r="G2537" s="1">
        <v>42878</v>
      </c>
      <c r="I2537" s="225">
        <v>1645.12</v>
      </c>
      <c r="J2537" s="225">
        <v>1645.12</v>
      </c>
      <c r="K2537" s="225">
        <v>1.1641532182693481E-10</v>
      </c>
      <c r="L25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37" s="225">
        <f>ROUND(IF(AND(Base_Periodo1[[#This Row],[Tipo_Linha]]="-",Base_Periodo1[[#This Row],[TIPOSALDO]]="D"),Base_Periodo1[[#This Row],[SALDO_ATUAL]]*-1,Base_Periodo1[[#This Row],[SALDO_ATUAL]]),4)</f>
        <v>0</v>
      </c>
      <c r="N2537" t="s">
        <v>116</v>
      </c>
      <c r="O2537" t="s">
        <v>436</v>
      </c>
      <c r="P2537" t="s">
        <v>436</v>
      </c>
      <c r="Q2537">
        <v>7</v>
      </c>
      <c r="R2537" s="225">
        <f>Base_Periodo1[[#This Row],[CREDITOS]]-Base_Periodo1[[#This Row],[DEBITOS]]</f>
        <v>0</v>
      </c>
      <c r="S2537" s="3" t="str">
        <f>IF(ISERROR(VLOOKUP(Base_Periodo1[[#This Row],[CONTA]],BaseContasDRE[#All],4,FALSE)),"Fora do DRE",VLOOKUP(Base_Periodo1[[#This Row],[CONTA]],BaseContasDRE[#All],4,FALSE))</f>
        <v>Fora do DRE</v>
      </c>
      <c r="T2537" s="3" t="str">
        <f>IF(ISERROR(VLOOKUP(Base_Periodo1[[#This Row],[CONTA]],BaseContasDRE[#All],5,FALSE)),"Fora do DRE",VLOOKUP(Base_Periodo1[[#This Row],[CONTA]],BaseContasDRE[#All],6,FALSE))</f>
        <v>Fora do DRE</v>
      </c>
      <c r="U2537" s="3" t="str">
        <f>IF(ISERROR(VLOOKUP(Base_Periodo1[[#This Row],[CONTA]],BaseContasDRE[#All],7,FALSE)),"Fora do DRE",VLOOKUP(Base_Periodo1[[#This Row],[CONTA]],BaseContasDRE[#All],7,FALSE))</f>
        <v>Fora do DRE</v>
      </c>
      <c r="V2537" s="3" t="str">
        <f>IF(Base_Periodo1[[#This Row],[Tipo_Linha]]="Fora do DRE","Fora do DRE","( "&amp;Base_Periodo1[[#This Row],[Tipo_Linha]]&amp;" ) "&amp;Base_Periodo1[[#This Row],[Filtro]])</f>
        <v>Fora do DRE</v>
      </c>
      <c r="W2537" s="3" t="str">
        <f>LEFT(Base_Periodo1[[#This Row],[CLASS]],3)</f>
        <v>2.1</v>
      </c>
    </row>
    <row r="2538" spans="1:23" hidden="1">
      <c r="A2538" s="3" t="str">
        <f t="shared" si="39"/>
        <v>Período 1</v>
      </c>
      <c r="B2538">
        <v>3333</v>
      </c>
      <c r="C2538" t="s">
        <v>1730</v>
      </c>
      <c r="D2538" t="s">
        <v>794</v>
      </c>
      <c r="E2538" s="3" t="str">
        <f>IF(LEN(Base_Periodo1[[#This Row],[CLASS]])&gt;=7,LEFT(Base_Periodo1[[#This Row],[CLASS]],7),"")</f>
        <v>2.1.2.1</v>
      </c>
      <c r="F2538" s="3" t="str">
        <f>VLOOKUP(Base_Periodo1[[#This Row],[Aux]],Base_Contas_Balanco[#All],2,FALSE)</f>
        <v>Fornecedores Cooperados</v>
      </c>
      <c r="G2538" s="1">
        <v>42886</v>
      </c>
      <c r="H2538" s="225">
        <v>661737.79000001214</v>
      </c>
      <c r="I2538" s="225">
        <v>578368.05000000005</v>
      </c>
      <c r="J2538" s="225">
        <v>889658.48</v>
      </c>
      <c r="K2538" s="225">
        <v>973028.22000001208</v>
      </c>
      <c r="L25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973028.22</v>
      </c>
      <c r="M2538" s="225">
        <f>ROUND(IF(AND(Base_Periodo1[[#This Row],[Tipo_Linha]]="-",Base_Periodo1[[#This Row],[TIPOSALDO]]="D"),Base_Periodo1[[#This Row],[SALDO_ATUAL]]*-1,Base_Periodo1[[#This Row],[SALDO_ATUAL]]),4)</f>
        <v>973028.22</v>
      </c>
      <c r="N2538" t="s">
        <v>116</v>
      </c>
      <c r="O2538" t="s">
        <v>459</v>
      </c>
      <c r="P2538" t="s">
        <v>459</v>
      </c>
      <c r="Q2538">
        <v>7</v>
      </c>
      <c r="R2538" s="225">
        <f>Base_Periodo1[[#This Row],[CREDITOS]]-Base_Periodo1[[#This Row],[DEBITOS]]</f>
        <v>311290.42999999993</v>
      </c>
      <c r="S2538" s="3" t="str">
        <f>IF(ISERROR(VLOOKUP(Base_Periodo1[[#This Row],[CONTA]],BaseContasDRE[#All],4,FALSE)),"Fora do DRE",VLOOKUP(Base_Periodo1[[#This Row],[CONTA]],BaseContasDRE[#All],4,FALSE))</f>
        <v>Fora do DRE</v>
      </c>
      <c r="T2538" s="3" t="str">
        <f>IF(ISERROR(VLOOKUP(Base_Periodo1[[#This Row],[CONTA]],BaseContasDRE[#All],5,FALSE)),"Fora do DRE",VLOOKUP(Base_Periodo1[[#This Row],[CONTA]],BaseContasDRE[#All],6,FALSE))</f>
        <v>Fora do DRE</v>
      </c>
      <c r="U2538" s="3" t="str">
        <f>IF(ISERROR(VLOOKUP(Base_Periodo1[[#This Row],[CONTA]],BaseContasDRE[#All],7,FALSE)),"Fora do DRE",VLOOKUP(Base_Periodo1[[#This Row],[CONTA]],BaseContasDRE[#All],7,FALSE))</f>
        <v>Fora do DRE</v>
      </c>
      <c r="V2538" s="3" t="str">
        <f>IF(Base_Periodo1[[#This Row],[Tipo_Linha]]="Fora do DRE","Fora do DRE","( "&amp;Base_Periodo1[[#This Row],[Tipo_Linha]]&amp;" ) "&amp;Base_Periodo1[[#This Row],[Filtro]])</f>
        <v>Fora do DRE</v>
      </c>
      <c r="W2538" s="3" t="str">
        <f>LEFT(Base_Periodo1[[#This Row],[CLASS]],3)</f>
        <v>2.1</v>
      </c>
    </row>
    <row r="2539" spans="1:23" hidden="1">
      <c r="A2539" s="3" t="str">
        <f t="shared" si="39"/>
        <v>Período 1</v>
      </c>
      <c r="B2539">
        <v>13005</v>
      </c>
      <c r="C2539" t="s">
        <v>1730</v>
      </c>
      <c r="D2539" t="s">
        <v>6132</v>
      </c>
      <c r="E2539" s="3" t="str">
        <f>IF(LEN(Base_Periodo1[[#This Row],[CLASS]])&gt;=7,LEFT(Base_Periodo1[[#This Row],[CLASS]],7),"")</f>
        <v>2.1.2.1</v>
      </c>
      <c r="F2539" s="3" t="str">
        <f>VLOOKUP(Base_Periodo1[[#This Row],[Aux]],Base_Contas_Balanco[#All],2,FALSE)</f>
        <v>Fornecedores Cooperados</v>
      </c>
      <c r="G2539" s="1">
        <v>42844</v>
      </c>
      <c r="H2539" s="225">
        <v>13247.680000000051</v>
      </c>
      <c r="I2539" s="225">
        <v>0</v>
      </c>
      <c r="J2539" s="225">
        <v>0</v>
      </c>
      <c r="K2539" s="225">
        <v>13247.680000000051</v>
      </c>
      <c r="L25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13247.68</v>
      </c>
      <c r="M2539" s="225">
        <f>ROUND(IF(AND(Base_Periodo1[[#This Row],[Tipo_Linha]]="-",Base_Periodo1[[#This Row],[TIPOSALDO]]="D"),Base_Periodo1[[#This Row],[SALDO_ATUAL]]*-1,Base_Periodo1[[#This Row],[SALDO_ATUAL]]),4)</f>
        <v>13247.68</v>
      </c>
      <c r="N2539" t="s">
        <v>116</v>
      </c>
      <c r="O2539" t="s">
        <v>459</v>
      </c>
      <c r="P2539" t="s">
        <v>459</v>
      </c>
      <c r="Q2539">
        <v>7</v>
      </c>
      <c r="R2539" s="225">
        <f>Base_Periodo1[[#This Row],[CREDITOS]]-Base_Periodo1[[#This Row],[DEBITOS]]</f>
        <v>0</v>
      </c>
      <c r="S2539" s="3" t="str">
        <f>IF(ISERROR(VLOOKUP(Base_Periodo1[[#This Row],[CONTA]],BaseContasDRE[#All],4,FALSE)),"Fora do DRE",VLOOKUP(Base_Periodo1[[#This Row],[CONTA]],BaseContasDRE[#All],4,FALSE))</f>
        <v>Fora do DRE</v>
      </c>
      <c r="T2539" s="3" t="str">
        <f>IF(ISERROR(VLOOKUP(Base_Periodo1[[#This Row],[CONTA]],BaseContasDRE[#All],5,FALSE)),"Fora do DRE",VLOOKUP(Base_Periodo1[[#This Row],[CONTA]],BaseContasDRE[#All],6,FALSE))</f>
        <v>Fora do DRE</v>
      </c>
      <c r="U2539" s="3" t="str">
        <f>IF(ISERROR(VLOOKUP(Base_Periodo1[[#This Row],[CONTA]],BaseContasDRE[#All],7,FALSE)),"Fora do DRE",VLOOKUP(Base_Periodo1[[#This Row],[CONTA]],BaseContasDRE[#All],7,FALSE))</f>
        <v>Fora do DRE</v>
      </c>
      <c r="V2539" s="3" t="str">
        <f>IF(Base_Periodo1[[#This Row],[Tipo_Linha]]="Fora do DRE","Fora do DRE","( "&amp;Base_Periodo1[[#This Row],[Tipo_Linha]]&amp;" ) "&amp;Base_Periodo1[[#This Row],[Filtro]])</f>
        <v>Fora do DRE</v>
      </c>
      <c r="W2539" s="3" t="str">
        <f>LEFT(Base_Periodo1[[#This Row],[CLASS]],3)</f>
        <v>2.1</v>
      </c>
    </row>
    <row r="2540" spans="1:23" hidden="1">
      <c r="A2540" s="3" t="str">
        <f t="shared" si="39"/>
        <v>Período 1</v>
      </c>
      <c r="B2540">
        <v>39269</v>
      </c>
      <c r="C2540" t="s">
        <v>1730</v>
      </c>
      <c r="D2540" t="s">
        <v>795</v>
      </c>
      <c r="E2540" s="3" t="str">
        <f>IF(LEN(Base_Periodo1[[#This Row],[CLASS]])&gt;=7,LEFT(Base_Periodo1[[#This Row],[CLASS]],7),"")</f>
        <v>2.1.2.1</v>
      </c>
      <c r="F2540" s="3" t="str">
        <f>VLOOKUP(Base_Periodo1[[#This Row],[Aux]],Base_Contas_Balanco[#All],2,FALSE)</f>
        <v>Fornecedores Cooperados</v>
      </c>
      <c r="G2540" s="1">
        <v>42881</v>
      </c>
      <c r="I2540" s="225">
        <v>58578.34</v>
      </c>
      <c r="J2540" s="225">
        <v>58578.34</v>
      </c>
      <c r="K2540" s="225">
        <v>0</v>
      </c>
      <c r="L25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40" s="225">
        <f>ROUND(IF(AND(Base_Periodo1[[#This Row],[Tipo_Linha]]="-",Base_Periodo1[[#This Row],[TIPOSALDO]]="D"),Base_Periodo1[[#This Row],[SALDO_ATUAL]]*-1,Base_Periodo1[[#This Row],[SALDO_ATUAL]]),4)</f>
        <v>0</v>
      </c>
      <c r="N2540" t="s">
        <v>116</v>
      </c>
      <c r="O2540" t="s">
        <v>436</v>
      </c>
      <c r="P2540" t="s">
        <v>436</v>
      </c>
      <c r="Q2540">
        <v>7</v>
      </c>
      <c r="R2540" s="225">
        <f>Base_Periodo1[[#This Row],[CREDITOS]]-Base_Periodo1[[#This Row],[DEBITOS]]</f>
        <v>0</v>
      </c>
      <c r="S2540" s="3" t="str">
        <f>IF(ISERROR(VLOOKUP(Base_Periodo1[[#This Row],[CONTA]],BaseContasDRE[#All],4,FALSE)),"Fora do DRE",VLOOKUP(Base_Periodo1[[#This Row],[CONTA]],BaseContasDRE[#All],4,FALSE))</f>
        <v>Fora do DRE</v>
      </c>
      <c r="T2540" s="3" t="str">
        <f>IF(ISERROR(VLOOKUP(Base_Periodo1[[#This Row],[CONTA]],BaseContasDRE[#All],5,FALSE)),"Fora do DRE",VLOOKUP(Base_Periodo1[[#This Row],[CONTA]],BaseContasDRE[#All],6,FALSE))</f>
        <v>Fora do DRE</v>
      </c>
      <c r="U2540" s="3" t="str">
        <f>IF(ISERROR(VLOOKUP(Base_Periodo1[[#This Row],[CONTA]],BaseContasDRE[#All],7,FALSE)),"Fora do DRE",VLOOKUP(Base_Periodo1[[#This Row],[CONTA]],BaseContasDRE[#All],7,FALSE))</f>
        <v>Fora do DRE</v>
      </c>
      <c r="V2540" s="3" t="str">
        <f>IF(Base_Periodo1[[#This Row],[Tipo_Linha]]="Fora do DRE","Fora do DRE","( "&amp;Base_Periodo1[[#This Row],[Tipo_Linha]]&amp;" ) "&amp;Base_Periodo1[[#This Row],[Filtro]])</f>
        <v>Fora do DRE</v>
      </c>
      <c r="W2540" s="3" t="str">
        <f>LEFT(Base_Periodo1[[#This Row],[CLASS]],3)</f>
        <v>2.1</v>
      </c>
    </row>
    <row r="2541" spans="1:23" hidden="1">
      <c r="A2541" s="3" t="str">
        <f t="shared" si="39"/>
        <v>Período 1</v>
      </c>
      <c r="B2541">
        <v>2737</v>
      </c>
      <c r="C2541" t="s">
        <v>1730</v>
      </c>
      <c r="D2541" t="s">
        <v>5854</v>
      </c>
      <c r="E2541" s="3" t="str">
        <f>IF(LEN(Base_Periodo1[[#This Row],[CLASS]])&gt;=7,LEFT(Base_Periodo1[[#This Row],[CLASS]],7),"")</f>
        <v>2.1.2.1</v>
      </c>
      <c r="F2541" s="3" t="str">
        <f>VLOOKUP(Base_Periodo1[[#This Row],[Aux]],Base_Contas_Balanco[#All],2,FALSE)</f>
        <v>Fornecedores Cooperados</v>
      </c>
      <c r="G2541" s="1">
        <v>42867</v>
      </c>
      <c r="I2541" s="225">
        <v>2950</v>
      </c>
      <c r="J2541" s="225">
        <v>2950</v>
      </c>
      <c r="K2541" s="225">
        <v>2.9103830456733704E-11</v>
      </c>
      <c r="L25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41" s="225">
        <f>ROUND(IF(AND(Base_Periodo1[[#This Row],[Tipo_Linha]]="-",Base_Periodo1[[#This Row],[TIPOSALDO]]="D"),Base_Periodo1[[#This Row],[SALDO_ATUAL]]*-1,Base_Periodo1[[#This Row],[SALDO_ATUAL]]),4)</f>
        <v>0</v>
      </c>
      <c r="N2541" t="s">
        <v>116</v>
      </c>
      <c r="O2541" t="s">
        <v>436</v>
      </c>
      <c r="P2541" t="s">
        <v>436</v>
      </c>
      <c r="Q2541">
        <v>7</v>
      </c>
      <c r="R2541" s="225">
        <f>Base_Periodo1[[#This Row],[CREDITOS]]-Base_Periodo1[[#This Row],[DEBITOS]]</f>
        <v>0</v>
      </c>
      <c r="S2541" s="3" t="str">
        <f>IF(ISERROR(VLOOKUP(Base_Periodo1[[#This Row],[CONTA]],BaseContasDRE[#All],4,FALSE)),"Fora do DRE",VLOOKUP(Base_Periodo1[[#This Row],[CONTA]],BaseContasDRE[#All],4,FALSE))</f>
        <v>Fora do DRE</v>
      </c>
      <c r="T2541" s="3" t="str">
        <f>IF(ISERROR(VLOOKUP(Base_Periodo1[[#This Row],[CONTA]],BaseContasDRE[#All],5,FALSE)),"Fora do DRE",VLOOKUP(Base_Periodo1[[#This Row],[CONTA]],BaseContasDRE[#All],6,FALSE))</f>
        <v>Fora do DRE</v>
      </c>
      <c r="U2541" s="3" t="str">
        <f>IF(ISERROR(VLOOKUP(Base_Periodo1[[#This Row],[CONTA]],BaseContasDRE[#All],7,FALSE)),"Fora do DRE",VLOOKUP(Base_Periodo1[[#This Row],[CONTA]],BaseContasDRE[#All],7,FALSE))</f>
        <v>Fora do DRE</v>
      </c>
      <c r="V2541" s="3" t="str">
        <f>IF(Base_Periodo1[[#This Row],[Tipo_Linha]]="Fora do DRE","Fora do DRE","( "&amp;Base_Periodo1[[#This Row],[Tipo_Linha]]&amp;" ) "&amp;Base_Periodo1[[#This Row],[Filtro]])</f>
        <v>Fora do DRE</v>
      </c>
      <c r="W2541" s="3" t="str">
        <f>LEFT(Base_Periodo1[[#This Row],[CLASS]],3)</f>
        <v>2.1</v>
      </c>
    </row>
    <row r="2542" spans="1:23" hidden="1">
      <c r="A2542" s="3" t="str">
        <f t="shared" si="39"/>
        <v>Período 1</v>
      </c>
      <c r="B2542">
        <v>39760</v>
      </c>
      <c r="C2542" t="s">
        <v>1730</v>
      </c>
      <c r="D2542" t="s">
        <v>5010</v>
      </c>
      <c r="E2542" s="3" t="str">
        <f>IF(LEN(Base_Periodo1[[#This Row],[CLASS]])&gt;=7,LEFT(Base_Periodo1[[#This Row],[CLASS]],7),"")</f>
        <v>2.1.2.1</v>
      </c>
      <c r="F2542" s="3" t="str">
        <f>VLOOKUP(Base_Periodo1[[#This Row],[Aux]],Base_Contas_Balanco[#All],2,FALSE)</f>
        <v>Fornecedores Cooperados</v>
      </c>
      <c r="G2542" s="1">
        <v>42867</v>
      </c>
      <c r="I2542" s="225">
        <v>2650.8799999999997</v>
      </c>
      <c r="J2542" s="225">
        <v>2650.88</v>
      </c>
      <c r="K2542" s="225">
        <v>5.7752913562580943E-11</v>
      </c>
      <c r="L25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42" s="225">
        <f>ROUND(IF(AND(Base_Periodo1[[#This Row],[Tipo_Linha]]="-",Base_Periodo1[[#This Row],[TIPOSALDO]]="D"),Base_Periodo1[[#This Row],[SALDO_ATUAL]]*-1,Base_Periodo1[[#This Row],[SALDO_ATUAL]]),4)</f>
        <v>0</v>
      </c>
      <c r="N2542" t="s">
        <v>116</v>
      </c>
      <c r="O2542" t="s">
        <v>436</v>
      </c>
      <c r="P2542" t="s">
        <v>436</v>
      </c>
      <c r="Q2542">
        <v>7</v>
      </c>
      <c r="R2542" s="225">
        <f>Base_Periodo1[[#This Row],[CREDITOS]]-Base_Periodo1[[#This Row],[DEBITOS]]</f>
        <v>0</v>
      </c>
      <c r="S2542" s="3" t="str">
        <f>IF(ISERROR(VLOOKUP(Base_Periodo1[[#This Row],[CONTA]],BaseContasDRE[#All],4,FALSE)),"Fora do DRE",VLOOKUP(Base_Periodo1[[#This Row],[CONTA]],BaseContasDRE[#All],4,FALSE))</f>
        <v>Fora do DRE</v>
      </c>
      <c r="T2542" s="3" t="str">
        <f>IF(ISERROR(VLOOKUP(Base_Periodo1[[#This Row],[CONTA]],BaseContasDRE[#All],5,FALSE)),"Fora do DRE",VLOOKUP(Base_Periodo1[[#This Row],[CONTA]],BaseContasDRE[#All],6,FALSE))</f>
        <v>Fora do DRE</v>
      </c>
      <c r="U2542" s="3" t="str">
        <f>IF(ISERROR(VLOOKUP(Base_Periodo1[[#This Row],[CONTA]],BaseContasDRE[#All],7,FALSE)),"Fora do DRE",VLOOKUP(Base_Periodo1[[#This Row],[CONTA]],BaseContasDRE[#All],7,FALSE))</f>
        <v>Fora do DRE</v>
      </c>
      <c r="V2542" s="3" t="str">
        <f>IF(Base_Periodo1[[#This Row],[Tipo_Linha]]="Fora do DRE","Fora do DRE","( "&amp;Base_Periodo1[[#This Row],[Tipo_Linha]]&amp;" ) "&amp;Base_Periodo1[[#This Row],[Filtro]])</f>
        <v>Fora do DRE</v>
      </c>
      <c r="W2542" s="3" t="str">
        <f>LEFT(Base_Periodo1[[#This Row],[CLASS]],3)</f>
        <v>2.1</v>
      </c>
    </row>
    <row r="2543" spans="1:23" hidden="1">
      <c r="A2543" s="3" t="str">
        <f t="shared" si="39"/>
        <v>Período 1</v>
      </c>
      <c r="B2543">
        <v>25493</v>
      </c>
      <c r="C2543" t="s">
        <v>1730</v>
      </c>
      <c r="D2543" t="s">
        <v>1738</v>
      </c>
      <c r="E2543" s="3" t="str">
        <f>IF(LEN(Base_Periodo1[[#This Row],[CLASS]])&gt;=7,LEFT(Base_Periodo1[[#This Row],[CLASS]],7),"")</f>
        <v>2.1.2.1</v>
      </c>
      <c r="F2543" s="3" t="str">
        <f>VLOOKUP(Base_Periodo1[[#This Row],[Aux]],Base_Contas_Balanco[#All],2,FALSE)</f>
        <v>Fornecedores Cooperados</v>
      </c>
      <c r="G2543" s="1">
        <v>42521</v>
      </c>
      <c r="H2543" s="225">
        <v>119.61999999999534</v>
      </c>
      <c r="I2543" s="225">
        <v>0</v>
      </c>
      <c r="J2543" s="225">
        <v>0</v>
      </c>
      <c r="K2543" s="225">
        <v>119.61999999999534</v>
      </c>
      <c r="L25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119.62</v>
      </c>
      <c r="M2543" s="225">
        <f>ROUND(IF(AND(Base_Periodo1[[#This Row],[Tipo_Linha]]="-",Base_Periodo1[[#This Row],[TIPOSALDO]]="D"),Base_Periodo1[[#This Row],[SALDO_ATUAL]]*-1,Base_Periodo1[[#This Row],[SALDO_ATUAL]]),4)</f>
        <v>119.62</v>
      </c>
      <c r="N2543" t="s">
        <v>116</v>
      </c>
      <c r="O2543" t="s">
        <v>459</v>
      </c>
      <c r="P2543" t="s">
        <v>459</v>
      </c>
      <c r="Q2543">
        <v>7</v>
      </c>
      <c r="R2543" s="225">
        <f>Base_Periodo1[[#This Row],[CREDITOS]]-Base_Periodo1[[#This Row],[DEBITOS]]</f>
        <v>0</v>
      </c>
      <c r="S2543" s="3" t="str">
        <f>IF(ISERROR(VLOOKUP(Base_Periodo1[[#This Row],[CONTA]],BaseContasDRE[#All],4,FALSE)),"Fora do DRE",VLOOKUP(Base_Periodo1[[#This Row],[CONTA]],BaseContasDRE[#All],4,FALSE))</f>
        <v>Fora do DRE</v>
      </c>
      <c r="T2543" s="3" t="str">
        <f>IF(ISERROR(VLOOKUP(Base_Periodo1[[#This Row],[CONTA]],BaseContasDRE[#All],5,FALSE)),"Fora do DRE",VLOOKUP(Base_Periodo1[[#This Row],[CONTA]],BaseContasDRE[#All],6,FALSE))</f>
        <v>Fora do DRE</v>
      </c>
      <c r="U2543" s="3" t="str">
        <f>IF(ISERROR(VLOOKUP(Base_Periodo1[[#This Row],[CONTA]],BaseContasDRE[#All],7,FALSE)),"Fora do DRE",VLOOKUP(Base_Periodo1[[#This Row],[CONTA]],BaseContasDRE[#All],7,FALSE))</f>
        <v>Fora do DRE</v>
      </c>
      <c r="V2543" s="3" t="str">
        <f>IF(Base_Periodo1[[#This Row],[Tipo_Linha]]="Fora do DRE","Fora do DRE","( "&amp;Base_Periodo1[[#This Row],[Tipo_Linha]]&amp;" ) "&amp;Base_Periodo1[[#This Row],[Filtro]])</f>
        <v>Fora do DRE</v>
      </c>
      <c r="W2543" s="3" t="str">
        <f>LEFT(Base_Periodo1[[#This Row],[CLASS]],3)</f>
        <v>2.1</v>
      </c>
    </row>
    <row r="2544" spans="1:23" hidden="1">
      <c r="A2544" s="3" t="str">
        <f t="shared" si="39"/>
        <v>Período 1</v>
      </c>
      <c r="B2544">
        <v>30119</v>
      </c>
      <c r="C2544" t="s">
        <v>1730</v>
      </c>
      <c r="D2544" t="s">
        <v>798</v>
      </c>
      <c r="E2544" s="3" t="str">
        <f>IF(LEN(Base_Periodo1[[#This Row],[CLASS]])&gt;=7,LEFT(Base_Periodo1[[#This Row],[CLASS]],7),"")</f>
        <v>2.1.2.1</v>
      </c>
      <c r="F2544" s="3" t="str">
        <f>VLOOKUP(Base_Periodo1[[#This Row],[Aux]],Base_Contas_Balanco[#All],2,FALSE)</f>
        <v>Fornecedores Cooperados</v>
      </c>
      <c r="G2544" s="1">
        <v>42858</v>
      </c>
      <c r="I2544" s="225">
        <v>158983.58000000002</v>
      </c>
      <c r="J2544" s="225">
        <v>158983.58000000002</v>
      </c>
      <c r="K2544" s="225">
        <v>-2.3283064365386963E-10</v>
      </c>
      <c r="L25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44" s="225">
        <f>ROUND(IF(AND(Base_Periodo1[[#This Row],[Tipo_Linha]]="-",Base_Periodo1[[#This Row],[TIPOSALDO]]="D"),Base_Periodo1[[#This Row],[SALDO_ATUAL]]*-1,Base_Periodo1[[#This Row],[SALDO_ATUAL]]),4)</f>
        <v>0</v>
      </c>
      <c r="N2544" t="s">
        <v>116</v>
      </c>
      <c r="O2544" t="s">
        <v>436</v>
      </c>
      <c r="P2544" t="s">
        <v>436</v>
      </c>
      <c r="Q2544">
        <v>7</v>
      </c>
      <c r="R2544" s="225">
        <f>Base_Periodo1[[#This Row],[CREDITOS]]-Base_Periodo1[[#This Row],[DEBITOS]]</f>
        <v>0</v>
      </c>
      <c r="S2544" s="3" t="str">
        <f>IF(ISERROR(VLOOKUP(Base_Periodo1[[#This Row],[CONTA]],BaseContasDRE[#All],4,FALSE)),"Fora do DRE",VLOOKUP(Base_Periodo1[[#This Row],[CONTA]],BaseContasDRE[#All],4,FALSE))</f>
        <v>Fora do DRE</v>
      </c>
      <c r="T2544" s="3" t="str">
        <f>IF(ISERROR(VLOOKUP(Base_Periodo1[[#This Row],[CONTA]],BaseContasDRE[#All],5,FALSE)),"Fora do DRE",VLOOKUP(Base_Periodo1[[#This Row],[CONTA]],BaseContasDRE[#All],6,FALSE))</f>
        <v>Fora do DRE</v>
      </c>
      <c r="U2544" s="3" t="str">
        <f>IF(ISERROR(VLOOKUP(Base_Periodo1[[#This Row],[CONTA]],BaseContasDRE[#All],7,FALSE)),"Fora do DRE",VLOOKUP(Base_Periodo1[[#This Row],[CONTA]],BaseContasDRE[#All],7,FALSE))</f>
        <v>Fora do DRE</v>
      </c>
      <c r="V2544" s="3" t="str">
        <f>IF(Base_Periodo1[[#This Row],[Tipo_Linha]]="Fora do DRE","Fora do DRE","( "&amp;Base_Periodo1[[#This Row],[Tipo_Linha]]&amp;" ) "&amp;Base_Periodo1[[#This Row],[Filtro]])</f>
        <v>Fora do DRE</v>
      </c>
      <c r="W2544" s="3" t="str">
        <f>LEFT(Base_Periodo1[[#This Row],[CLASS]],3)</f>
        <v>2.1</v>
      </c>
    </row>
    <row r="2545" spans="1:23" hidden="1">
      <c r="A2545" s="3" t="str">
        <f t="shared" si="39"/>
        <v>Período 1</v>
      </c>
      <c r="B2545">
        <v>49347</v>
      </c>
      <c r="C2545" t="s">
        <v>1730</v>
      </c>
      <c r="D2545" t="s">
        <v>6725</v>
      </c>
      <c r="E2545" s="3" t="str">
        <f>IF(LEN(Base_Periodo1[[#This Row],[CLASS]])&gt;=7,LEFT(Base_Periodo1[[#This Row],[CLASS]],7),"")</f>
        <v>2.1.2.1</v>
      </c>
      <c r="F2545" s="3" t="str">
        <f>VLOOKUP(Base_Periodo1[[#This Row],[Aux]],Base_Contas_Balanco[#All],2,FALSE)</f>
        <v>Fornecedores Cooperados</v>
      </c>
      <c r="G2545" s="1">
        <v>42858</v>
      </c>
      <c r="I2545" s="225">
        <v>2013.33</v>
      </c>
      <c r="J2545" s="225">
        <v>2013.33</v>
      </c>
      <c r="K2545" s="225">
        <v>0</v>
      </c>
      <c r="L25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45" s="225">
        <f>ROUND(IF(AND(Base_Periodo1[[#This Row],[Tipo_Linha]]="-",Base_Periodo1[[#This Row],[TIPOSALDO]]="D"),Base_Periodo1[[#This Row],[SALDO_ATUAL]]*-1,Base_Periodo1[[#This Row],[SALDO_ATUAL]]),4)</f>
        <v>0</v>
      </c>
      <c r="N2545" t="s">
        <v>116</v>
      </c>
      <c r="O2545" t="s">
        <v>436</v>
      </c>
      <c r="P2545" t="s">
        <v>436</v>
      </c>
      <c r="Q2545">
        <v>7</v>
      </c>
      <c r="R2545" s="225">
        <f>Base_Periodo1[[#This Row],[CREDITOS]]-Base_Periodo1[[#This Row],[DEBITOS]]</f>
        <v>0</v>
      </c>
      <c r="S2545" s="3" t="str">
        <f>IF(ISERROR(VLOOKUP(Base_Periodo1[[#This Row],[CONTA]],BaseContasDRE[#All],4,FALSE)),"Fora do DRE",VLOOKUP(Base_Periodo1[[#This Row],[CONTA]],BaseContasDRE[#All],4,FALSE))</f>
        <v>Fora do DRE</v>
      </c>
      <c r="T2545" s="3" t="str">
        <f>IF(ISERROR(VLOOKUP(Base_Periodo1[[#This Row],[CONTA]],BaseContasDRE[#All],5,FALSE)),"Fora do DRE",VLOOKUP(Base_Periodo1[[#This Row],[CONTA]],BaseContasDRE[#All],6,FALSE))</f>
        <v>Fora do DRE</v>
      </c>
      <c r="U2545" s="3" t="str">
        <f>IF(ISERROR(VLOOKUP(Base_Periodo1[[#This Row],[CONTA]],BaseContasDRE[#All],7,FALSE)),"Fora do DRE",VLOOKUP(Base_Periodo1[[#This Row],[CONTA]],BaseContasDRE[#All],7,FALSE))</f>
        <v>Fora do DRE</v>
      </c>
      <c r="V2545" s="3" t="str">
        <f>IF(Base_Periodo1[[#This Row],[Tipo_Linha]]="Fora do DRE","Fora do DRE","( "&amp;Base_Periodo1[[#This Row],[Tipo_Linha]]&amp;" ) "&amp;Base_Periodo1[[#This Row],[Filtro]])</f>
        <v>Fora do DRE</v>
      </c>
      <c r="W2545" s="3" t="str">
        <f>LEFT(Base_Periodo1[[#This Row],[CLASS]],3)</f>
        <v>2.1</v>
      </c>
    </row>
    <row r="2546" spans="1:23" hidden="1">
      <c r="A2546" s="3" t="str">
        <f t="shared" si="39"/>
        <v>Período 1</v>
      </c>
      <c r="B2546">
        <v>53965</v>
      </c>
      <c r="C2546" t="s">
        <v>1730</v>
      </c>
      <c r="D2546" t="s">
        <v>5642</v>
      </c>
      <c r="E2546" s="3" t="str">
        <f>IF(LEN(Base_Periodo1[[#This Row],[CLASS]])&gt;=7,LEFT(Base_Periodo1[[#This Row],[CLASS]],7),"")</f>
        <v>2.1.2.1</v>
      </c>
      <c r="F2546" s="3" t="str">
        <f>VLOOKUP(Base_Periodo1[[#This Row],[Aux]],Base_Contas_Balanco[#All],2,FALSE)</f>
        <v>Fornecedores Cooperados</v>
      </c>
      <c r="G2546" s="1">
        <v>42872</v>
      </c>
      <c r="I2546" s="225">
        <v>2753.14</v>
      </c>
      <c r="J2546" s="225">
        <v>2753.14</v>
      </c>
      <c r="K2546" s="225">
        <v>-1.8189894035458565E-12</v>
      </c>
      <c r="L25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46" s="225">
        <f>ROUND(IF(AND(Base_Periodo1[[#This Row],[Tipo_Linha]]="-",Base_Periodo1[[#This Row],[TIPOSALDO]]="D"),Base_Periodo1[[#This Row],[SALDO_ATUAL]]*-1,Base_Periodo1[[#This Row],[SALDO_ATUAL]]),4)</f>
        <v>0</v>
      </c>
      <c r="N2546" t="s">
        <v>116</v>
      </c>
      <c r="O2546" t="s">
        <v>436</v>
      </c>
      <c r="P2546" t="s">
        <v>436</v>
      </c>
      <c r="Q2546">
        <v>7</v>
      </c>
      <c r="R2546" s="225">
        <f>Base_Periodo1[[#This Row],[CREDITOS]]-Base_Periodo1[[#This Row],[DEBITOS]]</f>
        <v>0</v>
      </c>
      <c r="S2546" s="3" t="str">
        <f>IF(ISERROR(VLOOKUP(Base_Periodo1[[#This Row],[CONTA]],BaseContasDRE[#All],4,FALSE)),"Fora do DRE",VLOOKUP(Base_Periodo1[[#This Row],[CONTA]],BaseContasDRE[#All],4,FALSE))</f>
        <v>Fora do DRE</v>
      </c>
      <c r="T2546" s="3" t="str">
        <f>IF(ISERROR(VLOOKUP(Base_Periodo1[[#This Row],[CONTA]],BaseContasDRE[#All],5,FALSE)),"Fora do DRE",VLOOKUP(Base_Periodo1[[#This Row],[CONTA]],BaseContasDRE[#All],6,FALSE))</f>
        <v>Fora do DRE</v>
      </c>
      <c r="U2546" s="3" t="str">
        <f>IF(ISERROR(VLOOKUP(Base_Periodo1[[#This Row],[CONTA]],BaseContasDRE[#All],7,FALSE)),"Fora do DRE",VLOOKUP(Base_Periodo1[[#This Row],[CONTA]],BaseContasDRE[#All],7,FALSE))</f>
        <v>Fora do DRE</v>
      </c>
      <c r="V2546" s="3" t="str">
        <f>IF(Base_Periodo1[[#This Row],[Tipo_Linha]]="Fora do DRE","Fora do DRE","( "&amp;Base_Periodo1[[#This Row],[Tipo_Linha]]&amp;" ) "&amp;Base_Periodo1[[#This Row],[Filtro]])</f>
        <v>Fora do DRE</v>
      </c>
      <c r="W2546" s="3" t="str">
        <f>LEFT(Base_Periodo1[[#This Row],[CLASS]],3)</f>
        <v>2.1</v>
      </c>
    </row>
    <row r="2547" spans="1:23" hidden="1">
      <c r="A2547" s="3" t="str">
        <f t="shared" si="39"/>
        <v>Período 1</v>
      </c>
      <c r="B2547">
        <v>2293</v>
      </c>
      <c r="C2547" t="s">
        <v>1730</v>
      </c>
      <c r="D2547" t="s">
        <v>801</v>
      </c>
      <c r="E2547" s="3" t="str">
        <f>IF(LEN(Base_Periodo1[[#This Row],[CLASS]])&gt;=7,LEFT(Base_Periodo1[[#This Row],[CLASS]],7),"")</f>
        <v>2.1.2.1</v>
      </c>
      <c r="F2547" s="3" t="str">
        <f>VLOOKUP(Base_Periodo1[[#This Row],[Aux]],Base_Contas_Balanco[#All],2,FALSE)</f>
        <v>Fornecedores Cooperados</v>
      </c>
      <c r="G2547" s="1">
        <v>42870</v>
      </c>
      <c r="I2547" s="225">
        <v>9240</v>
      </c>
      <c r="J2547" s="225">
        <v>9240</v>
      </c>
      <c r="K2547" s="225">
        <v>-5.8207660913467407E-11</v>
      </c>
      <c r="L25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47" s="225">
        <f>ROUND(IF(AND(Base_Periodo1[[#This Row],[Tipo_Linha]]="-",Base_Periodo1[[#This Row],[TIPOSALDO]]="D"),Base_Periodo1[[#This Row],[SALDO_ATUAL]]*-1,Base_Periodo1[[#This Row],[SALDO_ATUAL]]),4)</f>
        <v>0</v>
      </c>
      <c r="N2547" t="s">
        <v>116</v>
      </c>
      <c r="O2547" t="s">
        <v>436</v>
      </c>
      <c r="P2547" t="s">
        <v>436</v>
      </c>
      <c r="Q2547">
        <v>7</v>
      </c>
      <c r="R2547" s="225">
        <f>Base_Periodo1[[#This Row],[CREDITOS]]-Base_Periodo1[[#This Row],[DEBITOS]]</f>
        <v>0</v>
      </c>
      <c r="S2547" s="3" t="str">
        <f>IF(ISERROR(VLOOKUP(Base_Periodo1[[#This Row],[CONTA]],BaseContasDRE[#All],4,FALSE)),"Fora do DRE",VLOOKUP(Base_Periodo1[[#This Row],[CONTA]],BaseContasDRE[#All],4,FALSE))</f>
        <v>Fora do DRE</v>
      </c>
      <c r="T2547" s="3" t="str">
        <f>IF(ISERROR(VLOOKUP(Base_Periodo1[[#This Row],[CONTA]],BaseContasDRE[#All],5,FALSE)),"Fora do DRE",VLOOKUP(Base_Periodo1[[#This Row],[CONTA]],BaseContasDRE[#All],6,FALSE))</f>
        <v>Fora do DRE</v>
      </c>
      <c r="U2547" s="3" t="str">
        <f>IF(ISERROR(VLOOKUP(Base_Periodo1[[#This Row],[CONTA]],BaseContasDRE[#All],7,FALSE)),"Fora do DRE",VLOOKUP(Base_Periodo1[[#This Row],[CONTA]],BaseContasDRE[#All],7,FALSE))</f>
        <v>Fora do DRE</v>
      </c>
      <c r="V2547" s="3" t="str">
        <f>IF(Base_Periodo1[[#This Row],[Tipo_Linha]]="Fora do DRE","Fora do DRE","( "&amp;Base_Periodo1[[#This Row],[Tipo_Linha]]&amp;" ) "&amp;Base_Periodo1[[#This Row],[Filtro]])</f>
        <v>Fora do DRE</v>
      </c>
      <c r="W2547" s="3" t="str">
        <f>LEFT(Base_Periodo1[[#This Row],[CLASS]],3)</f>
        <v>2.1</v>
      </c>
    </row>
    <row r="2548" spans="1:23" hidden="1">
      <c r="A2548" s="3" t="str">
        <f t="shared" si="39"/>
        <v>Período 1</v>
      </c>
      <c r="B2548">
        <v>25100</v>
      </c>
      <c r="C2548" t="s">
        <v>1730</v>
      </c>
      <c r="D2548" t="s">
        <v>6726</v>
      </c>
      <c r="E2548" s="3" t="str">
        <f>IF(LEN(Base_Periodo1[[#This Row],[CLASS]])&gt;=7,LEFT(Base_Periodo1[[#This Row],[CLASS]],7),"")</f>
        <v>2.1.2.1</v>
      </c>
      <c r="F2548" s="3" t="str">
        <f>VLOOKUP(Base_Periodo1[[#This Row],[Aux]],Base_Contas_Balanco[#All],2,FALSE)</f>
        <v>Fornecedores Cooperados</v>
      </c>
      <c r="G2548" s="1">
        <v>42867</v>
      </c>
      <c r="I2548" s="225">
        <v>9907</v>
      </c>
      <c r="J2548" s="225">
        <v>9907</v>
      </c>
      <c r="K2548" s="225">
        <v>2.3283064365386963E-10</v>
      </c>
      <c r="L25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48" s="225">
        <f>ROUND(IF(AND(Base_Periodo1[[#This Row],[Tipo_Linha]]="-",Base_Periodo1[[#This Row],[TIPOSALDO]]="D"),Base_Periodo1[[#This Row],[SALDO_ATUAL]]*-1,Base_Periodo1[[#This Row],[SALDO_ATUAL]]),4)</f>
        <v>0</v>
      </c>
      <c r="N2548" t="s">
        <v>116</v>
      </c>
      <c r="O2548" t="s">
        <v>436</v>
      </c>
      <c r="P2548" t="s">
        <v>436</v>
      </c>
      <c r="Q2548">
        <v>7</v>
      </c>
      <c r="R2548" s="225">
        <f>Base_Periodo1[[#This Row],[CREDITOS]]-Base_Periodo1[[#This Row],[DEBITOS]]</f>
        <v>0</v>
      </c>
      <c r="S2548" s="3" t="str">
        <f>IF(ISERROR(VLOOKUP(Base_Periodo1[[#This Row],[CONTA]],BaseContasDRE[#All],4,FALSE)),"Fora do DRE",VLOOKUP(Base_Periodo1[[#This Row],[CONTA]],BaseContasDRE[#All],4,FALSE))</f>
        <v>Fora do DRE</v>
      </c>
      <c r="T2548" s="3" t="str">
        <f>IF(ISERROR(VLOOKUP(Base_Periodo1[[#This Row],[CONTA]],BaseContasDRE[#All],5,FALSE)),"Fora do DRE",VLOOKUP(Base_Periodo1[[#This Row],[CONTA]],BaseContasDRE[#All],6,FALSE))</f>
        <v>Fora do DRE</v>
      </c>
      <c r="U2548" s="3" t="str">
        <f>IF(ISERROR(VLOOKUP(Base_Periodo1[[#This Row],[CONTA]],BaseContasDRE[#All],7,FALSE)),"Fora do DRE",VLOOKUP(Base_Periodo1[[#This Row],[CONTA]],BaseContasDRE[#All],7,FALSE))</f>
        <v>Fora do DRE</v>
      </c>
      <c r="V2548" s="3" t="str">
        <f>IF(Base_Periodo1[[#This Row],[Tipo_Linha]]="Fora do DRE","Fora do DRE","( "&amp;Base_Periodo1[[#This Row],[Tipo_Linha]]&amp;" ) "&amp;Base_Periodo1[[#This Row],[Filtro]])</f>
        <v>Fora do DRE</v>
      </c>
      <c r="W2548" s="3" t="str">
        <f>LEFT(Base_Periodo1[[#This Row],[CLASS]],3)</f>
        <v>2.1</v>
      </c>
    </row>
    <row r="2549" spans="1:23" hidden="1">
      <c r="A2549" s="3" t="str">
        <f t="shared" si="39"/>
        <v>Período 1</v>
      </c>
      <c r="B2549">
        <v>55612</v>
      </c>
      <c r="C2549" t="s">
        <v>1730</v>
      </c>
      <c r="D2549" t="s">
        <v>5024</v>
      </c>
      <c r="E2549" s="3" t="str">
        <f>IF(LEN(Base_Periodo1[[#This Row],[CLASS]])&gt;=7,LEFT(Base_Periodo1[[#This Row],[CLASS]],7),"")</f>
        <v>2.1.2.1</v>
      </c>
      <c r="F2549" s="3" t="str">
        <f>VLOOKUP(Base_Periodo1[[#This Row],[Aux]],Base_Contas_Balanco[#All],2,FALSE)</f>
        <v>Fornecedores Cooperados</v>
      </c>
      <c r="G2549" s="1">
        <v>42860</v>
      </c>
      <c r="I2549" s="225">
        <v>5881.1</v>
      </c>
      <c r="J2549" s="225">
        <v>5881.1</v>
      </c>
      <c r="K2549" s="225">
        <v>0</v>
      </c>
      <c r="L25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49" s="225">
        <f>ROUND(IF(AND(Base_Periodo1[[#This Row],[Tipo_Linha]]="-",Base_Periodo1[[#This Row],[TIPOSALDO]]="D"),Base_Periodo1[[#This Row],[SALDO_ATUAL]]*-1,Base_Periodo1[[#This Row],[SALDO_ATUAL]]),4)</f>
        <v>0</v>
      </c>
      <c r="N2549" t="s">
        <v>116</v>
      </c>
      <c r="O2549" t="s">
        <v>436</v>
      </c>
      <c r="P2549" t="s">
        <v>436</v>
      </c>
      <c r="Q2549">
        <v>7</v>
      </c>
      <c r="R2549" s="225">
        <f>Base_Periodo1[[#This Row],[CREDITOS]]-Base_Periodo1[[#This Row],[DEBITOS]]</f>
        <v>0</v>
      </c>
      <c r="S2549" s="3" t="str">
        <f>IF(ISERROR(VLOOKUP(Base_Periodo1[[#This Row],[CONTA]],BaseContasDRE[#All],4,FALSE)),"Fora do DRE",VLOOKUP(Base_Periodo1[[#This Row],[CONTA]],BaseContasDRE[#All],4,FALSE))</f>
        <v>Fora do DRE</v>
      </c>
      <c r="T2549" s="3" t="str">
        <f>IF(ISERROR(VLOOKUP(Base_Periodo1[[#This Row],[CONTA]],BaseContasDRE[#All],5,FALSE)),"Fora do DRE",VLOOKUP(Base_Periodo1[[#This Row],[CONTA]],BaseContasDRE[#All],6,FALSE))</f>
        <v>Fora do DRE</v>
      </c>
      <c r="U2549" s="3" t="str">
        <f>IF(ISERROR(VLOOKUP(Base_Periodo1[[#This Row],[CONTA]],BaseContasDRE[#All],7,FALSE)),"Fora do DRE",VLOOKUP(Base_Periodo1[[#This Row],[CONTA]],BaseContasDRE[#All],7,FALSE))</f>
        <v>Fora do DRE</v>
      </c>
      <c r="V2549" s="3" t="str">
        <f>IF(Base_Periodo1[[#This Row],[Tipo_Linha]]="Fora do DRE","Fora do DRE","( "&amp;Base_Periodo1[[#This Row],[Tipo_Linha]]&amp;" ) "&amp;Base_Periodo1[[#This Row],[Filtro]])</f>
        <v>Fora do DRE</v>
      </c>
      <c r="W2549" s="3" t="str">
        <f>LEFT(Base_Periodo1[[#This Row],[CLASS]],3)</f>
        <v>2.1</v>
      </c>
    </row>
    <row r="2550" spans="1:23" hidden="1">
      <c r="A2550" s="3" t="str">
        <f t="shared" si="39"/>
        <v>Período 1</v>
      </c>
      <c r="B2550">
        <v>13657</v>
      </c>
      <c r="C2550" t="s">
        <v>1730</v>
      </c>
      <c r="D2550" t="s">
        <v>805</v>
      </c>
      <c r="E2550" s="3" t="str">
        <f>IF(LEN(Base_Periodo1[[#This Row],[CLASS]])&gt;=7,LEFT(Base_Periodo1[[#This Row],[CLASS]],7),"")</f>
        <v>2.1.2.1</v>
      </c>
      <c r="F2550" s="3" t="str">
        <f>VLOOKUP(Base_Periodo1[[#This Row],[Aux]],Base_Contas_Balanco[#All],2,FALSE)</f>
        <v>Fornecedores Cooperados</v>
      </c>
      <c r="G2550" s="1">
        <v>42879</v>
      </c>
      <c r="I2550" s="225">
        <v>855.02</v>
      </c>
      <c r="J2550" s="225">
        <v>855.02</v>
      </c>
      <c r="K2550" s="225">
        <v>-4.6566128730773926E-10</v>
      </c>
      <c r="L25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50" s="225">
        <f>ROUND(IF(AND(Base_Periodo1[[#This Row],[Tipo_Linha]]="-",Base_Periodo1[[#This Row],[TIPOSALDO]]="D"),Base_Periodo1[[#This Row],[SALDO_ATUAL]]*-1,Base_Periodo1[[#This Row],[SALDO_ATUAL]]),4)</f>
        <v>0</v>
      </c>
      <c r="N2550" t="s">
        <v>116</v>
      </c>
      <c r="O2550" t="s">
        <v>436</v>
      </c>
      <c r="P2550" t="s">
        <v>436</v>
      </c>
      <c r="Q2550">
        <v>7</v>
      </c>
      <c r="R2550" s="225">
        <f>Base_Periodo1[[#This Row],[CREDITOS]]-Base_Periodo1[[#This Row],[DEBITOS]]</f>
        <v>0</v>
      </c>
      <c r="S2550" s="3" t="str">
        <f>IF(ISERROR(VLOOKUP(Base_Periodo1[[#This Row],[CONTA]],BaseContasDRE[#All],4,FALSE)),"Fora do DRE",VLOOKUP(Base_Periodo1[[#This Row],[CONTA]],BaseContasDRE[#All],4,FALSE))</f>
        <v>Fora do DRE</v>
      </c>
      <c r="T2550" s="3" t="str">
        <f>IF(ISERROR(VLOOKUP(Base_Periodo1[[#This Row],[CONTA]],BaseContasDRE[#All],5,FALSE)),"Fora do DRE",VLOOKUP(Base_Periodo1[[#This Row],[CONTA]],BaseContasDRE[#All],6,FALSE))</f>
        <v>Fora do DRE</v>
      </c>
      <c r="U2550" s="3" t="str">
        <f>IF(ISERROR(VLOOKUP(Base_Periodo1[[#This Row],[CONTA]],BaseContasDRE[#All],7,FALSE)),"Fora do DRE",VLOOKUP(Base_Periodo1[[#This Row],[CONTA]],BaseContasDRE[#All],7,FALSE))</f>
        <v>Fora do DRE</v>
      </c>
      <c r="V2550" s="3" t="str">
        <f>IF(Base_Periodo1[[#This Row],[Tipo_Linha]]="Fora do DRE","Fora do DRE","( "&amp;Base_Periodo1[[#This Row],[Tipo_Linha]]&amp;" ) "&amp;Base_Periodo1[[#This Row],[Filtro]])</f>
        <v>Fora do DRE</v>
      </c>
      <c r="W2550" s="3" t="str">
        <f>LEFT(Base_Periodo1[[#This Row],[CLASS]],3)</f>
        <v>2.1</v>
      </c>
    </row>
    <row r="2551" spans="1:23" hidden="1">
      <c r="A2551" s="3" t="str">
        <f t="shared" si="39"/>
        <v>Período 1</v>
      </c>
      <c r="B2551">
        <v>8409</v>
      </c>
      <c r="C2551" t="s">
        <v>1730</v>
      </c>
      <c r="D2551" t="s">
        <v>6856</v>
      </c>
      <c r="E2551" s="3" t="str">
        <f>IF(LEN(Base_Periodo1[[#This Row],[CLASS]])&gt;=7,LEFT(Base_Periodo1[[#This Row],[CLASS]],7),"")</f>
        <v>2.1.2.1</v>
      </c>
      <c r="F2551" s="3" t="str">
        <f>VLOOKUP(Base_Periodo1[[#This Row],[Aux]],Base_Contas_Balanco[#All],2,FALSE)</f>
        <v>Fornecedores Cooperados</v>
      </c>
      <c r="G2551" s="1">
        <v>42886</v>
      </c>
      <c r="I2551" s="225">
        <v>140.47999999999999</v>
      </c>
      <c r="J2551" s="225">
        <v>6108.45</v>
      </c>
      <c r="K2551" s="225">
        <v>5967.9700000018629</v>
      </c>
      <c r="L25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5967.97</v>
      </c>
      <c r="M2551" s="225">
        <f>ROUND(IF(AND(Base_Periodo1[[#This Row],[Tipo_Linha]]="-",Base_Periodo1[[#This Row],[TIPOSALDO]]="D"),Base_Periodo1[[#This Row],[SALDO_ATUAL]]*-1,Base_Periodo1[[#This Row],[SALDO_ATUAL]]),4)</f>
        <v>5967.97</v>
      </c>
      <c r="N2551" t="s">
        <v>116</v>
      </c>
      <c r="O2551" t="s">
        <v>436</v>
      </c>
      <c r="P2551" t="s">
        <v>459</v>
      </c>
      <c r="Q2551">
        <v>7</v>
      </c>
      <c r="R2551" s="225">
        <f>Base_Periodo1[[#This Row],[CREDITOS]]-Base_Periodo1[[#This Row],[DEBITOS]]</f>
        <v>5967.97</v>
      </c>
      <c r="S2551" s="3" t="str">
        <f>IF(ISERROR(VLOOKUP(Base_Periodo1[[#This Row],[CONTA]],BaseContasDRE[#All],4,FALSE)),"Fora do DRE",VLOOKUP(Base_Periodo1[[#This Row],[CONTA]],BaseContasDRE[#All],4,FALSE))</f>
        <v>Fora do DRE</v>
      </c>
      <c r="T2551" s="3" t="str">
        <f>IF(ISERROR(VLOOKUP(Base_Periodo1[[#This Row],[CONTA]],BaseContasDRE[#All],5,FALSE)),"Fora do DRE",VLOOKUP(Base_Periodo1[[#This Row],[CONTA]],BaseContasDRE[#All],6,FALSE))</f>
        <v>Fora do DRE</v>
      </c>
      <c r="U2551" s="3" t="str">
        <f>IF(ISERROR(VLOOKUP(Base_Periodo1[[#This Row],[CONTA]],BaseContasDRE[#All],7,FALSE)),"Fora do DRE",VLOOKUP(Base_Periodo1[[#This Row],[CONTA]],BaseContasDRE[#All],7,FALSE))</f>
        <v>Fora do DRE</v>
      </c>
      <c r="V2551" s="3" t="str">
        <f>IF(Base_Periodo1[[#This Row],[Tipo_Linha]]="Fora do DRE","Fora do DRE","( "&amp;Base_Periodo1[[#This Row],[Tipo_Linha]]&amp;" ) "&amp;Base_Periodo1[[#This Row],[Filtro]])</f>
        <v>Fora do DRE</v>
      </c>
      <c r="W2551" s="3" t="str">
        <f>LEFT(Base_Periodo1[[#This Row],[CLASS]],3)</f>
        <v>2.1</v>
      </c>
    </row>
    <row r="2552" spans="1:23" hidden="1">
      <c r="A2552" s="3" t="str">
        <f t="shared" si="39"/>
        <v>Período 1</v>
      </c>
      <c r="B2552">
        <v>2697</v>
      </c>
      <c r="C2552" t="s">
        <v>1730</v>
      </c>
      <c r="D2552" t="s">
        <v>5392</v>
      </c>
      <c r="E2552" s="3" t="str">
        <f>IF(LEN(Base_Periodo1[[#This Row],[CLASS]])&gt;=7,LEFT(Base_Periodo1[[#This Row],[CLASS]],7),"")</f>
        <v>2.1.2.1</v>
      </c>
      <c r="F2552" s="3" t="str">
        <f>VLOOKUP(Base_Periodo1[[#This Row],[Aux]],Base_Contas_Balanco[#All],2,FALSE)</f>
        <v>Fornecedores Cooperados</v>
      </c>
      <c r="G2552" s="1">
        <v>42885</v>
      </c>
      <c r="I2552" s="225">
        <v>12486.67</v>
      </c>
      <c r="J2552" s="225">
        <v>22486.83</v>
      </c>
      <c r="K2552" s="225">
        <v>10000.160000000002</v>
      </c>
      <c r="L25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10000.16</v>
      </c>
      <c r="M2552" s="225">
        <f>ROUND(IF(AND(Base_Periodo1[[#This Row],[Tipo_Linha]]="-",Base_Periodo1[[#This Row],[TIPOSALDO]]="D"),Base_Periodo1[[#This Row],[SALDO_ATUAL]]*-1,Base_Periodo1[[#This Row],[SALDO_ATUAL]]),4)</f>
        <v>10000.16</v>
      </c>
      <c r="N2552" t="s">
        <v>116</v>
      </c>
      <c r="O2552" t="s">
        <v>436</v>
      </c>
      <c r="P2552" t="s">
        <v>459</v>
      </c>
      <c r="Q2552">
        <v>7</v>
      </c>
      <c r="R2552" s="225">
        <f>Base_Periodo1[[#This Row],[CREDITOS]]-Base_Periodo1[[#This Row],[DEBITOS]]</f>
        <v>10000.160000000002</v>
      </c>
      <c r="S2552" s="3" t="str">
        <f>IF(ISERROR(VLOOKUP(Base_Periodo1[[#This Row],[CONTA]],BaseContasDRE[#All],4,FALSE)),"Fora do DRE",VLOOKUP(Base_Periodo1[[#This Row],[CONTA]],BaseContasDRE[#All],4,FALSE))</f>
        <v>Fora do DRE</v>
      </c>
      <c r="T2552" s="3" t="str">
        <f>IF(ISERROR(VLOOKUP(Base_Periodo1[[#This Row],[CONTA]],BaseContasDRE[#All],5,FALSE)),"Fora do DRE",VLOOKUP(Base_Periodo1[[#This Row],[CONTA]],BaseContasDRE[#All],6,FALSE))</f>
        <v>Fora do DRE</v>
      </c>
      <c r="U2552" s="3" t="str">
        <f>IF(ISERROR(VLOOKUP(Base_Periodo1[[#This Row],[CONTA]],BaseContasDRE[#All],7,FALSE)),"Fora do DRE",VLOOKUP(Base_Periodo1[[#This Row],[CONTA]],BaseContasDRE[#All],7,FALSE))</f>
        <v>Fora do DRE</v>
      </c>
      <c r="V2552" s="3" t="str">
        <f>IF(Base_Periodo1[[#This Row],[Tipo_Linha]]="Fora do DRE","Fora do DRE","( "&amp;Base_Periodo1[[#This Row],[Tipo_Linha]]&amp;" ) "&amp;Base_Periodo1[[#This Row],[Filtro]])</f>
        <v>Fora do DRE</v>
      </c>
      <c r="W2552" s="3" t="str">
        <f>LEFT(Base_Periodo1[[#This Row],[CLASS]],3)</f>
        <v>2.1</v>
      </c>
    </row>
    <row r="2553" spans="1:23" hidden="1">
      <c r="A2553" s="3" t="str">
        <f t="shared" si="39"/>
        <v>Período 1</v>
      </c>
      <c r="B2553">
        <v>9015</v>
      </c>
      <c r="C2553" t="s">
        <v>1730</v>
      </c>
      <c r="D2553" t="s">
        <v>807</v>
      </c>
      <c r="E2553" s="3" t="str">
        <f>IF(LEN(Base_Periodo1[[#This Row],[CLASS]])&gt;=7,LEFT(Base_Periodo1[[#This Row],[CLASS]],7),"")</f>
        <v>2.1.2.1</v>
      </c>
      <c r="F2553" s="3" t="str">
        <f>VLOOKUP(Base_Periodo1[[#This Row],[Aux]],Base_Contas_Balanco[#All],2,FALSE)</f>
        <v>Fornecedores Cooperados</v>
      </c>
      <c r="G2553" s="1">
        <v>42873</v>
      </c>
      <c r="I2553" s="225">
        <v>77122.8</v>
      </c>
      <c r="J2553" s="225">
        <v>77122.8</v>
      </c>
      <c r="K2553" s="225">
        <v>-4.6566128730773926E-10</v>
      </c>
      <c r="L25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53" s="225">
        <f>ROUND(IF(AND(Base_Periodo1[[#This Row],[Tipo_Linha]]="-",Base_Periodo1[[#This Row],[TIPOSALDO]]="D"),Base_Periodo1[[#This Row],[SALDO_ATUAL]]*-1,Base_Periodo1[[#This Row],[SALDO_ATUAL]]),4)</f>
        <v>0</v>
      </c>
      <c r="N2553" t="s">
        <v>116</v>
      </c>
      <c r="O2553" t="s">
        <v>436</v>
      </c>
      <c r="P2553" t="s">
        <v>436</v>
      </c>
      <c r="Q2553">
        <v>7</v>
      </c>
      <c r="R2553" s="225">
        <f>Base_Periodo1[[#This Row],[CREDITOS]]-Base_Periodo1[[#This Row],[DEBITOS]]</f>
        <v>0</v>
      </c>
      <c r="S2553" s="3" t="str">
        <f>IF(ISERROR(VLOOKUP(Base_Periodo1[[#This Row],[CONTA]],BaseContasDRE[#All],4,FALSE)),"Fora do DRE",VLOOKUP(Base_Periodo1[[#This Row],[CONTA]],BaseContasDRE[#All],4,FALSE))</f>
        <v>Fora do DRE</v>
      </c>
      <c r="T2553" s="3" t="str">
        <f>IF(ISERROR(VLOOKUP(Base_Periodo1[[#This Row],[CONTA]],BaseContasDRE[#All],5,FALSE)),"Fora do DRE",VLOOKUP(Base_Periodo1[[#This Row],[CONTA]],BaseContasDRE[#All],6,FALSE))</f>
        <v>Fora do DRE</v>
      </c>
      <c r="U2553" s="3" t="str">
        <f>IF(ISERROR(VLOOKUP(Base_Periodo1[[#This Row],[CONTA]],BaseContasDRE[#All],7,FALSE)),"Fora do DRE",VLOOKUP(Base_Periodo1[[#This Row],[CONTA]],BaseContasDRE[#All],7,FALSE))</f>
        <v>Fora do DRE</v>
      </c>
      <c r="V2553" s="3" t="str">
        <f>IF(Base_Periodo1[[#This Row],[Tipo_Linha]]="Fora do DRE","Fora do DRE","( "&amp;Base_Periodo1[[#This Row],[Tipo_Linha]]&amp;" ) "&amp;Base_Periodo1[[#This Row],[Filtro]])</f>
        <v>Fora do DRE</v>
      </c>
      <c r="W2553" s="3" t="str">
        <f>LEFT(Base_Periodo1[[#This Row],[CLASS]],3)</f>
        <v>2.1</v>
      </c>
    </row>
    <row r="2554" spans="1:23" hidden="1">
      <c r="A2554" s="3" t="str">
        <f t="shared" si="39"/>
        <v>Período 1</v>
      </c>
      <c r="B2554">
        <v>2329</v>
      </c>
      <c r="C2554" t="s">
        <v>1730</v>
      </c>
      <c r="D2554" t="s">
        <v>808</v>
      </c>
      <c r="E2554" s="3" t="str">
        <f>IF(LEN(Base_Periodo1[[#This Row],[CLASS]])&gt;=7,LEFT(Base_Periodo1[[#This Row],[CLASS]],7),"")</f>
        <v>2.1.2.1</v>
      </c>
      <c r="F2554" s="3" t="str">
        <f>VLOOKUP(Base_Periodo1[[#This Row],[Aux]],Base_Contas_Balanco[#All],2,FALSE)</f>
        <v>Fornecedores Cooperados</v>
      </c>
      <c r="G2554" s="1">
        <v>42857</v>
      </c>
      <c r="I2554" s="225">
        <v>1782</v>
      </c>
      <c r="J2554" s="225">
        <v>1782</v>
      </c>
      <c r="K2554" s="225">
        <v>4.6566128730773926E-10</v>
      </c>
      <c r="L25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54" s="225">
        <f>ROUND(IF(AND(Base_Periodo1[[#This Row],[Tipo_Linha]]="-",Base_Periodo1[[#This Row],[TIPOSALDO]]="D"),Base_Periodo1[[#This Row],[SALDO_ATUAL]]*-1,Base_Periodo1[[#This Row],[SALDO_ATUAL]]),4)</f>
        <v>0</v>
      </c>
      <c r="N2554" t="s">
        <v>116</v>
      </c>
      <c r="O2554" t="s">
        <v>436</v>
      </c>
      <c r="P2554" t="s">
        <v>436</v>
      </c>
      <c r="Q2554">
        <v>7</v>
      </c>
      <c r="R2554" s="225">
        <f>Base_Periodo1[[#This Row],[CREDITOS]]-Base_Periodo1[[#This Row],[DEBITOS]]</f>
        <v>0</v>
      </c>
      <c r="S2554" s="3" t="str">
        <f>IF(ISERROR(VLOOKUP(Base_Periodo1[[#This Row],[CONTA]],BaseContasDRE[#All],4,FALSE)),"Fora do DRE",VLOOKUP(Base_Periodo1[[#This Row],[CONTA]],BaseContasDRE[#All],4,FALSE))</f>
        <v>Fora do DRE</v>
      </c>
      <c r="T2554" s="3" t="str">
        <f>IF(ISERROR(VLOOKUP(Base_Periodo1[[#This Row],[CONTA]],BaseContasDRE[#All],5,FALSE)),"Fora do DRE",VLOOKUP(Base_Periodo1[[#This Row],[CONTA]],BaseContasDRE[#All],6,FALSE))</f>
        <v>Fora do DRE</v>
      </c>
      <c r="U2554" s="3" t="str">
        <f>IF(ISERROR(VLOOKUP(Base_Periodo1[[#This Row],[CONTA]],BaseContasDRE[#All],7,FALSE)),"Fora do DRE",VLOOKUP(Base_Periodo1[[#This Row],[CONTA]],BaseContasDRE[#All],7,FALSE))</f>
        <v>Fora do DRE</v>
      </c>
      <c r="V2554" s="3" t="str">
        <f>IF(Base_Periodo1[[#This Row],[Tipo_Linha]]="Fora do DRE","Fora do DRE","( "&amp;Base_Periodo1[[#This Row],[Tipo_Linha]]&amp;" ) "&amp;Base_Periodo1[[#This Row],[Filtro]])</f>
        <v>Fora do DRE</v>
      </c>
      <c r="W2554" s="3" t="str">
        <f>LEFT(Base_Periodo1[[#This Row],[CLASS]],3)</f>
        <v>2.1</v>
      </c>
    </row>
    <row r="2555" spans="1:23" hidden="1">
      <c r="A2555" s="3" t="str">
        <f t="shared" si="39"/>
        <v>Período 1</v>
      </c>
      <c r="B2555">
        <v>47270</v>
      </c>
      <c r="C2555" t="s">
        <v>1730</v>
      </c>
      <c r="D2555" t="s">
        <v>809</v>
      </c>
      <c r="E2555" s="3" t="str">
        <f>IF(LEN(Base_Periodo1[[#This Row],[CLASS]])&gt;=7,LEFT(Base_Periodo1[[#This Row],[CLASS]],7),"")</f>
        <v>2.1.2.1</v>
      </c>
      <c r="F2555" s="3" t="str">
        <f>VLOOKUP(Base_Periodo1[[#This Row],[Aux]],Base_Contas_Balanco[#All],2,FALSE)</f>
        <v>Fornecedores Cooperados</v>
      </c>
      <c r="G2555" s="1">
        <v>42870</v>
      </c>
      <c r="H2555" s="225">
        <v>6115.5199999999968</v>
      </c>
      <c r="I2555" s="225">
        <v>3900</v>
      </c>
      <c r="J2555" s="225">
        <v>0</v>
      </c>
      <c r="K2555" s="225">
        <v>2215.5199999999968</v>
      </c>
      <c r="L25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2215.52</v>
      </c>
      <c r="M2555" s="225">
        <f>ROUND(IF(AND(Base_Periodo1[[#This Row],[Tipo_Linha]]="-",Base_Periodo1[[#This Row],[TIPOSALDO]]="D"),Base_Periodo1[[#This Row],[SALDO_ATUAL]]*-1,Base_Periodo1[[#This Row],[SALDO_ATUAL]]),4)</f>
        <v>2215.52</v>
      </c>
      <c r="N2555" t="s">
        <v>116</v>
      </c>
      <c r="O2555" t="s">
        <v>459</v>
      </c>
      <c r="P2555" t="s">
        <v>459</v>
      </c>
      <c r="Q2555">
        <v>7</v>
      </c>
      <c r="R2555" s="225">
        <f>Base_Periodo1[[#This Row],[CREDITOS]]-Base_Periodo1[[#This Row],[DEBITOS]]</f>
        <v>-3900</v>
      </c>
      <c r="S2555" s="3" t="str">
        <f>IF(ISERROR(VLOOKUP(Base_Periodo1[[#This Row],[CONTA]],BaseContasDRE[#All],4,FALSE)),"Fora do DRE",VLOOKUP(Base_Periodo1[[#This Row],[CONTA]],BaseContasDRE[#All],4,FALSE))</f>
        <v>Fora do DRE</v>
      </c>
      <c r="T2555" s="3" t="str">
        <f>IF(ISERROR(VLOOKUP(Base_Periodo1[[#This Row],[CONTA]],BaseContasDRE[#All],5,FALSE)),"Fora do DRE",VLOOKUP(Base_Periodo1[[#This Row],[CONTA]],BaseContasDRE[#All],6,FALSE))</f>
        <v>Fora do DRE</v>
      </c>
      <c r="U2555" s="3" t="str">
        <f>IF(ISERROR(VLOOKUP(Base_Periodo1[[#This Row],[CONTA]],BaseContasDRE[#All],7,FALSE)),"Fora do DRE",VLOOKUP(Base_Periodo1[[#This Row],[CONTA]],BaseContasDRE[#All],7,FALSE))</f>
        <v>Fora do DRE</v>
      </c>
      <c r="V2555" s="3" t="str">
        <f>IF(Base_Periodo1[[#This Row],[Tipo_Linha]]="Fora do DRE","Fora do DRE","( "&amp;Base_Periodo1[[#This Row],[Tipo_Linha]]&amp;" ) "&amp;Base_Periodo1[[#This Row],[Filtro]])</f>
        <v>Fora do DRE</v>
      </c>
      <c r="W2555" s="3" t="str">
        <f>LEFT(Base_Periodo1[[#This Row],[CLASS]],3)</f>
        <v>2.1</v>
      </c>
    </row>
    <row r="2556" spans="1:23" hidden="1">
      <c r="A2556" s="3" t="str">
        <f t="shared" si="39"/>
        <v>Período 1</v>
      </c>
      <c r="B2556">
        <v>7014</v>
      </c>
      <c r="C2556" t="s">
        <v>1730</v>
      </c>
      <c r="D2556" t="s">
        <v>811</v>
      </c>
      <c r="E2556" s="3" t="str">
        <f>IF(LEN(Base_Periodo1[[#This Row],[CLASS]])&gt;=7,LEFT(Base_Periodo1[[#This Row],[CLASS]],7),"")</f>
        <v>2.1.2.1</v>
      </c>
      <c r="F2556" s="3" t="str">
        <f>VLOOKUP(Base_Periodo1[[#This Row],[Aux]],Base_Contas_Balanco[#All],2,FALSE)</f>
        <v>Fornecedores Cooperados</v>
      </c>
      <c r="G2556" s="1">
        <v>42857</v>
      </c>
      <c r="I2556" s="225">
        <v>15600</v>
      </c>
      <c r="J2556" s="225">
        <v>15600</v>
      </c>
      <c r="K2556" s="225">
        <v>5.8207660913467407E-11</v>
      </c>
      <c r="L25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56" s="225">
        <f>ROUND(IF(AND(Base_Periodo1[[#This Row],[Tipo_Linha]]="-",Base_Periodo1[[#This Row],[TIPOSALDO]]="D"),Base_Periodo1[[#This Row],[SALDO_ATUAL]]*-1,Base_Periodo1[[#This Row],[SALDO_ATUAL]]),4)</f>
        <v>0</v>
      </c>
      <c r="N2556" t="s">
        <v>116</v>
      </c>
      <c r="O2556" t="s">
        <v>436</v>
      </c>
      <c r="P2556" t="s">
        <v>436</v>
      </c>
      <c r="Q2556">
        <v>7</v>
      </c>
      <c r="R2556" s="225">
        <f>Base_Periodo1[[#This Row],[CREDITOS]]-Base_Periodo1[[#This Row],[DEBITOS]]</f>
        <v>0</v>
      </c>
      <c r="S2556" s="3" t="str">
        <f>IF(ISERROR(VLOOKUP(Base_Periodo1[[#This Row],[CONTA]],BaseContasDRE[#All],4,FALSE)),"Fora do DRE",VLOOKUP(Base_Periodo1[[#This Row],[CONTA]],BaseContasDRE[#All],4,FALSE))</f>
        <v>Fora do DRE</v>
      </c>
      <c r="T2556" s="3" t="str">
        <f>IF(ISERROR(VLOOKUP(Base_Periodo1[[#This Row],[CONTA]],BaseContasDRE[#All],5,FALSE)),"Fora do DRE",VLOOKUP(Base_Periodo1[[#This Row],[CONTA]],BaseContasDRE[#All],6,FALSE))</f>
        <v>Fora do DRE</v>
      </c>
      <c r="U2556" s="3" t="str">
        <f>IF(ISERROR(VLOOKUP(Base_Periodo1[[#This Row],[CONTA]],BaseContasDRE[#All],7,FALSE)),"Fora do DRE",VLOOKUP(Base_Periodo1[[#This Row],[CONTA]],BaseContasDRE[#All],7,FALSE))</f>
        <v>Fora do DRE</v>
      </c>
      <c r="V2556" s="3" t="str">
        <f>IF(Base_Periodo1[[#This Row],[Tipo_Linha]]="Fora do DRE","Fora do DRE","( "&amp;Base_Periodo1[[#This Row],[Tipo_Linha]]&amp;" ) "&amp;Base_Periodo1[[#This Row],[Filtro]])</f>
        <v>Fora do DRE</v>
      </c>
      <c r="W2556" s="3" t="str">
        <f>LEFT(Base_Periodo1[[#This Row],[CLASS]],3)</f>
        <v>2.1</v>
      </c>
    </row>
    <row r="2557" spans="1:23" hidden="1">
      <c r="A2557" s="3" t="str">
        <f t="shared" si="39"/>
        <v>Período 1</v>
      </c>
      <c r="B2557">
        <v>54028</v>
      </c>
      <c r="C2557" t="s">
        <v>1730</v>
      </c>
      <c r="D2557" t="s">
        <v>6347</v>
      </c>
      <c r="E2557" s="3" t="str">
        <f>IF(LEN(Base_Periodo1[[#This Row],[CLASS]])&gt;=7,LEFT(Base_Periodo1[[#This Row],[CLASS]],7),"")</f>
        <v>2.1.2.1</v>
      </c>
      <c r="F2557" s="3" t="str">
        <f>VLOOKUP(Base_Periodo1[[#This Row],[Aux]],Base_Contas_Balanco[#All],2,FALSE)</f>
        <v>Fornecedores Cooperados</v>
      </c>
      <c r="G2557" s="1">
        <v>42877</v>
      </c>
      <c r="I2557" s="225">
        <v>22398.39</v>
      </c>
      <c r="J2557" s="225">
        <v>22398.39</v>
      </c>
      <c r="K2557" s="225">
        <v>0</v>
      </c>
      <c r="L25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57" s="225">
        <f>ROUND(IF(AND(Base_Periodo1[[#This Row],[Tipo_Linha]]="-",Base_Periodo1[[#This Row],[TIPOSALDO]]="D"),Base_Periodo1[[#This Row],[SALDO_ATUAL]]*-1,Base_Periodo1[[#This Row],[SALDO_ATUAL]]),4)</f>
        <v>0</v>
      </c>
      <c r="N2557" t="s">
        <v>116</v>
      </c>
      <c r="O2557" t="s">
        <v>436</v>
      </c>
      <c r="P2557" t="s">
        <v>436</v>
      </c>
      <c r="Q2557">
        <v>7</v>
      </c>
      <c r="R2557" s="225">
        <f>Base_Periodo1[[#This Row],[CREDITOS]]-Base_Periodo1[[#This Row],[DEBITOS]]</f>
        <v>0</v>
      </c>
      <c r="S2557" s="3" t="str">
        <f>IF(ISERROR(VLOOKUP(Base_Periodo1[[#This Row],[CONTA]],BaseContasDRE[#All],4,FALSE)),"Fora do DRE",VLOOKUP(Base_Periodo1[[#This Row],[CONTA]],BaseContasDRE[#All],4,FALSE))</f>
        <v>Fora do DRE</v>
      </c>
      <c r="T2557" s="3" t="str">
        <f>IF(ISERROR(VLOOKUP(Base_Periodo1[[#This Row],[CONTA]],BaseContasDRE[#All],5,FALSE)),"Fora do DRE",VLOOKUP(Base_Periodo1[[#This Row],[CONTA]],BaseContasDRE[#All],6,FALSE))</f>
        <v>Fora do DRE</v>
      </c>
      <c r="U2557" s="3" t="str">
        <f>IF(ISERROR(VLOOKUP(Base_Periodo1[[#This Row],[CONTA]],BaseContasDRE[#All],7,FALSE)),"Fora do DRE",VLOOKUP(Base_Periodo1[[#This Row],[CONTA]],BaseContasDRE[#All],7,FALSE))</f>
        <v>Fora do DRE</v>
      </c>
      <c r="V2557" s="3" t="str">
        <f>IF(Base_Periodo1[[#This Row],[Tipo_Linha]]="Fora do DRE","Fora do DRE","( "&amp;Base_Periodo1[[#This Row],[Tipo_Linha]]&amp;" ) "&amp;Base_Periodo1[[#This Row],[Filtro]])</f>
        <v>Fora do DRE</v>
      </c>
      <c r="W2557" s="3" t="str">
        <f>LEFT(Base_Periodo1[[#This Row],[CLASS]],3)</f>
        <v>2.1</v>
      </c>
    </row>
    <row r="2558" spans="1:23" hidden="1">
      <c r="A2558" s="3" t="str">
        <f t="shared" si="39"/>
        <v>Período 1</v>
      </c>
      <c r="B2558">
        <v>14718</v>
      </c>
      <c r="C2558" t="s">
        <v>1730</v>
      </c>
      <c r="D2558" t="s">
        <v>5418</v>
      </c>
      <c r="E2558" s="3" t="str">
        <f>IF(LEN(Base_Periodo1[[#This Row],[CLASS]])&gt;=7,LEFT(Base_Periodo1[[#This Row],[CLASS]],7),"")</f>
        <v>2.1.2.1</v>
      </c>
      <c r="F2558" s="3" t="str">
        <f>VLOOKUP(Base_Periodo1[[#This Row],[Aux]],Base_Contas_Balanco[#All],2,FALSE)</f>
        <v>Fornecedores Cooperados</v>
      </c>
      <c r="G2558" s="1">
        <v>42825</v>
      </c>
      <c r="H2558" s="225">
        <v>58.649999999986903</v>
      </c>
      <c r="I2558" s="225">
        <v>0</v>
      </c>
      <c r="J2558" s="225">
        <v>0</v>
      </c>
      <c r="K2558" s="225">
        <v>58.649999999986903</v>
      </c>
      <c r="L25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58.65</v>
      </c>
      <c r="M2558" s="225">
        <f>ROUND(IF(AND(Base_Periodo1[[#This Row],[Tipo_Linha]]="-",Base_Periodo1[[#This Row],[TIPOSALDO]]="D"),Base_Periodo1[[#This Row],[SALDO_ATUAL]]*-1,Base_Periodo1[[#This Row],[SALDO_ATUAL]]),4)</f>
        <v>58.65</v>
      </c>
      <c r="N2558" t="s">
        <v>116</v>
      </c>
      <c r="O2558" t="s">
        <v>459</v>
      </c>
      <c r="P2558" t="s">
        <v>459</v>
      </c>
      <c r="Q2558">
        <v>7</v>
      </c>
      <c r="R2558" s="225">
        <f>Base_Periodo1[[#This Row],[CREDITOS]]-Base_Periodo1[[#This Row],[DEBITOS]]</f>
        <v>0</v>
      </c>
      <c r="S2558" s="3" t="str">
        <f>IF(ISERROR(VLOOKUP(Base_Periodo1[[#This Row],[CONTA]],BaseContasDRE[#All],4,FALSE)),"Fora do DRE",VLOOKUP(Base_Periodo1[[#This Row],[CONTA]],BaseContasDRE[#All],4,FALSE))</f>
        <v>Fora do DRE</v>
      </c>
      <c r="T2558" s="3" t="str">
        <f>IF(ISERROR(VLOOKUP(Base_Periodo1[[#This Row],[CONTA]],BaseContasDRE[#All],5,FALSE)),"Fora do DRE",VLOOKUP(Base_Periodo1[[#This Row],[CONTA]],BaseContasDRE[#All],6,FALSE))</f>
        <v>Fora do DRE</v>
      </c>
      <c r="U2558" s="3" t="str">
        <f>IF(ISERROR(VLOOKUP(Base_Periodo1[[#This Row],[CONTA]],BaseContasDRE[#All],7,FALSE)),"Fora do DRE",VLOOKUP(Base_Periodo1[[#This Row],[CONTA]],BaseContasDRE[#All],7,FALSE))</f>
        <v>Fora do DRE</v>
      </c>
      <c r="V2558" s="3" t="str">
        <f>IF(Base_Periodo1[[#This Row],[Tipo_Linha]]="Fora do DRE","Fora do DRE","( "&amp;Base_Periodo1[[#This Row],[Tipo_Linha]]&amp;" ) "&amp;Base_Periodo1[[#This Row],[Filtro]])</f>
        <v>Fora do DRE</v>
      </c>
      <c r="W2558" s="3" t="str">
        <f>LEFT(Base_Periodo1[[#This Row],[CLASS]],3)</f>
        <v>2.1</v>
      </c>
    </row>
    <row r="2559" spans="1:23" hidden="1">
      <c r="A2559" s="3" t="str">
        <f t="shared" si="39"/>
        <v>Período 1</v>
      </c>
      <c r="B2559">
        <v>46868</v>
      </c>
      <c r="C2559" t="s">
        <v>1730</v>
      </c>
      <c r="D2559" t="s">
        <v>5855</v>
      </c>
      <c r="E2559" s="3" t="str">
        <f>IF(LEN(Base_Periodo1[[#This Row],[CLASS]])&gt;=7,LEFT(Base_Periodo1[[#This Row],[CLASS]],7),"")</f>
        <v>2.1.2.1</v>
      </c>
      <c r="F2559" s="3" t="str">
        <f>VLOOKUP(Base_Periodo1[[#This Row],[Aux]],Base_Contas_Balanco[#All],2,FALSE)</f>
        <v>Fornecedores Cooperados</v>
      </c>
      <c r="G2559" s="1">
        <v>42857</v>
      </c>
      <c r="I2559" s="225">
        <v>2029.5</v>
      </c>
      <c r="J2559" s="225">
        <v>2029.5</v>
      </c>
      <c r="K2559" s="225">
        <v>0</v>
      </c>
      <c r="L25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59" s="225">
        <f>ROUND(IF(AND(Base_Periodo1[[#This Row],[Tipo_Linha]]="-",Base_Periodo1[[#This Row],[TIPOSALDO]]="D"),Base_Periodo1[[#This Row],[SALDO_ATUAL]]*-1,Base_Periodo1[[#This Row],[SALDO_ATUAL]]),4)</f>
        <v>0</v>
      </c>
      <c r="N2559" t="s">
        <v>116</v>
      </c>
      <c r="O2559" t="s">
        <v>436</v>
      </c>
      <c r="P2559" t="s">
        <v>436</v>
      </c>
      <c r="Q2559">
        <v>7</v>
      </c>
      <c r="R2559" s="225">
        <f>Base_Periodo1[[#This Row],[CREDITOS]]-Base_Periodo1[[#This Row],[DEBITOS]]</f>
        <v>0</v>
      </c>
      <c r="S2559" s="3" t="str">
        <f>IF(ISERROR(VLOOKUP(Base_Periodo1[[#This Row],[CONTA]],BaseContasDRE[#All],4,FALSE)),"Fora do DRE",VLOOKUP(Base_Periodo1[[#This Row],[CONTA]],BaseContasDRE[#All],4,FALSE))</f>
        <v>Fora do DRE</v>
      </c>
      <c r="T2559" s="3" t="str">
        <f>IF(ISERROR(VLOOKUP(Base_Periodo1[[#This Row],[CONTA]],BaseContasDRE[#All],5,FALSE)),"Fora do DRE",VLOOKUP(Base_Periodo1[[#This Row],[CONTA]],BaseContasDRE[#All],6,FALSE))</f>
        <v>Fora do DRE</v>
      </c>
      <c r="U2559" s="3" t="str">
        <f>IF(ISERROR(VLOOKUP(Base_Periodo1[[#This Row],[CONTA]],BaseContasDRE[#All],7,FALSE)),"Fora do DRE",VLOOKUP(Base_Periodo1[[#This Row],[CONTA]],BaseContasDRE[#All],7,FALSE))</f>
        <v>Fora do DRE</v>
      </c>
      <c r="V2559" s="3" t="str">
        <f>IF(Base_Periodo1[[#This Row],[Tipo_Linha]]="Fora do DRE","Fora do DRE","( "&amp;Base_Periodo1[[#This Row],[Tipo_Linha]]&amp;" ) "&amp;Base_Periodo1[[#This Row],[Filtro]])</f>
        <v>Fora do DRE</v>
      </c>
      <c r="W2559" s="3" t="str">
        <f>LEFT(Base_Periodo1[[#This Row],[CLASS]],3)</f>
        <v>2.1</v>
      </c>
    </row>
    <row r="2560" spans="1:23" hidden="1">
      <c r="A2560" s="3" t="str">
        <f t="shared" si="39"/>
        <v>Período 1</v>
      </c>
      <c r="B2560">
        <v>3641</v>
      </c>
      <c r="C2560" t="s">
        <v>1730</v>
      </c>
      <c r="D2560" t="s">
        <v>813</v>
      </c>
      <c r="E2560" s="3" t="str">
        <f>IF(LEN(Base_Periodo1[[#This Row],[CLASS]])&gt;=7,LEFT(Base_Periodo1[[#This Row],[CLASS]],7),"")</f>
        <v>2.1.2.1</v>
      </c>
      <c r="F2560" s="3" t="str">
        <f>VLOOKUP(Base_Periodo1[[#This Row],[Aux]],Base_Contas_Balanco[#All],2,FALSE)</f>
        <v>Fornecedores Cooperados</v>
      </c>
      <c r="G2560" s="1">
        <v>42880</v>
      </c>
      <c r="I2560" s="225">
        <v>58759.25</v>
      </c>
      <c r="J2560" s="225">
        <v>58759.25</v>
      </c>
      <c r="K2560" s="225">
        <v>0</v>
      </c>
      <c r="L25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60" s="225">
        <f>ROUND(IF(AND(Base_Periodo1[[#This Row],[Tipo_Linha]]="-",Base_Periodo1[[#This Row],[TIPOSALDO]]="D"),Base_Periodo1[[#This Row],[SALDO_ATUAL]]*-1,Base_Periodo1[[#This Row],[SALDO_ATUAL]]),4)</f>
        <v>0</v>
      </c>
      <c r="N2560" t="s">
        <v>116</v>
      </c>
      <c r="O2560" t="s">
        <v>436</v>
      </c>
      <c r="P2560" t="s">
        <v>436</v>
      </c>
      <c r="Q2560">
        <v>7</v>
      </c>
      <c r="R2560" s="225">
        <f>Base_Periodo1[[#This Row],[CREDITOS]]-Base_Periodo1[[#This Row],[DEBITOS]]</f>
        <v>0</v>
      </c>
      <c r="S2560" s="3" t="str">
        <f>IF(ISERROR(VLOOKUP(Base_Periodo1[[#This Row],[CONTA]],BaseContasDRE[#All],4,FALSE)),"Fora do DRE",VLOOKUP(Base_Periodo1[[#This Row],[CONTA]],BaseContasDRE[#All],4,FALSE))</f>
        <v>Fora do DRE</v>
      </c>
      <c r="T2560" s="3" t="str">
        <f>IF(ISERROR(VLOOKUP(Base_Periodo1[[#This Row],[CONTA]],BaseContasDRE[#All],5,FALSE)),"Fora do DRE",VLOOKUP(Base_Periodo1[[#This Row],[CONTA]],BaseContasDRE[#All],6,FALSE))</f>
        <v>Fora do DRE</v>
      </c>
      <c r="U2560" s="3" t="str">
        <f>IF(ISERROR(VLOOKUP(Base_Periodo1[[#This Row],[CONTA]],BaseContasDRE[#All],7,FALSE)),"Fora do DRE",VLOOKUP(Base_Periodo1[[#This Row],[CONTA]],BaseContasDRE[#All],7,FALSE))</f>
        <v>Fora do DRE</v>
      </c>
      <c r="V2560" s="3" t="str">
        <f>IF(Base_Periodo1[[#This Row],[Tipo_Linha]]="Fora do DRE","Fora do DRE","( "&amp;Base_Periodo1[[#This Row],[Tipo_Linha]]&amp;" ) "&amp;Base_Periodo1[[#This Row],[Filtro]])</f>
        <v>Fora do DRE</v>
      </c>
      <c r="W2560" s="3" t="str">
        <f>LEFT(Base_Periodo1[[#This Row],[CLASS]],3)</f>
        <v>2.1</v>
      </c>
    </row>
    <row r="2561" spans="1:23" hidden="1">
      <c r="A2561" s="3" t="str">
        <f t="shared" si="39"/>
        <v>Período 1</v>
      </c>
      <c r="B2561">
        <v>3625</v>
      </c>
      <c r="C2561" t="s">
        <v>1730</v>
      </c>
      <c r="D2561" t="s">
        <v>814</v>
      </c>
      <c r="E2561" s="3" t="str">
        <f>IF(LEN(Base_Periodo1[[#This Row],[CLASS]])&gt;=7,LEFT(Base_Periodo1[[#This Row],[CLASS]],7),"")</f>
        <v>2.1.2.1</v>
      </c>
      <c r="F2561" s="3" t="str">
        <f>VLOOKUP(Base_Periodo1[[#This Row],[Aux]],Base_Contas_Balanco[#All],2,FALSE)</f>
        <v>Fornecedores Cooperados</v>
      </c>
      <c r="G2561" s="1">
        <v>42880</v>
      </c>
      <c r="H2561" s="225">
        <v>920.35000000009313</v>
      </c>
      <c r="I2561" s="225">
        <v>23467.989999999998</v>
      </c>
      <c r="J2561" s="225">
        <v>22547.64</v>
      </c>
      <c r="K2561" s="225">
        <v>-9.4587448984384537E-11</v>
      </c>
      <c r="L25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61" s="225">
        <f>ROUND(IF(AND(Base_Periodo1[[#This Row],[Tipo_Linha]]="-",Base_Periodo1[[#This Row],[TIPOSALDO]]="D"),Base_Periodo1[[#This Row],[SALDO_ATUAL]]*-1,Base_Periodo1[[#This Row],[SALDO_ATUAL]]),4)</f>
        <v>0</v>
      </c>
      <c r="N2561" t="s">
        <v>116</v>
      </c>
      <c r="O2561" t="s">
        <v>459</v>
      </c>
      <c r="P2561" t="s">
        <v>436</v>
      </c>
      <c r="Q2561">
        <v>7</v>
      </c>
      <c r="R2561" s="225">
        <f>Base_Periodo1[[#This Row],[CREDITOS]]-Base_Periodo1[[#This Row],[DEBITOS]]</f>
        <v>-920.34999999999854</v>
      </c>
      <c r="S2561" s="3" t="str">
        <f>IF(ISERROR(VLOOKUP(Base_Periodo1[[#This Row],[CONTA]],BaseContasDRE[#All],4,FALSE)),"Fora do DRE",VLOOKUP(Base_Periodo1[[#This Row],[CONTA]],BaseContasDRE[#All],4,FALSE))</f>
        <v>Fora do DRE</v>
      </c>
      <c r="T2561" s="3" t="str">
        <f>IF(ISERROR(VLOOKUP(Base_Periodo1[[#This Row],[CONTA]],BaseContasDRE[#All],5,FALSE)),"Fora do DRE",VLOOKUP(Base_Periodo1[[#This Row],[CONTA]],BaseContasDRE[#All],6,FALSE))</f>
        <v>Fora do DRE</v>
      </c>
      <c r="U2561" s="3" t="str">
        <f>IF(ISERROR(VLOOKUP(Base_Periodo1[[#This Row],[CONTA]],BaseContasDRE[#All],7,FALSE)),"Fora do DRE",VLOOKUP(Base_Periodo1[[#This Row],[CONTA]],BaseContasDRE[#All],7,FALSE))</f>
        <v>Fora do DRE</v>
      </c>
      <c r="V2561" s="3" t="str">
        <f>IF(Base_Periodo1[[#This Row],[Tipo_Linha]]="Fora do DRE","Fora do DRE","( "&amp;Base_Periodo1[[#This Row],[Tipo_Linha]]&amp;" ) "&amp;Base_Periodo1[[#This Row],[Filtro]])</f>
        <v>Fora do DRE</v>
      </c>
      <c r="W2561" s="3" t="str">
        <f>LEFT(Base_Periodo1[[#This Row],[CLASS]],3)</f>
        <v>2.1</v>
      </c>
    </row>
    <row r="2562" spans="1:23" hidden="1">
      <c r="A2562" s="3" t="str">
        <f t="shared" si="39"/>
        <v>Período 1</v>
      </c>
      <c r="B2562">
        <v>3197</v>
      </c>
      <c r="C2562" t="s">
        <v>1730</v>
      </c>
      <c r="D2562" t="s">
        <v>815</v>
      </c>
      <c r="E2562" s="3" t="str">
        <f>IF(LEN(Base_Periodo1[[#This Row],[CLASS]])&gt;=7,LEFT(Base_Periodo1[[#This Row],[CLASS]],7),"")</f>
        <v>2.1.2.1</v>
      </c>
      <c r="F2562" s="3" t="str">
        <f>VLOOKUP(Base_Periodo1[[#This Row],[Aux]],Base_Contas_Balanco[#All],2,FALSE)</f>
        <v>Fornecedores Cooperados</v>
      </c>
      <c r="G2562" s="1">
        <v>42881</v>
      </c>
      <c r="I2562" s="225">
        <v>375976.51</v>
      </c>
      <c r="J2562" s="225">
        <v>375976.51</v>
      </c>
      <c r="K2562" s="225">
        <v>9.3132257461547852E-10</v>
      </c>
      <c r="L25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62" s="225">
        <f>ROUND(IF(AND(Base_Periodo1[[#This Row],[Tipo_Linha]]="-",Base_Periodo1[[#This Row],[TIPOSALDO]]="D"),Base_Periodo1[[#This Row],[SALDO_ATUAL]]*-1,Base_Periodo1[[#This Row],[SALDO_ATUAL]]),4)</f>
        <v>0</v>
      </c>
      <c r="N2562" t="s">
        <v>116</v>
      </c>
      <c r="O2562" t="s">
        <v>436</v>
      </c>
      <c r="P2562" t="s">
        <v>436</v>
      </c>
      <c r="Q2562">
        <v>7</v>
      </c>
      <c r="R2562" s="225">
        <f>Base_Periodo1[[#This Row],[CREDITOS]]-Base_Periodo1[[#This Row],[DEBITOS]]</f>
        <v>0</v>
      </c>
      <c r="S2562" s="3" t="str">
        <f>IF(ISERROR(VLOOKUP(Base_Periodo1[[#This Row],[CONTA]],BaseContasDRE[#All],4,FALSE)),"Fora do DRE",VLOOKUP(Base_Periodo1[[#This Row],[CONTA]],BaseContasDRE[#All],4,FALSE))</f>
        <v>Fora do DRE</v>
      </c>
      <c r="T2562" s="3" t="str">
        <f>IF(ISERROR(VLOOKUP(Base_Periodo1[[#This Row],[CONTA]],BaseContasDRE[#All],5,FALSE)),"Fora do DRE",VLOOKUP(Base_Periodo1[[#This Row],[CONTA]],BaseContasDRE[#All],6,FALSE))</f>
        <v>Fora do DRE</v>
      </c>
      <c r="U2562" s="3" t="str">
        <f>IF(ISERROR(VLOOKUP(Base_Periodo1[[#This Row],[CONTA]],BaseContasDRE[#All],7,FALSE)),"Fora do DRE",VLOOKUP(Base_Periodo1[[#This Row],[CONTA]],BaseContasDRE[#All],7,FALSE))</f>
        <v>Fora do DRE</v>
      </c>
      <c r="V2562" s="3" t="str">
        <f>IF(Base_Periodo1[[#This Row],[Tipo_Linha]]="Fora do DRE","Fora do DRE","( "&amp;Base_Periodo1[[#This Row],[Tipo_Linha]]&amp;" ) "&amp;Base_Periodo1[[#This Row],[Filtro]])</f>
        <v>Fora do DRE</v>
      </c>
      <c r="W2562" s="3" t="str">
        <f>LEFT(Base_Periodo1[[#This Row],[CLASS]],3)</f>
        <v>2.1</v>
      </c>
    </row>
    <row r="2563" spans="1:23" hidden="1">
      <c r="A2563" s="3" t="str">
        <f t="shared" si="39"/>
        <v>Período 1</v>
      </c>
      <c r="B2563">
        <v>23962</v>
      </c>
      <c r="C2563" t="s">
        <v>1730</v>
      </c>
      <c r="D2563" t="s">
        <v>816</v>
      </c>
      <c r="E2563" s="3" t="str">
        <f>IF(LEN(Base_Periodo1[[#This Row],[CLASS]])&gt;=7,LEFT(Base_Periodo1[[#This Row],[CLASS]],7),"")</f>
        <v>2.1.2.1</v>
      </c>
      <c r="F2563" s="3" t="str">
        <f>VLOOKUP(Base_Periodo1[[#This Row],[Aux]],Base_Contas_Balanco[#All],2,FALSE)</f>
        <v>Fornecedores Cooperados</v>
      </c>
      <c r="G2563" s="1">
        <v>42881</v>
      </c>
      <c r="I2563" s="225">
        <v>2471.8500000000004</v>
      </c>
      <c r="J2563" s="225">
        <v>2471.85</v>
      </c>
      <c r="K2563" s="225">
        <v>7.73070496506989E-12</v>
      </c>
      <c r="L25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63" s="225">
        <f>ROUND(IF(AND(Base_Periodo1[[#This Row],[Tipo_Linha]]="-",Base_Periodo1[[#This Row],[TIPOSALDO]]="D"),Base_Periodo1[[#This Row],[SALDO_ATUAL]]*-1,Base_Periodo1[[#This Row],[SALDO_ATUAL]]),4)</f>
        <v>0</v>
      </c>
      <c r="N2563" t="s">
        <v>116</v>
      </c>
      <c r="O2563" t="s">
        <v>436</v>
      </c>
      <c r="P2563" t="s">
        <v>436</v>
      </c>
      <c r="Q2563">
        <v>7</v>
      </c>
      <c r="R2563" s="225">
        <f>Base_Periodo1[[#This Row],[CREDITOS]]-Base_Periodo1[[#This Row],[DEBITOS]]</f>
        <v>0</v>
      </c>
      <c r="S2563" s="3" t="str">
        <f>IF(ISERROR(VLOOKUP(Base_Periodo1[[#This Row],[CONTA]],BaseContasDRE[#All],4,FALSE)),"Fora do DRE",VLOOKUP(Base_Periodo1[[#This Row],[CONTA]],BaseContasDRE[#All],4,FALSE))</f>
        <v>Fora do DRE</v>
      </c>
      <c r="T2563" s="3" t="str">
        <f>IF(ISERROR(VLOOKUP(Base_Periodo1[[#This Row],[CONTA]],BaseContasDRE[#All],5,FALSE)),"Fora do DRE",VLOOKUP(Base_Periodo1[[#This Row],[CONTA]],BaseContasDRE[#All],6,FALSE))</f>
        <v>Fora do DRE</v>
      </c>
      <c r="U2563" s="3" t="str">
        <f>IF(ISERROR(VLOOKUP(Base_Periodo1[[#This Row],[CONTA]],BaseContasDRE[#All],7,FALSE)),"Fora do DRE",VLOOKUP(Base_Periodo1[[#This Row],[CONTA]],BaseContasDRE[#All],7,FALSE))</f>
        <v>Fora do DRE</v>
      </c>
      <c r="V2563" s="3" t="str">
        <f>IF(Base_Periodo1[[#This Row],[Tipo_Linha]]="Fora do DRE","Fora do DRE","( "&amp;Base_Periodo1[[#This Row],[Tipo_Linha]]&amp;" ) "&amp;Base_Periodo1[[#This Row],[Filtro]])</f>
        <v>Fora do DRE</v>
      </c>
      <c r="W2563" s="3" t="str">
        <f>LEFT(Base_Periodo1[[#This Row],[CLASS]],3)</f>
        <v>2.1</v>
      </c>
    </row>
    <row r="2564" spans="1:23" hidden="1">
      <c r="A2564" s="3" t="str">
        <f t="shared" si="39"/>
        <v>Período 1</v>
      </c>
      <c r="B2564">
        <v>2341</v>
      </c>
      <c r="C2564" t="s">
        <v>1730</v>
      </c>
      <c r="D2564" t="s">
        <v>5161</v>
      </c>
      <c r="E2564" s="3" t="str">
        <f>IF(LEN(Base_Periodo1[[#This Row],[CLASS]])&gt;=7,LEFT(Base_Periodo1[[#This Row],[CLASS]],7),"")</f>
        <v>2.1.2.1</v>
      </c>
      <c r="F2564" s="3" t="str">
        <f>VLOOKUP(Base_Periodo1[[#This Row],[Aux]],Base_Contas_Balanco[#All],2,FALSE)</f>
        <v>Fornecedores Cooperados</v>
      </c>
      <c r="G2564" s="1">
        <v>42880</v>
      </c>
      <c r="I2564" s="225">
        <v>7242.5</v>
      </c>
      <c r="J2564" s="225">
        <v>7242.5</v>
      </c>
      <c r="K2564" s="225">
        <v>-2.3283064365386963E-10</v>
      </c>
      <c r="L25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64" s="225">
        <f>ROUND(IF(AND(Base_Periodo1[[#This Row],[Tipo_Linha]]="-",Base_Periodo1[[#This Row],[TIPOSALDO]]="D"),Base_Periodo1[[#This Row],[SALDO_ATUAL]]*-1,Base_Periodo1[[#This Row],[SALDO_ATUAL]]),4)</f>
        <v>0</v>
      </c>
      <c r="N2564" t="s">
        <v>116</v>
      </c>
      <c r="O2564" t="s">
        <v>436</v>
      </c>
      <c r="P2564" t="s">
        <v>436</v>
      </c>
      <c r="Q2564">
        <v>7</v>
      </c>
      <c r="R2564" s="225">
        <f>Base_Periodo1[[#This Row],[CREDITOS]]-Base_Periodo1[[#This Row],[DEBITOS]]</f>
        <v>0</v>
      </c>
      <c r="S2564" s="3" t="str">
        <f>IF(ISERROR(VLOOKUP(Base_Periodo1[[#This Row],[CONTA]],BaseContasDRE[#All],4,FALSE)),"Fora do DRE",VLOOKUP(Base_Periodo1[[#This Row],[CONTA]],BaseContasDRE[#All],4,FALSE))</f>
        <v>Fora do DRE</v>
      </c>
      <c r="T2564" s="3" t="str">
        <f>IF(ISERROR(VLOOKUP(Base_Periodo1[[#This Row],[CONTA]],BaseContasDRE[#All],5,FALSE)),"Fora do DRE",VLOOKUP(Base_Periodo1[[#This Row],[CONTA]],BaseContasDRE[#All],6,FALSE))</f>
        <v>Fora do DRE</v>
      </c>
      <c r="U2564" s="3" t="str">
        <f>IF(ISERROR(VLOOKUP(Base_Periodo1[[#This Row],[CONTA]],BaseContasDRE[#All],7,FALSE)),"Fora do DRE",VLOOKUP(Base_Periodo1[[#This Row],[CONTA]],BaseContasDRE[#All],7,FALSE))</f>
        <v>Fora do DRE</v>
      </c>
      <c r="V2564" s="3" t="str">
        <f>IF(Base_Periodo1[[#This Row],[Tipo_Linha]]="Fora do DRE","Fora do DRE","( "&amp;Base_Periodo1[[#This Row],[Tipo_Linha]]&amp;" ) "&amp;Base_Periodo1[[#This Row],[Filtro]])</f>
        <v>Fora do DRE</v>
      </c>
      <c r="W2564" s="3" t="str">
        <f>LEFT(Base_Periodo1[[#This Row],[CLASS]],3)</f>
        <v>2.1</v>
      </c>
    </row>
    <row r="2565" spans="1:23" hidden="1">
      <c r="A2565" s="3" t="str">
        <f t="shared" si="39"/>
        <v>Período 1</v>
      </c>
      <c r="B2565">
        <v>20474</v>
      </c>
      <c r="C2565" t="s">
        <v>1730</v>
      </c>
      <c r="D2565" t="s">
        <v>5012</v>
      </c>
      <c r="E2565" s="3" t="str">
        <f>IF(LEN(Base_Periodo1[[#This Row],[CLASS]])&gt;=7,LEFT(Base_Periodo1[[#This Row],[CLASS]],7),"")</f>
        <v>2.1.2.1</v>
      </c>
      <c r="F2565" s="3" t="str">
        <f>VLOOKUP(Base_Periodo1[[#This Row],[Aux]],Base_Contas_Balanco[#All],2,FALSE)</f>
        <v>Fornecedores Cooperados</v>
      </c>
      <c r="G2565" s="1">
        <v>42863</v>
      </c>
      <c r="I2565" s="225">
        <v>11940</v>
      </c>
      <c r="J2565" s="225">
        <v>11940</v>
      </c>
      <c r="K2565" s="225">
        <v>2.9103830456733704E-11</v>
      </c>
      <c r="L25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65" s="225">
        <f>ROUND(IF(AND(Base_Periodo1[[#This Row],[Tipo_Linha]]="-",Base_Periodo1[[#This Row],[TIPOSALDO]]="D"),Base_Periodo1[[#This Row],[SALDO_ATUAL]]*-1,Base_Periodo1[[#This Row],[SALDO_ATUAL]]),4)</f>
        <v>0</v>
      </c>
      <c r="N2565" t="s">
        <v>116</v>
      </c>
      <c r="O2565" t="s">
        <v>436</v>
      </c>
      <c r="P2565" t="s">
        <v>436</v>
      </c>
      <c r="Q2565">
        <v>7</v>
      </c>
      <c r="R2565" s="225">
        <f>Base_Periodo1[[#This Row],[CREDITOS]]-Base_Periodo1[[#This Row],[DEBITOS]]</f>
        <v>0</v>
      </c>
      <c r="S2565" s="3" t="str">
        <f>IF(ISERROR(VLOOKUP(Base_Periodo1[[#This Row],[CONTA]],BaseContasDRE[#All],4,FALSE)),"Fora do DRE",VLOOKUP(Base_Periodo1[[#This Row],[CONTA]],BaseContasDRE[#All],4,FALSE))</f>
        <v>Fora do DRE</v>
      </c>
      <c r="T2565" s="3" t="str">
        <f>IF(ISERROR(VLOOKUP(Base_Periodo1[[#This Row],[CONTA]],BaseContasDRE[#All],5,FALSE)),"Fora do DRE",VLOOKUP(Base_Periodo1[[#This Row],[CONTA]],BaseContasDRE[#All],6,FALSE))</f>
        <v>Fora do DRE</v>
      </c>
      <c r="U2565" s="3" t="str">
        <f>IF(ISERROR(VLOOKUP(Base_Periodo1[[#This Row],[CONTA]],BaseContasDRE[#All],7,FALSE)),"Fora do DRE",VLOOKUP(Base_Periodo1[[#This Row],[CONTA]],BaseContasDRE[#All],7,FALSE))</f>
        <v>Fora do DRE</v>
      </c>
      <c r="V2565" s="3" t="str">
        <f>IF(Base_Periodo1[[#This Row],[Tipo_Linha]]="Fora do DRE","Fora do DRE","( "&amp;Base_Periodo1[[#This Row],[Tipo_Linha]]&amp;" ) "&amp;Base_Periodo1[[#This Row],[Filtro]])</f>
        <v>Fora do DRE</v>
      </c>
      <c r="W2565" s="3" t="str">
        <f>LEFT(Base_Periodo1[[#This Row],[CLASS]],3)</f>
        <v>2.1</v>
      </c>
    </row>
    <row r="2566" spans="1:23" hidden="1">
      <c r="A2566" s="3" t="str">
        <f t="shared" ref="A2566:A2629" si="40">"Período 1"</f>
        <v>Período 1</v>
      </c>
      <c r="B2566">
        <v>3169</v>
      </c>
      <c r="C2566" t="s">
        <v>1730</v>
      </c>
      <c r="D2566" t="s">
        <v>819</v>
      </c>
      <c r="E2566" s="3" t="str">
        <f>IF(LEN(Base_Periodo1[[#This Row],[CLASS]])&gt;=7,LEFT(Base_Periodo1[[#This Row],[CLASS]],7),"")</f>
        <v>2.1.2.1</v>
      </c>
      <c r="F2566" s="3" t="str">
        <f>VLOOKUP(Base_Periodo1[[#This Row],[Aux]],Base_Contas_Balanco[#All],2,FALSE)</f>
        <v>Fornecedores Cooperados</v>
      </c>
      <c r="G2566" s="1">
        <v>42865</v>
      </c>
      <c r="I2566" s="225">
        <v>60018.51999999999</v>
      </c>
      <c r="J2566" s="225">
        <v>60018.52</v>
      </c>
      <c r="K2566" s="225">
        <v>-7.2759576141834259E-12</v>
      </c>
      <c r="L25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66" s="225">
        <f>ROUND(IF(AND(Base_Periodo1[[#This Row],[Tipo_Linha]]="-",Base_Periodo1[[#This Row],[TIPOSALDO]]="D"),Base_Periodo1[[#This Row],[SALDO_ATUAL]]*-1,Base_Periodo1[[#This Row],[SALDO_ATUAL]]),4)</f>
        <v>0</v>
      </c>
      <c r="N2566" t="s">
        <v>116</v>
      </c>
      <c r="O2566" t="s">
        <v>436</v>
      </c>
      <c r="P2566" t="s">
        <v>436</v>
      </c>
      <c r="Q2566">
        <v>7</v>
      </c>
      <c r="R2566" s="225">
        <f>Base_Periodo1[[#This Row],[CREDITOS]]-Base_Periodo1[[#This Row],[DEBITOS]]</f>
        <v>0</v>
      </c>
      <c r="S2566" s="3" t="str">
        <f>IF(ISERROR(VLOOKUP(Base_Periodo1[[#This Row],[CONTA]],BaseContasDRE[#All],4,FALSE)),"Fora do DRE",VLOOKUP(Base_Periodo1[[#This Row],[CONTA]],BaseContasDRE[#All],4,FALSE))</f>
        <v>Fora do DRE</v>
      </c>
      <c r="T2566" s="3" t="str">
        <f>IF(ISERROR(VLOOKUP(Base_Periodo1[[#This Row],[CONTA]],BaseContasDRE[#All],5,FALSE)),"Fora do DRE",VLOOKUP(Base_Periodo1[[#This Row],[CONTA]],BaseContasDRE[#All],6,FALSE))</f>
        <v>Fora do DRE</v>
      </c>
      <c r="U2566" s="3" t="str">
        <f>IF(ISERROR(VLOOKUP(Base_Periodo1[[#This Row],[CONTA]],BaseContasDRE[#All],7,FALSE)),"Fora do DRE",VLOOKUP(Base_Periodo1[[#This Row],[CONTA]],BaseContasDRE[#All],7,FALSE))</f>
        <v>Fora do DRE</v>
      </c>
      <c r="V2566" s="3" t="str">
        <f>IF(Base_Periodo1[[#This Row],[Tipo_Linha]]="Fora do DRE","Fora do DRE","( "&amp;Base_Periodo1[[#This Row],[Tipo_Linha]]&amp;" ) "&amp;Base_Periodo1[[#This Row],[Filtro]])</f>
        <v>Fora do DRE</v>
      </c>
      <c r="W2566" s="3" t="str">
        <f>LEFT(Base_Periodo1[[#This Row],[CLASS]],3)</f>
        <v>2.1</v>
      </c>
    </row>
    <row r="2567" spans="1:23" hidden="1">
      <c r="A2567" s="3" t="str">
        <f t="shared" si="40"/>
        <v>Período 1</v>
      </c>
      <c r="B2567">
        <v>11859</v>
      </c>
      <c r="C2567" t="s">
        <v>1730</v>
      </c>
      <c r="D2567" t="s">
        <v>820</v>
      </c>
      <c r="E2567" s="3" t="str">
        <f>IF(LEN(Base_Periodo1[[#This Row],[CLASS]])&gt;=7,LEFT(Base_Periodo1[[#This Row],[CLASS]],7),"")</f>
        <v>2.1.2.1</v>
      </c>
      <c r="F2567" s="3" t="str">
        <f>VLOOKUP(Base_Periodo1[[#This Row],[Aux]],Base_Contas_Balanco[#All],2,FALSE)</f>
        <v>Fornecedores Cooperados</v>
      </c>
      <c r="G2567" s="1">
        <v>42864</v>
      </c>
      <c r="I2567" s="225">
        <v>15355.54</v>
      </c>
      <c r="J2567" s="225">
        <v>15355.54</v>
      </c>
      <c r="K2567" s="225">
        <v>-5.8207660913467407E-11</v>
      </c>
      <c r="L25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67" s="225">
        <f>ROUND(IF(AND(Base_Periodo1[[#This Row],[Tipo_Linha]]="-",Base_Periodo1[[#This Row],[TIPOSALDO]]="D"),Base_Periodo1[[#This Row],[SALDO_ATUAL]]*-1,Base_Periodo1[[#This Row],[SALDO_ATUAL]]),4)</f>
        <v>0</v>
      </c>
      <c r="N2567" t="s">
        <v>116</v>
      </c>
      <c r="O2567" t="s">
        <v>436</v>
      </c>
      <c r="P2567" t="s">
        <v>436</v>
      </c>
      <c r="Q2567">
        <v>7</v>
      </c>
      <c r="R2567" s="225">
        <f>Base_Periodo1[[#This Row],[CREDITOS]]-Base_Periodo1[[#This Row],[DEBITOS]]</f>
        <v>0</v>
      </c>
      <c r="S2567" s="3" t="str">
        <f>IF(ISERROR(VLOOKUP(Base_Periodo1[[#This Row],[CONTA]],BaseContasDRE[#All],4,FALSE)),"Fora do DRE",VLOOKUP(Base_Periodo1[[#This Row],[CONTA]],BaseContasDRE[#All],4,FALSE))</f>
        <v>Fora do DRE</v>
      </c>
      <c r="T2567" s="3" t="str">
        <f>IF(ISERROR(VLOOKUP(Base_Periodo1[[#This Row],[CONTA]],BaseContasDRE[#All],5,FALSE)),"Fora do DRE",VLOOKUP(Base_Periodo1[[#This Row],[CONTA]],BaseContasDRE[#All],6,FALSE))</f>
        <v>Fora do DRE</v>
      </c>
      <c r="U2567" s="3" t="str">
        <f>IF(ISERROR(VLOOKUP(Base_Periodo1[[#This Row],[CONTA]],BaseContasDRE[#All],7,FALSE)),"Fora do DRE",VLOOKUP(Base_Periodo1[[#This Row],[CONTA]],BaseContasDRE[#All],7,FALSE))</f>
        <v>Fora do DRE</v>
      </c>
      <c r="V2567" s="3" t="str">
        <f>IF(Base_Periodo1[[#This Row],[Tipo_Linha]]="Fora do DRE","Fora do DRE","( "&amp;Base_Periodo1[[#This Row],[Tipo_Linha]]&amp;" ) "&amp;Base_Periodo1[[#This Row],[Filtro]])</f>
        <v>Fora do DRE</v>
      </c>
      <c r="W2567" s="3" t="str">
        <f>LEFT(Base_Periodo1[[#This Row],[CLASS]],3)</f>
        <v>2.1</v>
      </c>
    </row>
    <row r="2568" spans="1:23" hidden="1">
      <c r="A2568" s="3" t="str">
        <f t="shared" si="40"/>
        <v>Período 1</v>
      </c>
      <c r="B2568">
        <v>33032</v>
      </c>
      <c r="C2568" t="s">
        <v>1730</v>
      </c>
      <c r="D2568" t="s">
        <v>821</v>
      </c>
      <c r="E2568" s="3" t="str">
        <f>IF(LEN(Base_Periodo1[[#This Row],[CLASS]])&gt;=7,LEFT(Base_Periodo1[[#This Row],[CLASS]],7),"")</f>
        <v>2.1.2.1</v>
      </c>
      <c r="F2568" s="3" t="str">
        <f>VLOOKUP(Base_Periodo1[[#This Row],[Aux]],Base_Contas_Balanco[#All],2,FALSE)</f>
        <v>Fornecedores Cooperados</v>
      </c>
      <c r="G2568" s="1">
        <v>42865</v>
      </c>
      <c r="H2568" s="225">
        <v>24034.210000000021</v>
      </c>
      <c r="I2568" s="225">
        <v>37367.950000000012</v>
      </c>
      <c r="J2568" s="225">
        <v>13333.74</v>
      </c>
      <c r="K2568" s="225">
        <v>-9.0949470177292824E-12</v>
      </c>
      <c r="L25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68" s="225">
        <f>ROUND(IF(AND(Base_Periodo1[[#This Row],[Tipo_Linha]]="-",Base_Periodo1[[#This Row],[TIPOSALDO]]="D"),Base_Periodo1[[#This Row],[SALDO_ATUAL]]*-1,Base_Periodo1[[#This Row],[SALDO_ATUAL]]),4)</f>
        <v>0</v>
      </c>
      <c r="N2568" t="s">
        <v>116</v>
      </c>
      <c r="O2568" t="s">
        <v>459</v>
      </c>
      <c r="P2568" t="s">
        <v>436</v>
      </c>
      <c r="Q2568">
        <v>7</v>
      </c>
      <c r="R2568" s="225">
        <f>Base_Periodo1[[#This Row],[CREDITOS]]-Base_Periodo1[[#This Row],[DEBITOS]]</f>
        <v>-24034.210000000014</v>
      </c>
      <c r="S2568" s="3" t="str">
        <f>IF(ISERROR(VLOOKUP(Base_Periodo1[[#This Row],[CONTA]],BaseContasDRE[#All],4,FALSE)),"Fora do DRE",VLOOKUP(Base_Periodo1[[#This Row],[CONTA]],BaseContasDRE[#All],4,FALSE))</f>
        <v>Fora do DRE</v>
      </c>
      <c r="T2568" s="3" t="str">
        <f>IF(ISERROR(VLOOKUP(Base_Periodo1[[#This Row],[CONTA]],BaseContasDRE[#All],5,FALSE)),"Fora do DRE",VLOOKUP(Base_Periodo1[[#This Row],[CONTA]],BaseContasDRE[#All],6,FALSE))</f>
        <v>Fora do DRE</v>
      </c>
      <c r="U2568" s="3" t="str">
        <f>IF(ISERROR(VLOOKUP(Base_Periodo1[[#This Row],[CONTA]],BaseContasDRE[#All],7,FALSE)),"Fora do DRE",VLOOKUP(Base_Periodo1[[#This Row],[CONTA]],BaseContasDRE[#All],7,FALSE))</f>
        <v>Fora do DRE</v>
      </c>
      <c r="V2568" s="3" t="str">
        <f>IF(Base_Periodo1[[#This Row],[Tipo_Linha]]="Fora do DRE","Fora do DRE","( "&amp;Base_Periodo1[[#This Row],[Tipo_Linha]]&amp;" ) "&amp;Base_Periodo1[[#This Row],[Filtro]])</f>
        <v>Fora do DRE</v>
      </c>
      <c r="W2568" s="3" t="str">
        <f>LEFT(Base_Periodo1[[#This Row],[CLASS]],3)</f>
        <v>2.1</v>
      </c>
    </row>
    <row r="2569" spans="1:23" hidden="1">
      <c r="A2569" s="3" t="str">
        <f t="shared" si="40"/>
        <v>Período 1</v>
      </c>
      <c r="B2569">
        <v>48202</v>
      </c>
      <c r="C2569" t="s">
        <v>1730</v>
      </c>
      <c r="D2569" t="s">
        <v>823</v>
      </c>
      <c r="E2569" s="3" t="str">
        <f>IF(LEN(Base_Periodo1[[#This Row],[CLASS]])&gt;=7,LEFT(Base_Periodo1[[#This Row],[CLASS]],7),"")</f>
        <v>2.1.2.1</v>
      </c>
      <c r="F2569" s="3" t="str">
        <f>VLOOKUP(Base_Periodo1[[#This Row],[Aux]],Base_Contas_Balanco[#All],2,FALSE)</f>
        <v>Fornecedores Cooperados</v>
      </c>
      <c r="G2569" s="1">
        <v>42873</v>
      </c>
      <c r="I2569" s="225">
        <v>17266</v>
      </c>
      <c r="J2569" s="225">
        <v>17266</v>
      </c>
      <c r="K2569" s="225">
        <v>-8.7311491370201111E-11</v>
      </c>
      <c r="L25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69" s="225">
        <f>ROUND(IF(AND(Base_Periodo1[[#This Row],[Tipo_Linha]]="-",Base_Periodo1[[#This Row],[TIPOSALDO]]="D"),Base_Periodo1[[#This Row],[SALDO_ATUAL]]*-1,Base_Periodo1[[#This Row],[SALDO_ATUAL]]),4)</f>
        <v>0</v>
      </c>
      <c r="N2569" t="s">
        <v>116</v>
      </c>
      <c r="O2569" t="s">
        <v>436</v>
      </c>
      <c r="P2569" t="s">
        <v>436</v>
      </c>
      <c r="Q2569">
        <v>7</v>
      </c>
      <c r="R2569" s="225">
        <f>Base_Periodo1[[#This Row],[CREDITOS]]-Base_Periodo1[[#This Row],[DEBITOS]]</f>
        <v>0</v>
      </c>
      <c r="S2569" s="3" t="str">
        <f>IF(ISERROR(VLOOKUP(Base_Periodo1[[#This Row],[CONTA]],BaseContasDRE[#All],4,FALSE)),"Fora do DRE",VLOOKUP(Base_Periodo1[[#This Row],[CONTA]],BaseContasDRE[#All],4,FALSE))</f>
        <v>Fora do DRE</v>
      </c>
      <c r="T2569" s="3" t="str">
        <f>IF(ISERROR(VLOOKUP(Base_Periodo1[[#This Row],[CONTA]],BaseContasDRE[#All],5,FALSE)),"Fora do DRE",VLOOKUP(Base_Periodo1[[#This Row],[CONTA]],BaseContasDRE[#All],6,FALSE))</f>
        <v>Fora do DRE</v>
      </c>
      <c r="U2569" s="3" t="str">
        <f>IF(ISERROR(VLOOKUP(Base_Periodo1[[#This Row],[CONTA]],BaseContasDRE[#All],7,FALSE)),"Fora do DRE",VLOOKUP(Base_Periodo1[[#This Row],[CONTA]],BaseContasDRE[#All],7,FALSE))</f>
        <v>Fora do DRE</v>
      </c>
      <c r="V2569" s="3" t="str">
        <f>IF(Base_Periodo1[[#This Row],[Tipo_Linha]]="Fora do DRE","Fora do DRE","( "&amp;Base_Periodo1[[#This Row],[Tipo_Linha]]&amp;" ) "&amp;Base_Periodo1[[#This Row],[Filtro]])</f>
        <v>Fora do DRE</v>
      </c>
      <c r="W2569" s="3" t="str">
        <f>LEFT(Base_Periodo1[[#This Row],[CLASS]],3)</f>
        <v>2.1</v>
      </c>
    </row>
    <row r="2570" spans="1:23" hidden="1">
      <c r="A2570" s="3" t="str">
        <f t="shared" si="40"/>
        <v>Período 1</v>
      </c>
      <c r="B2570">
        <v>4853</v>
      </c>
      <c r="C2570" t="s">
        <v>1730</v>
      </c>
      <c r="D2570" t="s">
        <v>5394</v>
      </c>
      <c r="E2570" s="3" t="str">
        <f>IF(LEN(Base_Periodo1[[#This Row],[CLASS]])&gt;=7,LEFT(Base_Periodo1[[#This Row],[CLASS]],7),"")</f>
        <v>2.1.2.1</v>
      </c>
      <c r="F2570" s="3" t="str">
        <f>VLOOKUP(Base_Periodo1[[#This Row],[Aux]],Base_Contas_Balanco[#All],2,FALSE)</f>
        <v>Fornecedores Cooperados</v>
      </c>
      <c r="G2570" s="1">
        <v>42717</v>
      </c>
      <c r="H2570" s="225">
        <v>213.26000000003842</v>
      </c>
      <c r="I2570" s="225">
        <v>0</v>
      </c>
      <c r="J2570" s="225">
        <v>0</v>
      </c>
      <c r="K2570" s="225">
        <v>213.26000000003842</v>
      </c>
      <c r="L25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213.26</v>
      </c>
      <c r="M2570" s="225">
        <f>ROUND(IF(AND(Base_Periodo1[[#This Row],[Tipo_Linha]]="-",Base_Periodo1[[#This Row],[TIPOSALDO]]="D"),Base_Periodo1[[#This Row],[SALDO_ATUAL]]*-1,Base_Periodo1[[#This Row],[SALDO_ATUAL]]),4)</f>
        <v>213.26</v>
      </c>
      <c r="N2570" t="s">
        <v>116</v>
      </c>
      <c r="O2570" t="s">
        <v>459</v>
      </c>
      <c r="P2570" t="s">
        <v>459</v>
      </c>
      <c r="Q2570">
        <v>7</v>
      </c>
      <c r="R2570" s="225">
        <f>Base_Periodo1[[#This Row],[CREDITOS]]-Base_Periodo1[[#This Row],[DEBITOS]]</f>
        <v>0</v>
      </c>
      <c r="S2570" s="3" t="str">
        <f>IF(ISERROR(VLOOKUP(Base_Periodo1[[#This Row],[CONTA]],BaseContasDRE[#All],4,FALSE)),"Fora do DRE",VLOOKUP(Base_Periodo1[[#This Row],[CONTA]],BaseContasDRE[#All],4,FALSE))</f>
        <v>Fora do DRE</v>
      </c>
      <c r="T2570" s="3" t="str">
        <f>IF(ISERROR(VLOOKUP(Base_Periodo1[[#This Row],[CONTA]],BaseContasDRE[#All],5,FALSE)),"Fora do DRE",VLOOKUP(Base_Periodo1[[#This Row],[CONTA]],BaseContasDRE[#All],6,FALSE))</f>
        <v>Fora do DRE</v>
      </c>
      <c r="U2570" s="3" t="str">
        <f>IF(ISERROR(VLOOKUP(Base_Periodo1[[#This Row],[CONTA]],BaseContasDRE[#All],7,FALSE)),"Fora do DRE",VLOOKUP(Base_Periodo1[[#This Row],[CONTA]],BaseContasDRE[#All],7,FALSE))</f>
        <v>Fora do DRE</v>
      </c>
      <c r="V2570" s="3" t="str">
        <f>IF(Base_Periodo1[[#This Row],[Tipo_Linha]]="Fora do DRE","Fora do DRE","( "&amp;Base_Periodo1[[#This Row],[Tipo_Linha]]&amp;" ) "&amp;Base_Periodo1[[#This Row],[Filtro]])</f>
        <v>Fora do DRE</v>
      </c>
      <c r="W2570" s="3" t="str">
        <f>LEFT(Base_Periodo1[[#This Row],[CLASS]],3)</f>
        <v>2.1</v>
      </c>
    </row>
    <row r="2571" spans="1:23" hidden="1">
      <c r="A2571" s="3" t="str">
        <f t="shared" si="40"/>
        <v>Período 1</v>
      </c>
      <c r="B2571">
        <v>5045</v>
      </c>
      <c r="C2571" t="s">
        <v>1730</v>
      </c>
      <c r="D2571" t="s">
        <v>824</v>
      </c>
      <c r="E2571" s="3" t="str">
        <f>IF(LEN(Base_Periodo1[[#This Row],[CLASS]])&gt;=7,LEFT(Base_Periodo1[[#This Row],[CLASS]],7),"")</f>
        <v>2.1.2.1</v>
      </c>
      <c r="F2571" s="3" t="str">
        <f>VLOOKUP(Base_Periodo1[[#This Row],[Aux]],Base_Contas_Balanco[#All],2,FALSE)</f>
        <v>Fornecedores Cooperados</v>
      </c>
      <c r="G2571" s="1">
        <v>42885</v>
      </c>
      <c r="H2571" s="225">
        <v>7.3600000003352761</v>
      </c>
      <c r="I2571" s="225">
        <v>24057.77</v>
      </c>
      <c r="J2571" s="225">
        <v>24050.41</v>
      </c>
      <c r="K2571" s="225">
        <v>-3.3469405025243759E-10</v>
      </c>
      <c r="L25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71" s="225">
        <f>ROUND(IF(AND(Base_Periodo1[[#This Row],[Tipo_Linha]]="-",Base_Periodo1[[#This Row],[TIPOSALDO]]="D"),Base_Periodo1[[#This Row],[SALDO_ATUAL]]*-1,Base_Periodo1[[#This Row],[SALDO_ATUAL]]),4)</f>
        <v>0</v>
      </c>
      <c r="N2571" t="s">
        <v>116</v>
      </c>
      <c r="O2571" t="s">
        <v>459</v>
      </c>
      <c r="P2571" t="s">
        <v>436</v>
      </c>
      <c r="Q2571">
        <v>7</v>
      </c>
      <c r="R2571" s="225">
        <f>Base_Periodo1[[#This Row],[CREDITOS]]-Base_Periodo1[[#This Row],[DEBITOS]]</f>
        <v>-7.3600000000005821</v>
      </c>
      <c r="S2571" s="3" t="str">
        <f>IF(ISERROR(VLOOKUP(Base_Periodo1[[#This Row],[CONTA]],BaseContasDRE[#All],4,FALSE)),"Fora do DRE",VLOOKUP(Base_Periodo1[[#This Row],[CONTA]],BaseContasDRE[#All],4,FALSE))</f>
        <v>Fora do DRE</v>
      </c>
      <c r="T2571" s="3" t="str">
        <f>IF(ISERROR(VLOOKUP(Base_Periodo1[[#This Row],[CONTA]],BaseContasDRE[#All],5,FALSE)),"Fora do DRE",VLOOKUP(Base_Periodo1[[#This Row],[CONTA]],BaseContasDRE[#All],6,FALSE))</f>
        <v>Fora do DRE</v>
      </c>
      <c r="U2571" s="3" t="str">
        <f>IF(ISERROR(VLOOKUP(Base_Periodo1[[#This Row],[CONTA]],BaseContasDRE[#All],7,FALSE)),"Fora do DRE",VLOOKUP(Base_Periodo1[[#This Row],[CONTA]],BaseContasDRE[#All],7,FALSE))</f>
        <v>Fora do DRE</v>
      </c>
      <c r="V2571" s="3" t="str">
        <f>IF(Base_Periodo1[[#This Row],[Tipo_Linha]]="Fora do DRE","Fora do DRE","( "&amp;Base_Periodo1[[#This Row],[Tipo_Linha]]&amp;" ) "&amp;Base_Periodo1[[#This Row],[Filtro]])</f>
        <v>Fora do DRE</v>
      </c>
      <c r="W2571" s="3" t="str">
        <f>LEFT(Base_Periodo1[[#This Row],[CLASS]],3)</f>
        <v>2.1</v>
      </c>
    </row>
    <row r="2572" spans="1:23" hidden="1">
      <c r="A2572" s="3" t="str">
        <f t="shared" si="40"/>
        <v>Período 1</v>
      </c>
      <c r="B2572">
        <v>3353</v>
      </c>
      <c r="C2572" t="s">
        <v>1730</v>
      </c>
      <c r="D2572" t="s">
        <v>5163</v>
      </c>
      <c r="E2572" s="3" t="str">
        <f>IF(LEN(Base_Periodo1[[#This Row],[CLASS]])&gt;=7,LEFT(Base_Periodo1[[#This Row],[CLASS]],7),"")</f>
        <v>2.1.2.1</v>
      </c>
      <c r="F2572" s="3" t="str">
        <f>VLOOKUP(Base_Periodo1[[#This Row],[Aux]],Base_Contas_Balanco[#All],2,FALSE)</f>
        <v>Fornecedores Cooperados</v>
      </c>
      <c r="G2572" s="1">
        <v>42877</v>
      </c>
      <c r="I2572" s="225">
        <v>95124.86</v>
      </c>
      <c r="J2572" s="225">
        <v>95124.86</v>
      </c>
      <c r="K2572" s="225">
        <v>-1.1641532182693481E-10</v>
      </c>
      <c r="L25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72" s="225">
        <f>ROUND(IF(AND(Base_Periodo1[[#This Row],[Tipo_Linha]]="-",Base_Periodo1[[#This Row],[TIPOSALDO]]="D"),Base_Periodo1[[#This Row],[SALDO_ATUAL]]*-1,Base_Periodo1[[#This Row],[SALDO_ATUAL]]),4)</f>
        <v>0</v>
      </c>
      <c r="N2572" t="s">
        <v>116</v>
      </c>
      <c r="O2572" t="s">
        <v>436</v>
      </c>
      <c r="P2572" t="s">
        <v>436</v>
      </c>
      <c r="Q2572">
        <v>7</v>
      </c>
      <c r="R2572" s="225">
        <f>Base_Periodo1[[#This Row],[CREDITOS]]-Base_Periodo1[[#This Row],[DEBITOS]]</f>
        <v>0</v>
      </c>
      <c r="S2572" s="3" t="str">
        <f>IF(ISERROR(VLOOKUP(Base_Periodo1[[#This Row],[CONTA]],BaseContasDRE[#All],4,FALSE)),"Fora do DRE",VLOOKUP(Base_Periodo1[[#This Row],[CONTA]],BaseContasDRE[#All],4,FALSE))</f>
        <v>Fora do DRE</v>
      </c>
      <c r="T2572" s="3" t="str">
        <f>IF(ISERROR(VLOOKUP(Base_Periodo1[[#This Row],[CONTA]],BaseContasDRE[#All],5,FALSE)),"Fora do DRE",VLOOKUP(Base_Periodo1[[#This Row],[CONTA]],BaseContasDRE[#All],6,FALSE))</f>
        <v>Fora do DRE</v>
      </c>
      <c r="U2572" s="3" t="str">
        <f>IF(ISERROR(VLOOKUP(Base_Periodo1[[#This Row],[CONTA]],BaseContasDRE[#All],7,FALSE)),"Fora do DRE",VLOOKUP(Base_Periodo1[[#This Row],[CONTA]],BaseContasDRE[#All],7,FALSE))</f>
        <v>Fora do DRE</v>
      </c>
      <c r="V2572" s="3" t="str">
        <f>IF(Base_Periodo1[[#This Row],[Tipo_Linha]]="Fora do DRE","Fora do DRE","( "&amp;Base_Periodo1[[#This Row],[Tipo_Linha]]&amp;" ) "&amp;Base_Periodo1[[#This Row],[Filtro]])</f>
        <v>Fora do DRE</v>
      </c>
      <c r="W2572" s="3" t="str">
        <f>LEFT(Base_Periodo1[[#This Row],[CLASS]],3)</f>
        <v>2.1</v>
      </c>
    </row>
    <row r="2573" spans="1:23" hidden="1">
      <c r="A2573" s="3" t="str">
        <f t="shared" si="40"/>
        <v>Período 1</v>
      </c>
      <c r="B2573">
        <v>3401</v>
      </c>
      <c r="C2573" t="s">
        <v>1730</v>
      </c>
      <c r="D2573" t="s">
        <v>831</v>
      </c>
      <c r="E2573" s="3" t="str">
        <f>IF(LEN(Base_Periodo1[[#This Row],[CLASS]])&gt;=7,LEFT(Base_Periodo1[[#This Row],[CLASS]],7),"")</f>
        <v>2.1.2.1</v>
      </c>
      <c r="F2573" s="3" t="str">
        <f>VLOOKUP(Base_Periodo1[[#This Row],[Aux]],Base_Contas_Balanco[#All],2,FALSE)</f>
        <v>Fornecedores Cooperados</v>
      </c>
      <c r="G2573" s="1">
        <v>42873</v>
      </c>
      <c r="I2573" s="225">
        <v>760.1</v>
      </c>
      <c r="J2573" s="225">
        <v>33047.67</v>
      </c>
      <c r="K2573" s="225">
        <v>32287.57</v>
      </c>
      <c r="L25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32287.57</v>
      </c>
      <c r="M2573" s="225">
        <f>ROUND(IF(AND(Base_Periodo1[[#This Row],[Tipo_Linha]]="-",Base_Periodo1[[#This Row],[TIPOSALDO]]="D"),Base_Periodo1[[#This Row],[SALDO_ATUAL]]*-1,Base_Periodo1[[#This Row],[SALDO_ATUAL]]),4)</f>
        <v>32287.57</v>
      </c>
      <c r="N2573" t="s">
        <v>116</v>
      </c>
      <c r="O2573" t="s">
        <v>436</v>
      </c>
      <c r="P2573" t="s">
        <v>459</v>
      </c>
      <c r="Q2573">
        <v>7</v>
      </c>
      <c r="R2573" s="225">
        <f>Base_Periodo1[[#This Row],[CREDITOS]]-Base_Periodo1[[#This Row],[DEBITOS]]</f>
        <v>32287.57</v>
      </c>
      <c r="S2573" s="3" t="str">
        <f>IF(ISERROR(VLOOKUP(Base_Periodo1[[#This Row],[CONTA]],BaseContasDRE[#All],4,FALSE)),"Fora do DRE",VLOOKUP(Base_Periodo1[[#This Row],[CONTA]],BaseContasDRE[#All],4,FALSE))</f>
        <v>Fora do DRE</v>
      </c>
      <c r="T2573" s="3" t="str">
        <f>IF(ISERROR(VLOOKUP(Base_Periodo1[[#This Row],[CONTA]],BaseContasDRE[#All],5,FALSE)),"Fora do DRE",VLOOKUP(Base_Periodo1[[#This Row],[CONTA]],BaseContasDRE[#All],6,FALSE))</f>
        <v>Fora do DRE</v>
      </c>
      <c r="U2573" s="3" t="str">
        <f>IF(ISERROR(VLOOKUP(Base_Periodo1[[#This Row],[CONTA]],BaseContasDRE[#All],7,FALSE)),"Fora do DRE",VLOOKUP(Base_Periodo1[[#This Row],[CONTA]],BaseContasDRE[#All],7,FALSE))</f>
        <v>Fora do DRE</v>
      </c>
      <c r="V2573" s="3" t="str">
        <f>IF(Base_Periodo1[[#This Row],[Tipo_Linha]]="Fora do DRE","Fora do DRE","( "&amp;Base_Periodo1[[#This Row],[Tipo_Linha]]&amp;" ) "&amp;Base_Periodo1[[#This Row],[Filtro]])</f>
        <v>Fora do DRE</v>
      </c>
      <c r="W2573" s="3" t="str">
        <f>LEFT(Base_Periodo1[[#This Row],[CLASS]],3)</f>
        <v>2.1</v>
      </c>
    </row>
    <row r="2574" spans="1:23" hidden="1">
      <c r="A2574" s="3" t="str">
        <f t="shared" si="40"/>
        <v>Período 1</v>
      </c>
      <c r="B2574">
        <v>53970</v>
      </c>
      <c r="C2574" t="s">
        <v>1730</v>
      </c>
      <c r="D2574" t="s">
        <v>5284</v>
      </c>
      <c r="E2574" s="3" t="str">
        <f>IF(LEN(Base_Periodo1[[#This Row],[CLASS]])&gt;=7,LEFT(Base_Periodo1[[#This Row],[CLASS]],7),"")</f>
        <v>2.1.2.1</v>
      </c>
      <c r="F2574" s="3" t="str">
        <f>VLOOKUP(Base_Periodo1[[#This Row],[Aux]],Base_Contas_Balanco[#All],2,FALSE)</f>
        <v>Fornecedores Cooperados</v>
      </c>
      <c r="G2574" s="1">
        <v>42866</v>
      </c>
      <c r="I2574" s="225">
        <v>5940</v>
      </c>
      <c r="J2574" s="225">
        <v>5940</v>
      </c>
      <c r="K2574" s="225">
        <v>0</v>
      </c>
      <c r="L25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74" s="225">
        <f>ROUND(IF(AND(Base_Periodo1[[#This Row],[Tipo_Linha]]="-",Base_Periodo1[[#This Row],[TIPOSALDO]]="D"),Base_Periodo1[[#This Row],[SALDO_ATUAL]]*-1,Base_Periodo1[[#This Row],[SALDO_ATUAL]]),4)</f>
        <v>0</v>
      </c>
      <c r="N2574" t="s">
        <v>116</v>
      </c>
      <c r="O2574" t="s">
        <v>436</v>
      </c>
      <c r="P2574" t="s">
        <v>436</v>
      </c>
      <c r="Q2574">
        <v>7</v>
      </c>
      <c r="R2574" s="225">
        <f>Base_Periodo1[[#This Row],[CREDITOS]]-Base_Periodo1[[#This Row],[DEBITOS]]</f>
        <v>0</v>
      </c>
      <c r="S2574" s="3" t="str">
        <f>IF(ISERROR(VLOOKUP(Base_Periodo1[[#This Row],[CONTA]],BaseContasDRE[#All],4,FALSE)),"Fora do DRE",VLOOKUP(Base_Periodo1[[#This Row],[CONTA]],BaseContasDRE[#All],4,FALSE))</f>
        <v>Fora do DRE</v>
      </c>
      <c r="T2574" s="3" t="str">
        <f>IF(ISERROR(VLOOKUP(Base_Periodo1[[#This Row],[CONTA]],BaseContasDRE[#All],5,FALSE)),"Fora do DRE",VLOOKUP(Base_Periodo1[[#This Row],[CONTA]],BaseContasDRE[#All],6,FALSE))</f>
        <v>Fora do DRE</v>
      </c>
      <c r="U2574" s="3" t="str">
        <f>IF(ISERROR(VLOOKUP(Base_Periodo1[[#This Row],[CONTA]],BaseContasDRE[#All],7,FALSE)),"Fora do DRE",VLOOKUP(Base_Periodo1[[#This Row],[CONTA]],BaseContasDRE[#All],7,FALSE))</f>
        <v>Fora do DRE</v>
      </c>
      <c r="V2574" s="3" t="str">
        <f>IF(Base_Periodo1[[#This Row],[Tipo_Linha]]="Fora do DRE","Fora do DRE","( "&amp;Base_Periodo1[[#This Row],[Tipo_Linha]]&amp;" ) "&amp;Base_Periodo1[[#This Row],[Filtro]])</f>
        <v>Fora do DRE</v>
      </c>
      <c r="W2574" s="3" t="str">
        <f>LEFT(Base_Periodo1[[#This Row],[CLASS]],3)</f>
        <v>2.1</v>
      </c>
    </row>
    <row r="2575" spans="1:23" hidden="1">
      <c r="A2575" s="3" t="str">
        <f t="shared" si="40"/>
        <v>Período 1</v>
      </c>
      <c r="B2575">
        <v>3497</v>
      </c>
      <c r="C2575" t="s">
        <v>1730</v>
      </c>
      <c r="D2575" t="s">
        <v>833</v>
      </c>
      <c r="E2575" s="3" t="str">
        <f>IF(LEN(Base_Periodo1[[#This Row],[CLASS]])&gt;=7,LEFT(Base_Periodo1[[#This Row],[CLASS]],7),"")</f>
        <v>2.1.2.1</v>
      </c>
      <c r="F2575" s="3" t="str">
        <f>VLOOKUP(Base_Periodo1[[#This Row],[Aux]],Base_Contas_Balanco[#All],2,FALSE)</f>
        <v>Fornecedores Cooperados</v>
      </c>
      <c r="G2575" s="1">
        <v>42858</v>
      </c>
      <c r="H2575" s="225">
        <v>190043.04999999935</v>
      </c>
      <c r="I2575" s="225">
        <v>190043.05000000002</v>
      </c>
      <c r="J2575" s="225">
        <v>0</v>
      </c>
      <c r="K2575" s="225">
        <v>6.6938810050487518E-10</v>
      </c>
      <c r="L25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75" s="225">
        <f>ROUND(IF(AND(Base_Periodo1[[#This Row],[Tipo_Linha]]="-",Base_Periodo1[[#This Row],[TIPOSALDO]]="D"),Base_Periodo1[[#This Row],[SALDO_ATUAL]]*-1,Base_Periodo1[[#This Row],[SALDO_ATUAL]]),4)</f>
        <v>0</v>
      </c>
      <c r="N2575" t="s">
        <v>116</v>
      </c>
      <c r="O2575" t="s">
        <v>459</v>
      </c>
      <c r="P2575" t="s">
        <v>436</v>
      </c>
      <c r="Q2575">
        <v>7</v>
      </c>
      <c r="R2575" s="225">
        <f>Base_Periodo1[[#This Row],[CREDITOS]]-Base_Periodo1[[#This Row],[DEBITOS]]</f>
        <v>-190043.05000000002</v>
      </c>
      <c r="S2575" s="3" t="str">
        <f>IF(ISERROR(VLOOKUP(Base_Periodo1[[#This Row],[CONTA]],BaseContasDRE[#All],4,FALSE)),"Fora do DRE",VLOOKUP(Base_Periodo1[[#This Row],[CONTA]],BaseContasDRE[#All],4,FALSE))</f>
        <v>Fora do DRE</v>
      </c>
      <c r="T2575" s="3" t="str">
        <f>IF(ISERROR(VLOOKUP(Base_Periodo1[[#This Row],[CONTA]],BaseContasDRE[#All],5,FALSE)),"Fora do DRE",VLOOKUP(Base_Periodo1[[#This Row],[CONTA]],BaseContasDRE[#All],6,FALSE))</f>
        <v>Fora do DRE</v>
      </c>
      <c r="U2575" s="3" t="str">
        <f>IF(ISERROR(VLOOKUP(Base_Periodo1[[#This Row],[CONTA]],BaseContasDRE[#All],7,FALSE)),"Fora do DRE",VLOOKUP(Base_Periodo1[[#This Row],[CONTA]],BaseContasDRE[#All],7,FALSE))</f>
        <v>Fora do DRE</v>
      </c>
      <c r="V2575" s="3" t="str">
        <f>IF(Base_Periodo1[[#This Row],[Tipo_Linha]]="Fora do DRE","Fora do DRE","( "&amp;Base_Periodo1[[#This Row],[Tipo_Linha]]&amp;" ) "&amp;Base_Periodo1[[#This Row],[Filtro]])</f>
        <v>Fora do DRE</v>
      </c>
      <c r="W2575" s="3" t="str">
        <f>LEFT(Base_Periodo1[[#This Row],[CLASS]],3)</f>
        <v>2.1</v>
      </c>
    </row>
    <row r="2576" spans="1:23" hidden="1">
      <c r="A2576" s="3" t="str">
        <f t="shared" si="40"/>
        <v>Período 1</v>
      </c>
      <c r="B2576">
        <v>2909</v>
      </c>
      <c r="C2576" t="s">
        <v>1730</v>
      </c>
      <c r="D2576" t="s">
        <v>5643</v>
      </c>
      <c r="E2576" s="3" t="str">
        <f>IF(LEN(Base_Periodo1[[#This Row],[CLASS]])&gt;=7,LEFT(Base_Periodo1[[#This Row],[CLASS]],7),"")</f>
        <v>2.1.2.1</v>
      </c>
      <c r="F2576" s="3" t="str">
        <f>VLOOKUP(Base_Periodo1[[#This Row],[Aux]],Base_Contas_Balanco[#All],2,FALSE)</f>
        <v>Fornecedores Cooperados</v>
      </c>
      <c r="G2576" s="1">
        <v>42871</v>
      </c>
      <c r="I2576" s="225">
        <v>2050</v>
      </c>
      <c r="J2576" s="225">
        <v>2050</v>
      </c>
      <c r="K2576" s="225">
        <v>-5.8207660913467407E-11</v>
      </c>
      <c r="L25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76" s="225">
        <f>ROUND(IF(AND(Base_Periodo1[[#This Row],[Tipo_Linha]]="-",Base_Periodo1[[#This Row],[TIPOSALDO]]="D"),Base_Periodo1[[#This Row],[SALDO_ATUAL]]*-1,Base_Periodo1[[#This Row],[SALDO_ATUAL]]),4)</f>
        <v>0</v>
      </c>
      <c r="N2576" t="s">
        <v>116</v>
      </c>
      <c r="O2576" t="s">
        <v>436</v>
      </c>
      <c r="P2576" t="s">
        <v>436</v>
      </c>
      <c r="Q2576">
        <v>7</v>
      </c>
      <c r="R2576" s="225">
        <f>Base_Periodo1[[#This Row],[CREDITOS]]-Base_Periodo1[[#This Row],[DEBITOS]]</f>
        <v>0</v>
      </c>
      <c r="S2576" s="3" t="str">
        <f>IF(ISERROR(VLOOKUP(Base_Periodo1[[#This Row],[CONTA]],BaseContasDRE[#All],4,FALSE)),"Fora do DRE",VLOOKUP(Base_Periodo1[[#This Row],[CONTA]],BaseContasDRE[#All],4,FALSE))</f>
        <v>Fora do DRE</v>
      </c>
      <c r="T2576" s="3" t="str">
        <f>IF(ISERROR(VLOOKUP(Base_Periodo1[[#This Row],[CONTA]],BaseContasDRE[#All],5,FALSE)),"Fora do DRE",VLOOKUP(Base_Periodo1[[#This Row],[CONTA]],BaseContasDRE[#All],6,FALSE))</f>
        <v>Fora do DRE</v>
      </c>
      <c r="U2576" s="3" t="str">
        <f>IF(ISERROR(VLOOKUP(Base_Periodo1[[#This Row],[CONTA]],BaseContasDRE[#All],7,FALSE)),"Fora do DRE",VLOOKUP(Base_Periodo1[[#This Row],[CONTA]],BaseContasDRE[#All],7,FALSE))</f>
        <v>Fora do DRE</v>
      </c>
      <c r="V2576" s="3" t="str">
        <f>IF(Base_Periodo1[[#This Row],[Tipo_Linha]]="Fora do DRE","Fora do DRE","( "&amp;Base_Periodo1[[#This Row],[Tipo_Linha]]&amp;" ) "&amp;Base_Periodo1[[#This Row],[Filtro]])</f>
        <v>Fora do DRE</v>
      </c>
      <c r="W2576" s="3" t="str">
        <f>LEFT(Base_Periodo1[[#This Row],[CLASS]],3)</f>
        <v>2.1</v>
      </c>
    </row>
    <row r="2577" spans="1:23" hidden="1">
      <c r="A2577" s="3" t="str">
        <f t="shared" si="40"/>
        <v>Período 1</v>
      </c>
      <c r="B2577">
        <v>39101</v>
      </c>
      <c r="C2577" t="s">
        <v>1730</v>
      </c>
      <c r="D2577" t="s">
        <v>834</v>
      </c>
      <c r="E2577" s="3" t="str">
        <f>IF(LEN(Base_Periodo1[[#This Row],[CLASS]])&gt;=7,LEFT(Base_Periodo1[[#This Row],[CLASS]],7),"")</f>
        <v>2.1.2.1</v>
      </c>
      <c r="F2577" s="3" t="str">
        <f>VLOOKUP(Base_Periodo1[[#This Row],[Aux]],Base_Contas_Balanco[#All],2,FALSE)</f>
        <v>Fornecedores Cooperados</v>
      </c>
      <c r="G2577" s="1">
        <v>42870</v>
      </c>
      <c r="I2577" s="225">
        <v>33313.07</v>
      </c>
      <c r="J2577" s="225">
        <v>33313.07</v>
      </c>
      <c r="K2577" s="225">
        <v>0</v>
      </c>
      <c r="L25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77" s="225">
        <f>ROUND(IF(AND(Base_Periodo1[[#This Row],[Tipo_Linha]]="-",Base_Periodo1[[#This Row],[TIPOSALDO]]="D"),Base_Periodo1[[#This Row],[SALDO_ATUAL]]*-1,Base_Periodo1[[#This Row],[SALDO_ATUAL]]),4)</f>
        <v>0</v>
      </c>
      <c r="N2577" t="s">
        <v>116</v>
      </c>
      <c r="O2577" t="s">
        <v>436</v>
      </c>
      <c r="P2577" t="s">
        <v>436</v>
      </c>
      <c r="Q2577">
        <v>7</v>
      </c>
      <c r="R2577" s="225">
        <f>Base_Periodo1[[#This Row],[CREDITOS]]-Base_Periodo1[[#This Row],[DEBITOS]]</f>
        <v>0</v>
      </c>
      <c r="S2577" s="3" t="str">
        <f>IF(ISERROR(VLOOKUP(Base_Periodo1[[#This Row],[CONTA]],BaseContasDRE[#All],4,FALSE)),"Fora do DRE",VLOOKUP(Base_Periodo1[[#This Row],[CONTA]],BaseContasDRE[#All],4,FALSE))</f>
        <v>Fora do DRE</v>
      </c>
      <c r="T2577" s="3" t="str">
        <f>IF(ISERROR(VLOOKUP(Base_Periodo1[[#This Row],[CONTA]],BaseContasDRE[#All],5,FALSE)),"Fora do DRE",VLOOKUP(Base_Periodo1[[#This Row],[CONTA]],BaseContasDRE[#All],6,FALSE))</f>
        <v>Fora do DRE</v>
      </c>
      <c r="U2577" s="3" t="str">
        <f>IF(ISERROR(VLOOKUP(Base_Periodo1[[#This Row],[CONTA]],BaseContasDRE[#All],7,FALSE)),"Fora do DRE",VLOOKUP(Base_Periodo1[[#This Row],[CONTA]],BaseContasDRE[#All],7,FALSE))</f>
        <v>Fora do DRE</v>
      </c>
      <c r="V2577" s="3" t="str">
        <f>IF(Base_Periodo1[[#This Row],[Tipo_Linha]]="Fora do DRE","Fora do DRE","( "&amp;Base_Periodo1[[#This Row],[Tipo_Linha]]&amp;" ) "&amp;Base_Periodo1[[#This Row],[Filtro]])</f>
        <v>Fora do DRE</v>
      </c>
      <c r="W2577" s="3" t="str">
        <f>LEFT(Base_Periodo1[[#This Row],[CLASS]],3)</f>
        <v>2.1</v>
      </c>
    </row>
    <row r="2578" spans="1:23" hidden="1">
      <c r="A2578" s="3" t="str">
        <f t="shared" si="40"/>
        <v>Período 1</v>
      </c>
      <c r="B2578">
        <v>3725</v>
      </c>
      <c r="C2578" t="s">
        <v>1730</v>
      </c>
      <c r="D2578" t="s">
        <v>835</v>
      </c>
      <c r="E2578" s="3" t="str">
        <f>IF(LEN(Base_Periodo1[[#This Row],[CLASS]])&gt;=7,LEFT(Base_Periodo1[[#This Row],[CLASS]],7),"")</f>
        <v>2.1.2.1</v>
      </c>
      <c r="F2578" s="3" t="str">
        <f>VLOOKUP(Base_Periodo1[[#This Row],[Aux]],Base_Contas_Balanco[#All],2,FALSE)</f>
        <v>Fornecedores Cooperados</v>
      </c>
      <c r="G2578" s="1">
        <v>42884</v>
      </c>
      <c r="I2578" s="225">
        <v>24417.309999999998</v>
      </c>
      <c r="J2578" s="225">
        <v>24417.31</v>
      </c>
      <c r="K2578" s="225">
        <v>4.6202330850064754E-10</v>
      </c>
      <c r="L25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78" s="225">
        <f>ROUND(IF(AND(Base_Periodo1[[#This Row],[Tipo_Linha]]="-",Base_Periodo1[[#This Row],[TIPOSALDO]]="D"),Base_Periodo1[[#This Row],[SALDO_ATUAL]]*-1,Base_Periodo1[[#This Row],[SALDO_ATUAL]]),4)</f>
        <v>0</v>
      </c>
      <c r="N2578" t="s">
        <v>116</v>
      </c>
      <c r="O2578" t="s">
        <v>436</v>
      </c>
      <c r="P2578" t="s">
        <v>436</v>
      </c>
      <c r="Q2578">
        <v>7</v>
      </c>
      <c r="R2578" s="225">
        <f>Base_Periodo1[[#This Row],[CREDITOS]]-Base_Periodo1[[#This Row],[DEBITOS]]</f>
        <v>0</v>
      </c>
      <c r="S2578" s="3" t="str">
        <f>IF(ISERROR(VLOOKUP(Base_Periodo1[[#This Row],[CONTA]],BaseContasDRE[#All],4,FALSE)),"Fora do DRE",VLOOKUP(Base_Periodo1[[#This Row],[CONTA]],BaseContasDRE[#All],4,FALSE))</f>
        <v>Fora do DRE</v>
      </c>
      <c r="T2578" s="3" t="str">
        <f>IF(ISERROR(VLOOKUP(Base_Periodo1[[#This Row],[CONTA]],BaseContasDRE[#All],5,FALSE)),"Fora do DRE",VLOOKUP(Base_Periodo1[[#This Row],[CONTA]],BaseContasDRE[#All],6,FALSE))</f>
        <v>Fora do DRE</v>
      </c>
      <c r="U2578" s="3" t="str">
        <f>IF(ISERROR(VLOOKUP(Base_Periodo1[[#This Row],[CONTA]],BaseContasDRE[#All],7,FALSE)),"Fora do DRE",VLOOKUP(Base_Periodo1[[#This Row],[CONTA]],BaseContasDRE[#All],7,FALSE))</f>
        <v>Fora do DRE</v>
      </c>
      <c r="V2578" s="3" t="str">
        <f>IF(Base_Periodo1[[#This Row],[Tipo_Linha]]="Fora do DRE","Fora do DRE","( "&amp;Base_Periodo1[[#This Row],[Tipo_Linha]]&amp;" ) "&amp;Base_Periodo1[[#This Row],[Filtro]])</f>
        <v>Fora do DRE</v>
      </c>
      <c r="W2578" s="3" t="str">
        <f>LEFT(Base_Periodo1[[#This Row],[CLASS]],3)</f>
        <v>2.1</v>
      </c>
    </row>
    <row r="2579" spans="1:23" hidden="1">
      <c r="A2579" s="3" t="str">
        <f t="shared" si="40"/>
        <v>Período 1</v>
      </c>
      <c r="B2579">
        <v>3789</v>
      </c>
      <c r="C2579" t="s">
        <v>1730</v>
      </c>
      <c r="D2579" t="s">
        <v>837</v>
      </c>
      <c r="E2579" s="3" t="str">
        <f>IF(LEN(Base_Periodo1[[#This Row],[CLASS]])&gt;=7,LEFT(Base_Periodo1[[#This Row],[CLASS]],7),"")</f>
        <v>2.1.2.1</v>
      </c>
      <c r="F2579" s="3" t="str">
        <f>VLOOKUP(Base_Periodo1[[#This Row],[Aux]],Base_Contas_Balanco[#All],2,FALSE)</f>
        <v>Fornecedores Cooperados</v>
      </c>
      <c r="G2579" s="1">
        <v>42885</v>
      </c>
      <c r="H2579" s="225">
        <v>2475.0400000028312</v>
      </c>
      <c r="I2579" s="225">
        <v>2653.4199999999996</v>
      </c>
      <c r="J2579" s="225">
        <v>89190.32</v>
      </c>
      <c r="K2579" s="225">
        <v>89011.94000000284</v>
      </c>
      <c r="L25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89011.94</v>
      </c>
      <c r="M2579" s="225">
        <f>ROUND(IF(AND(Base_Periodo1[[#This Row],[Tipo_Linha]]="-",Base_Periodo1[[#This Row],[TIPOSALDO]]="D"),Base_Periodo1[[#This Row],[SALDO_ATUAL]]*-1,Base_Periodo1[[#This Row],[SALDO_ATUAL]]),4)</f>
        <v>89011.94</v>
      </c>
      <c r="N2579" t="s">
        <v>116</v>
      </c>
      <c r="O2579" t="s">
        <v>459</v>
      </c>
      <c r="P2579" t="s">
        <v>459</v>
      </c>
      <c r="Q2579">
        <v>7</v>
      </c>
      <c r="R2579" s="225">
        <f>Base_Periodo1[[#This Row],[CREDITOS]]-Base_Periodo1[[#This Row],[DEBITOS]]</f>
        <v>86536.900000000009</v>
      </c>
      <c r="S2579" s="3" t="str">
        <f>IF(ISERROR(VLOOKUP(Base_Periodo1[[#This Row],[CONTA]],BaseContasDRE[#All],4,FALSE)),"Fora do DRE",VLOOKUP(Base_Periodo1[[#This Row],[CONTA]],BaseContasDRE[#All],4,FALSE))</f>
        <v>Fora do DRE</v>
      </c>
      <c r="T2579" s="3" t="str">
        <f>IF(ISERROR(VLOOKUP(Base_Periodo1[[#This Row],[CONTA]],BaseContasDRE[#All],5,FALSE)),"Fora do DRE",VLOOKUP(Base_Periodo1[[#This Row],[CONTA]],BaseContasDRE[#All],6,FALSE))</f>
        <v>Fora do DRE</v>
      </c>
      <c r="U2579" s="3" t="str">
        <f>IF(ISERROR(VLOOKUP(Base_Periodo1[[#This Row],[CONTA]],BaseContasDRE[#All],7,FALSE)),"Fora do DRE",VLOOKUP(Base_Periodo1[[#This Row],[CONTA]],BaseContasDRE[#All],7,FALSE))</f>
        <v>Fora do DRE</v>
      </c>
      <c r="V2579" s="3" t="str">
        <f>IF(Base_Periodo1[[#This Row],[Tipo_Linha]]="Fora do DRE","Fora do DRE","( "&amp;Base_Periodo1[[#This Row],[Tipo_Linha]]&amp;" ) "&amp;Base_Periodo1[[#This Row],[Filtro]])</f>
        <v>Fora do DRE</v>
      </c>
      <c r="W2579" s="3" t="str">
        <f>LEFT(Base_Periodo1[[#This Row],[CLASS]],3)</f>
        <v>2.1</v>
      </c>
    </row>
    <row r="2580" spans="1:23" hidden="1">
      <c r="A2580" s="3" t="str">
        <f t="shared" si="40"/>
        <v>Período 1</v>
      </c>
      <c r="B2580">
        <v>2957</v>
      </c>
      <c r="C2580" t="s">
        <v>1730</v>
      </c>
      <c r="D2580" t="s">
        <v>838</v>
      </c>
      <c r="E2580" s="3" t="str">
        <f>IF(LEN(Base_Periodo1[[#This Row],[CLASS]])&gt;=7,LEFT(Base_Periodo1[[#This Row],[CLASS]],7),"")</f>
        <v>2.1.2.1</v>
      </c>
      <c r="F2580" s="3" t="str">
        <f>VLOOKUP(Base_Periodo1[[#This Row],[Aux]],Base_Contas_Balanco[#All],2,FALSE)</f>
        <v>Fornecedores Cooperados</v>
      </c>
      <c r="G2580" s="1">
        <v>42885</v>
      </c>
      <c r="H2580" s="225">
        <v>250960.5599999968</v>
      </c>
      <c r="I2580" s="225">
        <v>716831.05</v>
      </c>
      <c r="J2580" s="225">
        <v>465870.49</v>
      </c>
      <c r="K2580" s="225">
        <v>3.2596290111541748E-9</v>
      </c>
      <c r="L25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80" s="225">
        <f>ROUND(IF(AND(Base_Periodo1[[#This Row],[Tipo_Linha]]="-",Base_Periodo1[[#This Row],[TIPOSALDO]]="D"),Base_Periodo1[[#This Row],[SALDO_ATUAL]]*-1,Base_Periodo1[[#This Row],[SALDO_ATUAL]]),4)</f>
        <v>0</v>
      </c>
      <c r="N2580" t="s">
        <v>116</v>
      </c>
      <c r="O2580" t="s">
        <v>459</v>
      </c>
      <c r="P2580" t="s">
        <v>436</v>
      </c>
      <c r="Q2580">
        <v>7</v>
      </c>
      <c r="R2580" s="225">
        <f>Base_Periodo1[[#This Row],[CREDITOS]]-Base_Periodo1[[#This Row],[DEBITOS]]</f>
        <v>-250960.56000000006</v>
      </c>
      <c r="S2580" s="3" t="str">
        <f>IF(ISERROR(VLOOKUP(Base_Periodo1[[#This Row],[CONTA]],BaseContasDRE[#All],4,FALSE)),"Fora do DRE",VLOOKUP(Base_Periodo1[[#This Row],[CONTA]],BaseContasDRE[#All],4,FALSE))</f>
        <v>Fora do DRE</v>
      </c>
      <c r="T2580" s="3" t="str">
        <f>IF(ISERROR(VLOOKUP(Base_Periodo1[[#This Row],[CONTA]],BaseContasDRE[#All],5,FALSE)),"Fora do DRE",VLOOKUP(Base_Periodo1[[#This Row],[CONTA]],BaseContasDRE[#All],6,FALSE))</f>
        <v>Fora do DRE</v>
      </c>
      <c r="U2580" s="3" t="str">
        <f>IF(ISERROR(VLOOKUP(Base_Periodo1[[#This Row],[CONTA]],BaseContasDRE[#All],7,FALSE)),"Fora do DRE",VLOOKUP(Base_Periodo1[[#This Row],[CONTA]],BaseContasDRE[#All],7,FALSE))</f>
        <v>Fora do DRE</v>
      </c>
      <c r="V2580" s="3" t="str">
        <f>IF(Base_Periodo1[[#This Row],[Tipo_Linha]]="Fora do DRE","Fora do DRE","( "&amp;Base_Periodo1[[#This Row],[Tipo_Linha]]&amp;" ) "&amp;Base_Periodo1[[#This Row],[Filtro]])</f>
        <v>Fora do DRE</v>
      </c>
      <c r="W2580" s="3" t="str">
        <f>LEFT(Base_Periodo1[[#This Row],[CLASS]],3)</f>
        <v>2.1</v>
      </c>
    </row>
    <row r="2581" spans="1:23" hidden="1">
      <c r="A2581" s="3" t="str">
        <f t="shared" si="40"/>
        <v>Período 1</v>
      </c>
      <c r="B2581">
        <v>47260</v>
      </c>
      <c r="C2581" t="s">
        <v>1730</v>
      </c>
      <c r="D2581" t="s">
        <v>839</v>
      </c>
      <c r="E2581" s="3" t="str">
        <f>IF(LEN(Base_Periodo1[[#This Row],[CLASS]])&gt;=7,LEFT(Base_Periodo1[[#This Row],[CLASS]],7),"")</f>
        <v>2.1.2.1</v>
      </c>
      <c r="F2581" s="3" t="str">
        <f>VLOOKUP(Base_Periodo1[[#This Row],[Aux]],Base_Contas_Balanco[#All],2,FALSE)</f>
        <v>Fornecedores Cooperados</v>
      </c>
      <c r="G2581" s="1">
        <v>42864</v>
      </c>
      <c r="I2581" s="225">
        <v>2917.51</v>
      </c>
      <c r="J2581" s="225">
        <v>3708.4800000000005</v>
      </c>
      <c r="K2581" s="225">
        <v>790.96999999976742</v>
      </c>
      <c r="L25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790.97</v>
      </c>
      <c r="M2581" s="225">
        <f>ROUND(IF(AND(Base_Periodo1[[#This Row],[Tipo_Linha]]="-",Base_Periodo1[[#This Row],[TIPOSALDO]]="D"),Base_Periodo1[[#This Row],[SALDO_ATUAL]]*-1,Base_Periodo1[[#This Row],[SALDO_ATUAL]]),4)</f>
        <v>790.97</v>
      </c>
      <c r="N2581" t="s">
        <v>116</v>
      </c>
      <c r="O2581" t="s">
        <v>436</v>
      </c>
      <c r="P2581" t="s">
        <v>459</v>
      </c>
      <c r="Q2581">
        <v>7</v>
      </c>
      <c r="R2581" s="225">
        <f>Base_Periodo1[[#This Row],[CREDITOS]]-Base_Periodo1[[#This Row],[DEBITOS]]</f>
        <v>790.97000000000025</v>
      </c>
      <c r="S2581" s="3" t="str">
        <f>IF(ISERROR(VLOOKUP(Base_Periodo1[[#This Row],[CONTA]],BaseContasDRE[#All],4,FALSE)),"Fora do DRE",VLOOKUP(Base_Periodo1[[#This Row],[CONTA]],BaseContasDRE[#All],4,FALSE))</f>
        <v>Fora do DRE</v>
      </c>
      <c r="T2581" s="3" t="str">
        <f>IF(ISERROR(VLOOKUP(Base_Periodo1[[#This Row],[CONTA]],BaseContasDRE[#All],5,FALSE)),"Fora do DRE",VLOOKUP(Base_Periodo1[[#This Row],[CONTA]],BaseContasDRE[#All],6,FALSE))</f>
        <v>Fora do DRE</v>
      </c>
      <c r="U2581" s="3" t="str">
        <f>IF(ISERROR(VLOOKUP(Base_Periodo1[[#This Row],[CONTA]],BaseContasDRE[#All],7,FALSE)),"Fora do DRE",VLOOKUP(Base_Periodo1[[#This Row],[CONTA]],BaseContasDRE[#All],7,FALSE))</f>
        <v>Fora do DRE</v>
      </c>
      <c r="V2581" s="3" t="str">
        <f>IF(Base_Periodo1[[#This Row],[Tipo_Linha]]="Fora do DRE","Fora do DRE","( "&amp;Base_Periodo1[[#This Row],[Tipo_Linha]]&amp;" ) "&amp;Base_Periodo1[[#This Row],[Filtro]])</f>
        <v>Fora do DRE</v>
      </c>
      <c r="W2581" s="3" t="str">
        <f>LEFT(Base_Periodo1[[#This Row],[CLASS]],3)</f>
        <v>2.1</v>
      </c>
    </row>
    <row r="2582" spans="1:23" hidden="1">
      <c r="A2582" s="3" t="str">
        <f t="shared" si="40"/>
        <v>Período 1</v>
      </c>
      <c r="B2582">
        <v>38723</v>
      </c>
      <c r="C2582" t="s">
        <v>1730</v>
      </c>
      <c r="D2582" t="s">
        <v>840</v>
      </c>
      <c r="E2582" s="3" t="str">
        <f>IF(LEN(Base_Periodo1[[#This Row],[CLASS]])&gt;=7,LEFT(Base_Periodo1[[#This Row],[CLASS]],7),"")</f>
        <v>2.1.2.1</v>
      </c>
      <c r="F2582" s="3" t="str">
        <f>VLOOKUP(Base_Periodo1[[#This Row],[Aux]],Base_Contas_Balanco[#All],2,FALSE)</f>
        <v>Fornecedores Cooperados</v>
      </c>
      <c r="G2582" s="1">
        <v>42884</v>
      </c>
      <c r="H2582" s="225">
        <v>9364.3400000000838</v>
      </c>
      <c r="I2582" s="225">
        <v>135356.84</v>
      </c>
      <c r="J2582" s="225">
        <v>125992.5</v>
      </c>
      <c r="K2582" s="225">
        <v>-8.7311491370201111E-11</v>
      </c>
      <c r="L25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82" s="225">
        <f>ROUND(IF(AND(Base_Periodo1[[#This Row],[Tipo_Linha]]="-",Base_Periodo1[[#This Row],[TIPOSALDO]]="D"),Base_Periodo1[[#This Row],[SALDO_ATUAL]]*-1,Base_Periodo1[[#This Row],[SALDO_ATUAL]]),4)</f>
        <v>0</v>
      </c>
      <c r="N2582" t="s">
        <v>116</v>
      </c>
      <c r="O2582" t="s">
        <v>459</v>
      </c>
      <c r="P2582" t="s">
        <v>436</v>
      </c>
      <c r="Q2582">
        <v>7</v>
      </c>
      <c r="R2582" s="225">
        <f>Base_Periodo1[[#This Row],[CREDITOS]]-Base_Periodo1[[#This Row],[DEBITOS]]</f>
        <v>-9364.3399999999965</v>
      </c>
      <c r="S2582" s="3" t="str">
        <f>IF(ISERROR(VLOOKUP(Base_Periodo1[[#This Row],[CONTA]],BaseContasDRE[#All],4,FALSE)),"Fora do DRE",VLOOKUP(Base_Periodo1[[#This Row],[CONTA]],BaseContasDRE[#All],4,FALSE))</f>
        <v>Fora do DRE</v>
      </c>
      <c r="T2582" s="3" t="str">
        <f>IF(ISERROR(VLOOKUP(Base_Periodo1[[#This Row],[CONTA]],BaseContasDRE[#All],5,FALSE)),"Fora do DRE",VLOOKUP(Base_Periodo1[[#This Row],[CONTA]],BaseContasDRE[#All],6,FALSE))</f>
        <v>Fora do DRE</v>
      </c>
      <c r="U2582" s="3" t="str">
        <f>IF(ISERROR(VLOOKUP(Base_Periodo1[[#This Row],[CONTA]],BaseContasDRE[#All],7,FALSE)),"Fora do DRE",VLOOKUP(Base_Periodo1[[#This Row],[CONTA]],BaseContasDRE[#All],7,FALSE))</f>
        <v>Fora do DRE</v>
      </c>
      <c r="V2582" s="3" t="str">
        <f>IF(Base_Periodo1[[#This Row],[Tipo_Linha]]="Fora do DRE","Fora do DRE","( "&amp;Base_Periodo1[[#This Row],[Tipo_Linha]]&amp;" ) "&amp;Base_Periodo1[[#This Row],[Filtro]])</f>
        <v>Fora do DRE</v>
      </c>
      <c r="W2582" s="3" t="str">
        <f>LEFT(Base_Periodo1[[#This Row],[CLASS]],3)</f>
        <v>2.1</v>
      </c>
    </row>
    <row r="2583" spans="1:23" hidden="1">
      <c r="A2583" s="3" t="str">
        <f t="shared" si="40"/>
        <v>Período 1</v>
      </c>
      <c r="B2583">
        <v>2393</v>
      </c>
      <c r="C2583" t="s">
        <v>1730</v>
      </c>
      <c r="D2583" t="s">
        <v>841</v>
      </c>
      <c r="E2583" s="3" t="str">
        <f>IF(LEN(Base_Periodo1[[#This Row],[CLASS]])&gt;=7,LEFT(Base_Periodo1[[#This Row],[CLASS]],7),"")</f>
        <v>2.1.2.1</v>
      </c>
      <c r="F2583" s="3" t="str">
        <f>VLOOKUP(Base_Periodo1[[#This Row],[Aux]],Base_Contas_Balanco[#All],2,FALSE)</f>
        <v>Fornecedores Cooperados</v>
      </c>
      <c r="G2583" s="1">
        <v>42886</v>
      </c>
      <c r="I2583" s="225">
        <v>9617.2200000000012</v>
      </c>
      <c r="J2583" s="225">
        <v>9617.2199999999993</v>
      </c>
      <c r="K2583" s="225">
        <v>-9.2950358521193266E-10</v>
      </c>
      <c r="L25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83" s="225">
        <f>ROUND(IF(AND(Base_Periodo1[[#This Row],[Tipo_Linha]]="-",Base_Periodo1[[#This Row],[TIPOSALDO]]="D"),Base_Periodo1[[#This Row],[SALDO_ATUAL]]*-1,Base_Periodo1[[#This Row],[SALDO_ATUAL]]),4)</f>
        <v>0</v>
      </c>
      <c r="N2583" t="s">
        <v>116</v>
      </c>
      <c r="O2583" t="s">
        <v>436</v>
      </c>
      <c r="P2583" t="s">
        <v>436</v>
      </c>
      <c r="Q2583">
        <v>7</v>
      </c>
      <c r="R2583" s="225">
        <f>Base_Periodo1[[#This Row],[CREDITOS]]-Base_Periodo1[[#This Row],[DEBITOS]]</f>
        <v>0</v>
      </c>
      <c r="S2583" s="3" t="str">
        <f>IF(ISERROR(VLOOKUP(Base_Periodo1[[#This Row],[CONTA]],BaseContasDRE[#All],4,FALSE)),"Fora do DRE",VLOOKUP(Base_Periodo1[[#This Row],[CONTA]],BaseContasDRE[#All],4,FALSE))</f>
        <v>Fora do DRE</v>
      </c>
      <c r="T2583" s="3" t="str">
        <f>IF(ISERROR(VLOOKUP(Base_Periodo1[[#This Row],[CONTA]],BaseContasDRE[#All],5,FALSE)),"Fora do DRE",VLOOKUP(Base_Periodo1[[#This Row],[CONTA]],BaseContasDRE[#All],6,FALSE))</f>
        <v>Fora do DRE</v>
      </c>
      <c r="U2583" s="3" t="str">
        <f>IF(ISERROR(VLOOKUP(Base_Periodo1[[#This Row],[CONTA]],BaseContasDRE[#All],7,FALSE)),"Fora do DRE",VLOOKUP(Base_Periodo1[[#This Row],[CONTA]],BaseContasDRE[#All],7,FALSE))</f>
        <v>Fora do DRE</v>
      </c>
      <c r="V2583" s="3" t="str">
        <f>IF(Base_Periodo1[[#This Row],[Tipo_Linha]]="Fora do DRE","Fora do DRE","( "&amp;Base_Periodo1[[#This Row],[Tipo_Linha]]&amp;" ) "&amp;Base_Periodo1[[#This Row],[Filtro]])</f>
        <v>Fora do DRE</v>
      </c>
      <c r="W2583" s="3" t="str">
        <f>LEFT(Base_Periodo1[[#This Row],[CLASS]],3)</f>
        <v>2.1</v>
      </c>
    </row>
    <row r="2584" spans="1:23" hidden="1">
      <c r="A2584" s="3" t="str">
        <f t="shared" si="40"/>
        <v>Período 1</v>
      </c>
      <c r="B2584">
        <v>40070</v>
      </c>
      <c r="C2584" t="s">
        <v>1730</v>
      </c>
      <c r="D2584" t="s">
        <v>5644</v>
      </c>
      <c r="E2584" s="3" t="str">
        <f>IF(LEN(Base_Periodo1[[#This Row],[CLASS]])&gt;=7,LEFT(Base_Periodo1[[#This Row],[CLASS]],7),"")</f>
        <v>2.1.2.1</v>
      </c>
      <c r="F2584" s="3" t="str">
        <f>VLOOKUP(Base_Periodo1[[#This Row],[Aux]],Base_Contas_Balanco[#All],2,FALSE)</f>
        <v>Fornecedores Cooperados</v>
      </c>
      <c r="G2584" s="1">
        <v>42858</v>
      </c>
      <c r="I2584" s="225">
        <v>20656.560000000001</v>
      </c>
      <c r="J2584" s="225">
        <v>20656.560000000001</v>
      </c>
      <c r="K2584" s="225">
        <v>0</v>
      </c>
      <c r="L25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84" s="225">
        <f>ROUND(IF(AND(Base_Periodo1[[#This Row],[Tipo_Linha]]="-",Base_Periodo1[[#This Row],[TIPOSALDO]]="D"),Base_Periodo1[[#This Row],[SALDO_ATUAL]]*-1,Base_Periodo1[[#This Row],[SALDO_ATUAL]]),4)</f>
        <v>0</v>
      </c>
      <c r="N2584" t="s">
        <v>116</v>
      </c>
      <c r="O2584" t="s">
        <v>436</v>
      </c>
      <c r="P2584" t="s">
        <v>436</v>
      </c>
      <c r="Q2584">
        <v>7</v>
      </c>
      <c r="R2584" s="225">
        <f>Base_Periodo1[[#This Row],[CREDITOS]]-Base_Periodo1[[#This Row],[DEBITOS]]</f>
        <v>0</v>
      </c>
      <c r="S2584" s="3" t="str">
        <f>IF(ISERROR(VLOOKUP(Base_Periodo1[[#This Row],[CONTA]],BaseContasDRE[#All],4,FALSE)),"Fora do DRE",VLOOKUP(Base_Periodo1[[#This Row],[CONTA]],BaseContasDRE[#All],4,FALSE))</f>
        <v>Fora do DRE</v>
      </c>
      <c r="T2584" s="3" t="str">
        <f>IF(ISERROR(VLOOKUP(Base_Periodo1[[#This Row],[CONTA]],BaseContasDRE[#All],5,FALSE)),"Fora do DRE",VLOOKUP(Base_Periodo1[[#This Row],[CONTA]],BaseContasDRE[#All],6,FALSE))</f>
        <v>Fora do DRE</v>
      </c>
      <c r="U2584" s="3" t="str">
        <f>IF(ISERROR(VLOOKUP(Base_Periodo1[[#This Row],[CONTA]],BaseContasDRE[#All],7,FALSE)),"Fora do DRE",VLOOKUP(Base_Periodo1[[#This Row],[CONTA]],BaseContasDRE[#All],7,FALSE))</f>
        <v>Fora do DRE</v>
      </c>
      <c r="V2584" s="3" t="str">
        <f>IF(Base_Periodo1[[#This Row],[Tipo_Linha]]="Fora do DRE","Fora do DRE","( "&amp;Base_Periodo1[[#This Row],[Tipo_Linha]]&amp;" ) "&amp;Base_Periodo1[[#This Row],[Filtro]])</f>
        <v>Fora do DRE</v>
      </c>
      <c r="W2584" s="3" t="str">
        <f>LEFT(Base_Periodo1[[#This Row],[CLASS]],3)</f>
        <v>2.1</v>
      </c>
    </row>
    <row r="2585" spans="1:23" hidden="1">
      <c r="A2585" s="3" t="str">
        <f t="shared" si="40"/>
        <v>Período 1</v>
      </c>
      <c r="B2585">
        <v>39073</v>
      </c>
      <c r="C2585" t="s">
        <v>1730</v>
      </c>
      <c r="D2585" t="s">
        <v>5285</v>
      </c>
      <c r="E2585" s="3" t="str">
        <f>IF(LEN(Base_Periodo1[[#This Row],[CLASS]])&gt;=7,LEFT(Base_Periodo1[[#This Row],[CLASS]],7),"")</f>
        <v>2.1.2.1</v>
      </c>
      <c r="F2585" s="3" t="str">
        <f>VLOOKUP(Base_Periodo1[[#This Row],[Aux]],Base_Contas_Balanco[#All],2,FALSE)</f>
        <v>Fornecedores Cooperados</v>
      </c>
      <c r="G2585" s="1">
        <v>42871</v>
      </c>
      <c r="I2585" s="225">
        <v>2895</v>
      </c>
      <c r="J2585" s="225">
        <v>2895</v>
      </c>
      <c r="K2585" s="225">
        <v>1.4551915228366852E-11</v>
      </c>
      <c r="L25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85" s="225">
        <f>ROUND(IF(AND(Base_Periodo1[[#This Row],[Tipo_Linha]]="-",Base_Periodo1[[#This Row],[TIPOSALDO]]="D"),Base_Periodo1[[#This Row],[SALDO_ATUAL]]*-1,Base_Periodo1[[#This Row],[SALDO_ATUAL]]),4)</f>
        <v>0</v>
      </c>
      <c r="N2585" t="s">
        <v>116</v>
      </c>
      <c r="O2585" t="s">
        <v>436</v>
      </c>
      <c r="P2585" t="s">
        <v>436</v>
      </c>
      <c r="Q2585">
        <v>7</v>
      </c>
      <c r="R2585" s="225">
        <f>Base_Periodo1[[#This Row],[CREDITOS]]-Base_Periodo1[[#This Row],[DEBITOS]]</f>
        <v>0</v>
      </c>
      <c r="S2585" s="3" t="str">
        <f>IF(ISERROR(VLOOKUP(Base_Periodo1[[#This Row],[CONTA]],BaseContasDRE[#All],4,FALSE)),"Fora do DRE",VLOOKUP(Base_Periodo1[[#This Row],[CONTA]],BaseContasDRE[#All],4,FALSE))</f>
        <v>Fora do DRE</v>
      </c>
      <c r="T2585" s="3" t="str">
        <f>IF(ISERROR(VLOOKUP(Base_Periodo1[[#This Row],[CONTA]],BaseContasDRE[#All],5,FALSE)),"Fora do DRE",VLOOKUP(Base_Periodo1[[#This Row],[CONTA]],BaseContasDRE[#All],6,FALSE))</f>
        <v>Fora do DRE</v>
      </c>
      <c r="U2585" s="3" t="str">
        <f>IF(ISERROR(VLOOKUP(Base_Periodo1[[#This Row],[CONTA]],BaseContasDRE[#All],7,FALSE)),"Fora do DRE",VLOOKUP(Base_Periodo1[[#This Row],[CONTA]],BaseContasDRE[#All],7,FALSE))</f>
        <v>Fora do DRE</v>
      </c>
      <c r="V2585" s="3" t="str">
        <f>IF(Base_Periodo1[[#This Row],[Tipo_Linha]]="Fora do DRE","Fora do DRE","( "&amp;Base_Periodo1[[#This Row],[Tipo_Linha]]&amp;" ) "&amp;Base_Periodo1[[#This Row],[Filtro]])</f>
        <v>Fora do DRE</v>
      </c>
      <c r="W2585" s="3" t="str">
        <f>LEFT(Base_Periodo1[[#This Row],[CLASS]],3)</f>
        <v>2.1</v>
      </c>
    </row>
    <row r="2586" spans="1:23" hidden="1">
      <c r="A2586" s="3" t="str">
        <f t="shared" si="40"/>
        <v>Período 1</v>
      </c>
      <c r="B2586">
        <v>6978</v>
      </c>
      <c r="C2586" t="s">
        <v>1730</v>
      </c>
      <c r="D2586" t="s">
        <v>5488</v>
      </c>
      <c r="E2586" s="3" t="str">
        <f>IF(LEN(Base_Periodo1[[#This Row],[CLASS]])&gt;=7,LEFT(Base_Periodo1[[#This Row],[CLASS]],7),"")</f>
        <v>2.1.2.1</v>
      </c>
      <c r="F2586" s="3" t="str">
        <f>VLOOKUP(Base_Periodo1[[#This Row],[Aux]],Base_Contas_Balanco[#All],2,FALSE)</f>
        <v>Fornecedores Cooperados</v>
      </c>
      <c r="G2586" s="1">
        <v>42880</v>
      </c>
      <c r="I2586" s="225">
        <v>1403</v>
      </c>
      <c r="J2586" s="225">
        <v>1403</v>
      </c>
      <c r="K2586" s="225">
        <v>-2.9103830456733704E-11</v>
      </c>
      <c r="L25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86" s="225">
        <f>ROUND(IF(AND(Base_Periodo1[[#This Row],[Tipo_Linha]]="-",Base_Periodo1[[#This Row],[TIPOSALDO]]="D"),Base_Periodo1[[#This Row],[SALDO_ATUAL]]*-1,Base_Periodo1[[#This Row],[SALDO_ATUAL]]),4)</f>
        <v>0</v>
      </c>
      <c r="N2586" t="s">
        <v>116</v>
      </c>
      <c r="O2586" t="s">
        <v>436</v>
      </c>
      <c r="P2586" t="s">
        <v>436</v>
      </c>
      <c r="Q2586">
        <v>7</v>
      </c>
      <c r="R2586" s="225">
        <f>Base_Periodo1[[#This Row],[CREDITOS]]-Base_Periodo1[[#This Row],[DEBITOS]]</f>
        <v>0</v>
      </c>
      <c r="S2586" s="3" t="str">
        <f>IF(ISERROR(VLOOKUP(Base_Periodo1[[#This Row],[CONTA]],BaseContasDRE[#All],4,FALSE)),"Fora do DRE",VLOOKUP(Base_Periodo1[[#This Row],[CONTA]],BaseContasDRE[#All],4,FALSE))</f>
        <v>Fora do DRE</v>
      </c>
      <c r="T2586" s="3" t="str">
        <f>IF(ISERROR(VLOOKUP(Base_Periodo1[[#This Row],[CONTA]],BaseContasDRE[#All],5,FALSE)),"Fora do DRE",VLOOKUP(Base_Periodo1[[#This Row],[CONTA]],BaseContasDRE[#All],6,FALSE))</f>
        <v>Fora do DRE</v>
      </c>
      <c r="U2586" s="3" t="str">
        <f>IF(ISERROR(VLOOKUP(Base_Periodo1[[#This Row],[CONTA]],BaseContasDRE[#All],7,FALSE)),"Fora do DRE",VLOOKUP(Base_Periodo1[[#This Row],[CONTA]],BaseContasDRE[#All],7,FALSE))</f>
        <v>Fora do DRE</v>
      </c>
      <c r="V2586" s="3" t="str">
        <f>IF(Base_Periodo1[[#This Row],[Tipo_Linha]]="Fora do DRE","Fora do DRE","( "&amp;Base_Periodo1[[#This Row],[Tipo_Linha]]&amp;" ) "&amp;Base_Periodo1[[#This Row],[Filtro]])</f>
        <v>Fora do DRE</v>
      </c>
      <c r="W2586" s="3" t="str">
        <f>LEFT(Base_Periodo1[[#This Row],[CLASS]],3)</f>
        <v>2.1</v>
      </c>
    </row>
    <row r="2587" spans="1:23" hidden="1">
      <c r="A2587" s="3" t="str">
        <f t="shared" si="40"/>
        <v>Período 1</v>
      </c>
      <c r="B2587">
        <v>38949</v>
      </c>
      <c r="C2587" t="s">
        <v>1730</v>
      </c>
      <c r="D2587" t="s">
        <v>842</v>
      </c>
      <c r="E2587" s="3" t="str">
        <f>IF(LEN(Base_Periodo1[[#This Row],[CLASS]])&gt;=7,LEFT(Base_Periodo1[[#This Row],[CLASS]],7),"")</f>
        <v>2.1.2.1</v>
      </c>
      <c r="F2587" s="3" t="str">
        <f>VLOOKUP(Base_Periodo1[[#This Row],[Aux]],Base_Contas_Balanco[#All],2,FALSE)</f>
        <v>Fornecedores Cooperados</v>
      </c>
      <c r="G2587" s="1">
        <v>42885</v>
      </c>
      <c r="I2587" s="225">
        <v>540</v>
      </c>
      <c r="J2587" s="225">
        <v>540</v>
      </c>
      <c r="K2587" s="225">
        <v>-2.3283064365386963E-10</v>
      </c>
      <c r="L25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87" s="225">
        <f>ROUND(IF(AND(Base_Periodo1[[#This Row],[Tipo_Linha]]="-",Base_Periodo1[[#This Row],[TIPOSALDO]]="D"),Base_Periodo1[[#This Row],[SALDO_ATUAL]]*-1,Base_Periodo1[[#This Row],[SALDO_ATUAL]]),4)</f>
        <v>0</v>
      </c>
      <c r="N2587" t="s">
        <v>116</v>
      </c>
      <c r="O2587" t="s">
        <v>436</v>
      </c>
      <c r="P2587" t="s">
        <v>436</v>
      </c>
      <c r="Q2587">
        <v>7</v>
      </c>
      <c r="R2587" s="225">
        <f>Base_Periodo1[[#This Row],[CREDITOS]]-Base_Periodo1[[#This Row],[DEBITOS]]</f>
        <v>0</v>
      </c>
      <c r="S2587" s="3" t="str">
        <f>IF(ISERROR(VLOOKUP(Base_Periodo1[[#This Row],[CONTA]],BaseContasDRE[#All],4,FALSE)),"Fora do DRE",VLOOKUP(Base_Periodo1[[#This Row],[CONTA]],BaseContasDRE[#All],4,FALSE))</f>
        <v>Fora do DRE</v>
      </c>
      <c r="T2587" s="3" t="str">
        <f>IF(ISERROR(VLOOKUP(Base_Periodo1[[#This Row],[CONTA]],BaseContasDRE[#All],5,FALSE)),"Fora do DRE",VLOOKUP(Base_Periodo1[[#This Row],[CONTA]],BaseContasDRE[#All],6,FALSE))</f>
        <v>Fora do DRE</v>
      </c>
      <c r="U2587" s="3" t="str">
        <f>IF(ISERROR(VLOOKUP(Base_Periodo1[[#This Row],[CONTA]],BaseContasDRE[#All],7,FALSE)),"Fora do DRE",VLOOKUP(Base_Periodo1[[#This Row],[CONTA]],BaseContasDRE[#All],7,FALSE))</f>
        <v>Fora do DRE</v>
      </c>
      <c r="V2587" s="3" t="str">
        <f>IF(Base_Periodo1[[#This Row],[Tipo_Linha]]="Fora do DRE","Fora do DRE","( "&amp;Base_Periodo1[[#This Row],[Tipo_Linha]]&amp;" ) "&amp;Base_Periodo1[[#This Row],[Filtro]])</f>
        <v>Fora do DRE</v>
      </c>
      <c r="W2587" s="3" t="str">
        <f>LEFT(Base_Periodo1[[#This Row],[CLASS]],3)</f>
        <v>2.1</v>
      </c>
    </row>
    <row r="2588" spans="1:23" hidden="1">
      <c r="A2588" s="3" t="str">
        <f t="shared" si="40"/>
        <v>Período 1</v>
      </c>
      <c r="B2588">
        <v>3661</v>
      </c>
      <c r="C2588" t="s">
        <v>1730</v>
      </c>
      <c r="D2588" t="s">
        <v>843</v>
      </c>
      <c r="E2588" s="3" t="str">
        <f>IF(LEN(Base_Periodo1[[#This Row],[CLASS]])&gt;=7,LEFT(Base_Periodo1[[#This Row],[CLASS]],7),"")</f>
        <v>2.1.2.1</v>
      </c>
      <c r="F2588" s="3" t="str">
        <f>VLOOKUP(Base_Periodo1[[#This Row],[Aux]],Base_Contas_Balanco[#All],2,FALSE)</f>
        <v>Fornecedores Cooperados</v>
      </c>
      <c r="G2588" s="1">
        <v>42872</v>
      </c>
      <c r="I2588" s="225">
        <v>26890.039999999997</v>
      </c>
      <c r="J2588" s="225">
        <v>26890.04</v>
      </c>
      <c r="K2588" s="225">
        <v>-1.8662831280380487E-9</v>
      </c>
      <c r="L25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88" s="225">
        <f>ROUND(IF(AND(Base_Periodo1[[#This Row],[Tipo_Linha]]="-",Base_Periodo1[[#This Row],[TIPOSALDO]]="D"),Base_Periodo1[[#This Row],[SALDO_ATUAL]]*-1,Base_Periodo1[[#This Row],[SALDO_ATUAL]]),4)</f>
        <v>0</v>
      </c>
      <c r="N2588" t="s">
        <v>116</v>
      </c>
      <c r="O2588" t="s">
        <v>436</v>
      </c>
      <c r="P2588" t="s">
        <v>436</v>
      </c>
      <c r="Q2588">
        <v>7</v>
      </c>
      <c r="R2588" s="225">
        <f>Base_Periodo1[[#This Row],[CREDITOS]]-Base_Periodo1[[#This Row],[DEBITOS]]</f>
        <v>0</v>
      </c>
      <c r="S2588" s="3" t="str">
        <f>IF(ISERROR(VLOOKUP(Base_Periodo1[[#This Row],[CONTA]],BaseContasDRE[#All],4,FALSE)),"Fora do DRE",VLOOKUP(Base_Periodo1[[#This Row],[CONTA]],BaseContasDRE[#All],4,FALSE))</f>
        <v>Fora do DRE</v>
      </c>
      <c r="T2588" s="3" t="str">
        <f>IF(ISERROR(VLOOKUP(Base_Periodo1[[#This Row],[CONTA]],BaseContasDRE[#All],5,FALSE)),"Fora do DRE",VLOOKUP(Base_Periodo1[[#This Row],[CONTA]],BaseContasDRE[#All],6,FALSE))</f>
        <v>Fora do DRE</v>
      </c>
      <c r="U2588" s="3" t="str">
        <f>IF(ISERROR(VLOOKUP(Base_Periodo1[[#This Row],[CONTA]],BaseContasDRE[#All],7,FALSE)),"Fora do DRE",VLOOKUP(Base_Periodo1[[#This Row],[CONTA]],BaseContasDRE[#All],7,FALSE))</f>
        <v>Fora do DRE</v>
      </c>
      <c r="V2588" s="3" t="str">
        <f>IF(Base_Periodo1[[#This Row],[Tipo_Linha]]="Fora do DRE","Fora do DRE","( "&amp;Base_Periodo1[[#This Row],[Tipo_Linha]]&amp;" ) "&amp;Base_Periodo1[[#This Row],[Filtro]])</f>
        <v>Fora do DRE</v>
      </c>
      <c r="W2588" s="3" t="str">
        <f>LEFT(Base_Periodo1[[#This Row],[CLASS]],3)</f>
        <v>2.1</v>
      </c>
    </row>
    <row r="2589" spans="1:23" hidden="1">
      <c r="A2589" s="3" t="str">
        <f t="shared" si="40"/>
        <v>Período 1</v>
      </c>
      <c r="B2589">
        <v>6982</v>
      </c>
      <c r="C2589" t="s">
        <v>1730</v>
      </c>
      <c r="D2589" t="s">
        <v>844</v>
      </c>
      <c r="E2589" s="3" t="str">
        <f>IF(LEN(Base_Periodo1[[#This Row],[CLASS]])&gt;=7,LEFT(Base_Periodo1[[#This Row],[CLASS]],7),"")</f>
        <v>2.1.2.1</v>
      </c>
      <c r="F2589" s="3" t="str">
        <f>VLOOKUP(Base_Periodo1[[#This Row],[Aux]],Base_Contas_Balanco[#All],2,FALSE)</f>
        <v>Fornecedores Cooperados</v>
      </c>
      <c r="G2589" s="1">
        <v>42885</v>
      </c>
      <c r="H2589" s="225">
        <v>16425.129999999888</v>
      </c>
      <c r="I2589" s="225">
        <v>58050.1</v>
      </c>
      <c r="J2589" s="225">
        <v>41624.97</v>
      </c>
      <c r="K2589" s="225">
        <v>1.0913936421275139E-10</v>
      </c>
      <c r="L25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89" s="225">
        <f>ROUND(IF(AND(Base_Periodo1[[#This Row],[Tipo_Linha]]="-",Base_Periodo1[[#This Row],[TIPOSALDO]]="D"),Base_Periodo1[[#This Row],[SALDO_ATUAL]]*-1,Base_Periodo1[[#This Row],[SALDO_ATUAL]]),4)</f>
        <v>0</v>
      </c>
      <c r="N2589" t="s">
        <v>116</v>
      </c>
      <c r="O2589" t="s">
        <v>459</v>
      </c>
      <c r="P2589" t="s">
        <v>436</v>
      </c>
      <c r="Q2589">
        <v>7</v>
      </c>
      <c r="R2589" s="225">
        <f>Base_Periodo1[[#This Row],[CREDITOS]]-Base_Periodo1[[#This Row],[DEBITOS]]</f>
        <v>-16425.129999999997</v>
      </c>
      <c r="S2589" s="3" t="str">
        <f>IF(ISERROR(VLOOKUP(Base_Periodo1[[#This Row],[CONTA]],BaseContasDRE[#All],4,FALSE)),"Fora do DRE",VLOOKUP(Base_Periodo1[[#This Row],[CONTA]],BaseContasDRE[#All],4,FALSE))</f>
        <v>Fora do DRE</v>
      </c>
      <c r="T2589" s="3" t="str">
        <f>IF(ISERROR(VLOOKUP(Base_Periodo1[[#This Row],[CONTA]],BaseContasDRE[#All],5,FALSE)),"Fora do DRE",VLOOKUP(Base_Periodo1[[#This Row],[CONTA]],BaseContasDRE[#All],6,FALSE))</f>
        <v>Fora do DRE</v>
      </c>
      <c r="U2589" s="3" t="str">
        <f>IF(ISERROR(VLOOKUP(Base_Periodo1[[#This Row],[CONTA]],BaseContasDRE[#All],7,FALSE)),"Fora do DRE",VLOOKUP(Base_Periodo1[[#This Row],[CONTA]],BaseContasDRE[#All],7,FALSE))</f>
        <v>Fora do DRE</v>
      </c>
      <c r="V2589" s="3" t="str">
        <f>IF(Base_Periodo1[[#This Row],[Tipo_Linha]]="Fora do DRE","Fora do DRE","( "&amp;Base_Periodo1[[#This Row],[Tipo_Linha]]&amp;" ) "&amp;Base_Periodo1[[#This Row],[Filtro]])</f>
        <v>Fora do DRE</v>
      </c>
      <c r="W2589" s="3" t="str">
        <f>LEFT(Base_Periodo1[[#This Row],[CLASS]],3)</f>
        <v>2.1</v>
      </c>
    </row>
    <row r="2590" spans="1:23" hidden="1">
      <c r="A2590" s="3" t="str">
        <f t="shared" si="40"/>
        <v>Período 1</v>
      </c>
      <c r="B2590">
        <v>37085</v>
      </c>
      <c r="C2590" t="s">
        <v>1730</v>
      </c>
      <c r="D2590" t="s">
        <v>4600</v>
      </c>
      <c r="E2590" s="3" t="str">
        <f>IF(LEN(Base_Periodo1[[#This Row],[CLASS]])&gt;=7,LEFT(Base_Periodo1[[#This Row],[CLASS]],7),"")</f>
        <v>2.1.2.1</v>
      </c>
      <c r="F2590" s="3" t="str">
        <f>VLOOKUP(Base_Periodo1[[#This Row],[Aux]],Base_Contas_Balanco[#All],2,FALSE)</f>
        <v>Fornecedores Cooperados</v>
      </c>
      <c r="G2590" s="1">
        <v>42878</v>
      </c>
      <c r="I2590" s="225">
        <v>18600</v>
      </c>
      <c r="J2590" s="225">
        <v>18600</v>
      </c>
      <c r="K2590" s="225">
        <v>0</v>
      </c>
      <c r="L25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90" s="225">
        <f>ROUND(IF(AND(Base_Periodo1[[#This Row],[Tipo_Linha]]="-",Base_Periodo1[[#This Row],[TIPOSALDO]]="D"),Base_Periodo1[[#This Row],[SALDO_ATUAL]]*-1,Base_Periodo1[[#This Row],[SALDO_ATUAL]]),4)</f>
        <v>0</v>
      </c>
      <c r="N2590" t="s">
        <v>116</v>
      </c>
      <c r="O2590" t="s">
        <v>436</v>
      </c>
      <c r="P2590" t="s">
        <v>436</v>
      </c>
      <c r="Q2590">
        <v>7</v>
      </c>
      <c r="R2590" s="225">
        <f>Base_Periodo1[[#This Row],[CREDITOS]]-Base_Periodo1[[#This Row],[DEBITOS]]</f>
        <v>0</v>
      </c>
      <c r="S2590" s="3" t="str">
        <f>IF(ISERROR(VLOOKUP(Base_Periodo1[[#This Row],[CONTA]],BaseContasDRE[#All],4,FALSE)),"Fora do DRE",VLOOKUP(Base_Periodo1[[#This Row],[CONTA]],BaseContasDRE[#All],4,FALSE))</f>
        <v>Fora do DRE</v>
      </c>
      <c r="T2590" s="3" t="str">
        <f>IF(ISERROR(VLOOKUP(Base_Periodo1[[#This Row],[CONTA]],BaseContasDRE[#All],5,FALSE)),"Fora do DRE",VLOOKUP(Base_Periodo1[[#This Row],[CONTA]],BaseContasDRE[#All],6,FALSE))</f>
        <v>Fora do DRE</v>
      </c>
      <c r="U2590" s="3" t="str">
        <f>IF(ISERROR(VLOOKUP(Base_Periodo1[[#This Row],[CONTA]],BaseContasDRE[#All],7,FALSE)),"Fora do DRE",VLOOKUP(Base_Periodo1[[#This Row],[CONTA]],BaseContasDRE[#All],7,FALSE))</f>
        <v>Fora do DRE</v>
      </c>
      <c r="V2590" s="3" t="str">
        <f>IF(Base_Periodo1[[#This Row],[Tipo_Linha]]="Fora do DRE","Fora do DRE","( "&amp;Base_Periodo1[[#This Row],[Tipo_Linha]]&amp;" ) "&amp;Base_Periodo1[[#This Row],[Filtro]])</f>
        <v>Fora do DRE</v>
      </c>
      <c r="W2590" s="3" t="str">
        <f>LEFT(Base_Periodo1[[#This Row],[CLASS]],3)</f>
        <v>2.1</v>
      </c>
    </row>
    <row r="2591" spans="1:23" hidden="1">
      <c r="A2591" s="3" t="str">
        <f t="shared" si="40"/>
        <v>Período 1</v>
      </c>
      <c r="B2591">
        <v>52981</v>
      </c>
      <c r="C2591" t="s">
        <v>1730</v>
      </c>
      <c r="D2591" t="s">
        <v>4822</v>
      </c>
      <c r="E2591" s="3" t="str">
        <f>IF(LEN(Base_Periodo1[[#This Row],[CLASS]])&gt;=7,LEFT(Base_Periodo1[[#This Row],[CLASS]],7),"")</f>
        <v>2.1.2.1</v>
      </c>
      <c r="F2591" s="3" t="str">
        <f>VLOOKUP(Base_Periodo1[[#This Row],[Aux]],Base_Contas_Balanco[#All],2,FALSE)</f>
        <v>Fornecedores Cooperados</v>
      </c>
      <c r="G2591" s="1">
        <v>42863</v>
      </c>
      <c r="I2591" s="225">
        <v>84487.83</v>
      </c>
      <c r="J2591" s="225">
        <v>84487.83</v>
      </c>
      <c r="K2591" s="225">
        <v>5.8207660913467407E-11</v>
      </c>
      <c r="L25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91" s="225">
        <f>ROUND(IF(AND(Base_Periodo1[[#This Row],[Tipo_Linha]]="-",Base_Periodo1[[#This Row],[TIPOSALDO]]="D"),Base_Periodo1[[#This Row],[SALDO_ATUAL]]*-1,Base_Periodo1[[#This Row],[SALDO_ATUAL]]),4)</f>
        <v>0</v>
      </c>
      <c r="N2591" t="s">
        <v>116</v>
      </c>
      <c r="O2591" t="s">
        <v>436</v>
      </c>
      <c r="P2591" t="s">
        <v>436</v>
      </c>
      <c r="Q2591">
        <v>7</v>
      </c>
      <c r="R2591" s="225">
        <f>Base_Periodo1[[#This Row],[CREDITOS]]-Base_Periodo1[[#This Row],[DEBITOS]]</f>
        <v>0</v>
      </c>
      <c r="S2591" s="3" t="str">
        <f>IF(ISERROR(VLOOKUP(Base_Periodo1[[#This Row],[CONTA]],BaseContasDRE[#All],4,FALSE)),"Fora do DRE",VLOOKUP(Base_Periodo1[[#This Row],[CONTA]],BaseContasDRE[#All],4,FALSE))</f>
        <v>Fora do DRE</v>
      </c>
      <c r="T2591" s="3" t="str">
        <f>IF(ISERROR(VLOOKUP(Base_Periodo1[[#This Row],[CONTA]],BaseContasDRE[#All],5,FALSE)),"Fora do DRE",VLOOKUP(Base_Periodo1[[#This Row],[CONTA]],BaseContasDRE[#All],6,FALSE))</f>
        <v>Fora do DRE</v>
      </c>
      <c r="U2591" s="3" t="str">
        <f>IF(ISERROR(VLOOKUP(Base_Periodo1[[#This Row],[CONTA]],BaseContasDRE[#All],7,FALSE)),"Fora do DRE",VLOOKUP(Base_Periodo1[[#This Row],[CONTA]],BaseContasDRE[#All],7,FALSE))</f>
        <v>Fora do DRE</v>
      </c>
      <c r="V2591" s="3" t="str">
        <f>IF(Base_Periodo1[[#This Row],[Tipo_Linha]]="Fora do DRE","Fora do DRE","( "&amp;Base_Periodo1[[#This Row],[Tipo_Linha]]&amp;" ) "&amp;Base_Periodo1[[#This Row],[Filtro]])</f>
        <v>Fora do DRE</v>
      </c>
      <c r="W2591" s="3" t="str">
        <f>LEFT(Base_Periodo1[[#This Row],[CLASS]],3)</f>
        <v>2.1</v>
      </c>
    </row>
    <row r="2592" spans="1:23" hidden="1">
      <c r="A2592" s="3" t="str">
        <f t="shared" si="40"/>
        <v>Período 1</v>
      </c>
      <c r="B2592">
        <v>15091</v>
      </c>
      <c r="C2592" t="s">
        <v>1730</v>
      </c>
      <c r="D2592" t="s">
        <v>845</v>
      </c>
      <c r="E2592" s="3" t="str">
        <f>IF(LEN(Base_Periodo1[[#This Row],[CLASS]])&gt;=7,LEFT(Base_Periodo1[[#This Row],[CLASS]],7),"")</f>
        <v>2.1.2.1</v>
      </c>
      <c r="F2592" s="3" t="str">
        <f>VLOOKUP(Base_Periodo1[[#This Row],[Aux]],Base_Contas_Balanco[#All],2,FALSE)</f>
        <v>Fornecedores Cooperados</v>
      </c>
      <c r="G2592" s="1">
        <v>42874</v>
      </c>
      <c r="I2592" s="225">
        <v>46904.36</v>
      </c>
      <c r="J2592" s="225">
        <v>46904.36</v>
      </c>
      <c r="K2592" s="225">
        <v>4.6566128730773926E-10</v>
      </c>
      <c r="L25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92" s="225">
        <f>ROUND(IF(AND(Base_Periodo1[[#This Row],[Tipo_Linha]]="-",Base_Periodo1[[#This Row],[TIPOSALDO]]="D"),Base_Periodo1[[#This Row],[SALDO_ATUAL]]*-1,Base_Periodo1[[#This Row],[SALDO_ATUAL]]),4)</f>
        <v>0</v>
      </c>
      <c r="N2592" t="s">
        <v>116</v>
      </c>
      <c r="O2592" t="s">
        <v>436</v>
      </c>
      <c r="P2592" t="s">
        <v>436</v>
      </c>
      <c r="Q2592">
        <v>7</v>
      </c>
      <c r="R2592" s="225">
        <f>Base_Periodo1[[#This Row],[CREDITOS]]-Base_Periodo1[[#This Row],[DEBITOS]]</f>
        <v>0</v>
      </c>
      <c r="S2592" s="3" t="str">
        <f>IF(ISERROR(VLOOKUP(Base_Periodo1[[#This Row],[CONTA]],BaseContasDRE[#All],4,FALSE)),"Fora do DRE",VLOOKUP(Base_Periodo1[[#This Row],[CONTA]],BaseContasDRE[#All],4,FALSE))</f>
        <v>Fora do DRE</v>
      </c>
      <c r="T2592" s="3" t="str">
        <f>IF(ISERROR(VLOOKUP(Base_Periodo1[[#This Row],[CONTA]],BaseContasDRE[#All],5,FALSE)),"Fora do DRE",VLOOKUP(Base_Periodo1[[#This Row],[CONTA]],BaseContasDRE[#All],6,FALSE))</f>
        <v>Fora do DRE</v>
      </c>
      <c r="U2592" s="3" t="str">
        <f>IF(ISERROR(VLOOKUP(Base_Periodo1[[#This Row],[CONTA]],BaseContasDRE[#All],7,FALSE)),"Fora do DRE",VLOOKUP(Base_Periodo1[[#This Row],[CONTA]],BaseContasDRE[#All],7,FALSE))</f>
        <v>Fora do DRE</v>
      </c>
      <c r="V2592" s="3" t="str">
        <f>IF(Base_Periodo1[[#This Row],[Tipo_Linha]]="Fora do DRE","Fora do DRE","( "&amp;Base_Periodo1[[#This Row],[Tipo_Linha]]&amp;" ) "&amp;Base_Periodo1[[#This Row],[Filtro]])</f>
        <v>Fora do DRE</v>
      </c>
      <c r="W2592" s="3" t="str">
        <f>LEFT(Base_Periodo1[[#This Row],[CLASS]],3)</f>
        <v>2.1</v>
      </c>
    </row>
    <row r="2593" spans="1:23" hidden="1">
      <c r="A2593" s="3" t="str">
        <f t="shared" si="40"/>
        <v>Período 1</v>
      </c>
      <c r="B2593">
        <v>35089</v>
      </c>
      <c r="C2593" t="s">
        <v>1730</v>
      </c>
      <c r="D2593" t="s">
        <v>5286</v>
      </c>
      <c r="E2593" s="3" t="str">
        <f>IF(LEN(Base_Periodo1[[#This Row],[CLASS]])&gt;=7,LEFT(Base_Periodo1[[#This Row],[CLASS]],7),"")</f>
        <v>2.1.2.1</v>
      </c>
      <c r="F2593" s="3" t="str">
        <f>VLOOKUP(Base_Periodo1[[#This Row],[Aux]],Base_Contas_Balanco[#All],2,FALSE)</f>
        <v>Fornecedores Cooperados</v>
      </c>
      <c r="G2593" s="1">
        <v>42860</v>
      </c>
      <c r="H2593" s="225">
        <v>9776.260000000002</v>
      </c>
      <c r="I2593" s="225">
        <v>9776.26</v>
      </c>
      <c r="J2593" s="225">
        <v>0</v>
      </c>
      <c r="K2593" s="225">
        <v>-1.8189894035458565E-12</v>
      </c>
      <c r="L25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93" s="225">
        <f>ROUND(IF(AND(Base_Periodo1[[#This Row],[Tipo_Linha]]="-",Base_Periodo1[[#This Row],[TIPOSALDO]]="D"),Base_Periodo1[[#This Row],[SALDO_ATUAL]]*-1,Base_Periodo1[[#This Row],[SALDO_ATUAL]]),4)</f>
        <v>0</v>
      </c>
      <c r="N2593" t="s">
        <v>116</v>
      </c>
      <c r="O2593" t="s">
        <v>459</v>
      </c>
      <c r="P2593" t="s">
        <v>436</v>
      </c>
      <c r="Q2593">
        <v>7</v>
      </c>
      <c r="R2593" s="225">
        <f>Base_Periodo1[[#This Row],[CREDITOS]]-Base_Periodo1[[#This Row],[DEBITOS]]</f>
        <v>-9776.26</v>
      </c>
      <c r="S2593" s="3" t="str">
        <f>IF(ISERROR(VLOOKUP(Base_Periodo1[[#This Row],[CONTA]],BaseContasDRE[#All],4,FALSE)),"Fora do DRE",VLOOKUP(Base_Periodo1[[#This Row],[CONTA]],BaseContasDRE[#All],4,FALSE))</f>
        <v>Fora do DRE</v>
      </c>
      <c r="T2593" s="3" t="str">
        <f>IF(ISERROR(VLOOKUP(Base_Periodo1[[#This Row],[CONTA]],BaseContasDRE[#All],5,FALSE)),"Fora do DRE",VLOOKUP(Base_Periodo1[[#This Row],[CONTA]],BaseContasDRE[#All],6,FALSE))</f>
        <v>Fora do DRE</v>
      </c>
      <c r="U2593" s="3" t="str">
        <f>IF(ISERROR(VLOOKUP(Base_Periodo1[[#This Row],[CONTA]],BaseContasDRE[#All],7,FALSE)),"Fora do DRE",VLOOKUP(Base_Periodo1[[#This Row],[CONTA]],BaseContasDRE[#All],7,FALSE))</f>
        <v>Fora do DRE</v>
      </c>
      <c r="V2593" s="3" t="str">
        <f>IF(Base_Periodo1[[#This Row],[Tipo_Linha]]="Fora do DRE","Fora do DRE","( "&amp;Base_Periodo1[[#This Row],[Tipo_Linha]]&amp;" ) "&amp;Base_Periodo1[[#This Row],[Filtro]])</f>
        <v>Fora do DRE</v>
      </c>
      <c r="W2593" s="3" t="str">
        <f>LEFT(Base_Periodo1[[#This Row],[CLASS]],3)</f>
        <v>2.1</v>
      </c>
    </row>
    <row r="2594" spans="1:23" hidden="1">
      <c r="A2594" s="3" t="str">
        <f t="shared" si="40"/>
        <v>Período 1</v>
      </c>
      <c r="B2594">
        <v>3385</v>
      </c>
      <c r="C2594" t="s">
        <v>1730</v>
      </c>
      <c r="D2594" t="s">
        <v>6135</v>
      </c>
      <c r="E2594" s="3" t="str">
        <f>IF(LEN(Base_Periodo1[[#This Row],[CLASS]])&gt;=7,LEFT(Base_Periodo1[[#This Row],[CLASS]],7),"")</f>
        <v>2.1.2.1</v>
      </c>
      <c r="F2594" s="3" t="str">
        <f>VLOOKUP(Base_Periodo1[[#This Row],[Aux]],Base_Contas_Balanco[#All],2,FALSE)</f>
        <v>Fornecedores Cooperados</v>
      </c>
      <c r="G2594" s="1">
        <v>42881</v>
      </c>
      <c r="I2594" s="225">
        <v>455165.20999999996</v>
      </c>
      <c r="J2594" s="225">
        <v>455165.20999999996</v>
      </c>
      <c r="K2594" s="225">
        <v>-4.6566128730773926E-10</v>
      </c>
      <c r="L25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94" s="225">
        <f>ROUND(IF(AND(Base_Periodo1[[#This Row],[Tipo_Linha]]="-",Base_Periodo1[[#This Row],[TIPOSALDO]]="D"),Base_Periodo1[[#This Row],[SALDO_ATUAL]]*-1,Base_Periodo1[[#This Row],[SALDO_ATUAL]]),4)</f>
        <v>0</v>
      </c>
      <c r="N2594" t="s">
        <v>116</v>
      </c>
      <c r="O2594" t="s">
        <v>436</v>
      </c>
      <c r="P2594" t="s">
        <v>436</v>
      </c>
      <c r="Q2594">
        <v>7</v>
      </c>
      <c r="R2594" s="225">
        <f>Base_Periodo1[[#This Row],[CREDITOS]]-Base_Periodo1[[#This Row],[DEBITOS]]</f>
        <v>0</v>
      </c>
      <c r="S2594" s="3" t="str">
        <f>IF(ISERROR(VLOOKUP(Base_Periodo1[[#This Row],[CONTA]],BaseContasDRE[#All],4,FALSE)),"Fora do DRE",VLOOKUP(Base_Periodo1[[#This Row],[CONTA]],BaseContasDRE[#All],4,FALSE))</f>
        <v>Fora do DRE</v>
      </c>
      <c r="T2594" s="3" t="str">
        <f>IF(ISERROR(VLOOKUP(Base_Periodo1[[#This Row],[CONTA]],BaseContasDRE[#All],5,FALSE)),"Fora do DRE",VLOOKUP(Base_Periodo1[[#This Row],[CONTA]],BaseContasDRE[#All],6,FALSE))</f>
        <v>Fora do DRE</v>
      </c>
      <c r="U2594" s="3" t="str">
        <f>IF(ISERROR(VLOOKUP(Base_Periodo1[[#This Row],[CONTA]],BaseContasDRE[#All],7,FALSE)),"Fora do DRE",VLOOKUP(Base_Periodo1[[#This Row],[CONTA]],BaseContasDRE[#All],7,FALSE))</f>
        <v>Fora do DRE</v>
      </c>
      <c r="V2594" s="3" t="str">
        <f>IF(Base_Periodo1[[#This Row],[Tipo_Linha]]="Fora do DRE","Fora do DRE","( "&amp;Base_Periodo1[[#This Row],[Tipo_Linha]]&amp;" ) "&amp;Base_Periodo1[[#This Row],[Filtro]])</f>
        <v>Fora do DRE</v>
      </c>
      <c r="W2594" s="3" t="str">
        <f>LEFT(Base_Periodo1[[#This Row],[CLASS]],3)</f>
        <v>2.1</v>
      </c>
    </row>
    <row r="2595" spans="1:23" hidden="1">
      <c r="A2595" s="3" t="str">
        <f t="shared" si="40"/>
        <v>Período 1</v>
      </c>
      <c r="B2595">
        <v>22910</v>
      </c>
      <c r="C2595" t="s">
        <v>1730</v>
      </c>
      <c r="D2595" t="s">
        <v>847</v>
      </c>
      <c r="E2595" s="3" t="str">
        <f>IF(LEN(Base_Periodo1[[#This Row],[CLASS]])&gt;=7,LEFT(Base_Periodo1[[#This Row],[CLASS]],7),"")</f>
        <v>2.1.2.1</v>
      </c>
      <c r="F2595" s="3" t="str">
        <f>VLOOKUP(Base_Periodo1[[#This Row],[Aux]],Base_Contas_Balanco[#All],2,FALSE)</f>
        <v>Fornecedores Cooperados</v>
      </c>
      <c r="G2595" s="1">
        <v>42718</v>
      </c>
      <c r="H2595" s="225">
        <v>2751.7200000000012</v>
      </c>
      <c r="I2595" s="225">
        <v>0</v>
      </c>
      <c r="J2595" s="225">
        <v>0</v>
      </c>
      <c r="K2595" s="225">
        <v>2751.7200000000012</v>
      </c>
      <c r="L25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2751.72</v>
      </c>
      <c r="M2595" s="225">
        <f>ROUND(IF(AND(Base_Periodo1[[#This Row],[Tipo_Linha]]="-",Base_Periodo1[[#This Row],[TIPOSALDO]]="D"),Base_Periodo1[[#This Row],[SALDO_ATUAL]]*-1,Base_Periodo1[[#This Row],[SALDO_ATUAL]]),4)</f>
        <v>2751.72</v>
      </c>
      <c r="N2595" t="s">
        <v>116</v>
      </c>
      <c r="O2595" t="s">
        <v>459</v>
      </c>
      <c r="P2595" t="s">
        <v>459</v>
      </c>
      <c r="Q2595">
        <v>7</v>
      </c>
      <c r="R2595" s="225">
        <f>Base_Periodo1[[#This Row],[CREDITOS]]-Base_Periodo1[[#This Row],[DEBITOS]]</f>
        <v>0</v>
      </c>
      <c r="S2595" s="3" t="str">
        <f>IF(ISERROR(VLOOKUP(Base_Periodo1[[#This Row],[CONTA]],BaseContasDRE[#All],4,FALSE)),"Fora do DRE",VLOOKUP(Base_Periodo1[[#This Row],[CONTA]],BaseContasDRE[#All],4,FALSE))</f>
        <v>Fora do DRE</v>
      </c>
      <c r="T2595" s="3" t="str">
        <f>IF(ISERROR(VLOOKUP(Base_Periodo1[[#This Row],[CONTA]],BaseContasDRE[#All],5,FALSE)),"Fora do DRE",VLOOKUP(Base_Periodo1[[#This Row],[CONTA]],BaseContasDRE[#All],6,FALSE))</f>
        <v>Fora do DRE</v>
      </c>
      <c r="U2595" s="3" t="str">
        <f>IF(ISERROR(VLOOKUP(Base_Periodo1[[#This Row],[CONTA]],BaseContasDRE[#All],7,FALSE)),"Fora do DRE",VLOOKUP(Base_Periodo1[[#This Row],[CONTA]],BaseContasDRE[#All],7,FALSE))</f>
        <v>Fora do DRE</v>
      </c>
      <c r="V2595" s="3" t="str">
        <f>IF(Base_Periodo1[[#This Row],[Tipo_Linha]]="Fora do DRE","Fora do DRE","( "&amp;Base_Periodo1[[#This Row],[Tipo_Linha]]&amp;" ) "&amp;Base_Periodo1[[#This Row],[Filtro]])</f>
        <v>Fora do DRE</v>
      </c>
      <c r="W2595" s="3" t="str">
        <f>LEFT(Base_Periodo1[[#This Row],[CLASS]],3)</f>
        <v>2.1</v>
      </c>
    </row>
    <row r="2596" spans="1:23" hidden="1">
      <c r="A2596" s="3" t="str">
        <f t="shared" si="40"/>
        <v>Período 1</v>
      </c>
      <c r="B2596">
        <v>2881</v>
      </c>
      <c r="C2596" t="s">
        <v>1730</v>
      </c>
      <c r="D2596" t="s">
        <v>6729</v>
      </c>
      <c r="E2596" s="3" t="str">
        <f>IF(LEN(Base_Periodo1[[#This Row],[CLASS]])&gt;=7,LEFT(Base_Periodo1[[#This Row],[CLASS]],7),"")</f>
        <v>2.1.2.1</v>
      </c>
      <c r="F2596" s="3" t="str">
        <f>VLOOKUP(Base_Periodo1[[#This Row],[Aux]],Base_Contas_Balanco[#All],2,FALSE)</f>
        <v>Fornecedores Cooperados</v>
      </c>
      <c r="G2596" s="1">
        <v>42885</v>
      </c>
      <c r="I2596" s="225">
        <v>1993.33</v>
      </c>
      <c r="J2596" s="225">
        <v>1993.33</v>
      </c>
      <c r="K2596" s="225">
        <v>0</v>
      </c>
      <c r="L25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96" s="225">
        <f>ROUND(IF(AND(Base_Periodo1[[#This Row],[Tipo_Linha]]="-",Base_Periodo1[[#This Row],[TIPOSALDO]]="D"),Base_Periodo1[[#This Row],[SALDO_ATUAL]]*-1,Base_Periodo1[[#This Row],[SALDO_ATUAL]]),4)</f>
        <v>0</v>
      </c>
      <c r="N2596" t="s">
        <v>116</v>
      </c>
      <c r="O2596" t="s">
        <v>436</v>
      </c>
      <c r="P2596" t="s">
        <v>436</v>
      </c>
      <c r="Q2596">
        <v>7</v>
      </c>
      <c r="R2596" s="225">
        <f>Base_Periodo1[[#This Row],[CREDITOS]]-Base_Periodo1[[#This Row],[DEBITOS]]</f>
        <v>0</v>
      </c>
      <c r="S2596" s="3" t="str">
        <f>IF(ISERROR(VLOOKUP(Base_Periodo1[[#This Row],[CONTA]],BaseContasDRE[#All],4,FALSE)),"Fora do DRE",VLOOKUP(Base_Periodo1[[#This Row],[CONTA]],BaseContasDRE[#All],4,FALSE))</f>
        <v>Fora do DRE</v>
      </c>
      <c r="T2596" s="3" t="str">
        <f>IF(ISERROR(VLOOKUP(Base_Periodo1[[#This Row],[CONTA]],BaseContasDRE[#All],5,FALSE)),"Fora do DRE",VLOOKUP(Base_Periodo1[[#This Row],[CONTA]],BaseContasDRE[#All],6,FALSE))</f>
        <v>Fora do DRE</v>
      </c>
      <c r="U2596" s="3" t="str">
        <f>IF(ISERROR(VLOOKUP(Base_Periodo1[[#This Row],[CONTA]],BaseContasDRE[#All],7,FALSE)),"Fora do DRE",VLOOKUP(Base_Periodo1[[#This Row],[CONTA]],BaseContasDRE[#All],7,FALSE))</f>
        <v>Fora do DRE</v>
      </c>
      <c r="V2596" s="3" t="str">
        <f>IF(Base_Periodo1[[#This Row],[Tipo_Linha]]="Fora do DRE","Fora do DRE","( "&amp;Base_Periodo1[[#This Row],[Tipo_Linha]]&amp;" ) "&amp;Base_Periodo1[[#This Row],[Filtro]])</f>
        <v>Fora do DRE</v>
      </c>
      <c r="W2596" s="3" t="str">
        <f>LEFT(Base_Periodo1[[#This Row],[CLASS]],3)</f>
        <v>2.1</v>
      </c>
    </row>
    <row r="2597" spans="1:23" hidden="1">
      <c r="A2597" s="3" t="str">
        <f t="shared" si="40"/>
        <v>Período 1</v>
      </c>
      <c r="B2597">
        <v>3665</v>
      </c>
      <c r="C2597" t="s">
        <v>1730</v>
      </c>
      <c r="D2597" t="s">
        <v>849</v>
      </c>
      <c r="E2597" s="3" t="str">
        <f>IF(LEN(Base_Periodo1[[#This Row],[CLASS]])&gt;=7,LEFT(Base_Periodo1[[#This Row],[CLASS]],7),"")</f>
        <v>2.1.2.1</v>
      </c>
      <c r="F2597" s="3" t="str">
        <f>VLOOKUP(Base_Periodo1[[#This Row],[Aux]],Base_Contas_Balanco[#All],2,FALSE)</f>
        <v>Fornecedores Cooperados</v>
      </c>
      <c r="G2597" s="1">
        <v>42886</v>
      </c>
      <c r="H2597" s="225">
        <v>324643.23999999277</v>
      </c>
      <c r="I2597" s="225">
        <v>346233.97</v>
      </c>
      <c r="J2597" s="225">
        <v>96364</v>
      </c>
      <c r="K2597" s="225">
        <v>74773.269999992801</v>
      </c>
      <c r="L25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74773.27</v>
      </c>
      <c r="M2597" s="225">
        <f>ROUND(IF(AND(Base_Periodo1[[#This Row],[Tipo_Linha]]="-",Base_Periodo1[[#This Row],[TIPOSALDO]]="D"),Base_Periodo1[[#This Row],[SALDO_ATUAL]]*-1,Base_Periodo1[[#This Row],[SALDO_ATUAL]]),4)</f>
        <v>74773.27</v>
      </c>
      <c r="N2597" t="s">
        <v>116</v>
      </c>
      <c r="O2597" t="s">
        <v>459</v>
      </c>
      <c r="P2597" t="s">
        <v>459</v>
      </c>
      <c r="Q2597">
        <v>7</v>
      </c>
      <c r="R2597" s="225">
        <f>Base_Periodo1[[#This Row],[CREDITOS]]-Base_Periodo1[[#This Row],[DEBITOS]]</f>
        <v>-249869.96999999997</v>
      </c>
      <c r="S2597" s="3" t="str">
        <f>IF(ISERROR(VLOOKUP(Base_Periodo1[[#This Row],[CONTA]],BaseContasDRE[#All],4,FALSE)),"Fora do DRE",VLOOKUP(Base_Periodo1[[#This Row],[CONTA]],BaseContasDRE[#All],4,FALSE))</f>
        <v>Fora do DRE</v>
      </c>
      <c r="T2597" s="3" t="str">
        <f>IF(ISERROR(VLOOKUP(Base_Periodo1[[#This Row],[CONTA]],BaseContasDRE[#All],5,FALSE)),"Fora do DRE",VLOOKUP(Base_Periodo1[[#This Row],[CONTA]],BaseContasDRE[#All],6,FALSE))</f>
        <v>Fora do DRE</v>
      </c>
      <c r="U2597" s="3" t="str">
        <f>IF(ISERROR(VLOOKUP(Base_Periodo1[[#This Row],[CONTA]],BaseContasDRE[#All],7,FALSE)),"Fora do DRE",VLOOKUP(Base_Periodo1[[#This Row],[CONTA]],BaseContasDRE[#All],7,FALSE))</f>
        <v>Fora do DRE</v>
      </c>
      <c r="V2597" s="3" t="str">
        <f>IF(Base_Periodo1[[#This Row],[Tipo_Linha]]="Fora do DRE","Fora do DRE","( "&amp;Base_Periodo1[[#This Row],[Tipo_Linha]]&amp;" ) "&amp;Base_Periodo1[[#This Row],[Filtro]])</f>
        <v>Fora do DRE</v>
      </c>
      <c r="W2597" s="3" t="str">
        <f>LEFT(Base_Periodo1[[#This Row],[CLASS]],3)</f>
        <v>2.1</v>
      </c>
    </row>
    <row r="2598" spans="1:23" hidden="1">
      <c r="A2598" s="3" t="str">
        <f t="shared" si="40"/>
        <v>Período 1</v>
      </c>
      <c r="B2598">
        <v>21521</v>
      </c>
      <c r="C2598" t="s">
        <v>1730</v>
      </c>
      <c r="D2598" t="s">
        <v>6857</v>
      </c>
      <c r="E2598" s="3" t="str">
        <f>IF(LEN(Base_Periodo1[[#This Row],[CLASS]])&gt;=7,LEFT(Base_Periodo1[[#This Row],[CLASS]],7),"")</f>
        <v>2.1.2.1</v>
      </c>
      <c r="F2598" s="3" t="str">
        <f>VLOOKUP(Base_Periodo1[[#This Row],[Aux]],Base_Contas_Balanco[#All],2,FALSE)</f>
        <v>Fornecedores Cooperados</v>
      </c>
      <c r="G2598" s="1">
        <v>42880</v>
      </c>
      <c r="I2598" s="225">
        <v>17816.3</v>
      </c>
      <c r="J2598" s="225">
        <v>17816.3</v>
      </c>
      <c r="K2598" s="225">
        <v>0</v>
      </c>
      <c r="L25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98" s="225">
        <f>ROUND(IF(AND(Base_Periodo1[[#This Row],[Tipo_Linha]]="-",Base_Periodo1[[#This Row],[TIPOSALDO]]="D"),Base_Periodo1[[#This Row],[SALDO_ATUAL]]*-1,Base_Periodo1[[#This Row],[SALDO_ATUAL]]),4)</f>
        <v>0</v>
      </c>
      <c r="N2598" t="s">
        <v>116</v>
      </c>
      <c r="O2598" t="s">
        <v>436</v>
      </c>
      <c r="P2598" t="s">
        <v>436</v>
      </c>
      <c r="Q2598">
        <v>7</v>
      </c>
      <c r="R2598" s="225">
        <f>Base_Periodo1[[#This Row],[CREDITOS]]-Base_Periodo1[[#This Row],[DEBITOS]]</f>
        <v>0</v>
      </c>
      <c r="S2598" s="3" t="str">
        <f>IF(ISERROR(VLOOKUP(Base_Periodo1[[#This Row],[CONTA]],BaseContasDRE[#All],4,FALSE)),"Fora do DRE",VLOOKUP(Base_Periodo1[[#This Row],[CONTA]],BaseContasDRE[#All],4,FALSE))</f>
        <v>Fora do DRE</v>
      </c>
      <c r="T2598" s="3" t="str">
        <f>IF(ISERROR(VLOOKUP(Base_Periodo1[[#This Row],[CONTA]],BaseContasDRE[#All],5,FALSE)),"Fora do DRE",VLOOKUP(Base_Periodo1[[#This Row],[CONTA]],BaseContasDRE[#All],6,FALSE))</f>
        <v>Fora do DRE</v>
      </c>
      <c r="U2598" s="3" t="str">
        <f>IF(ISERROR(VLOOKUP(Base_Periodo1[[#This Row],[CONTA]],BaseContasDRE[#All],7,FALSE)),"Fora do DRE",VLOOKUP(Base_Periodo1[[#This Row],[CONTA]],BaseContasDRE[#All],7,FALSE))</f>
        <v>Fora do DRE</v>
      </c>
      <c r="V2598" s="3" t="str">
        <f>IF(Base_Periodo1[[#This Row],[Tipo_Linha]]="Fora do DRE","Fora do DRE","( "&amp;Base_Periodo1[[#This Row],[Tipo_Linha]]&amp;" ) "&amp;Base_Periodo1[[#This Row],[Filtro]])</f>
        <v>Fora do DRE</v>
      </c>
      <c r="W2598" s="3" t="str">
        <f>LEFT(Base_Periodo1[[#This Row],[CLASS]],3)</f>
        <v>2.1</v>
      </c>
    </row>
    <row r="2599" spans="1:23" hidden="1">
      <c r="A2599" s="3" t="str">
        <f t="shared" si="40"/>
        <v>Período 1</v>
      </c>
      <c r="B2599">
        <v>47280</v>
      </c>
      <c r="C2599" t="s">
        <v>1730</v>
      </c>
      <c r="D2599" t="s">
        <v>851</v>
      </c>
      <c r="E2599" s="3" t="str">
        <f>IF(LEN(Base_Periodo1[[#This Row],[CLASS]])&gt;=7,LEFT(Base_Periodo1[[#This Row],[CLASS]],7),"")</f>
        <v>2.1.2.1</v>
      </c>
      <c r="F2599" s="3" t="str">
        <f>VLOOKUP(Base_Periodo1[[#This Row],[Aux]],Base_Contas_Balanco[#All],2,FALSE)</f>
        <v>Fornecedores Cooperados</v>
      </c>
      <c r="G2599" s="1">
        <v>42866</v>
      </c>
      <c r="I2599" s="225">
        <v>4792</v>
      </c>
      <c r="J2599" s="225">
        <v>4792</v>
      </c>
      <c r="K2599" s="225">
        <v>-2.9103830456733704E-11</v>
      </c>
      <c r="L25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599" s="225">
        <f>ROUND(IF(AND(Base_Periodo1[[#This Row],[Tipo_Linha]]="-",Base_Periodo1[[#This Row],[TIPOSALDO]]="D"),Base_Periodo1[[#This Row],[SALDO_ATUAL]]*-1,Base_Periodo1[[#This Row],[SALDO_ATUAL]]),4)</f>
        <v>0</v>
      </c>
      <c r="N2599" t="s">
        <v>116</v>
      </c>
      <c r="O2599" t="s">
        <v>436</v>
      </c>
      <c r="P2599" t="s">
        <v>436</v>
      </c>
      <c r="Q2599">
        <v>7</v>
      </c>
      <c r="R2599" s="225">
        <f>Base_Periodo1[[#This Row],[CREDITOS]]-Base_Periodo1[[#This Row],[DEBITOS]]</f>
        <v>0</v>
      </c>
      <c r="S2599" s="3" t="str">
        <f>IF(ISERROR(VLOOKUP(Base_Periodo1[[#This Row],[CONTA]],BaseContasDRE[#All],4,FALSE)),"Fora do DRE",VLOOKUP(Base_Periodo1[[#This Row],[CONTA]],BaseContasDRE[#All],4,FALSE))</f>
        <v>Fora do DRE</v>
      </c>
      <c r="T2599" s="3" t="str">
        <f>IF(ISERROR(VLOOKUP(Base_Periodo1[[#This Row],[CONTA]],BaseContasDRE[#All],5,FALSE)),"Fora do DRE",VLOOKUP(Base_Periodo1[[#This Row],[CONTA]],BaseContasDRE[#All],6,FALSE))</f>
        <v>Fora do DRE</v>
      </c>
      <c r="U2599" s="3" t="str">
        <f>IF(ISERROR(VLOOKUP(Base_Periodo1[[#This Row],[CONTA]],BaseContasDRE[#All],7,FALSE)),"Fora do DRE",VLOOKUP(Base_Periodo1[[#This Row],[CONTA]],BaseContasDRE[#All],7,FALSE))</f>
        <v>Fora do DRE</v>
      </c>
      <c r="V2599" s="3" t="str">
        <f>IF(Base_Periodo1[[#This Row],[Tipo_Linha]]="Fora do DRE","Fora do DRE","( "&amp;Base_Periodo1[[#This Row],[Tipo_Linha]]&amp;" ) "&amp;Base_Periodo1[[#This Row],[Filtro]])</f>
        <v>Fora do DRE</v>
      </c>
      <c r="W2599" s="3" t="str">
        <f>LEFT(Base_Periodo1[[#This Row],[CLASS]],3)</f>
        <v>2.1</v>
      </c>
    </row>
    <row r="2600" spans="1:23" hidden="1">
      <c r="A2600" s="3" t="str">
        <f t="shared" si="40"/>
        <v>Período 1</v>
      </c>
      <c r="B2600">
        <v>47166</v>
      </c>
      <c r="C2600" t="s">
        <v>1730</v>
      </c>
      <c r="D2600" t="s">
        <v>4912</v>
      </c>
      <c r="E2600" s="3" t="str">
        <f>IF(LEN(Base_Periodo1[[#This Row],[CLASS]])&gt;=7,LEFT(Base_Periodo1[[#This Row],[CLASS]],7),"")</f>
        <v>2.1.2.1</v>
      </c>
      <c r="F2600" s="3" t="str">
        <f>VLOOKUP(Base_Periodo1[[#This Row],[Aux]],Base_Contas_Balanco[#All],2,FALSE)</f>
        <v>Fornecedores Cooperados</v>
      </c>
      <c r="G2600" s="1">
        <v>42881</v>
      </c>
      <c r="I2600" s="225">
        <v>4617.6000000000004</v>
      </c>
      <c r="J2600" s="225">
        <v>4617.6000000000004</v>
      </c>
      <c r="K2600" s="225">
        <v>7.2759576141834259E-12</v>
      </c>
      <c r="L26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00" s="225">
        <f>ROUND(IF(AND(Base_Periodo1[[#This Row],[Tipo_Linha]]="-",Base_Periodo1[[#This Row],[TIPOSALDO]]="D"),Base_Periodo1[[#This Row],[SALDO_ATUAL]]*-1,Base_Periodo1[[#This Row],[SALDO_ATUAL]]),4)</f>
        <v>0</v>
      </c>
      <c r="N2600" t="s">
        <v>116</v>
      </c>
      <c r="O2600" t="s">
        <v>436</v>
      </c>
      <c r="P2600" t="s">
        <v>436</v>
      </c>
      <c r="Q2600">
        <v>7</v>
      </c>
      <c r="R2600" s="225">
        <f>Base_Periodo1[[#This Row],[CREDITOS]]-Base_Periodo1[[#This Row],[DEBITOS]]</f>
        <v>0</v>
      </c>
      <c r="S2600" s="3" t="str">
        <f>IF(ISERROR(VLOOKUP(Base_Periodo1[[#This Row],[CONTA]],BaseContasDRE[#All],4,FALSE)),"Fora do DRE",VLOOKUP(Base_Periodo1[[#This Row],[CONTA]],BaseContasDRE[#All],4,FALSE))</f>
        <v>Fora do DRE</v>
      </c>
      <c r="T2600" s="3" t="str">
        <f>IF(ISERROR(VLOOKUP(Base_Periodo1[[#This Row],[CONTA]],BaseContasDRE[#All],5,FALSE)),"Fora do DRE",VLOOKUP(Base_Periodo1[[#This Row],[CONTA]],BaseContasDRE[#All],6,FALSE))</f>
        <v>Fora do DRE</v>
      </c>
      <c r="U2600" s="3" t="str">
        <f>IF(ISERROR(VLOOKUP(Base_Periodo1[[#This Row],[CONTA]],BaseContasDRE[#All],7,FALSE)),"Fora do DRE",VLOOKUP(Base_Periodo1[[#This Row],[CONTA]],BaseContasDRE[#All],7,FALSE))</f>
        <v>Fora do DRE</v>
      </c>
      <c r="V2600" s="3" t="str">
        <f>IF(Base_Periodo1[[#This Row],[Tipo_Linha]]="Fora do DRE","Fora do DRE","( "&amp;Base_Periodo1[[#This Row],[Tipo_Linha]]&amp;" ) "&amp;Base_Periodo1[[#This Row],[Filtro]])</f>
        <v>Fora do DRE</v>
      </c>
      <c r="W2600" s="3" t="str">
        <f>LEFT(Base_Periodo1[[#This Row],[CLASS]],3)</f>
        <v>2.1</v>
      </c>
    </row>
    <row r="2601" spans="1:23" hidden="1">
      <c r="A2601" s="3" t="str">
        <f t="shared" si="40"/>
        <v>Período 1</v>
      </c>
      <c r="B2601">
        <v>53572</v>
      </c>
      <c r="C2601" t="s">
        <v>1730</v>
      </c>
      <c r="D2601" t="s">
        <v>4775</v>
      </c>
      <c r="E2601" s="3" t="str">
        <f>IF(LEN(Base_Periodo1[[#This Row],[CLASS]])&gt;=7,LEFT(Base_Periodo1[[#This Row],[CLASS]],7),"")</f>
        <v>2.1.2.1</v>
      </c>
      <c r="F2601" s="3" t="str">
        <f>VLOOKUP(Base_Periodo1[[#This Row],[Aux]],Base_Contas_Balanco[#All],2,FALSE)</f>
        <v>Fornecedores Cooperados</v>
      </c>
      <c r="G2601" s="1">
        <v>42884</v>
      </c>
      <c r="I2601" s="225">
        <v>120300.76000000001</v>
      </c>
      <c r="J2601" s="225">
        <v>120302.6</v>
      </c>
      <c r="K2601" s="225">
        <v>1.8400000001129229</v>
      </c>
      <c r="L26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1.84</v>
      </c>
      <c r="M2601" s="225">
        <f>ROUND(IF(AND(Base_Periodo1[[#This Row],[Tipo_Linha]]="-",Base_Periodo1[[#This Row],[TIPOSALDO]]="D"),Base_Periodo1[[#This Row],[SALDO_ATUAL]]*-1,Base_Periodo1[[#This Row],[SALDO_ATUAL]]),4)</f>
        <v>1.84</v>
      </c>
      <c r="N2601" t="s">
        <v>116</v>
      </c>
      <c r="O2601" t="s">
        <v>436</v>
      </c>
      <c r="P2601" t="s">
        <v>459</v>
      </c>
      <c r="Q2601">
        <v>7</v>
      </c>
      <c r="R2601" s="225">
        <f>Base_Periodo1[[#This Row],[CREDITOS]]-Base_Periodo1[[#This Row],[DEBITOS]]</f>
        <v>1.8399999999965075</v>
      </c>
      <c r="S2601" s="3" t="str">
        <f>IF(ISERROR(VLOOKUP(Base_Periodo1[[#This Row],[CONTA]],BaseContasDRE[#All],4,FALSE)),"Fora do DRE",VLOOKUP(Base_Periodo1[[#This Row],[CONTA]],BaseContasDRE[#All],4,FALSE))</f>
        <v>Fora do DRE</v>
      </c>
      <c r="T2601" s="3" t="str">
        <f>IF(ISERROR(VLOOKUP(Base_Periodo1[[#This Row],[CONTA]],BaseContasDRE[#All],5,FALSE)),"Fora do DRE",VLOOKUP(Base_Periodo1[[#This Row],[CONTA]],BaseContasDRE[#All],6,FALSE))</f>
        <v>Fora do DRE</v>
      </c>
      <c r="U2601" s="3" t="str">
        <f>IF(ISERROR(VLOOKUP(Base_Periodo1[[#This Row],[CONTA]],BaseContasDRE[#All],7,FALSE)),"Fora do DRE",VLOOKUP(Base_Periodo1[[#This Row],[CONTA]],BaseContasDRE[#All],7,FALSE))</f>
        <v>Fora do DRE</v>
      </c>
      <c r="V2601" s="3" t="str">
        <f>IF(Base_Periodo1[[#This Row],[Tipo_Linha]]="Fora do DRE","Fora do DRE","( "&amp;Base_Periodo1[[#This Row],[Tipo_Linha]]&amp;" ) "&amp;Base_Periodo1[[#This Row],[Filtro]])</f>
        <v>Fora do DRE</v>
      </c>
      <c r="W2601" s="3" t="str">
        <f>LEFT(Base_Periodo1[[#This Row],[CLASS]],3)</f>
        <v>2.1</v>
      </c>
    </row>
    <row r="2602" spans="1:23" hidden="1">
      <c r="A2602" s="3" t="str">
        <f t="shared" si="40"/>
        <v>Período 1</v>
      </c>
      <c r="B2602">
        <v>13709</v>
      </c>
      <c r="C2602" t="s">
        <v>1730</v>
      </c>
      <c r="D2602" t="s">
        <v>852</v>
      </c>
      <c r="E2602" s="3" t="str">
        <f>IF(LEN(Base_Periodo1[[#This Row],[CLASS]])&gt;=7,LEFT(Base_Periodo1[[#This Row],[CLASS]],7),"")</f>
        <v>2.1.2.1</v>
      </c>
      <c r="F2602" s="3" t="str">
        <f>VLOOKUP(Base_Periodo1[[#This Row],[Aux]],Base_Contas_Balanco[#All],2,FALSE)</f>
        <v>Fornecedores Cooperados</v>
      </c>
      <c r="G2602" s="1">
        <v>42867</v>
      </c>
      <c r="H2602" s="225">
        <v>221.34000000001106</v>
      </c>
      <c r="I2602" s="225">
        <v>91.65</v>
      </c>
      <c r="J2602" s="225">
        <v>0</v>
      </c>
      <c r="K2602" s="225">
        <v>129.69000000001105</v>
      </c>
      <c r="L26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129.69</v>
      </c>
      <c r="M2602" s="225">
        <f>ROUND(IF(AND(Base_Periodo1[[#This Row],[Tipo_Linha]]="-",Base_Periodo1[[#This Row],[TIPOSALDO]]="D"),Base_Periodo1[[#This Row],[SALDO_ATUAL]]*-1,Base_Periodo1[[#This Row],[SALDO_ATUAL]]),4)</f>
        <v>129.69</v>
      </c>
      <c r="N2602" t="s">
        <v>116</v>
      </c>
      <c r="O2602" t="s">
        <v>459</v>
      </c>
      <c r="P2602" t="s">
        <v>459</v>
      </c>
      <c r="Q2602">
        <v>7</v>
      </c>
      <c r="R2602" s="225">
        <f>Base_Periodo1[[#This Row],[CREDITOS]]-Base_Periodo1[[#This Row],[DEBITOS]]</f>
        <v>-91.65</v>
      </c>
      <c r="S2602" s="3" t="str">
        <f>IF(ISERROR(VLOOKUP(Base_Periodo1[[#This Row],[CONTA]],BaseContasDRE[#All],4,FALSE)),"Fora do DRE",VLOOKUP(Base_Periodo1[[#This Row],[CONTA]],BaseContasDRE[#All],4,FALSE))</f>
        <v>Fora do DRE</v>
      </c>
      <c r="T2602" s="3" t="str">
        <f>IF(ISERROR(VLOOKUP(Base_Periodo1[[#This Row],[CONTA]],BaseContasDRE[#All],5,FALSE)),"Fora do DRE",VLOOKUP(Base_Periodo1[[#This Row],[CONTA]],BaseContasDRE[#All],6,FALSE))</f>
        <v>Fora do DRE</v>
      </c>
      <c r="U2602" s="3" t="str">
        <f>IF(ISERROR(VLOOKUP(Base_Periodo1[[#This Row],[CONTA]],BaseContasDRE[#All],7,FALSE)),"Fora do DRE",VLOOKUP(Base_Periodo1[[#This Row],[CONTA]],BaseContasDRE[#All],7,FALSE))</f>
        <v>Fora do DRE</v>
      </c>
      <c r="V2602" s="3" t="str">
        <f>IF(Base_Periodo1[[#This Row],[Tipo_Linha]]="Fora do DRE","Fora do DRE","( "&amp;Base_Periodo1[[#This Row],[Tipo_Linha]]&amp;" ) "&amp;Base_Periodo1[[#This Row],[Filtro]])</f>
        <v>Fora do DRE</v>
      </c>
      <c r="W2602" s="3" t="str">
        <f>LEFT(Base_Periodo1[[#This Row],[CLASS]],3)</f>
        <v>2.1</v>
      </c>
    </row>
    <row r="2603" spans="1:23" hidden="1">
      <c r="A2603" s="3" t="str">
        <f t="shared" si="40"/>
        <v>Período 1</v>
      </c>
      <c r="B2603">
        <v>2465</v>
      </c>
      <c r="C2603" t="s">
        <v>1730</v>
      </c>
      <c r="D2603" t="s">
        <v>853</v>
      </c>
      <c r="E2603" s="3" t="str">
        <f>IF(LEN(Base_Periodo1[[#This Row],[CLASS]])&gt;=7,LEFT(Base_Periodo1[[#This Row],[CLASS]],7),"")</f>
        <v>2.1.2.1</v>
      </c>
      <c r="F2603" s="3" t="str">
        <f>VLOOKUP(Base_Periodo1[[#This Row],[Aux]],Base_Contas_Balanco[#All],2,FALSE)</f>
        <v>Fornecedores Cooperados</v>
      </c>
      <c r="G2603" s="1">
        <v>42860</v>
      </c>
      <c r="H2603" s="225">
        <v>119999.99999999767</v>
      </c>
      <c r="I2603" s="225">
        <v>120000</v>
      </c>
      <c r="J2603" s="225">
        <v>0</v>
      </c>
      <c r="K2603" s="225">
        <v>2.3283064365386963E-9</v>
      </c>
      <c r="L26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03" s="225">
        <f>ROUND(IF(AND(Base_Periodo1[[#This Row],[Tipo_Linha]]="-",Base_Periodo1[[#This Row],[TIPOSALDO]]="D"),Base_Periodo1[[#This Row],[SALDO_ATUAL]]*-1,Base_Periodo1[[#This Row],[SALDO_ATUAL]]),4)</f>
        <v>0</v>
      </c>
      <c r="N2603" t="s">
        <v>116</v>
      </c>
      <c r="O2603" t="s">
        <v>459</v>
      </c>
      <c r="P2603" t="s">
        <v>436</v>
      </c>
      <c r="Q2603">
        <v>7</v>
      </c>
      <c r="R2603" s="225">
        <f>Base_Periodo1[[#This Row],[CREDITOS]]-Base_Periodo1[[#This Row],[DEBITOS]]</f>
        <v>-120000</v>
      </c>
      <c r="S2603" s="3" t="str">
        <f>IF(ISERROR(VLOOKUP(Base_Periodo1[[#This Row],[CONTA]],BaseContasDRE[#All],4,FALSE)),"Fora do DRE",VLOOKUP(Base_Periodo1[[#This Row],[CONTA]],BaseContasDRE[#All],4,FALSE))</f>
        <v>Fora do DRE</v>
      </c>
      <c r="T2603" s="3" t="str">
        <f>IF(ISERROR(VLOOKUP(Base_Periodo1[[#This Row],[CONTA]],BaseContasDRE[#All],5,FALSE)),"Fora do DRE",VLOOKUP(Base_Periodo1[[#This Row],[CONTA]],BaseContasDRE[#All],6,FALSE))</f>
        <v>Fora do DRE</v>
      </c>
      <c r="U2603" s="3" t="str">
        <f>IF(ISERROR(VLOOKUP(Base_Periodo1[[#This Row],[CONTA]],BaseContasDRE[#All],7,FALSE)),"Fora do DRE",VLOOKUP(Base_Periodo1[[#This Row],[CONTA]],BaseContasDRE[#All],7,FALSE))</f>
        <v>Fora do DRE</v>
      </c>
      <c r="V2603" s="3" t="str">
        <f>IF(Base_Periodo1[[#This Row],[Tipo_Linha]]="Fora do DRE","Fora do DRE","( "&amp;Base_Periodo1[[#This Row],[Tipo_Linha]]&amp;" ) "&amp;Base_Periodo1[[#This Row],[Filtro]])</f>
        <v>Fora do DRE</v>
      </c>
      <c r="W2603" s="3" t="str">
        <f>LEFT(Base_Periodo1[[#This Row],[CLASS]],3)</f>
        <v>2.1</v>
      </c>
    </row>
    <row r="2604" spans="1:23" hidden="1">
      <c r="A2604" s="3" t="str">
        <f t="shared" si="40"/>
        <v>Período 1</v>
      </c>
      <c r="B2604">
        <v>39446</v>
      </c>
      <c r="C2604" t="s">
        <v>1730</v>
      </c>
      <c r="D2604" t="s">
        <v>5287</v>
      </c>
      <c r="E2604" s="3" t="str">
        <f>IF(LEN(Base_Periodo1[[#This Row],[CLASS]])&gt;=7,LEFT(Base_Periodo1[[#This Row],[CLASS]],7),"")</f>
        <v>2.1.2.1</v>
      </c>
      <c r="F2604" s="3" t="str">
        <f>VLOOKUP(Base_Periodo1[[#This Row],[Aux]],Base_Contas_Balanco[#All],2,FALSE)</f>
        <v>Fornecedores Cooperados</v>
      </c>
      <c r="G2604" s="1">
        <v>42881</v>
      </c>
      <c r="I2604" s="225">
        <v>68.31</v>
      </c>
      <c r="J2604" s="225">
        <v>2970</v>
      </c>
      <c r="K2604" s="225">
        <v>2901.6900000000292</v>
      </c>
      <c r="L26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2901.69</v>
      </c>
      <c r="M2604" s="225">
        <f>ROUND(IF(AND(Base_Periodo1[[#This Row],[Tipo_Linha]]="-",Base_Periodo1[[#This Row],[TIPOSALDO]]="D"),Base_Periodo1[[#This Row],[SALDO_ATUAL]]*-1,Base_Periodo1[[#This Row],[SALDO_ATUAL]]),4)</f>
        <v>2901.69</v>
      </c>
      <c r="N2604" t="s">
        <v>116</v>
      </c>
      <c r="O2604" t="s">
        <v>436</v>
      </c>
      <c r="P2604" t="s">
        <v>459</v>
      </c>
      <c r="Q2604">
        <v>7</v>
      </c>
      <c r="R2604" s="225">
        <f>Base_Periodo1[[#This Row],[CREDITOS]]-Base_Periodo1[[#This Row],[DEBITOS]]</f>
        <v>2901.69</v>
      </c>
      <c r="S2604" s="3" t="str">
        <f>IF(ISERROR(VLOOKUP(Base_Periodo1[[#This Row],[CONTA]],BaseContasDRE[#All],4,FALSE)),"Fora do DRE",VLOOKUP(Base_Periodo1[[#This Row],[CONTA]],BaseContasDRE[#All],4,FALSE))</f>
        <v>Fora do DRE</v>
      </c>
      <c r="T2604" s="3" t="str">
        <f>IF(ISERROR(VLOOKUP(Base_Periodo1[[#This Row],[CONTA]],BaseContasDRE[#All],5,FALSE)),"Fora do DRE",VLOOKUP(Base_Periodo1[[#This Row],[CONTA]],BaseContasDRE[#All],6,FALSE))</f>
        <v>Fora do DRE</v>
      </c>
      <c r="U2604" s="3" t="str">
        <f>IF(ISERROR(VLOOKUP(Base_Periodo1[[#This Row],[CONTA]],BaseContasDRE[#All],7,FALSE)),"Fora do DRE",VLOOKUP(Base_Periodo1[[#This Row],[CONTA]],BaseContasDRE[#All],7,FALSE))</f>
        <v>Fora do DRE</v>
      </c>
      <c r="V2604" s="3" t="str">
        <f>IF(Base_Periodo1[[#This Row],[Tipo_Linha]]="Fora do DRE","Fora do DRE","( "&amp;Base_Periodo1[[#This Row],[Tipo_Linha]]&amp;" ) "&amp;Base_Periodo1[[#This Row],[Filtro]])</f>
        <v>Fora do DRE</v>
      </c>
      <c r="W2604" s="3" t="str">
        <f>LEFT(Base_Periodo1[[#This Row],[CLASS]],3)</f>
        <v>2.1</v>
      </c>
    </row>
    <row r="2605" spans="1:23" hidden="1">
      <c r="A2605" s="3" t="str">
        <f t="shared" si="40"/>
        <v>Período 1</v>
      </c>
      <c r="B2605">
        <v>5113</v>
      </c>
      <c r="C2605" t="s">
        <v>1730</v>
      </c>
      <c r="D2605" t="s">
        <v>4825</v>
      </c>
      <c r="E2605" s="3" t="str">
        <f>IF(LEN(Base_Periodo1[[#This Row],[CLASS]])&gt;=7,LEFT(Base_Periodo1[[#This Row],[CLASS]],7),"")</f>
        <v>2.1.2.1</v>
      </c>
      <c r="F2605" s="3" t="str">
        <f>VLOOKUP(Base_Periodo1[[#This Row],[Aux]],Base_Contas_Balanco[#All],2,FALSE)</f>
        <v>Fornecedores Cooperados</v>
      </c>
      <c r="G2605" s="1">
        <v>42880</v>
      </c>
      <c r="I2605" s="225">
        <v>1952</v>
      </c>
      <c r="J2605" s="225">
        <v>1952</v>
      </c>
      <c r="K2605" s="225">
        <v>0</v>
      </c>
      <c r="L26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05" s="225">
        <f>ROUND(IF(AND(Base_Periodo1[[#This Row],[Tipo_Linha]]="-",Base_Periodo1[[#This Row],[TIPOSALDO]]="D"),Base_Periodo1[[#This Row],[SALDO_ATUAL]]*-1,Base_Periodo1[[#This Row],[SALDO_ATUAL]]),4)</f>
        <v>0</v>
      </c>
      <c r="N2605" t="s">
        <v>116</v>
      </c>
      <c r="O2605" t="s">
        <v>436</v>
      </c>
      <c r="P2605" t="s">
        <v>436</v>
      </c>
      <c r="Q2605">
        <v>7</v>
      </c>
      <c r="R2605" s="225">
        <f>Base_Periodo1[[#This Row],[CREDITOS]]-Base_Periodo1[[#This Row],[DEBITOS]]</f>
        <v>0</v>
      </c>
      <c r="S2605" s="3" t="str">
        <f>IF(ISERROR(VLOOKUP(Base_Periodo1[[#This Row],[CONTA]],BaseContasDRE[#All],4,FALSE)),"Fora do DRE",VLOOKUP(Base_Periodo1[[#This Row],[CONTA]],BaseContasDRE[#All],4,FALSE))</f>
        <v>Fora do DRE</v>
      </c>
      <c r="T2605" s="3" t="str">
        <f>IF(ISERROR(VLOOKUP(Base_Periodo1[[#This Row],[CONTA]],BaseContasDRE[#All],5,FALSE)),"Fora do DRE",VLOOKUP(Base_Periodo1[[#This Row],[CONTA]],BaseContasDRE[#All],6,FALSE))</f>
        <v>Fora do DRE</v>
      </c>
      <c r="U2605" s="3" t="str">
        <f>IF(ISERROR(VLOOKUP(Base_Periodo1[[#This Row],[CONTA]],BaseContasDRE[#All],7,FALSE)),"Fora do DRE",VLOOKUP(Base_Periodo1[[#This Row],[CONTA]],BaseContasDRE[#All],7,FALSE))</f>
        <v>Fora do DRE</v>
      </c>
      <c r="V2605" s="3" t="str">
        <f>IF(Base_Periodo1[[#This Row],[Tipo_Linha]]="Fora do DRE","Fora do DRE","( "&amp;Base_Periodo1[[#This Row],[Tipo_Linha]]&amp;" ) "&amp;Base_Periodo1[[#This Row],[Filtro]])</f>
        <v>Fora do DRE</v>
      </c>
      <c r="W2605" s="3" t="str">
        <f>LEFT(Base_Periodo1[[#This Row],[CLASS]],3)</f>
        <v>2.1</v>
      </c>
    </row>
    <row r="2606" spans="1:23" hidden="1">
      <c r="A2606" s="3" t="str">
        <f t="shared" si="40"/>
        <v>Período 1</v>
      </c>
      <c r="B2606">
        <v>19070</v>
      </c>
      <c r="C2606" t="s">
        <v>1730</v>
      </c>
      <c r="D2606" t="s">
        <v>4274</v>
      </c>
      <c r="E2606" s="3" t="str">
        <f>IF(LEN(Base_Periodo1[[#This Row],[CLASS]])&gt;=7,LEFT(Base_Periodo1[[#This Row],[CLASS]],7),"")</f>
        <v>2.1.2.1</v>
      </c>
      <c r="F2606" s="3" t="str">
        <f>VLOOKUP(Base_Periodo1[[#This Row],[Aux]],Base_Contas_Balanco[#All],2,FALSE)</f>
        <v>Fornecedores Cooperados</v>
      </c>
      <c r="G2606" s="1">
        <v>42342</v>
      </c>
      <c r="H2606" s="225">
        <v>343.26999999998952</v>
      </c>
      <c r="I2606" s="225">
        <v>0</v>
      </c>
      <c r="J2606" s="225">
        <v>0</v>
      </c>
      <c r="K2606" s="225">
        <v>343.26999999998952</v>
      </c>
      <c r="L26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343.27</v>
      </c>
      <c r="M2606" s="225">
        <f>ROUND(IF(AND(Base_Periodo1[[#This Row],[Tipo_Linha]]="-",Base_Periodo1[[#This Row],[TIPOSALDO]]="D"),Base_Periodo1[[#This Row],[SALDO_ATUAL]]*-1,Base_Periodo1[[#This Row],[SALDO_ATUAL]]),4)</f>
        <v>343.27</v>
      </c>
      <c r="N2606" t="s">
        <v>116</v>
      </c>
      <c r="O2606" t="s">
        <v>459</v>
      </c>
      <c r="P2606" t="s">
        <v>459</v>
      </c>
      <c r="Q2606">
        <v>7</v>
      </c>
      <c r="R2606" s="225">
        <f>Base_Periodo1[[#This Row],[CREDITOS]]-Base_Periodo1[[#This Row],[DEBITOS]]</f>
        <v>0</v>
      </c>
      <c r="S2606" s="3" t="str">
        <f>IF(ISERROR(VLOOKUP(Base_Periodo1[[#This Row],[CONTA]],BaseContasDRE[#All],4,FALSE)),"Fora do DRE",VLOOKUP(Base_Periodo1[[#This Row],[CONTA]],BaseContasDRE[#All],4,FALSE))</f>
        <v>Fora do DRE</v>
      </c>
      <c r="T2606" s="3" t="str">
        <f>IF(ISERROR(VLOOKUP(Base_Periodo1[[#This Row],[CONTA]],BaseContasDRE[#All],5,FALSE)),"Fora do DRE",VLOOKUP(Base_Periodo1[[#This Row],[CONTA]],BaseContasDRE[#All],6,FALSE))</f>
        <v>Fora do DRE</v>
      </c>
      <c r="U2606" s="3" t="str">
        <f>IF(ISERROR(VLOOKUP(Base_Periodo1[[#This Row],[CONTA]],BaseContasDRE[#All],7,FALSE)),"Fora do DRE",VLOOKUP(Base_Periodo1[[#This Row],[CONTA]],BaseContasDRE[#All],7,FALSE))</f>
        <v>Fora do DRE</v>
      </c>
      <c r="V2606" s="3" t="str">
        <f>IF(Base_Periodo1[[#This Row],[Tipo_Linha]]="Fora do DRE","Fora do DRE","( "&amp;Base_Periodo1[[#This Row],[Tipo_Linha]]&amp;" ) "&amp;Base_Periodo1[[#This Row],[Filtro]])</f>
        <v>Fora do DRE</v>
      </c>
      <c r="W2606" s="3" t="str">
        <f>LEFT(Base_Periodo1[[#This Row],[CLASS]],3)</f>
        <v>2.1</v>
      </c>
    </row>
    <row r="2607" spans="1:23" hidden="1">
      <c r="A2607" s="3" t="str">
        <f t="shared" si="40"/>
        <v>Período 1</v>
      </c>
      <c r="B2607">
        <v>7298</v>
      </c>
      <c r="C2607" t="s">
        <v>1730</v>
      </c>
      <c r="D2607" t="s">
        <v>4913</v>
      </c>
      <c r="E2607" s="3" t="str">
        <f>IF(LEN(Base_Periodo1[[#This Row],[CLASS]])&gt;=7,LEFT(Base_Periodo1[[#This Row],[CLASS]],7),"")</f>
        <v>2.1.2.1</v>
      </c>
      <c r="F2607" s="3" t="str">
        <f>VLOOKUP(Base_Periodo1[[#This Row],[Aux]],Base_Contas_Balanco[#All],2,FALSE)</f>
        <v>Fornecedores Cooperados</v>
      </c>
      <c r="G2607" s="1">
        <v>42885</v>
      </c>
      <c r="H2607" s="225">
        <v>4498.6500000003725</v>
      </c>
      <c r="I2607" s="225">
        <v>129638.97</v>
      </c>
      <c r="J2607" s="225">
        <v>129638.97</v>
      </c>
      <c r="K2607" s="225">
        <v>4498.6500000003725</v>
      </c>
      <c r="L26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4498.6499999999996</v>
      </c>
      <c r="M2607" s="225">
        <f>ROUND(IF(AND(Base_Periodo1[[#This Row],[Tipo_Linha]]="-",Base_Periodo1[[#This Row],[TIPOSALDO]]="D"),Base_Periodo1[[#This Row],[SALDO_ATUAL]]*-1,Base_Periodo1[[#This Row],[SALDO_ATUAL]]),4)</f>
        <v>4498.6499999999996</v>
      </c>
      <c r="N2607" t="s">
        <v>116</v>
      </c>
      <c r="O2607" t="s">
        <v>459</v>
      </c>
      <c r="P2607" t="s">
        <v>459</v>
      </c>
      <c r="Q2607">
        <v>7</v>
      </c>
      <c r="R2607" s="225">
        <f>Base_Periodo1[[#This Row],[CREDITOS]]-Base_Periodo1[[#This Row],[DEBITOS]]</f>
        <v>0</v>
      </c>
      <c r="S2607" s="3" t="str">
        <f>IF(ISERROR(VLOOKUP(Base_Periodo1[[#This Row],[CONTA]],BaseContasDRE[#All],4,FALSE)),"Fora do DRE",VLOOKUP(Base_Periodo1[[#This Row],[CONTA]],BaseContasDRE[#All],4,FALSE))</f>
        <v>Fora do DRE</v>
      </c>
      <c r="T2607" s="3" t="str">
        <f>IF(ISERROR(VLOOKUP(Base_Periodo1[[#This Row],[CONTA]],BaseContasDRE[#All],5,FALSE)),"Fora do DRE",VLOOKUP(Base_Periodo1[[#This Row],[CONTA]],BaseContasDRE[#All],6,FALSE))</f>
        <v>Fora do DRE</v>
      </c>
      <c r="U2607" s="3" t="str">
        <f>IF(ISERROR(VLOOKUP(Base_Periodo1[[#This Row],[CONTA]],BaseContasDRE[#All],7,FALSE)),"Fora do DRE",VLOOKUP(Base_Periodo1[[#This Row],[CONTA]],BaseContasDRE[#All],7,FALSE))</f>
        <v>Fora do DRE</v>
      </c>
      <c r="V2607" s="3" t="str">
        <f>IF(Base_Periodo1[[#This Row],[Tipo_Linha]]="Fora do DRE","Fora do DRE","( "&amp;Base_Periodo1[[#This Row],[Tipo_Linha]]&amp;" ) "&amp;Base_Periodo1[[#This Row],[Filtro]])</f>
        <v>Fora do DRE</v>
      </c>
      <c r="W2607" s="3" t="str">
        <f>LEFT(Base_Periodo1[[#This Row],[CLASS]],3)</f>
        <v>2.1</v>
      </c>
    </row>
    <row r="2608" spans="1:23" hidden="1">
      <c r="A2608" s="3" t="str">
        <f t="shared" si="40"/>
        <v>Período 1</v>
      </c>
      <c r="B2608">
        <v>2277</v>
      </c>
      <c r="C2608" t="s">
        <v>1730</v>
      </c>
      <c r="D2608" t="s">
        <v>856</v>
      </c>
      <c r="E2608" s="3" t="str">
        <f>IF(LEN(Base_Periodo1[[#This Row],[CLASS]])&gt;=7,LEFT(Base_Periodo1[[#This Row],[CLASS]],7),"")</f>
        <v>2.1.2.1</v>
      </c>
      <c r="F2608" s="3" t="str">
        <f>VLOOKUP(Base_Periodo1[[#This Row],[Aux]],Base_Contas_Balanco[#All],2,FALSE)</f>
        <v>Fornecedores Cooperados</v>
      </c>
      <c r="G2608" s="1">
        <v>42866</v>
      </c>
      <c r="I2608" s="225">
        <v>10557.760000000002</v>
      </c>
      <c r="J2608" s="225">
        <v>10557.76</v>
      </c>
      <c r="K2608" s="225">
        <v>1.1823431123048067E-10</v>
      </c>
      <c r="L26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08" s="225">
        <f>ROUND(IF(AND(Base_Periodo1[[#This Row],[Tipo_Linha]]="-",Base_Periodo1[[#This Row],[TIPOSALDO]]="D"),Base_Periodo1[[#This Row],[SALDO_ATUAL]]*-1,Base_Periodo1[[#This Row],[SALDO_ATUAL]]),4)</f>
        <v>0</v>
      </c>
      <c r="N2608" t="s">
        <v>116</v>
      </c>
      <c r="O2608" t="s">
        <v>436</v>
      </c>
      <c r="P2608" t="s">
        <v>436</v>
      </c>
      <c r="Q2608">
        <v>7</v>
      </c>
      <c r="R2608" s="225">
        <f>Base_Periodo1[[#This Row],[CREDITOS]]-Base_Periodo1[[#This Row],[DEBITOS]]</f>
        <v>0</v>
      </c>
      <c r="S2608" s="3" t="str">
        <f>IF(ISERROR(VLOOKUP(Base_Periodo1[[#This Row],[CONTA]],BaseContasDRE[#All],4,FALSE)),"Fora do DRE",VLOOKUP(Base_Periodo1[[#This Row],[CONTA]],BaseContasDRE[#All],4,FALSE))</f>
        <v>Fora do DRE</v>
      </c>
      <c r="T2608" s="3" t="str">
        <f>IF(ISERROR(VLOOKUP(Base_Periodo1[[#This Row],[CONTA]],BaseContasDRE[#All],5,FALSE)),"Fora do DRE",VLOOKUP(Base_Periodo1[[#This Row],[CONTA]],BaseContasDRE[#All],6,FALSE))</f>
        <v>Fora do DRE</v>
      </c>
      <c r="U2608" s="3" t="str">
        <f>IF(ISERROR(VLOOKUP(Base_Periodo1[[#This Row],[CONTA]],BaseContasDRE[#All],7,FALSE)),"Fora do DRE",VLOOKUP(Base_Periodo1[[#This Row],[CONTA]],BaseContasDRE[#All],7,FALSE))</f>
        <v>Fora do DRE</v>
      </c>
      <c r="V2608" s="3" t="str">
        <f>IF(Base_Periodo1[[#This Row],[Tipo_Linha]]="Fora do DRE","Fora do DRE","( "&amp;Base_Periodo1[[#This Row],[Tipo_Linha]]&amp;" ) "&amp;Base_Periodo1[[#This Row],[Filtro]])</f>
        <v>Fora do DRE</v>
      </c>
      <c r="W2608" s="3" t="str">
        <f>LEFT(Base_Periodo1[[#This Row],[CLASS]],3)</f>
        <v>2.1</v>
      </c>
    </row>
    <row r="2609" spans="1:23" hidden="1">
      <c r="A2609" s="3" t="str">
        <f t="shared" si="40"/>
        <v>Período 1</v>
      </c>
      <c r="B2609">
        <v>3925</v>
      </c>
      <c r="C2609" t="s">
        <v>1730</v>
      </c>
      <c r="D2609" t="s">
        <v>5015</v>
      </c>
      <c r="E2609" s="3" t="str">
        <f>IF(LEN(Base_Periodo1[[#This Row],[CLASS]])&gt;=7,LEFT(Base_Periodo1[[#This Row],[CLASS]],7),"")</f>
        <v>2.1.2.1</v>
      </c>
      <c r="F2609" s="3" t="str">
        <f>VLOOKUP(Base_Periodo1[[#This Row],[Aux]],Base_Contas_Balanco[#All],2,FALSE)</f>
        <v>Fornecedores Cooperados</v>
      </c>
      <c r="G2609" s="1">
        <v>42886</v>
      </c>
      <c r="H2609" s="225">
        <v>22493.059999999707</v>
      </c>
      <c r="I2609" s="225">
        <v>11724</v>
      </c>
      <c r="J2609" s="225">
        <v>0</v>
      </c>
      <c r="K2609" s="225">
        <v>10769.059999999707</v>
      </c>
      <c r="L26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10769.06</v>
      </c>
      <c r="M2609" s="225">
        <f>ROUND(IF(AND(Base_Periodo1[[#This Row],[Tipo_Linha]]="-",Base_Periodo1[[#This Row],[TIPOSALDO]]="D"),Base_Periodo1[[#This Row],[SALDO_ATUAL]]*-1,Base_Periodo1[[#This Row],[SALDO_ATUAL]]),4)</f>
        <v>10769.06</v>
      </c>
      <c r="N2609" t="s">
        <v>116</v>
      </c>
      <c r="O2609" t="s">
        <v>459</v>
      </c>
      <c r="P2609" t="s">
        <v>459</v>
      </c>
      <c r="Q2609">
        <v>7</v>
      </c>
      <c r="R2609" s="225">
        <f>Base_Periodo1[[#This Row],[CREDITOS]]-Base_Periodo1[[#This Row],[DEBITOS]]</f>
        <v>-11724</v>
      </c>
      <c r="S2609" s="3" t="str">
        <f>IF(ISERROR(VLOOKUP(Base_Periodo1[[#This Row],[CONTA]],BaseContasDRE[#All],4,FALSE)),"Fora do DRE",VLOOKUP(Base_Periodo1[[#This Row],[CONTA]],BaseContasDRE[#All],4,FALSE))</f>
        <v>Fora do DRE</v>
      </c>
      <c r="T2609" s="3" t="str">
        <f>IF(ISERROR(VLOOKUP(Base_Periodo1[[#This Row],[CONTA]],BaseContasDRE[#All],5,FALSE)),"Fora do DRE",VLOOKUP(Base_Periodo1[[#This Row],[CONTA]],BaseContasDRE[#All],6,FALSE))</f>
        <v>Fora do DRE</v>
      </c>
      <c r="U2609" s="3" t="str">
        <f>IF(ISERROR(VLOOKUP(Base_Periodo1[[#This Row],[CONTA]],BaseContasDRE[#All],7,FALSE)),"Fora do DRE",VLOOKUP(Base_Periodo1[[#This Row],[CONTA]],BaseContasDRE[#All],7,FALSE))</f>
        <v>Fora do DRE</v>
      </c>
      <c r="V2609" s="3" t="str">
        <f>IF(Base_Periodo1[[#This Row],[Tipo_Linha]]="Fora do DRE","Fora do DRE","( "&amp;Base_Periodo1[[#This Row],[Tipo_Linha]]&amp;" ) "&amp;Base_Periodo1[[#This Row],[Filtro]])</f>
        <v>Fora do DRE</v>
      </c>
      <c r="W2609" s="3" t="str">
        <f>LEFT(Base_Periodo1[[#This Row],[CLASS]],3)</f>
        <v>2.1</v>
      </c>
    </row>
    <row r="2610" spans="1:23" hidden="1">
      <c r="A2610" s="3" t="str">
        <f t="shared" si="40"/>
        <v>Período 1</v>
      </c>
      <c r="B2610">
        <v>9517</v>
      </c>
      <c r="C2610" t="s">
        <v>1730</v>
      </c>
      <c r="D2610" t="s">
        <v>5510</v>
      </c>
      <c r="E2610" s="3" t="str">
        <f>IF(LEN(Base_Periodo1[[#This Row],[CLASS]])&gt;=7,LEFT(Base_Periodo1[[#This Row],[CLASS]],7),"")</f>
        <v>2.1.2.1</v>
      </c>
      <c r="F2610" s="3" t="str">
        <f>VLOOKUP(Base_Periodo1[[#This Row],[Aux]],Base_Contas_Balanco[#All],2,FALSE)</f>
        <v>Fornecedores Cooperados</v>
      </c>
      <c r="G2610" s="1">
        <v>42885</v>
      </c>
      <c r="I2610" s="225">
        <v>52580.42</v>
      </c>
      <c r="J2610" s="225">
        <v>52580.42</v>
      </c>
      <c r="K2610" s="225">
        <v>0</v>
      </c>
      <c r="L26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10" s="225">
        <f>ROUND(IF(AND(Base_Periodo1[[#This Row],[Tipo_Linha]]="-",Base_Periodo1[[#This Row],[TIPOSALDO]]="D"),Base_Periodo1[[#This Row],[SALDO_ATUAL]]*-1,Base_Periodo1[[#This Row],[SALDO_ATUAL]]),4)</f>
        <v>0</v>
      </c>
      <c r="N2610" t="s">
        <v>116</v>
      </c>
      <c r="O2610" t="s">
        <v>436</v>
      </c>
      <c r="P2610" t="s">
        <v>436</v>
      </c>
      <c r="Q2610">
        <v>7</v>
      </c>
      <c r="R2610" s="225">
        <f>Base_Periodo1[[#This Row],[CREDITOS]]-Base_Periodo1[[#This Row],[DEBITOS]]</f>
        <v>0</v>
      </c>
      <c r="S2610" s="3" t="str">
        <f>IF(ISERROR(VLOOKUP(Base_Periodo1[[#This Row],[CONTA]],BaseContasDRE[#All],4,FALSE)),"Fora do DRE",VLOOKUP(Base_Periodo1[[#This Row],[CONTA]],BaseContasDRE[#All],4,FALSE))</f>
        <v>Fora do DRE</v>
      </c>
      <c r="T2610" s="3" t="str">
        <f>IF(ISERROR(VLOOKUP(Base_Periodo1[[#This Row],[CONTA]],BaseContasDRE[#All],5,FALSE)),"Fora do DRE",VLOOKUP(Base_Periodo1[[#This Row],[CONTA]],BaseContasDRE[#All],6,FALSE))</f>
        <v>Fora do DRE</v>
      </c>
      <c r="U2610" s="3" t="str">
        <f>IF(ISERROR(VLOOKUP(Base_Periodo1[[#This Row],[CONTA]],BaseContasDRE[#All],7,FALSE)),"Fora do DRE",VLOOKUP(Base_Periodo1[[#This Row],[CONTA]],BaseContasDRE[#All],7,FALSE))</f>
        <v>Fora do DRE</v>
      </c>
      <c r="V2610" s="3" t="str">
        <f>IF(Base_Periodo1[[#This Row],[Tipo_Linha]]="Fora do DRE","Fora do DRE","( "&amp;Base_Periodo1[[#This Row],[Tipo_Linha]]&amp;" ) "&amp;Base_Periodo1[[#This Row],[Filtro]])</f>
        <v>Fora do DRE</v>
      </c>
      <c r="W2610" s="3" t="str">
        <f>LEFT(Base_Periodo1[[#This Row],[CLASS]],3)</f>
        <v>2.1</v>
      </c>
    </row>
    <row r="2611" spans="1:23" hidden="1">
      <c r="A2611" s="3" t="str">
        <f t="shared" si="40"/>
        <v>Período 1</v>
      </c>
      <c r="B2611">
        <v>16764</v>
      </c>
      <c r="C2611" t="s">
        <v>1730</v>
      </c>
      <c r="D2611" t="s">
        <v>4275</v>
      </c>
      <c r="E2611" s="3" t="str">
        <f>IF(LEN(Base_Periodo1[[#This Row],[CLASS]])&gt;=7,LEFT(Base_Periodo1[[#This Row],[CLASS]],7),"")</f>
        <v>2.1.2.1</v>
      </c>
      <c r="F2611" s="3" t="str">
        <f>VLOOKUP(Base_Periodo1[[#This Row],[Aux]],Base_Contas_Balanco[#All],2,FALSE)</f>
        <v>Fornecedores Cooperados</v>
      </c>
      <c r="G2611" s="1">
        <v>42340</v>
      </c>
      <c r="H2611" s="225">
        <v>71.120000000000346</v>
      </c>
      <c r="I2611" s="225">
        <v>0</v>
      </c>
      <c r="J2611" s="225">
        <v>0</v>
      </c>
      <c r="K2611" s="225">
        <v>71.120000000000346</v>
      </c>
      <c r="L26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71.12</v>
      </c>
      <c r="M2611" s="225">
        <f>ROUND(IF(AND(Base_Periodo1[[#This Row],[Tipo_Linha]]="-",Base_Periodo1[[#This Row],[TIPOSALDO]]="D"),Base_Periodo1[[#This Row],[SALDO_ATUAL]]*-1,Base_Periodo1[[#This Row],[SALDO_ATUAL]]),4)</f>
        <v>71.12</v>
      </c>
      <c r="N2611" t="s">
        <v>116</v>
      </c>
      <c r="O2611" t="s">
        <v>459</v>
      </c>
      <c r="P2611" t="s">
        <v>459</v>
      </c>
      <c r="Q2611">
        <v>7</v>
      </c>
      <c r="R2611" s="225">
        <f>Base_Periodo1[[#This Row],[CREDITOS]]-Base_Periodo1[[#This Row],[DEBITOS]]</f>
        <v>0</v>
      </c>
      <c r="S2611" s="3" t="str">
        <f>IF(ISERROR(VLOOKUP(Base_Periodo1[[#This Row],[CONTA]],BaseContasDRE[#All],4,FALSE)),"Fora do DRE",VLOOKUP(Base_Periodo1[[#This Row],[CONTA]],BaseContasDRE[#All],4,FALSE))</f>
        <v>Fora do DRE</v>
      </c>
      <c r="T2611" s="3" t="str">
        <f>IF(ISERROR(VLOOKUP(Base_Periodo1[[#This Row],[CONTA]],BaseContasDRE[#All],5,FALSE)),"Fora do DRE",VLOOKUP(Base_Periodo1[[#This Row],[CONTA]],BaseContasDRE[#All],6,FALSE))</f>
        <v>Fora do DRE</v>
      </c>
      <c r="U2611" s="3" t="str">
        <f>IF(ISERROR(VLOOKUP(Base_Periodo1[[#This Row],[CONTA]],BaseContasDRE[#All],7,FALSE)),"Fora do DRE",VLOOKUP(Base_Periodo1[[#This Row],[CONTA]],BaseContasDRE[#All],7,FALSE))</f>
        <v>Fora do DRE</v>
      </c>
      <c r="V2611" s="3" t="str">
        <f>IF(Base_Periodo1[[#This Row],[Tipo_Linha]]="Fora do DRE","Fora do DRE","( "&amp;Base_Periodo1[[#This Row],[Tipo_Linha]]&amp;" ) "&amp;Base_Periodo1[[#This Row],[Filtro]])</f>
        <v>Fora do DRE</v>
      </c>
      <c r="W2611" s="3" t="str">
        <f>LEFT(Base_Periodo1[[#This Row],[CLASS]],3)</f>
        <v>2.1</v>
      </c>
    </row>
    <row r="2612" spans="1:23" hidden="1">
      <c r="A2612" s="3" t="str">
        <f t="shared" si="40"/>
        <v>Período 1</v>
      </c>
      <c r="B2612">
        <v>13689</v>
      </c>
      <c r="C2612" t="s">
        <v>1730</v>
      </c>
      <c r="D2612" t="s">
        <v>5165</v>
      </c>
      <c r="E2612" s="3" t="str">
        <f>IF(LEN(Base_Periodo1[[#This Row],[CLASS]])&gt;=7,LEFT(Base_Periodo1[[#This Row],[CLASS]],7),"")</f>
        <v>2.1.2.1</v>
      </c>
      <c r="F2612" s="3" t="str">
        <f>VLOOKUP(Base_Periodo1[[#This Row],[Aux]],Base_Contas_Balanco[#All],2,FALSE)</f>
        <v>Fornecedores Cooperados</v>
      </c>
      <c r="G2612" s="1">
        <v>42867</v>
      </c>
      <c r="H2612" s="225">
        <v>3304.4400000000023</v>
      </c>
      <c r="I2612" s="225">
        <v>3304.44</v>
      </c>
      <c r="J2612" s="225">
        <v>0</v>
      </c>
      <c r="K2612" s="225">
        <v>-2.2737367544323206E-12</v>
      </c>
      <c r="L26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12" s="225">
        <f>ROUND(IF(AND(Base_Periodo1[[#This Row],[Tipo_Linha]]="-",Base_Periodo1[[#This Row],[TIPOSALDO]]="D"),Base_Periodo1[[#This Row],[SALDO_ATUAL]]*-1,Base_Periodo1[[#This Row],[SALDO_ATUAL]]),4)</f>
        <v>0</v>
      </c>
      <c r="N2612" t="s">
        <v>116</v>
      </c>
      <c r="O2612" t="s">
        <v>459</v>
      </c>
      <c r="P2612" t="s">
        <v>436</v>
      </c>
      <c r="Q2612">
        <v>7</v>
      </c>
      <c r="R2612" s="225">
        <f>Base_Periodo1[[#This Row],[CREDITOS]]-Base_Periodo1[[#This Row],[DEBITOS]]</f>
        <v>-3304.44</v>
      </c>
      <c r="S2612" s="3" t="str">
        <f>IF(ISERROR(VLOOKUP(Base_Periodo1[[#This Row],[CONTA]],BaseContasDRE[#All],4,FALSE)),"Fora do DRE",VLOOKUP(Base_Periodo1[[#This Row],[CONTA]],BaseContasDRE[#All],4,FALSE))</f>
        <v>Fora do DRE</v>
      </c>
      <c r="T2612" s="3" t="str">
        <f>IF(ISERROR(VLOOKUP(Base_Periodo1[[#This Row],[CONTA]],BaseContasDRE[#All],5,FALSE)),"Fora do DRE",VLOOKUP(Base_Periodo1[[#This Row],[CONTA]],BaseContasDRE[#All],6,FALSE))</f>
        <v>Fora do DRE</v>
      </c>
      <c r="U2612" s="3" t="str">
        <f>IF(ISERROR(VLOOKUP(Base_Periodo1[[#This Row],[CONTA]],BaseContasDRE[#All],7,FALSE)),"Fora do DRE",VLOOKUP(Base_Periodo1[[#This Row],[CONTA]],BaseContasDRE[#All],7,FALSE))</f>
        <v>Fora do DRE</v>
      </c>
      <c r="V2612" s="3" t="str">
        <f>IF(Base_Periodo1[[#This Row],[Tipo_Linha]]="Fora do DRE","Fora do DRE","( "&amp;Base_Periodo1[[#This Row],[Tipo_Linha]]&amp;" ) "&amp;Base_Periodo1[[#This Row],[Filtro]])</f>
        <v>Fora do DRE</v>
      </c>
      <c r="W2612" s="3" t="str">
        <f>LEFT(Base_Periodo1[[#This Row],[CLASS]],3)</f>
        <v>2.1</v>
      </c>
    </row>
    <row r="2613" spans="1:23" hidden="1">
      <c r="A2613" s="3" t="str">
        <f t="shared" si="40"/>
        <v>Período 1</v>
      </c>
      <c r="B2613">
        <v>3857</v>
      </c>
      <c r="C2613" t="s">
        <v>1730</v>
      </c>
      <c r="D2613" t="s">
        <v>857</v>
      </c>
      <c r="E2613" s="3" t="str">
        <f>IF(LEN(Base_Periodo1[[#This Row],[CLASS]])&gt;=7,LEFT(Base_Periodo1[[#This Row],[CLASS]],7),"")</f>
        <v>2.1.2.1</v>
      </c>
      <c r="F2613" s="3" t="str">
        <f>VLOOKUP(Base_Periodo1[[#This Row],[Aux]],Base_Contas_Balanco[#All],2,FALSE)</f>
        <v>Fornecedores Cooperados</v>
      </c>
      <c r="G2613" s="1">
        <v>42885</v>
      </c>
      <c r="H2613" s="225">
        <v>244226.8599999994</v>
      </c>
      <c r="I2613" s="225">
        <v>244226.86000000002</v>
      </c>
      <c r="J2613" s="225">
        <v>0</v>
      </c>
      <c r="K2613" s="225">
        <v>6.1118043959140778E-10</v>
      </c>
      <c r="L26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13" s="225">
        <f>ROUND(IF(AND(Base_Periodo1[[#This Row],[Tipo_Linha]]="-",Base_Periodo1[[#This Row],[TIPOSALDO]]="D"),Base_Periodo1[[#This Row],[SALDO_ATUAL]]*-1,Base_Periodo1[[#This Row],[SALDO_ATUAL]]),4)</f>
        <v>0</v>
      </c>
      <c r="N2613" t="s">
        <v>116</v>
      </c>
      <c r="O2613" t="s">
        <v>459</v>
      </c>
      <c r="P2613" t="s">
        <v>436</v>
      </c>
      <c r="Q2613">
        <v>7</v>
      </c>
      <c r="R2613" s="225">
        <f>Base_Periodo1[[#This Row],[CREDITOS]]-Base_Periodo1[[#This Row],[DEBITOS]]</f>
        <v>-244226.86000000002</v>
      </c>
      <c r="S2613" s="3" t="str">
        <f>IF(ISERROR(VLOOKUP(Base_Periodo1[[#This Row],[CONTA]],BaseContasDRE[#All],4,FALSE)),"Fora do DRE",VLOOKUP(Base_Periodo1[[#This Row],[CONTA]],BaseContasDRE[#All],4,FALSE))</f>
        <v>Fora do DRE</v>
      </c>
      <c r="T2613" s="3" t="str">
        <f>IF(ISERROR(VLOOKUP(Base_Periodo1[[#This Row],[CONTA]],BaseContasDRE[#All],5,FALSE)),"Fora do DRE",VLOOKUP(Base_Periodo1[[#This Row],[CONTA]],BaseContasDRE[#All],6,FALSE))</f>
        <v>Fora do DRE</v>
      </c>
      <c r="U2613" s="3" t="str">
        <f>IF(ISERROR(VLOOKUP(Base_Periodo1[[#This Row],[CONTA]],BaseContasDRE[#All],7,FALSE)),"Fora do DRE",VLOOKUP(Base_Periodo1[[#This Row],[CONTA]],BaseContasDRE[#All],7,FALSE))</f>
        <v>Fora do DRE</v>
      </c>
      <c r="V2613" s="3" t="str">
        <f>IF(Base_Periodo1[[#This Row],[Tipo_Linha]]="Fora do DRE","Fora do DRE","( "&amp;Base_Periodo1[[#This Row],[Tipo_Linha]]&amp;" ) "&amp;Base_Periodo1[[#This Row],[Filtro]])</f>
        <v>Fora do DRE</v>
      </c>
      <c r="W2613" s="3" t="str">
        <f>LEFT(Base_Periodo1[[#This Row],[CLASS]],3)</f>
        <v>2.1</v>
      </c>
    </row>
    <row r="2614" spans="1:23" hidden="1">
      <c r="A2614" s="3" t="str">
        <f t="shared" si="40"/>
        <v>Período 1</v>
      </c>
      <c r="B2614">
        <v>8453</v>
      </c>
      <c r="C2614" t="s">
        <v>1730</v>
      </c>
      <c r="D2614" t="s">
        <v>5166</v>
      </c>
      <c r="E2614" s="3" t="str">
        <f>IF(LEN(Base_Periodo1[[#This Row],[CLASS]])&gt;=7,LEFT(Base_Periodo1[[#This Row],[CLASS]],7),"")</f>
        <v>2.1.2.1</v>
      </c>
      <c r="F2614" s="3" t="str">
        <f>VLOOKUP(Base_Periodo1[[#This Row],[Aux]],Base_Contas_Balanco[#All],2,FALSE)</f>
        <v>Fornecedores Cooperados</v>
      </c>
      <c r="G2614" s="1">
        <v>42884</v>
      </c>
      <c r="I2614" s="225">
        <v>136544.79999999999</v>
      </c>
      <c r="J2614" s="225">
        <v>136544.79999999999</v>
      </c>
      <c r="K2614" s="225">
        <v>5.8207660913467407E-11</v>
      </c>
      <c r="L26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14" s="225">
        <f>ROUND(IF(AND(Base_Periodo1[[#This Row],[Tipo_Linha]]="-",Base_Periodo1[[#This Row],[TIPOSALDO]]="D"),Base_Periodo1[[#This Row],[SALDO_ATUAL]]*-1,Base_Periodo1[[#This Row],[SALDO_ATUAL]]),4)</f>
        <v>0</v>
      </c>
      <c r="N2614" t="s">
        <v>116</v>
      </c>
      <c r="O2614" t="s">
        <v>436</v>
      </c>
      <c r="P2614" t="s">
        <v>436</v>
      </c>
      <c r="Q2614">
        <v>7</v>
      </c>
      <c r="R2614" s="225">
        <f>Base_Periodo1[[#This Row],[CREDITOS]]-Base_Periodo1[[#This Row],[DEBITOS]]</f>
        <v>0</v>
      </c>
      <c r="S2614" s="3" t="str">
        <f>IF(ISERROR(VLOOKUP(Base_Periodo1[[#This Row],[CONTA]],BaseContasDRE[#All],4,FALSE)),"Fora do DRE",VLOOKUP(Base_Periodo1[[#This Row],[CONTA]],BaseContasDRE[#All],4,FALSE))</f>
        <v>Fora do DRE</v>
      </c>
      <c r="T2614" s="3" t="str">
        <f>IF(ISERROR(VLOOKUP(Base_Periodo1[[#This Row],[CONTA]],BaseContasDRE[#All],5,FALSE)),"Fora do DRE",VLOOKUP(Base_Periodo1[[#This Row],[CONTA]],BaseContasDRE[#All],6,FALSE))</f>
        <v>Fora do DRE</v>
      </c>
      <c r="U2614" s="3" t="str">
        <f>IF(ISERROR(VLOOKUP(Base_Periodo1[[#This Row],[CONTA]],BaseContasDRE[#All],7,FALSE)),"Fora do DRE",VLOOKUP(Base_Periodo1[[#This Row],[CONTA]],BaseContasDRE[#All],7,FALSE))</f>
        <v>Fora do DRE</v>
      </c>
      <c r="V2614" s="3" t="str">
        <f>IF(Base_Periodo1[[#This Row],[Tipo_Linha]]="Fora do DRE","Fora do DRE","( "&amp;Base_Periodo1[[#This Row],[Tipo_Linha]]&amp;" ) "&amp;Base_Periodo1[[#This Row],[Filtro]])</f>
        <v>Fora do DRE</v>
      </c>
      <c r="W2614" s="3" t="str">
        <f>LEFT(Base_Periodo1[[#This Row],[CLASS]],3)</f>
        <v>2.1</v>
      </c>
    </row>
    <row r="2615" spans="1:23" hidden="1">
      <c r="A2615" s="3" t="str">
        <f t="shared" si="40"/>
        <v>Período 1</v>
      </c>
      <c r="B2615">
        <v>29598</v>
      </c>
      <c r="C2615" t="s">
        <v>1730</v>
      </c>
      <c r="D2615" t="s">
        <v>861</v>
      </c>
      <c r="E2615" s="3" t="str">
        <f>IF(LEN(Base_Periodo1[[#This Row],[CLASS]])&gt;=7,LEFT(Base_Periodo1[[#This Row],[CLASS]],7),"")</f>
        <v>2.1.2.1</v>
      </c>
      <c r="F2615" s="3" t="str">
        <f>VLOOKUP(Base_Periodo1[[#This Row],[Aux]],Base_Contas_Balanco[#All],2,FALSE)</f>
        <v>Fornecedores Cooperados</v>
      </c>
      <c r="G2615" s="1">
        <v>42859</v>
      </c>
      <c r="H2615" s="225">
        <v>7140.7500000004657</v>
      </c>
      <c r="I2615" s="225">
        <v>7084.79</v>
      </c>
      <c r="J2615" s="225">
        <v>0</v>
      </c>
      <c r="K2615" s="225">
        <v>55.960000000465698</v>
      </c>
      <c r="L26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55.96</v>
      </c>
      <c r="M2615" s="225">
        <f>ROUND(IF(AND(Base_Periodo1[[#This Row],[Tipo_Linha]]="-",Base_Periodo1[[#This Row],[TIPOSALDO]]="D"),Base_Periodo1[[#This Row],[SALDO_ATUAL]]*-1,Base_Periodo1[[#This Row],[SALDO_ATUAL]]),4)</f>
        <v>55.96</v>
      </c>
      <c r="N2615" t="s">
        <v>116</v>
      </c>
      <c r="O2615" t="s">
        <v>459</v>
      </c>
      <c r="P2615" t="s">
        <v>459</v>
      </c>
      <c r="Q2615">
        <v>7</v>
      </c>
      <c r="R2615" s="225">
        <f>Base_Periodo1[[#This Row],[CREDITOS]]-Base_Periodo1[[#This Row],[DEBITOS]]</f>
        <v>-7084.79</v>
      </c>
      <c r="S2615" s="3" t="str">
        <f>IF(ISERROR(VLOOKUP(Base_Periodo1[[#This Row],[CONTA]],BaseContasDRE[#All],4,FALSE)),"Fora do DRE",VLOOKUP(Base_Periodo1[[#This Row],[CONTA]],BaseContasDRE[#All],4,FALSE))</f>
        <v>Fora do DRE</v>
      </c>
      <c r="T2615" s="3" t="str">
        <f>IF(ISERROR(VLOOKUP(Base_Periodo1[[#This Row],[CONTA]],BaseContasDRE[#All],5,FALSE)),"Fora do DRE",VLOOKUP(Base_Periodo1[[#This Row],[CONTA]],BaseContasDRE[#All],6,FALSE))</f>
        <v>Fora do DRE</v>
      </c>
      <c r="U2615" s="3" t="str">
        <f>IF(ISERROR(VLOOKUP(Base_Periodo1[[#This Row],[CONTA]],BaseContasDRE[#All],7,FALSE)),"Fora do DRE",VLOOKUP(Base_Periodo1[[#This Row],[CONTA]],BaseContasDRE[#All],7,FALSE))</f>
        <v>Fora do DRE</v>
      </c>
      <c r="V2615" s="3" t="str">
        <f>IF(Base_Periodo1[[#This Row],[Tipo_Linha]]="Fora do DRE","Fora do DRE","( "&amp;Base_Periodo1[[#This Row],[Tipo_Linha]]&amp;" ) "&amp;Base_Periodo1[[#This Row],[Filtro]])</f>
        <v>Fora do DRE</v>
      </c>
      <c r="W2615" s="3" t="str">
        <f>LEFT(Base_Periodo1[[#This Row],[CLASS]],3)</f>
        <v>2.1</v>
      </c>
    </row>
    <row r="2616" spans="1:23" hidden="1">
      <c r="A2616" s="3" t="str">
        <f t="shared" si="40"/>
        <v>Período 1</v>
      </c>
      <c r="B2616">
        <v>49662</v>
      </c>
      <c r="C2616" t="s">
        <v>1730</v>
      </c>
      <c r="D2616" t="s">
        <v>4916</v>
      </c>
      <c r="E2616" s="3" t="str">
        <f>IF(LEN(Base_Periodo1[[#This Row],[CLASS]])&gt;=7,LEFT(Base_Periodo1[[#This Row],[CLASS]],7),"")</f>
        <v>2.1.2.1</v>
      </c>
      <c r="F2616" s="3" t="str">
        <f>VLOOKUP(Base_Periodo1[[#This Row],[Aux]],Base_Contas_Balanco[#All],2,FALSE)</f>
        <v>Fornecedores Cooperados</v>
      </c>
      <c r="G2616" s="1">
        <v>42874</v>
      </c>
      <c r="I2616" s="225">
        <v>147864</v>
      </c>
      <c r="J2616" s="225">
        <v>147864</v>
      </c>
      <c r="K2616" s="225">
        <v>0</v>
      </c>
      <c r="L26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16" s="225">
        <f>ROUND(IF(AND(Base_Periodo1[[#This Row],[Tipo_Linha]]="-",Base_Periodo1[[#This Row],[TIPOSALDO]]="D"),Base_Periodo1[[#This Row],[SALDO_ATUAL]]*-1,Base_Periodo1[[#This Row],[SALDO_ATUAL]]),4)</f>
        <v>0</v>
      </c>
      <c r="N2616" t="s">
        <v>116</v>
      </c>
      <c r="O2616" t="s">
        <v>436</v>
      </c>
      <c r="P2616" t="s">
        <v>436</v>
      </c>
      <c r="Q2616">
        <v>7</v>
      </c>
      <c r="R2616" s="225">
        <f>Base_Periodo1[[#This Row],[CREDITOS]]-Base_Periodo1[[#This Row],[DEBITOS]]</f>
        <v>0</v>
      </c>
      <c r="S2616" s="3" t="str">
        <f>IF(ISERROR(VLOOKUP(Base_Periodo1[[#This Row],[CONTA]],BaseContasDRE[#All],4,FALSE)),"Fora do DRE",VLOOKUP(Base_Periodo1[[#This Row],[CONTA]],BaseContasDRE[#All],4,FALSE))</f>
        <v>Fora do DRE</v>
      </c>
      <c r="T2616" s="3" t="str">
        <f>IF(ISERROR(VLOOKUP(Base_Periodo1[[#This Row],[CONTA]],BaseContasDRE[#All],5,FALSE)),"Fora do DRE",VLOOKUP(Base_Periodo1[[#This Row],[CONTA]],BaseContasDRE[#All],6,FALSE))</f>
        <v>Fora do DRE</v>
      </c>
      <c r="U2616" s="3" t="str">
        <f>IF(ISERROR(VLOOKUP(Base_Periodo1[[#This Row],[CONTA]],BaseContasDRE[#All],7,FALSE)),"Fora do DRE",VLOOKUP(Base_Periodo1[[#This Row],[CONTA]],BaseContasDRE[#All],7,FALSE))</f>
        <v>Fora do DRE</v>
      </c>
      <c r="V2616" s="3" t="str">
        <f>IF(Base_Periodo1[[#This Row],[Tipo_Linha]]="Fora do DRE","Fora do DRE","( "&amp;Base_Periodo1[[#This Row],[Tipo_Linha]]&amp;" ) "&amp;Base_Periodo1[[#This Row],[Filtro]])</f>
        <v>Fora do DRE</v>
      </c>
      <c r="W2616" s="3" t="str">
        <f>LEFT(Base_Periodo1[[#This Row],[CLASS]],3)</f>
        <v>2.1</v>
      </c>
    </row>
    <row r="2617" spans="1:23" hidden="1">
      <c r="A2617" s="3" t="str">
        <f t="shared" si="40"/>
        <v>Período 1</v>
      </c>
      <c r="B2617">
        <v>50716</v>
      </c>
      <c r="C2617" t="s">
        <v>1730</v>
      </c>
      <c r="D2617" t="s">
        <v>5167</v>
      </c>
      <c r="E2617" s="3" t="str">
        <f>IF(LEN(Base_Periodo1[[#This Row],[CLASS]])&gt;=7,LEFT(Base_Periodo1[[#This Row],[CLASS]],7),"")</f>
        <v>2.1.2.1</v>
      </c>
      <c r="F2617" s="3" t="str">
        <f>VLOOKUP(Base_Periodo1[[#This Row],[Aux]],Base_Contas_Balanco[#All],2,FALSE)</f>
        <v>Fornecedores Cooperados</v>
      </c>
      <c r="G2617" s="1">
        <v>42867</v>
      </c>
      <c r="H2617" s="225">
        <v>13834.320000000036</v>
      </c>
      <c r="I2617" s="225">
        <v>19834.32</v>
      </c>
      <c r="J2617" s="225">
        <v>6000</v>
      </c>
      <c r="K2617" s="225">
        <v>-3.637978807091713E-11</v>
      </c>
      <c r="L26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17" s="225">
        <f>ROUND(IF(AND(Base_Periodo1[[#This Row],[Tipo_Linha]]="-",Base_Periodo1[[#This Row],[TIPOSALDO]]="D"),Base_Periodo1[[#This Row],[SALDO_ATUAL]]*-1,Base_Periodo1[[#This Row],[SALDO_ATUAL]]),4)</f>
        <v>0</v>
      </c>
      <c r="N2617" t="s">
        <v>116</v>
      </c>
      <c r="O2617" t="s">
        <v>459</v>
      </c>
      <c r="P2617" t="s">
        <v>436</v>
      </c>
      <c r="Q2617">
        <v>7</v>
      </c>
      <c r="R2617" s="225">
        <f>Base_Periodo1[[#This Row],[CREDITOS]]-Base_Periodo1[[#This Row],[DEBITOS]]</f>
        <v>-13834.32</v>
      </c>
      <c r="S2617" s="3" t="str">
        <f>IF(ISERROR(VLOOKUP(Base_Periodo1[[#This Row],[CONTA]],BaseContasDRE[#All],4,FALSE)),"Fora do DRE",VLOOKUP(Base_Periodo1[[#This Row],[CONTA]],BaseContasDRE[#All],4,FALSE))</f>
        <v>Fora do DRE</v>
      </c>
      <c r="T2617" s="3" t="str">
        <f>IF(ISERROR(VLOOKUP(Base_Periodo1[[#This Row],[CONTA]],BaseContasDRE[#All],5,FALSE)),"Fora do DRE",VLOOKUP(Base_Periodo1[[#This Row],[CONTA]],BaseContasDRE[#All],6,FALSE))</f>
        <v>Fora do DRE</v>
      </c>
      <c r="U2617" s="3" t="str">
        <f>IF(ISERROR(VLOOKUP(Base_Periodo1[[#This Row],[CONTA]],BaseContasDRE[#All],7,FALSE)),"Fora do DRE",VLOOKUP(Base_Periodo1[[#This Row],[CONTA]],BaseContasDRE[#All],7,FALSE))</f>
        <v>Fora do DRE</v>
      </c>
      <c r="V2617" s="3" t="str">
        <f>IF(Base_Periodo1[[#This Row],[Tipo_Linha]]="Fora do DRE","Fora do DRE","( "&amp;Base_Periodo1[[#This Row],[Tipo_Linha]]&amp;" ) "&amp;Base_Periodo1[[#This Row],[Filtro]])</f>
        <v>Fora do DRE</v>
      </c>
      <c r="W2617" s="3" t="str">
        <f>LEFT(Base_Periodo1[[#This Row],[CLASS]],3)</f>
        <v>2.1</v>
      </c>
    </row>
    <row r="2618" spans="1:23" hidden="1">
      <c r="A2618" s="3" t="str">
        <f t="shared" si="40"/>
        <v>Período 1</v>
      </c>
      <c r="B2618">
        <v>20697</v>
      </c>
      <c r="C2618" t="s">
        <v>1730</v>
      </c>
      <c r="D2618" t="s">
        <v>864</v>
      </c>
      <c r="E2618" s="3" t="str">
        <f>IF(LEN(Base_Periodo1[[#This Row],[CLASS]])&gt;=7,LEFT(Base_Periodo1[[#This Row],[CLASS]],7),"")</f>
        <v>2.1.2.1</v>
      </c>
      <c r="F2618" s="3" t="str">
        <f>VLOOKUP(Base_Periodo1[[#This Row],[Aux]],Base_Contas_Balanco[#All],2,FALSE)</f>
        <v>Fornecedores Cooperados</v>
      </c>
      <c r="G2618" s="1">
        <v>42885</v>
      </c>
      <c r="I2618" s="225">
        <v>191.13</v>
      </c>
      <c r="J2618" s="225">
        <v>8310</v>
      </c>
      <c r="K2618" s="225">
        <v>8118.87</v>
      </c>
      <c r="L26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8118.87</v>
      </c>
      <c r="M2618" s="225">
        <f>ROUND(IF(AND(Base_Periodo1[[#This Row],[Tipo_Linha]]="-",Base_Periodo1[[#This Row],[TIPOSALDO]]="D"),Base_Periodo1[[#This Row],[SALDO_ATUAL]]*-1,Base_Periodo1[[#This Row],[SALDO_ATUAL]]),4)</f>
        <v>8118.87</v>
      </c>
      <c r="N2618" t="s">
        <v>116</v>
      </c>
      <c r="O2618" t="s">
        <v>436</v>
      </c>
      <c r="P2618" t="s">
        <v>459</v>
      </c>
      <c r="Q2618">
        <v>7</v>
      </c>
      <c r="R2618" s="225">
        <f>Base_Periodo1[[#This Row],[CREDITOS]]-Base_Periodo1[[#This Row],[DEBITOS]]</f>
        <v>8118.87</v>
      </c>
      <c r="S2618" s="3" t="str">
        <f>IF(ISERROR(VLOOKUP(Base_Periodo1[[#This Row],[CONTA]],BaseContasDRE[#All],4,FALSE)),"Fora do DRE",VLOOKUP(Base_Periodo1[[#This Row],[CONTA]],BaseContasDRE[#All],4,FALSE))</f>
        <v>Fora do DRE</v>
      </c>
      <c r="T2618" s="3" t="str">
        <f>IF(ISERROR(VLOOKUP(Base_Periodo1[[#This Row],[CONTA]],BaseContasDRE[#All],5,FALSE)),"Fora do DRE",VLOOKUP(Base_Periodo1[[#This Row],[CONTA]],BaseContasDRE[#All],6,FALSE))</f>
        <v>Fora do DRE</v>
      </c>
      <c r="U2618" s="3" t="str">
        <f>IF(ISERROR(VLOOKUP(Base_Periodo1[[#This Row],[CONTA]],BaseContasDRE[#All],7,FALSE)),"Fora do DRE",VLOOKUP(Base_Periodo1[[#This Row],[CONTA]],BaseContasDRE[#All],7,FALSE))</f>
        <v>Fora do DRE</v>
      </c>
      <c r="V2618" s="3" t="str">
        <f>IF(Base_Periodo1[[#This Row],[Tipo_Linha]]="Fora do DRE","Fora do DRE","( "&amp;Base_Periodo1[[#This Row],[Tipo_Linha]]&amp;" ) "&amp;Base_Periodo1[[#This Row],[Filtro]])</f>
        <v>Fora do DRE</v>
      </c>
      <c r="W2618" s="3" t="str">
        <f>LEFT(Base_Periodo1[[#This Row],[CLASS]],3)</f>
        <v>2.1</v>
      </c>
    </row>
    <row r="2619" spans="1:23" hidden="1">
      <c r="A2619" s="3" t="str">
        <f t="shared" si="40"/>
        <v>Período 1</v>
      </c>
      <c r="B2619">
        <v>8755</v>
      </c>
      <c r="C2619" t="s">
        <v>1730</v>
      </c>
      <c r="D2619" t="s">
        <v>865</v>
      </c>
      <c r="E2619" s="3" t="str">
        <f>IF(LEN(Base_Periodo1[[#This Row],[CLASS]])&gt;=7,LEFT(Base_Periodo1[[#This Row],[CLASS]],7),"")</f>
        <v>2.1.2.1</v>
      </c>
      <c r="F2619" s="3" t="str">
        <f>VLOOKUP(Base_Periodo1[[#This Row],[Aux]],Base_Contas_Balanco[#All],2,FALSE)</f>
        <v>Fornecedores Cooperados</v>
      </c>
      <c r="G2619" s="1">
        <v>42874</v>
      </c>
      <c r="I2619" s="225">
        <v>4656.62</v>
      </c>
      <c r="J2619" s="225">
        <v>4656.62</v>
      </c>
      <c r="K2619" s="225">
        <v>-1.1641532182693481E-10</v>
      </c>
      <c r="L26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19" s="225">
        <f>ROUND(IF(AND(Base_Periodo1[[#This Row],[Tipo_Linha]]="-",Base_Periodo1[[#This Row],[TIPOSALDO]]="D"),Base_Periodo1[[#This Row],[SALDO_ATUAL]]*-1,Base_Periodo1[[#This Row],[SALDO_ATUAL]]),4)</f>
        <v>0</v>
      </c>
      <c r="N2619" t="s">
        <v>116</v>
      </c>
      <c r="O2619" t="s">
        <v>436</v>
      </c>
      <c r="P2619" t="s">
        <v>436</v>
      </c>
      <c r="Q2619">
        <v>7</v>
      </c>
      <c r="R2619" s="225">
        <f>Base_Periodo1[[#This Row],[CREDITOS]]-Base_Periodo1[[#This Row],[DEBITOS]]</f>
        <v>0</v>
      </c>
      <c r="S2619" s="3" t="str">
        <f>IF(ISERROR(VLOOKUP(Base_Periodo1[[#This Row],[CONTA]],BaseContasDRE[#All],4,FALSE)),"Fora do DRE",VLOOKUP(Base_Periodo1[[#This Row],[CONTA]],BaseContasDRE[#All],4,FALSE))</f>
        <v>Fora do DRE</v>
      </c>
      <c r="T2619" s="3" t="str">
        <f>IF(ISERROR(VLOOKUP(Base_Periodo1[[#This Row],[CONTA]],BaseContasDRE[#All],5,FALSE)),"Fora do DRE",VLOOKUP(Base_Periodo1[[#This Row],[CONTA]],BaseContasDRE[#All],6,FALSE))</f>
        <v>Fora do DRE</v>
      </c>
      <c r="U2619" s="3" t="str">
        <f>IF(ISERROR(VLOOKUP(Base_Periodo1[[#This Row],[CONTA]],BaseContasDRE[#All],7,FALSE)),"Fora do DRE",VLOOKUP(Base_Periodo1[[#This Row],[CONTA]],BaseContasDRE[#All],7,FALSE))</f>
        <v>Fora do DRE</v>
      </c>
      <c r="V2619" s="3" t="str">
        <f>IF(Base_Periodo1[[#This Row],[Tipo_Linha]]="Fora do DRE","Fora do DRE","( "&amp;Base_Periodo1[[#This Row],[Tipo_Linha]]&amp;" ) "&amp;Base_Periodo1[[#This Row],[Filtro]])</f>
        <v>Fora do DRE</v>
      </c>
      <c r="W2619" s="3" t="str">
        <f>LEFT(Base_Periodo1[[#This Row],[CLASS]],3)</f>
        <v>2.1</v>
      </c>
    </row>
    <row r="2620" spans="1:23" hidden="1">
      <c r="A2620" s="3" t="str">
        <f t="shared" si="40"/>
        <v>Período 1</v>
      </c>
      <c r="B2620">
        <v>50706</v>
      </c>
      <c r="C2620" t="s">
        <v>1730</v>
      </c>
      <c r="D2620" t="s">
        <v>981</v>
      </c>
      <c r="E2620" s="3" t="str">
        <f>IF(LEN(Base_Periodo1[[#This Row],[CLASS]])&gt;=7,LEFT(Base_Periodo1[[#This Row],[CLASS]],7),"")</f>
        <v>2.1.2.1</v>
      </c>
      <c r="F2620" s="3" t="str">
        <f>VLOOKUP(Base_Periodo1[[#This Row],[Aux]],Base_Contas_Balanco[#All],2,FALSE)</f>
        <v>Fornecedores Cooperados</v>
      </c>
      <c r="G2620" s="1">
        <v>42863</v>
      </c>
      <c r="I2620" s="225">
        <v>475.61</v>
      </c>
      <c r="J2620" s="225">
        <v>1790.52</v>
      </c>
      <c r="K2620" s="225">
        <v>1314.9100000000581</v>
      </c>
      <c r="L26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1314.91</v>
      </c>
      <c r="M2620" s="225">
        <f>ROUND(IF(AND(Base_Periodo1[[#This Row],[Tipo_Linha]]="-",Base_Periodo1[[#This Row],[TIPOSALDO]]="D"),Base_Periodo1[[#This Row],[SALDO_ATUAL]]*-1,Base_Periodo1[[#This Row],[SALDO_ATUAL]]),4)</f>
        <v>1314.91</v>
      </c>
      <c r="N2620" t="s">
        <v>116</v>
      </c>
      <c r="O2620" t="s">
        <v>436</v>
      </c>
      <c r="P2620" t="s">
        <v>459</v>
      </c>
      <c r="Q2620">
        <v>7</v>
      </c>
      <c r="R2620" s="225">
        <f>Base_Periodo1[[#This Row],[CREDITOS]]-Base_Periodo1[[#This Row],[DEBITOS]]</f>
        <v>1314.9099999999999</v>
      </c>
      <c r="S2620" s="3" t="str">
        <f>IF(ISERROR(VLOOKUP(Base_Periodo1[[#This Row],[CONTA]],BaseContasDRE[#All],4,FALSE)),"Fora do DRE",VLOOKUP(Base_Periodo1[[#This Row],[CONTA]],BaseContasDRE[#All],4,FALSE))</f>
        <v>Fora do DRE</v>
      </c>
      <c r="T2620" s="3" t="str">
        <f>IF(ISERROR(VLOOKUP(Base_Periodo1[[#This Row],[CONTA]],BaseContasDRE[#All],5,FALSE)),"Fora do DRE",VLOOKUP(Base_Periodo1[[#This Row],[CONTA]],BaseContasDRE[#All],6,FALSE))</f>
        <v>Fora do DRE</v>
      </c>
      <c r="U2620" s="3" t="str">
        <f>IF(ISERROR(VLOOKUP(Base_Periodo1[[#This Row],[CONTA]],BaseContasDRE[#All],7,FALSE)),"Fora do DRE",VLOOKUP(Base_Periodo1[[#This Row],[CONTA]],BaseContasDRE[#All],7,FALSE))</f>
        <v>Fora do DRE</v>
      </c>
      <c r="V2620" s="3" t="str">
        <f>IF(Base_Periodo1[[#This Row],[Tipo_Linha]]="Fora do DRE","Fora do DRE","( "&amp;Base_Periodo1[[#This Row],[Tipo_Linha]]&amp;" ) "&amp;Base_Periodo1[[#This Row],[Filtro]])</f>
        <v>Fora do DRE</v>
      </c>
      <c r="W2620" s="3" t="str">
        <f>LEFT(Base_Periodo1[[#This Row],[CLASS]],3)</f>
        <v>2.1</v>
      </c>
    </row>
    <row r="2621" spans="1:23" hidden="1">
      <c r="A2621" s="3" t="str">
        <f t="shared" si="40"/>
        <v>Período 1</v>
      </c>
      <c r="B2621">
        <v>47014</v>
      </c>
      <c r="C2621" t="s">
        <v>1730</v>
      </c>
      <c r="D2621" t="s">
        <v>6858</v>
      </c>
      <c r="E2621" s="3" t="str">
        <f>IF(LEN(Base_Periodo1[[#This Row],[CLASS]])&gt;=7,LEFT(Base_Periodo1[[#This Row],[CLASS]],7),"")</f>
        <v>2.1.2.1</v>
      </c>
      <c r="F2621" s="3" t="str">
        <f>VLOOKUP(Base_Periodo1[[#This Row],[Aux]],Base_Contas_Balanco[#All],2,FALSE)</f>
        <v>Fornecedores Cooperados</v>
      </c>
      <c r="G2621" s="1">
        <v>42874</v>
      </c>
      <c r="I2621" s="225">
        <v>106233.75</v>
      </c>
      <c r="J2621" s="225">
        <v>106233.75</v>
      </c>
      <c r="K2621" s="225">
        <v>-4.6566128730773926E-10</v>
      </c>
      <c r="L26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21" s="225">
        <f>ROUND(IF(AND(Base_Periodo1[[#This Row],[Tipo_Linha]]="-",Base_Periodo1[[#This Row],[TIPOSALDO]]="D"),Base_Periodo1[[#This Row],[SALDO_ATUAL]]*-1,Base_Periodo1[[#This Row],[SALDO_ATUAL]]),4)</f>
        <v>0</v>
      </c>
      <c r="N2621" t="s">
        <v>116</v>
      </c>
      <c r="O2621" t="s">
        <v>436</v>
      </c>
      <c r="P2621" t="s">
        <v>436</v>
      </c>
      <c r="Q2621">
        <v>7</v>
      </c>
      <c r="R2621" s="225">
        <f>Base_Periodo1[[#This Row],[CREDITOS]]-Base_Periodo1[[#This Row],[DEBITOS]]</f>
        <v>0</v>
      </c>
      <c r="S2621" s="3" t="str">
        <f>IF(ISERROR(VLOOKUP(Base_Periodo1[[#This Row],[CONTA]],BaseContasDRE[#All],4,FALSE)),"Fora do DRE",VLOOKUP(Base_Periodo1[[#This Row],[CONTA]],BaseContasDRE[#All],4,FALSE))</f>
        <v>Fora do DRE</v>
      </c>
      <c r="T2621" s="3" t="str">
        <f>IF(ISERROR(VLOOKUP(Base_Periodo1[[#This Row],[CONTA]],BaseContasDRE[#All],5,FALSE)),"Fora do DRE",VLOOKUP(Base_Periodo1[[#This Row],[CONTA]],BaseContasDRE[#All],6,FALSE))</f>
        <v>Fora do DRE</v>
      </c>
      <c r="U2621" s="3" t="str">
        <f>IF(ISERROR(VLOOKUP(Base_Periodo1[[#This Row],[CONTA]],BaseContasDRE[#All],7,FALSE)),"Fora do DRE",VLOOKUP(Base_Periodo1[[#This Row],[CONTA]],BaseContasDRE[#All],7,FALSE))</f>
        <v>Fora do DRE</v>
      </c>
      <c r="V2621" s="3" t="str">
        <f>IF(Base_Periodo1[[#This Row],[Tipo_Linha]]="Fora do DRE","Fora do DRE","( "&amp;Base_Periodo1[[#This Row],[Tipo_Linha]]&amp;" ) "&amp;Base_Periodo1[[#This Row],[Filtro]])</f>
        <v>Fora do DRE</v>
      </c>
      <c r="W2621" s="3" t="str">
        <f>LEFT(Base_Periodo1[[#This Row],[CLASS]],3)</f>
        <v>2.1</v>
      </c>
    </row>
    <row r="2622" spans="1:23" hidden="1">
      <c r="A2622" s="3" t="str">
        <f t="shared" si="40"/>
        <v>Período 1</v>
      </c>
      <c r="B2622">
        <v>56471</v>
      </c>
      <c r="C2622" t="s">
        <v>1730</v>
      </c>
      <c r="D2622" t="s">
        <v>5501</v>
      </c>
      <c r="E2622" s="3" t="str">
        <f>IF(LEN(Base_Periodo1[[#This Row],[CLASS]])&gt;=7,LEFT(Base_Periodo1[[#This Row],[CLASS]],7),"")</f>
        <v>2.1.2.1</v>
      </c>
      <c r="F2622" s="3" t="str">
        <f>VLOOKUP(Base_Periodo1[[#This Row],[Aux]],Base_Contas_Balanco[#All],2,FALSE)</f>
        <v>Fornecedores Cooperados</v>
      </c>
      <c r="G2622" s="1">
        <v>42878</v>
      </c>
      <c r="I2622" s="225">
        <v>27106.510000000002</v>
      </c>
      <c r="J2622" s="225">
        <v>27106.51</v>
      </c>
      <c r="K2622" s="225">
        <v>3.637978807091713E-12</v>
      </c>
      <c r="L26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22" s="225">
        <f>ROUND(IF(AND(Base_Periodo1[[#This Row],[Tipo_Linha]]="-",Base_Periodo1[[#This Row],[TIPOSALDO]]="D"),Base_Periodo1[[#This Row],[SALDO_ATUAL]]*-1,Base_Periodo1[[#This Row],[SALDO_ATUAL]]),4)</f>
        <v>0</v>
      </c>
      <c r="N2622" t="s">
        <v>116</v>
      </c>
      <c r="O2622" t="s">
        <v>436</v>
      </c>
      <c r="P2622" t="s">
        <v>436</v>
      </c>
      <c r="Q2622">
        <v>7</v>
      </c>
      <c r="R2622" s="225">
        <f>Base_Periodo1[[#This Row],[CREDITOS]]-Base_Periodo1[[#This Row],[DEBITOS]]</f>
        <v>0</v>
      </c>
      <c r="S2622" s="3" t="str">
        <f>IF(ISERROR(VLOOKUP(Base_Periodo1[[#This Row],[CONTA]],BaseContasDRE[#All],4,FALSE)),"Fora do DRE",VLOOKUP(Base_Periodo1[[#This Row],[CONTA]],BaseContasDRE[#All],4,FALSE))</f>
        <v>Fora do DRE</v>
      </c>
      <c r="T2622" s="3" t="str">
        <f>IF(ISERROR(VLOOKUP(Base_Periodo1[[#This Row],[CONTA]],BaseContasDRE[#All],5,FALSE)),"Fora do DRE",VLOOKUP(Base_Periodo1[[#This Row],[CONTA]],BaseContasDRE[#All],6,FALSE))</f>
        <v>Fora do DRE</v>
      </c>
      <c r="U2622" s="3" t="str">
        <f>IF(ISERROR(VLOOKUP(Base_Periodo1[[#This Row],[CONTA]],BaseContasDRE[#All],7,FALSE)),"Fora do DRE",VLOOKUP(Base_Periodo1[[#This Row],[CONTA]],BaseContasDRE[#All],7,FALSE))</f>
        <v>Fora do DRE</v>
      </c>
      <c r="V2622" s="3" t="str">
        <f>IF(Base_Periodo1[[#This Row],[Tipo_Linha]]="Fora do DRE","Fora do DRE","( "&amp;Base_Periodo1[[#This Row],[Tipo_Linha]]&amp;" ) "&amp;Base_Periodo1[[#This Row],[Filtro]])</f>
        <v>Fora do DRE</v>
      </c>
      <c r="W2622" s="3" t="str">
        <f>LEFT(Base_Periodo1[[#This Row],[CLASS]],3)</f>
        <v>2.1</v>
      </c>
    </row>
    <row r="2623" spans="1:23" hidden="1">
      <c r="A2623" s="3" t="str">
        <f t="shared" si="40"/>
        <v>Período 1</v>
      </c>
      <c r="B2623">
        <v>19030</v>
      </c>
      <c r="C2623" t="s">
        <v>1730</v>
      </c>
      <c r="D2623" t="s">
        <v>4847</v>
      </c>
      <c r="E2623" s="3" t="str">
        <f>IF(LEN(Base_Periodo1[[#This Row],[CLASS]])&gt;=7,LEFT(Base_Periodo1[[#This Row],[CLASS]],7),"")</f>
        <v>2.1.2.1</v>
      </c>
      <c r="F2623" s="3" t="str">
        <f>VLOOKUP(Base_Periodo1[[#This Row],[Aux]],Base_Contas_Balanco[#All],2,FALSE)</f>
        <v>Fornecedores Cooperados</v>
      </c>
      <c r="G2623" s="1">
        <v>42884</v>
      </c>
      <c r="I2623" s="225">
        <v>37224.17</v>
      </c>
      <c r="J2623" s="225">
        <v>37224.17</v>
      </c>
      <c r="K2623" s="225">
        <v>-5.8207660913467407E-11</v>
      </c>
      <c r="L26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23" s="225">
        <f>ROUND(IF(AND(Base_Periodo1[[#This Row],[Tipo_Linha]]="-",Base_Periodo1[[#This Row],[TIPOSALDO]]="D"),Base_Periodo1[[#This Row],[SALDO_ATUAL]]*-1,Base_Periodo1[[#This Row],[SALDO_ATUAL]]),4)</f>
        <v>0</v>
      </c>
      <c r="N2623" t="s">
        <v>116</v>
      </c>
      <c r="O2623" t="s">
        <v>436</v>
      </c>
      <c r="P2623" t="s">
        <v>436</v>
      </c>
      <c r="Q2623">
        <v>7</v>
      </c>
      <c r="R2623" s="225">
        <f>Base_Periodo1[[#This Row],[CREDITOS]]-Base_Periodo1[[#This Row],[DEBITOS]]</f>
        <v>0</v>
      </c>
      <c r="S2623" s="3" t="str">
        <f>IF(ISERROR(VLOOKUP(Base_Periodo1[[#This Row],[CONTA]],BaseContasDRE[#All],4,FALSE)),"Fora do DRE",VLOOKUP(Base_Periodo1[[#This Row],[CONTA]],BaseContasDRE[#All],4,FALSE))</f>
        <v>Fora do DRE</v>
      </c>
      <c r="T2623" s="3" t="str">
        <f>IF(ISERROR(VLOOKUP(Base_Periodo1[[#This Row],[CONTA]],BaseContasDRE[#All],5,FALSE)),"Fora do DRE",VLOOKUP(Base_Periodo1[[#This Row],[CONTA]],BaseContasDRE[#All],6,FALSE))</f>
        <v>Fora do DRE</v>
      </c>
      <c r="U2623" s="3" t="str">
        <f>IF(ISERROR(VLOOKUP(Base_Periodo1[[#This Row],[CONTA]],BaseContasDRE[#All],7,FALSE)),"Fora do DRE",VLOOKUP(Base_Periodo1[[#This Row],[CONTA]],BaseContasDRE[#All],7,FALSE))</f>
        <v>Fora do DRE</v>
      </c>
      <c r="V2623" s="3" t="str">
        <f>IF(Base_Periodo1[[#This Row],[Tipo_Linha]]="Fora do DRE","Fora do DRE","( "&amp;Base_Periodo1[[#This Row],[Tipo_Linha]]&amp;" ) "&amp;Base_Periodo1[[#This Row],[Filtro]])</f>
        <v>Fora do DRE</v>
      </c>
      <c r="W2623" s="3" t="str">
        <f>LEFT(Base_Periodo1[[#This Row],[CLASS]],3)</f>
        <v>2.1</v>
      </c>
    </row>
    <row r="2624" spans="1:23" hidden="1">
      <c r="A2624" s="3" t="str">
        <f t="shared" si="40"/>
        <v>Período 1</v>
      </c>
      <c r="B2624">
        <v>3677</v>
      </c>
      <c r="C2624" t="s">
        <v>1730</v>
      </c>
      <c r="D2624" t="s">
        <v>870</v>
      </c>
      <c r="E2624" s="3" t="str">
        <f>IF(LEN(Base_Periodo1[[#This Row],[CLASS]])&gt;=7,LEFT(Base_Periodo1[[#This Row],[CLASS]],7),"")</f>
        <v>2.1.2.1</v>
      </c>
      <c r="F2624" s="3" t="str">
        <f>VLOOKUP(Base_Periodo1[[#This Row],[Aux]],Base_Contas_Balanco[#All],2,FALSE)</f>
        <v>Fornecedores Cooperados</v>
      </c>
      <c r="G2624" s="1">
        <v>42884</v>
      </c>
      <c r="H2624" s="225">
        <v>3278.9099999999162</v>
      </c>
      <c r="I2624" s="225">
        <v>21335.89</v>
      </c>
      <c r="J2624" s="225">
        <v>26849.99</v>
      </c>
      <c r="K2624" s="225">
        <v>8793.0099999999184</v>
      </c>
      <c r="L26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8793.01</v>
      </c>
      <c r="M2624" s="225">
        <f>ROUND(IF(AND(Base_Periodo1[[#This Row],[Tipo_Linha]]="-",Base_Periodo1[[#This Row],[TIPOSALDO]]="D"),Base_Periodo1[[#This Row],[SALDO_ATUAL]]*-1,Base_Periodo1[[#This Row],[SALDO_ATUAL]]),4)</f>
        <v>8793.01</v>
      </c>
      <c r="N2624" t="s">
        <v>116</v>
      </c>
      <c r="O2624" t="s">
        <v>459</v>
      </c>
      <c r="P2624" t="s">
        <v>459</v>
      </c>
      <c r="Q2624">
        <v>7</v>
      </c>
      <c r="R2624" s="225">
        <f>Base_Periodo1[[#This Row],[CREDITOS]]-Base_Periodo1[[#This Row],[DEBITOS]]</f>
        <v>5514.1000000000022</v>
      </c>
      <c r="S2624" s="3" t="str">
        <f>IF(ISERROR(VLOOKUP(Base_Periodo1[[#This Row],[CONTA]],BaseContasDRE[#All],4,FALSE)),"Fora do DRE",VLOOKUP(Base_Periodo1[[#This Row],[CONTA]],BaseContasDRE[#All],4,FALSE))</f>
        <v>Fora do DRE</v>
      </c>
      <c r="T2624" s="3" t="str">
        <f>IF(ISERROR(VLOOKUP(Base_Periodo1[[#This Row],[CONTA]],BaseContasDRE[#All],5,FALSE)),"Fora do DRE",VLOOKUP(Base_Periodo1[[#This Row],[CONTA]],BaseContasDRE[#All],6,FALSE))</f>
        <v>Fora do DRE</v>
      </c>
      <c r="U2624" s="3" t="str">
        <f>IF(ISERROR(VLOOKUP(Base_Periodo1[[#This Row],[CONTA]],BaseContasDRE[#All],7,FALSE)),"Fora do DRE",VLOOKUP(Base_Periodo1[[#This Row],[CONTA]],BaseContasDRE[#All],7,FALSE))</f>
        <v>Fora do DRE</v>
      </c>
      <c r="V2624" s="3" t="str">
        <f>IF(Base_Periodo1[[#This Row],[Tipo_Linha]]="Fora do DRE","Fora do DRE","( "&amp;Base_Periodo1[[#This Row],[Tipo_Linha]]&amp;" ) "&amp;Base_Periodo1[[#This Row],[Filtro]])</f>
        <v>Fora do DRE</v>
      </c>
      <c r="W2624" s="3" t="str">
        <f>LEFT(Base_Periodo1[[#This Row],[CLASS]],3)</f>
        <v>2.1</v>
      </c>
    </row>
    <row r="2625" spans="1:23" hidden="1">
      <c r="A2625" s="3" t="str">
        <f t="shared" si="40"/>
        <v>Período 1</v>
      </c>
      <c r="B2625">
        <v>3433</v>
      </c>
      <c r="C2625" t="s">
        <v>1730</v>
      </c>
      <c r="D2625" t="s">
        <v>4200</v>
      </c>
      <c r="E2625" s="3" t="str">
        <f>IF(LEN(Base_Periodo1[[#This Row],[CLASS]])&gt;=7,LEFT(Base_Periodo1[[#This Row],[CLASS]],7),"")</f>
        <v>2.1.2.1</v>
      </c>
      <c r="F2625" s="3" t="str">
        <f>VLOOKUP(Base_Periodo1[[#This Row],[Aux]],Base_Contas_Balanco[#All],2,FALSE)</f>
        <v>Fornecedores Cooperados</v>
      </c>
      <c r="G2625" s="1">
        <v>42885</v>
      </c>
      <c r="I2625" s="225">
        <v>115713.98999999999</v>
      </c>
      <c r="J2625" s="225">
        <v>115713.99</v>
      </c>
      <c r="K2625" s="225">
        <v>1.0186340659856796E-10</v>
      </c>
      <c r="L26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25" s="225">
        <f>ROUND(IF(AND(Base_Periodo1[[#This Row],[Tipo_Linha]]="-",Base_Periodo1[[#This Row],[TIPOSALDO]]="D"),Base_Periodo1[[#This Row],[SALDO_ATUAL]]*-1,Base_Periodo1[[#This Row],[SALDO_ATUAL]]),4)</f>
        <v>0</v>
      </c>
      <c r="N2625" t="s">
        <v>116</v>
      </c>
      <c r="O2625" t="s">
        <v>436</v>
      </c>
      <c r="P2625" t="s">
        <v>436</v>
      </c>
      <c r="Q2625">
        <v>7</v>
      </c>
      <c r="R2625" s="225">
        <f>Base_Periodo1[[#This Row],[CREDITOS]]-Base_Periodo1[[#This Row],[DEBITOS]]</f>
        <v>0</v>
      </c>
      <c r="S2625" s="3" t="str">
        <f>IF(ISERROR(VLOOKUP(Base_Periodo1[[#This Row],[CONTA]],BaseContasDRE[#All],4,FALSE)),"Fora do DRE",VLOOKUP(Base_Periodo1[[#This Row],[CONTA]],BaseContasDRE[#All],4,FALSE))</f>
        <v>Fora do DRE</v>
      </c>
      <c r="T2625" s="3" t="str">
        <f>IF(ISERROR(VLOOKUP(Base_Periodo1[[#This Row],[CONTA]],BaseContasDRE[#All],5,FALSE)),"Fora do DRE",VLOOKUP(Base_Periodo1[[#This Row],[CONTA]],BaseContasDRE[#All],6,FALSE))</f>
        <v>Fora do DRE</v>
      </c>
      <c r="U2625" s="3" t="str">
        <f>IF(ISERROR(VLOOKUP(Base_Periodo1[[#This Row],[CONTA]],BaseContasDRE[#All],7,FALSE)),"Fora do DRE",VLOOKUP(Base_Periodo1[[#This Row],[CONTA]],BaseContasDRE[#All],7,FALSE))</f>
        <v>Fora do DRE</v>
      </c>
      <c r="V2625" s="3" t="str">
        <f>IF(Base_Periodo1[[#This Row],[Tipo_Linha]]="Fora do DRE","Fora do DRE","( "&amp;Base_Periodo1[[#This Row],[Tipo_Linha]]&amp;" ) "&amp;Base_Periodo1[[#This Row],[Filtro]])</f>
        <v>Fora do DRE</v>
      </c>
      <c r="W2625" s="3" t="str">
        <f>LEFT(Base_Periodo1[[#This Row],[CLASS]],3)</f>
        <v>2.1</v>
      </c>
    </row>
    <row r="2626" spans="1:23" hidden="1">
      <c r="A2626" s="3" t="str">
        <f t="shared" si="40"/>
        <v>Período 1</v>
      </c>
      <c r="B2626">
        <v>48133</v>
      </c>
      <c r="C2626" t="s">
        <v>1730</v>
      </c>
      <c r="D2626" t="s">
        <v>4192</v>
      </c>
      <c r="E2626" s="3" t="str">
        <f>IF(LEN(Base_Periodo1[[#This Row],[CLASS]])&gt;=7,LEFT(Base_Periodo1[[#This Row],[CLASS]],7),"")</f>
        <v>2.1.2.1</v>
      </c>
      <c r="F2626" s="3" t="str">
        <f>VLOOKUP(Base_Periodo1[[#This Row],[Aux]],Base_Contas_Balanco[#All],2,FALSE)</f>
        <v>Fornecedores Cooperados</v>
      </c>
      <c r="G2626" s="1">
        <v>42885</v>
      </c>
      <c r="H2626" s="225">
        <v>39080.010000000068</v>
      </c>
      <c r="I2626" s="225">
        <v>39080.01</v>
      </c>
      <c r="J2626" s="225">
        <v>0</v>
      </c>
      <c r="K2626" s="225">
        <v>-6.5483618527650833E-11</v>
      </c>
      <c r="L26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26" s="225">
        <f>ROUND(IF(AND(Base_Periodo1[[#This Row],[Tipo_Linha]]="-",Base_Periodo1[[#This Row],[TIPOSALDO]]="D"),Base_Periodo1[[#This Row],[SALDO_ATUAL]]*-1,Base_Periodo1[[#This Row],[SALDO_ATUAL]]),4)</f>
        <v>0</v>
      </c>
      <c r="N2626" t="s">
        <v>116</v>
      </c>
      <c r="O2626" t="s">
        <v>459</v>
      </c>
      <c r="P2626" t="s">
        <v>436</v>
      </c>
      <c r="Q2626">
        <v>7</v>
      </c>
      <c r="R2626" s="225">
        <f>Base_Periodo1[[#This Row],[CREDITOS]]-Base_Periodo1[[#This Row],[DEBITOS]]</f>
        <v>-39080.01</v>
      </c>
      <c r="S2626" s="3" t="str">
        <f>IF(ISERROR(VLOOKUP(Base_Periodo1[[#This Row],[CONTA]],BaseContasDRE[#All],4,FALSE)),"Fora do DRE",VLOOKUP(Base_Periodo1[[#This Row],[CONTA]],BaseContasDRE[#All],4,FALSE))</f>
        <v>Fora do DRE</v>
      </c>
      <c r="T2626" s="3" t="str">
        <f>IF(ISERROR(VLOOKUP(Base_Periodo1[[#This Row],[CONTA]],BaseContasDRE[#All],5,FALSE)),"Fora do DRE",VLOOKUP(Base_Periodo1[[#This Row],[CONTA]],BaseContasDRE[#All],6,FALSE))</f>
        <v>Fora do DRE</v>
      </c>
      <c r="U2626" s="3" t="str">
        <f>IF(ISERROR(VLOOKUP(Base_Periodo1[[#This Row],[CONTA]],BaseContasDRE[#All],7,FALSE)),"Fora do DRE",VLOOKUP(Base_Periodo1[[#This Row],[CONTA]],BaseContasDRE[#All],7,FALSE))</f>
        <v>Fora do DRE</v>
      </c>
      <c r="V2626" s="3" t="str">
        <f>IF(Base_Periodo1[[#This Row],[Tipo_Linha]]="Fora do DRE","Fora do DRE","( "&amp;Base_Periodo1[[#This Row],[Tipo_Linha]]&amp;" ) "&amp;Base_Periodo1[[#This Row],[Filtro]])</f>
        <v>Fora do DRE</v>
      </c>
      <c r="W2626" s="3" t="str">
        <f>LEFT(Base_Periodo1[[#This Row],[CLASS]],3)</f>
        <v>2.1</v>
      </c>
    </row>
    <row r="2627" spans="1:23" hidden="1">
      <c r="A2627" s="3" t="str">
        <f t="shared" si="40"/>
        <v>Período 1</v>
      </c>
      <c r="B2627">
        <v>4429</v>
      </c>
      <c r="C2627" t="s">
        <v>1730</v>
      </c>
      <c r="D2627" t="s">
        <v>871</v>
      </c>
      <c r="E2627" s="3" t="str">
        <f>IF(LEN(Base_Periodo1[[#This Row],[CLASS]])&gt;=7,LEFT(Base_Periodo1[[#This Row],[CLASS]],7),"")</f>
        <v>2.1.2.1</v>
      </c>
      <c r="F2627" s="3" t="str">
        <f>VLOOKUP(Base_Periodo1[[#This Row],[Aux]],Base_Contas_Balanco[#All],2,FALSE)</f>
        <v>Fornecedores Cooperados</v>
      </c>
      <c r="G2627" s="1">
        <v>42886</v>
      </c>
      <c r="I2627" s="225">
        <v>33285.279999999999</v>
      </c>
      <c r="J2627" s="225">
        <v>47333.649999999994</v>
      </c>
      <c r="K2627" s="225">
        <v>14048.369999999995</v>
      </c>
      <c r="L26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14048.37</v>
      </c>
      <c r="M2627" s="225">
        <f>ROUND(IF(AND(Base_Periodo1[[#This Row],[Tipo_Linha]]="-",Base_Periodo1[[#This Row],[TIPOSALDO]]="D"),Base_Periodo1[[#This Row],[SALDO_ATUAL]]*-1,Base_Periodo1[[#This Row],[SALDO_ATUAL]]),4)</f>
        <v>14048.37</v>
      </c>
      <c r="N2627" t="s">
        <v>116</v>
      </c>
      <c r="O2627" t="s">
        <v>436</v>
      </c>
      <c r="P2627" t="s">
        <v>459</v>
      </c>
      <c r="Q2627">
        <v>7</v>
      </c>
      <c r="R2627" s="225">
        <f>Base_Periodo1[[#This Row],[CREDITOS]]-Base_Periodo1[[#This Row],[DEBITOS]]</f>
        <v>14048.369999999995</v>
      </c>
      <c r="S2627" s="3" t="str">
        <f>IF(ISERROR(VLOOKUP(Base_Periodo1[[#This Row],[CONTA]],BaseContasDRE[#All],4,FALSE)),"Fora do DRE",VLOOKUP(Base_Periodo1[[#This Row],[CONTA]],BaseContasDRE[#All],4,FALSE))</f>
        <v>Fora do DRE</v>
      </c>
      <c r="T2627" s="3" t="str">
        <f>IF(ISERROR(VLOOKUP(Base_Periodo1[[#This Row],[CONTA]],BaseContasDRE[#All],5,FALSE)),"Fora do DRE",VLOOKUP(Base_Periodo1[[#This Row],[CONTA]],BaseContasDRE[#All],6,FALSE))</f>
        <v>Fora do DRE</v>
      </c>
      <c r="U2627" s="3" t="str">
        <f>IF(ISERROR(VLOOKUP(Base_Periodo1[[#This Row],[CONTA]],BaseContasDRE[#All],7,FALSE)),"Fora do DRE",VLOOKUP(Base_Periodo1[[#This Row],[CONTA]],BaseContasDRE[#All],7,FALSE))</f>
        <v>Fora do DRE</v>
      </c>
      <c r="V2627" s="3" t="str">
        <f>IF(Base_Periodo1[[#This Row],[Tipo_Linha]]="Fora do DRE","Fora do DRE","( "&amp;Base_Periodo1[[#This Row],[Tipo_Linha]]&amp;" ) "&amp;Base_Periodo1[[#This Row],[Filtro]])</f>
        <v>Fora do DRE</v>
      </c>
      <c r="W2627" s="3" t="str">
        <f>LEFT(Base_Periodo1[[#This Row],[CLASS]],3)</f>
        <v>2.1</v>
      </c>
    </row>
    <row r="2628" spans="1:23" hidden="1">
      <c r="A2628" s="3" t="str">
        <f t="shared" si="40"/>
        <v>Período 1</v>
      </c>
      <c r="B2628">
        <v>2649</v>
      </c>
      <c r="C2628" t="s">
        <v>1730</v>
      </c>
      <c r="D2628" t="s">
        <v>872</v>
      </c>
      <c r="E2628" s="3" t="str">
        <f>IF(LEN(Base_Periodo1[[#This Row],[CLASS]])&gt;=7,LEFT(Base_Periodo1[[#This Row],[CLASS]],7),"")</f>
        <v>2.1.2.1</v>
      </c>
      <c r="F2628" s="3" t="str">
        <f>VLOOKUP(Base_Periodo1[[#This Row],[Aux]],Base_Contas_Balanco[#All],2,FALSE)</f>
        <v>Fornecedores Cooperados</v>
      </c>
      <c r="G2628" s="1">
        <v>42871</v>
      </c>
      <c r="I2628" s="225">
        <v>8008.0700000000006</v>
      </c>
      <c r="J2628" s="225">
        <v>8008.07</v>
      </c>
      <c r="K2628" s="225">
        <v>1.86355464393273E-9</v>
      </c>
      <c r="L26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28" s="225">
        <f>ROUND(IF(AND(Base_Periodo1[[#This Row],[Tipo_Linha]]="-",Base_Periodo1[[#This Row],[TIPOSALDO]]="D"),Base_Periodo1[[#This Row],[SALDO_ATUAL]]*-1,Base_Periodo1[[#This Row],[SALDO_ATUAL]]),4)</f>
        <v>0</v>
      </c>
      <c r="N2628" t="s">
        <v>116</v>
      </c>
      <c r="O2628" t="s">
        <v>436</v>
      </c>
      <c r="P2628" t="s">
        <v>436</v>
      </c>
      <c r="Q2628">
        <v>7</v>
      </c>
      <c r="R2628" s="225">
        <f>Base_Periodo1[[#This Row],[CREDITOS]]-Base_Periodo1[[#This Row],[DEBITOS]]</f>
        <v>0</v>
      </c>
      <c r="S2628" s="3" t="str">
        <f>IF(ISERROR(VLOOKUP(Base_Periodo1[[#This Row],[CONTA]],BaseContasDRE[#All],4,FALSE)),"Fora do DRE",VLOOKUP(Base_Periodo1[[#This Row],[CONTA]],BaseContasDRE[#All],4,FALSE))</f>
        <v>Fora do DRE</v>
      </c>
      <c r="T2628" s="3" t="str">
        <f>IF(ISERROR(VLOOKUP(Base_Periodo1[[#This Row],[CONTA]],BaseContasDRE[#All],5,FALSE)),"Fora do DRE",VLOOKUP(Base_Periodo1[[#This Row],[CONTA]],BaseContasDRE[#All],6,FALSE))</f>
        <v>Fora do DRE</v>
      </c>
      <c r="U2628" s="3" t="str">
        <f>IF(ISERROR(VLOOKUP(Base_Periodo1[[#This Row],[CONTA]],BaseContasDRE[#All],7,FALSE)),"Fora do DRE",VLOOKUP(Base_Periodo1[[#This Row],[CONTA]],BaseContasDRE[#All],7,FALSE))</f>
        <v>Fora do DRE</v>
      </c>
      <c r="V2628" s="3" t="str">
        <f>IF(Base_Periodo1[[#This Row],[Tipo_Linha]]="Fora do DRE","Fora do DRE","( "&amp;Base_Periodo1[[#This Row],[Tipo_Linha]]&amp;" ) "&amp;Base_Periodo1[[#This Row],[Filtro]])</f>
        <v>Fora do DRE</v>
      </c>
      <c r="W2628" s="3" t="str">
        <f>LEFT(Base_Periodo1[[#This Row],[CLASS]],3)</f>
        <v>2.1</v>
      </c>
    </row>
    <row r="2629" spans="1:23" hidden="1">
      <c r="A2629" s="3" t="str">
        <f t="shared" si="40"/>
        <v>Período 1</v>
      </c>
      <c r="B2629">
        <v>2253</v>
      </c>
      <c r="C2629" t="s">
        <v>1730</v>
      </c>
      <c r="D2629" t="s">
        <v>873</v>
      </c>
      <c r="E2629" s="3" t="str">
        <f>IF(LEN(Base_Periodo1[[#This Row],[CLASS]])&gt;=7,LEFT(Base_Periodo1[[#This Row],[CLASS]],7),"")</f>
        <v>2.1.2.1</v>
      </c>
      <c r="F2629" s="3" t="str">
        <f>VLOOKUP(Base_Periodo1[[#This Row],[Aux]],Base_Contas_Balanco[#All],2,FALSE)</f>
        <v>Fornecedores Cooperados</v>
      </c>
      <c r="G2629" s="1">
        <v>42879</v>
      </c>
      <c r="H2629" s="225">
        <v>6171.6300000008196</v>
      </c>
      <c r="I2629" s="225">
        <v>70662.92</v>
      </c>
      <c r="J2629" s="225">
        <v>132799.43</v>
      </c>
      <c r="K2629" s="225">
        <v>68308.140000000814</v>
      </c>
      <c r="L26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68308.14</v>
      </c>
      <c r="M2629" s="225">
        <f>ROUND(IF(AND(Base_Periodo1[[#This Row],[Tipo_Linha]]="-",Base_Periodo1[[#This Row],[TIPOSALDO]]="D"),Base_Periodo1[[#This Row],[SALDO_ATUAL]]*-1,Base_Periodo1[[#This Row],[SALDO_ATUAL]]),4)</f>
        <v>68308.14</v>
      </c>
      <c r="N2629" t="s">
        <v>116</v>
      </c>
      <c r="O2629" t="s">
        <v>459</v>
      </c>
      <c r="P2629" t="s">
        <v>459</v>
      </c>
      <c r="Q2629">
        <v>7</v>
      </c>
      <c r="R2629" s="225">
        <f>Base_Periodo1[[#This Row],[CREDITOS]]-Base_Periodo1[[#This Row],[DEBITOS]]</f>
        <v>62136.509999999995</v>
      </c>
      <c r="S2629" s="3" t="str">
        <f>IF(ISERROR(VLOOKUP(Base_Periodo1[[#This Row],[CONTA]],BaseContasDRE[#All],4,FALSE)),"Fora do DRE",VLOOKUP(Base_Periodo1[[#This Row],[CONTA]],BaseContasDRE[#All],4,FALSE))</f>
        <v>Fora do DRE</v>
      </c>
      <c r="T2629" s="3" t="str">
        <f>IF(ISERROR(VLOOKUP(Base_Periodo1[[#This Row],[CONTA]],BaseContasDRE[#All],5,FALSE)),"Fora do DRE",VLOOKUP(Base_Periodo1[[#This Row],[CONTA]],BaseContasDRE[#All],6,FALSE))</f>
        <v>Fora do DRE</v>
      </c>
      <c r="U2629" s="3" t="str">
        <f>IF(ISERROR(VLOOKUP(Base_Periodo1[[#This Row],[CONTA]],BaseContasDRE[#All],7,FALSE)),"Fora do DRE",VLOOKUP(Base_Periodo1[[#This Row],[CONTA]],BaseContasDRE[#All],7,FALSE))</f>
        <v>Fora do DRE</v>
      </c>
      <c r="V2629" s="3" t="str">
        <f>IF(Base_Periodo1[[#This Row],[Tipo_Linha]]="Fora do DRE","Fora do DRE","( "&amp;Base_Periodo1[[#This Row],[Tipo_Linha]]&amp;" ) "&amp;Base_Periodo1[[#This Row],[Filtro]])</f>
        <v>Fora do DRE</v>
      </c>
      <c r="W2629" s="3" t="str">
        <f>LEFT(Base_Periodo1[[#This Row],[CLASS]],3)</f>
        <v>2.1</v>
      </c>
    </row>
    <row r="2630" spans="1:23" hidden="1">
      <c r="A2630" s="3" t="str">
        <f t="shared" ref="A2630:A2693" si="41">"Período 1"</f>
        <v>Período 1</v>
      </c>
      <c r="B2630">
        <v>3373</v>
      </c>
      <c r="C2630" t="s">
        <v>1730</v>
      </c>
      <c r="D2630" t="s">
        <v>874</v>
      </c>
      <c r="E2630" s="3" t="str">
        <f>IF(LEN(Base_Periodo1[[#This Row],[CLASS]])&gt;=7,LEFT(Base_Periodo1[[#This Row],[CLASS]],7),"")</f>
        <v>2.1.2.1</v>
      </c>
      <c r="F2630" s="3" t="str">
        <f>VLOOKUP(Base_Periodo1[[#This Row],[Aux]],Base_Contas_Balanco[#All],2,FALSE)</f>
        <v>Fornecedores Cooperados</v>
      </c>
      <c r="G2630" s="1">
        <v>42866</v>
      </c>
      <c r="H2630" s="225">
        <v>206.39999999996508</v>
      </c>
      <c r="I2630" s="225">
        <v>104.44</v>
      </c>
      <c r="J2630" s="225">
        <v>0</v>
      </c>
      <c r="K2630" s="225">
        <v>101.95999999996508</v>
      </c>
      <c r="L26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101.96</v>
      </c>
      <c r="M2630" s="225">
        <f>ROUND(IF(AND(Base_Periodo1[[#This Row],[Tipo_Linha]]="-",Base_Periodo1[[#This Row],[TIPOSALDO]]="D"),Base_Periodo1[[#This Row],[SALDO_ATUAL]]*-1,Base_Periodo1[[#This Row],[SALDO_ATUAL]]),4)</f>
        <v>101.96</v>
      </c>
      <c r="N2630" t="s">
        <v>116</v>
      </c>
      <c r="O2630" t="s">
        <v>459</v>
      </c>
      <c r="P2630" t="s">
        <v>459</v>
      </c>
      <c r="Q2630">
        <v>7</v>
      </c>
      <c r="R2630" s="225">
        <f>Base_Periodo1[[#This Row],[CREDITOS]]-Base_Periodo1[[#This Row],[DEBITOS]]</f>
        <v>-104.44</v>
      </c>
      <c r="S2630" s="3" t="str">
        <f>IF(ISERROR(VLOOKUP(Base_Periodo1[[#This Row],[CONTA]],BaseContasDRE[#All],4,FALSE)),"Fora do DRE",VLOOKUP(Base_Periodo1[[#This Row],[CONTA]],BaseContasDRE[#All],4,FALSE))</f>
        <v>Fora do DRE</v>
      </c>
      <c r="T2630" s="3" t="str">
        <f>IF(ISERROR(VLOOKUP(Base_Periodo1[[#This Row],[CONTA]],BaseContasDRE[#All],5,FALSE)),"Fora do DRE",VLOOKUP(Base_Periodo1[[#This Row],[CONTA]],BaseContasDRE[#All],6,FALSE))</f>
        <v>Fora do DRE</v>
      </c>
      <c r="U2630" s="3" t="str">
        <f>IF(ISERROR(VLOOKUP(Base_Periodo1[[#This Row],[CONTA]],BaseContasDRE[#All],7,FALSE)),"Fora do DRE",VLOOKUP(Base_Periodo1[[#This Row],[CONTA]],BaseContasDRE[#All],7,FALSE))</f>
        <v>Fora do DRE</v>
      </c>
      <c r="V2630" s="3" t="str">
        <f>IF(Base_Periodo1[[#This Row],[Tipo_Linha]]="Fora do DRE","Fora do DRE","( "&amp;Base_Periodo1[[#This Row],[Tipo_Linha]]&amp;" ) "&amp;Base_Periodo1[[#This Row],[Filtro]])</f>
        <v>Fora do DRE</v>
      </c>
      <c r="W2630" s="3" t="str">
        <f>LEFT(Base_Periodo1[[#This Row],[CLASS]],3)</f>
        <v>2.1</v>
      </c>
    </row>
    <row r="2631" spans="1:23" hidden="1">
      <c r="A2631" s="3" t="str">
        <f t="shared" si="41"/>
        <v>Período 1</v>
      </c>
      <c r="B2631">
        <v>2889</v>
      </c>
      <c r="C2631" t="s">
        <v>1730</v>
      </c>
      <c r="D2631" t="s">
        <v>875</v>
      </c>
      <c r="E2631" s="3" t="str">
        <f>IF(LEN(Base_Periodo1[[#This Row],[CLASS]])&gt;=7,LEFT(Base_Periodo1[[#This Row],[CLASS]],7),"")</f>
        <v>2.1.2.1</v>
      </c>
      <c r="F2631" s="3" t="str">
        <f>VLOOKUP(Base_Periodo1[[#This Row],[Aux]],Base_Contas_Balanco[#All],2,FALSE)</f>
        <v>Fornecedores Cooperados</v>
      </c>
      <c r="G2631" s="1">
        <v>42874</v>
      </c>
      <c r="I2631" s="225">
        <v>43007.999999999993</v>
      </c>
      <c r="J2631" s="225">
        <v>43008</v>
      </c>
      <c r="K2631" s="225">
        <v>5.0931703299283981E-11</v>
      </c>
      <c r="L26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31" s="225">
        <f>ROUND(IF(AND(Base_Periodo1[[#This Row],[Tipo_Linha]]="-",Base_Periodo1[[#This Row],[TIPOSALDO]]="D"),Base_Periodo1[[#This Row],[SALDO_ATUAL]]*-1,Base_Periodo1[[#This Row],[SALDO_ATUAL]]),4)</f>
        <v>0</v>
      </c>
      <c r="N2631" t="s">
        <v>116</v>
      </c>
      <c r="O2631" t="s">
        <v>436</v>
      </c>
      <c r="P2631" t="s">
        <v>436</v>
      </c>
      <c r="Q2631">
        <v>7</v>
      </c>
      <c r="R2631" s="225">
        <f>Base_Periodo1[[#This Row],[CREDITOS]]-Base_Periodo1[[#This Row],[DEBITOS]]</f>
        <v>0</v>
      </c>
      <c r="S2631" s="3" t="str">
        <f>IF(ISERROR(VLOOKUP(Base_Periodo1[[#This Row],[CONTA]],BaseContasDRE[#All],4,FALSE)),"Fora do DRE",VLOOKUP(Base_Periodo1[[#This Row],[CONTA]],BaseContasDRE[#All],4,FALSE))</f>
        <v>Fora do DRE</v>
      </c>
      <c r="T2631" s="3" t="str">
        <f>IF(ISERROR(VLOOKUP(Base_Periodo1[[#This Row],[CONTA]],BaseContasDRE[#All],5,FALSE)),"Fora do DRE",VLOOKUP(Base_Periodo1[[#This Row],[CONTA]],BaseContasDRE[#All],6,FALSE))</f>
        <v>Fora do DRE</v>
      </c>
      <c r="U2631" s="3" t="str">
        <f>IF(ISERROR(VLOOKUP(Base_Periodo1[[#This Row],[CONTA]],BaseContasDRE[#All],7,FALSE)),"Fora do DRE",VLOOKUP(Base_Periodo1[[#This Row],[CONTA]],BaseContasDRE[#All],7,FALSE))</f>
        <v>Fora do DRE</v>
      </c>
      <c r="V2631" s="3" t="str">
        <f>IF(Base_Periodo1[[#This Row],[Tipo_Linha]]="Fora do DRE","Fora do DRE","( "&amp;Base_Periodo1[[#This Row],[Tipo_Linha]]&amp;" ) "&amp;Base_Periodo1[[#This Row],[Filtro]])</f>
        <v>Fora do DRE</v>
      </c>
      <c r="W2631" s="3" t="str">
        <f>LEFT(Base_Periodo1[[#This Row],[CLASS]],3)</f>
        <v>2.1</v>
      </c>
    </row>
    <row r="2632" spans="1:23" hidden="1">
      <c r="A2632" s="3" t="str">
        <f t="shared" si="41"/>
        <v>Período 1</v>
      </c>
      <c r="B2632">
        <v>47913</v>
      </c>
      <c r="C2632" t="s">
        <v>1730</v>
      </c>
      <c r="D2632" t="s">
        <v>876</v>
      </c>
      <c r="E2632" s="3" t="str">
        <f>IF(LEN(Base_Periodo1[[#This Row],[CLASS]])&gt;=7,LEFT(Base_Periodo1[[#This Row],[CLASS]],7),"")</f>
        <v>2.1.2.1</v>
      </c>
      <c r="F2632" s="3" t="str">
        <f>VLOOKUP(Base_Periodo1[[#This Row],[Aux]],Base_Contas_Balanco[#All],2,FALSE)</f>
        <v>Fornecedores Cooperados</v>
      </c>
      <c r="G2632" s="1">
        <v>42858</v>
      </c>
      <c r="I2632" s="225">
        <v>2559.1999999999998</v>
      </c>
      <c r="J2632" s="225">
        <v>2559.1999999999998</v>
      </c>
      <c r="K2632" s="225">
        <v>-1.1641532182693481E-10</v>
      </c>
      <c r="L26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32" s="225">
        <f>ROUND(IF(AND(Base_Periodo1[[#This Row],[Tipo_Linha]]="-",Base_Periodo1[[#This Row],[TIPOSALDO]]="D"),Base_Periodo1[[#This Row],[SALDO_ATUAL]]*-1,Base_Periodo1[[#This Row],[SALDO_ATUAL]]),4)</f>
        <v>0</v>
      </c>
      <c r="N2632" t="s">
        <v>116</v>
      </c>
      <c r="O2632" t="s">
        <v>436</v>
      </c>
      <c r="P2632" t="s">
        <v>436</v>
      </c>
      <c r="Q2632">
        <v>7</v>
      </c>
      <c r="R2632" s="225">
        <f>Base_Periodo1[[#This Row],[CREDITOS]]-Base_Periodo1[[#This Row],[DEBITOS]]</f>
        <v>0</v>
      </c>
      <c r="S2632" s="3" t="str">
        <f>IF(ISERROR(VLOOKUP(Base_Periodo1[[#This Row],[CONTA]],BaseContasDRE[#All],4,FALSE)),"Fora do DRE",VLOOKUP(Base_Periodo1[[#This Row],[CONTA]],BaseContasDRE[#All],4,FALSE))</f>
        <v>Fora do DRE</v>
      </c>
      <c r="T2632" s="3" t="str">
        <f>IF(ISERROR(VLOOKUP(Base_Periodo1[[#This Row],[CONTA]],BaseContasDRE[#All],5,FALSE)),"Fora do DRE",VLOOKUP(Base_Periodo1[[#This Row],[CONTA]],BaseContasDRE[#All],6,FALSE))</f>
        <v>Fora do DRE</v>
      </c>
      <c r="U2632" s="3" t="str">
        <f>IF(ISERROR(VLOOKUP(Base_Periodo1[[#This Row],[CONTA]],BaseContasDRE[#All],7,FALSE)),"Fora do DRE",VLOOKUP(Base_Periodo1[[#This Row],[CONTA]],BaseContasDRE[#All],7,FALSE))</f>
        <v>Fora do DRE</v>
      </c>
      <c r="V2632" s="3" t="str">
        <f>IF(Base_Periodo1[[#This Row],[Tipo_Linha]]="Fora do DRE","Fora do DRE","( "&amp;Base_Periodo1[[#This Row],[Tipo_Linha]]&amp;" ) "&amp;Base_Periodo1[[#This Row],[Filtro]])</f>
        <v>Fora do DRE</v>
      </c>
      <c r="W2632" s="3" t="str">
        <f>LEFT(Base_Periodo1[[#This Row],[CLASS]],3)</f>
        <v>2.1</v>
      </c>
    </row>
    <row r="2633" spans="1:23" hidden="1">
      <c r="A2633" s="3" t="str">
        <f t="shared" si="41"/>
        <v>Período 1</v>
      </c>
      <c r="B2633">
        <v>38260</v>
      </c>
      <c r="C2633" t="s">
        <v>1730</v>
      </c>
      <c r="D2633" t="s">
        <v>877</v>
      </c>
      <c r="E2633" s="3" t="str">
        <f>IF(LEN(Base_Periodo1[[#This Row],[CLASS]])&gt;=7,LEFT(Base_Periodo1[[#This Row],[CLASS]],7),"")</f>
        <v>2.1.2.1</v>
      </c>
      <c r="F2633" s="3" t="str">
        <f>VLOOKUP(Base_Periodo1[[#This Row],[Aux]],Base_Contas_Balanco[#All],2,FALSE)</f>
        <v>Fornecedores Cooperados</v>
      </c>
      <c r="G2633" s="1">
        <v>42857</v>
      </c>
      <c r="H2633" s="225">
        <v>1725.1700000000128</v>
      </c>
      <c r="I2633" s="225">
        <v>1725.17</v>
      </c>
      <c r="J2633" s="225">
        <v>0</v>
      </c>
      <c r="K2633" s="225">
        <v>-1.2732925824820995E-11</v>
      </c>
      <c r="L26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33" s="225">
        <f>ROUND(IF(AND(Base_Periodo1[[#This Row],[Tipo_Linha]]="-",Base_Periodo1[[#This Row],[TIPOSALDO]]="D"),Base_Periodo1[[#This Row],[SALDO_ATUAL]]*-1,Base_Periodo1[[#This Row],[SALDO_ATUAL]]),4)</f>
        <v>0</v>
      </c>
      <c r="N2633" t="s">
        <v>116</v>
      </c>
      <c r="O2633" t="s">
        <v>459</v>
      </c>
      <c r="P2633" t="s">
        <v>436</v>
      </c>
      <c r="Q2633">
        <v>7</v>
      </c>
      <c r="R2633" s="225">
        <f>Base_Periodo1[[#This Row],[CREDITOS]]-Base_Periodo1[[#This Row],[DEBITOS]]</f>
        <v>-1725.17</v>
      </c>
      <c r="S2633" s="3" t="str">
        <f>IF(ISERROR(VLOOKUP(Base_Periodo1[[#This Row],[CONTA]],BaseContasDRE[#All],4,FALSE)),"Fora do DRE",VLOOKUP(Base_Periodo1[[#This Row],[CONTA]],BaseContasDRE[#All],4,FALSE))</f>
        <v>Fora do DRE</v>
      </c>
      <c r="T2633" s="3" t="str">
        <f>IF(ISERROR(VLOOKUP(Base_Periodo1[[#This Row],[CONTA]],BaseContasDRE[#All],5,FALSE)),"Fora do DRE",VLOOKUP(Base_Periodo1[[#This Row],[CONTA]],BaseContasDRE[#All],6,FALSE))</f>
        <v>Fora do DRE</v>
      </c>
      <c r="U2633" s="3" t="str">
        <f>IF(ISERROR(VLOOKUP(Base_Periodo1[[#This Row],[CONTA]],BaseContasDRE[#All],7,FALSE)),"Fora do DRE",VLOOKUP(Base_Periodo1[[#This Row],[CONTA]],BaseContasDRE[#All],7,FALSE))</f>
        <v>Fora do DRE</v>
      </c>
      <c r="V2633" s="3" t="str">
        <f>IF(Base_Periodo1[[#This Row],[Tipo_Linha]]="Fora do DRE","Fora do DRE","( "&amp;Base_Periodo1[[#This Row],[Tipo_Linha]]&amp;" ) "&amp;Base_Periodo1[[#This Row],[Filtro]])</f>
        <v>Fora do DRE</v>
      </c>
      <c r="W2633" s="3" t="str">
        <f>LEFT(Base_Periodo1[[#This Row],[CLASS]],3)</f>
        <v>2.1</v>
      </c>
    </row>
    <row r="2634" spans="1:23" hidden="1">
      <c r="A2634" s="3" t="str">
        <f t="shared" si="41"/>
        <v>Período 1</v>
      </c>
      <c r="B2634">
        <v>3965</v>
      </c>
      <c r="C2634" t="s">
        <v>1730</v>
      </c>
      <c r="D2634" t="s">
        <v>878</v>
      </c>
      <c r="E2634" s="3" t="str">
        <f>IF(LEN(Base_Periodo1[[#This Row],[CLASS]])&gt;=7,LEFT(Base_Periodo1[[#This Row],[CLASS]],7),"")</f>
        <v>2.1.2.1</v>
      </c>
      <c r="F2634" s="3" t="str">
        <f>VLOOKUP(Base_Periodo1[[#This Row],[Aux]],Base_Contas_Balanco[#All],2,FALSE)</f>
        <v>Fornecedores Cooperados</v>
      </c>
      <c r="G2634" s="1">
        <v>42881</v>
      </c>
      <c r="I2634" s="225">
        <v>57075</v>
      </c>
      <c r="J2634" s="225">
        <v>57075</v>
      </c>
      <c r="K2634" s="225">
        <v>0</v>
      </c>
      <c r="L26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34" s="225">
        <f>ROUND(IF(AND(Base_Periodo1[[#This Row],[Tipo_Linha]]="-",Base_Periodo1[[#This Row],[TIPOSALDO]]="D"),Base_Periodo1[[#This Row],[SALDO_ATUAL]]*-1,Base_Periodo1[[#This Row],[SALDO_ATUAL]]),4)</f>
        <v>0</v>
      </c>
      <c r="N2634" t="s">
        <v>116</v>
      </c>
      <c r="O2634" t="s">
        <v>436</v>
      </c>
      <c r="P2634" t="s">
        <v>436</v>
      </c>
      <c r="Q2634">
        <v>7</v>
      </c>
      <c r="R2634" s="225">
        <f>Base_Periodo1[[#This Row],[CREDITOS]]-Base_Periodo1[[#This Row],[DEBITOS]]</f>
        <v>0</v>
      </c>
      <c r="S2634" s="3" t="str">
        <f>IF(ISERROR(VLOOKUP(Base_Periodo1[[#This Row],[CONTA]],BaseContasDRE[#All],4,FALSE)),"Fora do DRE",VLOOKUP(Base_Periodo1[[#This Row],[CONTA]],BaseContasDRE[#All],4,FALSE))</f>
        <v>Fora do DRE</v>
      </c>
      <c r="T2634" s="3" t="str">
        <f>IF(ISERROR(VLOOKUP(Base_Periodo1[[#This Row],[CONTA]],BaseContasDRE[#All],5,FALSE)),"Fora do DRE",VLOOKUP(Base_Periodo1[[#This Row],[CONTA]],BaseContasDRE[#All],6,FALSE))</f>
        <v>Fora do DRE</v>
      </c>
      <c r="U2634" s="3" t="str">
        <f>IF(ISERROR(VLOOKUP(Base_Periodo1[[#This Row],[CONTA]],BaseContasDRE[#All],7,FALSE)),"Fora do DRE",VLOOKUP(Base_Periodo1[[#This Row],[CONTA]],BaseContasDRE[#All],7,FALSE))</f>
        <v>Fora do DRE</v>
      </c>
      <c r="V2634" s="3" t="str">
        <f>IF(Base_Periodo1[[#This Row],[Tipo_Linha]]="Fora do DRE","Fora do DRE","( "&amp;Base_Periodo1[[#This Row],[Tipo_Linha]]&amp;" ) "&amp;Base_Periodo1[[#This Row],[Filtro]])</f>
        <v>Fora do DRE</v>
      </c>
      <c r="W2634" s="3" t="str">
        <f>LEFT(Base_Periodo1[[#This Row],[CLASS]],3)</f>
        <v>2.1</v>
      </c>
    </row>
    <row r="2635" spans="1:23" hidden="1">
      <c r="A2635" s="3" t="str">
        <f t="shared" si="41"/>
        <v>Período 1</v>
      </c>
      <c r="B2635">
        <v>12528</v>
      </c>
      <c r="C2635" t="s">
        <v>1730</v>
      </c>
      <c r="D2635" t="s">
        <v>6138</v>
      </c>
      <c r="E2635" s="3" t="str">
        <f>IF(LEN(Base_Periodo1[[#This Row],[CLASS]])&gt;=7,LEFT(Base_Periodo1[[#This Row],[CLASS]],7),"")</f>
        <v>2.1.2.1</v>
      </c>
      <c r="F2635" s="3" t="str">
        <f>VLOOKUP(Base_Periodo1[[#This Row],[Aux]],Base_Contas_Balanco[#All],2,FALSE)</f>
        <v>Fornecedores Cooperados</v>
      </c>
      <c r="G2635" s="1">
        <v>42866</v>
      </c>
      <c r="I2635" s="225">
        <v>2713.5</v>
      </c>
      <c r="J2635" s="225">
        <v>2713.5</v>
      </c>
      <c r="K2635" s="225">
        <v>1.1641532182693481E-10</v>
      </c>
      <c r="L26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35" s="225">
        <f>ROUND(IF(AND(Base_Periodo1[[#This Row],[Tipo_Linha]]="-",Base_Periodo1[[#This Row],[TIPOSALDO]]="D"),Base_Periodo1[[#This Row],[SALDO_ATUAL]]*-1,Base_Periodo1[[#This Row],[SALDO_ATUAL]]),4)</f>
        <v>0</v>
      </c>
      <c r="N2635" t="s">
        <v>116</v>
      </c>
      <c r="O2635" t="s">
        <v>436</v>
      </c>
      <c r="P2635" t="s">
        <v>436</v>
      </c>
      <c r="Q2635">
        <v>7</v>
      </c>
      <c r="R2635" s="225">
        <f>Base_Periodo1[[#This Row],[CREDITOS]]-Base_Periodo1[[#This Row],[DEBITOS]]</f>
        <v>0</v>
      </c>
      <c r="S2635" s="3" t="str">
        <f>IF(ISERROR(VLOOKUP(Base_Periodo1[[#This Row],[CONTA]],BaseContasDRE[#All],4,FALSE)),"Fora do DRE",VLOOKUP(Base_Periodo1[[#This Row],[CONTA]],BaseContasDRE[#All],4,FALSE))</f>
        <v>Fora do DRE</v>
      </c>
      <c r="T2635" s="3" t="str">
        <f>IF(ISERROR(VLOOKUP(Base_Periodo1[[#This Row],[CONTA]],BaseContasDRE[#All],5,FALSE)),"Fora do DRE",VLOOKUP(Base_Periodo1[[#This Row],[CONTA]],BaseContasDRE[#All],6,FALSE))</f>
        <v>Fora do DRE</v>
      </c>
      <c r="U2635" s="3" t="str">
        <f>IF(ISERROR(VLOOKUP(Base_Periodo1[[#This Row],[CONTA]],BaseContasDRE[#All],7,FALSE)),"Fora do DRE",VLOOKUP(Base_Periodo1[[#This Row],[CONTA]],BaseContasDRE[#All],7,FALSE))</f>
        <v>Fora do DRE</v>
      </c>
      <c r="V2635" s="3" t="str">
        <f>IF(Base_Periodo1[[#This Row],[Tipo_Linha]]="Fora do DRE","Fora do DRE","( "&amp;Base_Periodo1[[#This Row],[Tipo_Linha]]&amp;" ) "&amp;Base_Periodo1[[#This Row],[Filtro]])</f>
        <v>Fora do DRE</v>
      </c>
      <c r="W2635" s="3" t="str">
        <f>LEFT(Base_Periodo1[[#This Row],[CLASS]],3)</f>
        <v>2.1</v>
      </c>
    </row>
    <row r="2636" spans="1:23" hidden="1">
      <c r="A2636" s="3" t="str">
        <f t="shared" si="41"/>
        <v>Período 1</v>
      </c>
      <c r="B2636">
        <v>40106</v>
      </c>
      <c r="C2636" t="s">
        <v>1730</v>
      </c>
      <c r="D2636" t="s">
        <v>4939</v>
      </c>
      <c r="E2636" s="3" t="str">
        <f>IF(LEN(Base_Periodo1[[#This Row],[CLASS]])&gt;=7,LEFT(Base_Periodo1[[#This Row],[CLASS]],7),"")</f>
        <v>2.1.2.1</v>
      </c>
      <c r="F2636" s="3" t="str">
        <f>VLOOKUP(Base_Periodo1[[#This Row],[Aux]],Base_Contas_Balanco[#All],2,FALSE)</f>
        <v>Fornecedores Cooperados</v>
      </c>
      <c r="G2636" s="1">
        <v>42877</v>
      </c>
      <c r="I2636" s="225">
        <v>11784.580000000002</v>
      </c>
      <c r="J2636" s="225">
        <v>11784.58</v>
      </c>
      <c r="K2636" s="225">
        <v>9.0949470177292824E-12</v>
      </c>
      <c r="L26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36" s="225">
        <f>ROUND(IF(AND(Base_Periodo1[[#This Row],[Tipo_Linha]]="-",Base_Periodo1[[#This Row],[TIPOSALDO]]="D"),Base_Periodo1[[#This Row],[SALDO_ATUAL]]*-1,Base_Periodo1[[#This Row],[SALDO_ATUAL]]),4)</f>
        <v>0</v>
      </c>
      <c r="N2636" t="s">
        <v>116</v>
      </c>
      <c r="O2636" t="s">
        <v>436</v>
      </c>
      <c r="P2636" t="s">
        <v>436</v>
      </c>
      <c r="Q2636">
        <v>7</v>
      </c>
      <c r="R2636" s="225">
        <f>Base_Periodo1[[#This Row],[CREDITOS]]-Base_Periodo1[[#This Row],[DEBITOS]]</f>
        <v>0</v>
      </c>
      <c r="S2636" s="3" t="str">
        <f>IF(ISERROR(VLOOKUP(Base_Periodo1[[#This Row],[CONTA]],BaseContasDRE[#All],4,FALSE)),"Fora do DRE",VLOOKUP(Base_Periodo1[[#This Row],[CONTA]],BaseContasDRE[#All],4,FALSE))</f>
        <v>Fora do DRE</v>
      </c>
      <c r="T2636" s="3" t="str">
        <f>IF(ISERROR(VLOOKUP(Base_Periodo1[[#This Row],[CONTA]],BaseContasDRE[#All],5,FALSE)),"Fora do DRE",VLOOKUP(Base_Periodo1[[#This Row],[CONTA]],BaseContasDRE[#All],6,FALSE))</f>
        <v>Fora do DRE</v>
      </c>
      <c r="U2636" s="3" t="str">
        <f>IF(ISERROR(VLOOKUP(Base_Periodo1[[#This Row],[CONTA]],BaseContasDRE[#All],7,FALSE)),"Fora do DRE",VLOOKUP(Base_Periodo1[[#This Row],[CONTA]],BaseContasDRE[#All],7,FALSE))</f>
        <v>Fora do DRE</v>
      </c>
      <c r="V2636" s="3" t="str">
        <f>IF(Base_Periodo1[[#This Row],[Tipo_Linha]]="Fora do DRE","Fora do DRE","( "&amp;Base_Periodo1[[#This Row],[Tipo_Linha]]&amp;" ) "&amp;Base_Periodo1[[#This Row],[Filtro]])</f>
        <v>Fora do DRE</v>
      </c>
      <c r="W2636" s="3" t="str">
        <f>LEFT(Base_Periodo1[[#This Row],[CLASS]],3)</f>
        <v>2.1</v>
      </c>
    </row>
    <row r="2637" spans="1:23" hidden="1">
      <c r="A2637" s="3" t="str">
        <f t="shared" si="41"/>
        <v>Período 1</v>
      </c>
      <c r="B2637">
        <v>9541</v>
      </c>
      <c r="C2637" t="s">
        <v>1730</v>
      </c>
      <c r="D2637" t="s">
        <v>5168</v>
      </c>
      <c r="E2637" s="3" t="str">
        <f>IF(LEN(Base_Periodo1[[#This Row],[CLASS]])&gt;=7,LEFT(Base_Periodo1[[#This Row],[CLASS]],7),"")</f>
        <v>2.1.2.1</v>
      </c>
      <c r="F2637" s="3" t="str">
        <f>VLOOKUP(Base_Periodo1[[#This Row],[Aux]],Base_Contas_Balanco[#All],2,FALSE)</f>
        <v>Fornecedores Cooperados</v>
      </c>
      <c r="G2637" s="1">
        <v>42885</v>
      </c>
      <c r="I2637" s="225">
        <v>13206</v>
      </c>
      <c r="J2637" s="225">
        <v>13206</v>
      </c>
      <c r="K2637" s="225">
        <v>8.7311491370201111E-11</v>
      </c>
      <c r="L26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37" s="225">
        <f>ROUND(IF(AND(Base_Periodo1[[#This Row],[Tipo_Linha]]="-",Base_Periodo1[[#This Row],[TIPOSALDO]]="D"),Base_Periodo1[[#This Row],[SALDO_ATUAL]]*-1,Base_Periodo1[[#This Row],[SALDO_ATUAL]]),4)</f>
        <v>0</v>
      </c>
      <c r="N2637" t="s">
        <v>116</v>
      </c>
      <c r="O2637" t="s">
        <v>436</v>
      </c>
      <c r="P2637" t="s">
        <v>436</v>
      </c>
      <c r="Q2637">
        <v>7</v>
      </c>
      <c r="R2637" s="225">
        <f>Base_Periodo1[[#This Row],[CREDITOS]]-Base_Periodo1[[#This Row],[DEBITOS]]</f>
        <v>0</v>
      </c>
      <c r="S2637" s="3" t="str">
        <f>IF(ISERROR(VLOOKUP(Base_Periodo1[[#This Row],[CONTA]],BaseContasDRE[#All],4,FALSE)),"Fora do DRE",VLOOKUP(Base_Periodo1[[#This Row],[CONTA]],BaseContasDRE[#All],4,FALSE))</f>
        <v>Fora do DRE</v>
      </c>
      <c r="T2637" s="3" t="str">
        <f>IF(ISERROR(VLOOKUP(Base_Periodo1[[#This Row],[CONTA]],BaseContasDRE[#All],5,FALSE)),"Fora do DRE",VLOOKUP(Base_Periodo1[[#This Row],[CONTA]],BaseContasDRE[#All],6,FALSE))</f>
        <v>Fora do DRE</v>
      </c>
      <c r="U2637" s="3" t="str">
        <f>IF(ISERROR(VLOOKUP(Base_Periodo1[[#This Row],[CONTA]],BaseContasDRE[#All],7,FALSE)),"Fora do DRE",VLOOKUP(Base_Periodo1[[#This Row],[CONTA]],BaseContasDRE[#All],7,FALSE))</f>
        <v>Fora do DRE</v>
      </c>
      <c r="V2637" s="3" t="str">
        <f>IF(Base_Periodo1[[#This Row],[Tipo_Linha]]="Fora do DRE","Fora do DRE","( "&amp;Base_Periodo1[[#This Row],[Tipo_Linha]]&amp;" ) "&amp;Base_Periodo1[[#This Row],[Filtro]])</f>
        <v>Fora do DRE</v>
      </c>
      <c r="W2637" s="3" t="str">
        <f>LEFT(Base_Periodo1[[#This Row],[CLASS]],3)</f>
        <v>2.1</v>
      </c>
    </row>
    <row r="2638" spans="1:23" hidden="1">
      <c r="A2638" s="3" t="str">
        <f t="shared" si="41"/>
        <v>Período 1</v>
      </c>
      <c r="B2638">
        <v>39438</v>
      </c>
      <c r="C2638" t="s">
        <v>1730</v>
      </c>
      <c r="D2638" t="s">
        <v>5016</v>
      </c>
      <c r="E2638" s="3" t="str">
        <f>IF(LEN(Base_Periodo1[[#This Row],[CLASS]])&gt;=7,LEFT(Base_Periodo1[[#This Row],[CLASS]],7),"")</f>
        <v>2.1.2.1</v>
      </c>
      <c r="F2638" s="3" t="str">
        <f>VLOOKUP(Base_Periodo1[[#This Row],[Aux]],Base_Contas_Balanco[#All],2,FALSE)</f>
        <v>Fornecedores Cooperados</v>
      </c>
      <c r="G2638" s="1">
        <v>42824</v>
      </c>
      <c r="H2638" s="225">
        <v>500.95000000001164</v>
      </c>
      <c r="I2638" s="225">
        <v>0</v>
      </c>
      <c r="J2638" s="225">
        <v>0</v>
      </c>
      <c r="K2638" s="225">
        <v>500.95000000001164</v>
      </c>
      <c r="L26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500.95</v>
      </c>
      <c r="M2638" s="225">
        <f>ROUND(IF(AND(Base_Periodo1[[#This Row],[Tipo_Linha]]="-",Base_Periodo1[[#This Row],[TIPOSALDO]]="D"),Base_Periodo1[[#This Row],[SALDO_ATUAL]]*-1,Base_Periodo1[[#This Row],[SALDO_ATUAL]]),4)</f>
        <v>500.95</v>
      </c>
      <c r="N2638" t="s">
        <v>116</v>
      </c>
      <c r="O2638" t="s">
        <v>459</v>
      </c>
      <c r="P2638" t="s">
        <v>459</v>
      </c>
      <c r="Q2638">
        <v>7</v>
      </c>
      <c r="R2638" s="225">
        <f>Base_Periodo1[[#This Row],[CREDITOS]]-Base_Periodo1[[#This Row],[DEBITOS]]</f>
        <v>0</v>
      </c>
      <c r="S2638" s="3" t="str">
        <f>IF(ISERROR(VLOOKUP(Base_Periodo1[[#This Row],[CONTA]],BaseContasDRE[#All],4,FALSE)),"Fora do DRE",VLOOKUP(Base_Periodo1[[#This Row],[CONTA]],BaseContasDRE[#All],4,FALSE))</f>
        <v>Fora do DRE</v>
      </c>
      <c r="T2638" s="3" t="str">
        <f>IF(ISERROR(VLOOKUP(Base_Periodo1[[#This Row],[CONTA]],BaseContasDRE[#All],5,FALSE)),"Fora do DRE",VLOOKUP(Base_Periodo1[[#This Row],[CONTA]],BaseContasDRE[#All],6,FALSE))</f>
        <v>Fora do DRE</v>
      </c>
      <c r="U2638" s="3" t="str">
        <f>IF(ISERROR(VLOOKUP(Base_Periodo1[[#This Row],[CONTA]],BaseContasDRE[#All],7,FALSE)),"Fora do DRE",VLOOKUP(Base_Periodo1[[#This Row],[CONTA]],BaseContasDRE[#All],7,FALSE))</f>
        <v>Fora do DRE</v>
      </c>
      <c r="V2638" s="3" t="str">
        <f>IF(Base_Periodo1[[#This Row],[Tipo_Linha]]="Fora do DRE","Fora do DRE","( "&amp;Base_Periodo1[[#This Row],[Tipo_Linha]]&amp;" ) "&amp;Base_Periodo1[[#This Row],[Filtro]])</f>
        <v>Fora do DRE</v>
      </c>
      <c r="W2638" s="3" t="str">
        <f>LEFT(Base_Periodo1[[#This Row],[CLASS]],3)</f>
        <v>2.1</v>
      </c>
    </row>
    <row r="2639" spans="1:23" hidden="1">
      <c r="A2639" s="3" t="str">
        <f t="shared" si="41"/>
        <v>Período 1</v>
      </c>
      <c r="B2639">
        <v>21441</v>
      </c>
      <c r="C2639" t="s">
        <v>1730</v>
      </c>
      <c r="D2639" t="s">
        <v>4245</v>
      </c>
      <c r="E2639" s="3" t="str">
        <f>IF(LEN(Base_Periodo1[[#This Row],[CLASS]])&gt;=7,LEFT(Base_Periodo1[[#This Row],[CLASS]],7),"")</f>
        <v>2.1.2.1</v>
      </c>
      <c r="F2639" s="3" t="str">
        <f>VLOOKUP(Base_Periodo1[[#This Row],[Aux]],Base_Contas_Balanco[#All],2,FALSE)</f>
        <v>Fornecedores Cooperados</v>
      </c>
      <c r="G2639" s="1">
        <v>42808</v>
      </c>
      <c r="H2639" s="225">
        <v>125.43999999994412</v>
      </c>
      <c r="I2639" s="225">
        <v>0</v>
      </c>
      <c r="J2639" s="225">
        <v>0</v>
      </c>
      <c r="K2639" s="225">
        <v>125.43999999994412</v>
      </c>
      <c r="L26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125.44</v>
      </c>
      <c r="M2639" s="225">
        <f>ROUND(IF(AND(Base_Periodo1[[#This Row],[Tipo_Linha]]="-",Base_Periodo1[[#This Row],[TIPOSALDO]]="D"),Base_Periodo1[[#This Row],[SALDO_ATUAL]]*-1,Base_Periodo1[[#This Row],[SALDO_ATUAL]]),4)</f>
        <v>125.44</v>
      </c>
      <c r="N2639" t="s">
        <v>116</v>
      </c>
      <c r="O2639" t="s">
        <v>459</v>
      </c>
      <c r="P2639" t="s">
        <v>459</v>
      </c>
      <c r="Q2639">
        <v>7</v>
      </c>
      <c r="R2639" s="225">
        <f>Base_Periodo1[[#This Row],[CREDITOS]]-Base_Periodo1[[#This Row],[DEBITOS]]</f>
        <v>0</v>
      </c>
      <c r="S2639" s="3" t="str">
        <f>IF(ISERROR(VLOOKUP(Base_Periodo1[[#This Row],[CONTA]],BaseContasDRE[#All],4,FALSE)),"Fora do DRE",VLOOKUP(Base_Periodo1[[#This Row],[CONTA]],BaseContasDRE[#All],4,FALSE))</f>
        <v>Fora do DRE</v>
      </c>
      <c r="T2639" s="3" t="str">
        <f>IF(ISERROR(VLOOKUP(Base_Periodo1[[#This Row],[CONTA]],BaseContasDRE[#All],5,FALSE)),"Fora do DRE",VLOOKUP(Base_Periodo1[[#This Row],[CONTA]],BaseContasDRE[#All],6,FALSE))</f>
        <v>Fora do DRE</v>
      </c>
      <c r="U2639" s="3" t="str">
        <f>IF(ISERROR(VLOOKUP(Base_Periodo1[[#This Row],[CONTA]],BaseContasDRE[#All],7,FALSE)),"Fora do DRE",VLOOKUP(Base_Periodo1[[#This Row],[CONTA]],BaseContasDRE[#All],7,FALSE))</f>
        <v>Fora do DRE</v>
      </c>
      <c r="V2639" s="3" t="str">
        <f>IF(Base_Periodo1[[#This Row],[Tipo_Linha]]="Fora do DRE","Fora do DRE","( "&amp;Base_Periodo1[[#This Row],[Tipo_Linha]]&amp;" ) "&amp;Base_Periodo1[[#This Row],[Filtro]])</f>
        <v>Fora do DRE</v>
      </c>
      <c r="W2639" s="3" t="str">
        <f>LEFT(Base_Periodo1[[#This Row],[CLASS]],3)</f>
        <v>2.1</v>
      </c>
    </row>
    <row r="2640" spans="1:23" hidden="1">
      <c r="A2640" s="3" t="str">
        <f t="shared" si="41"/>
        <v>Período 1</v>
      </c>
      <c r="B2640">
        <v>2561</v>
      </c>
      <c r="C2640" t="s">
        <v>1730</v>
      </c>
      <c r="D2640" t="s">
        <v>879</v>
      </c>
      <c r="E2640" s="3" t="str">
        <f>IF(LEN(Base_Periodo1[[#This Row],[CLASS]])&gt;=7,LEFT(Base_Periodo1[[#This Row],[CLASS]],7),"")</f>
        <v>2.1.2.1</v>
      </c>
      <c r="F2640" s="3" t="str">
        <f>VLOOKUP(Base_Periodo1[[#This Row],[Aux]],Base_Contas_Balanco[#All],2,FALSE)</f>
        <v>Fornecedores Cooperados</v>
      </c>
      <c r="G2640" s="1">
        <v>42871</v>
      </c>
      <c r="H2640" s="225">
        <v>554235.52000000048</v>
      </c>
      <c r="I2640" s="225">
        <v>561761.93000000005</v>
      </c>
      <c r="J2640" s="225">
        <v>7526.41</v>
      </c>
      <c r="K2640" s="225">
        <v>-4.3291947804391384E-10</v>
      </c>
      <c r="L26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40" s="225">
        <f>ROUND(IF(AND(Base_Periodo1[[#This Row],[Tipo_Linha]]="-",Base_Periodo1[[#This Row],[TIPOSALDO]]="D"),Base_Periodo1[[#This Row],[SALDO_ATUAL]]*-1,Base_Periodo1[[#This Row],[SALDO_ATUAL]]),4)</f>
        <v>0</v>
      </c>
      <c r="N2640" t="s">
        <v>116</v>
      </c>
      <c r="O2640" t="s">
        <v>459</v>
      </c>
      <c r="P2640" t="s">
        <v>436</v>
      </c>
      <c r="Q2640">
        <v>7</v>
      </c>
      <c r="R2640" s="225">
        <f>Base_Periodo1[[#This Row],[CREDITOS]]-Base_Periodo1[[#This Row],[DEBITOS]]</f>
        <v>-554235.52</v>
      </c>
      <c r="S2640" s="3" t="str">
        <f>IF(ISERROR(VLOOKUP(Base_Periodo1[[#This Row],[CONTA]],BaseContasDRE[#All],4,FALSE)),"Fora do DRE",VLOOKUP(Base_Periodo1[[#This Row],[CONTA]],BaseContasDRE[#All],4,FALSE))</f>
        <v>Fora do DRE</v>
      </c>
      <c r="T2640" s="3" t="str">
        <f>IF(ISERROR(VLOOKUP(Base_Periodo1[[#This Row],[CONTA]],BaseContasDRE[#All],5,FALSE)),"Fora do DRE",VLOOKUP(Base_Periodo1[[#This Row],[CONTA]],BaseContasDRE[#All],6,FALSE))</f>
        <v>Fora do DRE</v>
      </c>
      <c r="U2640" s="3" t="str">
        <f>IF(ISERROR(VLOOKUP(Base_Periodo1[[#This Row],[CONTA]],BaseContasDRE[#All],7,FALSE)),"Fora do DRE",VLOOKUP(Base_Periodo1[[#This Row],[CONTA]],BaseContasDRE[#All],7,FALSE))</f>
        <v>Fora do DRE</v>
      </c>
      <c r="V2640" s="3" t="str">
        <f>IF(Base_Periodo1[[#This Row],[Tipo_Linha]]="Fora do DRE","Fora do DRE","( "&amp;Base_Periodo1[[#This Row],[Tipo_Linha]]&amp;" ) "&amp;Base_Periodo1[[#This Row],[Filtro]])</f>
        <v>Fora do DRE</v>
      </c>
      <c r="W2640" s="3" t="str">
        <f>LEFT(Base_Periodo1[[#This Row],[CLASS]],3)</f>
        <v>2.1</v>
      </c>
    </row>
    <row r="2641" spans="1:23" hidden="1">
      <c r="A2641" s="3" t="str">
        <f t="shared" si="41"/>
        <v>Período 1</v>
      </c>
      <c r="B2641">
        <v>57832</v>
      </c>
      <c r="C2641" t="s">
        <v>1730</v>
      </c>
      <c r="D2641" t="s">
        <v>6348</v>
      </c>
      <c r="E2641" s="3" t="str">
        <f>IF(LEN(Base_Periodo1[[#This Row],[CLASS]])&gt;=7,LEFT(Base_Periodo1[[#This Row],[CLASS]],7),"")</f>
        <v>2.1.2.1</v>
      </c>
      <c r="F2641" s="3" t="str">
        <f>VLOOKUP(Base_Periodo1[[#This Row],[Aux]],Base_Contas_Balanco[#All],2,FALSE)</f>
        <v>Fornecedores Cooperados</v>
      </c>
      <c r="G2641" s="1"/>
      <c r="H2641" s="225">
        <v>33741.089999999997</v>
      </c>
      <c r="I2641" s="225">
        <v>0</v>
      </c>
      <c r="J2641" s="225">
        <v>0</v>
      </c>
      <c r="K2641" s="225">
        <v>33741.089999999997</v>
      </c>
      <c r="L26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33741.089999999997</v>
      </c>
      <c r="M2641" s="225">
        <f>ROUND(IF(AND(Base_Periodo1[[#This Row],[Tipo_Linha]]="-",Base_Periodo1[[#This Row],[TIPOSALDO]]="D"),Base_Periodo1[[#This Row],[SALDO_ATUAL]]*-1,Base_Periodo1[[#This Row],[SALDO_ATUAL]]),4)</f>
        <v>33741.089999999997</v>
      </c>
      <c r="N2641" t="s">
        <v>116</v>
      </c>
      <c r="O2641" t="s">
        <v>459</v>
      </c>
      <c r="P2641" t="s">
        <v>459</v>
      </c>
      <c r="Q2641">
        <v>7</v>
      </c>
      <c r="R2641" s="225">
        <f>Base_Periodo1[[#This Row],[CREDITOS]]-Base_Periodo1[[#This Row],[DEBITOS]]</f>
        <v>0</v>
      </c>
      <c r="S2641" s="3" t="str">
        <f>IF(ISERROR(VLOOKUP(Base_Periodo1[[#This Row],[CONTA]],BaseContasDRE[#All],4,FALSE)),"Fora do DRE",VLOOKUP(Base_Periodo1[[#This Row],[CONTA]],BaseContasDRE[#All],4,FALSE))</f>
        <v>Fora do DRE</v>
      </c>
      <c r="T2641" s="3" t="str">
        <f>IF(ISERROR(VLOOKUP(Base_Periodo1[[#This Row],[CONTA]],BaseContasDRE[#All],5,FALSE)),"Fora do DRE",VLOOKUP(Base_Periodo1[[#This Row],[CONTA]],BaseContasDRE[#All],6,FALSE))</f>
        <v>Fora do DRE</v>
      </c>
      <c r="U2641" s="3" t="str">
        <f>IF(ISERROR(VLOOKUP(Base_Periodo1[[#This Row],[CONTA]],BaseContasDRE[#All],7,FALSE)),"Fora do DRE",VLOOKUP(Base_Periodo1[[#This Row],[CONTA]],BaseContasDRE[#All],7,FALSE))</f>
        <v>Fora do DRE</v>
      </c>
      <c r="V2641" s="3" t="str">
        <f>IF(Base_Periodo1[[#This Row],[Tipo_Linha]]="Fora do DRE","Fora do DRE","( "&amp;Base_Periodo1[[#This Row],[Tipo_Linha]]&amp;" ) "&amp;Base_Periodo1[[#This Row],[Filtro]])</f>
        <v>Fora do DRE</v>
      </c>
      <c r="W2641" s="3" t="str">
        <f>LEFT(Base_Periodo1[[#This Row],[CLASS]],3)</f>
        <v>2.1</v>
      </c>
    </row>
    <row r="2642" spans="1:23" hidden="1">
      <c r="A2642" s="3" t="str">
        <f t="shared" si="41"/>
        <v>Período 1</v>
      </c>
      <c r="B2642">
        <v>2897</v>
      </c>
      <c r="C2642" t="s">
        <v>1730</v>
      </c>
      <c r="D2642" t="s">
        <v>880</v>
      </c>
      <c r="E2642" s="3" t="str">
        <f>IF(LEN(Base_Periodo1[[#This Row],[CLASS]])&gt;=7,LEFT(Base_Periodo1[[#This Row],[CLASS]],7),"")</f>
        <v>2.1.2.1</v>
      </c>
      <c r="F2642" s="3" t="str">
        <f>VLOOKUP(Base_Periodo1[[#This Row],[Aux]],Base_Contas_Balanco[#All],2,FALSE)</f>
        <v>Fornecedores Cooperados</v>
      </c>
      <c r="G2642" s="1">
        <v>42874</v>
      </c>
      <c r="H2642" s="225">
        <v>143.94999999948777</v>
      </c>
      <c r="I2642" s="225">
        <v>53337.84</v>
      </c>
      <c r="J2642" s="225">
        <v>53337.84</v>
      </c>
      <c r="K2642" s="225">
        <v>143.94999999948777</v>
      </c>
      <c r="L26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143.94999999999999</v>
      </c>
      <c r="M2642" s="225">
        <f>ROUND(IF(AND(Base_Periodo1[[#This Row],[Tipo_Linha]]="-",Base_Periodo1[[#This Row],[TIPOSALDO]]="D"),Base_Periodo1[[#This Row],[SALDO_ATUAL]]*-1,Base_Periodo1[[#This Row],[SALDO_ATUAL]]),4)</f>
        <v>143.94999999999999</v>
      </c>
      <c r="N2642" t="s">
        <v>116</v>
      </c>
      <c r="O2642" t="s">
        <v>459</v>
      </c>
      <c r="P2642" t="s">
        <v>459</v>
      </c>
      <c r="Q2642">
        <v>7</v>
      </c>
      <c r="R2642" s="225">
        <f>Base_Periodo1[[#This Row],[CREDITOS]]-Base_Periodo1[[#This Row],[DEBITOS]]</f>
        <v>0</v>
      </c>
      <c r="S2642" s="3" t="str">
        <f>IF(ISERROR(VLOOKUP(Base_Periodo1[[#This Row],[CONTA]],BaseContasDRE[#All],4,FALSE)),"Fora do DRE",VLOOKUP(Base_Periodo1[[#This Row],[CONTA]],BaseContasDRE[#All],4,FALSE))</f>
        <v>Fora do DRE</v>
      </c>
      <c r="T2642" s="3" t="str">
        <f>IF(ISERROR(VLOOKUP(Base_Periodo1[[#This Row],[CONTA]],BaseContasDRE[#All],5,FALSE)),"Fora do DRE",VLOOKUP(Base_Periodo1[[#This Row],[CONTA]],BaseContasDRE[#All],6,FALSE))</f>
        <v>Fora do DRE</v>
      </c>
      <c r="U2642" s="3" t="str">
        <f>IF(ISERROR(VLOOKUP(Base_Periodo1[[#This Row],[CONTA]],BaseContasDRE[#All],7,FALSE)),"Fora do DRE",VLOOKUP(Base_Periodo1[[#This Row],[CONTA]],BaseContasDRE[#All],7,FALSE))</f>
        <v>Fora do DRE</v>
      </c>
      <c r="V2642" s="3" t="str">
        <f>IF(Base_Periodo1[[#This Row],[Tipo_Linha]]="Fora do DRE","Fora do DRE","( "&amp;Base_Periodo1[[#This Row],[Tipo_Linha]]&amp;" ) "&amp;Base_Periodo1[[#This Row],[Filtro]])</f>
        <v>Fora do DRE</v>
      </c>
      <c r="W2642" s="3" t="str">
        <f>LEFT(Base_Periodo1[[#This Row],[CLASS]],3)</f>
        <v>2.1</v>
      </c>
    </row>
    <row r="2643" spans="1:23" hidden="1">
      <c r="A2643" s="3" t="str">
        <f t="shared" si="41"/>
        <v>Período 1</v>
      </c>
      <c r="B2643">
        <v>7230</v>
      </c>
      <c r="C2643" t="s">
        <v>1730</v>
      </c>
      <c r="D2643" t="s">
        <v>881</v>
      </c>
      <c r="E2643" s="3" t="str">
        <f>IF(LEN(Base_Periodo1[[#This Row],[CLASS]])&gt;=7,LEFT(Base_Periodo1[[#This Row],[CLASS]],7),"")</f>
        <v>2.1.2.1</v>
      </c>
      <c r="F2643" s="3" t="str">
        <f>VLOOKUP(Base_Periodo1[[#This Row],[Aux]],Base_Contas_Balanco[#All],2,FALSE)</f>
        <v>Fornecedores Cooperados</v>
      </c>
      <c r="G2643" s="1">
        <v>42885</v>
      </c>
      <c r="I2643" s="225">
        <v>9385.3700000000008</v>
      </c>
      <c r="J2643" s="225">
        <v>9385.3700000000008</v>
      </c>
      <c r="K2643" s="225">
        <v>-1.1641532182693481E-10</v>
      </c>
      <c r="L26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43" s="225">
        <f>ROUND(IF(AND(Base_Periodo1[[#This Row],[Tipo_Linha]]="-",Base_Periodo1[[#This Row],[TIPOSALDO]]="D"),Base_Periodo1[[#This Row],[SALDO_ATUAL]]*-1,Base_Periodo1[[#This Row],[SALDO_ATUAL]]),4)</f>
        <v>0</v>
      </c>
      <c r="N2643" t="s">
        <v>116</v>
      </c>
      <c r="O2643" t="s">
        <v>436</v>
      </c>
      <c r="P2643" t="s">
        <v>436</v>
      </c>
      <c r="Q2643">
        <v>7</v>
      </c>
      <c r="R2643" s="225">
        <f>Base_Periodo1[[#This Row],[CREDITOS]]-Base_Periodo1[[#This Row],[DEBITOS]]</f>
        <v>0</v>
      </c>
      <c r="S2643" s="3" t="str">
        <f>IF(ISERROR(VLOOKUP(Base_Periodo1[[#This Row],[CONTA]],BaseContasDRE[#All],4,FALSE)),"Fora do DRE",VLOOKUP(Base_Periodo1[[#This Row],[CONTA]],BaseContasDRE[#All],4,FALSE))</f>
        <v>Fora do DRE</v>
      </c>
      <c r="T2643" s="3" t="str">
        <f>IF(ISERROR(VLOOKUP(Base_Periodo1[[#This Row],[CONTA]],BaseContasDRE[#All],5,FALSE)),"Fora do DRE",VLOOKUP(Base_Periodo1[[#This Row],[CONTA]],BaseContasDRE[#All],6,FALSE))</f>
        <v>Fora do DRE</v>
      </c>
      <c r="U2643" s="3" t="str">
        <f>IF(ISERROR(VLOOKUP(Base_Periodo1[[#This Row],[CONTA]],BaseContasDRE[#All],7,FALSE)),"Fora do DRE",VLOOKUP(Base_Periodo1[[#This Row],[CONTA]],BaseContasDRE[#All],7,FALSE))</f>
        <v>Fora do DRE</v>
      </c>
      <c r="V2643" s="3" t="str">
        <f>IF(Base_Periodo1[[#This Row],[Tipo_Linha]]="Fora do DRE","Fora do DRE","( "&amp;Base_Periodo1[[#This Row],[Tipo_Linha]]&amp;" ) "&amp;Base_Periodo1[[#This Row],[Filtro]])</f>
        <v>Fora do DRE</v>
      </c>
      <c r="W2643" s="3" t="str">
        <f>LEFT(Base_Periodo1[[#This Row],[CLASS]],3)</f>
        <v>2.1</v>
      </c>
    </row>
    <row r="2644" spans="1:23" hidden="1">
      <c r="A2644" s="3" t="str">
        <f t="shared" si="41"/>
        <v>Período 1</v>
      </c>
      <c r="B2644">
        <v>7170</v>
      </c>
      <c r="C2644" t="s">
        <v>1730</v>
      </c>
      <c r="D2644" t="s">
        <v>5169</v>
      </c>
      <c r="E2644" s="3" t="str">
        <f>IF(LEN(Base_Periodo1[[#This Row],[CLASS]])&gt;=7,LEFT(Base_Periodo1[[#This Row],[CLASS]],7),"")</f>
        <v>2.1.2.1</v>
      </c>
      <c r="F2644" s="3" t="str">
        <f>VLOOKUP(Base_Periodo1[[#This Row],[Aux]],Base_Contas_Balanco[#All],2,FALSE)</f>
        <v>Fornecedores Cooperados</v>
      </c>
      <c r="G2644" s="1">
        <v>42717</v>
      </c>
      <c r="H2644" s="225">
        <v>206.69000000001688</v>
      </c>
      <c r="I2644" s="225">
        <v>0</v>
      </c>
      <c r="J2644" s="225">
        <v>0</v>
      </c>
      <c r="K2644" s="225">
        <v>206.69000000001688</v>
      </c>
      <c r="L26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206.69</v>
      </c>
      <c r="M2644" s="225">
        <f>ROUND(IF(AND(Base_Periodo1[[#This Row],[Tipo_Linha]]="-",Base_Periodo1[[#This Row],[TIPOSALDO]]="D"),Base_Periodo1[[#This Row],[SALDO_ATUAL]]*-1,Base_Periodo1[[#This Row],[SALDO_ATUAL]]),4)</f>
        <v>206.69</v>
      </c>
      <c r="N2644" t="s">
        <v>116</v>
      </c>
      <c r="O2644" t="s">
        <v>459</v>
      </c>
      <c r="P2644" t="s">
        <v>459</v>
      </c>
      <c r="Q2644">
        <v>7</v>
      </c>
      <c r="R2644" s="225">
        <f>Base_Periodo1[[#This Row],[CREDITOS]]-Base_Periodo1[[#This Row],[DEBITOS]]</f>
        <v>0</v>
      </c>
      <c r="S2644" s="3" t="str">
        <f>IF(ISERROR(VLOOKUP(Base_Periodo1[[#This Row],[CONTA]],BaseContasDRE[#All],4,FALSE)),"Fora do DRE",VLOOKUP(Base_Periodo1[[#This Row],[CONTA]],BaseContasDRE[#All],4,FALSE))</f>
        <v>Fora do DRE</v>
      </c>
      <c r="T2644" s="3" t="str">
        <f>IF(ISERROR(VLOOKUP(Base_Periodo1[[#This Row],[CONTA]],BaseContasDRE[#All],5,FALSE)),"Fora do DRE",VLOOKUP(Base_Periodo1[[#This Row],[CONTA]],BaseContasDRE[#All],6,FALSE))</f>
        <v>Fora do DRE</v>
      </c>
      <c r="U2644" s="3" t="str">
        <f>IF(ISERROR(VLOOKUP(Base_Periodo1[[#This Row],[CONTA]],BaseContasDRE[#All],7,FALSE)),"Fora do DRE",VLOOKUP(Base_Periodo1[[#This Row],[CONTA]],BaseContasDRE[#All],7,FALSE))</f>
        <v>Fora do DRE</v>
      </c>
      <c r="V2644" s="3" t="str">
        <f>IF(Base_Periodo1[[#This Row],[Tipo_Linha]]="Fora do DRE","Fora do DRE","( "&amp;Base_Periodo1[[#This Row],[Tipo_Linha]]&amp;" ) "&amp;Base_Periodo1[[#This Row],[Filtro]])</f>
        <v>Fora do DRE</v>
      </c>
      <c r="W2644" s="3" t="str">
        <f>LEFT(Base_Periodo1[[#This Row],[CLASS]],3)</f>
        <v>2.1</v>
      </c>
    </row>
    <row r="2645" spans="1:23" hidden="1">
      <c r="A2645" s="3" t="str">
        <f t="shared" si="41"/>
        <v>Período 1</v>
      </c>
      <c r="B2645">
        <v>23152</v>
      </c>
      <c r="C2645" t="s">
        <v>1730</v>
      </c>
      <c r="D2645" t="s">
        <v>6139</v>
      </c>
      <c r="E2645" s="3" t="str">
        <f>IF(LEN(Base_Periodo1[[#This Row],[CLASS]])&gt;=7,LEFT(Base_Periodo1[[#This Row],[CLASS]],7),"")</f>
        <v>2.1.2.1</v>
      </c>
      <c r="F2645" s="3" t="str">
        <f>VLOOKUP(Base_Periodo1[[#This Row],[Aux]],Base_Contas_Balanco[#All],2,FALSE)</f>
        <v>Fornecedores Cooperados</v>
      </c>
      <c r="G2645" s="1">
        <v>42881</v>
      </c>
      <c r="I2645" s="225">
        <v>9955.73</v>
      </c>
      <c r="J2645" s="225">
        <v>9955.73</v>
      </c>
      <c r="K2645" s="225">
        <v>1.4551915228366852E-11</v>
      </c>
      <c r="L26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45" s="225">
        <f>ROUND(IF(AND(Base_Periodo1[[#This Row],[Tipo_Linha]]="-",Base_Periodo1[[#This Row],[TIPOSALDO]]="D"),Base_Periodo1[[#This Row],[SALDO_ATUAL]]*-1,Base_Periodo1[[#This Row],[SALDO_ATUAL]]),4)</f>
        <v>0</v>
      </c>
      <c r="N2645" t="s">
        <v>116</v>
      </c>
      <c r="O2645" t="s">
        <v>436</v>
      </c>
      <c r="P2645" t="s">
        <v>436</v>
      </c>
      <c r="Q2645">
        <v>7</v>
      </c>
      <c r="R2645" s="225">
        <f>Base_Periodo1[[#This Row],[CREDITOS]]-Base_Periodo1[[#This Row],[DEBITOS]]</f>
        <v>0</v>
      </c>
      <c r="S2645" s="3" t="str">
        <f>IF(ISERROR(VLOOKUP(Base_Periodo1[[#This Row],[CONTA]],BaseContasDRE[#All],4,FALSE)),"Fora do DRE",VLOOKUP(Base_Periodo1[[#This Row],[CONTA]],BaseContasDRE[#All],4,FALSE))</f>
        <v>Fora do DRE</v>
      </c>
      <c r="T2645" s="3" t="str">
        <f>IF(ISERROR(VLOOKUP(Base_Periodo1[[#This Row],[CONTA]],BaseContasDRE[#All],5,FALSE)),"Fora do DRE",VLOOKUP(Base_Periodo1[[#This Row],[CONTA]],BaseContasDRE[#All],6,FALSE))</f>
        <v>Fora do DRE</v>
      </c>
      <c r="U2645" s="3" t="str">
        <f>IF(ISERROR(VLOOKUP(Base_Periodo1[[#This Row],[CONTA]],BaseContasDRE[#All],7,FALSE)),"Fora do DRE",VLOOKUP(Base_Periodo1[[#This Row],[CONTA]],BaseContasDRE[#All],7,FALSE))</f>
        <v>Fora do DRE</v>
      </c>
      <c r="V2645" s="3" t="str">
        <f>IF(Base_Periodo1[[#This Row],[Tipo_Linha]]="Fora do DRE","Fora do DRE","( "&amp;Base_Periodo1[[#This Row],[Tipo_Linha]]&amp;" ) "&amp;Base_Periodo1[[#This Row],[Filtro]])</f>
        <v>Fora do DRE</v>
      </c>
      <c r="W2645" s="3" t="str">
        <f>LEFT(Base_Periodo1[[#This Row],[CLASS]],3)</f>
        <v>2.1</v>
      </c>
    </row>
    <row r="2646" spans="1:23" hidden="1">
      <c r="A2646" s="3" t="str">
        <f t="shared" si="41"/>
        <v>Período 1</v>
      </c>
      <c r="B2646">
        <v>55247</v>
      </c>
      <c r="C2646" t="s">
        <v>1730</v>
      </c>
      <c r="D2646" t="s">
        <v>6859</v>
      </c>
      <c r="E2646" s="3" t="str">
        <f>IF(LEN(Base_Periodo1[[#This Row],[CLASS]])&gt;=7,LEFT(Base_Periodo1[[#This Row],[CLASS]],7),"")</f>
        <v>2.1.2.1</v>
      </c>
      <c r="F2646" s="3" t="str">
        <f>VLOOKUP(Base_Periodo1[[#This Row],[Aux]],Base_Contas_Balanco[#All],2,FALSE)</f>
        <v>Fornecedores Cooperados</v>
      </c>
      <c r="G2646" s="1">
        <v>42879</v>
      </c>
      <c r="I2646" s="225">
        <v>1065</v>
      </c>
      <c r="J2646" s="225">
        <v>1065</v>
      </c>
      <c r="K2646" s="225">
        <v>0</v>
      </c>
      <c r="L26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46" s="225">
        <f>ROUND(IF(AND(Base_Periodo1[[#This Row],[Tipo_Linha]]="-",Base_Periodo1[[#This Row],[TIPOSALDO]]="D"),Base_Periodo1[[#This Row],[SALDO_ATUAL]]*-1,Base_Periodo1[[#This Row],[SALDO_ATUAL]]),4)</f>
        <v>0</v>
      </c>
      <c r="N2646" t="s">
        <v>116</v>
      </c>
      <c r="O2646" t="s">
        <v>436</v>
      </c>
      <c r="P2646" t="s">
        <v>436</v>
      </c>
      <c r="Q2646">
        <v>7</v>
      </c>
      <c r="R2646" s="225">
        <f>Base_Periodo1[[#This Row],[CREDITOS]]-Base_Periodo1[[#This Row],[DEBITOS]]</f>
        <v>0</v>
      </c>
      <c r="S2646" s="3" t="str">
        <f>IF(ISERROR(VLOOKUP(Base_Periodo1[[#This Row],[CONTA]],BaseContasDRE[#All],4,FALSE)),"Fora do DRE",VLOOKUP(Base_Periodo1[[#This Row],[CONTA]],BaseContasDRE[#All],4,FALSE))</f>
        <v>Fora do DRE</v>
      </c>
      <c r="T2646" s="3" t="str">
        <f>IF(ISERROR(VLOOKUP(Base_Periodo1[[#This Row],[CONTA]],BaseContasDRE[#All],5,FALSE)),"Fora do DRE",VLOOKUP(Base_Periodo1[[#This Row],[CONTA]],BaseContasDRE[#All],6,FALSE))</f>
        <v>Fora do DRE</v>
      </c>
      <c r="U2646" s="3" t="str">
        <f>IF(ISERROR(VLOOKUP(Base_Periodo1[[#This Row],[CONTA]],BaseContasDRE[#All],7,FALSE)),"Fora do DRE",VLOOKUP(Base_Periodo1[[#This Row],[CONTA]],BaseContasDRE[#All],7,FALSE))</f>
        <v>Fora do DRE</v>
      </c>
      <c r="V2646" s="3" t="str">
        <f>IF(Base_Periodo1[[#This Row],[Tipo_Linha]]="Fora do DRE","Fora do DRE","( "&amp;Base_Periodo1[[#This Row],[Tipo_Linha]]&amp;" ) "&amp;Base_Periodo1[[#This Row],[Filtro]])</f>
        <v>Fora do DRE</v>
      </c>
      <c r="W2646" s="3" t="str">
        <f>LEFT(Base_Periodo1[[#This Row],[CLASS]],3)</f>
        <v>2.1</v>
      </c>
    </row>
    <row r="2647" spans="1:23" hidden="1">
      <c r="A2647" s="3" t="str">
        <f t="shared" si="41"/>
        <v>Período 1</v>
      </c>
      <c r="B2647">
        <v>39133</v>
      </c>
      <c r="C2647" t="s">
        <v>1730</v>
      </c>
      <c r="D2647" t="s">
        <v>5949</v>
      </c>
      <c r="E2647" s="3" t="str">
        <f>IF(LEN(Base_Periodo1[[#This Row],[CLASS]])&gt;=7,LEFT(Base_Periodo1[[#This Row],[CLASS]],7),"")</f>
        <v>2.1.2.1</v>
      </c>
      <c r="F2647" s="3" t="str">
        <f>VLOOKUP(Base_Periodo1[[#This Row],[Aux]],Base_Contas_Balanco[#All],2,FALSE)</f>
        <v>Fornecedores Cooperados</v>
      </c>
      <c r="G2647" s="1">
        <v>42880</v>
      </c>
      <c r="I2647" s="225">
        <v>45866.85</v>
      </c>
      <c r="J2647" s="225">
        <v>45866.85</v>
      </c>
      <c r="K2647" s="225">
        <v>-2.9103830456733704E-11</v>
      </c>
      <c r="L26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47" s="225">
        <f>ROUND(IF(AND(Base_Periodo1[[#This Row],[Tipo_Linha]]="-",Base_Periodo1[[#This Row],[TIPOSALDO]]="D"),Base_Periodo1[[#This Row],[SALDO_ATUAL]]*-1,Base_Periodo1[[#This Row],[SALDO_ATUAL]]),4)</f>
        <v>0</v>
      </c>
      <c r="N2647" t="s">
        <v>116</v>
      </c>
      <c r="O2647" t="s">
        <v>436</v>
      </c>
      <c r="P2647" t="s">
        <v>436</v>
      </c>
      <c r="Q2647">
        <v>7</v>
      </c>
      <c r="R2647" s="225">
        <f>Base_Periodo1[[#This Row],[CREDITOS]]-Base_Periodo1[[#This Row],[DEBITOS]]</f>
        <v>0</v>
      </c>
      <c r="S2647" s="3" t="str">
        <f>IF(ISERROR(VLOOKUP(Base_Periodo1[[#This Row],[CONTA]],BaseContasDRE[#All],4,FALSE)),"Fora do DRE",VLOOKUP(Base_Periodo1[[#This Row],[CONTA]],BaseContasDRE[#All],4,FALSE))</f>
        <v>Fora do DRE</v>
      </c>
      <c r="T2647" s="3" t="str">
        <f>IF(ISERROR(VLOOKUP(Base_Periodo1[[#This Row],[CONTA]],BaseContasDRE[#All],5,FALSE)),"Fora do DRE",VLOOKUP(Base_Periodo1[[#This Row],[CONTA]],BaseContasDRE[#All],6,FALSE))</f>
        <v>Fora do DRE</v>
      </c>
      <c r="U2647" s="3" t="str">
        <f>IF(ISERROR(VLOOKUP(Base_Periodo1[[#This Row],[CONTA]],BaseContasDRE[#All],7,FALSE)),"Fora do DRE",VLOOKUP(Base_Periodo1[[#This Row],[CONTA]],BaseContasDRE[#All],7,FALSE))</f>
        <v>Fora do DRE</v>
      </c>
      <c r="V2647" s="3" t="str">
        <f>IF(Base_Periodo1[[#This Row],[Tipo_Linha]]="Fora do DRE","Fora do DRE","( "&amp;Base_Periodo1[[#This Row],[Tipo_Linha]]&amp;" ) "&amp;Base_Periodo1[[#This Row],[Filtro]])</f>
        <v>Fora do DRE</v>
      </c>
      <c r="W2647" s="3" t="str">
        <f>LEFT(Base_Periodo1[[#This Row],[CLASS]],3)</f>
        <v>2.1</v>
      </c>
    </row>
    <row r="2648" spans="1:23" hidden="1">
      <c r="A2648" s="3" t="str">
        <f t="shared" si="41"/>
        <v>Período 1</v>
      </c>
      <c r="B2648">
        <v>17981</v>
      </c>
      <c r="C2648" t="s">
        <v>1730</v>
      </c>
      <c r="D2648" t="s">
        <v>884</v>
      </c>
      <c r="E2648" s="3" t="str">
        <f>IF(LEN(Base_Periodo1[[#This Row],[CLASS]])&gt;=7,LEFT(Base_Periodo1[[#This Row],[CLASS]],7),"")</f>
        <v>2.1.2.1</v>
      </c>
      <c r="F2648" s="3" t="str">
        <f>VLOOKUP(Base_Periodo1[[#This Row],[Aux]],Base_Contas_Balanco[#All],2,FALSE)</f>
        <v>Fornecedores Cooperados</v>
      </c>
      <c r="G2648" s="1">
        <v>42871</v>
      </c>
      <c r="H2648" s="225">
        <v>2130.9899999999907</v>
      </c>
      <c r="I2648" s="225">
        <v>565.08000000000004</v>
      </c>
      <c r="J2648" s="225">
        <v>565.08000000000004</v>
      </c>
      <c r="K2648" s="225">
        <v>2130.9899999999907</v>
      </c>
      <c r="L26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2130.9899999999998</v>
      </c>
      <c r="M2648" s="225">
        <f>ROUND(IF(AND(Base_Periodo1[[#This Row],[Tipo_Linha]]="-",Base_Periodo1[[#This Row],[TIPOSALDO]]="D"),Base_Periodo1[[#This Row],[SALDO_ATUAL]]*-1,Base_Periodo1[[#This Row],[SALDO_ATUAL]]),4)</f>
        <v>2130.9899999999998</v>
      </c>
      <c r="N2648" t="s">
        <v>116</v>
      </c>
      <c r="O2648" t="s">
        <v>459</v>
      </c>
      <c r="P2648" t="s">
        <v>459</v>
      </c>
      <c r="Q2648">
        <v>7</v>
      </c>
      <c r="R2648" s="225">
        <f>Base_Periodo1[[#This Row],[CREDITOS]]-Base_Periodo1[[#This Row],[DEBITOS]]</f>
        <v>0</v>
      </c>
      <c r="S2648" s="3" t="str">
        <f>IF(ISERROR(VLOOKUP(Base_Periodo1[[#This Row],[CONTA]],BaseContasDRE[#All],4,FALSE)),"Fora do DRE",VLOOKUP(Base_Periodo1[[#This Row],[CONTA]],BaseContasDRE[#All],4,FALSE))</f>
        <v>Fora do DRE</v>
      </c>
      <c r="T2648" s="3" t="str">
        <f>IF(ISERROR(VLOOKUP(Base_Periodo1[[#This Row],[CONTA]],BaseContasDRE[#All],5,FALSE)),"Fora do DRE",VLOOKUP(Base_Periodo1[[#This Row],[CONTA]],BaseContasDRE[#All],6,FALSE))</f>
        <v>Fora do DRE</v>
      </c>
      <c r="U2648" s="3" t="str">
        <f>IF(ISERROR(VLOOKUP(Base_Periodo1[[#This Row],[CONTA]],BaseContasDRE[#All],7,FALSE)),"Fora do DRE",VLOOKUP(Base_Periodo1[[#This Row],[CONTA]],BaseContasDRE[#All],7,FALSE))</f>
        <v>Fora do DRE</v>
      </c>
      <c r="V2648" s="3" t="str">
        <f>IF(Base_Periodo1[[#This Row],[Tipo_Linha]]="Fora do DRE","Fora do DRE","( "&amp;Base_Periodo1[[#This Row],[Tipo_Linha]]&amp;" ) "&amp;Base_Periodo1[[#This Row],[Filtro]])</f>
        <v>Fora do DRE</v>
      </c>
      <c r="W2648" s="3" t="str">
        <f>LEFT(Base_Periodo1[[#This Row],[CLASS]],3)</f>
        <v>2.1</v>
      </c>
    </row>
    <row r="2649" spans="1:23" hidden="1">
      <c r="A2649" s="3" t="str">
        <f t="shared" si="41"/>
        <v>Período 1</v>
      </c>
      <c r="B2649">
        <v>54251</v>
      </c>
      <c r="C2649" t="s">
        <v>1730</v>
      </c>
      <c r="D2649" t="s">
        <v>984</v>
      </c>
      <c r="E2649" s="3" t="str">
        <f>IF(LEN(Base_Periodo1[[#This Row],[CLASS]])&gt;=7,LEFT(Base_Periodo1[[#This Row],[CLASS]],7),"")</f>
        <v>2.1.2.1</v>
      </c>
      <c r="F2649" s="3" t="str">
        <f>VLOOKUP(Base_Periodo1[[#This Row],[Aux]],Base_Contas_Balanco[#All],2,FALSE)</f>
        <v>Fornecedores Cooperados</v>
      </c>
      <c r="G2649" s="1">
        <v>42884</v>
      </c>
      <c r="I2649" s="225">
        <v>30604.27</v>
      </c>
      <c r="J2649" s="225">
        <v>30604.27</v>
      </c>
      <c r="K2649" s="225">
        <v>0</v>
      </c>
      <c r="L26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49" s="225">
        <f>ROUND(IF(AND(Base_Periodo1[[#This Row],[Tipo_Linha]]="-",Base_Periodo1[[#This Row],[TIPOSALDO]]="D"),Base_Periodo1[[#This Row],[SALDO_ATUAL]]*-1,Base_Periodo1[[#This Row],[SALDO_ATUAL]]),4)</f>
        <v>0</v>
      </c>
      <c r="N2649" t="s">
        <v>116</v>
      </c>
      <c r="O2649" t="s">
        <v>436</v>
      </c>
      <c r="P2649" t="s">
        <v>436</v>
      </c>
      <c r="Q2649">
        <v>7</v>
      </c>
      <c r="R2649" s="225">
        <f>Base_Periodo1[[#This Row],[CREDITOS]]-Base_Periodo1[[#This Row],[DEBITOS]]</f>
        <v>0</v>
      </c>
      <c r="S2649" s="3" t="str">
        <f>IF(ISERROR(VLOOKUP(Base_Periodo1[[#This Row],[CONTA]],BaseContasDRE[#All],4,FALSE)),"Fora do DRE",VLOOKUP(Base_Periodo1[[#This Row],[CONTA]],BaseContasDRE[#All],4,FALSE))</f>
        <v>Fora do DRE</v>
      </c>
      <c r="T2649" s="3" t="str">
        <f>IF(ISERROR(VLOOKUP(Base_Periodo1[[#This Row],[CONTA]],BaseContasDRE[#All],5,FALSE)),"Fora do DRE",VLOOKUP(Base_Periodo1[[#This Row],[CONTA]],BaseContasDRE[#All],6,FALSE))</f>
        <v>Fora do DRE</v>
      </c>
      <c r="U2649" s="3" t="str">
        <f>IF(ISERROR(VLOOKUP(Base_Periodo1[[#This Row],[CONTA]],BaseContasDRE[#All],7,FALSE)),"Fora do DRE",VLOOKUP(Base_Periodo1[[#This Row],[CONTA]],BaseContasDRE[#All],7,FALSE))</f>
        <v>Fora do DRE</v>
      </c>
      <c r="V2649" s="3" t="str">
        <f>IF(Base_Periodo1[[#This Row],[Tipo_Linha]]="Fora do DRE","Fora do DRE","( "&amp;Base_Periodo1[[#This Row],[Tipo_Linha]]&amp;" ) "&amp;Base_Periodo1[[#This Row],[Filtro]])</f>
        <v>Fora do DRE</v>
      </c>
      <c r="W2649" s="3" t="str">
        <f>LEFT(Base_Periodo1[[#This Row],[CLASS]],3)</f>
        <v>2.1</v>
      </c>
    </row>
    <row r="2650" spans="1:23" hidden="1">
      <c r="A2650" s="3" t="str">
        <f t="shared" si="41"/>
        <v>Período 1</v>
      </c>
      <c r="B2650">
        <v>20992</v>
      </c>
      <c r="C2650" t="s">
        <v>1730</v>
      </c>
      <c r="D2650" t="s">
        <v>6141</v>
      </c>
      <c r="E2650" s="3" t="str">
        <f>IF(LEN(Base_Periodo1[[#This Row],[CLASS]])&gt;=7,LEFT(Base_Periodo1[[#This Row],[CLASS]],7),"")</f>
        <v>2.1.2.1</v>
      </c>
      <c r="F2650" s="3" t="str">
        <f>VLOOKUP(Base_Periodo1[[#This Row],[Aux]],Base_Contas_Balanco[#All],2,FALSE)</f>
        <v>Fornecedores Cooperados</v>
      </c>
      <c r="G2650" s="1">
        <v>42858</v>
      </c>
      <c r="I2650" s="225">
        <v>2601.42</v>
      </c>
      <c r="J2650" s="225">
        <v>2601.42</v>
      </c>
      <c r="K2650" s="225">
        <v>-2.9103830456733704E-11</v>
      </c>
      <c r="L26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50" s="225">
        <f>ROUND(IF(AND(Base_Periodo1[[#This Row],[Tipo_Linha]]="-",Base_Periodo1[[#This Row],[TIPOSALDO]]="D"),Base_Periodo1[[#This Row],[SALDO_ATUAL]]*-1,Base_Periodo1[[#This Row],[SALDO_ATUAL]]),4)</f>
        <v>0</v>
      </c>
      <c r="N2650" t="s">
        <v>116</v>
      </c>
      <c r="O2650" t="s">
        <v>436</v>
      </c>
      <c r="P2650" t="s">
        <v>436</v>
      </c>
      <c r="Q2650">
        <v>7</v>
      </c>
      <c r="R2650" s="225">
        <f>Base_Periodo1[[#This Row],[CREDITOS]]-Base_Periodo1[[#This Row],[DEBITOS]]</f>
        <v>0</v>
      </c>
      <c r="S2650" s="3" t="str">
        <f>IF(ISERROR(VLOOKUP(Base_Periodo1[[#This Row],[CONTA]],BaseContasDRE[#All],4,FALSE)),"Fora do DRE",VLOOKUP(Base_Periodo1[[#This Row],[CONTA]],BaseContasDRE[#All],4,FALSE))</f>
        <v>Fora do DRE</v>
      </c>
      <c r="T2650" s="3" t="str">
        <f>IF(ISERROR(VLOOKUP(Base_Periodo1[[#This Row],[CONTA]],BaseContasDRE[#All],5,FALSE)),"Fora do DRE",VLOOKUP(Base_Periodo1[[#This Row],[CONTA]],BaseContasDRE[#All],6,FALSE))</f>
        <v>Fora do DRE</v>
      </c>
      <c r="U2650" s="3" t="str">
        <f>IF(ISERROR(VLOOKUP(Base_Periodo1[[#This Row],[CONTA]],BaseContasDRE[#All],7,FALSE)),"Fora do DRE",VLOOKUP(Base_Periodo1[[#This Row],[CONTA]],BaseContasDRE[#All],7,FALSE))</f>
        <v>Fora do DRE</v>
      </c>
      <c r="V2650" s="3" t="str">
        <f>IF(Base_Periodo1[[#This Row],[Tipo_Linha]]="Fora do DRE","Fora do DRE","( "&amp;Base_Periodo1[[#This Row],[Tipo_Linha]]&amp;" ) "&amp;Base_Periodo1[[#This Row],[Filtro]])</f>
        <v>Fora do DRE</v>
      </c>
      <c r="W2650" s="3" t="str">
        <f>LEFT(Base_Periodo1[[#This Row],[CLASS]],3)</f>
        <v>2.1</v>
      </c>
    </row>
    <row r="2651" spans="1:23" hidden="1">
      <c r="A2651" s="3" t="str">
        <f t="shared" si="41"/>
        <v>Período 1</v>
      </c>
      <c r="B2651">
        <v>2357</v>
      </c>
      <c r="C2651" t="s">
        <v>1730</v>
      </c>
      <c r="D2651" t="s">
        <v>886</v>
      </c>
      <c r="E2651" s="3" t="str">
        <f>IF(LEN(Base_Periodo1[[#This Row],[CLASS]])&gt;=7,LEFT(Base_Periodo1[[#This Row],[CLASS]],7),"")</f>
        <v>2.1.2.1</v>
      </c>
      <c r="F2651" s="3" t="str">
        <f>VLOOKUP(Base_Periodo1[[#This Row],[Aux]],Base_Contas_Balanco[#All],2,FALSE)</f>
        <v>Fornecedores Cooperados</v>
      </c>
      <c r="G2651" s="1">
        <v>42877</v>
      </c>
      <c r="H2651" s="225">
        <v>324650.26000000024</v>
      </c>
      <c r="I2651" s="225">
        <v>494109.89</v>
      </c>
      <c r="J2651" s="225">
        <v>169459.63</v>
      </c>
      <c r="K2651" s="225">
        <v>-2.3283064365386963E-10</v>
      </c>
      <c r="L26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51" s="225">
        <f>ROUND(IF(AND(Base_Periodo1[[#This Row],[Tipo_Linha]]="-",Base_Periodo1[[#This Row],[TIPOSALDO]]="D"),Base_Periodo1[[#This Row],[SALDO_ATUAL]]*-1,Base_Periodo1[[#This Row],[SALDO_ATUAL]]),4)</f>
        <v>0</v>
      </c>
      <c r="N2651" t="s">
        <v>116</v>
      </c>
      <c r="O2651" t="s">
        <v>459</v>
      </c>
      <c r="P2651" t="s">
        <v>436</v>
      </c>
      <c r="Q2651">
        <v>7</v>
      </c>
      <c r="R2651" s="225">
        <f>Base_Periodo1[[#This Row],[CREDITOS]]-Base_Periodo1[[#This Row],[DEBITOS]]</f>
        <v>-324650.26</v>
      </c>
      <c r="S2651" s="3" t="str">
        <f>IF(ISERROR(VLOOKUP(Base_Periodo1[[#This Row],[CONTA]],BaseContasDRE[#All],4,FALSE)),"Fora do DRE",VLOOKUP(Base_Periodo1[[#This Row],[CONTA]],BaseContasDRE[#All],4,FALSE))</f>
        <v>Fora do DRE</v>
      </c>
      <c r="T2651" s="3" t="str">
        <f>IF(ISERROR(VLOOKUP(Base_Periodo1[[#This Row],[CONTA]],BaseContasDRE[#All],5,FALSE)),"Fora do DRE",VLOOKUP(Base_Periodo1[[#This Row],[CONTA]],BaseContasDRE[#All],6,FALSE))</f>
        <v>Fora do DRE</v>
      </c>
      <c r="U2651" s="3" t="str">
        <f>IF(ISERROR(VLOOKUP(Base_Periodo1[[#This Row],[CONTA]],BaseContasDRE[#All],7,FALSE)),"Fora do DRE",VLOOKUP(Base_Periodo1[[#This Row],[CONTA]],BaseContasDRE[#All],7,FALSE))</f>
        <v>Fora do DRE</v>
      </c>
      <c r="V2651" s="3" t="str">
        <f>IF(Base_Periodo1[[#This Row],[Tipo_Linha]]="Fora do DRE","Fora do DRE","( "&amp;Base_Periodo1[[#This Row],[Tipo_Linha]]&amp;" ) "&amp;Base_Periodo1[[#This Row],[Filtro]])</f>
        <v>Fora do DRE</v>
      </c>
      <c r="W2651" s="3" t="str">
        <f>LEFT(Base_Periodo1[[#This Row],[CLASS]],3)</f>
        <v>2.1</v>
      </c>
    </row>
    <row r="2652" spans="1:23" hidden="1">
      <c r="A2652" s="3" t="str">
        <f t="shared" si="41"/>
        <v>Período 1</v>
      </c>
      <c r="B2652">
        <v>3977</v>
      </c>
      <c r="C2652" t="s">
        <v>1730</v>
      </c>
      <c r="D2652" t="s">
        <v>4737</v>
      </c>
      <c r="E2652" s="3" t="str">
        <f>IF(LEN(Base_Periodo1[[#This Row],[CLASS]])&gt;=7,LEFT(Base_Periodo1[[#This Row],[CLASS]],7),"")</f>
        <v>2.1.2.1</v>
      </c>
      <c r="F2652" s="3" t="str">
        <f>VLOOKUP(Base_Periodo1[[#This Row],[Aux]],Base_Contas_Balanco[#All],2,FALSE)</f>
        <v>Fornecedores Cooperados</v>
      </c>
      <c r="G2652" s="1">
        <v>42884</v>
      </c>
      <c r="I2652" s="225">
        <v>13579.84</v>
      </c>
      <c r="J2652" s="225">
        <v>13805.81</v>
      </c>
      <c r="K2652" s="225">
        <v>225.96999999994114</v>
      </c>
      <c r="L26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225.97</v>
      </c>
      <c r="M2652" s="225">
        <f>ROUND(IF(AND(Base_Periodo1[[#This Row],[Tipo_Linha]]="-",Base_Periodo1[[#This Row],[TIPOSALDO]]="D"),Base_Periodo1[[#This Row],[SALDO_ATUAL]]*-1,Base_Periodo1[[#This Row],[SALDO_ATUAL]]),4)</f>
        <v>225.97</v>
      </c>
      <c r="N2652" t="s">
        <v>116</v>
      </c>
      <c r="O2652" t="s">
        <v>436</v>
      </c>
      <c r="P2652" t="s">
        <v>459</v>
      </c>
      <c r="Q2652">
        <v>7</v>
      </c>
      <c r="R2652" s="225">
        <f>Base_Periodo1[[#This Row],[CREDITOS]]-Base_Periodo1[[#This Row],[DEBITOS]]</f>
        <v>225.96999999999935</v>
      </c>
      <c r="S2652" s="3" t="str">
        <f>IF(ISERROR(VLOOKUP(Base_Periodo1[[#This Row],[CONTA]],BaseContasDRE[#All],4,FALSE)),"Fora do DRE",VLOOKUP(Base_Periodo1[[#This Row],[CONTA]],BaseContasDRE[#All],4,FALSE))</f>
        <v>Fora do DRE</v>
      </c>
      <c r="T2652" s="3" t="str">
        <f>IF(ISERROR(VLOOKUP(Base_Periodo1[[#This Row],[CONTA]],BaseContasDRE[#All],5,FALSE)),"Fora do DRE",VLOOKUP(Base_Periodo1[[#This Row],[CONTA]],BaseContasDRE[#All],6,FALSE))</f>
        <v>Fora do DRE</v>
      </c>
      <c r="U2652" s="3" t="str">
        <f>IF(ISERROR(VLOOKUP(Base_Periodo1[[#This Row],[CONTA]],BaseContasDRE[#All],7,FALSE)),"Fora do DRE",VLOOKUP(Base_Periodo1[[#This Row],[CONTA]],BaseContasDRE[#All],7,FALSE))</f>
        <v>Fora do DRE</v>
      </c>
      <c r="V2652" s="3" t="str">
        <f>IF(Base_Periodo1[[#This Row],[Tipo_Linha]]="Fora do DRE","Fora do DRE","( "&amp;Base_Periodo1[[#This Row],[Tipo_Linha]]&amp;" ) "&amp;Base_Periodo1[[#This Row],[Filtro]])</f>
        <v>Fora do DRE</v>
      </c>
      <c r="W2652" s="3" t="str">
        <f>LEFT(Base_Periodo1[[#This Row],[CLASS]],3)</f>
        <v>2.1</v>
      </c>
    </row>
    <row r="2653" spans="1:23" hidden="1">
      <c r="A2653" s="3" t="str">
        <f t="shared" si="41"/>
        <v>Período 1</v>
      </c>
      <c r="B2653">
        <v>5237</v>
      </c>
      <c r="C2653" t="s">
        <v>1730</v>
      </c>
      <c r="D2653" t="s">
        <v>887</v>
      </c>
      <c r="E2653" s="3" t="str">
        <f>IF(LEN(Base_Periodo1[[#This Row],[CLASS]])&gt;=7,LEFT(Base_Periodo1[[#This Row],[CLASS]],7),"")</f>
        <v>2.1.2.1</v>
      </c>
      <c r="F2653" s="3" t="str">
        <f>VLOOKUP(Base_Periodo1[[#This Row],[Aux]],Base_Contas_Balanco[#All],2,FALSE)</f>
        <v>Fornecedores Cooperados</v>
      </c>
      <c r="G2653" s="1">
        <v>42874</v>
      </c>
      <c r="I2653" s="225">
        <v>155631.96999999997</v>
      </c>
      <c r="J2653" s="225">
        <v>155631.97</v>
      </c>
      <c r="K2653" s="225">
        <v>8.7311491370201111E-11</v>
      </c>
      <c r="L26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53" s="225">
        <f>ROUND(IF(AND(Base_Periodo1[[#This Row],[Tipo_Linha]]="-",Base_Periodo1[[#This Row],[TIPOSALDO]]="D"),Base_Periodo1[[#This Row],[SALDO_ATUAL]]*-1,Base_Periodo1[[#This Row],[SALDO_ATUAL]]),4)</f>
        <v>0</v>
      </c>
      <c r="N2653" t="s">
        <v>116</v>
      </c>
      <c r="O2653" t="s">
        <v>436</v>
      </c>
      <c r="P2653" t="s">
        <v>436</v>
      </c>
      <c r="Q2653">
        <v>7</v>
      </c>
      <c r="R2653" s="225">
        <f>Base_Periodo1[[#This Row],[CREDITOS]]-Base_Periodo1[[#This Row],[DEBITOS]]</f>
        <v>0</v>
      </c>
      <c r="S2653" s="3" t="str">
        <f>IF(ISERROR(VLOOKUP(Base_Periodo1[[#This Row],[CONTA]],BaseContasDRE[#All],4,FALSE)),"Fora do DRE",VLOOKUP(Base_Periodo1[[#This Row],[CONTA]],BaseContasDRE[#All],4,FALSE))</f>
        <v>Fora do DRE</v>
      </c>
      <c r="T2653" s="3" t="str">
        <f>IF(ISERROR(VLOOKUP(Base_Periodo1[[#This Row],[CONTA]],BaseContasDRE[#All],5,FALSE)),"Fora do DRE",VLOOKUP(Base_Periodo1[[#This Row],[CONTA]],BaseContasDRE[#All],6,FALSE))</f>
        <v>Fora do DRE</v>
      </c>
      <c r="U2653" s="3" t="str">
        <f>IF(ISERROR(VLOOKUP(Base_Periodo1[[#This Row],[CONTA]],BaseContasDRE[#All],7,FALSE)),"Fora do DRE",VLOOKUP(Base_Periodo1[[#This Row],[CONTA]],BaseContasDRE[#All],7,FALSE))</f>
        <v>Fora do DRE</v>
      </c>
      <c r="V2653" s="3" t="str">
        <f>IF(Base_Periodo1[[#This Row],[Tipo_Linha]]="Fora do DRE","Fora do DRE","( "&amp;Base_Periodo1[[#This Row],[Tipo_Linha]]&amp;" ) "&amp;Base_Periodo1[[#This Row],[Filtro]])</f>
        <v>Fora do DRE</v>
      </c>
      <c r="W2653" s="3" t="str">
        <f>LEFT(Base_Periodo1[[#This Row],[CLASS]],3)</f>
        <v>2.1</v>
      </c>
    </row>
    <row r="2654" spans="1:23" hidden="1">
      <c r="A2654" s="3" t="str">
        <f t="shared" si="41"/>
        <v>Período 1</v>
      </c>
      <c r="B2654">
        <v>2213</v>
      </c>
      <c r="C2654" t="s">
        <v>1730</v>
      </c>
      <c r="D2654" t="s">
        <v>888</v>
      </c>
      <c r="E2654" s="3" t="str">
        <f>IF(LEN(Base_Periodo1[[#This Row],[CLASS]])&gt;=7,LEFT(Base_Periodo1[[#This Row],[CLASS]],7),"")</f>
        <v>2.1.2.1</v>
      </c>
      <c r="F2654" s="3" t="str">
        <f>VLOOKUP(Base_Periodo1[[#This Row],[Aux]],Base_Contas_Balanco[#All],2,FALSE)</f>
        <v>Fornecedores Cooperados</v>
      </c>
      <c r="G2654" s="1">
        <v>42809</v>
      </c>
      <c r="H2654" s="225">
        <v>196.06000000028871</v>
      </c>
      <c r="I2654" s="225">
        <v>0</v>
      </c>
      <c r="J2654" s="225">
        <v>0</v>
      </c>
      <c r="K2654" s="225">
        <v>196.06000000028871</v>
      </c>
      <c r="L26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196.06</v>
      </c>
      <c r="M2654" s="225">
        <f>ROUND(IF(AND(Base_Periodo1[[#This Row],[Tipo_Linha]]="-",Base_Periodo1[[#This Row],[TIPOSALDO]]="D"),Base_Periodo1[[#This Row],[SALDO_ATUAL]]*-1,Base_Periodo1[[#This Row],[SALDO_ATUAL]]),4)</f>
        <v>196.06</v>
      </c>
      <c r="N2654" t="s">
        <v>116</v>
      </c>
      <c r="O2654" t="s">
        <v>459</v>
      </c>
      <c r="P2654" t="s">
        <v>459</v>
      </c>
      <c r="Q2654">
        <v>7</v>
      </c>
      <c r="R2654" s="225">
        <f>Base_Periodo1[[#This Row],[CREDITOS]]-Base_Periodo1[[#This Row],[DEBITOS]]</f>
        <v>0</v>
      </c>
      <c r="S2654" s="3" t="str">
        <f>IF(ISERROR(VLOOKUP(Base_Periodo1[[#This Row],[CONTA]],BaseContasDRE[#All],4,FALSE)),"Fora do DRE",VLOOKUP(Base_Periodo1[[#This Row],[CONTA]],BaseContasDRE[#All],4,FALSE))</f>
        <v>Fora do DRE</v>
      </c>
      <c r="T2654" s="3" t="str">
        <f>IF(ISERROR(VLOOKUP(Base_Periodo1[[#This Row],[CONTA]],BaseContasDRE[#All],5,FALSE)),"Fora do DRE",VLOOKUP(Base_Periodo1[[#This Row],[CONTA]],BaseContasDRE[#All],6,FALSE))</f>
        <v>Fora do DRE</v>
      </c>
      <c r="U2654" s="3" t="str">
        <f>IF(ISERROR(VLOOKUP(Base_Periodo1[[#This Row],[CONTA]],BaseContasDRE[#All],7,FALSE)),"Fora do DRE",VLOOKUP(Base_Periodo1[[#This Row],[CONTA]],BaseContasDRE[#All],7,FALSE))</f>
        <v>Fora do DRE</v>
      </c>
      <c r="V2654" s="3" t="str">
        <f>IF(Base_Periodo1[[#This Row],[Tipo_Linha]]="Fora do DRE","Fora do DRE","( "&amp;Base_Periodo1[[#This Row],[Tipo_Linha]]&amp;" ) "&amp;Base_Periodo1[[#This Row],[Filtro]])</f>
        <v>Fora do DRE</v>
      </c>
      <c r="W2654" s="3" t="str">
        <f>LEFT(Base_Periodo1[[#This Row],[CLASS]],3)</f>
        <v>2.1</v>
      </c>
    </row>
    <row r="2655" spans="1:23" hidden="1">
      <c r="A2655" s="3" t="str">
        <f t="shared" si="41"/>
        <v>Período 1</v>
      </c>
      <c r="B2655">
        <v>5285</v>
      </c>
      <c r="C2655" t="s">
        <v>1730</v>
      </c>
      <c r="D2655" t="s">
        <v>889</v>
      </c>
      <c r="E2655" s="3" t="str">
        <f>IF(LEN(Base_Periodo1[[#This Row],[CLASS]])&gt;=7,LEFT(Base_Periodo1[[#This Row],[CLASS]],7),"")</f>
        <v>2.1.2.1</v>
      </c>
      <c r="F2655" s="3" t="str">
        <f>VLOOKUP(Base_Periodo1[[#This Row],[Aux]],Base_Contas_Balanco[#All],2,FALSE)</f>
        <v>Fornecedores Cooperados</v>
      </c>
      <c r="G2655" s="1">
        <v>42877</v>
      </c>
      <c r="I2655" s="225">
        <v>6040</v>
      </c>
      <c r="J2655" s="225">
        <v>6040</v>
      </c>
      <c r="K2655" s="225">
        <v>9.3132257461547852E-10</v>
      </c>
      <c r="L26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55" s="225">
        <f>ROUND(IF(AND(Base_Periodo1[[#This Row],[Tipo_Linha]]="-",Base_Periodo1[[#This Row],[TIPOSALDO]]="D"),Base_Periodo1[[#This Row],[SALDO_ATUAL]]*-1,Base_Periodo1[[#This Row],[SALDO_ATUAL]]),4)</f>
        <v>0</v>
      </c>
      <c r="N2655" t="s">
        <v>116</v>
      </c>
      <c r="O2655" t="s">
        <v>436</v>
      </c>
      <c r="P2655" t="s">
        <v>436</v>
      </c>
      <c r="Q2655">
        <v>7</v>
      </c>
      <c r="R2655" s="225">
        <f>Base_Periodo1[[#This Row],[CREDITOS]]-Base_Periodo1[[#This Row],[DEBITOS]]</f>
        <v>0</v>
      </c>
      <c r="S2655" s="3" t="str">
        <f>IF(ISERROR(VLOOKUP(Base_Periodo1[[#This Row],[CONTA]],BaseContasDRE[#All],4,FALSE)),"Fora do DRE",VLOOKUP(Base_Periodo1[[#This Row],[CONTA]],BaseContasDRE[#All],4,FALSE))</f>
        <v>Fora do DRE</v>
      </c>
      <c r="T2655" s="3" t="str">
        <f>IF(ISERROR(VLOOKUP(Base_Periodo1[[#This Row],[CONTA]],BaseContasDRE[#All],5,FALSE)),"Fora do DRE",VLOOKUP(Base_Periodo1[[#This Row],[CONTA]],BaseContasDRE[#All],6,FALSE))</f>
        <v>Fora do DRE</v>
      </c>
      <c r="U2655" s="3" t="str">
        <f>IF(ISERROR(VLOOKUP(Base_Periodo1[[#This Row],[CONTA]],BaseContasDRE[#All],7,FALSE)),"Fora do DRE",VLOOKUP(Base_Periodo1[[#This Row],[CONTA]],BaseContasDRE[#All],7,FALSE))</f>
        <v>Fora do DRE</v>
      </c>
      <c r="V2655" s="3" t="str">
        <f>IF(Base_Periodo1[[#This Row],[Tipo_Linha]]="Fora do DRE","Fora do DRE","( "&amp;Base_Periodo1[[#This Row],[Tipo_Linha]]&amp;" ) "&amp;Base_Periodo1[[#This Row],[Filtro]])</f>
        <v>Fora do DRE</v>
      </c>
      <c r="W2655" s="3" t="str">
        <f>LEFT(Base_Periodo1[[#This Row],[CLASS]],3)</f>
        <v>2.1</v>
      </c>
    </row>
    <row r="2656" spans="1:23" hidden="1">
      <c r="A2656" s="3" t="str">
        <f t="shared" si="41"/>
        <v>Período 1</v>
      </c>
      <c r="B2656">
        <v>20761</v>
      </c>
      <c r="C2656" t="s">
        <v>1730</v>
      </c>
      <c r="D2656" t="s">
        <v>890</v>
      </c>
      <c r="E2656" s="3" t="str">
        <f>IF(LEN(Base_Periodo1[[#This Row],[CLASS]])&gt;=7,LEFT(Base_Periodo1[[#This Row],[CLASS]],7),"")</f>
        <v>2.1.2.1</v>
      </c>
      <c r="F2656" s="3" t="str">
        <f>VLOOKUP(Base_Periodo1[[#This Row],[Aux]],Base_Contas_Balanco[#All],2,FALSE)</f>
        <v>Fornecedores Cooperados</v>
      </c>
      <c r="G2656" s="1">
        <v>42886</v>
      </c>
      <c r="I2656" s="225">
        <v>12755.78</v>
      </c>
      <c r="J2656" s="225">
        <v>12755.779999999999</v>
      </c>
      <c r="K2656" s="225">
        <v>-2.7284841053187847E-11</v>
      </c>
      <c r="L26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56" s="225">
        <f>ROUND(IF(AND(Base_Periodo1[[#This Row],[Tipo_Linha]]="-",Base_Periodo1[[#This Row],[TIPOSALDO]]="D"),Base_Periodo1[[#This Row],[SALDO_ATUAL]]*-1,Base_Periodo1[[#This Row],[SALDO_ATUAL]]),4)</f>
        <v>0</v>
      </c>
      <c r="N2656" t="s">
        <v>116</v>
      </c>
      <c r="O2656" t="s">
        <v>436</v>
      </c>
      <c r="P2656" t="s">
        <v>436</v>
      </c>
      <c r="Q2656">
        <v>7</v>
      </c>
      <c r="R2656" s="225">
        <f>Base_Periodo1[[#This Row],[CREDITOS]]-Base_Periodo1[[#This Row],[DEBITOS]]</f>
        <v>0</v>
      </c>
      <c r="S2656" s="3" t="str">
        <f>IF(ISERROR(VLOOKUP(Base_Periodo1[[#This Row],[CONTA]],BaseContasDRE[#All],4,FALSE)),"Fora do DRE",VLOOKUP(Base_Periodo1[[#This Row],[CONTA]],BaseContasDRE[#All],4,FALSE))</f>
        <v>Fora do DRE</v>
      </c>
      <c r="T2656" s="3" t="str">
        <f>IF(ISERROR(VLOOKUP(Base_Periodo1[[#This Row],[CONTA]],BaseContasDRE[#All],5,FALSE)),"Fora do DRE",VLOOKUP(Base_Periodo1[[#This Row],[CONTA]],BaseContasDRE[#All],6,FALSE))</f>
        <v>Fora do DRE</v>
      </c>
      <c r="U2656" s="3" t="str">
        <f>IF(ISERROR(VLOOKUP(Base_Periodo1[[#This Row],[CONTA]],BaseContasDRE[#All],7,FALSE)),"Fora do DRE",VLOOKUP(Base_Periodo1[[#This Row],[CONTA]],BaseContasDRE[#All],7,FALSE))</f>
        <v>Fora do DRE</v>
      </c>
      <c r="V2656" s="3" t="str">
        <f>IF(Base_Periodo1[[#This Row],[Tipo_Linha]]="Fora do DRE","Fora do DRE","( "&amp;Base_Periodo1[[#This Row],[Tipo_Linha]]&amp;" ) "&amp;Base_Periodo1[[#This Row],[Filtro]])</f>
        <v>Fora do DRE</v>
      </c>
      <c r="W2656" s="3" t="str">
        <f>LEFT(Base_Periodo1[[#This Row],[CLASS]],3)</f>
        <v>2.1</v>
      </c>
    </row>
    <row r="2657" spans="1:23" hidden="1">
      <c r="A2657" s="3" t="str">
        <f t="shared" si="41"/>
        <v>Período 1</v>
      </c>
      <c r="B2657">
        <v>2333</v>
      </c>
      <c r="C2657" t="s">
        <v>1730</v>
      </c>
      <c r="D2657" t="s">
        <v>891</v>
      </c>
      <c r="E2657" s="3" t="str">
        <f>IF(LEN(Base_Periodo1[[#This Row],[CLASS]])&gt;=7,LEFT(Base_Periodo1[[#This Row],[CLASS]],7),"")</f>
        <v>2.1.2.1</v>
      </c>
      <c r="F2657" s="3" t="str">
        <f>VLOOKUP(Base_Periodo1[[#This Row],[Aux]],Base_Contas_Balanco[#All],2,FALSE)</f>
        <v>Fornecedores Cooperados</v>
      </c>
      <c r="G2657" s="1">
        <v>42857</v>
      </c>
      <c r="H2657" s="225">
        <v>82068.010000000009</v>
      </c>
      <c r="I2657" s="225">
        <v>92868.01</v>
      </c>
      <c r="J2657" s="225">
        <v>10800</v>
      </c>
      <c r="K2657" s="225">
        <v>-1.4551915228366852E-11</v>
      </c>
      <c r="L26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57" s="225">
        <f>ROUND(IF(AND(Base_Periodo1[[#This Row],[Tipo_Linha]]="-",Base_Periodo1[[#This Row],[TIPOSALDO]]="D"),Base_Periodo1[[#This Row],[SALDO_ATUAL]]*-1,Base_Periodo1[[#This Row],[SALDO_ATUAL]]),4)</f>
        <v>0</v>
      </c>
      <c r="N2657" t="s">
        <v>116</v>
      </c>
      <c r="O2657" t="s">
        <v>459</v>
      </c>
      <c r="P2657" t="s">
        <v>436</v>
      </c>
      <c r="Q2657">
        <v>7</v>
      </c>
      <c r="R2657" s="225">
        <f>Base_Periodo1[[#This Row],[CREDITOS]]-Base_Periodo1[[#This Row],[DEBITOS]]</f>
        <v>-82068.009999999995</v>
      </c>
      <c r="S2657" s="3" t="str">
        <f>IF(ISERROR(VLOOKUP(Base_Periodo1[[#This Row],[CONTA]],BaseContasDRE[#All],4,FALSE)),"Fora do DRE",VLOOKUP(Base_Periodo1[[#This Row],[CONTA]],BaseContasDRE[#All],4,FALSE))</f>
        <v>Fora do DRE</v>
      </c>
      <c r="T2657" s="3" t="str">
        <f>IF(ISERROR(VLOOKUP(Base_Periodo1[[#This Row],[CONTA]],BaseContasDRE[#All],5,FALSE)),"Fora do DRE",VLOOKUP(Base_Periodo1[[#This Row],[CONTA]],BaseContasDRE[#All],6,FALSE))</f>
        <v>Fora do DRE</v>
      </c>
      <c r="U2657" s="3" t="str">
        <f>IF(ISERROR(VLOOKUP(Base_Periodo1[[#This Row],[CONTA]],BaseContasDRE[#All],7,FALSE)),"Fora do DRE",VLOOKUP(Base_Periodo1[[#This Row],[CONTA]],BaseContasDRE[#All],7,FALSE))</f>
        <v>Fora do DRE</v>
      </c>
      <c r="V2657" s="3" t="str">
        <f>IF(Base_Periodo1[[#This Row],[Tipo_Linha]]="Fora do DRE","Fora do DRE","( "&amp;Base_Periodo1[[#This Row],[Tipo_Linha]]&amp;" ) "&amp;Base_Periodo1[[#This Row],[Filtro]])</f>
        <v>Fora do DRE</v>
      </c>
      <c r="W2657" s="3" t="str">
        <f>LEFT(Base_Periodo1[[#This Row],[CLASS]],3)</f>
        <v>2.1</v>
      </c>
    </row>
    <row r="2658" spans="1:23" hidden="1">
      <c r="A2658" s="3" t="str">
        <f t="shared" si="41"/>
        <v>Período 1</v>
      </c>
      <c r="B2658">
        <v>3905</v>
      </c>
      <c r="C2658" t="s">
        <v>1730</v>
      </c>
      <c r="D2658" t="s">
        <v>893</v>
      </c>
      <c r="E2658" s="3" t="str">
        <f>IF(LEN(Base_Periodo1[[#This Row],[CLASS]])&gt;=7,LEFT(Base_Periodo1[[#This Row],[CLASS]],7),"")</f>
        <v>2.1.2.1</v>
      </c>
      <c r="F2658" s="3" t="str">
        <f>VLOOKUP(Base_Periodo1[[#This Row],[Aux]],Base_Contas_Balanco[#All],2,FALSE)</f>
        <v>Fornecedores Cooperados</v>
      </c>
      <c r="G2658" s="1">
        <v>42870</v>
      </c>
      <c r="I2658" s="225">
        <v>60307</v>
      </c>
      <c r="J2658" s="225">
        <v>60307</v>
      </c>
      <c r="K2658" s="225">
        <v>-2.3283064365386963E-10</v>
      </c>
      <c r="L26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58" s="225">
        <f>ROUND(IF(AND(Base_Periodo1[[#This Row],[Tipo_Linha]]="-",Base_Periodo1[[#This Row],[TIPOSALDO]]="D"),Base_Periodo1[[#This Row],[SALDO_ATUAL]]*-1,Base_Periodo1[[#This Row],[SALDO_ATUAL]]),4)</f>
        <v>0</v>
      </c>
      <c r="N2658" t="s">
        <v>116</v>
      </c>
      <c r="O2658" t="s">
        <v>436</v>
      </c>
      <c r="P2658" t="s">
        <v>436</v>
      </c>
      <c r="Q2658">
        <v>7</v>
      </c>
      <c r="R2658" s="225">
        <f>Base_Periodo1[[#This Row],[CREDITOS]]-Base_Periodo1[[#This Row],[DEBITOS]]</f>
        <v>0</v>
      </c>
      <c r="S2658" s="3" t="str">
        <f>IF(ISERROR(VLOOKUP(Base_Periodo1[[#This Row],[CONTA]],BaseContasDRE[#All],4,FALSE)),"Fora do DRE",VLOOKUP(Base_Periodo1[[#This Row],[CONTA]],BaseContasDRE[#All],4,FALSE))</f>
        <v>Fora do DRE</v>
      </c>
      <c r="T2658" s="3" t="str">
        <f>IF(ISERROR(VLOOKUP(Base_Periodo1[[#This Row],[CONTA]],BaseContasDRE[#All],5,FALSE)),"Fora do DRE",VLOOKUP(Base_Periodo1[[#This Row],[CONTA]],BaseContasDRE[#All],6,FALSE))</f>
        <v>Fora do DRE</v>
      </c>
      <c r="U2658" s="3" t="str">
        <f>IF(ISERROR(VLOOKUP(Base_Periodo1[[#This Row],[CONTA]],BaseContasDRE[#All],7,FALSE)),"Fora do DRE",VLOOKUP(Base_Periodo1[[#This Row],[CONTA]],BaseContasDRE[#All],7,FALSE))</f>
        <v>Fora do DRE</v>
      </c>
      <c r="V2658" s="3" t="str">
        <f>IF(Base_Periodo1[[#This Row],[Tipo_Linha]]="Fora do DRE","Fora do DRE","( "&amp;Base_Periodo1[[#This Row],[Tipo_Linha]]&amp;" ) "&amp;Base_Periodo1[[#This Row],[Filtro]])</f>
        <v>Fora do DRE</v>
      </c>
      <c r="W2658" s="3" t="str">
        <f>LEFT(Base_Periodo1[[#This Row],[CLASS]],3)</f>
        <v>2.1</v>
      </c>
    </row>
    <row r="2659" spans="1:23" hidden="1">
      <c r="A2659" s="3" t="str">
        <f t="shared" si="41"/>
        <v>Período 1</v>
      </c>
      <c r="B2659">
        <v>46976</v>
      </c>
      <c r="C2659" t="s">
        <v>1730</v>
      </c>
      <c r="D2659" t="s">
        <v>894</v>
      </c>
      <c r="E2659" s="3" t="str">
        <f>IF(LEN(Base_Periodo1[[#This Row],[CLASS]])&gt;=7,LEFT(Base_Periodo1[[#This Row],[CLASS]],7),"")</f>
        <v>2.1.2.1</v>
      </c>
      <c r="F2659" s="3" t="str">
        <f>VLOOKUP(Base_Periodo1[[#This Row],[Aux]],Base_Contas_Balanco[#All],2,FALSE)</f>
        <v>Fornecedores Cooperados</v>
      </c>
      <c r="G2659" s="1">
        <v>42886</v>
      </c>
      <c r="I2659" s="225">
        <v>42487.999999999993</v>
      </c>
      <c r="J2659" s="225">
        <v>42488</v>
      </c>
      <c r="K2659" s="225">
        <v>-3.637978807091713E-11</v>
      </c>
      <c r="L26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59" s="225">
        <f>ROUND(IF(AND(Base_Periodo1[[#This Row],[Tipo_Linha]]="-",Base_Periodo1[[#This Row],[TIPOSALDO]]="D"),Base_Periodo1[[#This Row],[SALDO_ATUAL]]*-1,Base_Periodo1[[#This Row],[SALDO_ATUAL]]),4)</f>
        <v>0</v>
      </c>
      <c r="N2659" t="s">
        <v>116</v>
      </c>
      <c r="O2659" t="s">
        <v>436</v>
      </c>
      <c r="P2659" t="s">
        <v>436</v>
      </c>
      <c r="Q2659">
        <v>7</v>
      </c>
      <c r="R2659" s="225">
        <f>Base_Periodo1[[#This Row],[CREDITOS]]-Base_Periodo1[[#This Row],[DEBITOS]]</f>
        <v>0</v>
      </c>
      <c r="S2659" s="3" t="str">
        <f>IF(ISERROR(VLOOKUP(Base_Periodo1[[#This Row],[CONTA]],BaseContasDRE[#All],4,FALSE)),"Fora do DRE",VLOOKUP(Base_Periodo1[[#This Row],[CONTA]],BaseContasDRE[#All],4,FALSE))</f>
        <v>Fora do DRE</v>
      </c>
      <c r="T2659" s="3" t="str">
        <f>IF(ISERROR(VLOOKUP(Base_Periodo1[[#This Row],[CONTA]],BaseContasDRE[#All],5,FALSE)),"Fora do DRE",VLOOKUP(Base_Periodo1[[#This Row],[CONTA]],BaseContasDRE[#All],6,FALSE))</f>
        <v>Fora do DRE</v>
      </c>
      <c r="U2659" s="3" t="str">
        <f>IF(ISERROR(VLOOKUP(Base_Periodo1[[#This Row],[CONTA]],BaseContasDRE[#All],7,FALSE)),"Fora do DRE",VLOOKUP(Base_Periodo1[[#This Row],[CONTA]],BaseContasDRE[#All],7,FALSE))</f>
        <v>Fora do DRE</v>
      </c>
      <c r="V2659" s="3" t="str">
        <f>IF(Base_Periodo1[[#This Row],[Tipo_Linha]]="Fora do DRE","Fora do DRE","( "&amp;Base_Periodo1[[#This Row],[Tipo_Linha]]&amp;" ) "&amp;Base_Periodo1[[#This Row],[Filtro]])</f>
        <v>Fora do DRE</v>
      </c>
      <c r="W2659" s="3" t="str">
        <f>LEFT(Base_Periodo1[[#This Row],[CLASS]],3)</f>
        <v>2.1</v>
      </c>
    </row>
    <row r="2660" spans="1:23" hidden="1">
      <c r="A2660" s="3" t="str">
        <f t="shared" si="41"/>
        <v>Período 1</v>
      </c>
      <c r="B2660">
        <v>45788</v>
      </c>
      <c r="C2660" t="s">
        <v>1730</v>
      </c>
      <c r="D2660" t="s">
        <v>5511</v>
      </c>
      <c r="E2660" s="3" t="str">
        <f>IF(LEN(Base_Periodo1[[#This Row],[CLASS]])&gt;=7,LEFT(Base_Periodo1[[#This Row],[CLASS]],7),"")</f>
        <v>2.1.2.1</v>
      </c>
      <c r="F2660" s="3" t="str">
        <f>VLOOKUP(Base_Periodo1[[#This Row],[Aux]],Base_Contas_Balanco[#All],2,FALSE)</f>
        <v>Fornecedores Cooperados</v>
      </c>
      <c r="G2660" s="1">
        <v>42714</v>
      </c>
      <c r="H2660" s="225">
        <v>891.03000000001339</v>
      </c>
      <c r="I2660" s="225">
        <v>0</v>
      </c>
      <c r="J2660" s="225">
        <v>0</v>
      </c>
      <c r="K2660" s="225">
        <v>891.03000000001339</v>
      </c>
      <c r="L26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891.03</v>
      </c>
      <c r="M2660" s="225">
        <f>ROUND(IF(AND(Base_Periodo1[[#This Row],[Tipo_Linha]]="-",Base_Periodo1[[#This Row],[TIPOSALDO]]="D"),Base_Periodo1[[#This Row],[SALDO_ATUAL]]*-1,Base_Periodo1[[#This Row],[SALDO_ATUAL]]),4)</f>
        <v>891.03</v>
      </c>
      <c r="N2660" t="s">
        <v>116</v>
      </c>
      <c r="O2660" t="s">
        <v>459</v>
      </c>
      <c r="P2660" t="s">
        <v>459</v>
      </c>
      <c r="Q2660">
        <v>7</v>
      </c>
      <c r="R2660" s="225">
        <f>Base_Periodo1[[#This Row],[CREDITOS]]-Base_Periodo1[[#This Row],[DEBITOS]]</f>
        <v>0</v>
      </c>
      <c r="S2660" s="3" t="str">
        <f>IF(ISERROR(VLOOKUP(Base_Periodo1[[#This Row],[CONTA]],BaseContasDRE[#All],4,FALSE)),"Fora do DRE",VLOOKUP(Base_Periodo1[[#This Row],[CONTA]],BaseContasDRE[#All],4,FALSE))</f>
        <v>Fora do DRE</v>
      </c>
      <c r="T2660" s="3" t="str">
        <f>IF(ISERROR(VLOOKUP(Base_Periodo1[[#This Row],[CONTA]],BaseContasDRE[#All],5,FALSE)),"Fora do DRE",VLOOKUP(Base_Periodo1[[#This Row],[CONTA]],BaseContasDRE[#All],6,FALSE))</f>
        <v>Fora do DRE</v>
      </c>
      <c r="U2660" s="3" t="str">
        <f>IF(ISERROR(VLOOKUP(Base_Periodo1[[#This Row],[CONTA]],BaseContasDRE[#All],7,FALSE)),"Fora do DRE",VLOOKUP(Base_Periodo1[[#This Row],[CONTA]],BaseContasDRE[#All],7,FALSE))</f>
        <v>Fora do DRE</v>
      </c>
      <c r="V2660" s="3" t="str">
        <f>IF(Base_Periodo1[[#This Row],[Tipo_Linha]]="Fora do DRE","Fora do DRE","( "&amp;Base_Periodo1[[#This Row],[Tipo_Linha]]&amp;" ) "&amp;Base_Periodo1[[#This Row],[Filtro]])</f>
        <v>Fora do DRE</v>
      </c>
      <c r="W2660" s="3" t="str">
        <f>LEFT(Base_Periodo1[[#This Row],[CLASS]],3)</f>
        <v>2.1</v>
      </c>
    </row>
    <row r="2661" spans="1:23" hidden="1">
      <c r="A2661" s="3" t="str">
        <f t="shared" si="41"/>
        <v>Período 1</v>
      </c>
      <c r="B2661">
        <v>33551</v>
      </c>
      <c r="C2661" t="s">
        <v>1730</v>
      </c>
      <c r="D2661" t="s">
        <v>895</v>
      </c>
      <c r="E2661" s="3" t="str">
        <f>IF(LEN(Base_Periodo1[[#This Row],[CLASS]])&gt;=7,LEFT(Base_Periodo1[[#This Row],[CLASS]],7),"")</f>
        <v>2.1.2.1</v>
      </c>
      <c r="F2661" s="3" t="str">
        <f>VLOOKUP(Base_Periodo1[[#This Row],[Aux]],Base_Contas_Balanco[#All],2,FALSE)</f>
        <v>Fornecedores Cooperados</v>
      </c>
      <c r="G2661" s="1">
        <v>42886</v>
      </c>
      <c r="H2661" s="225">
        <v>243200.00000000023</v>
      </c>
      <c r="I2661" s="225">
        <v>536331.44000000006</v>
      </c>
      <c r="J2661" s="225">
        <v>293131.44</v>
      </c>
      <c r="K2661" s="225">
        <v>-1.7462298274040222E-10</v>
      </c>
      <c r="L26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61" s="225">
        <f>ROUND(IF(AND(Base_Periodo1[[#This Row],[Tipo_Linha]]="-",Base_Periodo1[[#This Row],[TIPOSALDO]]="D"),Base_Periodo1[[#This Row],[SALDO_ATUAL]]*-1,Base_Periodo1[[#This Row],[SALDO_ATUAL]]),4)</f>
        <v>0</v>
      </c>
      <c r="N2661" t="s">
        <v>116</v>
      </c>
      <c r="O2661" t="s">
        <v>459</v>
      </c>
      <c r="P2661" t="s">
        <v>436</v>
      </c>
      <c r="Q2661">
        <v>7</v>
      </c>
      <c r="R2661" s="225">
        <f>Base_Periodo1[[#This Row],[CREDITOS]]-Base_Periodo1[[#This Row],[DEBITOS]]</f>
        <v>-243200.00000000006</v>
      </c>
      <c r="S2661" s="3" t="str">
        <f>IF(ISERROR(VLOOKUP(Base_Periodo1[[#This Row],[CONTA]],BaseContasDRE[#All],4,FALSE)),"Fora do DRE",VLOOKUP(Base_Periodo1[[#This Row],[CONTA]],BaseContasDRE[#All],4,FALSE))</f>
        <v>Fora do DRE</v>
      </c>
      <c r="T2661" s="3" t="str">
        <f>IF(ISERROR(VLOOKUP(Base_Periodo1[[#This Row],[CONTA]],BaseContasDRE[#All],5,FALSE)),"Fora do DRE",VLOOKUP(Base_Periodo1[[#This Row],[CONTA]],BaseContasDRE[#All],6,FALSE))</f>
        <v>Fora do DRE</v>
      </c>
      <c r="U2661" s="3" t="str">
        <f>IF(ISERROR(VLOOKUP(Base_Periodo1[[#This Row],[CONTA]],BaseContasDRE[#All],7,FALSE)),"Fora do DRE",VLOOKUP(Base_Periodo1[[#This Row],[CONTA]],BaseContasDRE[#All],7,FALSE))</f>
        <v>Fora do DRE</v>
      </c>
      <c r="V2661" s="3" t="str">
        <f>IF(Base_Periodo1[[#This Row],[Tipo_Linha]]="Fora do DRE","Fora do DRE","( "&amp;Base_Periodo1[[#This Row],[Tipo_Linha]]&amp;" ) "&amp;Base_Periodo1[[#This Row],[Filtro]])</f>
        <v>Fora do DRE</v>
      </c>
      <c r="W2661" s="3" t="str">
        <f>LEFT(Base_Periodo1[[#This Row],[CLASS]],3)</f>
        <v>2.1</v>
      </c>
    </row>
    <row r="2662" spans="1:23" hidden="1">
      <c r="A2662" s="3" t="str">
        <f t="shared" si="41"/>
        <v>Período 1</v>
      </c>
      <c r="B2662">
        <v>51148</v>
      </c>
      <c r="C2662" t="s">
        <v>1730</v>
      </c>
      <c r="D2662" t="s">
        <v>4918</v>
      </c>
      <c r="E2662" s="3" t="str">
        <f>IF(LEN(Base_Periodo1[[#This Row],[CLASS]])&gt;=7,LEFT(Base_Periodo1[[#This Row],[CLASS]],7),"")</f>
        <v>2.1.2.1</v>
      </c>
      <c r="F2662" s="3" t="str">
        <f>VLOOKUP(Base_Periodo1[[#This Row],[Aux]],Base_Contas_Balanco[#All],2,FALSE)</f>
        <v>Fornecedores Cooperados</v>
      </c>
      <c r="G2662" s="1">
        <v>42867</v>
      </c>
      <c r="H2662" s="225">
        <v>12</v>
      </c>
      <c r="I2662" s="225">
        <v>270190.45999999996</v>
      </c>
      <c r="J2662" s="225">
        <v>270178.45999999996</v>
      </c>
      <c r="K2662" s="225">
        <v>0</v>
      </c>
      <c r="L26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62" s="225">
        <f>ROUND(IF(AND(Base_Periodo1[[#This Row],[Tipo_Linha]]="-",Base_Periodo1[[#This Row],[TIPOSALDO]]="D"),Base_Periodo1[[#This Row],[SALDO_ATUAL]]*-1,Base_Periodo1[[#This Row],[SALDO_ATUAL]]),4)</f>
        <v>0</v>
      </c>
      <c r="N2662" t="s">
        <v>116</v>
      </c>
      <c r="O2662" t="s">
        <v>459</v>
      </c>
      <c r="P2662" t="s">
        <v>436</v>
      </c>
      <c r="Q2662">
        <v>7</v>
      </c>
      <c r="R2662" s="225">
        <f>Base_Periodo1[[#This Row],[CREDITOS]]-Base_Periodo1[[#This Row],[DEBITOS]]</f>
        <v>-12</v>
      </c>
      <c r="S2662" s="3" t="str">
        <f>IF(ISERROR(VLOOKUP(Base_Periodo1[[#This Row],[CONTA]],BaseContasDRE[#All],4,FALSE)),"Fora do DRE",VLOOKUP(Base_Periodo1[[#This Row],[CONTA]],BaseContasDRE[#All],4,FALSE))</f>
        <v>Fora do DRE</v>
      </c>
      <c r="T2662" s="3" t="str">
        <f>IF(ISERROR(VLOOKUP(Base_Periodo1[[#This Row],[CONTA]],BaseContasDRE[#All],5,FALSE)),"Fora do DRE",VLOOKUP(Base_Periodo1[[#This Row],[CONTA]],BaseContasDRE[#All],6,FALSE))</f>
        <v>Fora do DRE</v>
      </c>
      <c r="U2662" s="3" t="str">
        <f>IF(ISERROR(VLOOKUP(Base_Periodo1[[#This Row],[CONTA]],BaseContasDRE[#All],7,FALSE)),"Fora do DRE",VLOOKUP(Base_Periodo1[[#This Row],[CONTA]],BaseContasDRE[#All],7,FALSE))</f>
        <v>Fora do DRE</v>
      </c>
      <c r="V2662" s="3" t="str">
        <f>IF(Base_Periodo1[[#This Row],[Tipo_Linha]]="Fora do DRE","Fora do DRE","( "&amp;Base_Periodo1[[#This Row],[Tipo_Linha]]&amp;" ) "&amp;Base_Periodo1[[#This Row],[Filtro]])</f>
        <v>Fora do DRE</v>
      </c>
      <c r="W2662" s="3" t="str">
        <f>LEFT(Base_Periodo1[[#This Row],[CLASS]],3)</f>
        <v>2.1</v>
      </c>
    </row>
    <row r="2663" spans="1:23" hidden="1">
      <c r="A2663" s="3" t="str">
        <f t="shared" si="41"/>
        <v>Período 1</v>
      </c>
      <c r="B2663">
        <v>7006</v>
      </c>
      <c r="C2663" t="s">
        <v>1730</v>
      </c>
      <c r="D2663" t="s">
        <v>897</v>
      </c>
      <c r="E2663" s="3" t="str">
        <f>IF(LEN(Base_Periodo1[[#This Row],[CLASS]])&gt;=7,LEFT(Base_Periodo1[[#This Row],[CLASS]],7),"")</f>
        <v>2.1.2.1</v>
      </c>
      <c r="F2663" s="3" t="str">
        <f>VLOOKUP(Base_Periodo1[[#This Row],[Aux]],Base_Contas_Balanco[#All],2,FALSE)</f>
        <v>Fornecedores Cooperados</v>
      </c>
      <c r="G2663" s="1">
        <v>42863</v>
      </c>
      <c r="I2663" s="225">
        <v>307.43</v>
      </c>
      <c r="J2663" s="225">
        <v>307.43</v>
      </c>
      <c r="K2663" s="225">
        <v>0</v>
      </c>
      <c r="L26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63" s="225">
        <f>ROUND(IF(AND(Base_Periodo1[[#This Row],[Tipo_Linha]]="-",Base_Periodo1[[#This Row],[TIPOSALDO]]="D"),Base_Periodo1[[#This Row],[SALDO_ATUAL]]*-1,Base_Periodo1[[#This Row],[SALDO_ATUAL]]),4)</f>
        <v>0</v>
      </c>
      <c r="N2663" t="s">
        <v>116</v>
      </c>
      <c r="O2663" t="s">
        <v>436</v>
      </c>
      <c r="P2663" t="s">
        <v>436</v>
      </c>
      <c r="Q2663">
        <v>7</v>
      </c>
      <c r="R2663" s="225">
        <f>Base_Periodo1[[#This Row],[CREDITOS]]-Base_Periodo1[[#This Row],[DEBITOS]]</f>
        <v>0</v>
      </c>
      <c r="S2663" s="3" t="str">
        <f>IF(ISERROR(VLOOKUP(Base_Periodo1[[#This Row],[CONTA]],BaseContasDRE[#All],4,FALSE)),"Fora do DRE",VLOOKUP(Base_Periodo1[[#This Row],[CONTA]],BaseContasDRE[#All],4,FALSE))</f>
        <v>Fora do DRE</v>
      </c>
      <c r="T2663" s="3" t="str">
        <f>IF(ISERROR(VLOOKUP(Base_Periodo1[[#This Row],[CONTA]],BaseContasDRE[#All],5,FALSE)),"Fora do DRE",VLOOKUP(Base_Periodo1[[#This Row],[CONTA]],BaseContasDRE[#All],6,FALSE))</f>
        <v>Fora do DRE</v>
      </c>
      <c r="U2663" s="3" t="str">
        <f>IF(ISERROR(VLOOKUP(Base_Periodo1[[#This Row],[CONTA]],BaseContasDRE[#All],7,FALSE)),"Fora do DRE",VLOOKUP(Base_Periodo1[[#This Row],[CONTA]],BaseContasDRE[#All],7,FALSE))</f>
        <v>Fora do DRE</v>
      </c>
      <c r="V2663" s="3" t="str">
        <f>IF(Base_Periodo1[[#This Row],[Tipo_Linha]]="Fora do DRE","Fora do DRE","( "&amp;Base_Periodo1[[#This Row],[Tipo_Linha]]&amp;" ) "&amp;Base_Periodo1[[#This Row],[Filtro]])</f>
        <v>Fora do DRE</v>
      </c>
      <c r="W2663" s="3" t="str">
        <f>LEFT(Base_Periodo1[[#This Row],[CLASS]],3)</f>
        <v>2.1</v>
      </c>
    </row>
    <row r="2664" spans="1:23" hidden="1">
      <c r="A2664" s="3" t="str">
        <f t="shared" si="41"/>
        <v>Período 1</v>
      </c>
      <c r="B2664">
        <v>3941</v>
      </c>
      <c r="C2664" t="s">
        <v>1730</v>
      </c>
      <c r="D2664" t="s">
        <v>898</v>
      </c>
      <c r="E2664" s="3" t="str">
        <f>IF(LEN(Base_Periodo1[[#This Row],[CLASS]])&gt;=7,LEFT(Base_Periodo1[[#This Row],[CLASS]],7),"")</f>
        <v>2.1.2.1</v>
      </c>
      <c r="F2664" s="3" t="str">
        <f>VLOOKUP(Base_Periodo1[[#This Row],[Aux]],Base_Contas_Balanco[#All],2,FALSE)</f>
        <v>Fornecedores Cooperados</v>
      </c>
      <c r="G2664" s="1">
        <v>42877</v>
      </c>
      <c r="H2664" s="225">
        <v>549447.51000000071</v>
      </c>
      <c r="I2664" s="225">
        <v>603696.67999999982</v>
      </c>
      <c r="J2664" s="225">
        <v>54527.47</v>
      </c>
      <c r="K2664" s="225">
        <v>278.30000000089058</v>
      </c>
      <c r="L26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278.3</v>
      </c>
      <c r="M2664" s="225">
        <f>ROUND(IF(AND(Base_Periodo1[[#This Row],[Tipo_Linha]]="-",Base_Periodo1[[#This Row],[TIPOSALDO]]="D"),Base_Periodo1[[#This Row],[SALDO_ATUAL]]*-1,Base_Periodo1[[#This Row],[SALDO_ATUAL]]),4)</f>
        <v>278.3</v>
      </c>
      <c r="N2664" t="s">
        <v>116</v>
      </c>
      <c r="O2664" t="s">
        <v>459</v>
      </c>
      <c r="P2664" t="s">
        <v>459</v>
      </c>
      <c r="Q2664">
        <v>7</v>
      </c>
      <c r="R2664" s="225">
        <f>Base_Periodo1[[#This Row],[CREDITOS]]-Base_Periodo1[[#This Row],[DEBITOS]]</f>
        <v>-549169.20999999985</v>
      </c>
      <c r="S2664" s="3" t="str">
        <f>IF(ISERROR(VLOOKUP(Base_Periodo1[[#This Row],[CONTA]],BaseContasDRE[#All],4,FALSE)),"Fora do DRE",VLOOKUP(Base_Periodo1[[#This Row],[CONTA]],BaseContasDRE[#All],4,FALSE))</f>
        <v>Fora do DRE</v>
      </c>
      <c r="T2664" s="3" t="str">
        <f>IF(ISERROR(VLOOKUP(Base_Periodo1[[#This Row],[CONTA]],BaseContasDRE[#All],5,FALSE)),"Fora do DRE",VLOOKUP(Base_Periodo1[[#This Row],[CONTA]],BaseContasDRE[#All],6,FALSE))</f>
        <v>Fora do DRE</v>
      </c>
      <c r="U2664" s="3" t="str">
        <f>IF(ISERROR(VLOOKUP(Base_Periodo1[[#This Row],[CONTA]],BaseContasDRE[#All],7,FALSE)),"Fora do DRE",VLOOKUP(Base_Periodo1[[#This Row],[CONTA]],BaseContasDRE[#All],7,FALSE))</f>
        <v>Fora do DRE</v>
      </c>
      <c r="V2664" s="3" t="str">
        <f>IF(Base_Periodo1[[#This Row],[Tipo_Linha]]="Fora do DRE","Fora do DRE","( "&amp;Base_Periodo1[[#This Row],[Tipo_Linha]]&amp;" ) "&amp;Base_Periodo1[[#This Row],[Filtro]])</f>
        <v>Fora do DRE</v>
      </c>
      <c r="W2664" s="3" t="str">
        <f>LEFT(Base_Periodo1[[#This Row],[CLASS]],3)</f>
        <v>2.1</v>
      </c>
    </row>
    <row r="2665" spans="1:23" hidden="1">
      <c r="A2665" s="3" t="str">
        <f t="shared" si="41"/>
        <v>Período 1</v>
      </c>
      <c r="B2665">
        <v>36920</v>
      </c>
      <c r="C2665" t="s">
        <v>1730</v>
      </c>
      <c r="D2665" t="s">
        <v>6349</v>
      </c>
      <c r="E2665" s="3" t="str">
        <f>IF(LEN(Base_Periodo1[[#This Row],[CLASS]])&gt;=7,LEFT(Base_Periodo1[[#This Row],[CLASS]],7),"")</f>
        <v>2.1.2.1</v>
      </c>
      <c r="F2665" s="3" t="str">
        <f>VLOOKUP(Base_Periodo1[[#This Row],[Aux]],Base_Contas_Balanco[#All],2,FALSE)</f>
        <v>Fornecedores Cooperados</v>
      </c>
      <c r="G2665" s="1">
        <v>42857</v>
      </c>
      <c r="H2665" s="225">
        <v>5126.32</v>
      </c>
      <c r="I2665" s="225">
        <v>5126.32</v>
      </c>
      <c r="J2665" s="225">
        <v>0</v>
      </c>
      <c r="K2665" s="225">
        <v>0</v>
      </c>
      <c r="L26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65" s="225">
        <f>ROUND(IF(AND(Base_Periodo1[[#This Row],[Tipo_Linha]]="-",Base_Periodo1[[#This Row],[TIPOSALDO]]="D"),Base_Periodo1[[#This Row],[SALDO_ATUAL]]*-1,Base_Periodo1[[#This Row],[SALDO_ATUAL]]),4)</f>
        <v>0</v>
      </c>
      <c r="N2665" t="s">
        <v>116</v>
      </c>
      <c r="O2665" t="s">
        <v>459</v>
      </c>
      <c r="P2665" t="s">
        <v>436</v>
      </c>
      <c r="Q2665">
        <v>7</v>
      </c>
      <c r="R2665" s="225">
        <f>Base_Periodo1[[#This Row],[CREDITOS]]-Base_Periodo1[[#This Row],[DEBITOS]]</f>
        <v>-5126.32</v>
      </c>
      <c r="S2665" s="3" t="str">
        <f>IF(ISERROR(VLOOKUP(Base_Periodo1[[#This Row],[CONTA]],BaseContasDRE[#All],4,FALSE)),"Fora do DRE",VLOOKUP(Base_Periodo1[[#This Row],[CONTA]],BaseContasDRE[#All],4,FALSE))</f>
        <v>Fora do DRE</v>
      </c>
      <c r="T2665" s="3" t="str">
        <f>IF(ISERROR(VLOOKUP(Base_Periodo1[[#This Row],[CONTA]],BaseContasDRE[#All],5,FALSE)),"Fora do DRE",VLOOKUP(Base_Periodo1[[#This Row],[CONTA]],BaseContasDRE[#All],6,FALSE))</f>
        <v>Fora do DRE</v>
      </c>
      <c r="U2665" s="3" t="str">
        <f>IF(ISERROR(VLOOKUP(Base_Periodo1[[#This Row],[CONTA]],BaseContasDRE[#All],7,FALSE)),"Fora do DRE",VLOOKUP(Base_Periodo1[[#This Row],[CONTA]],BaseContasDRE[#All],7,FALSE))</f>
        <v>Fora do DRE</v>
      </c>
      <c r="V2665" s="3" t="str">
        <f>IF(Base_Periodo1[[#This Row],[Tipo_Linha]]="Fora do DRE","Fora do DRE","( "&amp;Base_Periodo1[[#This Row],[Tipo_Linha]]&amp;" ) "&amp;Base_Periodo1[[#This Row],[Filtro]])</f>
        <v>Fora do DRE</v>
      </c>
      <c r="W2665" s="3" t="str">
        <f>LEFT(Base_Periodo1[[#This Row],[CLASS]],3)</f>
        <v>2.1</v>
      </c>
    </row>
    <row r="2666" spans="1:23" hidden="1">
      <c r="A2666" s="3" t="str">
        <f t="shared" si="41"/>
        <v>Período 1</v>
      </c>
      <c r="B2666">
        <v>21509</v>
      </c>
      <c r="C2666" t="s">
        <v>1730</v>
      </c>
      <c r="D2666" t="s">
        <v>5489</v>
      </c>
      <c r="E2666" s="3" t="str">
        <f>IF(LEN(Base_Periodo1[[#This Row],[CLASS]])&gt;=7,LEFT(Base_Periodo1[[#This Row],[CLASS]],7),"")</f>
        <v>2.1.2.1</v>
      </c>
      <c r="F2666" s="3" t="str">
        <f>VLOOKUP(Base_Periodo1[[#This Row],[Aux]],Base_Contas_Balanco[#All],2,FALSE)</f>
        <v>Fornecedores Cooperados</v>
      </c>
      <c r="G2666" s="1">
        <v>42870</v>
      </c>
      <c r="I2666" s="225">
        <v>11620</v>
      </c>
      <c r="J2666" s="225">
        <v>11620</v>
      </c>
      <c r="K2666" s="225">
        <v>0</v>
      </c>
      <c r="L26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66" s="225">
        <f>ROUND(IF(AND(Base_Periodo1[[#This Row],[Tipo_Linha]]="-",Base_Periodo1[[#This Row],[TIPOSALDO]]="D"),Base_Periodo1[[#This Row],[SALDO_ATUAL]]*-1,Base_Periodo1[[#This Row],[SALDO_ATUAL]]),4)</f>
        <v>0</v>
      </c>
      <c r="N2666" t="s">
        <v>116</v>
      </c>
      <c r="O2666" t="s">
        <v>436</v>
      </c>
      <c r="P2666" t="s">
        <v>436</v>
      </c>
      <c r="Q2666">
        <v>7</v>
      </c>
      <c r="R2666" s="225">
        <f>Base_Periodo1[[#This Row],[CREDITOS]]-Base_Periodo1[[#This Row],[DEBITOS]]</f>
        <v>0</v>
      </c>
      <c r="S2666" s="3" t="str">
        <f>IF(ISERROR(VLOOKUP(Base_Periodo1[[#This Row],[CONTA]],BaseContasDRE[#All],4,FALSE)),"Fora do DRE",VLOOKUP(Base_Periodo1[[#This Row],[CONTA]],BaseContasDRE[#All],4,FALSE))</f>
        <v>Fora do DRE</v>
      </c>
      <c r="T2666" s="3" t="str">
        <f>IF(ISERROR(VLOOKUP(Base_Periodo1[[#This Row],[CONTA]],BaseContasDRE[#All],5,FALSE)),"Fora do DRE",VLOOKUP(Base_Periodo1[[#This Row],[CONTA]],BaseContasDRE[#All],6,FALSE))</f>
        <v>Fora do DRE</v>
      </c>
      <c r="U2666" s="3" t="str">
        <f>IF(ISERROR(VLOOKUP(Base_Periodo1[[#This Row],[CONTA]],BaseContasDRE[#All],7,FALSE)),"Fora do DRE",VLOOKUP(Base_Periodo1[[#This Row],[CONTA]],BaseContasDRE[#All],7,FALSE))</f>
        <v>Fora do DRE</v>
      </c>
      <c r="V2666" s="3" t="str">
        <f>IF(Base_Periodo1[[#This Row],[Tipo_Linha]]="Fora do DRE","Fora do DRE","( "&amp;Base_Periodo1[[#This Row],[Tipo_Linha]]&amp;" ) "&amp;Base_Periodo1[[#This Row],[Filtro]])</f>
        <v>Fora do DRE</v>
      </c>
      <c r="W2666" s="3" t="str">
        <f>LEFT(Base_Periodo1[[#This Row],[CLASS]],3)</f>
        <v>2.1</v>
      </c>
    </row>
    <row r="2667" spans="1:23" hidden="1">
      <c r="A2667" s="3" t="str">
        <f t="shared" si="41"/>
        <v>Período 1</v>
      </c>
      <c r="B2667">
        <v>17280</v>
      </c>
      <c r="C2667" t="s">
        <v>1730</v>
      </c>
      <c r="D2667" t="s">
        <v>6860</v>
      </c>
      <c r="E2667" s="3" t="str">
        <f>IF(LEN(Base_Periodo1[[#This Row],[CLASS]])&gt;=7,LEFT(Base_Periodo1[[#This Row],[CLASS]],7),"")</f>
        <v>2.1.2.1</v>
      </c>
      <c r="F2667" s="3" t="str">
        <f>VLOOKUP(Base_Periodo1[[#This Row],[Aux]],Base_Contas_Balanco[#All],2,FALSE)</f>
        <v>Fornecedores Cooperados</v>
      </c>
      <c r="G2667" s="1">
        <v>42874</v>
      </c>
      <c r="I2667" s="225">
        <v>13504.220000000001</v>
      </c>
      <c r="J2667" s="225">
        <v>13504.22</v>
      </c>
      <c r="K2667" s="225">
        <v>1.8189894035458565E-12</v>
      </c>
      <c r="L26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67" s="225">
        <f>ROUND(IF(AND(Base_Periodo1[[#This Row],[Tipo_Linha]]="-",Base_Periodo1[[#This Row],[TIPOSALDO]]="D"),Base_Periodo1[[#This Row],[SALDO_ATUAL]]*-1,Base_Periodo1[[#This Row],[SALDO_ATUAL]]),4)</f>
        <v>0</v>
      </c>
      <c r="N2667" t="s">
        <v>116</v>
      </c>
      <c r="O2667" t="s">
        <v>436</v>
      </c>
      <c r="P2667" t="s">
        <v>436</v>
      </c>
      <c r="Q2667">
        <v>7</v>
      </c>
      <c r="R2667" s="225">
        <f>Base_Periodo1[[#This Row],[CREDITOS]]-Base_Periodo1[[#This Row],[DEBITOS]]</f>
        <v>0</v>
      </c>
      <c r="S2667" s="3" t="str">
        <f>IF(ISERROR(VLOOKUP(Base_Periodo1[[#This Row],[CONTA]],BaseContasDRE[#All],4,FALSE)),"Fora do DRE",VLOOKUP(Base_Periodo1[[#This Row],[CONTA]],BaseContasDRE[#All],4,FALSE))</f>
        <v>Fora do DRE</v>
      </c>
      <c r="T2667" s="3" t="str">
        <f>IF(ISERROR(VLOOKUP(Base_Periodo1[[#This Row],[CONTA]],BaseContasDRE[#All],5,FALSE)),"Fora do DRE",VLOOKUP(Base_Periodo1[[#This Row],[CONTA]],BaseContasDRE[#All],6,FALSE))</f>
        <v>Fora do DRE</v>
      </c>
      <c r="U2667" s="3" t="str">
        <f>IF(ISERROR(VLOOKUP(Base_Periodo1[[#This Row],[CONTA]],BaseContasDRE[#All],7,FALSE)),"Fora do DRE",VLOOKUP(Base_Periodo1[[#This Row],[CONTA]],BaseContasDRE[#All],7,FALSE))</f>
        <v>Fora do DRE</v>
      </c>
      <c r="V2667" s="3" t="str">
        <f>IF(Base_Periodo1[[#This Row],[Tipo_Linha]]="Fora do DRE","Fora do DRE","( "&amp;Base_Periodo1[[#This Row],[Tipo_Linha]]&amp;" ) "&amp;Base_Periodo1[[#This Row],[Filtro]])</f>
        <v>Fora do DRE</v>
      </c>
      <c r="W2667" s="3" t="str">
        <f>LEFT(Base_Periodo1[[#This Row],[CLASS]],3)</f>
        <v>2.1</v>
      </c>
    </row>
    <row r="2668" spans="1:23" hidden="1">
      <c r="A2668" s="3" t="str">
        <f t="shared" si="41"/>
        <v>Período 1</v>
      </c>
      <c r="B2668">
        <v>4461</v>
      </c>
      <c r="C2668" t="s">
        <v>1730</v>
      </c>
      <c r="D2668" t="s">
        <v>5490</v>
      </c>
      <c r="E2668" s="3" t="str">
        <f>IF(LEN(Base_Periodo1[[#This Row],[CLASS]])&gt;=7,LEFT(Base_Periodo1[[#This Row],[CLASS]],7),"")</f>
        <v>2.1.2.1</v>
      </c>
      <c r="F2668" s="3" t="str">
        <f>VLOOKUP(Base_Periodo1[[#This Row],[Aux]],Base_Contas_Balanco[#All],2,FALSE)</f>
        <v>Fornecedores Cooperados</v>
      </c>
      <c r="G2668" s="1">
        <v>42873</v>
      </c>
      <c r="I2668" s="225">
        <v>211.58</v>
      </c>
      <c r="J2668" s="225">
        <v>105792</v>
      </c>
      <c r="K2668" s="225">
        <v>105580.42</v>
      </c>
      <c r="L26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105580.42</v>
      </c>
      <c r="M2668" s="225">
        <f>ROUND(IF(AND(Base_Periodo1[[#This Row],[Tipo_Linha]]="-",Base_Periodo1[[#This Row],[TIPOSALDO]]="D"),Base_Periodo1[[#This Row],[SALDO_ATUAL]]*-1,Base_Periodo1[[#This Row],[SALDO_ATUAL]]),4)</f>
        <v>105580.42</v>
      </c>
      <c r="N2668" t="s">
        <v>116</v>
      </c>
      <c r="O2668" t="s">
        <v>436</v>
      </c>
      <c r="P2668" t="s">
        <v>459</v>
      </c>
      <c r="Q2668">
        <v>7</v>
      </c>
      <c r="R2668" s="225">
        <f>Base_Periodo1[[#This Row],[CREDITOS]]-Base_Periodo1[[#This Row],[DEBITOS]]</f>
        <v>105580.42</v>
      </c>
      <c r="S2668" s="3" t="str">
        <f>IF(ISERROR(VLOOKUP(Base_Periodo1[[#This Row],[CONTA]],BaseContasDRE[#All],4,FALSE)),"Fora do DRE",VLOOKUP(Base_Periodo1[[#This Row],[CONTA]],BaseContasDRE[#All],4,FALSE))</f>
        <v>Fora do DRE</v>
      </c>
      <c r="T2668" s="3" t="str">
        <f>IF(ISERROR(VLOOKUP(Base_Periodo1[[#This Row],[CONTA]],BaseContasDRE[#All],5,FALSE)),"Fora do DRE",VLOOKUP(Base_Periodo1[[#This Row],[CONTA]],BaseContasDRE[#All],6,FALSE))</f>
        <v>Fora do DRE</v>
      </c>
      <c r="U2668" s="3" t="str">
        <f>IF(ISERROR(VLOOKUP(Base_Periodo1[[#This Row],[CONTA]],BaseContasDRE[#All],7,FALSE)),"Fora do DRE",VLOOKUP(Base_Periodo1[[#This Row],[CONTA]],BaseContasDRE[#All],7,FALSE))</f>
        <v>Fora do DRE</v>
      </c>
      <c r="V2668" s="3" t="str">
        <f>IF(Base_Periodo1[[#This Row],[Tipo_Linha]]="Fora do DRE","Fora do DRE","( "&amp;Base_Periodo1[[#This Row],[Tipo_Linha]]&amp;" ) "&amp;Base_Periodo1[[#This Row],[Filtro]])</f>
        <v>Fora do DRE</v>
      </c>
      <c r="W2668" s="3" t="str">
        <f>LEFT(Base_Periodo1[[#This Row],[CLASS]],3)</f>
        <v>2.1</v>
      </c>
    </row>
    <row r="2669" spans="1:23" hidden="1">
      <c r="A2669" s="3" t="str">
        <f t="shared" si="41"/>
        <v>Período 1</v>
      </c>
      <c r="B2669">
        <v>4061</v>
      </c>
      <c r="C2669" t="s">
        <v>1730</v>
      </c>
      <c r="D2669" t="s">
        <v>901</v>
      </c>
      <c r="E2669" s="3" t="str">
        <f>IF(LEN(Base_Periodo1[[#This Row],[CLASS]])&gt;=7,LEFT(Base_Periodo1[[#This Row],[CLASS]],7),"")</f>
        <v>2.1.2.1</v>
      </c>
      <c r="F2669" s="3" t="str">
        <f>VLOOKUP(Base_Periodo1[[#This Row],[Aux]],Base_Contas_Balanco[#All],2,FALSE)</f>
        <v>Fornecedores Cooperados</v>
      </c>
      <c r="G2669" s="1">
        <v>42886</v>
      </c>
      <c r="H2669" s="225">
        <v>132.87000000011176</v>
      </c>
      <c r="I2669" s="225">
        <v>41965.31</v>
      </c>
      <c r="J2669" s="225">
        <v>41965.31</v>
      </c>
      <c r="K2669" s="225">
        <v>132.87000000011176</v>
      </c>
      <c r="L26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132.87</v>
      </c>
      <c r="M2669" s="225">
        <f>ROUND(IF(AND(Base_Periodo1[[#This Row],[Tipo_Linha]]="-",Base_Periodo1[[#This Row],[TIPOSALDO]]="D"),Base_Periodo1[[#This Row],[SALDO_ATUAL]]*-1,Base_Periodo1[[#This Row],[SALDO_ATUAL]]),4)</f>
        <v>132.87</v>
      </c>
      <c r="N2669" t="s">
        <v>116</v>
      </c>
      <c r="O2669" t="s">
        <v>459</v>
      </c>
      <c r="P2669" t="s">
        <v>459</v>
      </c>
      <c r="Q2669">
        <v>7</v>
      </c>
      <c r="R2669" s="225">
        <f>Base_Periodo1[[#This Row],[CREDITOS]]-Base_Periodo1[[#This Row],[DEBITOS]]</f>
        <v>0</v>
      </c>
      <c r="S2669" s="3" t="str">
        <f>IF(ISERROR(VLOOKUP(Base_Periodo1[[#This Row],[CONTA]],BaseContasDRE[#All],4,FALSE)),"Fora do DRE",VLOOKUP(Base_Periodo1[[#This Row],[CONTA]],BaseContasDRE[#All],4,FALSE))</f>
        <v>Fora do DRE</v>
      </c>
      <c r="T2669" s="3" t="str">
        <f>IF(ISERROR(VLOOKUP(Base_Periodo1[[#This Row],[CONTA]],BaseContasDRE[#All],5,FALSE)),"Fora do DRE",VLOOKUP(Base_Periodo1[[#This Row],[CONTA]],BaseContasDRE[#All],6,FALSE))</f>
        <v>Fora do DRE</v>
      </c>
      <c r="U2669" s="3" t="str">
        <f>IF(ISERROR(VLOOKUP(Base_Periodo1[[#This Row],[CONTA]],BaseContasDRE[#All],7,FALSE)),"Fora do DRE",VLOOKUP(Base_Periodo1[[#This Row],[CONTA]],BaseContasDRE[#All],7,FALSE))</f>
        <v>Fora do DRE</v>
      </c>
      <c r="V2669" s="3" t="str">
        <f>IF(Base_Periodo1[[#This Row],[Tipo_Linha]]="Fora do DRE","Fora do DRE","( "&amp;Base_Periodo1[[#This Row],[Tipo_Linha]]&amp;" ) "&amp;Base_Periodo1[[#This Row],[Filtro]])</f>
        <v>Fora do DRE</v>
      </c>
      <c r="W2669" s="3" t="str">
        <f>LEFT(Base_Periodo1[[#This Row],[CLASS]],3)</f>
        <v>2.1</v>
      </c>
    </row>
    <row r="2670" spans="1:23" hidden="1">
      <c r="A2670" s="3" t="str">
        <f t="shared" si="41"/>
        <v>Período 1</v>
      </c>
      <c r="B2670">
        <v>47893</v>
      </c>
      <c r="C2670" t="s">
        <v>1730</v>
      </c>
      <c r="D2670" t="s">
        <v>902</v>
      </c>
      <c r="E2670" s="3" t="str">
        <f>IF(LEN(Base_Periodo1[[#This Row],[CLASS]])&gt;=7,LEFT(Base_Periodo1[[#This Row],[CLASS]],7),"")</f>
        <v>2.1.2.1</v>
      </c>
      <c r="F2670" s="3" t="str">
        <f>VLOOKUP(Base_Periodo1[[#This Row],[Aux]],Base_Contas_Balanco[#All],2,FALSE)</f>
        <v>Fornecedores Cooperados</v>
      </c>
      <c r="G2670" s="1">
        <v>42885</v>
      </c>
      <c r="I2670" s="225">
        <v>2712.22</v>
      </c>
      <c r="J2670" s="225">
        <v>9227.2000000000007</v>
      </c>
      <c r="K2670" s="225">
        <v>6514.979999999885</v>
      </c>
      <c r="L26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6514.98</v>
      </c>
      <c r="M2670" s="225">
        <f>ROUND(IF(AND(Base_Periodo1[[#This Row],[Tipo_Linha]]="-",Base_Periodo1[[#This Row],[TIPOSALDO]]="D"),Base_Periodo1[[#This Row],[SALDO_ATUAL]]*-1,Base_Periodo1[[#This Row],[SALDO_ATUAL]]),4)</f>
        <v>6514.98</v>
      </c>
      <c r="N2670" t="s">
        <v>116</v>
      </c>
      <c r="O2670" t="s">
        <v>436</v>
      </c>
      <c r="P2670" t="s">
        <v>459</v>
      </c>
      <c r="Q2670">
        <v>7</v>
      </c>
      <c r="R2670" s="225">
        <f>Base_Periodo1[[#This Row],[CREDITOS]]-Base_Periodo1[[#This Row],[DEBITOS]]</f>
        <v>6514.9800000000014</v>
      </c>
      <c r="S2670" s="3" t="str">
        <f>IF(ISERROR(VLOOKUP(Base_Periodo1[[#This Row],[CONTA]],BaseContasDRE[#All],4,FALSE)),"Fora do DRE",VLOOKUP(Base_Periodo1[[#This Row],[CONTA]],BaseContasDRE[#All],4,FALSE))</f>
        <v>Fora do DRE</v>
      </c>
      <c r="T2670" s="3" t="str">
        <f>IF(ISERROR(VLOOKUP(Base_Periodo1[[#This Row],[CONTA]],BaseContasDRE[#All],5,FALSE)),"Fora do DRE",VLOOKUP(Base_Periodo1[[#This Row],[CONTA]],BaseContasDRE[#All],6,FALSE))</f>
        <v>Fora do DRE</v>
      </c>
      <c r="U2670" s="3" t="str">
        <f>IF(ISERROR(VLOOKUP(Base_Periodo1[[#This Row],[CONTA]],BaseContasDRE[#All],7,FALSE)),"Fora do DRE",VLOOKUP(Base_Periodo1[[#This Row],[CONTA]],BaseContasDRE[#All],7,FALSE))</f>
        <v>Fora do DRE</v>
      </c>
      <c r="V2670" s="3" t="str">
        <f>IF(Base_Periodo1[[#This Row],[Tipo_Linha]]="Fora do DRE","Fora do DRE","( "&amp;Base_Periodo1[[#This Row],[Tipo_Linha]]&amp;" ) "&amp;Base_Periodo1[[#This Row],[Filtro]])</f>
        <v>Fora do DRE</v>
      </c>
      <c r="W2670" s="3" t="str">
        <f>LEFT(Base_Periodo1[[#This Row],[CLASS]],3)</f>
        <v>2.1</v>
      </c>
    </row>
    <row r="2671" spans="1:23" hidden="1">
      <c r="A2671" s="3" t="str">
        <f t="shared" si="41"/>
        <v>Período 1</v>
      </c>
      <c r="B2671">
        <v>40150</v>
      </c>
      <c r="C2671" t="s">
        <v>1730</v>
      </c>
      <c r="D2671" t="s">
        <v>903</v>
      </c>
      <c r="E2671" s="3" t="str">
        <f>IF(LEN(Base_Periodo1[[#This Row],[CLASS]])&gt;=7,LEFT(Base_Periodo1[[#This Row],[CLASS]],7),"")</f>
        <v>2.1.2.1</v>
      </c>
      <c r="F2671" s="3" t="str">
        <f>VLOOKUP(Base_Periodo1[[#This Row],[Aux]],Base_Contas_Balanco[#All],2,FALSE)</f>
        <v>Fornecedores Cooperados</v>
      </c>
      <c r="G2671" s="1">
        <v>42857</v>
      </c>
      <c r="H2671" s="225">
        <v>287549.99999999977</v>
      </c>
      <c r="I2671" s="225">
        <v>287550</v>
      </c>
      <c r="J2671" s="225">
        <v>0</v>
      </c>
      <c r="K2671" s="225">
        <v>2.3283064365386963E-10</v>
      </c>
      <c r="L26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71" s="225">
        <f>ROUND(IF(AND(Base_Periodo1[[#This Row],[Tipo_Linha]]="-",Base_Periodo1[[#This Row],[TIPOSALDO]]="D"),Base_Periodo1[[#This Row],[SALDO_ATUAL]]*-1,Base_Periodo1[[#This Row],[SALDO_ATUAL]]),4)</f>
        <v>0</v>
      </c>
      <c r="N2671" t="s">
        <v>116</v>
      </c>
      <c r="O2671" t="s">
        <v>459</v>
      </c>
      <c r="P2671" t="s">
        <v>436</v>
      </c>
      <c r="Q2671">
        <v>7</v>
      </c>
      <c r="R2671" s="225">
        <f>Base_Periodo1[[#This Row],[CREDITOS]]-Base_Periodo1[[#This Row],[DEBITOS]]</f>
        <v>-287550</v>
      </c>
      <c r="S2671" s="3" t="str">
        <f>IF(ISERROR(VLOOKUP(Base_Periodo1[[#This Row],[CONTA]],BaseContasDRE[#All],4,FALSE)),"Fora do DRE",VLOOKUP(Base_Periodo1[[#This Row],[CONTA]],BaseContasDRE[#All],4,FALSE))</f>
        <v>Fora do DRE</v>
      </c>
      <c r="T2671" s="3" t="str">
        <f>IF(ISERROR(VLOOKUP(Base_Periodo1[[#This Row],[CONTA]],BaseContasDRE[#All],5,FALSE)),"Fora do DRE",VLOOKUP(Base_Periodo1[[#This Row],[CONTA]],BaseContasDRE[#All],6,FALSE))</f>
        <v>Fora do DRE</v>
      </c>
      <c r="U2671" s="3" t="str">
        <f>IF(ISERROR(VLOOKUP(Base_Periodo1[[#This Row],[CONTA]],BaseContasDRE[#All],7,FALSE)),"Fora do DRE",VLOOKUP(Base_Periodo1[[#This Row],[CONTA]],BaseContasDRE[#All],7,FALSE))</f>
        <v>Fora do DRE</v>
      </c>
      <c r="V2671" s="3" t="str">
        <f>IF(Base_Periodo1[[#This Row],[Tipo_Linha]]="Fora do DRE","Fora do DRE","( "&amp;Base_Periodo1[[#This Row],[Tipo_Linha]]&amp;" ) "&amp;Base_Periodo1[[#This Row],[Filtro]])</f>
        <v>Fora do DRE</v>
      </c>
      <c r="W2671" s="3" t="str">
        <f>LEFT(Base_Periodo1[[#This Row],[CLASS]],3)</f>
        <v>2.1</v>
      </c>
    </row>
    <row r="2672" spans="1:23" hidden="1">
      <c r="A2672" s="3" t="str">
        <f t="shared" si="41"/>
        <v>Período 1</v>
      </c>
      <c r="B2672">
        <v>5049</v>
      </c>
      <c r="C2672" t="s">
        <v>1730</v>
      </c>
      <c r="D2672" t="s">
        <v>904</v>
      </c>
      <c r="E2672" s="3" t="str">
        <f>IF(LEN(Base_Periodo1[[#This Row],[CLASS]])&gt;=7,LEFT(Base_Periodo1[[#This Row],[CLASS]],7),"")</f>
        <v>2.1.2.1</v>
      </c>
      <c r="F2672" s="3" t="str">
        <f>VLOOKUP(Base_Periodo1[[#This Row],[Aux]],Base_Contas_Balanco[#All],2,FALSE)</f>
        <v>Fornecedores Cooperados</v>
      </c>
      <c r="G2672" s="1">
        <v>42878</v>
      </c>
      <c r="H2672" s="225">
        <v>696.99000000022352</v>
      </c>
      <c r="I2672" s="225">
        <v>157032.13</v>
      </c>
      <c r="J2672" s="225">
        <v>157032.13</v>
      </c>
      <c r="K2672" s="225">
        <v>696.99000000022352</v>
      </c>
      <c r="L26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696.99</v>
      </c>
      <c r="M2672" s="225">
        <f>ROUND(IF(AND(Base_Periodo1[[#This Row],[Tipo_Linha]]="-",Base_Periodo1[[#This Row],[TIPOSALDO]]="D"),Base_Periodo1[[#This Row],[SALDO_ATUAL]]*-1,Base_Periodo1[[#This Row],[SALDO_ATUAL]]),4)</f>
        <v>696.99</v>
      </c>
      <c r="N2672" t="s">
        <v>116</v>
      </c>
      <c r="O2672" t="s">
        <v>459</v>
      </c>
      <c r="P2672" t="s">
        <v>459</v>
      </c>
      <c r="Q2672">
        <v>7</v>
      </c>
      <c r="R2672" s="225">
        <f>Base_Periodo1[[#This Row],[CREDITOS]]-Base_Periodo1[[#This Row],[DEBITOS]]</f>
        <v>0</v>
      </c>
      <c r="S2672" s="3" t="str">
        <f>IF(ISERROR(VLOOKUP(Base_Periodo1[[#This Row],[CONTA]],BaseContasDRE[#All],4,FALSE)),"Fora do DRE",VLOOKUP(Base_Periodo1[[#This Row],[CONTA]],BaseContasDRE[#All],4,FALSE))</f>
        <v>Fora do DRE</v>
      </c>
      <c r="T2672" s="3" t="str">
        <f>IF(ISERROR(VLOOKUP(Base_Periodo1[[#This Row],[CONTA]],BaseContasDRE[#All],5,FALSE)),"Fora do DRE",VLOOKUP(Base_Periodo1[[#This Row],[CONTA]],BaseContasDRE[#All],6,FALSE))</f>
        <v>Fora do DRE</v>
      </c>
      <c r="U2672" s="3" t="str">
        <f>IF(ISERROR(VLOOKUP(Base_Periodo1[[#This Row],[CONTA]],BaseContasDRE[#All],7,FALSE)),"Fora do DRE",VLOOKUP(Base_Periodo1[[#This Row],[CONTA]],BaseContasDRE[#All],7,FALSE))</f>
        <v>Fora do DRE</v>
      </c>
      <c r="V2672" s="3" t="str">
        <f>IF(Base_Periodo1[[#This Row],[Tipo_Linha]]="Fora do DRE","Fora do DRE","( "&amp;Base_Periodo1[[#This Row],[Tipo_Linha]]&amp;" ) "&amp;Base_Periodo1[[#This Row],[Filtro]])</f>
        <v>Fora do DRE</v>
      </c>
      <c r="W2672" s="3" t="str">
        <f>LEFT(Base_Periodo1[[#This Row],[CLASS]],3)</f>
        <v>2.1</v>
      </c>
    </row>
    <row r="2673" spans="1:23" hidden="1">
      <c r="A2673" s="3" t="str">
        <f t="shared" si="41"/>
        <v>Período 1</v>
      </c>
      <c r="B2673">
        <v>20968</v>
      </c>
      <c r="C2673" t="s">
        <v>1730</v>
      </c>
      <c r="D2673" t="s">
        <v>5170</v>
      </c>
      <c r="E2673" s="3" t="str">
        <f>IF(LEN(Base_Periodo1[[#This Row],[CLASS]])&gt;=7,LEFT(Base_Periodo1[[#This Row],[CLASS]],7),"")</f>
        <v>2.1.2.1</v>
      </c>
      <c r="F2673" s="3" t="str">
        <f>VLOOKUP(Base_Periodo1[[#This Row],[Aux]],Base_Contas_Balanco[#All],2,FALSE)</f>
        <v>Fornecedores Cooperados</v>
      </c>
      <c r="G2673" s="1">
        <v>42864</v>
      </c>
      <c r="I2673" s="225">
        <v>9700</v>
      </c>
      <c r="J2673" s="225">
        <v>9700</v>
      </c>
      <c r="K2673" s="225">
        <v>0</v>
      </c>
      <c r="L26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73" s="225">
        <f>ROUND(IF(AND(Base_Periodo1[[#This Row],[Tipo_Linha]]="-",Base_Periodo1[[#This Row],[TIPOSALDO]]="D"),Base_Periodo1[[#This Row],[SALDO_ATUAL]]*-1,Base_Periodo1[[#This Row],[SALDO_ATUAL]]),4)</f>
        <v>0</v>
      </c>
      <c r="N2673" t="s">
        <v>116</v>
      </c>
      <c r="O2673" t="s">
        <v>436</v>
      </c>
      <c r="P2673" t="s">
        <v>436</v>
      </c>
      <c r="Q2673">
        <v>7</v>
      </c>
      <c r="R2673" s="225">
        <f>Base_Periodo1[[#This Row],[CREDITOS]]-Base_Periodo1[[#This Row],[DEBITOS]]</f>
        <v>0</v>
      </c>
      <c r="S2673" s="3" t="str">
        <f>IF(ISERROR(VLOOKUP(Base_Periodo1[[#This Row],[CONTA]],BaseContasDRE[#All],4,FALSE)),"Fora do DRE",VLOOKUP(Base_Periodo1[[#This Row],[CONTA]],BaseContasDRE[#All],4,FALSE))</f>
        <v>Fora do DRE</v>
      </c>
      <c r="T2673" s="3" t="str">
        <f>IF(ISERROR(VLOOKUP(Base_Periodo1[[#This Row],[CONTA]],BaseContasDRE[#All],5,FALSE)),"Fora do DRE",VLOOKUP(Base_Periodo1[[#This Row],[CONTA]],BaseContasDRE[#All],6,FALSE))</f>
        <v>Fora do DRE</v>
      </c>
      <c r="U2673" s="3" t="str">
        <f>IF(ISERROR(VLOOKUP(Base_Periodo1[[#This Row],[CONTA]],BaseContasDRE[#All],7,FALSE)),"Fora do DRE",VLOOKUP(Base_Periodo1[[#This Row],[CONTA]],BaseContasDRE[#All],7,FALSE))</f>
        <v>Fora do DRE</v>
      </c>
      <c r="V2673" s="3" t="str">
        <f>IF(Base_Periodo1[[#This Row],[Tipo_Linha]]="Fora do DRE","Fora do DRE","( "&amp;Base_Periodo1[[#This Row],[Tipo_Linha]]&amp;" ) "&amp;Base_Periodo1[[#This Row],[Filtro]])</f>
        <v>Fora do DRE</v>
      </c>
      <c r="W2673" s="3" t="str">
        <f>LEFT(Base_Periodo1[[#This Row],[CLASS]],3)</f>
        <v>2.1</v>
      </c>
    </row>
    <row r="2674" spans="1:23" hidden="1">
      <c r="A2674" s="3" t="str">
        <f t="shared" si="41"/>
        <v>Período 1</v>
      </c>
      <c r="B2674">
        <v>4221</v>
      </c>
      <c r="C2674" t="s">
        <v>1730</v>
      </c>
      <c r="D2674" t="s">
        <v>5512</v>
      </c>
      <c r="E2674" s="3" t="str">
        <f>IF(LEN(Base_Periodo1[[#This Row],[CLASS]])&gt;=7,LEFT(Base_Periodo1[[#This Row],[CLASS]],7),"")</f>
        <v>2.1.2.1</v>
      </c>
      <c r="F2674" s="3" t="str">
        <f>VLOOKUP(Base_Periodo1[[#This Row],[Aux]],Base_Contas_Balanco[#All],2,FALSE)</f>
        <v>Fornecedores Cooperados</v>
      </c>
      <c r="G2674" s="1">
        <v>42752</v>
      </c>
      <c r="H2674" s="225">
        <v>354</v>
      </c>
      <c r="I2674" s="225">
        <v>0</v>
      </c>
      <c r="J2674" s="225">
        <v>0</v>
      </c>
      <c r="K2674" s="225">
        <v>354</v>
      </c>
      <c r="L26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354</v>
      </c>
      <c r="M2674" s="225">
        <f>ROUND(IF(AND(Base_Periodo1[[#This Row],[Tipo_Linha]]="-",Base_Periodo1[[#This Row],[TIPOSALDO]]="D"),Base_Periodo1[[#This Row],[SALDO_ATUAL]]*-1,Base_Periodo1[[#This Row],[SALDO_ATUAL]]),4)</f>
        <v>354</v>
      </c>
      <c r="N2674" t="s">
        <v>116</v>
      </c>
      <c r="O2674" t="s">
        <v>459</v>
      </c>
      <c r="P2674" t="s">
        <v>459</v>
      </c>
      <c r="Q2674">
        <v>7</v>
      </c>
      <c r="R2674" s="225">
        <f>Base_Periodo1[[#This Row],[CREDITOS]]-Base_Periodo1[[#This Row],[DEBITOS]]</f>
        <v>0</v>
      </c>
      <c r="S2674" s="3" t="str">
        <f>IF(ISERROR(VLOOKUP(Base_Periodo1[[#This Row],[CONTA]],BaseContasDRE[#All],4,FALSE)),"Fora do DRE",VLOOKUP(Base_Periodo1[[#This Row],[CONTA]],BaseContasDRE[#All],4,FALSE))</f>
        <v>Fora do DRE</v>
      </c>
      <c r="T2674" s="3" t="str">
        <f>IF(ISERROR(VLOOKUP(Base_Periodo1[[#This Row],[CONTA]],BaseContasDRE[#All],5,FALSE)),"Fora do DRE",VLOOKUP(Base_Periodo1[[#This Row],[CONTA]],BaseContasDRE[#All],6,FALSE))</f>
        <v>Fora do DRE</v>
      </c>
      <c r="U2674" s="3" t="str">
        <f>IF(ISERROR(VLOOKUP(Base_Periodo1[[#This Row],[CONTA]],BaseContasDRE[#All],7,FALSE)),"Fora do DRE",VLOOKUP(Base_Periodo1[[#This Row],[CONTA]],BaseContasDRE[#All],7,FALSE))</f>
        <v>Fora do DRE</v>
      </c>
      <c r="V2674" s="3" t="str">
        <f>IF(Base_Periodo1[[#This Row],[Tipo_Linha]]="Fora do DRE","Fora do DRE","( "&amp;Base_Periodo1[[#This Row],[Tipo_Linha]]&amp;" ) "&amp;Base_Periodo1[[#This Row],[Filtro]])</f>
        <v>Fora do DRE</v>
      </c>
      <c r="W2674" s="3" t="str">
        <f>LEFT(Base_Periodo1[[#This Row],[CLASS]],3)</f>
        <v>2.1</v>
      </c>
    </row>
    <row r="2675" spans="1:23" hidden="1">
      <c r="A2675" s="3" t="str">
        <f t="shared" si="41"/>
        <v>Período 1</v>
      </c>
      <c r="B2675">
        <v>3473</v>
      </c>
      <c r="C2675" t="s">
        <v>1730</v>
      </c>
      <c r="D2675" t="s">
        <v>5018</v>
      </c>
      <c r="E2675" s="3" t="str">
        <f>IF(LEN(Base_Periodo1[[#This Row],[CLASS]])&gt;=7,LEFT(Base_Periodo1[[#This Row],[CLASS]],7),"")</f>
        <v>2.1.2.1</v>
      </c>
      <c r="F2675" s="3" t="str">
        <f>VLOOKUP(Base_Periodo1[[#This Row],[Aux]],Base_Contas_Balanco[#All],2,FALSE)</f>
        <v>Fornecedores Cooperados</v>
      </c>
      <c r="G2675" s="1">
        <v>42864</v>
      </c>
      <c r="I2675" s="225">
        <v>52168.21</v>
      </c>
      <c r="J2675" s="225">
        <v>52168.21</v>
      </c>
      <c r="K2675" s="225">
        <v>0</v>
      </c>
      <c r="L26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75" s="225">
        <f>ROUND(IF(AND(Base_Periodo1[[#This Row],[Tipo_Linha]]="-",Base_Periodo1[[#This Row],[TIPOSALDO]]="D"),Base_Periodo1[[#This Row],[SALDO_ATUAL]]*-1,Base_Periodo1[[#This Row],[SALDO_ATUAL]]),4)</f>
        <v>0</v>
      </c>
      <c r="N2675" t="s">
        <v>116</v>
      </c>
      <c r="O2675" t="s">
        <v>436</v>
      </c>
      <c r="P2675" t="s">
        <v>436</v>
      </c>
      <c r="Q2675">
        <v>7</v>
      </c>
      <c r="R2675" s="225">
        <f>Base_Periodo1[[#This Row],[CREDITOS]]-Base_Periodo1[[#This Row],[DEBITOS]]</f>
        <v>0</v>
      </c>
      <c r="S2675" s="3" t="str">
        <f>IF(ISERROR(VLOOKUP(Base_Periodo1[[#This Row],[CONTA]],BaseContasDRE[#All],4,FALSE)),"Fora do DRE",VLOOKUP(Base_Periodo1[[#This Row],[CONTA]],BaseContasDRE[#All],4,FALSE))</f>
        <v>Fora do DRE</v>
      </c>
      <c r="T2675" s="3" t="str">
        <f>IF(ISERROR(VLOOKUP(Base_Periodo1[[#This Row],[CONTA]],BaseContasDRE[#All],5,FALSE)),"Fora do DRE",VLOOKUP(Base_Periodo1[[#This Row],[CONTA]],BaseContasDRE[#All],6,FALSE))</f>
        <v>Fora do DRE</v>
      </c>
      <c r="U2675" s="3" t="str">
        <f>IF(ISERROR(VLOOKUP(Base_Periodo1[[#This Row],[CONTA]],BaseContasDRE[#All],7,FALSE)),"Fora do DRE",VLOOKUP(Base_Periodo1[[#This Row],[CONTA]],BaseContasDRE[#All],7,FALSE))</f>
        <v>Fora do DRE</v>
      </c>
      <c r="V2675" s="3" t="str">
        <f>IF(Base_Periodo1[[#This Row],[Tipo_Linha]]="Fora do DRE","Fora do DRE","( "&amp;Base_Periodo1[[#This Row],[Tipo_Linha]]&amp;" ) "&amp;Base_Periodo1[[#This Row],[Filtro]])</f>
        <v>Fora do DRE</v>
      </c>
      <c r="W2675" s="3" t="str">
        <f>LEFT(Base_Periodo1[[#This Row],[CLASS]],3)</f>
        <v>2.1</v>
      </c>
    </row>
    <row r="2676" spans="1:23" hidden="1">
      <c r="A2676" s="3" t="str">
        <f t="shared" si="41"/>
        <v>Período 1</v>
      </c>
      <c r="B2676">
        <v>1525</v>
      </c>
      <c r="C2676" t="s">
        <v>1739</v>
      </c>
      <c r="D2676" t="s">
        <v>1740</v>
      </c>
      <c r="E2676" s="3" t="str">
        <f>IF(LEN(Base_Periodo1[[#This Row],[CLASS]])&gt;=7,LEFT(Base_Periodo1[[#This Row],[CLASS]],7),"")</f>
        <v>2.1.2.1</v>
      </c>
      <c r="F2676" s="3" t="str">
        <f>VLOOKUP(Base_Periodo1[[#This Row],[Aux]],Base_Contas_Balanco[#All],2,FALSE)</f>
        <v>Fornecedores Cooperados</v>
      </c>
      <c r="G2676" s="1"/>
      <c r="H2676" s="225">
        <v>17459322.71999998</v>
      </c>
      <c r="I2676" s="225">
        <v>2586658.8199999994</v>
      </c>
      <c r="J2676" s="225">
        <v>6252638.4699999979</v>
      </c>
      <c r="K2676" s="225">
        <v>21125302.369999979</v>
      </c>
      <c r="L26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21125302.370000001</v>
      </c>
      <c r="M2676" s="225">
        <f>ROUND(IF(AND(Base_Periodo1[[#This Row],[Tipo_Linha]]="-",Base_Periodo1[[#This Row],[TIPOSALDO]]="D"),Base_Periodo1[[#This Row],[SALDO_ATUAL]]*-1,Base_Periodo1[[#This Row],[SALDO_ATUAL]]),4)</f>
        <v>21125302.370000001</v>
      </c>
      <c r="N2676" t="s">
        <v>396</v>
      </c>
      <c r="O2676" t="s">
        <v>459</v>
      </c>
      <c r="P2676" t="s">
        <v>459</v>
      </c>
      <c r="Q2676">
        <v>5</v>
      </c>
      <c r="R2676" s="225">
        <f>Base_Periodo1[[#This Row],[CREDITOS]]-Base_Periodo1[[#This Row],[DEBITOS]]</f>
        <v>3665979.6499999985</v>
      </c>
      <c r="S2676" s="3" t="str">
        <f>IF(ISERROR(VLOOKUP(Base_Periodo1[[#This Row],[CONTA]],BaseContasDRE[#All],4,FALSE)),"Fora do DRE",VLOOKUP(Base_Periodo1[[#This Row],[CONTA]],BaseContasDRE[#All],4,FALSE))</f>
        <v>Fora do DRE</v>
      </c>
      <c r="T2676" s="3" t="str">
        <f>IF(ISERROR(VLOOKUP(Base_Periodo1[[#This Row],[CONTA]],BaseContasDRE[#All],5,FALSE)),"Fora do DRE",VLOOKUP(Base_Periodo1[[#This Row],[CONTA]],BaseContasDRE[#All],6,FALSE))</f>
        <v>Fora do DRE</v>
      </c>
      <c r="U2676" s="3" t="str">
        <f>IF(ISERROR(VLOOKUP(Base_Periodo1[[#This Row],[CONTA]],BaseContasDRE[#All],7,FALSE)),"Fora do DRE",VLOOKUP(Base_Periodo1[[#This Row],[CONTA]],BaseContasDRE[#All],7,FALSE))</f>
        <v>Fora do DRE</v>
      </c>
      <c r="V2676" s="3" t="str">
        <f>IF(Base_Periodo1[[#This Row],[Tipo_Linha]]="Fora do DRE","Fora do DRE","( "&amp;Base_Periodo1[[#This Row],[Tipo_Linha]]&amp;" ) "&amp;Base_Periodo1[[#This Row],[Filtro]])</f>
        <v>Fora do DRE</v>
      </c>
      <c r="W2676" s="3" t="str">
        <f>LEFT(Base_Periodo1[[#This Row],[CLASS]],3)</f>
        <v>2.1</v>
      </c>
    </row>
    <row r="2677" spans="1:23" hidden="1">
      <c r="A2677" s="3" t="str">
        <f t="shared" si="41"/>
        <v>Período 1</v>
      </c>
      <c r="B2677">
        <v>36627</v>
      </c>
      <c r="C2677" t="s">
        <v>1741</v>
      </c>
      <c r="D2677" t="s">
        <v>1742</v>
      </c>
      <c r="E2677" s="3" t="str">
        <f>IF(LEN(Base_Periodo1[[#This Row],[CLASS]])&gt;=7,LEFT(Base_Periodo1[[#This Row],[CLASS]],7),"")</f>
        <v>2.1.2.1</v>
      </c>
      <c r="F2677" s="3" t="str">
        <f>VLOOKUP(Base_Periodo1[[#This Row],[Aux]],Base_Contas_Balanco[#All],2,FALSE)</f>
        <v>Fornecedores Cooperados</v>
      </c>
      <c r="G2677" s="1">
        <v>42735</v>
      </c>
      <c r="H2677" s="225">
        <v>7649254.6900000013</v>
      </c>
      <c r="I2677" s="225">
        <v>0</v>
      </c>
      <c r="J2677" s="225">
        <v>0</v>
      </c>
      <c r="K2677" s="225">
        <v>7649254.6900000013</v>
      </c>
      <c r="L26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7649254.6900000004</v>
      </c>
      <c r="M2677" s="225">
        <f>ROUND(IF(AND(Base_Periodo1[[#This Row],[Tipo_Linha]]="-",Base_Periodo1[[#This Row],[TIPOSALDO]]="D"),Base_Periodo1[[#This Row],[SALDO_ATUAL]]*-1,Base_Periodo1[[#This Row],[SALDO_ATUAL]]),4)</f>
        <v>7649254.6900000004</v>
      </c>
      <c r="N2677" t="s">
        <v>116</v>
      </c>
      <c r="O2677" t="s">
        <v>459</v>
      </c>
      <c r="P2677" t="s">
        <v>459</v>
      </c>
      <c r="Q2677">
        <v>6</v>
      </c>
      <c r="R2677" s="225">
        <f>Base_Periodo1[[#This Row],[CREDITOS]]-Base_Periodo1[[#This Row],[DEBITOS]]</f>
        <v>0</v>
      </c>
      <c r="S2677" s="3" t="str">
        <f>IF(ISERROR(VLOOKUP(Base_Periodo1[[#This Row],[CONTA]],BaseContasDRE[#All],4,FALSE)),"Fora do DRE",VLOOKUP(Base_Periodo1[[#This Row],[CONTA]],BaseContasDRE[#All],4,FALSE))</f>
        <v>Fora do DRE</v>
      </c>
      <c r="T2677" s="3" t="str">
        <f>IF(ISERROR(VLOOKUP(Base_Periodo1[[#This Row],[CONTA]],BaseContasDRE[#All],5,FALSE)),"Fora do DRE",VLOOKUP(Base_Periodo1[[#This Row],[CONTA]],BaseContasDRE[#All],6,FALSE))</f>
        <v>Fora do DRE</v>
      </c>
      <c r="U2677" s="3" t="str">
        <f>IF(ISERROR(VLOOKUP(Base_Periodo1[[#This Row],[CONTA]],BaseContasDRE[#All],7,FALSE)),"Fora do DRE",VLOOKUP(Base_Periodo1[[#This Row],[CONTA]],BaseContasDRE[#All],7,FALSE))</f>
        <v>Fora do DRE</v>
      </c>
      <c r="V2677" s="3" t="str">
        <f>IF(Base_Periodo1[[#This Row],[Tipo_Linha]]="Fora do DRE","Fora do DRE","( "&amp;Base_Periodo1[[#This Row],[Tipo_Linha]]&amp;" ) "&amp;Base_Periodo1[[#This Row],[Filtro]])</f>
        <v>Fora do DRE</v>
      </c>
      <c r="W2677" s="3" t="str">
        <f>LEFT(Base_Periodo1[[#This Row],[CLASS]],3)</f>
        <v>2.1</v>
      </c>
    </row>
    <row r="2678" spans="1:23" hidden="1">
      <c r="A2678" s="3" t="str">
        <f t="shared" si="41"/>
        <v>Período 1</v>
      </c>
      <c r="B2678">
        <v>1531</v>
      </c>
      <c r="C2678" t="s">
        <v>1743</v>
      </c>
      <c r="D2678" t="s">
        <v>1744</v>
      </c>
      <c r="E2678" s="3" t="str">
        <f>IF(LEN(Base_Periodo1[[#This Row],[CLASS]])&gt;=7,LEFT(Base_Periodo1[[#This Row],[CLASS]],7),"")</f>
        <v>2.1.2.1</v>
      </c>
      <c r="F2678" s="3" t="str">
        <f>VLOOKUP(Base_Periodo1[[#This Row],[Aux]],Base_Contas_Balanco[#All],2,FALSE)</f>
        <v>Fornecedores Cooperados</v>
      </c>
      <c r="G2678" s="1"/>
      <c r="H2678" s="225">
        <v>9810068.0299999751</v>
      </c>
      <c r="I2678" s="225">
        <v>2586658.8199999994</v>
      </c>
      <c r="J2678" s="225">
        <v>6252638.4699999979</v>
      </c>
      <c r="K2678" s="225">
        <v>13476047.679999974</v>
      </c>
      <c r="L26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13476047.68</v>
      </c>
      <c r="M2678" s="225">
        <f>ROUND(IF(AND(Base_Periodo1[[#This Row],[Tipo_Linha]]="-",Base_Periodo1[[#This Row],[TIPOSALDO]]="D"),Base_Periodo1[[#This Row],[SALDO_ATUAL]]*-1,Base_Periodo1[[#This Row],[SALDO_ATUAL]]),4)</f>
        <v>13476047.68</v>
      </c>
      <c r="N2678" t="s">
        <v>396</v>
      </c>
      <c r="O2678" t="s">
        <v>459</v>
      </c>
      <c r="P2678" t="s">
        <v>459</v>
      </c>
      <c r="Q2678">
        <v>6</v>
      </c>
      <c r="R2678" s="225">
        <f>Base_Periodo1[[#This Row],[CREDITOS]]-Base_Periodo1[[#This Row],[DEBITOS]]</f>
        <v>3665979.6499999985</v>
      </c>
      <c r="S2678" s="3" t="str">
        <f>IF(ISERROR(VLOOKUP(Base_Periodo1[[#This Row],[CONTA]],BaseContasDRE[#All],4,FALSE)),"Fora do DRE",VLOOKUP(Base_Periodo1[[#This Row],[CONTA]],BaseContasDRE[#All],4,FALSE))</f>
        <v>Fora do DRE</v>
      </c>
      <c r="T2678" s="3" t="str">
        <f>IF(ISERROR(VLOOKUP(Base_Periodo1[[#This Row],[CONTA]],BaseContasDRE[#All],5,FALSE)),"Fora do DRE",VLOOKUP(Base_Periodo1[[#This Row],[CONTA]],BaseContasDRE[#All],6,FALSE))</f>
        <v>Fora do DRE</v>
      </c>
      <c r="U2678" s="3" t="str">
        <f>IF(ISERROR(VLOOKUP(Base_Periodo1[[#This Row],[CONTA]],BaseContasDRE[#All],7,FALSE)),"Fora do DRE",VLOOKUP(Base_Periodo1[[#This Row],[CONTA]],BaseContasDRE[#All],7,FALSE))</f>
        <v>Fora do DRE</v>
      </c>
      <c r="V2678" s="3" t="str">
        <f>IF(Base_Periodo1[[#This Row],[Tipo_Linha]]="Fora do DRE","Fora do DRE","( "&amp;Base_Periodo1[[#This Row],[Tipo_Linha]]&amp;" ) "&amp;Base_Periodo1[[#This Row],[Filtro]])</f>
        <v>Fora do DRE</v>
      </c>
      <c r="W2678" s="3" t="str">
        <f>LEFT(Base_Periodo1[[#This Row],[CLASS]],3)</f>
        <v>2.1</v>
      </c>
    </row>
    <row r="2679" spans="1:23" hidden="1">
      <c r="A2679" s="3" t="str">
        <f t="shared" si="41"/>
        <v>Período 1</v>
      </c>
      <c r="B2679">
        <v>21025</v>
      </c>
      <c r="C2679" t="s">
        <v>1745</v>
      </c>
      <c r="D2679" t="s">
        <v>5513</v>
      </c>
      <c r="E2679" s="3" t="str">
        <f>IF(LEN(Base_Periodo1[[#This Row],[CLASS]])&gt;=7,LEFT(Base_Periodo1[[#This Row],[CLASS]],7),"")</f>
        <v>2.1.2.1</v>
      </c>
      <c r="F2679" s="3" t="str">
        <f>VLOOKUP(Base_Periodo1[[#This Row],[Aux]],Base_Contas_Balanco[#All],2,FALSE)</f>
        <v>Fornecedores Cooperados</v>
      </c>
      <c r="G2679" s="1">
        <v>42705</v>
      </c>
      <c r="H2679" s="225">
        <v>6575</v>
      </c>
      <c r="I2679" s="225">
        <v>0</v>
      </c>
      <c r="J2679" s="225">
        <v>0</v>
      </c>
      <c r="K2679" s="225">
        <v>6575</v>
      </c>
      <c r="L26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6575</v>
      </c>
      <c r="M2679" s="225">
        <f>ROUND(IF(AND(Base_Periodo1[[#This Row],[Tipo_Linha]]="-",Base_Periodo1[[#This Row],[TIPOSALDO]]="D"),Base_Periodo1[[#This Row],[SALDO_ATUAL]]*-1,Base_Periodo1[[#This Row],[SALDO_ATUAL]]),4)</f>
        <v>6575</v>
      </c>
      <c r="N2679" t="s">
        <v>116</v>
      </c>
      <c r="O2679" t="s">
        <v>459</v>
      </c>
      <c r="P2679" t="s">
        <v>459</v>
      </c>
      <c r="Q2679">
        <v>7</v>
      </c>
      <c r="R2679" s="225">
        <f>Base_Periodo1[[#This Row],[CREDITOS]]-Base_Periodo1[[#This Row],[DEBITOS]]</f>
        <v>0</v>
      </c>
      <c r="S2679" s="3" t="str">
        <f>IF(ISERROR(VLOOKUP(Base_Periodo1[[#This Row],[CONTA]],BaseContasDRE[#All],4,FALSE)),"Fora do DRE",VLOOKUP(Base_Periodo1[[#This Row],[CONTA]],BaseContasDRE[#All],4,FALSE))</f>
        <v>Fora do DRE</v>
      </c>
      <c r="T2679" s="3" t="str">
        <f>IF(ISERROR(VLOOKUP(Base_Periodo1[[#This Row],[CONTA]],BaseContasDRE[#All],5,FALSE)),"Fora do DRE",VLOOKUP(Base_Periodo1[[#This Row],[CONTA]],BaseContasDRE[#All],6,FALSE))</f>
        <v>Fora do DRE</v>
      </c>
      <c r="U2679" s="3" t="str">
        <f>IF(ISERROR(VLOOKUP(Base_Periodo1[[#This Row],[CONTA]],BaseContasDRE[#All],7,FALSE)),"Fora do DRE",VLOOKUP(Base_Periodo1[[#This Row],[CONTA]],BaseContasDRE[#All],7,FALSE))</f>
        <v>Fora do DRE</v>
      </c>
      <c r="V2679" s="3" t="str">
        <f>IF(Base_Periodo1[[#This Row],[Tipo_Linha]]="Fora do DRE","Fora do DRE","( "&amp;Base_Periodo1[[#This Row],[Tipo_Linha]]&amp;" ) "&amp;Base_Periodo1[[#This Row],[Filtro]])</f>
        <v>Fora do DRE</v>
      </c>
      <c r="W2679" s="3" t="str">
        <f>LEFT(Base_Periodo1[[#This Row],[CLASS]],3)</f>
        <v>2.1</v>
      </c>
    </row>
    <row r="2680" spans="1:23" hidden="1">
      <c r="A2680" s="3" t="str">
        <f t="shared" si="41"/>
        <v>Período 1</v>
      </c>
      <c r="B2680">
        <v>47180</v>
      </c>
      <c r="C2680" t="s">
        <v>1745</v>
      </c>
      <c r="D2680" t="s">
        <v>1746</v>
      </c>
      <c r="E2680" s="3" t="str">
        <f>IF(LEN(Base_Periodo1[[#This Row],[CLASS]])&gt;=7,LEFT(Base_Periodo1[[#This Row],[CLASS]],7),"")</f>
        <v>2.1.2.1</v>
      </c>
      <c r="F2680" s="3" t="str">
        <f>VLOOKUP(Base_Periodo1[[#This Row],[Aux]],Base_Contas_Balanco[#All],2,FALSE)</f>
        <v>Fornecedores Cooperados</v>
      </c>
      <c r="G2680" s="1">
        <v>42884</v>
      </c>
      <c r="H2680" s="225">
        <v>3053.929999999993</v>
      </c>
      <c r="I2680" s="225">
        <v>6107.88</v>
      </c>
      <c r="J2680" s="225">
        <v>8698.17</v>
      </c>
      <c r="K2680" s="225">
        <v>5644.219999999993</v>
      </c>
      <c r="L26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5644.22</v>
      </c>
      <c r="M2680" s="225">
        <f>ROUND(IF(AND(Base_Periodo1[[#This Row],[Tipo_Linha]]="-",Base_Periodo1[[#This Row],[TIPOSALDO]]="D"),Base_Periodo1[[#This Row],[SALDO_ATUAL]]*-1,Base_Periodo1[[#This Row],[SALDO_ATUAL]]),4)</f>
        <v>5644.22</v>
      </c>
      <c r="N2680" t="s">
        <v>116</v>
      </c>
      <c r="O2680" t="s">
        <v>459</v>
      </c>
      <c r="P2680" t="s">
        <v>459</v>
      </c>
      <c r="Q2680">
        <v>7</v>
      </c>
      <c r="R2680" s="225">
        <f>Base_Periodo1[[#This Row],[CREDITOS]]-Base_Periodo1[[#This Row],[DEBITOS]]</f>
        <v>2590.29</v>
      </c>
      <c r="S2680" s="3" t="str">
        <f>IF(ISERROR(VLOOKUP(Base_Periodo1[[#This Row],[CONTA]],BaseContasDRE[#All],4,FALSE)),"Fora do DRE",VLOOKUP(Base_Periodo1[[#This Row],[CONTA]],BaseContasDRE[#All],4,FALSE))</f>
        <v>Fora do DRE</v>
      </c>
      <c r="T2680" s="3" t="str">
        <f>IF(ISERROR(VLOOKUP(Base_Periodo1[[#This Row],[CONTA]],BaseContasDRE[#All],5,FALSE)),"Fora do DRE",VLOOKUP(Base_Periodo1[[#This Row],[CONTA]],BaseContasDRE[#All],6,FALSE))</f>
        <v>Fora do DRE</v>
      </c>
      <c r="U2680" s="3" t="str">
        <f>IF(ISERROR(VLOOKUP(Base_Periodo1[[#This Row],[CONTA]],BaseContasDRE[#All],7,FALSE)),"Fora do DRE",VLOOKUP(Base_Periodo1[[#This Row],[CONTA]],BaseContasDRE[#All],7,FALSE))</f>
        <v>Fora do DRE</v>
      </c>
      <c r="V2680" s="3" t="str">
        <f>IF(Base_Periodo1[[#This Row],[Tipo_Linha]]="Fora do DRE","Fora do DRE","( "&amp;Base_Periodo1[[#This Row],[Tipo_Linha]]&amp;" ) "&amp;Base_Periodo1[[#This Row],[Filtro]])</f>
        <v>Fora do DRE</v>
      </c>
      <c r="W2680" s="3" t="str">
        <f>LEFT(Base_Periodo1[[#This Row],[CLASS]],3)</f>
        <v>2.1</v>
      </c>
    </row>
    <row r="2681" spans="1:23" hidden="1">
      <c r="A2681" s="3" t="str">
        <f t="shared" si="41"/>
        <v>Período 1</v>
      </c>
      <c r="B2681">
        <v>49568</v>
      </c>
      <c r="C2681" t="s">
        <v>1745</v>
      </c>
      <c r="D2681" t="s">
        <v>4753</v>
      </c>
      <c r="E2681" s="3" t="str">
        <f>IF(LEN(Base_Periodo1[[#This Row],[CLASS]])&gt;=7,LEFT(Base_Periodo1[[#This Row],[CLASS]],7),"")</f>
        <v>2.1.2.1</v>
      </c>
      <c r="F2681" s="3" t="str">
        <f>VLOOKUP(Base_Periodo1[[#This Row],[Aux]],Base_Contas_Balanco[#All],2,FALSE)</f>
        <v>Fornecedores Cooperados</v>
      </c>
      <c r="G2681" s="1">
        <v>42879</v>
      </c>
      <c r="I2681" s="225">
        <v>0</v>
      </c>
      <c r="J2681" s="225">
        <v>5127.93</v>
      </c>
      <c r="K2681" s="225">
        <v>5127.93</v>
      </c>
      <c r="L26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5127.93</v>
      </c>
      <c r="M2681" s="225">
        <f>ROUND(IF(AND(Base_Periodo1[[#This Row],[Tipo_Linha]]="-",Base_Periodo1[[#This Row],[TIPOSALDO]]="D"),Base_Periodo1[[#This Row],[SALDO_ATUAL]]*-1,Base_Periodo1[[#This Row],[SALDO_ATUAL]]),4)</f>
        <v>5127.93</v>
      </c>
      <c r="N2681" t="s">
        <v>116</v>
      </c>
      <c r="O2681" t="s">
        <v>436</v>
      </c>
      <c r="P2681" t="s">
        <v>459</v>
      </c>
      <c r="Q2681">
        <v>7</v>
      </c>
      <c r="R2681" s="225">
        <f>Base_Periodo1[[#This Row],[CREDITOS]]-Base_Periodo1[[#This Row],[DEBITOS]]</f>
        <v>5127.93</v>
      </c>
      <c r="S2681" s="3" t="str">
        <f>IF(ISERROR(VLOOKUP(Base_Periodo1[[#This Row],[CONTA]],BaseContasDRE[#All],4,FALSE)),"Fora do DRE",VLOOKUP(Base_Periodo1[[#This Row],[CONTA]],BaseContasDRE[#All],4,FALSE))</f>
        <v>Fora do DRE</v>
      </c>
      <c r="T2681" s="3" t="str">
        <f>IF(ISERROR(VLOOKUP(Base_Periodo1[[#This Row],[CONTA]],BaseContasDRE[#All],5,FALSE)),"Fora do DRE",VLOOKUP(Base_Periodo1[[#This Row],[CONTA]],BaseContasDRE[#All],6,FALSE))</f>
        <v>Fora do DRE</v>
      </c>
      <c r="U2681" s="3" t="str">
        <f>IF(ISERROR(VLOOKUP(Base_Periodo1[[#This Row],[CONTA]],BaseContasDRE[#All],7,FALSE)),"Fora do DRE",VLOOKUP(Base_Periodo1[[#This Row],[CONTA]],BaseContasDRE[#All],7,FALSE))</f>
        <v>Fora do DRE</v>
      </c>
      <c r="V2681" s="3" t="str">
        <f>IF(Base_Periodo1[[#This Row],[Tipo_Linha]]="Fora do DRE","Fora do DRE","( "&amp;Base_Periodo1[[#This Row],[Tipo_Linha]]&amp;" ) "&amp;Base_Periodo1[[#This Row],[Filtro]])</f>
        <v>Fora do DRE</v>
      </c>
      <c r="W2681" s="3" t="str">
        <f>LEFT(Base_Periodo1[[#This Row],[CLASS]],3)</f>
        <v>2.1</v>
      </c>
    </row>
    <row r="2682" spans="1:23" hidden="1">
      <c r="A2682" s="3" t="str">
        <f t="shared" si="41"/>
        <v>Período 1</v>
      </c>
      <c r="B2682">
        <v>4614</v>
      </c>
      <c r="C2682" t="s">
        <v>1745</v>
      </c>
      <c r="D2682" t="s">
        <v>1747</v>
      </c>
      <c r="E2682" s="3" t="str">
        <f>IF(LEN(Base_Periodo1[[#This Row],[CLASS]])&gt;=7,LEFT(Base_Periodo1[[#This Row],[CLASS]],7),"")</f>
        <v>2.1.2.1</v>
      </c>
      <c r="F2682" s="3" t="str">
        <f>VLOOKUP(Base_Periodo1[[#This Row],[Aux]],Base_Contas_Balanco[#All],2,FALSE)</f>
        <v>Fornecedores Cooperados</v>
      </c>
      <c r="G2682" s="1">
        <v>41531</v>
      </c>
      <c r="H2682" s="225">
        <v>0.35999999999876309</v>
      </c>
      <c r="I2682" s="225">
        <v>0</v>
      </c>
      <c r="J2682" s="225">
        <v>0</v>
      </c>
      <c r="K2682" s="225">
        <v>0.35999999999876309</v>
      </c>
      <c r="L26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0.36</v>
      </c>
      <c r="M2682" s="225">
        <f>ROUND(IF(AND(Base_Periodo1[[#This Row],[Tipo_Linha]]="-",Base_Periodo1[[#This Row],[TIPOSALDO]]="D"),Base_Periodo1[[#This Row],[SALDO_ATUAL]]*-1,Base_Periodo1[[#This Row],[SALDO_ATUAL]]),4)</f>
        <v>0.36</v>
      </c>
      <c r="N2682" t="s">
        <v>116</v>
      </c>
      <c r="O2682" t="s">
        <v>459</v>
      </c>
      <c r="P2682" t="s">
        <v>459</v>
      </c>
      <c r="Q2682">
        <v>7</v>
      </c>
      <c r="R2682" s="225">
        <f>Base_Periodo1[[#This Row],[CREDITOS]]-Base_Periodo1[[#This Row],[DEBITOS]]</f>
        <v>0</v>
      </c>
      <c r="S2682" s="3" t="str">
        <f>IF(ISERROR(VLOOKUP(Base_Periodo1[[#This Row],[CONTA]],BaseContasDRE[#All],4,FALSE)),"Fora do DRE",VLOOKUP(Base_Periodo1[[#This Row],[CONTA]],BaseContasDRE[#All],4,FALSE))</f>
        <v>Fora do DRE</v>
      </c>
      <c r="T2682" s="3" t="str">
        <f>IF(ISERROR(VLOOKUP(Base_Periodo1[[#This Row],[CONTA]],BaseContasDRE[#All],5,FALSE)),"Fora do DRE",VLOOKUP(Base_Periodo1[[#This Row],[CONTA]],BaseContasDRE[#All],6,FALSE))</f>
        <v>Fora do DRE</v>
      </c>
      <c r="U2682" s="3" t="str">
        <f>IF(ISERROR(VLOOKUP(Base_Periodo1[[#This Row],[CONTA]],BaseContasDRE[#All],7,FALSE)),"Fora do DRE",VLOOKUP(Base_Periodo1[[#This Row],[CONTA]],BaseContasDRE[#All],7,FALSE))</f>
        <v>Fora do DRE</v>
      </c>
      <c r="V2682" s="3" t="str">
        <f>IF(Base_Periodo1[[#This Row],[Tipo_Linha]]="Fora do DRE","Fora do DRE","( "&amp;Base_Periodo1[[#This Row],[Tipo_Linha]]&amp;" ) "&amp;Base_Periodo1[[#This Row],[Filtro]])</f>
        <v>Fora do DRE</v>
      </c>
      <c r="W2682" s="3" t="str">
        <f>LEFT(Base_Periodo1[[#This Row],[CLASS]],3)</f>
        <v>2.1</v>
      </c>
    </row>
    <row r="2683" spans="1:23" hidden="1">
      <c r="A2683" s="3" t="str">
        <f t="shared" si="41"/>
        <v>Período 1</v>
      </c>
      <c r="B2683">
        <v>4862</v>
      </c>
      <c r="C2683" t="s">
        <v>1745</v>
      </c>
      <c r="D2683" t="s">
        <v>1748</v>
      </c>
      <c r="E2683" s="3" t="str">
        <f>IF(LEN(Base_Periodo1[[#This Row],[CLASS]])&gt;=7,LEFT(Base_Periodo1[[#This Row],[CLASS]],7),"")</f>
        <v>2.1.2.1</v>
      </c>
      <c r="F2683" s="3" t="str">
        <f>VLOOKUP(Base_Periodo1[[#This Row],[Aux]],Base_Contas_Balanco[#All],2,FALSE)</f>
        <v>Fornecedores Cooperados</v>
      </c>
      <c r="G2683" s="1">
        <v>41169</v>
      </c>
      <c r="H2683" s="225">
        <v>50</v>
      </c>
      <c r="I2683" s="225">
        <v>0</v>
      </c>
      <c r="J2683" s="225">
        <v>0</v>
      </c>
      <c r="K2683" s="225">
        <v>50</v>
      </c>
      <c r="L26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2683" s="225">
        <f>ROUND(IF(AND(Base_Periodo1[[#This Row],[Tipo_Linha]]="-",Base_Periodo1[[#This Row],[TIPOSALDO]]="D"),Base_Periodo1[[#This Row],[SALDO_ATUAL]]*-1,Base_Periodo1[[#This Row],[SALDO_ATUAL]]),4)</f>
        <v>50</v>
      </c>
      <c r="N2683" t="s">
        <v>116</v>
      </c>
      <c r="O2683" t="s">
        <v>459</v>
      </c>
      <c r="P2683" t="s">
        <v>459</v>
      </c>
      <c r="Q2683">
        <v>7</v>
      </c>
      <c r="R2683" s="225">
        <f>Base_Periodo1[[#This Row],[CREDITOS]]-Base_Periodo1[[#This Row],[DEBITOS]]</f>
        <v>0</v>
      </c>
      <c r="S2683" s="3" t="str">
        <f>IF(ISERROR(VLOOKUP(Base_Periodo1[[#This Row],[CONTA]],BaseContasDRE[#All],4,FALSE)),"Fora do DRE",VLOOKUP(Base_Periodo1[[#This Row],[CONTA]],BaseContasDRE[#All],4,FALSE))</f>
        <v>Fora do DRE</v>
      </c>
      <c r="T2683" s="3" t="str">
        <f>IF(ISERROR(VLOOKUP(Base_Periodo1[[#This Row],[CONTA]],BaseContasDRE[#All],5,FALSE)),"Fora do DRE",VLOOKUP(Base_Periodo1[[#This Row],[CONTA]],BaseContasDRE[#All],6,FALSE))</f>
        <v>Fora do DRE</v>
      </c>
      <c r="U2683" s="3" t="str">
        <f>IF(ISERROR(VLOOKUP(Base_Periodo1[[#This Row],[CONTA]],BaseContasDRE[#All],7,FALSE)),"Fora do DRE",VLOOKUP(Base_Periodo1[[#This Row],[CONTA]],BaseContasDRE[#All],7,FALSE))</f>
        <v>Fora do DRE</v>
      </c>
      <c r="V2683" s="3" t="str">
        <f>IF(Base_Periodo1[[#This Row],[Tipo_Linha]]="Fora do DRE","Fora do DRE","( "&amp;Base_Periodo1[[#This Row],[Tipo_Linha]]&amp;" ) "&amp;Base_Periodo1[[#This Row],[Filtro]])</f>
        <v>Fora do DRE</v>
      </c>
      <c r="W2683" s="3" t="str">
        <f>LEFT(Base_Periodo1[[#This Row],[CLASS]],3)</f>
        <v>2.1</v>
      </c>
    </row>
    <row r="2684" spans="1:23" hidden="1">
      <c r="A2684" s="3" t="str">
        <f t="shared" si="41"/>
        <v>Período 1</v>
      </c>
      <c r="B2684">
        <v>2658</v>
      </c>
      <c r="C2684" t="s">
        <v>1745</v>
      </c>
      <c r="D2684" t="s">
        <v>1749</v>
      </c>
      <c r="E2684" s="3" t="str">
        <f>IF(LEN(Base_Periodo1[[#This Row],[CLASS]])&gt;=7,LEFT(Base_Periodo1[[#This Row],[CLASS]],7),"")</f>
        <v>2.1.2.1</v>
      </c>
      <c r="F2684" s="3" t="str">
        <f>VLOOKUP(Base_Periodo1[[#This Row],[Aux]],Base_Contas_Balanco[#All],2,FALSE)</f>
        <v>Fornecedores Cooperados</v>
      </c>
      <c r="G2684" s="1">
        <v>42748</v>
      </c>
      <c r="H2684" s="225">
        <v>0.86000000001513399</v>
      </c>
      <c r="I2684" s="225">
        <v>0</v>
      </c>
      <c r="J2684" s="225">
        <v>0</v>
      </c>
      <c r="K2684" s="225">
        <v>0.86000000001513399</v>
      </c>
      <c r="L26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0.86</v>
      </c>
      <c r="M2684" s="225">
        <f>ROUND(IF(AND(Base_Periodo1[[#This Row],[Tipo_Linha]]="-",Base_Periodo1[[#This Row],[TIPOSALDO]]="D"),Base_Periodo1[[#This Row],[SALDO_ATUAL]]*-1,Base_Periodo1[[#This Row],[SALDO_ATUAL]]),4)</f>
        <v>0.86</v>
      </c>
      <c r="N2684" t="s">
        <v>116</v>
      </c>
      <c r="O2684" t="s">
        <v>459</v>
      </c>
      <c r="P2684" t="s">
        <v>459</v>
      </c>
      <c r="Q2684">
        <v>7</v>
      </c>
      <c r="R2684" s="225">
        <f>Base_Periodo1[[#This Row],[CREDITOS]]-Base_Periodo1[[#This Row],[DEBITOS]]</f>
        <v>0</v>
      </c>
      <c r="S2684" s="3" t="str">
        <f>IF(ISERROR(VLOOKUP(Base_Periodo1[[#This Row],[CONTA]],BaseContasDRE[#All],4,FALSE)),"Fora do DRE",VLOOKUP(Base_Periodo1[[#This Row],[CONTA]],BaseContasDRE[#All],4,FALSE))</f>
        <v>Fora do DRE</v>
      </c>
      <c r="T2684" s="3" t="str">
        <f>IF(ISERROR(VLOOKUP(Base_Periodo1[[#This Row],[CONTA]],BaseContasDRE[#All],5,FALSE)),"Fora do DRE",VLOOKUP(Base_Periodo1[[#This Row],[CONTA]],BaseContasDRE[#All],6,FALSE))</f>
        <v>Fora do DRE</v>
      </c>
      <c r="U2684" s="3" t="str">
        <f>IF(ISERROR(VLOOKUP(Base_Periodo1[[#This Row],[CONTA]],BaseContasDRE[#All],7,FALSE)),"Fora do DRE",VLOOKUP(Base_Periodo1[[#This Row],[CONTA]],BaseContasDRE[#All],7,FALSE))</f>
        <v>Fora do DRE</v>
      </c>
      <c r="V2684" s="3" t="str">
        <f>IF(Base_Periodo1[[#This Row],[Tipo_Linha]]="Fora do DRE","Fora do DRE","( "&amp;Base_Periodo1[[#This Row],[Tipo_Linha]]&amp;" ) "&amp;Base_Periodo1[[#This Row],[Filtro]])</f>
        <v>Fora do DRE</v>
      </c>
      <c r="W2684" s="3" t="str">
        <f>LEFT(Base_Periodo1[[#This Row],[CLASS]],3)</f>
        <v>2.1</v>
      </c>
    </row>
    <row r="2685" spans="1:23" hidden="1">
      <c r="A2685" s="3" t="str">
        <f t="shared" si="41"/>
        <v>Período 1</v>
      </c>
      <c r="B2685">
        <v>2706</v>
      </c>
      <c r="C2685" t="s">
        <v>1745</v>
      </c>
      <c r="D2685" t="s">
        <v>6350</v>
      </c>
      <c r="E2685" s="3" t="str">
        <f>IF(LEN(Base_Periodo1[[#This Row],[CLASS]])&gt;=7,LEFT(Base_Periodo1[[#This Row],[CLASS]],7),"")</f>
        <v>2.1.2.1</v>
      </c>
      <c r="F2685" s="3" t="str">
        <f>VLOOKUP(Base_Periodo1[[#This Row],[Aux]],Base_Contas_Balanco[#All],2,FALSE)</f>
        <v>Fornecedores Cooperados</v>
      </c>
      <c r="G2685" s="1">
        <v>42842</v>
      </c>
      <c r="H2685" s="225">
        <v>11310.199999999997</v>
      </c>
      <c r="I2685" s="225">
        <v>0</v>
      </c>
      <c r="J2685" s="225">
        <v>0</v>
      </c>
      <c r="K2685" s="225">
        <v>11310.199999999997</v>
      </c>
      <c r="L26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11310.2</v>
      </c>
      <c r="M2685" s="225">
        <f>ROUND(IF(AND(Base_Periodo1[[#This Row],[Tipo_Linha]]="-",Base_Periodo1[[#This Row],[TIPOSALDO]]="D"),Base_Periodo1[[#This Row],[SALDO_ATUAL]]*-1,Base_Periodo1[[#This Row],[SALDO_ATUAL]]),4)</f>
        <v>11310.2</v>
      </c>
      <c r="N2685" t="s">
        <v>116</v>
      </c>
      <c r="O2685" t="s">
        <v>459</v>
      </c>
      <c r="P2685" t="s">
        <v>459</v>
      </c>
      <c r="Q2685">
        <v>7</v>
      </c>
      <c r="R2685" s="225">
        <f>Base_Periodo1[[#This Row],[CREDITOS]]-Base_Periodo1[[#This Row],[DEBITOS]]</f>
        <v>0</v>
      </c>
      <c r="S2685" s="3" t="str">
        <f>IF(ISERROR(VLOOKUP(Base_Periodo1[[#This Row],[CONTA]],BaseContasDRE[#All],4,FALSE)),"Fora do DRE",VLOOKUP(Base_Periodo1[[#This Row],[CONTA]],BaseContasDRE[#All],4,FALSE))</f>
        <v>Fora do DRE</v>
      </c>
      <c r="T2685" s="3" t="str">
        <f>IF(ISERROR(VLOOKUP(Base_Periodo1[[#This Row],[CONTA]],BaseContasDRE[#All],5,FALSE)),"Fora do DRE",VLOOKUP(Base_Periodo1[[#This Row],[CONTA]],BaseContasDRE[#All],6,FALSE))</f>
        <v>Fora do DRE</v>
      </c>
      <c r="U2685" s="3" t="str">
        <f>IF(ISERROR(VLOOKUP(Base_Periodo1[[#This Row],[CONTA]],BaseContasDRE[#All],7,FALSE)),"Fora do DRE",VLOOKUP(Base_Periodo1[[#This Row],[CONTA]],BaseContasDRE[#All],7,FALSE))</f>
        <v>Fora do DRE</v>
      </c>
      <c r="V2685" s="3" t="str">
        <f>IF(Base_Periodo1[[#This Row],[Tipo_Linha]]="Fora do DRE","Fora do DRE","( "&amp;Base_Periodo1[[#This Row],[Tipo_Linha]]&amp;" ) "&amp;Base_Periodo1[[#This Row],[Filtro]])</f>
        <v>Fora do DRE</v>
      </c>
      <c r="W2685" s="3" t="str">
        <f>LEFT(Base_Periodo1[[#This Row],[CLASS]],3)</f>
        <v>2.1</v>
      </c>
    </row>
    <row r="2686" spans="1:23" hidden="1">
      <c r="A2686" s="3" t="str">
        <f t="shared" si="41"/>
        <v>Período 1</v>
      </c>
      <c r="B2686">
        <v>22799</v>
      </c>
      <c r="C2686" t="s">
        <v>1745</v>
      </c>
      <c r="D2686" t="s">
        <v>1750</v>
      </c>
      <c r="E2686" s="3" t="str">
        <f>IF(LEN(Base_Periodo1[[#This Row],[CLASS]])&gt;=7,LEFT(Base_Periodo1[[#This Row],[CLASS]],7),"")</f>
        <v>2.1.2.1</v>
      </c>
      <c r="F2686" s="3" t="str">
        <f>VLOOKUP(Base_Periodo1[[#This Row],[Aux]],Base_Contas_Balanco[#All],2,FALSE)</f>
        <v>Fornecedores Cooperados</v>
      </c>
      <c r="G2686" s="1">
        <v>42877</v>
      </c>
      <c r="H2686" s="225">
        <v>0.32000000000334694</v>
      </c>
      <c r="I2686" s="225">
        <v>12371.54</v>
      </c>
      <c r="J2686" s="225">
        <v>16373.04</v>
      </c>
      <c r="K2686" s="225">
        <v>4001.8200000000033</v>
      </c>
      <c r="L26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4001.82</v>
      </c>
      <c r="M2686" s="225">
        <f>ROUND(IF(AND(Base_Periodo1[[#This Row],[Tipo_Linha]]="-",Base_Periodo1[[#This Row],[TIPOSALDO]]="D"),Base_Periodo1[[#This Row],[SALDO_ATUAL]]*-1,Base_Periodo1[[#This Row],[SALDO_ATUAL]]),4)</f>
        <v>4001.82</v>
      </c>
      <c r="N2686" t="s">
        <v>116</v>
      </c>
      <c r="O2686" t="s">
        <v>459</v>
      </c>
      <c r="P2686" t="s">
        <v>459</v>
      </c>
      <c r="Q2686">
        <v>7</v>
      </c>
      <c r="R2686" s="225">
        <f>Base_Periodo1[[#This Row],[CREDITOS]]-Base_Periodo1[[#This Row],[DEBITOS]]</f>
        <v>4001.5</v>
      </c>
      <c r="S2686" s="3" t="str">
        <f>IF(ISERROR(VLOOKUP(Base_Periodo1[[#This Row],[CONTA]],BaseContasDRE[#All],4,FALSE)),"Fora do DRE",VLOOKUP(Base_Periodo1[[#This Row],[CONTA]],BaseContasDRE[#All],4,FALSE))</f>
        <v>Fora do DRE</v>
      </c>
      <c r="T2686" s="3" t="str">
        <f>IF(ISERROR(VLOOKUP(Base_Periodo1[[#This Row],[CONTA]],BaseContasDRE[#All],5,FALSE)),"Fora do DRE",VLOOKUP(Base_Periodo1[[#This Row],[CONTA]],BaseContasDRE[#All],6,FALSE))</f>
        <v>Fora do DRE</v>
      </c>
      <c r="U2686" s="3" t="str">
        <f>IF(ISERROR(VLOOKUP(Base_Periodo1[[#This Row],[CONTA]],BaseContasDRE[#All],7,FALSE)),"Fora do DRE",VLOOKUP(Base_Periodo1[[#This Row],[CONTA]],BaseContasDRE[#All],7,FALSE))</f>
        <v>Fora do DRE</v>
      </c>
      <c r="V2686" s="3" t="str">
        <f>IF(Base_Periodo1[[#This Row],[Tipo_Linha]]="Fora do DRE","Fora do DRE","( "&amp;Base_Periodo1[[#This Row],[Tipo_Linha]]&amp;" ) "&amp;Base_Periodo1[[#This Row],[Filtro]])</f>
        <v>Fora do DRE</v>
      </c>
      <c r="W2686" s="3" t="str">
        <f>LEFT(Base_Periodo1[[#This Row],[CLASS]],3)</f>
        <v>2.1</v>
      </c>
    </row>
    <row r="2687" spans="1:23" hidden="1">
      <c r="A2687" s="3" t="str">
        <f t="shared" si="41"/>
        <v>Período 1</v>
      </c>
      <c r="B2687">
        <v>2750</v>
      </c>
      <c r="C2687" t="s">
        <v>1745</v>
      </c>
      <c r="D2687" t="s">
        <v>5514</v>
      </c>
      <c r="E2687" s="3" t="str">
        <f>IF(LEN(Base_Periodo1[[#This Row],[CLASS]])&gt;=7,LEFT(Base_Periodo1[[#This Row],[CLASS]],7),"")</f>
        <v>2.1.2.1</v>
      </c>
      <c r="F2687" s="3" t="str">
        <f>VLOOKUP(Base_Periodo1[[#This Row],[Aux]],Base_Contas_Balanco[#All],2,FALSE)</f>
        <v>Fornecedores Cooperados</v>
      </c>
      <c r="G2687" s="1">
        <v>42885</v>
      </c>
      <c r="H2687" s="225">
        <v>787005.81</v>
      </c>
      <c r="I2687" s="225">
        <v>31060</v>
      </c>
      <c r="J2687" s="225">
        <v>31060</v>
      </c>
      <c r="K2687" s="225">
        <v>787005.81</v>
      </c>
      <c r="L26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787005.81</v>
      </c>
      <c r="M2687" s="225">
        <f>ROUND(IF(AND(Base_Periodo1[[#This Row],[Tipo_Linha]]="-",Base_Periodo1[[#This Row],[TIPOSALDO]]="D"),Base_Periodo1[[#This Row],[SALDO_ATUAL]]*-1,Base_Periodo1[[#This Row],[SALDO_ATUAL]]),4)</f>
        <v>787005.81</v>
      </c>
      <c r="N2687" t="s">
        <v>116</v>
      </c>
      <c r="O2687" t="s">
        <v>459</v>
      </c>
      <c r="P2687" t="s">
        <v>459</v>
      </c>
      <c r="Q2687">
        <v>7</v>
      </c>
      <c r="R2687" s="225">
        <f>Base_Periodo1[[#This Row],[CREDITOS]]-Base_Periodo1[[#This Row],[DEBITOS]]</f>
        <v>0</v>
      </c>
      <c r="S2687" s="3" t="str">
        <f>IF(ISERROR(VLOOKUP(Base_Periodo1[[#This Row],[CONTA]],BaseContasDRE[#All],4,FALSE)),"Fora do DRE",VLOOKUP(Base_Periodo1[[#This Row],[CONTA]],BaseContasDRE[#All],4,FALSE))</f>
        <v>Fora do DRE</v>
      </c>
      <c r="T2687" s="3" t="str">
        <f>IF(ISERROR(VLOOKUP(Base_Periodo1[[#This Row],[CONTA]],BaseContasDRE[#All],5,FALSE)),"Fora do DRE",VLOOKUP(Base_Periodo1[[#This Row],[CONTA]],BaseContasDRE[#All],6,FALSE))</f>
        <v>Fora do DRE</v>
      </c>
      <c r="U2687" s="3" t="str">
        <f>IF(ISERROR(VLOOKUP(Base_Periodo1[[#This Row],[CONTA]],BaseContasDRE[#All],7,FALSE)),"Fora do DRE",VLOOKUP(Base_Periodo1[[#This Row],[CONTA]],BaseContasDRE[#All],7,FALSE))</f>
        <v>Fora do DRE</v>
      </c>
      <c r="V2687" s="3" t="str">
        <f>IF(Base_Periodo1[[#This Row],[Tipo_Linha]]="Fora do DRE","Fora do DRE","( "&amp;Base_Periodo1[[#This Row],[Tipo_Linha]]&amp;" ) "&amp;Base_Periodo1[[#This Row],[Filtro]])</f>
        <v>Fora do DRE</v>
      </c>
      <c r="W2687" s="3" t="str">
        <f>LEFT(Base_Periodo1[[#This Row],[CLASS]],3)</f>
        <v>2.1</v>
      </c>
    </row>
    <row r="2688" spans="1:23" hidden="1">
      <c r="A2688" s="3" t="str">
        <f t="shared" si="41"/>
        <v>Período 1</v>
      </c>
      <c r="B2688">
        <v>46847</v>
      </c>
      <c r="C2688" t="s">
        <v>1745</v>
      </c>
      <c r="D2688" t="s">
        <v>6351</v>
      </c>
      <c r="E2688" s="3" t="str">
        <f>IF(LEN(Base_Periodo1[[#This Row],[CLASS]])&gt;=7,LEFT(Base_Periodo1[[#This Row],[CLASS]],7),"")</f>
        <v>2.1.2.1</v>
      </c>
      <c r="F2688" s="3" t="str">
        <f>VLOOKUP(Base_Periodo1[[#This Row],[Aux]],Base_Contas_Balanco[#All],2,FALSE)</f>
        <v>Fornecedores Cooperados</v>
      </c>
      <c r="G2688" s="1">
        <v>42858</v>
      </c>
      <c r="H2688" s="225">
        <v>1800.6800000000003</v>
      </c>
      <c r="I2688" s="225">
        <v>1303.46</v>
      </c>
      <c r="J2688" s="225">
        <v>0</v>
      </c>
      <c r="K2688" s="225">
        <v>497.22000000000025</v>
      </c>
      <c r="L26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497.22</v>
      </c>
      <c r="M2688" s="225">
        <f>ROUND(IF(AND(Base_Periodo1[[#This Row],[Tipo_Linha]]="-",Base_Periodo1[[#This Row],[TIPOSALDO]]="D"),Base_Periodo1[[#This Row],[SALDO_ATUAL]]*-1,Base_Periodo1[[#This Row],[SALDO_ATUAL]]),4)</f>
        <v>497.22</v>
      </c>
      <c r="N2688" t="s">
        <v>116</v>
      </c>
      <c r="O2688" t="s">
        <v>459</v>
      </c>
      <c r="P2688" t="s">
        <v>459</v>
      </c>
      <c r="Q2688">
        <v>7</v>
      </c>
      <c r="R2688" s="225">
        <f>Base_Periodo1[[#This Row],[CREDITOS]]-Base_Periodo1[[#This Row],[DEBITOS]]</f>
        <v>-1303.46</v>
      </c>
      <c r="S2688" s="3" t="str">
        <f>IF(ISERROR(VLOOKUP(Base_Periodo1[[#This Row],[CONTA]],BaseContasDRE[#All],4,FALSE)),"Fora do DRE",VLOOKUP(Base_Periodo1[[#This Row],[CONTA]],BaseContasDRE[#All],4,FALSE))</f>
        <v>Fora do DRE</v>
      </c>
      <c r="T2688" s="3" t="str">
        <f>IF(ISERROR(VLOOKUP(Base_Periodo1[[#This Row],[CONTA]],BaseContasDRE[#All],5,FALSE)),"Fora do DRE",VLOOKUP(Base_Periodo1[[#This Row],[CONTA]],BaseContasDRE[#All],6,FALSE))</f>
        <v>Fora do DRE</v>
      </c>
      <c r="U2688" s="3" t="str">
        <f>IF(ISERROR(VLOOKUP(Base_Periodo1[[#This Row],[CONTA]],BaseContasDRE[#All],7,FALSE)),"Fora do DRE",VLOOKUP(Base_Periodo1[[#This Row],[CONTA]],BaseContasDRE[#All],7,FALSE))</f>
        <v>Fora do DRE</v>
      </c>
      <c r="V2688" s="3" t="str">
        <f>IF(Base_Periodo1[[#This Row],[Tipo_Linha]]="Fora do DRE","Fora do DRE","( "&amp;Base_Periodo1[[#This Row],[Tipo_Linha]]&amp;" ) "&amp;Base_Periodo1[[#This Row],[Filtro]])</f>
        <v>Fora do DRE</v>
      </c>
      <c r="W2688" s="3" t="str">
        <f>LEFT(Base_Periodo1[[#This Row],[CLASS]],3)</f>
        <v>2.1</v>
      </c>
    </row>
    <row r="2689" spans="1:23" hidden="1">
      <c r="A2689" s="3" t="str">
        <f t="shared" si="41"/>
        <v>Período 1</v>
      </c>
      <c r="B2689">
        <v>39356</v>
      </c>
      <c r="C2689" t="s">
        <v>1745</v>
      </c>
      <c r="D2689" t="s">
        <v>6352</v>
      </c>
      <c r="E2689" s="3" t="str">
        <f>IF(LEN(Base_Periodo1[[#This Row],[CLASS]])&gt;=7,LEFT(Base_Periodo1[[#This Row],[CLASS]],7),"")</f>
        <v>2.1.2.1</v>
      </c>
      <c r="F2689" s="3" t="str">
        <f>VLOOKUP(Base_Periodo1[[#This Row],[Aux]],Base_Contas_Balanco[#All],2,FALSE)</f>
        <v>Fornecedores Cooperados</v>
      </c>
      <c r="G2689" s="1">
        <v>42843</v>
      </c>
      <c r="H2689" s="225">
        <v>20412.419999999998</v>
      </c>
      <c r="I2689" s="225">
        <v>0</v>
      </c>
      <c r="J2689" s="225">
        <v>0</v>
      </c>
      <c r="K2689" s="225">
        <v>20412.419999999998</v>
      </c>
      <c r="L26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20412.419999999998</v>
      </c>
      <c r="M2689" s="225">
        <f>ROUND(IF(AND(Base_Periodo1[[#This Row],[Tipo_Linha]]="-",Base_Periodo1[[#This Row],[TIPOSALDO]]="D"),Base_Periodo1[[#This Row],[SALDO_ATUAL]]*-1,Base_Periodo1[[#This Row],[SALDO_ATUAL]]),4)</f>
        <v>20412.419999999998</v>
      </c>
      <c r="N2689" t="s">
        <v>116</v>
      </c>
      <c r="O2689" t="s">
        <v>459</v>
      </c>
      <c r="P2689" t="s">
        <v>459</v>
      </c>
      <c r="Q2689">
        <v>7</v>
      </c>
      <c r="R2689" s="225">
        <f>Base_Periodo1[[#This Row],[CREDITOS]]-Base_Periodo1[[#This Row],[DEBITOS]]</f>
        <v>0</v>
      </c>
      <c r="S2689" s="3" t="str">
        <f>IF(ISERROR(VLOOKUP(Base_Periodo1[[#This Row],[CONTA]],BaseContasDRE[#All],4,FALSE)),"Fora do DRE",VLOOKUP(Base_Periodo1[[#This Row],[CONTA]],BaseContasDRE[#All],4,FALSE))</f>
        <v>Fora do DRE</v>
      </c>
      <c r="T2689" s="3" t="str">
        <f>IF(ISERROR(VLOOKUP(Base_Periodo1[[#This Row],[CONTA]],BaseContasDRE[#All],5,FALSE)),"Fora do DRE",VLOOKUP(Base_Periodo1[[#This Row],[CONTA]],BaseContasDRE[#All],6,FALSE))</f>
        <v>Fora do DRE</v>
      </c>
      <c r="U2689" s="3" t="str">
        <f>IF(ISERROR(VLOOKUP(Base_Periodo1[[#This Row],[CONTA]],BaseContasDRE[#All],7,FALSE)),"Fora do DRE",VLOOKUP(Base_Periodo1[[#This Row],[CONTA]],BaseContasDRE[#All],7,FALSE))</f>
        <v>Fora do DRE</v>
      </c>
      <c r="V2689" s="3" t="str">
        <f>IF(Base_Periodo1[[#This Row],[Tipo_Linha]]="Fora do DRE","Fora do DRE","( "&amp;Base_Periodo1[[#This Row],[Tipo_Linha]]&amp;" ) "&amp;Base_Periodo1[[#This Row],[Filtro]])</f>
        <v>Fora do DRE</v>
      </c>
      <c r="W2689" s="3" t="str">
        <f>LEFT(Base_Periodo1[[#This Row],[CLASS]],3)</f>
        <v>2.1</v>
      </c>
    </row>
    <row r="2690" spans="1:23" hidden="1">
      <c r="A2690" s="3" t="str">
        <f t="shared" si="41"/>
        <v>Período 1</v>
      </c>
      <c r="B2690">
        <v>39856</v>
      </c>
      <c r="C2690" t="s">
        <v>1745</v>
      </c>
      <c r="D2690" t="s">
        <v>4601</v>
      </c>
      <c r="E2690" s="3" t="str">
        <f>IF(LEN(Base_Periodo1[[#This Row],[CLASS]])&gt;=7,LEFT(Base_Periodo1[[#This Row],[CLASS]],7),"")</f>
        <v>2.1.2.1</v>
      </c>
      <c r="F2690" s="3" t="str">
        <f>VLOOKUP(Base_Periodo1[[#This Row],[Aux]],Base_Contas_Balanco[#All],2,FALSE)</f>
        <v>Fornecedores Cooperados</v>
      </c>
      <c r="G2690" s="1">
        <v>42835</v>
      </c>
      <c r="H2690" s="225">
        <v>2607.9200000000128</v>
      </c>
      <c r="I2690" s="225">
        <v>0</v>
      </c>
      <c r="J2690" s="225">
        <v>0</v>
      </c>
      <c r="K2690" s="225">
        <v>2607.9200000000128</v>
      </c>
      <c r="L26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2607.92</v>
      </c>
      <c r="M2690" s="225">
        <f>ROUND(IF(AND(Base_Periodo1[[#This Row],[Tipo_Linha]]="-",Base_Periodo1[[#This Row],[TIPOSALDO]]="D"),Base_Periodo1[[#This Row],[SALDO_ATUAL]]*-1,Base_Periodo1[[#This Row],[SALDO_ATUAL]]),4)</f>
        <v>2607.92</v>
      </c>
      <c r="N2690" t="s">
        <v>116</v>
      </c>
      <c r="O2690" t="s">
        <v>459</v>
      </c>
      <c r="P2690" t="s">
        <v>459</v>
      </c>
      <c r="Q2690">
        <v>7</v>
      </c>
      <c r="R2690" s="225">
        <f>Base_Periodo1[[#This Row],[CREDITOS]]-Base_Periodo1[[#This Row],[DEBITOS]]</f>
        <v>0</v>
      </c>
      <c r="S2690" s="3" t="str">
        <f>IF(ISERROR(VLOOKUP(Base_Periodo1[[#This Row],[CONTA]],BaseContasDRE[#All],4,FALSE)),"Fora do DRE",VLOOKUP(Base_Periodo1[[#This Row],[CONTA]],BaseContasDRE[#All],4,FALSE))</f>
        <v>Fora do DRE</v>
      </c>
      <c r="T2690" s="3" t="str">
        <f>IF(ISERROR(VLOOKUP(Base_Periodo1[[#This Row],[CONTA]],BaseContasDRE[#All],5,FALSE)),"Fora do DRE",VLOOKUP(Base_Periodo1[[#This Row],[CONTA]],BaseContasDRE[#All],6,FALSE))</f>
        <v>Fora do DRE</v>
      </c>
      <c r="U2690" s="3" t="str">
        <f>IF(ISERROR(VLOOKUP(Base_Periodo1[[#This Row],[CONTA]],BaseContasDRE[#All],7,FALSE)),"Fora do DRE",VLOOKUP(Base_Periodo1[[#This Row],[CONTA]],BaseContasDRE[#All],7,FALSE))</f>
        <v>Fora do DRE</v>
      </c>
      <c r="V2690" s="3" t="str">
        <f>IF(Base_Periodo1[[#This Row],[Tipo_Linha]]="Fora do DRE","Fora do DRE","( "&amp;Base_Periodo1[[#This Row],[Tipo_Linha]]&amp;" ) "&amp;Base_Periodo1[[#This Row],[Filtro]])</f>
        <v>Fora do DRE</v>
      </c>
      <c r="W2690" s="3" t="str">
        <f>LEFT(Base_Periodo1[[#This Row],[CLASS]],3)</f>
        <v>2.1</v>
      </c>
    </row>
    <row r="2691" spans="1:23" hidden="1">
      <c r="A2691" s="3" t="str">
        <f t="shared" si="41"/>
        <v>Período 1</v>
      </c>
      <c r="B2691">
        <v>4502</v>
      </c>
      <c r="C2691" t="s">
        <v>1745</v>
      </c>
      <c r="D2691" t="s">
        <v>4602</v>
      </c>
      <c r="E2691" s="3" t="str">
        <f>IF(LEN(Base_Periodo1[[#This Row],[CLASS]])&gt;=7,LEFT(Base_Periodo1[[#This Row],[CLASS]],7),"")</f>
        <v>2.1.2.1</v>
      </c>
      <c r="F2691" s="3" t="str">
        <f>VLOOKUP(Base_Periodo1[[#This Row],[Aux]],Base_Contas_Balanco[#All],2,FALSE)</f>
        <v>Fornecedores Cooperados</v>
      </c>
      <c r="G2691" s="1">
        <v>42724</v>
      </c>
      <c r="H2691" s="225">
        <v>67019.200000000012</v>
      </c>
      <c r="I2691" s="225">
        <v>0</v>
      </c>
      <c r="J2691" s="225">
        <v>0</v>
      </c>
      <c r="K2691" s="225">
        <v>67019.200000000012</v>
      </c>
      <c r="L26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67019.199999999997</v>
      </c>
      <c r="M2691" s="225">
        <f>ROUND(IF(AND(Base_Periodo1[[#This Row],[Tipo_Linha]]="-",Base_Periodo1[[#This Row],[TIPOSALDO]]="D"),Base_Periodo1[[#This Row],[SALDO_ATUAL]]*-1,Base_Periodo1[[#This Row],[SALDO_ATUAL]]),4)</f>
        <v>67019.199999999997</v>
      </c>
      <c r="N2691" t="s">
        <v>116</v>
      </c>
      <c r="O2691" t="s">
        <v>459</v>
      </c>
      <c r="P2691" t="s">
        <v>459</v>
      </c>
      <c r="Q2691">
        <v>7</v>
      </c>
      <c r="R2691" s="225">
        <f>Base_Periodo1[[#This Row],[CREDITOS]]-Base_Periodo1[[#This Row],[DEBITOS]]</f>
        <v>0</v>
      </c>
      <c r="S2691" s="3" t="str">
        <f>IF(ISERROR(VLOOKUP(Base_Periodo1[[#This Row],[CONTA]],BaseContasDRE[#All],4,FALSE)),"Fora do DRE",VLOOKUP(Base_Periodo1[[#This Row],[CONTA]],BaseContasDRE[#All],4,FALSE))</f>
        <v>Fora do DRE</v>
      </c>
      <c r="T2691" s="3" t="str">
        <f>IF(ISERROR(VLOOKUP(Base_Periodo1[[#This Row],[CONTA]],BaseContasDRE[#All],5,FALSE)),"Fora do DRE",VLOOKUP(Base_Periodo1[[#This Row],[CONTA]],BaseContasDRE[#All],6,FALSE))</f>
        <v>Fora do DRE</v>
      </c>
      <c r="U2691" s="3" t="str">
        <f>IF(ISERROR(VLOOKUP(Base_Periodo1[[#This Row],[CONTA]],BaseContasDRE[#All],7,FALSE)),"Fora do DRE",VLOOKUP(Base_Periodo1[[#This Row],[CONTA]],BaseContasDRE[#All],7,FALSE))</f>
        <v>Fora do DRE</v>
      </c>
      <c r="V2691" s="3" t="str">
        <f>IF(Base_Periodo1[[#This Row],[Tipo_Linha]]="Fora do DRE","Fora do DRE","( "&amp;Base_Periodo1[[#This Row],[Tipo_Linha]]&amp;" ) "&amp;Base_Periodo1[[#This Row],[Filtro]])</f>
        <v>Fora do DRE</v>
      </c>
      <c r="W2691" s="3" t="str">
        <f>LEFT(Base_Periodo1[[#This Row],[CLASS]],3)</f>
        <v>2.1</v>
      </c>
    </row>
    <row r="2692" spans="1:23" hidden="1">
      <c r="A2692" s="3" t="str">
        <f t="shared" si="41"/>
        <v>Período 1</v>
      </c>
      <c r="B2692">
        <v>54024</v>
      </c>
      <c r="C2692" t="s">
        <v>1745</v>
      </c>
      <c r="D2692" t="s">
        <v>6861</v>
      </c>
      <c r="E2692" s="3" t="str">
        <f>IF(LEN(Base_Periodo1[[#This Row],[CLASS]])&gt;=7,LEFT(Base_Periodo1[[#This Row],[CLASS]],7),"")</f>
        <v>2.1.2.1</v>
      </c>
      <c r="F2692" s="3" t="str">
        <f>VLOOKUP(Base_Periodo1[[#This Row],[Aux]],Base_Contas_Balanco[#All],2,FALSE)</f>
        <v>Fornecedores Cooperados</v>
      </c>
      <c r="G2692" s="1">
        <v>42870</v>
      </c>
      <c r="I2692" s="225">
        <v>8311</v>
      </c>
      <c r="J2692" s="225">
        <v>8311</v>
      </c>
      <c r="K2692" s="225">
        <v>0</v>
      </c>
      <c r="L26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692" s="225">
        <f>ROUND(IF(AND(Base_Periodo1[[#This Row],[Tipo_Linha]]="-",Base_Periodo1[[#This Row],[TIPOSALDO]]="D"),Base_Periodo1[[#This Row],[SALDO_ATUAL]]*-1,Base_Periodo1[[#This Row],[SALDO_ATUAL]]),4)</f>
        <v>0</v>
      </c>
      <c r="N2692" t="s">
        <v>116</v>
      </c>
      <c r="O2692" t="s">
        <v>436</v>
      </c>
      <c r="P2692" t="s">
        <v>436</v>
      </c>
      <c r="Q2692">
        <v>7</v>
      </c>
      <c r="R2692" s="225">
        <f>Base_Periodo1[[#This Row],[CREDITOS]]-Base_Periodo1[[#This Row],[DEBITOS]]</f>
        <v>0</v>
      </c>
      <c r="S2692" s="3" t="str">
        <f>IF(ISERROR(VLOOKUP(Base_Periodo1[[#This Row],[CONTA]],BaseContasDRE[#All],4,FALSE)),"Fora do DRE",VLOOKUP(Base_Periodo1[[#This Row],[CONTA]],BaseContasDRE[#All],4,FALSE))</f>
        <v>Fora do DRE</v>
      </c>
      <c r="T2692" s="3" t="str">
        <f>IF(ISERROR(VLOOKUP(Base_Periodo1[[#This Row],[CONTA]],BaseContasDRE[#All],5,FALSE)),"Fora do DRE",VLOOKUP(Base_Periodo1[[#This Row],[CONTA]],BaseContasDRE[#All],6,FALSE))</f>
        <v>Fora do DRE</v>
      </c>
      <c r="U2692" s="3" t="str">
        <f>IF(ISERROR(VLOOKUP(Base_Periodo1[[#This Row],[CONTA]],BaseContasDRE[#All],7,FALSE)),"Fora do DRE",VLOOKUP(Base_Periodo1[[#This Row],[CONTA]],BaseContasDRE[#All],7,FALSE))</f>
        <v>Fora do DRE</v>
      </c>
      <c r="V2692" s="3" t="str">
        <f>IF(Base_Periodo1[[#This Row],[Tipo_Linha]]="Fora do DRE","Fora do DRE","( "&amp;Base_Periodo1[[#This Row],[Tipo_Linha]]&amp;" ) "&amp;Base_Periodo1[[#This Row],[Filtro]])</f>
        <v>Fora do DRE</v>
      </c>
      <c r="W2692" s="3" t="str">
        <f>LEFT(Base_Periodo1[[#This Row],[CLASS]],3)</f>
        <v>2.1</v>
      </c>
    </row>
    <row r="2693" spans="1:23" hidden="1">
      <c r="A2693" s="3" t="str">
        <f t="shared" si="41"/>
        <v>Período 1</v>
      </c>
      <c r="B2693">
        <v>20359</v>
      </c>
      <c r="C2693" t="s">
        <v>1745</v>
      </c>
      <c r="D2693" t="s">
        <v>1751</v>
      </c>
      <c r="E2693" s="3" t="str">
        <f>IF(LEN(Base_Periodo1[[#This Row],[CLASS]])&gt;=7,LEFT(Base_Periodo1[[#This Row],[CLASS]],7),"")</f>
        <v>2.1.2.1</v>
      </c>
      <c r="F2693" s="3" t="str">
        <f>VLOOKUP(Base_Periodo1[[#This Row],[Aux]],Base_Contas_Balanco[#All],2,FALSE)</f>
        <v>Fornecedores Cooperados</v>
      </c>
      <c r="G2693" s="1">
        <v>42859</v>
      </c>
      <c r="H2693" s="225">
        <v>15755.159999999858</v>
      </c>
      <c r="I2693" s="225">
        <v>0</v>
      </c>
      <c r="J2693" s="225">
        <v>6543.33</v>
      </c>
      <c r="K2693" s="225">
        <v>22298.48999999986</v>
      </c>
      <c r="L26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22298.49</v>
      </c>
      <c r="M2693" s="225">
        <f>ROUND(IF(AND(Base_Periodo1[[#This Row],[Tipo_Linha]]="-",Base_Periodo1[[#This Row],[TIPOSALDO]]="D"),Base_Periodo1[[#This Row],[SALDO_ATUAL]]*-1,Base_Periodo1[[#This Row],[SALDO_ATUAL]]),4)</f>
        <v>22298.49</v>
      </c>
      <c r="N2693" t="s">
        <v>116</v>
      </c>
      <c r="O2693" t="s">
        <v>459</v>
      </c>
      <c r="P2693" t="s">
        <v>459</v>
      </c>
      <c r="Q2693">
        <v>7</v>
      </c>
      <c r="R2693" s="225">
        <f>Base_Periodo1[[#This Row],[CREDITOS]]-Base_Periodo1[[#This Row],[DEBITOS]]</f>
        <v>6543.33</v>
      </c>
      <c r="S2693" s="3" t="str">
        <f>IF(ISERROR(VLOOKUP(Base_Periodo1[[#This Row],[CONTA]],BaseContasDRE[#All],4,FALSE)),"Fora do DRE",VLOOKUP(Base_Periodo1[[#This Row],[CONTA]],BaseContasDRE[#All],4,FALSE))</f>
        <v>Fora do DRE</v>
      </c>
      <c r="T2693" s="3" t="str">
        <f>IF(ISERROR(VLOOKUP(Base_Periodo1[[#This Row],[CONTA]],BaseContasDRE[#All],5,FALSE)),"Fora do DRE",VLOOKUP(Base_Periodo1[[#This Row],[CONTA]],BaseContasDRE[#All],6,FALSE))</f>
        <v>Fora do DRE</v>
      </c>
      <c r="U2693" s="3" t="str">
        <f>IF(ISERROR(VLOOKUP(Base_Periodo1[[#This Row],[CONTA]],BaseContasDRE[#All],7,FALSE)),"Fora do DRE",VLOOKUP(Base_Periodo1[[#This Row],[CONTA]],BaseContasDRE[#All],7,FALSE))</f>
        <v>Fora do DRE</v>
      </c>
      <c r="V2693" s="3" t="str">
        <f>IF(Base_Periodo1[[#This Row],[Tipo_Linha]]="Fora do DRE","Fora do DRE","( "&amp;Base_Periodo1[[#This Row],[Tipo_Linha]]&amp;" ) "&amp;Base_Periodo1[[#This Row],[Filtro]])</f>
        <v>Fora do DRE</v>
      </c>
      <c r="W2693" s="3" t="str">
        <f>LEFT(Base_Periodo1[[#This Row],[CLASS]],3)</f>
        <v>2.1</v>
      </c>
    </row>
    <row r="2694" spans="1:23" hidden="1">
      <c r="A2694" s="3" t="str">
        <f t="shared" ref="A2694:A2757" si="42">"Período 1"</f>
        <v>Período 1</v>
      </c>
      <c r="B2694">
        <v>2430</v>
      </c>
      <c r="C2694" t="s">
        <v>1745</v>
      </c>
      <c r="D2694" t="s">
        <v>1752</v>
      </c>
      <c r="E2694" s="3" t="str">
        <f>IF(LEN(Base_Periodo1[[#This Row],[CLASS]])&gt;=7,LEFT(Base_Periodo1[[#This Row],[CLASS]],7),"")</f>
        <v>2.1.2.1</v>
      </c>
      <c r="F2694" s="3" t="str">
        <f>VLOOKUP(Base_Periodo1[[#This Row],[Aux]],Base_Contas_Balanco[#All],2,FALSE)</f>
        <v>Fornecedores Cooperados</v>
      </c>
      <c r="G2694" s="1">
        <v>42881</v>
      </c>
      <c r="H2694" s="225">
        <v>66740.29999999993</v>
      </c>
      <c r="I2694" s="225">
        <v>17976.14</v>
      </c>
      <c r="J2694" s="225">
        <v>6473.6</v>
      </c>
      <c r="K2694" s="225">
        <v>55237.759999999929</v>
      </c>
      <c r="L26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55237.760000000002</v>
      </c>
      <c r="M2694" s="225">
        <f>ROUND(IF(AND(Base_Periodo1[[#This Row],[Tipo_Linha]]="-",Base_Periodo1[[#This Row],[TIPOSALDO]]="D"),Base_Periodo1[[#This Row],[SALDO_ATUAL]]*-1,Base_Periodo1[[#This Row],[SALDO_ATUAL]]),4)</f>
        <v>55237.760000000002</v>
      </c>
      <c r="N2694" t="s">
        <v>116</v>
      </c>
      <c r="O2694" t="s">
        <v>459</v>
      </c>
      <c r="P2694" t="s">
        <v>459</v>
      </c>
      <c r="Q2694">
        <v>7</v>
      </c>
      <c r="R2694" s="225">
        <f>Base_Periodo1[[#This Row],[CREDITOS]]-Base_Periodo1[[#This Row],[DEBITOS]]</f>
        <v>-11502.539999999999</v>
      </c>
      <c r="S2694" s="3" t="str">
        <f>IF(ISERROR(VLOOKUP(Base_Periodo1[[#This Row],[CONTA]],BaseContasDRE[#All],4,FALSE)),"Fora do DRE",VLOOKUP(Base_Periodo1[[#This Row],[CONTA]],BaseContasDRE[#All],4,FALSE))</f>
        <v>Fora do DRE</v>
      </c>
      <c r="T2694" s="3" t="str">
        <f>IF(ISERROR(VLOOKUP(Base_Periodo1[[#This Row],[CONTA]],BaseContasDRE[#All],5,FALSE)),"Fora do DRE",VLOOKUP(Base_Periodo1[[#This Row],[CONTA]],BaseContasDRE[#All],6,FALSE))</f>
        <v>Fora do DRE</v>
      </c>
      <c r="U2694" s="3" t="str">
        <f>IF(ISERROR(VLOOKUP(Base_Periodo1[[#This Row],[CONTA]],BaseContasDRE[#All],7,FALSE)),"Fora do DRE",VLOOKUP(Base_Periodo1[[#This Row],[CONTA]],BaseContasDRE[#All],7,FALSE))</f>
        <v>Fora do DRE</v>
      </c>
      <c r="V2694" s="3" t="str">
        <f>IF(Base_Periodo1[[#This Row],[Tipo_Linha]]="Fora do DRE","Fora do DRE","( "&amp;Base_Periodo1[[#This Row],[Tipo_Linha]]&amp;" ) "&amp;Base_Periodo1[[#This Row],[Filtro]])</f>
        <v>Fora do DRE</v>
      </c>
      <c r="W2694" s="3" t="str">
        <f>LEFT(Base_Periodo1[[#This Row],[CLASS]],3)</f>
        <v>2.1</v>
      </c>
    </row>
    <row r="2695" spans="1:23" hidden="1">
      <c r="A2695" s="3" t="str">
        <f t="shared" si="42"/>
        <v>Período 1</v>
      </c>
      <c r="B2695">
        <v>49422</v>
      </c>
      <c r="C2695" t="s">
        <v>1745</v>
      </c>
      <c r="D2695" t="s">
        <v>4276</v>
      </c>
      <c r="E2695" s="3" t="str">
        <f>IF(LEN(Base_Periodo1[[#This Row],[CLASS]])&gt;=7,LEFT(Base_Periodo1[[#This Row],[CLASS]],7),"")</f>
        <v>2.1.2.1</v>
      </c>
      <c r="F2695" s="3" t="str">
        <f>VLOOKUP(Base_Periodo1[[#This Row],[Aux]],Base_Contas_Balanco[#All],2,FALSE)</f>
        <v>Fornecedores Cooperados</v>
      </c>
      <c r="G2695" s="1">
        <v>42725</v>
      </c>
      <c r="H2695" s="225">
        <v>9699.7100000000064</v>
      </c>
      <c r="I2695" s="225">
        <v>0</v>
      </c>
      <c r="J2695" s="225">
        <v>0</v>
      </c>
      <c r="K2695" s="225">
        <v>9699.7100000000064</v>
      </c>
      <c r="L26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9699.7099999999991</v>
      </c>
      <c r="M2695" s="225">
        <f>ROUND(IF(AND(Base_Periodo1[[#This Row],[Tipo_Linha]]="-",Base_Periodo1[[#This Row],[TIPOSALDO]]="D"),Base_Periodo1[[#This Row],[SALDO_ATUAL]]*-1,Base_Periodo1[[#This Row],[SALDO_ATUAL]]),4)</f>
        <v>9699.7099999999991</v>
      </c>
      <c r="N2695" t="s">
        <v>116</v>
      </c>
      <c r="O2695" t="s">
        <v>459</v>
      </c>
      <c r="P2695" t="s">
        <v>459</v>
      </c>
      <c r="Q2695">
        <v>7</v>
      </c>
      <c r="R2695" s="225">
        <f>Base_Periodo1[[#This Row],[CREDITOS]]-Base_Periodo1[[#This Row],[DEBITOS]]</f>
        <v>0</v>
      </c>
      <c r="S2695" s="3" t="str">
        <f>IF(ISERROR(VLOOKUP(Base_Periodo1[[#This Row],[CONTA]],BaseContasDRE[#All],4,FALSE)),"Fora do DRE",VLOOKUP(Base_Periodo1[[#This Row],[CONTA]],BaseContasDRE[#All],4,FALSE))</f>
        <v>Fora do DRE</v>
      </c>
      <c r="T2695" s="3" t="str">
        <f>IF(ISERROR(VLOOKUP(Base_Periodo1[[#This Row],[CONTA]],BaseContasDRE[#All],5,FALSE)),"Fora do DRE",VLOOKUP(Base_Periodo1[[#This Row],[CONTA]],BaseContasDRE[#All],6,FALSE))</f>
        <v>Fora do DRE</v>
      </c>
      <c r="U2695" s="3" t="str">
        <f>IF(ISERROR(VLOOKUP(Base_Periodo1[[#This Row],[CONTA]],BaseContasDRE[#All],7,FALSE)),"Fora do DRE",VLOOKUP(Base_Periodo1[[#This Row],[CONTA]],BaseContasDRE[#All],7,FALSE))</f>
        <v>Fora do DRE</v>
      </c>
      <c r="V2695" s="3" t="str">
        <f>IF(Base_Periodo1[[#This Row],[Tipo_Linha]]="Fora do DRE","Fora do DRE","( "&amp;Base_Periodo1[[#This Row],[Tipo_Linha]]&amp;" ) "&amp;Base_Periodo1[[#This Row],[Filtro]])</f>
        <v>Fora do DRE</v>
      </c>
      <c r="W2695" s="3" t="str">
        <f>LEFT(Base_Periodo1[[#This Row],[CLASS]],3)</f>
        <v>2.1</v>
      </c>
    </row>
    <row r="2696" spans="1:23" hidden="1">
      <c r="A2696" s="3" t="str">
        <f t="shared" si="42"/>
        <v>Período 1</v>
      </c>
      <c r="B2696">
        <v>3526</v>
      </c>
      <c r="C2696" t="s">
        <v>1745</v>
      </c>
      <c r="D2696" t="s">
        <v>1753</v>
      </c>
      <c r="E2696" s="3" t="str">
        <f>IF(LEN(Base_Periodo1[[#This Row],[CLASS]])&gt;=7,LEFT(Base_Periodo1[[#This Row],[CLASS]],7),"")</f>
        <v>2.1.2.1</v>
      </c>
      <c r="F2696" s="3" t="str">
        <f>VLOOKUP(Base_Periodo1[[#This Row],[Aux]],Base_Contas_Balanco[#All],2,FALSE)</f>
        <v>Fornecedores Cooperados</v>
      </c>
      <c r="G2696" s="1">
        <v>42867</v>
      </c>
      <c r="H2696" s="225">
        <v>686.97000000014668</v>
      </c>
      <c r="I2696" s="225">
        <v>2624</v>
      </c>
      <c r="J2696" s="225">
        <v>2624</v>
      </c>
      <c r="K2696" s="225">
        <v>686.97000000014668</v>
      </c>
      <c r="L26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686.97</v>
      </c>
      <c r="M2696" s="225">
        <f>ROUND(IF(AND(Base_Periodo1[[#This Row],[Tipo_Linha]]="-",Base_Periodo1[[#This Row],[TIPOSALDO]]="D"),Base_Periodo1[[#This Row],[SALDO_ATUAL]]*-1,Base_Periodo1[[#This Row],[SALDO_ATUAL]]),4)</f>
        <v>686.97</v>
      </c>
      <c r="N2696" t="s">
        <v>116</v>
      </c>
      <c r="O2696" t="s">
        <v>459</v>
      </c>
      <c r="P2696" t="s">
        <v>459</v>
      </c>
      <c r="Q2696">
        <v>7</v>
      </c>
      <c r="R2696" s="225">
        <f>Base_Periodo1[[#This Row],[CREDITOS]]-Base_Periodo1[[#This Row],[DEBITOS]]</f>
        <v>0</v>
      </c>
      <c r="S2696" s="3" t="str">
        <f>IF(ISERROR(VLOOKUP(Base_Periodo1[[#This Row],[CONTA]],BaseContasDRE[#All],4,FALSE)),"Fora do DRE",VLOOKUP(Base_Periodo1[[#This Row],[CONTA]],BaseContasDRE[#All],4,FALSE))</f>
        <v>Fora do DRE</v>
      </c>
      <c r="T2696" s="3" t="str">
        <f>IF(ISERROR(VLOOKUP(Base_Periodo1[[#This Row],[CONTA]],BaseContasDRE[#All],5,FALSE)),"Fora do DRE",VLOOKUP(Base_Periodo1[[#This Row],[CONTA]],BaseContasDRE[#All],6,FALSE))</f>
        <v>Fora do DRE</v>
      </c>
      <c r="U2696" s="3" t="str">
        <f>IF(ISERROR(VLOOKUP(Base_Periodo1[[#This Row],[CONTA]],BaseContasDRE[#All],7,FALSE)),"Fora do DRE",VLOOKUP(Base_Periodo1[[#This Row],[CONTA]],BaseContasDRE[#All],7,FALSE))</f>
        <v>Fora do DRE</v>
      </c>
      <c r="V2696" s="3" t="str">
        <f>IF(Base_Periodo1[[#This Row],[Tipo_Linha]]="Fora do DRE","Fora do DRE","( "&amp;Base_Periodo1[[#This Row],[Tipo_Linha]]&amp;" ) "&amp;Base_Periodo1[[#This Row],[Filtro]])</f>
        <v>Fora do DRE</v>
      </c>
      <c r="W2696" s="3" t="str">
        <f>LEFT(Base_Periodo1[[#This Row],[CLASS]],3)</f>
        <v>2.1</v>
      </c>
    </row>
    <row r="2697" spans="1:23" hidden="1">
      <c r="A2697" s="3" t="str">
        <f t="shared" si="42"/>
        <v>Período 1</v>
      </c>
      <c r="B2697">
        <v>48109</v>
      </c>
      <c r="C2697" t="s">
        <v>1745</v>
      </c>
      <c r="D2697" t="s">
        <v>5515</v>
      </c>
      <c r="E2697" s="3" t="str">
        <f>IF(LEN(Base_Periodo1[[#This Row],[CLASS]])&gt;=7,LEFT(Base_Periodo1[[#This Row],[CLASS]],7),"")</f>
        <v>2.1.2.1</v>
      </c>
      <c r="F2697" s="3" t="str">
        <f>VLOOKUP(Base_Periodo1[[#This Row],[Aux]],Base_Contas_Balanco[#All],2,FALSE)</f>
        <v>Fornecedores Cooperados</v>
      </c>
      <c r="G2697" s="1">
        <v>42865</v>
      </c>
      <c r="H2697" s="225">
        <v>21193.010000000009</v>
      </c>
      <c r="I2697" s="225">
        <v>21193</v>
      </c>
      <c r="J2697" s="225">
        <v>0</v>
      </c>
      <c r="K2697" s="225">
        <v>1.0000000009313226E-2</v>
      </c>
      <c r="L26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2697" s="225">
        <f>ROUND(IF(AND(Base_Periodo1[[#This Row],[Tipo_Linha]]="-",Base_Periodo1[[#This Row],[TIPOSALDO]]="D"),Base_Periodo1[[#This Row],[SALDO_ATUAL]]*-1,Base_Periodo1[[#This Row],[SALDO_ATUAL]]),4)</f>
        <v>0.01</v>
      </c>
      <c r="N2697" t="s">
        <v>116</v>
      </c>
      <c r="O2697" t="s">
        <v>459</v>
      </c>
      <c r="P2697" t="s">
        <v>459</v>
      </c>
      <c r="Q2697">
        <v>7</v>
      </c>
      <c r="R2697" s="225">
        <f>Base_Periodo1[[#This Row],[CREDITOS]]-Base_Periodo1[[#This Row],[DEBITOS]]</f>
        <v>-21193</v>
      </c>
      <c r="S2697" s="3" t="str">
        <f>IF(ISERROR(VLOOKUP(Base_Periodo1[[#This Row],[CONTA]],BaseContasDRE[#All],4,FALSE)),"Fora do DRE",VLOOKUP(Base_Periodo1[[#This Row],[CONTA]],BaseContasDRE[#All],4,FALSE))</f>
        <v>Fora do DRE</v>
      </c>
      <c r="T2697" s="3" t="str">
        <f>IF(ISERROR(VLOOKUP(Base_Periodo1[[#This Row],[CONTA]],BaseContasDRE[#All],5,FALSE)),"Fora do DRE",VLOOKUP(Base_Periodo1[[#This Row],[CONTA]],BaseContasDRE[#All],6,FALSE))</f>
        <v>Fora do DRE</v>
      </c>
      <c r="U2697" s="3" t="str">
        <f>IF(ISERROR(VLOOKUP(Base_Periodo1[[#This Row],[CONTA]],BaseContasDRE[#All],7,FALSE)),"Fora do DRE",VLOOKUP(Base_Periodo1[[#This Row],[CONTA]],BaseContasDRE[#All],7,FALSE))</f>
        <v>Fora do DRE</v>
      </c>
      <c r="V2697" s="3" t="str">
        <f>IF(Base_Periodo1[[#This Row],[Tipo_Linha]]="Fora do DRE","Fora do DRE","( "&amp;Base_Periodo1[[#This Row],[Tipo_Linha]]&amp;" ) "&amp;Base_Periodo1[[#This Row],[Filtro]])</f>
        <v>Fora do DRE</v>
      </c>
      <c r="W2697" s="3" t="str">
        <f>LEFT(Base_Periodo1[[#This Row],[CLASS]],3)</f>
        <v>2.1</v>
      </c>
    </row>
    <row r="2698" spans="1:23" hidden="1">
      <c r="A2698" s="3" t="str">
        <f t="shared" si="42"/>
        <v>Período 1</v>
      </c>
      <c r="B2698">
        <v>50799</v>
      </c>
      <c r="C2698" t="s">
        <v>1745</v>
      </c>
      <c r="D2698" t="s">
        <v>4448</v>
      </c>
      <c r="E2698" s="3" t="str">
        <f>IF(LEN(Base_Periodo1[[#This Row],[CLASS]])&gt;=7,LEFT(Base_Periodo1[[#This Row],[CLASS]],7),"")</f>
        <v>2.1.2.1</v>
      </c>
      <c r="F2698" s="3" t="str">
        <f>VLOOKUP(Base_Periodo1[[#This Row],[Aux]],Base_Contas_Balanco[#All],2,FALSE)</f>
        <v>Fornecedores Cooperados</v>
      </c>
      <c r="G2698" s="1">
        <v>42838</v>
      </c>
      <c r="H2698" s="225">
        <v>134091.76</v>
      </c>
      <c r="I2698" s="225">
        <v>0</v>
      </c>
      <c r="J2698" s="225">
        <v>0</v>
      </c>
      <c r="K2698" s="225">
        <v>134091.76</v>
      </c>
      <c r="L26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134091.76</v>
      </c>
      <c r="M2698" s="225">
        <f>ROUND(IF(AND(Base_Periodo1[[#This Row],[Tipo_Linha]]="-",Base_Periodo1[[#This Row],[TIPOSALDO]]="D"),Base_Periodo1[[#This Row],[SALDO_ATUAL]]*-1,Base_Periodo1[[#This Row],[SALDO_ATUAL]]),4)</f>
        <v>134091.76</v>
      </c>
      <c r="N2698" t="s">
        <v>116</v>
      </c>
      <c r="O2698" t="s">
        <v>459</v>
      </c>
      <c r="P2698" t="s">
        <v>459</v>
      </c>
      <c r="Q2698">
        <v>7</v>
      </c>
      <c r="R2698" s="225">
        <f>Base_Periodo1[[#This Row],[CREDITOS]]-Base_Periodo1[[#This Row],[DEBITOS]]</f>
        <v>0</v>
      </c>
      <c r="S2698" s="3" t="str">
        <f>IF(ISERROR(VLOOKUP(Base_Periodo1[[#This Row],[CONTA]],BaseContasDRE[#All],4,FALSE)),"Fora do DRE",VLOOKUP(Base_Periodo1[[#This Row],[CONTA]],BaseContasDRE[#All],4,FALSE))</f>
        <v>Fora do DRE</v>
      </c>
      <c r="T2698" s="3" t="str">
        <f>IF(ISERROR(VLOOKUP(Base_Periodo1[[#This Row],[CONTA]],BaseContasDRE[#All],5,FALSE)),"Fora do DRE",VLOOKUP(Base_Periodo1[[#This Row],[CONTA]],BaseContasDRE[#All],6,FALSE))</f>
        <v>Fora do DRE</v>
      </c>
      <c r="U2698" s="3" t="str">
        <f>IF(ISERROR(VLOOKUP(Base_Periodo1[[#This Row],[CONTA]],BaseContasDRE[#All],7,FALSE)),"Fora do DRE",VLOOKUP(Base_Periodo1[[#This Row],[CONTA]],BaseContasDRE[#All],7,FALSE))</f>
        <v>Fora do DRE</v>
      </c>
      <c r="V2698" s="3" t="str">
        <f>IF(Base_Periodo1[[#This Row],[Tipo_Linha]]="Fora do DRE","Fora do DRE","( "&amp;Base_Periodo1[[#This Row],[Tipo_Linha]]&amp;" ) "&amp;Base_Periodo1[[#This Row],[Filtro]])</f>
        <v>Fora do DRE</v>
      </c>
      <c r="W2698" s="3" t="str">
        <f>LEFT(Base_Periodo1[[#This Row],[CLASS]],3)</f>
        <v>2.1</v>
      </c>
    </row>
    <row r="2699" spans="1:23" hidden="1">
      <c r="A2699" s="3" t="str">
        <f t="shared" si="42"/>
        <v>Período 1</v>
      </c>
      <c r="B2699">
        <v>4070</v>
      </c>
      <c r="C2699" t="s">
        <v>1745</v>
      </c>
      <c r="D2699" t="s">
        <v>4277</v>
      </c>
      <c r="E2699" s="3" t="str">
        <f>IF(LEN(Base_Periodo1[[#This Row],[CLASS]])&gt;=7,LEFT(Base_Periodo1[[#This Row],[CLASS]],7),"")</f>
        <v>2.1.2.1</v>
      </c>
      <c r="F2699" s="3" t="str">
        <f>VLOOKUP(Base_Periodo1[[#This Row],[Aux]],Base_Contas_Balanco[#All],2,FALSE)</f>
        <v>Fornecedores Cooperados</v>
      </c>
      <c r="G2699" s="1">
        <v>42797</v>
      </c>
      <c r="H2699" s="225">
        <v>32</v>
      </c>
      <c r="I2699" s="225">
        <v>0</v>
      </c>
      <c r="J2699" s="225">
        <v>0</v>
      </c>
      <c r="K2699" s="225">
        <v>32</v>
      </c>
      <c r="L26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</v>
      </c>
      <c r="M2699" s="225">
        <f>ROUND(IF(AND(Base_Periodo1[[#This Row],[Tipo_Linha]]="-",Base_Periodo1[[#This Row],[TIPOSALDO]]="D"),Base_Periodo1[[#This Row],[SALDO_ATUAL]]*-1,Base_Periodo1[[#This Row],[SALDO_ATUAL]]),4)</f>
        <v>32</v>
      </c>
      <c r="N2699" t="s">
        <v>116</v>
      </c>
      <c r="O2699" t="s">
        <v>459</v>
      </c>
      <c r="P2699" t="s">
        <v>459</v>
      </c>
      <c r="Q2699">
        <v>7</v>
      </c>
      <c r="R2699" s="225">
        <f>Base_Periodo1[[#This Row],[CREDITOS]]-Base_Periodo1[[#This Row],[DEBITOS]]</f>
        <v>0</v>
      </c>
      <c r="S2699" s="3" t="str">
        <f>IF(ISERROR(VLOOKUP(Base_Periodo1[[#This Row],[CONTA]],BaseContasDRE[#All],4,FALSE)),"Fora do DRE",VLOOKUP(Base_Periodo1[[#This Row],[CONTA]],BaseContasDRE[#All],4,FALSE))</f>
        <v>Fora do DRE</v>
      </c>
      <c r="T2699" s="3" t="str">
        <f>IF(ISERROR(VLOOKUP(Base_Periodo1[[#This Row],[CONTA]],BaseContasDRE[#All],5,FALSE)),"Fora do DRE",VLOOKUP(Base_Periodo1[[#This Row],[CONTA]],BaseContasDRE[#All],6,FALSE))</f>
        <v>Fora do DRE</v>
      </c>
      <c r="U2699" s="3" t="str">
        <f>IF(ISERROR(VLOOKUP(Base_Periodo1[[#This Row],[CONTA]],BaseContasDRE[#All],7,FALSE)),"Fora do DRE",VLOOKUP(Base_Periodo1[[#This Row],[CONTA]],BaseContasDRE[#All],7,FALSE))</f>
        <v>Fora do DRE</v>
      </c>
      <c r="V2699" s="3" t="str">
        <f>IF(Base_Periodo1[[#This Row],[Tipo_Linha]]="Fora do DRE","Fora do DRE","( "&amp;Base_Periodo1[[#This Row],[Tipo_Linha]]&amp;" ) "&amp;Base_Periodo1[[#This Row],[Filtro]])</f>
        <v>Fora do DRE</v>
      </c>
      <c r="W2699" s="3" t="str">
        <f>LEFT(Base_Periodo1[[#This Row],[CLASS]],3)</f>
        <v>2.1</v>
      </c>
    </row>
    <row r="2700" spans="1:23" hidden="1">
      <c r="A2700" s="3" t="str">
        <f t="shared" si="42"/>
        <v>Período 1</v>
      </c>
      <c r="B2700">
        <v>2290</v>
      </c>
      <c r="C2700" t="s">
        <v>1745</v>
      </c>
      <c r="D2700" t="s">
        <v>5419</v>
      </c>
      <c r="E2700" s="3" t="str">
        <f>IF(LEN(Base_Periodo1[[#This Row],[CLASS]])&gt;=7,LEFT(Base_Periodo1[[#This Row],[CLASS]],7),"")</f>
        <v>2.1.2.1</v>
      </c>
      <c r="F2700" s="3" t="str">
        <f>VLOOKUP(Base_Periodo1[[#This Row],[Aux]],Base_Contas_Balanco[#All],2,FALSE)</f>
        <v>Fornecedores Cooperados</v>
      </c>
      <c r="G2700" s="1">
        <v>42884</v>
      </c>
      <c r="H2700" s="225">
        <v>0.84999999986030161</v>
      </c>
      <c r="I2700" s="225">
        <v>133571.29999999999</v>
      </c>
      <c r="J2700" s="225">
        <v>133570.45000000001</v>
      </c>
      <c r="K2700" s="225">
        <v>1.1641532182693481E-10</v>
      </c>
      <c r="L27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700" s="225">
        <f>ROUND(IF(AND(Base_Periodo1[[#This Row],[Tipo_Linha]]="-",Base_Periodo1[[#This Row],[TIPOSALDO]]="D"),Base_Periodo1[[#This Row],[SALDO_ATUAL]]*-1,Base_Periodo1[[#This Row],[SALDO_ATUAL]]),4)</f>
        <v>0</v>
      </c>
      <c r="N2700" t="s">
        <v>116</v>
      </c>
      <c r="O2700" t="s">
        <v>459</v>
      </c>
      <c r="P2700" t="s">
        <v>436</v>
      </c>
      <c r="Q2700">
        <v>7</v>
      </c>
      <c r="R2700" s="225">
        <f>Base_Periodo1[[#This Row],[CREDITOS]]-Base_Periodo1[[#This Row],[DEBITOS]]</f>
        <v>-0.84999999997671694</v>
      </c>
      <c r="S2700" s="3" t="str">
        <f>IF(ISERROR(VLOOKUP(Base_Periodo1[[#This Row],[CONTA]],BaseContasDRE[#All],4,FALSE)),"Fora do DRE",VLOOKUP(Base_Periodo1[[#This Row],[CONTA]],BaseContasDRE[#All],4,FALSE))</f>
        <v>Fora do DRE</v>
      </c>
      <c r="T2700" s="3" t="str">
        <f>IF(ISERROR(VLOOKUP(Base_Periodo1[[#This Row],[CONTA]],BaseContasDRE[#All],5,FALSE)),"Fora do DRE",VLOOKUP(Base_Periodo1[[#This Row],[CONTA]],BaseContasDRE[#All],6,FALSE))</f>
        <v>Fora do DRE</v>
      </c>
      <c r="U2700" s="3" t="str">
        <f>IF(ISERROR(VLOOKUP(Base_Periodo1[[#This Row],[CONTA]],BaseContasDRE[#All],7,FALSE)),"Fora do DRE",VLOOKUP(Base_Periodo1[[#This Row],[CONTA]],BaseContasDRE[#All],7,FALSE))</f>
        <v>Fora do DRE</v>
      </c>
      <c r="V2700" s="3" t="str">
        <f>IF(Base_Periodo1[[#This Row],[Tipo_Linha]]="Fora do DRE","Fora do DRE","( "&amp;Base_Periodo1[[#This Row],[Tipo_Linha]]&amp;" ) "&amp;Base_Periodo1[[#This Row],[Filtro]])</f>
        <v>Fora do DRE</v>
      </c>
      <c r="W2700" s="3" t="str">
        <f>LEFT(Base_Periodo1[[#This Row],[CLASS]],3)</f>
        <v>2.1</v>
      </c>
    </row>
    <row r="2701" spans="1:23" hidden="1">
      <c r="A2701" s="3" t="str">
        <f t="shared" si="42"/>
        <v>Período 1</v>
      </c>
      <c r="B2701">
        <v>14991</v>
      </c>
      <c r="C2701" t="s">
        <v>1745</v>
      </c>
      <c r="D2701" t="s">
        <v>4754</v>
      </c>
      <c r="E2701" s="3" t="str">
        <f>IF(LEN(Base_Periodo1[[#This Row],[CLASS]])&gt;=7,LEFT(Base_Periodo1[[#This Row],[CLASS]],7),"")</f>
        <v>2.1.2.1</v>
      </c>
      <c r="F2701" s="3" t="str">
        <f>VLOOKUP(Base_Periodo1[[#This Row],[Aux]],Base_Contas_Balanco[#All],2,FALSE)</f>
        <v>Fornecedores Cooperados</v>
      </c>
      <c r="G2701" s="1">
        <v>42545</v>
      </c>
      <c r="H2701" s="225">
        <v>171.59999999999991</v>
      </c>
      <c r="I2701" s="225">
        <v>0</v>
      </c>
      <c r="J2701" s="225">
        <v>0</v>
      </c>
      <c r="K2701" s="225">
        <v>171.59999999999991</v>
      </c>
      <c r="L27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171.6</v>
      </c>
      <c r="M2701" s="225">
        <f>ROUND(IF(AND(Base_Periodo1[[#This Row],[Tipo_Linha]]="-",Base_Periodo1[[#This Row],[TIPOSALDO]]="D"),Base_Periodo1[[#This Row],[SALDO_ATUAL]]*-1,Base_Periodo1[[#This Row],[SALDO_ATUAL]]),4)</f>
        <v>171.6</v>
      </c>
      <c r="N2701" t="s">
        <v>116</v>
      </c>
      <c r="O2701" t="s">
        <v>459</v>
      </c>
      <c r="P2701" t="s">
        <v>459</v>
      </c>
      <c r="Q2701">
        <v>7</v>
      </c>
      <c r="R2701" s="225">
        <f>Base_Periodo1[[#This Row],[CREDITOS]]-Base_Periodo1[[#This Row],[DEBITOS]]</f>
        <v>0</v>
      </c>
      <c r="S2701" s="3" t="str">
        <f>IF(ISERROR(VLOOKUP(Base_Periodo1[[#This Row],[CONTA]],BaseContasDRE[#All],4,FALSE)),"Fora do DRE",VLOOKUP(Base_Periodo1[[#This Row],[CONTA]],BaseContasDRE[#All],4,FALSE))</f>
        <v>Fora do DRE</v>
      </c>
      <c r="T2701" s="3" t="str">
        <f>IF(ISERROR(VLOOKUP(Base_Periodo1[[#This Row],[CONTA]],BaseContasDRE[#All],5,FALSE)),"Fora do DRE",VLOOKUP(Base_Periodo1[[#This Row],[CONTA]],BaseContasDRE[#All],6,FALSE))</f>
        <v>Fora do DRE</v>
      </c>
      <c r="U2701" s="3" t="str">
        <f>IF(ISERROR(VLOOKUP(Base_Periodo1[[#This Row],[CONTA]],BaseContasDRE[#All],7,FALSE)),"Fora do DRE",VLOOKUP(Base_Periodo1[[#This Row],[CONTA]],BaseContasDRE[#All],7,FALSE))</f>
        <v>Fora do DRE</v>
      </c>
      <c r="V2701" s="3" t="str">
        <f>IF(Base_Periodo1[[#This Row],[Tipo_Linha]]="Fora do DRE","Fora do DRE","( "&amp;Base_Periodo1[[#This Row],[Tipo_Linha]]&amp;" ) "&amp;Base_Periodo1[[#This Row],[Filtro]])</f>
        <v>Fora do DRE</v>
      </c>
      <c r="W2701" s="3" t="str">
        <f>LEFT(Base_Periodo1[[#This Row],[CLASS]],3)</f>
        <v>2.1</v>
      </c>
    </row>
    <row r="2702" spans="1:23" hidden="1">
      <c r="A2702" s="3" t="str">
        <f t="shared" si="42"/>
        <v>Período 1</v>
      </c>
      <c r="B2702">
        <v>29203</v>
      </c>
      <c r="C2702" t="s">
        <v>1745</v>
      </c>
      <c r="D2702" t="s">
        <v>1754</v>
      </c>
      <c r="E2702" s="3" t="str">
        <f>IF(LEN(Base_Periodo1[[#This Row],[CLASS]])&gt;=7,LEFT(Base_Periodo1[[#This Row],[CLASS]],7),"")</f>
        <v>2.1.2.1</v>
      </c>
      <c r="F2702" s="3" t="str">
        <f>VLOOKUP(Base_Periodo1[[#This Row],[Aux]],Base_Contas_Balanco[#All],2,FALSE)</f>
        <v>Fornecedores Cooperados</v>
      </c>
      <c r="G2702" s="1">
        <v>42646</v>
      </c>
      <c r="H2702" s="225">
        <v>366.11000000000786</v>
      </c>
      <c r="I2702" s="225">
        <v>0</v>
      </c>
      <c r="J2702" s="225">
        <v>0</v>
      </c>
      <c r="K2702" s="225">
        <v>366.11000000000786</v>
      </c>
      <c r="L27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366.11</v>
      </c>
      <c r="M2702" s="225">
        <f>ROUND(IF(AND(Base_Periodo1[[#This Row],[Tipo_Linha]]="-",Base_Periodo1[[#This Row],[TIPOSALDO]]="D"),Base_Periodo1[[#This Row],[SALDO_ATUAL]]*-1,Base_Periodo1[[#This Row],[SALDO_ATUAL]]),4)</f>
        <v>366.11</v>
      </c>
      <c r="N2702" t="s">
        <v>116</v>
      </c>
      <c r="O2702" t="s">
        <v>459</v>
      </c>
      <c r="P2702" t="s">
        <v>459</v>
      </c>
      <c r="Q2702">
        <v>7</v>
      </c>
      <c r="R2702" s="225">
        <f>Base_Periodo1[[#This Row],[CREDITOS]]-Base_Periodo1[[#This Row],[DEBITOS]]</f>
        <v>0</v>
      </c>
      <c r="S2702" s="3" t="str">
        <f>IF(ISERROR(VLOOKUP(Base_Periodo1[[#This Row],[CONTA]],BaseContasDRE[#All],4,FALSE)),"Fora do DRE",VLOOKUP(Base_Periodo1[[#This Row],[CONTA]],BaseContasDRE[#All],4,FALSE))</f>
        <v>Fora do DRE</v>
      </c>
      <c r="T2702" s="3" t="str">
        <f>IF(ISERROR(VLOOKUP(Base_Periodo1[[#This Row],[CONTA]],BaseContasDRE[#All],5,FALSE)),"Fora do DRE",VLOOKUP(Base_Periodo1[[#This Row],[CONTA]],BaseContasDRE[#All],6,FALSE))</f>
        <v>Fora do DRE</v>
      </c>
      <c r="U2702" s="3" t="str">
        <f>IF(ISERROR(VLOOKUP(Base_Periodo1[[#This Row],[CONTA]],BaseContasDRE[#All],7,FALSE)),"Fora do DRE",VLOOKUP(Base_Periodo1[[#This Row],[CONTA]],BaseContasDRE[#All],7,FALSE))</f>
        <v>Fora do DRE</v>
      </c>
      <c r="V2702" s="3" t="str">
        <f>IF(Base_Periodo1[[#This Row],[Tipo_Linha]]="Fora do DRE","Fora do DRE","( "&amp;Base_Periodo1[[#This Row],[Tipo_Linha]]&amp;" ) "&amp;Base_Periodo1[[#This Row],[Filtro]])</f>
        <v>Fora do DRE</v>
      </c>
      <c r="W2702" s="3" t="str">
        <f>LEFT(Base_Periodo1[[#This Row],[CLASS]],3)</f>
        <v>2.1</v>
      </c>
    </row>
    <row r="2703" spans="1:23" hidden="1">
      <c r="A2703" s="3" t="str">
        <f t="shared" si="42"/>
        <v>Período 1</v>
      </c>
      <c r="B2703">
        <v>39423</v>
      </c>
      <c r="C2703" t="s">
        <v>1745</v>
      </c>
      <c r="D2703" t="s">
        <v>6353</v>
      </c>
      <c r="E2703" s="3" t="str">
        <f>IF(LEN(Base_Periodo1[[#This Row],[CLASS]])&gt;=7,LEFT(Base_Periodo1[[#This Row],[CLASS]],7),"")</f>
        <v>2.1.2.1</v>
      </c>
      <c r="F2703" s="3" t="str">
        <f>VLOOKUP(Base_Periodo1[[#This Row],[Aux]],Base_Contas_Balanco[#All],2,FALSE)</f>
        <v>Fornecedores Cooperados</v>
      </c>
      <c r="G2703" s="1">
        <v>42825</v>
      </c>
      <c r="H2703" s="225">
        <v>8705.5499999999993</v>
      </c>
      <c r="I2703" s="225">
        <v>0</v>
      </c>
      <c r="J2703" s="225">
        <v>0</v>
      </c>
      <c r="K2703" s="225">
        <v>8705.5499999999993</v>
      </c>
      <c r="L27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8705.5499999999993</v>
      </c>
      <c r="M2703" s="225">
        <f>ROUND(IF(AND(Base_Periodo1[[#This Row],[Tipo_Linha]]="-",Base_Periodo1[[#This Row],[TIPOSALDO]]="D"),Base_Periodo1[[#This Row],[SALDO_ATUAL]]*-1,Base_Periodo1[[#This Row],[SALDO_ATUAL]]),4)</f>
        <v>8705.5499999999993</v>
      </c>
      <c r="N2703" t="s">
        <v>116</v>
      </c>
      <c r="O2703" t="s">
        <v>459</v>
      </c>
      <c r="P2703" t="s">
        <v>459</v>
      </c>
      <c r="Q2703">
        <v>7</v>
      </c>
      <c r="R2703" s="225">
        <f>Base_Periodo1[[#This Row],[CREDITOS]]-Base_Periodo1[[#This Row],[DEBITOS]]</f>
        <v>0</v>
      </c>
      <c r="S2703" s="3" t="str">
        <f>IF(ISERROR(VLOOKUP(Base_Periodo1[[#This Row],[CONTA]],BaseContasDRE[#All],4,FALSE)),"Fora do DRE",VLOOKUP(Base_Periodo1[[#This Row],[CONTA]],BaseContasDRE[#All],4,FALSE))</f>
        <v>Fora do DRE</v>
      </c>
      <c r="T2703" s="3" t="str">
        <f>IF(ISERROR(VLOOKUP(Base_Periodo1[[#This Row],[CONTA]],BaseContasDRE[#All],5,FALSE)),"Fora do DRE",VLOOKUP(Base_Periodo1[[#This Row],[CONTA]],BaseContasDRE[#All],6,FALSE))</f>
        <v>Fora do DRE</v>
      </c>
      <c r="U2703" s="3" t="str">
        <f>IF(ISERROR(VLOOKUP(Base_Periodo1[[#This Row],[CONTA]],BaseContasDRE[#All],7,FALSE)),"Fora do DRE",VLOOKUP(Base_Periodo1[[#This Row],[CONTA]],BaseContasDRE[#All],7,FALSE))</f>
        <v>Fora do DRE</v>
      </c>
      <c r="V2703" s="3" t="str">
        <f>IF(Base_Periodo1[[#This Row],[Tipo_Linha]]="Fora do DRE","Fora do DRE","( "&amp;Base_Periodo1[[#This Row],[Tipo_Linha]]&amp;" ) "&amp;Base_Periodo1[[#This Row],[Filtro]])</f>
        <v>Fora do DRE</v>
      </c>
      <c r="W2703" s="3" t="str">
        <f>LEFT(Base_Periodo1[[#This Row],[CLASS]],3)</f>
        <v>2.1</v>
      </c>
    </row>
    <row r="2704" spans="1:23" hidden="1">
      <c r="A2704" s="3" t="str">
        <f t="shared" si="42"/>
        <v>Período 1</v>
      </c>
      <c r="B2704">
        <v>3322</v>
      </c>
      <c r="C2704" t="s">
        <v>1745</v>
      </c>
      <c r="D2704" t="s">
        <v>1755</v>
      </c>
      <c r="E2704" s="3" t="str">
        <f>IF(LEN(Base_Periodo1[[#This Row],[CLASS]])&gt;=7,LEFT(Base_Periodo1[[#This Row],[CLASS]],7),"")</f>
        <v>2.1.2.1</v>
      </c>
      <c r="F2704" s="3" t="str">
        <f>VLOOKUP(Base_Periodo1[[#This Row],[Aux]],Base_Contas_Balanco[#All],2,FALSE)</f>
        <v>Fornecedores Cooperados</v>
      </c>
      <c r="G2704" s="1">
        <v>41577</v>
      </c>
      <c r="H2704" s="225">
        <v>0.77999999998428393</v>
      </c>
      <c r="I2704" s="225">
        <v>0</v>
      </c>
      <c r="J2704" s="225">
        <v>0</v>
      </c>
      <c r="K2704" s="225">
        <v>0.77999999998428393</v>
      </c>
      <c r="L27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0.78</v>
      </c>
      <c r="M2704" s="225">
        <f>ROUND(IF(AND(Base_Periodo1[[#This Row],[Tipo_Linha]]="-",Base_Periodo1[[#This Row],[TIPOSALDO]]="D"),Base_Periodo1[[#This Row],[SALDO_ATUAL]]*-1,Base_Periodo1[[#This Row],[SALDO_ATUAL]]),4)</f>
        <v>0.78</v>
      </c>
      <c r="N2704" t="s">
        <v>116</v>
      </c>
      <c r="O2704" t="s">
        <v>459</v>
      </c>
      <c r="P2704" t="s">
        <v>459</v>
      </c>
      <c r="Q2704">
        <v>7</v>
      </c>
      <c r="R2704" s="225">
        <f>Base_Periodo1[[#This Row],[CREDITOS]]-Base_Periodo1[[#This Row],[DEBITOS]]</f>
        <v>0</v>
      </c>
      <c r="S2704" s="3" t="str">
        <f>IF(ISERROR(VLOOKUP(Base_Periodo1[[#This Row],[CONTA]],BaseContasDRE[#All],4,FALSE)),"Fora do DRE",VLOOKUP(Base_Periodo1[[#This Row],[CONTA]],BaseContasDRE[#All],4,FALSE))</f>
        <v>Fora do DRE</v>
      </c>
      <c r="T2704" s="3" t="str">
        <f>IF(ISERROR(VLOOKUP(Base_Periodo1[[#This Row],[CONTA]],BaseContasDRE[#All],5,FALSE)),"Fora do DRE",VLOOKUP(Base_Periodo1[[#This Row],[CONTA]],BaseContasDRE[#All],6,FALSE))</f>
        <v>Fora do DRE</v>
      </c>
      <c r="U2704" s="3" t="str">
        <f>IF(ISERROR(VLOOKUP(Base_Periodo1[[#This Row],[CONTA]],BaseContasDRE[#All],7,FALSE)),"Fora do DRE",VLOOKUP(Base_Periodo1[[#This Row],[CONTA]],BaseContasDRE[#All],7,FALSE))</f>
        <v>Fora do DRE</v>
      </c>
      <c r="V2704" s="3" t="str">
        <f>IF(Base_Periodo1[[#This Row],[Tipo_Linha]]="Fora do DRE","Fora do DRE","( "&amp;Base_Periodo1[[#This Row],[Tipo_Linha]]&amp;" ) "&amp;Base_Periodo1[[#This Row],[Filtro]])</f>
        <v>Fora do DRE</v>
      </c>
      <c r="W2704" s="3" t="str">
        <f>LEFT(Base_Periodo1[[#This Row],[CLASS]],3)</f>
        <v>2.1</v>
      </c>
    </row>
    <row r="2705" spans="1:23" hidden="1">
      <c r="A2705" s="3" t="str">
        <f t="shared" si="42"/>
        <v>Período 1</v>
      </c>
      <c r="B2705">
        <v>4598</v>
      </c>
      <c r="C2705" t="s">
        <v>1745</v>
      </c>
      <c r="D2705" t="s">
        <v>1756</v>
      </c>
      <c r="E2705" s="3" t="str">
        <f>IF(LEN(Base_Periodo1[[#This Row],[CLASS]])&gt;=7,LEFT(Base_Periodo1[[#This Row],[CLASS]],7),"")</f>
        <v>2.1.2.1</v>
      </c>
      <c r="F2705" s="3" t="str">
        <f>VLOOKUP(Base_Periodo1[[#This Row],[Aux]],Base_Contas_Balanco[#All],2,FALSE)</f>
        <v>Fornecedores Cooperados</v>
      </c>
      <c r="G2705" s="1">
        <v>42788</v>
      </c>
      <c r="H2705" s="225">
        <v>7774.1399999999849</v>
      </c>
      <c r="I2705" s="225">
        <v>0</v>
      </c>
      <c r="J2705" s="225">
        <v>0</v>
      </c>
      <c r="K2705" s="225">
        <v>7774.1399999999849</v>
      </c>
      <c r="L27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7774.14</v>
      </c>
      <c r="M2705" s="225">
        <f>ROUND(IF(AND(Base_Periodo1[[#This Row],[Tipo_Linha]]="-",Base_Periodo1[[#This Row],[TIPOSALDO]]="D"),Base_Periodo1[[#This Row],[SALDO_ATUAL]]*-1,Base_Periodo1[[#This Row],[SALDO_ATUAL]]),4)</f>
        <v>7774.14</v>
      </c>
      <c r="N2705" t="s">
        <v>116</v>
      </c>
      <c r="O2705" t="s">
        <v>459</v>
      </c>
      <c r="P2705" t="s">
        <v>459</v>
      </c>
      <c r="Q2705">
        <v>7</v>
      </c>
      <c r="R2705" s="225">
        <f>Base_Periodo1[[#This Row],[CREDITOS]]-Base_Periodo1[[#This Row],[DEBITOS]]</f>
        <v>0</v>
      </c>
      <c r="S2705" s="3" t="str">
        <f>IF(ISERROR(VLOOKUP(Base_Periodo1[[#This Row],[CONTA]],BaseContasDRE[#All],4,FALSE)),"Fora do DRE",VLOOKUP(Base_Periodo1[[#This Row],[CONTA]],BaseContasDRE[#All],4,FALSE))</f>
        <v>Fora do DRE</v>
      </c>
      <c r="T2705" s="3" t="str">
        <f>IF(ISERROR(VLOOKUP(Base_Periodo1[[#This Row],[CONTA]],BaseContasDRE[#All],5,FALSE)),"Fora do DRE",VLOOKUP(Base_Periodo1[[#This Row],[CONTA]],BaseContasDRE[#All],6,FALSE))</f>
        <v>Fora do DRE</v>
      </c>
      <c r="U2705" s="3" t="str">
        <f>IF(ISERROR(VLOOKUP(Base_Periodo1[[#This Row],[CONTA]],BaseContasDRE[#All],7,FALSE)),"Fora do DRE",VLOOKUP(Base_Periodo1[[#This Row],[CONTA]],BaseContasDRE[#All],7,FALSE))</f>
        <v>Fora do DRE</v>
      </c>
      <c r="V2705" s="3" t="str">
        <f>IF(Base_Periodo1[[#This Row],[Tipo_Linha]]="Fora do DRE","Fora do DRE","( "&amp;Base_Periodo1[[#This Row],[Tipo_Linha]]&amp;" ) "&amp;Base_Periodo1[[#This Row],[Filtro]])</f>
        <v>Fora do DRE</v>
      </c>
      <c r="W2705" s="3" t="str">
        <f>LEFT(Base_Periodo1[[#This Row],[CLASS]],3)</f>
        <v>2.1</v>
      </c>
    </row>
    <row r="2706" spans="1:23" hidden="1">
      <c r="A2706" s="3" t="str">
        <f t="shared" si="42"/>
        <v>Período 1</v>
      </c>
      <c r="B2706">
        <v>7671</v>
      </c>
      <c r="C2706" t="s">
        <v>1745</v>
      </c>
      <c r="D2706" t="s">
        <v>6354</v>
      </c>
      <c r="E2706" s="3" t="str">
        <f>IF(LEN(Base_Periodo1[[#This Row],[CLASS]])&gt;=7,LEFT(Base_Periodo1[[#This Row],[CLASS]],7),"")</f>
        <v>2.1.2.1</v>
      </c>
      <c r="F2706" s="3" t="str">
        <f>VLOOKUP(Base_Periodo1[[#This Row],[Aux]],Base_Contas_Balanco[#All],2,FALSE)</f>
        <v>Fornecedores Cooperados</v>
      </c>
      <c r="G2706" s="1">
        <v>42851</v>
      </c>
      <c r="H2706" s="225">
        <v>465.94000000000233</v>
      </c>
      <c r="I2706" s="225">
        <v>0</v>
      </c>
      <c r="J2706" s="225">
        <v>0</v>
      </c>
      <c r="K2706" s="225">
        <v>465.94000000000233</v>
      </c>
      <c r="L27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465.94</v>
      </c>
      <c r="M2706" s="225">
        <f>ROUND(IF(AND(Base_Periodo1[[#This Row],[Tipo_Linha]]="-",Base_Periodo1[[#This Row],[TIPOSALDO]]="D"),Base_Periodo1[[#This Row],[SALDO_ATUAL]]*-1,Base_Periodo1[[#This Row],[SALDO_ATUAL]]),4)</f>
        <v>465.94</v>
      </c>
      <c r="N2706" t="s">
        <v>116</v>
      </c>
      <c r="O2706" t="s">
        <v>459</v>
      </c>
      <c r="P2706" t="s">
        <v>459</v>
      </c>
      <c r="Q2706">
        <v>7</v>
      </c>
      <c r="R2706" s="225">
        <f>Base_Periodo1[[#This Row],[CREDITOS]]-Base_Periodo1[[#This Row],[DEBITOS]]</f>
        <v>0</v>
      </c>
      <c r="S2706" s="3" t="str">
        <f>IF(ISERROR(VLOOKUP(Base_Periodo1[[#This Row],[CONTA]],BaseContasDRE[#All],4,FALSE)),"Fora do DRE",VLOOKUP(Base_Periodo1[[#This Row],[CONTA]],BaseContasDRE[#All],4,FALSE))</f>
        <v>Fora do DRE</v>
      </c>
      <c r="T2706" s="3" t="str">
        <f>IF(ISERROR(VLOOKUP(Base_Periodo1[[#This Row],[CONTA]],BaseContasDRE[#All],5,FALSE)),"Fora do DRE",VLOOKUP(Base_Periodo1[[#This Row],[CONTA]],BaseContasDRE[#All],6,FALSE))</f>
        <v>Fora do DRE</v>
      </c>
      <c r="U2706" s="3" t="str">
        <f>IF(ISERROR(VLOOKUP(Base_Periodo1[[#This Row],[CONTA]],BaseContasDRE[#All],7,FALSE)),"Fora do DRE",VLOOKUP(Base_Periodo1[[#This Row],[CONTA]],BaseContasDRE[#All],7,FALSE))</f>
        <v>Fora do DRE</v>
      </c>
      <c r="V2706" s="3" t="str">
        <f>IF(Base_Periodo1[[#This Row],[Tipo_Linha]]="Fora do DRE","Fora do DRE","( "&amp;Base_Periodo1[[#This Row],[Tipo_Linha]]&amp;" ) "&amp;Base_Periodo1[[#This Row],[Filtro]])</f>
        <v>Fora do DRE</v>
      </c>
      <c r="W2706" s="3" t="str">
        <f>LEFT(Base_Periodo1[[#This Row],[CLASS]],3)</f>
        <v>2.1</v>
      </c>
    </row>
    <row r="2707" spans="1:23" hidden="1">
      <c r="A2707" s="3" t="str">
        <f t="shared" si="42"/>
        <v>Período 1</v>
      </c>
      <c r="B2707">
        <v>3774</v>
      </c>
      <c r="C2707" t="s">
        <v>1745</v>
      </c>
      <c r="D2707" t="s">
        <v>4671</v>
      </c>
      <c r="E2707" s="3" t="str">
        <f>IF(LEN(Base_Periodo1[[#This Row],[CLASS]])&gt;=7,LEFT(Base_Periodo1[[#This Row],[CLASS]],7),"")</f>
        <v>2.1.2.1</v>
      </c>
      <c r="F2707" s="3" t="str">
        <f>VLOOKUP(Base_Periodo1[[#This Row],[Aux]],Base_Contas_Balanco[#All],2,FALSE)</f>
        <v>Fornecedores Cooperados</v>
      </c>
      <c r="G2707" s="1">
        <v>42881</v>
      </c>
      <c r="H2707" s="225">
        <v>15336.54000000027</v>
      </c>
      <c r="I2707" s="225">
        <v>6982.4</v>
      </c>
      <c r="J2707" s="225">
        <v>6982.4</v>
      </c>
      <c r="K2707" s="225">
        <v>15336.54000000027</v>
      </c>
      <c r="L27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15336.54</v>
      </c>
      <c r="M2707" s="225">
        <f>ROUND(IF(AND(Base_Periodo1[[#This Row],[Tipo_Linha]]="-",Base_Periodo1[[#This Row],[TIPOSALDO]]="D"),Base_Periodo1[[#This Row],[SALDO_ATUAL]]*-1,Base_Periodo1[[#This Row],[SALDO_ATUAL]]),4)</f>
        <v>15336.54</v>
      </c>
      <c r="N2707" t="s">
        <v>116</v>
      </c>
      <c r="O2707" t="s">
        <v>459</v>
      </c>
      <c r="P2707" t="s">
        <v>459</v>
      </c>
      <c r="Q2707">
        <v>7</v>
      </c>
      <c r="R2707" s="225">
        <f>Base_Periodo1[[#This Row],[CREDITOS]]-Base_Periodo1[[#This Row],[DEBITOS]]</f>
        <v>0</v>
      </c>
      <c r="S2707" s="3" t="str">
        <f>IF(ISERROR(VLOOKUP(Base_Periodo1[[#This Row],[CONTA]],BaseContasDRE[#All],4,FALSE)),"Fora do DRE",VLOOKUP(Base_Periodo1[[#This Row],[CONTA]],BaseContasDRE[#All],4,FALSE))</f>
        <v>Fora do DRE</v>
      </c>
      <c r="T2707" s="3" t="str">
        <f>IF(ISERROR(VLOOKUP(Base_Periodo1[[#This Row],[CONTA]],BaseContasDRE[#All],5,FALSE)),"Fora do DRE",VLOOKUP(Base_Periodo1[[#This Row],[CONTA]],BaseContasDRE[#All],6,FALSE))</f>
        <v>Fora do DRE</v>
      </c>
      <c r="U2707" s="3" t="str">
        <f>IF(ISERROR(VLOOKUP(Base_Periodo1[[#This Row],[CONTA]],BaseContasDRE[#All],7,FALSE)),"Fora do DRE",VLOOKUP(Base_Periodo1[[#This Row],[CONTA]],BaseContasDRE[#All],7,FALSE))</f>
        <v>Fora do DRE</v>
      </c>
      <c r="V2707" s="3" t="str">
        <f>IF(Base_Periodo1[[#This Row],[Tipo_Linha]]="Fora do DRE","Fora do DRE","( "&amp;Base_Periodo1[[#This Row],[Tipo_Linha]]&amp;" ) "&amp;Base_Periodo1[[#This Row],[Filtro]])</f>
        <v>Fora do DRE</v>
      </c>
      <c r="W2707" s="3" t="str">
        <f>LEFT(Base_Periodo1[[#This Row],[CLASS]],3)</f>
        <v>2.1</v>
      </c>
    </row>
    <row r="2708" spans="1:23" hidden="1">
      <c r="A2708" s="3" t="str">
        <f t="shared" si="42"/>
        <v>Período 1</v>
      </c>
      <c r="B2708">
        <v>52731</v>
      </c>
      <c r="C2708" t="s">
        <v>1745</v>
      </c>
      <c r="D2708" t="s">
        <v>4755</v>
      </c>
      <c r="E2708" s="3" t="str">
        <f>IF(LEN(Base_Periodo1[[#This Row],[CLASS]])&gt;=7,LEFT(Base_Periodo1[[#This Row],[CLASS]],7),"")</f>
        <v>2.1.2.1</v>
      </c>
      <c r="F2708" s="3" t="str">
        <f>VLOOKUP(Base_Periodo1[[#This Row],[Aux]],Base_Contas_Balanco[#All],2,FALSE)</f>
        <v>Fornecedores Cooperados</v>
      </c>
      <c r="G2708" s="1">
        <v>42843</v>
      </c>
      <c r="H2708" s="225">
        <v>4995.7299999999959</v>
      </c>
      <c r="I2708" s="225">
        <v>0</v>
      </c>
      <c r="J2708" s="225">
        <v>0</v>
      </c>
      <c r="K2708" s="225">
        <v>4995.7299999999959</v>
      </c>
      <c r="L27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4995.7299999999996</v>
      </c>
      <c r="M2708" s="225">
        <f>ROUND(IF(AND(Base_Periodo1[[#This Row],[Tipo_Linha]]="-",Base_Periodo1[[#This Row],[TIPOSALDO]]="D"),Base_Periodo1[[#This Row],[SALDO_ATUAL]]*-1,Base_Periodo1[[#This Row],[SALDO_ATUAL]]),4)</f>
        <v>4995.7299999999996</v>
      </c>
      <c r="N2708" t="s">
        <v>116</v>
      </c>
      <c r="O2708" t="s">
        <v>459</v>
      </c>
      <c r="P2708" t="s">
        <v>459</v>
      </c>
      <c r="Q2708">
        <v>7</v>
      </c>
      <c r="R2708" s="225">
        <f>Base_Periodo1[[#This Row],[CREDITOS]]-Base_Periodo1[[#This Row],[DEBITOS]]</f>
        <v>0</v>
      </c>
      <c r="S2708" s="3" t="str">
        <f>IF(ISERROR(VLOOKUP(Base_Periodo1[[#This Row],[CONTA]],BaseContasDRE[#All],4,FALSE)),"Fora do DRE",VLOOKUP(Base_Periodo1[[#This Row],[CONTA]],BaseContasDRE[#All],4,FALSE))</f>
        <v>Fora do DRE</v>
      </c>
      <c r="T2708" s="3" t="str">
        <f>IF(ISERROR(VLOOKUP(Base_Periodo1[[#This Row],[CONTA]],BaseContasDRE[#All],5,FALSE)),"Fora do DRE",VLOOKUP(Base_Periodo1[[#This Row],[CONTA]],BaseContasDRE[#All],6,FALSE))</f>
        <v>Fora do DRE</v>
      </c>
      <c r="U2708" s="3" t="str">
        <f>IF(ISERROR(VLOOKUP(Base_Periodo1[[#This Row],[CONTA]],BaseContasDRE[#All],7,FALSE)),"Fora do DRE",VLOOKUP(Base_Periodo1[[#This Row],[CONTA]],BaseContasDRE[#All],7,FALSE))</f>
        <v>Fora do DRE</v>
      </c>
      <c r="V2708" s="3" t="str">
        <f>IF(Base_Periodo1[[#This Row],[Tipo_Linha]]="Fora do DRE","Fora do DRE","( "&amp;Base_Periodo1[[#This Row],[Tipo_Linha]]&amp;" ) "&amp;Base_Periodo1[[#This Row],[Filtro]])</f>
        <v>Fora do DRE</v>
      </c>
      <c r="W2708" s="3" t="str">
        <f>LEFT(Base_Periodo1[[#This Row],[CLASS]],3)</f>
        <v>2.1</v>
      </c>
    </row>
    <row r="2709" spans="1:23" hidden="1">
      <c r="A2709" s="3" t="str">
        <f t="shared" si="42"/>
        <v>Período 1</v>
      </c>
      <c r="B2709">
        <v>4830</v>
      </c>
      <c r="C2709" t="s">
        <v>1745</v>
      </c>
      <c r="D2709" t="s">
        <v>1758</v>
      </c>
      <c r="E2709" s="3" t="str">
        <f>IF(LEN(Base_Periodo1[[#This Row],[CLASS]])&gt;=7,LEFT(Base_Periodo1[[#This Row],[CLASS]],7),"")</f>
        <v>2.1.2.1</v>
      </c>
      <c r="F2709" s="3" t="str">
        <f>VLOOKUP(Base_Periodo1[[#This Row],[Aux]],Base_Contas_Balanco[#All],2,FALSE)</f>
        <v>Fornecedores Cooperados</v>
      </c>
      <c r="G2709" s="1">
        <v>42804</v>
      </c>
      <c r="H2709" s="225">
        <v>88245.870000000054</v>
      </c>
      <c r="I2709" s="225">
        <v>0</v>
      </c>
      <c r="J2709" s="225">
        <v>0</v>
      </c>
      <c r="K2709" s="225">
        <v>88245.870000000054</v>
      </c>
      <c r="L27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88245.87</v>
      </c>
      <c r="M2709" s="225">
        <f>ROUND(IF(AND(Base_Periodo1[[#This Row],[Tipo_Linha]]="-",Base_Periodo1[[#This Row],[TIPOSALDO]]="D"),Base_Periodo1[[#This Row],[SALDO_ATUAL]]*-1,Base_Periodo1[[#This Row],[SALDO_ATUAL]]),4)</f>
        <v>88245.87</v>
      </c>
      <c r="N2709" t="s">
        <v>116</v>
      </c>
      <c r="O2709" t="s">
        <v>459</v>
      </c>
      <c r="P2709" t="s">
        <v>459</v>
      </c>
      <c r="Q2709">
        <v>7</v>
      </c>
      <c r="R2709" s="225">
        <f>Base_Periodo1[[#This Row],[CREDITOS]]-Base_Periodo1[[#This Row],[DEBITOS]]</f>
        <v>0</v>
      </c>
      <c r="S2709" s="3" t="str">
        <f>IF(ISERROR(VLOOKUP(Base_Periodo1[[#This Row],[CONTA]],BaseContasDRE[#All],4,FALSE)),"Fora do DRE",VLOOKUP(Base_Periodo1[[#This Row],[CONTA]],BaseContasDRE[#All],4,FALSE))</f>
        <v>Fora do DRE</v>
      </c>
      <c r="T2709" s="3" t="str">
        <f>IF(ISERROR(VLOOKUP(Base_Periodo1[[#This Row],[CONTA]],BaseContasDRE[#All],5,FALSE)),"Fora do DRE",VLOOKUP(Base_Periodo1[[#This Row],[CONTA]],BaseContasDRE[#All],6,FALSE))</f>
        <v>Fora do DRE</v>
      </c>
      <c r="U2709" s="3" t="str">
        <f>IF(ISERROR(VLOOKUP(Base_Periodo1[[#This Row],[CONTA]],BaseContasDRE[#All],7,FALSE)),"Fora do DRE",VLOOKUP(Base_Periodo1[[#This Row],[CONTA]],BaseContasDRE[#All],7,FALSE))</f>
        <v>Fora do DRE</v>
      </c>
      <c r="V2709" s="3" t="str">
        <f>IF(Base_Periodo1[[#This Row],[Tipo_Linha]]="Fora do DRE","Fora do DRE","( "&amp;Base_Periodo1[[#This Row],[Tipo_Linha]]&amp;" ) "&amp;Base_Periodo1[[#This Row],[Filtro]])</f>
        <v>Fora do DRE</v>
      </c>
      <c r="W2709" s="3" t="str">
        <f>LEFT(Base_Periodo1[[#This Row],[CLASS]],3)</f>
        <v>2.1</v>
      </c>
    </row>
    <row r="2710" spans="1:23" hidden="1">
      <c r="A2710" s="3" t="str">
        <f t="shared" si="42"/>
        <v>Período 1</v>
      </c>
      <c r="B2710">
        <v>7071</v>
      </c>
      <c r="C2710" t="s">
        <v>1745</v>
      </c>
      <c r="D2710" t="s">
        <v>6862</v>
      </c>
      <c r="E2710" s="3" t="str">
        <f>IF(LEN(Base_Periodo1[[#This Row],[CLASS]])&gt;=7,LEFT(Base_Periodo1[[#This Row],[CLASS]],7),"")</f>
        <v>2.1.2.1</v>
      </c>
      <c r="F2710" s="3" t="str">
        <f>VLOOKUP(Base_Periodo1[[#This Row],[Aux]],Base_Contas_Balanco[#All],2,FALSE)</f>
        <v>Fornecedores Cooperados</v>
      </c>
      <c r="G2710" s="1">
        <v>42858</v>
      </c>
      <c r="I2710" s="225">
        <v>0</v>
      </c>
      <c r="J2710" s="225">
        <v>23764.34</v>
      </c>
      <c r="K2710" s="225">
        <v>23764.34</v>
      </c>
      <c r="L27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23764.34</v>
      </c>
      <c r="M2710" s="225">
        <f>ROUND(IF(AND(Base_Periodo1[[#This Row],[Tipo_Linha]]="-",Base_Periodo1[[#This Row],[TIPOSALDO]]="D"),Base_Periodo1[[#This Row],[SALDO_ATUAL]]*-1,Base_Periodo1[[#This Row],[SALDO_ATUAL]]),4)</f>
        <v>23764.34</v>
      </c>
      <c r="N2710" t="s">
        <v>116</v>
      </c>
      <c r="O2710" t="s">
        <v>436</v>
      </c>
      <c r="P2710" t="s">
        <v>459</v>
      </c>
      <c r="Q2710">
        <v>7</v>
      </c>
      <c r="R2710" s="225">
        <f>Base_Periodo1[[#This Row],[CREDITOS]]-Base_Periodo1[[#This Row],[DEBITOS]]</f>
        <v>23764.34</v>
      </c>
      <c r="S2710" s="3" t="str">
        <f>IF(ISERROR(VLOOKUP(Base_Periodo1[[#This Row],[CONTA]],BaseContasDRE[#All],4,FALSE)),"Fora do DRE",VLOOKUP(Base_Periodo1[[#This Row],[CONTA]],BaseContasDRE[#All],4,FALSE))</f>
        <v>Fora do DRE</v>
      </c>
      <c r="T2710" s="3" t="str">
        <f>IF(ISERROR(VLOOKUP(Base_Periodo1[[#This Row],[CONTA]],BaseContasDRE[#All],5,FALSE)),"Fora do DRE",VLOOKUP(Base_Periodo1[[#This Row],[CONTA]],BaseContasDRE[#All],6,FALSE))</f>
        <v>Fora do DRE</v>
      </c>
      <c r="U2710" s="3" t="str">
        <f>IF(ISERROR(VLOOKUP(Base_Periodo1[[#This Row],[CONTA]],BaseContasDRE[#All],7,FALSE)),"Fora do DRE",VLOOKUP(Base_Periodo1[[#This Row],[CONTA]],BaseContasDRE[#All],7,FALSE))</f>
        <v>Fora do DRE</v>
      </c>
      <c r="V2710" s="3" t="str">
        <f>IF(Base_Periodo1[[#This Row],[Tipo_Linha]]="Fora do DRE","Fora do DRE","( "&amp;Base_Periodo1[[#This Row],[Tipo_Linha]]&amp;" ) "&amp;Base_Periodo1[[#This Row],[Filtro]])</f>
        <v>Fora do DRE</v>
      </c>
      <c r="W2710" s="3" t="str">
        <f>LEFT(Base_Periodo1[[#This Row],[CLASS]],3)</f>
        <v>2.1</v>
      </c>
    </row>
    <row r="2711" spans="1:23" hidden="1">
      <c r="A2711" s="3" t="str">
        <f t="shared" si="42"/>
        <v>Período 1</v>
      </c>
      <c r="B2711">
        <v>2950</v>
      </c>
      <c r="C2711" t="s">
        <v>1745</v>
      </c>
      <c r="D2711" t="s">
        <v>1759</v>
      </c>
      <c r="E2711" s="3" t="str">
        <f>IF(LEN(Base_Periodo1[[#This Row],[CLASS]])&gt;=7,LEFT(Base_Periodo1[[#This Row],[CLASS]],7),"")</f>
        <v>2.1.2.1</v>
      </c>
      <c r="F2711" s="3" t="str">
        <f>VLOOKUP(Base_Periodo1[[#This Row],[Aux]],Base_Contas_Balanco[#All],2,FALSE)</f>
        <v>Fornecedores Cooperados</v>
      </c>
      <c r="G2711" s="1">
        <v>41841</v>
      </c>
      <c r="H2711" s="225">
        <v>3.9999999993597157E-2</v>
      </c>
      <c r="I2711" s="225">
        <v>0</v>
      </c>
      <c r="J2711" s="225">
        <v>0</v>
      </c>
      <c r="K2711" s="225">
        <v>3.9999999993597157E-2</v>
      </c>
      <c r="L27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0.04</v>
      </c>
      <c r="M2711" s="225">
        <f>ROUND(IF(AND(Base_Periodo1[[#This Row],[Tipo_Linha]]="-",Base_Periodo1[[#This Row],[TIPOSALDO]]="D"),Base_Periodo1[[#This Row],[SALDO_ATUAL]]*-1,Base_Periodo1[[#This Row],[SALDO_ATUAL]]),4)</f>
        <v>0.04</v>
      </c>
      <c r="N2711" t="s">
        <v>116</v>
      </c>
      <c r="O2711" t="s">
        <v>459</v>
      </c>
      <c r="P2711" t="s">
        <v>459</v>
      </c>
      <c r="Q2711">
        <v>7</v>
      </c>
      <c r="R2711" s="225">
        <f>Base_Periodo1[[#This Row],[CREDITOS]]-Base_Periodo1[[#This Row],[DEBITOS]]</f>
        <v>0</v>
      </c>
      <c r="S2711" s="3" t="str">
        <f>IF(ISERROR(VLOOKUP(Base_Periodo1[[#This Row],[CONTA]],BaseContasDRE[#All],4,FALSE)),"Fora do DRE",VLOOKUP(Base_Periodo1[[#This Row],[CONTA]],BaseContasDRE[#All],4,FALSE))</f>
        <v>Fora do DRE</v>
      </c>
      <c r="T2711" s="3" t="str">
        <f>IF(ISERROR(VLOOKUP(Base_Periodo1[[#This Row],[CONTA]],BaseContasDRE[#All],5,FALSE)),"Fora do DRE",VLOOKUP(Base_Periodo1[[#This Row],[CONTA]],BaseContasDRE[#All],6,FALSE))</f>
        <v>Fora do DRE</v>
      </c>
      <c r="U2711" s="3" t="str">
        <f>IF(ISERROR(VLOOKUP(Base_Periodo1[[#This Row],[CONTA]],BaseContasDRE[#All],7,FALSE)),"Fora do DRE",VLOOKUP(Base_Periodo1[[#This Row],[CONTA]],BaseContasDRE[#All],7,FALSE))</f>
        <v>Fora do DRE</v>
      </c>
      <c r="V2711" s="3" t="str">
        <f>IF(Base_Periodo1[[#This Row],[Tipo_Linha]]="Fora do DRE","Fora do DRE","( "&amp;Base_Periodo1[[#This Row],[Tipo_Linha]]&amp;" ) "&amp;Base_Periodo1[[#This Row],[Filtro]])</f>
        <v>Fora do DRE</v>
      </c>
      <c r="W2711" s="3" t="str">
        <f>LEFT(Base_Periodo1[[#This Row],[CLASS]],3)</f>
        <v>2.1</v>
      </c>
    </row>
    <row r="2712" spans="1:23" hidden="1">
      <c r="A2712" s="3" t="str">
        <f t="shared" si="42"/>
        <v>Período 1</v>
      </c>
      <c r="B2712">
        <v>15614</v>
      </c>
      <c r="C2712" t="s">
        <v>1745</v>
      </c>
      <c r="D2712" t="s">
        <v>5056</v>
      </c>
      <c r="E2712" s="3" t="str">
        <f>IF(LEN(Base_Periodo1[[#This Row],[CLASS]])&gt;=7,LEFT(Base_Periodo1[[#This Row],[CLASS]],7),"")</f>
        <v>2.1.2.1</v>
      </c>
      <c r="F2712" s="3" t="str">
        <f>VLOOKUP(Base_Periodo1[[#This Row],[Aux]],Base_Contas_Balanco[#All],2,FALSE)</f>
        <v>Fornecedores Cooperados</v>
      </c>
      <c r="G2712" s="1">
        <v>42860</v>
      </c>
      <c r="H2712" s="225">
        <v>1.0000000009313226E-2</v>
      </c>
      <c r="I2712" s="225">
        <v>1560.02</v>
      </c>
      <c r="J2712" s="225">
        <v>1560.01</v>
      </c>
      <c r="K2712" s="225">
        <v>-9.3223206931725144E-12</v>
      </c>
      <c r="L27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712" s="225">
        <f>ROUND(IF(AND(Base_Periodo1[[#This Row],[Tipo_Linha]]="-",Base_Periodo1[[#This Row],[TIPOSALDO]]="D"),Base_Periodo1[[#This Row],[SALDO_ATUAL]]*-1,Base_Periodo1[[#This Row],[SALDO_ATUAL]]),4)</f>
        <v>0</v>
      </c>
      <c r="N2712" t="s">
        <v>116</v>
      </c>
      <c r="O2712" t="s">
        <v>459</v>
      </c>
      <c r="P2712" t="s">
        <v>436</v>
      </c>
      <c r="Q2712">
        <v>7</v>
      </c>
      <c r="R2712" s="225">
        <f>Base_Periodo1[[#This Row],[CREDITOS]]-Base_Periodo1[[#This Row],[DEBITOS]]</f>
        <v>-9.9999999999909051E-3</v>
      </c>
      <c r="S2712" s="3" t="str">
        <f>IF(ISERROR(VLOOKUP(Base_Periodo1[[#This Row],[CONTA]],BaseContasDRE[#All],4,FALSE)),"Fora do DRE",VLOOKUP(Base_Periodo1[[#This Row],[CONTA]],BaseContasDRE[#All],4,FALSE))</f>
        <v>Fora do DRE</v>
      </c>
      <c r="T2712" s="3" t="str">
        <f>IF(ISERROR(VLOOKUP(Base_Periodo1[[#This Row],[CONTA]],BaseContasDRE[#All],5,FALSE)),"Fora do DRE",VLOOKUP(Base_Periodo1[[#This Row],[CONTA]],BaseContasDRE[#All],6,FALSE))</f>
        <v>Fora do DRE</v>
      </c>
      <c r="U2712" s="3" t="str">
        <f>IF(ISERROR(VLOOKUP(Base_Periodo1[[#This Row],[CONTA]],BaseContasDRE[#All],7,FALSE)),"Fora do DRE",VLOOKUP(Base_Periodo1[[#This Row],[CONTA]],BaseContasDRE[#All],7,FALSE))</f>
        <v>Fora do DRE</v>
      </c>
      <c r="V2712" s="3" t="str">
        <f>IF(Base_Periodo1[[#This Row],[Tipo_Linha]]="Fora do DRE","Fora do DRE","( "&amp;Base_Periodo1[[#This Row],[Tipo_Linha]]&amp;" ) "&amp;Base_Periodo1[[#This Row],[Filtro]])</f>
        <v>Fora do DRE</v>
      </c>
      <c r="W2712" s="3" t="str">
        <f>LEFT(Base_Periodo1[[#This Row],[CLASS]],3)</f>
        <v>2.1</v>
      </c>
    </row>
    <row r="2713" spans="1:23" hidden="1">
      <c r="A2713" s="3" t="str">
        <f t="shared" si="42"/>
        <v>Período 1</v>
      </c>
      <c r="B2713">
        <v>48433</v>
      </c>
      <c r="C2713" t="s">
        <v>1745</v>
      </c>
      <c r="D2713" t="s">
        <v>4278</v>
      </c>
      <c r="E2713" s="3" t="str">
        <f>IF(LEN(Base_Periodo1[[#This Row],[CLASS]])&gt;=7,LEFT(Base_Periodo1[[#This Row],[CLASS]],7),"")</f>
        <v>2.1.2.1</v>
      </c>
      <c r="F2713" s="3" t="str">
        <f>VLOOKUP(Base_Periodo1[[#This Row],[Aux]],Base_Contas_Balanco[#All],2,FALSE)</f>
        <v>Fornecedores Cooperados</v>
      </c>
      <c r="G2713" s="1">
        <v>42705</v>
      </c>
      <c r="H2713" s="225">
        <v>2.9999999999745341E-2</v>
      </c>
      <c r="I2713" s="225">
        <v>0</v>
      </c>
      <c r="J2713" s="225">
        <v>0</v>
      </c>
      <c r="K2713" s="225">
        <v>2.9999999999745341E-2</v>
      </c>
      <c r="L27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0.03</v>
      </c>
      <c r="M2713" s="225">
        <f>ROUND(IF(AND(Base_Periodo1[[#This Row],[Tipo_Linha]]="-",Base_Periodo1[[#This Row],[TIPOSALDO]]="D"),Base_Periodo1[[#This Row],[SALDO_ATUAL]]*-1,Base_Periodo1[[#This Row],[SALDO_ATUAL]]),4)</f>
        <v>0.03</v>
      </c>
      <c r="N2713" t="s">
        <v>116</v>
      </c>
      <c r="O2713" t="s">
        <v>459</v>
      </c>
      <c r="P2713" t="s">
        <v>459</v>
      </c>
      <c r="Q2713">
        <v>7</v>
      </c>
      <c r="R2713" s="225">
        <f>Base_Periodo1[[#This Row],[CREDITOS]]-Base_Periodo1[[#This Row],[DEBITOS]]</f>
        <v>0</v>
      </c>
      <c r="S2713" s="3" t="str">
        <f>IF(ISERROR(VLOOKUP(Base_Periodo1[[#This Row],[CONTA]],BaseContasDRE[#All],4,FALSE)),"Fora do DRE",VLOOKUP(Base_Periodo1[[#This Row],[CONTA]],BaseContasDRE[#All],4,FALSE))</f>
        <v>Fora do DRE</v>
      </c>
      <c r="T2713" s="3" t="str">
        <f>IF(ISERROR(VLOOKUP(Base_Periodo1[[#This Row],[CONTA]],BaseContasDRE[#All],5,FALSE)),"Fora do DRE",VLOOKUP(Base_Periodo1[[#This Row],[CONTA]],BaseContasDRE[#All],6,FALSE))</f>
        <v>Fora do DRE</v>
      </c>
      <c r="U2713" s="3" t="str">
        <f>IF(ISERROR(VLOOKUP(Base_Periodo1[[#This Row],[CONTA]],BaseContasDRE[#All],7,FALSE)),"Fora do DRE",VLOOKUP(Base_Periodo1[[#This Row],[CONTA]],BaseContasDRE[#All],7,FALSE))</f>
        <v>Fora do DRE</v>
      </c>
      <c r="V2713" s="3" t="str">
        <f>IF(Base_Periodo1[[#This Row],[Tipo_Linha]]="Fora do DRE","Fora do DRE","( "&amp;Base_Periodo1[[#This Row],[Tipo_Linha]]&amp;" ) "&amp;Base_Periodo1[[#This Row],[Filtro]])</f>
        <v>Fora do DRE</v>
      </c>
      <c r="W2713" s="3" t="str">
        <f>LEFT(Base_Periodo1[[#This Row],[CLASS]],3)</f>
        <v>2.1</v>
      </c>
    </row>
    <row r="2714" spans="1:23" hidden="1">
      <c r="A2714" s="3" t="str">
        <f t="shared" si="42"/>
        <v>Período 1</v>
      </c>
      <c r="B2714">
        <v>8390</v>
      </c>
      <c r="C2714" t="s">
        <v>1745</v>
      </c>
      <c r="D2714" t="s">
        <v>5214</v>
      </c>
      <c r="E2714" s="3" t="str">
        <f>IF(LEN(Base_Periodo1[[#This Row],[CLASS]])&gt;=7,LEFT(Base_Periodo1[[#This Row],[CLASS]],7),"")</f>
        <v>2.1.2.1</v>
      </c>
      <c r="F2714" s="3" t="str">
        <f>VLOOKUP(Base_Periodo1[[#This Row],[Aux]],Base_Contas_Balanco[#All],2,FALSE)</f>
        <v>Fornecedores Cooperados</v>
      </c>
      <c r="G2714" s="1">
        <v>42825</v>
      </c>
      <c r="H2714" s="225">
        <v>348</v>
      </c>
      <c r="I2714" s="225">
        <v>0</v>
      </c>
      <c r="J2714" s="225">
        <v>0</v>
      </c>
      <c r="K2714" s="225">
        <v>348</v>
      </c>
      <c r="L27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348</v>
      </c>
      <c r="M2714" s="225">
        <f>ROUND(IF(AND(Base_Periodo1[[#This Row],[Tipo_Linha]]="-",Base_Periodo1[[#This Row],[TIPOSALDO]]="D"),Base_Periodo1[[#This Row],[SALDO_ATUAL]]*-1,Base_Periodo1[[#This Row],[SALDO_ATUAL]]),4)</f>
        <v>348</v>
      </c>
      <c r="N2714" t="s">
        <v>116</v>
      </c>
      <c r="O2714" t="s">
        <v>459</v>
      </c>
      <c r="P2714" t="s">
        <v>459</v>
      </c>
      <c r="Q2714">
        <v>7</v>
      </c>
      <c r="R2714" s="225">
        <f>Base_Periodo1[[#This Row],[CREDITOS]]-Base_Periodo1[[#This Row],[DEBITOS]]</f>
        <v>0</v>
      </c>
      <c r="S2714" s="3" t="str">
        <f>IF(ISERROR(VLOOKUP(Base_Periodo1[[#This Row],[CONTA]],BaseContasDRE[#All],4,FALSE)),"Fora do DRE",VLOOKUP(Base_Periodo1[[#This Row],[CONTA]],BaseContasDRE[#All],4,FALSE))</f>
        <v>Fora do DRE</v>
      </c>
      <c r="T2714" s="3" t="str">
        <f>IF(ISERROR(VLOOKUP(Base_Periodo1[[#This Row],[CONTA]],BaseContasDRE[#All],5,FALSE)),"Fora do DRE",VLOOKUP(Base_Periodo1[[#This Row],[CONTA]],BaseContasDRE[#All],6,FALSE))</f>
        <v>Fora do DRE</v>
      </c>
      <c r="U2714" s="3" t="str">
        <f>IF(ISERROR(VLOOKUP(Base_Periodo1[[#This Row],[CONTA]],BaseContasDRE[#All],7,FALSE)),"Fora do DRE",VLOOKUP(Base_Periodo1[[#This Row],[CONTA]],BaseContasDRE[#All],7,FALSE))</f>
        <v>Fora do DRE</v>
      </c>
      <c r="V2714" s="3" t="str">
        <f>IF(Base_Periodo1[[#This Row],[Tipo_Linha]]="Fora do DRE","Fora do DRE","( "&amp;Base_Periodo1[[#This Row],[Tipo_Linha]]&amp;" ) "&amp;Base_Periodo1[[#This Row],[Filtro]])</f>
        <v>Fora do DRE</v>
      </c>
      <c r="W2714" s="3" t="str">
        <f>LEFT(Base_Periodo1[[#This Row],[CLASS]],3)</f>
        <v>2.1</v>
      </c>
    </row>
    <row r="2715" spans="1:23" hidden="1">
      <c r="A2715" s="3" t="str">
        <f t="shared" si="42"/>
        <v>Período 1</v>
      </c>
      <c r="B2715">
        <v>2774</v>
      </c>
      <c r="C2715" t="s">
        <v>1745</v>
      </c>
      <c r="D2715" t="s">
        <v>1760</v>
      </c>
      <c r="E2715" s="3" t="str">
        <f>IF(LEN(Base_Periodo1[[#This Row],[CLASS]])&gt;=7,LEFT(Base_Periodo1[[#This Row],[CLASS]],7),"")</f>
        <v>2.1.2.1</v>
      </c>
      <c r="F2715" s="3" t="str">
        <f>VLOOKUP(Base_Periodo1[[#This Row],[Aux]],Base_Contas_Balanco[#All],2,FALSE)</f>
        <v>Fornecedores Cooperados</v>
      </c>
      <c r="G2715" s="1">
        <v>41852</v>
      </c>
      <c r="H2715" s="225">
        <v>0.29999999995925464</v>
      </c>
      <c r="I2715" s="225">
        <v>0</v>
      </c>
      <c r="J2715" s="225">
        <v>0</v>
      </c>
      <c r="K2715" s="225">
        <v>0.29999999995925464</v>
      </c>
      <c r="L27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0.3</v>
      </c>
      <c r="M2715" s="225">
        <f>ROUND(IF(AND(Base_Periodo1[[#This Row],[Tipo_Linha]]="-",Base_Periodo1[[#This Row],[TIPOSALDO]]="D"),Base_Periodo1[[#This Row],[SALDO_ATUAL]]*-1,Base_Periodo1[[#This Row],[SALDO_ATUAL]]),4)</f>
        <v>0.3</v>
      </c>
      <c r="N2715" t="s">
        <v>116</v>
      </c>
      <c r="O2715" t="s">
        <v>459</v>
      </c>
      <c r="P2715" t="s">
        <v>459</v>
      </c>
      <c r="Q2715">
        <v>7</v>
      </c>
      <c r="R2715" s="225">
        <f>Base_Periodo1[[#This Row],[CREDITOS]]-Base_Periodo1[[#This Row],[DEBITOS]]</f>
        <v>0</v>
      </c>
      <c r="S2715" s="3" t="str">
        <f>IF(ISERROR(VLOOKUP(Base_Periodo1[[#This Row],[CONTA]],BaseContasDRE[#All],4,FALSE)),"Fora do DRE",VLOOKUP(Base_Periodo1[[#This Row],[CONTA]],BaseContasDRE[#All],4,FALSE))</f>
        <v>Fora do DRE</v>
      </c>
      <c r="T2715" s="3" t="str">
        <f>IF(ISERROR(VLOOKUP(Base_Periodo1[[#This Row],[CONTA]],BaseContasDRE[#All],5,FALSE)),"Fora do DRE",VLOOKUP(Base_Periodo1[[#This Row],[CONTA]],BaseContasDRE[#All],6,FALSE))</f>
        <v>Fora do DRE</v>
      </c>
      <c r="U2715" s="3" t="str">
        <f>IF(ISERROR(VLOOKUP(Base_Periodo1[[#This Row],[CONTA]],BaseContasDRE[#All],7,FALSE)),"Fora do DRE",VLOOKUP(Base_Periodo1[[#This Row],[CONTA]],BaseContasDRE[#All],7,FALSE))</f>
        <v>Fora do DRE</v>
      </c>
      <c r="V2715" s="3" t="str">
        <f>IF(Base_Periodo1[[#This Row],[Tipo_Linha]]="Fora do DRE","Fora do DRE","( "&amp;Base_Periodo1[[#This Row],[Tipo_Linha]]&amp;" ) "&amp;Base_Periodo1[[#This Row],[Filtro]])</f>
        <v>Fora do DRE</v>
      </c>
      <c r="W2715" s="3" t="str">
        <f>LEFT(Base_Periodo1[[#This Row],[CLASS]],3)</f>
        <v>2.1</v>
      </c>
    </row>
    <row r="2716" spans="1:23" hidden="1">
      <c r="A2716" s="3" t="str">
        <f t="shared" si="42"/>
        <v>Período 1</v>
      </c>
      <c r="B2716">
        <v>4194</v>
      </c>
      <c r="C2716" t="s">
        <v>1745</v>
      </c>
      <c r="D2716" t="s">
        <v>5323</v>
      </c>
      <c r="E2716" s="3" t="str">
        <f>IF(LEN(Base_Periodo1[[#This Row],[CLASS]])&gt;=7,LEFT(Base_Periodo1[[#This Row],[CLASS]],7),"")</f>
        <v>2.1.2.1</v>
      </c>
      <c r="F2716" s="3" t="str">
        <f>VLOOKUP(Base_Periodo1[[#This Row],[Aux]],Base_Contas_Balanco[#All],2,FALSE)</f>
        <v>Fornecedores Cooperados</v>
      </c>
      <c r="G2716" s="1">
        <v>42660</v>
      </c>
      <c r="H2716" s="225">
        <v>1440</v>
      </c>
      <c r="I2716" s="225">
        <v>0</v>
      </c>
      <c r="J2716" s="225">
        <v>0</v>
      </c>
      <c r="K2716" s="225">
        <v>1440</v>
      </c>
      <c r="L27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1440</v>
      </c>
      <c r="M2716" s="225">
        <f>ROUND(IF(AND(Base_Periodo1[[#This Row],[Tipo_Linha]]="-",Base_Periodo1[[#This Row],[TIPOSALDO]]="D"),Base_Periodo1[[#This Row],[SALDO_ATUAL]]*-1,Base_Periodo1[[#This Row],[SALDO_ATUAL]]),4)</f>
        <v>1440</v>
      </c>
      <c r="N2716" t="s">
        <v>116</v>
      </c>
      <c r="O2716" t="s">
        <v>459</v>
      </c>
      <c r="P2716" t="s">
        <v>459</v>
      </c>
      <c r="Q2716">
        <v>7</v>
      </c>
      <c r="R2716" s="225">
        <f>Base_Periodo1[[#This Row],[CREDITOS]]-Base_Periodo1[[#This Row],[DEBITOS]]</f>
        <v>0</v>
      </c>
      <c r="S2716" s="3" t="str">
        <f>IF(ISERROR(VLOOKUP(Base_Periodo1[[#This Row],[CONTA]],BaseContasDRE[#All],4,FALSE)),"Fora do DRE",VLOOKUP(Base_Periodo1[[#This Row],[CONTA]],BaseContasDRE[#All],4,FALSE))</f>
        <v>Fora do DRE</v>
      </c>
      <c r="T2716" s="3" t="str">
        <f>IF(ISERROR(VLOOKUP(Base_Periodo1[[#This Row],[CONTA]],BaseContasDRE[#All],5,FALSE)),"Fora do DRE",VLOOKUP(Base_Periodo1[[#This Row],[CONTA]],BaseContasDRE[#All],6,FALSE))</f>
        <v>Fora do DRE</v>
      </c>
      <c r="U2716" s="3" t="str">
        <f>IF(ISERROR(VLOOKUP(Base_Periodo1[[#This Row],[CONTA]],BaseContasDRE[#All],7,FALSE)),"Fora do DRE",VLOOKUP(Base_Periodo1[[#This Row],[CONTA]],BaseContasDRE[#All],7,FALSE))</f>
        <v>Fora do DRE</v>
      </c>
      <c r="V2716" s="3" t="str">
        <f>IF(Base_Periodo1[[#This Row],[Tipo_Linha]]="Fora do DRE","Fora do DRE","( "&amp;Base_Periodo1[[#This Row],[Tipo_Linha]]&amp;" ) "&amp;Base_Periodo1[[#This Row],[Filtro]])</f>
        <v>Fora do DRE</v>
      </c>
      <c r="W2716" s="3" t="str">
        <f>LEFT(Base_Periodo1[[#This Row],[CLASS]],3)</f>
        <v>2.1</v>
      </c>
    </row>
    <row r="2717" spans="1:23" hidden="1">
      <c r="A2717" s="3" t="str">
        <f t="shared" si="42"/>
        <v>Período 1</v>
      </c>
      <c r="B2717">
        <v>55108</v>
      </c>
      <c r="C2717" t="s">
        <v>1745</v>
      </c>
      <c r="D2717" t="s">
        <v>6863</v>
      </c>
      <c r="E2717" s="3" t="str">
        <f>IF(LEN(Base_Periodo1[[#This Row],[CLASS]])&gt;=7,LEFT(Base_Periodo1[[#This Row],[CLASS]],7),"")</f>
        <v>2.1.2.1</v>
      </c>
      <c r="F2717" s="3" t="str">
        <f>VLOOKUP(Base_Periodo1[[#This Row],[Aux]],Base_Contas_Balanco[#All],2,FALSE)</f>
        <v>Fornecedores Cooperados</v>
      </c>
      <c r="G2717" s="1"/>
      <c r="I2717" s="225">
        <v>0</v>
      </c>
      <c r="J2717" s="225">
        <v>1570.8</v>
      </c>
      <c r="K2717" s="225">
        <v>1570.8</v>
      </c>
      <c r="L27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1570.8</v>
      </c>
      <c r="M2717" s="225">
        <f>ROUND(IF(AND(Base_Periodo1[[#This Row],[Tipo_Linha]]="-",Base_Periodo1[[#This Row],[TIPOSALDO]]="D"),Base_Periodo1[[#This Row],[SALDO_ATUAL]]*-1,Base_Periodo1[[#This Row],[SALDO_ATUAL]]),4)</f>
        <v>1570.8</v>
      </c>
      <c r="N2717" t="s">
        <v>116</v>
      </c>
      <c r="O2717" t="s">
        <v>436</v>
      </c>
      <c r="P2717" t="s">
        <v>459</v>
      </c>
      <c r="Q2717">
        <v>7</v>
      </c>
      <c r="R2717" s="225">
        <f>Base_Periodo1[[#This Row],[CREDITOS]]-Base_Periodo1[[#This Row],[DEBITOS]]</f>
        <v>1570.8</v>
      </c>
      <c r="S2717" s="3" t="str">
        <f>IF(ISERROR(VLOOKUP(Base_Periodo1[[#This Row],[CONTA]],BaseContasDRE[#All],4,FALSE)),"Fora do DRE",VLOOKUP(Base_Periodo1[[#This Row],[CONTA]],BaseContasDRE[#All],4,FALSE))</f>
        <v>Fora do DRE</v>
      </c>
      <c r="T2717" s="3" t="str">
        <f>IF(ISERROR(VLOOKUP(Base_Periodo1[[#This Row],[CONTA]],BaseContasDRE[#All],5,FALSE)),"Fora do DRE",VLOOKUP(Base_Periodo1[[#This Row],[CONTA]],BaseContasDRE[#All],6,FALSE))</f>
        <v>Fora do DRE</v>
      </c>
      <c r="U2717" s="3" t="str">
        <f>IF(ISERROR(VLOOKUP(Base_Periodo1[[#This Row],[CONTA]],BaseContasDRE[#All],7,FALSE)),"Fora do DRE",VLOOKUP(Base_Periodo1[[#This Row],[CONTA]],BaseContasDRE[#All],7,FALSE))</f>
        <v>Fora do DRE</v>
      </c>
      <c r="V2717" s="3" t="str">
        <f>IF(Base_Periodo1[[#This Row],[Tipo_Linha]]="Fora do DRE","Fora do DRE","( "&amp;Base_Periodo1[[#This Row],[Tipo_Linha]]&amp;" ) "&amp;Base_Periodo1[[#This Row],[Filtro]])</f>
        <v>Fora do DRE</v>
      </c>
      <c r="W2717" s="3" t="str">
        <f>LEFT(Base_Periodo1[[#This Row],[CLASS]],3)</f>
        <v>2.1</v>
      </c>
    </row>
    <row r="2718" spans="1:23" hidden="1">
      <c r="A2718" s="3" t="str">
        <f t="shared" si="42"/>
        <v>Período 1</v>
      </c>
      <c r="B2718">
        <v>47162</v>
      </c>
      <c r="C2718" t="s">
        <v>1745</v>
      </c>
      <c r="D2718" t="s">
        <v>1761</v>
      </c>
      <c r="E2718" s="3" t="str">
        <f>IF(LEN(Base_Periodo1[[#This Row],[CLASS]])&gt;=7,LEFT(Base_Periodo1[[#This Row],[CLASS]],7),"")</f>
        <v>2.1.2.1</v>
      </c>
      <c r="F2718" s="3" t="str">
        <f>VLOOKUP(Base_Periodo1[[#This Row],[Aux]],Base_Contas_Balanco[#All],2,FALSE)</f>
        <v>Fornecedores Cooperados</v>
      </c>
      <c r="G2718" s="1">
        <v>42870</v>
      </c>
      <c r="H2718" s="225">
        <v>3523.7799999999843</v>
      </c>
      <c r="I2718" s="225">
        <v>7047.56</v>
      </c>
      <c r="J2718" s="225">
        <v>3523.78</v>
      </c>
      <c r="K2718" s="225">
        <v>1.5916157281026244E-11</v>
      </c>
      <c r="L27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718" s="225">
        <f>ROUND(IF(AND(Base_Periodo1[[#This Row],[Tipo_Linha]]="-",Base_Periodo1[[#This Row],[TIPOSALDO]]="D"),Base_Periodo1[[#This Row],[SALDO_ATUAL]]*-1,Base_Periodo1[[#This Row],[SALDO_ATUAL]]),4)</f>
        <v>0</v>
      </c>
      <c r="N2718" t="s">
        <v>116</v>
      </c>
      <c r="O2718" t="s">
        <v>459</v>
      </c>
      <c r="P2718" t="s">
        <v>436</v>
      </c>
      <c r="Q2718">
        <v>7</v>
      </c>
      <c r="R2718" s="225">
        <f>Base_Periodo1[[#This Row],[CREDITOS]]-Base_Periodo1[[#This Row],[DEBITOS]]</f>
        <v>-3523.78</v>
      </c>
      <c r="S2718" s="3" t="str">
        <f>IF(ISERROR(VLOOKUP(Base_Periodo1[[#This Row],[CONTA]],BaseContasDRE[#All],4,FALSE)),"Fora do DRE",VLOOKUP(Base_Periodo1[[#This Row],[CONTA]],BaseContasDRE[#All],4,FALSE))</f>
        <v>Fora do DRE</v>
      </c>
      <c r="T2718" s="3" t="str">
        <f>IF(ISERROR(VLOOKUP(Base_Periodo1[[#This Row],[CONTA]],BaseContasDRE[#All],5,FALSE)),"Fora do DRE",VLOOKUP(Base_Periodo1[[#This Row],[CONTA]],BaseContasDRE[#All],6,FALSE))</f>
        <v>Fora do DRE</v>
      </c>
      <c r="U2718" s="3" t="str">
        <f>IF(ISERROR(VLOOKUP(Base_Periodo1[[#This Row],[CONTA]],BaseContasDRE[#All],7,FALSE)),"Fora do DRE",VLOOKUP(Base_Periodo1[[#This Row],[CONTA]],BaseContasDRE[#All],7,FALSE))</f>
        <v>Fora do DRE</v>
      </c>
      <c r="V2718" s="3" t="str">
        <f>IF(Base_Periodo1[[#This Row],[Tipo_Linha]]="Fora do DRE","Fora do DRE","( "&amp;Base_Periodo1[[#This Row],[Tipo_Linha]]&amp;" ) "&amp;Base_Periodo1[[#This Row],[Filtro]])</f>
        <v>Fora do DRE</v>
      </c>
      <c r="W2718" s="3" t="str">
        <f>LEFT(Base_Periodo1[[#This Row],[CLASS]],3)</f>
        <v>2.1</v>
      </c>
    </row>
    <row r="2719" spans="1:23" hidden="1">
      <c r="A2719" s="3" t="str">
        <f t="shared" si="42"/>
        <v>Período 1</v>
      </c>
      <c r="B2719">
        <v>47553</v>
      </c>
      <c r="C2719" t="s">
        <v>1745</v>
      </c>
      <c r="D2719" t="s">
        <v>5324</v>
      </c>
      <c r="E2719" s="3" t="str">
        <f>IF(LEN(Base_Periodo1[[#This Row],[CLASS]])&gt;=7,LEFT(Base_Periodo1[[#This Row],[CLASS]],7),"")</f>
        <v>2.1.2.1</v>
      </c>
      <c r="F2719" s="3" t="str">
        <f>VLOOKUP(Base_Periodo1[[#This Row],[Aux]],Base_Contas_Balanco[#All],2,FALSE)</f>
        <v>Fornecedores Cooperados</v>
      </c>
      <c r="G2719" s="1">
        <v>42745</v>
      </c>
      <c r="H2719" s="225">
        <v>117.83999999999651</v>
      </c>
      <c r="I2719" s="225">
        <v>0</v>
      </c>
      <c r="J2719" s="225">
        <v>0</v>
      </c>
      <c r="K2719" s="225">
        <v>117.83999999999651</v>
      </c>
      <c r="L27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117.84</v>
      </c>
      <c r="M2719" s="225">
        <f>ROUND(IF(AND(Base_Periodo1[[#This Row],[Tipo_Linha]]="-",Base_Periodo1[[#This Row],[TIPOSALDO]]="D"),Base_Periodo1[[#This Row],[SALDO_ATUAL]]*-1,Base_Periodo1[[#This Row],[SALDO_ATUAL]]),4)</f>
        <v>117.84</v>
      </c>
      <c r="N2719" t="s">
        <v>116</v>
      </c>
      <c r="O2719" t="s">
        <v>459</v>
      </c>
      <c r="P2719" t="s">
        <v>459</v>
      </c>
      <c r="Q2719">
        <v>7</v>
      </c>
      <c r="R2719" s="225">
        <f>Base_Periodo1[[#This Row],[CREDITOS]]-Base_Periodo1[[#This Row],[DEBITOS]]</f>
        <v>0</v>
      </c>
      <c r="S2719" s="3" t="str">
        <f>IF(ISERROR(VLOOKUP(Base_Periodo1[[#This Row],[CONTA]],BaseContasDRE[#All],4,FALSE)),"Fora do DRE",VLOOKUP(Base_Periodo1[[#This Row],[CONTA]],BaseContasDRE[#All],4,FALSE))</f>
        <v>Fora do DRE</v>
      </c>
      <c r="T2719" s="3" t="str">
        <f>IF(ISERROR(VLOOKUP(Base_Periodo1[[#This Row],[CONTA]],BaseContasDRE[#All],5,FALSE)),"Fora do DRE",VLOOKUP(Base_Periodo1[[#This Row],[CONTA]],BaseContasDRE[#All],6,FALSE))</f>
        <v>Fora do DRE</v>
      </c>
      <c r="U2719" s="3" t="str">
        <f>IF(ISERROR(VLOOKUP(Base_Periodo1[[#This Row],[CONTA]],BaseContasDRE[#All],7,FALSE)),"Fora do DRE",VLOOKUP(Base_Periodo1[[#This Row],[CONTA]],BaseContasDRE[#All],7,FALSE))</f>
        <v>Fora do DRE</v>
      </c>
      <c r="V2719" s="3" t="str">
        <f>IF(Base_Periodo1[[#This Row],[Tipo_Linha]]="Fora do DRE","Fora do DRE","( "&amp;Base_Periodo1[[#This Row],[Tipo_Linha]]&amp;" ) "&amp;Base_Periodo1[[#This Row],[Filtro]])</f>
        <v>Fora do DRE</v>
      </c>
      <c r="W2719" s="3" t="str">
        <f>LEFT(Base_Periodo1[[#This Row],[CLASS]],3)</f>
        <v>2.1</v>
      </c>
    </row>
    <row r="2720" spans="1:23" hidden="1">
      <c r="A2720" s="3" t="str">
        <f t="shared" si="42"/>
        <v>Período 1</v>
      </c>
      <c r="B2720">
        <v>4046</v>
      </c>
      <c r="C2720" t="s">
        <v>1745</v>
      </c>
      <c r="D2720" t="s">
        <v>1762</v>
      </c>
      <c r="E2720" s="3" t="str">
        <f>IF(LEN(Base_Periodo1[[#This Row],[CLASS]])&gt;=7,LEFT(Base_Periodo1[[#This Row],[CLASS]],7),"")</f>
        <v>2.1.2.1</v>
      </c>
      <c r="F2720" s="3" t="str">
        <f>VLOOKUP(Base_Periodo1[[#This Row],[Aux]],Base_Contas_Balanco[#All],2,FALSE)</f>
        <v>Fornecedores Cooperados</v>
      </c>
      <c r="G2720" s="1">
        <v>42865</v>
      </c>
      <c r="H2720" s="225">
        <v>9.7300000000395812</v>
      </c>
      <c r="I2720" s="225">
        <v>1248.75</v>
      </c>
      <c r="J2720" s="225">
        <v>70648.75</v>
      </c>
      <c r="K2720" s="225">
        <v>69409.73000000004</v>
      </c>
      <c r="L27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69409.73</v>
      </c>
      <c r="M2720" s="225">
        <f>ROUND(IF(AND(Base_Periodo1[[#This Row],[Tipo_Linha]]="-",Base_Periodo1[[#This Row],[TIPOSALDO]]="D"),Base_Periodo1[[#This Row],[SALDO_ATUAL]]*-1,Base_Periodo1[[#This Row],[SALDO_ATUAL]]),4)</f>
        <v>69409.73</v>
      </c>
      <c r="N2720" t="s">
        <v>116</v>
      </c>
      <c r="O2720" t="s">
        <v>459</v>
      </c>
      <c r="P2720" t="s">
        <v>459</v>
      </c>
      <c r="Q2720">
        <v>7</v>
      </c>
      <c r="R2720" s="225">
        <f>Base_Periodo1[[#This Row],[CREDITOS]]-Base_Periodo1[[#This Row],[DEBITOS]]</f>
        <v>69400</v>
      </c>
      <c r="S2720" s="3" t="str">
        <f>IF(ISERROR(VLOOKUP(Base_Periodo1[[#This Row],[CONTA]],BaseContasDRE[#All],4,FALSE)),"Fora do DRE",VLOOKUP(Base_Periodo1[[#This Row],[CONTA]],BaseContasDRE[#All],4,FALSE))</f>
        <v>Fora do DRE</v>
      </c>
      <c r="T2720" s="3" t="str">
        <f>IF(ISERROR(VLOOKUP(Base_Periodo1[[#This Row],[CONTA]],BaseContasDRE[#All],5,FALSE)),"Fora do DRE",VLOOKUP(Base_Periodo1[[#This Row],[CONTA]],BaseContasDRE[#All],6,FALSE))</f>
        <v>Fora do DRE</v>
      </c>
      <c r="U2720" s="3" t="str">
        <f>IF(ISERROR(VLOOKUP(Base_Periodo1[[#This Row],[CONTA]],BaseContasDRE[#All],7,FALSE)),"Fora do DRE",VLOOKUP(Base_Periodo1[[#This Row],[CONTA]],BaseContasDRE[#All],7,FALSE))</f>
        <v>Fora do DRE</v>
      </c>
      <c r="V2720" s="3" t="str">
        <f>IF(Base_Periodo1[[#This Row],[Tipo_Linha]]="Fora do DRE","Fora do DRE","( "&amp;Base_Periodo1[[#This Row],[Tipo_Linha]]&amp;" ) "&amp;Base_Periodo1[[#This Row],[Filtro]])</f>
        <v>Fora do DRE</v>
      </c>
      <c r="W2720" s="3" t="str">
        <f>LEFT(Base_Periodo1[[#This Row],[CLASS]],3)</f>
        <v>2.1</v>
      </c>
    </row>
    <row r="2721" spans="1:23" hidden="1">
      <c r="A2721" s="3" t="str">
        <f t="shared" si="42"/>
        <v>Período 1</v>
      </c>
      <c r="B2721">
        <v>22915</v>
      </c>
      <c r="C2721" t="s">
        <v>1745</v>
      </c>
      <c r="D2721" t="s">
        <v>1763</v>
      </c>
      <c r="E2721" s="3" t="str">
        <f>IF(LEN(Base_Periodo1[[#This Row],[CLASS]])&gt;=7,LEFT(Base_Periodo1[[#This Row],[CLASS]],7),"")</f>
        <v>2.1.2.1</v>
      </c>
      <c r="F2721" s="3" t="str">
        <f>VLOOKUP(Base_Periodo1[[#This Row],[Aux]],Base_Contas_Balanco[#All],2,FALSE)</f>
        <v>Fornecedores Cooperados</v>
      </c>
      <c r="G2721" s="1">
        <v>42706</v>
      </c>
      <c r="H2721" s="225">
        <v>40.669999999998254</v>
      </c>
      <c r="I2721" s="225">
        <v>0</v>
      </c>
      <c r="J2721" s="225">
        <v>0</v>
      </c>
      <c r="K2721" s="225">
        <v>40.669999999998254</v>
      </c>
      <c r="L27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40.67</v>
      </c>
      <c r="M2721" s="225">
        <f>ROUND(IF(AND(Base_Periodo1[[#This Row],[Tipo_Linha]]="-",Base_Periodo1[[#This Row],[TIPOSALDO]]="D"),Base_Periodo1[[#This Row],[SALDO_ATUAL]]*-1,Base_Periodo1[[#This Row],[SALDO_ATUAL]]),4)</f>
        <v>40.67</v>
      </c>
      <c r="N2721" t="s">
        <v>116</v>
      </c>
      <c r="O2721" t="s">
        <v>459</v>
      </c>
      <c r="P2721" t="s">
        <v>459</v>
      </c>
      <c r="Q2721">
        <v>7</v>
      </c>
      <c r="R2721" s="225">
        <f>Base_Periodo1[[#This Row],[CREDITOS]]-Base_Periodo1[[#This Row],[DEBITOS]]</f>
        <v>0</v>
      </c>
      <c r="S2721" s="3" t="str">
        <f>IF(ISERROR(VLOOKUP(Base_Periodo1[[#This Row],[CONTA]],BaseContasDRE[#All],4,FALSE)),"Fora do DRE",VLOOKUP(Base_Periodo1[[#This Row],[CONTA]],BaseContasDRE[#All],4,FALSE))</f>
        <v>Fora do DRE</v>
      </c>
      <c r="T2721" s="3" t="str">
        <f>IF(ISERROR(VLOOKUP(Base_Periodo1[[#This Row],[CONTA]],BaseContasDRE[#All],5,FALSE)),"Fora do DRE",VLOOKUP(Base_Periodo1[[#This Row],[CONTA]],BaseContasDRE[#All],6,FALSE))</f>
        <v>Fora do DRE</v>
      </c>
      <c r="U2721" s="3" t="str">
        <f>IF(ISERROR(VLOOKUP(Base_Periodo1[[#This Row],[CONTA]],BaseContasDRE[#All],7,FALSE)),"Fora do DRE",VLOOKUP(Base_Periodo1[[#This Row],[CONTA]],BaseContasDRE[#All],7,FALSE))</f>
        <v>Fora do DRE</v>
      </c>
      <c r="V2721" s="3" t="str">
        <f>IF(Base_Periodo1[[#This Row],[Tipo_Linha]]="Fora do DRE","Fora do DRE","( "&amp;Base_Periodo1[[#This Row],[Tipo_Linha]]&amp;" ) "&amp;Base_Periodo1[[#This Row],[Filtro]])</f>
        <v>Fora do DRE</v>
      </c>
      <c r="W2721" s="3" t="str">
        <f>LEFT(Base_Periodo1[[#This Row],[CLASS]],3)</f>
        <v>2.1</v>
      </c>
    </row>
    <row r="2722" spans="1:23" hidden="1">
      <c r="A2722" s="3" t="str">
        <f t="shared" si="42"/>
        <v>Período 1</v>
      </c>
      <c r="B2722">
        <v>9256</v>
      </c>
      <c r="C2722" t="s">
        <v>1745</v>
      </c>
      <c r="D2722" t="s">
        <v>1764</v>
      </c>
      <c r="E2722" s="3" t="str">
        <f>IF(LEN(Base_Periodo1[[#This Row],[CLASS]])&gt;=7,LEFT(Base_Periodo1[[#This Row],[CLASS]],7),"")</f>
        <v>2.1.2.1</v>
      </c>
      <c r="F2722" s="3" t="str">
        <f>VLOOKUP(Base_Periodo1[[#This Row],[Aux]],Base_Contas_Balanco[#All],2,FALSE)</f>
        <v>Fornecedores Cooperados</v>
      </c>
      <c r="G2722" s="1">
        <v>42762</v>
      </c>
      <c r="H2722" s="225">
        <v>0.819999999992433</v>
      </c>
      <c r="I2722" s="225">
        <v>0</v>
      </c>
      <c r="J2722" s="225">
        <v>0</v>
      </c>
      <c r="K2722" s="225">
        <v>0.819999999992433</v>
      </c>
      <c r="L27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0.82</v>
      </c>
      <c r="M2722" s="225">
        <f>ROUND(IF(AND(Base_Periodo1[[#This Row],[Tipo_Linha]]="-",Base_Periodo1[[#This Row],[TIPOSALDO]]="D"),Base_Periodo1[[#This Row],[SALDO_ATUAL]]*-1,Base_Periodo1[[#This Row],[SALDO_ATUAL]]),4)</f>
        <v>0.82</v>
      </c>
      <c r="N2722" t="s">
        <v>116</v>
      </c>
      <c r="O2722" t="s">
        <v>459</v>
      </c>
      <c r="P2722" t="s">
        <v>459</v>
      </c>
      <c r="Q2722">
        <v>7</v>
      </c>
      <c r="R2722" s="225">
        <f>Base_Periodo1[[#This Row],[CREDITOS]]-Base_Periodo1[[#This Row],[DEBITOS]]</f>
        <v>0</v>
      </c>
      <c r="S2722" s="3" t="str">
        <f>IF(ISERROR(VLOOKUP(Base_Periodo1[[#This Row],[CONTA]],BaseContasDRE[#All],4,FALSE)),"Fora do DRE",VLOOKUP(Base_Periodo1[[#This Row],[CONTA]],BaseContasDRE[#All],4,FALSE))</f>
        <v>Fora do DRE</v>
      </c>
      <c r="T2722" s="3" t="str">
        <f>IF(ISERROR(VLOOKUP(Base_Periodo1[[#This Row],[CONTA]],BaseContasDRE[#All],5,FALSE)),"Fora do DRE",VLOOKUP(Base_Periodo1[[#This Row],[CONTA]],BaseContasDRE[#All],6,FALSE))</f>
        <v>Fora do DRE</v>
      </c>
      <c r="U2722" s="3" t="str">
        <f>IF(ISERROR(VLOOKUP(Base_Periodo1[[#This Row],[CONTA]],BaseContasDRE[#All],7,FALSE)),"Fora do DRE",VLOOKUP(Base_Periodo1[[#This Row],[CONTA]],BaseContasDRE[#All],7,FALSE))</f>
        <v>Fora do DRE</v>
      </c>
      <c r="V2722" s="3" t="str">
        <f>IF(Base_Periodo1[[#This Row],[Tipo_Linha]]="Fora do DRE","Fora do DRE","( "&amp;Base_Periodo1[[#This Row],[Tipo_Linha]]&amp;" ) "&amp;Base_Periodo1[[#This Row],[Filtro]])</f>
        <v>Fora do DRE</v>
      </c>
      <c r="W2722" s="3" t="str">
        <f>LEFT(Base_Periodo1[[#This Row],[CLASS]],3)</f>
        <v>2.1</v>
      </c>
    </row>
    <row r="2723" spans="1:23" hidden="1">
      <c r="A2723" s="3" t="str">
        <f t="shared" si="42"/>
        <v>Período 1</v>
      </c>
      <c r="B2723">
        <v>3122</v>
      </c>
      <c r="C2723" t="s">
        <v>1745</v>
      </c>
      <c r="D2723" t="s">
        <v>1765</v>
      </c>
      <c r="E2723" s="3" t="str">
        <f>IF(LEN(Base_Periodo1[[#This Row],[CLASS]])&gt;=7,LEFT(Base_Periodo1[[#This Row],[CLASS]],7),"")</f>
        <v>2.1.2.1</v>
      </c>
      <c r="F2723" s="3" t="str">
        <f>VLOOKUP(Base_Periodo1[[#This Row],[Aux]],Base_Contas_Balanco[#All],2,FALSE)</f>
        <v>Fornecedores Cooperados</v>
      </c>
      <c r="G2723" s="1">
        <v>42857</v>
      </c>
      <c r="H2723" s="225">
        <v>20608.260000000009</v>
      </c>
      <c r="I2723" s="225">
        <v>0</v>
      </c>
      <c r="J2723" s="225">
        <v>88284.59</v>
      </c>
      <c r="K2723" s="225">
        <v>108892.85</v>
      </c>
      <c r="L27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108892.85</v>
      </c>
      <c r="M2723" s="225">
        <f>ROUND(IF(AND(Base_Periodo1[[#This Row],[Tipo_Linha]]="-",Base_Periodo1[[#This Row],[TIPOSALDO]]="D"),Base_Periodo1[[#This Row],[SALDO_ATUAL]]*-1,Base_Periodo1[[#This Row],[SALDO_ATUAL]]),4)</f>
        <v>108892.85</v>
      </c>
      <c r="N2723" t="s">
        <v>116</v>
      </c>
      <c r="O2723" t="s">
        <v>459</v>
      </c>
      <c r="P2723" t="s">
        <v>459</v>
      </c>
      <c r="Q2723">
        <v>7</v>
      </c>
      <c r="R2723" s="225">
        <f>Base_Periodo1[[#This Row],[CREDITOS]]-Base_Periodo1[[#This Row],[DEBITOS]]</f>
        <v>88284.59</v>
      </c>
      <c r="S2723" s="3" t="str">
        <f>IF(ISERROR(VLOOKUP(Base_Periodo1[[#This Row],[CONTA]],BaseContasDRE[#All],4,FALSE)),"Fora do DRE",VLOOKUP(Base_Periodo1[[#This Row],[CONTA]],BaseContasDRE[#All],4,FALSE))</f>
        <v>Fora do DRE</v>
      </c>
      <c r="T2723" s="3" t="str">
        <f>IF(ISERROR(VLOOKUP(Base_Periodo1[[#This Row],[CONTA]],BaseContasDRE[#All],5,FALSE)),"Fora do DRE",VLOOKUP(Base_Periodo1[[#This Row],[CONTA]],BaseContasDRE[#All],6,FALSE))</f>
        <v>Fora do DRE</v>
      </c>
      <c r="U2723" s="3" t="str">
        <f>IF(ISERROR(VLOOKUP(Base_Periodo1[[#This Row],[CONTA]],BaseContasDRE[#All],7,FALSE)),"Fora do DRE",VLOOKUP(Base_Periodo1[[#This Row],[CONTA]],BaseContasDRE[#All],7,FALSE))</f>
        <v>Fora do DRE</v>
      </c>
      <c r="V2723" s="3" t="str">
        <f>IF(Base_Periodo1[[#This Row],[Tipo_Linha]]="Fora do DRE","Fora do DRE","( "&amp;Base_Periodo1[[#This Row],[Tipo_Linha]]&amp;" ) "&amp;Base_Periodo1[[#This Row],[Filtro]])</f>
        <v>Fora do DRE</v>
      </c>
      <c r="W2723" s="3" t="str">
        <f>LEFT(Base_Periodo1[[#This Row],[CLASS]],3)</f>
        <v>2.1</v>
      </c>
    </row>
    <row r="2724" spans="1:23" hidden="1">
      <c r="A2724" s="3" t="str">
        <f t="shared" si="42"/>
        <v>Período 1</v>
      </c>
      <c r="B2724">
        <v>7567</v>
      </c>
      <c r="C2724" t="s">
        <v>1745</v>
      </c>
      <c r="D2724" t="s">
        <v>1766</v>
      </c>
      <c r="E2724" s="3" t="str">
        <f>IF(LEN(Base_Periodo1[[#This Row],[CLASS]])&gt;=7,LEFT(Base_Periodo1[[#This Row],[CLASS]],7),"")</f>
        <v>2.1.2.1</v>
      </c>
      <c r="F2724" s="3" t="str">
        <f>VLOOKUP(Base_Periodo1[[#This Row],[Aux]],Base_Contas_Balanco[#All],2,FALSE)</f>
        <v>Fornecedores Cooperados</v>
      </c>
      <c r="G2724" s="1">
        <v>42816</v>
      </c>
      <c r="H2724" s="225">
        <v>508.57999999995809</v>
      </c>
      <c r="I2724" s="225">
        <v>0</v>
      </c>
      <c r="J2724" s="225">
        <v>0</v>
      </c>
      <c r="K2724" s="225">
        <v>508.57999999995809</v>
      </c>
      <c r="L27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508.58</v>
      </c>
      <c r="M2724" s="225">
        <f>ROUND(IF(AND(Base_Periodo1[[#This Row],[Tipo_Linha]]="-",Base_Periodo1[[#This Row],[TIPOSALDO]]="D"),Base_Periodo1[[#This Row],[SALDO_ATUAL]]*-1,Base_Periodo1[[#This Row],[SALDO_ATUAL]]),4)</f>
        <v>508.58</v>
      </c>
      <c r="N2724" t="s">
        <v>116</v>
      </c>
      <c r="O2724" t="s">
        <v>459</v>
      </c>
      <c r="P2724" t="s">
        <v>459</v>
      </c>
      <c r="Q2724">
        <v>7</v>
      </c>
      <c r="R2724" s="225">
        <f>Base_Periodo1[[#This Row],[CREDITOS]]-Base_Periodo1[[#This Row],[DEBITOS]]</f>
        <v>0</v>
      </c>
      <c r="S2724" s="3" t="str">
        <f>IF(ISERROR(VLOOKUP(Base_Periodo1[[#This Row],[CONTA]],BaseContasDRE[#All],4,FALSE)),"Fora do DRE",VLOOKUP(Base_Periodo1[[#This Row],[CONTA]],BaseContasDRE[#All],4,FALSE))</f>
        <v>Fora do DRE</v>
      </c>
      <c r="T2724" s="3" t="str">
        <f>IF(ISERROR(VLOOKUP(Base_Periodo1[[#This Row],[CONTA]],BaseContasDRE[#All],5,FALSE)),"Fora do DRE",VLOOKUP(Base_Periodo1[[#This Row],[CONTA]],BaseContasDRE[#All],6,FALSE))</f>
        <v>Fora do DRE</v>
      </c>
      <c r="U2724" s="3" t="str">
        <f>IF(ISERROR(VLOOKUP(Base_Periodo1[[#This Row],[CONTA]],BaseContasDRE[#All],7,FALSE)),"Fora do DRE",VLOOKUP(Base_Periodo1[[#This Row],[CONTA]],BaseContasDRE[#All],7,FALSE))</f>
        <v>Fora do DRE</v>
      </c>
      <c r="V2724" s="3" t="str">
        <f>IF(Base_Periodo1[[#This Row],[Tipo_Linha]]="Fora do DRE","Fora do DRE","( "&amp;Base_Periodo1[[#This Row],[Tipo_Linha]]&amp;" ) "&amp;Base_Periodo1[[#This Row],[Filtro]])</f>
        <v>Fora do DRE</v>
      </c>
      <c r="W2724" s="3" t="str">
        <f>LEFT(Base_Periodo1[[#This Row],[CLASS]],3)</f>
        <v>2.1</v>
      </c>
    </row>
    <row r="2725" spans="1:23" hidden="1">
      <c r="A2725" s="3" t="str">
        <f t="shared" si="42"/>
        <v>Período 1</v>
      </c>
      <c r="B2725">
        <v>52967</v>
      </c>
      <c r="C2725" t="s">
        <v>1745</v>
      </c>
      <c r="D2725" t="s">
        <v>6355</v>
      </c>
      <c r="E2725" s="3" t="str">
        <f>IF(LEN(Base_Periodo1[[#This Row],[CLASS]])&gt;=7,LEFT(Base_Periodo1[[#This Row],[CLASS]],7),"")</f>
        <v>2.1.2.1</v>
      </c>
      <c r="F2725" s="3" t="str">
        <f>VLOOKUP(Base_Periodo1[[#This Row],[Aux]],Base_Contas_Balanco[#All],2,FALSE)</f>
        <v>Fornecedores Cooperados</v>
      </c>
      <c r="G2725" s="1">
        <v>42835</v>
      </c>
      <c r="H2725" s="225">
        <v>1633.2200000000012</v>
      </c>
      <c r="I2725" s="225">
        <v>0</v>
      </c>
      <c r="J2725" s="225">
        <v>0</v>
      </c>
      <c r="K2725" s="225">
        <v>1633.2200000000012</v>
      </c>
      <c r="L27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1633.22</v>
      </c>
      <c r="M2725" s="225">
        <f>ROUND(IF(AND(Base_Periodo1[[#This Row],[Tipo_Linha]]="-",Base_Periodo1[[#This Row],[TIPOSALDO]]="D"),Base_Periodo1[[#This Row],[SALDO_ATUAL]]*-1,Base_Periodo1[[#This Row],[SALDO_ATUAL]]),4)</f>
        <v>1633.22</v>
      </c>
      <c r="N2725" t="s">
        <v>116</v>
      </c>
      <c r="O2725" t="s">
        <v>459</v>
      </c>
      <c r="P2725" t="s">
        <v>459</v>
      </c>
      <c r="Q2725">
        <v>7</v>
      </c>
      <c r="R2725" s="225">
        <f>Base_Periodo1[[#This Row],[CREDITOS]]-Base_Periodo1[[#This Row],[DEBITOS]]</f>
        <v>0</v>
      </c>
      <c r="S2725" s="3" t="str">
        <f>IF(ISERROR(VLOOKUP(Base_Periodo1[[#This Row],[CONTA]],BaseContasDRE[#All],4,FALSE)),"Fora do DRE",VLOOKUP(Base_Periodo1[[#This Row],[CONTA]],BaseContasDRE[#All],4,FALSE))</f>
        <v>Fora do DRE</v>
      </c>
      <c r="T2725" s="3" t="str">
        <f>IF(ISERROR(VLOOKUP(Base_Periodo1[[#This Row],[CONTA]],BaseContasDRE[#All],5,FALSE)),"Fora do DRE",VLOOKUP(Base_Periodo1[[#This Row],[CONTA]],BaseContasDRE[#All],6,FALSE))</f>
        <v>Fora do DRE</v>
      </c>
      <c r="U2725" s="3" t="str">
        <f>IF(ISERROR(VLOOKUP(Base_Periodo1[[#This Row],[CONTA]],BaseContasDRE[#All],7,FALSE)),"Fora do DRE",VLOOKUP(Base_Periodo1[[#This Row],[CONTA]],BaseContasDRE[#All],7,FALSE))</f>
        <v>Fora do DRE</v>
      </c>
      <c r="V2725" s="3" t="str">
        <f>IF(Base_Periodo1[[#This Row],[Tipo_Linha]]="Fora do DRE","Fora do DRE","( "&amp;Base_Periodo1[[#This Row],[Tipo_Linha]]&amp;" ) "&amp;Base_Periodo1[[#This Row],[Filtro]])</f>
        <v>Fora do DRE</v>
      </c>
      <c r="W2725" s="3" t="str">
        <f>LEFT(Base_Periodo1[[#This Row],[CLASS]],3)</f>
        <v>2.1</v>
      </c>
    </row>
    <row r="2726" spans="1:23" hidden="1">
      <c r="A2726" s="3" t="str">
        <f t="shared" si="42"/>
        <v>Período 1</v>
      </c>
      <c r="B2726">
        <v>21794</v>
      </c>
      <c r="C2726" t="s">
        <v>1745</v>
      </c>
      <c r="D2726" t="s">
        <v>5516</v>
      </c>
      <c r="E2726" s="3" t="str">
        <f>IF(LEN(Base_Periodo1[[#This Row],[CLASS]])&gt;=7,LEFT(Base_Periodo1[[#This Row],[CLASS]],7),"")</f>
        <v>2.1.2.1</v>
      </c>
      <c r="F2726" s="3" t="str">
        <f>VLOOKUP(Base_Periodo1[[#This Row],[Aux]],Base_Contas_Balanco[#All],2,FALSE)</f>
        <v>Fornecedores Cooperados</v>
      </c>
      <c r="G2726" s="1">
        <v>42885</v>
      </c>
      <c r="H2726" s="225">
        <v>7766.3200000000215</v>
      </c>
      <c r="I2726" s="225">
        <v>9320</v>
      </c>
      <c r="J2726" s="225">
        <v>4660</v>
      </c>
      <c r="K2726" s="225">
        <v>3106.3200000000215</v>
      </c>
      <c r="L27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3106.32</v>
      </c>
      <c r="M2726" s="225">
        <f>ROUND(IF(AND(Base_Periodo1[[#This Row],[Tipo_Linha]]="-",Base_Periodo1[[#This Row],[TIPOSALDO]]="D"),Base_Periodo1[[#This Row],[SALDO_ATUAL]]*-1,Base_Periodo1[[#This Row],[SALDO_ATUAL]]),4)</f>
        <v>3106.32</v>
      </c>
      <c r="N2726" t="s">
        <v>116</v>
      </c>
      <c r="O2726" t="s">
        <v>459</v>
      </c>
      <c r="P2726" t="s">
        <v>459</v>
      </c>
      <c r="Q2726">
        <v>7</v>
      </c>
      <c r="R2726" s="225">
        <f>Base_Periodo1[[#This Row],[CREDITOS]]-Base_Periodo1[[#This Row],[DEBITOS]]</f>
        <v>-4660</v>
      </c>
      <c r="S2726" s="3" t="str">
        <f>IF(ISERROR(VLOOKUP(Base_Periodo1[[#This Row],[CONTA]],BaseContasDRE[#All],4,FALSE)),"Fora do DRE",VLOOKUP(Base_Periodo1[[#This Row],[CONTA]],BaseContasDRE[#All],4,FALSE))</f>
        <v>Fora do DRE</v>
      </c>
      <c r="T2726" s="3" t="str">
        <f>IF(ISERROR(VLOOKUP(Base_Periodo1[[#This Row],[CONTA]],BaseContasDRE[#All],5,FALSE)),"Fora do DRE",VLOOKUP(Base_Periodo1[[#This Row],[CONTA]],BaseContasDRE[#All],6,FALSE))</f>
        <v>Fora do DRE</v>
      </c>
      <c r="U2726" s="3" t="str">
        <f>IF(ISERROR(VLOOKUP(Base_Periodo1[[#This Row],[CONTA]],BaseContasDRE[#All],7,FALSE)),"Fora do DRE",VLOOKUP(Base_Periodo1[[#This Row],[CONTA]],BaseContasDRE[#All],7,FALSE))</f>
        <v>Fora do DRE</v>
      </c>
      <c r="V2726" s="3" t="str">
        <f>IF(Base_Periodo1[[#This Row],[Tipo_Linha]]="Fora do DRE","Fora do DRE","( "&amp;Base_Periodo1[[#This Row],[Tipo_Linha]]&amp;" ) "&amp;Base_Periodo1[[#This Row],[Filtro]])</f>
        <v>Fora do DRE</v>
      </c>
      <c r="W2726" s="3" t="str">
        <f>LEFT(Base_Periodo1[[#This Row],[CLASS]],3)</f>
        <v>2.1</v>
      </c>
    </row>
    <row r="2727" spans="1:23" hidden="1">
      <c r="A2727" s="3" t="str">
        <f t="shared" si="42"/>
        <v>Período 1</v>
      </c>
      <c r="B2727">
        <v>39062</v>
      </c>
      <c r="C2727" t="s">
        <v>1745</v>
      </c>
      <c r="D2727" t="s">
        <v>1767</v>
      </c>
      <c r="E2727" s="3" t="str">
        <f>IF(LEN(Base_Periodo1[[#This Row],[CLASS]])&gt;=7,LEFT(Base_Periodo1[[#This Row],[CLASS]],7),"")</f>
        <v>2.1.2.1</v>
      </c>
      <c r="F2727" s="3" t="str">
        <f>VLOOKUP(Base_Periodo1[[#This Row],[Aux]],Base_Contas_Balanco[#All],2,FALSE)</f>
        <v>Fornecedores Cooperados</v>
      </c>
      <c r="G2727" s="1">
        <v>42845</v>
      </c>
      <c r="H2727" s="225">
        <v>15486.580000000045</v>
      </c>
      <c r="I2727" s="225">
        <v>0</v>
      </c>
      <c r="J2727" s="225">
        <v>0</v>
      </c>
      <c r="K2727" s="225">
        <v>15486.580000000045</v>
      </c>
      <c r="L27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15486.58</v>
      </c>
      <c r="M2727" s="225">
        <f>ROUND(IF(AND(Base_Periodo1[[#This Row],[Tipo_Linha]]="-",Base_Periodo1[[#This Row],[TIPOSALDO]]="D"),Base_Periodo1[[#This Row],[SALDO_ATUAL]]*-1,Base_Periodo1[[#This Row],[SALDO_ATUAL]]),4)</f>
        <v>15486.58</v>
      </c>
      <c r="N2727" t="s">
        <v>116</v>
      </c>
      <c r="O2727" t="s">
        <v>459</v>
      </c>
      <c r="P2727" t="s">
        <v>459</v>
      </c>
      <c r="Q2727">
        <v>7</v>
      </c>
      <c r="R2727" s="225">
        <f>Base_Periodo1[[#This Row],[CREDITOS]]-Base_Periodo1[[#This Row],[DEBITOS]]</f>
        <v>0</v>
      </c>
      <c r="S2727" s="3" t="str">
        <f>IF(ISERROR(VLOOKUP(Base_Periodo1[[#This Row],[CONTA]],BaseContasDRE[#All],4,FALSE)),"Fora do DRE",VLOOKUP(Base_Periodo1[[#This Row],[CONTA]],BaseContasDRE[#All],4,FALSE))</f>
        <v>Fora do DRE</v>
      </c>
      <c r="T2727" s="3" t="str">
        <f>IF(ISERROR(VLOOKUP(Base_Periodo1[[#This Row],[CONTA]],BaseContasDRE[#All],5,FALSE)),"Fora do DRE",VLOOKUP(Base_Periodo1[[#This Row],[CONTA]],BaseContasDRE[#All],6,FALSE))</f>
        <v>Fora do DRE</v>
      </c>
      <c r="U2727" s="3" t="str">
        <f>IF(ISERROR(VLOOKUP(Base_Periodo1[[#This Row],[CONTA]],BaseContasDRE[#All],7,FALSE)),"Fora do DRE",VLOOKUP(Base_Periodo1[[#This Row],[CONTA]],BaseContasDRE[#All],7,FALSE))</f>
        <v>Fora do DRE</v>
      </c>
      <c r="V2727" s="3" t="str">
        <f>IF(Base_Periodo1[[#This Row],[Tipo_Linha]]="Fora do DRE","Fora do DRE","( "&amp;Base_Periodo1[[#This Row],[Tipo_Linha]]&amp;" ) "&amp;Base_Periodo1[[#This Row],[Filtro]])</f>
        <v>Fora do DRE</v>
      </c>
      <c r="W2727" s="3" t="str">
        <f>LEFT(Base_Periodo1[[#This Row],[CLASS]],3)</f>
        <v>2.1</v>
      </c>
    </row>
    <row r="2728" spans="1:23" hidden="1">
      <c r="A2728" s="3" t="str">
        <f t="shared" si="42"/>
        <v>Período 1</v>
      </c>
      <c r="B2728">
        <v>3798</v>
      </c>
      <c r="C2728" t="s">
        <v>1745</v>
      </c>
      <c r="D2728" t="s">
        <v>1768</v>
      </c>
      <c r="E2728" s="3" t="str">
        <f>IF(LEN(Base_Periodo1[[#This Row],[CLASS]])&gt;=7,LEFT(Base_Periodo1[[#This Row],[CLASS]],7),"")</f>
        <v>2.1.2.1</v>
      </c>
      <c r="F2728" s="3" t="str">
        <f>VLOOKUP(Base_Periodo1[[#This Row],[Aux]],Base_Contas_Balanco[#All],2,FALSE)</f>
        <v>Fornecedores Cooperados</v>
      </c>
      <c r="G2728" s="1">
        <v>42761</v>
      </c>
      <c r="H2728" s="225">
        <v>5487.0099999996601</v>
      </c>
      <c r="I2728" s="225">
        <v>0</v>
      </c>
      <c r="J2728" s="225">
        <v>0</v>
      </c>
      <c r="K2728" s="225">
        <v>5487.0099999996601</v>
      </c>
      <c r="L27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5487.01</v>
      </c>
      <c r="M2728" s="225">
        <f>ROUND(IF(AND(Base_Periodo1[[#This Row],[Tipo_Linha]]="-",Base_Periodo1[[#This Row],[TIPOSALDO]]="D"),Base_Periodo1[[#This Row],[SALDO_ATUAL]]*-1,Base_Periodo1[[#This Row],[SALDO_ATUAL]]),4)</f>
        <v>5487.01</v>
      </c>
      <c r="N2728" t="s">
        <v>116</v>
      </c>
      <c r="O2728" t="s">
        <v>459</v>
      </c>
      <c r="P2728" t="s">
        <v>459</v>
      </c>
      <c r="Q2728">
        <v>7</v>
      </c>
      <c r="R2728" s="225">
        <f>Base_Periodo1[[#This Row],[CREDITOS]]-Base_Periodo1[[#This Row],[DEBITOS]]</f>
        <v>0</v>
      </c>
      <c r="S2728" s="3" t="str">
        <f>IF(ISERROR(VLOOKUP(Base_Periodo1[[#This Row],[CONTA]],BaseContasDRE[#All],4,FALSE)),"Fora do DRE",VLOOKUP(Base_Periodo1[[#This Row],[CONTA]],BaseContasDRE[#All],4,FALSE))</f>
        <v>Fora do DRE</v>
      </c>
      <c r="T2728" s="3" t="str">
        <f>IF(ISERROR(VLOOKUP(Base_Periodo1[[#This Row],[CONTA]],BaseContasDRE[#All],5,FALSE)),"Fora do DRE",VLOOKUP(Base_Periodo1[[#This Row],[CONTA]],BaseContasDRE[#All],6,FALSE))</f>
        <v>Fora do DRE</v>
      </c>
      <c r="U2728" s="3" t="str">
        <f>IF(ISERROR(VLOOKUP(Base_Periodo1[[#This Row],[CONTA]],BaseContasDRE[#All],7,FALSE)),"Fora do DRE",VLOOKUP(Base_Periodo1[[#This Row],[CONTA]],BaseContasDRE[#All],7,FALSE))</f>
        <v>Fora do DRE</v>
      </c>
      <c r="V2728" s="3" t="str">
        <f>IF(Base_Periodo1[[#This Row],[Tipo_Linha]]="Fora do DRE","Fora do DRE","( "&amp;Base_Periodo1[[#This Row],[Tipo_Linha]]&amp;" ) "&amp;Base_Periodo1[[#This Row],[Filtro]])</f>
        <v>Fora do DRE</v>
      </c>
      <c r="W2728" s="3" t="str">
        <f>LEFT(Base_Periodo1[[#This Row],[CLASS]],3)</f>
        <v>2.1</v>
      </c>
    </row>
    <row r="2729" spans="1:23" hidden="1">
      <c r="A2729" s="3" t="str">
        <f t="shared" si="42"/>
        <v>Período 1</v>
      </c>
      <c r="B2729">
        <v>46864</v>
      </c>
      <c r="C2729" t="s">
        <v>1745</v>
      </c>
      <c r="D2729" t="s">
        <v>6356</v>
      </c>
      <c r="E2729" s="3" t="str">
        <f>IF(LEN(Base_Periodo1[[#This Row],[CLASS]])&gt;=7,LEFT(Base_Periodo1[[#This Row],[CLASS]],7),"")</f>
        <v>2.1.2.1</v>
      </c>
      <c r="F2729" s="3" t="str">
        <f>VLOOKUP(Base_Periodo1[[#This Row],[Aux]],Base_Contas_Balanco[#All],2,FALSE)</f>
        <v>Fornecedores Cooperados</v>
      </c>
      <c r="G2729" s="1">
        <v>42835</v>
      </c>
      <c r="H2729" s="225">
        <v>874.25</v>
      </c>
      <c r="I2729" s="225">
        <v>0</v>
      </c>
      <c r="J2729" s="225">
        <v>0</v>
      </c>
      <c r="K2729" s="225">
        <v>874.25</v>
      </c>
      <c r="L27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874.25</v>
      </c>
      <c r="M2729" s="225">
        <f>ROUND(IF(AND(Base_Periodo1[[#This Row],[Tipo_Linha]]="-",Base_Periodo1[[#This Row],[TIPOSALDO]]="D"),Base_Periodo1[[#This Row],[SALDO_ATUAL]]*-1,Base_Periodo1[[#This Row],[SALDO_ATUAL]]),4)</f>
        <v>874.25</v>
      </c>
      <c r="N2729" t="s">
        <v>116</v>
      </c>
      <c r="O2729" t="s">
        <v>459</v>
      </c>
      <c r="P2729" t="s">
        <v>459</v>
      </c>
      <c r="Q2729">
        <v>7</v>
      </c>
      <c r="R2729" s="225">
        <f>Base_Periodo1[[#This Row],[CREDITOS]]-Base_Periodo1[[#This Row],[DEBITOS]]</f>
        <v>0</v>
      </c>
      <c r="S2729" s="3" t="str">
        <f>IF(ISERROR(VLOOKUP(Base_Periodo1[[#This Row],[CONTA]],BaseContasDRE[#All],4,FALSE)),"Fora do DRE",VLOOKUP(Base_Periodo1[[#This Row],[CONTA]],BaseContasDRE[#All],4,FALSE))</f>
        <v>Fora do DRE</v>
      </c>
      <c r="T2729" s="3" t="str">
        <f>IF(ISERROR(VLOOKUP(Base_Periodo1[[#This Row],[CONTA]],BaseContasDRE[#All],5,FALSE)),"Fora do DRE",VLOOKUP(Base_Periodo1[[#This Row],[CONTA]],BaseContasDRE[#All],6,FALSE))</f>
        <v>Fora do DRE</v>
      </c>
      <c r="U2729" s="3" t="str">
        <f>IF(ISERROR(VLOOKUP(Base_Periodo1[[#This Row],[CONTA]],BaseContasDRE[#All],7,FALSE)),"Fora do DRE",VLOOKUP(Base_Periodo1[[#This Row],[CONTA]],BaseContasDRE[#All],7,FALSE))</f>
        <v>Fora do DRE</v>
      </c>
      <c r="V2729" s="3" t="str">
        <f>IF(Base_Periodo1[[#This Row],[Tipo_Linha]]="Fora do DRE","Fora do DRE","( "&amp;Base_Periodo1[[#This Row],[Tipo_Linha]]&amp;" ) "&amp;Base_Periodo1[[#This Row],[Filtro]])</f>
        <v>Fora do DRE</v>
      </c>
      <c r="W2729" s="3" t="str">
        <f>LEFT(Base_Periodo1[[#This Row],[CLASS]],3)</f>
        <v>2.1</v>
      </c>
    </row>
    <row r="2730" spans="1:23" hidden="1">
      <c r="A2730" s="3" t="str">
        <f t="shared" si="42"/>
        <v>Período 1</v>
      </c>
      <c r="B2730">
        <v>16665</v>
      </c>
      <c r="C2730" t="s">
        <v>1745</v>
      </c>
      <c r="D2730" t="s">
        <v>1769</v>
      </c>
      <c r="E2730" s="3" t="str">
        <f>IF(LEN(Base_Periodo1[[#This Row],[CLASS]])&gt;=7,LEFT(Base_Periodo1[[#This Row],[CLASS]],7),"")</f>
        <v>2.1.2.1</v>
      </c>
      <c r="F2730" s="3" t="str">
        <f>VLOOKUP(Base_Periodo1[[#This Row],[Aux]],Base_Contas_Balanco[#All],2,FALSE)</f>
        <v>Fornecedores Cooperados</v>
      </c>
      <c r="G2730" s="1">
        <v>42864</v>
      </c>
      <c r="H2730" s="225">
        <v>27558.280000000013</v>
      </c>
      <c r="I2730" s="225">
        <v>0</v>
      </c>
      <c r="J2730" s="225">
        <v>24671.82</v>
      </c>
      <c r="K2730" s="225">
        <v>52230.100000000013</v>
      </c>
      <c r="L27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52230.1</v>
      </c>
      <c r="M2730" s="225">
        <f>ROUND(IF(AND(Base_Periodo1[[#This Row],[Tipo_Linha]]="-",Base_Periodo1[[#This Row],[TIPOSALDO]]="D"),Base_Periodo1[[#This Row],[SALDO_ATUAL]]*-1,Base_Periodo1[[#This Row],[SALDO_ATUAL]]),4)</f>
        <v>52230.1</v>
      </c>
      <c r="N2730" t="s">
        <v>116</v>
      </c>
      <c r="O2730" t="s">
        <v>459</v>
      </c>
      <c r="P2730" t="s">
        <v>459</v>
      </c>
      <c r="Q2730">
        <v>7</v>
      </c>
      <c r="R2730" s="225">
        <f>Base_Periodo1[[#This Row],[CREDITOS]]-Base_Periodo1[[#This Row],[DEBITOS]]</f>
        <v>24671.82</v>
      </c>
      <c r="S2730" s="3" t="str">
        <f>IF(ISERROR(VLOOKUP(Base_Periodo1[[#This Row],[CONTA]],BaseContasDRE[#All],4,FALSE)),"Fora do DRE",VLOOKUP(Base_Periodo1[[#This Row],[CONTA]],BaseContasDRE[#All],4,FALSE))</f>
        <v>Fora do DRE</v>
      </c>
      <c r="T2730" s="3" t="str">
        <f>IF(ISERROR(VLOOKUP(Base_Periodo1[[#This Row],[CONTA]],BaseContasDRE[#All],5,FALSE)),"Fora do DRE",VLOOKUP(Base_Periodo1[[#This Row],[CONTA]],BaseContasDRE[#All],6,FALSE))</f>
        <v>Fora do DRE</v>
      </c>
      <c r="U2730" s="3" t="str">
        <f>IF(ISERROR(VLOOKUP(Base_Periodo1[[#This Row],[CONTA]],BaseContasDRE[#All],7,FALSE)),"Fora do DRE",VLOOKUP(Base_Periodo1[[#This Row],[CONTA]],BaseContasDRE[#All],7,FALSE))</f>
        <v>Fora do DRE</v>
      </c>
      <c r="V2730" s="3" t="str">
        <f>IF(Base_Periodo1[[#This Row],[Tipo_Linha]]="Fora do DRE","Fora do DRE","( "&amp;Base_Periodo1[[#This Row],[Tipo_Linha]]&amp;" ) "&amp;Base_Periodo1[[#This Row],[Filtro]])</f>
        <v>Fora do DRE</v>
      </c>
      <c r="W2730" s="3" t="str">
        <f>LEFT(Base_Periodo1[[#This Row],[CLASS]],3)</f>
        <v>2.1</v>
      </c>
    </row>
    <row r="2731" spans="1:23" hidden="1">
      <c r="A2731" s="3" t="str">
        <f t="shared" si="42"/>
        <v>Período 1</v>
      </c>
      <c r="B2731">
        <v>38982</v>
      </c>
      <c r="C2731" t="s">
        <v>1745</v>
      </c>
      <c r="D2731" t="s">
        <v>4201</v>
      </c>
      <c r="E2731" s="3" t="str">
        <f>IF(LEN(Base_Periodo1[[#This Row],[CLASS]])&gt;=7,LEFT(Base_Periodo1[[#This Row],[CLASS]],7),"")</f>
        <v>2.1.2.1</v>
      </c>
      <c r="F2731" s="3" t="str">
        <f>VLOOKUP(Base_Periodo1[[#This Row],[Aux]],Base_Contas_Balanco[#All],2,FALSE)</f>
        <v>Fornecedores Cooperados</v>
      </c>
      <c r="G2731" s="1">
        <v>42849</v>
      </c>
      <c r="H2731" s="225">
        <v>5014.699999999968</v>
      </c>
      <c r="I2731" s="225">
        <v>0</v>
      </c>
      <c r="J2731" s="225">
        <v>0</v>
      </c>
      <c r="K2731" s="225">
        <v>5014.699999999968</v>
      </c>
      <c r="L27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5014.7</v>
      </c>
      <c r="M2731" s="225">
        <f>ROUND(IF(AND(Base_Periodo1[[#This Row],[Tipo_Linha]]="-",Base_Periodo1[[#This Row],[TIPOSALDO]]="D"),Base_Periodo1[[#This Row],[SALDO_ATUAL]]*-1,Base_Periodo1[[#This Row],[SALDO_ATUAL]]),4)</f>
        <v>5014.7</v>
      </c>
      <c r="N2731" t="s">
        <v>116</v>
      </c>
      <c r="O2731" t="s">
        <v>459</v>
      </c>
      <c r="P2731" t="s">
        <v>459</v>
      </c>
      <c r="Q2731">
        <v>7</v>
      </c>
      <c r="R2731" s="225">
        <f>Base_Periodo1[[#This Row],[CREDITOS]]-Base_Periodo1[[#This Row],[DEBITOS]]</f>
        <v>0</v>
      </c>
      <c r="S2731" s="3" t="str">
        <f>IF(ISERROR(VLOOKUP(Base_Periodo1[[#This Row],[CONTA]],BaseContasDRE[#All],4,FALSE)),"Fora do DRE",VLOOKUP(Base_Periodo1[[#This Row],[CONTA]],BaseContasDRE[#All],4,FALSE))</f>
        <v>Fora do DRE</v>
      </c>
      <c r="T2731" s="3" t="str">
        <f>IF(ISERROR(VLOOKUP(Base_Periodo1[[#This Row],[CONTA]],BaseContasDRE[#All],5,FALSE)),"Fora do DRE",VLOOKUP(Base_Periodo1[[#This Row],[CONTA]],BaseContasDRE[#All],6,FALSE))</f>
        <v>Fora do DRE</v>
      </c>
      <c r="U2731" s="3" t="str">
        <f>IF(ISERROR(VLOOKUP(Base_Periodo1[[#This Row],[CONTA]],BaseContasDRE[#All],7,FALSE)),"Fora do DRE",VLOOKUP(Base_Periodo1[[#This Row],[CONTA]],BaseContasDRE[#All],7,FALSE))</f>
        <v>Fora do DRE</v>
      </c>
      <c r="V2731" s="3" t="str">
        <f>IF(Base_Periodo1[[#This Row],[Tipo_Linha]]="Fora do DRE","Fora do DRE","( "&amp;Base_Periodo1[[#This Row],[Tipo_Linha]]&amp;" ) "&amp;Base_Periodo1[[#This Row],[Filtro]])</f>
        <v>Fora do DRE</v>
      </c>
      <c r="W2731" s="3" t="str">
        <f>LEFT(Base_Periodo1[[#This Row],[CLASS]],3)</f>
        <v>2.1</v>
      </c>
    </row>
    <row r="2732" spans="1:23" hidden="1">
      <c r="A2732" s="3" t="str">
        <f t="shared" si="42"/>
        <v>Período 1</v>
      </c>
      <c r="B2732">
        <v>21754</v>
      </c>
      <c r="C2732" t="s">
        <v>1745</v>
      </c>
      <c r="D2732" t="s">
        <v>4756</v>
      </c>
      <c r="E2732" s="3" t="str">
        <f>IF(LEN(Base_Periodo1[[#This Row],[CLASS]])&gt;=7,LEFT(Base_Periodo1[[#This Row],[CLASS]],7),"")</f>
        <v>2.1.2.1</v>
      </c>
      <c r="F2732" s="3" t="str">
        <f>VLOOKUP(Base_Periodo1[[#This Row],[Aux]],Base_Contas_Balanco[#All],2,FALSE)</f>
        <v>Fornecedores Cooperados</v>
      </c>
      <c r="G2732" s="1">
        <v>42814</v>
      </c>
      <c r="H2732" s="225">
        <v>14142.969999999943</v>
      </c>
      <c r="I2732" s="225">
        <v>0</v>
      </c>
      <c r="J2732" s="225">
        <v>0</v>
      </c>
      <c r="K2732" s="225">
        <v>14142.969999999943</v>
      </c>
      <c r="L27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14142.97</v>
      </c>
      <c r="M2732" s="225">
        <f>ROUND(IF(AND(Base_Periodo1[[#This Row],[Tipo_Linha]]="-",Base_Periodo1[[#This Row],[TIPOSALDO]]="D"),Base_Periodo1[[#This Row],[SALDO_ATUAL]]*-1,Base_Periodo1[[#This Row],[SALDO_ATUAL]]),4)</f>
        <v>14142.97</v>
      </c>
      <c r="N2732" t="s">
        <v>116</v>
      </c>
      <c r="O2732" t="s">
        <v>459</v>
      </c>
      <c r="P2732" t="s">
        <v>459</v>
      </c>
      <c r="Q2732">
        <v>7</v>
      </c>
      <c r="R2732" s="225">
        <f>Base_Periodo1[[#This Row],[CREDITOS]]-Base_Periodo1[[#This Row],[DEBITOS]]</f>
        <v>0</v>
      </c>
      <c r="S2732" s="3" t="str">
        <f>IF(ISERROR(VLOOKUP(Base_Periodo1[[#This Row],[CONTA]],BaseContasDRE[#All],4,FALSE)),"Fora do DRE",VLOOKUP(Base_Periodo1[[#This Row],[CONTA]],BaseContasDRE[#All],4,FALSE))</f>
        <v>Fora do DRE</v>
      </c>
      <c r="T2732" s="3" t="str">
        <f>IF(ISERROR(VLOOKUP(Base_Periodo1[[#This Row],[CONTA]],BaseContasDRE[#All],5,FALSE)),"Fora do DRE",VLOOKUP(Base_Periodo1[[#This Row],[CONTA]],BaseContasDRE[#All],6,FALSE))</f>
        <v>Fora do DRE</v>
      </c>
      <c r="U2732" s="3" t="str">
        <f>IF(ISERROR(VLOOKUP(Base_Periodo1[[#This Row],[CONTA]],BaseContasDRE[#All],7,FALSE)),"Fora do DRE",VLOOKUP(Base_Periodo1[[#This Row],[CONTA]],BaseContasDRE[#All],7,FALSE))</f>
        <v>Fora do DRE</v>
      </c>
      <c r="V2732" s="3" t="str">
        <f>IF(Base_Periodo1[[#This Row],[Tipo_Linha]]="Fora do DRE","Fora do DRE","( "&amp;Base_Periodo1[[#This Row],[Tipo_Linha]]&amp;" ) "&amp;Base_Periodo1[[#This Row],[Filtro]])</f>
        <v>Fora do DRE</v>
      </c>
      <c r="W2732" s="3" t="str">
        <f>LEFT(Base_Periodo1[[#This Row],[CLASS]],3)</f>
        <v>2.1</v>
      </c>
    </row>
    <row r="2733" spans="1:23" hidden="1">
      <c r="A2733" s="3" t="str">
        <f t="shared" si="42"/>
        <v>Período 1</v>
      </c>
      <c r="B2733">
        <v>7099</v>
      </c>
      <c r="C2733" t="s">
        <v>1745</v>
      </c>
      <c r="D2733" t="s">
        <v>4359</v>
      </c>
      <c r="E2733" s="3" t="str">
        <f>IF(LEN(Base_Periodo1[[#This Row],[CLASS]])&gt;=7,LEFT(Base_Periodo1[[#This Row],[CLASS]],7),"")</f>
        <v>2.1.2.1</v>
      </c>
      <c r="F2733" s="3" t="str">
        <f>VLOOKUP(Base_Periodo1[[#This Row],[Aux]],Base_Contas_Balanco[#All],2,FALSE)</f>
        <v>Fornecedores Cooperados</v>
      </c>
      <c r="G2733" s="1">
        <v>42789</v>
      </c>
      <c r="H2733" s="225">
        <v>2060.5599999999977</v>
      </c>
      <c r="I2733" s="225">
        <v>0</v>
      </c>
      <c r="J2733" s="225">
        <v>0</v>
      </c>
      <c r="K2733" s="225">
        <v>2060.5599999999977</v>
      </c>
      <c r="L27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2060.56</v>
      </c>
      <c r="M2733" s="225">
        <f>ROUND(IF(AND(Base_Periodo1[[#This Row],[Tipo_Linha]]="-",Base_Periodo1[[#This Row],[TIPOSALDO]]="D"),Base_Periodo1[[#This Row],[SALDO_ATUAL]]*-1,Base_Periodo1[[#This Row],[SALDO_ATUAL]]),4)</f>
        <v>2060.56</v>
      </c>
      <c r="N2733" t="s">
        <v>116</v>
      </c>
      <c r="O2733" t="s">
        <v>459</v>
      </c>
      <c r="P2733" t="s">
        <v>459</v>
      </c>
      <c r="Q2733">
        <v>7</v>
      </c>
      <c r="R2733" s="225">
        <f>Base_Periodo1[[#This Row],[CREDITOS]]-Base_Periodo1[[#This Row],[DEBITOS]]</f>
        <v>0</v>
      </c>
      <c r="S2733" s="3" t="str">
        <f>IF(ISERROR(VLOOKUP(Base_Periodo1[[#This Row],[CONTA]],BaseContasDRE[#All],4,FALSE)),"Fora do DRE",VLOOKUP(Base_Periodo1[[#This Row],[CONTA]],BaseContasDRE[#All],4,FALSE))</f>
        <v>Fora do DRE</v>
      </c>
      <c r="T2733" s="3" t="str">
        <f>IF(ISERROR(VLOOKUP(Base_Periodo1[[#This Row],[CONTA]],BaseContasDRE[#All],5,FALSE)),"Fora do DRE",VLOOKUP(Base_Periodo1[[#This Row],[CONTA]],BaseContasDRE[#All],6,FALSE))</f>
        <v>Fora do DRE</v>
      </c>
      <c r="U2733" s="3" t="str">
        <f>IF(ISERROR(VLOOKUP(Base_Periodo1[[#This Row],[CONTA]],BaseContasDRE[#All],7,FALSE)),"Fora do DRE",VLOOKUP(Base_Periodo1[[#This Row],[CONTA]],BaseContasDRE[#All],7,FALSE))</f>
        <v>Fora do DRE</v>
      </c>
      <c r="V2733" s="3" t="str">
        <f>IF(Base_Periodo1[[#This Row],[Tipo_Linha]]="Fora do DRE","Fora do DRE","( "&amp;Base_Periodo1[[#This Row],[Tipo_Linha]]&amp;" ) "&amp;Base_Periodo1[[#This Row],[Filtro]])</f>
        <v>Fora do DRE</v>
      </c>
      <c r="W2733" s="3" t="str">
        <f>LEFT(Base_Periodo1[[#This Row],[CLASS]],3)</f>
        <v>2.1</v>
      </c>
    </row>
    <row r="2734" spans="1:23" hidden="1">
      <c r="A2734" s="3" t="str">
        <f t="shared" si="42"/>
        <v>Período 1</v>
      </c>
      <c r="B2734">
        <v>25442</v>
      </c>
      <c r="C2734" t="s">
        <v>1745</v>
      </c>
      <c r="D2734" t="s">
        <v>1770</v>
      </c>
      <c r="E2734" s="3" t="str">
        <f>IF(LEN(Base_Periodo1[[#This Row],[CLASS]])&gt;=7,LEFT(Base_Periodo1[[#This Row],[CLASS]],7),"")</f>
        <v>2.1.2.1</v>
      </c>
      <c r="F2734" s="3" t="str">
        <f>VLOOKUP(Base_Periodo1[[#This Row],[Aux]],Base_Contas_Balanco[#All],2,FALSE)</f>
        <v>Fornecedores Cooperados</v>
      </c>
      <c r="G2734" s="1">
        <v>41579</v>
      </c>
      <c r="H2734" s="225">
        <v>2.0000000000436557E-2</v>
      </c>
      <c r="I2734" s="225">
        <v>0</v>
      </c>
      <c r="J2734" s="225">
        <v>0</v>
      </c>
      <c r="K2734" s="225">
        <v>2.0000000000436557E-2</v>
      </c>
      <c r="L27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2734" s="225">
        <f>ROUND(IF(AND(Base_Periodo1[[#This Row],[Tipo_Linha]]="-",Base_Periodo1[[#This Row],[TIPOSALDO]]="D"),Base_Periodo1[[#This Row],[SALDO_ATUAL]]*-1,Base_Periodo1[[#This Row],[SALDO_ATUAL]]),4)</f>
        <v>0.02</v>
      </c>
      <c r="N2734" t="s">
        <v>116</v>
      </c>
      <c r="O2734" t="s">
        <v>459</v>
      </c>
      <c r="P2734" t="s">
        <v>459</v>
      </c>
      <c r="Q2734">
        <v>7</v>
      </c>
      <c r="R2734" s="225">
        <f>Base_Periodo1[[#This Row],[CREDITOS]]-Base_Periodo1[[#This Row],[DEBITOS]]</f>
        <v>0</v>
      </c>
      <c r="S2734" s="3" t="str">
        <f>IF(ISERROR(VLOOKUP(Base_Periodo1[[#This Row],[CONTA]],BaseContasDRE[#All],4,FALSE)),"Fora do DRE",VLOOKUP(Base_Periodo1[[#This Row],[CONTA]],BaseContasDRE[#All],4,FALSE))</f>
        <v>Fora do DRE</v>
      </c>
      <c r="T2734" s="3" t="str">
        <f>IF(ISERROR(VLOOKUP(Base_Periodo1[[#This Row],[CONTA]],BaseContasDRE[#All],5,FALSE)),"Fora do DRE",VLOOKUP(Base_Periodo1[[#This Row],[CONTA]],BaseContasDRE[#All],6,FALSE))</f>
        <v>Fora do DRE</v>
      </c>
      <c r="U2734" s="3" t="str">
        <f>IF(ISERROR(VLOOKUP(Base_Periodo1[[#This Row],[CONTA]],BaseContasDRE[#All],7,FALSE)),"Fora do DRE",VLOOKUP(Base_Periodo1[[#This Row],[CONTA]],BaseContasDRE[#All],7,FALSE))</f>
        <v>Fora do DRE</v>
      </c>
      <c r="V2734" s="3" t="str">
        <f>IF(Base_Periodo1[[#This Row],[Tipo_Linha]]="Fora do DRE","Fora do DRE","( "&amp;Base_Periodo1[[#This Row],[Tipo_Linha]]&amp;" ) "&amp;Base_Periodo1[[#This Row],[Filtro]])</f>
        <v>Fora do DRE</v>
      </c>
      <c r="W2734" s="3" t="str">
        <f>LEFT(Base_Periodo1[[#This Row],[CLASS]],3)</f>
        <v>2.1</v>
      </c>
    </row>
    <row r="2735" spans="1:23" hidden="1">
      <c r="A2735" s="3" t="str">
        <f t="shared" si="42"/>
        <v>Período 1</v>
      </c>
      <c r="B2735">
        <v>18373</v>
      </c>
      <c r="C2735" t="s">
        <v>1745</v>
      </c>
      <c r="D2735" t="s">
        <v>1771</v>
      </c>
      <c r="E2735" s="3" t="str">
        <f>IF(LEN(Base_Periodo1[[#This Row],[CLASS]])&gt;=7,LEFT(Base_Periodo1[[#This Row],[CLASS]],7),"")</f>
        <v>2.1.2.1</v>
      </c>
      <c r="F2735" s="3" t="str">
        <f>VLOOKUP(Base_Periodo1[[#This Row],[Aux]],Base_Contas_Balanco[#All],2,FALSE)</f>
        <v>Fornecedores Cooperados</v>
      </c>
      <c r="G2735" s="1">
        <v>42845</v>
      </c>
      <c r="H2735" s="225">
        <v>16867.98000000001</v>
      </c>
      <c r="I2735" s="225">
        <v>0</v>
      </c>
      <c r="J2735" s="225">
        <v>0</v>
      </c>
      <c r="K2735" s="225">
        <v>16867.98000000001</v>
      </c>
      <c r="L27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16867.98</v>
      </c>
      <c r="M2735" s="225">
        <f>ROUND(IF(AND(Base_Periodo1[[#This Row],[Tipo_Linha]]="-",Base_Periodo1[[#This Row],[TIPOSALDO]]="D"),Base_Periodo1[[#This Row],[SALDO_ATUAL]]*-1,Base_Periodo1[[#This Row],[SALDO_ATUAL]]),4)</f>
        <v>16867.98</v>
      </c>
      <c r="N2735" t="s">
        <v>116</v>
      </c>
      <c r="O2735" t="s">
        <v>459</v>
      </c>
      <c r="P2735" t="s">
        <v>459</v>
      </c>
      <c r="Q2735">
        <v>7</v>
      </c>
      <c r="R2735" s="225">
        <f>Base_Periodo1[[#This Row],[CREDITOS]]-Base_Periodo1[[#This Row],[DEBITOS]]</f>
        <v>0</v>
      </c>
      <c r="S2735" s="3" t="str">
        <f>IF(ISERROR(VLOOKUP(Base_Periodo1[[#This Row],[CONTA]],BaseContasDRE[#All],4,FALSE)),"Fora do DRE",VLOOKUP(Base_Periodo1[[#This Row],[CONTA]],BaseContasDRE[#All],4,FALSE))</f>
        <v>Fora do DRE</v>
      </c>
      <c r="T2735" s="3" t="str">
        <f>IF(ISERROR(VLOOKUP(Base_Periodo1[[#This Row],[CONTA]],BaseContasDRE[#All],5,FALSE)),"Fora do DRE",VLOOKUP(Base_Periodo1[[#This Row],[CONTA]],BaseContasDRE[#All],6,FALSE))</f>
        <v>Fora do DRE</v>
      </c>
      <c r="U2735" s="3" t="str">
        <f>IF(ISERROR(VLOOKUP(Base_Periodo1[[#This Row],[CONTA]],BaseContasDRE[#All],7,FALSE)),"Fora do DRE",VLOOKUP(Base_Periodo1[[#This Row],[CONTA]],BaseContasDRE[#All],7,FALSE))</f>
        <v>Fora do DRE</v>
      </c>
      <c r="V2735" s="3" t="str">
        <f>IF(Base_Periodo1[[#This Row],[Tipo_Linha]]="Fora do DRE","Fora do DRE","( "&amp;Base_Periodo1[[#This Row],[Tipo_Linha]]&amp;" ) "&amp;Base_Periodo1[[#This Row],[Filtro]])</f>
        <v>Fora do DRE</v>
      </c>
      <c r="W2735" s="3" t="str">
        <f>LEFT(Base_Periodo1[[#This Row],[CLASS]],3)</f>
        <v>2.1</v>
      </c>
    </row>
    <row r="2736" spans="1:23" hidden="1">
      <c r="A2736" s="3" t="str">
        <f t="shared" si="42"/>
        <v>Período 1</v>
      </c>
      <c r="B2736">
        <v>46889</v>
      </c>
      <c r="C2736" t="s">
        <v>1745</v>
      </c>
      <c r="D2736" t="s">
        <v>1772</v>
      </c>
      <c r="E2736" s="3" t="str">
        <f>IF(LEN(Base_Periodo1[[#This Row],[CLASS]])&gt;=7,LEFT(Base_Periodo1[[#This Row],[CLASS]],7),"")</f>
        <v>2.1.2.1</v>
      </c>
      <c r="F2736" s="3" t="str">
        <f>VLOOKUP(Base_Periodo1[[#This Row],[Aux]],Base_Contas_Balanco[#All],2,FALSE)</f>
        <v>Fornecedores Cooperados</v>
      </c>
      <c r="G2736" s="1">
        <v>42745</v>
      </c>
      <c r="H2736" s="225">
        <v>9.9999999947613105E-3</v>
      </c>
      <c r="I2736" s="225">
        <v>0</v>
      </c>
      <c r="J2736" s="225">
        <v>0</v>
      </c>
      <c r="K2736" s="225">
        <v>9.9999999947613105E-3</v>
      </c>
      <c r="L27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2736" s="225">
        <f>ROUND(IF(AND(Base_Periodo1[[#This Row],[Tipo_Linha]]="-",Base_Periodo1[[#This Row],[TIPOSALDO]]="D"),Base_Periodo1[[#This Row],[SALDO_ATUAL]]*-1,Base_Periodo1[[#This Row],[SALDO_ATUAL]]),4)</f>
        <v>0.01</v>
      </c>
      <c r="N2736" t="s">
        <v>116</v>
      </c>
      <c r="O2736" t="s">
        <v>459</v>
      </c>
      <c r="P2736" t="s">
        <v>459</v>
      </c>
      <c r="Q2736">
        <v>7</v>
      </c>
      <c r="R2736" s="225">
        <f>Base_Periodo1[[#This Row],[CREDITOS]]-Base_Periodo1[[#This Row],[DEBITOS]]</f>
        <v>0</v>
      </c>
      <c r="S2736" s="3" t="str">
        <f>IF(ISERROR(VLOOKUP(Base_Periodo1[[#This Row],[CONTA]],BaseContasDRE[#All],4,FALSE)),"Fora do DRE",VLOOKUP(Base_Periodo1[[#This Row],[CONTA]],BaseContasDRE[#All],4,FALSE))</f>
        <v>Fora do DRE</v>
      </c>
      <c r="T2736" s="3" t="str">
        <f>IF(ISERROR(VLOOKUP(Base_Periodo1[[#This Row],[CONTA]],BaseContasDRE[#All],5,FALSE)),"Fora do DRE",VLOOKUP(Base_Periodo1[[#This Row],[CONTA]],BaseContasDRE[#All],6,FALSE))</f>
        <v>Fora do DRE</v>
      </c>
      <c r="U2736" s="3" t="str">
        <f>IF(ISERROR(VLOOKUP(Base_Periodo1[[#This Row],[CONTA]],BaseContasDRE[#All],7,FALSE)),"Fora do DRE",VLOOKUP(Base_Periodo1[[#This Row],[CONTA]],BaseContasDRE[#All],7,FALSE))</f>
        <v>Fora do DRE</v>
      </c>
      <c r="V2736" s="3" t="str">
        <f>IF(Base_Periodo1[[#This Row],[Tipo_Linha]]="Fora do DRE","Fora do DRE","( "&amp;Base_Periodo1[[#This Row],[Tipo_Linha]]&amp;" ) "&amp;Base_Periodo1[[#This Row],[Filtro]])</f>
        <v>Fora do DRE</v>
      </c>
      <c r="W2736" s="3" t="str">
        <f>LEFT(Base_Periodo1[[#This Row],[CLASS]],3)</f>
        <v>2.1</v>
      </c>
    </row>
    <row r="2737" spans="1:23" hidden="1">
      <c r="A2737" s="3" t="str">
        <f t="shared" si="42"/>
        <v>Período 1</v>
      </c>
      <c r="B2737">
        <v>57848</v>
      </c>
      <c r="C2737" t="s">
        <v>1745</v>
      </c>
      <c r="D2737" t="s">
        <v>6864</v>
      </c>
      <c r="E2737" s="3" t="str">
        <f>IF(LEN(Base_Periodo1[[#This Row],[CLASS]])&gt;=7,LEFT(Base_Periodo1[[#This Row],[CLASS]],7),"")</f>
        <v>2.1.2.1</v>
      </c>
      <c r="F2737" s="3" t="str">
        <f>VLOOKUP(Base_Periodo1[[#This Row],[Aux]],Base_Contas_Balanco[#All],2,FALSE)</f>
        <v>Fornecedores Cooperados</v>
      </c>
      <c r="G2737" s="1"/>
      <c r="I2737" s="225">
        <v>0</v>
      </c>
      <c r="J2737" s="225">
        <v>220</v>
      </c>
      <c r="K2737" s="225">
        <v>220</v>
      </c>
      <c r="L27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220</v>
      </c>
      <c r="M2737" s="225">
        <f>ROUND(IF(AND(Base_Periodo1[[#This Row],[Tipo_Linha]]="-",Base_Periodo1[[#This Row],[TIPOSALDO]]="D"),Base_Periodo1[[#This Row],[SALDO_ATUAL]]*-1,Base_Periodo1[[#This Row],[SALDO_ATUAL]]),4)</f>
        <v>220</v>
      </c>
      <c r="N2737" t="s">
        <v>116</v>
      </c>
      <c r="O2737" t="s">
        <v>436</v>
      </c>
      <c r="P2737" t="s">
        <v>459</v>
      </c>
      <c r="Q2737">
        <v>7</v>
      </c>
      <c r="R2737" s="225">
        <f>Base_Periodo1[[#This Row],[CREDITOS]]-Base_Periodo1[[#This Row],[DEBITOS]]</f>
        <v>220</v>
      </c>
      <c r="S2737" s="3" t="str">
        <f>IF(ISERROR(VLOOKUP(Base_Periodo1[[#This Row],[CONTA]],BaseContasDRE[#All],4,FALSE)),"Fora do DRE",VLOOKUP(Base_Periodo1[[#This Row],[CONTA]],BaseContasDRE[#All],4,FALSE))</f>
        <v>Fora do DRE</v>
      </c>
      <c r="T2737" s="3" t="str">
        <f>IF(ISERROR(VLOOKUP(Base_Periodo1[[#This Row],[CONTA]],BaseContasDRE[#All],5,FALSE)),"Fora do DRE",VLOOKUP(Base_Periodo1[[#This Row],[CONTA]],BaseContasDRE[#All],6,FALSE))</f>
        <v>Fora do DRE</v>
      </c>
      <c r="U2737" s="3" t="str">
        <f>IF(ISERROR(VLOOKUP(Base_Periodo1[[#This Row],[CONTA]],BaseContasDRE[#All],7,FALSE)),"Fora do DRE",VLOOKUP(Base_Periodo1[[#This Row],[CONTA]],BaseContasDRE[#All],7,FALSE))</f>
        <v>Fora do DRE</v>
      </c>
      <c r="V2737" s="3" t="str">
        <f>IF(Base_Periodo1[[#This Row],[Tipo_Linha]]="Fora do DRE","Fora do DRE","( "&amp;Base_Periodo1[[#This Row],[Tipo_Linha]]&amp;" ) "&amp;Base_Periodo1[[#This Row],[Filtro]])</f>
        <v>Fora do DRE</v>
      </c>
      <c r="W2737" s="3" t="str">
        <f>LEFT(Base_Periodo1[[#This Row],[CLASS]],3)</f>
        <v>2.1</v>
      </c>
    </row>
    <row r="2738" spans="1:23" hidden="1">
      <c r="A2738" s="3" t="str">
        <f t="shared" si="42"/>
        <v>Período 1</v>
      </c>
      <c r="B2738">
        <v>39348</v>
      </c>
      <c r="C2738" t="s">
        <v>1745</v>
      </c>
      <c r="D2738" t="s">
        <v>1773</v>
      </c>
      <c r="E2738" s="3" t="str">
        <f>IF(LEN(Base_Periodo1[[#This Row],[CLASS]])&gt;=7,LEFT(Base_Periodo1[[#This Row],[CLASS]],7),"")</f>
        <v>2.1.2.1</v>
      </c>
      <c r="F2738" s="3" t="str">
        <f>VLOOKUP(Base_Periodo1[[#This Row],[Aux]],Base_Contas_Balanco[#All],2,FALSE)</f>
        <v>Fornecedores Cooperados</v>
      </c>
      <c r="G2738" s="1">
        <v>42885</v>
      </c>
      <c r="H2738" s="225">
        <v>39223.99000000002</v>
      </c>
      <c r="I2738" s="225">
        <v>2028</v>
      </c>
      <c r="J2738" s="225">
        <v>1014</v>
      </c>
      <c r="K2738" s="225">
        <v>38209.99000000002</v>
      </c>
      <c r="L27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38209.99</v>
      </c>
      <c r="M2738" s="225">
        <f>ROUND(IF(AND(Base_Periodo1[[#This Row],[Tipo_Linha]]="-",Base_Periodo1[[#This Row],[TIPOSALDO]]="D"),Base_Periodo1[[#This Row],[SALDO_ATUAL]]*-1,Base_Periodo1[[#This Row],[SALDO_ATUAL]]),4)</f>
        <v>38209.99</v>
      </c>
      <c r="N2738" t="s">
        <v>116</v>
      </c>
      <c r="O2738" t="s">
        <v>459</v>
      </c>
      <c r="P2738" t="s">
        <v>459</v>
      </c>
      <c r="Q2738">
        <v>7</v>
      </c>
      <c r="R2738" s="225">
        <f>Base_Periodo1[[#This Row],[CREDITOS]]-Base_Periodo1[[#This Row],[DEBITOS]]</f>
        <v>-1014</v>
      </c>
      <c r="S2738" s="3" t="str">
        <f>IF(ISERROR(VLOOKUP(Base_Periodo1[[#This Row],[CONTA]],BaseContasDRE[#All],4,FALSE)),"Fora do DRE",VLOOKUP(Base_Periodo1[[#This Row],[CONTA]],BaseContasDRE[#All],4,FALSE))</f>
        <v>Fora do DRE</v>
      </c>
      <c r="T2738" s="3" t="str">
        <f>IF(ISERROR(VLOOKUP(Base_Periodo1[[#This Row],[CONTA]],BaseContasDRE[#All],5,FALSE)),"Fora do DRE",VLOOKUP(Base_Periodo1[[#This Row],[CONTA]],BaseContasDRE[#All],6,FALSE))</f>
        <v>Fora do DRE</v>
      </c>
      <c r="U2738" s="3" t="str">
        <f>IF(ISERROR(VLOOKUP(Base_Periodo1[[#This Row],[CONTA]],BaseContasDRE[#All],7,FALSE)),"Fora do DRE",VLOOKUP(Base_Periodo1[[#This Row],[CONTA]],BaseContasDRE[#All],7,FALSE))</f>
        <v>Fora do DRE</v>
      </c>
      <c r="V2738" s="3" t="str">
        <f>IF(Base_Periodo1[[#This Row],[Tipo_Linha]]="Fora do DRE","Fora do DRE","( "&amp;Base_Periodo1[[#This Row],[Tipo_Linha]]&amp;" ) "&amp;Base_Periodo1[[#This Row],[Filtro]])</f>
        <v>Fora do DRE</v>
      </c>
      <c r="W2738" s="3" t="str">
        <f>LEFT(Base_Periodo1[[#This Row],[CLASS]],3)</f>
        <v>2.1</v>
      </c>
    </row>
    <row r="2739" spans="1:23" hidden="1">
      <c r="A2739" s="3" t="str">
        <f t="shared" si="42"/>
        <v>Período 1</v>
      </c>
      <c r="B2739">
        <v>28651</v>
      </c>
      <c r="C2739" t="s">
        <v>1745</v>
      </c>
      <c r="D2739" t="s">
        <v>1774</v>
      </c>
      <c r="E2739" s="3" t="str">
        <f>IF(LEN(Base_Periodo1[[#This Row],[CLASS]])&gt;=7,LEFT(Base_Periodo1[[#This Row],[CLASS]],7),"")</f>
        <v>2.1.2.1</v>
      </c>
      <c r="F2739" s="3" t="str">
        <f>VLOOKUP(Base_Periodo1[[#This Row],[Aux]],Base_Contas_Balanco[#All],2,FALSE)</f>
        <v>Fornecedores Cooperados</v>
      </c>
      <c r="G2739" s="1">
        <v>42829</v>
      </c>
      <c r="H2739" s="225">
        <v>65128.859999998473</v>
      </c>
      <c r="I2739" s="225">
        <v>0</v>
      </c>
      <c r="J2739" s="225">
        <v>0</v>
      </c>
      <c r="K2739" s="225">
        <v>65128.859999998473</v>
      </c>
      <c r="L27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65128.86</v>
      </c>
      <c r="M2739" s="225">
        <f>ROUND(IF(AND(Base_Periodo1[[#This Row],[Tipo_Linha]]="-",Base_Periodo1[[#This Row],[TIPOSALDO]]="D"),Base_Periodo1[[#This Row],[SALDO_ATUAL]]*-1,Base_Periodo1[[#This Row],[SALDO_ATUAL]]),4)</f>
        <v>65128.86</v>
      </c>
      <c r="N2739" t="s">
        <v>116</v>
      </c>
      <c r="O2739" t="s">
        <v>459</v>
      </c>
      <c r="P2739" t="s">
        <v>459</v>
      </c>
      <c r="Q2739">
        <v>7</v>
      </c>
      <c r="R2739" s="225">
        <f>Base_Periodo1[[#This Row],[CREDITOS]]-Base_Periodo1[[#This Row],[DEBITOS]]</f>
        <v>0</v>
      </c>
      <c r="S2739" s="3" t="str">
        <f>IF(ISERROR(VLOOKUP(Base_Periodo1[[#This Row],[CONTA]],BaseContasDRE[#All],4,FALSE)),"Fora do DRE",VLOOKUP(Base_Periodo1[[#This Row],[CONTA]],BaseContasDRE[#All],4,FALSE))</f>
        <v>Fora do DRE</v>
      </c>
      <c r="T2739" s="3" t="str">
        <f>IF(ISERROR(VLOOKUP(Base_Periodo1[[#This Row],[CONTA]],BaseContasDRE[#All],5,FALSE)),"Fora do DRE",VLOOKUP(Base_Periodo1[[#This Row],[CONTA]],BaseContasDRE[#All],6,FALSE))</f>
        <v>Fora do DRE</v>
      </c>
      <c r="U2739" s="3" t="str">
        <f>IF(ISERROR(VLOOKUP(Base_Periodo1[[#This Row],[CONTA]],BaseContasDRE[#All],7,FALSE)),"Fora do DRE",VLOOKUP(Base_Periodo1[[#This Row],[CONTA]],BaseContasDRE[#All],7,FALSE))</f>
        <v>Fora do DRE</v>
      </c>
      <c r="V2739" s="3" t="str">
        <f>IF(Base_Periodo1[[#This Row],[Tipo_Linha]]="Fora do DRE","Fora do DRE","( "&amp;Base_Periodo1[[#This Row],[Tipo_Linha]]&amp;" ) "&amp;Base_Periodo1[[#This Row],[Filtro]])</f>
        <v>Fora do DRE</v>
      </c>
      <c r="W2739" s="3" t="str">
        <f>LEFT(Base_Periodo1[[#This Row],[CLASS]],3)</f>
        <v>2.1</v>
      </c>
    </row>
    <row r="2740" spans="1:23" hidden="1">
      <c r="A2740" s="3" t="str">
        <f t="shared" si="42"/>
        <v>Período 1</v>
      </c>
      <c r="B2740">
        <v>26270</v>
      </c>
      <c r="C2740" t="s">
        <v>1745</v>
      </c>
      <c r="D2740" t="s">
        <v>5950</v>
      </c>
      <c r="E2740" s="3" t="str">
        <f>IF(LEN(Base_Periodo1[[#This Row],[CLASS]])&gt;=7,LEFT(Base_Periodo1[[#This Row],[CLASS]],7),"")</f>
        <v>2.1.2.1</v>
      </c>
      <c r="F2740" s="3" t="str">
        <f>VLOOKUP(Base_Periodo1[[#This Row],[Aux]],Base_Contas_Balanco[#All],2,FALSE)</f>
        <v>Fornecedores Cooperados</v>
      </c>
      <c r="G2740" s="1">
        <v>42857</v>
      </c>
      <c r="H2740" s="225">
        <v>7707.4999999999891</v>
      </c>
      <c r="I2740" s="225">
        <v>0</v>
      </c>
      <c r="J2740" s="225">
        <v>1680.93</v>
      </c>
      <c r="K2740" s="225">
        <v>9388.4299999999894</v>
      </c>
      <c r="L27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9388.43</v>
      </c>
      <c r="M2740" s="225">
        <f>ROUND(IF(AND(Base_Periodo1[[#This Row],[Tipo_Linha]]="-",Base_Periodo1[[#This Row],[TIPOSALDO]]="D"),Base_Periodo1[[#This Row],[SALDO_ATUAL]]*-1,Base_Periodo1[[#This Row],[SALDO_ATUAL]]),4)</f>
        <v>9388.43</v>
      </c>
      <c r="N2740" t="s">
        <v>116</v>
      </c>
      <c r="O2740" t="s">
        <v>459</v>
      </c>
      <c r="P2740" t="s">
        <v>459</v>
      </c>
      <c r="Q2740">
        <v>7</v>
      </c>
      <c r="R2740" s="225">
        <f>Base_Periodo1[[#This Row],[CREDITOS]]-Base_Periodo1[[#This Row],[DEBITOS]]</f>
        <v>1680.93</v>
      </c>
      <c r="S2740" s="3" t="str">
        <f>IF(ISERROR(VLOOKUP(Base_Periodo1[[#This Row],[CONTA]],BaseContasDRE[#All],4,FALSE)),"Fora do DRE",VLOOKUP(Base_Periodo1[[#This Row],[CONTA]],BaseContasDRE[#All],4,FALSE))</f>
        <v>Fora do DRE</v>
      </c>
      <c r="T2740" s="3" t="str">
        <f>IF(ISERROR(VLOOKUP(Base_Periodo1[[#This Row],[CONTA]],BaseContasDRE[#All],5,FALSE)),"Fora do DRE",VLOOKUP(Base_Periodo1[[#This Row],[CONTA]],BaseContasDRE[#All],6,FALSE))</f>
        <v>Fora do DRE</v>
      </c>
      <c r="U2740" s="3" t="str">
        <f>IF(ISERROR(VLOOKUP(Base_Periodo1[[#This Row],[CONTA]],BaseContasDRE[#All],7,FALSE)),"Fora do DRE",VLOOKUP(Base_Periodo1[[#This Row],[CONTA]],BaseContasDRE[#All],7,FALSE))</f>
        <v>Fora do DRE</v>
      </c>
      <c r="V2740" s="3" t="str">
        <f>IF(Base_Periodo1[[#This Row],[Tipo_Linha]]="Fora do DRE","Fora do DRE","( "&amp;Base_Periodo1[[#This Row],[Tipo_Linha]]&amp;" ) "&amp;Base_Periodo1[[#This Row],[Filtro]])</f>
        <v>Fora do DRE</v>
      </c>
      <c r="W2740" s="3" t="str">
        <f>LEFT(Base_Periodo1[[#This Row],[CLASS]],3)</f>
        <v>2.1</v>
      </c>
    </row>
    <row r="2741" spans="1:23" hidden="1">
      <c r="A2741" s="3" t="str">
        <f t="shared" si="42"/>
        <v>Período 1</v>
      </c>
      <c r="B2741">
        <v>4542</v>
      </c>
      <c r="C2741" t="s">
        <v>1745</v>
      </c>
      <c r="D2741" t="s">
        <v>1775</v>
      </c>
      <c r="E2741" s="3" t="str">
        <f>IF(LEN(Base_Periodo1[[#This Row],[CLASS]])&gt;=7,LEFT(Base_Periodo1[[#This Row],[CLASS]],7),"")</f>
        <v>2.1.2.1</v>
      </c>
      <c r="F2741" s="3" t="str">
        <f>VLOOKUP(Base_Periodo1[[#This Row],[Aux]],Base_Contas_Balanco[#All],2,FALSE)</f>
        <v>Fornecedores Cooperados</v>
      </c>
      <c r="G2741" s="1">
        <v>42677</v>
      </c>
      <c r="H2741" s="225">
        <v>8.7999999999992724</v>
      </c>
      <c r="I2741" s="225">
        <v>0</v>
      </c>
      <c r="J2741" s="225">
        <v>0</v>
      </c>
      <c r="K2741" s="225">
        <v>8.7999999999992724</v>
      </c>
      <c r="L27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8.8000000000000007</v>
      </c>
      <c r="M2741" s="225">
        <f>ROUND(IF(AND(Base_Periodo1[[#This Row],[Tipo_Linha]]="-",Base_Periodo1[[#This Row],[TIPOSALDO]]="D"),Base_Periodo1[[#This Row],[SALDO_ATUAL]]*-1,Base_Periodo1[[#This Row],[SALDO_ATUAL]]),4)</f>
        <v>8.8000000000000007</v>
      </c>
      <c r="N2741" t="s">
        <v>116</v>
      </c>
      <c r="O2741" t="s">
        <v>459</v>
      </c>
      <c r="P2741" t="s">
        <v>459</v>
      </c>
      <c r="Q2741">
        <v>7</v>
      </c>
      <c r="R2741" s="225">
        <f>Base_Periodo1[[#This Row],[CREDITOS]]-Base_Periodo1[[#This Row],[DEBITOS]]</f>
        <v>0</v>
      </c>
      <c r="S2741" s="3" t="str">
        <f>IF(ISERROR(VLOOKUP(Base_Periodo1[[#This Row],[CONTA]],BaseContasDRE[#All],4,FALSE)),"Fora do DRE",VLOOKUP(Base_Periodo1[[#This Row],[CONTA]],BaseContasDRE[#All],4,FALSE))</f>
        <v>Fora do DRE</v>
      </c>
      <c r="T2741" s="3" t="str">
        <f>IF(ISERROR(VLOOKUP(Base_Periodo1[[#This Row],[CONTA]],BaseContasDRE[#All],5,FALSE)),"Fora do DRE",VLOOKUP(Base_Periodo1[[#This Row],[CONTA]],BaseContasDRE[#All],6,FALSE))</f>
        <v>Fora do DRE</v>
      </c>
      <c r="U2741" s="3" t="str">
        <f>IF(ISERROR(VLOOKUP(Base_Periodo1[[#This Row],[CONTA]],BaseContasDRE[#All],7,FALSE)),"Fora do DRE",VLOOKUP(Base_Periodo1[[#This Row],[CONTA]],BaseContasDRE[#All],7,FALSE))</f>
        <v>Fora do DRE</v>
      </c>
      <c r="V2741" s="3" t="str">
        <f>IF(Base_Periodo1[[#This Row],[Tipo_Linha]]="Fora do DRE","Fora do DRE","( "&amp;Base_Periodo1[[#This Row],[Tipo_Linha]]&amp;" ) "&amp;Base_Periodo1[[#This Row],[Filtro]])</f>
        <v>Fora do DRE</v>
      </c>
      <c r="W2741" s="3" t="str">
        <f>LEFT(Base_Periodo1[[#This Row],[CLASS]],3)</f>
        <v>2.1</v>
      </c>
    </row>
    <row r="2742" spans="1:23" hidden="1">
      <c r="A2742" s="3" t="str">
        <f t="shared" si="42"/>
        <v>Período 1</v>
      </c>
      <c r="B2742">
        <v>22883</v>
      </c>
      <c r="C2742" t="s">
        <v>1745</v>
      </c>
      <c r="D2742" t="s">
        <v>1776</v>
      </c>
      <c r="E2742" s="3" t="str">
        <f>IF(LEN(Base_Periodo1[[#This Row],[CLASS]])&gt;=7,LEFT(Base_Periodo1[[#This Row],[CLASS]],7),"")</f>
        <v>2.1.2.1</v>
      </c>
      <c r="F2742" s="3" t="str">
        <f>VLOOKUP(Base_Periodo1[[#This Row],[Aux]],Base_Contas_Balanco[#All],2,FALSE)</f>
        <v>Fornecedores Cooperados</v>
      </c>
      <c r="G2742" s="1">
        <v>42670</v>
      </c>
      <c r="H2742" s="225">
        <v>8343.5099999999802</v>
      </c>
      <c r="I2742" s="225">
        <v>0</v>
      </c>
      <c r="J2742" s="225">
        <v>0</v>
      </c>
      <c r="K2742" s="225">
        <v>8343.5099999999802</v>
      </c>
      <c r="L27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8343.51</v>
      </c>
      <c r="M2742" s="225">
        <f>ROUND(IF(AND(Base_Periodo1[[#This Row],[Tipo_Linha]]="-",Base_Periodo1[[#This Row],[TIPOSALDO]]="D"),Base_Periodo1[[#This Row],[SALDO_ATUAL]]*-1,Base_Periodo1[[#This Row],[SALDO_ATUAL]]),4)</f>
        <v>8343.51</v>
      </c>
      <c r="N2742" t="s">
        <v>116</v>
      </c>
      <c r="O2742" t="s">
        <v>459</v>
      </c>
      <c r="P2742" t="s">
        <v>459</v>
      </c>
      <c r="Q2742">
        <v>7</v>
      </c>
      <c r="R2742" s="225">
        <f>Base_Periodo1[[#This Row],[CREDITOS]]-Base_Periodo1[[#This Row],[DEBITOS]]</f>
        <v>0</v>
      </c>
      <c r="S2742" s="3" t="str">
        <f>IF(ISERROR(VLOOKUP(Base_Periodo1[[#This Row],[CONTA]],BaseContasDRE[#All],4,FALSE)),"Fora do DRE",VLOOKUP(Base_Periodo1[[#This Row],[CONTA]],BaseContasDRE[#All],4,FALSE))</f>
        <v>Fora do DRE</v>
      </c>
      <c r="T2742" s="3" t="str">
        <f>IF(ISERROR(VLOOKUP(Base_Periodo1[[#This Row],[CONTA]],BaseContasDRE[#All],5,FALSE)),"Fora do DRE",VLOOKUP(Base_Periodo1[[#This Row],[CONTA]],BaseContasDRE[#All],6,FALSE))</f>
        <v>Fora do DRE</v>
      </c>
      <c r="U2742" s="3" t="str">
        <f>IF(ISERROR(VLOOKUP(Base_Periodo1[[#This Row],[CONTA]],BaseContasDRE[#All],7,FALSE)),"Fora do DRE",VLOOKUP(Base_Periodo1[[#This Row],[CONTA]],BaseContasDRE[#All],7,FALSE))</f>
        <v>Fora do DRE</v>
      </c>
      <c r="V2742" s="3" t="str">
        <f>IF(Base_Periodo1[[#This Row],[Tipo_Linha]]="Fora do DRE","Fora do DRE","( "&amp;Base_Periodo1[[#This Row],[Tipo_Linha]]&amp;" ) "&amp;Base_Periodo1[[#This Row],[Filtro]])</f>
        <v>Fora do DRE</v>
      </c>
      <c r="W2742" s="3" t="str">
        <f>LEFT(Base_Periodo1[[#This Row],[CLASS]],3)</f>
        <v>2.1</v>
      </c>
    </row>
    <row r="2743" spans="1:23" hidden="1">
      <c r="A2743" s="3" t="str">
        <f t="shared" si="42"/>
        <v>Período 1</v>
      </c>
      <c r="B2743">
        <v>22935</v>
      </c>
      <c r="C2743" t="s">
        <v>1745</v>
      </c>
      <c r="D2743" t="s">
        <v>1777</v>
      </c>
      <c r="E2743" s="3" t="str">
        <f>IF(LEN(Base_Periodo1[[#This Row],[CLASS]])&gt;=7,LEFT(Base_Periodo1[[#This Row],[CLASS]],7),"")</f>
        <v>2.1.2.1</v>
      </c>
      <c r="F2743" s="3" t="str">
        <f>VLOOKUP(Base_Periodo1[[#This Row],[Aux]],Base_Contas_Balanco[#All],2,FALSE)</f>
        <v>Fornecedores Cooperados</v>
      </c>
      <c r="G2743" s="1">
        <v>42571</v>
      </c>
      <c r="H2743" s="225">
        <v>981.5500000002794</v>
      </c>
      <c r="I2743" s="225">
        <v>0</v>
      </c>
      <c r="J2743" s="225">
        <v>0</v>
      </c>
      <c r="K2743" s="225">
        <v>981.5500000002794</v>
      </c>
      <c r="L27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981.55</v>
      </c>
      <c r="M2743" s="225">
        <f>ROUND(IF(AND(Base_Periodo1[[#This Row],[Tipo_Linha]]="-",Base_Periodo1[[#This Row],[TIPOSALDO]]="D"),Base_Periodo1[[#This Row],[SALDO_ATUAL]]*-1,Base_Periodo1[[#This Row],[SALDO_ATUAL]]),4)</f>
        <v>981.55</v>
      </c>
      <c r="N2743" t="s">
        <v>116</v>
      </c>
      <c r="O2743" t="s">
        <v>459</v>
      </c>
      <c r="P2743" t="s">
        <v>459</v>
      </c>
      <c r="Q2743">
        <v>7</v>
      </c>
      <c r="R2743" s="225">
        <f>Base_Periodo1[[#This Row],[CREDITOS]]-Base_Periodo1[[#This Row],[DEBITOS]]</f>
        <v>0</v>
      </c>
      <c r="S2743" s="3" t="str">
        <f>IF(ISERROR(VLOOKUP(Base_Periodo1[[#This Row],[CONTA]],BaseContasDRE[#All],4,FALSE)),"Fora do DRE",VLOOKUP(Base_Periodo1[[#This Row],[CONTA]],BaseContasDRE[#All],4,FALSE))</f>
        <v>Fora do DRE</v>
      </c>
      <c r="T2743" s="3" t="str">
        <f>IF(ISERROR(VLOOKUP(Base_Periodo1[[#This Row],[CONTA]],BaseContasDRE[#All],5,FALSE)),"Fora do DRE",VLOOKUP(Base_Periodo1[[#This Row],[CONTA]],BaseContasDRE[#All],6,FALSE))</f>
        <v>Fora do DRE</v>
      </c>
      <c r="U2743" s="3" t="str">
        <f>IF(ISERROR(VLOOKUP(Base_Periodo1[[#This Row],[CONTA]],BaseContasDRE[#All],7,FALSE)),"Fora do DRE",VLOOKUP(Base_Periodo1[[#This Row],[CONTA]],BaseContasDRE[#All],7,FALSE))</f>
        <v>Fora do DRE</v>
      </c>
      <c r="V2743" s="3" t="str">
        <f>IF(Base_Periodo1[[#This Row],[Tipo_Linha]]="Fora do DRE","Fora do DRE","( "&amp;Base_Periodo1[[#This Row],[Tipo_Linha]]&amp;" ) "&amp;Base_Periodo1[[#This Row],[Filtro]])</f>
        <v>Fora do DRE</v>
      </c>
      <c r="W2743" s="3" t="str">
        <f>LEFT(Base_Periodo1[[#This Row],[CLASS]],3)</f>
        <v>2.1</v>
      </c>
    </row>
    <row r="2744" spans="1:23" hidden="1">
      <c r="A2744" s="3" t="str">
        <f t="shared" si="42"/>
        <v>Período 1</v>
      </c>
      <c r="B2744">
        <v>3390</v>
      </c>
      <c r="C2744" t="s">
        <v>1745</v>
      </c>
      <c r="D2744" t="s">
        <v>4202</v>
      </c>
      <c r="E2744" s="3" t="str">
        <f>IF(LEN(Base_Periodo1[[#This Row],[CLASS]])&gt;=7,LEFT(Base_Periodo1[[#This Row],[CLASS]],7),"")</f>
        <v>2.1.2.1</v>
      </c>
      <c r="F2744" s="3" t="str">
        <f>VLOOKUP(Base_Periodo1[[#This Row],[Aux]],Base_Contas_Balanco[#All],2,FALSE)</f>
        <v>Fornecedores Cooperados</v>
      </c>
      <c r="G2744" s="1">
        <v>42634</v>
      </c>
      <c r="H2744" s="225">
        <v>3743.5700000000652</v>
      </c>
      <c r="I2744" s="225">
        <v>0</v>
      </c>
      <c r="J2744" s="225">
        <v>0</v>
      </c>
      <c r="K2744" s="225">
        <v>3743.5700000000652</v>
      </c>
      <c r="L27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3743.57</v>
      </c>
      <c r="M2744" s="225">
        <f>ROUND(IF(AND(Base_Periodo1[[#This Row],[Tipo_Linha]]="-",Base_Periodo1[[#This Row],[TIPOSALDO]]="D"),Base_Periodo1[[#This Row],[SALDO_ATUAL]]*-1,Base_Periodo1[[#This Row],[SALDO_ATUAL]]),4)</f>
        <v>3743.57</v>
      </c>
      <c r="N2744" t="s">
        <v>116</v>
      </c>
      <c r="O2744" t="s">
        <v>459</v>
      </c>
      <c r="P2744" t="s">
        <v>459</v>
      </c>
      <c r="Q2744">
        <v>7</v>
      </c>
      <c r="R2744" s="225">
        <f>Base_Periodo1[[#This Row],[CREDITOS]]-Base_Periodo1[[#This Row],[DEBITOS]]</f>
        <v>0</v>
      </c>
      <c r="S2744" s="3" t="str">
        <f>IF(ISERROR(VLOOKUP(Base_Periodo1[[#This Row],[CONTA]],BaseContasDRE[#All],4,FALSE)),"Fora do DRE",VLOOKUP(Base_Periodo1[[#This Row],[CONTA]],BaseContasDRE[#All],4,FALSE))</f>
        <v>Fora do DRE</v>
      </c>
      <c r="T2744" s="3" t="str">
        <f>IF(ISERROR(VLOOKUP(Base_Periodo1[[#This Row],[CONTA]],BaseContasDRE[#All],5,FALSE)),"Fora do DRE",VLOOKUP(Base_Periodo1[[#This Row],[CONTA]],BaseContasDRE[#All],6,FALSE))</f>
        <v>Fora do DRE</v>
      </c>
      <c r="U2744" s="3" t="str">
        <f>IF(ISERROR(VLOOKUP(Base_Periodo1[[#This Row],[CONTA]],BaseContasDRE[#All],7,FALSE)),"Fora do DRE",VLOOKUP(Base_Periodo1[[#This Row],[CONTA]],BaseContasDRE[#All],7,FALSE))</f>
        <v>Fora do DRE</v>
      </c>
      <c r="V2744" s="3" t="str">
        <f>IF(Base_Periodo1[[#This Row],[Tipo_Linha]]="Fora do DRE","Fora do DRE","( "&amp;Base_Periodo1[[#This Row],[Tipo_Linha]]&amp;" ) "&amp;Base_Periodo1[[#This Row],[Filtro]])</f>
        <v>Fora do DRE</v>
      </c>
      <c r="W2744" s="3" t="str">
        <f>LEFT(Base_Periodo1[[#This Row],[CLASS]],3)</f>
        <v>2.1</v>
      </c>
    </row>
    <row r="2745" spans="1:23" hidden="1">
      <c r="A2745" s="3" t="str">
        <f t="shared" si="42"/>
        <v>Período 1</v>
      </c>
      <c r="B2745">
        <v>5078</v>
      </c>
      <c r="C2745" t="s">
        <v>1745</v>
      </c>
      <c r="D2745" t="s">
        <v>1778</v>
      </c>
      <c r="E2745" s="3" t="str">
        <f>IF(LEN(Base_Periodo1[[#This Row],[CLASS]])&gt;=7,LEFT(Base_Periodo1[[#This Row],[CLASS]],7),"")</f>
        <v>2.1.2.1</v>
      </c>
      <c r="F2745" s="3" t="str">
        <f>VLOOKUP(Base_Periodo1[[#This Row],[Aux]],Base_Contas_Balanco[#All],2,FALSE)</f>
        <v>Fornecedores Cooperados</v>
      </c>
      <c r="G2745" s="1">
        <v>42877</v>
      </c>
      <c r="H2745" s="225">
        <v>1.0299999999988358</v>
      </c>
      <c r="I2745" s="225">
        <v>0</v>
      </c>
      <c r="J2745" s="225">
        <v>40623.56</v>
      </c>
      <c r="K2745" s="225">
        <v>40624.589999999997</v>
      </c>
      <c r="L27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40624.589999999997</v>
      </c>
      <c r="M2745" s="225">
        <f>ROUND(IF(AND(Base_Periodo1[[#This Row],[Tipo_Linha]]="-",Base_Periodo1[[#This Row],[TIPOSALDO]]="D"),Base_Periodo1[[#This Row],[SALDO_ATUAL]]*-1,Base_Periodo1[[#This Row],[SALDO_ATUAL]]),4)</f>
        <v>40624.589999999997</v>
      </c>
      <c r="N2745" t="s">
        <v>116</v>
      </c>
      <c r="O2745" t="s">
        <v>459</v>
      </c>
      <c r="P2745" t="s">
        <v>459</v>
      </c>
      <c r="Q2745">
        <v>7</v>
      </c>
      <c r="R2745" s="225">
        <f>Base_Periodo1[[#This Row],[CREDITOS]]-Base_Periodo1[[#This Row],[DEBITOS]]</f>
        <v>40623.56</v>
      </c>
      <c r="S2745" s="3" t="str">
        <f>IF(ISERROR(VLOOKUP(Base_Periodo1[[#This Row],[CONTA]],BaseContasDRE[#All],4,FALSE)),"Fora do DRE",VLOOKUP(Base_Periodo1[[#This Row],[CONTA]],BaseContasDRE[#All],4,FALSE))</f>
        <v>Fora do DRE</v>
      </c>
      <c r="T2745" s="3" t="str">
        <f>IF(ISERROR(VLOOKUP(Base_Periodo1[[#This Row],[CONTA]],BaseContasDRE[#All],5,FALSE)),"Fora do DRE",VLOOKUP(Base_Periodo1[[#This Row],[CONTA]],BaseContasDRE[#All],6,FALSE))</f>
        <v>Fora do DRE</v>
      </c>
      <c r="U2745" s="3" t="str">
        <f>IF(ISERROR(VLOOKUP(Base_Periodo1[[#This Row],[CONTA]],BaseContasDRE[#All],7,FALSE)),"Fora do DRE",VLOOKUP(Base_Periodo1[[#This Row],[CONTA]],BaseContasDRE[#All],7,FALSE))</f>
        <v>Fora do DRE</v>
      </c>
      <c r="V2745" s="3" t="str">
        <f>IF(Base_Periodo1[[#This Row],[Tipo_Linha]]="Fora do DRE","Fora do DRE","( "&amp;Base_Periodo1[[#This Row],[Tipo_Linha]]&amp;" ) "&amp;Base_Periodo1[[#This Row],[Filtro]])</f>
        <v>Fora do DRE</v>
      </c>
      <c r="W2745" s="3" t="str">
        <f>LEFT(Base_Periodo1[[#This Row],[CLASS]],3)</f>
        <v>2.1</v>
      </c>
    </row>
    <row r="2746" spans="1:23" hidden="1">
      <c r="A2746" s="3" t="str">
        <f t="shared" si="42"/>
        <v>Período 1</v>
      </c>
      <c r="B2746">
        <v>27192</v>
      </c>
      <c r="C2746" t="s">
        <v>1745</v>
      </c>
      <c r="D2746" t="s">
        <v>1779</v>
      </c>
      <c r="E2746" s="3" t="str">
        <f>IF(LEN(Base_Periodo1[[#This Row],[CLASS]])&gt;=7,LEFT(Base_Periodo1[[#This Row],[CLASS]],7),"")</f>
        <v>2.1.2.1</v>
      </c>
      <c r="F2746" s="3" t="str">
        <f>VLOOKUP(Base_Periodo1[[#This Row],[Aux]],Base_Contas_Balanco[#All],2,FALSE)</f>
        <v>Fornecedores Cooperados</v>
      </c>
      <c r="G2746" s="1">
        <v>42726</v>
      </c>
      <c r="H2746" s="225">
        <v>395.5</v>
      </c>
      <c r="I2746" s="225">
        <v>0</v>
      </c>
      <c r="J2746" s="225">
        <v>0</v>
      </c>
      <c r="K2746" s="225">
        <v>395.5</v>
      </c>
      <c r="L27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395.5</v>
      </c>
      <c r="M2746" s="225">
        <f>ROUND(IF(AND(Base_Periodo1[[#This Row],[Tipo_Linha]]="-",Base_Periodo1[[#This Row],[TIPOSALDO]]="D"),Base_Periodo1[[#This Row],[SALDO_ATUAL]]*-1,Base_Periodo1[[#This Row],[SALDO_ATUAL]]),4)</f>
        <v>395.5</v>
      </c>
      <c r="N2746" t="s">
        <v>116</v>
      </c>
      <c r="O2746" t="s">
        <v>459</v>
      </c>
      <c r="P2746" t="s">
        <v>459</v>
      </c>
      <c r="Q2746">
        <v>7</v>
      </c>
      <c r="R2746" s="225">
        <f>Base_Periodo1[[#This Row],[CREDITOS]]-Base_Periodo1[[#This Row],[DEBITOS]]</f>
        <v>0</v>
      </c>
      <c r="S2746" s="3" t="str">
        <f>IF(ISERROR(VLOOKUP(Base_Periodo1[[#This Row],[CONTA]],BaseContasDRE[#All],4,FALSE)),"Fora do DRE",VLOOKUP(Base_Periodo1[[#This Row],[CONTA]],BaseContasDRE[#All],4,FALSE))</f>
        <v>Fora do DRE</v>
      </c>
      <c r="T2746" s="3" t="str">
        <f>IF(ISERROR(VLOOKUP(Base_Periodo1[[#This Row],[CONTA]],BaseContasDRE[#All],5,FALSE)),"Fora do DRE",VLOOKUP(Base_Periodo1[[#This Row],[CONTA]],BaseContasDRE[#All],6,FALSE))</f>
        <v>Fora do DRE</v>
      </c>
      <c r="U2746" s="3" t="str">
        <f>IF(ISERROR(VLOOKUP(Base_Periodo1[[#This Row],[CONTA]],BaseContasDRE[#All],7,FALSE)),"Fora do DRE",VLOOKUP(Base_Periodo1[[#This Row],[CONTA]],BaseContasDRE[#All],7,FALSE))</f>
        <v>Fora do DRE</v>
      </c>
      <c r="V2746" s="3" t="str">
        <f>IF(Base_Periodo1[[#This Row],[Tipo_Linha]]="Fora do DRE","Fora do DRE","( "&amp;Base_Periodo1[[#This Row],[Tipo_Linha]]&amp;" ) "&amp;Base_Periodo1[[#This Row],[Filtro]])</f>
        <v>Fora do DRE</v>
      </c>
      <c r="W2746" s="3" t="str">
        <f>LEFT(Base_Periodo1[[#This Row],[CLASS]],3)</f>
        <v>2.1</v>
      </c>
    </row>
    <row r="2747" spans="1:23" hidden="1">
      <c r="A2747" s="3" t="str">
        <f t="shared" si="42"/>
        <v>Período 1</v>
      </c>
      <c r="B2747">
        <v>40183</v>
      </c>
      <c r="C2747" t="s">
        <v>1745</v>
      </c>
      <c r="D2747" t="s">
        <v>5057</v>
      </c>
      <c r="E2747" s="3" t="str">
        <f>IF(LEN(Base_Periodo1[[#This Row],[CLASS]])&gt;=7,LEFT(Base_Periodo1[[#This Row],[CLASS]],7),"")</f>
        <v>2.1.2.1</v>
      </c>
      <c r="F2747" s="3" t="str">
        <f>VLOOKUP(Base_Periodo1[[#This Row],[Aux]],Base_Contas_Balanco[#All],2,FALSE)</f>
        <v>Fornecedores Cooperados</v>
      </c>
      <c r="G2747" s="1">
        <v>42867</v>
      </c>
      <c r="H2747" s="225">
        <v>9.9999999947613105E-3</v>
      </c>
      <c r="I2747" s="225">
        <v>0</v>
      </c>
      <c r="J2747" s="225">
        <v>3048.24</v>
      </c>
      <c r="K2747" s="225">
        <v>3048.2499999999945</v>
      </c>
      <c r="L27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3048.25</v>
      </c>
      <c r="M2747" s="225">
        <f>ROUND(IF(AND(Base_Periodo1[[#This Row],[Tipo_Linha]]="-",Base_Periodo1[[#This Row],[TIPOSALDO]]="D"),Base_Periodo1[[#This Row],[SALDO_ATUAL]]*-1,Base_Periodo1[[#This Row],[SALDO_ATUAL]]),4)</f>
        <v>3048.25</v>
      </c>
      <c r="N2747" t="s">
        <v>116</v>
      </c>
      <c r="O2747" t="s">
        <v>459</v>
      </c>
      <c r="P2747" t="s">
        <v>459</v>
      </c>
      <c r="Q2747">
        <v>7</v>
      </c>
      <c r="R2747" s="225">
        <f>Base_Periodo1[[#This Row],[CREDITOS]]-Base_Periodo1[[#This Row],[DEBITOS]]</f>
        <v>3048.24</v>
      </c>
      <c r="S2747" s="3" t="str">
        <f>IF(ISERROR(VLOOKUP(Base_Periodo1[[#This Row],[CONTA]],BaseContasDRE[#All],4,FALSE)),"Fora do DRE",VLOOKUP(Base_Periodo1[[#This Row],[CONTA]],BaseContasDRE[#All],4,FALSE))</f>
        <v>Fora do DRE</v>
      </c>
      <c r="T2747" s="3" t="str">
        <f>IF(ISERROR(VLOOKUP(Base_Periodo1[[#This Row],[CONTA]],BaseContasDRE[#All],5,FALSE)),"Fora do DRE",VLOOKUP(Base_Periodo1[[#This Row],[CONTA]],BaseContasDRE[#All],6,FALSE))</f>
        <v>Fora do DRE</v>
      </c>
      <c r="U2747" s="3" t="str">
        <f>IF(ISERROR(VLOOKUP(Base_Periodo1[[#This Row],[CONTA]],BaseContasDRE[#All],7,FALSE)),"Fora do DRE",VLOOKUP(Base_Periodo1[[#This Row],[CONTA]],BaseContasDRE[#All],7,FALSE))</f>
        <v>Fora do DRE</v>
      </c>
      <c r="V2747" s="3" t="str">
        <f>IF(Base_Periodo1[[#This Row],[Tipo_Linha]]="Fora do DRE","Fora do DRE","( "&amp;Base_Periodo1[[#This Row],[Tipo_Linha]]&amp;" ) "&amp;Base_Periodo1[[#This Row],[Filtro]])</f>
        <v>Fora do DRE</v>
      </c>
      <c r="W2747" s="3" t="str">
        <f>LEFT(Base_Periodo1[[#This Row],[CLASS]],3)</f>
        <v>2.1</v>
      </c>
    </row>
    <row r="2748" spans="1:23" hidden="1">
      <c r="A2748" s="3" t="str">
        <f t="shared" si="42"/>
        <v>Período 1</v>
      </c>
      <c r="B2748">
        <v>4450</v>
      </c>
      <c r="C2748" t="s">
        <v>1745</v>
      </c>
      <c r="D2748" t="s">
        <v>4757</v>
      </c>
      <c r="E2748" s="3" t="str">
        <f>IF(LEN(Base_Periodo1[[#This Row],[CLASS]])&gt;=7,LEFT(Base_Periodo1[[#This Row],[CLASS]],7),"")</f>
        <v>2.1.2.1</v>
      </c>
      <c r="F2748" s="3" t="str">
        <f>VLOOKUP(Base_Periodo1[[#This Row],[Aux]],Base_Contas_Balanco[#All],2,FALSE)</f>
        <v>Fornecedores Cooperados</v>
      </c>
      <c r="G2748" s="1">
        <v>42880</v>
      </c>
      <c r="H2748" s="225">
        <v>2806.2999999999302</v>
      </c>
      <c r="I2748" s="225">
        <v>933.06</v>
      </c>
      <c r="J2748" s="225">
        <v>47548.509999999995</v>
      </c>
      <c r="K2748" s="225">
        <v>49421.749999999927</v>
      </c>
      <c r="L27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49421.75</v>
      </c>
      <c r="M2748" s="225">
        <f>ROUND(IF(AND(Base_Periodo1[[#This Row],[Tipo_Linha]]="-",Base_Periodo1[[#This Row],[TIPOSALDO]]="D"),Base_Periodo1[[#This Row],[SALDO_ATUAL]]*-1,Base_Periodo1[[#This Row],[SALDO_ATUAL]]),4)</f>
        <v>49421.75</v>
      </c>
      <c r="N2748" t="s">
        <v>116</v>
      </c>
      <c r="O2748" t="s">
        <v>459</v>
      </c>
      <c r="P2748" t="s">
        <v>459</v>
      </c>
      <c r="Q2748">
        <v>7</v>
      </c>
      <c r="R2748" s="225">
        <f>Base_Periodo1[[#This Row],[CREDITOS]]-Base_Periodo1[[#This Row],[DEBITOS]]</f>
        <v>46615.45</v>
      </c>
      <c r="S2748" s="3" t="str">
        <f>IF(ISERROR(VLOOKUP(Base_Periodo1[[#This Row],[CONTA]],BaseContasDRE[#All],4,FALSE)),"Fora do DRE",VLOOKUP(Base_Periodo1[[#This Row],[CONTA]],BaseContasDRE[#All],4,FALSE))</f>
        <v>Fora do DRE</v>
      </c>
      <c r="T2748" s="3" t="str">
        <f>IF(ISERROR(VLOOKUP(Base_Periodo1[[#This Row],[CONTA]],BaseContasDRE[#All],5,FALSE)),"Fora do DRE",VLOOKUP(Base_Periodo1[[#This Row],[CONTA]],BaseContasDRE[#All],6,FALSE))</f>
        <v>Fora do DRE</v>
      </c>
      <c r="U2748" s="3" t="str">
        <f>IF(ISERROR(VLOOKUP(Base_Periodo1[[#This Row],[CONTA]],BaseContasDRE[#All],7,FALSE)),"Fora do DRE",VLOOKUP(Base_Periodo1[[#This Row],[CONTA]],BaseContasDRE[#All],7,FALSE))</f>
        <v>Fora do DRE</v>
      </c>
      <c r="V2748" s="3" t="str">
        <f>IF(Base_Periodo1[[#This Row],[Tipo_Linha]]="Fora do DRE","Fora do DRE","( "&amp;Base_Periodo1[[#This Row],[Tipo_Linha]]&amp;" ) "&amp;Base_Periodo1[[#This Row],[Filtro]])</f>
        <v>Fora do DRE</v>
      </c>
      <c r="W2748" s="3" t="str">
        <f>LEFT(Base_Periodo1[[#This Row],[CLASS]],3)</f>
        <v>2.1</v>
      </c>
    </row>
    <row r="2749" spans="1:23" hidden="1">
      <c r="A2749" s="3" t="str">
        <f t="shared" si="42"/>
        <v>Período 1</v>
      </c>
      <c r="B2749">
        <v>2534</v>
      </c>
      <c r="C2749" t="s">
        <v>1745</v>
      </c>
      <c r="D2749" t="s">
        <v>1780</v>
      </c>
      <c r="E2749" s="3" t="str">
        <f>IF(LEN(Base_Periodo1[[#This Row],[CLASS]])&gt;=7,LEFT(Base_Periodo1[[#This Row],[CLASS]],7),"")</f>
        <v>2.1.2.1</v>
      </c>
      <c r="F2749" s="3" t="str">
        <f>VLOOKUP(Base_Periodo1[[#This Row],[Aux]],Base_Contas_Balanco[#All],2,FALSE)</f>
        <v>Fornecedores Cooperados</v>
      </c>
      <c r="G2749" s="1">
        <v>42859</v>
      </c>
      <c r="H2749" s="225">
        <v>83342.470000000205</v>
      </c>
      <c r="I2749" s="225">
        <v>0</v>
      </c>
      <c r="J2749" s="225">
        <v>38781</v>
      </c>
      <c r="K2749" s="225">
        <v>122123.4700000002</v>
      </c>
      <c r="L27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122123.47</v>
      </c>
      <c r="M2749" s="225">
        <f>ROUND(IF(AND(Base_Periodo1[[#This Row],[Tipo_Linha]]="-",Base_Periodo1[[#This Row],[TIPOSALDO]]="D"),Base_Periodo1[[#This Row],[SALDO_ATUAL]]*-1,Base_Periodo1[[#This Row],[SALDO_ATUAL]]),4)</f>
        <v>122123.47</v>
      </c>
      <c r="N2749" t="s">
        <v>116</v>
      </c>
      <c r="O2749" t="s">
        <v>459</v>
      </c>
      <c r="P2749" t="s">
        <v>459</v>
      </c>
      <c r="Q2749">
        <v>7</v>
      </c>
      <c r="R2749" s="225">
        <f>Base_Periodo1[[#This Row],[CREDITOS]]-Base_Periodo1[[#This Row],[DEBITOS]]</f>
        <v>38781</v>
      </c>
      <c r="S2749" s="3" t="str">
        <f>IF(ISERROR(VLOOKUP(Base_Periodo1[[#This Row],[CONTA]],BaseContasDRE[#All],4,FALSE)),"Fora do DRE",VLOOKUP(Base_Periodo1[[#This Row],[CONTA]],BaseContasDRE[#All],4,FALSE))</f>
        <v>Fora do DRE</v>
      </c>
      <c r="T2749" s="3" t="str">
        <f>IF(ISERROR(VLOOKUP(Base_Periodo1[[#This Row],[CONTA]],BaseContasDRE[#All],5,FALSE)),"Fora do DRE",VLOOKUP(Base_Periodo1[[#This Row],[CONTA]],BaseContasDRE[#All],6,FALSE))</f>
        <v>Fora do DRE</v>
      </c>
      <c r="U2749" s="3" t="str">
        <f>IF(ISERROR(VLOOKUP(Base_Periodo1[[#This Row],[CONTA]],BaseContasDRE[#All],7,FALSE)),"Fora do DRE",VLOOKUP(Base_Periodo1[[#This Row],[CONTA]],BaseContasDRE[#All],7,FALSE))</f>
        <v>Fora do DRE</v>
      </c>
      <c r="V2749" s="3" t="str">
        <f>IF(Base_Periodo1[[#This Row],[Tipo_Linha]]="Fora do DRE","Fora do DRE","( "&amp;Base_Periodo1[[#This Row],[Tipo_Linha]]&amp;" ) "&amp;Base_Periodo1[[#This Row],[Filtro]])</f>
        <v>Fora do DRE</v>
      </c>
      <c r="W2749" s="3" t="str">
        <f>LEFT(Base_Periodo1[[#This Row],[CLASS]],3)</f>
        <v>2.1</v>
      </c>
    </row>
    <row r="2750" spans="1:23" hidden="1">
      <c r="A2750" s="3" t="str">
        <f t="shared" si="42"/>
        <v>Período 1</v>
      </c>
      <c r="B2750">
        <v>2798</v>
      </c>
      <c r="C2750" t="s">
        <v>1745</v>
      </c>
      <c r="D2750" t="s">
        <v>1781</v>
      </c>
      <c r="E2750" s="3" t="str">
        <f>IF(LEN(Base_Periodo1[[#This Row],[CLASS]])&gt;=7,LEFT(Base_Periodo1[[#This Row],[CLASS]],7),"")</f>
        <v>2.1.2.1</v>
      </c>
      <c r="F2750" s="3" t="str">
        <f>VLOOKUP(Base_Periodo1[[#This Row],[Aux]],Base_Contas_Balanco[#All],2,FALSE)</f>
        <v>Fornecedores Cooperados</v>
      </c>
      <c r="G2750" s="1">
        <v>42865</v>
      </c>
      <c r="H2750" s="225">
        <v>779.98999999996158</v>
      </c>
      <c r="I2750" s="225">
        <v>0</v>
      </c>
      <c r="J2750" s="225">
        <v>7696.2</v>
      </c>
      <c r="K2750" s="225">
        <v>8476.1899999999623</v>
      </c>
      <c r="L27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8476.19</v>
      </c>
      <c r="M2750" s="225">
        <f>ROUND(IF(AND(Base_Periodo1[[#This Row],[Tipo_Linha]]="-",Base_Periodo1[[#This Row],[TIPOSALDO]]="D"),Base_Periodo1[[#This Row],[SALDO_ATUAL]]*-1,Base_Periodo1[[#This Row],[SALDO_ATUAL]]),4)</f>
        <v>8476.19</v>
      </c>
      <c r="N2750" t="s">
        <v>116</v>
      </c>
      <c r="O2750" t="s">
        <v>459</v>
      </c>
      <c r="P2750" t="s">
        <v>459</v>
      </c>
      <c r="Q2750">
        <v>7</v>
      </c>
      <c r="R2750" s="225">
        <f>Base_Periodo1[[#This Row],[CREDITOS]]-Base_Periodo1[[#This Row],[DEBITOS]]</f>
        <v>7696.2</v>
      </c>
      <c r="S2750" s="3" t="str">
        <f>IF(ISERROR(VLOOKUP(Base_Periodo1[[#This Row],[CONTA]],BaseContasDRE[#All],4,FALSE)),"Fora do DRE",VLOOKUP(Base_Periodo1[[#This Row],[CONTA]],BaseContasDRE[#All],4,FALSE))</f>
        <v>Fora do DRE</v>
      </c>
      <c r="T2750" s="3" t="str">
        <f>IF(ISERROR(VLOOKUP(Base_Periodo1[[#This Row],[CONTA]],BaseContasDRE[#All],5,FALSE)),"Fora do DRE",VLOOKUP(Base_Periodo1[[#This Row],[CONTA]],BaseContasDRE[#All],6,FALSE))</f>
        <v>Fora do DRE</v>
      </c>
      <c r="U2750" s="3" t="str">
        <f>IF(ISERROR(VLOOKUP(Base_Periodo1[[#This Row],[CONTA]],BaseContasDRE[#All],7,FALSE)),"Fora do DRE",VLOOKUP(Base_Periodo1[[#This Row],[CONTA]],BaseContasDRE[#All],7,FALSE))</f>
        <v>Fora do DRE</v>
      </c>
      <c r="V2750" s="3" t="str">
        <f>IF(Base_Periodo1[[#This Row],[Tipo_Linha]]="Fora do DRE","Fora do DRE","( "&amp;Base_Periodo1[[#This Row],[Tipo_Linha]]&amp;" ) "&amp;Base_Periodo1[[#This Row],[Filtro]])</f>
        <v>Fora do DRE</v>
      </c>
      <c r="W2750" s="3" t="str">
        <f>LEFT(Base_Periodo1[[#This Row],[CLASS]],3)</f>
        <v>2.1</v>
      </c>
    </row>
    <row r="2751" spans="1:23" hidden="1">
      <c r="A2751" s="3" t="str">
        <f t="shared" si="42"/>
        <v>Período 1</v>
      </c>
      <c r="B2751">
        <v>2830</v>
      </c>
      <c r="C2751" t="s">
        <v>1745</v>
      </c>
      <c r="D2751" t="s">
        <v>1782</v>
      </c>
      <c r="E2751" s="3" t="str">
        <f>IF(LEN(Base_Periodo1[[#This Row],[CLASS]])&gt;=7,LEFT(Base_Periodo1[[#This Row],[CLASS]],7),"")</f>
        <v>2.1.2.1</v>
      </c>
      <c r="F2751" s="3" t="str">
        <f>VLOOKUP(Base_Periodo1[[#This Row],[Aux]],Base_Contas_Balanco[#All],2,FALSE)</f>
        <v>Fornecedores Cooperados</v>
      </c>
      <c r="G2751" s="1">
        <v>42866</v>
      </c>
      <c r="H2751" s="225">
        <v>3978.7800000000134</v>
      </c>
      <c r="I2751" s="225">
        <v>278</v>
      </c>
      <c r="J2751" s="225">
        <v>5936</v>
      </c>
      <c r="K2751" s="225">
        <v>9636.7800000000134</v>
      </c>
      <c r="L27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9636.7800000000007</v>
      </c>
      <c r="M2751" s="225">
        <f>ROUND(IF(AND(Base_Periodo1[[#This Row],[Tipo_Linha]]="-",Base_Periodo1[[#This Row],[TIPOSALDO]]="D"),Base_Periodo1[[#This Row],[SALDO_ATUAL]]*-1,Base_Periodo1[[#This Row],[SALDO_ATUAL]]),4)</f>
        <v>9636.7800000000007</v>
      </c>
      <c r="N2751" t="s">
        <v>116</v>
      </c>
      <c r="O2751" t="s">
        <v>459</v>
      </c>
      <c r="P2751" t="s">
        <v>459</v>
      </c>
      <c r="Q2751">
        <v>7</v>
      </c>
      <c r="R2751" s="225">
        <f>Base_Periodo1[[#This Row],[CREDITOS]]-Base_Periodo1[[#This Row],[DEBITOS]]</f>
        <v>5658</v>
      </c>
      <c r="S2751" s="3" t="str">
        <f>IF(ISERROR(VLOOKUP(Base_Periodo1[[#This Row],[CONTA]],BaseContasDRE[#All],4,FALSE)),"Fora do DRE",VLOOKUP(Base_Periodo1[[#This Row],[CONTA]],BaseContasDRE[#All],4,FALSE))</f>
        <v>Fora do DRE</v>
      </c>
      <c r="T2751" s="3" t="str">
        <f>IF(ISERROR(VLOOKUP(Base_Periodo1[[#This Row],[CONTA]],BaseContasDRE[#All],5,FALSE)),"Fora do DRE",VLOOKUP(Base_Periodo1[[#This Row],[CONTA]],BaseContasDRE[#All],6,FALSE))</f>
        <v>Fora do DRE</v>
      </c>
      <c r="U2751" s="3" t="str">
        <f>IF(ISERROR(VLOOKUP(Base_Periodo1[[#This Row],[CONTA]],BaseContasDRE[#All],7,FALSE)),"Fora do DRE",VLOOKUP(Base_Periodo1[[#This Row],[CONTA]],BaseContasDRE[#All],7,FALSE))</f>
        <v>Fora do DRE</v>
      </c>
      <c r="V2751" s="3" t="str">
        <f>IF(Base_Periodo1[[#This Row],[Tipo_Linha]]="Fora do DRE","Fora do DRE","( "&amp;Base_Periodo1[[#This Row],[Tipo_Linha]]&amp;" ) "&amp;Base_Periodo1[[#This Row],[Filtro]])</f>
        <v>Fora do DRE</v>
      </c>
      <c r="W2751" s="3" t="str">
        <f>LEFT(Base_Periodo1[[#This Row],[CLASS]],3)</f>
        <v>2.1</v>
      </c>
    </row>
    <row r="2752" spans="1:23" hidden="1">
      <c r="A2752" s="3" t="str">
        <f t="shared" si="42"/>
        <v>Período 1</v>
      </c>
      <c r="B2752">
        <v>17015</v>
      </c>
      <c r="C2752" t="s">
        <v>1745</v>
      </c>
      <c r="D2752" t="s">
        <v>4849</v>
      </c>
      <c r="E2752" s="3" t="str">
        <f>IF(LEN(Base_Periodo1[[#This Row],[CLASS]])&gt;=7,LEFT(Base_Periodo1[[#This Row],[CLASS]],7),"")</f>
        <v>2.1.2.1</v>
      </c>
      <c r="F2752" s="3" t="str">
        <f>VLOOKUP(Base_Periodo1[[#This Row],[Aux]],Base_Contas_Balanco[#All],2,FALSE)</f>
        <v>Fornecedores Cooperados</v>
      </c>
      <c r="G2752" s="1">
        <v>42759</v>
      </c>
      <c r="H2752" s="225">
        <v>3610.1000000000058</v>
      </c>
      <c r="I2752" s="225">
        <v>0</v>
      </c>
      <c r="J2752" s="225">
        <v>0</v>
      </c>
      <c r="K2752" s="225">
        <v>3610.1000000000058</v>
      </c>
      <c r="L27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3610.1</v>
      </c>
      <c r="M2752" s="225">
        <f>ROUND(IF(AND(Base_Periodo1[[#This Row],[Tipo_Linha]]="-",Base_Periodo1[[#This Row],[TIPOSALDO]]="D"),Base_Periodo1[[#This Row],[SALDO_ATUAL]]*-1,Base_Periodo1[[#This Row],[SALDO_ATUAL]]),4)</f>
        <v>3610.1</v>
      </c>
      <c r="N2752" t="s">
        <v>116</v>
      </c>
      <c r="O2752" t="s">
        <v>459</v>
      </c>
      <c r="P2752" t="s">
        <v>459</v>
      </c>
      <c r="Q2752">
        <v>7</v>
      </c>
      <c r="R2752" s="225">
        <f>Base_Periodo1[[#This Row],[CREDITOS]]-Base_Periodo1[[#This Row],[DEBITOS]]</f>
        <v>0</v>
      </c>
      <c r="S2752" s="3" t="str">
        <f>IF(ISERROR(VLOOKUP(Base_Periodo1[[#This Row],[CONTA]],BaseContasDRE[#All],4,FALSE)),"Fora do DRE",VLOOKUP(Base_Periodo1[[#This Row],[CONTA]],BaseContasDRE[#All],4,FALSE))</f>
        <v>Fora do DRE</v>
      </c>
      <c r="T2752" s="3" t="str">
        <f>IF(ISERROR(VLOOKUP(Base_Periodo1[[#This Row],[CONTA]],BaseContasDRE[#All],5,FALSE)),"Fora do DRE",VLOOKUP(Base_Periodo1[[#This Row],[CONTA]],BaseContasDRE[#All],6,FALSE))</f>
        <v>Fora do DRE</v>
      </c>
      <c r="U2752" s="3" t="str">
        <f>IF(ISERROR(VLOOKUP(Base_Periodo1[[#This Row],[CONTA]],BaseContasDRE[#All],7,FALSE)),"Fora do DRE",VLOOKUP(Base_Periodo1[[#This Row],[CONTA]],BaseContasDRE[#All],7,FALSE))</f>
        <v>Fora do DRE</v>
      </c>
      <c r="V2752" s="3" t="str">
        <f>IF(Base_Periodo1[[#This Row],[Tipo_Linha]]="Fora do DRE","Fora do DRE","( "&amp;Base_Periodo1[[#This Row],[Tipo_Linha]]&amp;" ) "&amp;Base_Periodo1[[#This Row],[Filtro]])</f>
        <v>Fora do DRE</v>
      </c>
      <c r="W2752" s="3" t="str">
        <f>LEFT(Base_Periodo1[[#This Row],[CLASS]],3)</f>
        <v>2.1</v>
      </c>
    </row>
    <row r="2753" spans="1:23" hidden="1">
      <c r="A2753" s="3" t="str">
        <f t="shared" si="42"/>
        <v>Período 1</v>
      </c>
      <c r="B2753">
        <v>47588</v>
      </c>
      <c r="C2753" t="s">
        <v>1745</v>
      </c>
      <c r="D2753" t="s">
        <v>1783</v>
      </c>
      <c r="E2753" s="3" t="str">
        <f>IF(LEN(Base_Periodo1[[#This Row],[CLASS]])&gt;=7,LEFT(Base_Periodo1[[#This Row],[CLASS]],7),"")</f>
        <v>2.1.2.1</v>
      </c>
      <c r="F2753" s="3" t="str">
        <f>VLOOKUP(Base_Periodo1[[#This Row],[Aux]],Base_Contas_Balanco[#All],2,FALSE)</f>
        <v>Fornecedores Cooperados</v>
      </c>
      <c r="G2753" s="1">
        <v>42744</v>
      </c>
      <c r="H2753" s="225">
        <v>48.829999999999927</v>
      </c>
      <c r="I2753" s="225">
        <v>0</v>
      </c>
      <c r="J2753" s="225">
        <v>0</v>
      </c>
      <c r="K2753" s="225">
        <v>48.829999999999927</v>
      </c>
      <c r="L27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48.83</v>
      </c>
      <c r="M2753" s="225">
        <f>ROUND(IF(AND(Base_Periodo1[[#This Row],[Tipo_Linha]]="-",Base_Periodo1[[#This Row],[TIPOSALDO]]="D"),Base_Periodo1[[#This Row],[SALDO_ATUAL]]*-1,Base_Periodo1[[#This Row],[SALDO_ATUAL]]),4)</f>
        <v>48.83</v>
      </c>
      <c r="N2753" t="s">
        <v>116</v>
      </c>
      <c r="O2753" t="s">
        <v>459</v>
      </c>
      <c r="P2753" t="s">
        <v>459</v>
      </c>
      <c r="Q2753">
        <v>7</v>
      </c>
      <c r="R2753" s="225">
        <f>Base_Periodo1[[#This Row],[CREDITOS]]-Base_Periodo1[[#This Row],[DEBITOS]]</f>
        <v>0</v>
      </c>
      <c r="S2753" s="3" t="str">
        <f>IF(ISERROR(VLOOKUP(Base_Periodo1[[#This Row],[CONTA]],BaseContasDRE[#All],4,FALSE)),"Fora do DRE",VLOOKUP(Base_Periodo1[[#This Row],[CONTA]],BaseContasDRE[#All],4,FALSE))</f>
        <v>Fora do DRE</v>
      </c>
      <c r="T2753" s="3" t="str">
        <f>IF(ISERROR(VLOOKUP(Base_Periodo1[[#This Row],[CONTA]],BaseContasDRE[#All],5,FALSE)),"Fora do DRE",VLOOKUP(Base_Periodo1[[#This Row],[CONTA]],BaseContasDRE[#All],6,FALSE))</f>
        <v>Fora do DRE</v>
      </c>
      <c r="U2753" s="3" t="str">
        <f>IF(ISERROR(VLOOKUP(Base_Periodo1[[#This Row],[CONTA]],BaseContasDRE[#All],7,FALSE)),"Fora do DRE",VLOOKUP(Base_Periodo1[[#This Row],[CONTA]],BaseContasDRE[#All],7,FALSE))</f>
        <v>Fora do DRE</v>
      </c>
      <c r="V2753" s="3" t="str">
        <f>IF(Base_Periodo1[[#This Row],[Tipo_Linha]]="Fora do DRE","Fora do DRE","( "&amp;Base_Periodo1[[#This Row],[Tipo_Linha]]&amp;" ) "&amp;Base_Periodo1[[#This Row],[Filtro]])</f>
        <v>Fora do DRE</v>
      </c>
      <c r="W2753" s="3" t="str">
        <f>LEFT(Base_Periodo1[[#This Row],[CLASS]],3)</f>
        <v>2.1</v>
      </c>
    </row>
    <row r="2754" spans="1:23" hidden="1">
      <c r="A2754" s="3" t="str">
        <f t="shared" si="42"/>
        <v>Período 1</v>
      </c>
      <c r="B2754">
        <v>8117</v>
      </c>
      <c r="C2754" t="s">
        <v>1745</v>
      </c>
      <c r="D2754" t="s">
        <v>1784</v>
      </c>
      <c r="E2754" s="3" t="str">
        <f>IF(LEN(Base_Periodo1[[#This Row],[CLASS]])&gt;=7,LEFT(Base_Periodo1[[#This Row],[CLASS]],7),"")</f>
        <v>2.1.2.1</v>
      </c>
      <c r="F2754" s="3" t="str">
        <f>VLOOKUP(Base_Periodo1[[#This Row],[Aux]],Base_Contas_Balanco[#All],2,FALSE)</f>
        <v>Fornecedores Cooperados</v>
      </c>
      <c r="G2754" s="1">
        <v>42779</v>
      </c>
      <c r="H2754" s="225">
        <v>2462.7800000002026</v>
      </c>
      <c r="I2754" s="225">
        <v>0</v>
      </c>
      <c r="J2754" s="225">
        <v>0</v>
      </c>
      <c r="K2754" s="225">
        <v>2462.7800000002026</v>
      </c>
      <c r="L27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2462.7800000000002</v>
      </c>
      <c r="M2754" s="225">
        <f>ROUND(IF(AND(Base_Periodo1[[#This Row],[Tipo_Linha]]="-",Base_Periodo1[[#This Row],[TIPOSALDO]]="D"),Base_Periodo1[[#This Row],[SALDO_ATUAL]]*-1,Base_Periodo1[[#This Row],[SALDO_ATUAL]]),4)</f>
        <v>2462.7800000000002</v>
      </c>
      <c r="N2754" t="s">
        <v>116</v>
      </c>
      <c r="O2754" t="s">
        <v>459</v>
      </c>
      <c r="P2754" t="s">
        <v>459</v>
      </c>
      <c r="Q2754">
        <v>7</v>
      </c>
      <c r="R2754" s="225">
        <f>Base_Periodo1[[#This Row],[CREDITOS]]-Base_Periodo1[[#This Row],[DEBITOS]]</f>
        <v>0</v>
      </c>
      <c r="S2754" s="3" t="str">
        <f>IF(ISERROR(VLOOKUP(Base_Periodo1[[#This Row],[CONTA]],BaseContasDRE[#All],4,FALSE)),"Fora do DRE",VLOOKUP(Base_Periodo1[[#This Row],[CONTA]],BaseContasDRE[#All],4,FALSE))</f>
        <v>Fora do DRE</v>
      </c>
      <c r="T2754" s="3" t="str">
        <f>IF(ISERROR(VLOOKUP(Base_Periodo1[[#This Row],[CONTA]],BaseContasDRE[#All],5,FALSE)),"Fora do DRE",VLOOKUP(Base_Periodo1[[#This Row],[CONTA]],BaseContasDRE[#All],6,FALSE))</f>
        <v>Fora do DRE</v>
      </c>
      <c r="U2754" s="3" t="str">
        <f>IF(ISERROR(VLOOKUP(Base_Periodo1[[#This Row],[CONTA]],BaseContasDRE[#All],7,FALSE)),"Fora do DRE",VLOOKUP(Base_Periodo1[[#This Row],[CONTA]],BaseContasDRE[#All],7,FALSE))</f>
        <v>Fora do DRE</v>
      </c>
      <c r="V2754" s="3" t="str">
        <f>IF(Base_Periodo1[[#This Row],[Tipo_Linha]]="Fora do DRE","Fora do DRE","( "&amp;Base_Periodo1[[#This Row],[Tipo_Linha]]&amp;" ) "&amp;Base_Periodo1[[#This Row],[Filtro]])</f>
        <v>Fora do DRE</v>
      </c>
      <c r="W2754" s="3" t="str">
        <f>LEFT(Base_Periodo1[[#This Row],[CLASS]],3)</f>
        <v>2.1</v>
      </c>
    </row>
    <row r="2755" spans="1:23" hidden="1">
      <c r="A2755" s="3" t="str">
        <f t="shared" si="42"/>
        <v>Período 1</v>
      </c>
      <c r="B2755">
        <v>3442</v>
      </c>
      <c r="C2755" t="s">
        <v>1745</v>
      </c>
      <c r="D2755" t="s">
        <v>1785</v>
      </c>
      <c r="E2755" s="3" t="str">
        <f>IF(LEN(Base_Periodo1[[#This Row],[CLASS]])&gt;=7,LEFT(Base_Periodo1[[#This Row],[CLASS]],7),"")</f>
        <v>2.1.2.1</v>
      </c>
      <c r="F2755" s="3" t="str">
        <f>VLOOKUP(Base_Periodo1[[#This Row],[Aux]],Base_Contas_Balanco[#All],2,FALSE)</f>
        <v>Fornecedores Cooperados</v>
      </c>
      <c r="G2755" s="1">
        <v>42754</v>
      </c>
      <c r="H2755" s="225">
        <v>1123.5499999999302</v>
      </c>
      <c r="I2755" s="225">
        <v>0</v>
      </c>
      <c r="J2755" s="225">
        <v>0</v>
      </c>
      <c r="K2755" s="225">
        <v>1123.5499999999302</v>
      </c>
      <c r="L27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1123.55</v>
      </c>
      <c r="M2755" s="225">
        <f>ROUND(IF(AND(Base_Periodo1[[#This Row],[Tipo_Linha]]="-",Base_Periodo1[[#This Row],[TIPOSALDO]]="D"),Base_Periodo1[[#This Row],[SALDO_ATUAL]]*-1,Base_Periodo1[[#This Row],[SALDO_ATUAL]]),4)</f>
        <v>1123.55</v>
      </c>
      <c r="N2755" t="s">
        <v>116</v>
      </c>
      <c r="O2755" t="s">
        <v>459</v>
      </c>
      <c r="P2755" t="s">
        <v>459</v>
      </c>
      <c r="Q2755">
        <v>7</v>
      </c>
      <c r="R2755" s="225">
        <f>Base_Periodo1[[#This Row],[CREDITOS]]-Base_Periodo1[[#This Row],[DEBITOS]]</f>
        <v>0</v>
      </c>
      <c r="S2755" s="3" t="str">
        <f>IF(ISERROR(VLOOKUP(Base_Periodo1[[#This Row],[CONTA]],BaseContasDRE[#All],4,FALSE)),"Fora do DRE",VLOOKUP(Base_Periodo1[[#This Row],[CONTA]],BaseContasDRE[#All],4,FALSE))</f>
        <v>Fora do DRE</v>
      </c>
      <c r="T2755" s="3" t="str">
        <f>IF(ISERROR(VLOOKUP(Base_Periodo1[[#This Row],[CONTA]],BaseContasDRE[#All],5,FALSE)),"Fora do DRE",VLOOKUP(Base_Periodo1[[#This Row],[CONTA]],BaseContasDRE[#All],6,FALSE))</f>
        <v>Fora do DRE</v>
      </c>
      <c r="U2755" s="3" t="str">
        <f>IF(ISERROR(VLOOKUP(Base_Periodo1[[#This Row],[CONTA]],BaseContasDRE[#All],7,FALSE)),"Fora do DRE",VLOOKUP(Base_Periodo1[[#This Row],[CONTA]],BaseContasDRE[#All],7,FALSE))</f>
        <v>Fora do DRE</v>
      </c>
      <c r="V2755" s="3" t="str">
        <f>IF(Base_Periodo1[[#This Row],[Tipo_Linha]]="Fora do DRE","Fora do DRE","( "&amp;Base_Periodo1[[#This Row],[Tipo_Linha]]&amp;" ) "&amp;Base_Periodo1[[#This Row],[Filtro]])</f>
        <v>Fora do DRE</v>
      </c>
      <c r="W2755" s="3" t="str">
        <f>LEFT(Base_Periodo1[[#This Row],[CLASS]],3)</f>
        <v>2.1</v>
      </c>
    </row>
    <row r="2756" spans="1:23" hidden="1">
      <c r="A2756" s="3" t="str">
        <f t="shared" si="42"/>
        <v>Período 1</v>
      </c>
      <c r="B2756">
        <v>12421</v>
      </c>
      <c r="C2756" t="s">
        <v>1745</v>
      </c>
      <c r="D2756" t="s">
        <v>1786</v>
      </c>
      <c r="E2756" s="3" t="str">
        <f>IF(LEN(Base_Periodo1[[#This Row],[CLASS]])&gt;=7,LEFT(Base_Periodo1[[#This Row],[CLASS]],7),"")</f>
        <v>2.1.2.1</v>
      </c>
      <c r="F2756" s="3" t="str">
        <f>VLOOKUP(Base_Periodo1[[#This Row],[Aux]],Base_Contas_Balanco[#All],2,FALSE)</f>
        <v>Fornecedores Cooperados</v>
      </c>
      <c r="G2756" s="1">
        <v>42025</v>
      </c>
      <c r="H2756" s="225">
        <v>1024</v>
      </c>
      <c r="I2756" s="225">
        <v>0</v>
      </c>
      <c r="J2756" s="225">
        <v>0</v>
      </c>
      <c r="K2756" s="225">
        <v>1024</v>
      </c>
      <c r="L27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1024</v>
      </c>
      <c r="M2756" s="225">
        <f>ROUND(IF(AND(Base_Periodo1[[#This Row],[Tipo_Linha]]="-",Base_Periodo1[[#This Row],[TIPOSALDO]]="D"),Base_Periodo1[[#This Row],[SALDO_ATUAL]]*-1,Base_Periodo1[[#This Row],[SALDO_ATUAL]]),4)</f>
        <v>1024</v>
      </c>
      <c r="N2756" t="s">
        <v>116</v>
      </c>
      <c r="O2756" t="s">
        <v>459</v>
      </c>
      <c r="P2756" t="s">
        <v>459</v>
      </c>
      <c r="Q2756">
        <v>7</v>
      </c>
      <c r="R2756" s="225">
        <f>Base_Periodo1[[#This Row],[CREDITOS]]-Base_Periodo1[[#This Row],[DEBITOS]]</f>
        <v>0</v>
      </c>
      <c r="S2756" s="3" t="str">
        <f>IF(ISERROR(VLOOKUP(Base_Periodo1[[#This Row],[CONTA]],BaseContasDRE[#All],4,FALSE)),"Fora do DRE",VLOOKUP(Base_Periodo1[[#This Row],[CONTA]],BaseContasDRE[#All],4,FALSE))</f>
        <v>Fora do DRE</v>
      </c>
      <c r="T2756" s="3" t="str">
        <f>IF(ISERROR(VLOOKUP(Base_Periodo1[[#This Row],[CONTA]],BaseContasDRE[#All],5,FALSE)),"Fora do DRE",VLOOKUP(Base_Periodo1[[#This Row],[CONTA]],BaseContasDRE[#All],6,FALSE))</f>
        <v>Fora do DRE</v>
      </c>
      <c r="U2756" s="3" t="str">
        <f>IF(ISERROR(VLOOKUP(Base_Periodo1[[#This Row],[CONTA]],BaseContasDRE[#All],7,FALSE)),"Fora do DRE",VLOOKUP(Base_Periodo1[[#This Row],[CONTA]],BaseContasDRE[#All],7,FALSE))</f>
        <v>Fora do DRE</v>
      </c>
      <c r="V2756" s="3" t="str">
        <f>IF(Base_Periodo1[[#This Row],[Tipo_Linha]]="Fora do DRE","Fora do DRE","( "&amp;Base_Periodo1[[#This Row],[Tipo_Linha]]&amp;" ) "&amp;Base_Periodo1[[#This Row],[Filtro]])</f>
        <v>Fora do DRE</v>
      </c>
      <c r="W2756" s="3" t="str">
        <f>LEFT(Base_Periodo1[[#This Row],[CLASS]],3)</f>
        <v>2.1</v>
      </c>
    </row>
    <row r="2757" spans="1:23" hidden="1">
      <c r="A2757" s="3" t="str">
        <f t="shared" si="42"/>
        <v>Período 1</v>
      </c>
      <c r="B2757">
        <v>34543</v>
      </c>
      <c r="C2757" t="s">
        <v>1745</v>
      </c>
      <c r="D2757" t="s">
        <v>1787</v>
      </c>
      <c r="E2757" s="3" t="str">
        <f>IF(LEN(Base_Periodo1[[#This Row],[CLASS]])&gt;=7,LEFT(Base_Periodo1[[#This Row],[CLASS]],7),"")</f>
        <v>2.1.2.1</v>
      </c>
      <c r="F2757" s="3" t="str">
        <f>VLOOKUP(Base_Periodo1[[#This Row],[Aux]],Base_Contas_Balanco[#All],2,FALSE)</f>
        <v>Fornecedores Cooperados</v>
      </c>
      <c r="G2757" s="1">
        <v>42665</v>
      </c>
      <c r="H2757" s="225">
        <v>523.94999999999709</v>
      </c>
      <c r="I2757" s="225">
        <v>0</v>
      </c>
      <c r="J2757" s="225">
        <v>0</v>
      </c>
      <c r="K2757" s="225">
        <v>523.94999999999709</v>
      </c>
      <c r="L27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523.95000000000005</v>
      </c>
      <c r="M2757" s="225">
        <f>ROUND(IF(AND(Base_Periodo1[[#This Row],[Tipo_Linha]]="-",Base_Periodo1[[#This Row],[TIPOSALDO]]="D"),Base_Periodo1[[#This Row],[SALDO_ATUAL]]*-1,Base_Periodo1[[#This Row],[SALDO_ATUAL]]),4)</f>
        <v>523.95000000000005</v>
      </c>
      <c r="N2757" t="s">
        <v>116</v>
      </c>
      <c r="O2757" t="s">
        <v>459</v>
      </c>
      <c r="P2757" t="s">
        <v>459</v>
      </c>
      <c r="Q2757">
        <v>7</v>
      </c>
      <c r="R2757" s="225">
        <f>Base_Periodo1[[#This Row],[CREDITOS]]-Base_Periodo1[[#This Row],[DEBITOS]]</f>
        <v>0</v>
      </c>
      <c r="S2757" s="3" t="str">
        <f>IF(ISERROR(VLOOKUP(Base_Periodo1[[#This Row],[CONTA]],BaseContasDRE[#All],4,FALSE)),"Fora do DRE",VLOOKUP(Base_Periodo1[[#This Row],[CONTA]],BaseContasDRE[#All],4,FALSE))</f>
        <v>Fora do DRE</v>
      </c>
      <c r="T2757" s="3" t="str">
        <f>IF(ISERROR(VLOOKUP(Base_Periodo1[[#This Row],[CONTA]],BaseContasDRE[#All],5,FALSE)),"Fora do DRE",VLOOKUP(Base_Periodo1[[#This Row],[CONTA]],BaseContasDRE[#All],6,FALSE))</f>
        <v>Fora do DRE</v>
      </c>
      <c r="U2757" s="3" t="str">
        <f>IF(ISERROR(VLOOKUP(Base_Periodo1[[#This Row],[CONTA]],BaseContasDRE[#All],7,FALSE)),"Fora do DRE",VLOOKUP(Base_Periodo1[[#This Row],[CONTA]],BaseContasDRE[#All],7,FALSE))</f>
        <v>Fora do DRE</v>
      </c>
      <c r="V2757" s="3" t="str">
        <f>IF(Base_Periodo1[[#This Row],[Tipo_Linha]]="Fora do DRE","Fora do DRE","( "&amp;Base_Periodo1[[#This Row],[Tipo_Linha]]&amp;" ) "&amp;Base_Periodo1[[#This Row],[Filtro]])</f>
        <v>Fora do DRE</v>
      </c>
      <c r="W2757" s="3" t="str">
        <f>LEFT(Base_Periodo1[[#This Row],[CLASS]],3)</f>
        <v>2.1</v>
      </c>
    </row>
    <row r="2758" spans="1:23" hidden="1">
      <c r="A2758" s="3" t="str">
        <f t="shared" ref="A2758:A2821" si="43">"Período 1"</f>
        <v>Período 1</v>
      </c>
      <c r="B2758">
        <v>55886</v>
      </c>
      <c r="C2758" t="s">
        <v>1745</v>
      </c>
      <c r="D2758" t="s">
        <v>5444</v>
      </c>
      <c r="E2758" s="3" t="str">
        <f>IF(LEN(Base_Periodo1[[#This Row],[CLASS]])&gt;=7,LEFT(Base_Periodo1[[#This Row],[CLASS]],7),"")</f>
        <v>2.1.2.1</v>
      </c>
      <c r="F2758" s="3" t="str">
        <f>VLOOKUP(Base_Periodo1[[#This Row],[Aux]],Base_Contas_Balanco[#All],2,FALSE)</f>
        <v>Fornecedores Cooperados</v>
      </c>
      <c r="G2758" s="1"/>
      <c r="H2758" s="225">
        <v>191.9</v>
      </c>
      <c r="I2758" s="225">
        <v>0</v>
      </c>
      <c r="J2758" s="225">
        <v>0</v>
      </c>
      <c r="K2758" s="225">
        <v>191.9</v>
      </c>
      <c r="L27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191.9</v>
      </c>
      <c r="M2758" s="225">
        <f>ROUND(IF(AND(Base_Periodo1[[#This Row],[Tipo_Linha]]="-",Base_Periodo1[[#This Row],[TIPOSALDO]]="D"),Base_Periodo1[[#This Row],[SALDO_ATUAL]]*-1,Base_Periodo1[[#This Row],[SALDO_ATUAL]]),4)</f>
        <v>191.9</v>
      </c>
      <c r="N2758" t="s">
        <v>116</v>
      </c>
      <c r="O2758" t="s">
        <v>459</v>
      </c>
      <c r="P2758" t="s">
        <v>459</v>
      </c>
      <c r="Q2758">
        <v>7</v>
      </c>
      <c r="R2758" s="225">
        <f>Base_Periodo1[[#This Row],[CREDITOS]]-Base_Periodo1[[#This Row],[DEBITOS]]</f>
        <v>0</v>
      </c>
      <c r="S2758" s="3" t="str">
        <f>IF(ISERROR(VLOOKUP(Base_Periodo1[[#This Row],[CONTA]],BaseContasDRE[#All],4,FALSE)),"Fora do DRE",VLOOKUP(Base_Periodo1[[#This Row],[CONTA]],BaseContasDRE[#All],4,FALSE))</f>
        <v>Fora do DRE</v>
      </c>
      <c r="T2758" s="3" t="str">
        <f>IF(ISERROR(VLOOKUP(Base_Periodo1[[#This Row],[CONTA]],BaseContasDRE[#All],5,FALSE)),"Fora do DRE",VLOOKUP(Base_Periodo1[[#This Row],[CONTA]],BaseContasDRE[#All],6,FALSE))</f>
        <v>Fora do DRE</v>
      </c>
      <c r="U2758" s="3" t="str">
        <f>IF(ISERROR(VLOOKUP(Base_Periodo1[[#This Row],[CONTA]],BaseContasDRE[#All],7,FALSE)),"Fora do DRE",VLOOKUP(Base_Periodo1[[#This Row],[CONTA]],BaseContasDRE[#All],7,FALSE))</f>
        <v>Fora do DRE</v>
      </c>
      <c r="V2758" s="3" t="str">
        <f>IF(Base_Periodo1[[#This Row],[Tipo_Linha]]="Fora do DRE","Fora do DRE","( "&amp;Base_Periodo1[[#This Row],[Tipo_Linha]]&amp;" ) "&amp;Base_Periodo1[[#This Row],[Filtro]])</f>
        <v>Fora do DRE</v>
      </c>
      <c r="W2758" s="3" t="str">
        <f>LEFT(Base_Periodo1[[#This Row],[CLASS]],3)</f>
        <v>2.1</v>
      </c>
    </row>
    <row r="2759" spans="1:23" hidden="1">
      <c r="A2759" s="3" t="str">
        <f t="shared" si="43"/>
        <v>Período 1</v>
      </c>
      <c r="B2759">
        <v>4174</v>
      </c>
      <c r="C2759" t="s">
        <v>1745</v>
      </c>
      <c r="D2759" t="s">
        <v>1788</v>
      </c>
      <c r="E2759" s="3" t="str">
        <f>IF(LEN(Base_Periodo1[[#This Row],[CLASS]])&gt;=7,LEFT(Base_Periodo1[[#This Row],[CLASS]],7),"")</f>
        <v>2.1.2.1</v>
      </c>
      <c r="F2759" s="3" t="str">
        <f>VLOOKUP(Base_Periodo1[[#This Row],[Aux]],Base_Contas_Balanco[#All],2,FALSE)</f>
        <v>Fornecedores Cooperados</v>
      </c>
      <c r="G2759" s="1">
        <v>42674</v>
      </c>
      <c r="H2759" s="225">
        <v>25.069999999992433</v>
      </c>
      <c r="I2759" s="225">
        <v>0</v>
      </c>
      <c r="J2759" s="225">
        <v>0</v>
      </c>
      <c r="K2759" s="225">
        <v>25.069999999992433</v>
      </c>
      <c r="L27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25.07</v>
      </c>
      <c r="M2759" s="225">
        <f>ROUND(IF(AND(Base_Periodo1[[#This Row],[Tipo_Linha]]="-",Base_Periodo1[[#This Row],[TIPOSALDO]]="D"),Base_Periodo1[[#This Row],[SALDO_ATUAL]]*-1,Base_Periodo1[[#This Row],[SALDO_ATUAL]]),4)</f>
        <v>25.07</v>
      </c>
      <c r="N2759" t="s">
        <v>116</v>
      </c>
      <c r="O2759" t="s">
        <v>459</v>
      </c>
      <c r="P2759" t="s">
        <v>459</v>
      </c>
      <c r="Q2759">
        <v>7</v>
      </c>
      <c r="R2759" s="225">
        <f>Base_Periodo1[[#This Row],[CREDITOS]]-Base_Periodo1[[#This Row],[DEBITOS]]</f>
        <v>0</v>
      </c>
      <c r="S2759" s="3" t="str">
        <f>IF(ISERROR(VLOOKUP(Base_Periodo1[[#This Row],[CONTA]],BaseContasDRE[#All],4,FALSE)),"Fora do DRE",VLOOKUP(Base_Periodo1[[#This Row],[CONTA]],BaseContasDRE[#All],4,FALSE))</f>
        <v>Fora do DRE</v>
      </c>
      <c r="T2759" s="3" t="str">
        <f>IF(ISERROR(VLOOKUP(Base_Periodo1[[#This Row],[CONTA]],BaseContasDRE[#All],5,FALSE)),"Fora do DRE",VLOOKUP(Base_Periodo1[[#This Row],[CONTA]],BaseContasDRE[#All],6,FALSE))</f>
        <v>Fora do DRE</v>
      </c>
      <c r="U2759" s="3" t="str">
        <f>IF(ISERROR(VLOOKUP(Base_Periodo1[[#This Row],[CONTA]],BaseContasDRE[#All],7,FALSE)),"Fora do DRE",VLOOKUP(Base_Periodo1[[#This Row],[CONTA]],BaseContasDRE[#All],7,FALSE))</f>
        <v>Fora do DRE</v>
      </c>
      <c r="V2759" s="3" t="str">
        <f>IF(Base_Periodo1[[#This Row],[Tipo_Linha]]="Fora do DRE","Fora do DRE","( "&amp;Base_Periodo1[[#This Row],[Tipo_Linha]]&amp;" ) "&amp;Base_Periodo1[[#This Row],[Filtro]])</f>
        <v>Fora do DRE</v>
      </c>
      <c r="W2759" s="3" t="str">
        <f>LEFT(Base_Periodo1[[#This Row],[CLASS]],3)</f>
        <v>2.1</v>
      </c>
    </row>
    <row r="2760" spans="1:23" hidden="1">
      <c r="A2760" s="3" t="str">
        <f t="shared" si="43"/>
        <v>Período 1</v>
      </c>
      <c r="B2760">
        <v>3914</v>
      </c>
      <c r="C2760" t="s">
        <v>1745</v>
      </c>
      <c r="D2760" t="s">
        <v>1789</v>
      </c>
      <c r="E2760" s="3" t="str">
        <f>IF(LEN(Base_Periodo1[[#This Row],[CLASS]])&gt;=7,LEFT(Base_Periodo1[[#This Row],[CLASS]],7),"")</f>
        <v>2.1.2.1</v>
      </c>
      <c r="F2760" s="3" t="str">
        <f>VLOOKUP(Base_Periodo1[[#This Row],[Aux]],Base_Contas_Balanco[#All],2,FALSE)</f>
        <v>Fornecedores Cooperados</v>
      </c>
      <c r="G2760" s="1">
        <v>42830</v>
      </c>
      <c r="H2760" s="225">
        <v>12899.089999999967</v>
      </c>
      <c r="I2760" s="225">
        <v>0</v>
      </c>
      <c r="J2760" s="225">
        <v>0</v>
      </c>
      <c r="K2760" s="225">
        <v>12899.089999999967</v>
      </c>
      <c r="L27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12899.09</v>
      </c>
      <c r="M2760" s="225">
        <f>ROUND(IF(AND(Base_Periodo1[[#This Row],[Tipo_Linha]]="-",Base_Periodo1[[#This Row],[TIPOSALDO]]="D"),Base_Periodo1[[#This Row],[SALDO_ATUAL]]*-1,Base_Periodo1[[#This Row],[SALDO_ATUAL]]),4)</f>
        <v>12899.09</v>
      </c>
      <c r="N2760" t="s">
        <v>116</v>
      </c>
      <c r="O2760" t="s">
        <v>459</v>
      </c>
      <c r="P2760" t="s">
        <v>459</v>
      </c>
      <c r="Q2760">
        <v>7</v>
      </c>
      <c r="R2760" s="225">
        <f>Base_Periodo1[[#This Row],[CREDITOS]]-Base_Periodo1[[#This Row],[DEBITOS]]</f>
        <v>0</v>
      </c>
      <c r="S2760" s="3" t="str">
        <f>IF(ISERROR(VLOOKUP(Base_Periodo1[[#This Row],[CONTA]],BaseContasDRE[#All],4,FALSE)),"Fora do DRE",VLOOKUP(Base_Periodo1[[#This Row],[CONTA]],BaseContasDRE[#All],4,FALSE))</f>
        <v>Fora do DRE</v>
      </c>
      <c r="T2760" s="3" t="str">
        <f>IF(ISERROR(VLOOKUP(Base_Periodo1[[#This Row],[CONTA]],BaseContasDRE[#All],5,FALSE)),"Fora do DRE",VLOOKUP(Base_Periodo1[[#This Row],[CONTA]],BaseContasDRE[#All],6,FALSE))</f>
        <v>Fora do DRE</v>
      </c>
      <c r="U2760" s="3" t="str">
        <f>IF(ISERROR(VLOOKUP(Base_Periodo1[[#This Row],[CONTA]],BaseContasDRE[#All],7,FALSE)),"Fora do DRE",VLOOKUP(Base_Periodo1[[#This Row],[CONTA]],BaseContasDRE[#All],7,FALSE))</f>
        <v>Fora do DRE</v>
      </c>
      <c r="V2760" s="3" t="str">
        <f>IF(Base_Periodo1[[#This Row],[Tipo_Linha]]="Fora do DRE","Fora do DRE","( "&amp;Base_Periodo1[[#This Row],[Tipo_Linha]]&amp;" ) "&amp;Base_Periodo1[[#This Row],[Filtro]])</f>
        <v>Fora do DRE</v>
      </c>
      <c r="W2760" s="3" t="str">
        <f>LEFT(Base_Periodo1[[#This Row],[CLASS]],3)</f>
        <v>2.1</v>
      </c>
    </row>
    <row r="2761" spans="1:23" hidden="1">
      <c r="A2761" s="3" t="str">
        <f t="shared" si="43"/>
        <v>Período 1</v>
      </c>
      <c r="B2761">
        <v>39316</v>
      </c>
      <c r="C2761" t="s">
        <v>1745</v>
      </c>
      <c r="D2761" t="s">
        <v>6865</v>
      </c>
      <c r="E2761" s="3" t="str">
        <f>IF(LEN(Base_Periodo1[[#This Row],[CLASS]])&gt;=7,LEFT(Base_Periodo1[[#This Row],[CLASS]],7),"")</f>
        <v>2.1.2.1</v>
      </c>
      <c r="F2761" s="3" t="str">
        <f>VLOOKUP(Base_Periodo1[[#This Row],[Aux]],Base_Contas_Balanco[#All],2,FALSE)</f>
        <v>Fornecedores Cooperados</v>
      </c>
      <c r="G2761" s="1">
        <v>42865</v>
      </c>
      <c r="I2761" s="225">
        <v>0</v>
      </c>
      <c r="J2761" s="225">
        <v>3810.3</v>
      </c>
      <c r="K2761" s="225">
        <v>3810.3</v>
      </c>
      <c r="L27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3810.3</v>
      </c>
      <c r="M2761" s="225">
        <f>ROUND(IF(AND(Base_Periodo1[[#This Row],[Tipo_Linha]]="-",Base_Periodo1[[#This Row],[TIPOSALDO]]="D"),Base_Periodo1[[#This Row],[SALDO_ATUAL]]*-1,Base_Periodo1[[#This Row],[SALDO_ATUAL]]),4)</f>
        <v>3810.3</v>
      </c>
      <c r="N2761" t="s">
        <v>116</v>
      </c>
      <c r="O2761" t="s">
        <v>436</v>
      </c>
      <c r="P2761" t="s">
        <v>459</v>
      </c>
      <c r="Q2761">
        <v>7</v>
      </c>
      <c r="R2761" s="225">
        <f>Base_Periodo1[[#This Row],[CREDITOS]]-Base_Periodo1[[#This Row],[DEBITOS]]</f>
        <v>3810.3</v>
      </c>
      <c r="S2761" s="3" t="str">
        <f>IF(ISERROR(VLOOKUP(Base_Periodo1[[#This Row],[CONTA]],BaseContasDRE[#All],4,FALSE)),"Fora do DRE",VLOOKUP(Base_Periodo1[[#This Row],[CONTA]],BaseContasDRE[#All],4,FALSE))</f>
        <v>Fora do DRE</v>
      </c>
      <c r="T2761" s="3" t="str">
        <f>IF(ISERROR(VLOOKUP(Base_Periodo1[[#This Row],[CONTA]],BaseContasDRE[#All],5,FALSE)),"Fora do DRE",VLOOKUP(Base_Periodo1[[#This Row],[CONTA]],BaseContasDRE[#All],6,FALSE))</f>
        <v>Fora do DRE</v>
      </c>
      <c r="U2761" s="3" t="str">
        <f>IF(ISERROR(VLOOKUP(Base_Periodo1[[#This Row],[CONTA]],BaseContasDRE[#All],7,FALSE)),"Fora do DRE",VLOOKUP(Base_Periodo1[[#This Row],[CONTA]],BaseContasDRE[#All],7,FALSE))</f>
        <v>Fora do DRE</v>
      </c>
      <c r="V2761" s="3" t="str">
        <f>IF(Base_Periodo1[[#This Row],[Tipo_Linha]]="Fora do DRE","Fora do DRE","( "&amp;Base_Periodo1[[#This Row],[Tipo_Linha]]&amp;" ) "&amp;Base_Periodo1[[#This Row],[Filtro]])</f>
        <v>Fora do DRE</v>
      </c>
      <c r="W2761" s="3" t="str">
        <f>LEFT(Base_Periodo1[[#This Row],[CLASS]],3)</f>
        <v>2.1</v>
      </c>
    </row>
    <row r="2762" spans="1:23" hidden="1">
      <c r="A2762" s="3" t="str">
        <f t="shared" si="43"/>
        <v>Período 1</v>
      </c>
      <c r="B2762">
        <v>3910</v>
      </c>
      <c r="C2762" t="s">
        <v>1745</v>
      </c>
      <c r="D2762" t="s">
        <v>1790</v>
      </c>
      <c r="E2762" s="3" t="str">
        <f>IF(LEN(Base_Periodo1[[#This Row],[CLASS]])&gt;=7,LEFT(Base_Periodo1[[#This Row],[CLASS]],7),"")</f>
        <v>2.1.2.1</v>
      </c>
      <c r="F2762" s="3" t="str">
        <f>VLOOKUP(Base_Periodo1[[#This Row],[Aux]],Base_Contas_Balanco[#All],2,FALSE)</f>
        <v>Fornecedores Cooperados</v>
      </c>
      <c r="G2762" s="1">
        <v>42809</v>
      </c>
      <c r="H2762" s="225">
        <v>8131.690000000177</v>
      </c>
      <c r="I2762" s="225">
        <v>0</v>
      </c>
      <c r="J2762" s="225">
        <v>0</v>
      </c>
      <c r="K2762" s="225">
        <v>8131.690000000177</v>
      </c>
      <c r="L27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8131.69</v>
      </c>
      <c r="M2762" s="225">
        <f>ROUND(IF(AND(Base_Periodo1[[#This Row],[Tipo_Linha]]="-",Base_Periodo1[[#This Row],[TIPOSALDO]]="D"),Base_Periodo1[[#This Row],[SALDO_ATUAL]]*-1,Base_Periodo1[[#This Row],[SALDO_ATUAL]]),4)</f>
        <v>8131.69</v>
      </c>
      <c r="N2762" t="s">
        <v>116</v>
      </c>
      <c r="O2762" t="s">
        <v>459</v>
      </c>
      <c r="P2762" t="s">
        <v>459</v>
      </c>
      <c r="Q2762">
        <v>7</v>
      </c>
      <c r="R2762" s="225">
        <f>Base_Periodo1[[#This Row],[CREDITOS]]-Base_Periodo1[[#This Row],[DEBITOS]]</f>
        <v>0</v>
      </c>
      <c r="S2762" s="3" t="str">
        <f>IF(ISERROR(VLOOKUP(Base_Periodo1[[#This Row],[CONTA]],BaseContasDRE[#All],4,FALSE)),"Fora do DRE",VLOOKUP(Base_Periodo1[[#This Row],[CONTA]],BaseContasDRE[#All],4,FALSE))</f>
        <v>Fora do DRE</v>
      </c>
      <c r="T2762" s="3" t="str">
        <f>IF(ISERROR(VLOOKUP(Base_Periodo1[[#This Row],[CONTA]],BaseContasDRE[#All],5,FALSE)),"Fora do DRE",VLOOKUP(Base_Periodo1[[#This Row],[CONTA]],BaseContasDRE[#All],6,FALSE))</f>
        <v>Fora do DRE</v>
      </c>
      <c r="U2762" s="3" t="str">
        <f>IF(ISERROR(VLOOKUP(Base_Periodo1[[#This Row],[CONTA]],BaseContasDRE[#All],7,FALSE)),"Fora do DRE",VLOOKUP(Base_Periodo1[[#This Row],[CONTA]],BaseContasDRE[#All],7,FALSE))</f>
        <v>Fora do DRE</v>
      </c>
      <c r="V2762" s="3" t="str">
        <f>IF(Base_Periodo1[[#This Row],[Tipo_Linha]]="Fora do DRE","Fora do DRE","( "&amp;Base_Periodo1[[#This Row],[Tipo_Linha]]&amp;" ) "&amp;Base_Periodo1[[#This Row],[Filtro]])</f>
        <v>Fora do DRE</v>
      </c>
      <c r="W2762" s="3" t="str">
        <f>LEFT(Base_Periodo1[[#This Row],[CLASS]],3)</f>
        <v>2.1</v>
      </c>
    </row>
    <row r="2763" spans="1:23" hidden="1">
      <c r="A2763" s="3" t="str">
        <f t="shared" si="43"/>
        <v>Período 1</v>
      </c>
      <c r="B2763">
        <v>20075</v>
      </c>
      <c r="C2763" t="s">
        <v>1745</v>
      </c>
      <c r="D2763" t="s">
        <v>4672</v>
      </c>
      <c r="E2763" s="3" t="str">
        <f>IF(LEN(Base_Periodo1[[#This Row],[CLASS]])&gt;=7,LEFT(Base_Periodo1[[#This Row],[CLASS]],7),"")</f>
        <v>2.1.2.1</v>
      </c>
      <c r="F2763" s="3" t="str">
        <f>VLOOKUP(Base_Periodo1[[#This Row],[Aux]],Base_Contas_Balanco[#All],2,FALSE)</f>
        <v>Fornecedores Cooperados</v>
      </c>
      <c r="G2763" s="1">
        <v>42828</v>
      </c>
      <c r="H2763" s="225">
        <v>21845.519999999931</v>
      </c>
      <c r="I2763" s="225">
        <v>0</v>
      </c>
      <c r="J2763" s="225">
        <v>0</v>
      </c>
      <c r="K2763" s="225">
        <v>21845.519999999931</v>
      </c>
      <c r="L27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21845.52</v>
      </c>
      <c r="M2763" s="225">
        <f>ROUND(IF(AND(Base_Periodo1[[#This Row],[Tipo_Linha]]="-",Base_Periodo1[[#This Row],[TIPOSALDO]]="D"),Base_Periodo1[[#This Row],[SALDO_ATUAL]]*-1,Base_Periodo1[[#This Row],[SALDO_ATUAL]]),4)</f>
        <v>21845.52</v>
      </c>
      <c r="N2763" t="s">
        <v>116</v>
      </c>
      <c r="O2763" t="s">
        <v>459</v>
      </c>
      <c r="P2763" t="s">
        <v>459</v>
      </c>
      <c r="Q2763">
        <v>7</v>
      </c>
      <c r="R2763" s="225">
        <f>Base_Periodo1[[#This Row],[CREDITOS]]-Base_Periodo1[[#This Row],[DEBITOS]]</f>
        <v>0</v>
      </c>
      <c r="S2763" s="3" t="str">
        <f>IF(ISERROR(VLOOKUP(Base_Periodo1[[#This Row],[CONTA]],BaseContasDRE[#All],4,FALSE)),"Fora do DRE",VLOOKUP(Base_Periodo1[[#This Row],[CONTA]],BaseContasDRE[#All],4,FALSE))</f>
        <v>Fora do DRE</v>
      </c>
      <c r="T2763" s="3" t="str">
        <f>IF(ISERROR(VLOOKUP(Base_Periodo1[[#This Row],[CONTA]],BaseContasDRE[#All],5,FALSE)),"Fora do DRE",VLOOKUP(Base_Periodo1[[#This Row],[CONTA]],BaseContasDRE[#All],6,FALSE))</f>
        <v>Fora do DRE</v>
      </c>
      <c r="U2763" s="3" t="str">
        <f>IF(ISERROR(VLOOKUP(Base_Periodo1[[#This Row],[CONTA]],BaseContasDRE[#All],7,FALSE)),"Fora do DRE",VLOOKUP(Base_Periodo1[[#This Row],[CONTA]],BaseContasDRE[#All],7,FALSE))</f>
        <v>Fora do DRE</v>
      </c>
      <c r="V2763" s="3" t="str">
        <f>IF(Base_Periodo1[[#This Row],[Tipo_Linha]]="Fora do DRE","Fora do DRE","( "&amp;Base_Periodo1[[#This Row],[Tipo_Linha]]&amp;" ) "&amp;Base_Periodo1[[#This Row],[Filtro]])</f>
        <v>Fora do DRE</v>
      </c>
      <c r="W2763" s="3" t="str">
        <f>LEFT(Base_Periodo1[[#This Row],[CLASS]],3)</f>
        <v>2.1</v>
      </c>
    </row>
    <row r="2764" spans="1:23" hidden="1">
      <c r="A2764" s="3" t="str">
        <f t="shared" si="43"/>
        <v>Período 1</v>
      </c>
      <c r="B2764">
        <v>4478</v>
      </c>
      <c r="C2764" t="s">
        <v>1745</v>
      </c>
      <c r="D2764" t="s">
        <v>1791</v>
      </c>
      <c r="E2764" s="3" t="str">
        <f>IF(LEN(Base_Periodo1[[#This Row],[CLASS]])&gt;=7,LEFT(Base_Periodo1[[#This Row],[CLASS]],7),"")</f>
        <v>2.1.2.1</v>
      </c>
      <c r="F2764" s="3" t="str">
        <f>VLOOKUP(Base_Periodo1[[#This Row],[Aux]],Base_Contas_Balanco[#All],2,FALSE)</f>
        <v>Fornecedores Cooperados</v>
      </c>
      <c r="G2764" s="1">
        <v>42885</v>
      </c>
      <c r="H2764" s="225">
        <v>22499.249999999767</v>
      </c>
      <c r="I2764" s="225">
        <v>0</v>
      </c>
      <c r="J2764" s="225">
        <v>2149</v>
      </c>
      <c r="K2764" s="225">
        <v>24648.249999999767</v>
      </c>
      <c r="L27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24648.25</v>
      </c>
      <c r="M2764" s="225">
        <f>ROUND(IF(AND(Base_Periodo1[[#This Row],[Tipo_Linha]]="-",Base_Periodo1[[#This Row],[TIPOSALDO]]="D"),Base_Periodo1[[#This Row],[SALDO_ATUAL]]*-1,Base_Periodo1[[#This Row],[SALDO_ATUAL]]),4)</f>
        <v>24648.25</v>
      </c>
      <c r="N2764" t="s">
        <v>116</v>
      </c>
      <c r="O2764" t="s">
        <v>459</v>
      </c>
      <c r="P2764" t="s">
        <v>459</v>
      </c>
      <c r="Q2764">
        <v>7</v>
      </c>
      <c r="R2764" s="225">
        <f>Base_Periodo1[[#This Row],[CREDITOS]]-Base_Periodo1[[#This Row],[DEBITOS]]</f>
        <v>2149</v>
      </c>
      <c r="S2764" s="3" t="str">
        <f>IF(ISERROR(VLOOKUP(Base_Periodo1[[#This Row],[CONTA]],BaseContasDRE[#All],4,FALSE)),"Fora do DRE",VLOOKUP(Base_Periodo1[[#This Row],[CONTA]],BaseContasDRE[#All],4,FALSE))</f>
        <v>Fora do DRE</v>
      </c>
      <c r="T2764" s="3" t="str">
        <f>IF(ISERROR(VLOOKUP(Base_Periodo1[[#This Row],[CONTA]],BaseContasDRE[#All],5,FALSE)),"Fora do DRE",VLOOKUP(Base_Periodo1[[#This Row],[CONTA]],BaseContasDRE[#All],6,FALSE))</f>
        <v>Fora do DRE</v>
      </c>
      <c r="U2764" s="3" t="str">
        <f>IF(ISERROR(VLOOKUP(Base_Periodo1[[#This Row],[CONTA]],BaseContasDRE[#All],7,FALSE)),"Fora do DRE",VLOOKUP(Base_Periodo1[[#This Row],[CONTA]],BaseContasDRE[#All],7,FALSE))</f>
        <v>Fora do DRE</v>
      </c>
      <c r="V2764" s="3" t="str">
        <f>IF(Base_Periodo1[[#This Row],[Tipo_Linha]]="Fora do DRE","Fora do DRE","( "&amp;Base_Periodo1[[#This Row],[Tipo_Linha]]&amp;" ) "&amp;Base_Periodo1[[#This Row],[Filtro]])</f>
        <v>Fora do DRE</v>
      </c>
      <c r="W2764" s="3" t="str">
        <f>LEFT(Base_Periodo1[[#This Row],[CLASS]],3)</f>
        <v>2.1</v>
      </c>
    </row>
    <row r="2765" spans="1:23" hidden="1">
      <c r="A2765" s="3" t="str">
        <f t="shared" si="43"/>
        <v>Período 1</v>
      </c>
      <c r="B2765">
        <v>4626</v>
      </c>
      <c r="C2765" t="s">
        <v>1745</v>
      </c>
      <c r="D2765" t="s">
        <v>1792</v>
      </c>
      <c r="E2765" s="3" t="str">
        <f>IF(LEN(Base_Periodo1[[#This Row],[CLASS]])&gt;=7,LEFT(Base_Periodo1[[#This Row],[CLASS]],7),"")</f>
        <v>2.1.2.1</v>
      </c>
      <c r="F2765" s="3" t="str">
        <f>VLOOKUP(Base_Periodo1[[#This Row],[Aux]],Base_Contas_Balanco[#All],2,FALSE)</f>
        <v>Fornecedores Cooperados</v>
      </c>
      <c r="G2765" s="1">
        <v>42748</v>
      </c>
      <c r="H2765" s="225">
        <v>1.3199999999778811</v>
      </c>
      <c r="I2765" s="225">
        <v>0</v>
      </c>
      <c r="J2765" s="225">
        <v>0</v>
      </c>
      <c r="K2765" s="225">
        <v>1.3199999999778811</v>
      </c>
      <c r="L27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1.32</v>
      </c>
      <c r="M2765" s="225">
        <f>ROUND(IF(AND(Base_Periodo1[[#This Row],[Tipo_Linha]]="-",Base_Periodo1[[#This Row],[TIPOSALDO]]="D"),Base_Periodo1[[#This Row],[SALDO_ATUAL]]*-1,Base_Periodo1[[#This Row],[SALDO_ATUAL]]),4)</f>
        <v>1.32</v>
      </c>
      <c r="N2765" t="s">
        <v>116</v>
      </c>
      <c r="O2765" t="s">
        <v>459</v>
      </c>
      <c r="P2765" t="s">
        <v>459</v>
      </c>
      <c r="Q2765">
        <v>7</v>
      </c>
      <c r="R2765" s="225">
        <f>Base_Periodo1[[#This Row],[CREDITOS]]-Base_Periodo1[[#This Row],[DEBITOS]]</f>
        <v>0</v>
      </c>
      <c r="S2765" s="3" t="str">
        <f>IF(ISERROR(VLOOKUP(Base_Periodo1[[#This Row],[CONTA]],BaseContasDRE[#All],4,FALSE)),"Fora do DRE",VLOOKUP(Base_Periodo1[[#This Row],[CONTA]],BaseContasDRE[#All],4,FALSE))</f>
        <v>Fora do DRE</v>
      </c>
      <c r="T2765" s="3" t="str">
        <f>IF(ISERROR(VLOOKUP(Base_Periodo1[[#This Row],[CONTA]],BaseContasDRE[#All],5,FALSE)),"Fora do DRE",VLOOKUP(Base_Periodo1[[#This Row],[CONTA]],BaseContasDRE[#All],6,FALSE))</f>
        <v>Fora do DRE</v>
      </c>
      <c r="U2765" s="3" t="str">
        <f>IF(ISERROR(VLOOKUP(Base_Periodo1[[#This Row],[CONTA]],BaseContasDRE[#All],7,FALSE)),"Fora do DRE",VLOOKUP(Base_Periodo1[[#This Row],[CONTA]],BaseContasDRE[#All],7,FALSE))</f>
        <v>Fora do DRE</v>
      </c>
      <c r="V2765" s="3" t="str">
        <f>IF(Base_Periodo1[[#This Row],[Tipo_Linha]]="Fora do DRE","Fora do DRE","( "&amp;Base_Periodo1[[#This Row],[Tipo_Linha]]&amp;" ) "&amp;Base_Periodo1[[#This Row],[Filtro]])</f>
        <v>Fora do DRE</v>
      </c>
      <c r="W2765" s="3" t="str">
        <f>LEFT(Base_Periodo1[[#This Row],[CLASS]],3)</f>
        <v>2.1</v>
      </c>
    </row>
    <row r="2766" spans="1:23" hidden="1">
      <c r="A2766" s="3" t="str">
        <f t="shared" si="43"/>
        <v>Período 1</v>
      </c>
      <c r="B2766">
        <v>3950</v>
      </c>
      <c r="C2766" t="s">
        <v>1745</v>
      </c>
      <c r="D2766" t="s">
        <v>1793</v>
      </c>
      <c r="E2766" s="3" t="str">
        <f>IF(LEN(Base_Periodo1[[#This Row],[CLASS]])&gt;=7,LEFT(Base_Periodo1[[#This Row],[CLASS]],7),"")</f>
        <v>2.1.2.1</v>
      </c>
      <c r="F2766" s="3" t="str">
        <f>VLOOKUP(Base_Periodo1[[#This Row],[Aux]],Base_Contas_Balanco[#All],2,FALSE)</f>
        <v>Fornecedores Cooperados</v>
      </c>
      <c r="G2766" s="1">
        <v>42884</v>
      </c>
      <c r="H2766" s="225">
        <v>109246.02000000002</v>
      </c>
      <c r="I2766" s="225">
        <v>0</v>
      </c>
      <c r="J2766" s="225">
        <v>99169.919999999998</v>
      </c>
      <c r="K2766" s="225">
        <v>208415.94</v>
      </c>
      <c r="L27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208415.94</v>
      </c>
      <c r="M2766" s="225">
        <f>ROUND(IF(AND(Base_Periodo1[[#This Row],[Tipo_Linha]]="-",Base_Periodo1[[#This Row],[TIPOSALDO]]="D"),Base_Periodo1[[#This Row],[SALDO_ATUAL]]*-1,Base_Periodo1[[#This Row],[SALDO_ATUAL]]),4)</f>
        <v>208415.94</v>
      </c>
      <c r="N2766" t="s">
        <v>116</v>
      </c>
      <c r="O2766" t="s">
        <v>459</v>
      </c>
      <c r="P2766" t="s">
        <v>459</v>
      </c>
      <c r="Q2766">
        <v>7</v>
      </c>
      <c r="R2766" s="225">
        <f>Base_Periodo1[[#This Row],[CREDITOS]]-Base_Periodo1[[#This Row],[DEBITOS]]</f>
        <v>99169.919999999998</v>
      </c>
      <c r="S2766" s="3" t="str">
        <f>IF(ISERROR(VLOOKUP(Base_Periodo1[[#This Row],[CONTA]],BaseContasDRE[#All],4,FALSE)),"Fora do DRE",VLOOKUP(Base_Periodo1[[#This Row],[CONTA]],BaseContasDRE[#All],4,FALSE))</f>
        <v>Fora do DRE</v>
      </c>
      <c r="T2766" s="3" t="str">
        <f>IF(ISERROR(VLOOKUP(Base_Periodo1[[#This Row],[CONTA]],BaseContasDRE[#All],5,FALSE)),"Fora do DRE",VLOOKUP(Base_Periodo1[[#This Row],[CONTA]],BaseContasDRE[#All],6,FALSE))</f>
        <v>Fora do DRE</v>
      </c>
      <c r="U2766" s="3" t="str">
        <f>IF(ISERROR(VLOOKUP(Base_Periodo1[[#This Row],[CONTA]],BaseContasDRE[#All],7,FALSE)),"Fora do DRE",VLOOKUP(Base_Periodo1[[#This Row],[CONTA]],BaseContasDRE[#All],7,FALSE))</f>
        <v>Fora do DRE</v>
      </c>
      <c r="V2766" s="3" t="str">
        <f>IF(Base_Periodo1[[#This Row],[Tipo_Linha]]="Fora do DRE","Fora do DRE","( "&amp;Base_Periodo1[[#This Row],[Tipo_Linha]]&amp;" ) "&amp;Base_Periodo1[[#This Row],[Filtro]])</f>
        <v>Fora do DRE</v>
      </c>
      <c r="W2766" s="3" t="str">
        <f>LEFT(Base_Periodo1[[#This Row],[CLASS]],3)</f>
        <v>2.1</v>
      </c>
    </row>
    <row r="2767" spans="1:23" hidden="1">
      <c r="A2767" s="3" t="str">
        <f t="shared" si="43"/>
        <v>Período 1</v>
      </c>
      <c r="B2767">
        <v>39290</v>
      </c>
      <c r="C2767" t="s">
        <v>1745</v>
      </c>
      <c r="D2767" t="s">
        <v>6357</v>
      </c>
      <c r="E2767" s="3" t="str">
        <f>IF(LEN(Base_Periodo1[[#This Row],[CLASS]])&gt;=7,LEFT(Base_Periodo1[[#This Row],[CLASS]],7),"")</f>
        <v>2.1.2.1</v>
      </c>
      <c r="F2767" s="3" t="str">
        <f>VLOOKUP(Base_Periodo1[[#This Row],[Aux]],Base_Contas_Balanco[#All],2,FALSE)</f>
        <v>Fornecedores Cooperados</v>
      </c>
      <c r="G2767" s="1">
        <v>42835</v>
      </c>
      <c r="H2767" s="225">
        <v>4707.5099999999948</v>
      </c>
      <c r="I2767" s="225">
        <v>0</v>
      </c>
      <c r="J2767" s="225">
        <v>0</v>
      </c>
      <c r="K2767" s="225">
        <v>4707.5099999999948</v>
      </c>
      <c r="L27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4707.51</v>
      </c>
      <c r="M2767" s="225">
        <f>ROUND(IF(AND(Base_Periodo1[[#This Row],[Tipo_Linha]]="-",Base_Periodo1[[#This Row],[TIPOSALDO]]="D"),Base_Periodo1[[#This Row],[SALDO_ATUAL]]*-1,Base_Periodo1[[#This Row],[SALDO_ATUAL]]),4)</f>
        <v>4707.51</v>
      </c>
      <c r="N2767" t="s">
        <v>116</v>
      </c>
      <c r="O2767" t="s">
        <v>459</v>
      </c>
      <c r="P2767" t="s">
        <v>459</v>
      </c>
      <c r="Q2767">
        <v>7</v>
      </c>
      <c r="R2767" s="225">
        <f>Base_Periodo1[[#This Row],[CREDITOS]]-Base_Periodo1[[#This Row],[DEBITOS]]</f>
        <v>0</v>
      </c>
      <c r="S2767" s="3" t="str">
        <f>IF(ISERROR(VLOOKUP(Base_Periodo1[[#This Row],[CONTA]],BaseContasDRE[#All],4,FALSE)),"Fora do DRE",VLOOKUP(Base_Periodo1[[#This Row],[CONTA]],BaseContasDRE[#All],4,FALSE))</f>
        <v>Fora do DRE</v>
      </c>
      <c r="T2767" s="3" t="str">
        <f>IF(ISERROR(VLOOKUP(Base_Periodo1[[#This Row],[CONTA]],BaseContasDRE[#All],5,FALSE)),"Fora do DRE",VLOOKUP(Base_Periodo1[[#This Row],[CONTA]],BaseContasDRE[#All],6,FALSE))</f>
        <v>Fora do DRE</v>
      </c>
      <c r="U2767" s="3" t="str">
        <f>IF(ISERROR(VLOOKUP(Base_Periodo1[[#This Row],[CONTA]],BaseContasDRE[#All],7,FALSE)),"Fora do DRE",VLOOKUP(Base_Periodo1[[#This Row],[CONTA]],BaseContasDRE[#All],7,FALSE))</f>
        <v>Fora do DRE</v>
      </c>
      <c r="V2767" s="3" t="str">
        <f>IF(Base_Periodo1[[#This Row],[Tipo_Linha]]="Fora do DRE","Fora do DRE","( "&amp;Base_Periodo1[[#This Row],[Tipo_Linha]]&amp;" ) "&amp;Base_Periodo1[[#This Row],[Filtro]])</f>
        <v>Fora do DRE</v>
      </c>
      <c r="W2767" s="3" t="str">
        <f>LEFT(Base_Periodo1[[#This Row],[CLASS]],3)</f>
        <v>2.1</v>
      </c>
    </row>
    <row r="2768" spans="1:23" hidden="1">
      <c r="A2768" s="3" t="str">
        <f t="shared" si="43"/>
        <v>Período 1</v>
      </c>
      <c r="B2768">
        <v>46957</v>
      </c>
      <c r="C2768" t="s">
        <v>1745</v>
      </c>
      <c r="D2768" t="s">
        <v>1794</v>
      </c>
      <c r="E2768" s="3" t="str">
        <f>IF(LEN(Base_Periodo1[[#This Row],[CLASS]])&gt;=7,LEFT(Base_Periodo1[[#This Row],[CLASS]],7),"")</f>
        <v>2.1.2.1</v>
      </c>
      <c r="F2768" s="3" t="str">
        <f>VLOOKUP(Base_Periodo1[[#This Row],[Aux]],Base_Contas_Balanco[#All],2,FALSE)</f>
        <v>Fornecedores Cooperados</v>
      </c>
      <c r="G2768" s="1">
        <v>42836</v>
      </c>
      <c r="H2768" s="225">
        <v>3122.3399999999965</v>
      </c>
      <c r="I2768" s="225">
        <v>0</v>
      </c>
      <c r="J2768" s="225">
        <v>0</v>
      </c>
      <c r="K2768" s="225">
        <v>3122.3399999999965</v>
      </c>
      <c r="L27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3122.34</v>
      </c>
      <c r="M2768" s="225">
        <f>ROUND(IF(AND(Base_Periodo1[[#This Row],[Tipo_Linha]]="-",Base_Periodo1[[#This Row],[TIPOSALDO]]="D"),Base_Periodo1[[#This Row],[SALDO_ATUAL]]*-1,Base_Periodo1[[#This Row],[SALDO_ATUAL]]),4)</f>
        <v>3122.34</v>
      </c>
      <c r="N2768" t="s">
        <v>116</v>
      </c>
      <c r="O2768" t="s">
        <v>459</v>
      </c>
      <c r="P2768" t="s">
        <v>459</v>
      </c>
      <c r="Q2768">
        <v>7</v>
      </c>
      <c r="R2768" s="225">
        <f>Base_Periodo1[[#This Row],[CREDITOS]]-Base_Periodo1[[#This Row],[DEBITOS]]</f>
        <v>0</v>
      </c>
      <c r="S2768" s="3" t="str">
        <f>IF(ISERROR(VLOOKUP(Base_Periodo1[[#This Row],[CONTA]],BaseContasDRE[#All],4,FALSE)),"Fora do DRE",VLOOKUP(Base_Periodo1[[#This Row],[CONTA]],BaseContasDRE[#All],4,FALSE))</f>
        <v>Fora do DRE</v>
      </c>
      <c r="T2768" s="3" t="str">
        <f>IF(ISERROR(VLOOKUP(Base_Periodo1[[#This Row],[CONTA]],BaseContasDRE[#All],5,FALSE)),"Fora do DRE",VLOOKUP(Base_Periodo1[[#This Row],[CONTA]],BaseContasDRE[#All],6,FALSE))</f>
        <v>Fora do DRE</v>
      </c>
      <c r="U2768" s="3" t="str">
        <f>IF(ISERROR(VLOOKUP(Base_Periodo1[[#This Row],[CONTA]],BaseContasDRE[#All],7,FALSE)),"Fora do DRE",VLOOKUP(Base_Periodo1[[#This Row],[CONTA]],BaseContasDRE[#All],7,FALSE))</f>
        <v>Fora do DRE</v>
      </c>
      <c r="V2768" s="3" t="str">
        <f>IF(Base_Periodo1[[#This Row],[Tipo_Linha]]="Fora do DRE","Fora do DRE","( "&amp;Base_Periodo1[[#This Row],[Tipo_Linha]]&amp;" ) "&amp;Base_Periodo1[[#This Row],[Filtro]])</f>
        <v>Fora do DRE</v>
      </c>
      <c r="W2768" s="3" t="str">
        <f>LEFT(Base_Periodo1[[#This Row],[CLASS]],3)</f>
        <v>2.1</v>
      </c>
    </row>
    <row r="2769" spans="1:23" hidden="1">
      <c r="A2769" s="3" t="str">
        <f t="shared" si="43"/>
        <v>Período 1</v>
      </c>
      <c r="B2769">
        <v>3254</v>
      </c>
      <c r="C2769" t="s">
        <v>1745</v>
      </c>
      <c r="D2769" t="s">
        <v>4360</v>
      </c>
      <c r="E2769" s="3" t="str">
        <f>IF(LEN(Base_Periodo1[[#This Row],[CLASS]])&gt;=7,LEFT(Base_Periodo1[[#This Row],[CLASS]],7),"")</f>
        <v>2.1.2.1</v>
      </c>
      <c r="F2769" s="3" t="str">
        <f>VLOOKUP(Base_Periodo1[[#This Row],[Aux]],Base_Contas_Balanco[#All],2,FALSE)</f>
        <v>Fornecedores Cooperados</v>
      </c>
      <c r="G2769" s="1">
        <v>42818</v>
      </c>
      <c r="H2769" s="225">
        <v>1255.0399999999936</v>
      </c>
      <c r="I2769" s="225">
        <v>0</v>
      </c>
      <c r="J2769" s="225">
        <v>0</v>
      </c>
      <c r="K2769" s="225">
        <v>1255.0399999999936</v>
      </c>
      <c r="L27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1255.04</v>
      </c>
      <c r="M2769" s="225">
        <f>ROUND(IF(AND(Base_Periodo1[[#This Row],[Tipo_Linha]]="-",Base_Periodo1[[#This Row],[TIPOSALDO]]="D"),Base_Periodo1[[#This Row],[SALDO_ATUAL]]*-1,Base_Periodo1[[#This Row],[SALDO_ATUAL]]),4)</f>
        <v>1255.04</v>
      </c>
      <c r="N2769" t="s">
        <v>116</v>
      </c>
      <c r="O2769" t="s">
        <v>459</v>
      </c>
      <c r="P2769" t="s">
        <v>459</v>
      </c>
      <c r="Q2769">
        <v>7</v>
      </c>
      <c r="R2769" s="225">
        <f>Base_Periodo1[[#This Row],[CREDITOS]]-Base_Periodo1[[#This Row],[DEBITOS]]</f>
        <v>0</v>
      </c>
      <c r="S2769" s="3" t="str">
        <f>IF(ISERROR(VLOOKUP(Base_Periodo1[[#This Row],[CONTA]],BaseContasDRE[#All],4,FALSE)),"Fora do DRE",VLOOKUP(Base_Periodo1[[#This Row],[CONTA]],BaseContasDRE[#All],4,FALSE))</f>
        <v>Fora do DRE</v>
      </c>
      <c r="T2769" s="3" t="str">
        <f>IF(ISERROR(VLOOKUP(Base_Periodo1[[#This Row],[CONTA]],BaseContasDRE[#All],5,FALSE)),"Fora do DRE",VLOOKUP(Base_Periodo1[[#This Row],[CONTA]],BaseContasDRE[#All],6,FALSE))</f>
        <v>Fora do DRE</v>
      </c>
      <c r="U2769" s="3" t="str">
        <f>IF(ISERROR(VLOOKUP(Base_Periodo1[[#This Row],[CONTA]],BaseContasDRE[#All],7,FALSE)),"Fora do DRE",VLOOKUP(Base_Periodo1[[#This Row],[CONTA]],BaseContasDRE[#All],7,FALSE))</f>
        <v>Fora do DRE</v>
      </c>
      <c r="V2769" s="3" t="str">
        <f>IF(Base_Periodo1[[#This Row],[Tipo_Linha]]="Fora do DRE","Fora do DRE","( "&amp;Base_Periodo1[[#This Row],[Tipo_Linha]]&amp;" ) "&amp;Base_Periodo1[[#This Row],[Filtro]])</f>
        <v>Fora do DRE</v>
      </c>
      <c r="W2769" s="3" t="str">
        <f>LEFT(Base_Periodo1[[#This Row],[CLASS]],3)</f>
        <v>2.1</v>
      </c>
    </row>
    <row r="2770" spans="1:23" hidden="1">
      <c r="A2770" s="3" t="str">
        <f t="shared" si="43"/>
        <v>Período 1</v>
      </c>
      <c r="B2770">
        <v>3706</v>
      </c>
      <c r="C2770" t="s">
        <v>1745</v>
      </c>
      <c r="D2770" t="s">
        <v>1795</v>
      </c>
      <c r="E2770" s="3" t="str">
        <f>IF(LEN(Base_Periodo1[[#This Row],[CLASS]])&gt;=7,LEFT(Base_Periodo1[[#This Row],[CLASS]],7),"")</f>
        <v>2.1.2.1</v>
      </c>
      <c r="F2770" s="3" t="str">
        <f>VLOOKUP(Base_Periodo1[[#This Row],[Aux]],Base_Contas_Balanco[#All],2,FALSE)</f>
        <v>Fornecedores Cooperados</v>
      </c>
      <c r="G2770" s="1">
        <v>42884</v>
      </c>
      <c r="H2770" s="225">
        <v>36467.999999999942</v>
      </c>
      <c r="I2770" s="225">
        <v>0</v>
      </c>
      <c r="J2770" s="225">
        <v>7684.26</v>
      </c>
      <c r="K2770" s="225">
        <v>44152.259999999944</v>
      </c>
      <c r="L27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44152.26</v>
      </c>
      <c r="M2770" s="225">
        <f>ROUND(IF(AND(Base_Periodo1[[#This Row],[Tipo_Linha]]="-",Base_Periodo1[[#This Row],[TIPOSALDO]]="D"),Base_Periodo1[[#This Row],[SALDO_ATUAL]]*-1,Base_Periodo1[[#This Row],[SALDO_ATUAL]]),4)</f>
        <v>44152.26</v>
      </c>
      <c r="N2770" t="s">
        <v>116</v>
      </c>
      <c r="O2770" t="s">
        <v>459</v>
      </c>
      <c r="P2770" t="s">
        <v>459</v>
      </c>
      <c r="Q2770">
        <v>7</v>
      </c>
      <c r="R2770" s="225">
        <f>Base_Periodo1[[#This Row],[CREDITOS]]-Base_Periodo1[[#This Row],[DEBITOS]]</f>
        <v>7684.26</v>
      </c>
      <c r="S2770" s="3" t="str">
        <f>IF(ISERROR(VLOOKUP(Base_Periodo1[[#This Row],[CONTA]],BaseContasDRE[#All],4,FALSE)),"Fora do DRE",VLOOKUP(Base_Periodo1[[#This Row],[CONTA]],BaseContasDRE[#All],4,FALSE))</f>
        <v>Fora do DRE</v>
      </c>
      <c r="T2770" s="3" t="str">
        <f>IF(ISERROR(VLOOKUP(Base_Periodo1[[#This Row],[CONTA]],BaseContasDRE[#All],5,FALSE)),"Fora do DRE",VLOOKUP(Base_Periodo1[[#This Row],[CONTA]],BaseContasDRE[#All],6,FALSE))</f>
        <v>Fora do DRE</v>
      </c>
      <c r="U2770" s="3" t="str">
        <f>IF(ISERROR(VLOOKUP(Base_Periodo1[[#This Row],[CONTA]],BaseContasDRE[#All],7,FALSE)),"Fora do DRE",VLOOKUP(Base_Periodo1[[#This Row],[CONTA]],BaseContasDRE[#All],7,FALSE))</f>
        <v>Fora do DRE</v>
      </c>
      <c r="V2770" s="3" t="str">
        <f>IF(Base_Periodo1[[#This Row],[Tipo_Linha]]="Fora do DRE","Fora do DRE","( "&amp;Base_Periodo1[[#This Row],[Tipo_Linha]]&amp;" ) "&amp;Base_Periodo1[[#This Row],[Filtro]])</f>
        <v>Fora do DRE</v>
      </c>
      <c r="W2770" s="3" t="str">
        <f>LEFT(Base_Periodo1[[#This Row],[CLASS]],3)</f>
        <v>2.1</v>
      </c>
    </row>
    <row r="2771" spans="1:23" hidden="1">
      <c r="A2771" s="3" t="str">
        <f t="shared" si="43"/>
        <v>Período 1</v>
      </c>
      <c r="B2771">
        <v>47153</v>
      </c>
      <c r="C2771" t="s">
        <v>1745</v>
      </c>
      <c r="D2771" t="s">
        <v>1796</v>
      </c>
      <c r="E2771" s="3" t="str">
        <f>IF(LEN(Base_Periodo1[[#This Row],[CLASS]])&gt;=7,LEFT(Base_Periodo1[[#This Row],[CLASS]],7),"")</f>
        <v>2.1.2.1</v>
      </c>
      <c r="F2771" s="3" t="str">
        <f>VLOOKUP(Base_Periodo1[[#This Row],[Aux]],Base_Contas_Balanco[#All],2,FALSE)</f>
        <v>Fornecedores Cooperados</v>
      </c>
      <c r="G2771" s="1">
        <v>42864</v>
      </c>
      <c r="H2771" s="225">
        <v>29429.509999999951</v>
      </c>
      <c r="I2771" s="225">
        <v>835.28</v>
      </c>
      <c r="J2771" s="225">
        <v>0</v>
      </c>
      <c r="K2771" s="225">
        <v>28594.229999999952</v>
      </c>
      <c r="L27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28594.23</v>
      </c>
      <c r="M2771" s="225">
        <f>ROUND(IF(AND(Base_Periodo1[[#This Row],[Tipo_Linha]]="-",Base_Periodo1[[#This Row],[TIPOSALDO]]="D"),Base_Periodo1[[#This Row],[SALDO_ATUAL]]*-1,Base_Periodo1[[#This Row],[SALDO_ATUAL]]),4)</f>
        <v>28594.23</v>
      </c>
      <c r="N2771" t="s">
        <v>116</v>
      </c>
      <c r="O2771" t="s">
        <v>459</v>
      </c>
      <c r="P2771" t="s">
        <v>459</v>
      </c>
      <c r="Q2771">
        <v>7</v>
      </c>
      <c r="R2771" s="225">
        <f>Base_Periodo1[[#This Row],[CREDITOS]]-Base_Periodo1[[#This Row],[DEBITOS]]</f>
        <v>-835.28</v>
      </c>
      <c r="S2771" s="3" t="str">
        <f>IF(ISERROR(VLOOKUP(Base_Periodo1[[#This Row],[CONTA]],BaseContasDRE[#All],4,FALSE)),"Fora do DRE",VLOOKUP(Base_Periodo1[[#This Row],[CONTA]],BaseContasDRE[#All],4,FALSE))</f>
        <v>Fora do DRE</v>
      </c>
      <c r="T2771" s="3" t="str">
        <f>IF(ISERROR(VLOOKUP(Base_Periodo1[[#This Row],[CONTA]],BaseContasDRE[#All],5,FALSE)),"Fora do DRE",VLOOKUP(Base_Periodo1[[#This Row],[CONTA]],BaseContasDRE[#All],6,FALSE))</f>
        <v>Fora do DRE</v>
      </c>
      <c r="U2771" s="3" t="str">
        <f>IF(ISERROR(VLOOKUP(Base_Periodo1[[#This Row],[CONTA]],BaseContasDRE[#All],7,FALSE)),"Fora do DRE",VLOOKUP(Base_Periodo1[[#This Row],[CONTA]],BaseContasDRE[#All],7,FALSE))</f>
        <v>Fora do DRE</v>
      </c>
      <c r="V2771" s="3" t="str">
        <f>IF(Base_Periodo1[[#This Row],[Tipo_Linha]]="Fora do DRE","Fora do DRE","( "&amp;Base_Periodo1[[#This Row],[Tipo_Linha]]&amp;" ) "&amp;Base_Periodo1[[#This Row],[Filtro]])</f>
        <v>Fora do DRE</v>
      </c>
      <c r="W2771" s="3" t="str">
        <f>LEFT(Base_Periodo1[[#This Row],[CLASS]],3)</f>
        <v>2.1</v>
      </c>
    </row>
    <row r="2772" spans="1:23" hidden="1">
      <c r="A2772" s="3" t="str">
        <f t="shared" si="43"/>
        <v>Período 1</v>
      </c>
      <c r="B2772">
        <v>16522</v>
      </c>
      <c r="C2772" t="s">
        <v>1745</v>
      </c>
      <c r="D2772" t="s">
        <v>4449</v>
      </c>
      <c r="E2772" s="3" t="str">
        <f>IF(LEN(Base_Periodo1[[#This Row],[CLASS]])&gt;=7,LEFT(Base_Periodo1[[#This Row],[CLASS]],7),"")</f>
        <v>2.1.2.1</v>
      </c>
      <c r="F2772" s="3" t="str">
        <f>VLOOKUP(Base_Periodo1[[#This Row],[Aux]],Base_Contas_Balanco[#All],2,FALSE)</f>
        <v>Fornecedores Cooperados</v>
      </c>
      <c r="G2772" s="1">
        <v>42752</v>
      </c>
      <c r="H2772" s="225">
        <v>0.30999999999767169</v>
      </c>
      <c r="I2772" s="225">
        <v>0</v>
      </c>
      <c r="J2772" s="225">
        <v>0</v>
      </c>
      <c r="K2772" s="225">
        <v>0.30999999999767169</v>
      </c>
      <c r="L27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0.31</v>
      </c>
      <c r="M2772" s="225">
        <f>ROUND(IF(AND(Base_Periodo1[[#This Row],[Tipo_Linha]]="-",Base_Periodo1[[#This Row],[TIPOSALDO]]="D"),Base_Periodo1[[#This Row],[SALDO_ATUAL]]*-1,Base_Periodo1[[#This Row],[SALDO_ATUAL]]),4)</f>
        <v>0.31</v>
      </c>
      <c r="N2772" t="s">
        <v>116</v>
      </c>
      <c r="O2772" t="s">
        <v>459</v>
      </c>
      <c r="P2772" t="s">
        <v>459</v>
      </c>
      <c r="Q2772">
        <v>7</v>
      </c>
      <c r="R2772" s="225">
        <f>Base_Periodo1[[#This Row],[CREDITOS]]-Base_Periodo1[[#This Row],[DEBITOS]]</f>
        <v>0</v>
      </c>
      <c r="S2772" s="3" t="str">
        <f>IF(ISERROR(VLOOKUP(Base_Periodo1[[#This Row],[CONTA]],BaseContasDRE[#All],4,FALSE)),"Fora do DRE",VLOOKUP(Base_Periodo1[[#This Row],[CONTA]],BaseContasDRE[#All],4,FALSE))</f>
        <v>Fora do DRE</v>
      </c>
      <c r="T2772" s="3" t="str">
        <f>IF(ISERROR(VLOOKUP(Base_Periodo1[[#This Row],[CONTA]],BaseContasDRE[#All],5,FALSE)),"Fora do DRE",VLOOKUP(Base_Periodo1[[#This Row],[CONTA]],BaseContasDRE[#All],6,FALSE))</f>
        <v>Fora do DRE</v>
      </c>
      <c r="U2772" s="3" t="str">
        <f>IF(ISERROR(VLOOKUP(Base_Periodo1[[#This Row],[CONTA]],BaseContasDRE[#All],7,FALSE)),"Fora do DRE",VLOOKUP(Base_Periodo1[[#This Row],[CONTA]],BaseContasDRE[#All],7,FALSE))</f>
        <v>Fora do DRE</v>
      </c>
      <c r="V2772" s="3" t="str">
        <f>IF(Base_Periodo1[[#This Row],[Tipo_Linha]]="Fora do DRE","Fora do DRE","( "&amp;Base_Periodo1[[#This Row],[Tipo_Linha]]&amp;" ) "&amp;Base_Periodo1[[#This Row],[Filtro]])</f>
        <v>Fora do DRE</v>
      </c>
      <c r="W2772" s="3" t="str">
        <f>LEFT(Base_Periodo1[[#This Row],[CLASS]],3)</f>
        <v>2.1</v>
      </c>
    </row>
    <row r="2773" spans="1:23" hidden="1">
      <c r="A2773" s="3" t="str">
        <f t="shared" si="43"/>
        <v>Período 1</v>
      </c>
      <c r="B2773">
        <v>47228</v>
      </c>
      <c r="C2773" t="s">
        <v>1745</v>
      </c>
      <c r="D2773" t="s">
        <v>1797</v>
      </c>
      <c r="E2773" s="3" t="str">
        <f>IF(LEN(Base_Periodo1[[#This Row],[CLASS]])&gt;=7,LEFT(Base_Periodo1[[#This Row],[CLASS]],7),"")</f>
        <v>2.1.2.1</v>
      </c>
      <c r="F2773" s="3" t="str">
        <f>VLOOKUP(Base_Periodo1[[#This Row],[Aux]],Base_Contas_Balanco[#All],2,FALSE)</f>
        <v>Fornecedores Cooperados</v>
      </c>
      <c r="G2773" s="1">
        <v>42814</v>
      </c>
      <c r="H2773" s="225">
        <v>1.9999999989522621E-2</v>
      </c>
      <c r="I2773" s="225">
        <v>0</v>
      </c>
      <c r="J2773" s="225">
        <v>0</v>
      </c>
      <c r="K2773" s="225">
        <v>1.9999999989522621E-2</v>
      </c>
      <c r="L27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2773" s="225">
        <f>ROUND(IF(AND(Base_Periodo1[[#This Row],[Tipo_Linha]]="-",Base_Periodo1[[#This Row],[TIPOSALDO]]="D"),Base_Periodo1[[#This Row],[SALDO_ATUAL]]*-1,Base_Periodo1[[#This Row],[SALDO_ATUAL]]),4)</f>
        <v>0.02</v>
      </c>
      <c r="N2773" t="s">
        <v>116</v>
      </c>
      <c r="O2773" t="s">
        <v>459</v>
      </c>
      <c r="P2773" t="s">
        <v>459</v>
      </c>
      <c r="Q2773">
        <v>7</v>
      </c>
      <c r="R2773" s="225">
        <f>Base_Periodo1[[#This Row],[CREDITOS]]-Base_Periodo1[[#This Row],[DEBITOS]]</f>
        <v>0</v>
      </c>
      <c r="S2773" s="3" t="str">
        <f>IF(ISERROR(VLOOKUP(Base_Periodo1[[#This Row],[CONTA]],BaseContasDRE[#All],4,FALSE)),"Fora do DRE",VLOOKUP(Base_Periodo1[[#This Row],[CONTA]],BaseContasDRE[#All],4,FALSE))</f>
        <v>Fora do DRE</v>
      </c>
      <c r="T2773" s="3" t="str">
        <f>IF(ISERROR(VLOOKUP(Base_Periodo1[[#This Row],[CONTA]],BaseContasDRE[#All],5,FALSE)),"Fora do DRE",VLOOKUP(Base_Periodo1[[#This Row],[CONTA]],BaseContasDRE[#All],6,FALSE))</f>
        <v>Fora do DRE</v>
      </c>
      <c r="U2773" s="3" t="str">
        <f>IF(ISERROR(VLOOKUP(Base_Periodo1[[#This Row],[CONTA]],BaseContasDRE[#All],7,FALSE)),"Fora do DRE",VLOOKUP(Base_Periodo1[[#This Row],[CONTA]],BaseContasDRE[#All],7,FALSE))</f>
        <v>Fora do DRE</v>
      </c>
      <c r="V2773" s="3" t="str">
        <f>IF(Base_Periodo1[[#This Row],[Tipo_Linha]]="Fora do DRE","Fora do DRE","( "&amp;Base_Periodo1[[#This Row],[Tipo_Linha]]&amp;" ) "&amp;Base_Periodo1[[#This Row],[Filtro]])</f>
        <v>Fora do DRE</v>
      </c>
      <c r="W2773" s="3" t="str">
        <f>LEFT(Base_Periodo1[[#This Row],[CLASS]],3)</f>
        <v>2.1</v>
      </c>
    </row>
    <row r="2774" spans="1:23" hidden="1">
      <c r="A2774" s="3" t="str">
        <f t="shared" si="43"/>
        <v>Período 1</v>
      </c>
      <c r="B2774">
        <v>12645</v>
      </c>
      <c r="C2774" t="s">
        <v>1745</v>
      </c>
      <c r="D2774" t="s">
        <v>1798</v>
      </c>
      <c r="E2774" s="3" t="str">
        <f>IF(LEN(Base_Periodo1[[#This Row],[CLASS]])&gt;=7,LEFT(Base_Periodo1[[#This Row],[CLASS]],7),"")</f>
        <v>2.1.2.1</v>
      </c>
      <c r="F2774" s="3" t="str">
        <f>VLOOKUP(Base_Periodo1[[#This Row],[Aux]],Base_Contas_Balanco[#All],2,FALSE)</f>
        <v>Fornecedores Cooperados</v>
      </c>
      <c r="G2774" s="1">
        <v>42720</v>
      </c>
      <c r="H2774" s="225">
        <v>13445.150000000023</v>
      </c>
      <c r="I2774" s="225">
        <v>0</v>
      </c>
      <c r="J2774" s="225">
        <v>0</v>
      </c>
      <c r="K2774" s="225">
        <v>13445.150000000023</v>
      </c>
      <c r="L27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13445.15</v>
      </c>
      <c r="M2774" s="225">
        <f>ROUND(IF(AND(Base_Periodo1[[#This Row],[Tipo_Linha]]="-",Base_Periodo1[[#This Row],[TIPOSALDO]]="D"),Base_Periodo1[[#This Row],[SALDO_ATUAL]]*-1,Base_Periodo1[[#This Row],[SALDO_ATUAL]]),4)</f>
        <v>13445.15</v>
      </c>
      <c r="N2774" t="s">
        <v>116</v>
      </c>
      <c r="O2774" t="s">
        <v>459</v>
      </c>
      <c r="P2774" t="s">
        <v>459</v>
      </c>
      <c r="Q2774">
        <v>7</v>
      </c>
      <c r="R2774" s="225">
        <f>Base_Periodo1[[#This Row],[CREDITOS]]-Base_Periodo1[[#This Row],[DEBITOS]]</f>
        <v>0</v>
      </c>
      <c r="S2774" s="3" t="str">
        <f>IF(ISERROR(VLOOKUP(Base_Periodo1[[#This Row],[CONTA]],BaseContasDRE[#All],4,FALSE)),"Fora do DRE",VLOOKUP(Base_Periodo1[[#This Row],[CONTA]],BaseContasDRE[#All],4,FALSE))</f>
        <v>Fora do DRE</v>
      </c>
      <c r="T2774" s="3" t="str">
        <f>IF(ISERROR(VLOOKUP(Base_Periodo1[[#This Row],[CONTA]],BaseContasDRE[#All],5,FALSE)),"Fora do DRE",VLOOKUP(Base_Periodo1[[#This Row],[CONTA]],BaseContasDRE[#All],6,FALSE))</f>
        <v>Fora do DRE</v>
      </c>
      <c r="U2774" s="3" t="str">
        <f>IF(ISERROR(VLOOKUP(Base_Periodo1[[#This Row],[CONTA]],BaseContasDRE[#All],7,FALSE)),"Fora do DRE",VLOOKUP(Base_Periodo1[[#This Row],[CONTA]],BaseContasDRE[#All],7,FALSE))</f>
        <v>Fora do DRE</v>
      </c>
      <c r="V2774" s="3" t="str">
        <f>IF(Base_Periodo1[[#This Row],[Tipo_Linha]]="Fora do DRE","Fora do DRE","( "&amp;Base_Periodo1[[#This Row],[Tipo_Linha]]&amp;" ) "&amp;Base_Periodo1[[#This Row],[Filtro]])</f>
        <v>Fora do DRE</v>
      </c>
      <c r="W2774" s="3" t="str">
        <f>LEFT(Base_Periodo1[[#This Row],[CLASS]],3)</f>
        <v>2.1</v>
      </c>
    </row>
    <row r="2775" spans="1:23" hidden="1">
      <c r="A2775" s="3" t="str">
        <f t="shared" si="43"/>
        <v>Período 1</v>
      </c>
      <c r="B2775">
        <v>23623</v>
      </c>
      <c r="C2775" t="s">
        <v>1745</v>
      </c>
      <c r="D2775" t="s">
        <v>1799</v>
      </c>
      <c r="E2775" s="3" t="str">
        <f>IF(LEN(Base_Periodo1[[#This Row],[CLASS]])&gt;=7,LEFT(Base_Periodo1[[#This Row],[CLASS]],7),"")</f>
        <v>2.1.2.1</v>
      </c>
      <c r="F2775" s="3" t="str">
        <f>VLOOKUP(Base_Periodo1[[#This Row],[Aux]],Base_Contas_Balanco[#All],2,FALSE)</f>
        <v>Fornecedores Cooperados</v>
      </c>
      <c r="G2775" s="1">
        <v>42688</v>
      </c>
      <c r="H2775" s="225">
        <v>2.9999999998835847E-2</v>
      </c>
      <c r="I2775" s="225">
        <v>0</v>
      </c>
      <c r="J2775" s="225">
        <v>0</v>
      </c>
      <c r="K2775" s="225">
        <v>2.9999999998835847E-2</v>
      </c>
      <c r="L27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0.03</v>
      </c>
      <c r="M2775" s="225">
        <f>ROUND(IF(AND(Base_Periodo1[[#This Row],[Tipo_Linha]]="-",Base_Periodo1[[#This Row],[TIPOSALDO]]="D"),Base_Periodo1[[#This Row],[SALDO_ATUAL]]*-1,Base_Periodo1[[#This Row],[SALDO_ATUAL]]),4)</f>
        <v>0.03</v>
      </c>
      <c r="N2775" t="s">
        <v>116</v>
      </c>
      <c r="O2775" t="s">
        <v>459</v>
      </c>
      <c r="P2775" t="s">
        <v>459</v>
      </c>
      <c r="Q2775">
        <v>7</v>
      </c>
      <c r="R2775" s="225">
        <f>Base_Periodo1[[#This Row],[CREDITOS]]-Base_Periodo1[[#This Row],[DEBITOS]]</f>
        <v>0</v>
      </c>
      <c r="S2775" s="3" t="str">
        <f>IF(ISERROR(VLOOKUP(Base_Periodo1[[#This Row],[CONTA]],BaseContasDRE[#All],4,FALSE)),"Fora do DRE",VLOOKUP(Base_Periodo1[[#This Row],[CONTA]],BaseContasDRE[#All],4,FALSE))</f>
        <v>Fora do DRE</v>
      </c>
      <c r="T2775" s="3" t="str">
        <f>IF(ISERROR(VLOOKUP(Base_Periodo1[[#This Row],[CONTA]],BaseContasDRE[#All],5,FALSE)),"Fora do DRE",VLOOKUP(Base_Periodo1[[#This Row],[CONTA]],BaseContasDRE[#All],6,FALSE))</f>
        <v>Fora do DRE</v>
      </c>
      <c r="U2775" s="3" t="str">
        <f>IF(ISERROR(VLOOKUP(Base_Periodo1[[#This Row],[CONTA]],BaseContasDRE[#All],7,FALSE)),"Fora do DRE",VLOOKUP(Base_Periodo1[[#This Row],[CONTA]],BaseContasDRE[#All],7,FALSE))</f>
        <v>Fora do DRE</v>
      </c>
      <c r="V2775" s="3" t="str">
        <f>IF(Base_Periodo1[[#This Row],[Tipo_Linha]]="Fora do DRE","Fora do DRE","( "&amp;Base_Periodo1[[#This Row],[Tipo_Linha]]&amp;" ) "&amp;Base_Periodo1[[#This Row],[Filtro]])</f>
        <v>Fora do DRE</v>
      </c>
      <c r="W2775" s="3" t="str">
        <f>LEFT(Base_Periodo1[[#This Row],[CLASS]],3)</f>
        <v>2.1</v>
      </c>
    </row>
    <row r="2776" spans="1:23" hidden="1">
      <c r="A2776" s="3" t="str">
        <f t="shared" si="43"/>
        <v>Período 1</v>
      </c>
      <c r="B2776">
        <v>27499</v>
      </c>
      <c r="C2776" t="s">
        <v>1745</v>
      </c>
      <c r="D2776" t="s">
        <v>4604</v>
      </c>
      <c r="E2776" s="3" t="str">
        <f>IF(LEN(Base_Periodo1[[#This Row],[CLASS]])&gt;=7,LEFT(Base_Periodo1[[#This Row],[CLASS]],7),"")</f>
        <v>2.1.2.1</v>
      </c>
      <c r="F2776" s="3" t="str">
        <f>VLOOKUP(Base_Periodo1[[#This Row],[Aux]],Base_Contas_Balanco[#All],2,FALSE)</f>
        <v>Fornecedores Cooperados</v>
      </c>
      <c r="G2776" s="1">
        <v>42836</v>
      </c>
      <c r="H2776" s="225">
        <v>29851.25999999998</v>
      </c>
      <c r="I2776" s="225">
        <v>0</v>
      </c>
      <c r="J2776" s="225">
        <v>0</v>
      </c>
      <c r="K2776" s="225">
        <v>29851.25999999998</v>
      </c>
      <c r="L27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29851.26</v>
      </c>
      <c r="M2776" s="225">
        <f>ROUND(IF(AND(Base_Periodo1[[#This Row],[Tipo_Linha]]="-",Base_Periodo1[[#This Row],[TIPOSALDO]]="D"),Base_Periodo1[[#This Row],[SALDO_ATUAL]]*-1,Base_Periodo1[[#This Row],[SALDO_ATUAL]]),4)</f>
        <v>29851.26</v>
      </c>
      <c r="N2776" t="s">
        <v>116</v>
      </c>
      <c r="O2776" t="s">
        <v>459</v>
      </c>
      <c r="P2776" t="s">
        <v>459</v>
      </c>
      <c r="Q2776">
        <v>7</v>
      </c>
      <c r="R2776" s="225">
        <f>Base_Periodo1[[#This Row],[CREDITOS]]-Base_Periodo1[[#This Row],[DEBITOS]]</f>
        <v>0</v>
      </c>
      <c r="S2776" s="3" t="str">
        <f>IF(ISERROR(VLOOKUP(Base_Periodo1[[#This Row],[CONTA]],BaseContasDRE[#All],4,FALSE)),"Fora do DRE",VLOOKUP(Base_Periodo1[[#This Row],[CONTA]],BaseContasDRE[#All],4,FALSE))</f>
        <v>Fora do DRE</v>
      </c>
      <c r="T2776" s="3" t="str">
        <f>IF(ISERROR(VLOOKUP(Base_Periodo1[[#This Row],[CONTA]],BaseContasDRE[#All],5,FALSE)),"Fora do DRE",VLOOKUP(Base_Periodo1[[#This Row],[CONTA]],BaseContasDRE[#All],6,FALSE))</f>
        <v>Fora do DRE</v>
      </c>
      <c r="U2776" s="3" t="str">
        <f>IF(ISERROR(VLOOKUP(Base_Periodo1[[#This Row],[CONTA]],BaseContasDRE[#All],7,FALSE)),"Fora do DRE",VLOOKUP(Base_Periodo1[[#This Row],[CONTA]],BaseContasDRE[#All],7,FALSE))</f>
        <v>Fora do DRE</v>
      </c>
      <c r="V2776" s="3" t="str">
        <f>IF(Base_Periodo1[[#This Row],[Tipo_Linha]]="Fora do DRE","Fora do DRE","( "&amp;Base_Periodo1[[#This Row],[Tipo_Linha]]&amp;" ) "&amp;Base_Periodo1[[#This Row],[Filtro]])</f>
        <v>Fora do DRE</v>
      </c>
      <c r="W2776" s="3" t="str">
        <f>LEFT(Base_Periodo1[[#This Row],[CLASS]],3)</f>
        <v>2.1</v>
      </c>
    </row>
    <row r="2777" spans="1:23" hidden="1">
      <c r="A2777" s="3" t="str">
        <f t="shared" si="43"/>
        <v>Período 1</v>
      </c>
      <c r="B2777">
        <v>3534</v>
      </c>
      <c r="C2777" t="s">
        <v>1745</v>
      </c>
      <c r="D2777" t="s">
        <v>1800</v>
      </c>
      <c r="E2777" s="3" t="str">
        <f>IF(LEN(Base_Periodo1[[#This Row],[CLASS]])&gt;=7,LEFT(Base_Periodo1[[#This Row],[CLASS]],7),"")</f>
        <v>2.1.2.1</v>
      </c>
      <c r="F2777" s="3" t="str">
        <f>VLOOKUP(Base_Periodo1[[#This Row],[Aux]],Base_Contas_Balanco[#All],2,FALSE)</f>
        <v>Fornecedores Cooperados</v>
      </c>
      <c r="G2777" s="1">
        <v>42791</v>
      </c>
      <c r="H2777" s="225">
        <v>7695.0699999999779</v>
      </c>
      <c r="I2777" s="225">
        <v>0</v>
      </c>
      <c r="J2777" s="225">
        <v>0</v>
      </c>
      <c r="K2777" s="225">
        <v>7695.0699999999779</v>
      </c>
      <c r="L27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7695.07</v>
      </c>
      <c r="M2777" s="225">
        <f>ROUND(IF(AND(Base_Periodo1[[#This Row],[Tipo_Linha]]="-",Base_Periodo1[[#This Row],[TIPOSALDO]]="D"),Base_Periodo1[[#This Row],[SALDO_ATUAL]]*-1,Base_Periodo1[[#This Row],[SALDO_ATUAL]]),4)</f>
        <v>7695.07</v>
      </c>
      <c r="N2777" t="s">
        <v>116</v>
      </c>
      <c r="O2777" t="s">
        <v>459</v>
      </c>
      <c r="P2777" t="s">
        <v>459</v>
      </c>
      <c r="Q2777">
        <v>7</v>
      </c>
      <c r="R2777" s="225">
        <f>Base_Periodo1[[#This Row],[CREDITOS]]-Base_Periodo1[[#This Row],[DEBITOS]]</f>
        <v>0</v>
      </c>
      <c r="S2777" s="3" t="str">
        <f>IF(ISERROR(VLOOKUP(Base_Periodo1[[#This Row],[CONTA]],BaseContasDRE[#All],4,FALSE)),"Fora do DRE",VLOOKUP(Base_Periodo1[[#This Row],[CONTA]],BaseContasDRE[#All],4,FALSE))</f>
        <v>Fora do DRE</v>
      </c>
      <c r="T2777" s="3" t="str">
        <f>IF(ISERROR(VLOOKUP(Base_Periodo1[[#This Row],[CONTA]],BaseContasDRE[#All],5,FALSE)),"Fora do DRE",VLOOKUP(Base_Periodo1[[#This Row],[CONTA]],BaseContasDRE[#All],6,FALSE))</f>
        <v>Fora do DRE</v>
      </c>
      <c r="U2777" s="3" t="str">
        <f>IF(ISERROR(VLOOKUP(Base_Periodo1[[#This Row],[CONTA]],BaseContasDRE[#All],7,FALSE)),"Fora do DRE",VLOOKUP(Base_Periodo1[[#This Row],[CONTA]],BaseContasDRE[#All],7,FALSE))</f>
        <v>Fora do DRE</v>
      </c>
      <c r="V2777" s="3" t="str">
        <f>IF(Base_Periodo1[[#This Row],[Tipo_Linha]]="Fora do DRE","Fora do DRE","( "&amp;Base_Periodo1[[#This Row],[Tipo_Linha]]&amp;" ) "&amp;Base_Periodo1[[#This Row],[Filtro]])</f>
        <v>Fora do DRE</v>
      </c>
      <c r="W2777" s="3" t="str">
        <f>LEFT(Base_Periodo1[[#This Row],[CLASS]],3)</f>
        <v>2.1</v>
      </c>
    </row>
    <row r="2778" spans="1:23" hidden="1">
      <c r="A2778" s="3" t="str">
        <f t="shared" si="43"/>
        <v>Período 1</v>
      </c>
      <c r="B2778">
        <v>7415</v>
      </c>
      <c r="C2778" t="s">
        <v>1745</v>
      </c>
      <c r="D2778" t="s">
        <v>4673</v>
      </c>
      <c r="E2778" s="3" t="str">
        <f>IF(LEN(Base_Periodo1[[#This Row],[CLASS]])&gt;=7,LEFT(Base_Periodo1[[#This Row],[CLASS]],7),"")</f>
        <v>2.1.2.1</v>
      </c>
      <c r="F2778" s="3" t="str">
        <f>VLOOKUP(Base_Periodo1[[#This Row],[Aux]],Base_Contas_Balanco[#All],2,FALSE)</f>
        <v>Fornecedores Cooperados</v>
      </c>
      <c r="G2778" s="1">
        <v>42657</v>
      </c>
      <c r="H2778" s="225">
        <v>23565</v>
      </c>
      <c r="I2778" s="225">
        <v>0</v>
      </c>
      <c r="J2778" s="225">
        <v>0</v>
      </c>
      <c r="K2778" s="225">
        <v>23565</v>
      </c>
      <c r="L27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23565</v>
      </c>
      <c r="M2778" s="225">
        <f>ROUND(IF(AND(Base_Periodo1[[#This Row],[Tipo_Linha]]="-",Base_Periodo1[[#This Row],[TIPOSALDO]]="D"),Base_Periodo1[[#This Row],[SALDO_ATUAL]]*-1,Base_Periodo1[[#This Row],[SALDO_ATUAL]]),4)</f>
        <v>23565</v>
      </c>
      <c r="N2778" t="s">
        <v>116</v>
      </c>
      <c r="O2778" t="s">
        <v>459</v>
      </c>
      <c r="P2778" t="s">
        <v>459</v>
      </c>
      <c r="Q2778">
        <v>7</v>
      </c>
      <c r="R2778" s="225">
        <f>Base_Periodo1[[#This Row],[CREDITOS]]-Base_Periodo1[[#This Row],[DEBITOS]]</f>
        <v>0</v>
      </c>
      <c r="S2778" s="3" t="str">
        <f>IF(ISERROR(VLOOKUP(Base_Periodo1[[#This Row],[CONTA]],BaseContasDRE[#All],4,FALSE)),"Fora do DRE",VLOOKUP(Base_Periodo1[[#This Row],[CONTA]],BaseContasDRE[#All],4,FALSE))</f>
        <v>Fora do DRE</v>
      </c>
      <c r="T2778" s="3" t="str">
        <f>IF(ISERROR(VLOOKUP(Base_Periodo1[[#This Row],[CONTA]],BaseContasDRE[#All],5,FALSE)),"Fora do DRE",VLOOKUP(Base_Periodo1[[#This Row],[CONTA]],BaseContasDRE[#All],6,FALSE))</f>
        <v>Fora do DRE</v>
      </c>
      <c r="U2778" s="3" t="str">
        <f>IF(ISERROR(VLOOKUP(Base_Periodo1[[#This Row],[CONTA]],BaseContasDRE[#All],7,FALSE)),"Fora do DRE",VLOOKUP(Base_Periodo1[[#This Row],[CONTA]],BaseContasDRE[#All],7,FALSE))</f>
        <v>Fora do DRE</v>
      </c>
      <c r="V2778" s="3" t="str">
        <f>IF(Base_Periodo1[[#This Row],[Tipo_Linha]]="Fora do DRE","Fora do DRE","( "&amp;Base_Periodo1[[#This Row],[Tipo_Linha]]&amp;" ) "&amp;Base_Periodo1[[#This Row],[Filtro]])</f>
        <v>Fora do DRE</v>
      </c>
      <c r="W2778" s="3" t="str">
        <f>LEFT(Base_Periodo1[[#This Row],[CLASS]],3)</f>
        <v>2.1</v>
      </c>
    </row>
    <row r="2779" spans="1:23" hidden="1">
      <c r="A2779" s="3" t="str">
        <f t="shared" si="43"/>
        <v>Período 1</v>
      </c>
      <c r="B2779">
        <v>16840</v>
      </c>
      <c r="C2779" t="s">
        <v>1745</v>
      </c>
      <c r="D2779" t="s">
        <v>1801</v>
      </c>
      <c r="E2779" s="3" t="str">
        <f>IF(LEN(Base_Periodo1[[#This Row],[CLASS]])&gt;=7,LEFT(Base_Periodo1[[#This Row],[CLASS]],7),"")</f>
        <v>2.1.2.1</v>
      </c>
      <c r="F2779" s="3" t="str">
        <f>VLOOKUP(Base_Periodo1[[#This Row],[Aux]],Base_Contas_Balanco[#All],2,FALSE)</f>
        <v>Fornecedores Cooperados</v>
      </c>
      <c r="G2779" s="1">
        <v>41569</v>
      </c>
      <c r="H2779" s="225">
        <v>0.14000000000032742</v>
      </c>
      <c r="I2779" s="225">
        <v>0</v>
      </c>
      <c r="J2779" s="225">
        <v>0</v>
      </c>
      <c r="K2779" s="225">
        <v>0.14000000000032742</v>
      </c>
      <c r="L27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0.14000000000000001</v>
      </c>
      <c r="M2779" s="225">
        <f>ROUND(IF(AND(Base_Periodo1[[#This Row],[Tipo_Linha]]="-",Base_Periodo1[[#This Row],[TIPOSALDO]]="D"),Base_Periodo1[[#This Row],[SALDO_ATUAL]]*-1,Base_Periodo1[[#This Row],[SALDO_ATUAL]]),4)</f>
        <v>0.14000000000000001</v>
      </c>
      <c r="N2779" t="s">
        <v>116</v>
      </c>
      <c r="O2779" t="s">
        <v>459</v>
      </c>
      <c r="P2779" t="s">
        <v>459</v>
      </c>
      <c r="Q2779">
        <v>7</v>
      </c>
      <c r="R2779" s="225">
        <f>Base_Periodo1[[#This Row],[CREDITOS]]-Base_Periodo1[[#This Row],[DEBITOS]]</f>
        <v>0</v>
      </c>
      <c r="S2779" s="3" t="str">
        <f>IF(ISERROR(VLOOKUP(Base_Periodo1[[#This Row],[CONTA]],BaseContasDRE[#All],4,FALSE)),"Fora do DRE",VLOOKUP(Base_Periodo1[[#This Row],[CONTA]],BaseContasDRE[#All],4,FALSE))</f>
        <v>Fora do DRE</v>
      </c>
      <c r="T2779" s="3" t="str">
        <f>IF(ISERROR(VLOOKUP(Base_Periodo1[[#This Row],[CONTA]],BaseContasDRE[#All],5,FALSE)),"Fora do DRE",VLOOKUP(Base_Periodo1[[#This Row],[CONTA]],BaseContasDRE[#All],6,FALSE))</f>
        <v>Fora do DRE</v>
      </c>
      <c r="U2779" s="3" t="str">
        <f>IF(ISERROR(VLOOKUP(Base_Periodo1[[#This Row],[CONTA]],BaseContasDRE[#All],7,FALSE)),"Fora do DRE",VLOOKUP(Base_Periodo1[[#This Row],[CONTA]],BaseContasDRE[#All],7,FALSE))</f>
        <v>Fora do DRE</v>
      </c>
      <c r="V2779" s="3" t="str">
        <f>IF(Base_Periodo1[[#This Row],[Tipo_Linha]]="Fora do DRE","Fora do DRE","( "&amp;Base_Periodo1[[#This Row],[Tipo_Linha]]&amp;" ) "&amp;Base_Periodo1[[#This Row],[Filtro]])</f>
        <v>Fora do DRE</v>
      </c>
      <c r="W2779" s="3" t="str">
        <f>LEFT(Base_Periodo1[[#This Row],[CLASS]],3)</f>
        <v>2.1</v>
      </c>
    </row>
    <row r="2780" spans="1:23" hidden="1">
      <c r="A2780" s="3" t="str">
        <f t="shared" si="43"/>
        <v>Período 1</v>
      </c>
      <c r="B2780">
        <v>3646</v>
      </c>
      <c r="C2780" t="s">
        <v>1745</v>
      </c>
      <c r="D2780" t="s">
        <v>1802</v>
      </c>
      <c r="E2780" s="3" t="str">
        <f>IF(LEN(Base_Periodo1[[#This Row],[CLASS]])&gt;=7,LEFT(Base_Periodo1[[#This Row],[CLASS]],7),"")</f>
        <v>2.1.2.1</v>
      </c>
      <c r="F2780" s="3" t="str">
        <f>VLOOKUP(Base_Periodo1[[#This Row],[Aux]],Base_Contas_Balanco[#All],2,FALSE)</f>
        <v>Fornecedores Cooperados</v>
      </c>
      <c r="G2780" s="1">
        <v>42884</v>
      </c>
      <c r="H2780" s="225">
        <v>114.65999999998894</v>
      </c>
      <c r="I2780" s="225">
        <v>114.66</v>
      </c>
      <c r="J2780" s="225">
        <v>0</v>
      </c>
      <c r="K2780" s="225">
        <v>1.1056044968427159E-11</v>
      </c>
      <c r="L27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780" s="225">
        <f>ROUND(IF(AND(Base_Periodo1[[#This Row],[Tipo_Linha]]="-",Base_Periodo1[[#This Row],[TIPOSALDO]]="D"),Base_Periodo1[[#This Row],[SALDO_ATUAL]]*-1,Base_Periodo1[[#This Row],[SALDO_ATUAL]]),4)</f>
        <v>0</v>
      </c>
      <c r="N2780" t="s">
        <v>116</v>
      </c>
      <c r="O2780" t="s">
        <v>459</v>
      </c>
      <c r="P2780" t="s">
        <v>436</v>
      </c>
      <c r="Q2780">
        <v>7</v>
      </c>
      <c r="R2780" s="225">
        <f>Base_Periodo1[[#This Row],[CREDITOS]]-Base_Periodo1[[#This Row],[DEBITOS]]</f>
        <v>-114.66</v>
      </c>
      <c r="S2780" s="3" t="str">
        <f>IF(ISERROR(VLOOKUP(Base_Periodo1[[#This Row],[CONTA]],BaseContasDRE[#All],4,FALSE)),"Fora do DRE",VLOOKUP(Base_Periodo1[[#This Row],[CONTA]],BaseContasDRE[#All],4,FALSE))</f>
        <v>Fora do DRE</v>
      </c>
      <c r="T2780" s="3" t="str">
        <f>IF(ISERROR(VLOOKUP(Base_Periodo1[[#This Row],[CONTA]],BaseContasDRE[#All],5,FALSE)),"Fora do DRE",VLOOKUP(Base_Periodo1[[#This Row],[CONTA]],BaseContasDRE[#All],6,FALSE))</f>
        <v>Fora do DRE</v>
      </c>
      <c r="U2780" s="3" t="str">
        <f>IF(ISERROR(VLOOKUP(Base_Periodo1[[#This Row],[CONTA]],BaseContasDRE[#All],7,FALSE)),"Fora do DRE",VLOOKUP(Base_Periodo1[[#This Row],[CONTA]],BaseContasDRE[#All],7,FALSE))</f>
        <v>Fora do DRE</v>
      </c>
      <c r="V2780" s="3" t="str">
        <f>IF(Base_Periodo1[[#This Row],[Tipo_Linha]]="Fora do DRE","Fora do DRE","( "&amp;Base_Periodo1[[#This Row],[Tipo_Linha]]&amp;" ) "&amp;Base_Periodo1[[#This Row],[Filtro]])</f>
        <v>Fora do DRE</v>
      </c>
      <c r="W2780" s="3" t="str">
        <f>LEFT(Base_Periodo1[[#This Row],[CLASS]],3)</f>
        <v>2.1</v>
      </c>
    </row>
    <row r="2781" spans="1:23" hidden="1">
      <c r="A2781" s="3" t="str">
        <f t="shared" si="43"/>
        <v>Período 1</v>
      </c>
      <c r="B2781">
        <v>11692</v>
      </c>
      <c r="C2781" t="s">
        <v>1745</v>
      </c>
      <c r="D2781" t="s">
        <v>1803</v>
      </c>
      <c r="E2781" s="3" t="str">
        <f>IF(LEN(Base_Periodo1[[#This Row],[CLASS]])&gt;=7,LEFT(Base_Periodo1[[#This Row],[CLASS]],7),"")</f>
        <v>2.1.2.1</v>
      </c>
      <c r="F2781" s="3" t="str">
        <f>VLOOKUP(Base_Periodo1[[#This Row],[Aux]],Base_Contas_Balanco[#All],2,FALSE)</f>
        <v>Fornecedores Cooperados</v>
      </c>
      <c r="G2781" s="1">
        <v>42709</v>
      </c>
      <c r="H2781" s="225">
        <v>182.26999999999998</v>
      </c>
      <c r="I2781" s="225">
        <v>0</v>
      </c>
      <c r="J2781" s="225">
        <v>0</v>
      </c>
      <c r="K2781" s="225">
        <v>182.26999999999998</v>
      </c>
      <c r="L27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182.27</v>
      </c>
      <c r="M2781" s="225">
        <f>ROUND(IF(AND(Base_Periodo1[[#This Row],[Tipo_Linha]]="-",Base_Periodo1[[#This Row],[TIPOSALDO]]="D"),Base_Periodo1[[#This Row],[SALDO_ATUAL]]*-1,Base_Periodo1[[#This Row],[SALDO_ATUAL]]),4)</f>
        <v>182.27</v>
      </c>
      <c r="N2781" t="s">
        <v>116</v>
      </c>
      <c r="O2781" t="s">
        <v>459</v>
      </c>
      <c r="P2781" t="s">
        <v>459</v>
      </c>
      <c r="Q2781">
        <v>7</v>
      </c>
      <c r="R2781" s="225">
        <f>Base_Periodo1[[#This Row],[CREDITOS]]-Base_Periodo1[[#This Row],[DEBITOS]]</f>
        <v>0</v>
      </c>
      <c r="S2781" s="3" t="str">
        <f>IF(ISERROR(VLOOKUP(Base_Periodo1[[#This Row],[CONTA]],BaseContasDRE[#All],4,FALSE)),"Fora do DRE",VLOOKUP(Base_Periodo1[[#This Row],[CONTA]],BaseContasDRE[#All],4,FALSE))</f>
        <v>Fora do DRE</v>
      </c>
      <c r="T2781" s="3" t="str">
        <f>IF(ISERROR(VLOOKUP(Base_Periodo1[[#This Row],[CONTA]],BaseContasDRE[#All],5,FALSE)),"Fora do DRE",VLOOKUP(Base_Periodo1[[#This Row],[CONTA]],BaseContasDRE[#All],6,FALSE))</f>
        <v>Fora do DRE</v>
      </c>
      <c r="U2781" s="3" t="str">
        <f>IF(ISERROR(VLOOKUP(Base_Periodo1[[#This Row],[CONTA]],BaseContasDRE[#All],7,FALSE)),"Fora do DRE",VLOOKUP(Base_Periodo1[[#This Row],[CONTA]],BaseContasDRE[#All],7,FALSE))</f>
        <v>Fora do DRE</v>
      </c>
      <c r="V2781" s="3" t="str">
        <f>IF(Base_Periodo1[[#This Row],[Tipo_Linha]]="Fora do DRE","Fora do DRE","( "&amp;Base_Periodo1[[#This Row],[Tipo_Linha]]&amp;" ) "&amp;Base_Periodo1[[#This Row],[Filtro]])</f>
        <v>Fora do DRE</v>
      </c>
      <c r="W2781" s="3" t="str">
        <f>LEFT(Base_Periodo1[[#This Row],[CLASS]],3)</f>
        <v>2.1</v>
      </c>
    </row>
    <row r="2782" spans="1:23" hidden="1">
      <c r="A2782" s="3" t="str">
        <f t="shared" si="43"/>
        <v>Período 1</v>
      </c>
      <c r="B2782">
        <v>38974</v>
      </c>
      <c r="C2782" t="s">
        <v>1745</v>
      </c>
      <c r="D2782" t="s">
        <v>4279</v>
      </c>
      <c r="E2782" s="3" t="str">
        <f>IF(LEN(Base_Periodo1[[#This Row],[CLASS]])&gt;=7,LEFT(Base_Periodo1[[#This Row],[CLASS]],7),"")</f>
        <v>2.1.2.1</v>
      </c>
      <c r="F2782" s="3" t="str">
        <f>VLOOKUP(Base_Periodo1[[#This Row],[Aux]],Base_Contas_Balanco[#All],2,FALSE)</f>
        <v>Fornecedores Cooperados</v>
      </c>
      <c r="G2782" s="1">
        <v>42844</v>
      </c>
      <c r="H2782" s="225">
        <v>21651.370000000003</v>
      </c>
      <c r="I2782" s="225">
        <v>0</v>
      </c>
      <c r="J2782" s="225">
        <v>0</v>
      </c>
      <c r="K2782" s="225">
        <v>21651.370000000003</v>
      </c>
      <c r="L27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21651.37</v>
      </c>
      <c r="M2782" s="225">
        <f>ROUND(IF(AND(Base_Periodo1[[#This Row],[Tipo_Linha]]="-",Base_Periodo1[[#This Row],[TIPOSALDO]]="D"),Base_Periodo1[[#This Row],[SALDO_ATUAL]]*-1,Base_Periodo1[[#This Row],[SALDO_ATUAL]]),4)</f>
        <v>21651.37</v>
      </c>
      <c r="N2782" t="s">
        <v>116</v>
      </c>
      <c r="O2782" t="s">
        <v>459</v>
      </c>
      <c r="P2782" t="s">
        <v>459</v>
      </c>
      <c r="Q2782">
        <v>7</v>
      </c>
      <c r="R2782" s="225">
        <f>Base_Periodo1[[#This Row],[CREDITOS]]-Base_Periodo1[[#This Row],[DEBITOS]]</f>
        <v>0</v>
      </c>
      <c r="S2782" s="3" t="str">
        <f>IF(ISERROR(VLOOKUP(Base_Periodo1[[#This Row],[CONTA]],BaseContasDRE[#All],4,FALSE)),"Fora do DRE",VLOOKUP(Base_Periodo1[[#This Row],[CONTA]],BaseContasDRE[#All],4,FALSE))</f>
        <v>Fora do DRE</v>
      </c>
      <c r="T2782" s="3" t="str">
        <f>IF(ISERROR(VLOOKUP(Base_Periodo1[[#This Row],[CONTA]],BaseContasDRE[#All],5,FALSE)),"Fora do DRE",VLOOKUP(Base_Periodo1[[#This Row],[CONTA]],BaseContasDRE[#All],6,FALSE))</f>
        <v>Fora do DRE</v>
      </c>
      <c r="U2782" s="3" t="str">
        <f>IF(ISERROR(VLOOKUP(Base_Periodo1[[#This Row],[CONTA]],BaseContasDRE[#All],7,FALSE)),"Fora do DRE",VLOOKUP(Base_Periodo1[[#This Row],[CONTA]],BaseContasDRE[#All],7,FALSE))</f>
        <v>Fora do DRE</v>
      </c>
      <c r="V2782" s="3" t="str">
        <f>IF(Base_Periodo1[[#This Row],[Tipo_Linha]]="Fora do DRE","Fora do DRE","( "&amp;Base_Periodo1[[#This Row],[Tipo_Linha]]&amp;" ) "&amp;Base_Periodo1[[#This Row],[Filtro]])</f>
        <v>Fora do DRE</v>
      </c>
      <c r="W2782" s="3" t="str">
        <f>LEFT(Base_Periodo1[[#This Row],[CLASS]],3)</f>
        <v>2.1</v>
      </c>
    </row>
    <row r="2783" spans="1:23" hidden="1">
      <c r="A2783" s="3" t="str">
        <f t="shared" si="43"/>
        <v>Período 1</v>
      </c>
      <c r="B2783">
        <v>49927</v>
      </c>
      <c r="C2783" t="s">
        <v>1745</v>
      </c>
      <c r="D2783" t="s">
        <v>5325</v>
      </c>
      <c r="E2783" s="3" t="str">
        <f>IF(LEN(Base_Periodo1[[#This Row],[CLASS]])&gt;=7,LEFT(Base_Periodo1[[#This Row],[CLASS]],7),"")</f>
        <v>2.1.2.1</v>
      </c>
      <c r="F2783" s="3" t="str">
        <f>VLOOKUP(Base_Periodo1[[#This Row],[Aux]],Base_Contas_Balanco[#All],2,FALSE)</f>
        <v>Fornecedores Cooperados</v>
      </c>
      <c r="G2783" s="1">
        <v>42874</v>
      </c>
      <c r="H2783" s="225">
        <v>4810.0800000000017</v>
      </c>
      <c r="I2783" s="225">
        <v>747.45</v>
      </c>
      <c r="J2783" s="225">
        <v>0</v>
      </c>
      <c r="K2783" s="225">
        <v>4062.6300000000019</v>
      </c>
      <c r="L27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4062.63</v>
      </c>
      <c r="M2783" s="225">
        <f>ROUND(IF(AND(Base_Periodo1[[#This Row],[Tipo_Linha]]="-",Base_Periodo1[[#This Row],[TIPOSALDO]]="D"),Base_Periodo1[[#This Row],[SALDO_ATUAL]]*-1,Base_Periodo1[[#This Row],[SALDO_ATUAL]]),4)</f>
        <v>4062.63</v>
      </c>
      <c r="N2783" t="s">
        <v>116</v>
      </c>
      <c r="O2783" t="s">
        <v>459</v>
      </c>
      <c r="P2783" t="s">
        <v>459</v>
      </c>
      <c r="Q2783">
        <v>7</v>
      </c>
      <c r="R2783" s="225">
        <f>Base_Periodo1[[#This Row],[CREDITOS]]-Base_Periodo1[[#This Row],[DEBITOS]]</f>
        <v>-747.45</v>
      </c>
      <c r="S2783" s="3" t="str">
        <f>IF(ISERROR(VLOOKUP(Base_Periodo1[[#This Row],[CONTA]],BaseContasDRE[#All],4,FALSE)),"Fora do DRE",VLOOKUP(Base_Periodo1[[#This Row],[CONTA]],BaseContasDRE[#All],4,FALSE))</f>
        <v>Fora do DRE</v>
      </c>
      <c r="T2783" s="3" t="str">
        <f>IF(ISERROR(VLOOKUP(Base_Periodo1[[#This Row],[CONTA]],BaseContasDRE[#All],5,FALSE)),"Fora do DRE",VLOOKUP(Base_Periodo1[[#This Row],[CONTA]],BaseContasDRE[#All],6,FALSE))</f>
        <v>Fora do DRE</v>
      </c>
      <c r="U2783" s="3" t="str">
        <f>IF(ISERROR(VLOOKUP(Base_Periodo1[[#This Row],[CONTA]],BaseContasDRE[#All],7,FALSE)),"Fora do DRE",VLOOKUP(Base_Periodo1[[#This Row],[CONTA]],BaseContasDRE[#All],7,FALSE))</f>
        <v>Fora do DRE</v>
      </c>
      <c r="V2783" s="3" t="str">
        <f>IF(Base_Periodo1[[#This Row],[Tipo_Linha]]="Fora do DRE","Fora do DRE","( "&amp;Base_Periodo1[[#This Row],[Tipo_Linha]]&amp;" ) "&amp;Base_Periodo1[[#This Row],[Filtro]])</f>
        <v>Fora do DRE</v>
      </c>
      <c r="W2783" s="3" t="str">
        <f>LEFT(Base_Periodo1[[#This Row],[CLASS]],3)</f>
        <v>2.1</v>
      </c>
    </row>
    <row r="2784" spans="1:23" hidden="1">
      <c r="A2784" s="3" t="str">
        <f t="shared" si="43"/>
        <v>Período 1</v>
      </c>
      <c r="B2784">
        <v>50608</v>
      </c>
      <c r="C2784" t="s">
        <v>1745</v>
      </c>
      <c r="D2784" t="s">
        <v>5058</v>
      </c>
      <c r="E2784" s="3" t="str">
        <f>IF(LEN(Base_Periodo1[[#This Row],[CLASS]])&gt;=7,LEFT(Base_Periodo1[[#This Row],[CLASS]],7),"")</f>
        <v>2.1.2.1</v>
      </c>
      <c r="F2784" s="3" t="str">
        <f>VLOOKUP(Base_Periodo1[[#This Row],[Aux]],Base_Contas_Balanco[#All],2,FALSE)</f>
        <v>Fornecedores Cooperados</v>
      </c>
      <c r="G2784" s="1">
        <v>42760</v>
      </c>
      <c r="H2784" s="225">
        <v>9.9999999947613105E-3</v>
      </c>
      <c r="I2784" s="225">
        <v>0</v>
      </c>
      <c r="J2784" s="225">
        <v>0</v>
      </c>
      <c r="K2784" s="225">
        <v>9.9999999947613105E-3</v>
      </c>
      <c r="L27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2784" s="225">
        <f>ROUND(IF(AND(Base_Periodo1[[#This Row],[Tipo_Linha]]="-",Base_Periodo1[[#This Row],[TIPOSALDO]]="D"),Base_Periodo1[[#This Row],[SALDO_ATUAL]]*-1,Base_Periodo1[[#This Row],[SALDO_ATUAL]]),4)</f>
        <v>0.01</v>
      </c>
      <c r="N2784" t="s">
        <v>116</v>
      </c>
      <c r="O2784" t="s">
        <v>459</v>
      </c>
      <c r="P2784" t="s">
        <v>459</v>
      </c>
      <c r="Q2784">
        <v>7</v>
      </c>
      <c r="R2784" s="225">
        <f>Base_Periodo1[[#This Row],[CREDITOS]]-Base_Periodo1[[#This Row],[DEBITOS]]</f>
        <v>0</v>
      </c>
      <c r="S2784" s="3" t="str">
        <f>IF(ISERROR(VLOOKUP(Base_Periodo1[[#This Row],[CONTA]],BaseContasDRE[#All],4,FALSE)),"Fora do DRE",VLOOKUP(Base_Periodo1[[#This Row],[CONTA]],BaseContasDRE[#All],4,FALSE))</f>
        <v>Fora do DRE</v>
      </c>
      <c r="T2784" s="3" t="str">
        <f>IF(ISERROR(VLOOKUP(Base_Periodo1[[#This Row],[CONTA]],BaseContasDRE[#All],5,FALSE)),"Fora do DRE",VLOOKUP(Base_Periodo1[[#This Row],[CONTA]],BaseContasDRE[#All],6,FALSE))</f>
        <v>Fora do DRE</v>
      </c>
      <c r="U2784" s="3" t="str">
        <f>IF(ISERROR(VLOOKUP(Base_Periodo1[[#This Row],[CONTA]],BaseContasDRE[#All],7,FALSE)),"Fora do DRE",VLOOKUP(Base_Periodo1[[#This Row],[CONTA]],BaseContasDRE[#All],7,FALSE))</f>
        <v>Fora do DRE</v>
      </c>
      <c r="V2784" s="3" t="str">
        <f>IF(Base_Periodo1[[#This Row],[Tipo_Linha]]="Fora do DRE","Fora do DRE","( "&amp;Base_Periodo1[[#This Row],[Tipo_Linha]]&amp;" ) "&amp;Base_Periodo1[[#This Row],[Filtro]])</f>
        <v>Fora do DRE</v>
      </c>
      <c r="W2784" s="3" t="str">
        <f>LEFT(Base_Periodo1[[#This Row],[CLASS]],3)</f>
        <v>2.1</v>
      </c>
    </row>
    <row r="2785" spans="1:23" hidden="1">
      <c r="A2785" s="3" t="str">
        <f t="shared" si="43"/>
        <v>Período 1</v>
      </c>
      <c r="B2785">
        <v>3930</v>
      </c>
      <c r="C2785" t="s">
        <v>1745</v>
      </c>
      <c r="D2785" t="s">
        <v>1804</v>
      </c>
      <c r="E2785" s="3" t="str">
        <f>IF(LEN(Base_Periodo1[[#This Row],[CLASS]])&gt;=7,LEFT(Base_Periodo1[[#This Row],[CLASS]],7),"")</f>
        <v>2.1.2.1</v>
      </c>
      <c r="F2785" s="3" t="str">
        <f>VLOOKUP(Base_Periodo1[[#This Row],[Aux]],Base_Contas_Balanco[#All],2,FALSE)</f>
        <v>Fornecedores Cooperados</v>
      </c>
      <c r="G2785" s="1">
        <v>42753</v>
      </c>
      <c r="H2785" s="225">
        <v>4211.3499999999767</v>
      </c>
      <c r="I2785" s="225">
        <v>0</v>
      </c>
      <c r="J2785" s="225">
        <v>0</v>
      </c>
      <c r="K2785" s="225">
        <v>4211.3499999999767</v>
      </c>
      <c r="L27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4211.3500000000004</v>
      </c>
      <c r="M2785" s="225">
        <f>ROUND(IF(AND(Base_Periodo1[[#This Row],[Tipo_Linha]]="-",Base_Periodo1[[#This Row],[TIPOSALDO]]="D"),Base_Periodo1[[#This Row],[SALDO_ATUAL]]*-1,Base_Periodo1[[#This Row],[SALDO_ATUAL]]),4)</f>
        <v>4211.3500000000004</v>
      </c>
      <c r="N2785" t="s">
        <v>116</v>
      </c>
      <c r="O2785" t="s">
        <v>459</v>
      </c>
      <c r="P2785" t="s">
        <v>459</v>
      </c>
      <c r="Q2785">
        <v>7</v>
      </c>
      <c r="R2785" s="225">
        <f>Base_Periodo1[[#This Row],[CREDITOS]]-Base_Periodo1[[#This Row],[DEBITOS]]</f>
        <v>0</v>
      </c>
      <c r="S2785" s="3" t="str">
        <f>IF(ISERROR(VLOOKUP(Base_Periodo1[[#This Row],[CONTA]],BaseContasDRE[#All],4,FALSE)),"Fora do DRE",VLOOKUP(Base_Periodo1[[#This Row],[CONTA]],BaseContasDRE[#All],4,FALSE))</f>
        <v>Fora do DRE</v>
      </c>
      <c r="T2785" s="3" t="str">
        <f>IF(ISERROR(VLOOKUP(Base_Periodo1[[#This Row],[CONTA]],BaseContasDRE[#All],5,FALSE)),"Fora do DRE",VLOOKUP(Base_Periodo1[[#This Row],[CONTA]],BaseContasDRE[#All],6,FALSE))</f>
        <v>Fora do DRE</v>
      </c>
      <c r="U2785" s="3" t="str">
        <f>IF(ISERROR(VLOOKUP(Base_Periodo1[[#This Row],[CONTA]],BaseContasDRE[#All],7,FALSE)),"Fora do DRE",VLOOKUP(Base_Periodo1[[#This Row],[CONTA]],BaseContasDRE[#All],7,FALSE))</f>
        <v>Fora do DRE</v>
      </c>
      <c r="V2785" s="3" t="str">
        <f>IF(Base_Periodo1[[#This Row],[Tipo_Linha]]="Fora do DRE","Fora do DRE","( "&amp;Base_Periodo1[[#This Row],[Tipo_Linha]]&amp;" ) "&amp;Base_Periodo1[[#This Row],[Filtro]])</f>
        <v>Fora do DRE</v>
      </c>
      <c r="W2785" s="3" t="str">
        <f>LEFT(Base_Periodo1[[#This Row],[CLASS]],3)</f>
        <v>2.1</v>
      </c>
    </row>
    <row r="2786" spans="1:23" hidden="1">
      <c r="A2786" s="3" t="str">
        <f t="shared" si="43"/>
        <v>Período 1</v>
      </c>
      <c r="B2786">
        <v>55558</v>
      </c>
      <c r="C2786" t="s">
        <v>1745</v>
      </c>
      <c r="D2786" t="s">
        <v>6358</v>
      </c>
      <c r="E2786" s="3" t="str">
        <f>IF(LEN(Base_Periodo1[[#This Row],[CLASS]])&gt;=7,LEFT(Base_Periodo1[[#This Row],[CLASS]],7),"")</f>
        <v>2.1.2.1</v>
      </c>
      <c r="F2786" s="3" t="str">
        <f>VLOOKUP(Base_Periodo1[[#This Row],[Aux]],Base_Contas_Balanco[#All],2,FALSE)</f>
        <v>Fornecedores Cooperados</v>
      </c>
      <c r="G2786" s="1">
        <v>42865</v>
      </c>
      <c r="H2786" s="225">
        <v>25974.86</v>
      </c>
      <c r="I2786" s="225">
        <v>9396.73</v>
      </c>
      <c r="J2786" s="225">
        <v>0</v>
      </c>
      <c r="K2786" s="225">
        <v>16578.13</v>
      </c>
      <c r="L27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16578.13</v>
      </c>
      <c r="M2786" s="225">
        <f>ROUND(IF(AND(Base_Periodo1[[#This Row],[Tipo_Linha]]="-",Base_Periodo1[[#This Row],[TIPOSALDO]]="D"),Base_Periodo1[[#This Row],[SALDO_ATUAL]]*-1,Base_Periodo1[[#This Row],[SALDO_ATUAL]]),4)</f>
        <v>16578.13</v>
      </c>
      <c r="N2786" t="s">
        <v>116</v>
      </c>
      <c r="O2786" t="s">
        <v>459</v>
      </c>
      <c r="P2786" t="s">
        <v>459</v>
      </c>
      <c r="Q2786">
        <v>7</v>
      </c>
      <c r="R2786" s="225">
        <f>Base_Periodo1[[#This Row],[CREDITOS]]-Base_Periodo1[[#This Row],[DEBITOS]]</f>
        <v>-9396.73</v>
      </c>
      <c r="S2786" s="3" t="str">
        <f>IF(ISERROR(VLOOKUP(Base_Periodo1[[#This Row],[CONTA]],BaseContasDRE[#All],4,FALSE)),"Fora do DRE",VLOOKUP(Base_Periodo1[[#This Row],[CONTA]],BaseContasDRE[#All],4,FALSE))</f>
        <v>Fora do DRE</v>
      </c>
      <c r="T2786" s="3" t="str">
        <f>IF(ISERROR(VLOOKUP(Base_Periodo1[[#This Row],[CONTA]],BaseContasDRE[#All],5,FALSE)),"Fora do DRE",VLOOKUP(Base_Periodo1[[#This Row],[CONTA]],BaseContasDRE[#All],6,FALSE))</f>
        <v>Fora do DRE</v>
      </c>
      <c r="U2786" s="3" t="str">
        <f>IF(ISERROR(VLOOKUP(Base_Periodo1[[#This Row],[CONTA]],BaseContasDRE[#All],7,FALSE)),"Fora do DRE",VLOOKUP(Base_Periodo1[[#This Row],[CONTA]],BaseContasDRE[#All],7,FALSE))</f>
        <v>Fora do DRE</v>
      </c>
      <c r="V2786" s="3" t="str">
        <f>IF(Base_Periodo1[[#This Row],[Tipo_Linha]]="Fora do DRE","Fora do DRE","( "&amp;Base_Periodo1[[#This Row],[Tipo_Linha]]&amp;" ) "&amp;Base_Periodo1[[#This Row],[Filtro]])</f>
        <v>Fora do DRE</v>
      </c>
      <c r="W2786" s="3" t="str">
        <f>LEFT(Base_Periodo1[[#This Row],[CLASS]],3)</f>
        <v>2.1</v>
      </c>
    </row>
    <row r="2787" spans="1:23" hidden="1">
      <c r="A2787" s="3" t="str">
        <f t="shared" si="43"/>
        <v>Período 1</v>
      </c>
      <c r="B2787">
        <v>3410</v>
      </c>
      <c r="C2787" t="s">
        <v>1745</v>
      </c>
      <c r="D2787" t="s">
        <v>1805</v>
      </c>
      <c r="E2787" s="3" t="str">
        <f>IF(LEN(Base_Periodo1[[#This Row],[CLASS]])&gt;=7,LEFT(Base_Periodo1[[#This Row],[CLASS]],7),"")</f>
        <v>2.1.2.1</v>
      </c>
      <c r="F2787" s="3" t="str">
        <f>VLOOKUP(Base_Periodo1[[#This Row],[Aux]],Base_Contas_Balanco[#All],2,FALSE)</f>
        <v>Fornecedores Cooperados</v>
      </c>
      <c r="G2787" s="1">
        <v>42753</v>
      </c>
      <c r="H2787" s="225">
        <v>1902.3000000000466</v>
      </c>
      <c r="I2787" s="225">
        <v>0</v>
      </c>
      <c r="J2787" s="225">
        <v>0</v>
      </c>
      <c r="K2787" s="225">
        <v>1902.3000000000466</v>
      </c>
      <c r="L27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1902.3</v>
      </c>
      <c r="M2787" s="225">
        <f>ROUND(IF(AND(Base_Periodo1[[#This Row],[Tipo_Linha]]="-",Base_Periodo1[[#This Row],[TIPOSALDO]]="D"),Base_Periodo1[[#This Row],[SALDO_ATUAL]]*-1,Base_Periodo1[[#This Row],[SALDO_ATUAL]]),4)</f>
        <v>1902.3</v>
      </c>
      <c r="N2787" t="s">
        <v>116</v>
      </c>
      <c r="O2787" t="s">
        <v>459</v>
      </c>
      <c r="P2787" t="s">
        <v>459</v>
      </c>
      <c r="Q2787">
        <v>7</v>
      </c>
      <c r="R2787" s="225">
        <f>Base_Periodo1[[#This Row],[CREDITOS]]-Base_Periodo1[[#This Row],[DEBITOS]]</f>
        <v>0</v>
      </c>
      <c r="S2787" s="3" t="str">
        <f>IF(ISERROR(VLOOKUP(Base_Periodo1[[#This Row],[CONTA]],BaseContasDRE[#All],4,FALSE)),"Fora do DRE",VLOOKUP(Base_Periodo1[[#This Row],[CONTA]],BaseContasDRE[#All],4,FALSE))</f>
        <v>Fora do DRE</v>
      </c>
      <c r="T2787" s="3" t="str">
        <f>IF(ISERROR(VLOOKUP(Base_Periodo1[[#This Row],[CONTA]],BaseContasDRE[#All],5,FALSE)),"Fora do DRE",VLOOKUP(Base_Periodo1[[#This Row],[CONTA]],BaseContasDRE[#All],6,FALSE))</f>
        <v>Fora do DRE</v>
      </c>
      <c r="U2787" s="3" t="str">
        <f>IF(ISERROR(VLOOKUP(Base_Periodo1[[#This Row],[CONTA]],BaseContasDRE[#All],7,FALSE)),"Fora do DRE",VLOOKUP(Base_Periodo1[[#This Row],[CONTA]],BaseContasDRE[#All],7,FALSE))</f>
        <v>Fora do DRE</v>
      </c>
      <c r="V2787" s="3" t="str">
        <f>IF(Base_Periodo1[[#This Row],[Tipo_Linha]]="Fora do DRE","Fora do DRE","( "&amp;Base_Periodo1[[#This Row],[Tipo_Linha]]&amp;" ) "&amp;Base_Periodo1[[#This Row],[Filtro]])</f>
        <v>Fora do DRE</v>
      </c>
      <c r="W2787" s="3" t="str">
        <f>LEFT(Base_Periodo1[[#This Row],[CLASS]],3)</f>
        <v>2.1</v>
      </c>
    </row>
    <row r="2788" spans="1:23" hidden="1">
      <c r="A2788" s="3" t="str">
        <f t="shared" si="43"/>
        <v>Período 1</v>
      </c>
      <c r="B2788">
        <v>2854</v>
      </c>
      <c r="C2788" t="s">
        <v>1745</v>
      </c>
      <c r="D2788" t="s">
        <v>4674</v>
      </c>
      <c r="E2788" s="3" t="str">
        <f>IF(LEN(Base_Periodo1[[#This Row],[CLASS]])&gt;=7,LEFT(Base_Periodo1[[#This Row],[CLASS]],7),"")</f>
        <v>2.1.2.1</v>
      </c>
      <c r="F2788" s="3" t="str">
        <f>VLOOKUP(Base_Periodo1[[#This Row],[Aux]],Base_Contas_Balanco[#All],2,FALSE)</f>
        <v>Fornecedores Cooperados</v>
      </c>
      <c r="G2788" s="1">
        <v>42795</v>
      </c>
      <c r="H2788" s="225">
        <v>145282.05000000075</v>
      </c>
      <c r="I2788" s="225">
        <v>0</v>
      </c>
      <c r="J2788" s="225">
        <v>0</v>
      </c>
      <c r="K2788" s="225">
        <v>145282.05000000075</v>
      </c>
      <c r="L27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145282.04999999999</v>
      </c>
      <c r="M2788" s="225">
        <f>ROUND(IF(AND(Base_Periodo1[[#This Row],[Tipo_Linha]]="-",Base_Periodo1[[#This Row],[TIPOSALDO]]="D"),Base_Periodo1[[#This Row],[SALDO_ATUAL]]*-1,Base_Periodo1[[#This Row],[SALDO_ATUAL]]),4)</f>
        <v>145282.04999999999</v>
      </c>
      <c r="N2788" t="s">
        <v>116</v>
      </c>
      <c r="O2788" t="s">
        <v>459</v>
      </c>
      <c r="P2788" t="s">
        <v>459</v>
      </c>
      <c r="Q2788">
        <v>7</v>
      </c>
      <c r="R2788" s="225">
        <f>Base_Periodo1[[#This Row],[CREDITOS]]-Base_Periodo1[[#This Row],[DEBITOS]]</f>
        <v>0</v>
      </c>
      <c r="S2788" s="3" t="str">
        <f>IF(ISERROR(VLOOKUP(Base_Periodo1[[#This Row],[CONTA]],BaseContasDRE[#All],4,FALSE)),"Fora do DRE",VLOOKUP(Base_Periodo1[[#This Row],[CONTA]],BaseContasDRE[#All],4,FALSE))</f>
        <v>Fora do DRE</v>
      </c>
      <c r="T2788" s="3" t="str">
        <f>IF(ISERROR(VLOOKUP(Base_Periodo1[[#This Row],[CONTA]],BaseContasDRE[#All],5,FALSE)),"Fora do DRE",VLOOKUP(Base_Periodo1[[#This Row],[CONTA]],BaseContasDRE[#All],6,FALSE))</f>
        <v>Fora do DRE</v>
      </c>
      <c r="U2788" s="3" t="str">
        <f>IF(ISERROR(VLOOKUP(Base_Periodo1[[#This Row],[CONTA]],BaseContasDRE[#All],7,FALSE)),"Fora do DRE",VLOOKUP(Base_Periodo1[[#This Row],[CONTA]],BaseContasDRE[#All],7,FALSE))</f>
        <v>Fora do DRE</v>
      </c>
      <c r="V2788" s="3" t="str">
        <f>IF(Base_Periodo1[[#This Row],[Tipo_Linha]]="Fora do DRE","Fora do DRE","( "&amp;Base_Periodo1[[#This Row],[Tipo_Linha]]&amp;" ) "&amp;Base_Periodo1[[#This Row],[Filtro]])</f>
        <v>Fora do DRE</v>
      </c>
      <c r="W2788" s="3" t="str">
        <f>LEFT(Base_Periodo1[[#This Row],[CLASS]],3)</f>
        <v>2.1</v>
      </c>
    </row>
    <row r="2789" spans="1:23" hidden="1">
      <c r="A2789" s="3" t="str">
        <f t="shared" si="43"/>
        <v>Período 1</v>
      </c>
      <c r="B2789">
        <v>38970</v>
      </c>
      <c r="C2789" t="s">
        <v>1745</v>
      </c>
      <c r="D2789" t="s">
        <v>1806</v>
      </c>
      <c r="E2789" s="3" t="str">
        <f>IF(LEN(Base_Periodo1[[#This Row],[CLASS]])&gt;=7,LEFT(Base_Periodo1[[#This Row],[CLASS]],7),"")</f>
        <v>2.1.2.1</v>
      </c>
      <c r="F2789" s="3" t="str">
        <f>VLOOKUP(Base_Periodo1[[#This Row],[Aux]],Base_Contas_Balanco[#All],2,FALSE)</f>
        <v>Fornecedores Cooperados</v>
      </c>
      <c r="G2789" s="1">
        <v>42860</v>
      </c>
      <c r="H2789" s="225">
        <v>19968.28</v>
      </c>
      <c r="I2789" s="225">
        <v>0</v>
      </c>
      <c r="J2789" s="225">
        <v>55220.99</v>
      </c>
      <c r="K2789" s="225">
        <v>75189.26999999999</v>
      </c>
      <c r="L27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75189.27</v>
      </c>
      <c r="M2789" s="225">
        <f>ROUND(IF(AND(Base_Periodo1[[#This Row],[Tipo_Linha]]="-",Base_Periodo1[[#This Row],[TIPOSALDO]]="D"),Base_Periodo1[[#This Row],[SALDO_ATUAL]]*-1,Base_Periodo1[[#This Row],[SALDO_ATUAL]]),4)</f>
        <v>75189.27</v>
      </c>
      <c r="N2789" t="s">
        <v>116</v>
      </c>
      <c r="O2789" t="s">
        <v>459</v>
      </c>
      <c r="P2789" t="s">
        <v>459</v>
      </c>
      <c r="Q2789">
        <v>7</v>
      </c>
      <c r="R2789" s="225">
        <f>Base_Periodo1[[#This Row],[CREDITOS]]-Base_Periodo1[[#This Row],[DEBITOS]]</f>
        <v>55220.99</v>
      </c>
      <c r="S2789" s="3" t="str">
        <f>IF(ISERROR(VLOOKUP(Base_Periodo1[[#This Row],[CONTA]],BaseContasDRE[#All],4,FALSE)),"Fora do DRE",VLOOKUP(Base_Periodo1[[#This Row],[CONTA]],BaseContasDRE[#All],4,FALSE))</f>
        <v>Fora do DRE</v>
      </c>
      <c r="T2789" s="3" t="str">
        <f>IF(ISERROR(VLOOKUP(Base_Periodo1[[#This Row],[CONTA]],BaseContasDRE[#All],5,FALSE)),"Fora do DRE",VLOOKUP(Base_Periodo1[[#This Row],[CONTA]],BaseContasDRE[#All],6,FALSE))</f>
        <v>Fora do DRE</v>
      </c>
      <c r="U2789" s="3" t="str">
        <f>IF(ISERROR(VLOOKUP(Base_Periodo1[[#This Row],[CONTA]],BaseContasDRE[#All],7,FALSE)),"Fora do DRE",VLOOKUP(Base_Periodo1[[#This Row],[CONTA]],BaseContasDRE[#All],7,FALSE))</f>
        <v>Fora do DRE</v>
      </c>
      <c r="V2789" s="3" t="str">
        <f>IF(Base_Periodo1[[#This Row],[Tipo_Linha]]="Fora do DRE","Fora do DRE","( "&amp;Base_Periodo1[[#This Row],[Tipo_Linha]]&amp;" ) "&amp;Base_Periodo1[[#This Row],[Filtro]])</f>
        <v>Fora do DRE</v>
      </c>
      <c r="W2789" s="3" t="str">
        <f>LEFT(Base_Periodo1[[#This Row],[CLASS]],3)</f>
        <v>2.1</v>
      </c>
    </row>
    <row r="2790" spans="1:23" hidden="1">
      <c r="A2790" s="3" t="str">
        <f t="shared" si="43"/>
        <v>Período 1</v>
      </c>
      <c r="B2790">
        <v>5262</v>
      </c>
      <c r="C2790" t="s">
        <v>1745</v>
      </c>
      <c r="D2790" t="s">
        <v>5420</v>
      </c>
      <c r="E2790" s="3" t="str">
        <f>IF(LEN(Base_Periodo1[[#This Row],[CLASS]])&gt;=7,LEFT(Base_Periodo1[[#This Row],[CLASS]],7),"")</f>
        <v>2.1.2.1</v>
      </c>
      <c r="F2790" s="3" t="str">
        <f>VLOOKUP(Base_Periodo1[[#This Row],[Aux]],Base_Contas_Balanco[#All],2,FALSE)</f>
        <v>Fornecedores Cooperados</v>
      </c>
      <c r="G2790" s="1">
        <v>42885</v>
      </c>
      <c r="H2790" s="225">
        <v>75891.490000000107</v>
      </c>
      <c r="I2790" s="225">
        <v>66829.320000000007</v>
      </c>
      <c r="J2790" s="225">
        <v>39046.26</v>
      </c>
      <c r="K2790" s="225">
        <v>48108.430000000102</v>
      </c>
      <c r="L27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48108.43</v>
      </c>
      <c r="M2790" s="225">
        <f>ROUND(IF(AND(Base_Periodo1[[#This Row],[Tipo_Linha]]="-",Base_Periodo1[[#This Row],[TIPOSALDO]]="D"),Base_Periodo1[[#This Row],[SALDO_ATUAL]]*-1,Base_Periodo1[[#This Row],[SALDO_ATUAL]]),4)</f>
        <v>48108.43</v>
      </c>
      <c r="N2790" t="s">
        <v>116</v>
      </c>
      <c r="O2790" t="s">
        <v>459</v>
      </c>
      <c r="P2790" t="s">
        <v>459</v>
      </c>
      <c r="Q2790">
        <v>7</v>
      </c>
      <c r="R2790" s="225">
        <f>Base_Periodo1[[#This Row],[CREDITOS]]-Base_Periodo1[[#This Row],[DEBITOS]]</f>
        <v>-27783.060000000005</v>
      </c>
      <c r="S2790" s="3" t="str">
        <f>IF(ISERROR(VLOOKUP(Base_Periodo1[[#This Row],[CONTA]],BaseContasDRE[#All],4,FALSE)),"Fora do DRE",VLOOKUP(Base_Periodo1[[#This Row],[CONTA]],BaseContasDRE[#All],4,FALSE))</f>
        <v>Fora do DRE</v>
      </c>
      <c r="T2790" s="3" t="str">
        <f>IF(ISERROR(VLOOKUP(Base_Periodo1[[#This Row],[CONTA]],BaseContasDRE[#All],5,FALSE)),"Fora do DRE",VLOOKUP(Base_Periodo1[[#This Row],[CONTA]],BaseContasDRE[#All],6,FALSE))</f>
        <v>Fora do DRE</v>
      </c>
      <c r="U2790" s="3" t="str">
        <f>IF(ISERROR(VLOOKUP(Base_Periodo1[[#This Row],[CONTA]],BaseContasDRE[#All],7,FALSE)),"Fora do DRE",VLOOKUP(Base_Periodo1[[#This Row],[CONTA]],BaseContasDRE[#All],7,FALSE))</f>
        <v>Fora do DRE</v>
      </c>
      <c r="V2790" s="3" t="str">
        <f>IF(Base_Periodo1[[#This Row],[Tipo_Linha]]="Fora do DRE","Fora do DRE","( "&amp;Base_Periodo1[[#This Row],[Tipo_Linha]]&amp;" ) "&amp;Base_Periodo1[[#This Row],[Filtro]])</f>
        <v>Fora do DRE</v>
      </c>
      <c r="W2790" s="3" t="str">
        <f>LEFT(Base_Periodo1[[#This Row],[CLASS]],3)</f>
        <v>2.1</v>
      </c>
    </row>
    <row r="2791" spans="1:23" hidden="1">
      <c r="A2791" s="3" t="str">
        <f t="shared" si="43"/>
        <v>Período 1</v>
      </c>
      <c r="B2791">
        <v>4166</v>
      </c>
      <c r="C2791" t="s">
        <v>1745</v>
      </c>
      <c r="D2791" t="s">
        <v>1807</v>
      </c>
      <c r="E2791" s="3" t="str">
        <f>IF(LEN(Base_Periodo1[[#This Row],[CLASS]])&gt;=7,LEFT(Base_Periodo1[[#This Row],[CLASS]],7),"")</f>
        <v>2.1.2.1</v>
      </c>
      <c r="F2791" s="3" t="str">
        <f>VLOOKUP(Base_Periodo1[[#This Row],[Aux]],Base_Contas_Balanco[#All],2,FALSE)</f>
        <v>Fornecedores Cooperados</v>
      </c>
      <c r="G2791" s="1">
        <v>42796</v>
      </c>
      <c r="H2791" s="225">
        <v>180.79999999999563</v>
      </c>
      <c r="I2791" s="225">
        <v>0</v>
      </c>
      <c r="J2791" s="225">
        <v>0</v>
      </c>
      <c r="K2791" s="225">
        <v>180.79999999999563</v>
      </c>
      <c r="L27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180.8</v>
      </c>
      <c r="M2791" s="225">
        <f>ROUND(IF(AND(Base_Periodo1[[#This Row],[Tipo_Linha]]="-",Base_Periodo1[[#This Row],[TIPOSALDO]]="D"),Base_Periodo1[[#This Row],[SALDO_ATUAL]]*-1,Base_Periodo1[[#This Row],[SALDO_ATUAL]]),4)</f>
        <v>180.8</v>
      </c>
      <c r="N2791" t="s">
        <v>116</v>
      </c>
      <c r="O2791" t="s">
        <v>459</v>
      </c>
      <c r="P2791" t="s">
        <v>459</v>
      </c>
      <c r="Q2791">
        <v>7</v>
      </c>
      <c r="R2791" s="225">
        <f>Base_Periodo1[[#This Row],[CREDITOS]]-Base_Periodo1[[#This Row],[DEBITOS]]</f>
        <v>0</v>
      </c>
      <c r="S2791" s="3" t="str">
        <f>IF(ISERROR(VLOOKUP(Base_Periodo1[[#This Row],[CONTA]],BaseContasDRE[#All],4,FALSE)),"Fora do DRE",VLOOKUP(Base_Periodo1[[#This Row],[CONTA]],BaseContasDRE[#All],4,FALSE))</f>
        <v>Fora do DRE</v>
      </c>
      <c r="T2791" s="3" t="str">
        <f>IF(ISERROR(VLOOKUP(Base_Periodo1[[#This Row],[CONTA]],BaseContasDRE[#All],5,FALSE)),"Fora do DRE",VLOOKUP(Base_Periodo1[[#This Row],[CONTA]],BaseContasDRE[#All],6,FALSE))</f>
        <v>Fora do DRE</v>
      </c>
      <c r="U2791" s="3" t="str">
        <f>IF(ISERROR(VLOOKUP(Base_Periodo1[[#This Row],[CONTA]],BaseContasDRE[#All],7,FALSE)),"Fora do DRE",VLOOKUP(Base_Periodo1[[#This Row],[CONTA]],BaseContasDRE[#All],7,FALSE))</f>
        <v>Fora do DRE</v>
      </c>
      <c r="V2791" s="3" t="str">
        <f>IF(Base_Periodo1[[#This Row],[Tipo_Linha]]="Fora do DRE","Fora do DRE","( "&amp;Base_Periodo1[[#This Row],[Tipo_Linha]]&amp;" ) "&amp;Base_Periodo1[[#This Row],[Filtro]])</f>
        <v>Fora do DRE</v>
      </c>
      <c r="W2791" s="3" t="str">
        <f>LEFT(Base_Periodo1[[#This Row],[CLASS]],3)</f>
        <v>2.1</v>
      </c>
    </row>
    <row r="2792" spans="1:23" hidden="1">
      <c r="A2792" s="3" t="str">
        <f t="shared" si="43"/>
        <v>Período 1</v>
      </c>
      <c r="B2792">
        <v>48260</v>
      </c>
      <c r="C2792" t="s">
        <v>1745</v>
      </c>
      <c r="D2792" t="s">
        <v>4941</v>
      </c>
      <c r="E2792" s="3" t="str">
        <f>IF(LEN(Base_Periodo1[[#This Row],[CLASS]])&gt;=7,LEFT(Base_Periodo1[[#This Row],[CLASS]],7),"")</f>
        <v>2.1.2.1</v>
      </c>
      <c r="F2792" s="3" t="str">
        <f>VLOOKUP(Base_Periodo1[[#This Row],[Aux]],Base_Contas_Balanco[#All],2,FALSE)</f>
        <v>Fornecedores Cooperados</v>
      </c>
      <c r="G2792" s="1">
        <v>42762</v>
      </c>
      <c r="H2792" s="225">
        <v>769.6600000000326</v>
      </c>
      <c r="I2792" s="225">
        <v>0</v>
      </c>
      <c r="J2792" s="225">
        <v>0</v>
      </c>
      <c r="K2792" s="225">
        <v>769.6600000000326</v>
      </c>
      <c r="L27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769.66</v>
      </c>
      <c r="M2792" s="225">
        <f>ROUND(IF(AND(Base_Periodo1[[#This Row],[Tipo_Linha]]="-",Base_Periodo1[[#This Row],[TIPOSALDO]]="D"),Base_Periodo1[[#This Row],[SALDO_ATUAL]]*-1,Base_Periodo1[[#This Row],[SALDO_ATUAL]]),4)</f>
        <v>769.66</v>
      </c>
      <c r="N2792" t="s">
        <v>116</v>
      </c>
      <c r="O2792" t="s">
        <v>459</v>
      </c>
      <c r="P2792" t="s">
        <v>459</v>
      </c>
      <c r="Q2792">
        <v>7</v>
      </c>
      <c r="R2792" s="225">
        <f>Base_Periodo1[[#This Row],[CREDITOS]]-Base_Periodo1[[#This Row],[DEBITOS]]</f>
        <v>0</v>
      </c>
      <c r="S2792" s="3" t="str">
        <f>IF(ISERROR(VLOOKUP(Base_Periodo1[[#This Row],[CONTA]],BaseContasDRE[#All],4,FALSE)),"Fora do DRE",VLOOKUP(Base_Periodo1[[#This Row],[CONTA]],BaseContasDRE[#All],4,FALSE))</f>
        <v>Fora do DRE</v>
      </c>
      <c r="T2792" s="3" t="str">
        <f>IF(ISERROR(VLOOKUP(Base_Periodo1[[#This Row],[CONTA]],BaseContasDRE[#All],5,FALSE)),"Fora do DRE",VLOOKUP(Base_Periodo1[[#This Row],[CONTA]],BaseContasDRE[#All],6,FALSE))</f>
        <v>Fora do DRE</v>
      </c>
      <c r="U2792" s="3" t="str">
        <f>IF(ISERROR(VLOOKUP(Base_Periodo1[[#This Row],[CONTA]],BaseContasDRE[#All],7,FALSE)),"Fora do DRE",VLOOKUP(Base_Periodo1[[#This Row],[CONTA]],BaseContasDRE[#All],7,FALSE))</f>
        <v>Fora do DRE</v>
      </c>
      <c r="V2792" s="3" t="str">
        <f>IF(Base_Periodo1[[#This Row],[Tipo_Linha]]="Fora do DRE","Fora do DRE","( "&amp;Base_Periodo1[[#This Row],[Tipo_Linha]]&amp;" ) "&amp;Base_Periodo1[[#This Row],[Filtro]])</f>
        <v>Fora do DRE</v>
      </c>
      <c r="W2792" s="3" t="str">
        <f>LEFT(Base_Periodo1[[#This Row],[CLASS]],3)</f>
        <v>2.1</v>
      </c>
    </row>
    <row r="2793" spans="1:23" hidden="1">
      <c r="A2793" s="3" t="str">
        <f t="shared" si="43"/>
        <v>Período 1</v>
      </c>
      <c r="B2793">
        <v>57918</v>
      </c>
      <c r="C2793" t="s">
        <v>1745</v>
      </c>
      <c r="D2793" t="s">
        <v>5087</v>
      </c>
      <c r="E2793" s="3" t="str">
        <f>IF(LEN(Base_Periodo1[[#This Row],[CLASS]])&gt;=7,LEFT(Base_Periodo1[[#This Row],[CLASS]],7),"")</f>
        <v>2.1.2.1</v>
      </c>
      <c r="F2793" s="3" t="str">
        <f>VLOOKUP(Base_Periodo1[[#This Row],[Aux]],Base_Contas_Balanco[#All],2,FALSE)</f>
        <v>Fornecedores Cooperados</v>
      </c>
      <c r="G2793" s="1"/>
      <c r="H2793" s="225">
        <v>83.16</v>
      </c>
      <c r="I2793" s="225">
        <v>0</v>
      </c>
      <c r="J2793" s="225">
        <v>0</v>
      </c>
      <c r="K2793" s="225">
        <v>83.16</v>
      </c>
      <c r="L27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83.16</v>
      </c>
      <c r="M2793" s="225">
        <f>ROUND(IF(AND(Base_Periodo1[[#This Row],[Tipo_Linha]]="-",Base_Periodo1[[#This Row],[TIPOSALDO]]="D"),Base_Periodo1[[#This Row],[SALDO_ATUAL]]*-1,Base_Periodo1[[#This Row],[SALDO_ATUAL]]),4)</f>
        <v>83.16</v>
      </c>
      <c r="N2793" t="s">
        <v>116</v>
      </c>
      <c r="O2793" t="s">
        <v>459</v>
      </c>
      <c r="P2793" t="s">
        <v>459</v>
      </c>
      <c r="Q2793">
        <v>7</v>
      </c>
      <c r="R2793" s="225">
        <f>Base_Periodo1[[#This Row],[CREDITOS]]-Base_Periodo1[[#This Row],[DEBITOS]]</f>
        <v>0</v>
      </c>
      <c r="S2793" s="3" t="str">
        <f>IF(ISERROR(VLOOKUP(Base_Periodo1[[#This Row],[CONTA]],BaseContasDRE[#All],4,FALSE)),"Fora do DRE",VLOOKUP(Base_Periodo1[[#This Row],[CONTA]],BaseContasDRE[#All],4,FALSE))</f>
        <v>Fora do DRE</v>
      </c>
      <c r="T2793" s="3" t="str">
        <f>IF(ISERROR(VLOOKUP(Base_Periodo1[[#This Row],[CONTA]],BaseContasDRE[#All],5,FALSE)),"Fora do DRE",VLOOKUP(Base_Periodo1[[#This Row],[CONTA]],BaseContasDRE[#All],6,FALSE))</f>
        <v>Fora do DRE</v>
      </c>
      <c r="U2793" s="3" t="str">
        <f>IF(ISERROR(VLOOKUP(Base_Periodo1[[#This Row],[CONTA]],BaseContasDRE[#All],7,FALSE)),"Fora do DRE",VLOOKUP(Base_Periodo1[[#This Row],[CONTA]],BaseContasDRE[#All],7,FALSE))</f>
        <v>Fora do DRE</v>
      </c>
      <c r="V2793" s="3" t="str">
        <f>IF(Base_Periodo1[[#This Row],[Tipo_Linha]]="Fora do DRE","Fora do DRE","( "&amp;Base_Periodo1[[#This Row],[Tipo_Linha]]&amp;" ) "&amp;Base_Periodo1[[#This Row],[Filtro]])</f>
        <v>Fora do DRE</v>
      </c>
      <c r="W2793" s="3" t="str">
        <f>LEFT(Base_Periodo1[[#This Row],[CLASS]],3)</f>
        <v>2.1</v>
      </c>
    </row>
    <row r="2794" spans="1:23" hidden="1">
      <c r="A2794" s="3" t="str">
        <f t="shared" si="43"/>
        <v>Período 1</v>
      </c>
      <c r="B2794">
        <v>2778</v>
      </c>
      <c r="C2794" t="s">
        <v>1745</v>
      </c>
      <c r="D2794" t="s">
        <v>1808</v>
      </c>
      <c r="E2794" s="3" t="str">
        <f>IF(LEN(Base_Periodo1[[#This Row],[CLASS]])&gt;=7,LEFT(Base_Periodo1[[#This Row],[CLASS]],7),"")</f>
        <v>2.1.2.1</v>
      </c>
      <c r="F2794" s="3" t="str">
        <f>VLOOKUP(Base_Periodo1[[#This Row],[Aux]],Base_Contas_Balanco[#All],2,FALSE)</f>
        <v>Fornecedores Cooperados</v>
      </c>
      <c r="G2794" s="1">
        <v>41625</v>
      </c>
      <c r="H2794" s="225">
        <v>78.139999999999418</v>
      </c>
      <c r="I2794" s="225">
        <v>0</v>
      </c>
      <c r="J2794" s="225">
        <v>0</v>
      </c>
      <c r="K2794" s="225">
        <v>78.139999999999418</v>
      </c>
      <c r="L27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78.14</v>
      </c>
      <c r="M2794" s="225">
        <f>ROUND(IF(AND(Base_Periodo1[[#This Row],[Tipo_Linha]]="-",Base_Periodo1[[#This Row],[TIPOSALDO]]="D"),Base_Periodo1[[#This Row],[SALDO_ATUAL]]*-1,Base_Periodo1[[#This Row],[SALDO_ATUAL]]),4)</f>
        <v>78.14</v>
      </c>
      <c r="N2794" t="s">
        <v>116</v>
      </c>
      <c r="O2794" t="s">
        <v>459</v>
      </c>
      <c r="P2794" t="s">
        <v>459</v>
      </c>
      <c r="Q2794">
        <v>7</v>
      </c>
      <c r="R2794" s="225">
        <f>Base_Periodo1[[#This Row],[CREDITOS]]-Base_Periodo1[[#This Row],[DEBITOS]]</f>
        <v>0</v>
      </c>
      <c r="S2794" s="3" t="str">
        <f>IF(ISERROR(VLOOKUP(Base_Periodo1[[#This Row],[CONTA]],BaseContasDRE[#All],4,FALSE)),"Fora do DRE",VLOOKUP(Base_Periodo1[[#This Row],[CONTA]],BaseContasDRE[#All],4,FALSE))</f>
        <v>Fora do DRE</v>
      </c>
      <c r="T2794" s="3" t="str">
        <f>IF(ISERROR(VLOOKUP(Base_Periodo1[[#This Row],[CONTA]],BaseContasDRE[#All],5,FALSE)),"Fora do DRE",VLOOKUP(Base_Periodo1[[#This Row],[CONTA]],BaseContasDRE[#All],6,FALSE))</f>
        <v>Fora do DRE</v>
      </c>
      <c r="U2794" s="3" t="str">
        <f>IF(ISERROR(VLOOKUP(Base_Periodo1[[#This Row],[CONTA]],BaseContasDRE[#All],7,FALSE)),"Fora do DRE",VLOOKUP(Base_Periodo1[[#This Row],[CONTA]],BaseContasDRE[#All],7,FALSE))</f>
        <v>Fora do DRE</v>
      </c>
      <c r="V2794" s="3" t="str">
        <f>IF(Base_Periodo1[[#This Row],[Tipo_Linha]]="Fora do DRE","Fora do DRE","( "&amp;Base_Periodo1[[#This Row],[Tipo_Linha]]&amp;" ) "&amp;Base_Periodo1[[#This Row],[Filtro]])</f>
        <v>Fora do DRE</v>
      </c>
      <c r="W2794" s="3" t="str">
        <f>LEFT(Base_Periodo1[[#This Row],[CLASS]],3)</f>
        <v>2.1</v>
      </c>
    </row>
    <row r="2795" spans="1:23" hidden="1">
      <c r="A2795" s="3" t="str">
        <f t="shared" si="43"/>
        <v>Período 1</v>
      </c>
      <c r="B2795">
        <v>3562</v>
      </c>
      <c r="C2795" t="s">
        <v>1745</v>
      </c>
      <c r="D2795" t="s">
        <v>1809</v>
      </c>
      <c r="E2795" s="3" t="str">
        <f>IF(LEN(Base_Periodo1[[#This Row],[CLASS]])&gt;=7,LEFT(Base_Periodo1[[#This Row],[CLASS]],7),"")</f>
        <v>2.1.2.1</v>
      </c>
      <c r="F2795" s="3" t="str">
        <f>VLOOKUP(Base_Periodo1[[#This Row],[Aux]],Base_Contas_Balanco[#All],2,FALSE)</f>
        <v>Fornecedores Cooperados</v>
      </c>
      <c r="G2795" s="1">
        <v>42853</v>
      </c>
      <c r="H2795" s="225">
        <v>35529.300000000017</v>
      </c>
      <c r="I2795" s="225">
        <v>0</v>
      </c>
      <c r="J2795" s="225">
        <v>0</v>
      </c>
      <c r="K2795" s="225">
        <v>35529.300000000017</v>
      </c>
      <c r="L27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35529.300000000003</v>
      </c>
      <c r="M2795" s="225">
        <f>ROUND(IF(AND(Base_Periodo1[[#This Row],[Tipo_Linha]]="-",Base_Periodo1[[#This Row],[TIPOSALDO]]="D"),Base_Periodo1[[#This Row],[SALDO_ATUAL]]*-1,Base_Periodo1[[#This Row],[SALDO_ATUAL]]),4)</f>
        <v>35529.300000000003</v>
      </c>
      <c r="N2795" t="s">
        <v>116</v>
      </c>
      <c r="O2795" t="s">
        <v>459</v>
      </c>
      <c r="P2795" t="s">
        <v>459</v>
      </c>
      <c r="Q2795">
        <v>7</v>
      </c>
      <c r="R2795" s="225">
        <f>Base_Periodo1[[#This Row],[CREDITOS]]-Base_Periodo1[[#This Row],[DEBITOS]]</f>
        <v>0</v>
      </c>
      <c r="S2795" s="3" t="str">
        <f>IF(ISERROR(VLOOKUP(Base_Periodo1[[#This Row],[CONTA]],BaseContasDRE[#All],4,FALSE)),"Fora do DRE",VLOOKUP(Base_Periodo1[[#This Row],[CONTA]],BaseContasDRE[#All],4,FALSE))</f>
        <v>Fora do DRE</v>
      </c>
      <c r="T2795" s="3" t="str">
        <f>IF(ISERROR(VLOOKUP(Base_Periodo1[[#This Row],[CONTA]],BaseContasDRE[#All],5,FALSE)),"Fora do DRE",VLOOKUP(Base_Periodo1[[#This Row],[CONTA]],BaseContasDRE[#All],6,FALSE))</f>
        <v>Fora do DRE</v>
      </c>
      <c r="U2795" s="3" t="str">
        <f>IF(ISERROR(VLOOKUP(Base_Periodo1[[#This Row],[CONTA]],BaseContasDRE[#All],7,FALSE)),"Fora do DRE",VLOOKUP(Base_Periodo1[[#This Row],[CONTA]],BaseContasDRE[#All],7,FALSE))</f>
        <v>Fora do DRE</v>
      </c>
      <c r="V2795" s="3" t="str">
        <f>IF(Base_Periodo1[[#This Row],[Tipo_Linha]]="Fora do DRE","Fora do DRE","( "&amp;Base_Periodo1[[#This Row],[Tipo_Linha]]&amp;" ) "&amp;Base_Periodo1[[#This Row],[Filtro]])</f>
        <v>Fora do DRE</v>
      </c>
      <c r="W2795" s="3" t="str">
        <f>LEFT(Base_Periodo1[[#This Row],[CLASS]],3)</f>
        <v>2.1</v>
      </c>
    </row>
    <row r="2796" spans="1:23" hidden="1">
      <c r="A2796" s="3" t="str">
        <f t="shared" si="43"/>
        <v>Período 1</v>
      </c>
      <c r="B2796">
        <v>15288</v>
      </c>
      <c r="C2796" t="s">
        <v>1745</v>
      </c>
      <c r="D2796" t="s">
        <v>5706</v>
      </c>
      <c r="E2796" s="3" t="str">
        <f>IF(LEN(Base_Periodo1[[#This Row],[CLASS]])&gt;=7,LEFT(Base_Periodo1[[#This Row],[CLASS]],7),"")</f>
        <v>2.1.2.1</v>
      </c>
      <c r="F2796" s="3" t="str">
        <f>VLOOKUP(Base_Periodo1[[#This Row],[Aux]],Base_Contas_Balanco[#All],2,FALSE)</f>
        <v>Fornecedores Cooperados</v>
      </c>
      <c r="G2796" s="1">
        <v>42821</v>
      </c>
      <c r="H2796" s="225">
        <v>2686.1500000000233</v>
      </c>
      <c r="I2796" s="225">
        <v>0</v>
      </c>
      <c r="J2796" s="225">
        <v>0</v>
      </c>
      <c r="K2796" s="225">
        <v>2686.1500000000233</v>
      </c>
      <c r="L27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2686.15</v>
      </c>
      <c r="M2796" s="225">
        <f>ROUND(IF(AND(Base_Periodo1[[#This Row],[Tipo_Linha]]="-",Base_Periodo1[[#This Row],[TIPOSALDO]]="D"),Base_Periodo1[[#This Row],[SALDO_ATUAL]]*-1,Base_Periodo1[[#This Row],[SALDO_ATUAL]]),4)</f>
        <v>2686.15</v>
      </c>
      <c r="N2796" t="s">
        <v>116</v>
      </c>
      <c r="O2796" t="s">
        <v>459</v>
      </c>
      <c r="P2796" t="s">
        <v>459</v>
      </c>
      <c r="Q2796">
        <v>7</v>
      </c>
      <c r="R2796" s="225">
        <f>Base_Periodo1[[#This Row],[CREDITOS]]-Base_Periodo1[[#This Row],[DEBITOS]]</f>
        <v>0</v>
      </c>
      <c r="S2796" s="3" t="str">
        <f>IF(ISERROR(VLOOKUP(Base_Periodo1[[#This Row],[CONTA]],BaseContasDRE[#All],4,FALSE)),"Fora do DRE",VLOOKUP(Base_Periodo1[[#This Row],[CONTA]],BaseContasDRE[#All],4,FALSE))</f>
        <v>Fora do DRE</v>
      </c>
      <c r="T2796" s="3" t="str">
        <f>IF(ISERROR(VLOOKUP(Base_Periodo1[[#This Row],[CONTA]],BaseContasDRE[#All],5,FALSE)),"Fora do DRE",VLOOKUP(Base_Periodo1[[#This Row],[CONTA]],BaseContasDRE[#All],6,FALSE))</f>
        <v>Fora do DRE</v>
      </c>
      <c r="U2796" s="3" t="str">
        <f>IF(ISERROR(VLOOKUP(Base_Periodo1[[#This Row],[CONTA]],BaseContasDRE[#All],7,FALSE)),"Fora do DRE",VLOOKUP(Base_Periodo1[[#This Row],[CONTA]],BaseContasDRE[#All],7,FALSE))</f>
        <v>Fora do DRE</v>
      </c>
      <c r="V2796" s="3" t="str">
        <f>IF(Base_Periodo1[[#This Row],[Tipo_Linha]]="Fora do DRE","Fora do DRE","( "&amp;Base_Periodo1[[#This Row],[Tipo_Linha]]&amp;" ) "&amp;Base_Periodo1[[#This Row],[Filtro]])</f>
        <v>Fora do DRE</v>
      </c>
      <c r="W2796" s="3" t="str">
        <f>LEFT(Base_Periodo1[[#This Row],[CLASS]],3)</f>
        <v>2.1</v>
      </c>
    </row>
    <row r="2797" spans="1:23" hidden="1">
      <c r="A2797" s="3" t="str">
        <f t="shared" si="43"/>
        <v>Período 1</v>
      </c>
      <c r="B2797">
        <v>2722</v>
      </c>
      <c r="C2797" t="s">
        <v>1745</v>
      </c>
      <c r="D2797" t="s">
        <v>5951</v>
      </c>
      <c r="E2797" s="3" t="str">
        <f>IF(LEN(Base_Periodo1[[#This Row],[CLASS]])&gt;=7,LEFT(Base_Periodo1[[#This Row],[CLASS]],7),"")</f>
        <v>2.1.2.1</v>
      </c>
      <c r="F2797" s="3" t="str">
        <f>VLOOKUP(Base_Periodo1[[#This Row],[Aux]],Base_Contas_Balanco[#All],2,FALSE)</f>
        <v>Fornecedores Cooperados</v>
      </c>
      <c r="G2797" s="1">
        <v>42781</v>
      </c>
      <c r="H2797" s="225">
        <v>1252</v>
      </c>
      <c r="I2797" s="225">
        <v>0</v>
      </c>
      <c r="J2797" s="225">
        <v>0</v>
      </c>
      <c r="K2797" s="225">
        <v>1252</v>
      </c>
      <c r="L27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1252</v>
      </c>
      <c r="M2797" s="225">
        <f>ROUND(IF(AND(Base_Periodo1[[#This Row],[Tipo_Linha]]="-",Base_Periodo1[[#This Row],[TIPOSALDO]]="D"),Base_Periodo1[[#This Row],[SALDO_ATUAL]]*-1,Base_Periodo1[[#This Row],[SALDO_ATUAL]]),4)</f>
        <v>1252</v>
      </c>
      <c r="N2797" t="s">
        <v>116</v>
      </c>
      <c r="O2797" t="s">
        <v>459</v>
      </c>
      <c r="P2797" t="s">
        <v>459</v>
      </c>
      <c r="Q2797">
        <v>7</v>
      </c>
      <c r="R2797" s="225">
        <f>Base_Periodo1[[#This Row],[CREDITOS]]-Base_Periodo1[[#This Row],[DEBITOS]]</f>
        <v>0</v>
      </c>
      <c r="S2797" s="3" t="str">
        <f>IF(ISERROR(VLOOKUP(Base_Periodo1[[#This Row],[CONTA]],BaseContasDRE[#All],4,FALSE)),"Fora do DRE",VLOOKUP(Base_Periodo1[[#This Row],[CONTA]],BaseContasDRE[#All],4,FALSE))</f>
        <v>Fora do DRE</v>
      </c>
      <c r="T2797" s="3" t="str">
        <f>IF(ISERROR(VLOOKUP(Base_Periodo1[[#This Row],[CONTA]],BaseContasDRE[#All],5,FALSE)),"Fora do DRE",VLOOKUP(Base_Periodo1[[#This Row],[CONTA]],BaseContasDRE[#All],6,FALSE))</f>
        <v>Fora do DRE</v>
      </c>
      <c r="U2797" s="3" t="str">
        <f>IF(ISERROR(VLOOKUP(Base_Periodo1[[#This Row],[CONTA]],BaseContasDRE[#All],7,FALSE)),"Fora do DRE",VLOOKUP(Base_Periodo1[[#This Row],[CONTA]],BaseContasDRE[#All],7,FALSE))</f>
        <v>Fora do DRE</v>
      </c>
      <c r="V2797" s="3" t="str">
        <f>IF(Base_Periodo1[[#This Row],[Tipo_Linha]]="Fora do DRE","Fora do DRE","( "&amp;Base_Periodo1[[#This Row],[Tipo_Linha]]&amp;" ) "&amp;Base_Periodo1[[#This Row],[Filtro]])</f>
        <v>Fora do DRE</v>
      </c>
      <c r="W2797" s="3" t="str">
        <f>LEFT(Base_Periodo1[[#This Row],[CLASS]],3)</f>
        <v>2.1</v>
      </c>
    </row>
    <row r="2798" spans="1:23" hidden="1">
      <c r="A2798" s="3" t="str">
        <f t="shared" si="43"/>
        <v>Período 1</v>
      </c>
      <c r="B2798">
        <v>11736</v>
      </c>
      <c r="C2798" t="s">
        <v>1745</v>
      </c>
      <c r="D2798" t="s">
        <v>1810</v>
      </c>
      <c r="E2798" s="3" t="str">
        <f>IF(LEN(Base_Periodo1[[#This Row],[CLASS]])&gt;=7,LEFT(Base_Periodo1[[#This Row],[CLASS]],7),"")</f>
        <v>2.1.2.1</v>
      </c>
      <c r="F2798" s="3" t="str">
        <f>VLOOKUP(Base_Periodo1[[#This Row],[Aux]],Base_Contas_Balanco[#All],2,FALSE)</f>
        <v>Fornecedores Cooperados</v>
      </c>
      <c r="G2798" s="1">
        <v>42790</v>
      </c>
      <c r="H2798" s="225">
        <v>2019.9800000000105</v>
      </c>
      <c r="I2798" s="225">
        <v>0</v>
      </c>
      <c r="J2798" s="225">
        <v>0</v>
      </c>
      <c r="K2798" s="225">
        <v>2019.9800000000105</v>
      </c>
      <c r="L27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2019.98</v>
      </c>
      <c r="M2798" s="225">
        <f>ROUND(IF(AND(Base_Periodo1[[#This Row],[Tipo_Linha]]="-",Base_Periodo1[[#This Row],[TIPOSALDO]]="D"),Base_Periodo1[[#This Row],[SALDO_ATUAL]]*-1,Base_Periodo1[[#This Row],[SALDO_ATUAL]]),4)</f>
        <v>2019.98</v>
      </c>
      <c r="N2798" t="s">
        <v>116</v>
      </c>
      <c r="O2798" t="s">
        <v>459</v>
      </c>
      <c r="P2798" t="s">
        <v>459</v>
      </c>
      <c r="Q2798">
        <v>7</v>
      </c>
      <c r="R2798" s="225">
        <f>Base_Periodo1[[#This Row],[CREDITOS]]-Base_Periodo1[[#This Row],[DEBITOS]]</f>
        <v>0</v>
      </c>
      <c r="S2798" s="3" t="str">
        <f>IF(ISERROR(VLOOKUP(Base_Periodo1[[#This Row],[CONTA]],BaseContasDRE[#All],4,FALSE)),"Fora do DRE",VLOOKUP(Base_Periodo1[[#This Row],[CONTA]],BaseContasDRE[#All],4,FALSE))</f>
        <v>Fora do DRE</v>
      </c>
      <c r="T2798" s="3" t="str">
        <f>IF(ISERROR(VLOOKUP(Base_Periodo1[[#This Row],[CONTA]],BaseContasDRE[#All],5,FALSE)),"Fora do DRE",VLOOKUP(Base_Periodo1[[#This Row],[CONTA]],BaseContasDRE[#All],6,FALSE))</f>
        <v>Fora do DRE</v>
      </c>
      <c r="U2798" s="3" t="str">
        <f>IF(ISERROR(VLOOKUP(Base_Periodo1[[#This Row],[CONTA]],BaseContasDRE[#All],7,FALSE)),"Fora do DRE",VLOOKUP(Base_Periodo1[[#This Row],[CONTA]],BaseContasDRE[#All],7,FALSE))</f>
        <v>Fora do DRE</v>
      </c>
      <c r="V2798" s="3" t="str">
        <f>IF(Base_Periodo1[[#This Row],[Tipo_Linha]]="Fora do DRE","Fora do DRE","( "&amp;Base_Periodo1[[#This Row],[Tipo_Linha]]&amp;" ) "&amp;Base_Periodo1[[#This Row],[Filtro]])</f>
        <v>Fora do DRE</v>
      </c>
      <c r="W2798" s="3" t="str">
        <f>LEFT(Base_Periodo1[[#This Row],[CLASS]],3)</f>
        <v>2.1</v>
      </c>
    </row>
    <row r="2799" spans="1:23" hidden="1">
      <c r="A2799" s="3" t="str">
        <f t="shared" si="43"/>
        <v>Período 1</v>
      </c>
      <c r="B2799">
        <v>8125</v>
      </c>
      <c r="C2799" t="s">
        <v>1745</v>
      </c>
      <c r="D2799" t="s">
        <v>4758</v>
      </c>
      <c r="E2799" s="3" t="str">
        <f>IF(LEN(Base_Periodo1[[#This Row],[CLASS]])&gt;=7,LEFT(Base_Periodo1[[#This Row],[CLASS]],7),"")</f>
        <v>2.1.2.1</v>
      </c>
      <c r="F2799" s="3" t="str">
        <f>VLOOKUP(Base_Periodo1[[#This Row],[Aux]],Base_Contas_Balanco[#All],2,FALSE)</f>
        <v>Fornecedores Cooperados</v>
      </c>
      <c r="G2799" s="1">
        <v>42858</v>
      </c>
      <c r="H2799" s="225">
        <v>3584.0900000000111</v>
      </c>
      <c r="I2799" s="225">
        <v>7168.18</v>
      </c>
      <c r="J2799" s="225">
        <v>3584.09</v>
      </c>
      <c r="K2799" s="225">
        <v>-1.0913936421275139E-11</v>
      </c>
      <c r="L27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799" s="225">
        <f>ROUND(IF(AND(Base_Periodo1[[#This Row],[Tipo_Linha]]="-",Base_Periodo1[[#This Row],[TIPOSALDO]]="D"),Base_Periodo1[[#This Row],[SALDO_ATUAL]]*-1,Base_Periodo1[[#This Row],[SALDO_ATUAL]]),4)</f>
        <v>0</v>
      </c>
      <c r="N2799" t="s">
        <v>116</v>
      </c>
      <c r="O2799" t="s">
        <v>459</v>
      </c>
      <c r="P2799" t="s">
        <v>436</v>
      </c>
      <c r="Q2799">
        <v>7</v>
      </c>
      <c r="R2799" s="225">
        <f>Base_Periodo1[[#This Row],[CREDITOS]]-Base_Periodo1[[#This Row],[DEBITOS]]</f>
        <v>-3584.09</v>
      </c>
      <c r="S2799" s="3" t="str">
        <f>IF(ISERROR(VLOOKUP(Base_Periodo1[[#This Row],[CONTA]],BaseContasDRE[#All],4,FALSE)),"Fora do DRE",VLOOKUP(Base_Periodo1[[#This Row],[CONTA]],BaseContasDRE[#All],4,FALSE))</f>
        <v>Fora do DRE</v>
      </c>
      <c r="T2799" s="3" t="str">
        <f>IF(ISERROR(VLOOKUP(Base_Periodo1[[#This Row],[CONTA]],BaseContasDRE[#All],5,FALSE)),"Fora do DRE",VLOOKUP(Base_Periodo1[[#This Row],[CONTA]],BaseContasDRE[#All],6,FALSE))</f>
        <v>Fora do DRE</v>
      </c>
      <c r="U2799" s="3" t="str">
        <f>IF(ISERROR(VLOOKUP(Base_Periodo1[[#This Row],[CONTA]],BaseContasDRE[#All],7,FALSE)),"Fora do DRE",VLOOKUP(Base_Periodo1[[#This Row],[CONTA]],BaseContasDRE[#All],7,FALSE))</f>
        <v>Fora do DRE</v>
      </c>
      <c r="V2799" s="3" t="str">
        <f>IF(Base_Periodo1[[#This Row],[Tipo_Linha]]="Fora do DRE","Fora do DRE","( "&amp;Base_Periodo1[[#This Row],[Tipo_Linha]]&amp;" ) "&amp;Base_Periodo1[[#This Row],[Filtro]])</f>
        <v>Fora do DRE</v>
      </c>
      <c r="W2799" s="3" t="str">
        <f>LEFT(Base_Periodo1[[#This Row],[CLASS]],3)</f>
        <v>2.1</v>
      </c>
    </row>
    <row r="2800" spans="1:23" hidden="1">
      <c r="A2800" s="3" t="str">
        <f t="shared" si="43"/>
        <v>Período 1</v>
      </c>
      <c r="B2800">
        <v>11856</v>
      </c>
      <c r="C2800" t="s">
        <v>1745</v>
      </c>
      <c r="D2800" t="s">
        <v>5215</v>
      </c>
      <c r="E2800" s="3" t="str">
        <f>IF(LEN(Base_Periodo1[[#This Row],[CLASS]])&gt;=7,LEFT(Base_Periodo1[[#This Row],[CLASS]],7),"")</f>
        <v>2.1.2.1</v>
      </c>
      <c r="F2800" s="3" t="str">
        <f>VLOOKUP(Base_Periodo1[[#This Row],[Aux]],Base_Contas_Balanco[#All],2,FALSE)</f>
        <v>Fornecedores Cooperados</v>
      </c>
      <c r="G2800" s="1">
        <v>42788</v>
      </c>
      <c r="H2800" s="225">
        <v>2539.7400000000052</v>
      </c>
      <c r="I2800" s="225">
        <v>0</v>
      </c>
      <c r="J2800" s="225">
        <v>0</v>
      </c>
      <c r="K2800" s="225">
        <v>2539.7400000000052</v>
      </c>
      <c r="L28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2539.7399999999998</v>
      </c>
      <c r="M2800" s="225">
        <f>ROUND(IF(AND(Base_Periodo1[[#This Row],[Tipo_Linha]]="-",Base_Periodo1[[#This Row],[TIPOSALDO]]="D"),Base_Periodo1[[#This Row],[SALDO_ATUAL]]*-1,Base_Periodo1[[#This Row],[SALDO_ATUAL]]),4)</f>
        <v>2539.7399999999998</v>
      </c>
      <c r="N2800" t="s">
        <v>116</v>
      </c>
      <c r="O2800" t="s">
        <v>459</v>
      </c>
      <c r="P2800" t="s">
        <v>459</v>
      </c>
      <c r="Q2800">
        <v>7</v>
      </c>
      <c r="R2800" s="225">
        <f>Base_Periodo1[[#This Row],[CREDITOS]]-Base_Periodo1[[#This Row],[DEBITOS]]</f>
        <v>0</v>
      </c>
      <c r="S2800" s="3" t="str">
        <f>IF(ISERROR(VLOOKUP(Base_Periodo1[[#This Row],[CONTA]],BaseContasDRE[#All],4,FALSE)),"Fora do DRE",VLOOKUP(Base_Periodo1[[#This Row],[CONTA]],BaseContasDRE[#All],4,FALSE))</f>
        <v>Fora do DRE</v>
      </c>
      <c r="T2800" s="3" t="str">
        <f>IF(ISERROR(VLOOKUP(Base_Periodo1[[#This Row],[CONTA]],BaseContasDRE[#All],5,FALSE)),"Fora do DRE",VLOOKUP(Base_Periodo1[[#This Row],[CONTA]],BaseContasDRE[#All],6,FALSE))</f>
        <v>Fora do DRE</v>
      </c>
      <c r="U2800" s="3" t="str">
        <f>IF(ISERROR(VLOOKUP(Base_Periodo1[[#This Row],[CONTA]],BaseContasDRE[#All],7,FALSE)),"Fora do DRE",VLOOKUP(Base_Periodo1[[#This Row],[CONTA]],BaseContasDRE[#All],7,FALSE))</f>
        <v>Fora do DRE</v>
      </c>
      <c r="V2800" s="3" t="str">
        <f>IF(Base_Periodo1[[#This Row],[Tipo_Linha]]="Fora do DRE","Fora do DRE","( "&amp;Base_Periodo1[[#This Row],[Tipo_Linha]]&amp;" ) "&amp;Base_Periodo1[[#This Row],[Filtro]])</f>
        <v>Fora do DRE</v>
      </c>
      <c r="W2800" s="3" t="str">
        <f>LEFT(Base_Periodo1[[#This Row],[CLASS]],3)</f>
        <v>2.1</v>
      </c>
    </row>
    <row r="2801" spans="1:23" hidden="1">
      <c r="A2801" s="3" t="str">
        <f t="shared" si="43"/>
        <v>Período 1</v>
      </c>
      <c r="B2801">
        <v>13286</v>
      </c>
      <c r="C2801" t="s">
        <v>1745</v>
      </c>
      <c r="D2801" t="s">
        <v>1811</v>
      </c>
      <c r="E2801" s="3" t="str">
        <f>IF(LEN(Base_Periodo1[[#This Row],[CLASS]])&gt;=7,LEFT(Base_Periodo1[[#This Row],[CLASS]],7),"")</f>
        <v>2.1.2.1</v>
      </c>
      <c r="F2801" s="3" t="str">
        <f>VLOOKUP(Base_Periodo1[[#This Row],[Aux]],Base_Contas_Balanco[#All],2,FALSE)</f>
        <v>Fornecedores Cooperados</v>
      </c>
      <c r="G2801" s="1">
        <v>42832</v>
      </c>
      <c r="H2801" s="225">
        <v>17426.469999999994</v>
      </c>
      <c r="I2801" s="225">
        <v>0</v>
      </c>
      <c r="J2801" s="225">
        <v>0</v>
      </c>
      <c r="K2801" s="225">
        <v>17426.469999999994</v>
      </c>
      <c r="L28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17426.47</v>
      </c>
      <c r="M2801" s="225">
        <f>ROUND(IF(AND(Base_Periodo1[[#This Row],[Tipo_Linha]]="-",Base_Periodo1[[#This Row],[TIPOSALDO]]="D"),Base_Periodo1[[#This Row],[SALDO_ATUAL]]*-1,Base_Periodo1[[#This Row],[SALDO_ATUAL]]),4)</f>
        <v>17426.47</v>
      </c>
      <c r="N2801" t="s">
        <v>116</v>
      </c>
      <c r="O2801" t="s">
        <v>459</v>
      </c>
      <c r="P2801" t="s">
        <v>459</v>
      </c>
      <c r="Q2801">
        <v>7</v>
      </c>
      <c r="R2801" s="225">
        <f>Base_Periodo1[[#This Row],[CREDITOS]]-Base_Periodo1[[#This Row],[DEBITOS]]</f>
        <v>0</v>
      </c>
      <c r="S2801" s="3" t="str">
        <f>IF(ISERROR(VLOOKUP(Base_Periodo1[[#This Row],[CONTA]],BaseContasDRE[#All],4,FALSE)),"Fora do DRE",VLOOKUP(Base_Periodo1[[#This Row],[CONTA]],BaseContasDRE[#All],4,FALSE))</f>
        <v>Fora do DRE</v>
      </c>
      <c r="T2801" s="3" t="str">
        <f>IF(ISERROR(VLOOKUP(Base_Periodo1[[#This Row],[CONTA]],BaseContasDRE[#All],5,FALSE)),"Fora do DRE",VLOOKUP(Base_Periodo1[[#This Row],[CONTA]],BaseContasDRE[#All],6,FALSE))</f>
        <v>Fora do DRE</v>
      </c>
      <c r="U2801" s="3" t="str">
        <f>IF(ISERROR(VLOOKUP(Base_Periodo1[[#This Row],[CONTA]],BaseContasDRE[#All],7,FALSE)),"Fora do DRE",VLOOKUP(Base_Periodo1[[#This Row],[CONTA]],BaseContasDRE[#All],7,FALSE))</f>
        <v>Fora do DRE</v>
      </c>
      <c r="V2801" s="3" t="str">
        <f>IF(Base_Periodo1[[#This Row],[Tipo_Linha]]="Fora do DRE","Fora do DRE","( "&amp;Base_Periodo1[[#This Row],[Tipo_Linha]]&amp;" ) "&amp;Base_Periodo1[[#This Row],[Filtro]])</f>
        <v>Fora do DRE</v>
      </c>
      <c r="W2801" s="3" t="str">
        <f>LEFT(Base_Periodo1[[#This Row],[CLASS]],3)</f>
        <v>2.1</v>
      </c>
    </row>
    <row r="2802" spans="1:23" hidden="1">
      <c r="A2802" s="3" t="str">
        <f t="shared" si="43"/>
        <v>Período 1</v>
      </c>
      <c r="B2802">
        <v>54052</v>
      </c>
      <c r="C2802" t="s">
        <v>1745</v>
      </c>
      <c r="D2802" t="s">
        <v>5059</v>
      </c>
      <c r="E2802" s="3" t="str">
        <f>IF(LEN(Base_Periodo1[[#This Row],[CLASS]])&gt;=7,LEFT(Base_Periodo1[[#This Row],[CLASS]],7),"")</f>
        <v>2.1.2.1</v>
      </c>
      <c r="F2802" s="3" t="str">
        <f>VLOOKUP(Base_Periodo1[[#This Row],[Aux]],Base_Contas_Balanco[#All],2,FALSE)</f>
        <v>Fornecedores Cooperados</v>
      </c>
      <c r="G2802" s="1">
        <v>42796</v>
      </c>
      <c r="H2802" s="225">
        <v>1.0000000000218279E-2</v>
      </c>
      <c r="I2802" s="225">
        <v>0</v>
      </c>
      <c r="J2802" s="225">
        <v>0</v>
      </c>
      <c r="K2802" s="225">
        <v>1.0000000000218279E-2</v>
      </c>
      <c r="L28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2802" s="225">
        <f>ROUND(IF(AND(Base_Periodo1[[#This Row],[Tipo_Linha]]="-",Base_Periodo1[[#This Row],[TIPOSALDO]]="D"),Base_Periodo1[[#This Row],[SALDO_ATUAL]]*-1,Base_Periodo1[[#This Row],[SALDO_ATUAL]]),4)</f>
        <v>0.01</v>
      </c>
      <c r="N2802" t="s">
        <v>116</v>
      </c>
      <c r="O2802" t="s">
        <v>459</v>
      </c>
      <c r="P2802" t="s">
        <v>459</v>
      </c>
      <c r="Q2802">
        <v>7</v>
      </c>
      <c r="R2802" s="225">
        <f>Base_Periodo1[[#This Row],[CREDITOS]]-Base_Periodo1[[#This Row],[DEBITOS]]</f>
        <v>0</v>
      </c>
      <c r="S2802" s="3" t="str">
        <f>IF(ISERROR(VLOOKUP(Base_Periodo1[[#This Row],[CONTA]],BaseContasDRE[#All],4,FALSE)),"Fora do DRE",VLOOKUP(Base_Periodo1[[#This Row],[CONTA]],BaseContasDRE[#All],4,FALSE))</f>
        <v>Fora do DRE</v>
      </c>
      <c r="T2802" s="3" t="str">
        <f>IF(ISERROR(VLOOKUP(Base_Periodo1[[#This Row],[CONTA]],BaseContasDRE[#All],5,FALSE)),"Fora do DRE",VLOOKUP(Base_Periodo1[[#This Row],[CONTA]],BaseContasDRE[#All],6,FALSE))</f>
        <v>Fora do DRE</v>
      </c>
      <c r="U2802" s="3" t="str">
        <f>IF(ISERROR(VLOOKUP(Base_Periodo1[[#This Row],[CONTA]],BaseContasDRE[#All],7,FALSE)),"Fora do DRE",VLOOKUP(Base_Periodo1[[#This Row],[CONTA]],BaseContasDRE[#All],7,FALSE))</f>
        <v>Fora do DRE</v>
      </c>
      <c r="V2802" s="3" t="str">
        <f>IF(Base_Periodo1[[#This Row],[Tipo_Linha]]="Fora do DRE","Fora do DRE","( "&amp;Base_Periodo1[[#This Row],[Tipo_Linha]]&amp;" ) "&amp;Base_Periodo1[[#This Row],[Filtro]])</f>
        <v>Fora do DRE</v>
      </c>
      <c r="W2802" s="3" t="str">
        <f>LEFT(Base_Periodo1[[#This Row],[CLASS]],3)</f>
        <v>2.1</v>
      </c>
    </row>
    <row r="2803" spans="1:23" hidden="1">
      <c r="A2803" s="3" t="str">
        <f t="shared" si="43"/>
        <v>Período 1</v>
      </c>
      <c r="B2803">
        <v>46273</v>
      </c>
      <c r="C2803" t="s">
        <v>1745</v>
      </c>
      <c r="D2803" t="s">
        <v>5421</v>
      </c>
      <c r="E2803" s="3" t="str">
        <f>IF(LEN(Base_Periodo1[[#This Row],[CLASS]])&gt;=7,LEFT(Base_Periodo1[[#This Row],[CLASS]],7),"")</f>
        <v>2.1.2.1</v>
      </c>
      <c r="F2803" s="3" t="str">
        <f>VLOOKUP(Base_Periodo1[[#This Row],[Aux]],Base_Contas_Balanco[#All],2,FALSE)</f>
        <v>Fornecedores Cooperados</v>
      </c>
      <c r="G2803" s="1">
        <v>42683</v>
      </c>
      <c r="H2803" s="225">
        <v>250</v>
      </c>
      <c r="I2803" s="225">
        <v>0</v>
      </c>
      <c r="J2803" s="225">
        <v>0</v>
      </c>
      <c r="K2803" s="225">
        <v>250</v>
      </c>
      <c r="L28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250</v>
      </c>
      <c r="M2803" s="225">
        <f>ROUND(IF(AND(Base_Periodo1[[#This Row],[Tipo_Linha]]="-",Base_Periodo1[[#This Row],[TIPOSALDO]]="D"),Base_Periodo1[[#This Row],[SALDO_ATUAL]]*-1,Base_Periodo1[[#This Row],[SALDO_ATUAL]]),4)</f>
        <v>250</v>
      </c>
      <c r="N2803" t="s">
        <v>116</v>
      </c>
      <c r="O2803" t="s">
        <v>459</v>
      </c>
      <c r="P2803" t="s">
        <v>459</v>
      </c>
      <c r="Q2803">
        <v>7</v>
      </c>
      <c r="R2803" s="225">
        <f>Base_Periodo1[[#This Row],[CREDITOS]]-Base_Periodo1[[#This Row],[DEBITOS]]</f>
        <v>0</v>
      </c>
      <c r="S2803" s="3" t="str">
        <f>IF(ISERROR(VLOOKUP(Base_Periodo1[[#This Row],[CONTA]],BaseContasDRE[#All],4,FALSE)),"Fora do DRE",VLOOKUP(Base_Periodo1[[#This Row],[CONTA]],BaseContasDRE[#All],4,FALSE))</f>
        <v>Fora do DRE</v>
      </c>
      <c r="T2803" s="3" t="str">
        <f>IF(ISERROR(VLOOKUP(Base_Periodo1[[#This Row],[CONTA]],BaseContasDRE[#All],5,FALSE)),"Fora do DRE",VLOOKUP(Base_Periodo1[[#This Row],[CONTA]],BaseContasDRE[#All],6,FALSE))</f>
        <v>Fora do DRE</v>
      </c>
      <c r="U2803" s="3" t="str">
        <f>IF(ISERROR(VLOOKUP(Base_Periodo1[[#This Row],[CONTA]],BaseContasDRE[#All],7,FALSE)),"Fora do DRE",VLOOKUP(Base_Periodo1[[#This Row],[CONTA]],BaseContasDRE[#All],7,FALSE))</f>
        <v>Fora do DRE</v>
      </c>
      <c r="V2803" s="3" t="str">
        <f>IF(Base_Periodo1[[#This Row],[Tipo_Linha]]="Fora do DRE","Fora do DRE","( "&amp;Base_Periodo1[[#This Row],[Tipo_Linha]]&amp;" ) "&amp;Base_Periodo1[[#This Row],[Filtro]])</f>
        <v>Fora do DRE</v>
      </c>
      <c r="W2803" s="3" t="str">
        <f>LEFT(Base_Periodo1[[#This Row],[CLASS]],3)</f>
        <v>2.1</v>
      </c>
    </row>
    <row r="2804" spans="1:23" hidden="1">
      <c r="A2804" s="3" t="str">
        <f t="shared" si="43"/>
        <v>Período 1</v>
      </c>
      <c r="B2804">
        <v>3974</v>
      </c>
      <c r="C2804" t="s">
        <v>1745</v>
      </c>
      <c r="D2804" t="s">
        <v>6359</v>
      </c>
      <c r="E2804" s="3" t="str">
        <f>IF(LEN(Base_Periodo1[[#This Row],[CLASS]])&gt;=7,LEFT(Base_Periodo1[[#This Row],[CLASS]],7),"")</f>
        <v>2.1.2.1</v>
      </c>
      <c r="F2804" s="3" t="str">
        <f>VLOOKUP(Base_Periodo1[[#This Row],[Aux]],Base_Contas_Balanco[#All],2,FALSE)</f>
        <v>Fornecedores Cooperados</v>
      </c>
      <c r="G2804" s="1">
        <v>42857</v>
      </c>
      <c r="H2804" s="225">
        <v>873.5</v>
      </c>
      <c r="I2804" s="225">
        <v>873.5</v>
      </c>
      <c r="J2804" s="225">
        <v>0</v>
      </c>
      <c r="K2804" s="225">
        <v>0</v>
      </c>
      <c r="L28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804" s="225">
        <f>ROUND(IF(AND(Base_Periodo1[[#This Row],[Tipo_Linha]]="-",Base_Periodo1[[#This Row],[TIPOSALDO]]="D"),Base_Periodo1[[#This Row],[SALDO_ATUAL]]*-1,Base_Periodo1[[#This Row],[SALDO_ATUAL]]),4)</f>
        <v>0</v>
      </c>
      <c r="N2804" t="s">
        <v>116</v>
      </c>
      <c r="O2804" t="s">
        <v>459</v>
      </c>
      <c r="P2804" t="s">
        <v>436</v>
      </c>
      <c r="Q2804">
        <v>7</v>
      </c>
      <c r="R2804" s="225">
        <f>Base_Periodo1[[#This Row],[CREDITOS]]-Base_Periodo1[[#This Row],[DEBITOS]]</f>
        <v>-873.5</v>
      </c>
      <c r="S2804" s="3" t="str">
        <f>IF(ISERROR(VLOOKUP(Base_Periodo1[[#This Row],[CONTA]],BaseContasDRE[#All],4,FALSE)),"Fora do DRE",VLOOKUP(Base_Periodo1[[#This Row],[CONTA]],BaseContasDRE[#All],4,FALSE))</f>
        <v>Fora do DRE</v>
      </c>
      <c r="T2804" s="3" t="str">
        <f>IF(ISERROR(VLOOKUP(Base_Periodo1[[#This Row],[CONTA]],BaseContasDRE[#All],5,FALSE)),"Fora do DRE",VLOOKUP(Base_Periodo1[[#This Row],[CONTA]],BaseContasDRE[#All],6,FALSE))</f>
        <v>Fora do DRE</v>
      </c>
      <c r="U2804" s="3" t="str">
        <f>IF(ISERROR(VLOOKUP(Base_Periodo1[[#This Row],[CONTA]],BaseContasDRE[#All],7,FALSE)),"Fora do DRE",VLOOKUP(Base_Periodo1[[#This Row],[CONTA]],BaseContasDRE[#All],7,FALSE))</f>
        <v>Fora do DRE</v>
      </c>
      <c r="V2804" s="3" t="str">
        <f>IF(Base_Periodo1[[#This Row],[Tipo_Linha]]="Fora do DRE","Fora do DRE","( "&amp;Base_Periodo1[[#This Row],[Tipo_Linha]]&amp;" ) "&amp;Base_Periodo1[[#This Row],[Filtro]])</f>
        <v>Fora do DRE</v>
      </c>
      <c r="W2804" s="3" t="str">
        <f>LEFT(Base_Periodo1[[#This Row],[CLASS]],3)</f>
        <v>2.1</v>
      </c>
    </row>
    <row r="2805" spans="1:23" hidden="1">
      <c r="A2805" s="3" t="str">
        <f t="shared" si="43"/>
        <v>Período 1</v>
      </c>
      <c r="B2805">
        <v>50538</v>
      </c>
      <c r="C2805" t="s">
        <v>1745</v>
      </c>
      <c r="D2805" t="s">
        <v>6866</v>
      </c>
      <c r="E2805" s="3" t="str">
        <f>IF(LEN(Base_Periodo1[[#This Row],[CLASS]])&gt;=7,LEFT(Base_Periodo1[[#This Row],[CLASS]],7),"")</f>
        <v>2.1.2.1</v>
      </c>
      <c r="F2805" s="3" t="str">
        <f>VLOOKUP(Base_Periodo1[[#This Row],[Aux]],Base_Contas_Balanco[#All],2,FALSE)</f>
        <v>Fornecedores Cooperados</v>
      </c>
      <c r="G2805" s="1"/>
      <c r="I2805" s="225">
        <v>0</v>
      </c>
      <c r="J2805" s="225">
        <v>2800</v>
      </c>
      <c r="K2805" s="225">
        <v>2800</v>
      </c>
      <c r="L28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2800</v>
      </c>
      <c r="M2805" s="225">
        <f>ROUND(IF(AND(Base_Periodo1[[#This Row],[Tipo_Linha]]="-",Base_Periodo1[[#This Row],[TIPOSALDO]]="D"),Base_Periodo1[[#This Row],[SALDO_ATUAL]]*-1,Base_Periodo1[[#This Row],[SALDO_ATUAL]]),4)</f>
        <v>2800</v>
      </c>
      <c r="N2805" t="s">
        <v>116</v>
      </c>
      <c r="O2805" t="s">
        <v>436</v>
      </c>
      <c r="P2805" t="s">
        <v>459</v>
      </c>
      <c r="Q2805">
        <v>7</v>
      </c>
      <c r="R2805" s="225">
        <f>Base_Periodo1[[#This Row],[CREDITOS]]-Base_Periodo1[[#This Row],[DEBITOS]]</f>
        <v>2800</v>
      </c>
      <c r="S2805" s="3" t="str">
        <f>IF(ISERROR(VLOOKUP(Base_Periodo1[[#This Row],[CONTA]],BaseContasDRE[#All],4,FALSE)),"Fora do DRE",VLOOKUP(Base_Periodo1[[#This Row],[CONTA]],BaseContasDRE[#All],4,FALSE))</f>
        <v>Fora do DRE</v>
      </c>
      <c r="T2805" s="3" t="str">
        <f>IF(ISERROR(VLOOKUP(Base_Periodo1[[#This Row],[CONTA]],BaseContasDRE[#All],5,FALSE)),"Fora do DRE",VLOOKUP(Base_Periodo1[[#This Row],[CONTA]],BaseContasDRE[#All],6,FALSE))</f>
        <v>Fora do DRE</v>
      </c>
      <c r="U2805" s="3" t="str">
        <f>IF(ISERROR(VLOOKUP(Base_Periodo1[[#This Row],[CONTA]],BaseContasDRE[#All],7,FALSE)),"Fora do DRE",VLOOKUP(Base_Periodo1[[#This Row],[CONTA]],BaseContasDRE[#All],7,FALSE))</f>
        <v>Fora do DRE</v>
      </c>
      <c r="V2805" s="3" t="str">
        <f>IF(Base_Periodo1[[#This Row],[Tipo_Linha]]="Fora do DRE","Fora do DRE","( "&amp;Base_Periodo1[[#This Row],[Tipo_Linha]]&amp;" ) "&amp;Base_Periodo1[[#This Row],[Filtro]])</f>
        <v>Fora do DRE</v>
      </c>
      <c r="W2805" s="3" t="str">
        <f>LEFT(Base_Periodo1[[#This Row],[CLASS]],3)</f>
        <v>2.1</v>
      </c>
    </row>
    <row r="2806" spans="1:23" hidden="1">
      <c r="A2806" s="3" t="str">
        <f t="shared" si="43"/>
        <v>Período 1</v>
      </c>
      <c r="B2806">
        <v>11492</v>
      </c>
      <c r="C2806" t="s">
        <v>1745</v>
      </c>
      <c r="D2806" t="s">
        <v>1812</v>
      </c>
      <c r="E2806" s="3" t="str">
        <f>IF(LEN(Base_Periodo1[[#This Row],[CLASS]])&gt;=7,LEFT(Base_Periodo1[[#This Row],[CLASS]],7),"")</f>
        <v>2.1.2.1</v>
      </c>
      <c r="F2806" s="3" t="str">
        <f>VLOOKUP(Base_Periodo1[[#This Row],[Aux]],Base_Contas_Balanco[#All],2,FALSE)</f>
        <v>Fornecedores Cooperados</v>
      </c>
      <c r="G2806" s="1">
        <v>41981</v>
      </c>
      <c r="H2806" s="225">
        <v>0.19000000000005457</v>
      </c>
      <c r="I2806" s="225">
        <v>0</v>
      </c>
      <c r="J2806" s="225">
        <v>0</v>
      </c>
      <c r="K2806" s="225">
        <v>0.19000000000005457</v>
      </c>
      <c r="L28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0.19</v>
      </c>
      <c r="M2806" s="225">
        <f>ROUND(IF(AND(Base_Periodo1[[#This Row],[Tipo_Linha]]="-",Base_Periodo1[[#This Row],[TIPOSALDO]]="D"),Base_Periodo1[[#This Row],[SALDO_ATUAL]]*-1,Base_Periodo1[[#This Row],[SALDO_ATUAL]]),4)</f>
        <v>0.19</v>
      </c>
      <c r="N2806" t="s">
        <v>116</v>
      </c>
      <c r="O2806" t="s">
        <v>459</v>
      </c>
      <c r="P2806" t="s">
        <v>459</v>
      </c>
      <c r="Q2806">
        <v>7</v>
      </c>
      <c r="R2806" s="225">
        <f>Base_Periodo1[[#This Row],[CREDITOS]]-Base_Periodo1[[#This Row],[DEBITOS]]</f>
        <v>0</v>
      </c>
      <c r="S2806" s="3" t="str">
        <f>IF(ISERROR(VLOOKUP(Base_Periodo1[[#This Row],[CONTA]],BaseContasDRE[#All],4,FALSE)),"Fora do DRE",VLOOKUP(Base_Periodo1[[#This Row],[CONTA]],BaseContasDRE[#All],4,FALSE))</f>
        <v>Fora do DRE</v>
      </c>
      <c r="T2806" s="3" t="str">
        <f>IF(ISERROR(VLOOKUP(Base_Periodo1[[#This Row],[CONTA]],BaseContasDRE[#All],5,FALSE)),"Fora do DRE",VLOOKUP(Base_Periodo1[[#This Row],[CONTA]],BaseContasDRE[#All],6,FALSE))</f>
        <v>Fora do DRE</v>
      </c>
      <c r="U2806" s="3" t="str">
        <f>IF(ISERROR(VLOOKUP(Base_Periodo1[[#This Row],[CONTA]],BaseContasDRE[#All],7,FALSE)),"Fora do DRE",VLOOKUP(Base_Periodo1[[#This Row],[CONTA]],BaseContasDRE[#All],7,FALSE))</f>
        <v>Fora do DRE</v>
      </c>
      <c r="V2806" s="3" t="str">
        <f>IF(Base_Periodo1[[#This Row],[Tipo_Linha]]="Fora do DRE","Fora do DRE","( "&amp;Base_Periodo1[[#This Row],[Tipo_Linha]]&amp;" ) "&amp;Base_Periodo1[[#This Row],[Filtro]])</f>
        <v>Fora do DRE</v>
      </c>
      <c r="W2806" s="3" t="str">
        <f>LEFT(Base_Periodo1[[#This Row],[CLASS]],3)</f>
        <v>2.1</v>
      </c>
    </row>
    <row r="2807" spans="1:23" hidden="1">
      <c r="A2807" s="3" t="str">
        <f t="shared" si="43"/>
        <v>Período 1</v>
      </c>
      <c r="B2807">
        <v>9064</v>
      </c>
      <c r="C2807" t="s">
        <v>1745</v>
      </c>
      <c r="D2807" t="s">
        <v>4361</v>
      </c>
      <c r="E2807" s="3" t="str">
        <f>IF(LEN(Base_Periodo1[[#This Row],[CLASS]])&gt;=7,LEFT(Base_Periodo1[[#This Row],[CLASS]],7),"")</f>
        <v>2.1.2.1</v>
      </c>
      <c r="F2807" s="3" t="str">
        <f>VLOOKUP(Base_Periodo1[[#This Row],[Aux]],Base_Contas_Balanco[#All],2,FALSE)</f>
        <v>Fornecedores Cooperados</v>
      </c>
      <c r="G2807" s="1">
        <v>42458</v>
      </c>
      <c r="H2807" s="225">
        <v>79230</v>
      </c>
      <c r="I2807" s="225">
        <v>0</v>
      </c>
      <c r="J2807" s="225">
        <v>0</v>
      </c>
      <c r="K2807" s="225">
        <v>79230</v>
      </c>
      <c r="L28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79230</v>
      </c>
      <c r="M2807" s="225">
        <f>ROUND(IF(AND(Base_Periodo1[[#This Row],[Tipo_Linha]]="-",Base_Periodo1[[#This Row],[TIPOSALDO]]="D"),Base_Periodo1[[#This Row],[SALDO_ATUAL]]*-1,Base_Periodo1[[#This Row],[SALDO_ATUAL]]),4)</f>
        <v>79230</v>
      </c>
      <c r="N2807" t="s">
        <v>116</v>
      </c>
      <c r="O2807" t="s">
        <v>459</v>
      </c>
      <c r="P2807" t="s">
        <v>459</v>
      </c>
      <c r="Q2807">
        <v>7</v>
      </c>
      <c r="R2807" s="225">
        <f>Base_Periodo1[[#This Row],[CREDITOS]]-Base_Periodo1[[#This Row],[DEBITOS]]</f>
        <v>0</v>
      </c>
      <c r="S2807" s="3" t="str">
        <f>IF(ISERROR(VLOOKUP(Base_Periodo1[[#This Row],[CONTA]],BaseContasDRE[#All],4,FALSE)),"Fora do DRE",VLOOKUP(Base_Periodo1[[#This Row],[CONTA]],BaseContasDRE[#All],4,FALSE))</f>
        <v>Fora do DRE</v>
      </c>
      <c r="T2807" s="3" t="str">
        <f>IF(ISERROR(VLOOKUP(Base_Periodo1[[#This Row],[CONTA]],BaseContasDRE[#All],5,FALSE)),"Fora do DRE",VLOOKUP(Base_Periodo1[[#This Row],[CONTA]],BaseContasDRE[#All],6,FALSE))</f>
        <v>Fora do DRE</v>
      </c>
      <c r="U2807" s="3" t="str">
        <f>IF(ISERROR(VLOOKUP(Base_Periodo1[[#This Row],[CONTA]],BaseContasDRE[#All],7,FALSE)),"Fora do DRE",VLOOKUP(Base_Periodo1[[#This Row],[CONTA]],BaseContasDRE[#All],7,FALSE))</f>
        <v>Fora do DRE</v>
      </c>
      <c r="V2807" s="3" t="str">
        <f>IF(Base_Periodo1[[#This Row],[Tipo_Linha]]="Fora do DRE","Fora do DRE","( "&amp;Base_Periodo1[[#This Row],[Tipo_Linha]]&amp;" ) "&amp;Base_Periodo1[[#This Row],[Filtro]])</f>
        <v>Fora do DRE</v>
      </c>
      <c r="W2807" s="3" t="str">
        <f>LEFT(Base_Periodo1[[#This Row],[CLASS]],3)</f>
        <v>2.1</v>
      </c>
    </row>
    <row r="2808" spans="1:23" hidden="1">
      <c r="A2808" s="3" t="str">
        <f t="shared" si="43"/>
        <v>Período 1</v>
      </c>
      <c r="B2808">
        <v>24106</v>
      </c>
      <c r="C2808" t="s">
        <v>1745</v>
      </c>
      <c r="D2808" t="s">
        <v>1813</v>
      </c>
      <c r="E2808" s="3" t="str">
        <f>IF(LEN(Base_Periodo1[[#This Row],[CLASS]])&gt;=7,LEFT(Base_Periodo1[[#This Row],[CLASS]],7),"")</f>
        <v>2.1.2.1</v>
      </c>
      <c r="F2808" s="3" t="str">
        <f>VLOOKUP(Base_Periodo1[[#This Row],[Aux]],Base_Contas_Balanco[#All],2,FALSE)</f>
        <v>Fornecedores Cooperados</v>
      </c>
      <c r="G2808" s="1">
        <v>42479</v>
      </c>
      <c r="H2808" s="225">
        <v>0.5</v>
      </c>
      <c r="I2808" s="225">
        <v>0</v>
      </c>
      <c r="J2808" s="225">
        <v>0</v>
      </c>
      <c r="K2808" s="225">
        <v>0.5</v>
      </c>
      <c r="L28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0.5</v>
      </c>
      <c r="M2808" s="225">
        <f>ROUND(IF(AND(Base_Periodo1[[#This Row],[Tipo_Linha]]="-",Base_Periodo1[[#This Row],[TIPOSALDO]]="D"),Base_Periodo1[[#This Row],[SALDO_ATUAL]]*-1,Base_Periodo1[[#This Row],[SALDO_ATUAL]]),4)</f>
        <v>0.5</v>
      </c>
      <c r="N2808" t="s">
        <v>116</v>
      </c>
      <c r="O2808" t="s">
        <v>459</v>
      </c>
      <c r="P2808" t="s">
        <v>459</v>
      </c>
      <c r="Q2808">
        <v>7</v>
      </c>
      <c r="R2808" s="225">
        <f>Base_Periodo1[[#This Row],[CREDITOS]]-Base_Periodo1[[#This Row],[DEBITOS]]</f>
        <v>0</v>
      </c>
      <c r="S2808" s="3" t="str">
        <f>IF(ISERROR(VLOOKUP(Base_Periodo1[[#This Row],[CONTA]],BaseContasDRE[#All],4,FALSE)),"Fora do DRE",VLOOKUP(Base_Periodo1[[#This Row],[CONTA]],BaseContasDRE[#All],4,FALSE))</f>
        <v>Fora do DRE</v>
      </c>
      <c r="T2808" s="3" t="str">
        <f>IF(ISERROR(VLOOKUP(Base_Periodo1[[#This Row],[CONTA]],BaseContasDRE[#All],5,FALSE)),"Fora do DRE",VLOOKUP(Base_Periodo1[[#This Row],[CONTA]],BaseContasDRE[#All],6,FALSE))</f>
        <v>Fora do DRE</v>
      </c>
      <c r="U2808" s="3" t="str">
        <f>IF(ISERROR(VLOOKUP(Base_Periodo1[[#This Row],[CONTA]],BaseContasDRE[#All],7,FALSE)),"Fora do DRE",VLOOKUP(Base_Periodo1[[#This Row],[CONTA]],BaseContasDRE[#All],7,FALSE))</f>
        <v>Fora do DRE</v>
      </c>
      <c r="V2808" s="3" t="str">
        <f>IF(Base_Periodo1[[#This Row],[Tipo_Linha]]="Fora do DRE","Fora do DRE","( "&amp;Base_Periodo1[[#This Row],[Tipo_Linha]]&amp;" ) "&amp;Base_Periodo1[[#This Row],[Filtro]])</f>
        <v>Fora do DRE</v>
      </c>
      <c r="W2808" s="3" t="str">
        <f>LEFT(Base_Periodo1[[#This Row],[CLASS]],3)</f>
        <v>2.1</v>
      </c>
    </row>
    <row r="2809" spans="1:23" hidden="1">
      <c r="A2809" s="3" t="str">
        <f t="shared" si="43"/>
        <v>Período 1</v>
      </c>
      <c r="B2809">
        <v>35554</v>
      </c>
      <c r="C2809" t="s">
        <v>1745</v>
      </c>
      <c r="D2809" t="s">
        <v>6867</v>
      </c>
      <c r="E2809" s="3" t="str">
        <f>IF(LEN(Base_Periodo1[[#This Row],[CLASS]])&gt;=7,LEFT(Base_Periodo1[[#This Row],[CLASS]],7),"")</f>
        <v>2.1.2.1</v>
      </c>
      <c r="F2809" s="3" t="str">
        <f>VLOOKUP(Base_Periodo1[[#This Row],[Aux]],Base_Contas_Balanco[#All],2,FALSE)</f>
        <v>Fornecedores Cooperados</v>
      </c>
      <c r="G2809" s="1">
        <v>42873</v>
      </c>
      <c r="I2809" s="225">
        <v>0</v>
      </c>
      <c r="J2809" s="225">
        <v>5700</v>
      </c>
      <c r="K2809" s="225">
        <v>5699.9999999999709</v>
      </c>
      <c r="L28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5700</v>
      </c>
      <c r="M2809" s="225">
        <f>ROUND(IF(AND(Base_Periodo1[[#This Row],[Tipo_Linha]]="-",Base_Periodo1[[#This Row],[TIPOSALDO]]="D"),Base_Periodo1[[#This Row],[SALDO_ATUAL]]*-1,Base_Periodo1[[#This Row],[SALDO_ATUAL]]),4)</f>
        <v>5700</v>
      </c>
      <c r="N2809" t="s">
        <v>116</v>
      </c>
      <c r="O2809" t="s">
        <v>436</v>
      </c>
      <c r="P2809" t="s">
        <v>459</v>
      </c>
      <c r="Q2809">
        <v>7</v>
      </c>
      <c r="R2809" s="225">
        <f>Base_Periodo1[[#This Row],[CREDITOS]]-Base_Periodo1[[#This Row],[DEBITOS]]</f>
        <v>5700</v>
      </c>
      <c r="S2809" s="3" t="str">
        <f>IF(ISERROR(VLOOKUP(Base_Periodo1[[#This Row],[CONTA]],BaseContasDRE[#All],4,FALSE)),"Fora do DRE",VLOOKUP(Base_Periodo1[[#This Row],[CONTA]],BaseContasDRE[#All],4,FALSE))</f>
        <v>Fora do DRE</v>
      </c>
      <c r="T2809" s="3" t="str">
        <f>IF(ISERROR(VLOOKUP(Base_Periodo1[[#This Row],[CONTA]],BaseContasDRE[#All],5,FALSE)),"Fora do DRE",VLOOKUP(Base_Periodo1[[#This Row],[CONTA]],BaseContasDRE[#All],6,FALSE))</f>
        <v>Fora do DRE</v>
      </c>
      <c r="U2809" s="3" t="str">
        <f>IF(ISERROR(VLOOKUP(Base_Periodo1[[#This Row],[CONTA]],BaseContasDRE[#All],7,FALSE)),"Fora do DRE",VLOOKUP(Base_Periodo1[[#This Row],[CONTA]],BaseContasDRE[#All],7,FALSE))</f>
        <v>Fora do DRE</v>
      </c>
      <c r="V2809" s="3" t="str">
        <f>IF(Base_Periodo1[[#This Row],[Tipo_Linha]]="Fora do DRE","Fora do DRE","( "&amp;Base_Periodo1[[#This Row],[Tipo_Linha]]&amp;" ) "&amp;Base_Periodo1[[#This Row],[Filtro]])</f>
        <v>Fora do DRE</v>
      </c>
      <c r="W2809" s="3" t="str">
        <f>LEFT(Base_Periodo1[[#This Row],[CLASS]],3)</f>
        <v>2.1</v>
      </c>
    </row>
    <row r="2810" spans="1:23" hidden="1">
      <c r="A2810" s="3" t="str">
        <f t="shared" si="43"/>
        <v>Período 1</v>
      </c>
      <c r="B2810">
        <v>37078</v>
      </c>
      <c r="C2810" t="s">
        <v>1745</v>
      </c>
      <c r="D2810" t="s">
        <v>4605</v>
      </c>
      <c r="E2810" s="3" t="str">
        <f>IF(LEN(Base_Periodo1[[#This Row],[CLASS]])&gt;=7,LEFT(Base_Periodo1[[#This Row],[CLASS]],7),"")</f>
        <v>2.1.2.1</v>
      </c>
      <c r="F2810" s="3" t="str">
        <f>VLOOKUP(Base_Periodo1[[#This Row],[Aux]],Base_Contas_Balanco[#All],2,FALSE)</f>
        <v>Fornecedores Cooperados</v>
      </c>
      <c r="G2810" s="1">
        <v>42704</v>
      </c>
      <c r="H2810" s="225">
        <v>163.65999999998894</v>
      </c>
      <c r="I2810" s="225">
        <v>0</v>
      </c>
      <c r="J2810" s="225">
        <v>0</v>
      </c>
      <c r="K2810" s="225">
        <v>163.65999999998894</v>
      </c>
      <c r="L28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163.66</v>
      </c>
      <c r="M2810" s="225">
        <f>ROUND(IF(AND(Base_Periodo1[[#This Row],[Tipo_Linha]]="-",Base_Periodo1[[#This Row],[TIPOSALDO]]="D"),Base_Periodo1[[#This Row],[SALDO_ATUAL]]*-1,Base_Periodo1[[#This Row],[SALDO_ATUAL]]),4)</f>
        <v>163.66</v>
      </c>
      <c r="N2810" t="s">
        <v>116</v>
      </c>
      <c r="O2810" t="s">
        <v>459</v>
      </c>
      <c r="P2810" t="s">
        <v>459</v>
      </c>
      <c r="Q2810">
        <v>7</v>
      </c>
      <c r="R2810" s="225">
        <f>Base_Periodo1[[#This Row],[CREDITOS]]-Base_Periodo1[[#This Row],[DEBITOS]]</f>
        <v>0</v>
      </c>
      <c r="S2810" s="3" t="str">
        <f>IF(ISERROR(VLOOKUP(Base_Periodo1[[#This Row],[CONTA]],BaseContasDRE[#All],4,FALSE)),"Fora do DRE",VLOOKUP(Base_Periodo1[[#This Row],[CONTA]],BaseContasDRE[#All],4,FALSE))</f>
        <v>Fora do DRE</v>
      </c>
      <c r="T2810" s="3" t="str">
        <f>IF(ISERROR(VLOOKUP(Base_Periodo1[[#This Row],[CONTA]],BaseContasDRE[#All],5,FALSE)),"Fora do DRE",VLOOKUP(Base_Periodo1[[#This Row],[CONTA]],BaseContasDRE[#All],6,FALSE))</f>
        <v>Fora do DRE</v>
      </c>
      <c r="U2810" s="3" t="str">
        <f>IF(ISERROR(VLOOKUP(Base_Periodo1[[#This Row],[CONTA]],BaseContasDRE[#All],7,FALSE)),"Fora do DRE",VLOOKUP(Base_Periodo1[[#This Row],[CONTA]],BaseContasDRE[#All],7,FALSE))</f>
        <v>Fora do DRE</v>
      </c>
      <c r="V2810" s="3" t="str">
        <f>IF(Base_Periodo1[[#This Row],[Tipo_Linha]]="Fora do DRE","Fora do DRE","( "&amp;Base_Periodo1[[#This Row],[Tipo_Linha]]&amp;" ) "&amp;Base_Periodo1[[#This Row],[Filtro]])</f>
        <v>Fora do DRE</v>
      </c>
      <c r="W2810" s="3" t="str">
        <f>LEFT(Base_Periodo1[[#This Row],[CLASS]],3)</f>
        <v>2.1</v>
      </c>
    </row>
    <row r="2811" spans="1:23" hidden="1">
      <c r="A2811" s="3" t="str">
        <f t="shared" si="43"/>
        <v>Período 1</v>
      </c>
      <c r="B2811">
        <v>4034</v>
      </c>
      <c r="C2811" t="s">
        <v>1745</v>
      </c>
      <c r="D2811" t="s">
        <v>1814</v>
      </c>
      <c r="E2811" s="3" t="str">
        <f>IF(LEN(Base_Periodo1[[#This Row],[CLASS]])&gt;=7,LEFT(Base_Periodo1[[#This Row],[CLASS]],7),"")</f>
        <v>2.1.2.1</v>
      </c>
      <c r="F2811" s="3" t="str">
        <f>VLOOKUP(Base_Periodo1[[#This Row],[Aux]],Base_Contas_Balanco[#All],2,FALSE)</f>
        <v>Fornecedores Cooperados</v>
      </c>
      <c r="G2811" s="1">
        <v>42859</v>
      </c>
      <c r="H2811" s="225">
        <v>146394.31000000075</v>
      </c>
      <c r="I2811" s="225">
        <v>0</v>
      </c>
      <c r="J2811" s="225">
        <v>31131.25</v>
      </c>
      <c r="K2811" s="225">
        <v>177525.56000000075</v>
      </c>
      <c r="L28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177525.56</v>
      </c>
      <c r="M2811" s="225">
        <f>ROUND(IF(AND(Base_Periodo1[[#This Row],[Tipo_Linha]]="-",Base_Periodo1[[#This Row],[TIPOSALDO]]="D"),Base_Periodo1[[#This Row],[SALDO_ATUAL]]*-1,Base_Periodo1[[#This Row],[SALDO_ATUAL]]),4)</f>
        <v>177525.56</v>
      </c>
      <c r="N2811" t="s">
        <v>116</v>
      </c>
      <c r="O2811" t="s">
        <v>459</v>
      </c>
      <c r="P2811" t="s">
        <v>459</v>
      </c>
      <c r="Q2811">
        <v>7</v>
      </c>
      <c r="R2811" s="225">
        <f>Base_Periodo1[[#This Row],[CREDITOS]]-Base_Periodo1[[#This Row],[DEBITOS]]</f>
        <v>31131.25</v>
      </c>
      <c r="S2811" s="3" t="str">
        <f>IF(ISERROR(VLOOKUP(Base_Periodo1[[#This Row],[CONTA]],BaseContasDRE[#All],4,FALSE)),"Fora do DRE",VLOOKUP(Base_Periodo1[[#This Row],[CONTA]],BaseContasDRE[#All],4,FALSE))</f>
        <v>Fora do DRE</v>
      </c>
      <c r="T2811" s="3" t="str">
        <f>IF(ISERROR(VLOOKUP(Base_Periodo1[[#This Row],[CONTA]],BaseContasDRE[#All],5,FALSE)),"Fora do DRE",VLOOKUP(Base_Periodo1[[#This Row],[CONTA]],BaseContasDRE[#All],6,FALSE))</f>
        <v>Fora do DRE</v>
      </c>
      <c r="U2811" s="3" t="str">
        <f>IF(ISERROR(VLOOKUP(Base_Periodo1[[#This Row],[CONTA]],BaseContasDRE[#All],7,FALSE)),"Fora do DRE",VLOOKUP(Base_Periodo1[[#This Row],[CONTA]],BaseContasDRE[#All],7,FALSE))</f>
        <v>Fora do DRE</v>
      </c>
      <c r="V2811" s="3" t="str">
        <f>IF(Base_Periodo1[[#This Row],[Tipo_Linha]]="Fora do DRE","Fora do DRE","( "&amp;Base_Periodo1[[#This Row],[Tipo_Linha]]&amp;" ) "&amp;Base_Periodo1[[#This Row],[Filtro]])</f>
        <v>Fora do DRE</v>
      </c>
      <c r="W2811" s="3" t="str">
        <f>LEFT(Base_Periodo1[[#This Row],[CLASS]],3)</f>
        <v>2.1</v>
      </c>
    </row>
    <row r="2812" spans="1:23" hidden="1">
      <c r="A2812" s="3" t="str">
        <f t="shared" si="43"/>
        <v>Período 1</v>
      </c>
      <c r="B2812">
        <v>2938</v>
      </c>
      <c r="C2812" t="s">
        <v>1745</v>
      </c>
      <c r="D2812" t="s">
        <v>1815</v>
      </c>
      <c r="E2812" s="3" t="str">
        <f>IF(LEN(Base_Periodo1[[#This Row],[CLASS]])&gt;=7,LEFT(Base_Periodo1[[#This Row],[CLASS]],7),"")</f>
        <v>2.1.2.1</v>
      </c>
      <c r="F2812" s="3" t="str">
        <f>VLOOKUP(Base_Periodo1[[#This Row],[Aux]],Base_Contas_Balanco[#All],2,FALSE)</f>
        <v>Fornecedores Cooperados</v>
      </c>
      <c r="G2812" s="1">
        <v>42804</v>
      </c>
      <c r="H2812" s="225">
        <v>636.96999999999935</v>
      </c>
      <c r="I2812" s="225">
        <v>0</v>
      </c>
      <c r="J2812" s="225">
        <v>0</v>
      </c>
      <c r="K2812" s="225">
        <v>636.96999999999935</v>
      </c>
      <c r="L28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636.97</v>
      </c>
      <c r="M2812" s="225">
        <f>ROUND(IF(AND(Base_Periodo1[[#This Row],[Tipo_Linha]]="-",Base_Periodo1[[#This Row],[TIPOSALDO]]="D"),Base_Periodo1[[#This Row],[SALDO_ATUAL]]*-1,Base_Periodo1[[#This Row],[SALDO_ATUAL]]),4)</f>
        <v>636.97</v>
      </c>
      <c r="N2812" t="s">
        <v>116</v>
      </c>
      <c r="O2812" t="s">
        <v>459</v>
      </c>
      <c r="P2812" t="s">
        <v>459</v>
      </c>
      <c r="Q2812">
        <v>7</v>
      </c>
      <c r="R2812" s="225">
        <f>Base_Periodo1[[#This Row],[CREDITOS]]-Base_Periodo1[[#This Row],[DEBITOS]]</f>
        <v>0</v>
      </c>
      <c r="S2812" s="3" t="str">
        <f>IF(ISERROR(VLOOKUP(Base_Periodo1[[#This Row],[CONTA]],BaseContasDRE[#All],4,FALSE)),"Fora do DRE",VLOOKUP(Base_Periodo1[[#This Row],[CONTA]],BaseContasDRE[#All],4,FALSE))</f>
        <v>Fora do DRE</v>
      </c>
      <c r="T2812" s="3" t="str">
        <f>IF(ISERROR(VLOOKUP(Base_Periodo1[[#This Row],[CONTA]],BaseContasDRE[#All],5,FALSE)),"Fora do DRE",VLOOKUP(Base_Periodo1[[#This Row],[CONTA]],BaseContasDRE[#All],6,FALSE))</f>
        <v>Fora do DRE</v>
      </c>
      <c r="U2812" s="3" t="str">
        <f>IF(ISERROR(VLOOKUP(Base_Periodo1[[#This Row],[CONTA]],BaseContasDRE[#All],7,FALSE)),"Fora do DRE",VLOOKUP(Base_Periodo1[[#This Row],[CONTA]],BaseContasDRE[#All],7,FALSE))</f>
        <v>Fora do DRE</v>
      </c>
      <c r="V2812" s="3" t="str">
        <f>IF(Base_Periodo1[[#This Row],[Tipo_Linha]]="Fora do DRE","Fora do DRE","( "&amp;Base_Periodo1[[#This Row],[Tipo_Linha]]&amp;" ) "&amp;Base_Periodo1[[#This Row],[Filtro]])</f>
        <v>Fora do DRE</v>
      </c>
      <c r="W2812" s="3" t="str">
        <f>LEFT(Base_Periodo1[[#This Row],[CLASS]],3)</f>
        <v>2.1</v>
      </c>
    </row>
    <row r="2813" spans="1:23" hidden="1">
      <c r="A2813" s="3" t="str">
        <f t="shared" si="43"/>
        <v>Período 1</v>
      </c>
      <c r="B2813">
        <v>46967</v>
      </c>
      <c r="C2813" t="s">
        <v>1745</v>
      </c>
      <c r="D2813" t="s">
        <v>1816</v>
      </c>
      <c r="E2813" s="3" t="str">
        <f>IF(LEN(Base_Periodo1[[#This Row],[CLASS]])&gt;=7,LEFT(Base_Periodo1[[#This Row],[CLASS]],7),"")</f>
        <v>2.1.2.1</v>
      </c>
      <c r="F2813" s="3" t="str">
        <f>VLOOKUP(Base_Periodo1[[#This Row],[Aux]],Base_Contas_Balanco[#All],2,FALSE)</f>
        <v>Fornecedores Cooperados</v>
      </c>
      <c r="G2813" s="1">
        <v>42884</v>
      </c>
      <c r="H2813" s="225">
        <v>19729.940000000002</v>
      </c>
      <c r="I2813" s="225">
        <v>18856.060000000001</v>
      </c>
      <c r="J2813" s="225">
        <v>5766.27</v>
      </c>
      <c r="K2813" s="225">
        <v>6640.1500000000015</v>
      </c>
      <c r="L28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6640.15</v>
      </c>
      <c r="M2813" s="225">
        <f>ROUND(IF(AND(Base_Periodo1[[#This Row],[Tipo_Linha]]="-",Base_Periodo1[[#This Row],[TIPOSALDO]]="D"),Base_Periodo1[[#This Row],[SALDO_ATUAL]]*-1,Base_Periodo1[[#This Row],[SALDO_ATUAL]]),4)</f>
        <v>6640.15</v>
      </c>
      <c r="N2813" t="s">
        <v>116</v>
      </c>
      <c r="O2813" t="s">
        <v>459</v>
      </c>
      <c r="P2813" t="s">
        <v>459</v>
      </c>
      <c r="Q2813">
        <v>7</v>
      </c>
      <c r="R2813" s="225">
        <f>Base_Periodo1[[#This Row],[CREDITOS]]-Base_Periodo1[[#This Row],[DEBITOS]]</f>
        <v>-13089.79</v>
      </c>
      <c r="S2813" s="3" t="str">
        <f>IF(ISERROR(VLOOKUP(Base_Periodo1[[#This Row],[CONTA]],BaseContasDRE[#All],4,FALSE)),"Fora do DRE",VLOOKUP(Base_Periodo1[[#This Row],[CONTA]],BaseContasDRE[#All],4,FALSE))</f>
        <v>Fora do DRE</v>
      </c>
      <c r="T2813" s="3" t="str">
        <f>IF(ISERROR(VLOOKUP(Base_Periodo1[[#This Row],[CONTA]],BaseContasDRE[#All],5,FALSE)),"Fora do DRE",VLOOKUP(Base_Periodo1[[#This Row],[CONTA]],BaseContasDRE[#All],6,FALSE))</f>
        <v>Fora do DRE</v>
      </c>
      <c r="U2813" s="3" t="str">
        <f>IF(ISERROR(VLOOKUP(Base_Periodo1[[#This Row],[CONTA]],BaseContasDRE[#All],7,FALSE)),"Fora do DRE",VLOOKUP(Base_Periodo1[[#This Row],[CONTA]],BaseContasDRE[#All],7,FALSE))</f>
        <v>Fora do DRE</v>
      </c>
      <c r="V2813" s="3" t="str">
        <f>IF(Base_Periodo1[[#This Row],[Tipo_Linha]]="Fora do DRE","Fora do DRE","( "&amp;Base_Periodo1[[#This Row],[Tipo_Linha]]&amp;" ) "&amp;Base_Periodo1[[#This Row],[Filtro]])</f>
        <v>Fora do DRE</v>
      </c>
      <c r="W2813" s="3" t="str">
        <f>LEFT(Base_Periodo1[[#This Row],[CLASS]],3)</f>
        <v>2.1</v>
      </c>
    </row>
    <row r="2814" spans="1:23" hidden="1">
      <c r="A2814" s="3" t="str">
        <f t="shared" si="43"/>
        <v>Período 1</v>
      </c>
      <c r="B2814">
        <v>48289</v>
      </c>
      <c r="C2814" t="s">
        <v>1745</v>
      </c>
      <c r="D2814" t="s">
        <v>6360</v>
      </c>
      <c r="E2814" s="3" t="str">
        <f>IF(LEN(Base_Periodo1[[#This Row],[CLASS]])&gt;=7,LEFT(Base_Periodo1[[#This Row],[CLASS]],7),"")</f>
        <v>2.1.2.1</v>
      </c>
      <c r="F2814" s="3" t="str">
        <f>VLOOKUP(Base_Periodo1[[#This Row],[Aux]],Base_Contas_Balanco[#All],2,FALSE)</f>
        <v>Fornecedores Cooperados</v>
      </c>
      <c r="G2814" s="1">
        <v>42844</v>
      </c>
      <c r="H2814" s="225">
        <v>4899.6500000000051</v>
      </c>
      <c r="I2814" s="225">
        <v>0</v>
      </c>
      <c r="J2814" s="225">
        <v>0</v>
      </c>
      <c r="K2814" s="225">
        <v>4899.6500000000051</v>
      </c>
      <c r="L28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4899.6499999999996</v>
      </c>
      <c r="M2814" s="225">
        <f>ROUND(IF(AND(Base_Periodo1[[#This Row],[Tipo_Linha]]="-",Base_Periodo1[[#This Row],[TIPOSALDO]]="D"),Base_Periodo1[[#This Row],[SALDO_ATUAL]]*-1,Base_Periodo1[[#This Row],[SALDO_ATUAL]]),4)</f>
        <v>4899.6499999999996</v>
      </c>
      <c r="N2814" t="s">
        <v>116</v>
      </c>
      <c r="O2814" t="s">
        <v>459</v>
      </c>
      <c r="P2814" t="s">
        <v>459</v>
      </c>
      <c r="Q2814">
        <v>7</v>
      </c>
      <c r="R2814" s="225">
        <f>Base_Periodo1[[#This Row],[CREDITOS]]-Base_Periodo1[[#This Row],[DEBITOS]]</f>
        <v>0</v>
      </c>
      <c r="S2814" s="3" t="str">
        <f>IF(ISERROR(VLOOKUP(Base_Periodo1[[#This Row],[CONTA]],BaseContasDRE[#All],4,FALSE)),"Fora do DRE",VLOOKUP(Base_Periodo1[[#This Row],[CONTA]],BaseContasDRE[#All],4,FALSE))</f>
        <v>Fora do DRE</v>
      </c>
      <c r="T2814" s="3" t="str">
        <f>IF(ISERROR(VLOOKUP(Base_Periodo1[[#This Row],[CONTA]],BaseContasDRE[#All],5,FALSE)),"Fora do DRE",VLOOKUP(Base_Periodo1[[#This Row],[CONTA]],BaseContasDRE[#All],6,FALSE))</f>
        <v>Fora do DRE</v>
      </c>
      <c r="U2814" s="3" t="str">
        <f>IF(ISERROR(VLOOKUP(Base_Periodo1[[#This Row],[CONTA]],BaseContasDRE[#All],7,FALSE)),"Fora do DRE",VLOOKUP(Base_Periodo1[[#This Row],[CONTA]],BaseContasDRE[#All],7,FALSE))</f>
        <v>Fora do DRE</v>
      </c>
      <c r="V2814" s="3" t="str">
        <f>IF(Base_Periodo1[[#This Row],[Tipo_Linha]]="Fora do DRE","Fora do DRE","( "&amp;Base_Periodo1[[#This Row],[Tipo_Linha]]&amp;" ) "&amp;Base_Periodo1[[#This Row],[Filtro]])</f>
        <v>Fora do DRE</v>
      </c>
      <c r="W2814" s="3" t="str">
        <f>LEFT(Base_Periodo1[[#This Row],[CLASS]],3)</f>
        <v>2.1</v>
      </c>
    </row>
    <row r="2815" spans="1:23" hidden="1">
      <c r="A2815" s="3" t="str">
        <f t="shared" si="43"/>
        <v>Período 1</v>
      </c>
      <c r="B2815">
        <v>14975</v>
      </c>
      <c r="C2815" t="s">
        <v>1745</v>
      </c>
      <c r="D2815" t="s">
        <v>1817</v>
      </c>
      <c r="E2815" s="3" t="str">
        <f>IF(LEN(Base_Periodo1[[#This Row],[CLASS]])&gt;=7,LEFT(Base_Periodo1[[#This Row],[CLASS]],7),"")</f>
        <v>2.1.2.1</v>
      </c>
      <c r="F2815" s="3" t="str">
        <f>VLOOKUP(Base_Periodo1[[#This Row],[Aux]],Base_Contas_Balanco[#All],2,FALSE)</f>
        <v>Fornecedores Cooperados</v>
      </c>
      <c r="G2815" s="1">
        <v>42884</v>
      </c>
      <c r="H2815" s="225">
        <v>26708.019999999975</v>
      </c>
      <c r="I2815" s="225">
        <v>0</v>
      </c>
      <c r="J2815" s="225">
        <v>4392.62</v>
      </c>
      <c r="K2815" s="225">
        <v>31100.639999999974</v>
      </c>
      <c r="L28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31100.639999999999</v>
      </c>
      <c r="M2815" s="225">
        <f>ROUND(IF(AND(Base_Periodo1[[#This Row],[Tipo_Linha]]="-",Base_Periodo1[[#This Row],[TIPOSALDO]]="D"),Base_Periodo1[[#This Row],[SALDO_ATUAL]]*-1,Base_Periodo1[[#This Row],[SALDO_ATUAL]]),4)</f>
        <v>31100.639999999999</v>
      </c>
      <c r="N2815" t="s">
        <v>116</v>
      </c>
      <c r="O2815" t="s">
        <v>459</v>
      </c>
      <c r="P2815" t="s">
        <v>459</v>
      </c>
      <c r="Q2815">
        <v>7</v>
      </c>
      <c r="R2815" s="225">
        <f>Base_Periodo1[[#This Row],[CREDITOS]]-Base_Periodo1[[#This Row],[DEBITOS]]</f>
        <v>4392.62</v>
      </c>
      <c r="S2815" s="3" t="str">
        <f>IF(ISERROR(VLOOKUP(Base_Periodo1[[#This Row],[CONTA]],BaseContasDRE[#All],4,FALSE)),"Fora do DRE",VLOOKUP(Base_Periodo1[[#This Row],[CONTA]],BaseContasDRE[#All],4,FALSE))</f>
        <v>Fora do DRE</v>
      </c>
      <c r="T2815" s="3" t="str">
        <f>IF(ISERROR(VLOOKUP(Base_Periodo1[[#This Row],[CONTA]],BaseContasDRE[#All],5,FALSE)),"Fora do DRE",VLOOKUP(Base_Periodo1[[#This Row],[CONTA]],BaseContasDRE[#All],6,FALSE))</f>
        <v>Fora do DRE</v>
      </c>
      <c r="U2815" s="3" t="str">
        <f>IF(ISERROR(VLOOKUP(Base_Periodo1[[#This Row],[CONTA]],BaseContasDRE[#All],7,FALSE)),"Fora do DRE",VLOOKUP(Base_Periodo1[[#This Row],[CONTA]],BaseContasDRE[#All],7,FALSE))</f>
        <v>Fora do DRE</v>
      </c>
      <c r="V2815" s="3" t="str">
        <f>IF(Base_Periodo1[[#This Row],[Tipo_Linha]]="Fora do DRE","Fora do DRE","( "&amp;Base_Periodo1[[#This Row],[Tipo_Linha]]&amp;" ) "&amp;Base_Periodo1[[#This Row],[Filtro]])</f>
        <v>Fora do DRE</v>
      </c>
      <c r="W2815" s="3" t="str">
        <f>LEFT(Base_Periodo1[[#This Row],[CLASS]],3)</f>
        <v>2.1</v>
      </c>
    </row>
    <row r="2816" spans="1:23" hidden="1">
      <c r="A2816" s="3" t="str">
        <f t="shared" si="43"/>
        <v>Período 1</v>
      </c>
      <c r="B2816">
        <v>8129</v>
      </c>
      <c r="C2816" t="s">
        <v>1745</v>
      </c>
      <c r="D2816" t="s">
        <v>6361</v>
      </c>
      <c r="E2816" s="3" t="str">
        <f>IF(LEN(Base_Periodo1[[#This Row],[CLASS]])&gt;=7,LEFT(Base_Periodo1[[#This Row],[CLASS]],7),"")</f>
        <v>2.1.2.1</v>
      </c>
      <c r="F2816" s="3" t="str">
        <f>VLOOKUP(Base_Periodo1[[#This Row],[Aux]],Base_Contas_Balanco[#All],2,FALSE)</f>
        <v>Fornecedores Cooperados</v>
      </c>
      <c r="G2816" s="1">
        <v>42867</v>
      </c>
      <c r="H2816" s="225">
        <v>1411.5099999998929</v>
      </c>
      <c r="I2816" s="225">
        <v>11500</v>
      </c>
      <c r="J2816" s="225">
        <v>11500</v>
      </c>
      <c r="K2816" s="225">
        <v>1411.5099999998929</v>
      </c>
      <c r="L28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1411.51</v>
      </c>
      <c r="M2816" s="225">
        <f>ROUND(IF(AND(Base_Periodo1[[#This Row],[Tipo_Linha]]="-",Base_Periodo1[[#This Row],[TIPOSALDO]]="D"),Base_Periodo1[[#This Row],[SALDO_ATUAL]]*-1,Base_Periodo1[[#This Row],[SALDO_ATUAL]]),4)</f>
        <v>1411.51</v>
      </c>
      <c r="N2816" t="s">
        <v>116</v>
      </c>
      <c r="O2816" t="s">
        <v>459</v>
      </c>
      <c r="P2816" t="s">
        <v>459</v>
      </c>
      <c r="Q2816">
        <v>7</v>
      </c>
      <c r="R2816" s="225">
        <f>Base_Periodo1[[#This Row],[CREDITOS]]-Base_Periodo1[[#This Row],[DEBITOS]]</f>
        <v>0</v>
      </c>
      <c r="S2816" s="3" t="str">
        <f>IF(ISERROR(VLOOKUP(Base_Periodo1[[#This Row],[CONTA]],BaseContasDRE[#All],4,FALSE)),"Fora do DRE",VLOOKUP(Base_Periodo1[[#This Row],[CONTA]],BaseContasDRE[#All],4,FALSE))</f>
        <v>Fora do DRE</v>
      </c>
      <c r="T2816" s="3" t="str">
        <f>IF(ISERROR(VLOOKUP(Base_Periodo1[[#This Row],[CONTA]],BaseContasDRE[#All],5,FALSE)),"Fora do DRE",VLOOKUP(Base_Periodo1[[#This Row],[CONTA]],BaseContasDRE[#All],6,FALSE))</f>
        <v>Fora do DRE</v>
      </c>
      <c r="U2816" s="3" t="str">
        <f>IF(ISERROR(VLOOKUP(Base_Periodo1[[#This Row],[CONTA]],BaseContasDRE[#All],7,FALSE)),"Fora do DRE",VLOOKUP(Base_Periodo1[[#This Row],[CONTA]],BaseContasDRE[#All],7,FALSE))</f>
        <v>Fora do DRE</v>
      </c>
      <c r="V2816" s="3" t="str">
        <f>IF(Base_Periodo1[[#This Row],[Tipo_Linha]]="Fora do DRE","Fora do DRE","( "&amp;Base_Periodo1[[#This Row],[Tipo_Linha]]&amp;" ) "&amp;Base_Periodo1[[#This Row],[Filtro]])</f>
        <v>Fora do DRE</v>
      </c>
      <c r="W2816" s="3" t="str">
        <f>LEFT(Base_Periodo1[[#This Row],[CLASS]],3)</f>
        <v>2.1</v>
      </c>
    </row>
    <row r="2817" spans="1:23" hidden="1">
      <c r="A2817" s="3" t="str">
        <f t="shared" si="43"/>
        <v>Período 1</v>
      </c>
      <c r="B2817">
        <v>24482</v>
      </c>
      <c r="C2817" t="s">
        <v>1745</v>
      </c>
      <c r="D2817" t="s">
        <v>1818</v>
      </c>
      <c r="E2817" s="3" t="str">
        <f>IF(LEN(Base_Periodo1[[#This Row],[CLASS]])&gt;=7,LEFT(Base_Periodo1[[#This Row],[CLASS]],7),"")</f>
        <v>2.1.2.1</v>
      </c>
      <c r="F2817" s="3" t="str">
        <f>VLOOKUP(Base_Periodo1[[#This Row],[Aux]],Base_Contas_Balanco[#All],2,FALSE)</f>
        <v>Fornecedores Cooperados</v>
      </c>
      <c r="G2817" s="1">
        <v>42380</v>
      </c>
      <c r="H2817" s="225">
        <v>4722</v>
      </c>
      <c r="I2817" s="225">
        <v>0</v>
      </c>
      <c r="J2817" s="225">
        <v>0</v>
      </c>
      <c r="K2817" s="225">
        <v>4722</v>
      </c>
      <c r="L28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4722</v>
      </c>
      <c r="M2817" s="225">
        <f>ROUND(IF(AND(Base_Periodo1[[#This Row],[Tipo_Linha]]="-",Base_Periodo1[[#This Row],[TIPOSALDO]]="D"),Base_Periodo1[[#This Row],[SALDO_ATUAL]]*-1,Base_Periodo1[[#This Row],[SALDO_ATUAL]]),4)</f>
        <v>4722</v>
      </c>
      <c r="N2817" t="s">
        <v>116</v>
      </c>
      <c r="O2817" t="s">
        <v>459</v>
      </c>
      <c r="P2817" t="s">
        <v>459</v>
      </c>
      <c r="Q2817">
        <v>7</v>
      </c>
      <c r="R2817" s="225">
        <f>Base_Periodo1[[#This Row],[CREDITOS]]-Base_Periodo1[[#This Row],[DEBITOS]]</f>
        <v>0</v>
      </c>
      <c r="S2817" s="3" t="str">
        <f>IF(ISERROR(VLOOKUP(Base_Periodo1[[#This Row],[CONTA]],BaseContasDRE[#All],4,FALSE)),"Fora do DRE",VLOOKUP(Base_Periodo1[[#This Row],[CONTA]],BaseContasDRE[#All],4,FALSE))</f>
        <v>Fora do DRE</v>
      </c>
      <c r="T2817" s="3" t="str">
        <f>IF(ISERROR(VLOOKUP(Base_Periodo1[[#This Row],[CONTA]],BaseContasDRE[#All],5,FALSE)),"Fora do DRE",VLOOKUP(Base_Periodo1[[#This Row],[CONTA]],BaseContasDRE[#All],6,FALSE))</f>
        <v>Fora do DRE</v>
      </c>
      <c r="U2817" s="3" t="str">
        <f>IF(ISERROR(VLOOKUP(Base_Periodo1[[#This Row],[CONTA]],BaseContasDRE[#All],7,FALSE)),"Fora do DRE",VLOOKUP(Base_Periodo1[[#This Row],[CONTA]],BaseContasDRE[#All],7,FALSE))</f>
        <v>Fora do DRE</v>
      </c>
      <c r="V2817" s="3" t="str">
        <f>IF(Base_Periodo1[[#This Row],[Tipo_Linha]]="Fora do DRE","Fora do DRE","( "&amp;Base_Periodo1[[#This Row],[Tipo_Linha]]&amp;" ) "&amp;Base_Periodo1[[#This Row],[Filtro]])</f>
        <v>Fora do DRE</v>
      </c>
      <c r="W2817" s="3" t="str">
        <f>LEFT(Base_Periodo1[[#This Row],[CLASS]],3)</f>
        <v>2.1</v>
      </c>
    </row>
    <row r="2818" spans="1:23" hidden="1">
      <c r="A2818" s="3" t="str">
        <f t="shared" si="43"/>
        <v>Período 1</v>
      </c>
      <c r="B2818">
        <v>8716</v>
      </c>
      <c r="C2818" t="s">
        <v>1745</v>
      </c>
      <c r="D2818" t="s">
        <v>1819</v>
      </c>
      <c r="E2818" s="3" t="str">
        <f>IF(LEN(Base_Periodo1[[#This Row],[CLASS]])&gt;=7,LEFT(Base_Periodo1[[#This Row],[CLASS]],7),"")</f>
        <v>2.1.2.1</v>
      </c>
      <c r="F2818" s="3" t="str">
        <f>VLOOKUP(Base_Periodo1[[#This Row],[Aux]],Base_Contas_Balanco[#All],2,FALSE)</f>
        <v>Fornecedores Cooperados</v>
      </c>
      <c r="G2818" s="1">
        <v>42854</v>
      </c>
      <c r="H2818" s="225">
        <v>212754.71999999974</v>
      </c>
      <c r="I2818" s="225">
        <v>0</v>
      </c>
      <c r="J2818" s="225">
        <v>0</v>
      </c>
      <c r="K2818" s="225">
        <v>212754.71999999974</v>
      </c>
      <c r="L28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212754.72</v>
      </c>
      <c r="M2818" s="225">
        <f>ROUND(IF(AND(Base_Periodo1[[#This Row],[Tipo_Linha]]="-",Base_Periodo1[[#This Row],[TIPOSALDO]]="D"),Base_Periodo1[[#This Row],[SALDO_ATUAL]]*-1,Base_Periodo1[[#This Row],[SALDO_ATUAL]]),4)</f>
        <v>212754.72</v>
      </c>
      <c r="N2818" t="s">
        <v>116</v>
      </c>
      <c r="O2818" t="s">
        <v>459</v>
      </c>
      <c r="P2818" t="s">
        <v>459</v>
      </c>
      <c r="Q2818">
        <v>7</v>
      </c>
      <c r="R2818" s="225">
        <f>Base_Periodo1[[#This Row],[CREDITOS]]-Base_Periodo1[[#This Row],[DEBITOS]]</f>
        <v>0</v>
      </c>
      <c r="S2818" s="3" t="str">
        <f>IF(ISERROR(VLOOKUP(Base_Periodo1[[#This Row],[CONTA]],BaseContasDRE[#All],4,FALSE)),"Fora do DRE",VLOOKUP(Base_Periodo1[[#This Row],[CONTA]],BaseContasDRE[#All],4,FALSE))</f>
        <v>Fora do DRE</v>
      </c>
      <c r="T2818" s="3" t="str">
        <f>IF(ISERROR(VLOOKUP(Base_Periodo1[[#This Row],[CONTA]],BaseContasDRE[#All],5,FALSE)),"Fora do DRE",VLOOKUP(Base_Periodo1[[#This Row],[CONTA]],BaseContasDRE[#All],6,FALSE))</f>
        <v>Fora do DRE</v>
      </c>
      <c r="U2818" s="3" t="str">
        <f>IF(ISERROR(VLOOKUP(Base_Periodo1[[#This Row],[CONTA]],BaseContasDRE[#All],7,FALSE)),"Fora do DRE",VLOOKUP(Base_Periodo1[[#This Row],[CONTA]],BaseContasDRE[#All],7,FALSE))</f>
        <v>Fora do DRE</v>
      </c>
      <c r="V2818" s="3" t="str">
        <f>IF(Base_Periodo1[[#This Row],[Tipo_Linha]]="Fora do DRE","Fora do DRE","( "&amp;Base_Periodo1[[#This Row],[Tipo_Linha]]&amp;" ) "&amp;Base_Periodo1[[#This Row],[Filtro]])</f>
        <v>Fora do DRE</v>
      </c>
      <c r="W2818" s="3" t="str">
        <f>LEFT(Base_Periodo1[[#This Row],[CLASS]],3)</f>
        <v>2.1</v>
      </c>
    </row>
    <row r="2819" spans="1:23" hidden="1">
      <c r="A2819" s="3" t="str">
        <f t="shared" si="43"/>
        <v>Período 1</v>
      </c>
      <c r="B2819">
        <v>2422</v>
      </c>
      <c r="C2819" t="s">
        <v>1745</v>
      </c>
      <c r="D2819" t="s">
        <v>5517</v>
      </c>
      <c r="E2819" s="3" t="str">
        <f>IF(LEN(Base_Periodo1[[#This Row],[CLASS]])&gt;=7,LEFT(Base_Periodo1[[#This Row],[CLASS]],7),"")</f>
        <v>2.1.2.1</v>
      </c>
      <c r="F2819" s="3" t="str">
        <f>VLOOKUP(Base_Periodo1[[#This Row],[Aux]],Base_Contas_Balanco[#All],2,FALSE)</f>
        <v>Fornecedores Cooperados</v>
      </c>
      <c r="G2819" s="1">
        <v>42822</v>
      </c>
      <c r="H2819" s="225">
        <v>577.02000000000407</v>
      </c>
      <c r="I2819" s="225">
        <v>0</v>
      </c>
      <c r="J2819" s="225">
        <v>0</v>
      </c>
      <c r="K2819" s="225">
        <v>577.02000000000407</v>
      </c>
      <c r="L28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577.02</v>
      </c>
      <c r="M2819" s="225">
        <f>ROUND(IF(AND(Base_Periodo1[[#This Row],[Tipo_Linha]]="-",Base_Periodo1[[#This Row],[TIPOSALDO]]="D"),Base_Periodo1[[#This Row],[SALDO_ATUAL]]*-1,Base_Periodo1[[#This Row],[SALDO_ATUAL]]),4)</f>
        <v>577.02</v>
      </c>
      <c r="N2819" t="s">
        <v>116</v>
      </c>
      <c r="O2819" t="s">
        <v>459</v>
      </c>
      <c r="P2819" t="s">
        <v>459</v>
      </c>
      <c r="Q2819">
        <v>7</v>
      </c>
      <c r="R2819" s="225">
        <f>Base_Periodo1[[#This Row],[CREDITOS]]-Base_Periodo1[[#This Row],[DEBITOS]]</f>
        <v>0</v>
      </c>
      <c r="S2819" s="3" t="str">
        <f>IF(ISERROR(VLOOKUP(Base_Periodo1[[#This Row],[CONTA]],BaseContasDRE[#All],4,FALSE)),"Fora do DRE",VLOOKUP(Base_Periodo1[[#This Row],[CONTA]],BaseContasDRE[#All],4,FALSE))</f>
        <v>Fora do DRE</v>
      </c>
      <c r="T2819" s="3" t="str">
        <f>IF(ISERROR(VLOOKUP(Base_Periodo1[[#This Row],[CONTA]],BaseContasDRE[#All],5,FALSE)),"Fora do DRE",VLOOKUP(Base_Periodo1[[#This Row],[CONTA]],BaseContasDRE[#All],6,FALSE))</f>
        <v>Fora do DRE</v>
      </c>
      <c r="U2819" s="3" t="str">
        <f>IF(ISERROR(VLOOKUP(Base_Periodo1[[#This Row],[CONTA]],BaseContasDRE[#All],7,FALSE)),"Fora do DRE",VLOOKUP(Base_Periodo1[[#This Row],[CONTA]],BaseContasDRE[#All],7,FALSE))</f>
        <v>Fora do DRE</v>
      </c>
      <c r="V2819" s="3" t="str">
        <f>IF(Base_Periodo1[[#This Row],[Tipo_Linha]]="Fora do DRE","Fora do DRE","( "&amp;Base_Periodo1[[#This Row],[Tipo_Linha]]&amp;" ) "&amp;Base_Periodo1[[#This Row],[Filtro]])</f>
        <v>Fora do DRE</v>
      </c>
      <c r="W2819" s="3" t="str">
        <f>LEFT(Base_Periodo1[[#This Row],[CLASS]],3)</f>
        <v>2.1</v>
      </c>
    </row>
    <row r="2820" spans="1:23" hidden="1">
      <c r="A2820" s="3" t="str">
        <f t="shared" si="43"/>
        <v>Período 1</v>
      </c>
      <c r="B2820">
        <v>3306</v>
      </c>
      <c r="C2820" t="s">
        <v>1745</v>
      </c>
      <c r="D2820" t="s">
        <v>1820</v>
      </c>
      <c r="E2820" s="3" t="str">
        <f>IF(LEN(Base_Periodo1[[#This Row],[CLASS]])&gt;=7,LEFT(Base_Periodo1[[#This Row],[CLASS]],7),"")</f>
        <v>2.1.2.1</v>
      </c>
      <c r="F2820" s="3" t="str">
        <f>VLOOKUP(Base_Periodo1[[#This Row],[Aux]],Base_Contas_Balanco[#All],2,FALSE)</f>
        <v>Fornecedores Cooperados</v>
      </c>
      <c r="G2820" s="1">
        <v>42821</v>
      </c>
      <c r="H2820" s="225">
        <v>22713.899999999965</v>
      </c>
      <c r="I2820" s="225">
        <v>0</v>
      </c>
      <c r="J2820" s="225">
        <v>0</v>
      </c>
      <c r="K2820" s="225">
        <v>22713.899999999965</v>
      </c>
      <c r="L28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22713.9</v>
      </c>
      <c r="M2820" s="225">
        <f>ROUND(IF(AND(Base_Periodo1[[#This Row],[Tipo_Linha]]="-",Base_Periodo1[[#This Row],[TIPOSALDO]]="D"),Base_Periodo1[[#This Row],[SALDO_ATUAL]]*-1,Base_Periodo1[[#This Row],[SALDO_ATUAL]]),4)</f>
        <v>22713.9</v>
      </c>
      <c r="N2820" t="s">
        <v>116</v>
      </c>
      <c r="O2820" t="s">
        <v>459</v>
      </c>
      <c r="P2820" t="s">
        <v>459</v>
      </c>
      <c r="Q2820">
        <v>7</v>
      </c>
      <c r="R2820" s="225">
        <f>Base_Periodo1[[#This Row],[CREDITOS]]-Base_Periodo1[[#This Row],[DEBITOS]]</f>
        <v>0</v>
      </c>
      <c r="S2820" s="3" t="str">
        <f>IF(ISERROR(VLOOKUP(Base_Periodo1[[#This Row],[CONTA]],BaseContasDRE[#All],4,FALSE)),"Fora do DRE",VLOOKUP(Base_Periodo1[[#This Row],[CONTA]],BaseContasDRE[#All],4,FALSE))</f>
        <v>Fora do DRE</v>
      </c>
      <c r="T2820" s="3" t="str">
        <f>IF(ISERROR(VLOOKUP(Base_Periodo1[[#This Row],[CONTA]],BaseContasDRE[#All],5,FALSE)),"Fora do DRE",VLOOKUP(Base_Periodo1[[#This Row],[CONTA]],BaseContasDRE[#All],6,FALSE))</f>
        <v>Fora do DRE</v>
      </c>
      <c r="U2820" s="3" t="str">
        <f>IF(ISERROR(VLOOKUP(Base_Periodo1[[#This Row],[CONTA]],BaseContasDRE[#All],7,FALSE)),"Fora do DRE",VLOOKUP(Base_Periodo1[[#This Row],[CONTA]],BaseContasDRE[#All],7,FALSE))</f>
        <v>Fora do DRE</v>
      </c>
      <c r="V2820" s="3" t="str">
        <f>IF(Base_Periodo1[[#This Row],[Tipo_Linha]]="Fora do DRE","Fora do DRE","( "&amp;Base_Periodo1[[#This Row],[Tipo_Linha]]&amp;" ) "&amp;Base_Periodo1[[#This Row],[Filtro]])</f>
        <v>Fora do DRE</v>
      </c>
      <c r="W2820" s="3" t="str">
        <f>LEFT(Base_Periodo1[[#This Row],[CLASS]],3)</f>
        <v>2.1</v>
      </c>
    </row>
    <row r="2821" spans="1:23" hidden="1">
      <c r="A2821" s="3" t="str">
        <f t="shared" si="43"/>
        <v>Período 1</v>
      </c>
      <c r="B2821">
        <v>4406</v>
      </c>
      <c r="C2821" t="s">
        <v>1745</v>
      </c>
      <c r="D2821" t="s">
        <v>4203</v>
      </c>
      <c r="E2821" s="3" t="str">
        <f>IF(LEN(Base_Periodo1[[#This Row],[CLASS]])&gt;=7,LEFT(Base_Periodo1[[#This Row],[CLASS]],7),"")</f>
        <v>2.1.2.1</v>
      </c>
      <c r="F2821" s="3" t="str">
        <f>VLOOKUP(Base_Periodo1[[#This Row],[Aux]],Base_Contas_Balanco[#All],2,FALSE)</f>
        <v>Fornecedores Cooperados</v>
      </c>
      <c r="G2821" s="1">
        <v>42776</v>
      </c>
      <c r="H2821" s="225">
        <v>800.00000000001455</v>
      </c>
      <c r="I2821" s="225">
        <v>0</v>
      </c>
      <c r="J2821" s="225">
        <v>0</v>
      </c>
      <c r="K2821" s="225">
        <v>800.00000000001455</v>
      </c>
      <c r="L28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800</v>
      </c>
      <c r="M2821" s="225">
        <f>ROUND(IF(AND(Base_Periodo1[[#This Row],[Tipo_Linha]]="-",Base_Periodo1[[#This Row],[TIPOSALDO]]="D"),Base_Periodo1[[#This Row],[SALDO_ATUAL]]*-1,Base_Periodo1[[#This Row],[SALDO_ATUAL]]),4)</f>
        <v>800</v>
      </c>
      <c r="N2821" t="s">
        <v>116</v>
      </c>
      <c r="O2821" t="s">
        <v>459</v>
      </c>
      <c r="P2821" t="s">
        <v>459</v>
      </c>
      <c r="Q2821">
        <v>7</v>
      </c>
      <c r="R2821" s="225">
        <f>Base_Periodo1[[#This Row],[CREDITOS]]-Base_Periodo1[[#This Row],[DEBITOS]]</f>
        <v>0</v>
      </c>
      <c r="S2821" s="3" t="str">
        <f>IF(ISERROR(VLOOKUP(Base_Periodo1[[#This Row],[CONTA]],BaseContasDRE[#All],4,FALSE)),"Fora do DRE",VLOOKUP(Base_Periodo1[[#This Row],[CONTA]],BaseContasDRE[#All],4,FALSE))</f>
        <v>Fora do DRE</v>
      </c>
      <c r="T2821" s="3" t="str">
        <f>IF(ISERROR(VLOOKUP(Base_Periodo1[[#This Row],[CONTA]],BaseContasDRE[#All],5,FALSE)),"Fora do DRE",VLOOKUP(Base_Periodo1[[#This Row],[CONTA]],BaseContasDRE[#All],6,FALSE))</f>
        <v>Fora do DRE</v>
      </c>
      <c r="U2821" s="3" t="str">
        <f>IF(ISERROR(VLOOKUP(Base_Periodo1[[#This Row],[CONTA]],BaseContasDRE[#All],7,FALSE)),"Fora do DRE",VLOOKUP(Base_Periodo1[[#This Row],[CONTA]],BaseContasDRE[#All],7,FALSE))</f>
        <v>Fora do DRE</v>
      </c>
      <c r="V2821" s="3" t="str">
        <f>IF(Base_Periodo1[[#This Row],[Tipo_Linha]]="Fora do DRE","Fora do DRE","( "&amp;Base_Periodo1[[#This Row],[Tipo_Linha]]&amp;" ) "&amp;Base_Periodo1[[#This Row],[Filtro]])</f>
        <v>Fora do DRE</v>
      </c>
      <c r="W2821" s="3" t="str">
        <f>LEFT(Base_Periodo1[[#This Row],[CLASS]],3)</f>
        <v>2.1</v>
      </c>
    </row>
    <row r="2822" spans="1:23" hidden="1">
      <c r="A2822" s="3" t="str">
        <f t="shared" ref="A2822:A2885" si="44">"Período 1"</f>
        <v>Período 1</v>
      </c>
      <c r="B2822">
        <v>3218</v>
      </c>
      <c r="C2822" t="s">
        <v>1745</v>
      </c>
      <c r="D2822" t="s">
        <v>1822</v>
      </c>
      <c r="E2822" s="3" t="str">
        <f>IF(LEN(Base_Periodo1[[#This Row],[CLASS]])&gt;=7,LEFT(Base_Periodo1[[#This Row],[CLASS]],7),"")</f>
        <v>2.1.2.1</v>
      </c>
      <c r="F2822" s="3" t="str">
        <f>VLOOKUP(Base_Periodo1[[#This Row],[Aux]],Base_Contas_Balanco[#All],2,FALSE)</f>
        <v>Fornecedores Cooperados</v>
      </c>
      <c r="G2822" s="1">
        <v>42270</v>
      </c>
      <c r="H2822" s="225">
        <v>31.6200000000008</v>
      </c>
      <c r="I2822" s="225">
        <v>0</v>
      </c>
      <c r="J2822" s="225">
        <v>0</v>
      </c>
      <c r="K2822" s="225">
        <v>31.6200000000008</v>
      </c>
      <c r="L28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31.62</v>
      </c>
      <c r="M2822" s="225">
        <f>ROUND(IF(AND(Base_Periodo1[[#This Row],[Tipo_Linha]]="-",Base_Periodo1[[#This Row],[TIPOSALDO]]="D"),Base_Periodo1[[#This Row],[SALDO_ATUAL]]*-1,Base_Periodo1[[#This Row],[SALDO_ATUAL]]),4)</f>
        <v>31.62</v>
      </c>
      <c r="N2822" t="s">
        <v>116</v>
      </c>
      <c r="O2822" t="s">
        <v>459</v>
      </c>
      <c r="P2822" t="s">
        <v>459</v>
      </c>
      <c r="Q2822">
        <v>7</v>
      </c>
      <c r="R2822" s="225">
        <f>Base_Periodo1[[#This Row],[CREDITOS]]-Base_Periodo1[[#This Row],[DEBITOS]]</f>
        <v>0</v>
      </c>
      <c r="S2822" s="3" t="str">
        <f>IF(ISERROR(VLOOKUP(Base_Periodo1[[#This Row],[CONTA]],BaseContasDRE[#All],4,FALSE)),"Fora do DRE",VLOOKUP(Base_Periodo1[[#This Row],[CONTA]],BaseContasDRE[#All],4,FALSE))</f>
        <v>Fora do DRE</v>
      </c>
      <c r="T2822" s="3" t="str">
        <f>IF(ISERROR(VLOOKUP(Base_Periodo1[[#This Row],[CONTA]],BaseContasDRE[#All],5,FALSE)),"Fora do DRE",VLOOKUP(Base_Periodo1[[#This Row],[CONTA]],BaseContasDRE[#All],6,FALSE))</f>
        <v>Fora do DRE</v>
      </c>
      <c r="U2822" s="3" t="str">
        <f>IF(ISERROR(VLOOKUP(Base_Periodo1[[#This Row],[CONTA]],BaseContasDRE[#All],7,FALSE)),"Fora do DRE",VLOOKUP(Base_Periodo1[[#This Row],[CONTA]],BaseContasDRE[#All],7,FALSE))</f>
        <v>Fora do DRE</v>
      </c>
      <c r="V2822" s="3" t="str">
        <f>IF(Base_Periodo1[[#This Row],[Tipo_Linha]]="Fora do DRE","Fora do DRE","( "&amp;Base_Periodo1[[#This Row],[Tipo_Linha]]&amp;" ) "&amp;Base_Periodo1[[#This Row],[Filtro]])</f>
        <v>Fora do DRE</v>
      </c>
      <c r="W2822" s="3" t="str">
        <f>LEFT(Base_Periodo1[[#This Row],[CLASS]],3)</f>
        <v>2.1</v>
      </c>
    </row>
    <row r="2823" spans="1:23" hidden="1">
      <c r="A2823" s="3" t="str">
        <f t="shared" si="44"/>
        <v>Período 1</v>
      </c>
      <c r="B2823">
        <v>3242</v>
      </c>
      <c r="C2823" t="s">
        <v>1745</v>
      </c>
      <c r="D2823" t="s">
        <v>1823</v>
      </c>
      <c r="E2823" s="3" t="str">
        <f>IF(LEN(Base_Periodo1[[#This Row],[CLASS]])&gt;=7,LEFT(Base_Periodo1[[#This Row],[CLASS]],7),"")</f>
        <v>2.1.2.1</v>
      </c>
      <c r="F2823" s="3" t="str">
        <f>VLOOKUP(Base_Periodo1[[#This Row],[Aux]],Base_Contas_Balanco[#All],2,FALSE)</f>
        <v>Fornecedores Cooperados</v>
      </c>
      <c r="G2823" s="1">
        <v>42381</v>
      </c>
      <c r="H2823" s="225">
        <v>1357.9900000000489</v>
      </c>
      <c r="I2823" s="225">
        <v>0</v>
      </c>
      <c r="J2823" s="225">
        <v>0</v>
      </c>
      <c r="K2823" s="225">
        <v>1357.9900000000489</v>
      </c>
      <c r="L28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1357.99</v>
      </c>
      <c r="M2823" s="225">
        <f>ROUND(IF(AND(Base_Periodo1[[#This Row],[Tipo_Linha]]="-",Base_Periodo1[[#This Row],[TIPOSALDO]]="D"),Base_Periodo1[[#This Row],[SALDO_ATUAL]]*-1,Base_Periodo1[[#This Row],[SALDO_ATUAL]]),4)</f>
        <v>1357.99</v>
      </c>
      <c r="N2823" t="s">
        <v>116</v>
      </c>
      <c r="O2823" t="s">
        <v>459</v>
      </c>
      <c r="P2823" t="s">
        <v>459</v>
      </c>
      <c r="Q2823">
        <v>7</v>
      </c>
      <c r="R2823" s="225">
        <f>Base_Periodo1[[#This Row],[CREDITOS]]-Base_Periodo1[[#This Row],[DEBITOS]]</f>
        <v>0</v>
      </c>
      <c r="S2823" s="3" t="str">
        <f>IF(ISERROR(VLOOKUP(Base_Periodo1[[#This Row],[CONTA]],BaseContasDRE[#All],4,FALSE)),"Fora do DRE",VLOOKUP(Base_Periodo1[[#This Row],[CONTA]],BaseContasDRE[#All],4,FALSE))</f>
        <v>Fora do DRE</v>
      </c>
      <c r="T2823" s="3" t="str">
        <f>IF(ISERROR(VLOOKUP(Base_Periodo1[[#This Row],[CONTA]],BaseContasDRE[#All],5,FALSE)),"Fora do DRE",VLOOKUP(Base_Periodo1[[#This Row],[CONTA]],BaseContasDRE[#All],6,FALSE))</f>
        <v>Fora do DRE</v>
      </c>
      <c r="U2823" s="3" t="str">
        <f>IF(ISERROR(VLOOKUP(Base_Periodo1[[#This Row],[CONTA]],BaseContasDRE[#All],7,FALSE)),"Fora do DRE",VLOOKUP(Base_Periodo1[[#This Row],[CONTA]],BaseContasDRE[#All],7,FALSE))</f>
        <v>Fora do DRE</v>
      </c>
      <c r="V2823" s="3" t="str">
        <f>IF(Base_Periodo1[[#This Row],[Tipo_Linha]]="Fora do DRE","Fora do DRE","( "&amp;Base_Periodo1[[#This Row],[Tipo_Linha]]&amp;" ) "&amp;Base_Periodo1[[#This Row],[Filtro]])</f>
        <v>Fora do DRE</v>
      </c>
      <c r="W2823" s="3" t="str">
        <f>LEFT(Base_Periodo1[[#This Row],[CLASS]],3)</f>
        <v>2.1</v>
      </c>
    </row>
    <row r="2824" spans="1:23" hidden="1">
      <c r="A2824" s="3" t="str">
        <f t="shared" si="44"/>
        <v>Período 1</v>
      </c>
      <c r="B2824">
        <v>47223</v>
      </c>
      <c r="C2824" t="s">
        <v>1745</v>
      </c>
      <c r="D2824" t="s">
        <v>1824</v>
      </c>
      <c r="E2824" s="3" t="str">
        <f>IF(LEN(Base_Periodo1[[#This Row],[CLASS]])&gt;=7,LEFT(Base_Periodo1[[#This Row],[CLASS]],7),"")</f>
        <v>2.1.2.1</v>
      </c>
      <c r="F2824" s="3" t="str">
        <f>VLOOKUP(Base_Periodo1[[#This Row],[Aux]],Base_Contas_Balanco[#All],2,FALSE)</f>
        <v>Fornecedores Cooperados</v>
      </c>
      <c r="G2824" s="1">
        <v>42332</v>
      </c>
      <c r="H2824" s="225">
        <v>48.329999999999927</v>
      </c>
      <c r="I2824" s="225">
        <v>0</v>
      </c>
      <c r="J2824" s="225">
        <v>0</v>
      </c>
      <c r="K2824" s="225">
        <v>48.329999999999927</v>
      </c>
      <c r="L28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48.33</v>
      </c>
      <c r="M2824" s="225">
        <f>ROUND(IF(AND(Base_Periodo1[[#This Row],[Tipo_Linha]]="-",Base_Periodo1[[#This Row],[TIPOSALDO]]="D"),Base_Periodo1[[#This Row],[SALDO_ATUAL]]*-1,Base_Periodo1[[#This Row],[SALDO_ATUAL]]),4)</f>
        <v>48.33</v>
      </c>
      <c r="N2824" t="s">
        <v>116</v>
      </c>
      <c r="O2824" t="s">
        <v>459</v>
      </c>
      <c r="P2824" t="s">
        <v>459</v>
      </c>
      <c r="Q2824">
        <v>7</v>
      </c>
      <c r="R2824" s="225">
        <f>Base_Periodo1[[#This Row],[CREDITOS]]-Base_Periodo1[[#This Row],[DEBITOS]]</f>
        <v>0</v>
      </c>
      <c r="S2824" s="3" t="str">
        <f>IF(ISERROR(VLOOKUP(Base_Periodo1[[#This Row],[CONTA]],BaseContasDRE[#All],4,FALSE)),"Fora do DRE",VLOOKUP(Base_Periodo1[[#This Row],[CONTA]],BaseContasDRE[#All],4,FALSE))</f>
        <v>Fora do DRE</v>
      </c>
      <c r="T2824" s="3" t="str">
        <f>IF(ISERROR(VLOOKUP(Base_Periodo1[[#This Row],[CONTA]],BaseContasDRE[#All],5,FALSE)),"Fora do DRE",VLOOKUP(Base_Periodo1[[#This Row],[CONTA]],BaseContasDRE[#All],6,FALSE))</f>
        <v>Fora do DRE</v>
      </c>
      <c r="U2824" s="3" t="str">
        <f>IF(ISERROR(VLOOKUP(Base_Periodo1[[#This Row],[CONTA]],BaseContasDRE[#All],7,FALSE)),"Fora do DRE",VLOOKUP(Base_Periodo1[[#This Row],[CONTA]],BaseContasDRE[#All],7,FALSE))</f>
        <v>Fora do DRE</v>
      </c>
      <c r="V2824" s="3" t="str">
        <f>IF(Base_Periodo1[[#This Row],[Tipo_Linha]]="Fora do DRE","Fora do DRE","( "&amp;Base_Periodo1[[#This Row],[Tipo_Linha]]&amp;" ) "&amp;Base_Periodo1[[#This Row],[Filtro]])</f>
        <v>Fora do DRE</v>
      </c>
      <c r="W2824" s="3" t="str">
        <f>LEFT(Base_Periodo1[[#This Row],[CLASS]],3)</f>
        <v>2.1</v>
      </c>
    </row>
    <row r="2825" spans="1:23" hidden="1">
      <c r="A2825" s="3" t="str">
        <f t="shared" si="44"/>
        <v>Período 1</v>
      </c>
      <c r="B2825">
        <v>4266</v>
      </c>
      <c r="C2825" t="s">
        <v>1745</v>
      </c>
      <c r="D2825" t="s">
        <v>1825</v>
      </c>
      <c r="E2825" s="3" t="str">
        <f>IF(LEN(Base_Periodo1[[#This Row],[CLASS]])&gt;=7,LEFT(Base_Periodo1[[#This Row],[CLASS]],7),"")</f>
        <v>2.1.2.1</v>
      </c>
      <c r="F2825" s="3" t="str">
        <f>VLOOKUP(Base_Periodo1[[#This Row],[Aux]],Base_Contas_Balanco[#All],2,FALSE)</f>
        <v>Fornecedores Cooperados</v>
      </c>
      <c r="G2825" s="1">
        <v>40603</v>
      </c>
      <c r="H2825" s="225">
        <v>2183.0499999999997</v>
      </c>
      <c r="I2825" s="225">
        <v>0</v>
      </c>
      <c r="J2825" s="225">
        <v>0</v>
      </c>
      <c r="K2825" s="225">
        <v>2183.0499999999997</v>
      </c>
      <c r="L28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2183.0500000000002</v>
      </c>
      <c r="M2825" s="225">
        <f>ROUND(IF(AND(Base_Periodo1[[#This Row],[Tipo_Linha]]="-",Base_Periodo1[[#This Row],[TIPOSALDO]]="D"),Base_Periodo1[[#This Row],[SALDO_ATUAL]]*-1,Base_Periodo1[[#This Row],[SALDO_ATUAL]]),4)</f>
        <v>2183.0500000000002</v>
      </c>
      <c r="N2825" t="s">
        <v>116</v>
      </c>
      <c r="O2825" t="s">
        <v>459</v>
      </c>
      <c r="P2825" t="s">
        <v>459</v>
      </c>
      <c r="Q2825">
        <v>7</v>
      </c>
      <c r="R2825" s="225">
        <f>Base_Periodo1[[#This Row],[CREDITOS]]-Base_Periodo1[[#This Row],[DEBITOS]]</f>
        <v>0</v>
      </c>
      <c r="S2825" s="3" t="str">
        <f>IF(ISERROR(VLOOKUP(Base_Periodo1[[#This Row],[CONTA]],BaseContasDRE[#All],4,FALSE)),"Fora do DRE",VLOOKUP(Base_Periodo1[[#This Row],[CONTA]],BaseContasDRE[#All],4,FALSE))</f>
        <v>Fora do DRE</v>
      </c>
      <c r="T2825" s="3" t="str">
        <f>IF(ISERROR(VLOOKUP(Base_Periodo1[[#This Row],[CONTA]],BaseContasDRE[#All],5,FALSE)),"Fora do DRE",VLOOKUP(Base_Periodo1[[#This Row],[CONTA]],BaseContasDRE[#All],6,FALSE))</f>
        <v>Fora do DRE</v>
      </c>
      <c r="U2825" s="3" t="str">
        <f>IF(ISERROR(VLOOKUP(Base_Periodo1[[#This Row],[CONTA]],BaseContasDRE[#All],7,FALSE)),"Fora do DRE",VLOOKUP(Base_Periodo1[[#This Row],[CONTA]],BaseContasDRE[#All],7,FALSE))</f>
        <v>Fora do DRE</v>
      </c>
      <c r="V2825" s="3" t="str">
        <f>IF(Base_Periodo1[[#This Row],[Tipo_Linha]]="Fora do DRE","Fora do DRE","( "&amp;Base_Periodo1[[#This Row],[Tipo_Linha]]&amp;" ) "&amp;Base_Periodo1[[#This Row],[Filtro]])</f>
        <v>Fora do DRE</v>
      </c>
      <c r="W2825" s="3" t="str">
        <f>LEFT(Base_Periodo1[[#This Row],[CLASS]],3)</f>
        <v>2.1</v>
      </c>
    </row>
    <row r="2826" spans="1:23" hidden="1">
      <c r="A2826" s="3" t="str">
        <f t="shared" si="44"/>
        <v>Período 1</v>
      </c>
      <c r="B2826">
        <v>18201</v>
      </c>
      <c r="C2826" t="s">
        <v>1745</v>
      </c>
      <c r="D2826" t="s">
        <v>1826</v>
      </c>
      <c r="E2826" s="3" t="str">
        <f>IF(LEN(Base_Periodo1[[#This Row],[CLASS]])&gt;=7,LEFT(Base_Periodo1[[#This Row],[CLASS]],7),"")</f>
        <v>2.1.2.1</v>
      </c>
      <c r="F2826" s="3" t="str">
        <f>VLOOKUP(Base_Periodo1[[#This Row],[Aux]],Base_Contas_Balanco[#All],2,FALSE)</f>
        <v>Fornecedores Cooperados</v>
      </c>
      <c r="G2826" s="1">
        <v>42881</v>
      </c>
      <c r="H2826" s="225">
        <v>19560.260000000009</v>
      </c>
      <c r="I2826" s="225">
        <v>2041.52</v>
      </c>
      <c r="J2826" s="225">
        <v>9880.9</v>
      </c>
      <c r="K2826" s="225">
        <v>27399.640000000007</v>
      </c>
      <c r="L28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27399.64</v>
      </c>
      <c r="M2826" s="225">
        <f>ROUND(IF(AND(Base_Periodo1[[#This Row],[Tipo_Linha]]="-",Base_Periodo1[[#This Row],[TIPOSALDO]]="D"),Base_Periodo1[[#This Row],[SALDO_ATUAL]]*-1,Base_Periodo1[[#This Row],[SALDO_ATUAL]]),4)</f>
        <v>27399.64</v>
      </c>
      <c r="N2826" t="s">
        <v>116</v>
      </c>
      <c r="O2826" t="s">
        <v>459</v>
      </c>
      <c r="P2826" t="s">
        <v>459</v>
      </c>
      <c r="Q2826">
        <v>7</v>
      </c>
      <c r="R2826" s="225">
        <f>Base_Periodo1[[#This Row],[CREDITOS]]-Base_Periodo1[[#This Row],[DEBITOS]]</f>
        <v>7839.3799999999992</v>
      </c>
      <c r="S2826" s="3" t="str">
        <f>IF(ISERROR(VLOOKUP(Base_Periodo1[[#This Row],[CONTA]],BaseContasDRE[#All],4,FALSE)),"Fora do DRE",VLOOKUP(Base_Periodo1[[#This Row],[CONTA]],BaseContasDRE[#All],4,FALSE))</f>
        <v>Fora do DRE</v>
      </c>
      <c r="T2826" s="3" t="str">
        <f>IF(ISERROR(VLOOKUP(Base_Periodo1[[#This Row],[CONTA]],BaseContasDRE[#All],5,FALSE)),"Fora do DRE",VLOOKUP(Base_Periodo1[[#This Row],[CONTA]],BaseContasDRE[#All],6,FALSE))</f>
        <v>Fora do DRE</v>
      </c>
      <c r="U2826" s="3" t="str">
        <f>IF(ISERROR(VLOOKUP(Base_Periodo1[[#This Row],[CONTA]],BaseContasDRE[#All],7,FALSE)),"Fora do DRE",VLOOKUP(Base_Periodo1[[#This Row],[CONTA]],BaseContasDRE[#All],7,FALSE))</f>
        <v>Fora do DRE</v>
      </c>
      <c r="V2826" s="3" t="str">
        <f>IF(Base_Periodo1[[#This Row],[Tipo_Linha]]="Fora do DRE","Fora do DRE","( "&amp;Base_Periodo1[[#This Row],[Tipo_Linha]]&amp;" ) "&amp;Base_Periodo1[[#This Row],[Filtro]])</f>
        <v>Fora do DRE</v>
      </c>
      <c r="W2826" s="3" t="str">
        <f>LEFT(Base_Periodo1[[#This Row],[CLASS]],3)</f>
        <v>2.1</v>
      </c>
    </row>
    <row r="2827" spans="1:23" hidden="1">
      <c r="A2827" s="3" t="str">
        <f t="shared" si="44"/>
        <v>Período 1</v>
      </c>
      <c r="B2827">
        <v>4230</v>
      </c>
      <c r="C2827" t="s">
        <v>1745</v>
      </c>
      <c r="D2827" t="s">
        <v>1827</v>
      </c>
      <c r="E2827" s="3" t="str">
        <f>IF(LEN(Base_Periodo1[[#This Row],[CLASS]])&gt;=7,LEFT(Base_Periodo1[[#This Row],[CLASS]],7),"")</f>
        <v>2.1.2.1</v>
      </c>
      <c r="F2827" s="3" t="str">
        <f>VLOOKUP(Base_Periodo1[[#This Row],[Aux]],Base_Contas_Balanco[#All],2,FALSE)</f>
        <v>Fornecedores Cooperados</v>
      </c>
      <c r="G2827" s="1">
        <v>41946</v>
      </c>
      <c r="H2827" s="225">
        <v>218.66999999999825</v>
      </c>
      <c r="I2827" s="225">
        <v>0</v>
      </c>
      <c r="J2827" s="225">
        <v>0</v>
      </c>
      <c r="K2827" s="225">
        <v>218.66999999999825</v>
      </c>
      <c r="L28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218.67</v>
      </c>
      <c r="M2827" s="225">
        <f>ROUND(IF(AND(Base_Periodo1[[#This Row],[Tipo_Linha]]="-",Base_Periodo1[[#This Row],[TIPOSALDO]]="D"),Base_Periodo1[[#This Row],[SALDO_ATUAL]]*-1,Base_Periodo1[[#This Row],[SALDO_ATUAL]]),4)</f>
        <v>218.67</v>
      </c>
      <c r="N2827" t="s">
        <v>116</v>
      </c>
      <c r="O2827" t="s">
        <v>459</v>
      </c>
      <c r="P2827" t="s">
        <v>459</v>
      </c>
      <c r="Q2827">
        <v>7</v>
      </c>
      <c r="R2827" s="225">
        <f>Base_Periodo1[[#This Row],[CREDITOS]]-Base_Periodo1[[#This Row],[DEBITOS]]</f>
        <v>0</v>
      </c>
      <c r="S2827" s="3" t="str">
        <f>IF(ISERROR(VLOOKUP(Base_Periodo1[[#This Row],[CONTA]],BaseContasDRE[#All],4,FALSE)),"Fora do DRE",VLOOKUP(Base_Periodo1[[#This Row],[CONTA]],BaseContasDRE[#All],4,FALSE))</f>
        <v>Fora do DRE</v>
      </c>
      <c r="T2827" s="3" t="str">
        <f>IF(ISERROR(VLOOKUP(Base_Periodo1[[#This Row],[CONTA]],BaseContasDRE[#All],5,FALSE)),"Fora do DRE",VLOOKUP(Base_Periodo1[[#This Row],[CONTA]],BaseContasDRE[#All],6,FALSE))</f>
        <v>Fora do DRE</v>
      </c>
      <c r="U2827" s="3" t="str">
        <f>IF(ISERROR(VLOOKUP(Base_Periodo1[[#This Row],[CONTA]],BaseContasDRE[#All],7,FALSE)),"Fora do DRE",VLOOKUP(Base_Periodo1[[#This Row],[CONTA]],BaseContasDRE[#All],7,FALSE))</f>
        <v>Fora do DRE</v>
      </c>
      <c r="V2827" s="3" t="str">
        <f>IF(Base_Periodo1[[#This Row],[Tipo_Linha]]="Fora do DRE","Fora do DRE","( "&amp;Base_Periodo1[[#This Row],[Tipo_Linha]]&amp;" ) "&amp;Base_Periodo1[[#This Row],[Filtro]])</f>
        <v>Fora do DRE</v>
      </c>
      <c r="W2827" s="3" t="str">
        <f>LEFT(Base_Periodo1[[#This Row],[CLASS]],3)</f>
        <v>2.1</v>
      </c>
    </row>
    <row r="2828" spans="1:23" hidden="1">
      <c r="A2828" s="3" t="str">
        <f t="shared" si="44"/>
        <v>Período 1</v>
      </c>
      <c r="B2828">
        <v>2754</v>
      </c>
      <c r="C2828" t="s">
        <v>1745</v>
      </c>
      <c r="D2828" t="s">
        <v>4850</v>
      </c>
      <c r="E2828" s="3" t="str">
        <f>IF(LEN(Base_Periodo1[[#This Row],[CLASS]])&gt;=7,LEFT(Base_Periodo1[[#This Row],[CLASS]],7),"")</f>
        <v>2.1.2.1</v>
      </c>
      <c r="F2828" s="3" t="str">
        <f>VLOOKUP(Base_Periodo1[[#This Row],[Aux]],Base_Contas_Balanco[#All],2,FALSE)</f>
        <v>Fornecedores Cooperados</v>
      </c>
      <c r="G2828" s="1">
        <v>42724</v>
      </c>
      <c r="H2828" s="225">
        <v>1.0000000009313226E-2</v>
      </c>
      <c r="I2828" s="225">
        <v>0</v>
      </c>
      <c r="J2828" s="225">
        <v>0</v>
      </c>
      <c r="K2828" s="225">
        <v>1.0000000009313226E-2</v>
      </c>
      <c r="L28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2828" s="225">
        <f>ROUND(IF(AND(Base_Periodo1[[#This Row],[Tipo_Linha]]="-",Base_Periodo1[[#This Row],[TIPOSALDO]]="D"),Base_Periodo1[[#This Row],[SALDO_ATUAL]]*-1,Base_Periodo1[[#This Row],[SALDO_ATUAL]]),4)</f>
        <v>0.01</v>
      </c>
      <c r="N2828" t="s">
        <v>116</v>
      </c>
      <c r="O2828" t="s">
        <v>459</v>
      </c>
      <c r="P2828" t="s">
        <v>459</v>
      </c>
      <c r="Q2828">
        <v>7</v>
      </c>
      <c r="R2828" s="225">
        <f>Base_Periodo1[[#This Row],[CREDITOS]]-Base_Periodo1[[#This Row],[DEBITOS]]</f>
        <v>0</v>
      </c>
      <c r="S2828" s="3" t="str">
        <f>IF(ISERROR(VLOOKUP(Base_Periodo1[[#This Row],[CONTA]],BaseContasDRE[#All],4,FALSE)),"Fora do DRE",VLOOKUP(Base_Periodo1[[#This Row],[CONTA]],BaseContasDRE[#All],4,FALSE))</f>
        <v>Fora do DRE</v>
      </c>
      <c r="T2828" s="3" t="str">
        <f>IF(ISERROR(VLOOKUP(Base_Periodo1[[#This Row],[CONTA]],BaseContasDRE[#All],5,FALSE)),"Fora do DRE",VLOOKUP(Base_Periodo1[[#This Row],[CONTA]],BaseContasDRE[#All],6,FALSE))</f>
        <v>Fora do DRE</v>
      </c>
      <c r="U2828" s="3" t="str">
        <f>IF(ISERROR(VLOOKUP(Base_Periodo1[[#This Row],[CONTA]],BaseContasDRE[#All],7,FALSE)),"Fora do DRE",VLOOKUP(Base_Periodo1[[#This Row],[CONTA]],BaseContasDRE[#All],7,FALSE))</f>
        <v>Fora do DRE</v>
      </c>
      <c r="V2828" s="3" t="str">
        <f>IF(Base_Periodo1[[#This Row],[Tipo_Linha]]="Fora do DRE","Fora do DRE","( "&amp;Base_Periodo1[[#This Row],[Tipo_Linha]]&amp;" ) "&amp;Base_Periodo1[[#This Row],[Filtro]])</f>
        <v>Fora do DRE</v>
      </c>
      <c r="W2828" s="3" t="str">
        <f>LEFT(Base_Periodo1[[#This Row],[CLASS]],3)</f>
        <v>2.1</v>
      </c>
    </row>
    <row r="2829" spans="1:23" hidden="1">
      <c r="A2829" s="3" t="str">
        <f t="shared" si="44"/>
        <v>Período 1</v>
      </c>
      <c r="B2829">
        <v>2550</v>
      </c>
      <c r="C2829" t="s">
        <v>1745</v>
      </c>
      <c r="D2829" t="s">
        <v>4450</v>
      </c>
      <c r="E2829" s="3" t="str">
        <f>IF(LEN(Base_Periodo1[[#This Row],[CLASS]])&gt;=7,LEFT(Base_Periodo1[[#This Row],[CLASS]],7),"")</f>
        <v>2.1.2.1</v>
      </c>
      <c r="F2829" s="3" t="str">
        <f>VLOOKUP(Base_Periodo1[[#This Row],[Aux]],Base_Contas_Balanco[#All],2,FALSE)</f>
        <v>Fornecedores Cooperados</v>
      </c>
      <c r="G2829" s="1">
        <v>42864</v>
      </c>
      <c r="H2829" s="225">
        <v>19385.150000000023</v>
      </c>
      <c r="I2829" s="225">
        <v>9321.82</v>
      </c>
      <c r="J2829" s="225">
        <v>1026.95</v>
      </c>
      <c r="K2829" s="225">
        <v>11090.280000000024</v>
      </c>
      <c r="L28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11090.28</v>
      </c>
      <c r="M2829" s="225">
        <f>ROUND(IF(AND(Base_Periodo1[[#This Row],[Tipo_Linha]]="-",Base_Periodo1[[#This Row],[TIPOSALDO]]="D"),Base_Periodo1[[#This Row],[SALDO_ATUAL]]*-1,Base_Periodo1[[#This Row],[SALDO_ATUAL]]),4)</f>
        <v>11090.28</v>
      </c>
      <c r="N2829" t="s">
        <v>116</v>
      </c>
      <c r="O2829" t="s">
        <v>459</v>
      </c>
      <c r="P2829" t="s">
        <v>459</v>
      </c>
      <c r="Q2829">
        <v>7</v>
      </c>
      <c r="R2829" s="225">
        <f>Base_Periodo1[[#This Row],[CREDITOS]]-Base_Periodo1[[#This Row],[DEBITOS]]</f>
        <v>-8294.869999999999</v>
      </c>
      <c r="S2829" s="3" t="str">
        <f>IF(ISERROR(VLOOKUP(Base_Periodo1[[#This Row],[CONTA]],BaseContasDRE[#All],4,FALSE)),"Fora do DRE",VLOOKUP(Base_Periodo1[[#This Row],[CONTA]],BaseContasDRE[#All],4,FALSE))</f>
        <v>Fora do DRE</v>
      </c>
      <c r="T2829" s="3" t="str">
        <f>IF(ISERROR(VLOOKUP(Base_Periodo1[[#This Row],[CONTA]],BaseContasDRE[#All],5,FALSE)),"Fora do DRE",VLOOKUP(Base_Periodo1[[#This Row],[CONTA]],BaseContasDRE[#All],6,FALSE))</f>
        <v>Fora do DRE</v>
      </c>
      <c r="U2829" s="3" t="str">
        <f>IF(ISERROR(VLOOKUP(Base_Periodo1[[#This Row],[CONTA]],BaseContasDRE[#All],7,FALSE)),"Fora do DRE",VLOOKUP(Base_Periodo1[[#This Row],[CONTA]],BaseContasDRE[#All],7,FALSE))</f>
        <v>Fora do DRE</v>
      </c>
      <c r="V2829" s="3" t="str">
        <f>IF(Base_Periodo1[[#This Row],[Tipo_Linha]]="Fora do DRE","Fora do DRE","( "&amp;Base_Periodo1[[#This Row],[Tipo_Linha]]&amp;" ) "&amp;Base_Periodo1[[#This Row],[Filtro]])</f>
        <v>Fora do DRE</v>
      </c>
      <c r="W2829" s="3" t="str">
        <f>LEFT(Base_Periodo1[[#This Row],[CLASS]],3)</f>
        <v>2.1</v>
      </c>
    </row>
    <row r="2830" spans="1:23" hidden="1">
      <c r="A2830" s="3" t="str">
        <f t="shared" si="44"/>
        <v>Período 1</v>
      </c>
      <c r="B2830">
        <v>11712</v>
      </c>
      <c r="C2830" t="s">
        <v>1745</v>
      </c>
      <c r="D2830" t="s">
        <v>4362</v>
      </c>
      <c r="E2830" s="3" t="str">
        <f>IF(LEN(Base_Periodo1[[#This Row],[CLASS]])&gt;=7,LEFT(Base_Periodo1[[#This Row],[CLASS]],7),"")</f>
        <v>2.1.2.1</v>
      </c>
      <c r="F2830" s="3" t="str">
        <f>VLOOKUP(Base_Periodo1[[#This Row],[Aux]],Base_Contas_Balanco[#All],2,FALSE)</f>
        <v>Fornecedores Cooperados</v>
      </c>
      <c r="G2830" s="1">
        <v>42835</v>
      </c>
      <c r="H2830" s="225">
        <v>1318</v>
      </c>
      <c r="I2830" s="225">
        <v>0</v>
      </c>
      <c r="J2830" s="225">
        <v>0</v>
      </c>
      <c r="K2830" s="225">
        <v>1318</v>
      </c>
      <c r="L28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1318</v>
      </c>
      <c r="M2830" s="225">
        <f>ROUND(IF(AND(Base_Periodo1[[#This Row],[Tipo_Linha]]="-",Base_Periodo1[[#This Row],[TIPOSALDO]]="D"),Base_Periodo1[[#This Row],[SALDO_ATUAL]]*-1,Base_Periodo1[[#This Row],[SALDO_ATUAL]]),4)</f>
        <v>1318</v>
      </c>
      <c r="N2830" t="s">
        <v>116</v>
      </c>
      <c r="O2830" t="s">
        <v>459</v>
      </c>
      <c r="P2830" t="s">
        <v>459</v>
      </c>
      <c r="Q2830">
        <v>7</v>
      </c>
      <c r="R2830" s="225">
        <f>Base_Periodo1[[#This Row],[CREDITOS]]-Base_Periodo1[[#This Row],[DEBITOS]]</f>
        <v>0</v>
      </c>
      <c r="S2830" s="3" t="str">
        <f>IF(ISERROR(VLOOKUP(Base_Periodo1[[#This Row],[CONTA]],BaseContasDRE[#All],4,FALSE)),"Fora do DRE",VLOOKUP(Base_Periodo1[[#This Row],[CONTA]],BaseContasDRE[#All],4,FALSE))</f>
        <v>Fora do DRE</v>
      </c>
      <c r="T2830" s="3" t="str">
        <f>IF(ISERROR(VLOOKUP(Base_Periodo1[[#This Row],[CONTA]],BaseContasDRE[#All],5,FALSE)),"Fora do DRE",VLOOKUP(Base_Periodo1[[#This Row],[CONTA]],BaseContasDRE[#All],6,FALSE))</f>
        <v>Fora do DRE</v>
      </c>
      <c r="U2830" s="3" t="str">
        <f>IF(ISERROR(VLOOKUP(Base_Periodo1[[#This Row],[CONTA]],BaseContasDRE[#All],7,FALSE)),"Fora do DRE",VLOOKUP(Base_Periodo1[[#This Row],[CONTA]],BaseContasDRE[#All],7,FALSE))</f>
        <v>Fora do DRE</v>
      </c>
      <c r="V2830" s="3" t="str">
        <f>IF(Base_Periodo1[[#This Row],[Tipo_Linha]]="Fora do DRE","Fora do DRE","( "&amp;Base_Periodo1[[#This Row],[Tipo_Linha]]&amp;" ) "&amp;Base_Periodo1[[#This Row],[Filtro]])</f>
        <v>Fora do DRE</v>
      </c>
      <c r="W2830" s="3" t="str">
        <f>LEFT(Base_Periodo1[[#This Row],[CLASS]],3)</f>
        <v>2.1</v>
      </c>
    </row>
    <row r="2831" spans="1:23" hidden="1">
      <c r="A2831" s="3" t="str">
        <f t="shared" si="44"/>
        <v>Período 1</v>
      </c>
      <c r="B2831">
        <v>13826</v>
      </c>
      <c r="C2831" t="s">
        <v>1745</v>
      </c>
      <c r="D2831" t="s">
        <v>1828</v>
      </c>
      <c r="E2831" s="3" t="str">
        <f>IF(LEN(Base_Periodo1[[#This Row],[CLASS]])&gt;=7,LEFT(Base_Periodo1[[#This Row],[CLASS]],7),"")</f>
        <v>2.1.2.1</v>
      </c>
      <c r="F2831" s="3" t="str">
        <f>VLOOKUP(Base_Periodo1[[#This Row],[Aux]],Base_Contas_Balanco[#All],2,FALSE)</f>
        <v>Fornecedores Cooperados</v>
      </c>
      <c r="G2831" s="1">
        <v>42818</v>
      </c>
      <c r="H2831" s="225">
        <v>18349.00999999998</v>
      </c>
      <c r="I2831" s="225">
        <v>0</v>
      </c>
      <c r="J2831" s="225">
        <v>0</v>
      </c>
      <c r="K2831" s="225">
        <v>18349.00999999998</v>
      </c>
      <c r="L28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18349.009999999998</v>
      </c>
      <c r="M2831" s="225">
        <f>ROUND(IF(AND(Base_Periodo1[[#This Row],[Tipo_Linha]]="-",Base_Periodo1[[#This Row],[TIPOSALDO]]="D"),Base_Periodo1[[#This Row],[SALDO_ATUAL]]*-1,Base_Periodo1[[#This Row],[SALDO_ATUAL]]),4)</f>
        <v>18349.009999999998</v>
      </c>
      <c r="N2831" t="s">
        <v>116</v>
      </c>
      <c r="O2831" t="s">
        <v>459</v>
      </c>
      <c r="P2831" t="s">
        <v>459</v>
      </c>
      <c r="Q2831">
        <v>7</v>
      </c>
      <c r="R2831" s="225">
        <f>Base_Periodo1[[#This Row],[CREDITOS]]-Base_Periodo1[[#This Row],[DEBITOS]]</f>
        <v>0</v>
      </c>
      <c r="S2831" s="3" t="str">
        <f>IF(ISERROR(VLOOKUP(Base_Periodo1[[#This Row],[CONTA]],BaseContasDRE[#All],4,FALSE)),"Fora do DRE",VLOOKUP(Base_Periodo1[[#This Row],[CONTA]],BaseContasDRE[#All],4,FALSE))</f>
        <v>Fora do DRE</v>
      </c>
      <c r="T2831" s="3" t="str">
        <f>IF(ISERROR(VLOOKUP(Base_Periodo1[[#This Row],[CONTA]],BaseContasDRE[#All],5,FALSE)),"Fora do DRE",VLOOKUP(Base_Periodo1[[#This Row],[CONTA]],BaseContasDRE[#All],6,FALSE))</f>
        <v>Fora do DRE</v>
      </c>
      <c r="U2831" s="3" t="str">
        <f>IF(ISERROR(VLOOKUP(Base_Periodo1[[#This Row],[CONTA]],BaseContasDRE[#All],7,FALSE)),"Fora do DRE",VLOOKUP(Base_Periodo1[[#This Row],[CONTA]],BaseContasDRE[#All],7,FALSE))</f>
        <v>Fora do DRE</v>
      </c>
      <c r="V2831" s="3" t="str">
        <f>IF(Base_Periodo1[[#This Row],[Tipo_Linha]]="Fora do DRE","Fora do DRE","( "&amp;Base_Periodo1[[#This Row],[Tipo_Linha]]&amp;" ) "&amp;Base_Periodo1[[#This Row],[Filtro]])</f>
        <v>Fora do DRE</v>
      </c>
      <c r="W2831" s="3" t="str">
        <f>LEFT(Base_Periodo1[[#This Row],[CLASS]],3)</f>
        <v>2.1</v>
      </c>
    </row>
    <row r="2832" spans="1:23" hidden="1">
      <c r="A2832" s="3" t="str">
        <f t="shared" si="44"/>
        <v>Período 1</v>
      </c>
      <c r="B2832">
        <v>37271</v>
      </c>
      <c r="C2832" t="s">
        <v>1745</v>
      </c>
      <c r="D2832" t="s">
        <v>5952</v>
      </c>
      <c r="E2832" s="3" t="str">
        <f>IF(LEN(Base_Periodo1[[#This Row],[CLASS]])&gt;=7,LEFT(Base_Periodo1[[#This Row],[CLASS]],7),"")</f>
        <v>2.1.2.1</v>
      </c>
      <c r="F2832" s="3" t="str">
        <f>VLOOKUP(Base_Periodo1[[#This Row],[Aux]],Base_Contas_Balanco[#All],2,FALSE)</f>
        <v>Fornecedores Cooperados</v>
      </c>
      <c r="G2832" s="1">
        <v>42790</v>
      </c>
      <c r="H2832" s="225">
        <v>4735.8899999999994</v>
      </c>
      <c r="I2832" s="225">
        <v>0</v>
      </c>
      <c r="J2832" s="225">
        <v>0</v>
      </c>
      <c r="K2832" s="225">
        <v>4735.8899999999994</v>
      </c>
      <c r="L28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4735.8900000000003</v>
      </c>
      <c r="M2832" s="225">
        <f>ROUND(IF(AND(Base_Periodo1[[#This Row],[Tipo_Linha]]="-",Base_Periodo1[[#This Row],[TIPOSALDO]]="D"),Base_Periodo1[[#This Row],[SALDO_ATUAL]]*-1,Base_Periodo1[[#This Row],[SALDO_ATUAL]]),4)</f>
        <v>4735.8900000000003</v>
      </c>
      <c r="N2832" t="s">
        <v>116</v>
      </c>
      <c r="O2832" t="s">
        <v>459</v>
      </c>
      <c r="P2832" t="s">
        <v>459</v>
      </c>
      <c r="Q2832">
        <v>7</v>
      </c>
      <c r="R2832" s="225">
        <f>Base_Periodo1[[#This Row],[CREDITOS]]-Base_Periodo1[[#This Row],[DEBITOS]]</f>
        <v>0</v>
      </c>
      <c r="S2832" s="3" t="str">
        <f>IF(ISERROR(VLOOKUP(Base_Periodo1[[#This Row],[CONTA]],BaseContasDRE[#All],4,FALSE)),"Fora do DRE",VLOOKUP(Base_Periodo1[[#This Row],[CONTA]],BaseContasDRE[#All],4,FALSE))</f>
        <v>Fora do DRE</v>
      </c>
      <c r="T2832" s="3" t="str">
        <f>IF(ISERROR(VLOOKUP(Base_Periodo1[[#This Row],[CONTA]],BaseContasDRE[#All],5,FALSE)),"Fora do DRE",VLOOKUP(Base_Periodo1[[#This Row],[CONTA]],BaseContasDRE[#All],6,FALSE))</f>
        <v>Fora do DRE</v>
      </c>
      <c r="U2832" s="3" t="str">
        <f>IF(ISERROR(VLOOKUP(Base_Periodo1[[#This Row],[CONTA]],BaseContasDRE[#All],7,FALSE)),"Fora do DRE",VLOOKUP(Base_Periodo1[[#This Row],[CONTA]],BaseContasDRE[#All],7,FALSE))</f>
        <v>Fora do DRE</v>
      </c>
      <c r="V2832" s="3" t="str">
        <f>IF(Base_Periodo1[[#This Row],[Tipo_Linha]]="Fora do DRE","Fora do DRE","( "&amp;Base_Periodo1[[#This Row],[Tipo_Linha]]&amp;" ) "&amp;Base_Periodo1[[#This Row],[Filtro]])</f>
        <v>Fora do DRE</v>
      </c>
      <c r="W2832" s="3" t="str">
        <f>LEFT(Base_Periodo1[[#This Row],[CLASS]],3)</f>
        <v>2.1</v>
      </c>
    </row>
    <row r="2833" spans="1:23" hidden="1">
      <c r="A2833" s="3" t="str">
        <f t="shared" si="44"/>
        <v>Período 1</v>
      </c>
      <c r="B2833">
        <v>18884</v>
      </c>
      <c r="C2833" t="s">
        <v>1745</v>
      </c>
      <c r="D2833" t="s">
        <v>5518</v>
      </c>
      <c r="E2833" s="3" t="str">
        <f>IF(LEN(Base_Periodo1[[#This Row],[CLASS]])&gt;=7,LEFT(Base_Periodo1[[#This Row],[CLASS]],7),"")</f>
        <v>2.1.2.1</v>
      </c>
      <c r="F2833" s="3" t="str">
        <f>VLOOKUP(Base_Periodo1[[#This Row],[Aux]],Base_Contas_Balanco[#All],2,FALSE)</f>
        <v>Fornecedores Cooperados</v>
      </c>
      <c r="G2833" s="1">
        <v>42709</v>
      </c>
      <c r="H2833" s="225">
        <v>4340</v>
      </c>
      <c r="I2833" s="225">
        <v>0</v>
      </c>
      <c r="J2833" s="225">
        <v>0</v>
      </c>
      <c r="K2833" s="225">
        <v>4340</v>
      </c>
      <c r="L28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4340</v>
      </c>
      <c r="M2833" s="225">
        <f>ROUND(IF(AND(Base_Periodo1[[#This Row],[Tipo_Linha]]="-",Base_Periodo1[[#This Row],[TIPOSALDO]]="D"),Base_Periodo1[[#This Row],[SALDO_ATUAL]]*-1,Base_Periodo1[[#This Row],[SALDO_ATUAL]]),4)</f>
        <v>4340</v>
      </c>
      <c r="N2833" t="s">
        <v>116</v>
      </c>
      <c r="O2833" t="s">
        <v>459</v>
      </c>
      <c r="P2833" t="s">
        <v>459</v>
      </c>
      <c r="Q2833">
        <v>7</v>
      </c>
      <c r="R2833" s="225">
        <f>Base_Periodo1[[#This Row],[CREDITOS]]-Base_Periodo1[[#This Row],[DEBITOS]]</f>
        <v>0</v>
      </c>
      <c r="S2833" s="3" t="str">
        <f>IF(ISERROR(VLOOKUP(Base_Periodo1[[#This Row],[CONTA]],BaseContasDRE[#All],4,FALSE)),"Fora do DRE",VLOOKUP(Base_Periodo1[[#This Row],[CONTA]],BaseContasDRE[#All],4,FALSE))</f>
        <v>Fora do DRE</v>
      </c>
      <c r="T2833" s="3" t="str">
        <f>IF(ISERROR(VLOOKUP(Base_Periodo1[[#This Row],[CONTA]],BaseContasDRE[#All],5,FALSE)),"Fora do DRE",VLOOKUP(Base_Periodo1[[#This Row],[CONTA]],BaseContasDRE[#All],6,FALSE))</f>
        <v>Fora do DRE</v>
      </c>
      <c r="U2833" s="3" t="str">
        <f>IF(ISERROR(VLOOKUP(Base_Periodo1[[#This Row],[CONTA]],BaseContasDRE[#All],7,FALSE)),"Fora do DRE",VLOOKUP(Base_Periodo1[[#This Row],[CONTA]],BaseContasDRE[#All],7,FALSE))</f>
        <v>Fora do DRE</v>
      </c>
      <c r="V2833" s="3" t="str">
        <f>IF(Base_Periodo1[[#This Row],[Tipo_Linha]]="Fora do DRE","Fora do DRE","( "&amp;Base_Periodo1[[#This Row],[Tipo_Linha]]&amp;" ) "&amp;Base_Periodo1[[#This Row],[Filtro]])</f>
        <v>Fora do DRE</v>
      </c>
      <c r="W2833" s="3" t="str">
        <f>LEFT(Base_Periodo1[[#This Row],[CLASS]],3)</f>
        <v>2.1</v>
      </c>
    </row>
    <row r="2834" spans="1:23" hidden="1">
      <c r="A2834" s="3" t="str">
        <f t="shared" si="44"/>
        <v>Período 1</v>
      </c>
      <c r="B2834">
        <v>38930</v>
      </c>
      <c r="C2834" t="s">
        <v>1745</v>
      </c>
      <c r="D2834" t="s">
        <v>4851</v>
      </c>
      <c r="E2834" s="3" t="str">
        <f>IF(LEN(Base_Periodo1[[#This Row],[CLASS]])&gt;=7,LEFT(Base_Periodo1[[#This Row],[CLASS]],7),"")</f>
        <v>2.1.2.1</v>
      </c>
      <c r="F2834" s="3" t="str">
        <f>VLOOKUP(Base_Periodo1[[#This Row],[Aux]],Base_Contas_Balanco[#All],2,FALSE)</f>
        <v>Fornecedores Cooperados</v>
      </c>
      <c r="G2834" s="1">
        <v>42818</v>
      </c>
      <c r="H2834" s="225">
        <v>1800</v>
      </c>
      <c r="I2834" s="225">
        <v>0</v>
      </c>
      <c r="J2834" s="225">
        <v>0</v>
      </c>
      <c r="K2834" s="225">
        <v>1800</v>
      </c>
      <c r="L28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1800</v>
      </c>
      <c r="M2834" s="225">
        <f>ROUND(IF(AND(Base_Periodo1[[#This Row],[Tipo_Linha]]="-",Base_Periodo1[[#This Row],[TIPOSALDO]]="D"),Base_Periodo1[[#This Row],[SALDO_ATUAL]]*-1,Base_Periodo1[[#This Row],[SALDO_ATUAL]]),4)</f>
        <v>1800</v>
      </c>
      <c r="N2834" t="s">
        <v>116</v>
      </c>
      <c r="O2834" t="s">
        <v>459</v>
      </c>
      <c r="P2834" t="s">
        <v>459</v>
      </c>
      <c r="Q2834">
        <v>7</v>
      </c>
      <c r="R2834" s="225">
        <f>Base_Periodo1[[#This Row],[CREDITOS]]-Base_Periodo1[[#This Row],[DEBITOS]]</f>
        <v>0</v>
      </c>
      <c r="S2834" s="3" t="str">
        <f>IF(ISERROR(VLOOKUP(Base_Periodo1[[#This Row],[CONTA]],BaseContasDRE[#All],4,FALSE)),"Fora do DRE",VLOOKUP(Base_Periodo1[[#This Row],[CONTA]],BaseContasDRE[#All],4,FALSE))</f>
        <v>Fora do DRE</v>
      </c>
      <c r="T2834" s="3" t="str">
        <f>IF(ISERROR(VLOOKUP(Base_Periodo1[[#This Row],[CONTA]],BaseContasDRE[#All],5,FALSE)),"Fora do DRE",VLOOKUP(Base_Periodo1[[#This Row],[CONTA]],BaseContasDRE[#All],6,FALSE))</f>
        <v>Fora do DRE</v>
      </c>
      <c r="U2834" s="3" t="str">
        <f>IF(ISERROR(VLOOKUP(Base_Periodo1[[#This Row],[CONTA]],BaseContasDRE[#All],7,FALSE)),"Fora do DRE",VLOOKUP(Base_Periodo1[[#This Row],[CONTA]],BaseContasDRE[#All],7,FALSE))</f>
        <v>Fora do DRE</v>
      </c>
      <c r="V2834" s="3" t="str">
        <f>IF(Base_Periodo1[[#This Row],[Tipo_Linha]]="Fora do DRE","Fora do DRE","( "&amp;Base_Periodo1[[#This Row],[Tipo_Linha]]&amp;" ) "&amp;Base_Periodo1[[#This Row],[Filtro]])</f>
        <v>Fora do DRE</v>
      </c>
      <c r="W2834" s="3" t="str">
        <f>LEFT(Base_Periodo1[[#This Row],[CLASS]],3)</f>
        <v>2.1</v>
      </c>
    </row>
    <row r="2835" spans="1:23" hidden="1">
      <c r="A2835" s="3" t="str">
        <f t="shared" si="44"/>
        <v>Período 1</v>
      </c>
      <c r="B2835">
        <v>4890</v>
      </c>
      <c r="C2835" t="s">
        <v>1745</v>
      </c>
      <c r="D2835" t="s">
        <v>6868</v>
      </c>
      <c r="E2835" s="3" t="str">
        <f>IF(LEN(Base_Periodo1[[#This Row],[CLASS]])&gt;=7,LEFT(Base_Periodo1[[#This Row],[CLASS]],7),"")</f>
        <v>2.1.2.1</v>
      </c>
      <c r="F2835" s="3" t="str">
        <f>VLOOKUP(Base_Periodo1[[#This Row],[Aux]],Base_Contas_Balanco[#All],2,FALSE)</f>
        <v>Fornecedores Cooperados</v>
      </c>
      <c r="G2835" s="1">
        <v>42884</v>
      </c>
      <c r="I2835" s="225">
        <v>114301.09</v>
      </c>
      <c r="J2835" s="225">
        <v>114301.09</v>
      </c>
      <c r="K2835" s="225">
        <v>2.3283064365386963E-10</v>
      </c>
      <c r="L28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835" s="225">
        <f>ROUND(IF(AND(Base_Periodo1[[#This Row],[Tipo_Linha]]="-",Base_Periodo1[[#This Row],[TIPOSALDO]]="D"),Base_Periodo1[[#This Row],[SALDO_ATUAL]]*-1,Base_Periodo1[[#This Row],[SALDO_ATUAL]]),4)</f>
        <v>0</v>
      </c>
      <c r="N2835" t="s">
        <v>116</v>
      </c>
      <c r="O2835" t="s">
        <v>436</v>
      </c>
      <c r="P2835" t="s">
        <v>436</v>
      </c>
      <c r="Q2835">
        <v>7</v>
      </c>
      <c r="R2835" s="225">
        <f>Base_Periodo1[[#This Row],[CREDITOS]]-Base_Periodo1[[#This Row],[DEBITOS]]</f>
        <v>0</v>
      </c>
      <c r="S2835" s="3" t="str">
        <f>IF(ISERROR(VLOOKUP(Base_Periodo1[[#This Row],[CONTA]],BaseContasDRE[#All],4,FALSE)),"Fora do DRE",VLOOKUP(Base_Periodo1[[#This Row],[CONTA]],BaseContasDRE[#All],4,FALSE))</f>
        <v>Fora do DRE</v>
      </c>
      <c r="T2835" s="3" t="str">
        <f>IF(ISERROR(VLOOKUP(Base_Periodo1[[#This Row],[CONTA]],BaseContasDRE[#All],5,FALSE)),"Fora do DRE",VLOOKUP(Base_Periodo1[[#This Row],[CONTA]],BaseContasDRE[#All],6,FALSE))</f>
        <v>Fora do DRE</v>
      </c>
      <c r="U2835" s="3" t="str">
        <f>IF(ISERROR(VLOOKUP(Base_Periodo1[[#This Row],[CONTA]],BaseContasDRE[#All],7,FALSE)),"Fora do DRE",VLOOKUP(Base_Periodo1[[#This Row],[CONTA]],BaseContasDRE[#All],7,FALSE))</f>
        <v>Fora do DRE</v>
      </c>
      <c r="V2835" s="3" t="str">
        <f>IF(Base_Periodo1[[#This Row],[Tipo_Linha]]="Fora do DRE","Fora do DRE","( "&amp;Base_Periodo1[[#This Row],[Tipo_Linha]]&amp;" ) "&amp;Base_Periodo1[[#This Row],[Filtro]])</f>
        <v>Fora do DRE</v>
      </c>
      <c r="W2835" s="3" t="str">
        <f>LEFT(Base_Periodo1[[#This Row],[CLASS]],3)</f>
        <v>2.1</v>
      </c>
    </row>
    <row r="2836" spans="1:23" hidden="1">
      <c r="A2836" s="3" t="str">
        <f t="shared" si="44"/>
        <v>Período 1</v>
      </c>
      <c r="B2836">
        <v>3194</v>
      </c>
      <c r="C2836" t="s">
        <v>1745</v>
      </c>
      <c r="D2836" t="s">
        <v>6362</v>
      </c>
      <c r="E2836" s="3" t="str">
        <f>IF(LEN(Base_Periodo1[[#This Row],[CLASS]])&gt;=7,LEFT(Base_Periodo1[[#This Row],[CLASS]],7),"")</f>
        <v>2.1.2.1</v>
      </c>
      <c r="F2836" s="3" t="str">
        <f>VLOOKUP(Base_Periodo1[[#This Row],[Aux]],Base_Contas_Balanco[#All],2,FALSE)</f>
        <v>Fornecedores Cooperados</v>
      </c>
      <c r="G2836" s="1">
        <v>42835</v>
      </c>
      <c r="H2836" s="225">
        <v>44811.510000000068</v>
      </c>
      <c r="I2836" s="225">
        <v>0</v>
      </c>
      <c r="J2836" s="225">
        <v>0</v>
      </c>
      <c r="K2836" s="225">
        <v>44811.510000000068</v>
      </c>
      <c r="L28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44811.51</v>
      </c>
      <c r="M2836" s="225">
        <f>ROUND(IF(AND(Base_Periodo1[[#This Row],[Tipo_Linha]]="-",Base_Periodo1[[#This Row],[TIPOSALDO]]="D"),Base_Periodo1[[#This Row],[SALDO_ATUAL]]*-1,Base_Periodo1[[#This Row],[SALDO_ATUAL]]),4)</f>
        <v>44811.51</v>
      </c>
      <c r="N2836" t="s">
        <v>116</v>
      </c>
      <c r="O2836" t="s">
        <v>459</v>
      </c>
      <c r="P2836" t="s">
        <v>459</v>
      </c>
      <c r="Q2836">
        <v>7</v>
      </c>
      <c r="R2836" s="225">
        <f>Base_Periodo1[[#This Row],[CREDITOS]]-Base_Periodo1[[#This Row],[DEBITOS]]</f>
        <v>0</v>
      </c>
      <c r="S2836" s="3" t="str">
        <f>IF(ISERROR(VLOOKUP(Base_Periodo1[[#This Row],[CONTA]],BaseContasDRE[#All],4,FALSE)),"Fora do DRE",VLOOKUP(Base_Periodo1[[#This Row],[CONTA]],BaseContasDRE[#All],4,FALSE))</f>
        <v>Fora do DRE</v>
      </c>
      <c r="T2836" s="3" t="str">
        <f>IF(ISERROR(VLOOKUP(Base_Periodo1[[#This Row],[CONTA]],BaseContasDRE[#All],5,FALSE)),"Fora do DRE",VLOOKUP(Base_Periodo1[[#This Row],[CONTA]],BaseContasDRE[#All],6,FALSE))</f>
        <v>Fora do DRE</v>
      </c>
      <c r="U2836" s="3" t="str">
        <f>IF(ISERROR(VLOOKUP(Base_Periodo1[[#This Row],[CONTA]],BaseContasDRE[#All],7,FALSE)),"Fora do DRE",VLOOKUP(Base_Periodo1[[#This Row],[CONTA]],BaseContasDRE[#All],7,FALSE))</f>
        <v>Fora do DRE</v>
      </c>
      <c r="V2836" s="3" t="str">
        <f>IF(Base_Periodo1[[#This Row],[Tipo_Linha]]="Fora do DRE","Fora do DRE","( "&amp;Base_Periodo1[[#This Row],[Tipo_Linha]]&amp;" ) "&amp;Base_Periodo1[[#This Row],[Filtro]])</f>
        <v>Fora do DRE</v>
      </c>
      <c r="W2836" s="3" t="str">
        <f>LEFT(Base_Periodo1[[#This Row],[CLASS]],3)</f>
        <v>2.1</v>
      </c>
    </row>
    <row r="2837" spans="1:23" hidden="1">
      <c r="A2837" s="3" t="str">
        <f t="shared" si="44"/>
        <v>Período 1</v>
      </c>
      <c r="B2837">
        <v>39010</v>
      </c>
      <c r="C2837" t="s">
        <v>1745</v>
      </c>
      <c r="D2837" t="s">
        <v>6363</v>
      </c>
      <c r="E2837" s="3" t="str">
        <f>IF(LEN(Base_Periodo1[[#This Row],[CLASS]])&gt;=7,LEFT(Base_Periodo1[[#This Row],[CLASS]],7),"")</f>
        <v>2.1.2.1</v>
      </c>
      <c r="F2837" s="3" t="str">
        <f>VLOOKUP(Base_Periodo1[[#This Row],[Aux]],Base_Contas_Balanco[#All],2,FALSE)</f>
        <v>Fornecedores Cooperados</v>
      </c>
      <c r="G2837" s="1">
        <v>42830</v>
      </c>
      <c r="H2837" s="225">
        <v>781.60000000000036</v>
      </c>
      <c r="I2837" s="225">
        <v>0</v>
      </c>
      <c r="J2837" s="225">
        <v>0</v>
      </c>
      <c r="K2837" s="225">
        <v>781.60000000000036</v>
      </c>
      <c r="L28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781.6</v>
      </c>
      <c r="M2837" s="225">
        <f>ROUND(IF(AND(Base_Periodo1[[#This Row],[Tipo_Linha]]="-",Base_Periodo1[[#This Row],[TIPOSALDO]]="D"),Base_Periodo1[[#This Row],[SALDO_ATUAL]]*-1,Base_Periodo1[[#This Row],[SALDO_ATUAL]]),4)</f>
        <v>781.6</v>
      </c>
      <c r="N2837" t="s">
        <v>116</v>
      </c>
      <c r="O2837" t="s">
        <v>459</v>
      </c>
      <c r="P2837" t="s">
        <v>459</v>
      </c>
      <c r="Q2837">
        <v>7</v>
      </c>
      <c r="R2837" s="225">
        <f>Base_Periodo1[[#This Row],[CREDITOS]]-Base_Periodo1[[#This Row],[DEBITOS]]</f>
        <v>0</v>
      </c>
      <c r="S2837" s="3" t="str">
        <f>IF(ISERROR(VLOOKUP(Base_Periodo1[[#This Row],[CONTA]],BaseContasDRE[#All],4,FALSE)),"Fora do DRE",VLOOKUP(Base_Periodo1[[#This Row],[CONTA]],BaseContasDRE[#All],4,FALSE))</f>
        <v>Fora do DRE</v>
      </c>
      <c r="T2837" s="3" t="str">
        <f>IF(ISERROR(VLOOKUP(Base_Periodo1[[#This Row],[CONTA]],BaseContasDRE[#All],5,FALSE)),"Fora do DRE",VLOOKUP(Base_Periodo1[[#This Row],[CONTA]],BaseContasDRE[#All],6,FALSE))</f>
        <v>Fora do DRE</v>
      </c>
      <c r="U2837" s="3" t="str">
        <f>IF(ISERROR(VLOOKUP(Base_Periodo1[[#This Row],[CONTA]],BaseContasDRE[#All],7,FALSE)),"Fora do DRE",VLOOKUP(Base_Periodo1[[#This Row],[CONTA]],BaseContasDRE[#All],7,FALSE))</f>
        <v>Fora do DRE</v>
      </c>
      <c r="V2837" s="3" t="str">
        <f>IF(Base_Periodo1[[#This Row],[Tipo_Linha]]="Fora do DRE","Fora do DRE","( "&amp;Base_Periodo1[[#This Row],[Tipo_Linha]]&amp;" ) "&amp;Base_Periodo1[[#This Row],[Filtro]])</f>
        <v>Fora do DRE</v>
      </c>
      <c r="W2837" s="3" t="str">
        <f>LEFT(Base_Periodo1[[#This Row],[CLASS]],3)</f>
        <v>2.1</v>
      </c>
    </row>
    <row r="2838" spans="1:23" hidden="1">
      <c r="A2838" s="3" t="str">
        <f t="shared" si="44"/>
        <v>Período 1</v>
      </c>
      <c r="B2838">
        <v>47889</v>
      </c>
      <c r="C2838" t="s">
        <v>1745</v>
      </c>
      <c r="D2838" t="s">
        <v>1829</v>
      </c>
      <c r="E2838" s="3" t="str">
        <f>IF(LEN(Base_Periodo1[[#This Row],[CLASS]])&gt;=7,LEFT(Base_Periodo1[[#This Row],[CLASS]],7),"")</f>
        <v>2.1.2.1</v>
      </c>
      <c r="F2838" s="3" t="str">
        <f>VLOOKUP(Base_Periodo1[[#This Row],[Aux]],Base_Contas_Balanco[#All],2,FALSE)</f>
        <v>Fornecedores Cooperados</v>
      </c>
      <c r="G2838" s="1">
        <v>42849</v>
      </c>
      <c r="H2838" s="225">
        <v>38123.160000000033</v>
      </c>
      <c r="I2838" s="225">
        <v>0</v>
      </c>
      <c r="J2838" s="225">
        <v>0</v>
      </c>
      <c r="K2838" s="225">
        <v>38123.160000000033</v>
      </c>
      <c r="L28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38123.160000000003</v>
      </c>
      <c r="M2838" s="225">
        <f>ROUND(IF(AND(Base_Periodo1[[#This Row],[Tipo_Linha]]="-",Base_Periodo1[[#This Row],[TIPOSALDO]]="D"),Base_Periodo1[[#This Row],[SALDO_ATUAL]]*-1,Base_Periodo1[[#This Row],[SALDO_ATUAL]]),4)</f>
        <v>38123.160000000003</v>
      </c>
      <c r="N2838" t="s">
        <v>116</v>
      </c>
      <c r="O2838" t="s">
        <v>459</v>
      </c>
      <c r="P2838" t="s">
        <v>459</v>
      </c>
      <c r="Q2838">
        <v>7</v>
      </c>
      <c r="R2838" s="225">
        <f>Base_Periodo1[[#This Row],[CREDITOS]]-Base_Periodo1[[#This Row],[DEBITOS]]</f>
        <v>0</v>
      </c>
      <c r="S2838" s="3" t="str">
        <f>IF(ISERROR(VLOOKUP(Base_Periodo1[[#This Row],[CONTA]],BaseContasDRE[#All],4,FALSE)),"Fora do DRE",VLOOKUP(Base_Periodo1[[#This Row],[CONTA]],BaseContasDRE[#All],4,FALSE))</f>
        <v>Fora do DRE</v>
      </c>
      <c r="T2838" s="3" t="str">
        <f>IF(ISERROR(VLOOKUP(Base_Periodo1[[#This Row],[CONTA]],BaseContasDRE[#All],5,FALSE)),"Fora do DRE",VLOOKUP(Base_Periodo1[[#This Row],[CONTA]],BaseContasDRE[#All],6,FALSE))</f>
        <v>Fora do DRE</v>
      </c>
      <c r="U2838" s="3" t="str">
        <f>IF(ISERROR(VLOOKUP(Base_Periodo1[[#This Row],[CONTA]],BaseContasDRE[#All],7,FALSE)),"Fora do DRE",VLOOKUP(Base_Periodo1[[#This Row],[CONTA]],BaseContasDRE[#All],7,FALSE))</f>
        <v>Fora do DRE</v>
      </c>
      <c r="V2838" s="3" t="str">
        <f>IF(Base_Periodo1[[#This Row],[Tipo_Linha]]="Fora do DRE","Fora do DRE","( "&amp;Base_Periodo1[[#This Row],[Tipo_Linha]]&amp;" ) "&amp;Base_Periodo1[[#This Row],[Filtro]])</f>
        <v>Fora do DRE</v>
      </c>
      <c r="W2838" s="3" t="str">
        <f>LEFT(Base_Periodo1[[#This Row],[CLASS]],3)</f>
        <v>2.1</v>
      </c>
    </row>
    <row r="2839" spans="1:23" hidden="1">
      <c r="A2839" s="3" t="str">
        <f t="shared" si="44"/>
        <v>Período 1</v>
      </c>
      <c r="B2839">
        <v>55856</v>
      </c>
      <c r="C2839" t="s">
        <v>1745</v>
      </c>
      <c r="D2839" t="s">
        <v>6869</v>
      </c>
      <c r="E2839" s="3" t="str">
        <f>IF(LEN(Base_Periodo1[[#This Row],[CLASS]])&gt;=7,LEFT(Base_Periodo1[[#This Row],[CLASS]],7),"")</f>
        <v>2.1.2.1</v>
      </c>
      <c r="F2839" s="3" t="str">
        <f>VLOOKUP(Base_Periodo1[[#This Row],[Aux]],Base_Contas_Balanco[#All],2,FALSE)</f>
        <v>Fornecedores Cooperados</v>
      </c>
      <c r="G2839" s="1">
        <v>42878</v>
      </c>
      <c r="I2839" s="225">
        <v>133680</v>
      </c>
      <c r="J2839" s="225">
        <v>133680</v>
      </c>
      <c r="K2839" s="225">
        <v>0</v>
      </c>
      <c r="L28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839" s="225">
        <f>ROUND(IF(AND(Base_Periodo1[[#This Row],[Tipo_Linha]]="-",Base_Periodo1[[#This Row],[TIPOSALDO]]="D"),Base_Periodo1[[#This Row],[SALDO_ATUAL]]*-1,Base_Periodo1[[#This Row],[SALDO_ATUAL]]),4)</f>
        <v>0</v>
      </c>
      <c r="N2839" t="s">
        <v>116</v>
      </c>
      <c r="O2839" t="s">
        <v>436</v>
      </c>
      <c r="P2839" t="s">
        <v>436</v>
      </c>
      <c r="Q2839">
        <v>7</v>
      </c>
      <c r="R2839" s="225">
        <f>Base_Periodo1[[#This Row],[CREDITOS]]-Base_Periodo1[[#This Row],[DEBITOS]]</f>
        <v>0</v>
      </c>
      <c r="S2839" s="3" t="str">
        <f>IF(ISERROR(VLOOKUP(Base_Periodo1[[#This Row],[CONTA]],BaseContasDRE[#All],4,FALSE)),"Fora do DRE",VLOOKUP(Base_Periodo1[[#This Row],[CONTA]],BaseContasDRE[#All],4,FALSE))</f>
        <v>Fora do DRE</v>
      </c>
      <c r="T2839" s="3" t="str">
        <f>IF(ISERROR(VLOOKUP(Base_Periodo1[[#This Row],[CONTA]],BaseContasDRE[#All],5,FALSE)),"Fora do DRE",VLOOKUP(Base_Periodo1[[#This Row],[CONTA]],BaseContasDRE[#All],6,FALSE))</f>
        <v>Fora do DRE</v>
      </c>
      <c r="U2839" s="3" t="str">
        <f>IF(ISERROR(VLOOKUP(Base_Periodo1[[#This Row],[CONTA]],BaseContasDRE[#All],7,FALSE)),"Fora do DRE",VLOOKUP(Base_Periodo1[[#This Row],[CONTA]],BaseContasDRE[#All],7,FALSE))</f>
        <v>Fora do DRE</v>
      </c>
      <c r="V2839" s="3" t="str">
        <f>IF(Base_Periodo1[[#This Row],[Tipo_Linha]]="Fora do DRE","Fora do DRE","( "&amp;Base_Periodo1[[#This Row],[Tipo_Linha]]&amp;" ) "&amp;Base_Periodo1[[#This Row],[Filtro]])</f>
        <v>Fora do DRE</v>
      </c>
      <c r="W2839" s="3" t="str">
        <f>LEFT(Base_Periodo1[[#This Row],[CLASS]],3)</f>
        <v>2.1</v>
      </c>
    </row>
    <row r="2840" spans="1:23" hidden="1">
      <c r="A2840" s="3" t="str">
        <f t="shared" si="44"/>
        <v>Período 1</v>
      </c>
      <c r="B2840">
        <v>3350</v>
      </c>
      <c r="C2840" t="s">
        <v>1745</v>
      </c>
      <c r="D2840" t="s">
        <v>1830</v>
      </c>
      <c r="E2840" s="3" t="str">
        <f>IF(LEN(Base_Periodo1[[#This Row],[CLASS]])&gt;=7,LEFT(Base_Periodo1[[#This Row],[CLASS]],7),"")</f>
        <v>2.1.2.1</v>
      </c>
      <c r="F2840" s="3" t="str">
        <f>VLOOKUP(Base_Periodo1[[#This Row],[Aux]],Base_Contas_Balanco[#All],2,FALSE)</f>
        <v>Fornecedores Cooperados</v>
      </c>
      <c r="G2840" s="1">
        <v>42649</v>
      </c>
      <c r="H2840" s="225">
        <v>9.9999999947613105E-3</v>
      </c>
      <c r="I2840" s="225">
        <v>0</v>
      </c>
      <c r="J2840" s="225">
        <v>0</v>
      </c>
      <c r="K2840" s="225">
        <v>9.9999999947613105E-3</v>
      </c>
      <c r="L28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2840" s="225">
        <f>ROUND(IF(AND(Base_Periodo1[[#This Row],[Tipo_Linha]]="-",Base_Periodo1[[#This Row],[TIPOSALDO]]="D"),Base_Periodo1[[#This Row],[SALDO_ATUAL]]*-1,Base_Periodo1[[#This Row],[SALDO_ATUAL]]),4)</f>
        <v>0.01</v>
      </c>
      <c r="N2840" t="s">
        <v>116</v>
      </c>
      <c r="O2840" t="s">
        <v>459</v>
      </c>
      <c r="P2840" t="s">
        <v>459</v>
      </c>
      <c r="Q2840">
        <v>7</v>
      </c>
      <c r="R2840" s="225">
        <f>Base_Periodo1[[#This Row],[CREDITOS]]-Base_Periodo1[[#This Row],[DEBITOS]]</f>
        <v>0</v>
      </c>
      <c r="S2840" s="3" t="str">
        <f>IF(ISERROR(VLOOKUP(Base_Periodo1[[#This Row],[CONTA]],BaseContasDRE[#All],4,FALSE)),"Fora do DRE",VLOOKUP(Base_Periodo1[[#This Row],[CONTA]],BaseContasDRE[#All],4,FALSE))</f>
        <v>Fora do DRE</v>
      </c>
      <c r="T2840" s="3" t="str">
        <f>IF(ISERROR(VLOOKUP(Base_Periodo1[[#This Row],[CONTA]],BaseContasDRE[#All],5,FALSE)),"Fora do DRE",VLOOKUP(Base_Periodo1[[#This Row],[CONTA]],BaseContasDRE[#All],6,FALSE))</f>
        <v>Fora do DRE</v>
      </c>
      <c r="U2840" s="3" t="str">
        <f>IF(ISERROR(VLOOKUP(Base_Periodo1[[#This Row],[CONTA]],BaseContasDRE[#All],7,FALSE)),"Fora do DRE",VLOOKUP(Base_Periodo1[[#This Row],[CONTA]],BaseContasDRE[#All],7,FALSE))</f>
        <v>Fora do DRE</v>
      </c>
      <c r="V2840" s="3" t="str">
        <f>IF(Base_Periodo1[[#This Row],[Tipo_Linha]]="Fora do DRE","Fora do DRE","( "&amp;Base_Periodo1[[#This Row],[Tipo_Linha]]&amp;" ) "&amp;Base_Periodo1[[#This Row],[Filtro]])</f>
        <v>Fora do DRE</v>
      </c>
      <c r="W2840" s="3" t="str">
        <f>LEFT(Base_Periodo1[[#This Row],[CLASS]],3)</f>
        <v>2.1</v>
      </c>
    </row>
    <row r="2841" spans="1:23" hidden="1">
      <c r="A2841" s="3" t="str">
        <f t="shared" si="44"/>
        <v>Período 1</v>
      </c>
      <c r="B2841">
        <v>40273</v>
      </c>
      <c r="C2841" t="s">
        <v>1745</v>
      </c>
      <c r="D2841" t="s">
        <v>1831</v>
      </c>
      <c r="E2841" s="3" t="str">
        <f>IF(LEN(Base_Periodo1[[#This Row],[CLASS]])&gt;=7,LEFT(Base_Periodo1[[#This Row],[CLASS]],7),"")</f>
        <v>2.1.2.1</v>
      </c>
      <c r="F2841" s="3" t="str">
        <f>VLOOKUP(Base_Periodo1[[#This Row],[Aux]],Base_Contas_Balanco[#All],2,FALSE)</f>
        <v>Fornecedores Cooperados</v>
      </c>
      <c r="G2841" s="1">
        <v>42845</v>
      </c>
      <c r="H2841" s="225">
        <v>1998.3099999999977</v>
      </c>
      <c r="I2841" s="225">
        <v>0</v>
      </c>
      <c r="J2841" s="225">
        <v>0</v>
      </c>
      <c r="K2841" s="225">
        <v>1998.3099999999977</v>
      </c>
      <c r="L28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1998.31</v>
      </c>
      <c r="M2841" s="225">
        <f>ROUND(IF(AND(Base_Periodo1[[#This Row],[Tipo_Linha]]="-",Base_Periodo1[[#This Row],[TIPOSALDO]]="D"),Base_Periodo1[[#This Row],[SALDO_ATUAL]]*-1,Base_Periodo1[[#This Row],[SALDO_ATUAL]]),4)</f>
        <v>1998.31</v>
      </c>
      <c r="N2841" t="s">
        <v>116</v>
      </c>
      <c r="O2841" t="s">
        <v>459</v>
      </c>
      <c r="P2841" t="s">
        <v>459</v>
      </c>
      <c r="Q2841">
        <v>7</v>
      </c>
      <c r="R2841" s="225">
        <f>Base_Periodo1[[#This Row],[CREDITOS]]-Base_Periodo1[[#This Row],[DEBITOS]]</f>
        <v>0</v>
      </c>
      <c r="S2841" s="3" t="str">
        <f>IF(ISERROR(VLOOKUP(Base_Periodo1[[#This Row],[CONTA]],BaseContasDRE[#All],4,FALSE)),"Fora do DRE",VLOOKUP(Base_Periodo1[[#This Row],[CONTA]],BaseContasDRE[#All],4,FALSE))</f>
        <v>Fora do DRE</v>
      </c>
      <c r="T2841" s="3" t="str">
        <f>IF(ISERROR(VLOOKUP(Base_Periodo1[[#This Row],[CONTA]],BaseContasDRE[#All],5,FALSE)),"Fora do DRE",VLOOKUP(Base_Periodo1[[#This Row],[CONTA]],BaseContasDRE[#All],6,FALSE))</f>
        <v>Fora do DRE</v>
      </c>
      <c r="U2841" s="3" t="str">
        <f>IF(ISERROR(VLOOKUP(Base_Periodo1[[#This Row],[CONTA]],BaseContasDRE[#All],7,FALSE)),"Fora do DRE",VLOOKUP(Base_Periodo1[[#This Row],[CONTA]],BaseContasDRE[#All],7,FALSE))</f>
        <v>Fora do DRE</v>
      </c>
      <c r="V2841" s="3" t="str">
        <f>IF(Base_Periodo1[[#This Row],[Tipo_Linha]]="Fora do DRE","Fora do DRE","( "&amp;Base_Periodo1[[#This Row],[Tipo_Linha]]&amp;" ) "&amp;Base_Periodo1[[#This Row],[Filtro]])</f>
        <v>Fora do DRE</v>
      </c>
      <c r="W2841" s="3" t="str">
        <f>LEFT(Base_Periodo1[[#This Row],[CLASS]],3)</f>
        <v>2.1</v>
      </c>
    </row>
    <row r="2842" spans="1:23" hidden="1">
      <c r="A2842" s="3" t="str">
        <f t="shared" si="44"/>
        <v>Período 1</v>
      </c>
      <c r="B2842">
        <v>47563</v>
      </c>
      <c r="C2842" t="s">
        <v>1745</v>
      </c>
      <c r="D2842" t="s">
        <v>4280</v>
      </c>
      <c r="E2842" s="3" t="str">
        <f>IF(LEN(Base_Periodo1[[#This Row],[CLASS]])&gt;=7,LEFT(Base_Periodo1[[#This Row],[CLASS]],7),"")</f>
        <v>2.1.2.1</v>
      </c>
      <c r="F2842" s="3" t="str">
        <f>VLOOKUP(Base_Periodo1[[#This Row],[Aux]],Base_Contas_Balanco[#All],2,FALSE)</f>
        <v>Fornecedores Cooperados</v>
      </c>
      <c r="G2842" s="1">
        <v>42697</v>
      </c>
      <c r="H2842" s="225">
        <v>2367.9700000000012</v>
      </c>
      <c r="I2842" s="225">
        <v>0</v>
      </c>
      <c r="J2842" s="225">
        <v>0</v>
      </c>
      <c r="K2842" s="225">
        <v>2367.9700000000012</v>
      </c>
      <c r="L28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2367.9699999999998</v>
      </c>
      <c r="M2842" s="225">
        <f>ROUND(IF(AND(Base_Periodo1[[#This Row],[Tipo_Linha]]="-",Base_Periodo1[[#This Row],[TIPOSALDO]]="D"),Base_Periodo1[[#This Row],[SALDO_ATUAL]]*-1,Base_Periodo1[[#This Row],[SALDO_ATUAL]]),4)</f>
        <v>2367.9699999999998</v>
      </c>
      <c r="N2842" t="s">
        <v>116</v>
      </c>
      <c r="O2842" t="s">
        <v>459</v>
      </c>
      <c r="P2842" t="s">
        <v>459</v>
      </c>
      <c r="Q2842">
        <v>7</v>
      </c>
      <c r="R2842" s="225">
        <f>Base_Periodo1[[#This Row],[CREDITOS]]-Base_Periodo1[[#This Row],[DEBITOS]]</f>
        <v>0</v>
      </c>
      <c r="S2842" s="3" t="str">
        <f>IF(ISERROR(VLOOKUP(Base_Periodo1[[#This Row],[CONTA]],BaseContasDRE[#All],4,FALSE)),"Fora do DRE",VLOOKUP(Base_Periodo1[[#This Row],[CONTA]],BaseContasDRE[#All],4,FALSE))</f>
        <v>Fora do DRE</v>
      </c>
      <c r="T2842" s="3" t="str">
        <f>IF(ISERROR(VLOOKUP(Base_Periodo1[[#This Row],[CONTA]],BaseContasDRE[#All],5,FALSE)),"Fora do DRE",VLOOKUP(Base_Periodo1[[#This Row],[CONTA]],BaseContasDRE[#All],6,FALSE))</f>
        <v>Fora do DRE</v>
      </c>
      <c r="U2842" s="3" t="str">
        <f>IF(ISERROR(VLOOKUP(Base_Periodo1[[#This Row],[CONTA]],BaseContasDRE[#All],7,FALSE)),"Fora do DRE",VLOOKUP(Base_Periodo1[[#This Row],[CONTA]],BaseContasDRE[#All],7,FALSE))</f>
        <v>Fora do DRE</v>
      </c>
      <c r="V2842" s="3" t="str">
        <f>IF(Base_Periodo1[[#This Row],[Tipo_Linha]]="Fora do DRE","Fora do DRE","( "&amp;Base_Periodo1[[#This Row],[Tipo_Linha]]&amp;" ) "&amp;Base_Periodo1[[#This Row],[Filtro]])</f>
        <v>Fora do DRE</v>
      </c>
      <c r="W2842" s="3" t="str">
        <f>LEFT(Base_Periodo1[[#This Row],[CLASS]],3)</f>
        <v>2.1</v>
      </c>
    </row>
    <row r="2843" spans="1:23" hidden="1">
      <c r="A2843" s="3" t="str">
        <f t="shared" si="44"/>
        <v>Período 1</v>
      </c>
      <c r="B2843">
        <v>4110</v>
      </c>
      <c r="C2843" t="s">
        <v>1745</v>
      </c>
      <c r="D2843" t="s">
        <v>1832</v>
      </c>
      <c r="E2843" s="3" t="str">
        <f>IF(LEN(Base_Periodo1[[#This Row],[CLASS]])&gt;=7,LEFT(Base_Periodo1[[#This Row],[CLASS]],7),"")</f>
        <v>2.1.2.1</v>
      </c>
      <c r="F2843" s="3" t="str">
        <f>VLOOKUP(Base_Periodo1[[#This Row],[Aux]],Base_Contas_Balanco[#All],2,FALSE)</f>
        <v>Fornecedores Cooperados</v>
      </c>
      <c r="G2843" s="1">
        <v>42607</v>
      </c>
      <c r="H2843" s="225">
        <v>1620</v>
      </c>
      <c r="I2843" s="225">
        <v>0</v>
      </c>
      <c r="J2843" s="225">
        <v>0</v>
      </c>
      <c r="K2843" s="225">
        <v>1620</v>
      </c>
      <c r="L28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1620</v>
      </c>
      <c r="M2843" s="225">
        <f>ROUND(IF(AND(Base_Periodo1[[#This Row],[Tipo_Linha]]="-",Base_Periodo1[[#This Row],[TIPOSALDO]]="D"),Base_Periodo1[[#This Row],[SALDO_ATUAL]]*-1,Base_Periodo1[[#This Row],[SALDO_ATUAL]]),4)</f>
        <v>1620</v>
      </c>
      <c r="N2843" t="s">
        <v>116</v>
      </c>
      <c r="O2843" t="s">
        <v>459</v>
      </c>
      <c r="P2843" t="s">
        <v>459</v>
      </c>
      <c r="Q2843">
        <v>7</v>
      </c>
      <c r="R2843" s="225">
        <f>Base_Periodo1[[#This Row],[CREDITOS]]-Base_Periodo1[[#This Row],[DEBITOS]]</f>
        <v>0</v>
      </c>
      <c r="S2843" s="3" t="str">
        <f>IF(ISERROR(VLOOKUP(Base_Periodo1[[#This Row],[CONTA]],BaseContasDRE[#All],4,FALSE)),"Fora do DRE",VLOOKUP(Base_Periodo1[[#This Row],[CONTA]],BaseContasDRE[#All],4,FALSE))</f>
        <v>Fora do DRE</v>
      </c>
      <c r="T2843" s="3" t="str">
        <f>IF(ISERROR(VLOOKUP(Base_Periodo1[[#This Row],[CONTA]],BaseContasDRE[#All],5,FALSE)),"Fora do DRE",VLOOKUP(Base_Periodo1[[#This Row],[CONTA]],BaseContasDRE[#All],6,FALSE))</f>
        <v>Fora do DRE</v>
      </c>
      <c r="U2843" s="3" t="str">
        <f>IF(ISERROR(VLOOKUP(Base_Periodo1[[#This Row],[CONTA]],BaseContasDRE[#All],7,FALSE)),"Fora do DRE",VLOOKUP(Base_Periodo1[[#This Row],[CONTA]],BaseContasDRE[#All],7,FALSE))</f>
        <v>Fora do DRE</v>
      </c>
      <c r="V2843" s="3" t="str">
        <f>IF(Base_Periodo1[[#This Row],[Tipo_Linha]]="Fora do DRE","Fora do DRE","( "&amp;Base_Periodo1[[#This Row],[Tipo_Linha]]&amp;" ) "&amp;Base_Periodo1[[#This Row],[Filtro]])</f>
        <v>Fora do DRE</v>
      </c>
      <c r="W2843" s="3" t="str">
        <f>LEFT(Base_Periodo1[[#This Row],[CLASS]],3)</f>
        <v>2.1</v>
      </c>
    </row>
    <row r="2844" spans="1:23" hidden="1">
      <c r="A2844" s="3" t="str">
        <f t="shared" si="44"/>
        <v>Período 1</v>
      </c>
      <c r="B2844">
        <v>56492</v>
      </c>
      <c r="C2844" t="s">
        <v>1745</v>
      </c>
      <c r="D2844" t="s">
        <v>5953</v>
      </c>
      <c r="E2844" s="3" t="str">
        <f>IF(LEN(Base_Periodo1[[#This Row],[CLASS]])&gt;=7,LEFT(Base_Periodo1[[#This Row],[CLASS]],7),"")</f>
        <v>2.1.2.1</v>
      </c>
      <c r="F2844" s="3" t="str">
        <f>VLOOKUP(Base_Periodo1[[#This Row],[Aux]],Base_Contas_Balanco[#All],2,FALSE)</f>
        <v>Fornecedores Cooperados</v>
      </c>
      <c r="G2844" s="1">
        <v>42807</v>
      </c>
      <c r="H2844" s="225">
        <v>763.48</v>
      </c>
      <c r="I2844" s="225">
        <v>0</v>
      </c>
      <c r="J2844" s="225">
        <v>0</v>
      </c>
      <c r="K2844" s="225">
        <v>763.48</v>
      </c>
      <c r="L28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763.48</v>
      </c>
      <c r="M2844" s="225">
        <f>ROUND(IF(AND(Base_Periodo1[[#This Row],[Tipo_Linha]]="-",Base_Periodo1[[#This Row],[TIPOSALDO]]="D"),Base_Periodo1[[#This Row],[SALDO_ATUAL]]*-1,Base_Periodo1[[#This Row],[SALDO_ATUAL]]),4)</f>
        <v>763.48</v>
      </c>
      <c r="N2844" t="s">
        <v>116</v>
      </c>
      <c r="O2844" t="s">
        <v>459</v>
      </c>
      <c r="P2844" t="s">
        <v>459</v>
      </c>
      <c r="Q2844">
        <v>7</v>
      </c>
      <c r="R2844" s="225">
        <f>Base_Periodo1[[#This Row],[CREDITOS]]-Base_Periodo1[[#This Row],[DEBITOS]]</f>
        <v>0</v>
      </c>
      <c r="S2844" s="3" t="str">
        <f>IF(ISERROR(VLOOKUP(Base_Periodo1[[#This Row],[CONTA]],BaseContasDRE[#All],4,FALSE)),"Fora do DRE",VLOOKUP(Base_Periodo1[[#This Row],[CONTA]],BaseContasDRE[#All],4,FALSE))</f>
        <v>Fora do DRE</v>
      </c>
      <c r="T2844" s="3" t="str">
        <f>IF(ISERROR(VLOOKUP(Base_Periodo1[[#This Row],[CONTA]],BaseContasDRE[#All],5,FALSE)),"Fora do DRE",VLOOKUP(Base_Periodo1[[#This Row],[CONTA]],BaseContasDRE[#All],6,FALSE))</f>
        <v>Fora do DRE</v>
      </c>
      <c r="U2844" s="3" t="str">
        <f>IF(ISERROR(VLOOKUP(Base_Periodo1[[#This Row],[CONTA]],BaseContasDRE[#All],7,FALSE)),"Fora do DRE",VLOOKUP(Base_Periodo1[[#This Row],[CONTA]],BaseContasDRE[#All],7,FALSE))</f>
        <v>Fora do DRE</v>
      </c>
      <c r="V2844" s="3" t="str">
        <f>IF(Base_Periodo1[[#This Row],[Tipo_Linha]]="Fora do DRE","Fora do DRE","( "&amp;Base_Periodo1[[#This Row],[Tipo_Linha]]&amp;" ) "&amp;Base_Periodo1[[#This Row],[Filtro]])</f>
        <v>Fora do DRE</v>
      </c>
      <c r="W2844" s="3" t="str">
        <f>LEFT(Base_Periodo1[[#This Row],[CLASS]],3)</f>
        <v>2.1</v>
      </c>
    </row>
    <row r="2845" spans="1:23" hidden="1">
      <c r="A2845" s="3" t="str">
        <f t="shared" si="44"/>
        <v>Período 1</v>
      </c>
      <c r="B2845">
        <v>47739</v>
      </c>
      <c r="C2845" t="s">
        <v>1745</v>
      </c>
      <c r="D2845" t="s">
        <v>6870</v>
      </c>
      <c r="E2845" s="3" t="str">
        <f>IF(LEN(Base_Periodo1[[#This Row],[CLASS]])&gt;=7,LEFT(Base_Periodo1[[#This Row],[CLASS]],7),"")</f>
        <v>2.1.2.1</v>
      </c>
      <c r="F2845" s="3" t="str">
        <f>VLOOKUP(Base_Periodo1[[#This Row],[Aux]],Base_Contas_Balanco[#All],2,FALSE)</f>
        <v>Fornecedores Cooperados</v>
      </c>
      <c r="G2845" s="1">
        <v>42873</v>
      </c>
      <c r="I2845" s="225">
        <v>0</v>
      </c>
      <c r="J2845" s="225">
        <v>77992.5</v>
      </c>
      <c r="K2845" s="225">
        <v>77992.5</v>
      </c>
      <c r="L28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77992.5</v>
      </c>
      <c r="M2845" s="225">
        <f>ROUND(IF(AND(Base_Periodo1[[#This Row],[Tipo_Linha]]="-",Base_Periodo1[[#This Row],[TIPOSALDO]]="D"),Base_Periodo1[[#This Row],[SALDO_ATUAL]]*-1,Base_Periodo1[[#This Row],[SALDO_ATUAL]]),4)</f>
        <v>77992.5</v>
      </c>
      <c r="N2845" t="s">
        <v>116</v>
      </c>
      <c r="O2845" t="s">
        <v>436</v>
      </c>
      <c r="P2845" t="s">
        <v>459</v>
      </c>
      <c r="Q2845">
        <v>7</v>
      </c>
      <c r="R2845" s="225">
        <f>Base_Periodo1[[#This Row],[CREDITOS]]-Base_Periodo1[[#This Row],[DEBITOS]]</f>
        <v>77992.5</v>
      </c>
      <c r="S2845" s="3" t="str">
        <f>IF(ISERROR(VLOOKUP(Base_Periodo1[[#This Row],[CONTA]],BaseContasDRE[#All],4,FALSE)),"Fora do DRE",VLOOKUP(Base_Periodo1[[#This Row],[CONTA]],BaseContasDRE[#All],4,FALSE))</f>
        <v>Fora do DRE</v>
      </c>
      <c r="T2845" s="3" t="str">
        <f>IF(ISERROR(VLOOKUP(Base_Periodo1[[#This Row],[CONTA]],BaseContasDRE[#All],5,FALSE)),"Fora do DRE",VLOOKUP(Base_Periodo1[[#This Row],[CONTA]],BaseContasDRE[#All],6,FALSE))</f>
        <v>Fora do DRE</v>
      </c>
      <c r="U2845" s="3" t="str">
        <f>IF(ISERROR(VLOOKUP(Base_Periodo1[[#This Row],[CONTA]],BaseContasDRE[#All],7,FALSE)),"Fora do DRE",VLOOKUP(Base_Periodo1[[#This Row],[CONTA]],BaseContasDRE[#All],7,FALSE))</f>
        <v>Fora do DRE</v>
      </c>
      <c r="V2845" s="3" t="str">
        <f>IF(Base_Periodo1[[#This Row],[Tipo_Linha]]="Fora do DRE","Fora do DRE","( "&amp;Base_Periodo1[[#This Row],[Tipo_Linha]]&amp;" ) "&amp;Base_Periodo1[[#This Row],[Filtro]])</f>
        <v>Fora do DRE</v>
      </c>
      <c r="W2845" s="3" t="str">
        <f>LEFT(Base_Periodo1[[#This Row],[CLASS]],3)</f>
        <v>2.1</v>
      </c>
    </row>
    <row r="2846" spans="1:23" hidden="1">
      <c r="A2846" s="3" t="str">
        <f t="shared" si="44"/>
        <v>Período 1</v>
      </c>
      <c r="B2846">
        <v>22136</v>
      </c>
      <c r="C2846" t="s">
        <v>1745</v>
      </c>
      <c r="D2846" t="s">
        <v>5707</v>
      </c>
      <c r="E2846" s="3" t="str">
        <f>IF(LEN(Base_Periodo1[[#This Row],[CLASS]])&gt;=7,LEFT(Base_Periodo1[[#This Row],[CLASS]],7),"")</f>
        <v>2.1.2.1</v>
      </c>
      <c r="F2846" s="3" t="str">
        <f>VLOOKUP(Base_Periodo1[[#This Row],[Aux]],Base_Contas_Balanco[#All],2,FALSE)</f>
        <v>Fornecedores Cooperados</v>
      </c>
      <c r="G2846" s="1">
        <v>42885</v>
      </c>
      <c r="H2846" s="225">
        <v>20150</v>
      </c>
      <c r="I2846" s="225">
        <v>40300</v>
      </c>
      <c r="J2846" s="225">
        <v>20150</v>
      </c>
      <c r="K2846" s="225">
        <v>0</v>
      </c>
      <c r="L28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846" s="225">
        <f>ROUND(IF(AND(Base_Periodo1[[#This Row],[Tipo_Linha]]="-",Base_Periodo1[[#This Row],[TIPOSALDO]]="D"),Base_Periodo1[[#This Row],[SALDO_ATUAL]]*-1,Base_Periodo1[[#This Row],[SALDO_ATUAL]]),4)</f>
        <v>0</v>
      </c>
      <c r="N2846" t="s">
        <v>116</v>
      </c>
      <c r="O2846" t="s">
        <v>459</v>
      </c>
      <c r="P2846" t="s">
        <v>436</v>
      </c>
      <c r="Q2846">
        <v>7</v>
      </c>
      <c r="R2846" s="225">
        <f>Base_Periodo1[[#This Row],[CREDITOS]]-Base_Periodo1[[#This Row],[DEBITOS]]</f>
        <v>-20150</v>
      </c>
      <c r="S2846" s="3" t="str">
        <f>IF(ISERROR(VLOOKUP(Base_Periodo1[[#This Row],[CONTA]],BaseContasDRE[#All],4,FALSE)),"Fora do DRE",VLOOKUP(Base_Periodo1[[#This Row],[CONTA]],BaseContasDRE[#All],4,FALSE))</f>
        <v>Fora do DRE</v>
      </c>
      <c r="T2846" s="3" t="str">
        <f>IF(ISERROR(VLOOKUP(Base_Periodo1[[#This Row],[CONTA]],BaseContasDRE[#All],5,FALSE)),"Fora do DRE",VLOOKUP(Base_Periodo1[[#This Row],[CONTA]],BaseContasDRE[#All],6,FALSE))</f>
        <v>Fora do DRE</v>
      </c>
      <c r="U2846" s="3" t="str">
        <f>IF(ISERROR(VLOOKUP(Base_Periodo1[[#This Row],[CONTA]],BaseContasDRE[#All],7,FALSE)),"Fora do DRE",VLOOKUP(Base_Periodo1[[#This Row],[CONTA]],BaseContasDRE[#All],7,FALSE))</f>
        <v>Fora do DRE</v>
      </c>
      <c r="V2846" s="3" t="str">
        <f>IF(Base_Periodo1[[#This Row],[Tipo_Linha]]="Fora do DRE","Fora do DRE","( "&amp;Base_Periodo1[[#This Row],[Tipo_Linha]]&amp;" ) "&amp;Base_Periodo1[[#This Row],[Filtro]])</f>
        <v>Fora do DRE</v>
      </c>
      <c r="W2846" s="3" t="str">
        <f>LEFT(Base_Periodo1[[#This Row],[CLASS]],3)</f>
        <v>2.1</v>
      </c>
    </row>
    <row r="2847" spans="1:23" hidden="1">
      <c r="A2847" s="3" t="str">
        <f t="shared" si="44"/>
        <v>Período 1</v>
      </c>
      <c r="B2847">
        <v>22152</v>
      </c>
      <c r="C2847" t="s">
        <v>1745</v>
      </c>
      <c r="D2847" t="s">
        <v>1833</v>
      </c>
      <c r="E2847" s="3" t="str">
        <f>IF(LEN(Base_Periodo1[[#This Row],[CLASS]])&gt;=7,LEFT(Base_Periodo1[[#This Row],[CLASS]],7),"")</f>
        <v>2.1.2.1</v>
      </c>
      <c r="F2847" s="3" t="str">
        <f>VLOOKUP(Base_Periodo1[[#This Row],[Aux]],Base_Contas_Balanco[#All],2,FALSE)</f>
        <v>Fornecedores Cooperados</v>
      </c>
      <c r="G2847" s="1">
        <v>41947</v>
      </c>
      <c r="H2847" s="225">
        <v>9.9999999947613105E-3</v>
      </c>
      <c r="I2847" s="225">
        <v>0</v>
      </c>
      <c r="J2847" s="225">
        <v>0</v>
      </c>
      <c r="K2847" s="225">
        <v>9.9999999947613105E-3</v>
      </c>
      <c r="L28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2847" s="225">
        <f>ROUND(IF(AND(Base_Periodo1[[#This Row],[Tipo_Linha]]="-",Base_Periodo1[[#This Row],[TIPOSALDO]]="D"),Base_Periodo1[[#This Row],[SALDO_ATUAL]]*-1,Base_Periodo1[[#This Row],[SALDO_ATUAL]]),4)</f>
        <v>0.01</v>
      </c>
      <c r="N2847" t="s">
        <v>116</v>
      </c>
      <c r="O2847" t="s">
        <v>459</v>
      </c>
      <c r="P2847" t="s">
        <v>459</v>
      </c>
      <c r="Q2847">
        <v>7</v>
      </c>
      <c r="R2847" s="225">
        <f>Base_Periodo1[[#This Row],[CREDITOS]]-Base_Periodo1[[#This Row],[DEBITOS]]</f>
        <v>0</v>
      </c>
      <c r="S2847" s="3" t="str">
        <f>IF(ISERROR(VLOOKUP(Base_Periodo1[[#This Row],[CONTA]],BaseContasDRE[#All],4,FALSE)),"Fora do DRE",VLOOKUP(Base_Periodo1[[#This Row],[CONTA]],BaseContasDRE[#All],4,FALSE))</f>
        <v>Fora do DRE</v>
      </c>
      <c r="T2847" s="3" t="str">
        <f>IF(ISERROR(VLOOKUP(Base_Periodo1[[#This Row],[CONTA]],BaseContasDRE[#All],5,FALSE)),"Fora do DRE",VLOOKUP(Base_Periodo1[[#This Row],[CONTA]],BaseContasDRE[#All],6,FALSE))</f>
        <v>Fora do DRE</v>
      </c>
      <c r="U2847" s="3" t="str">
        <f>IF(ISERROR(VLOOKUP(Base_Periodo1[[#This Row],[CONTA]],BaseContasDRE[#All],7,FALSE)),"Fora do DRE",VLOOKUP(Base_Periodo1[[#This Row],[CONTA]],BaseContasDRE[#All],7,FALSE))</f>
        <v>Fora do DRE</v>
      </c>
      <c r="V2847" s="3" t="str">
        <f>IF(Base_Periodo1[[#This Row],[Tipo_Linha]]="Fora do DRE","Fora do DRE","( "&amp;Base_Periodo1[[#This Row],[Tipo_Linha]]&amp;" ) "&amp;Base_Periodo1[[#This Row],[Filtro]])</f>
        <v>Fora do DRE</v>
      </c>
      <c r="W2847" s="3" t="str">
        <f>LEFT(Base_Periodo1[[#This Row],[CLASS]],3)</f>
        <v>2.1</v>
      </c>
    </row>
    <row r="2848" spans="1:23" hidden="1">
      <c r="A2848" s="3" t="str">
        <f t="shared" si="44"/>
        <v>Período 1</v>
      </c>
      <c r="B2848">
        <v>3130</v>
      </c>
      <c r="C2848" t="s">
        <v>1745</v>
      </c>
      <c r="D2848" t="s">
        <v>1834</v>
      </c>
      <c r="E2848" s="3" t="str">
        <f>IF(LEN(Base_Periodo1[[#This Row],[CLASS]])&gt;=7,LEFT(Base_Periodo1[[#This Row],[CLASS]],7),"")</f>
        <v>2.1.2.1</v>
      </c>
      <c r="F2848" s="3" t="str">
        <f>VLOOKUP(Base_Periodo1[[#This Row],[Aux]],Base_Contas_Balanco[#All],2,FALSE)</f>
        <v>Fornecedores Cooperados</v>
      </c>
      <c r="G2848" s="1">
        <v>42851</v>
      </c>
      <c r="H2848" s="225">
        <v>270780.3600000008</v>
      </c>
      <c r="I2848" s="225">
        <v>0</v>
      </c>
      <c r="J2848" s="225">
        <v>0</v>
      </c>
      <c r="K2848" s="225">
        <v>270780.3600000008</v>
      </c>
      <c r="L28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270780.36</v>
      </c>
      <c r="M2848" s="225">
        <f>ROUND(IF(AND(Base_Periodo1[[#This Row],[Tipo_Linha]]="-",Base_Periodo1[[#This Row],[TIPOSALDO]]="D"),Base_Periodo1[[#This Row],[SALDO_ATUAL]]*-1,Base_Periodo1[[#This Row],[SALDO_ATUAL]]),4)</f>
        <v>270780.36</v>
      </c>
      <c r="N2848" t="s">
        <v>116</v>
      </c>
      <c r="O2848" t="s">
        <v>459</v>
      </c>
      <c r="P2848" t="s">
        <v>459</v>
      </c>
      <c r="Q2848">
        <v>7</v>
      </c>
      <c r="R2848" s="225">
        <f>Base_Periodo1[[#This Row],[CREDITOS]]-Base_Periodo1[[#This Row],[DEBITOS]]</f>
        <v>0</v>
      </c>
      <c r="S2848" s="3" t="str">
        <f>IF(ISERROR(VLOOKUP(Base_Periodo1[[#This Row],[CONTA]],BaseContasDRE[#All],4,FALSE)),"Fora do DRE",VLOOKUP(Base_Periodo1[[#This Row],[CONTA]],BaseContasDRE[#All],4,FALSE))</f>
        <v>Fora do DRE</v>
      </c>
      <c r="T2848" s="3" t="str">
        <f>IF(ISERROR(VLOOKUP(Base_Periodo1[[#This Row],[CONTA]],BaseContasDRE[#All],5,FALSE)),"Fora do DRE",VLOOKUP(Base_Periodo1[[#This Row],[CONTA]],BaseContasDRE[#All],6,FALSE))</f>
        <v>Fora do DRE</v>
      </c>
      <c r="U2848" s="3" t="str">
        <f>IF(ISERROR(VLOOKUP(Base_Periodo1[[#This Row],[CONTA]],BaseContasDRE[#All],7,FALSE)),"Fora do DRE",VLOOKUP(Base_Periodo1[[#This Row],[CONTA]],BaseContasDRE[#All],7,FALSE))</f>
        <v>Fora do DRE</v>
      </c>
      <c r="V2848" s="3" t="str">
        <f>IF(Base_Periodo1[[#This Row],[Tipo_Linha]]="Fora do DRE","Fora do DRE","( "&amp;Base_Periodo1[[#This Row],[Tipo_Linha]]&amp;" ) "&amp;Base_Periodo1[[#This Row],[Filtro]])</f>
        <v>Fora do DRE</v>
      </c>
      <c r="W2848" s="3" t="str">
        <f>LEFT(Base_Periodo1[[#This Row],[CLASS]],3)</f>
        <v>2.1</v>
      </c>
    </row>
    <row r="2849" spans="1:23" hidden="1">
      <c r="A2849" s="3" t="str">
        <f t="shared" si="44"/>
        <v>Período 1</v>
      </c>
      <c r="B2849">
        <v>40147</v>
      </c>
      <c r="C2849" t="s">
        <v>1745</v>
      </c>
      <c r="D2849" t="s">
        <v>1835</v>
      </c>
      <c r="E2849" s="3" t="str">
        <f>IF(LEN(Base_Periodo1[[#This Row],[CLASS]])&gt;=7,LEFT(Base_Periodo1[[#This Row],[CLASS]],7),"")</f>
        <v>2.1.2.1</v>
      </c>
      <c r="F2849" s="3" t="str">
        <f>VLOOKUP(Base_Periodo1[[#This Row],[Aux]],Base_Contas_Balanco[#All],2,FALSE)</f>
        <v>Fornecedores Cooperados</v>
      </c>
      <c r="G2849" s="1">
        <v>42822</v>
      </c>
      <c r="H2849" s="225">
        <v>5113.6599999999889</v>
      </c>
      <c r="I2849" s="225">
        <v>0</v>
      </c>
      <c r="J2849" s="225">
        <v>0</v>
      </c>
      <c r="K2849" s="225">
        <v>5113.6599999999889</v>
      </c>
      <c r="L28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5113.66</v>
      </c>
      <c r="M2849" s="225">
        <f>ROUND(IF(AND(Base_Periodo1[[#This Row],[Tipo_Linha]]="-",Base_Periodo1[[#This Row],[TIPOSALDO]]="D"),Base_Periodo1[[#This Row],[SALDO_ATUAL]]*-1,Base_Periodo1[[#This Row],[SALDO_ATUAL]]),4)</f>
        <v>5113.66</v>
      </c>
      <c r="N2849" t="s">
        <v>116</v>
      </c>
      <c r="O2849" t="s">
        <v>459</v>
      </c>
      <c r="P2849" t="s">
        <v>459</v>
      </c>
      <c r="Q2849">
        <v>7</v>
      </c>
      <c r="R2849" s="225">
        <f>Base_Periodo1[[#This Row],[CREDITOS]]-Base_Periodo1[[#This Row],[DEBITOS]]</f>
        <v>0</v>
      </c>
      <c r="S2849" s="3" t="str">
        <f>IF(ISERROR(VLOOKUP(Base_Periodo1[[#This Row],[CONTA]],BaseContasDRE[#All],4,FALSE)),"Fora do DRE",VLOOKUP(Base_Periodo1[[#This Row],[CONTA]],BaseContasDRE[#All],4,FALSE))</f>
        <v>Fora do DRE</v>
      </c>
      <c r="T2849" s="3" t="str">
        <f>IF(ISERROR(VLOOKUP(Base_Periodo1[[#This Row],[CONTA]],BaseContasDRE[#All],5,FALSE)),"Fora do DRE",VLOOKUP(Base_Periodo1[[#This Row],[CONTA]],BaseContasDRE[#All],6,FALSE))</f>
        <v>Fora do DRE</v>
      </c>
      <c r="U2849" s="3" t="str">
        <f>IF(ISERROR(VLOOKUP(Base_Periodo1[[#This Row],[CONTA]],BaseContasDRE[#All],7,FALSE)),"Fora do DRE",VLOOKUP(Base_Periodo1[[#This Row],[CONTA]],BaseContasDRE[#All],7,FALSE))</f>
        <v>Fora do DRE</v>
      </c>
      <c r="V2849" s="3" t="str">
        <f>IF(Base_Periodo1[[#This Row],[Tipo_Linha]]="Fora do DRE","Fora do DRE","( "&amp;Base_Periodo1[[#This Row],[Tipo_Linha]]&amp;" ) "&amp;Base_Periodo1[[#This Row],[Filtro]])</f>
        <v>Fora do DRE</v>
      </c>
      <c r="W2849" s="3" t="str">
        <f>LEFT(Base_Periodo1[[#This Row],[CLASS]],3)</f>
        <v>2.1</v>
      </c>
    </row>
    <row r="2850" spans="1:23" hidden="1">
      <c r="A2850" s="3" t="str">
        <f t="shared" si="44"/>
        <v>Período 1</v>
      </c>
      <c r="B2850">
        <v>47744</v>
      </c>
      <c r="C2850" t="s">
        <v>1745</v>
      </c>
      <c r="D2850" t="s">
        <v>6871</v>
      </c>
      <c r="E2850" s="3" t="str">
        <f>IF(LEN(Base_Periodo1[[#This Row],[CLASS]])&gt;=7,LEFT(Base_Periodo1[[#This Row],[CLASS]],7),"")</f>
        <v>2.1.2.1</v>
      </c>
      <c r="F2850" s="3" t="str">
        <f>VLOOKUP(Base_Periodo1[[#This Row],[Aux]],Base_Contas_Balanco[#All],2,FALSE)</f>
        <v>Fornecedores Cooperados</v>
      </c>
      <c r="G2850" s="1">
        <v>42873</v>
      </c>
      <c r="I2850" s="225">
        <v>0</v>
      </c>
      <c r="J2850" s="225">
        <v>77992.5</v>
      </c>
      <c r="K2850" s="225">
        <v>77992.5</v>
      </c>
      <c r="L28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77992.5</v>
      </c>
      <c r="M2850" s="225">
        <f>ROUND(IF(AND(Base_Periodo1[[#This Row],[Tipo_Linha]]="-",Base_Periodo1[[#This Row],[TIPOSALDO]]="D"),Base_Periodo1[[#This Row],[SALDO_ATUAL]]*-1,Base_Periodo1[[#This Row],[SALDO_ATUAL]]),4)</f>
        <v>77992.5</v>
      </c>
      <c r="N2850" t="s">
        <v>116</v>
      </c>
      <c r="O2850" t="s">
        <v>436</v>
      </c>
      <c r="P2850" t="s">
        <v>459</v>
      </c>
      <c r="Q2850">
        <v>7</v>
      </c>
      <c r="R2850" s="225">
        <f>Base_Periodo1[[#This Row],[CREDITOS]]-Base_Periodo1[[#This Row],[DEBITOS]]</f>
        <v>77992.5</v>
      </c>
      <c r="S2850" s="3" t="str">
        <f>IF(ISERROR(VLOOKUP(Base_Periodo1[[#This Row],[CONTA]],BaseContasDRE[#All],4,FALSE)),"Fora do DRE",VLOOKUP(Base_Periodo1[[#This Row],[CONTA]],BaseContasDRE[#All],4,FALSE))</f>
        <v>Fora do DRE</v>
      </c>
      <c r="T2850" s="3" t="str">
        <f>IF(ISERROR(VLOOKUP(Base_Periodo1[[#This Row],[CONTA]],BaseContasDRE[#All],5,FALSE)),"Fora do DRE",VLOOKUP(Base_Periodo1[[#This Row],[CONTA]],BaseContasDRE[#All],6,FALSE))</f>
        <v>Fora do DRE</v>
      </c>
      <c r="U2850" s="3" t="str">
        <f>IF(ISERROR(VLOOKUP(Base_Periodo1[[#This Row],[CONTA]],BaseContasDRE[#All],7,FALSE)),"Fora do DRE",VLOOKUP(Base_Periodo1[[#This Row],[CONTA]],BaseContasDRE[#All],7,FALSE))</f>
        <v>Fora do DRE</v>
      </c>
      <c r="V2850" s="3" t="str">
        <f>IF(Base_Periodo1[[#This Row],[Tipo_Linha]]="Fora do DRE","Fora do DRE","( "&amp;Base_Periodo1[[#This Row],[Tipo_Linha]]&amp;" ) "&amp;Base_Periodo1[[#This Row],[Filtro]])</f>
        <v>Fora do DRE</v>
      </c>
      <c r="W2850" s="3" t="str">
        <f>LEFT(Base_Periodo1[[#This Row],[CLASS]],3)</f>
        <v>2.1</v>
      </c>
    </row>
    <row r="2851" spans="1:23" hidden="1">
      <c r="A2851" s="3" t="str">
        <f t="shared" si="44"/>
        <v>Período 1</v>
      </c>
      <c r="B2851">
        <v>3802</v>
      </c>
      <c r="C2851" t="s">
        <v>1745</v>
      </c>
      <c r="D2851" t="s">
        <v>1836</v>
      </c>
      <c r="E2851" s="3" t="str">
        <f>IF(LEN(Base_Periodo1[[#This Row],[CLASS]])&gt;=7,LEFT(Base_Periodo1[[#This Row],[CLASS]],7),"")</f>
        <v>2.1.2.1</v>
      </c>
      <c r="F2851" s="3" t="str">
        <f>VLOOKUP(Base_Periodo1[[#This Row],[Aux]],Base_Contas_Balanco[#All],2,FALSE)</f>
        <v>Fornecedores Cooperados</v>
      </c>
      <c r="G2851" s="1">
        <v>42727</v>
      </c>
      <c r="H2851" s="225">
        <v>32939.59999999986</v>
      </c>
      <c r="I2851" s="225">
        <v>0</v>
      </c>
      <c r="J2851" s="225">
        <v>0</v>
      </c>
      <c r="K2851" s="225">
        <v>32939.59999999986</v>
      </c>
      <c r="L28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32939.599999999999</v>
      </c>
      <c r="M2851" s="225">
        <f>ROUND(IF(AND(Base_Periodo1[[#This Row],[Tipo_Linha]]="-",Base_Periodo1[[#This Row],[TIPOSALDO]]="D"),Base_Periodo1[[#This Row],[SALDO_ATUAL]]*-1,Base_Periodo1[[#This Row],[SALDO_ATUAL]]),4)</f>
        <v>32939.599999999999</v>
      </c>
      <c r="N2851" t="s">
        <v>116</v>
      </c>
      <c r="O2851" t="s">
        <v>459</v>
      </c>
      <c r="P2851" t="s">
        <v>459</v>
      </c>
      <c r="Q2851">
        <v>7</v>
      </c>
      <c r="R2851" s="225">
        <f>Base_Periodo1[[#This Row],[CREDITOS]]-Base_Periodo1[[#This Row],[DEBITOS]]</f>
        <v>0</v>
      </c>
      <c r="S2851" s="3" t="str">
        <f>IF(ISERROR(VLOOKUP(Base_Periodo1[[#This Row],[CONTA]],BaseContasDRE[#All],4,FALSE)),"Fora do DRE",VLOOKUP(Base_Periodo1[[#This Row],[CONTA]],BaseContasDRE[#All],4,FALSE))</f>
        <v>Fora do DRE</v>
      </c>
      <c r="T2851" s="3" t="str">
        <f>IF(ISERROR(VLOOKUP(Base_Periodo1[[#This Row],[CONTA]],BaseContasDRE[#All],5,FALSE)),"Fora do DRE",VLOOKUP(Base_Periodo1[[#This Row],[CONTA]],BaseContasDRE[#All],6,FALSE))</f>
        <v>Fora do DRE</v>
      </c>
      <c r="U2851" s="3" t="str">
        <f>IF(ISERROR(VLOOKUP(Base_Periodo1[[#This Row],[CONTA]],BaseContasDRE[#All],7,FALSE)),"Fora do DRE",VLOOKUP(Base_Periodo1[[#This Row],[CONTA]],BaseContasDRE[#All],7,FALSE))</f>
        <v>Fora do DRE</v>
      </c>
      <c r="V2851" s="3" t="str">
        <f>IF(Base_Periodo1[[#This Row],[Tipo_Linha]]="Fora do DRE","Fora do DRE","( "&amp;Base_Periodo1[[#This Row],[Tipo_Linha]]&amp;" ) "&amp;Base_Periodo1[[#This Row],[Filtro]])</f>
        <v>Fora do DRE</v>
      </c>
      <c r="W2851" s="3" t="str">
        <f>LEFT(Base_Periodo1[[#This Row],[CLASS]],3)</f>
        <v>2.1</v>
      </c>
    </row>
    <row r="2852" spans="1:23" hidden="1">
      <c r="A2852" s="3" t="str">
        <f t="shared" si="44"/>
        <v>Período 1</v>
      </c>
      <c r="B2852">
        <v>5158</v>
      </c>
      <c r="C2852" t="s">
        <v>1745</v>
      </c>
      <c r="D2852" t="s">
        <v>1837</v>
      </c>
      <c r="E2852" s="3" t="str">
        <f>IF(LEN(Base_Periodo1[[#This Row],[CLASS]])&gt;=7,LEFT(Base_Periodo1[[#This Row],[CLASS]],7),"")</f>
        <v>2.1.2.1</v>
      </c>
      <c r="F2852" s="3" t="str">
        <f>VLOOKUP(Base_Periodo1[[#This Row],[Aux]],Base_Contas_Balanco[#All],2,FALSE)</f>
        <v>Fornecedores Cooperados</v>
      </c>
      <c r="G2852" s="1">
        <v>42804</v>
      </c>
      <c r="H2852" s="225">
        <v>304.48999999999069</v>
      </c>
      <c r="I2852" s="225">
        <v>0</v>
      </c>
      <c r="J2852" s="225">
        <v>0</v>
      </c>
      <c r="K2852" s="225">
        <v>304.48999999999069</v>
      </c>
      <c r="L28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304.49</v>
      </c>
      <c r="M2852" s="225">
        <f>ROUND(IF(AND(Base_Periodo1[[#This Row],[Tipo_Linha]]="-",Base_Periodo1[[#This Row],[TIPOSALDO]]="D"),Base_Periodo1[[#This Row],[SALDO_ATUAL]]*-1,Base_Periodo1[[#This Row],[SALDO_ATUAL]]),4)</f>
        <v>304.49</v>
      </c>
      <c r="N2852" t="s">
        <v>116</v>
      </c>
      <c r="O2852" t="s">
        <v>459</v>
      </c>
      <c r="P2852" t="s">
        <v>459</v>
      </c>
      <c r="Q2852">
        <v>7</v>
      </c>
      <c r="R2852" s="225">
        <f>Base_Periodo1[[#This Row],[CREDITOS]]-Base_Periodo1[[#This Row],[DEBITOS]]</f>
        <v>0</v>
      </c>
      <c r="S2852" s="3" t="str">
        <f>IF(ISERROR(VLOOKUP(Base_Periodo1[[#This Row],[CONTA]],BaseContasDRE[#All],4,FALSE)),"Fora do DRE",VLOOKUP(Base_Periodo1[[#This Row],[CONTA]],BaseContasDRE[#All],4,FALSE))</f>
        <v>Fora do DRE</v>
      </c>
      <c r="T2852" s="3" t="str">
        <f>IF(ISERROR(VLOOKUP(Base_Periodo1[[#This Row],[CONTA]],BaseContasDRE[#All],5,FALSE)),"Fora do DRE",VLOOKUP(Base_Periodo1[[#This Row],[CONTA]],BaseContasDRE[#All],6,FALSE))</f>
        <v>Fora do DRE</v>
      </c>
      <c r="U2852" s="3" t="str">
        <f>IF(ISERROR(VLOOKUP(Base_Periodo1[[#This Row],[CONTA]],BaseContasDRE[#All],7,FALSE)),"Fora do DRE",VLOOKUP(Base_Periodo1[[#This Row],[CONTA]],BaseContasDRE[#All],7,FALSE))</f>
        <v>Fora do DRE</v>
      </c>
      <c r="V2852" s="3" t="str">
        <f>IF(Base_Periodo1[[#This Row],[Tipo_Linha]]="Fora do DRE","Fora do DRE","( "&amp;Base_Periodo1[[#This Row],[Tipo_Linha]]&amp;" ) "&amp;Base_Periodo1[[#This Row],[Filtro]])</f>
        <v>Fora do DRE</v>
      </c>
      <c r="W2852" s="3" t="str">
        <f>LEFT(Base_Periodo1[[#This Row],[CLASS]],3)</f>
        <v>2.1</v>
      </c>
    </row>
    <row r="2853" spans="1:23" hidden="1">
      <c r="A2853" s="3" t="str">
        <f t="shared" si="44"/>
        <v>Período 1</v>
      </c>
      <c r="B2853">
        <v>49353</v>
      </c>
      <c r="C2853" t="s">
        <v>1745</v>
      </c>
      <c r="D2853" t="s">
        <v>2164</v>
      </c>
      <c r="E2853" s="3" t="str">
        <f>IF(LEN(Base_Periodo1[[#This Row],[CLASS]])&gt;=7,LEFT(Base_Periodo1[[#This Row],[CLASS]],7),"")</f>
        <v>2.1.2.1</v>
      </c>
      <c r="F2853" s="3" t="str">
        <f>VLOOKUP(Base_Periodo1[[#This Row],[Aux]],Base_Contas_Balanco[#All],2,FALSE)</f>
        <v>Fornecedores Cooperados</v>
      </c>
      <c r="G2853" s="1">
        <v>42746</v>
      </c>
      <c r="H2853" s="225">
        <v>2.9999999998835847E-2</v>
      </c>
      <c r="I2853" s="225">
        <v>0</v>
      </c>
      <c r="J2853" s="225">
        <v>0</v>
      </c>
      <c r="K2853" s="225">
        <v>2.9999999998835847E-2</v>
      </c>
      <c r="L28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0.03</v>
      </c>
      <c r="M2853" s="225">
        <f>ROUND(IF(AND(Base_Periodo1[[#This Row],[Tipo_Linha]]="-",Base_Periodo1[[#This Row],[TIPOSALDO]]="D"),Base_Periodo1[[#This Row],[SALDO_ATUAL]]*-1,Base_Periodo1[[#This Row],[SALDO_ATUAL]]),4)</f>
        <v>0.03</v>
      </c>
      <c r="N2853" t="s">
        <v>116</v>
      </c>
      <c r="O2853" t="s">
        <v>459</v>
      </c>
      <c r="P2853" t="s">
        <v>459</v>
      </c>
      <c r="Q2853">
        <v>7</v>
      </c>
      <c r="R2853" s="225">
        <f>Base_Periodo1[[#This Row],[CREDITOS]]-Base_Periodo1[[#This Row],[DEBITOS]]</f>
        <v>0</v>
      </c>
      <c r="S2853" s="3" t="str">
        <f>IF(ISERROR(VLOOKUP(Base_Periodo1[[#This Row],[CONTA]],BaseContasDRE[#All],4,FALSE)),"Fora do DRE",VLOOKUP(Base_Periodo1[[#This Row],[CONTA]],BaseContasDRE[#All],4,FALSE))</f>
        <v>Fora do DRE</v>
      </c>
      <c r="T2853" s="3" t="str">
        <f>IF(ISERROR(VLOOKUP(Base_Periodo1[[#This Row],[CONTA]],BaseContasDRE[#All],5,FALSE)),"Fora do DRE",VLOOKUP(Base_Periodo1[[#This Row],[CONTA]],BaseContasDRE[#All],6,FALSE))</f>
        <v>Fora do DRE</v>
      </c>
      <c r="U2853" s="3" t="str">
        <f>IF(ISERROR(VLOOKUP(Base_Periodo1[[#This Row],[CONTA]],BaseContasDRE[#All],7,FALSE)),"Fora do DRE",VLOOKUP(Base_Periodo1[[#This Row],[CONTA]],BaseContasDRE[#All],7,FALSE))</f>
        <v>Fora do DRE</v>
      </c>
      <c r="V2853" s="3" t="str">
        <f>IF(Base_Periodo1[[#This Row],[Tipo_Linha]]="Fora do DRE","Fora do DRE","( "&amp;Base_Periodo1[[#This Row],[Tipo_Linha]]&amp;" ) "&amp;Base_Periodo1[[#This Row],[Filtro]])</f>
        <v>Fora do DRE</v>
      </c>
      <c r="W2853" s="3" t="str">
        <f>LEFT(Base_Periodo1[[#This Row],[CLASS]],3)</f>
        <v>2.1</v>
      </c>
    </row>
    <row r="2854" spans="1:23" hidden="1">
      <c r="A2854" s="3" t="str">
        <f t="shared" si="44"/>
        <v>Período 1</v>
      </c>
      <c r="B2854">
        <v>7119</v>
      </c>
      <c r="C2854" t="s">
        <v>1745</v>
      </c>
      <c r="D2854" t="s">
        <v>1838</v>
      </c>
      <c r="E2854" s="3" t="str">
        <f>IF(LEN(Base_Periodo1[[#This Row],[CLASS]])&gt;=7,LEFT(Base_Periodo1[[#This Row],[CLASS]],7),"")</f>
        <v>2.1.2.1</v>
      </c>
      <c r="F2854" s="3" t="str">
        <f>VLOOKUP(Base_Periodo1[[#This Row],[Aux]],Base_Contas_Balanco[#All],2,FALSE)</f>
        <v>Fornecedores Cooperados</v>
      </c>
      <c r="G2854" s="1">
        <v>42766</v>
      </c>
      <c r="H2854" s="225">
        <v>50766.089999999851</v>
      </c>
      <c r="I2854" s="225">
        <v>0</v>
      </c>
      <c r="J2854" s="225">
        <v>0</v>
      </c>
      <c r="K2854" s="225">
        <v>50766.089999999851</v>
      </c>
      <c r="L28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50766.09</v>
      </c>
      <c r="M2854" s="225">
        <f>ROUND(IF(AND(Base_Periodo1[[#This Row],[Tipo_Linha]]="-",Base_Periodo1[[#This Row],[TIPOSALDO]]="D"),Base_Periodo1[[#This Row],[SALDO_ATUAL]]*-1,Base_Periodo1[[#This Row],[SALDO_ATUAL]]),4)</f>
        <v>50766.09</v>
      </c>
      <c r="N2854" t="s">
        <v>116</v>
      </c>
      <c r="O2854" t="s">
        <v>459</v>
      </c>
      <c r="P2854" t="s">
        <v>459</v>
      </c>
      <c r="Q2854">
        <v>7</v>
      </c>
      <c r="R2854" s="225">
        <f>Base_Periodo1[[#This Row],[CREDITOS]]-Base_Periodo1[[#This Row],[DEBITOS]]</f>
        <v>0</v>
      </c>
      <c r="S2854" s="3" t="str">
        <f>IF(ISERROR(VLOOKUP(Base_Periodo1[[#This Row],[CONTA]],BaseContasDRE[#All],4,FALSE)),"Fora do DRE",VLOOKUP(Base_Periodo1[[#This Row],[CONTA]],BaseContasDRE[#All],4,FALSE))</f>
        <v>Fora do DRE</v>
      </c>
      <c r="T2854" s="3" t="str">
        <f>IF(ISERROR(VLOOKUP(Base_Periodo1[[#This Row],[CONTA]],BaseContasDRE[#All],5,FALSE)),"Fora do DRE",VLOOKUP(Base_Periodo1[[#This Row],[CONTA]],BaseContasDRE[#All],6,FALSE))</f>
        <v>Fora do DRE</v>
      </c>
      <c r="U2854" s="3" t="str">
        <f>IF(ISERROR(VLOOKUP(Base_Periodo1[[#This Row],[CONTA]],BaseContasDRE[#All],7,FALSE)),"Fora do DRE",VLOOKUP(Base_Periodo1[[#This Row],[CONTA]],BaseContasDRE[#All],7,FALSE))</f>
        <v>Fora do DRE</v>
      </c>
      <c r="V2854" s="3" t="str">
        <f>IF(Base_Periodo1[[#This Row],[Tipo_Linha]]="Fora do DRE","Fora do DRE","( "&amp;Base_Periodo1[[#This Row],[Tipo_Linha]]&amp;" ) "&amp;Base_Periodo1[[#This Row],[Filtro]])</f>
        <v>Fora do DRE</v>
      </c>
      <c r="W2854" s="3" t="str">
        <f>LEFT(Base_Periodo1[[#This Row],[CLASS]],3)</f>
        <v>2.1</v>
      </c>
    </row>
    <row r="2855" spans="1:23" hidden="1">
      <c r="A2855" s="3" t="str">
        <f t="shared" si="44"/>
        <v>Período 1</v>
      </c>
      <c r="B2855">
        <v>9326</v>
      </c>
      <c r="C2855" t="s">
        <v>1745</v>
      </c>
      <c r="D2855" t="s">
        <v>1839</v>
      </c>
      <c r="E2855" s="3" t="str">
        <f>IF(LEN(Base_Periodo1[[#This Row],[CLASS]])&gt;=7,LEFT(Base_Periodo1[[#This Row],[CLASS]],7),"")</f>
        <v>2.1.2.1</v>
      </c>
      <c r="F2855" s="3" t="str">
        <f>VLOOKUP(Base_Periodo1[[#This Row],[Aux]],Base_Contas_Balanco[#All],2,FALSE)</f>
        <v>Fornecedores Cooperados</v>
      </c>
      <c r="G2855" s="1"/>
      <c r="H2855" s="225">
        <v>792</v>
      </c>
      <c r="I2855" s="225">
        <v>0</v>
      </c>
      <c r="J2855" s="225">
        <v>0</v>
      </c>
      <c r="K2855" s="225">
        <v>792</v>
      </c>
      <c r="L28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792</v>
      </c>
      <c r="M2855" s="225">
        <f>ROUND(IF(AND(Base_Periodo1[[#This Row],[Tipo_Linha]]="-",Base_Periodo1[[#This Row],[TIPOSALDO]]="D"),Base_Periodo1[[#This Row],[SALDO_ATUAL]]*-1,Base_Periodo1[[#This Row],[SALDO_ATUAL]]),4)</f>
        <v>792</v>
      </c>
      <c r="N2855" t="s">
        <v>116</v>
      </c>
      <c r="O2855" t="s">
        <v>459</v>
      </c>
      <c r="P2855" t="s">
        <v>459</v>
      </c>
      <c r="Q2855">
        <v>7</v>
      </c>
      <c r="R2855" s="225">
        <f>Base_Periodo1[[#This Row],[CREDITOS]]-Base_Periodo1[[#This Row],[DEBITOS]]</f>
        <v>0</v>
      </c>
      <c r="S2855" s="3" t="str">
        <f>IF(ISERROR(VLOOKUP(Base_Periodo1[[#This Row],[CONTA]],BaseContasDRE[#All],4,FALSE)),"Fora do DRE",VLOOKUP(Base_Periodo1[[#This Row],[CONTA]],BaseContasDRE[#All],4,FALSE))</f>
        <v>Fora do DRE</v>
      </c>
      <c r="T2855" s="3" t="str">
        <f>IF(ISERROR(VLOOKUP(Base_Periodo1[[#This Row],[CONTA]],BaseContasDRE[#All],5,FALSE)),"Fora do DRE",VLOOKUP(Base_Periodo1[[#This Row],[CONTA]],BaseContasDRE[#All],6,FALSE))</f>
        <v>Fora do DRE</v>
      </c>
      <c r="U2855" s="3" t="str">
        <f>IF(ISERROR(VLOOKUP(Base_Periodo1[[#This Row],[CONTA]],BaseContasDRE[#All],7,FALSE)),"Fora do DRE",VLOOKUP(Base_Periodo1[[#This Row],[CONTA]],BaseContasDRE[#All],7,FALSE))</f>
        <v>Fora do DRE</v>
      </c>
      <c r="V2855" s="3" t="str">
        <f>IF(Base_Periodo1[[#This Row],[Tipo_Linha]]="Fora do DRE","Fora do DRE","( "&amp;Base_Periodo1[[#This Row],[Tipo_Linha]]&amp;" ) "&amp;Base_Periodo1[[#This Row],[Filtro]])</f>
        <v>Fora do DRE</v>
      </c>
      <c r="W2855" s="3" t="str">
        <f>LEFT(Base_Periodo1[[#This Row],[CLASS]],3)</f>
        <v>2.1</v>
      </c>
    </row>
    <row r="2856" spans="1:23" hidden="1">
      <c r="A2856" s="3" t="str">
        <f t="shared" si="44"/>
        <v>Período 1</v>
      </c>
      <c r="B2856">
        <v>11005</v>
      </c>
      <c r="C2856" t="s">
        <v>1745</v>
      </c>
      <c r="D2856" t="s">
        <v>5708</v>
      </c>
      <c r="E2856" s="3" t="str">
        <f>IF(LEN(Base_Periodo1[[#This Row],[CLASS]])&gt;=7,LEFT(Base_Periodo1[[#This Row],[CLASS]],7),"")</f>
        <v>2.1.2.1</v>
      </c>
      <c r="F2856" s="3" t="str">
        <f>VLOOKUP(Base_Periodo1[[#This Row],[Aux]],Base_Contas_Balanco[#All],2,FALSE)</f>
        <v>Fornecedores Cooperados</v>
      </c>
      <c r="G2856" s="1">
        <v>42759</v>
      </c>
      <c r="H2856" s="225">
        <v>800</v>
      </c>
      <c r="I2856" s="225">
        <v>0</v>
      </c>
      <c r="J2856" s="225">
        <v>0</v>
      </c>
      <c r="K2856" s="225">
        <v>800</v>
      </c>
      <c r="L28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800</v>
      </c>
      <c r="M2856" s="225">
        <f>ROUND(IF(AND(Base_Periodo1[[#This Row],[Tipo_Linha]]="-",Base_Periodo1[[#This Row],[TIPOSALDO]]="D"),Base_Periodo1[[#This Row],[SALDO_ATUAL]]*-1,Base_Periodo1[[#This Row],[SALDO_ATUAL]]),4)</f>
        <v>800</v>
      </c>
      <c r="N2856" t="s">
        <v>116</v>
      </c>
      <c r="O2856" t="s">
        <v>459</v>
      </c>
      <c r="P2856" t="s">
        <v>459</v>
      </c>
      <c r="Q2856">
        <v>7</v>
      </c>
      <c r="R2856" s="225">
        <f>Base_Periodo1[[#This Row],[CREDITOS]]-Base_Periodo1[[#This Row],[DEBITOS]]</f>
        <v>0</v>
      </c>
      <c r="S2856" s="3" t="str">
        <f>IF(ISERROR(VLOOKUP(Base_Periodo1[[#This Row],[CONTA]],BaseContasDRE[#All],4,FALSE)),"Fora do DRE",VLOOKUP(Base_Periodo1[[#This Row],[CONTA]],BaseContasDRE[#All],4,FALSE))</f>
        <v>Fora do DRE</v>
      </c>
      <c r="T2856" s="3" t="str">
        <f>IF(ISERROR(VLOOKUP(Base_Periodo1[[#This Row],[CONTA]],BaseContasDRE[#All],5,FALSE)),"Fora do DRE",VLOOKUP(Base_Periodo1[[#This Row],[CONTA]],BaseContasDRE[#All],6,FALSE))</f>
        <v>Fora do DRE</v>
      </c>
      <c r="U2856" s="3" t="str">
        <f>IF(ISERROR(VLOOKUP(Base_Periodo1[[#This Row],[CONTA]],BaseContasDRE[#All],7,FALSE)),"Fora do DRE",VLOOKUP(Base_Periodo1[[#This Row],[CONTA]],BaseContasDRE[#All],7,FALSE))</f>
        <v>Fora do DRE</v>
      </c>
      <c r="V2856" s="3" t="str">
        <f>IF(Base_Periodo1[[#This Row],[Tipo_Linha]]="Fora do DRE","Fora do DRE","( "&amp;Base_Periodo1[[#This Row],[Tipo_Linha]]&amp;" ) "&amp;Base_Periodo1[[#This Row],[Filtro]])</f>
        <v>Fora do DRE</v>
      </c>
      <c r="W2856" s="3" t="str">
        <f>LEFT(Base_Periodo1[[#This Row],[CLASS]],3)</f>
        <v>2.1</v>
      </c>
    </row>
    <row r="2857" spans="1:23" hidden="1">
      <c r="A2857" s="3" t="str">
        <f t="shared" si="44"/>
        <v>Período 1</v>
      </c>
      <c r="B2857">
        <v>3026</v>
      </c>
      <c r="C2857" t="s">
        <v>1745</v>
      </c>
      <c r="D2857" t="s">
        <v>1840</v>
      </c>
      <c r="E2857" s="3" t="str">
        <f>IF(LEN(Base_Periodo1[[#This Row],[CLASS]])&gt;=7,LEFT(Base_Periodo1[[#This Row],[CLASS]],7),"")</f>
        <v>2.1.2.1</v>
      </c>
      <c r="F2857" s="3" t="str">
        <f>VLOOKUP(Base_Periodo1[[#This Row],[Aux]],Base_Contas_Balanco[#All],2,FALSE)</f>
        <v>Fornecedores Cooperados</v>
      </c>
      <c r="G2857" s="1">
        <v>42832</v>
      </c>
      <c r="H2857" s="225">
        <v>32000.000000000116</v>
      </c>
      <c r="I2857" s="225">
        <v>0</v>
      </c>
      <c r="J2857" s="225">
        <v>0</v>
      </c>
      <c r="K2857" s="225">
        <v>32000.000000000116</v>
      </c>
      <c r="L28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32000</v>
      </c>
      <c r="M2857" s="225">
        <f>ROUND(IF(AND(Base_Periodo1[[#This Row],[Tipo_Linha]]="-",Base_Periodo1[[#This Row],[TIPOSALDO]]="D"),Base_Periodo1[[#This Row],[SALDO_ATUAL]]*-1,Base_Periodo1[[#This Row],[SALDO_ATUAL]]),4)</f>
        <v>32000</v>
      </c>
      <c r="N2857" t="s">
        <v>116</v>
      </c>
      <c r="O2857" t="s">
        <v>459</v>
      </c>
      <c r="P2857" t="s">
        <v>459</v>
      </c>
      <c r="Q2857">
        <v>7</v>
      </c>
      <c r="R2857" s="225">
        <f>Base_Periodo1[[#This Row],[CREDITOS]]-Base_Periodo1[[#This Row],[DEBITOS]]</f>
        <v>0</v>
      </c>
      <c r="S2857" s="3" t="str">
        <f>IF(ISERROR(VLOOKUP(Base_Periodo1[[#This Row],[CONTA]],BaseContasDRE[#All],4,FALSE)),"Fora do DRE",VLOOKUP(Base_Periodo1[[#This Row],[CONTA]],BaseContasDRE[#All],4,FALSE))</f>
        <v>Fora do DRE</v>
      </c>
      <c r="T2857" s="3" t="str">
        <f>IF(ISERROR(VLOOKUP(Base_Periodo1[[#This Row],[CONTA]],BaseContasDRE[#All],5,FALSE)),"Fora do DRE",VLOOKUP(Base_Periodo1[[#This Row],[CONTA]],BaseContasDRE[#All],6,FALSE))</f>
        <v>Fora do DRE</v>
      </c>
      <c r="U2857" s="3" t="str">
        <f>IF(ISERROR(VLOOKUP(Base_Periodo1[[#This Row],[CONTA]],BaseContasDRE[#All],7,FALSE)),"Fora do DRE",VLOOKUP(Base_Periodo1[[#This Row],[CONTA]],BaseContasDRE[#All],7,FALSE))</f>
        <v>Fora do DRE</v>
      </c>
      <c r="V2857" s="3" t="str">
        <f>IF(Base_Periodo1[[#This Row],[Tipo_Linha]]="Fora do DRE","Fora do DRE","( "&amp;Base_Periodo1[[#This Row],[Tipo_Linha]]&amp;" ) "&amp;Base_Periodo1[[#This Row],[Filtro]])</f>
        <v>Fora do DRE</v>
      </c>
      <c r="W2857" s="3" t="str">
        <f>LEFT(Base_Periodo1[[#This Row],[CLASS]],3)</f>
        <v>2.1</v>
      </c>
    </row>
    <row r="2858" spans="1:23" hidden="1">
      <c r="A2858" s="3" t="str">
        <f t="shared" si="44"/>
        <v>Período 1</v>
      </c>
      <c r="B2858">
        <v>59357</v>
      </c>
      <c r="C2858" t="s">
        <v>1745</v>
      </c>
      <c r="D2858" t="s">
        <v>6547</v>
      </c>
      <c r="E2858" s="3" t="str">
        <f>IF(LEN(Base_Periodo1[[#This Row],[CLASS]])&gt;=7,LEFT(Base_Periodo1[[#This Row],[CLASS]],7),"")</f>
        <v>2.1.2.1</v>
      </c>
      <c r="F2858" s="3" t="str">
        <f>VLOOKUP(Base_Periodo1[[#This Row],[Aux]],Base_Contas_Balanco[#All],2,FALSE)</f>
        <v>Fornecedores Cooperados</v>
      </c>
      <c r="G2858" s="1">
        <v>42885</v>
      </c>
      <c r="I2858" s="225">
        <v>3521.44</v>
      </c>
      <c r="J2858" s="225">
        <v>3521.44</v>
      </c>
      <c r="K2858" s="225">
        <v>0</v>
      </c>
      <c r="L28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858" s="225">
        <f>ROUND(IF(AND(Base_Periodo1[[#This Row],[Tipo_Linha]]="-",Base_Periodo1[[#This Row],[TIPOSALDO]]="D"),Base_Periodo1[[#This Row],[SALDO_ATUAL]]*-1,Base_Periodo1[[#This Row],[SALDO_ATUAL]]),4)</f>
        <v>0</v>
      </c>
      <c r="N2858" t="s">
        <v>116</v>
      </c>
      <c r="O2858" t="s">
        <v>436</v>
      </c>
      <c r="P2858" t="s">
        <v>436</v>
      </c>
      <c r="Q2858">
        <v>7</v>
      </c>
      <c r="R2858" s="225">
        <f>Base_Periodo1[[#This Row],[CREDITOS]]-Base_Periodo1[[#This Row],[DEBITOS]]</f>
        <v>0</v>
      </c>
      <c r="S2858" s="3" t="str">
        <f>IF(ISERROR(VLOOKUP(Base_Periodo1[[#This Row],[CONTA]],BaseContasDRE[#All],4,FALSE)),"Fora do DRE",VLOOKUP(Base_Periodo1[[#This Row],[CONTA]],BaseContasDRE[#All],4,FALSE))</f>
        <v>Fora do DRE</v>
      </c>
      <c r="T2858" s="3" t="str">
        <f>IF(ISERROR(VLOOKUP(Base_Periodo1[[#This Row],[CONTA]],BaseContasDRE[#All],5,FALSE)),"Fora do DRE",VLOOKUP(Base_Periodo1[[#This Row],[CONTA]],BaseContasDRE[#All],6,FALSE))</f>
        <v>Fora do DRE</v>
      </c>
      <c r="U2858" s="3" t="str">
        <f>IF(ISERROR(VLOOKUP(Base_Periodo1[[#This Row],[CONTA]],BaseContasDRE[#All],7,FALSE)),"Fora do DRE",VLOOKUP(Base_Periodo1[[#This Row],[CONTA]],BaseContasDRE[#All],7,FALSE))</f>
        <v>Fora do DRE</v>
      </c>
      <c r="V2858" s="3" t="str">
        <f>IF(Base_Periodo1[[#This Row],[Tipo_Linha]]="Fora do DRE","Fora do DRE","( "&amp;Base_Periodo1[[#This Row],[Tipo_Linha]]&amp;" ) "&amp;Base_Periodo1[[#This Row],[Filtro]])</f>
        <v>Fora do DRE</v>
      </c>
      <c r="W2858" s="3" t="str">
        <f>LEFT(Base_Periodo1[[#This Row],[CLASS]],3)</f>
        <v>2.1</v>
      </c>
    </row>
    <row r="2859" spans="1:23" hidden="1">
      <c r="A2859" s="3" t="str">
        <f t="shared" si="44"/>
        <v>Período 1</v>
      </c>
      <c r="B2859">
        <v>3506</v>
      </c>
      <c r="C2859" t="s">
        <v>1745</v>
      </c>
      <c r="D2859" t="s">
        <v>1841</v>
      </c>
      <c r="E2859" s="3" t="str">
        <f>IF(LEN(Base_Periodo1[[#This Row],[CLASS]])&gt;=7,LEFT(Base_Periodo1[[#This Row],[CLASS]],7),"")</f>
        <v>2.1.2.1</v>
      </c>
      <c r="F2859" s="3" t="str">
        <f>VLOOKUP(Base_Periodo1[[#This Row],[Aux]],Base_Contas_Balanco[#All],2,FALSE)</f>
        <v>Fornecedores Cooperados</v>
      </c>
      <c r="G2859" s="1">
        <v>42871</v>
      </c>
      <c r="H2859" s="225">
        <v>35912.399999999849</v>
      </c>
      <c r="I2859" s="225">
        <v>0</v>
      </c>
      <c r="J2859" s="225">
        <v>10594.33</v>
      </c>
      <c r="K2859" s="225">
        <v>46506.72999999985</v>
      </c>
      <c r="L28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46506.73</v>
      </c>
      <c r="M2859" s="225">
        <f>ROUND(IF(AND(Base_Periodo1[[#This Row],[Tipo_Linha]]="-",Base_Periodo1[[#This Row],[TIPOSALDO]]="D"),Base_Periodo1[[#This Row],[SALDO_ATUAL]]*-1,Base_Periodo1[[#This Row],[SALDO_ATUAL]]),4)</f>
        <v>46506.73</v>
      </c>
      <c r="N2859" t="s">
        <v>116</v>
      </c>
      <c r="O2859" t="s">
        <v>459</v>
      </c>
      <c r="P2859" t="s">
        <v>459</v>
      </c>
      <c r="Q2859">
        <v>7</v>
      </c>
      <c r="R2859" s="225">
        <f>Base_Periodo1[[#This Row],[CREDITOS]]-Base_Periodo1[[#This Row],[DEBITOS]]</f>
        <v>10594.33</v>
      </c>
      <c r="S2859" s="3" t="str">
        <f>IF(ISERROR(VLOOKUP(Base_Periodo1[[#This Row],[CONTA]],BaseContasDRE[#All],4,FALSE)),"Fora do DRE",VLOOKUP(Base_Periodo1[[#This Row],[CONTA]],BaseContasDRE[#All],4,FALSE))</f>
        <v>Fora do DRE</v>
      </c>
      <c r="T2859" s="3" t="str">
        <f>IF(ISERROR(VLOOKUP(Base_Periodo1[[#This Row],[CONTA]],BaseContasDRE[#All],5,FALSE)),"Fora do DRE",VLOOKUP(Base_Periodo1[[#This Row],[CONTA]],BaseContasDRE[#All],6,FALSE))</f>
        <v>Fora do DRE</v>
      </c>
      <c r="U2859" s="3" t="str">
        <f>IF(ISERROR(VLOOKUP(Base_Periodo1[[#This Row],[CONTA]],BaseContasDRE[#All],7,FALSE)),"Fora do DRE",VLOOKUP(Base_Periodo1[[#This Row],[CONTA]],BaseContasDRE[#All],7,FALSE))</f>
        <v>Fora do DRE</v>
      </c>
      <c r="V2859" s="3" t="str">
        <f>IF(Base_Periodo1[[#This Row],[Tipo_Linha]]="Fora do DRE","Fora do DRE","( "&amp;Base_Periodo1[[#This Row],[Tipo_Linha]]&amp;" ) "&amp;Base_Periodo1[[#This Row],[Filtro]])</f>
        <v>Fora do DRE</v>
      </c>
      <c r="W2859" s="3" t="str">
        <f>LEFT(Base_Periodo1[[#This Row],[CLASS]],3)</f>
        <v>2.1</v>
      </c>
    </row>
    <row r="2860" spans="1:23" hidden="1">
      <c r="A2860" s="3" t="str">
        <f t="shared" si="44"/>
        <v>Período 1</v>
      </c>
      <c r="B2860">
        <v>7123</v>
      </c>
      <c r="C2860" t="s">
        <v>1745</v>
      </c>
      <c r="D2860" t="s">
        <v>1842</v>
      </c>
      <c r="E2860" s="3" t="str">
        <f>IF(LEN(Base_Periodo1[[#This Row],[CLASS]])&gt;=7,LEFT(Base_Periodo1[[#This Row],[CLASS]],7),"")</f>
        <v>2.1.2.1</v>
      </c>
      <c r="F2860" s="3" t="str">
        <f>VLOOKUP(Base_Periodo1[[#This Row],[Aux]],Base_Contas_Balanco[#All],2,FALSE)</f>
        <v>Fornecedores Cooperados</v>
      </c>
      <c r="G2860" s="1">
        <v>42832</v>
      </c>
      <c r="H2860" s="225">
        <v>3694.210000000021</v>
      </c>
      <c r="I2860" s="225">
        <v>0</v>
      </c>
      <c r="J2860" s="225">
        <v>0</v>
      </c>
      <c r="K2860" s="225">
        <v>3694.210000000021</v>
      </c>
      <c r="L28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3694.21</v>
      </c>
      <c r="M2860" s="225">
        <f>ROUND(IF(AND(Base_Periodo1[[#This Row],[Tipo_Linha]]="-",Base_Periodo1[[#This Row],[TIPOSALDO]]="D"),Base_Periodo1[[#This Row],[SALDO_ATUAL]]*-1,Base_Periodo1[[#This Row],[SALDO_ATUAL]]),4)</f>
        <v>3694.21</v>
      </c>
      <c r="N2860" t="s">
        <v>116</v>
      </c>
      <c r="O2860" t="s">
        <v>459</v>
      </c>
      <c r="P2860" t="s">
        <v>459</v>
      </c>
      <c r="Q2860">
        <v>7</v>
      </c>
      <c r="R2860" s="225">
        <f>Base_Periodo1[[#This Row],[CREDITOS]]-Base_Periodo1[[#This Row],[DEBITOS]]</f>
        <v>0</v>
      </c>
      <c r="S2860" s="3" t="str">
        <f>IF(ISERROR(VLOOKUP(Base_Periodo1[[#This Row],[CONTA]],BaseContasDRE[#All],4,FALSE)),"Fora do DRE",VLOOKUP(Base_Periodo1[[#This Row],[CONTA]],BaseContasDRE[#All],4,FALSE))</f>
        <v>Fora do DRE</v>
      </c>
      <c r="T2860" s="3" t="str">
        <f>IF(ISERROR(VLOOKUP(Base_Periodo1[[#This Row],[CONTA]],BaseContasDRE[#All],5,FALSE)),"Fora do DRE",VLOOKUP(Base_Periodo1[[#This Row],[CONTA]],BaseContasDRE[#All],6,FALSE))</f>
        <v>Fora do DRE</v>
      </c>
      <c r="U2860" s="3" t="str">
        <f>IF(ISERROR(VLOOKUP(Base_Periodo1[[#This Row],[CONTA]],BaseContasDRE[#All],7,FALSE)),"Fora do DRE",VLOOKUP(Base_Periodo1[[#This Row],[CONTA]],BaseContasDRE[#All],7,FALSE))</f>
        <v>Fora do DRE</v>
      </c>
      <c r="V2860" s="3" t="str">
        <f>IF(Base_Periodo1[[#This Row],[Tipo_Linha]]="Fora do DRE","Fora do DRE","( "&amp;Base_Periodo1[[#This Row],[Tipo_Linha]]&amp;" ) "&amp;Base_Periodo1[[#This Row],[Filtro]])</f>
        <v>Fora do DRE</v>
      </c>
      <c r="W2860" s="3" t="str">
        <f>LEFT(Base_Periodo1[[#This Row],[CLASS]],3)</f>
        <v>2.1</v>
      </c>
    </row>
    <row r="2861" spans="1:23" hidden="1">
      <c r="A2861" s="3" t="str">
        <f t="shared" si="44"/>
        <v>Período 1</v>
      </c>
      <c r="B2861">
        <v>21093</v>
      </c>
      <c r="C2861" t="s">
        <v>1745</v>
      </c>
      <c r="D2861" t="s">
        <v>6364</v>
      </c>
      <c r="E2861" s="3" t="str">
        <f>IF(LEN(Base_Periodo1[[#This Row],[CLASS]])&gt;=7,LEFT(Base_Periodo1[[#This Row],[CLASS]],7),"")</f>
        <v>2.1.2.1</v>
      </c>
      <c r="F2861" s="3" t="str">
        <f>VLOOKUP(Base_Periodo1[[#This Row],[Aux]],Base_Contas_Balanco[#All],2,FALSE)</f>
        <v>Fornecedores Cooperados</v>
      </c>
      <c r="G2861" s="1">
        <v>42832</v>
      </c>
      <c r="H2861" s="225">
        <v>116.5</v>
      </c>
      <c r="I2861" s="225">
        <v>0</v>
      </c>
      <c r="J2861" s="225">
        <v>0</v>
      </c>
      <c r="K2861" s="225">
        <v>116.5</v>
      </c>
      <c r="L28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116.5</v>
      </c>
      <c r="M2861" s="225">
        <f>ROUND(IF(AND(Base_Periodo1[[#This Row],[Tipo_Linha]]="-",Base_Periodo1[[#This Row],[TIPOSALDO]]="D"),Base_Periodo1[[#This Row],[SALDO_ATUAL]]*-1,Base_Periodo1[[#This Row],[SALDO_ATUAL]]),4)</f>
        <v>116.5</v>
      </c>
      <c r="N2861" t="s">
        <v>116</v>
      </c>
      <c r="O2861" t="s">
        <v>459</v>
      </c>
      <c r="P2861" t="s">
        <v>459</v>
      </c>
      <c r="Q2861">
        <v>7</v>
      </c>
      <c r="R2861" s="225">
        <f>Base_Periodo1[[#This Row],[CREDITOS]]-Base_Periodo1[[#This Row],[DEBITOS]]</f>
        <v>0</v>
      </c>
      <c r="S2861" s="3" t="str">
        <f>IF(ISERROR(VLOOKUP(Base_Periodo1[[#This Row],[CONTA]],BaseContasDRE[#All],4,FALSE)),"Fora do DRE",VLOOKUP(Base_Periodo1[[#This Row],[CONTA]],BaseContasDRE[#All],4,FALSE))</f>
        <v>Fora do DRE</v>
      </c>
      <c r="T2861" s="3" t="str">
        <f>IF(ISERROR(VLOOKUP(Base_Periodo1[[#This Row],[CONTA]],BaseContasDRE[#All],5,FALSE)),"Fora do DRE",VLOOKUP(Base_Periodo1[[#This Row],[CONTA]],BaseContasDRE[#All],6,FALSE))</f>
        <v>Fora do DRE</v>
      </c>
      <c r="U2861" s="3" t="str">
        <f>IF(ISERROR(VLOOKUP(Base_Periodo1[[#This Row],[CONTA]],BaseContasDRE[#All],7,FALSE)),"Fora do DRE",VLOOKUP(Base_Periodo1[[#This Row],[CONTA]],BaseContasDRE[#All],7,FALSE))</f>
        <v>Fora do DRE</v>
      </c>
      <c r="V2861" s="3" t="str">
        <f>IF(Base_Periodo1[[#This Row],[Tipo_Linha]]="Fora do DRE","Fora do DRE","( "&amp;Base_Periodo1[[#This Row],[Tipo_Linha]]&amp;" ) "&amp;Base_Periodo1[[#This Row],[Filtro]])</f>
        <v>Fora do DRE</v>
      </c>
      <c r="W2861" s="3" t="str">
        <f>LEFT(Base_Periodo1[[#This Row],[CLASS]],3)</f>
        <v>2.1</v>
      </c>
    </row>
    <row r="2862" spans="1:23" hidden="1">
      <c r="A2862" s="3" t="str">
        <f t="shared" si="44"/>
        <v>Período 1</v>
      </c>
      <c r="B2862">
        <v>3770</v>
      </c>
      <c r="C2862" t="s">
        <v>1745</v>
      </c>
      <c r="D2862" t="s">
        <v>6365</v>
      </c>
      <c r="E2862" s="3" t="str">
        <f>IF(LEN(Base_Periodo1[[#This Row],[CLASS]])&gt;=7,LEFT(Base_Periodo1[[#This Row],[CLASS]],7),"")</f>
        <v>2.1.2.1</v>
      </c>
      <c r="F2862" s="3" t="str">
        <f>VLOOKUP(Base_Periodo1[[#This Row],[Aux]],Base_Contas_Balanco[#All],2,FALSE)</f>
        <v>Fornecedores Cooperados</v>
      </c>
      <c r="G2862" s="1">
        <v>42816</v>
      </c>
      <c r="H2862" s="225">
        <v>1682.5900000000001</v>
      </c>
      <c r="I2862" s="225">
        <v>0</v>
      </c>
      <c r="J2862" s="225">
        <v>0</v>
      </c>
      <c r="K2862" s="225">
        <v>1682.5900000000001</v>
      </c>
      <c r="L28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1682.59</v>
      </c>
      <c r="M2862" s="225">
        <f>ROUND(IF(AND(Base_Periodo1[[#This Row],[Tipo_Linha]]="-",Base_Periodo1[[#This Row],[TIPOSALDO]]="D"),Base_Periodo1[[#This Row],[SALDO_ATUAL]]*-1,Base_Periodo1[[#This Row],[SALDO_ATUAL]]),4)</f>
        <v>1682.59</v>
      </c>
      <c r="N2862" t="s">
        <v>116</v>
      </c>
      <c r="O2862" t="s">
        <v>459</v>
      </c>
      <c r="P2862" t="s">
        <v>459</v>
      </c>
      <c r="Q2862">
        <v>7</v>
      </c>
      <c r="R2862" s="225">
        <f>Base_Periodo1[[#This Row],[CREDITOS]]-Base_Periodo1[[#This Row],[DEBITOS]]</f>
        <v>0</v>
      </c>
      <c r="S2862" s="3" t="str">
        <f>IF(ISERROR(VLOOKUP(Base_Periodo1[[#This Row],[CONTA]],BaseContasDRE[#All],4,FALSE)),"Fora do DRE",VLOOKUP(Base_Periodo1[[#This Row],[CONTA]],BaseContasDRE[#All],4,FALSE))</f>
        <v>Fora do DRE</v>
      </c>
      <c r="T2862" s="3" t="str">
        <f>IF(ISERROR(VLOOKUP(Base_Periodo1[[#This Row],[CONTA]],BaseContasDRE[#All],5,FALSE)),"Fora do DRE",VLOOKUP(Base_Periodo1[[#This Row],[CONTA]],BaseContasDRE[#All],6,FALSE))</f>
        <v>Fora do DRE</v>
      </c>
      <c r="U2862" s="3" t="str">
        <f>IF(ISERROR(VLOOKUP(Base_Periodo1[[#This Row],[CONTA]],BaseContasDRE[#All],7,FALSE)),"Fora do DRE",VLOOKUP(Base_Periodo1[[#This Row],[CONTA]],BaseContasDRE[#All],7,FALSE))</f>
        <v>Fora do DRE</v>
      </c>
      <c r="V2862" s="3" t="str">
        <f>IF(Base_Periodo1[[#This Row],[Tipo_Linha]]="Fora do DRE","Fora do DRE","( "&amp;Base_Periodo1[[#This Row],[Tipo_Linha]]&amp;" ) "&amp;Base_Periodo1[[#This Row],[Filtro]])</f>
        <v>Fora do DRE</v>
      </c>
      <c r="W2862" s="3" t="str">
        <f>LEFT(Base_Periodo1[[#This Row],[CLASS]],3)</f>
        <v>2.1</v>
      </c>
    </row>
    <row r="2863" spans="1:23" hidden="1">
      <c r="A2863" s="3" t="str">
        <f t="shared" si="44"/>
        <v>Período 1</v>
      </c>
      <c r="B2863">
        <v>5174</v>
      </c>
      <c r="C2863" t="s">
        <v>1745</v>
      </c>
      <c r="D2863" t="s">
        <v>5326</v>
      </c>
      <c r="E2863" s="3" t="str">
        <f>IF(LEN(Base_Periodo1[[#This Row],[CLASS]])&gt;=7,LEFT(Base_Periodo1[[#This Row],[CLASS]],7),"")</f>
        <v>2.1.2.1</v>
      </c>
      <c r="F2863" s="3" t="str">
        <f>VLOOKUP(Base_Periodo1[[#This Row],[Aux]],Base_Contas_Balanco[#All],2,FALSE)</f>
        <v>Fornecedores Cooperados</v>
      </c>
      <c r="G2863" s="1">
        <v>42648</v>
      </c>
      <c r="H2863" s="225">
        <v>370.99999999999636</v>
      </c>
      <c r="I2863" s="225">
        <v>0</v>
      </c>
      <c r="J2863" s="225">
        <v>0</v>
      </c>
      <c r="K2863" s="225">
        <v>370.99999999999636</v>
      </c>
      <c r="L28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371</v>
      </c>
      <c r="M2863" s="225">
        <f>ROUND(IF(AND(Base_Periodo1[[#This Row],[Tipo_Linha]]="-",Base_Periodo1[[#This Row],[TIPOSALDO]]="D"),Base_Periodo1[[#This Row],[SALDO_ATUAL]]*-1,Base_Periodo1[[#This Row],[SALDO_ATUAL]]),4)</f>
        <v>371</v>
      </c>
      <c r="N2863" t="s">
        <v>116</v>
      </c>
      <c r="O2863" t="s">
        <v>459</v>
      </c>
      <c r="P2863" t="s">
        <v>459</v>
      </c>
      <c r="Q2863">
        <v>7</v>
      </c>
      <c r="R2863" s="225">
        <f>Base_Periodo1[[#This Row],[CREDITOS]]-Base_Periodo1[[#This Row],[DEBITOS]]</f>
        <v>0</v>
      </c>
      <c r="S2863" s="3" t="str">
        <f>IF(ISERROR(VLOOKUP(Base_Periodo1[[#This Row],[CONTA]],BaseContasDRE[#All],4,FALSE)),"Fora do DRE",VLOOKUP(Base_Periodo1[[#This Row],[CONTA]],BaseContasDRE[#All],4,FALSE))</f>
        <v>Fora do DRE</v>
      </c>
      <c r="T2863" s="3" t="str">
        <f>IF(ISERROR(VLOOKUP(Base_Periodo1[[#This Row],[CONTA]],BaseContasDRE[#All],5,FALSE)),"Fora do DRE",VLOOKUP(Base_Periodo1[[#This Row],[CONTA]],BaseContasDRE[#All],6,FALSE))</f>
        <v>Fora do DRE</v>
      </c>
      <c r="U2863" s="3" t="str">
        <f>IF(ISERROR(VLOOKUP(Base_Periodo1[[#This Row],[CONTA]],BaseContasDRE[#All],7,FALSE)),"Fora do DRE",VLOOKUP(Base_Periodo1[[#This Row],[CONTA]],BaseContasDRE[#All],7,FALSE))</f>
        <v>Fora do DRE</v>
      </c>
      <c r="V2863" s="3" t="str">
        <f>IF(Base_Periodo1[[#This Row],[Tipo_Linha]]="Fora do DRE","Fora do DRE","( "&amp;Base_Periodo1[[#This Row],[Tipo_Linha]]&amp;" ) "&amp;Base_Periodo1[[#This Row],[Filtro]])</f>
        <v>Fora do DRE</v>
      </c>
      <c r="W2863" s="3" t="str">
        <f>LEFT(Base_Periodo1[[#This Row],[CLASS]],3)</f>
        <v>2.1</v>
      </c>
    </row>
    <row r="2864" spans="1:23" hidden="1">
      <c r="A2864" s="3" t="str">
        <f t="shared" si="44"/>
        <v>Período 1</v>
      </c>
      <c r="B2864">
        <v>17154</v>
      </c>
      <c r="C2864" t="s">
        <v>1745</v>
      </c>
      <c r="D2864" t="s">
        <v>5709</v>
      </c>
      <c r="E2864" s="3" t="str">
        <f>IF(LEN(Base_Periodo1[[#This Row],[CLASS]])&gt;=7,LEFT(Base_Periodo1[[#This Row],[CLASS]],7),"")</f>
        <v>2.1.2.1</v>
      </c>
      <c r="F2864" s="3" t="str">
        <f>VLOOKUP(Base_Periodo1[[#This Row],[Aux]],Base_Contas_Balanco[#All],2,FALSE)</f>
        <v>Fornecedores Cooperados</v>
      </c>
      <c r="G2864" s="1">
        <v>42796</v>
      </c>
      <c r="H2864" s="225">
        <v>108.51000000000931</v>
      </c>
      <c r="I2864" s="225">
        <v>0</v>
      </c>
      <c r="J2864" s="225">
        <v>0</v>
      </c>
      <c r="K2864" s="225">
        <v>108.51000000000931</v>
      </c>
      <c r="L28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108.51</v>
      </c>
      <c r="M2864" s="225">
        <f>ROUND(IF(AND(Base_Periodo1[[#This Row],[Tipo_Linha]]="-",Base_Periodo1[[#This Row],[TIPOSALDO]]="D"),Base_Periodo1[[#This Row],[SALDO_ATUAL]]*-1,Base_Periodo1[[#This Row],[SALDO_ATUAL]]),4)</f>
        <v>108.51</v>
      </c>
      <c r="N2864" t="s">
        <v>116</v>
      </c>
      <c r="O2864" t="s">
        <v>459</v>
      </c>
      <c r="P2864" t="s">
        <v>459</v>
      </c>
      <c r="Q2864">
        <v>7</v>
      </c>
      <c r="R2864" s="225">
        <f>Base_Periodo1[[#This Row],[CREDITOS]]-Base_Periodo1[[#This Row],[DEBITOS]]</f>
        <v>0</v>
      </c>
      <c r="S2864" s="3" t="str">
        <f>IF(ISERROR(VLOOKUP(Base_Periodo1[[#This Row],[CONTA]],BaseContasDRE[#All],4,FALSE)),"Fora do DRE",VLOOKUP(Base_Periodo1[[#This Row],[CONTA]],BaseContasDRE[#All],4,FALSE))</f>
        <v>Fora do DRE</v>
      </c>
      <c r="T2864" s="3" t="str">
        <f>IF(ISERROR(VLOOKUP(Base_Periodo1[[#This Row],[CONTA]],BaseContasDRE[#All],5,FALSE)),"Fora do DRE",VLOOKUP(Base_Periodo1[[#This Row],[CONTA]],BaseContasDRE[#All],6,FALSE))</f>
        <v>Fora do DRE</v>
      </c>
      <c r="U2864" s="3" t="str">
        <f>IF(ISERROR(VLOOKUP(Base_Periodo1[[#This Row],[CONTA]],BaseContasDRE[#All],7,FALSE)),"Fora do DRE",VLOOKUP(Base_Periodo1[[#This Row],[CONTA]],BaseContasDRE[#All],7,FALSE))</f>
        <v>Fora do DRE</v>
      </c>
      <c r="V2864" s="3" t="str">
        <f>IF(Base_Periodo1[[#This Row],[Tipo_Linha]]="Fora do DRE","Fora do DRE","( "&amp;Base_Periodo1[[#This Row],[Tipo_Linha]]&amp;" ) "&amp;Base_Periodo1[[#This Row],[Filtro]])</f>
        <v>Fora do DRE</v>
      </c>
      <c r="W2864" s="3" t="str">
        <f>LEFT(Base_Periodo1[[#This Row],[CLASS]],3)</f>
        <v>2.1</v>
      </c>
    </row>
    <row r="2865" spans="1:23" hidden="1">
      <c r="A2865" s="3" t="str">
        <f t="shared" si="44"/>
        <v>Período 1</v>
      </c>
      <c r="B2865">
        <v>2718</v>
      </c>
      <c r="C2865" t="s">
        <v>1745</v>
      </c>
      <c r="D2865" t="s">
        <v>1843</v>
      </c>
      <c r="E2865" s="3" t="str">
        <f>IF(LEN(Base_Periodo1[[#This Row],[CLASS]])&gt;=7,LEFT(Base_Periodo1[[#This Row],[CLASS]],7),"")</f>
        <v>2.1.2.1</v>
      </c>
      <c r="F2865" s="3" t="str">
        <f>VLOOKUP(Base_Periodo1[[#This Row],[Aux]],Base_Contas_Balanco[#All],2,FALSE)</f>
        <v>Fornecedores Cooperados</v>
      </c>
      <c r="G2865" s="1">
        <v>42684</v>
      </c>
      <c r="H2865" s="225">
        <v>0.34999999999126885</v>
      </c>
      <c r="I2865" s="225">
        <v>0</v>
      </c>
      <c r="J2865" s="225">
        <v>0</v>
      </c>
      <c r="K2865" s="225">
        <v>0.34999999999126885</v>
      </c>
      <c r="L28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0.35</v>
      </c>
      <c r="M2865" s="225">
        <f>ROUND(IF(AND(Base_Periodo1[[#This Row],[Tipo_Linha]]="-",Base_Periodo1[[#This Row],[TIPOSALDO]]="D"),Base_Periodo1[[#This Row],[SALDO_ATUAL]]*-1,Base_Periodo1[[#This Row],[SALDO_ATUAL]]),4)</f>
        <v>0.35</v>
      </c>
      <c r="N2865" t="s">
        <v>116</v>
      </c>
      <c r="O2865" t="s">
        <v>459</v>
      </c>
      <c r="P2865" t="s">
        <v>459</v>
      </c>
      <c r="Q2865">
        <v>7</v>
      </c>
      <c r="R2865" s="225">
        <f>Base_Periodo1[[#This Row],[CREDITOS]]-Base_Periodo1[[#This Row],[DEBITOS]]</f>
        <v>0</v>
      </c>
      <c r="S2865" s="3" t="str">
        <f>IF(ISERROR(VLOOKUP(Base_Periodo1[[#This Row],[CONTA]],BaseContasDRE[#All],4,FALSE)),"Fora do DRE",VLOOKUP(Base_Periodo1[[#This Row],[CONTA]],BaseContasDRE[#All],4,FALSE))</f>
        <v>Fora do DRE</v>
      </c>
      <c r="T2865" s="3" t="str">
        <f>IF(ISERROR(VLOOKUP(Base_Periodo1[[#This Row],[CONTA]],BaseContasDRE[#All],5,FALSE)),"Fora do DRE",VLOOKUP(Base_Periodo1[[#This Row],[CONTA]],BaseContasDRE[#All],6,FALSE))</f>
        <v>Fora do DRE</v>
      </c>
      <c r="U2865" s="3" t="str">
        <f>IF(ISERROR(VLOOKUP(Base_Periodo1[[#This Row],[CONTA]],BaseContasDRE[#All],7,FALSE)),"Fora do DRE",VLOOKUP(Base_Periodo1[[#This Row],[CONTA]],BaseContasDRE[#All],7,FALSE))</f>
        <v>Fora do DRE</v>
      </c>
      <c r="V2865" s="3" t="str">
        <f>IF(Base_Periodo1[[#This Row],[Tipo_Linha]]="Fora do DRE","Fora do DRE","( "&amp;Base_Periodo1[[#This Row],[Tipo_Linha]]&amp;" ) "&amp;Base_Periodo1[[#This Row],[Filtro]])</f>
        <v>Fora do DRE</v>
      </c>
      <c r="W2865" s="3" t="str">
        <f>LEFT(Base_Periodo1[[#This Row],[CLASS]],3)</f>
        <v>2.1</v>
      </c>
    </row>
    <row r="2866" spans="1:23" hidden="1">
      <c r="A2866" s="3" t="str">
        <f t="shared" si="44"/>
        <v>Período 1</v>
      </c>
      <c r="B2866">
        <v>2154</v>
      </c>
      <c r="C2866" t="s">
        <v>1745</v>
      </c>
      <c r="D2866" t="s">
        <v>1844</v>
      </c>
      <c r="E2866" s="3" t="str">
        <f>IF(LEN(Base_Periodo1[[#This Row],[CLASS]])&gt;=7,LEFT(Base_Periodo1[[#This Row],[CLASS]],7),"")</f>
        <v>2.1.2.1</v>
      </c>
      <c r="F2866" s="3" t="str">
        <f>VLOOKUP(Base_Periodo1[[#This Row],[Aux]],Base_Contas_Balanco[#All],2,FALSE)</f>
        <v>Fornecedores Cooperados</v>
      </c>
      <c r="G2866" s="1">
        <v>42886</v>
      </c>
      <c r="H2866" s="225">
        <v>622925.41000000015</v>
      </c>
      <c r="I2866" s="225">
        <v>86268.43</v>
      </c>
      <c r="J2866" s="225">
        <v>0</v>
      </c>
      <c r="K2866" s="225">
        <v>536656.98000000021</v>
      </c>
      <c r="L28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536656.98</v>
      </c>
      <c r="M2866" s="225">
        <f>ROUND(IF(AND(Base_Periodo1[[#This Row],[Tipo_Linha]]="-",Base_Periodo1[[#This Row],[TIPOSALDO]]="D"),Base_Periodo1[[#This Row],[SALDO_ATUAL]]*-1,Base_Periodo1[[#This Row],[SALDO_ATUAL]]),4)</f>
        <v>536656.98</v>
      </c>
      <c r="N2866" t="s">
        <v>116</v>
      </c>
      <c r="O2866" t="s">
        <v>459</v>
      </c>
      <c r="P2866" t="s">
        <v>459</v>
      </c>
      <c r="Q2866">
        <v>7</v>
      </c>
      <c r="R2866" s="225">
        <f>Base_Periodo1[[#This Row],[CREDITOS]]-Base_Periodo1[[#This Row],[DEBITOS]]</f>
        <v>-86268.43</v>
      </c>
      <c r="S2866" s="3" t="str">
        <f>IF(ISERROR(VLOOKUP(Base_Periodo1[[#This Row],[CONTA]],BaseContasDRE[#All],4,FALSE)),"Fora do DRE",VLOOKUP(Base_Periodo1[[#This Row],[CONTA]],BaseContasDRE[#All],4,FALSE))</f>
        <v>Fora do DRE</v>
      </c>
      <c r="T2866" s="3" t="str">
        <f>IF(ISERROR(VLOOKUP(Base_Periodo1[[#This Row],[CONTA]],BaseContasDRE[#All],5,FALSE)),"Fora do DRE",VLOOKUP(Base_Periodo1[[#This Row],[CONTA]],BaseContasDRE[#All],6,FALSE))</f>
        <v>Fora do DRE</v>
      </c>
      <c r="U2866" s="3" t="str">
        <f>IF(ISERROR(VLOOKUP(Base_Periodo1[[#This Row],[CONTA]],BaseContasDRE[#All],7,FALSE)),"Fora do DRE",VLOOKUP(Base_Periodo1[[#This Row],[CONTA]],BaseContasDRE[#All],7,FALSE))</f>
        <v>Fora do DRE</v>
      </c>
      <c r="V2866" s="3" t="str">
        <f>IF(Base_Periodo1[[#This Row],[Tipo_Linha]]="Fora do DRE","Fora do DRE","( "&amp;Base_Periodo1[[#This Row],[Tipo_Linha]]&amp;" ) "&amp;Base_Periodo1[[#This Row],[Filtro]])</f>
        <v>Fora do DRE</v>
      </c>
      <c r="W2866" s="3" t="str">
        <f>LEFT(Base_Periodo1[[#This Row],[CLASS]],3)</f>
        <v>2.1</v>
      </c>
    </row>
    <row r="2867" spans="1:23" hidden="1">
      <c r="A2867" s="3" t="str">
        <f t="shared" si="44"/>
        <v>Período 1</v>
      </c>
      <c r="B2867">
        <v>40228</v>
      </c>
      <c r="C2867" t="s">
        <v>1745</v>
      </c>
      <c r="D2867" t="s">
        <v>6366</v>
      </c>
      <c r="E2867" s="3" t="str">
        <f>IF(LEN(Base_Periodo1[[#This Row],[CLASS]])&gt;=7,LEFT(Base_Periodo1[[#This Row],[CLASS]],7),"")</f>
        <v>2.1.2.1</v>
      </c>
      <c r="F2867" s="3" t="str">
        <f>VLOOKUP(Base_Periodo1[[#This Row],[Aux]],Base_Contas_Balanco[#All],2,FALSE)</f>
        <v>Fornecedores Cooperados</v>
      </c>
      <c r="G2867" s="1">
        <v>42845</v>
      </c>
      <c r="H2867" s="225">
        <v>2497.8699999999953</v>
      </c>
      <c r="I2867" s="225">
        <v>0</v>
      </c>
      <c r="J2867" s="225">
        <v>0</v>
      </c>
      <c r="K2867" s="225">
        <v>2497.8699999999953</v>
      </c>
      <c r="L28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2497.87</v>
      </c>
      <c r="M2867" s="225">
        <f>ROUND(IF(AND(Base_Periodo1[[#This Row],[Tipo_Linha]]="-",Base_Periodo1[[#This Row],[TIPOSALDO]]="D"),Base_Periodo1[[#This Row],[SALDO_ATUAL]]*-1,Base_Periodo1[[#This Row],[SALDO_ATUAL]]),4)</f>
        <v>2497.87</v>
      </c>
      <c r="N2867" t="s">
        <v>116</v>
      </c>
      <c r="O2867" t="s">
        <v>459</v>
      </c>
      <c r="P2867" t="s">
        <v>459</v>
      </c>
      <c r="Q2867">
        <v>7</v>
      </c>
      <c r="R2867" s="225">
        <f>Base_Periodo1[[#This Row],[CREDITOS]]-Base_Periodo1[[#This Row],[DEBITOS]]</f>
        <v>0</v>
      </c>
      <c r="S2867" s="3" t="str">
        <f>IF(ISERROR(VLOOKUP(Base_Periodo1[[#This Row],[CONTA]],BaseContasDRE[#All],4,FALSE)),"Fora do DRE",VLOOKUP(Base_Periodo1[[#This Row],[CONTA]],BaseContasDRE[#All],4,FALSE))</f>
        <v>Fora do DRE</v>
      </c>
      <c r="T2867" s="3" t="str">
        <f>IF(ISERROR(VLOOKUP(Base_Periodo1[[#This Row],[CONTA]],BaseContasDRE[#All],5,FALSE)),"Fora do DRE",VLOOKUP(Base_Periodo1[[#This Row],[CONTA]],BaseContasDRE[#All],6,FALSE))</f>
        <v>Fora do DRE</v>
      </c>
      <c r="U2867" s="3" t="str">
        <f>IF(ISERROR(VLOOKUP(Base_Periodo1[[#This Row],[CONTA]],BaseContasDRE[#All],7,FALSE)),"Fora do DRE",VLOOKUP(Base_Periodo1[[#This Row],[CONTA]],BaseContasDRE[#All],7,FALSE))</f>
        <v>Fora do DRE</v>
      </c>
      <c r="V2867" s="3" t="str">
        <f>IF(Base_Periodo1[[#This Row],[Tipo_Linha]]="Fora do DRE","Fora do DRE","( "&amp;Base_Periodo1[[#This Row],[Tipo_Linha]]&amp;" ) "&amp;Base_Periodo1[[#This Row],[Filtro]])</f>
        <v>Fora do DRE</v>
      </c>
      <c r="W2867" s="3" t="str">
        <f>LEFT(Base_Periodo1[[#This Row],[CLASS]],3)</f>
        <v>2.1</v>
      </c>
    </row>
    <row r="2868" spans="1:23" hidden="1">
      <c r="A2868" s="3" t="str">
        <f t="shared" si="44"/>
        <v>Período 1</v>
      </c>
      <c r="B2868">
        <v>16588</v>
      </c>
      <c r="C2868" t="s">
        <v>1745</v>
      </c>
      <c r="D2868" t="s">
        <v>1845</v>
      </c>
      <c r="E2868" s="3" t="str">
        <f>IF(LEN(Base_Periodo1[[#This Row],[CLASS]])&gt;=7,LEFT(Base_Periodo1[[#This Row],[CLASS]],7),"")</f>
        <v>2.1.2.1</v>
      </c>
      <c r="F2868" s="3" t="str">
        <f>VLOOKUP(Base_Periodo1[[#This Row],[Aux]],Base_Contas_Balanco[#All],2,FALSE)</f>
        <v>Fornecedores Cooperados</v>
      </c>
      <c r="G2868" s="1">
        <v>42797</v>
      </c>
      <c r="H2868" s="225">
        <v>2179.4599999999991</v>
      </c>
      <c r="I2868" s="225">
        <v>0</v>
      </c>
      <c r="J2868" s="225">
        <v>0</v>
      </c>
      <c r="K2868" s="225">
        <v>2179.4599999999991</v>
      </c>
      <c r="L28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2179.46</v>
      </c>
      <c r="M2868" s="225">
        <f>ROUND(IF(AND(Base_Periodo1[[#This Row],[Tipo_Linha]]="-",Base_Periodo1[[#This Row],[TIPOSALDO]]="D"),Base_Periodo1[[#This Row],[SALDO_ATUAL]]*-1,Base_Periodo1[[#This Row],[SALDO_ATUAL]]),4)</f>
        <v>2179.46</v>
      </c>
      <c r="N2868" t="s">
        <v>116</v>
      </c>
      <c r="O2868" t="s">
        <v>459</v>
      </c>
      <c r="P2868" t="s">
        <v>459</v>
      </c>
      <c r="Q2868">
        <v>7</v>
      </c>
      <c r="R2868" s="225">
        <f>Base_Periodo1[[#This Row],[CREDITOS]]-Base_Periodo1[[#This Row],[DEBITOS]]</f>
        <v>0</v>
      </c>
      <c r="S2868" s="3" t="str">
        <f>IF(ISERROR(VLOOKUP(Base_Periodo1[[#This Row],[CONTA]],BaseContasDRE[#All],4,FALSE)),"Fora do DRE",VLOOKUP(Base_Periodo1[[#This Row],[CONTA]],BaseContasDRE[#All],4,FALSE))</f>
        <v>Fora do DRE</v>
      </c>
      <c r="T2868" s="3" t="str">
        <f>IF(ISERROR(VLOOKUP(Base_Periodo1[[#This Row],[CONTA]],BaseContasDRE[#All],5,FALSE)),"Fora do DRE",VLOOKUP(Base_Periodo1[[#This Row],[CONTA]],BaseContasDRE[#All],6,FALSE))</f>
        <v>Fora do DRE</v>
      </c>
      <c r="U2868" s="3" t="str">
        <f>IF(ISERROR(VLOOKUP(Base_Periodo1[[#This Row],[CONTA]],BaseContasDRE[#All],7,FALSE)),"Fora do DRE",VLOOKUP(Base_Periodo1[[#This Row],[CONTA]],BaseContasDRE[#All],7,FALSE))</f>
        <v>Fora do DRE</v>
      </c>
      <c r="V2868" s="3" t="str">
        <f>IF(Base_Periodo1[[#This Row],[Tipo_Linha]]="Fora do DRE","Fora do DRE","( "&amp;Base_Periodo1[[#This Row],[Tipo_Linha]]&amp;" ) "&amp;Base_Periodo1[[#This Row],[Filtro]])</f>
        <v>Fora do DRE</v>
      </c>
      <c r="W2868" s="3" t="str">
        <f>LEFT(Base_Periodo1[[#This Row],[CLASS]],3)</f>
        <v>2.1</v>
      </c>
    </row>
    <row r="2869" spans="1:23" hidden="1">
      <c r="A2869" s="3" t="str">
        <f t="shared" si="44"/>
        <v>Período 1</v>
      </c>
      <c r="B2869">
        <v>4398</v>
      </c>
      <c r="C2869" t="s">
        <v>1745</v>
      </c>
      <c r="D2869" t="s">
        <v>1846</v>
      </c>
      <c r="E2869" s="3" t="str">
        <f>IF(LEN(Base_Periodo1[[#This Row],[CLASS]])&gt;=7,LEFT(Base_Periodo1[[#This Row],[CLASS]],7),"")</f>
        <v>2.1.2.1</v>
      </c>
      <c r="F2869" s="3" t="str">
        <f>VLOOKUP(Base_Periodo1[[#This Row],[Aux]],Base_Contas_Balanco[#All],2,FALSE)</f>
        <v>Fornecedores Cooperados</v>
      </c>
      <c r="G2869" s="1">
        <v>41927</v>
      </c>
      <c r="H2869" s="225">
        <v>5.9999999997671694E-2</v>
      </c>
      <c r="I2869" s="225">
        <v>0</v>
      </c>
      <c r="J2869" s="225">
        <v>0</v>
      </c>
      <c r="K2869" s="225">
        <v>5.9999999997671694E-2</v>
      </c>
      <c r="L28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0.06</v>
      </c>
      <c r="M2869" s="225">
        <f>ROUND(IF(AND(Base_Periodo1[[#This Row],[Tipo_Linha]]="-",Base_Periodo1[[#This Row],[TIPOSALDO]]="D"),Base_Periodo1[[#This Row],[SALDO_ATUAL]]*-1,Base_Periodo1[[#This Row],[SALDO_ATUAL]]),4)</f>
        <v>0.06</v>
      </c>
      <c r="N2869" t="s">
        <v>116</v>
      </c>
      <c r="O2869" t="s">
        <v>459</v>
      </c>
      <c r="P2869" t="s">
        <v>459</v>
      </c>
      <c r="Q2869">
        <v>7</v>
      </c>
      <c r="R2869" s="225">
        <f>Base_Periodo1[[#This Row],[CREDITOS]]-Base_Periodo1[[#This Row],[DEBITOS]]</f>
        <v>0</v>
      </c>
      <c r="S2869" s="3" t="str">
        <f>IF(ISERROR(VLOOKUP(Base_Periodo1[[#This Row],[CONTA]],BaseContasDRE[#All],4,FALSE)),"Fora do DRE",VLOOKUP(Base_Periodo1[[#This Row],[CONTA]],BaseContasDRE[#All],4,FALSE))</f>
        <v>Fora do DRE</v>
      </c>
      <c r="T2869" s="3" t="str">
        <f>IF(ISERROR(VLOOKUP(Base_Periodo1[[#This Row],[CONTA]],BaseContasDRE[#All],5,FALSE)),"Fora do DRE",VLOOKUP(Base_Periodo1[[#This Row],[CONTA]],BaseContasDRE[#All],6,FALSE))</f>
        <v>Fora do DRE</v>
      </c>
      <c r="U2869" s="3" t="str">
        <f>IF(ISERROR(VLOOKUP(Base_Periodo1[[#This Row],[CONTA]],BaseContasDRE[#All],7,FALSE)),"Fora do DRE",VLOOKUP(Base_Periodo1[[#This Row],[CONTA]],BaseContasDRE[#All],7,FALSE))</f>
        <v>Fora do DRE</v>
      </c>
      <c r="V2869" s="3" t="str">
        <f>IF(Base_Periodo1[[#This Row],[Tipo_Linha]]="Fora do DRE","Fora do DRE","( "&amp;Base_Periodo1[[#This Row],[Tipo_Linha]]&amp;" ) "&amp;Base_Periodo1[[#This Row],[Filtro]])</f>
        <v>Fora do DRE</v>
      </c>
      <c r="W2869" s="3" t="str">
        <f>LEFT(Base_Periodo1[[#This Row],[CLASS]],3)</f>
        <v>2.1</v>
      </c>
    </row>
    <row r="2870" spans="1:23" hidden="1">
      <c r="A2870" s="3" t="str">
        <f t="shared" si="44"/>
        <v>Período 1</v>
      </c>
      <c r="B2870">
        <v>5054</v>
      </c>
      <c r="C2870" t="s">
        <v>1745</v>
      </c>
      <c r="D2870" t="s">
        <v>1847</v>
      </c>
      <c r="E2870" s="3" t="str">
        <f>IF(LEN(Base_Periodo1[[#This Row],[CLASS]])&gt;=7,LEFT(Base_Periodo1[[#This Row],[CLASS]],7),"")</f>
        <v>2.1.2.1</v>
      </c>
      <c r="F2870" s="3" t="str">
        <f>VLOOKUP(Base_Periodo1[[#This Row],[Aux]],Base_Contas_Balanco[#All],2,FALSE)</f>
        <v>Fornecedores Cooperados</v>
      </c>
      <c r="G2870" s="1">
        <v>42285</v>
      </c>
      <c r="H2870" s="225">
        <v>9.9999999983992893E-3</v>
      </c>
      <c r="I2870" s="225">
        <v>0</v>
      </c>
      <c r="J2870" s="225">
        <v>0</v>
      </c>
      <c r="K2870" s="225">
        <v>9.9999999983992893E-3</v>
      </c>
      <c r="L28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2870" s="225">
        <f>ROUND(IF(AND(Base_Periodo1[[#This Row],[Tipo_Linha]]="-",Base_Periodo1[[#This Row],[TIPOSALDO]]="D"),Base_Periodo1[[#This Row],[SALDO_ATUAL]]*-1,Base_Periodo1[[#This Row],[SALDO_ATUAL]]),4)</f>
        <v>0.01</v>
      </c>
      <c r="N2870" t="s">
        <v>116</v>
      </c>
      <c r="O2870" t="s">
        <v>459</v>
      </c>
      <c r="P2870" t="s">
        <v>459</v>
      </c>
      <c r="Q2870">
        <v>7</v>
      </c>
      <c r="R2870" s="225">
        <f>Base_Periodo1[[#This Row],[CREDITOS]]-Base_Periodo1[[#This Row],[DEBITOS]]</f>
        <v>0</v>
      </c>
      <c r="S2870" s="3" t="str">
        <f>IF(ISERROR(VLOOKUP(Base_Periodo1[[#This Row],[CONTA]],BaseContasDRE[#All],4,FALSE)),"Fora do DRE",VLOOKUP(Base_Periodo1[[#This Row],[CONTA]],BaseContasDRE[#All],4,FALSE))</f>
        <v>Fora do DRE</v>
      </c>
      <c r="T2870" s="3" t="str">
        <f>IF(ISERROR(VLOOKUP(Base_Periodo1[[#This Row],[CONTA]],BaseContasDRE[#All],5,FALSE)),"Fora do DRE",VLOOKUP(Base_Periodo1[[#This Row],[CONTA]],BaseContasDRE[#All],6,FALSE))</f>
        <v>Fora do DRE</v>
      </c>
      <c r="U2870" s="3" t="str">
        <f>IF(ISERROR(VLOOKUP(Base_Periodo1[[#This Row],[CONTA]],BaseContasDRE[#All],7,FALSE)),"Fora do DRE",VLOOKUP(Base_Periodo1[[#This Row],[CONTA]],BaseContasDRE[#All],7,FALSE))</f>
        <v>Fora do DRE</v>
      </c>
      <c r="V2870" s="3" t="str">
        <f>IF(Base_Periodo1[[#This Row],[Tipo_Linha]]="Fora do DRE","Fora do DRE","( "&amp;Base_Periodo1[[#This Row],[Tipo_Linha]]&amp;" ) "&amp;Base_Periodo1[[#This Row],[Filtro]])</f>
        <v>Fora do DRE</v>
      </c>
      <c r="W2870" s="3" t="str">
        <f>LEFT(Base_Periodo1[[#This Row],[CLASS]],3)</f>
        <v>2.1</v>
      </c>
    </row>
    <row r="2871" spans="1:23" hidden="1">
      <c r="A2871" s="3" t="str">
        <f t="shared" si="44"/>
        <v>Período 1</v>
      </c>
      <c r="B2871">
        <v>47952</v>
      </c>
      <c r="C2871" t="s">
        <v>1745</v>
      </c>
      <c r="D2871" t="s">
        <v>5216</v>
      </c>
      <c r="E2871" s="3" t="str">
        <f>IF(LEN(Base_Periodo1[[#This Row],[CLASS]])&gt;=7,LEFT(Base_Periodo1[[#This Row],[CLASS]],7),"")</f>
        <v>2.1.2.1</v>
      </c>
      <c r="F2871" s="3" t="str">
        <f>VLOOKUP(Base_Periodo1[[#This Row],[Aux]],Base_Contas_Balanco[#All],2,FALSE)</f>
        <v>Fornecedores Cooperados</v>
      </c>
      <c r="G2871" s="1">
        <v>42745</v>
      </c>
      <c r="H2871" s="225">
        <v>1.9999999996798579E-2</v>
      </c>
      <c r="I2871" s="225">
        <v>0</v>
      </c>
      <c r="J2871" s="225">
        <v>0</v>
      </c>
      <c r="K2871" s="225">
        <v>1.9999999996798579E-2</v>
      </c>
      <c r="L28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2871" s="225">
        <f>ROUND(IF(AND(Base_Periodo1[[#This Row],[Tipo_Linha]]="-",Base_Periodo1[[#This Row],[TIPOSALDO]]="D"),Base_Periodo1[[#This Row],[SALDO_ATUAL]]*-1,Base_Periodo1[[#This Row],[SALDO_ATUAL]]),4)</f>
        <v>0.02</v>
      </c>
      <c r="N2871" t="s">
        <v>116</v>
      </c>
      <c r="O2871" t="s">
        <v>459</v>
      </c>
      <c r="P2871" t="s">
        <v>459</v>
      </c>
      <c r="Q2871">
        <v>7</v>
      </c>
      <c r="R2871" s="225">
        <f>Base_Periodo1[[#This Row],[CREDITOS]]-Base_Periodo1[[#This Row],[DEBITOS]]</f>
        <v>0</v>
      </c>
      <c r="S2871" s="3" t="str">
        <f>IF(ISERROR(VLOOKUP(Base_Periodo1[[#This Row],[CONTA]],BaseContasDRE[#All],4,FALSE)),"Fora do DRE",VLOOKUP(Base_Periodo1[[#This Row],[CONTA]],BaseContasDRE[#All],4,FALSE))</f>
        <v>Fora do DRE</v>
      </c>
      <c r="T2871" s="3" t="str">
        <f>IF(ISERROR(VLOOKUP(Base_Periodo1[[#This Row],[CONTA]],BaseContasDRE[#All],5,FALSE)),"Fora do DRE",VLOOKUP(Base_Periodo1[[#This Row],[CONTA]],BaseContasDRE[#All],6,FALSE))</f>
        <v>Fora do DRE</v>
      </c>
      <c r="U2871" s="3" t="str">
        <f>IF(ISERROR(VLOOKUP(Base_Periodo1[[#This Row],[CONTA]],BaseContasDRE[#All],7,FALSE)),"Fora do DRE",VLOOKUP(Base_Periodo1[[#This Row],[CONTA]],BaseContasDRE[#All],7,FALSE))</f>
        <v>Fora do DRE</v>
      </c>
      <c r="V2871" s="3" t="str">
        <f>IF(Base_Periodo1[[#This Row],[Tipo_Linha]]="Fora do DRE","Fora do DRE","( "&amp;Base_Periodo1[[#This Row],[Tipo_Linha]]&amp;" ) "&amp;Base_Periodo1[[#This Row],[Filtro]])</f>
        <v>Fora do DRE</v>
      </c>
      <c r="W2871" s="3" t="str">
        <f>LEFT(Base_Periodo1[[#This Row],[CLASS]],3)</f>
        <v>2.1</v>
      </c>
    </row>
    <row r="2872" spans="1:23" hidden="1">
      <c r="A2872" s="3" t="str">
        <f t="shared" si="44"/>
        <v>Período 1</v>
      </c>
      <c r="B2872">
        <v>39054</v>
      </c>
      <c r="C2872" t="s">
        <v>1745</v>
      </c>
      <c r="D2872" t="s">
        <v>6367</v>
      </c>
      <c r="E2872" s="3" t="str">
        <f>IF(LEN(Base_Periodo1[[#This Row],[CLASS]])&gt;=7,LEFT(Base_Periodo1[[#This Row],[CLASS]],7),"")</f>
        <v>2.1.2.1</v>
      </c>
      <c r="F2872" s="3" t="str">
        <f>VLOOKUP(Base_Periodo1[[#This Row],[Aux]],Base_Contas_Balanco[#All],2,FALSE)</f>
        <v>Fornecedores Cooperados</v>
      </c>
      <c r="G2872" s="1">
        <v>42880</v>
      </c>
      <c r="H2872" s="225">
        <v>42540.419999999984</v>
      </c>
      <c r="I2872" s="225">
        <v>921.92</v>
      </c>
      <c r="J2872" s="225">
        <v>0</v>
      </c>
      <c r="K2872" s="225">
        <v>41618.499999999985</v>
      </c>
      <c r="L28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41618.5</v>
      </c>
      <c r="M2872" s="225">
        <f>ROUND(IF(AND(Base_Periodo1[[#This Row],[Tipo_Linha]]="-",Base_Periodo1[[#This Row],[TIPOSALDO]]="D"),Base_Periodo1[[#This Row],[SALDO_ATUAL]]*-1,Base_Periodo1[[#This Row],[SALDO_ATUAL]]),4)</f>
        <v>41618.5</v>
      </c>
      <c r="N2872" t="s">
        <v>116</v>
      </c>
      <c r="O2872" t="s">
        <v>459</v>
      </c>
      <c r="P2872" t="s">
        <v>459</v>
      </c>
      <c r="Q2872">
        <v>7</v>
      </c>
      <c r="R2872" s="225">
        <f>Base_Periodo1[[#This Row],[CREDITOS]]-Base_Periodo1[[#This Row],[DEBITOS]]</f>
        <v>-921.92</v>
      </c>
      <c r="S2872" s="3" t="str">
        <f>IF(ISERROR(VLOOKUP(Base_Periodo1[[#This Row],[CONTA]],BaseContasDRE[#All],4,FALSE)),"Fora do DRE",VLOOKUP(Base_Periodo1[[#This Row],[CONTA]],BaseContasDRE[#All],4,FALSE))</f>
        <v>Fora do DRE</v>
      </c>
      <c r="T2872" s="3" t="str">
        <f>IF(ISERROR(VLOOKUP(Base_Periodo1[[#This Row],[CONTA]],BaseContasDRE[#All],5,FALSE)),"Fora do DRE",VLOOKUP(Base_Periodo1[[#This Row],[CONTA]],BaseContasDRE[#All],6,FALSE))</f>
        <v>Fora do DRE</v>
      </c>
      <c r="U2872" s="3" t="str">
        <f>IF(ISERROR(VLOOKUP(Base_Periodo1[[#This Row],[CONTA]],BaseContasDRE[#All],7,FALSE)),"Fora do DRE",VLOOKUP(Base_Periodo1[[#This Row],[CONTA]],BaseContasDRE[#All],7,FALSE))</f>
        <v>Fora do DRE</v>
      </c>
      <c r="V2872" s="3" t="str">
        <f>IF(Base_Periodo1[[#This Row],[Tipo_Linha]]="Fora do DRE","Fora do DRE","( "&amp;Base_Periodo1[[#This Row],[Tipo_Linha]]&amp;" ) "&amp;Base_Periodo1[[#This Row],[Filtro]])</f>
        <v>Fora do DRE</v>
      </c>
      <c r="W2872" s="3" t="str">
        <f>LEFT(Base_Periodo1[[#This Row],[CLASS]],3)</f>
        <v>2.1</v>
      </c>
    </row>
    <row r="2873" spans="1:23" hidden="1">
      <c r="A2873" s="3" t="str">
        <f t="shared" si="44"/>
        <v>Período 1</v>
      </c>
      <c r="B2873">
        <v>18534</v>
      </c>
      <c r="C2873" t="s">
        <v>1745</v>
      </c>
      <c r="D2873" t="s">
        <v>1848</v>
      </c>
      <c r="E2873" s="3" t="str">
        <f>IF(LEN(Base_Periodo1[[#This Row],[CLASS]])&gt;=7,LEFT(Base_Periodo1[[#This Row],[CLASS]],7),"")</f>
        <v>2.1.2.1</v>
      </c>
      <c r="F2873" s="3" t="str">
        <f>VLOOKUP(Base_Periodo1[[#This Row],[Aux]],Base_Contas_Balanco[#All],2,FALSE)</f>
        <v>Fornecedores Cooperados</v>
      </c>
      <c r="G2873" s="1">
        <v>42695</v>
      </c>
      <c r="H2873" s="225">
        <v>9.9999999983992893E-3</v>
      </c>
      <c r="I2873" s="225">
        <v>0</v>
      </c>
      <c r="J2873" s="225">
        <v>0</v>
      </c>
      <c r="K2873" s="225">
        <v>9.9999999983992893E-3</v>
      </c>
      <c r="L28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2873" s="225">
        <f>ROUND(IF(AND(Base_Periodo1[[#This Row],[Tipo_Linha]]="-",Base_Periodo1[[#This Row],[TIPOSALDO]]="D"),Base_Periodo1[[#This Row],[SALDO_ATUAL]]*-1,Base_Periodo1[[#This Row],[SALDO_ATUAL]]),4)</f>
        <v>0.01</v>
      </c>
      <c r="N2873" t="s">
        <v>116</v>
      </c>
      <c r="O2873" t="s">
        <v>459</v>
      </c>
      <c r="P2873" t="s">
        <v>459</v>
      </c>
      <c r="Q2873">
        <v>7</v>
      </c>
      <c r="R2873" s="225">
        <f>Base_Periodo1[[#This Row],[CREDITOS]]-Base_Periodo1[[#This Row],[DEBITOS]]</f>
        <v>0</v>
      </c>
      <c r="S2873" s="3" t="str">
        <f>IF(ISERROR(VLOOKUP(Base_Periodo1[[#This Row],[CONTA]],BaseContasDRE[#All],4,FALSE)),"Fora do DRE",VLOOKUP(Base_Periodo1[[#This Row],[CONTA]],BaseContasDRE[#All],4,FALSE))</f>
        <v>Fora do DRE</v>
      </c>
      <c r="T2873" s="3" t="str">
        <f>IF(ISERROR(VLOOKUP(Base_Periodo1[[#This Row],[CONTA]],BaseContasDRE[#All],5,FALSE)),"Fora do DRE",VLOOKUP(Base_Periodo1[[#This Row],[CONTA]],BaseContasDRE[#All],6,FALSE))</f>
        <v>Fora do DRE</v>
      </c>
      <c r="U2873" s="3" t="str">
        <f>IF(ISERROR(VLOOKUP(Base_Periodo1[[#This Row],[CONTA]],BaseContasDRE[#All],7,FALSE)),"Fora do DRE",VLOOKUP(Base_Periodo1[[#This Row],[CONTA]],BaseContasDRE[#All],7,FALSE))</f>
        <v>Fora do DRE</v>
      </c>
      <c r="V2873" s="3" t="str">
        <f>IF(Base_Periodo1[[#This Row],[Tipo_Linha]]="Fora do DRE","Fora do DRE","( "&amp;Base_Periodo1[[#This Row],[Tipo_Linha]]&amp;" ) "&amp;Base_Periodo1[[#This Row],[Filtro]])</f>
        <v>Fora do DRE</v>
      </c>
      <c r="W2873" s="3" t="str">
        <f>LEFT(Base_Periodo1[[#This Row],[CLASS]],3)</f>
        <v>2.1</v>
      </c>
    </row>
    <row r="2874" spans="1:23" hidden="1">
      <c r="A2874" s="3" t="str">
        <f t="shared" si="44"/>
        <v>Período 1</v>
      </c>
      <c r="B2874">
        <v>23808</v>
      </c>
      <c r="C2874" t="s">
        <v>1745</v>
      </c>
      <c r="D2874" t="s">
        <v>4675</v>
      </c>
      <c r="E2874" s="3" t="str">
        <f>IF(LEN(Base_Periodo1[[#This Row],[CLASS]])&gt;=7,LEFT(Base_Periodo1[[#This Row],[CLASS]],7),"")</f>
        <v>2.1.2.1</v>
      </c>
      <c r="F2874" s="3" t="str">
        <f>VLOOKUP(Base_Periodo1[[#This Row],[Aux]],Base_Contas_Balanco[#All],2,FALSE)</f>
        <v>Fornecedores Cooperados</v>
      </c>
      <c r="G2874" s="1">
        <v>42843</v>
      </c>
      <c r="H2874" s="225">
        <v>7536.8900000000722</v>
      </c>
      <c r="I2874" s="225">
        <v>0</v>
      </c>
      <c r="J2874" s="225">
        <v>0</v>
      </c>
      <c r="K2874" s="225">
        <v>7536.8900000000722</v>
      </c>
      <c r="L28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7536.89</v>
      </c>
      <c r="M2874" s="225">
        <f>ROUND(IF(AND(Base_Periodo1[[#This Row],[Tipo_Linha]]="-",Base_Periodo1[[#This Row],[TIPOSALDO]]="D"),Base_Periodo1[[#This Row],[SALDO_ATUAL]]*-1,Base_Periodo1[[#This Row],[SALDO_ATUAL]]),4)</f>
        <v>7536.89</v>
      </c>
      <c r="N2874" t="s">
        <v>116</v>
      </c>
      <c r="O2874" t="s">
        <v>459</v>
      </c>
      <c r="P2874" t="s">
        <v>459</v>
      </c>
      <c r="Q2874">
        <v>7</v>
      </c>
      <c r="R2874" s="225">
        <f>Base_Periodo1[[#This Row],[CREDITOS]]-Base_Periodo1[[#This Row],[DEBITOS]]</f>
        <v>0</v>
      </c>
      <c r="S2874" s="3" t="str">
        <f>IF(ISERROR(VLOOKUP(Base_Periodo1[[#This Row],[CONTA]],BaseContasDRE[#All],4,FALSE)),"Fora do DRE",VLOOKUP(Base_Periodo1[[#This Row],[CONTA]],BaseContasDRE[#All],4,FALSE))</f>
        <v>Fora do DRE</v>
      </c>
      <c r="T2874" s="3" t="str">
        <f>IF(ISERROR(VLOOKUP(Base_Periodo1[[#This Row],[CONTA]],BaseContasDRE[#All],5,FALSE)),"Fora do DRE",VLOOKUP(Base_Periodo1[[#This Row],[CONTA]],BaseContasDRE[#All],6,FALSE))</f>
        <v>Fora do DRE</v>
      </c>
      <c r="U2874" s="3" t="str">
        <f>IF(ISERROR(VLOOKUP(Base_Periodo1[[#This Row],[CONTA]],BaseContasDRE[#All],7,FALSE)),"Fora do DRE",VLOOKUP(Base_Periodo1[[#This Row],[CONTA]],BaseContasDRE[#All],7,FALSE))</f>
        <v>Fora do DRE</v>
      </c>
      <c r="V2874" s="3" t="str">
        <f>IF(Base_Periodo1[[#This Row],[Tipo_Linha]]="Fora do DRE","Fora do DRE","( "&amp;Base_Periodo1[[#This Row],[Tipo_Linha]]&amp;" ) "&amp;Base_Periodo1[[#This Row],[Filtro]])</f>
        <v>Fora do DRE</v>
      </c>
      <c r="W2874" s="3" t="str">
        <f>LEFT(Base_Periodo1[[#This Row],[CLASS]],3)</f>
        <v>2.1</v>
      </c>
    </row>
    <row r="2875" spans="1:23" hidden="1">
      <c r="A2875" s="3" t="str">
        <f t="shared" si="44"/>
        <v>Período 1</v>
      </c>
      <c r="B2875">
        <v>2982</v>
      </c>
      <c r="C2875" t="s">
        <v>1745</v>
      </c>
      <c r="D2875" t="s">
        <v>4759</v>
      </c>
      <c r="E2875" s="3" t="str">
        <f>IF(LEN(Base_Periodo1[[#This Row],[CLASS]])&gt;=7,LEFT(Base_Periodo1[[#This Row],[CLASS]],7),"")</f>
        <v>2.1.2.1</v>
      </c>
      <c r="F2875" s="3" t="str">
        <f>VLOOKUP(Base_Periodo1[[#This Row],[Aux]],Base_Contas_Balanco[#All],2,FALSE)</f>
        <v>Fornecedores Cooperados</v>
      </c>
      <c r="G2875" s="1">
        <v>42885</v>
      </c>
      <c r="H2875" s="225">
        <v>10225.439999999944</v>
      </c>
      <c r="I2875" s="225">
        <v>0</v>
      </c>
      <c r="J2875" s="225">
        <v>53799.3</v>
      </c>
      <c r="K2875" s="225">
        <v>64024.739999999947</v>
      </c>
      <c r="L28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64024.74</v>
      </c>
      <c r="M2875" s="225">
        <f>ROUND(IF(AND(Base_Periodo1[[#This Row],[Tipo_Linha]]="-",Base_Periodo1[[#This Row],[TIPOSALDO]]="D"),Base_Periodo1[[#This Row],[SALDO_ATUAL]]*-1,Base_Periodo1[[#This Row],[SALDO_ATUAL]]),4)</f>
        <v>64024.74</v>
      </c>
      <c r="N2875" t="s">
        <v>116</v>
      </c>
      <c r="O2875" t="s">
        <v>459</v>
      </c>
      <c r="P2875" t="s">
        <v>459</v>
      </c>
      <c r="Q2875">
        <v>7</v>
      </c>
      <c r="R2875" s="225">
        <f>Base_Periodo1[[#This Row],[CREDITOS]]-Base_Periodo1[[#This Row],[DEBITOS]]</f>
        <v>53799.3</v>
      </c>
      <c r="S2875" s="3" t="str">
        <f>IF(ISERROR(VLOOKUP(Base_Periodo1[[#This Row],[CONTA]],BaseContasDRE[#All],4,FALSE)),"Fora do DRE",VLOOKUP(Base_Periodo1[[#This Row],[CONTA]],BaseContasDRE[#All],4,FALSE))</f>
        <v>Fora do DRE</v>
      </c>
      <c r="T2875" s="3" t="str">
        <f>IF(ISERROR(VLOOKUP(Base_Periodo1[[#This Row],[CONTA]],BaseContasDRE[#All],5,FALSE)),"Fora do DRE",VLOOKUP(Base_Periodo1[[#This Row],[CONTA]],BaseContasDRE[#All],6,FALSE))</f>
        <v>Fora do DRE</v>
      </c>
      <c r="U2875" s="3" t="str">
        <f>IF(ISERROR(VLOOKUP(Base_Periodo1[[#This Row],[CONTA]],BaseContasDRE[#All],7,FALSE)),"Fora do DRE",VLOOKUP(Base_Periodo1[[#This Row],[CONTA]],BaseContasDRE[#All],7,FALSE))</f>
        <v>Fora do DRE</v>
      </c>
      <c r="V2875" s="3" t="str">
        <f>IF(Base_Periodo1[[#This Row],[Tipo_Linha]]="Fora do DRE","Fora do DRE","( "&amp;Base_Periodo1[[#This Row],[Tipo_Linha]]&amp;" ) "&amp;Base_Periodo1[[#This Row],[Filtro]])</f>
        <v>Fora do DRE</v>
      </c>
      <c r="W2875" s="3" t="str">
        <f>LEFT(Base_Periodo1[[#This Row],[CLASS]],3)</f>
        <v>2.1</v>
      </c>
    </row>
    <row r="2876" spans="1:23" hidden="1">
      <c r="A2876" s="3" t="str">
        <f t="shared" si="44"/>
        <v>Período 1</v>
      </c>
      <c r="B2876">
        <v>39459</v>
      </c>
      <c r="C2876" t="s">
        <v>1745</v>
      </c>
      <c r="D2876" t="s">
        <v>5954</v>
      </c>
      <c r="E2876" s="3" t="str">
        <f>IF(LEN(Base_Periodo1[[#This Row],[CLASS]])&gt;=7,LEFT(Base_Periodo1[[#This Row],[CLASS]],7),"")</f>
        <v>2.1.2.1</v>
      </c>
      <c r="F2876" s="3" t="str">
        <f>VLOOKUP(Base_Periodo1[[#This Row],[Aux]],Base_Contas_Balanco[#All],2,FALSE)</f>
        <v>Fornecedores Cooperados</v>
      </c>
      <c r="G2876" s="1">
        <v>42844</v>
      </c>
      <c r="H2876" s="225">
        <v>17694.619999999995</v>
      </c>
      <c r="I2876" s="225">
        <v>0</v>
      </c>
      <c r="J2876" s="225">
        <v>0</v>
      </c>
      <c r="K2876" s="225">
        <v>17694.619999999995</v>
      </c>
      <c r="L28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17694.62</v>
      </c>
      <c r="M2876" s="225">
        <f>ROUND(IF(AND(Base_Periodo1[[#This Row],[Tipo_Linha]]="-",Base_Periodo1[[#This Row],[TIPOSALDO]]="D"),Base_Periodo1[[#This Row],[SALDO_ATUAL]]*-1,Base_Periodo1[[#This Row],[SALDO_ATUAL]]),4)</f>
        <v>17694.62</v>
      </c>
      <c r="N2876" t="s">
        <v>116</v>
      </c>
      <c r="O2876" t="s">
        <v>459</v>
      </c>
      <c r="P2876" t="s">
        <v>459</v>
      </c>
      <c r="Q2876">
        <v>7</v>
      </c>
      <c r="R2876" s="225">
        <f>Base_Periodo1[[#This Row],[CREDITOS]]-Base_Periodo1[[#This Row],[DEBITOS]]</f>
        <v>0</v>
      </c>
      <c r="S2876" s="3" t="str">
        <f>IF(ISERROR(VLOOKUP(Base_Periodo1[[#This Row],[CONTA]],BaseContasDRE[#All],4,FALSE)),"Fora do DRE",VLOOKUP(Base_Periodo1[[#This Row],[CONTA]],BaseContasDRE[#All],4,FALSE))</f>
        <v>Fora do DRE</v>
      </c>
      <c r="T2876" s="3" t="str">
        <f>IF(ISERROR(VLOOKUP(Base_Periodo1[[#This Row],[CONTA]],BaseContasDRE[#All],5,FALSE)),"Fora do DRE",VLOOKUP(Base_Periodo1[[#This Row],[CONTA]],BaseContasDRE[#All],6,FALSE))</f>
        <v>Fora do DRE</v>
      </c>
      <c r="U2876" s="3" t="str">
        <f>IF(ISERROR(VLOOKUP(Base_Periodo1[[#This Row],[CONTA]],BaseContasDRE[#All],7,FALSE)),"Fora do DRE",VLOOKUP(Base_Periodo1[[#This Row],[CONTA]],BaseContasDRE[#All],7,FALSE))</f>
        <v>Fora do DRE</v>
      </c>
      <c r="V2876" s="3" t="str">
        <f>IF(Base_Periodo1[[#This Row],[Tipo_Linha]]="Fora do DRE","Fora do DRE","( "&amp;Base_Periodo1[[#This Row],[Tipo_Linha]]&amp;" ) "&amp;Base_Periodo1[[#This Row],[Filtro]])</f>
        <v>Fora do DRE</v>
      </c>
      <c r="W2876" s="3" t="str">
        <f>LEFT(Base_Periodo1[[#This Row],[CLASS]],3)</f>
        <v>2.1</v>
      </c>
    </row>
    <row r="2877" spans="1:23" hidden="1">
      <c r="A2877" s="3" t="str">
        <f t="shared" si="44"/>
        <v>Período 1</v>
      </c>
      <c r="B2877">
        <v>3294</v>
      </c>
      <c r="C2877" t="s">
        <v>1745</v>
      </c>
      <c r="D2877" t="s">
        <v>1849</v>
      </c>
      <c r="E2877" s="3" t="str">
        <f>IF(LEN(Base_Periodo1[[#This Row],[CLASS]])&gt;=7,LEFT(Base_Periodo1[[#This Row],[CLASS]],7),"")</f>
        <v>2.1.2.1</v>
      </c>
      <c r="F2877" s="3" t="str">
        <f>VLOOKUP(Base_Periodo1[[#This Row],[Aux]],Base_Contas_Balanco[#All],2,FALSE)</f>
        <v>Fornecedores Cooperados</v>
      </c>
      <c r="G2877" s="1">
        <v>42870</v>
      </c>
      <c r="H2877" s="225">
        <v>10254.459999999992</v>
      </c>
      <c r="I2877" s="225">
        <v>0</v>
      </c>
      <c r="J2877" s="225">
        <v>2648.25</v>
      </c>
      <c r="K2877" s="225">
        <v>12902.709999999992</v>
      </c>
      <c r="L28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12902.71</v>
      </c>
      <c r="M2877" s="225">
        <f>ROUND(IF(AND(Base_Periodo1[[#This Row],[Tipo_Linha]]="-",Base_Periodo1[[#This Row],[TIPOSALDO]]="D"),Base_Periodo1[[#This Row],[SALDO_ATUAL]]*-1,Base_Periodo1[[#This Row],[SALDO_ATUAL]]),4)</f>
        <v>12902.71</v>
      </c>
      <c r="N2877" t="s">
        <v>116</v>
      </c>
      <c r="O2877" t="s">
        <v>459</v>
      </c>
      <c r="P2877" t="s">
        <v>459</v>
      </c>
      <c r="Q2877">
        <v>7</v>
      </c>
      <c r="R2877" s="225">
        <f>Base_Periodo1[[#This Row],[CREDITOS]]-Base_Periodo1[[#This Row],[DEBITOS]]</f>
        <v>2648.25</v>
      </c>
      <c r="S2877" s="3" t="str">
        <f>IF(ISERROR(VLOOKUP(Base_Periodo1[[#This Row],[CONTA]],BaseContasDRE[#All],4,FALSE)),"Fora do DRE",VLOOKUP(Base_Periodo1[[#This Row],[CONTA]],BaseContasDRE[#All],4,FALSE))</f>
        <v>Fora do DRE</v>
      </c>
      <c r="T2877" s="3" t="str">
        <f>IF(ISERROR(VLOOKUP(Base_Periodo1[[#This Row],[CONTA]],BaseContasDRE[#All],5,FALSE)),"Fora do DRE",VLOOKUP(Base_Periodo1[[#This Row],[CONTA]],BaseContasDRE[#All],6,FALSE))</f>
        <v>Fora do DRE</v>
      </c>
      <c r="U2877" s="3" t="str">
        <f>IF(ISERROR(VLOOKUP(Base_Periodo1[[#This Row],[CONTA]],BaseContasDRE[#All],7,FALSE)),"Fora do DRE",VLOOKUP(Base_Periodo1[[#This Row],[CONTA]],BaseContasDRE[#All],7,FALSE))</f>
        <v>Fora do DRE</v>
      </c>
      <c r="V2877" s="3" t="str">
        <f>IF(Base_Periodo1[[#This Row],[Tipo_Linha]]="Fora do DRE","Fora do DRE","( "&amp;Base_Periodo1[[#This Row],[Tipo_Linha]]&amp;" ) "&amp;Base_Periodo1[[#This Row],[Filtro]])</f>
        <v>Fora do DRE</v>
      </c>
      <c r="W2877" s="3" t="str">
        <f>LEFT(Base_Periodo1[[#This Row],[CLASS]],3)</f>
        <v>2.1</v>
      </c>
    </row>
    <row r="2878" spans="1:23" hidden="1">
      <c r="A2878" s="3" t="str">
        <f t="shared" si="44"/>
        <v>Período 1</v>
      </c>
      <c r="B2878">
        <v>4150</v>
      </c>
      <c r="C2878" t="s">
        <v>1745</v>
      </c>
      <c r="D2878" t="s">
        <v>6368</v>
      </c>
      <c r="E2878" s="3" t="str">
        <f>IF(LEN(Base_Periodo1[[#This Row],[CLASS]])&gt;=7,LEFT(Base_Periodo1[[#This Row],[CLASS]],7),"")</f>
        <v>2.1.2.1</v>
      </c>
      <c r="F2878" s="3" t="str">
        <f>VLOOKUP(Base_Periodo1[[#This Row],[Aux]],Base_Contas_Balanco[#All],2,FALSE)</f>
        <v>Fornecedores Cooperados</v>
      </c>
      <c r="G2878" s="1">
        <v>42873</v>
      </c>
      <c r="I2878" s="225">
        <v>240</v>
      </c>
      <c r="J2878" s="225">
        <v>240</v>
      </c>
      <c r="K2878" s="225">
        <v>-7.2759576141834259E-12</v>
      </c>
      <c r="L28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878" s="225">
        <f>ROUND(IF(AND(Base_Periodo1[[#This Row],[Tipo_Linha]]="-",Base_Periodo1[[#This Row],[TIPOSALDO]]="D"),Base_Periodo1[[#This Row],[SALDO_ATUAL]]*-1,Base_Periodo1[[#This Row],[SALDO_ATUAL]]),4)</f>
        <v>0</v>
      </c>
      <c r="N2878" t="s">
        <v>116</v>
      </c>
      <c r="O2878" t="s">
        <v>436</v>
      </c>
      <c r="P2878" t="s">
        <v>436</v>
      </c>
      <c r="Q2878">
        <v>7</v>
      </c>
      <c r="R2878" s="225">
        <f>Base_Periodo1[[#This Row],[CREDITOS]]-Base_Periodo1[[#This Row],[DEBITOS]]</f>
        <v>0</v>
      </c>
      <c r="S2878" s="3" t="str">
        <f>IF(ISERROR(VLOOKUP(Base_Periodo1[[#This Row],[CONTA]],BaseContasDRE[#All],4,FALSE)),"Fora do DRE",VLOOKUP(Base_Periodo1[[#This Row],[CONTA]],BaseContasDRE[#All],4,FALSE))</f>
        <v>Fora do DRE</v>
      </c>
      <c r="T2878" s="3" t="str">
        <f>IF(ISERROR(VLOOKUP(Base_Periodo1[[#This Row],[CONTA]],BaseContasDRE[#All],5,FALSE)),"Fora do DRE",VLOOKUP(Base_Periodo1[[#This Row],[CONTA]],BaseContasDRE[#All],6,FALSE))</f>
        <v>Fora do DRE</v>
      </c>
      <c r="U2878" s="3" t="str">
        <f>IF(ISERROR(VLOOKUP(Base_Periodo1[[#This Row],[CONTA]],BaseContasDRE[#All],7,FALSE)),"Fora do DRE",VLOOKUP(Base_Periodo1[[#This Row],[CONTA]],BaseContasDRE[#All],7,FALSE))</f>
        <v>Fora do DRE</v>
      </c>
      <c r="V2878" s="3" t="str">
        <f>IF(Base_Periodo1[[#This Row],[Tipo_Linha]]="Fora do DRE","Fora do DRE","( "&amp;Base_Periodo1[[#This Row],[Tipo_Linha]]&amp;" ) "&amp;Base_Periodo1[[#This Row],[Filtro]])</f>
        <v>Fora do DRE</v>
      </c>
      <c r="W2878" s="3" t="str">
        <f>LEFT(Base_Periodo1[[#This Row],[CLASS]],3)</f>
        <v>2.1</v>
      </c>
    </row>
    <row r="2879" spans="1:23" hidden="1">
      <c r="A2879" s="3" t="str">
        <f t="shared" si="44"/>
        <v>Período 1</v>
      </c>
      <c r="B2879">
        <v>4962</v>
      </c>
      <c r="C2879" t="s">
        <v>1745</v>
      </c>
      <c r="D2879" t="s">
        <v>1850</v>
      </c>
      <c r="E2879" s="3" t="str">
        <f>IF(LEN(Base_Periodo1[[#This Row],[CLASS]])&gt;=7,LEFT(Base_Periodo1[[#This Row],[CLASS]],7),"")</f>
        <v>2.1.2.1</v>
      </c>
      <c r="F2879" s="3" t="str">
        <f>VLOOKUP(Base_Periodo1[[#This Row],[Aux]],Base_Contas_Balanco[#All],2,FALSE)</f>
        <v>Fornecedores Cooperados</v>
      </c>
      <c r="G2879" s="1">
        <v>41587</v>
      </c>
      <c r="H2879" s="225">
        <v>4240.1099999998696</v>
      </c>
      <c r="I2879" s="225">
        <v>0</v>
      </c>
      <c r="J2879" s="225">
        <v>0</v>
      </c>
      <c r="K2879" s="225">
        <v>4240.1099999998696</v>
      </c>
      <c r="L28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4240.1099999999997</v>
      </c>
      <c r="M2879" s="225">
        <f>ROUND(IF(AND(Base_Periodo1[[#This Row],[Tipo_Linha]]="-",Base_Periodo1[[#This Row],[TIPOSALDO]]="D"),Base_Periodo1[[#This Row],[SALDO_ATUAL]]*-1,Base_Periodo1[[#This Row],[SALDO_ATUAL]]),4)</f>
        <v>4240.1099999999997</v>
      </c>
      <c r="N2879" t="s">
        <v>116</v>
      </c>
      <c r="O2879" t="s">
        <v>459</v>
      </c>
      <c r="P2879" t="s">
        <v>459</v>
      </c>
      <c r="Q2879">
        <v>7</v>
      </c>
      <c r="R2879" s="225">
        <f>Base_Periodo1[[#This Row],[CREDITOS]]-Base_Periodo1[[#This Row],[DEBITOS]]</f>
        <v>0</v>
      </c>
      <c r="S2879" s="3" t="str">
        <f>IF(ISERROR(VLOOKUP(Base_Periodo1[[#This Row],[CONTA]],BaseContasDRE[#All],4,FALSE)),"Fora do DRE",VLOOKUP(Base_Periodo1[[#This Row],[CONTA]],BaseContasDRE[#All],4,FALSE))</f>
        <v>Fora do DRE</v>
      </c>
      <c r="T2879" s="3" t="str">
        <f>IF(ISERROR(VLOOKUP(Base_Periodo1[[#This Row],[CONTA]],BaseContasDRE[#All],5,FALSE)),"Fora do DRE",VLOOKUP(Base_Periodo1[[#This Row],[CONTA]],BaseContasDRE[#All],6,FALSE))</f>
        <v>Fora do DRE</v>
      </c>
      <c r="U2879" s="3" t="str">
        <f>IF(ISERROR(VLOOKUP(Base_Periodo1[[#This Row],[CONTA]],BaseContasDRE[#All],7,FALSE)),"Fora do DRE",VLOOKUP(Base_Periodo1[[#This Row],[CONTA]],BaseContasDRE[#All],7,FALSE))</f>
        <v>Fora do DRE</v>
      </c>
      <c r="V2879" s="3" t="str">
        <f>IF(Base_Periodo1[[#This Row],[Tipo_Linha]]="Fora do DRE","Fora do DRE","( "&amp;Base_Periodo1[[#This Row],[Tipo_Linha]]&amp;" ) "&amp;Base_Periodo1[[#This Row],[Filtro]])</f>
        <v>Fora do DRE</v>
      </c>
      <c r="W2879" s="3" t="str">
        <f>LEFT(Base_Periodo1[[#This Row],[CLASS]],3)</f>
        <v>2.1</v>
      </c>
    </row>
    <row r="2880" spans="1:23" hidden="1">
      <c r="A2880" s="3" t="str">
        <f t="shared" si="44"/>
        <v>Período 1</v>
      </c>
      <c r="B2880">
        <v>4826</v>
      </c>
      <c r="C2880" t="s">
        <v>1745</v>
      </c>
      <c r="D2880" t="s">
        <v>1851</v>
      </c>
      <c r="E2880" s="3" t="str">
        <f>IF(LEN(Base_Periodo1[[#This Row],[CLASS]])&gt;=7,LEFT(Base_Periodo1[[#This Row],[CLASS]],7),"")</f>
        <v>2.1.2.1</v>
      </c>
      <c r="F2880" s="3" t="str">
        <f>VLOOKUP(Base_Periodo1[[#This Row],[Aux]],Base_Contas_Balanco[#All],2,FALSE)</f>
        <v>Fornecedores Cooperados</v>
      </c>
      <c r="G2880" s="1">
        <v>41696</v>
      </c>
      <c r="H2880" s="225">
        <v>0.18000000005122274</v>
      </c>
      <c r="I2880" s="225">
        <v>0</v>
      </c>
      <c r="J2880" s="225">
        <v>0</v>
      </c>
      <c r="K2880" s="225">
        <v>0.18000000005122274</v>
      </c>
      <c r="L28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0.18</v>
      </c>
      <c r="M2880" s="225">
        <f>ROUND(IF(AND(Base_Periodo1[[#This Row],[Tipo_Linha]]="-",Base_Periodo1[[#This Row],[TIPOSALDO]]="D"),Base_Periodo1[[#This Row],[SALDO_ATUAL]]*-1,Base_Periodo1[[#This Row],[SALDO_ATUAL]]),4)</f>
        <v>0.18</v>
      </c>
      <c r="N2880" t="s">
        <v>116</v>
      </c>
      <c r="O2880" t="s">
        <v>459</v>
      </c>
      <c r="P2880" t="s">
        <v>459</v>
      </c>
      <c r="Q2880">
        <v>7</v>
      </c>
      <c r="R2880" s="225">
        <f>Base_Periodo1[[#This Row],[CREDITOS]]-Base_Periodo1[[#This Row],[DEBITOS]]</f>
        <v>0</v>
      </c>
      <c r="S2880" s="3" t="str">
        <f>IF(ISERROR(VLOOKUP(Base_Periodo1[[#This Row],[CONTA]],BaseContasDRE[#All],4,FALSE)),"Fora do DRE",VLOOKUP(Base_Periodo1[[#This Row],[CONTA]],BaseContasDRE[#All],4,FALSE))</f>
        <v>Fora do DRE</v>
      </c>
      <c r="T2880" s="3" t="str">
        <f>IF(ISERROR(VLOOKUP(Base_Periodo1[[#This Row],[CONTA]],BaseContasDRE[#All],5,FALSE)),"Fora do DRE",VLOOKUP(Base_Periodo1[[#This Row],[CONTA]],BaseContasDRE[#All],6,FALSE))</f>
        <v>Fora do DRE</v>
      </c>
      <c r="U2880" s="3" t="str">
        <f>IF(ISERROR(VLOOKUP(Base_Periodo1[[#This Row],[CONTA]],BaseContasDRE[#All],7,FALSE)),"Fora do DRE",VLOOKUP(Base_Periodo1[[#This Row],[CONTA]],BaseContasDRE[#All],7,FALSE))</f>
        <v>Fora do DRE</v>
      </c>
      <c r="V2880" s="3" t="str">
        <f>IF(Base_Periodo1[[#This Row],[Tipo_Linha]]="Fora do DRE","Fora do DRE","( "&amp;Base_Periodo1[[#This Row],[Tipo_Linha]]&amp;" ) "&amp;Base_Periodo1[[#This Row],[Filtro]])</f>
        <v>Fora do DRE</v>
      </c>
      <c r="W2880" s="3" t="str">
        <f>LEFT(Base_Periodo1[[#This Row],[CLASS]],3)</f>
        <v>2.1</v>
      </c>
    </row>
    <row r="2881" spans="1:23" hidden="1">
      <c r="A2881" s="3" t="str">
        <f t="shared" si="44"/>
        <v>Período 1</v>
      </c>
      <c r="B2881">
        <v>3166</v>
      </c>
      <c r="C2881" t="s">
        <v>1745</v>
      </c>
      <c r="D2881" t="s">
        <v>1852</v>
      </c>
      <c r="E2881" s="3" t="str">
        <f>IF(LEN(Base_Periodo1[[#This Row],[CLASS]])&gt;=7,LEFT(Base_Periodo1[[#This Row],[CLASS]],7),"")</f>
        <v>2.1.2.1</v>
      </c>
      <c r="F2881" s="3" t="str">
        <f>VLOOKUP(Base_Periodo1[[#This Row],[Aux]],Base_Contas_Balanco[#All],2,FALSE)</f>
        <v>Fornecedores Cooperados</v>
      </c>
      <c r="G2881" s="1">
        <v>42885</v>
      </c>
      <c r="H2881" s="225">
        <v>7.0000000298023224E-2</v>
      </c>
      <c r="I2881" s="225">
        <v>0</v>
      </c>
      <c r="J2881" s="225">
        <v>340976.07999999996</v>
      </c>
      <c r="K2881" s="225">
        <v>340976.15000000026</v>
      </c>
      <c r="L28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340976.15</v>
      </c>
      <c r="M2881" s="225">
        <f>ROUND(IF(AND(Base_Periodo1[[#This Row],[Tipo_Linha]]="-",Base_Periodo1[[#This Row],[TIPOSALDO]]="D"),Base_Periodo1[[#This Row],[SALDO_ATUAL]]*-1,Base_Periodo1[[#This Row],[SALDO_ATUAL]]),4)</f>
        <v>340976.15</v>
      </c>
      <c r="N2881" t="s">
        <v>116</v>
      </c>
      <c r="O2881" t="s">
        <v>459</v>
      </c>
      <c r="P2881" t="s">
        <v>459</v>
      </c>
      <c r="Q2881">
        <v>7</v>
      </c>
      <c r="R2881" s="225">
        <f>Base_Periodo1[[#This Row],[CREDITOS]]-Base_Periodo1[[#This Row],[DEBITOS]]</f>
        <v>340976.07999999996</v>
      </c>
      <c r="S2881" s="3" t="str">
        <f>IF(ISERROR(VLOOKUP(Base_Periodo1[[#This Row],[CONTA]],BaseContasDRE[#All],4,FALSE)),"Fora do DRE",VLOOKUP(Base_Periodo1[[#This Row],[CONTA]],BaseContasDRE[#All],4,FALSE))</f>
        <v>Fora do DRE</v>
      </c>
      <c r="T2881" s="3" t="str">
        <f>IF(ISERROR(VLOOKUP(Base_Periodo1[[#This Row],[CONTA]],BaseContasDRE[#All],5,FALSE)),"Fora do DRE",VLOOKUP(Base_Periodo1[[#This Row],[CONTA]],BaseContasDRE[#All],6,FALSE))</f>
        <v>Fora do DRE</v>
      </c>
      <c r="U2881" s="3" t="str">
        <f>IF(ISERROR(VLOOKUP(Base_Periodo1[[#This Row],[CONTA]],BaseContasDRE[#All],7,FALSE)),"Fora do DRE",VLOOKUP(Base_Periodo1[[#This Row],[CONTA]],BaseContasDRE[#All],7,FALSE))</f>
        <v>Fora do DRE</v>
      </c>
      <c r="V2881" s="3" t="str">
        <f>IF(Base_Periodo1[[#This Row],[Tipo_Linha]]="Fora do DRE","Fora do DRE","( "&amp;Base_Periodo1[[#This Row],[Tipo_Linha]]&amp;" ) "&amp;Base_Periodo1[[#This Row],[Filtro]])</f>
        <v>Fora do DRE</v>
      </c>
      <c r="W2881" s="3" t="str">
        <f>LEFT(Base_Periodo1[[#This Row],[CLASS]],3)</f>
        <v>2.1</v>
      </c>
    </row>
    <row r="2882" spans="1:23" hidden="1">
      <c r="A2882" s="3" t="str">
        <f t="shared" si="44"/>
        <v>Período 1</v>
      </c>
      <c r="B2882">
        <v>4054</v>
      </c>
      <c r="C2882" t="s">
        <v>1745</v>
      </c>
      <c r="D2882" t="s">
        <v>6872</v>
      </c>
      <c r="E2882" s="3" t="str">
        <f>IF(LEN(Base_Periodo1[[#This Row],[CLASS]])&gt;=7,LEFT(Base_Periodo1[[#This Row],[CLASS]],7),"")</f>
        <v>2.1.2.1</v>
      </c>
      <c r="F2882" s="3" t="str">
        <f>VLOOKUP(Base_Periodo1[[#This Row],[Aux]],Base_Contas_Balanco[#All],2,FALSE)</f>
        <v>Fornecedores Cooperados</v>
      </c>
      <c r="G2882" s="1">
        <v>42866</v>
      </c>
      <c r="I2882" s="225">
        <v>11542.48</v>
      </c>
      <c r="J2882" s="225">
        <v>11542.48</v>
      </c>
      <c r="K2882" s="225">
        <v>0</v>
      </c>
      <c r="L28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882" s="225">
        <f>ROUND(IF(AND(Base_Periodo1[[#This Row],[Tipo_Linha]]="-",Base_Periodo1[[#This Row],[TIPOSALDO]]="D"),Base_Periodo1[[#This Row],[SALDO_ATUAL]]*-1,Base_Periodo1[[#This Row],[SALDO_ATUAL]]),4)</f>
        <v>0</v>
      </c>
      <c r="N2882" t="s">
        <v>116</v>
      </c>
      <c r="O2882" t="s">
        <v>436</v>
      </c>
      <c r="P2882" t="s">
        <v>436</v>
      </c>
      <c r="Q2882">
        <v>7</v>
      </c>
      <c r="R2882" s="225">
        <f>Base_Periodo1[[#This Row],[CREDITOS]]-Base_Periodo1[[#This Row],[DEBITOS]]</f>
        <v>0</v>
      </c>
      <c r="S2882" s="3" t="str">
        <f>IF(ISERROR(VLOOKUP(Base_Periodo1[[#This Row],[CONTA]],BaseContasDRE[#All],4,FALSE)),"Fora do DRE",VLOOKUP(Base_Periodo1[[#This Row],[CONTA]],BaseContasDRE[#All],4,FALSE))</f>
        <v>Fora do DRE</v>
      </c>
      <c r="T2882" s="3" t="str">
        <f>IF(ISERROR(VLOOKUP(Base_Periodo1[[#This Row],[CONTA]],BaseContasDRE[#All],5,FALSE)),"Fora do DRE",VLOOKUP(Base_Periodo1[[#This Row],[CONTA]],BaseContasDRE[#All],6,FALSE))</f>
        <v>Fora do DRE</v>
      </c>
      <c r="U2882" s="3" t="str">
        <f>IF(ISERROR(VLOOKUP(Base_Periodo1[[#This Row],[CONTA]],BaseContasDRE[#All],7,FALSE)),"Fora do DRE",VLOOKUP(Base_Periodo1[[#This Row],[CONTA]],BaseContasDRE[#All],7,FALSE))</f>
        <v>Fora do DRE</v>
      </c>
      <c r="V2882" s="3" t="str">
        <f>IF(Base_Periodo1[[#This Row],[Tipo_Linha]]="Fora do DRE","Fora do DRE","( "&amp;Base_Periodo1[[#This Row],[Tipo_Linha]]&amp;" ) "&amp;Base_Periodo1[[#This Row],[Filtro]])</f>
        <v>Fora do DRE</v>
      </c>
      <c r="W2882" s="3" t="str">
        <f>LEFT(Base_Periodo1[[#This Row],[CLASS]],3)</f>
        <v>2.1</v>
      </c>
    </row>
    <row r="2883" spans="1:23" hidden="1">
      <c r="A2883" s="3" t="str">
        <f t="shared" si="44"/>
        <v>Período 1</v>
      </c>
      <c r="B2883">
        <v>8153</v>
      </c>
      <c r="C2883" t="s">
        <v>1745</v>
      </c>
      <c r="D2883" t="s">
        <v>1853</v>
      </c>
      <c r="E2883" s="3" t="str">
        <f>IF(LEN(Base_Periodo1[[#This Row],[CLASS]])&gt;=7,LEFT(Base_Periodo1[[#This Row],[CLASS]],7),"")</f>
        <v>2.1.2.1</v>
      </c>
      <c r="F2883" s="3" t="str">
        <f>VLOOKUP(Base_Periodo1[[#This Row],[Aux]],Base_Contas_Balanco[#All],2,FALSE)</f>
        <v>Fornecedores Cooperados</v>
      </c>
      <c r="G2883" s="1">
        <v>42852</v>
      </c>
      <c r="H2883" s="225">
        <v>30407.24000000002</v>
      </c>
      <c r="I2883" s="225">
        <v>0</v>
      </c>
      <c r="J2883" s="225">
        <v>0</v>
      </c>
      <c r="K2883" s="225">
        <v>30407.24000000002</v>
      </c>
      <c r="L28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30407.24</v>
      </c>
      <c r="M2883" s="225">
        <f>ROUND(IF(AND(Base_Periodo1[[#This Row],[Tipo_Linha]]="-",Base_Periodo1[[#This Row],[TIPOSALDO]]="D"),Base_Periodo1[[#This Row],[SALDO_ATUAL]]*-1,Base_Periodo1[[#This Row],[SALDO_ATUAL]]),4)</f>
        <v>30407.24</v>
      </c>
      <c r="N2883" t="s">
        <v>116</v>
      </c>
      <c r="O2883" t="s">
        <v>459</v>
      </c>
      <c r="P2883" t="s">
        <v>459</v>
      </c>
      <c r="Q2883">
        <v>7</v>
      </c>
      <c r="R2883" s="225">
        <f>Base_Periodo1[[#This Row],[CREDITOS]]-Base_Periodo1[[#This Row],[DEBITOS]]</f>
        <v>0</v>
      </c>
      <c r="S2883" s="3" t="str">
        <f>IF(ISERROR(VLOOKUP(Base_Periodo1[[#This Row],[CONTA]],BaseContasDRE[#All],4,FALSE)),"Fora do DRE",VLOOKUP(Base_Periodo1[[#This Row],[CONTA]],BaseContasDRE[#All],4,FALSE))</f>
        <v>Fora do DRE</v>
      </c>
      <c r="T2883" s="3" t="str">
        <f>IF(ISERROR(VLOOKUP(Base_Periodo1[[#This Row],[CONTA]],BaseContasDRE[#All],5,FALSE)),"Fora do DRE",VLOOKUP(Base_Periodo1[[#This Row],[CONTA]],BaseContasDRE[#All],6,FALSE))</f>
        <v>Fora do DRE</v>
      </c>
      <c r="U2883" s="3" t="str">
        <f>IF(ISERROR(VLOOKUP(Base_Periodo1[[#This Row],[CONTA]],BaseContasDRE[#All],7,FALSE)),"Fora do DRE",VLOOKUP(Base_Periodo1[[#This Row],[CONTA]],BaseContasDRE[#All],7,FALSE))</f>
        <v>Fora do DRE</v>
      </c>
      <c r="V2883" s="3" t="str">
        <f>IF(Base_Periodo1[[#This Row],[Tipo_Linha]]="Fora do DRE","Fora do DRE","( "&amp;Base_Periodo1[[#This Row],[Tipo_Linha]]&amp;" ) "&amp;Base_Periodo1[[#This Row],[Filtro]])</f>
        <v>Fora do DRE</v>
      </c>
      <c r="W2883" s="3" t="str">
        <f>LEFT(Base_Periodo1[[#This Row],[CLASS]],3)</f>
        <v>2.1</v>
      </c>
    </row>
    <row r="2884" spans="1:23" hidden="1">
      <c r="A2884" s="3" t="str">
        <f t="shared" si="44"/>
        <v>Período 1</v>
      </c>
      <c r="B2884">
        <v>20668</v>
      </c>
      <c r="C2884" t="s">
        <v>1745</v>
      </c>
      <c r="D2884" t="s">
        <v>1854</v>
      </c>
      <c r="E2884" s="3" t="str">
        <f>IF(LEN(Base_Periodo1[[#This Row],[CLASS]])&gt;=7,LEFT(Base_Periodo1[[#This Row],[CLASS]],7),"")</f>
        <v>2.1.2.1</v>
      </c>
      <c r="F2884" s="3" t="str">
        <f>VLOOKUP(Base_Periodo1[[#This Row],[Aux]],Base_Contas_Balanco[#All],2,FALSE)</f>
        <v>Fornecedores Cooperados</v>
      </c>
      <c r="G2884" s="1">
        <v>41220</v>
      </c>
      <c r="H2884" s="225">
        <v>0.12000000000080036</v>
      </c>
      <c r="I2884" s="225">
        <v>0</v>
      </c>
      <c r="J2884" s="225">
        <v>0</v>
      </c>
      <c r="K2884" s="225">
        <v>0.12000000000080036</v>
      </c>
      <c r="L28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0.12</v>
      </c>
      <c r="M2884" s="225">
        <f>ROUND(IF(AND(Base_Periodo1[[#This Row],[Tipo_Linha]]="-",Base_Periodo1[[#This Row],[TIPOSALDO]]="D"),Base_Periodo1[[#This Row],[SALDO_ATUAL]]*-1,Base_Periodo1[[#This Row],[SALDO_ATUAL]]),4)</f>
        <v>0.12</v>
      </c>
      <c r="N2884" t="s">
        <v>116</v>
      </c>
      <c r="O2884" t="s">
        <v>459</v>
      </c>
      <c r="P2884" t="s">
        <v>459</v>
      </c>
      <c r="Q2884">
        <v>7</v>
      </c>
      <c r="R2884" s="225">
        <f>Base_Periodo1[[#This Row],[CREDITOS]]-Base_Periodo1[[#This Row],[DEBITOS]]</f>
        <v>0</v>
      </c>
      <c r="S2884" s="3" t="str">
        <f>IF(ISERROR(VLOOKUP(Base_Periodo1[[#This Row],[CONTA]],BaseContasDRE[#All],4,FALSE)),"Fora do DRE",VLOOKUP(Base_Periodo1[[#This Row],[CONTA]],BaseContasDRE[#All],4,FALSE))</f>
        <v>Fora do DRE</v>
      </c>
      <c r="T2884" s="3" t="str">
        <f>IF(ISERROR(VLOOKUP(Base_Periodo1[[#This Row],[CONTA]],BaseContasDRE[#All],5,FALSE)),"Fora do DRE",VLOOKUP(Base_Periodo1[[#This Row],[CONTA]],BaseContasDRE[#All],6,FALSE))</f>
        <v>Fora do DRE</v>
      </c>
      <c r="U2884" s="3" t="str">
        <f>IF(ISERROR(VLOOKUP(Base_Periodo1[[#This Row],[CONTA]],BaseContasDRE[#All],7,FALSE)),"Fora do DRE",VLOOKUP(Base_Periodo1[[#This Row],[CONTA]],BaseContasDRE[#All],7,FALSE))</f>
        <v>Fora do DRE</v>
      </c>
      <c r="V2884" s="3" t="str">
        <f>IF(Base_Periodo1[[#This Row],[Tipo_Linha]]="Fora do DRE","Fora do DRE","( "&amp;Base_Periodo1[[#This Row],[Tipo_Linha]]&amp;" ) "&amp;Base_Periodo1[[#This Row],[Filtro]])</f>
        <v>Fora do DRE</v>
      </c>
      <c r="W2884" s="3" t="str">
        <f>LEFT(Base_Periodo1[[#This Row],[CLASS]],3)</f>
        <v>2.1</v>
      </c>
    </row>
    <row r="2885" spans="1:23" hidden="1">
      <c r="A2885" s="3" t="str">
        <f t="shared" si="44"/>
        <v>Período 1</v>
      </c>
      <c r="B2885">
        <v>20854</v>
      </c>
      <c r="C2885" t="s">
        <v>1745</v>
      </c>
      <c r="D2885" t="s">
        <v>6873</v>
      </c>
      <c r="E2885" s="3" t="str">
        <f>IF(LEN(Base_Periodo1[[#This Row],[CLASS]])&gt;=7,LEFT(Base_Periodo1[[#This Row],[CLASS]],7),"")</f>
        <v>2.1.2.1</v>
      </c>
      <c r="F2885" s="3" t="str">
        <f>VLOOKUP(Base_Periodo1[[#This Row],[Aux]],Base_Contas_Balanco[#All],2,FALSE)</f>
        <v>Fornecedores Cooperados</v>
      </c>
      <c r="G2885" s="1">
        <v>42884</v>
      </c>
      <c r="I2885" s="225">
        <v>4410</v>
      </c>
      <c r="J2885" s="225">
        <v>4410</v>
      </c>
      <c r="K2885" s="225">
        <v>0</v>
      </c>
      <c r="L28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885" s="225">
        <f>ROUND(IF(AND(Base_Periodo1[[#This Row],[Tipo_Linha]]="-",Base_Periodo1[[#This Row],[TIPOSALDO]]="D"),Base_Periodo1[[#This Row],[SALDO_ATUAL]]*-1,Base_Periodo1[[#This Row],[SALDO_ATUAL]]),4)</f>
        <v>0</v>
      </c>
      <c r="N2885" t="s">
        <v>116</v>
      </c>
      <c r="O2885" t="s">
        <v>436</v>
      </c>
      <c r="P2885" t="s">
        <v>436</v>
      </c>
      <c r="Q2885">
        <v>7</v>
      </c>
      <c r="R2885" s="225">
        <f>Base_Periodo1[[#This Row],[CREDITOS]]-Base_Periodo1[[#This Row],[DEBITOS]]</f>
        <v>0</v>
      </c>
      <c r="S2885" s="3" t="str">
        <f>IF(ISERROR(VLOOKUP(Base_Periodo1[[#This Row],[CONTA]],BaseContasDRE[#All],4,FALSE)),"Fora do DRE",VLOOKUP(Base_Periodo1[[#This Row],[CONTA]],BaseContasDRE[#All],4,FALSE))</f>
        <v>Fora do DRE</v>
      </c>
      <c r="T2885" s="3" t="str">
        <f>IF(ISERROR(VLOOKUP(Base_Periodo1[[#This Row],[CONTA]],BaseContasDRE[#All],5,FALSE)),"Fora do DRE",VLOOKUP(Base_Periodo1[[#This Row],[CONTA]],BaseContasDRE[#All],6,FALSE))</f>
        <v>Fora do DRE</v>
      </c>
      <c r="U2885" s="3" t="str">
        <f>IF(ISERROR(VLOOKUP(Base_Periodo1[[#This Row],[CONTA]],BaseContasDRE[#All],7,FALSE)),"Fora do DRE",VLOOKUP(Base_Periodo1[[#This Row],[CONTA]],BaseContasDRE[#All],7,FALSE))</f>
        <v>Fora do DRE</v>
      </c>
      <c r="V2885" s="3" t="str">
        <f>IF(Base_Periodo1[[#This Row],[Tipo_Linha]]="Fora do DRE","Fora do DRE","( "&amp;Base_Periodo1[[#This Row],[Tipo_Linha]]&amp;" ) "&amp;Base_Periodo1[[#This Row],[Filtro]])</f>
        <v>Fora do DRE</v>
      </c>
      <c r="W2885" s="3" t="str">
        <f>LEFT(Base_Periodo1[[#This Row],[CLASS]],3)</f>
        <v>2.1</v>
      </c>
    </row>
    <row r="2886" spans="1:23" hidden="1">
      <c r="A2886" s="3" t="str">
        <f t="shared" ref="A2886:A2949" si="45">"Período 1"</f>
        <v>Período 1</v>
      </c>
      <c r="B2886">
        <v>39282</v>
      </c>
      <c r="C2886" t="s">
        <v>1745</v>
      </c>
      <c r="D2886" t="s">
        <v>1855</v>
      </c>
      <c r="E2886" s="3" t="str">
        <f>IF(LEN(Base_Periodo1[[#This Row],[CLASS]])&gt;=7,LEFT(Base_Periodo1[[#This Row],[CLASS]],7),"")</f>
        <v>2.1.2.1</v>
      </c>
      <c r="F2886" s="3" t="str">
        <f>VLOOKUP(Base_Periodo1[[#This Row],[Aux]],Base_Contas_Balanco[#All],2,FALSE)</f>
        <v>Fornecedores Cooperados</v>
      </c>
      <c r="G2886" s="1">
        <v>42719</v>
      </c>
      <c r="H2886" s="225">
        <v>16.440000000002328</v>
      </c>
      <c r="I2886" s="225">
        <v>0</v>
      </c>
      <c r="J2886" s="225">
        <v>0</v>
      </c>
      <c r="K2886" s="225">
        <v>16.440000000002328</v>
      </c>
      <c r="L28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16.440000000000001</v>
      </c>
      <c r="M2886" s="225">
        <f>ROUND(IF(AND(Base_Periodo1[[#This Row],[Tipo_Linha]]="-",Base_Periodo1[[#This Row],[TIPOSALDO]]="D"),Base_Periodo1[[#This Row],[SALDO_ATUAL]]*-1,Base_Periodo1[[#This Row],[SALDO_ATUAL]]),4)</f>
        <v>16.440000000000001</v>
      </c>
      <c r="N2886" t="s">
        <v>116</v>
      </c>
      <c r="O2886" t="s">
        <v>459</v>
      </c>
      <c r="P2886" t="s">
        <v>459</v>
      </c>
      <c r="Q2886">
        <v>7</v>
      </c>
      <c r="R2886" s="225">
        <f>Base_Periodo1[[#This Row],[CREDITOS]]-Base_Periodo1[[#This Row],[DEBITOS]]</f>
        <v>0</v>
      </c>
      <c r="S2886" s="3" t="str">
        <f>IF(ISERROR(VLOOKUP(Base_Periodo1[[#This Row],[CONTA]],BaseContasDRE[#All],4,FALSE)),"Fora do DRE",VLOOKUP(Base_Periodo1[[#This Row],[CONTA]],BaseContasDRE[#All],4,FALSE))</f>
        <v>Fora do DRE</v>
      </c>
      <c r="T2886" s="3" t="str">
        <f>IF(ISERROR(VLOOKUP(Base_Periodo1[[#This Row],[CONTA]],BaseContasDRE[#All],5,FALSE)),"Fora do DRE",VLOOKUP(Base_Periodo1[[#This Row],[CONTA]],BaseContasDRE[#All],6,FALSE))</f>
        <v>Fora do DRE</v>
      </c>
      <c r="U2886" s="3" t="str">
        <f>IF(ISERROR(VLOOKUP(Base_Periodo1[[#This Row],[CONTA]],BaseContasDRE[#All],7,FALSE)),"Fora do DRE",VLOOKUP(Base_Periodo1[[#This Row],[CONTA]],BaseContasDRE[#All],7,FALSE))</f>
        <v>Fora do DRE</v>
      </c>
      <c r="V2886" s="3" t="str">
        <f>IF(Base_Periodo1[[#This Row],[Tipo_Linha]]="Fora do DRE","Fora do DRE","( "&amp;Base_Periodo1[[#This Row],[Tipo_Linha]]&amp;" ) "&amp;Base_Periodo1[[#This Row],[Filtro]])</f>
        <v>Fora do DRE</v>
      </c>
      <c r="W2886" s="3" t="str">
        <f>LEFT(Base_Periodo1[[#This Row],[CLASS]],3)</f>
        <v>2.1</v>
      </c>
    </row>
    <row r="2887" spans="1:23" hidden="1">
      <c r="A2887" s="3" t="str">
        <f t="shared" si="45"/>
        <v>Período 1</v>
      </c>
      <c r="B2887">
        <v>23627</v>
      </c>
      <c r="C2887" t="s">
        <v>1745</v>
      </c>
      <c r="D2887" t="s">
        <v>1856</v>
      </c>
      <c r="E2887" s="3" t="str">
        <f>IF(LEN(Base_Periodo1[[#This Row],[CLASS]])&gt;=7,LEFT(Base_Periodo1[[#This Row],[CLASS]],7),"")</f>
        <v>2.1.2.1</v>
      </c>
      <c r="F2887" s="3" t="str">
        <f>VLOOKUP(Base_Periodo1[[#This Row],[Aux]],Base_Contas_Balanco[#All],2,FALSE)</f>
        <v>Fornecedores Cooperados</v>
      </c>
      <c r="G2887" s="1">
        <v>41696</v>
      </c>
      <c r="H2887" s="225">
        <v>0.3900000000030559</v>
      </c>
      <c r="I2887" s="225">
        <v>0</v>
      </c>
      <c r="J2887" s="225">
        <v>0</v>
      </c>
      <c r="K2887" s="225">
        <v>0.3900000000030559</v>
      </c>
      <c r="L28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0.39</v>
      </c>
      <c r="M2887" s="225">
        <f>ROUND(IF(AND(Base_Periodo1[[#This Row],[Tipo_Linha]]="-",Base_Periodo1[[#This Row],[TIPOSALDO]]="D"),Base_Periodo1[[#This Row],[SALDO_ATUAL]]*-1,Base_Periodo1[[#This Row],[SALDO_ATUAL]]),4)</f>
        <v>0.39</v>
      </c>
      <c r="N2887" t="s">
        <v>116</v>
      </c>
      <c r="O2887" t="s">
        <v>459</v>
      </c>
      <c r="P2887" t="s">
        <v>459</v>
      </c>
      <c r="Q2887">
        <v>7</v>
      </c>
      <c r="R2887" s="225">
        <f>Base_Periodo1[[#This Row],[CREDITOS]]-Base_Periodo1[[#This Row],[DEBITOS]]</f>
        <v>0</v>
      </c>
      <c r="S2887" s="3" t="str">
        <f>IF(ISERROR(VLOOKUP(Base_Periodo1[[#This Row],[CONTA]],BaseContasDRE[#All],4,FALSE)),"Fora do DRE",VLOOKUP(Base_Periodo1[[#This Row],[CONTA]],BaseContasDRE[#All],4,FALSE))</f>
        <v>Fora do DRE</v>
      </c>
      <c r="T2887" s="3" t="str">
        <f>IF(ISERROR(VLOOKUP(Base_Periodo1[[#This Row],[CONTA]],BaseContasDRE[#All],5,FALSE)),"Fora do DRE",VLOOKUP(Base_Periodo1[[#This Row],[CONTA]],BaseContasDRE[#All],6,FALSE))</f>
        <v>Fora do DRE</v>
      </c>
      <c r="U2887" s="3" t="str">
        <f>IF(ISERROR(VLOOKUP(Base_Periodo1[[#This Row],[CONTA]],BaseContasDRE[#All],7,FALSE)),"Fora do DRE",VLOOKUP(Base_Periodo1[[#This Row],[CONTA]],BaseContasDRE[#All],7,FALSE))</f>
        <v>Fora do DRE</v>
      </c>
      <c r="V2887" s="3" t="str">
        <f>IF(Base_Periodo1[[#This Row],[Tipo_Linha]]="Fora do DRE","Fora do DRE","( "&amp;Base_Periodo1[[#This Row],[Tipo_Linha]]&amp;" ) "&amp;Base_Periodo1[[#This Row],[Filtro]])</f>
        <v>Fora do DRE</v>
      </c>
      <c r="W2887" s="3" t="str">
        <f>LEFT(Base_Periodo1[[#This Row],[CLASS]],3)</f>
        <v>2.1</v>
      </c>
    </row>
    <row r="2888" spans="1:23" hidden="1">
      <c r="A2888" s="3" t="str">
        <f t="shared" si="45"/>
        <v>Período 1</v>
      </c>
      <c r="B2888">
        <v>3034</v>
      </c>
      <c r="C2888" t="s">
        <v>1745</v>
      </c>
      <c r="D2888" t="s">
        <v>1857</v>
      </c>
      <c r="E2888" s="3" t="str">
        <f>IF(LEN(Base_Periodo1[[#This Row],[CLASS]])&gt;=7,LEFT(Base_Periodo1[[#This Row],[CLASS]],7),"")</f>
        <v>2.1.2.1</v>
      </c>
      <c r="F2888" s="3" t="str">
        <f>VLOOKUP(Base_Periodo1[[#This Row],[Aux]],Base_Contas_Balanco[#All],2,FALSE)</f>
        <v>Fornecedores Cooperados</v>
      </c>
      <c r="G2888" s="1">
        <v>42842</v>
      </c>
      <c r="H2888" s="225">
        <v>11375.000000000116</v>
      </c>
      <c r="I2888" s="225">
        <v>0</v>
      </c>
      <c r="J2888" s="225">
        <v>0</v>
      </c>
      <c r="K2888" s="225">
        <v>11375.000000000116</v>
      </c>
      <c r="L28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11375</v>
      </c>
      <c r="M2888" s="225">
        <f>ROUND(IF(AND(Base_Periodo1[[#This Row],[Tipo_Linha]]="-",Base_Periodo1[[#This Row],[TIPOSALDO]]="D"),Base_Periodo1[[#This Row],[SALDO_ATUAL]]*-1,Base_Periodo1[[#This Row],[SALDO_ATUAL]]),4)</f>
        <v>11375</v>
      </c>
      <c r="N2888" t="s">
        <v>116</v>
      </c>
      <c r="O2888" t="s">
        <v>459</v>
      </c>
      <c r="P2888" t="s">
        <v>459</v>
      </c>
      <c r="Q2888">
        <v>7</v>
      </c>
      <c r="R2888" s="225">
        <f>Base_Periodo1[[#This Row],[CREDITOS]]-Base_Periodo1[[#This Row],[DEBITOS]]</f>
        <v>0</v>
      </c>
      <c r="S2888" s="3" t="str">
        <f>IF(ISERROR(VLOOKUP(Base_Periodo1[[#This Row],[CONTA]],BaseContasDRE[#All],4,FALSE)),"Fora do DRE",VLOOKUP(Base_Periodo1[[#This Row],[CONTA]],BaseContasDRE[#All],4,FALSE))</f>
        <v>Fora do DRE</v>
      </c>
      <c r="T2888" s="3" t="str">
        <f>IF(ISERROR(VLOOKUP(Base_Periodo1[[#This Row],[CONTA]],BaseContasDRE[#All],5,FALSE)),"Fora do DRE",VLOOKUP(Base_Periodo1[[#This Row],[CONTA]],BaseContasDRE[#All],6,FALSE))</f>
        <v>Fora do DRE</v>
      </c>
      <c r="U2888" s="3" t="str">
        <f>IF(ISERROR(VLOOKUP(Base_Periodo1[[#This Row],[CONTA]],BaseContasDRE[#All],7,FALSE)),"Fora do DRE",VLOOKUP(Base_Periodo1[[#This Row],[CONTA]],BaseContasDRE[#All],7,FALSE))</f>
        <v>Fora do DRE</v>
      </c>
      <c r="V2888" s="3" t="str">
        <f>IF(Base_Periodo1[[#This Row],[Tipo_Linha]]="Fora do DRE","Fora do DRE","( "&amp;Base_Periodo1[[#This Row],[Tipo_Linha]]&amp;" ) "&amp;Base_Periodo1[[#This Row],[Filtro]])</f>
        <v>Fora do DRE</v>
      </c>
      <c r="W2888" s="3" t="str">
        <f>LEFT(Base_Periodo1[[#This Row],[CLASS]],3)</f>
        <v>2.1</v>
      </c>
    </row>
    <row r="2889" spans="1:23" hidden="1">
      <c r="A2889" s="3" t="str">
        <f t="shared" si="45"/>
        <v>Período 1</v>
      </c>
      <c r="B2889">
        <v>4526</v>
      </c>
      <c r="C2889" t="s">
        <v>1745</v>
      </c>
      <c r="D2889" t="s">
        <v>6874</v>
      </c>
      <c r="E2889" s="3" t="str">
        <f>IF(LEN(Base_Periodo1[[#This Row],[CLASS]])&gt;=7,LEFT(Base_Periodo1[[#This Row],[CLASS]],7),"")</f>
        <v>2.1.2.1</v>
      </c>
      <c r="F2889" s="3" t="str">
        <f>VLOOKUP(Base_Periodo1[[#This Row],[Aux]],Base_Contas_Balanco[#All],2,FALSE)</f>
        <v>Fornecedores Cooperados</v>
      </c>
      <c r="G2889" s="1">
        <v>42885</v>
      </c>
      <c r="I2889" s="225">
        <v>19840</v>
      </c>
      <c r="J2889" s="225">
        <v>19840</v>
      </c>
      <c r="K2889" s="225">
        <v>0</v>
      </c>
      <c r="L28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889" s="225">
        <f>ROUND(IF(AND(Base_Periodo1[[#This Row],[Tipo_Linha]]="-",Base_Periodo1[[#This Row],[TIPOSALDO]]="D"),Base_Periodo1[[#This Row],[SALDO_ATUAL]]*-1,Base_Periodo1[[#This Row],[SALDO_ATUAL]]),4)</f>
        <v>0</v>
      </c>
      <c r="N2889" t="s">
        <v>116</v>
      </c>
      <c r="O2889" t="s">
        <v>436</v>
      </c>
      <c r="P2889" t="s">
        <v>436</v>
      </c>
      <c r="Q2889">
        <v>7</v>
      </c>
      <c r="R2889" s="225">
        <f>Base_Periodo1[[#This Row],[CREDITOS]]-Base_Periodo1[[#This Row],[DEBITOS]]</f>
        <v>0</v>
      </c>
      <c r="S2889" s="3" t="str">
        <f>IF(ISERROR(VLOOKUP(Base_Periodo1[[#This Row],[CONTA]],BaseContasDRE[#All],4,FALSE)),"Fora do DRE",VLOOKUP(Base_Periodo1[[#This Row],[CONTA]],BaseContasDRE[#All],4,FALSE))</f>
        <v>Fora do DRE</v>
      </c>
      <c r="T2889" s="3" t="str">
        <f>IF(ISERROR(VLOOKUP(Base_Periodo1[[#This Row],[CONTA]],BaseContasDRE[#All],5,FALSE)),"Fora do DRE",VLOOKUP(Base_Periodo1[[#This Row],[CONTA]],BaseContasDRE[#All],6,FALSE))</f>
        <v>Fora do DRE</v>
      </c>
      <c r="U2889" s="3" t="str">
        <f>IF(ISERROR(VLOOKUP(Base_Periodo1[[#This Row],[CONTA]],BaseContasDRE[#All],7,FALSE)),"Fora do DRE",VLOOKUP(Base_Periodo1[[#This Row],[CONTA]],BaseContasDRE[#All],7,FALSE))</f>
        <v>Fora do DRE</v>
      </c>
      <c r="V2889" s="3" t="str">
        <f>IF(Base_Periodo1[[#This Row],[Tipo_Linha]]="Fora do DRE","Fora do DRE","( "&amp;Base_Periodo1[[#This Row],[Tipo_Linha]]&amp;" ) "&amp;Base_Periodo1[[#This Row],[Filtro]])</f>
        <v>Fora do DRE</v>
      </c>
      <c r="W2889" s="3" t="str">
        <f>LEFT(Base_Periodo1[[#This Row],[CLASS]],3)</f>
        <v>2.1</v>
      </c>
    </row>
    <row r="2890" spans="1:23" hidden="1">
      <c r="A2890" s="3" t="str">
        <f t="shared" si="45"/>
        <v>Período 1</v>
      </c>
      <c r="B2890">
        <v>15308</v>
      </c>
      <c r="C2890" t="s">
        <v>1745</v>
      </c>
      <c r="D2890" t="s">
        <v>1858</v>
      </c>
      <c r="E2890" s="3" t="str">
        <f>IF(LEN(Base_Periodo1[[#This Row],[CLASS]])&gt;=7,LEFT(Base_Periodo1[[#This Row],[CLASS]],7),"")</f>
        <v>2.1.2.1</v>
      </c>
      <c r="F2890" s="3" t="str">
        <f>VLOOKUP(Base_Periodo1[[#This Row],[Aux]],Base_Contas_Balanco[#All],2,FALSE)</f>
        <v>Fornecedores Cooperados</v>
      </c>
      <c r="G2890" s="1">
        <v>42306</v>
      </c>
      <c r="H2890" s="225">
        <v>2.0000000000436557E-2</v>
      </c>
      <c r="I2890" s="225">
        <v>0</v>
      </c>
      <c r="J2890" s="225">
        <v>0</v>
      </c>
      <c r="K2890" s="225">
        <v>2.0000000000436557E-2</v>
      </c>
      <c r="L28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2890" s="225">
        <f>ROUND(IF(AND(Base_Periodo1[[#This Row],[Tipo_Linha]]="-",Base_Periodo1[[#This Row],[TIPOSALDO]]="D"),Base_Periodo1[[#This Row],[SALDO_ATUAL]]*-1,Base_Periodo1[[#This Row],[SALDO_ATUAL]]),4)</f>
        <v>0.02</v>
      </c>
      <c r="N2890" t="s">
        <v>116</v>
      </c>
      <c r="O2890" t="s">
        <v>459</v>
      </c>
      <c r="P2890" t="s">
        <v>459</v>
      </c>
      <c r="Q2890">
        <v>7</v>
      </c>
      <c r="R2890" s="225">
        <f>Base_Periodo1[[#This Row],[CREDITOS]]-Base_Periodo1[[#This Row],[DEBITOS]]</f>
        <v>0</v>
      </c>
      <c r="S2890" s="3" t="str">
        <f>IF(ISERROR(VLOOKUP(Base_Periodo1[[#This Row],[CONTA]],BaseContasDRE[#All],4,FALSE)),"Fora do DRE",VLOOKUP(Base_Periodo1[[#This Row],[CONTA]],BaseContasDRE[#All],4,FALSE))</f>
        <v>Fora do DRE</v>
      </c>
      <c r="T2890" s="3" t="str">
        <f>IF(ISERROR(VLOOKUP(Base_Periodo1[[#This Row],[CONTA]],BaseContasDRE[#All],5,FALSE)),"Fora do DRE",VLOOKUP(Base_Periodo1[[#This Row],[CONTA]],BaseContasDRE[#All],6,FALSE))</f>
        <v>Fora do DRE</v>
      </c>
      <c r="U2890" s="3" t="str">
        <f>IF(ISERROR(VLOOKUP(Base_Periodo1[[#This Row],[CONTA]],BaseContasDRE[#All],7,FALSE)),"Fora do DRE",VLOOKUP(Base_Periodo1[[#This Row],[CONTA]],BaseContasDRE[#All],7,FALSE))</f>
        <v>Fora do DRE</v>
      </c>
      <c r="V2890" s="3" t="str">
        <f>IF(Base_Periodo1[[#This Row],[Tipo_Linha]]="Fora do DRE","Fora do DRE","( "&amp;Base_Periodo1[[#This Row],[Tipo_Linha]]&amp;" ) "&amp;Base_Periodo1[[#This Row],[Filtro]])</f>
        <v>Fora do DRE</v>
      </c>
      <c r="W2890" s="3" t="str">
        <f>LEFT(Base_Periodo1[[#This Row],[CLASS]],3)</f>
        <v>2.1</v>
      </c>
    </row>
    <row r="2891" spans="1:23" hidden="1">
      <c r="A2891" s="3" t="str">
        <f t="shared" si="45"/>
        <v>Período 1</v>
      </c>
      <c r="B2891">
        <v>4646</v>
      </c>
      <c r="C2891" t="s">
        <v>1745</v>
      </c>
      <c r="D2891" t="s">
        <v>1859</v>
      </c>
      <c r="E2891" s="3" t="str">
        <f>IF(LEN(Base_Periodo1[[#This Row],[CLASS]])&gt;=7,LEFT(Base_Periodo1[[#This Row],[CLASS]],7),"")</f>
        <v>2.1.2.1</v>
      </c>
      <c r="F2891" s="3" t="str">
        <f>VLOOKUP(Base_Periodo1[[#This Row],[Aux]],Base_Contas_Balanco[#All],2,FALSE)</f>
        <v>Fornecedores Cooperados</v>
      </c>
      <c r="G2891" s="1">
        <v>42825</v>
      </c>
      <c r="H2891" s="225">
        <v>157796.90999999992</v>
      </c>
      <c r="I2891" s="225">
        <v>0</v>
      </c>
      <c r="J2891" s="225">
        <v>0</v>
      </c>
      <c r="K2891" s="225">
        <v>157796.90999999992</v>
      </c>
      <c r="L28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157796.91</v>
      </c>
      <c r="M2891" s="225">
        <f>ROUND(IF(AND(Base_Periodo1[[#This Row],[Tipo_Linha]]="-",Base_Periodo1[[#This Row],[TIPOSALDO]]="D"),Base_Periodo1[[#This Row],[SALDO_ATUAL]]*-1,Base_Periodo1[[#This Row],[SALDO_ATUAL]]),4)</f>
        <v>157796.91</v>
      </c>
      <c r="N2891" t="s">
        <v>116</v>
      </c>
      <c r="O2891" t="s">
        <v>459</v>
      </c>
      <c r="P2891" t="s">
        <v>459</v>
      </c>
      <c r="Q2891">
        <v>7</v>
      </c>
      <c r="R2891" s="225">
        <f>Base_Periodo1[[#This Row],[CREDITOS]]-Base_Periodo1[[#This Row],[DEBITOS]]</f>
        <v>0</v>
      </c>
      <c r="S2891" s="3" t="str">
        <f>IF(ISERROR(VLOOKUP(Base_Periodo1[[#This Row],[CONTA]],BaseContasDRE[#All],4,FALSE)),"Fora do DRE",VLOOKUP(Base_Periodo1[[#This Row],[CONTA]],BaseContasDRE[#All],4,FALSE))</f>
        <v>Fora do DRE</v>
      </c>
      <c r="T2891" s="3" t="str">
        <f>IF(ISERROR(VLOOKUP(Base_Periodo1[[#This Row],[CONTA]],BaseContasDRE[#All],5,FALSE)),"Fora do DRE",VLOOKUP(Base_Periodo1[[#This Row],[CONTA]],BaseContasDRE[#All],6,FALSE))</f>
        <v>Fora do DRE</v>
      </c>
      <c r="U2891" s="3" t="str">
        <f>IF(ISERROR(VLOOKUP(Base_Periodo1[[#This Row],[CONTA]],BaseContasDRE[#All],7,FALSE)),"Fora do DRE",VLOOKUP(Base_Periodo1[[#This Row],[CONTA]],BaseContasDRE[#All],7,FALSE))</f>
        <v>Fora do DRE</v>
      </c>
      <c r="V2891" s="3" t="str">
        <f>IF(Base_Periodo1[[#This Row],[Tipo_Linha]]="Fora do DRE","Fora do DRE","( "&amp;Base_Periodo1[[#This Row],[Tipo_Linha]]&amp;" ) "&amp;Base_Periodo1[[#This Row],[Filtro]])</f>
        <v>Fora do DRE</v>
      </c>
      <c r="W2891" s="3" t="str">
        <f>LEFT(Base_Periodo1[[#This Row],[CLASS]],3)</f>
        <v>2.1</v>
      </c>
    </row>
    <row r="2892" spans="1:23" hidden="1">
      <c r="A2892" s="3" t="str">
        <f t="shared" si="45"/>
        <v>Período 1</v>
      </c>
      <c r="B2892">
        <v>4778</v>
      </c>
      <c r="C2892" t="s">
        <v>1745</v>
      </c>
      <c r="D2892" t="s">
        <v>4676</v>
      </c>
      <c r="E2892" s="3" t="str">
        <f>IF(LEN(Base_Periodo1[[#This Row],[CLASS]])&gt;=7,LEFT(Base_Periodo1[[#This Row],[CLASS]],7),"")</f>
        <v>2.1.2.1</v>
      </c>
      <c r="F2892" s="3" t="str">
        <f>VLOOKUP(Base_Periodo1[[#This Row],[Aux]],Base_Contas_Balanco[#All],2,FALSE)</f>
        <v>Fornecedores Cooperados</v>
      </c>
      <c r="G2892" s="1">
        <v>42805</v>
      </c>
      <c r="H2892" s="225">
        <v>1955</v>
      </c>
      <c r="I2892" s="225">
        <v>0</v>
      </c>
      <c r="J2892" s="225">
        <v>0</v>
      </c>
      <c r="K2892" s="225">
        <v>1955</v>
      </c>
      <c r="L28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1955</v>
      </c>
      <c r="M2892" s="225">
        <f>ROUND(IF(AND(Base_Periodo1[[#This Row],[Tipo_Linha]]="-",Base_Periodo1[[#This Row],[TIPOSALDO]]="D"),Base_Periodo1[[#This Row],[SALDO_ATUAL]]*-1,Base_Periodo1[[#This Row],[SALDO_ATUAL]]),4)</f>
        <v>1955</v>
      </c>
      <c r="N2892" t="s">
        <v>116</v>
      </c>
      <c r="O2892" t="s">
        <v>459</v>
      </c>
      <c r="P2892" t="s">
        <v>459</v>
      </c>
      <c r="Q2892">
        <v>7</v>
      </c>
      <c r="R2892" s="225">
        <f>Base_Periodo1[[#This Row],[CREDITOS]]-Base_Periodo1[[#This Row],[DEBITOS]]</f>
        <v>0</v>
      </c>
      <c r="S2892" s="3" t="str">
        <f>IF(ISERROR(VLOOKUP(Base_Periodo1[[#This Row],[CONTA]],BaseContasDRE[#All],4,FALSE)),"Fora do DRE",VLOOKUP(Base_Periodo1[[#This Row],[CONTA]],BaseContasDRE[#All],4,FALSE))</f>
        <v>Fora do DRE</v>
      </c>
      <c r="T2892" s="3" t="str">
        <f>IF(ISERROR(VLOOKUP(Base_Periodo1[[#This Row],[CONTA]],BaseContasDRE[#All],5,FALSE)),"Fora do DRE",VLOOKUP(Base_Periodo1[[#This Row],[CONTA]],BaseContasDRE[#All],6,FALSE))</f>
        <v>Fora do DRE</v>
      </c>
      <c r="U2892" s="3" t="str">
        <f>IF(ISERROR(VLOOKUP(Base_Periodo1[[#This Row],[CONTA]],BaseContasDRE[#All],7,FALSE)),"Fora do DRE",VLOOKUP(Base_Periodo1[[#This Row],[CONTA]],BaseContasDRE[#All],7,FALSE))</f>
        <v>Fora do DRE</v>
      </c>
      <c r="V2892" s="3" t="str">
        <f>IF(Base_Periodo1[[#This Row],[Tipo_Linha]]="Fora do DRE","Fora do DRE","( "&amp;Base_Periodo1[[#This Row],[Tipo_Linha]]&amp;" ) "&amp;Base_Periodo1[[#This Row],[Filtro]])</f>
        <v>Fora do DRE</v>
      </c>
      <c r="W2892" s="3" t="str">
        <f>LEFT(Base_Periodo1[[#This Row],[CLASS]],3)</f>
        <v>2.1</v>
      </c>
    </row>
    <row r="2893" spans="1:23" hidden="1">
      <c r="A2893" s="3" t="str">
        <f t="shared" si="45"/>
        <v>Período 1</v>
      </c>
      <c r="B2893">
        <v>4238</v>
      </c>
      <c r="C2893" t="s">
        <v>1745</v>
      </c>
      <c r="D2893" t="s">
        <v>1860</v>
      </c>
      <c r="E2893" s="3" t="str">
        <f>IF(LEN(Base_Periodo1[[#This Row],[CLASS]])&gt;=7,LEFT(Base_Periodo1[[#This Row],[CLASS]],7),"")</f>
        <v>2.1.2.1</v>
      </c>
      <c r="F2893" s="3" t="str">
        <f>VLOOKUP(Base_Periodo1[[#This Row],[Aux]],Base_Contas_Balanco[#All],2,FALSE)</f>
        <v>Fornecedores Cooperados</v>
      </c>
      <c r="G2893" s="1">
        <v>41239</v>
      </c>
      <c r="H2893" s="225">
        <v>108.77000000000044</v>
      </c>
      <c r="I2893" s="225">
        <v>0</v>
      </c>
      <c r="J2893" s="225">
        <v>0</v>
      </c>
      <c r="K2893" s="225">
        <v>108.77000000000044</v>
      </c>
      <c r="L28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108.77</v>
      </c>
      <c r="M2893" s="225">
        <f>ROUND(IF(AND(Base_Periodo1[[#This Row],[Tipo_Linha]]="-",Base_Periodo1[[#This Row],[TIPOSALDO]]="D"),Base_Periodo1[[#This Row],[SALDO_ATUAL]]*-1,Base_Periodo1[[#This Row],[SALDO_ATUAL]]),4)</f>
        <v>108.77</v>
      </c>
      <c r="N2893" t="s">
        <v>116</v>
      </c>
      <c r="O2893" t="s">
        <v>459</v>
      </c>
      <c r="P2893" t="s">
        <v>459</v>
      </c>
      <c r="Q2893">
        <v>7</v>
      </c>
      <c r="R2893" s="225">
        <f>Base_Periodo1[[#This Row],[CREDITOS]]-Base_Periodo1[[#This Row],[DEBITOS]]</f>
        <v>0</v>
      </c>
      <c r="S2893" s="3" t="str">
        <f>IF(ISERROR(VLOOKUP(Base_Periodo1[[#This Row],[CONTA]],BaseContasDRE[#All],4,FALSE)),"Fora do DRE",VLOOKUP(Base_Periodo1[[#This Row],[CONTA]],BaseContasDRE[#All],4,FALSE))</f>
        <v>Fora do DRE</v>
      </c>
      <c r="T2893" s="3" t="str">
        <f>IF(ISERROR(VLOOKUP(Base_Periodo1[[#This Row],[CONTA]],BaseContasDRE[#All],5,FALSE)),"Fora do DRE",VLOOKUP(Base_Periodo1[[#This Row],[CONTA]],BaseContasDRE[#All],6,FALSE))</f>
        <v>Fora do DRE</v>
      </c>
      <c r="U2893" s="3" t="str">
        <f>IF(ISERROR(VLOOKUP(Base_Periodo1[[#This Row],[CONTA]],BaseContasDRE[#All],7,FALSE)),"Fora do DRE",VLOOKUP(Base_Periodo1[[#This Row],[CONTA]],BaseContasDRE[#All],7,FALSE))</f>
        <v>Fora do DRE</v>
      </c>
      <c r="V2893" s="3" t="str">
        <f>IF(Base_Periodo1[[#This Row],[Tipo_Linha]]="Fora do DRE","Fora do DRE","( "&amp;Base_Periodo1[[#This Row],[Tipo_Linha]]&amp;" ) "&amp;Base_Periodo1[[#This Row],[Filtro]])</f>
        <v>Fora do DRE</v>
      </c>
      <c r="W2893" s="3" t="str">
        <f>LEFT(Base_Periodo1[[#This Row],[CLASS]],3)</f>
        <v>2.1</v>
      </c>
    </row>
    <row r="2894" spans="1:23" hidden="1">
      <c r="A2894" s="3" t="str">
        <f t="shared" si="45"/>
        <v>Período 1</v>
      </c>
      <c r="B2894">
        <v>2210</v>
      </c>
      <c r="C2894" t="s">
        <v>1745</v>
      </c>
      <c r="D2894" t="s">
        <v>1861</v>
      </c>
      <c r="E2894" s="3" t="str">
        <f>IF(LEN(Base_Periodo1[[#This Row],[CLASS]])&gt;=7,LEFT(Base_Periodo1[[#This Row],[CLASS]],7),"")</f>
        <v>2.1.2.1</v>
      </c>
      <c r="F2894" s="3" t="str">
        <f>VLOOKUP(Base_Periodo1[[#This Row],[Aux]],Base_Contas_Balanco[#All],2,FALSE)</f>
        <v>Fornecedores Cooperados</v>
      </c>
      <c r="G2894" s="1">
        <v>42884</v>
      </c>
      <c r="H2894" s="225">
        <v>58107.999999991618</v>
      </c>
      <c r="I2894" s="225">
        <v>143042.49</v>
      </c>
      <c r="J2894" s="225">
        <v>1600361.16</v>
      </c>
      <c r="K2894" s="225">
        <v>1515426.6699999915</v>
      </c>
      <c r="L28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1515426.67</v>
      </c>
      <c r="M2894" s="225">
        <f>ROUND(IF(AND(Base_Periodo1[[#This Row],[Tipo_Linha]]="-",Base_Periodo1[[#This Row],[TIPOSALDO]]="D"),Base_Periodo1[[#This Row],[SALDO_ATUAL]]*-1,Base_Periodo1[[#This Row],[SALDO_ATUAL]]),4)</f>
        <v>1515426.67</v>
      </c>
      <c r="N2894" t="s">
        <v>116</v>
      </c>
      <c r="O2894" t="s">
        <v>459</v>
      </c>
      <c r="P2894" t="s">
        <v>459</v>
      </c>
      <c r="Q2894">
        <v>7</v>
      </c>
      <c r="R2894" s="225">
        <f>Base_Periodo1[[#This Row],[CREDITOS]]-Base_Periodo1[[#This Row],[DEBITOS]]</f>
        <v>1457318.67</v>
      </c>
      <c r="S2894" s="3" t="str">
        <f>IF(ISERROR(VLOOKUP(Base_Periodo1[[#This Row],[CONTA]],BaseContasDRE[#All],4,FALSE)),"Fora do DRE",VLOOKUP(Base_Periodo1[[#This Row],[CONTA]],BaseContasDRE[#All],4,FALSE))</f>
        <v>Fora do DRE</v>
      </c>
      <c r="T2894" s="3" t="str">
        <f>IF(ISERROR(VLOOKUP(Base_Periodo1[[#This Row],[CONTA]],BaseContasDRE[#All],5,FALSE)),"Fora do DRE",VLOOKUP(Base_Periodo1[[#This Row],[CONTA]],BaseContasDRE[#All],6,FALSE))</f>
        <v>Fora do DRE</v>
      </c>
      <c r="U2894" s="3" t="str">
        <f>IF(ISERROR(VLOOKUP(Base_Periodo1[[#This Row],[CONTA]],BaseContasDRE[#All],7,FALSE)),"Fora do DRE",VLOOKUP(Base_Periodo1[[#This Row],[CONTA]],BaseContasDRE[#All],7,FALSE))</f>
        <v>Fora do DRE</v>
      </c>
      <c r="V2894" s="3" t="str">
        <f>IF(Base_Periodo1[[#This Row],[Tipo_Linha]]="Fora do DRE","Fora do DRE","( "&amp;Base_Periodo1[[#This Row],[Tipo_Linha]]&amp;" ) "&amp;Base_Periodo1[[#This Row],[Filtro]])</f>
        <v>Fora do DRE</v>
      </c>
      <c r="W2894" s="3" t="str">
        <f>LEFT(Base_Periodo1[[#This Row],[CLASS]],3)</f>
        <v>2.1</v>
      </c>
    </row>
    <row r="2895" spans="1:23" hidden="1">
      <c r="A2895" s="3" t="str">
        <f t="shared" si="45"/>
        <v>Período 1</v>
      </c>
      <c r="B2895">
        <v>52789</v>
      </c>
      <c r="C2895" t="s">
        <v>1745</v>
      </c>
      <c r="D2895" t="s">
        <v>5422</v>
      </c>
      <c r="E2895" s="3" t="str">
        <f>IF(LEN(Base_Periodo1[[#This Row],[CLASS]])&gt;=7,LEFT(Base_Periodo1[[#This Row],[CLASS]],7),"")</f>
        <v>2.1.2.1</v>
      </c>
      <c r="F2895" s="3" t="str">
        <f>VLOOKUP(Base_Periodo1[[#This Row],[Aux]],Base_Contas_Balanco[#All],2,FALSE)</f>
        <v>Fornecedores Cooperados</v>
      </c>
      <c r="G2895" s="1"/>
      <c r="H2895" s="225">
        <v>54239.6</v>
      </c>
      <c r="I2895" s="225">
        <v>0</v>
      </c>
      <c r="J2895" s="225">
        <v>0</v>
      </c>
      <c r="K2895" s="225">
        <v>54239.6</v>
      </c>
      <c r="L28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54239.6</v>
      </c>
      <c r="M2895" s="225">
        <f>ROUND(IF(AND(Base_Periodo1[[#This Row],[Tipo_Linha]]="-",Base_Periodo1[[#This Row],[TIPOSALDO]]="D"),Base_Periodo1[[#This Row],[SALDO_ATUAL]]*-1,Base_Periodo1[[#This Row],[SALDO_ATUAL]]),4)</f>
        <v>54239.6</v>
      </c>
      <c r="N2895" t="s">
        <v>116</v>
      </c>
      <c r="O2895" t="s">
        <v>459</v>
      </c>
      <c r="P2895" t="s">
        <v>459</v>
      </c>
      <c r="Q2895">
        <v>7</v>
      </c>
      <c r="R2895" s="225">
        <f>Base_Periodo1[[#This Row],[CREDITOS]]-Base_Periodo1[[#This Row],[DEBITOS]]</f>
        <v>0</v>
      </c>
      <c r="S2895" s="3" t="str">
        <f>IF(ISERROR(VLOOKUP(Base_Periodo1[[#This Row],[CONTA]],BaseContasDRE[#All],4,FALSE)),"Fora do DRE",VLOOKUP(Base_Periodo1[[#This Row],[CONTA]],BaseContasDRE[#All],4,FALSE))</f>
        <v>Fora do DRE</v>
      </c>
      <c r="T2895" s="3" t="str">
        <f>IF(ISERROR(VLOOKUP(Base_Periodo1[[#This Row],[CONTA]],BaseContasDRE[#All],5,FALSE)),"Fora do DRE",VLOOKUP(Base_Periodo1[[#This Row],[CONTA]],BaseContasDRE[#All],6,FALSE))</f>
        <v>Fora do DRE</v>
      </c>
      <c r="U2895" s="3" t="str">
        <f>IF(ISERROR(VLOOKUP(Base_Periodo1[[#This Row],[CONTA]],BaseContasDRE[#All],7,FALSE)),"Fora do DRE",VLOOKUP(Base_Periodo1[[#This Row],[CONTA]],BaseContasDRE[#All],7,FALSE))</f>
        <v>Fora do DRE</v>
      </c>
      <c r="V2895" s="3" t="str">
        <f>IF(Base_Periodo1[[#This Row],[Tipo_Linha]]="Fora do DRE","Fora do DRE","( "&amp;Base_Periodo1[[#This Row],[Tipo_Linha]]&amp;" ) "&amp;Base_Periodo1[[#This Row],[Filtro]])</f>
        <v>Fora do DRE</v>
      </c>
      <c r="W2895" s="3" t="str">
        <f>LEFT(Base_Periodo1[[#This Row],[CLASS]],3)</f>
        <v>2.1</v>
      </c>
    </row>
    <row r="2896" spans="1:23" hidden="1">
      <c r="A2896" s="3" t="str">
        <f t="shared" si="45"/>
        <v>Período 1</v>
      </c>
      <c r="B2896">
        <v>51854</v>
      </c>
      <c r="C2896" t="s">
        <v>1745</v>
      </c>
      <c r="D2896" t="s">
        <v>4760</v>
      </c>
      <c r="E2896" s="3" t="str">
        <f>IF(LEN(Base_Periodo1[[#This Row],[CLASS]])&gt;=7,LEFT(Base_Periodo1[[#This Row],[CLASS]],7),"")</f>
        <v>2.1.2.1</v>
      </c>
      <c r="F2896" s="3" t="str">
        <f>VLOOKUP(Base_Periodo1[[#This Row],[Aux]],Base_Contas_Balanco[#All],2,FALSE)</f>
        <v>Fornecedores Cooperados</v>
      </c>
      <c r="G2896" s="1">
        <v>42789</v>
      </c>
      <c r="H2896" s="225">
        <v>11483.880000000012</v>
      </c>
      <c r="I2896" s="225">
        <v>0</v>
      </c>
      <c r="J2896" s="225">
        <v>0</v>
      </c>
      <c r="K2896" s="225">
        <v>11483.880000000012</v>
      </c>
      <c r="L28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11483.88</v>
      </c>
      <c r="M2896" s="225">
        <f>ROUND(IF(AND(Base_Periodo1[[#This Row],[Tipo_Linha]]="-",Base_Periodo1[[#This Row],[TIPOSALDO]]="D"),Base_Periodo1[[#This Row],[SALDO_ATUAL]]*-1,Base_Periodo1[[#This Row],[SALDO_ATUAL]]),4)</f>
        <v>11483.88</v>
      </c>
      <c r="N2896" t="s">
        <v>116</v>
      </c>
      <c r="O2896" t="s">
        <v>459</v>
      </c>
      <c r="P2896" t="s">
        <v>459</v>
      </c>
      <c r="Q2896">
        <v>7</v>
      </c>
      <c r="R2896" s="225">
        <f>Base_Periodo1[[#This Row],[CREDITOS]]-Base_Periodo1[[#This Row],[DEBITOS]]</f>
        <v>0</v>
      </c>
      <c r="S2896" s="3" t="str">
        <f>IF(ISERROR(VLOOKUP(Base_Periodo1[[#This Row],[CONTA]],BaseContasDRE[#All],4,FALSE)),"Fora do DRE",VLOOKUP(Base_Periodo1[[#This Row],[CONTA]],BaseContasDRE[#All],4,FALSE))</f>
        <v>Fora do DRE</v>
      </c>
      <c r="T2896" s="3" t="str">
        <f>IF(ISERROR(VLOOKUP(Base_Periodo1[[#This Row],[CONTA]],BaseContasDRE[#All],5,FALSE)),"Fora do DRE",VLOOKUP(Base_Periodo1[[#This Row],[CONTA]],BaseContasDRE[#All],6,FALSE))</f>
        <v>Fora do DRE</v>
      </c>
      <c r="U2896" s="3" t="str">
        <f>IF(ISERROR(VLOOKUP(Base_Periodo1[[#This Row],[CONTA]],BaseContasDRE[#All],7,FALSE)),"Fora do DRE",VLOOKUP(Base_Periodo1[[#This Row],[CONTA]],BaseContasDRE[#All],7,FALSE))</f>
        <v>Fora do DRE</v>
      </c>
      <c r="V2896" s="3" t="str">
        <f>IF(Base_Periodo1[[#This Row],[Tipo_Linha]]="Fora do DRE","Fora do DRE","( "&amp;Base_Periodo1[[#This Row],[Tipo_Linha]]&amp;" ) "&amp;Base_Periodo1[[#This Row],[Filtro]])</f>
        <v>Fora do DRE</v>
      </c>
      <c r="W2896" s="3" t="str">
        <f>LEFT(Base_Periodo1[[#This Row],[CLASS]],3)</f>
        <v>2.1</v>
      </c>
    </row>
    <row r="2897" spans="1:23" hidden="1">
      <c r="A2897" s="3" t="str">
        <f t="shared" si="45"/>
        <v>Período 1</v>
      </c>
      <c r="B2897">
        <v>3806</v>
      </c>
      <c r="C2897" t="s">
        <v>1745</v>
      </c>
      <c r="D2897" t="s">
        <v>1862</v>
      </c>
      <c r="E2897" s="3" t="str">
        <f>IF(LEN(Base_Periodo1[[#This Row],[CLASS]])&gt;=7,LEFT(Base_Periodo1[[#This Row],[CLASS]],7),"")</f>
        <v>2.1.2.1</v>
      </c>
      <c r="F2897" s="3" t="str">
        <f>VLOOKUP(Base_Periodo1[[#This Row],[Aux]],Base_Contas_Balanco[#All],2,FALSE)</f>
        <v>Fornecedores Cooperados</v>
      </c>
      <c r="G2897" s="1">
        <v>42845</v>
      </c>
      <c r="H2897" s="225">
        <v>11248.020000000004</v>
      </c>
      <c r="I2897" s="225">
        <v>0</v>
      </c>
      <c r="J2897" s="225">
        <v>0</v>
      </c>
      <c r="K2897" s="225">
        <v>11248.020000000004</v>
      </c>
      <c r="L28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11248.02</v>
      </c>
      <c r="M2897" s="225">
        <f>ROUND(IF(AND(Base_Periodo1[[#This Row],[Tipo_Linha]]="-",Base_Periodo1[[#This Row],[TIPOSALDO]]="D"),Base_Periodo1[[#This Row],[SALDO_ATUAL]]*-1,Base_Periodo1[[#This Row],[SALDO_ATUAL]]),4)</f>
        <v>11248.02</v>
      </c>
      <c r="N2897" t="s">
        <v>116</v>
      </c>
      <c r="O2897" t="s">
        <v>459</v>
      </c>
      <c r="P2897" t="s">
        <v>459</v>
      </c>
      <c r="Q2897">
        <v>7</v>
      </c>
      <c r="R2897" s="225">
        <f>Base_Periodo1[[#This Row],[CREDITOS]]-Base_Periodo1[[#This Row],[DEBITOS]]</f>
        <v>0</v>
      </c>
      <c r="S2897" s="3" t="str">
        <f>IF(ISERROR(VLOOKUP(Base_Periodo1[[#This Row],[CONTA]],BaseContasDRE[#All],4,FALSE)),"Fora do DRE",VLOOKUP(Base_Periodo1[[#This Row],[CONTA]],BaseContasDRE[#All],4,FALSE))</f>
        <v>Fora do DRE</v>
      </c>
      <c r="T2897" s="3" t="str">
        <f>IF(ISERROR(VLOOKUP(Base_Periodo1[[#This Row],[CONTA]],BaseContasDRE[#All],5,FALSE)),"Fora do DRE",VLOOKUP(Base_Periodo1[[#This Row],[CONTA]],BaseContasDRE[#All],6,FALSE))</f>
        <v>Fora do DRE</v>
      </c>
      <c r="U2897" s="3" t="str">
        <f>IF(ISERROR(VLOOKUP(Base_Periodo1[[#This Row],[CONTA]],BaseContasDRE[#All],7,FALSE)),"Fora do DRE",VLOOKUP(Base_Periodo1[[#This Row],[CONTA]],BaseContasDRE[#All],7,FALSE))</f>
        <v>Fora do DRE</v>
      </c>
      <c r="V2897" s="3" t="str">
        <f>IF(Base_Periodo1[[#This Row],[Tipo_Linha]]="Fora do DRE","Fora do DRE","( "&amp;Base_Periodo1[[#This Row],[Tipo_Linha]]&amp;" ) "&amp;Base_Periodo1[[#This Row],[Filtro]])</f>
        <v>Fora do DRE</v>
      </c>
      <c r="W2897" s="3" t="str">
        <f>LEFT(Base_Periodo1[[#This Row],[CLASS]],3)</f>
        <v>2.1</v>
      </c>
    </row>
    <row r="2898" spans="1:23" hidden="1">
      <c r="A2898" s="3" t="str">
        <f t="shared" si="45"/>
        <v>Período 1</v>
      </c>
      <c r="B2898">
        <v>21193</v>
      </c>
      <c r="C2898" t="s">
        <v>1745</v>
      </c>
      <c r="D2898" t="s">
        <v>1863</v>
      </c>
      <c r="E2898" s="3" t="str">
        <f>IF(LEN(Base_Periodo1[[#This Row],[CLASS]])&gt;=7,LEFT(Base_Periodo1[[#This Row],[CLASS]],7),"")</f>
        <v>2.1.2.1</v>
      </c>
      <c r="F2898" s="3" t="str">
        <f>VLOOKUP(Base_Periodo1[[#This Row],[Aux]],Base_Contas_Balanco[#All],2,FALSE)</f>
        <v>Fornecedores Cooperados</v>
      </c>
      <c r="G2898" s="1">
        <v>42066</v>
      </c>
      <c r="H2898" s="225">
        <v>1254.8600000000151</v>
      </c>
      <c r="I2898" s="225">
        <v>0</v>
      </c>
      <c r="J2898" s="225">
        <v>0</v>
      </c>
      <c r="K2898" s="225">
        <v>1254.8600000000151</v>
      </c>
      <c r="L28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1254.8599999999999</v>
      </c>
      <c r="M2898" s="225">
        <f>ROUND(IF(AND(Base_Periodo1[[#This Row],[Tipo_Linha]]="-",Base_Periodo1[[#This Row],[TIPOSALDO]]="D"),Base_Periodo1[[#This Row],[SALDO_ATUAL]]*-1,Base_Periodo1[[#This Row],[SALDO_ATUAL]]),4)</f>
        <v>1254.8599999999999</v>
      </c>
      <c r="N2898" t="s">
        <v>116</v>
      </c>
      <c r="O2898" t="s">
        <v>459</v>
      </c>
      <c r="P2898" t="s">
        <v>459</v>
      </c>
      <c r="Q2898">
        <v>7</v>
      </c>
      <c r="R2898" s="225">
        <f>Base_Periodo1[[#This Row],[CREDITOS]]-Base_Periodo1[[#This Row],[DEBITOS]]</f>
        <v>0</v>
      </c>
      <c r="S2898" s="3" t="str">
        <f>IF(ISERROR(VLOOKUP(Base_Periodo1[[#This Row],[CONTA]],BaseContasDRE[#All],4,FALSE)),"Fora do DRE",VLOOKUP(Base_Periodo1[[#This Row],[CONTA]],BaseContasDRE[#All],4,FALSE))</f>
        <v>Fora do DRE</v>
      </c>
      <c r="T2898" s="3" t="str">
        <f>IF(ISERROR(VLOOKUP(Base_Periodo1[[#This Row],[CONTA]],BaseContasDRE[#All],5,FALSE)),"Fora do DRE",VLOOKUP(Base_Periodo1[[#This Row],[CONTA]],BaseContasDRE[#All],6,FALSE))</f>
        <v>Fora do DRE</v>
      </c>
      <c r="U2898" s="3" t="str">
        <f>IF(ISERROR(VLOOKUP(Base_Periodo1[[#This Row],[CONTA]],BaseContasDRE[#All],7,FALSE)),"Fora do DRE",VLOOKUP(Base_Periodo1[[#This Row],[CONTA]],BaseContasDRE[#All],7,FALSE))</f>
        <v>Fora do DRE</v>
      </c>
      <c r="V2898" s="3" t="str">
        <f>IF(Base_Periodo1[[#This Row],[Tipo_Linha]]="Fora do DRE","Fora do DRE","( "&amp;Base_Periodo1[[#This Row],[Tipo_Linha]]&amp;" ) "&amp;Base_Periodo1[[#This Row],[Filtro]])</f>
        <v>Fora do DRE</v>
      </c>
      <c r="W2898" s="3" t="str">
        <f>LEFT(Base_Periodo1[[#This Row],[CLASS]],3)</f>
        <v>2.1</v>
      </c>
    </row>
    <row r="2899" spans="1:23" hidden="1">
      <c r="A2899" s="3" t="str">
        <f t="shared" si="45"/>
        <v>Período 1</v>
      </c>
      <c r="B2899">
        <v>2230</v>
      </c>
      <c r="C2899" t="s">
        <v>1745</v>
      </c>
      <c r="D2899" t="s">
        <v>1864</v>
      </c>
      <c r="E2899" s="3" t="str">
        <f>IF(LEN(Base_Periodo1[[#This Row],[CLASS]])&gt;=7,LEFT(Base_Periodo1[[#This Row],[CLASS]],7),"")</f>
        <v>2.1.2.1</v>
      </c>
      <c r="F2899" s="3" t="str">
        <f>VLOOKUP(Base_Periodo1[[#This Row],[Aux]],Base_Contas_Balanco[#All],2,FALSE)</f>
        <v>Fornecedores Cooperados</v>
      </c>
      <c r="G2899" s="1">
        <v>42653</v>
      </c>
      <c r="H2899" s="225">
        <v>556.00000000000728</v>
      </c>
      <c r="I2899" s="225">
        <v>0</v>
      </c>
      <c r="J2899" s="225">
        <v>0</v>
      </c>
      <c r="K2899" s="225">
        <v>556.00000000000728</v>
      </c>
      <c r="L28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556</v>
      </c>
      <c r="M2899" s="225">
        <f>ROUND(IF(AND(Base_Periodo1[[#This Row],[Tipo_Linha]]="-",Base_Periodo1[[#This Row],[TIPOSALDO]]="D"),Base_Periodo1[[#This Row],[SALDO_ATUAL]]*-1,Base_Periodo1[[#This Row],[SALDO_ATUAL]]),4)</f>
        <v>556</v>
      </c>
      <c r="N2899" t="s">
        <v>116</v>
      </c>
      <c r="O2899" t="s">
        <v>459</v>
      </c>
      <c r="P2899" t="s">
        <v>459</v>
      </c>
      <c r="Q2899">
        <v>7</v>
      </c>
      <c r="R2899" s="225">
        <f>Base_Periodo1[[#This Row],[CREDITOS]]-Base_Periodo1[[#This Row],[DEBITOS]]</f>
        <v>0</v>
      </c>
      <c r="S2899" s="3" t="str">
        <f>IF(ISERROR(VLOOKUP(Base_Periodo1[[#This Row],[CONTA]],BaseContasDRE[#All],4,FALSE)),"Fora do DRE",VLOOKUP(Base_Periodo1[[#This Row],[CONTA]],BaseContasDRE[#All],4,FALSE))</f>
        <v>Fora do DRE</v>
      </c>
      <c r="T2899" s="3" t="str">
        <f>IF(ISERROR(VLOOKUP(Base_Periodo1[[#This Row],[CONTA]],BaseContasDRE[#All],5,FALSE)),"Fora do DRE",VLOOKUP(Base_Periodo1[[#This Row],[CONTA]],BaseContasDRE[#All],6,FALSE))</f>
        <v>Fora do DRE</v>
      </c>
      <c r="U2899" s="3" t="str">
        <f>IF(ISERROR(VLOOKUP(Base_Periodo1[[#This Row],[CONTA]],BaseContasDRE[#All],7,FALSE)),"Fora do DRE",VLOOKUP(Base_Periodo1[[#This Row],[CONTA]],BaseContasDRE[#All],7,FALSE))</f>
        <v>Fora do DRE</v>
      </c>
      <c r="V2899" s="3" t="str">
        <f>IF(Base_Periodo1[[#This Row],[Tipo_Linha]]="Fora do DRE","Fora do DRE","( "&amp;Base_Periodo1[[#This Row],[Tipo_Linha]]&amp;" ) "&amp;Base_Periodo1[[#This Row],[Filtro]])</f>
        <v>Fora do DRE</v>
      </c>
      <c r="W2899" s="3" t="str">
        <f>LEFT(Base_Periodo1[[#This Row],[CLASS]],3)</f>
        <v>2.1</v>
      </c>
    </row>
    <row r="2900" spans="1:23" hidden="1">
      <c r="A2900" s="3" t="str">
        <f t="shared" si="45"/>
        <v>Período 1</v>
      </c>
      <c r="B2900">
        <v>39376</v>
      </c>
      <c r="C2900" t="s">
        <v>1745</v>
      </c>
      <c r="D2900" t="s">
        <v>5217</v>
      </c>
      <c r="E2900" s="3" t="str">
        <f>IF(LEN(Base_Periodo1[[#This Row],[CLASS]])&gt;=7,LEFT(Base_Periodo1[[#This Row],[CLASS]],7),"")</f>
        <v>2.1.2.1</v>
      </c>
      <c r="F2900" s="3" t="str">
        <f>VLOOKUP(Base_Periodo1[[#This Row],[Aux]],Base_Contas_Balanco[#All],2,FALSE)</f>
        <v>Fornecedores Cooperados</v>
      </c>
      <c r="G2900" s="1">
        <v>42800</v>
      </c>
      <c r="H2900" s="225">
        <v>115.34999999999854</v>
      </c>
      <c r="I2900" s="225">
        <v>0</v>
      </c>
      <c r="J2900" s="225">
        <v>0</v>
      </c>
      <c r="K2900" s="225">
        <v>115.34999999999854</v>
      </c>
      <c r="L29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115.35</v>
      </c>
      <c r="M2900" s="225">
        <f>ROUND(IF(AND(Base_Periodo1[[#This Row],[Tipo_Linha]]="-",Base_Periodo1[[#This Row],[TIPOSALDO]]="D"),Base_Periodo1[[#This Row],[SALDO_ATUAL]]*-1,Base_Periodo1[[#This Row],[SALDO_ATUAL]]),4)</f>
        <v>115.35</v>
      </c>
      <c r="N2900" t="s">
        <v>116</v>
      </c>
      <c r="O2900" t="s">
        <v>459</v>
      </c>
      <c r="P2900" t="s">
        <v>459</v>
      </c>
      <c r="Q2900">
        <v>7</v>
      </c>
      <c r="R2900" s="225">
        <f>Base_Periodo1[[#This Row],[CREDITOS]]-Base_Periodo1[[#This Row],[DEBITOS]]</f>
        <v>0</v>
      </c>
      <c r="S2900" s="3" t="str">
        <f>IF(ISERROR(VLOOKUP(Base_Periodo1[[#This Row],[CONTA]],BaseContasDRE[#All],4,FALSE)),"Fora do DRE",VLOOKUP(Base_Periodo1[[#This Row],[CONTA]],BaseContasDRE[#All],4,FALSE))</f>
        <v>Fora do DRE</v>
      </c>
      <c r="T2900" s="3" t="str">
        <f>IF(ISERROR(VLOOKUP(Base_Periodo1[[#This Row],[CONTA]],BaseContasDRE[#All],5,FALSE)),"Fora do DRE",VLOOKUP(Base_Periodo1[[#This Row],[CONTA]],BaseContasDRE[#All],6,FALSE))</f>
        <v>Fora do DRE</v>
      </c>
      <c r="U2900" s="3" t="str">
        <f>IF(ISERROR(VLOOKUP(Base_Periodo1[[#This Row],[CONTA]],BaseContasDRE[#All],7,FALSE)),"Fora do DRE",VLOOKUP(Base_Periodo1[[#This Row],[CONTA]],BaseContasDRE[#All],7,FALSE))</f>
        <v>Fora do DRE</v>
      </c>
      <c r="V2900" s="3" t="str">
        <f>IF(Base_Periodo1[[#This Row],[Tipo_Linha]]="Fora do DRE","Fora do DRE","( "&amp;Base_Periodo1[[#This Row],[Tipo_Linha]]&amp;" ) "&amp;Base_Periodo1[[#This Row],[Filtro]])</f>
        <v>Fora do DRE</v>
      </c>
      <c r="W2900" s="3" t="str">
        <f>LEFT(Base_Periodo1[[#This Row],[CLASS]],3)</f>
        <v>2.1</v>
      </c>
    </row>
    <row r="2901" spans="1:23" hidden="1">
      <c r="A2901" s="3" t="str">
        <f t="shared" si="45"/>
        <v>Período 1</v>
      </c>
      <c r="B2901">
        <v>55338</v>
      </c>
      <c r="C2901" t="s">
        <v>1745</v>
      </c>
      <c r="D2901" t="s">
        <v>6369</v>
      </c>
      <c r="E2901" s="3" t="str">
        <f>IF(LEN(Base_Periodo1[[#This Row],[CLASS]])&gt;=7,LEFT(Base_Periodo1[[#This Row],[CLASS]],7),"")</f>
        <v>2.1.2.1</v>
      </c>
      <c r="F2901" s="3" t="str">
        <f>VLOOKUP(Base_Periodo1[[#This Row],[Aux]],Base_Contas_Balanco[#All],2,FALSE)</f>
        <v>Fornecedores Cooperados</v>
      </c>
      <c r="G2901" s="1">
        <v>42873</v>
      </c>
      <c r="H2901" s="225">
        <v>13064</v>
      </c>
      <c r="I2901" s="225">
        <v>0</v>
      </c>
      <c r="J2901" s="225">
        <v>22507.439999999999</v>
      </c>
      <c r="K2901" s="225">
        <v>35571.440000000002</v>
      </c>
      <c r="L29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35571.440000000002</v>
      </c>
      <c r="M2901" s="225">
        <f>ROUND(IF(AND(Base_Periodo1[[#This Row],[Tipo_Linha]]="-",Base_Periodo1[[#This Row],[TIPOSALDO]]="D"),Base_Periodo1[[#This Row],[SALDO_ATUAL]]*-1,Base_Periodo1[[#This Row],[SALDO_ATUAL]]),4)</f>
        <v>35571.440000000002</v>
      </c>
      <c r="N2901" t="s">
        <v>116</v>
      </c>
      <c r="O2901" t="s">
        <v>459</v>
      </c>
      <c r="P2901" t="s">
        <v>459</v>
      </c>
      <c r="Q2901">
        <v>7</v>
      </c>
      <c r="R2901" s="225">
        <f>Base_Periodo1[[#This Row],[CREDITOS]]-Base_Periodo1[[#This Row],[DEBITOS]]</f>
        <v>22507.439999999999</v>
      </c>
      <c r="S2901" s="3" t="str">
        <f>IF(ISERROR(VLOOKUP(Base_Periodo1[[#This Row],[CONTA]],BaseContasDRE[#All],4,FALSE)),"Fora do DRE",VLOOKUP(Base_Periodo1[[#This Row],[CONTA]],BaseContasDRE[#All],4,FALSE))</f>
        <v>Fora do DRE</v>
      </c>
      <c r="T2901" s="3" t="str">
        <f>IF(ISERROR(VLOOKUP(Base_Periodo1[[#This Row],[CONTA]],BaseContasDRE[#All],5,FALSE)),"Fora do DRE",VLOOKUP(Base_Periodo1[[#This Row],[CONTA]],BaseContasDRE[#All],6,FALSE))</f>
        <v>Fora do DRE</v>
      </c>
      <c r="U2901" s="3" t="str">
        <f>IF(ISERROR(VLOOKUP(Base_Periodo1[[#This Row],[CONTA]],BaseContasDRE[#All],7,FALSE)),"Fora do DRE",VLOOKUP(Base_Periodo1[[#This Row],[CONTA]],BaseContasDRE[#All],7,FALSE))</f>
        <v>Fora do DRE</v>
      </c>
      <c r="V2901" s="3" t="str">
        <f>IF(Base_Periodo1[[#This Row],[Tipo_Linha]]="Fora do DRE","Fora do DRE","( "&amp;Base_Periodo1[[#This Row],[Tipo_Linha]]&amp;" ) "&amp;Base_Periodo1[[#This Row],[Filtro]])</f>
        <v>Fora do DRE</v>
      </c>
      <c r="W2901" s="3" t="str">
        <f>LEFT(Base_Periodo1[[#This Row],[CLASS]],3)</f>
        <v>2.1</v>
      </c>
    </row>
    <row r="2902" spans="1:23" hidden="1">
      <c r="A2902" s="3" t="str">
        <f t="shared" si="45"/>
        <v>Período 1</v>
      </c>
      <c r="B2902">
        <v>37380</v>
      </c>
      <c r="C2902" t="s">
        <v>1745</v>
      </c>
      <c r="D2902" t="s">
        <v>5519</v>
      </c>
      <c r="E2902" s="3" t="str">
        <f>IF(LEN(Base_Periodo1[[#This Row],[CLASS]])&gt;=7,LEFT(Base_Periodo1[[#This Row],[CLASS]],7),"")</f>
        <v>2.1.2.1</v>
      </c>
      <c r="F2902" s="3" t="str">
        <f>VLOOKUP(Base_Periodo1[[#This Row],[Aux]],Base_Contas_Balanco[#All],2,FALSE)</f>
        <v>Fornecedores Cooperados</v>
      </c>
      <c r="G2902" s="1">
        <v>42724</v>
      </c>
      <c r="H2902" s="225">
        <v>19242.68</v>
      </c>
      <c r="I2902" s="225">
        <v>0</v>
      </c>
      <c r="J2902" s="225">
        <v>0</v>
      </c>
      <c r="K2902" s="225">
        <v>19242.68</v>
      </c>
      <c r="L29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19242.68</v>
      </c>
      <c r="M2902" s="225">
        <f>ROUND(IF(AND(Base_Periodo1[[#This Row],[Tipo_Linha]]="-",Base_Periodo1[[#This Row],[TIPOSALDO]]="D"),Base_Periodo1[[#This Row],[SALDO_ATUAL]]*-1,Base_Periodo1[[#This Row],[SALDO_ATUAL]]),4)</f>
        <v>19242.68</v>
      </c>
      <c r="N2902" t="s">
        <v>116</v>
      </c>
      <c r="O2902" t="s">
        <v>459</v>
      </c>
      <c r="P2902" t="s">
        <v>459</v>
      </c>
      <c r="Q2902">
        <v>7</v>
      </c>
      <c r="R2902" s="225">
        <f>Base_Periodo1[[#This Row],[CREDITOS]]-Base_Periodo1[[#This Row],[DEBITOS]]</f>
        <v>0</v>
      </c>
      <c r="S2902" s="3" t="str">
        <f>IF(ISERROR(VLOOKUP(Base_Periodo1[[#This Row],[CONTA]],BaseContasDRE[#All],4,FALSE)),"Fora do DRE",VLOOKUP(Base_Periodo1[[#This Row],[CONTA]],BaseContasDRE[#All],4,FALSE))</f>
        <v>Fora do DRE</v>
      </c>
      <c r="T2902" s="3" t="str">
        <f>IF(ISERROR(VLOOKUP(Base_Periodo1[[#This Row],[CONTA]],BaseContasDRE[#All],5,FALSE)),"Fora do DRE",VLOOKUP(Base_Periodo1[[#This Row],[CONTA]],BaseContasDRE[#All],6,FALSE))</f>
        <v>Fora do DRE</v>
      </c>
      <c r="U2902" s="3" t="str">
        <f>IF(ISERROR(VLOOKUP(Base_Periodo1[[#This Row],[CONTA]],BaseContasDRE[#All],7,FALSE)),"Fora do DRE",VLOOKUP(Base_Periodo1[[#This Row],[CONTA]],BaseContasDRE[#All],7,FALSE))</f>
        <v>Fora do DRE</v>
      </c>
      <c r="V2902" s="3" t="str">
        <f>IF(Base_Periodo1[[#This Row],[Tipo_Linha]]="Fora do DRE","Fora do DRE","( "&amp;Base_Periodo1[[#This Row],[Tipo_Linha]]&amp;" ) "&amp;Base_Periodo1[[#This Row],[Filtro]])</f>
        <v>Fora do DRE</v>
      </c>
      <c r="W2902" s="3" t="str">
        <f>LEFT(Base_Periodo1[[#This Row],[CLASS]],3)</f>
        <v>2.1</v>
      </c>
    </row>
    <row r="2903" spans="1:23" hidden="1">
      <c r="A2903" s="3" t="str">
        <f t="shared" si="45"/>
        <v>Período 1</v>
      </c>
      <c r="B2903">
        <v>26318</v>
      </c>
      <c r="C2903" t="s">
        <v>1745</v>
      </c>
      <c r="D2903" t="s">
        <v>6370</v>
      </c>
      <c r="E2903" s="3" t="str">
        <f>IF(LEN(Base_Periodo1[[#This Row],[CLASS]])&gt;=7,LEFT(Base_Periodo1[[#This Row],[CLASS]],7),"")</f>
        <v>2.1.2.1</v>
      </c>
      <c r="F2903" s="3" t="str">
        <f>VLOOKUP(Base_Periodo1[[#This Row],[Aux]],Base_Contas_Balanco[#All],2,FALSE)</f>
        <v>Fornecedores Cooperados</v>
      </c>
      <c r="G2903" s="1">
        <v>42828</v>
      </c>
      <c r="H2903" s="225">
        <v>30334</v>
      </c>
      <c r="I2903" s="225">
        <v>0</v>
      </c>
      <c r="J2903" s="225">
        <v>0</v>
      </c>
      <c r="K2903" s="225">
        <v>30334</v>
      </c>
      <c r="L29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30334</v>
      </c>
      <c r="M2903" s="225">
        <f>ROUND(IF(AND(Base_Periodo1[[#This Row],[Tipo_Linha]]="-",Base_Periodo1[[#This Row],[TIPOSALDO]]="D"),Base_Periodo1[[#This Row],[SALDO_ATUAL]]*-1,Base_Periodo1[[#This Row],[SALDO_ATUAL]]),4)</f>
        <v>30334</v>
      </c>
      <c r="N2903" t="s">
        <v>116</v>
      </c>
      <c r="O2903" t="s">
        <v>459</v>
      </c>
      <c r="P2903" t="s">
        <v>459</v>
      </c>
      <c r="Q2903">
        <v>7</v>
      </c>
      <c r="R2903" s="225">
        <f>Base_Periodo1[[#This Row],[CREDITOS]]-Base_Periodo1[[#This Row],[DEBITOS]]</f>
        <v>0</v>
      </c>
      <c r="S2903" s="3" t="str">
        <f>IF(ISERROR(VLOOKUP(Base_Periodo1[[#This Row],[CONTA]],BaseContasDRE[#All],4,FALSE)),"Fora do DRE",VLOOKUP(Base_Periodo1[[#This Row],[CONTA]],BaseContasDRE[#All],4,FALSE))</f>
        <v>Fora do DRE</v>
      </c>
      <c r="T2903" s="3" t="str">
        <f>IF(ISERROR(VLOOKUP(Base_Periodo1[[#This Row],[CONTA]],BaseContasDRE[#All],5,FALSE)),"Fora do DRE",VLOOKUP(Base_Periodo1[[#This Row],[CONTA]],BaseContasDRE[#All],6,FALSE))</f>
        <v>Fora do DRE</v>
      </c>
      <c r="U2903" s="3" t="str">
        <f>IF(ISERROR(VLOOKUP(Base_Periodo1[[#This Row],[CONTA]],BaseContasDRE[#All],7,FALSE)),"Fora do DRE",VLOOKUP(Base_Periodo1[[#This Row],[CONTA]],BaseContasDRE[#All],7,FALSE))</f>
        <v>Fora do DRE</v>
      </c>
      <c r="V2903" s="3" t="str">
        <f>IF(Base_Periodo1[[#This Row],[Tipo_Linha]]="Fora do DRE","Fora do DRE","( "&amp;Base_Periodo1[[#This Row],[Tipo_Linha]]&amp;" ) "&amp;Base_Periodo1[[#This Row],[Filtro]])</f>
        <v>Fora do DRE</v>
      </c>
      <c r="W2903" s="3" t="str">
        <f>LEFT(Base_Periodo1[[#This Row],[CLASS]],3)</f>
        <v>2.1</v>
      </c>
    </row>
    <row r="2904" spans="1:23" hidden="1">
      <c r="A2904" s="3" t="str">
        <f t="shared" si="45"/>
        <v>Período 1</v>
      </c>
      <c r="B2904">
        <v>39463</v>
      </c>
      <c r="C2904" t="s">
        <v>1745</v>
      </c>
      <c r="D2904" t="s">
        <v>4606</v>
      </c>
      <c r="E2904" s="3" t="str">
        <f>IF(LEN(Base_Periodo1[[#This Row],[CLASS]])&gt;=7,LEFT(Base_Periodo1[[#This Row],[CLASS]],7),"")</f>
        <v>2.1.2.1</v>
      </c>
      <c r="F2904" s="3" t="str">
        <f>VLOOKUP(Base_Periodo1[[#This Row],[Aux]],Base_Contas_Balanco[#All],2,FALSE)</f>
        <v>Fornecedores Cooperados</v>
      </c>
      <c r="G2904" s="1">
        <v>42794</v>
      </c>
      <c r="H2904" s="225">
        <v>35.67000000004191</v>
      </c>
      <c r="I2904" s="225">
        <v>0</v>
      </c>
      <c r="J2904" s="225">
        <v>0</v>
      </c>
      <c r="K2904" s="225">
        <v>35.67000000004191</v>
      </c>
      <c r="L29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35.67</v>
      </c>
      <c r="M2904" s="225">
        <f>ROUND(IF(AND(Base_Periodo1[[#This Row],[Tipo_Linha]]="-",Base_Periodo1[[#This Row],[TIPOSALDO]]="D"),Base_Periodo1[[#This Row],[SALDO_ATUAL]]*-1,Base_Periodo1[[#This Row],[SALDO_ATUAL]]),4)</f>
        <v>35.67</v>
      </c>
      <c r="N2904" t="s">
        <v>116</v>
      </c>
      <c r="O2904" t="s">
        <v>459</v>
      </c>
      <c r="P2904" t="s">
        <v>459</v>
      </c>
      <c r="Q2904">
        <v>7</v>
      </c>
      <c r="R2904" s="225">
        <f>Base_Periodo1[[#This Row],[CREDITOS]]-Base_Periodo1[[#This Row],[DEBITOS]]</f>
        <v>0</v>
      </c>
      <c r="S2904" s="3" t="str">
        <f>IF(ISERROR(VLOOKUP(Base_Periodo1[[#This Row],[CONTA]],BaseContasDRE[#All],4,FALSE)),"Fora do DRE",VLOOKUP(Base_Periodo1[[#This Row],[CONTA]],BaseContasDRE[#All],4,FALSE))</f>
        <v>Fora do DRE</v>
      </c>
      <c r="T2904" s="3" t="str">
        <f>IF(ISERROR(VLOOKUP(Base_Periodo1[[#This Row],[CONTA]],BaseContasDRE[#All],5,FALSE)),"Fora do DRE",VLOOKUP(Base_Periodo1[[#This Row],[CONTA]],BaseContasDRE[#All],6,FALSE))</f>
        <v>Fora do DRE</v>
      </c>
      <c r="U2904" s="3" t="str">
        <f>IF(ISERROR(VLOOKUP(Base_Periodo1[[#This Row],[CONTA]],BaseContasDRE[#All],7,FALSE)),"Fora do DRE",VLOOKUP(Base_Periodo1[[#This Row],[CONTA]],BaseContasDRE[#All],7,FALSE))</f>
        <v>Fora do DRE</v>
      </c>
      <c r="V2904" s="3" t="str">
        <f>IF(Base_Periodo1[[#This Row],[Tipo_Linha]]="Fora do DRE","Fora do DRE","( "&amp;Base_Periodo1[[#This Row],[Tipo_Linha]]&amp;" ) "&amp;Base_Periodo1[[#This Row],[Filtro]])</f>
        <v>Fora do DRE</v>
      </c>
      <c r="W2904" s="3" t="str">
        <f>LEFT(Base_Periodo1[[#This Row],[CLASS]],3)</f>
        <v>2.1</v>
      </c>
    </row>
    <row r="2905" spans="1:23" hidden="1">
      <c r="A2905" s="3" t="str">
        <f t="shared" si="45"/>
        <v>Período 1</v>
      </c>
      <c r="B2905">
        <v>40125</v>
      </c>
      <c r="C2905" t="s">
        <v>1745</v>
      </c>
      <c r="D2905" t="s">
        <v>1865</v>
      </c>
      <c r="E2905" s="3" t="str">
        <f>IF(LEN(Base_Periodo1[[#This Row],[CLASS]])&gt;=7,LEFT(Base_Periodo1[[#This Row],[CLASS]],7),"")</f>
        <v>2.1.2.1</v>
      </c>
      <c r="F2905" s="3" t="str">
        <f>VLOOKUP(Base_Periodo1[[#This Row],[Aux]],Base_Contas_Balanco[#All],2,FALSE)</f>
        <v>Fornecedores Cooperados</v>
      </c>
      <c r="G2905" s="1">
        <v>42696</v>
      </c>
      <c r="H2905" s="225">
        <v>1.0000000002037268E-2</v>
      </c>
      <c r="I2905" s="225">
        <v>0</v>
      </c>
      <c r="J2905" s="225">
        <v>0</v>
      </c>
      <c r="K2905" s="225">
        <v>1.0000000002037268E-2</v>
      </c>
      <c r="L29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2905" s="225">
        <f>ROUND(IF(AND(Base_Periodo1[[#This Row],[Tipo_Linha]]="-",Base_Periodo1[[#This Row],[TIPOSALDO]]="D"),Base_Periodo1[[#This Row],[SALDO_ATUAL]]*-1,Base_Periodo1[[#This Row],[SALDO_ATUAL]]),4)</f>
        <v>0.01</v>
      </c>
      <c r="N2905" t="s">
        <v>116</v>
      </c>
      <c r="O2905" t="s">
        <v>459</v>
      </c>
      <c r="P2905" t="s">
        <v>459</v>
      </c>
      <c r="Q2905">
        <v>7</v>
      </c>
      <c r="R2905" s="225">
        <f>Base_Periodo1[[#This Row],[CREDITOS]]-Base_Periodo1[[#This Row],[DEBITOS]]</f>
        <v>0</v>
      </c>
      <c r="S2905" s="3" t="str">
        <f>IF(ISERROR(VLOOKUP(Base_Periodo1[[#This Row],[CONTA]],BaseContasDRE[#All],4,FALSE)),"Fora do DRE",VLOOKUP(Base_Periodo1[[#This Row],[CONTA]],BaseContasDRE[#All],4,FALSE))</f>
        <v>Fora do DRE</v>
      </c>
      <c r="T2905" s="3" t="str">
        <f>IF(ISERROR(VLOOKUP(Base_Periodo1[[#This Row],[CONTA]],BaseContasDRE[#All],5,FALSE)),"Fora do DRE",VLOOKUP(Base_Periodo1[[#This Row],[CONTA]],BaseContasDRE[#All],6,FALSE))</f>
        <v>Fora do DRE</v>
      </c>
      <c r="U2905" s="3" t="str">
        <f>IF(ISERROR(VLOOKUP(Base_Periodo1[[#This Row],[CONTA]],BaseContasDRE[#All],7,FALSE)),"Fora do DRE",VLOOKUP(Base_Periodo1[[#This Row],[CONTA]],BaseContasDRE[#All],7,FALSE))</f>
        <v>Fora do DRE</v>
      </c>
      <c r="V2905" s="3" t="str">
        <f>IF(Base_Periodo1[[#This Row],[Tipo_Linha]]="Fora do DRE","Fora do DRE","( "&amp;Base_Periodo1[[#This Row],[Tipo_Linha]]&amp;" ) "&amp;Base_Periodo1[[#This Row],[Filtro]])</f>
        <v>Fora do DRE</v>
      </c>
      <c r="W2905" s="3" t="str">
        <f>LEFT(Base_Periodo1[[#This Row],[CLASS]],3)</f>
        <v>2.1</v>
      </c>
    </row>
    <row r="2906" spans="1:23" hidden="1">
      <c r="A2906" s="3" t="str">
        <f t="shared" si="45"/>
        <v>Período 1</v>
      </c>
      <c r="B2906">
        <v>7219</v>
      </c>
      <c r="C2906" t="s">
        <v>1745</v>
      </c>
      <c r="D2906" t="s">
        <v>1866</v>
      </c>
      <c r="E2906" s="3" t="str">
        <f>IF(LEN(Base_Periodo1[[#This Row],[CLASS]])&gt;=7,LEFT(Base_Periodo1[[#This Row],[CLASS]],7),"")</f>
        <v>2.1.2.1</v>
      </c>
      <c r="F2906" s="3" t="str">
        <f>VLOOKUP(Base_Periodo1[[#This Row],[Aux]],Base_Contas_Balanco[#All],2,FALSE)</f>
        <v>Fornecedores Cooperados</v>
      </c>
      <c r="G2906" s="1">
        <v>42867</v>
      </c>
      <c r="H2906" s="225">
        <v>7336.5300000000279</v>
      </c>
      <c r="I2906" s="225">
        <v>0</v>
      </c>
      <c r="J2906" s="225">
        <v>26580</v>
      </c>
      <c r="K2906" s="225">
        <v>33916.530000000028</v>
      </c>
      <c r="L29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33916.53</v>
      </c>
      <c r="M2906" s="225">
        <f>ROUND(IF(AND(Base_Periodo1[[#This Row],[Tipo_Linha]]="-",Base_Periodo1[[#This Row],[TIPOSALDO]]="D"),Base_Periodo1[[#This Row],[SALDO_ATUAL]]*-1,Base_Periodo1[[#This Row],[SALDO_ATUAL]]),4)</f>
        <v>33916.53</v>
      </c>
      <c r="N2906" t="s">
        <v>116</v>
      </c>
      <c r="O2906" t="s">
        <v>459</v>
      </c>
      <c r="P2906" t="s">
        <v>459</v>
      </c>
      <c r="Q2906">
        <v>7</v>
      </c>
      <c r="R2906" s="225">
        <f>Base_Periodo1[[#This Row],[CREDITOS]]-Base_Periodo1[[#This Row],[DEBITOS]]</f>
        <v>26580</v>
      </c>
      <c r="S2906" s="3" t="str">
        <f>IF(ISERROR(VLOOKUP(Base_Periodo1[[#This Row],[CONTA]],BaseContasDRE[#All],4,FALSE)),"Fora do DRE",VLOOKUP(Base_Periodo1[[#This Row],[CONTA]],BaseContasDRE[#All],4,FALSE))</f>
        <v>Fora do DRE</v>
      </c>
      <c r="T2906" s="3" t="str">
        <f>IF(ISERROR(VLOOKUP(Base_Periodo1[[#This Row],[CONTA]],BaseContasDRE[#All],5,FALSE)),"Fora do DRE",VLOOKUP(Base_Periodo1[[#This Row],[CONTA]],BaseContasDRE[#All],6,FALSE))</f>
        <v>Fora do DRE</v>
      </c>
      <c r="U2906" s="3" t="str">
        <f>IF(ISERROR(VLOOKUP(Base_Periodo1[[#This Row],[CONTA]],BaseContasDRE[#All],7,FALSE)),"Fora do DRE",VLOOKUP(Base_Periodo1[[#This Row],[CONTA]],BaseContasDRE[#All],7,FALSE))</f>
        <v>Fora do DRE</v>
      </c>
      <c r="V2906" s="3" t="str">
        <f>IF(Base_Periodo1[[#This Row],[Tipo_Linha]]="Fora do DRE","Fora do DRE","( "&amp;Base_Periodo1[[#This Row],[Tipo_Linha]]&amp;" ) "&amp;Base_Periodo1[[#This Row],[Filtro]])</f>
        <v>Fora do DRE</v>
      </c>
      <c r="W2906" s="3" t="str">
        <f>LEFT(Base_Periodo1[[#This Row],[CLASS]],3)</f>
        <v>2.1</v>
      </c>
    </row>
    <row r="2907" spans="1:23" hidden="1">
      <c r="A2907" s="3" t="str">
        <f t="shared" si="45"/>
        <v>Período 1</v>
      </c>
      <c r="B2907">
        <v>7767</v>
      </c>
      <c r="C2907" t="s">
        <v>1745</v>
      </c>
      <c r="D2907" t="s">
        <v>5955</v>
      </c>
      <c r="E2907" s="3" t="str">
        <f>IF(LEN(Base_Periodo1[[#This Row],[CLASS]])&gt;=7,LEFT(Base_Periodo1[[#This Row],[CLASS]],7),"")</f>
        <v>2.1.2.1</v>
      </c>
      <c r="F2907" s="3" t="str">
        <f>VLOOKUP(Base_Periodo1[[#This Row],[Aux]],Base_Contas_Balanco[#All],2,FALSE)</f>
        <v>Fornecedores Cooperados</v>
      </c>
      <c r="G2907" s="1">
        <v>42842</v>
      </c>
      <c r="H2907" s="225">
        <v>15016.859999999957</v>
      </c>
      <c r="I2907" s="225">
        <v>0</v>
      </c>
      <c r="J2907" s="225">
        <v>0</v>
      </c>
      <c r="K2907" s="225">
        <v>15016.859999999957</v>
      </c>
      <c r="L29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15016.86</v>
      </c>
      <c r="M2907" s="225">
        <f>ROUND(IF(AND(Base_Periodo1[[#This Row],[Tipo_Linha]]="-",Base_Periodo1[[#This Row],[TIPOSALDO]]="D"),Base_Periodo1[[#This Row],[SALDO_ATUAL]]*-1,Base_Periodo1[[#This Row],[SALDO_ATUAL]]),4)</f>
        <v>15016.86</v>
      </c>
      <c r="N2907" t="s">
        <v>116</v>
      </c>
      <c r="O2907" t="s">
        <v>459</v>
      </c>
      <c r="P2907" t="s">
        <v>459</v>
      </c>
      <c r="Q2907">
        <v>7</v>
      </c>
      <c r="R2907" s="225">
        <f>Base_Periodo1[[#This Row],[CREDITOS]]-Base_Periodo1[[#This Row],[DEBITOS]]</f>
        <v>0</v>
      </c>
      <c r="S2907" s="3" t="str">
        <f>IF(ISERROR(VLOOKUP(Base_Periodo1[[#This Row],[CONTA]],BaseContasDRE[#All],4,FALSE)),"Fora do DRE",VLOOKUP(Base_Periodo1[[#This Row],[CONTA]],BaseContasDRE[#All],4,FALSE))</f>
        <v>Fora do DRE</v>
      </c>
      <c r="T2907" s="3" t="str">
        <f>IF(ISERROR(VLOOKUP(Base_Periodo1[[#This Row],[CONTA]],BaseContasDRE[#All],5,FALSE)),"Fora do DRE",VLOOKUP(Base_Periodo1[[#This Row],[CONTA]],BaseContasDRE[#All],6,FALSE))</f>
        <v>Fora do DRE</v>
      </c>
      <c r="U2907" s="3" t="str">
        <f>IF(ISERROR(VLOOKUP(Base_Periodo1[[#This Row],[CONTA]],BaseContasDRE[#All],7,FALSE)),"Fora do DRE",VLOOKUP(Base_Periodo1[[#This Row],[CONTA]],BaseContasDRE[#All],7,FALSE))</f>
        <v>Fora do DRE</v>
      </c>
      <c r="V2907" s="3" t="str">
        <f>IF(Base_Periodo1[[#This Row],[Tipo_Linha]]="Fora do DRE","Fora do DRE","( "&amp;Base_Periodo1[[#This Row],[Tipo_Linha]]&amp;" ) "&amp;Base_Periodo1[[#This Row],[Filtro]])</f>
        <v>Fora do DRE</v>
      </c>
      <c r="W2907" s="3" t="str">
        <f>LEFT(Base_Periodo1[[#This Row],[CLASS]],3)</f>
        <v>2.1</v>
      </c>
    </row>
    <row r="2908" spans="1:23" hidden="1">
      <c r="A2908" s="3" t="str">
        <f t="shared" si="45"/>
        <v>Período 1</v>
      </c>
      <c r="B2908">
        <v>3342</v>
      </c>
      <c r="C2908" t="s">
        <v>1745</v>
      </c>
      <c r="D2908" t="s">
        <v>1867</v>
      </c>
      <c r="E2908" s="3" t="str">
        <f>IF(LEN(Base_Periodo1[[#This Row],[CLASS]])&gt;=7,LEFT(Base_Periodo1[[#This Row],[CLASS]],7),"")</f>
        <v>2.1.2.1</v>
      </c>
      <c r="F2908" s="3" t="str">
        <f>VLOOKUP(Base_Periodo1[[#This Row],[Aux]],Base_Contas_Balanco[#All],2,FALSE)</f>
        <v>Fornecedores Cooperados</v>
      </c>
      <c r="G2908" s="1">
        <v>42825</v>
      </c>
      <c r="H2908" s="225">
        <v>45556.86999999953</v>
      </c>
      <c r="I2908" s="225">
        <v>0</v>
      </c>
      <c r="J2908" s="225">
        <v>0</v>
      </c>
      <c r="K2908" s="225">
        <v>45556.86999999953</v>
      </c>
      <c r="L29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45556.87</v>
      </c>
      <c r="M2908" s="225">
        <f>ROUND(IF(AND(Base_Periodo1[[#This Row],[Tipo_Linha]]="-",Base_Periodo1[[#This Row],[TIPOSALDO]]="D"),Base_Periodo1[[#This Row],[SALDO_ATUAL]]*-1,Base_Periodo1[[#This Row],[SALDO_ATUAL]]),4)</f>
        <v>45556.87</v>
      </c>
      <c r="N2908" t="s">
        <v>116</v>
      </c>
      <c r="O2908" t="s">
        <v>459</v>
      </c>
      <c r="P2908" t="s">
        <v>459</v>
      </c>
      <c r="Q2908">
        <v>7</v>
      </c>
      <c r="R2908" s="225">
        <f>Base_Periodo1[[#This Row],[CREDITOS]]-Base_Periodo1[[#This Row],[DEBITOS]]</f>
        <v>0</v>
      </c>
      <c r="S2908" s="3" t="str">
        <f>IF(ISERROR(VLOOKUP(Base_Periodo1[[#This Row],[CONTA]],BaseContasDRE[#All],4,FALSE)),"Fora do DRE",VLOOKUP(Base_Periodo1[[#This Row],[CONTA]],BaseContasDRE[#All],4,FALSE))</f>
        <v>Fora do DRE</v>
      </c>
      <c r="T2908" s="3" t="str">
        <f>IF(ISERROR(VLOOKUP(Base_Periodo1[[#This Row],[CONTA]],BaseContasDRE[#All],5,FALSE)),"Fora do DRE",VLOOKUP(Base_Periodo1[[#This Row],[CONTA]],BaseContasDRE[#All],6,FALSE))</f>
        <v>Fora do DRE</v>
      </c>
      <c r="U2908" s="3" t="str">
        <f>IF(ISERROR(VLOOKUP(Base_Periodo1[[#This Row],[CONTA]],BaseContasDRE[#All],7,FALSE)),"Fora do DRE",VLOOKUP(Base_Periodo1[[#This Row],[CONTA]],BaseContasDRE[#All],7,FALSE))</f>
        <v>Fora do DRE</v>
      </c>
      <c r="V2908" s="3" t="str">
        <f>IF(Base_Periodo1[[#This Row],[Tipo_Linha]]="Fora do DRE","Fora do DRE","( "&amp;Base_Periodo1[[#This Row],[Tipo_Linha]]&amp;" ) "&amp;Base_Periodo1[[#This Row],[Filtro]])</f>
        <v>Fora do DRE</v>
      </c>
      <c r="W2908" s="3" t="str">
        <f>LEFT(Base_Periodo1[[#This Row],[CLASS]],3)</f>
        <v>2.1</v>
      </c>
    </row>
    <row r="2909" spans="1:23" hidden="1">
      <c r="A2909" s="3" t="str">
        <f t="shared" si="45"/>
        <v>Período 1</v>
      </c>
      <c r="B2909">
        <v>22004</v>
      </c>
      <c r="C2909" t="s">
        <v>1745</v>
      </c>
      <c r="D2909" t="s">
        <v>1868</v>
      </c>
      <c r="E2909" s="3" t="str">
        <f>IF(LEN(Base_Periodo1[[#This Row],[CLASS]])&gt;=7,LEFT(Base_Periodo1[[#This Row],[CLASS]],7),"")</f>
        <v>2.1.2.1</v>
      </c>
      <c r="F2909" s="3" t="str">
        <f>VLOOKUP(Base_Periodo1[[#This Row],[Aux]],Base_Contas_Balanco[#All],2,FALSE)</f>
        <v>Fornecedores Cooperados</v>
      </c>
      <c r="G2909" s="1">
        <v>42789</v>
      </c>
      <c r="H2909" s="225">
        <v>24577.800000000105</v>
      </c>
      <c r="I2909" s="225">
        <v>0</v>
      </c>
      <c r="J2909" s="225">
        <v>0</v>
      </c>
      <c r="K2909" s="225">
        <v>24577.800000000105</v>
      </c>
      <c r="L29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24577.8</v>
      </c>
      <c r="M2909" s="225">
        <f>ROUND(IF(AND(Base_Periodo1[[#This Row],[Tipo_Linha]]="-",Base_Periodo1[[#This Row],[TIPOSALDO]]="D"),Base_Periodo1[[#This Row],[SALDO_ATUAL]]*-1,Base_Periodo1[[#This Row],[SALDO_ATUAL]]),4)</f>
        <v>24577.8</v>
      </c>
      <c r="N2909" t="s">
        <v>116</v>
      </c>
      <c r="O2909" t="s">
        <v>459</v>
      </c>
      <c r="P2909" t="s">
        <v>459</v>
      </c>
      <c r="Q2909">
        <v>7</v>
      </c>
      <c r="R2909" s="225">
        <f>Base_Periodo1[[#This Row],[CREDITOS]]-Base_Periodo1[[#This Row],[DEBITOS]]</f>
        <v>0</v>
      </c>
      <c r="S2909" s="3" t="str">
        <f>IF(ISERROR(VLOOKUP(Base_Periodo1[[#This Row],[CONTA]],BaseContasDRE[#All],4,FALSE)),"Fora do DRE",VLOOKUP(Base_Periodo1[[#This Row],[CONTA]],BaseContasDRE[#All],4,FALSE))</f>
        <v>Fora do DRE</v>
      </c>
      <c r="T2909" s="3" t="str">
        <f>IF(ISERROR(VLOOKUP(Base_Periodo1[[#This Row],[CONTA]],BaseContasDRE[#All],5,FALSE)),"Fora do DRE",VLOOKUP(Base_Periodo1[[#This Row],[CONTA]],BaseContasDRE[#All],6,FALSE))</f>
        <v>Fora do DRE</v>
      </c>
      <c r="U2909" s="3" t="str">
        <f>IF(ISERROR(VLOOKUP(Base_Periodo1[[#This Row],[CONTA]],BaseContasDRE[#All],7,FALSE)),"Fora do DRE",VLOOKUP(Base_Periodo1[[#This Row],[CONTA]],BaseContasDRE[#All],7,FALSE))</f>
        <v>Fora do DRE</v>
      </c>
      <c r="V2909" s="3" t="str">
        <f>IF(Base_Periodo1[[#This Row],[Tipo_Linha]]="Fora do DRE","Fora do DRE","( "&amp;Base_Periodo1[[#This Row],[Tipo_Linha]]&amp;" ) "&amp;Base_Periodo1[[#This Row],[Filtro]])</f>
        <v>Fora do DRE</v>
      </c>
      <c r="W2909" s="3" t="str">
        <f>LEFT(Base_Periodo1[[#This Row],[CLASS]],3)</f>
        <v>2.1</v>
      </c>
    </row>
    <row r="2910" spans="1:23" hidden="1">
      <c r="A2910" s="3" t="str">
        <f t="shared" si="45"/>
        <v>Período 1</v>
      </c>
      <c r="B2910">
        <v>12168</v>
      </c>
      <c r="C2910" t="s">
        <v>1745</v>
      </c>
      <c r="D2910" t="s">
        <v>6875</v>
      </c>
      <c r="E2910" s="3" t="str">
        <f>IF(LEN(Base_Periodo1[[#This Row],[CLASS]])&gt;=7,LEFT(Base_Periodo1[[#This Row],[CLASS]],7),"")</f>
        <v>2.1.2.1</v>
      </c>
      <c r="F2910" s="3" t="str">
        <f>VLOOKUP(Base_Periodo1[[#This Row],[Aux]],Base_Contas_Balanco[#All],2,FALSE)</f>
        <v>Fornecedores Cooperados</v>
      </c>
      <c r="G2910" s="1">
        <v>42884</v>
      </c>
      <c r="I2910" s="225">
        <v>1245</v>
      </c>
      <c r="J2910" s="225">
        <v>1245</v>
      </c>
      <c r="K2910" s="225">
        <v>3.637978807091713E-12</v>
      </c>
      <c r="L29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910" s="225">
        <f>ROUND(IF(AND(Base_Periodo1[[#This Row],[Tipo_Linha]]="-",Base_Periodo1[[#This Row],[TIPOSALDO]]="D"),Base_Periodo1[[#This Row],[SALDO_ATUAL]]*-1,Base_Periodo1[[#This Row],[SALDO_ATUAL]]),4)</f>
        <v>0</v>
      </c>
      <c r="N2910" t="s">
        <v>116</v>
      </c>
      <c r="O2910" t="s">
        <v>436</v>
      </c>
      <c r="P2910" t="s">
        <v>436</v>
      </c>
      <c r="Q2910">
        <v>7</v>
      </c>
      <c r="R2910" s="225">
        <f>Base_Periodo1[[#This Row],[CREDITOS]]-Base_Periodo1[[#This Row],[DEBITOS]]</f>
        <v>0</v>
      </c>
      <c r="S2910" s="3" t="str">
        <f>IF(ISERROR(VLOOKUP(Base_Periodo1[[#This Row],[CONTA]],BaseContasDRE[#All],4,FALSE)),"Fora do DRE",VLOOKUP(Base_Periodo1[[#This Row],[CONTA]],BaseContasDRE[#All],4,FALSE))</f>
        <v>Fora do DRE</v>
      </c>
      <c r="T2910" s="3" t="str">
        <f>IF(ISERROR(VLOOKUP(Base_Periodo1[[#This Row],[CONTA]],BaseContasDRE[#All],5,FALSE)),"Fora do DRE",VLOOKUP(Base_Periodo1[[#This Row],[CONTA]],BaseContasDRE[#All],6,FALSE))</f>
        <v>Fora do DRE</v>
      </c>
      <c r="U2910" s="3" t="str">
        <f>IF(ISERROR(VLOOKUP(Base_Periodo1[[#This Row],[CONTA]],BaseContasDRE[#All],7,FALSE)),"Fora do DRE",VLOOKUP(Base_Periodo1[[#This Row],[CONTA]],BaseContasDRE[#All],7,FALSE))</f>
        <v>Fora do DRE</v>
      </c>
      <c r="V2910" s="3" t="str">
        <f>IF(Base_Periodo1[[#This Row],[Tipo_Linha]]="Fora do DRE","Fora do DRE","( "&amp;Base_Periodo1[[#This Row],[Tipo_Linha]]&amp;" ) "&amp;Base_Periodo1[[#This Row],[Filtro]])</f>
        <v>Fora do DRE</v>
      </c>
      <c r="W2910" s="3" t="str">
        <f>LEFT(Base_Periodo1[[#This Row],[CLASS]],3)</f>
        <v>2.1</v>
      </c>
    </row>
    <row r="2911" spans="1:23" hidden="1">
      <c r="A2911" s="3" t="str">
        <f t="shared" si="45"/>
        <v>Período 1</v>
      </c>
      <c r="B2911">
        <v>51454</v>
      </c>
      <c r="C2911" t="s">
        <v>1745</v>
      </c>
      <c r="D2911" t="s">
        <v>5218</v>
      </c>
      <c r="E2911" s="3" t="str">
        <f>IF(LEN(Base_Periodo1[[#This Row],[CLASS]])&gt;=7,LEFT(Base_Periodo1[[#This Row],[CLASS]],7),"")</f>
        <v>2.1.2.1</v>
      </c>
      <c r="F2911" s="3" t="str">
        <f>VLOOKUP(Base_Periodo1[[#This Row],[Aux]],Base_Contas_Balanco[#All],2,FALSE)</f>
        <v>Fornecedores Cooperados</v>
      </c>
      <c r="G2911" s="1">
        <v>42763</v>
      </c>
      <c r="H2911" s="225">
        <v>2264.1300000000047</v>
      </c>
      <c r="I2911" s="225">
        <v>0</v>
      </c>
      <c r="J2911" s="225">
        <v>0</v>
      </c>
      <c r="K2911" s="225">
        <v>2264.1300000000047</v>
      </c>
      <c r="L29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2264.13</v>
      </c>
      <c r="M2911" s="225">
        <f>ROUND(IF(AND(Base_Periodo1[[#This Row],[Tipo_Linha]]="-",Base_Periodo1[[#This Row],[TIPOSALDO]]="D"),Base_Periodo1[[#This Row],[SALDO_ATUAL]]*-1,Base_Periodo1[[#This Row],[SALDO_ATUAL]]),4)</f>
        <v>2264.13</v>
      </c>
      <c r="N2911" t="s">
        <v>116</v>
      </c>
      <c r="O2911" t="s">
        <v>459</v>
      </c>
      <c r="P2911" t="s">
        <v>459</v>
      </c>
      <c r="Q2911">
        <v>7</v>
      </c>
      <c r="R2911" s="225">
        <f>Base_Periodo1[[#This Row],[CREDITOS]]-Base_Periodo1[[#This Row],[DEBITOS]]</f>
        <v>0</v>
      </c>
      <c r="S2911" s="3" t="str">
        <f>IF(ISERROR(VLOOKUP(Base_Periodo1[[#This Row],[CONTA]],BaseContasDRE[#All],4,FALSE)),"Fora do DRE",VLOOKUP(Base_Periodo1[[#This Row],[CONTA]],BaseContasDRE[#All],4,FALSE))</f>
        <v>Fora do DRE</v>
      </c>
      <c r="T2911" s="3" t="str">
        <f>IF(ISERROR(VLOOKUP(Base_Periodo1[[#This Row],[CONTA]],BaseContasDRE[#All],5,FALSE)),"Fora do DRE",VLOOKUP(Base_Periodo1[[#This Row],[CONTA]],BaseContasDRE[#All],6,FALSE))</f>
        <v>Fora do DRE</v>
      </c>
      <c r="U2911" s="3" t="str">
        <f>IF(ISERROR(VLOOKUP(Base_Periodo1[[#This Row],[CONTA]],BaseContasDRE[#All],7,FALSE)),"Fora do DRE",VLOOKUP(Base_Periodo1[[#This Row],[CONTA]],BaseContasDRE[#All],7,FALSE))</f>
        <v>Fora do DRE</v>
      </c>
      <c r="V2911" s="3" t="str">
        <f>IF(Base_Periodo1[[#This Row],[Tipo_Linha]]="Fora do DRE","Fora do DRE","( "&amp;Base_Periodo1[[#This Row],[Tipo_Linha]]&amp;" ) "&amp;Base_Periodo1[[#This Row],[Filtro]])</f>
        <v>Fora do DRE</v>
      </c>
      <c r="W2911" s="3" t="str">
        <f>LEFT(Base_Periodo1[[#This Row],[CLASS]],3)</f>
        <v>2.1</v>
      </c>
    </row>
    <row r="2912" spans="1:23" hidden="1">
      <c r="A2912" s="3" t="str">
        <f t="shared" si="45"/>
        <v>Período 1</v>
      </c>
      <c r="B2912">
        <v>35506</v>
      </c>
      <c r="C2912" t="s">
        <v>1745</v>
      </c>
      <c r="D2912" t="s">
        <v>6371</v>
      </c>
      <c r="E2912" s="3" t="str">
        <f>IF(LEN(Base_Periodo1[[#This Row],[CLASS]])&gt;=7,LEFT(Base_Periodo1[[#This Row],[CLASS]],7),"")</f>
        <v>2.1.2.1</v>
      </c>
      <c r="F2912" s="3" t="str">
        <f>VLOOKUP(Base_Periodo1[[#This Row],[Aux]],Base_Contas_Balanco[#All],2,FALSE)</f>
        <v>Fornecedores Cooperados</v>
      </c>
      <c r="G2912" s="1">
        <v>42795</v>
      </c>
      <c r="H2912" s="225">
        <v>5309.5999999999985</v>
      </c>
      <c r="I2912" s="225">
        <v>0</v>
      </c>
      <c r="J2912" s="225">
        <v>0</v>
      </c>
      <c r="K2912" s="225">
        <v>5309.5999999999985</v>
      </c>
      <c r="L29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5309.6</v>
      </c>
      <c r="M2912" s="225">
        <f>ROUND(IF(AND(Base_Periodo1[[#This Row],[Tipo_Linha]]="-",Base_Periodo1[[#This Row],[TIPOSALDO]]="D"),Base_Periodo1[[#This Row],[SALDO_ATUAL]]*-1,Base_Periodo1[[#This Row],[SALDO_ATUAL]]),4)</f>
        <v>5309.6</v>
      </c>
      <c r="N2912" t="s">
        <v>116</v>
      </c>
      <c r="O2912" t="s">
        <v>459</v>
      </c>
      <c r="P2912" t="s">
        <v>459</v>
      </c>
      <c r="Q2912">
        <v>7</v>
      </c>
      <c r="R2912" s="225">
        <f>Base_Periodo1[[#This Row],[CREDITOS]]-Base_Periodo1[[#This Row],[DEBITOS]]</f>
        <v>0</v>
      </c>
      <c r="S2912" s="3" t="str">
        <f>IF(ISERROR(VLOOKUP(Base_Periodo1[[#This Row],[CONTA]],BaseContasDRE[#All],4,FALSE)),"Fora do DRE",VLOOKUP(Base_Periodo1[[#This Row],[CONTA]],BaseContasDRE[#All],4,FALSE))</f>
        <v>Fora do DRE</v>
      </c>
      <c r="T2912" s="3" t="str">
        <f>IF(ISERROR(VLOOKUP(Base_Periodo1[[#This Row],[CONTA]],BaseContasDRE[#All],5,FALSE)),"Fora do DRE",VLOOKUP(Base_Periodo1[[#This Row],[CONTA]],BaseContasDRE[#All],6,FALSE))</f>
        <v>Fora do DRE</v>
      </c>
      <c r="U2912" s="3" t="str">
        <f>IF(ISERROR(VLOOKUP(Base_Periodo1[[#This Row],[CONTA]],BaseContasDRE[#All],7,FALSE)),"Fora do DRE",VLOOKUP(Base_Periodo1[[#This Row],[CONTA]],BaseContasDRE[#All],7,FALSE))</f>
        <v>Fora do DRE</v>
      </c>
      <c r="V2912" s="3" t="str">
        <f>IF(Base_Periodo1[[#This Row],[Tipo_Linha]]="Fora do DRE","Fora do DRE","( "&amp;Base_Periodo1[[#This Row],[Tipo_Linha]]&amp;" ) "&amp;Base_Periodo1[[#This Row],[Filtro]])</f>
        <v>Fora do DRE</v>
      </c>
      <c r="W2912" s="3" t="str">
        <f>LEFT(Base_Periodo1[[#This Row],[CLASS]],3)</f>
        <v>2.1</v>
      </c>
    </row>
    <row r="2913" spans="1:23" hidden="1">
      <c r="A2913" s="3" t="str">
        <f t="shared" si="45"/>
        <v>Período 1</v>
      </c>
      <c r="B2913">
        <v>3206</v>
      </c>
      <c r="C2913" t="s">
        <v>1745</v>
      </c>
      <c r="D2913" t="s">
        <v>1869</v>
      </c>
      <c r="E2913" s="3" t="str">
        <f>IF(LEN(Base_Periodo1[[#This Row],[CLASS]])&gt;=7,LEFT(Base_Periodo1[[#This Row],[CLASS]],7),"")</f>
        <v>2.1.2.1</v>
      </c>
      <c r="F2913" s="3" t="str">
        <f>VLOOKUP(Base_Periodo1[[#This Row],[Aux]],Base_Contas_Balanco[#All],2,FALSE)</f>
        <v>Fornecedores Cooperados</v>
      </c>
      <c r="G2913" s="1">
        <v>42850</v>
      </c>
      <c r="H2913" s="225">
        <v>5339.9899999999907</v>
      </c>
      <c r="I2913" s="225">
        <v>0</v>
      </c>
      <c r="J2913" s="225">
        <v>0</v>
      </c>
      <c r="K2913" s="225">
        <v>5339.9899999999907</v>
      </c>
      <c r="L29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5339.99</v>
      </c>
      <c r="M2913" s="225">
        <f>ROUND(IF(AND(Base_Periodo1[[#This Row],[Tipo_Linha]]="-",Base_Periodo1[[#This Row],[TIPOSALDO]]="D"),Base_Periodo1[[#This Row],[SALDO_ATUAL]]*-1,Base_Periodo1[[#This Row],[SALDO_ATUAL]]),4)</f>
        <v>5339.99</v>
      </c>
      <c r="N2913" t="s">
        <v>116</v>
      </c>
      <c r="O2913" t="s">
        <v>459</v>
      </c>
      <c r="P2913" t="s">
        <v>459</v>
      </c>
      <c r="Q2913">
        <v>7</v>
      </c>
      <c r="R2913" s="225">
        <f>Base_Periodo1[[#This Row],[CREDITOS]]-Base_Periodo1[[#This Row],[DEBITOS]]</f>
        <v>0</v>
      </c>
      <c r="S2913" s="3" t="str">
        <f>IF(ISERROR(VLOOKUP(Base_Periodo1[[#This Row],[CONTA]],BaseContasDRE[#All],4,FALSE)),"Fora do DRE",VLOOKUP(Base_Periodo1[[#This Row],[CONTA]],BaseContasDRE[#All],4,FALSE))</f>
        <v>Fora do DRE</v>
      </c>
      <c r="T2913" s="3" t="str">
        <f>IF(ISERROR(VLOOKUP(Base_Periodo1[[#This Row],[CONTA]],BaseContasDRE[#All],5,FALSE)),"Fora do DRE",VLOOKUP(Base_Periodo1[[#This Row],[CONTA]],BaseContasDRE[#All],6,FALSE))</f>
        <v>Fora do DRE</v>
      </c>
      <c r="U2913" s="3" t="str">
        <f>IF(ISERROR(VLOOKUP(Base_Periodo1[[#This Row],[CONTA]],BaseContasDRE[#All],7,FALSE)),"Fora do DRE",VLOOKUP(Base_Periodo1[[#This Row],[CONTA]],BaseContasDRE[#All],7,FALSE))</f>
        <v>Fora do DRE</v>
      </c>
      <c r="V2913" s="3" t="str">
        <f>IF(Base_Periodo1[[#This Row],[Tipo_Linha]]="Fora do DRE","Fora do DRE","( "&amp;Base_Periodo1[[#This Row],[Tipo_Linha]]&amp;" ) "&amp;Base_Periodo1[[#This Row],[Filtro]])</f>
        <v>Fora do DRE</v>
      </c>
      <c r="W2913" s="3" t="str">
        <f>LEFT(Base_Periodo1[[#This Row],[CLASS]],3)</f>
        <v>2.1</v>
      </c>
    </row>
    <row r="2914" spans="1:23" hidden="1">
      <c r="A2914" s="3" t="str">
        <f t="shared" si="45"/>
        <v>Período 1</v>
      </c>
      <c r="B2914">
        <v>3686</v>
      </c>
      <c r="C2914" t="s">
        <v>1745</v>
      </c>
      <c r="D2914" t="s">
        <v>5710</v>
      </c>
      <c r="E2914" s="3" t="str">
        <f>IF(LEN(Base_Periodo1[[#This Row],[CLASS]])&gt;=7,LEFT(Base_Periodo1[[#This Row],[CLASS]],7),"")</f>
        <v>2.1.2.1</v>
      </c>
      <c r="F2914" s="3" t="str">
        <f>VLOOKUP(Base_Periodo1[[#This Row],[Aux]],Base_Contas_Balanco[#All],2,FALSE)</f>
        <v>Fornecedores Cooperados</v>
      </c>
      <c r="G2914" s="1">
        <v>42864</v>
      </c>
      <c r="H2914" s="225">
        <v>2390.0000000000582</v>
      </c>
      <c r="I2914" s="225">
        <v>1180</v>
      </c>
      <c r="J2914" s="225">
        <v>590</v>
      </c>
      <c r="K2914" s="225">
        <v>1800.0000000000582</v>
      </c>
      <c r="L29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1800</v>
      </c>
      <c r="M2914" s="225">
        <f>ROUND(IF(AND(Base_Periodo1[[#This Row],[Tipo_Linha]]="-",Base_Periodo1[[#This Row],[TIPOSALDO]]="D"),Base_Periodo1[[#This Row],[SALDO_ATUAL]]*-1,Base_Periodo1[[#This Row],[SALDO_ATUAL]]),4)</f>
        <v>1800</v>
      </c>
      <c r="N2914" t="s">
        <v>116</v>
      </c>
      <c r="O2914" t="s">
        <v>459</v>
      </c>
      <c r="P2914" t="s">
        <v>459</v>
      </c>
      <c r="Q2914">
        <v>7</v>
      </c>
      <c r="R2914" s="225">
        <f>Base_Periodo1[[#This Row],[CREDITOS]]-Base_Periodo1[[#This Row],[DEBITOS]]</f>
        <v>-590</v>
      </c>
      <c r="S2914" s="3" t="str">
        <f>IF(ISERROR(VLOOKUP(Base_Periodo1[[#This Row],[CONTA]],BaseContasDRE[#All],4,FALSE)),"Fora do DRE",VLOOKUP(Base_Periodo1[[#This Row],[CONTA]],BaseContasDRE[#All],4,FALSE))</f>
        <v>Fora do DRE</v>
      </c>
      <c r="T2914" s="3" t="str">
        <f>IF(ISERROR(VLOOKUP(Base_Periodo1[[#This Row],[CONTA]],BaseContasDRE[#All],5,FALSE)),"Fora do DRE",VLOOKUP(Base_Periodo1[[#This Row],[CONTA]],BaseContasDRE[#All],6,FALSE))</f>
        <v>Fora do DRE</v>
      </c>
      <c r="U2914" s="3" t="str">
        <f>IF(ISERROR(VLOOKUP(Base_Periodo1[[#This Row],[CONTA]],BaseContasDRE[#All],7,FALSE)),"Fora do DRE",VLOOKUP(Base_Periodo1[[#This Row],[CONTA]],BaseContasDRE[#All],7,FALSE))</f>
        <v>Fora do DRE</v>
      </c>
      <c r="V2914" s="3" t="str">
        <f>IF(Base_Periodo1[[#This Row],[Tipo_Linha]]="Fora do DRE","Fora do DRE","( "&amp;Base_Periodo1[[#This Row],[Tipo_Linha]]&amp;" ) "&amp;Base_Periodo1[[#This Row],[Filtro]])</f>
        <v>Fora do DRE</v>
      </c>
      <c r="W2914" s="3" t="str">
        <f>LEFT(Base_Periodo1[[#This Row],[CLASS]],3)</f>
        <v>2.1</v>
      </c>
    </row>
    <row r="2915" spans="1:23" hidden="1">
      <c r="A2915" s="3" t="str">
        <f t="shared" si="45"/>
        <v>Período 1</v>
      </c>
      <c r="B2915">
        <v>2598</v>
      </c>
      <c r="C2915" t="s">
        <v>1745</v>
      </c>
      <c r="D2915" t="s">
        <v>6876</v>
      </c>
      <c r="E2915" s="3" t="str">
        <f>IF(LEN(Base_Periodo1[[#This Row],[CLASS]])&gt;=7,LEFT(Base_Periodo1[[#This Row],[CLASS]],7),"")</f>
        <v>2.1.2.1</v>
      </c>
      <c r="F2915" s="3" t="str">
        <f>VLOOKUP(Base_Periodo1[[#This Row],[Aux]],Base_Contas_Balanco[#All],2,FALSE)</f>
        <v>Fornecedores Cooperados</v>
      </c>
      <c r="G2915" s="1">
        <v>42860</v>
      </c>
      <c r="I2915" s="225">
        <v>0</v>
      </c>
      <c r="J2915" s="225">
        <v>49170</v>
      </c>
      <c r="K2915" s="225">
        <v>49170.000000000116</v>
      </c>
      <c r="L29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49170</v>
      </c>
      <c r="M2915" s="225">
        <f>ROUND(IF(AND(Base_Periodo1[[#This Row],[Tipo_Linha]]="-",Base_Periodo1[[#This Row],[TIPOSALDO]]="D"),Base_Periodo1[[#This Row],[SALDO_ATUAL]]*-1,Base_Periodo1[[#This Row],[SALDO_ATUAL]]),4)</f>
        <v>49170</v>
      </c>
      <c r="N2915" t="s">
        <v>116</v>
      </c>
      <c r="O2915" t="s">
        <v>436</v>
      </c>
      <c r="P2915" t="s">
        <v>459</v>
      </c>
      <c r="Q2915">
        <v>7</v>
      </c>
      <c r="R2915" s="225">
        <f>Base_Periodo1[[#This Row],[CREDITOS]]-Base_Periodo1[[#This Row],[DEBITOS]]</f>
        <v>49170</v>
      </c>
      <c r="S2915" s="3" t="str">
        <f>IF(ISERROR(VLOOKUP(Base_Periodo1[[#This Row],[CONTA]],BaseContasDRE[#All],4,FALSE)),"Fora do DRE",VLOOKUP(Base_Periodo1[[#This Row],[CONTA]],BaseContasDRE[#All],4,FALSE))</f>
        <v>Fora do DRE</v>
      </c>
      <c r="T2915" s="3" t="str">
        <f>IF(ISERROR(VLOOKUP(Base_Periodo1[[#This Row],[CONTA]],BaseContasDRE[#All],5,FALSE)),"Fora do DRE",VLOOKUP(Base_Periodo1[[#This Row],[CONTA]],BaseContasDRE[#All],6,FALSE))</f>
        <v>Fora do DRE</v>
      </c>
      <c r="U2915" s="3" t="str">
        <f>IF(ISERROR(VLOOKUP(Base_Periodo1[[#This Row],[CONTA]],BaseContasDRE[#All],7,FALSE)),"Fora do DRE",VLOOKUP(Base_Periodo1[[#This Row],[CONTA]],BaseContasDRE[#All],7,FALSE))</f>
        <v>Fora do DRE</v>
      </c>
      <c r="V2915" s="3" t="str">
        <f>IF(Base_Periodo1[[#This Row],[Tipo_Linha]]="Fora do DRE","Fora do DRE","( "&amp;Base_Periodo1[[#This Row],[Tipo_Linha]]&amp;" ) "&amp;Base_Periodo1[[#This Row],[Filtro]])</f>
        <v>Fora do DRE</v>
      </c>
      <c r="W2915" s="3" t="str">
        <f>LEFT(Base_Periodo1[[#This Row],[CLASS]],3)</f>
        <v>2.1</v>
      </c>
    </row>
    <row r="2916" spans="1:23" hidden="1">
      <c r="A2916" s="3" t="str">
        <f t="shared" si="45"/>
        <v>Período 1</v>
      </c>
      <c r="B2916">
        <v>2558</v>
      </c>
      <c r="C2916" t="s">
        <v>1745</v>
      </c>
      <c r="D2916" t="s">
        <v>1870</v>
      </c>
      <c r="E2916" s="3" t="str">
        <f>IF(LEN(Base_Periodo1[[#This Row],[CLASS]])&gt;=7,LEFT(Base_Periodo1[[#This Row],[CLASS]],7),"")</f>
        <v>2.1.2.1</v>
      </c>
      <c r="F2916" s="3" t="str">
        <f>VLOOKUP(Base_Periodo1[[#This Row],[Aux]],Base_Contas_Balanco[#All],2,FALSE)</f>
        <v>Fornecedores Cooperados</v>
      </c>
      <c r="G2916" s="1">
        <v>42765</v>
      </c>
      <c r="H2916" s="225">
        <v>1783.8500000000131</v>
      </c>
      <c r="I2916" s="225">
        <v>0</v>
      </c>
      <c r="J2916" s="225">
        <v>0</v>
      </c>
      <c r="K2916" s="225">
        <v>1783.8500000000131</v>
      </c>
      <c r="L29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1783.85</v>
      </c>
      <c r="M2916" s="225">
        <f>ROUND(IF(AND(Base_Periodo1[[#This Row],[Tipo_Linha]]="-",Base_Periodo1[[#This Row],[TIPOSALDO]]="D"),Base_Periodo1[[#This Row],[SALDO_ATUAL]]*-1,Base_Periodo1[[#This Row],[SALDO_ATUAL]]),4)</f>
        <v>1783.85</v>
      </c>
      <c r="N2916" t="s">
        <v>116</v>
      </c>
      <c r="O2916" t="s">
        <v>459</v>
      </c>
      <c r="P2916" t="s">
        <v>459</v>
      </c>
      <c r="Q2916">
        <v>7</v>
      </c>
      <c r="R2916" s="225">
        <f>Base_Periodo1[[#This Row],[CREDITOS]]-Base_Periodo1[[#This Row],[DEBITOS]]</f>
        <v>0</v>
      </c>
      <c r="S2916" s="3" t="str">
        <f>IF(ISERROR(VLOOKUP(Base_Periodo1[[#This Row],[CONTA]],BaseContasDRE[#All],4,FALSE)),"Fora do DRE",VLOOKUP(Base_Periodo1[[#This Row],[CONTA]],BaseContasDRE[#All],4,FALSE))</f>
        <v>Fora do DRE</v>
      </c>
      <c r="T2916" s="3" t="str">
        <f>IF(ISERROR(VLOOKUP(Base_Periodo1[[#This Row],[CONTA]],BaseContasDRE[#All],5,FALSE)),"Fora do DRE",VLOOKUP(Base_Periodo1[[#This Row],[CONTA]],BaseContasDRE[#All],6,FALSE))</f>
        <v>Fora do DRE</v>
      </c>
      <c r="U2916" s="3" t="str">
        <f>IF(ISERROR(VLOOKUP(Base_Periodo1[[#This Row],[CONTA]],BaseContasDRE[#All],7,FALSE)),"Fora do DRE",VLOOKUP(Base_Periodo1[[#This Row],[CONTA]],BaseContasDRE[#All],7,FALSE))</f>
        <v>Fora do DRE</v>
      </c>
      <c r="V2916" s="3" t="str">
        <f>IF(Base_Periodo1[[#This Row],[Tipo_Linha]]="Fora do DRE","Fora do DRE","( "&amp;Base_Periodo1[[#This Row],[Tipo_Linha]]&amp;" ) "&amp;Base_Periodo1[[#This Row],[Filtro]])</f>
        <v>Fora do DRE</v>
      </c>
      <c r="W2916" s="3" t="str">
        <f>LEFT(Base_Periodo1[[#This Row],[CLASS]],3)</f>
        <v>2.1</v>
      </c>
    </row>
    <row r="2917" spans="1:23" hidden="1">
      <c r="A2917" s="3" t="str">
        <f t="shared" si="45"/>
        <v>Período 1</v>
      </c>
      <c r="B2917">
        <v>4642</v>
      </c>
      <c r="C2917" t="s">
        <v>1745</v>
      </c>
      <c r="D2917" t="s">
        <v>6877</v>
      </c>
      <c r="E2917" s="3" t="str">
        <f>IF(LEN(Base_Periodo1[[#This Row],[CLASS]])&gt;=7,LEFT(Base_Periodo1[[#This Row],[CLASS]],7),"")</f>
        <v>2.1.2.1</v>
      </c>
      <c r="F2917" s="3" t="str">
        <f>VLOOKUP(Base_Periodo1[[#This Row],[Aux]],Base_Contas_Balanco[#All],2,FALSE)</f>
        <v>Fornecedores Cooperados</v>
      </c>
      <c r="G2917" s="1">
        <v>42885</v>
      </c>
      <c r="I2917" s="225">
        <v>0</v>
      </c>
      <c r="J2917" s="225">
        <v>225</v>
      </c>
      <c r="K2917" s="225">
        <v>224.9999999999709</v>
      </c>
      <c r="L29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225</v>
      </c>
      <c r="M2917" s="225">
        <f>ROUND(IF(AND(Base_Periodo1[[#This Row],[Tipo_Linha]]="-",Base_Periodo1[[#This Row],[TIPOSALDO]]="D"),Base_Periodo1[[#This Row],[SALDO_ATUAL]]*-1,Base_Periodo1[[#This Row],[SALDO_ATUAL]]),4)</f>
        <v>225</v>
      </c>
      <c r="N2917" t="s">
        <v>116</v>
      </c>
      <c r="O2917" t="s">
        <v>436</v>
      </c>
      <c r="P2917" t="s">
        <v>459</v>
      </c>
      <c r="Q2917">
        <v>7</v>
      </c>
      <c r="R2917" s="225">
        <f>Base_Periodo1[[#This Row],[CREDITOS]]-Base_Periodo1[[#This Row],[DEBITOS]]</f>
        <v>225</v>
      </c>
      <c r="S2917" s="3" t="str">
        <f>IF(ISERROR(VLOOKUP(Base_Periodo1[[#This Row],[CONTA]],BaseContasDRE[#All],4,FALSE)),"Fora do DRE",VLOOKUP(Base_Periodo1[[#This Row],[CONTA]],BaseContasDRE[#All],4,FALSE))</f>
        <v>Fora do DRE</v>
      </c>
      <c r="T2917" s="3" t="str">
        <f>IF(ISERROR(VLOOKUP(Base_Periodo1[[#This Row],[CONTA]],BaseContasDRE[#All],5,FALSE)),"Fora do DRE",VLOOKUP(Base_Periodo1[[#This Row],[CONTA]],BaseContasDRE[#All],6,FALSE))</f>
        <v>Fora do DRE</v>
      </c>
      <c r="U2917" s="3" t="str">
        <f>IF(ISERROR(VLOOKUP(Base_Periodo1[[#This Row],[CONTA]],BaseContasDRE[#All],7,FALSE)),"Fora do DRE",VLOOKUP(Base_Periodo1[[#This Row],[CONTA]],BaseContasDRE[#All],7,FALSE))</f>
        <v>Fora do DRE</v>
      </c>
      <c r="V2917" s="3" t="str">
        <f>IF(Base_Periodo1[[#This Row],[Tipo_Linha]]="Fora do DRE","Fora do DRE","( "&amp;Base_Periodo1[[#This Row],[Tipo_Linha]]&amp;" ) "&amp;Base_Periodo1[[#This Row],[Filtro]])</f>
        <v>Fora do DRE</v>
      </c>
      <c r="W2917" s="3" t="str">
        <f>LEFT(Base_Periodo1[[#This Row],[CLASS]],3)</f>
        <v>2.1</v>
      </c>
    </row>
    <row r="2918" spans="1:23" hidden="1">
      <c r="A2918" s="3" t="str">
        <f t="shared" si="45"/>
        <v>Período 1</v>
      </c>
      <c r="B2918">
        <v>7091</v>
      </c>
      <c r="C2918" t="s">
        <v>1745</v>
      </c>
      <c r="D2918" t="s">
        <v>1871</v>
      </c>
      <c r="E2918" s="3" t="str">
        <f>IF(LEN(Base_Periodo1[[#This Row],[CLASS]])&gt;=7,LEFT(Base_Periodo1[[#This Row],[CLASS]],7),"")</f>
        <v>2.1.2.1</v>
      </c>
      <c r="F2918" s="3" t="str">
        <f>VLOOKUP(Base_Periodo1[[#This Row],[Aux]],Base_Contas_Balanco[#All],2,FALSE)</f>
        <v>Fornecedores Cooperados</v>
      </c>
      <c r="G2918" s="1">
        <v>42873</v>
      </c>
      <c r="H2918" s="225">
        <v>6185.0900000000838</v>
      </c>
      <c r="I2918" s="225">
        <v>0</v>
      </c>
      <c r="J2918" s="225">
        <v>46715.01</v>
      </c>
      <c r="K2918" s="225">
        <v>52900.100000000086</v>
      </c>
      <c r="L29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52900.1</v>
      </c>
      <c r="M2918" s="225">
        <f>ROUND(IF(AND(Base_Periodo1[[#This Row],[Tipo_Linha]]="-",Base_Periodo1[[#This Row],[TIPOSALDO]]="D"),Base_Periodo1[[#This Row],[SALDO_ATUAL]]*-1,Base_Periodo1[[#This Row],[SALDO_ATUAL]]),4)</f>
        <v>52900.1</v>
      </c>
      <c r="N2918" t="s">
        <v>116</v>
      </c>
      <c r="O2918" t="s">
        <v>459</v>
      </c>
      <c r="P2918" t="s">
        <v>459</v>
      </c>
      <c r="Q2918">
        <v>7</v>
      </c>
      <c r="R2918" s="225">
        <f>Base_Periodo1[[#This Row],[CREDITOS]]-Base_Periodo1[[#This Row],[DEBITOS]]</f>
        <v>46715.01</v>
      </c>
      <c r="S2918" s="3" t="str">
        <f>IF(ISERROR(VLOOKUP(Base_Periodo1[[#This Row],[CONTA]],BaseContasDRE[#All],4,FALSE)),"Fora do DRE",VLOOKUP(Base_Periodo1[[#This Row],[CONTA]],BaseContasDRE[#All],4,FALSE))</f>
        <v>Fora do DRE</v>
      </c>
      <c r="T2918" s="3" t="str">
        <f>IF(ISERROR(VLOOKUP(Base_Periodo1[[#This Row],[CONTA]],BaseContasDRE[#All],5,FALSE)),"Fora do DRE",VLOOKUP(Base_Periodo1[[#This Row],[CONTA]],BaseContasDRE[#All],6,FALSE))</f>
        <v>Fora do DRE</v>
      </c>
      <c r="U2918" s="3" t="str">
        <f>IF(ISERROR(VLOOKUP(Base_Periodo1[[#This Row],[CONTA]],BaseContasDRE[#All],7,FALSE)),"Fora do DRE",VLOOKUP(Base_Periodo1[[#This Row],[CONTA]],BaseContasDRE[#All],7,FALSE))</f>
        <v>Fora do DRE</v>
      </c>
      <c r="V2918" s="3" t="str">
        <f>IF(Base_Periodo1[[#This Row],[Tipo_Linha]]="Fora do DRE","Fora do DRE","( "&amp;Base_Periodo1[[#This Row],[Tipo_Linha]]&amp;" ) "&amp;Base_Periodo1[[#This Row],[Filtro]])</f>
        <v>Fora do DRE</v>
      </c>
      <c r="W2918" s="3" t="str">
        <f>LEFT(Base_Periodo1[[#This Row],[CLASS]],3)</f>
        <v>2.1</v>
      </c>
    </row>
    <row r="2919" spans="1:23" hidden="1">
      <c r="A2919" s="3" t="str">
        <f t="shared" si="45"/>
        <v>Período 1</v>
      </c>
      <c r="B2919">
        <v>47237</v>
      </c>
      <c r="C2919" t="s">
        <v>1745</v>
      </c>
      <c r="D2919" t="s">
        <v>4677</v>
      </c>
      <c r="E2919" s="3" t="str">
        <f>IF(LEN(Base_Periodo1[[#This Row],[CLASS]])&gt;=7,LEFT(Base_Periodo1[[#This Row],[CLASS]],7),"")</f>
        <v>2.1.2.1</v>
      </c>
      <c r="F2919" s="3" t="str">
        <f>VLOOKUP(Base_Periodo1[[#This Row],[Aux]],Base_Contas_Balanco[#All],2,FALSE)</f>
        <v>Fornecedores Cooperados</v>
      </c>
      <c r="G2919" s="1">
        <v>42737</v>
      </c>
      <c r="H2919" s="225">
        <v>4109.5099999999948</v>
      </c>
      <c r="I2919" s="225">
        <v>0</v>
      </c>
      <c r="J2919" s="225">
        <v>0</v>
      </c>
      <c r="K2919" s="225">
        <v>4109.5099999999948</v>
      </c>
      <c r="L29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4109.51</v>
      </c>
      <c r="M2919" s="225">
        <f>ROUND(IF(AND(Base_Periodo1[[#This Row],[Tipo_Linha]]="-",Base_Periodo1[[#This Row],[TIPOSALDO]]="D"),Base_Periodo1[[#This Row],[SALDO_ATUAL]]*-1,Base_Periodo1[[#This Row],[SALDO_ATUAL]]),4)</f>
        <v>4109.51</v>
      </c>
      <c r="N2919" t="s">
        <v>116</v>
      </c>
      <c r="O2919" t="s">
        <v>459</v>
      </c>
      <c r="P2919" t="s">
        <v>459</v>
      </c>
      <c r="Q2919">
        <v>7</v>
      </c>
      <c r="R2919" s="225">
        <f>Base_Periodo1[[#This Row],[CREDITOS]]-Base_Periodo1[[#This Row],[DEBITOS]]</f>
        <v>0</v>
      </c>
      <c r="S2919" s="3" t="str">
        <f>IF(ISERROR(VLOOKUP(Base_Periodo1[[#This Row],[CONTA]],BaseContasDRE[#All],4,FALSE)),"Fora do DRE",VLOOKUP(Base_Periodo1[[#This Row],[CONTA]],BaseContasDRE[#All],4,FALSE))</f>
        <v>Fora do DRE</v>
      </c>
      <c r="T2919" s="3" t="str">
        <f>IF(ISERROR(VLOOKUP(Base_Periodo1[[#This Row],[CONTA]],BaseContasDRE[#All],5,FALSE)),"Fora do DRE",VLOOKUP(Base_Periodo1[[#This Row],[CONTA]],BaseContasDRE[#All],6,FALSE))</f>
        <v>Fora do DRE</v>
      </c>
      <c r="U2919" s="3" t="str">
        <f>IF(ISERROR(VLOOKUP(Base_Periodo1[[#This Row],[CONTA]],BaseContasDRE[#All],7,FALSE)),"Fora do DRE",VLOOKUP(Base_Periodo1[[#This Row],[CONTA]],BaseContasDRE[#All],7,FALSE))</f>
        <v>Fora do DRE</v>
      </c>
      <c r="V2919" s="3" t="str">
        <f>IF(Base_Periodo1[[#This Row],[Tipo_Linha]]="Fora do DRE","Fora do DRE","( "&amp;Base_Periodo1[[#This Row],[Tipo_Linha]]&amp;" ) "&amp;Base_Periodo1[[#This Row],[Filtro]])</f>
        <v>Fora do DRE</v>
      </c>
      <c r="W2919" s="3" t="str">
        <f>LEFT(Base_Periodo1[[#This Row],[CLASS]],3)</f>
        <v>2.1</v>
      </c>
    </row>
    <row r="2920" spans="1:23" hidden="1">
      <c r="A2920" s="3" t="str">
        <f t="shared" si="45"/>
        <v>Período 1</v>
      </c>
      <c r="B2920">
        <v>23169</v>
      </c>
      <c r="C2920" t="s">
        <v>1745</v>
      </c>
      <c r="D2920" t="s">
        <v>1872</v>
      </c>
      <c r="E2920" s="3" t="str">
        <f>IF(LEN(Base_Periodo1[[#This Row],[CLASS]])&gt;=7,LEFT(Base_Periodo1[[#This Row],[CLASS]],7),"")</f>
        <v>2.1.2.1</v>
      </c>
      <c r="F2920" s="3" t="str">
        <f>VLOOKUP(Base_Periodo1[[#This Row],[Aux]],Base_Contas_Balanco[#All],2,FALSE)</f>
        <v>Fornecedores Cooperados</v>
      </c>
      <c r="G2920" s="1">
        <v>41780</v>
      </c>
      <c r="H2920" s="225">
        <v>1.999999999998181E-2</v>
      </c>
      <c r="I2920" s="225">
        <v>0</v>
      </c>
      <c r="J2920" s="225">
        <v>0</v>
      </c>
      <c r="K2920" s="225">
        <v>1.999999999998181E-2</v>
      </c>
      <c r="L29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2920" s="225">
        <f>ROUND(IF(AND(Base_Periodo1[[#This Row],[Tipo_Linha]]="-",Base_Periodo1[[#This Row],[TIPOSALDO]]="D"),Base_Periodo1[[#This Row],[SALDO_ATUAL]]*-1,Base_Periodo1[[#This Row],[SALDO_ATUAL]]),4)</f>
        <v>0.02</v>
      </c>
      <c r="N2920" t="s">
        <v>116</v>
      </c>
      <c r="O2920" t="s">
        <v>459</v>
      </c>
      <c r="P2920" t="s">
        <v>459</v>
      </c>
      <c r="Q2920">
        <v>7</v>
      </c>
      <c r="R2920" s="225">
        <f>Base_Periodo1[[#This Row],[CREDITOS]]-Base_Periodo1[[#This Row],[DEBITOS]]</f>
        <v>0</v>
      </c>
      <c r="S2920" s="3" t="str">
        <f>IF(ISERROR(VLOOKUP(Base_Periodo1[[#This Row],[CONTA]],BaseContasDRE[#All],4,FALSE)),"Fora do DRE",VLOOKUP(Base_Periodo1[[#This Row],[CONTA]],BaseContasDRE[#All],4,FALSE))</f>
        <v>Fora do DRE</v>
      </c>
      <c r="T2920" s="3" t="str">
        <f>IF(ISERROR(VLOOKUP(Base_Periodo1[[#This Row],[CONTA]],BaseContasDRE[#All],5,FALSE)),"Fora do DRE",VLOOKUP(Base_Periodo1[[#This Row],[CONTA]],BaseContasDRE[#All],6,FALSE))</f>
        <v>Fora do DRE</v>
      </c>
      <c r="U2920" s="3" t="str">
        <f>IF(ISERROR(VLOOKUP(Base_Periodo1[[#This Row],[CONTA]],BaseContasDRE[#All],7,FALSE)),"Fora do DRE",VLOOKUP(Base_Periodo1[[#This Row],[CONTA]],BaseContasDRE[#All],7,FALSE))</f>
        <v>Fora do DRE</v>
      </c>
      <c r="V2920" s="3" t="str">
        <f>IF(Base_Periodo1[[#This Row],[Tipo_Linha]]="Fora do DRE","Fora do DRE","( "&amp;Base_Periodo1[[#This Row],[Tipo_Linha]]&amp;" ) "&amp;Base_Periodo1[[#This Row],[Filtro]])</f>
        <v>Fora do DRE</v>
      </c>
      <c r="W2920" s="3" t="str">
        <f>LEFT(Base_Periodo1[[#This Row],[CLASS]],3)</f>
        <v>2.1</v>
      </c>
    </row>
    <row r="2921" spans="1:23" hidden="1">
      <c r="A2921" s="3" t="str">
        <f t="shared" si="45"/>
        <v>Período 1</v>
      </c>
      <c r="B2921">
        <v>3430</v>
      </c>
      <c r="C2921" t="s">
        <v>1745</v>
      </c>
      <c r="D2921" t="s">
        <v>1873</v>
      </c>
      <c r="E2921" s="3" t="str">
        <f>IF(LEN(Base_Periodo1[[#This Row],[CLASS]])&gt;=7,LEFT(Base_Periodo1[[#This Row],[CLASS]],7),"")</f>
        <v>2.1.2.1</v>
      </c>
      <c r="F2921" s="3" t="str">
        <f>VLOOKUP(Base_Periodo1[[#This Row],[Aux]],Base_Contas_Balanco[#All],2,FALSE)</f>
        <v>Fornecedores Cooperados</v>
      </c>
      <c r="G2921" s="1">
        <v>42795</v>
      </c>
      <c r="H2921" s="225">
        <v>8411.9000000001397</v>
      </c>
      <c r="I2921" s="225">
        <v>0</v>
      </c>
      <c r="J2921" s="225">
        <v>0</v>
      </c>
      <c r="K2921" s="225">
        <v>8411.9000000001397</v>
      </c>
      <c r="L29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8411.9</v>
      </c>
      <c r="M2921" s="225">
        <f>ROUND(IF(AND(Base_Periodo1[[#This Row],[Tipo_Linha]]="-",Base_Periodo1[[#This Row],[TIPOSALDO]]="D"),Base_Periodo1[[#This Row],[SALDO_ATUAL]]*-1,Base_Periodo1[[#This Row],[SALDO_ATUAL]]),4)</f>
        <v>8411.9</v>
      </c>
      <c r="N2921" t="s">
        <v>116</v>
      </c>
      <c r="O2921" t="s">
        <v>459</v>
      </c>
      <c r="P2921" t="s">
        <v>459</v>
      </c>
      <c r="Q2921">
        <v>7</v>
      </c>
      <c r="R2921" s="225">
        <f>Base_Periodo1[[#This Row],[CREDITOS]]-Base_Periodo1[[#This Row],[DEBITOS]]</f>
        <v>0</v>
      </c>
      <c r="S2921" s="3" t="str">
        <f>IF(ISERROR(VLOOKUP(Base_Periodo1[[#This Row],[CONTA]],BaseContasDRE[#All],4,FALSE)),"Fora do DRE",VLOOKUP(Base_Periodo1[[#This Row],[CONTA]],BaseContasDRE[#All],4,FALSE))</f>
        <v>Fora do DRE</v>
      </c>
      <c r="T2921" s="3" t="str">
        <f>IF(ISERROR(VLOOKUP(Base_Periodo1[[#This Row],[CONTA]],BaseContasDRE[#All],5,FALSE)),"Fora do DRE",VLOOKUP(Base_Periodo1[[#This Row],[CONTA]],BaseContasDRE[#All],6,FALSE))</f>
        <v>Fora do DRE</v>
      </c>
      <c r="U2921" s="3" t="str">
        <f>IF(ISERROR(VLOOKUP(Base_Periodo1[[#This Row],[CONTA]],BaseContasDRE[#All],7,FALSE)),"Fora do DRE",VLOOKUP(Base_Periodo1[[#This Row],[CONTA]],BaseContasDRE[#All],7,FALSE))</f>
        <v>Fora do DRE</v>
      </c>
      <c r="V2921" s="3" t="str">
        <f>IF(Base_Periodo1[[#This Row],[Tipo_Linha]]="Fora do DRE","Fora do DRE","( "&amp;Base_Periodo1[[#This Row],[Tipo_Linha]]&amp;" ) "&amp;Base_Periodo1[[#This Row],[Filtro]])</f>
        <v>Fora do DRE</v>
      </c>
      <c r="W2921" s="3" t="str">
        <f>LEFT(Base_Periodo1[[#This Row],[CLASS]],3)</f>
        <v>2.1</v>
      </c>
    </row>
    <row r="2922" spans="1:23" hidden="1">
      <c r="A2922" s="3" t="str">
        <f t="shared" si="45"/>
        <v>Período 1</v>
      </c>
      <c r="B2922">
        <v>2826</v>
      </c>
      <c r="C2922" t="s">
        <v>1745</v>
      </c>
      <c r="D2922" t="s">
        <v>1874</v>
      </c>
      <c r="E2922" s="3" t="str">
        <f>IF(LEN(Base_Periodo1[[#This Row],[CLASS]])&gt;=7,LEFT(Base_Periodo1[[#This Row],[CLASS]],7),"")</f>
        <v>2.1.2.1</v>
      </c>
      <c r="F2922" s="3" t="str">
        <f>VLOOKUP(Base_Periodo1[[#This Row],[Aux]],Base_Contas_Balanco[#All],2,FALSE)</f>
        <v>Fornecedores Cooperados</v>
      </c>
      <c r="G2922" s="1">
        <v>42885</v>
      </c>
      <c r="H2922" s="225">
        <v>52137.309999999125</v>
      </c>
      <c r="I2922" s="225">
        <v>82907.099999999991</v>
      </c>
      <c r="J2922" s="225">
        <v>91791.199999999983</v>
      </c>
      <c r="K2922" s="225">
        <v>61021.409999999116</v>
      </c>
      <c r="L29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61021.41</v>
      </c>
      <c r="M2922" s="225">
        <f>ROUND(IF(AND(Base_Periodo1[[#This Row],[Tipo_Linha]]="-",Base_Periodo1[[#This Row],[TIPOSALDO]]="D"),Base_Periodo1[[#This Row],[SALDO_ATUAL]]*-1,Base_Periodo1[[#This Row],[SALDO_ATUAL]]),4)</f>
        <v>61021.41</v>
      </c>
      <c r="N2922" t="s">
        <v>116</v>
      </c>
      <c r="O2922" t="s">
        <v>459</v>
      </c>
      <c r="P2922" t="s">
        <v>459</v>
      </c>
      <c r="Q2922">
        <v>7</v>
      </c>
      <c r="R2922" s="225">
        <f>Base_Periodo1[[#This Row],[CREDITOS]]-Base_Periodo1[[#This Row],[DEBITOS]]</f>
        <v>8884.0999999999913</v>
      </c>
      <c r="S2922" s="3" t="str">
        <f>IF(ISERROR(VLOOKUP(Base_Periodo1[[#This Row],[CONTA]],BaseContasDRE[#All],4,FALSE)),"Fora do DRE",VLOOKUP(Base_Periodo1[[#This Row],[CONTA]],BaseContasDRE[#All],4,FALSE))</f>
        <v>Fora do DRE</v>
      </c>
      <c r="T2922" s="3" t="str">
        <f>IF(ISERROR(VLOOKUP(Base_Periodo1[[#This Row],[CONTA]],BaseContasDRE[#All],5,FALSE)),"Fora do DRE",VLOOKUP(Base_Periodo1[[#This Row],[CONTA]],BaseContasDRE[#All],6,FALSE))</f>
        <v>Fora do DRE</v>
      </c>
      <c r="U2922" s="3" t="str">
        <f>IF(ISERROR(VLOOKUP(Base_Periodo1[[#This Row],[CONTA]],BaseContasDRE[#All],7,FALSE)),"Fora do DRE",VLOOKUP(Base_Periodo1[[#This Row],[CONTA]],BaseContasDRE[#All],7,FALSE))</f>
        <v>Fora do DRE</v>
      </c>
      <c r="V2922" s="3" t="str">
        <f>IF(Base_Periodo1[[#This Row],[Tipo_Linha]]="Fora do DRE","Fora do DRE","( "&amp;Base_Periodo1[[#This Row],[Tipo_Linha]]&amp;" ) "&amp;Base_Periodo1[[#This Row],[Filtro]])</f>
        <v>Fora do DRE</v>
      </c>
      <c r="W2922" s="3" t="str">
        <f>LEFT(Base_Periodo1[[#This Row],[CLASS]],3)</f>
        <v>2.1</v>
      </c>
    </row>
    <row r="2923" spans="1:23" hidden="1">
      <c r="A2923" s="3" t="str">
        <f t="shared" si="45"/>
        <v>Período 1</v>
      </c>
      <c r="B2923">
        <v>20200</v>
      </c>
      <c r="C2923" t="s">
        <v>1745</v>
      </c>
      <c r="D2923" t="s">
        <v>6878</v>
      </c>
      <c r="E2923" s="3" t="str">
        <f>IF(LEN(Base_Periodo1[[#This Row],[CLASS]])&gt;=7,LEFT(Base_Periodo1[[#This Row],[CLASS]],7),"")</f>
        <v>2.1.2.1</v>
      </c>
      <c r="F2923" s="3" t="str">
        <f>VLOOKUP(Base_Periodo1[[#This Row],[Aux]],Base_Contas_Balanco[#All],2,FALSE)</f>
        <v>Fornecedores Cooperados</v>
      </c>
      <c r="G2923" s="1">
        <v>42877</v>
      </c>
      <c r="I2923" s="225">
        <v>0</v>
      </c>
      <c r="J2923" s="225">
        <v>2508.7399999999998</v>
      </c>
      <c r="K2923" s="225">
        <v>2508.7399999999998</v>
      </c>
      <c r="L29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2508.7399999999998</v>
      </c>
      <c r="M2923" s="225">
        <f>ROUND(IF(AND(Base_Periodo1[[#This Row],[Tipo_Linha]]="-",Base_Periodo1[[#This Row],[TIPOSALDO]]="D"),Base_Periodo1[[#This Row],[SALDO_ATUAL]]*-1,Base_Periodo1[[#This Row],[SALDO_ATUAL]]),4)</f>
        <v>2508.7399999999998</v>
      </c>
      <c r="N2923" t="s">
        <v>116</v>
      </c>
      <c r="O2923" t="s">
        <v>436</v>
      </c>
      <c r="P2923" t="s">
        <v>459</v>
      </c>
      <c r="Q2923">
        <v>7</v>
      </c>
      <c r="R2923" s="225">
        <f>Base_Periodo1[[#This Row],[CREDITOS]]-Base_Periodo1[[#This Row],[DEBITOS]]</f>
        <v>2508.7399999999998</v>
      </c>
      <c r="S2923" s="3" t="str">
        <f>IF(ISERROR(VLOOKUP(Base_Periodo1[[#This Row],[CONTA]],BaseContasDRE[#All],4,FALSE)),"Fora do DRE",VLOOKUP(Base_Periodo1[[#This Row],[CONTA]],BaseContasDRE[#All],4,FALSE))</f>
        <v>Fora do DRE</v>
      </c>
      <c r="T2923" s="3" t="str">
        <f>IF(ISERROR(VLOOKUP(Base_Periodo1[[#This Row],[CONTA]],BaseContasDRE[#All],5,FALSE)),"Fora do DRE",VLOOKUP(Base_Periodo1[[#This Row],[CONTA]],BaseContasDRE[#All],6,FALSE))</f>
        <v>Fora do DRE</v>
      </c>
      <c r="U2923" s="3" t="str">
        <f>IF(ISERROR(VLOOKUP(Base_Periodo1[[#This Row],[CONTA]],BaseContasDRE[#All],7,FALSE)),"Fora do DRE",VLOOKUP(Base_Periodo1[[#This Row],[CONTA]],BaseContasDRE[#All],7,FALSE))</f>
        <v>Fora do DRE</v>
      </c>
      <c r="V2923" s="3" t="str">
        <f>IF(Base_Periodo1[[#This Row],[Tipo_Linha]]="Fora do DRE","Fora do DRE","( "&amp;Base_Periodo1[[#This Row],[Tipo_Linha]]&amp;" ) "&amp;Base_Periodo1[[#This Row],[Filtro]])</f>
        <v>Fora do DRE</v>
      </c>
      <c r="W2923" s="3" t="str">
        <f>LEFT(Base_Periodo1[[#This Row],[CLASS]],3)</f>
        <v>2.1</v>
      </c>
    </row>
    <row r="2924" spans="1:23" hidden="1">
      <c r="A2924" s="3" t="str">
        <f t="shared" si="45"/>
        <v>Período 1</v>
      </c>
      <c r="B2924">
        <v>4314</v>
      </c>
      <c r="C2924" t="s">
        <v>1745</v>
      </c>
      <c r="D2924" t="s">
        <v>1875</v>
      </c>
      <c r="E2924" s="3" t="str">
        <f>IF(LEN(Base_Periodo1[[#This Row],[CLASS]])&gt;=7,LEFT(Base_Periodo1[[#This Row],[CLASS]],7),"")</f>
        <v>2.1.2.1</v>
      </c>
      <c r="F2924" s="3" t="str">
        <f>VLOOKUP(Base_Periodo1[[#This Row],[Aux]],Base_Contas_Balanco[#All],2,FALSE)</f>
        <v>Fornecedores Cooperados</v>
      </c>
      <c r="G2924" s="1">
        <v>42626</v>
      </c>
      <c r="H2924" s="225">
        <v>5.9999999997671694E-2</v>
      </c>
      <c r="I2924" s="225">
        <v>0</v>
      </c>
      <c r="J2924" s="225">
        <v>0</v>
      </c>
      <c r="K2924" s="225">
        <v>5.9999999997671694E-2</v>
      </c>
      <c r="L29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0.06</v>
      </c>
      <c r="M2924" s="225">
        <f>ROUND(IF(AND(Base_Periodo1[[#This Row],[Tipo_Linha]]="-",Base_Periodo1[[#This Row],[TIPOSALDO]]="D"),Base_Periodo1[[#This Row],[SALDO_ATUAL]]*-1,Base_Periodo1[[#This Row],[SALDO_ATUAL]]),4)</f>
        <v>0.06</v>
      </c>
      <c r="N2924" t="s">
        <v>116</v>
      </c>
      <c r="O2924" t="s">
        <v>459</v>
      </c>
      <c r="P2924" t="s">
        <v>459</v>
      </c>
      <c r="Q2924">
        <v>7</v>
      </c>
      <c r="R2924" s="225">
        <f>Base_Periodo1[[#This Row],[CREDITOS]]-Base_Periodo1[[#This Row],[DEBITOS]]</f>
        <v>0</v>
      </c>
      <c r="S2924" s="3" t="str">
        <f>IF(ISERROR(VLOOKUP(Base_Periodo1[[#This Row],[CONTA]],BaseContasDRE[#All],4,FALSE)),"Fora do DRE",VLOOKUP(Base_Periodo1[[#This Row],[CONTA]],BaseContasDRE[#All],4,FALSE))</f>
        <v>Fora do DRE</v>
      </c>
      <c r="T2924" s="3" t="str">
        <f>IF(ISERROR(VLOOKUP(Base_Periodo1[[#This Row],[CONTA]],BaseContasDRE[#All],5,FALSE)),"Fora do DRE",VLOOKUP(Base_Periodo1[[#This Row],[CONTA]],BaseContasDRE[#All],6,FALSE))</f>
        <v>Fora do DRE</v>
      </c>
      <c r="U2924" s="3" t="str">
        <f>IF(ISERROR(VLOOKUP(Base_Periodo1[[#This Row],[CONTA]],BaseContasDRE[#All],7,FALSE)),"Fora do DRE",VLOOKUP(Base_Periodo1[[#This Row],[CONTA]],BaseContasDRE[#All],7,FALSE))</f>
        <v>Fora do DRE</v>
      </c>
      <c r="V2924" s="3" t="str">
        <f>IF(Base_Periodo1[[#This Row],[Tipo_Linha]]="Fora do DRE","Fora do DRE","( "&amp;Base_Periodo1[[#This Row],[Tipo_Linha]]&amp;" ) "&amp;Base_Periodo1[[#This Row],[Filtro]])</f>
        <v>Fora do DRE</v>
      </c>
      <c r="W2924" s="3" t="str">
        <f>LEFT(Base_Periodo1[[#This Row],[CLASS]],3)</f>
        <v>2.1</v>
      </c>
    </row>
    <row r="2925" spans="1:23" hidden="1">
      <c r="A2925" s="3" t="str">
        <f t="shared" si="45"/>
        <v>Período 1</v>
      </c>
      <c r="B2925">
        <v>57903</v>
      </c>
      <c r="C2925" t="s">
        <v>1745</v>
      </c>
      <c r="D2925" t="s">
        <v>6372</v>
      </c>
      <c r="E2925" s="3" t="str">
        <f>IF(LEN(Base_Periodo1[[#This Row],[CLASS]])&gt;=7,LEFT(Base_Periodo1[[#This Row],[CLASS]],7),"")</f>
        <v>2.1.2.1</v>
      </c>
      <c r="F2925" s="3" t="str">
        <f>VLOOKUP(Base_Periodo1[[#This Row],[Aux]],Base_Contas_Balanco[#All],2,FALSE)</f>
        <v>Fornecedores Cooperados</v>
      </c>
      <c r="G2925" s="1"/>
      <c r="H2925" s="225">
        <v>1248.93</v>
      </c>
      <c r="I2925" s="225">
        <v>0</v>
      </c>
      <c r="J2925" s="225">
        <v>4424</v>
      </c>
      <c r="K2925" s="225">
        <v>5672.93</v>
      </c>
      <c r="L29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5672.93</v>
      </c>
      <c r="M2925" s="225">
        <f>ROUND(IF(AND(Base_Periodo1[[#This Row],[Tipo_Linha]]="-",Base_Periodo1[[#This Row],[TIPOSALDO]]="D"),Base_Periodo1[[#This Row],[SALDO_ATUAL]]*-1,Base_Periodo1[[#This Row],[SALDO_ATUAL]]),4)</f>
        <v>5672.93</v>
      </c>
      <c r="N2925" t="s">
        <v>116</v>
      </c>
      <c r="O2925" t="s">
        <v>459</v>
      </c>
      <c r="P2925" t="s">
        <v>459</v>
      </c>
      <c r="Q2925">
        <v>7</v>
      </c>
      <c r="R2925" s="225">
        <f>Base_Periodo1[[#This Row],[CREDITOS]]-Base_Periodo1[[#This Row],[DEBITOS]]</f>
        <v>4424</v>
      </c>
      <c r="S2925" s="3" t="str">
        <f>IF(ISERROR(VLOOKUP(Base_Periodo1[[#This Row],[CONTA]],BaseContasDRE[#All],4,FALSE)),"Fora do DRE",VLOOKUP(Base_Periodo1[[#This Row],[CONTA]],BaseContasDRE[#All],4,FALSE))</f>
        <v>Fora do DRE</v>
      </c>
      <c r="T2925" s="3" t="str">
        <f>IF(ISERROR(VLOOKUP(Base_Periodo1[[#This Row],[CONTA]],BaseContasDRE[#All],5,FALSE)),"Fora do DRE",VLOOKUP(Base_Periodo1[[#This Row],[CONTA]],BaseContasDRE[#All],6,FALSE))</f>
        <v>Fora do DRE</v>
      </c>
      <c r="U2925" s="3" t="str">
        <f>IF(ISERROR(VLOOKUP(Base_Periodo1[[#This Row],[CONTA]],BaseContasDRE[#All],7,FALSE)),"Fora do DRE",VLOOKUP(Base_Periodo1[[#This Row],[CONTA]],BaseContasDRE[#All],7,FALSE))</f>
        <v>Fora do DRE</v>
      </c>
      <c r="V2925" s="3" t="str">
        <f>IF(Base_Periodo1[[#This Row],[Tipo_Linha]]="Fora do DRE","Fora do DRE","( "&amp;Base_Periodo1[[#This Row],[Tipo_Linha]]&amp;" ) "&amp;Base_Periodo1[[#This Row],[Filtro]])</f>
        <v>Fora do DRE</v>
      </c>
      <c r="W2925" s="3" t="str">
        <f>LEFT(Base_Periodo1[[#This Row],[CLASS]],3)</f>
        <v>2.1</v>
      </c>
    </row>
    <row r="2926" spans="1:23" hidden="1">
      <c r="A2926" s="3" t="str">
        <f t="shared" si="45"/>
        <v>Período 1</v>
      </c>
      <c r="B2926">
        <v>47487</v>
      </c>
      <c r="C2926" t="s">
        <v>1745</v>
      </c>
      <c r="D2926" t="s">
        <v>1876</v>
      </c>
      <c r="E2926" s="3" t="str">
        <f>IF(LEN(Base_Periodo1[[#This Row],[CLASS]])&gt;=7,LEFT(Base_Periodo1[[#This Row],[CLASS]],7),"")</f>
        <v>2.1.2.1</v>
      </c>
      <c r="F2926" s="3" t="str">
        <f>VLOOKUP(Base_Periodo1[[#This Row],[Aux]],Base_Contas_Balanco[#All],2,FALSE)</f>
        <v>Fornecedores Cooperados</v>
      </c>
      <c r="G2926" s="1">
        <v>42355</v>
      </c>
      <c r="H2926" s="225">
        <v>1.0000000002037268E-2</v>
      </c>
      <c r="I2926" s="225">
        <v>0</v>
      </c>
      <c r="J2926" s="225">
        <v>0</v>
      </c>
      <c r="K2926" s="225">
        <v>1.0000000002037268E-2</v>
      </c>
      <c r="L29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2926" s="225">
        <f>ROUND(IF(AND(Base_Periodo1[[#This Row],[Tipo_Linha]]="-",Base_Periodo1[[#This Row],[TIPOSALDO]]="D"),Base_Periodo1[[#This Row],[SALDO_ATUAL]]*-1,Base_Periodo1[[#This Row],[SALDO_ATUAL]]),4)</f>
        <v>0.01</v>
      </c>
      <c r="N2926" t="s">
        <v>116</v>
      </c>
      <c r="O2926" t="s">
        <v>459</v>
      </c>
      <c r="P2926" t="s">
        <v>459</v>
      </c>
      <c r="Q2926">
        <v>7</v>
      </c>
      <c r="R2926" s="225">
        <f>Base_Periodo1[[#This Row],[CREDITOS]]-Base_Periodo1[[#This Row],[DEBITOS]]</f>
        <v>0</v>
      </c>
      <c r="S2926" s="3" t="str">
        <f>IF(ISERROR(VLOOKUP(Base_Periodo1[[#This Row],[CONTA]],BaseContasDRE[#All],4,FALSE)),"Fora do DRE",VLOOKUP(Base_Periodo1[[#This Row],[CONTA]],BaseContasDRE[#All],4,FALSE))</f>
        <v>Fora do DRE</v>
      </c>
      <c r="T2926" s="3" t="str">
        <f>IF(ISERROR(VLOOKUP(Base_Periodo1[[#This Row],[CONTA]],BaseContasDRE[#All],5,FALSE)),"Fora do DRE",VLOOKUP(Base_Periodo1[[#This Row],[CONTA]],BaseContasDRE[#All],6,FALSE))</f>
        <v>Fora do DRE</v>
      </c>
      <c r="U2926" s="3" t="str">
        <f>IF(ISERROR(VLOOKUP(Base_Periodo1[[#This Row],[CONTA]],BaseContasDRE[#All],7,FALSE)),"Fora do DRE",VLOOKUP(Base_Periodo1[[#This Row],[CONTA]],BaseContasDRE[#All],7,FALSE))</f>
        <v>Fora do DRE</v>
      </c>
      <c r="V2926" s="3" t="str">
        <f>IF(Base_Periodo1[[#This Row],[Tipo_Linha]]="Fora do DRE","Fora do DRE","( "&amp;Base_Periodo1[[#This Row],[Tipo_Linha]]&amp;" ) "&amp;Base_Periodo1[[#This Row],[Filtro]])</f>
        <v>Fora do DRE</v>
      </c>
      <c r="W2926" s="3" t="str">
        <f>LEFT(Base_Periodo1[[#This Row],[CLASS]],3)</f>
        <v>2.1</v>
      </c>
    </row>
    <row r="2927" spans="1:23" hidden="1">
      <c r="A2927" s="3" t="str">
        <f t="shared" si="45"/>
        <v>Período 1</v>
      </c>
      <c r="B2927">
        <v>22995</v>
      </c>
      <c r="C2927" t="s">
        <v>1745</v>
      </c>
      <c r="D2927" t="s">
        <v>6879</v>
      </c>
      <c r="E2927" s="3" t="str">
        <f>IF(LEN(Base_Periodo1[[#This Row],[CLASS]])&gt;=7,LEFT(Base_Periodo1[[#This Row],[CLASS]],7),"")</f>
        <v>2.1.2.1</v>
      </c>
      <c r="F2927" s="3" t="str">
        <f>VLOOKUP(Base_Periodo1[[#This Row],[Aux]],Base_Contas_Balanco[#All],2,FALSE)</f>
        <v>Fornecedores Cooperados</v>
      </c>
      <c r="G2927" s="1">
        <v>42866</v>
      </c>
      <c r="I2927" s="225">
        <v>0</v>
      </c>
      <c r="J2927" s="225">
        <v>11580.5</v>
      </c>
      <c r="K2927" s="225">
        <v>11580.5</v>
      </c>
      <c r="L29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11580.5</v>
      </c>
      <c r="M2927" s="225">
        <f>ROUND(IF(AND(Base_Periodo1[[#This Row],[Tipo_Linha]]="-",Base_Periodo1[[#This Row],[TIPOSALDO]]="D"),Base_Periodo1[[#This Row],[SALDO_ATUAL]]*-1,Base_Periodo1[[#This Row],[SALDO_ATUAL]]),4)</f>
        <v>11580.5</v>
      </c>
      <c r="N2927" t="s">
        <v>116</v>
      </c>
      <c r="O2927" t="s">
        <v>436</v>
      </c>
      <c r="P2927" t="s">
        <v>459</v>
      </c>
      <c r="Q2927">
        <v>7</v>
      </c>
      <c r="R2927" s="225">
        <f>Base_Periodo1[[#This Row],[CREDITOS]]-Base_Periodo1[[#This Row],[DEBITOS]]</f>
        <v>11580.5</v>
      </c>
      <c r="S2927" s="3" t="str">
        <f>IF(ISERROR(VLOOKUP(Base_Periodo1[[#This Row],[CONTA]],BaseContasDRE[#All],4,FALSE)),"Fora do DRE",VLOOKUP(Base_Periodo1[[#This Row],[CONTA]],BaseContasDRE[#All],4,FALSE))</f>
        <v>Fora do DRE</v>
      </c>
      <c r="T2927" s="3" t="str">
        <f>IF(ISERROR(VLOOKUP(Base_Periodo1[[#This Row],[CONTA]],BaseContasDRE[#All],5,FALSE)),"Fora do DRE",VLOOKUP(Base_Periodo1[[#This Row],[CONTA]],BaseContasDRE[#All],6,FALSE))</f>
        <v>Fora do DRE</v>
      </c>
      <c r="U2927" s="3" t="str">
        <f>IF(ISERROR(VLOOKUP(Base_Periodo1[[#This Row],[CONTA]],BaseContasDRE[#All],7,FALSE)),"Fora do DRE",VLOOKUP(Base_Periodo1[[#This Row],[CONTA]],BaseContasDRE[#All],7,FALSE))</f>
        <v>Fora do DRE</v>
      </c>
      <c r="V2927" s="3" t="str">
        <f>IF(Base_Periodo1[[#This Row],[Tipo_Linha]]="Fora do DRE","Fora do DRE","( "&amp;Base_Periodo1[[#This Row],[Tipo_Linha]]&amp;" ) "&amp;Base_Periodo1[[#This Row],[Filtro]])</f>
        <v>Fora do DRE</v>
      </c>
      <c r="W2927" s="3" t="str">
        <f>LEFT(Base_Periodo1[[#This Row],[CLASS]],3)</f>
        <v>2.1</v>
      </c>
    </row>
    <row r="2928" spans="1:23" hidden="1">
      <c r="A2928" s="3" t="str">
        <f t="shared" si="45"/>
        <v>Período 1</v>
      </c>
      <c r="B2928">
        <v>52962</v>
      </c>
      <c r="C2928" t="s">
        <v>1745</v>
      </c>
      <c r="D2928" t="s">
        <v>5956</v>
      </c>
      <c r="E2928" s="3" t="str">
        <f>IF(LEN(Base_Periodo1[[#This Row],[CLASS]])&gt;=7,LEFT(Base_Periodo1[[#This Row],[CLASS]],7),"")</f>
        <v>2.1.2.1</v>
      </c>
      <c r="F2928" s="3" t="str">
        <f>VLOOKUP(Base_Periodo1[[#This Row],[Aux]],Base_Contas_Balanco[#All],2,FALSE)</f>
        <v>Fornecedores Cooperados</v>
      </c>
      <c r="G2928" s="1">
        <v>42865</v>
      </c>
      <c r="H2928" s="225">
        <v>4683.619999999999</v>
      </c>
      <c r="I2928" s="225">
        <v>4683.62</v>
      </c>
      <c r="J2928" s="225">
        <v>2931</v>
      </c>
      <c r="K2928" s="225">
        <v>2930.9999999999991</v>
      </c>
      <c r="L29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2931</v>
      </c>
      <c r="M2928" s="225">
        <f>ROUND(IF(AND(Base_Periodo1[[#This Row],[Tipo_Linha]]="-",Base_Periodo1[[#This Row],[TIPOSALDO]]="D"),Base_Periodo1[[#This Row],[SALDO_ATUAL]]*-1,Base_Periodo1[[#This Row],[SALDO_ATUAL]]),4)</f>
        <v>2931</v>
      </c>
      <c r="N2928" t="s">
        <v>116</v>
      </c>
      <c r="O2928" t="s">
        <v>459</v>
      </c>
      <c r="P2928" t="s">
        <v>459</v>
      </c>
      <c r="Q2928">
        <v>7</v>
      </c>
      <c r="R2928" s="225">
        <f>Base_Periodo1[[#This Row],[CREDITOS]]-Base_Periodo1[[#This Row],[DEBITOS]]</f>
        <v>-1752.62</v>
      </c>
      <c r="S2928" s="3" t="str">
        <f>IF(ISERROR(VLOOKUP(Base_Periodo1[[#This Row],[CONTA]],BaseContasDRE[#All],4,FALSE)),"Fora do DRE",VLOOKUP(Base_Periodo1[[#This Row],[CONTA]],BaseContasDRE[#All],4,FALSE))</f>
        <v>Fora do DRE</v>
      </c>
      <c r="T2928" s="3" t="str">
        <f>IF(ISERROR(VLOOKUP(Base_Periodo1[[#This Row],[CONTA]],BaseContasDRE[#All],5,FALSE)),"Fora do DRE",VLOOKUP(Base_Periodo1[[#This Row],[CONTA]],BaseContasDRE[#All],6,FALSE))</f>
        <v>Fora do DRE</v>
      </c>
      <c r="U2928" s="3" t="str">
        <f>IF(ISERROR(VLOOKUP(Base_Periodo1[[#This Row],[CONTA]],BaseContasDRE[#All],7,FALSE)),"Fora do DRE",VLOOKUP(Base_Periodo1[[#This Row],[CONTA]],BaseContasDRE[#All],7,FALSE))</f>
        <v>Fora do DRE</v>
      </c>
      <c r="V2928" s="3" t="str">
        <f>IF(Base_Periodo1[[#This Row],[Tipo_Linha]]="Fora do DRE","Fora do DRE","( "&amp;Base_Periodo1[[#This Row],[Tipo_Linha]]&amp;" ) "&amp;Base_Periodo1[[#This Row],[Filtro]])</f>
        <v>Fora do DRE</v>
      </c>
      <c r="W2928" s="3" t="str">
        <f>LEFT(Base_Periodo1[[#This Row],[CLASS]],3)</f>
        <v>2.1</v>
      </c>
    </row>
    <row r="2929" spans="1:23" hidden="1">
      <c r="A2929" s="3" t="str">
        <f t="shared" si="45"/>
        <v>Período 1</v>
      </c>
      <c r="B2929">
        <v>23447</v>
      </c>
      <c r="C2929" t="s">
        <v>1745</v>
      </c>
      <c r="D2929" t="s">
        <v>5957</v>
      </c>
      <c r="E2929" s="3" t="str">
        <f>IF(LEN(Base_Periodo1[[#This Row],[CLASS]])&gt;=7,LEFT(Base_Periodo1[[#This Row],[CLASS]],7),"")</f>
        <v>2.1.2.1</v>
      </c>
      <c r="F2929" s="3" t="str">
        <f>VLOOKUP(Base_Periodo1[[#This Row],[Aux]],Base_Contas_Balanco[#All],2,FALSE)</f>
        <v>Fornecedores Cooperados</v>
      </c>
      <c r="G2929" s="1">
        <v>42782</v>
      </c>
      <c r="H2929" s="225">
        <v>7266.619999999999</v>
      </c>
      <c r="I2929" s="225">
        <v>0</v>
      </c>
      <c r="J2929" s="225">
        <v>0</v>
      </c>
      <c r="K2929" s="225">
        <v>7266.619999999999</v>
      </c>
      <c r="L29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7266.62</v>
      </c>
      <c r="M2929" s="225">
        <f>ROUND(IF(AND(Base_Periodo1[[#This Row],[Tipo_Linha]]="-",Base_Periodo1[[#This Row],[TIPOSALDO]]="D"),Base_Periodo1[[#This Row],[SALDO_ATUAL]]*-1,Base_Periodo1[[#This Row],[SALDO_ATUAL]]),4)</f>
        <v>7266.62</v>
      </c>
      <c r="N2929" t="s">
        <v>116</v>
      </c>
      <c r="O2929" t="s">
        <v>459</v>
      </c>
      <c r="P2929" t="s">
        <v>459</v>
      </c>
      <c r="Q2929">
        <v>7</v>
      </c>
      <c r="R2929" s="225">
        <f>Base_Periodo1[[#This Row],[CREDITOS]]-Base_Periodo1[[#This Row],[DEBITOS]]</f>
        <v>0</v>
      </c>
      <c r="S2929" s="3" t="str">
        <f>IF(ISERROR(VLOOKUP(Base_Periodo1[[#This Row],[CONTA]],BaseContasDRE[#All],4,FALSE)),"Fora do DRE",VLOOKUP(Base_Periodo1[[#This Row],[CONTA]],BaseContasDRE[#All],4,FALSE))</f>
        <v>Fora do DRE</v>
      </c>
      <c r="T2929" s="3" t="str">
        <f>IF(ISERROR(VLOOKUP(Base_Periodo1[[#This Row],[CONTA]],BaseContasDRE[#All],5,FALSE)),"Fora do DRE",VLOOKUP(Base_Periodo1[[#This Row],[CONTA]],BaseContasDRE[#All],6,FALSE))</f>
        <v>Fora do DRE</v>
      </c>
      <c r="U2929" s="3" t="str">
        <f>IF(ISERROR(VLOOKUP(Base_Periodo1[[#This Row],[CONTA]],BaseContasDRE[#All],7,FALSE)),"Fora do DRE",VLOOKUP(Base_Periodo1[[#This Row],[CONTA]],BaseContasDRE[#All],7,FALSE))</f>
        <v>Fora do DRE</v>
      </c>
      <c r="V2929" s="3" t="str">
        <f>IF(Base_Periodo1[[#This Row],[Tipo_Linha]]="Fora do DRE","Fora do DRE","( "&amp;Base_Periodo1[[#This Row],[Tipo_Linha]]&amp;" ) "&amp;Base_Periodo1[[#This Row],[Filtro]])</f>
        <v>Fora do DRE</v>
      </c>
      <c r="W2929" s="3" t="str">
        <f>LEFT(Base_Periodo1[[#This Row],[CLASS]],3)</f>
        <v>2.1</v>
      </c>
    </row>
    <row r="2930" spans="1:23" hidden="1">
      <c r="A2930" s="3" t="str">
        <f t="shared" si="45"/>
        <v>Período 1</v>
      </c>
      <c r="B2930">
        <v>33194</v>
      </c>
      <c r="C2930" t="s">
        <v>1745</v>
      </c>
      <c r="D2930" t="s">
        <v>4607</v>
      </c>
      <c r="E2930" s="3" t="str">
        <f>IF(LEN(Base_Periodo1[[#This Row],[CLASS]])&gt;=7,LEFT(Base_Periodo1[[#This Row],[CLASS]],7),"")</f>
        <v>2.1.2.1</v>
      </c>
      <c r="F2930" s="3" t="str">
        <f>VLOOKUP(Base_Periodo1[[#This Row],[Aux]],Base_Contas_Balanco[#All],2,FALSE)</f>
        <v>Fornecedores Cooperados</v>
      </c>
      <c r="G2930" s="1">
        <v>42871</v>
      </c>
      <c r="H2930" s="225">
        <v>101.92000000000007</v>
      </c>
      <c r="I2930" s="225">
        <v>101.92</v>
      </c>
      <c r="J2930" s="225">
        <v>47.26</v>
      </c>
      <c r="K2930" s="225">
        <v>47.260000000000069</v>
      </c>
      <c r="L29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47.26</v>
      </c>
      <c r="M2930" s="225">
        <f>ROUND(IF(AND(Base_Periodo1[[#This Row],[Tipo_Linha]]="-",Base_Periodo1[[#This Row],[TIPOSALDO]]="D"),Base_Periodo1[[#This Row],[SALDO_ATUAL]]*-1,Base_Periodo1[[#This Row],[SALDO_ATUAL]]),4)</f>
        <v>47.26</v>
      </c>
      <c r="N2930" t="s">
        <v>116</v>
      </c>
      <c r="O2930" t="s">
        <v>459</v>
      </c>
      <c r="P2930" t="s">
        <v>459</v>
      </c>
      <c r="Q2930">
        <v>7</v>
      </c>
      <c r="R2930" s="225">
        <f>Base_Periodo1[[#This Row],[CREDITOS]]-Base_Periodo1[[#This Row],[DEBITOS]]</f>
        <v>-54.660000000000004</v>
      </c>
      <c r="S2930" s="3" t="str">
        <f>IF(ISERROR(VLOOKUP(Base_Periodo1[[#This Row],[CONTA]],BaseContasDRE[#All],4,FALSE)),"Fora do DRE",VLOOKUP(Base_Periodo1[[#This Row],[CONTA]],BaseContasDRE[#All],4,FALSE))</f>
        <v>Fora do DRE</v>
      </c>
      <c r="T2930" s="3" t="str">
        <f>IF(ISERROR(VLOOKUP(Base_Periodo1[[#This Row],[CONTA]],BaseContasDRE[#All],5,FALSE)),"Fora do DRE",VLOOKUP(Base_Periodo1[[#This Row],[CONTA]],BaseContasDRE[#All],6,FALSE))</f>
        <v>Fora do DRE</v>
      </c>
      <c r="U2930" s="3" t="str">
        <f>IF(ISERROR(VLOOKUP(Base_Periodo1[[#This Row],[CONTA]],BaseContasDRE[#All],7,FALSE)),"Fora do DRE",VLOOKUP(Base_Periodo1[[#This Row],[CONTA]],BaseContasDRE[#All],7,FALSE))</f>
        <v>Fora do DRE</v>
      </c>
      <c r="V2930" s="3" t="str">
        <f>IF(Base_Periodo1[[#This Row],[Tipo_Linha]]="Fora do DRE","Fora do DRE","( "&amp;Base_Periodo1[[#This Row],[Tipo_Linha]]&amp;" ) "&amp;Base_Periodo1[[#This Row],[Filtro]])</f>
        <v>Fora do DRE</v>
      </c>
      <c r="W2930" s="3" t="str">
        <f>LEFT(Base_Periodo1[[#This Row],[CLASS]],3)</f>
        <v>2.1</v>
      </c>
    </row>
    <row r="2931" spans="1:23" hidden="1">
      <c r="A2931" s="3" t="str">
        <f t="shared" si="45"/>
        <v>Período 1</v>
      </c>
      <c r="B2931">
        <v>2758</v>
      </c>
      <c r="C2931" t="s">
        <v>1745</v>
      </c>
      <c r="D2931" t="s">
        <v>1877</v>
      </c>
      <c r="E2931" s="3" t="str">
        <f>IF(LEN(Base_Periodo1[[#This Row],[CLASS]])&gt;=7,LEFT(Base_Periodo1[[#This Row],[CLASS]],7),"")</f>
        <v>2.1.2.1</v>
      </c>
      <c r="F2931" s="3" t="str">
        <f>VLOOKUP(Base_Periodo1[[#This Row],[Aux]],Base_Contas_Balanco[#All],2,FALSE)</f>
        <v>Fornecedores Cooperados</v>
      </c>
      <c r="G2931" s="1">
        <v>42424</v>
      </c>
      <c r="H2931" s="225">
        <v>10.080000000001746</v>
      </c>
      <c r="I2931" s="225">
        <v>0</v>
      </c>
      <c r="J2931" s="225">
        <v>0</v>
      </c>
      <c r="K2931" s="225">
        <v>10.080000000001746</v>
      </c>
      <c r="L29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10.08</v>
      </c>
      <c r="M2931" s="225">
        <f>ROUND(IF(AND(Base_Periodo1[[#This Row],[Tipo_Linha]]="-",Base_Periodo1[[#This Row],[TIPOSALDO]]="D"),Base_Periodo1[[#This Row],[SALDO_ATUAL]]*-1,Base_Periodo1[[#This Row],[SALDO_ATUAL]]),4)</f>
        <v>10.08</v>
      </c>
      <c r="N2931" t="s">
        <v>116</v>
      </c>
      <c r="O2931" t="s">
        <v>459</v>
      </c>
      <c r="P2931" t="s">
        <v>459</v>
      </c>
      <c r="Q2931">
        <v>7</v>
      </c>
      <c r="R2931" s="225">
        <f>Base_Periodo1[[#This Row],[CREDITOS]]-Base_Periodo1[[#This Row],[DEBITOS]]</f>
        <v>0</v>
      </c>
      <c r="S2931" s="3" t="str">
        <f>IF(ISERROR(VLOOKUP(Base_Periodo1[[#This Row],[CONTA]],BaseContasDRE[#All],4,FALSE)),"Fora do DRE",VLOOKUP(Base_Periodo1[[#This Row],[CONTA]],BaseContasDRE[#All],4,FALSE))</f>
        <v>Fora do DRE</v>
      </c>
      <c r="T2931" s="3" t="str">
        <f>IF(ISERROR(VLOOKUP(Base_Periodo1[[#This Row],[CONTA]],BaseContasDRE[#All],5,FALSE)),"Fora do DRE",VLOOKUP(Base_Periodo1[[#This Row],[CONTA]],BaseContasDRE[#All],6,FALSE))</f>
        <v>Fora do DRE</v>
      </c>
      <c r="U2931" s="3" t="str">
        <f>IF(ISERROR(VLOOKUP(Base_Periodo1[[#This Row],[CONTA]],BaseContasDRE[#All],7,FALSE)),"Fora do DRE",VLOOKUP(Base_Periodo1[[#This Row],[CONTA]],BaseContasDRE[#All],7,FALSE))</f>
        <v>Fora do DRE</v>
      </c>
      <c r="V2931" s="3" t="str">
        <f>IF(Base_Periodo1[[#This Row],[Tipo_Linha]]="Fora do DRE","Fora do DRE","( "&amp;Base_Periodo1[[#This Row],[Tipo_Linha]]&amp;" ) "&amp;Base_Periodo1[[#This Row],[Filtro]])</f>
        <v>Fora do DRE</v>
      </c>
      <c r="W2931" s="3" t="str">
        <f>LEFT(Base_Periodo1[[#This Row],[CLASS]],3)</f>
        <v>2.1</v>
      </c>
    </row>
    <row r="2932" spans="1:23" hidden="1">
      <c r="A2932" s="3" t="str">
        <f t="shared" si="45"/>
        <v>Período 1</v>
      </c>
      <c r="B2932">
        <v>4618</v>
      </c>
      <c r="C2932" t="s">
        <v>1745</v>
      </c>
      <c r="D2932" t="s">
        <v>6373</v>
      </c>
      <c r="E2932" s="3" t="str">
        <f>IF(LEN(Base_Periodo1[[#This Row],[CLASS]])&gt;=7,LEFT(Base_Periodo1[[#This Row],[CLASS]],7),"")</f>
        <v>2.1.2.1</v>
      </c>
      <c r="F2932" s="3" t="str">
        <f>VLOOKUP(Base_Periodo1[[#This Row],[Aux]],Base_Contas_Balanco[#All],2,FALSE)</f>
        <v>Fornecedores Cooperados</v>
      </c>
      <c r="G2932" s="1">
        <v>42871</v>
      </c>
      <c r="H2932" s="225">
        <v>131039.99999999953</v>
      </c>
      <c r="I2932" s="225">
        <v>154560</v>
      </c>
      <c r="J2932" s="225">
        <v>34569</v>
      </c>
      <c r="K2932" s="225">
        <v>11048.999999999534</v>
      </c>
      <c r="L29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11049</v>
      </c>
      <c r="M2932" s="225">
        <f>ROUND(IF(AND(Base_Periodo1[[#This Row],[Tipo_Linha]]="-",Base_Periodo1[[#This Row],[TIPOSALDO]]="D"),Base_Periodo1[[#This Row],[SALDO_ATUAL]]*-1,Base_Periodo1[[#This Row],[SALDO_ATUAL]]),4)</f>
        <v>11049</v>
      </c>
      <c r="N2932" t="s">
        <v>116</v>
      </c>
      <c r="O2932" t="s">
        <v>459</v>
      </c>
      <c r="P2932" t="s">
        <v>459</v>
      </c>
      <c r="Q2932">
        <v>7</v>
      </c>
      <c r="R2932" s="225">
        <f>Base_Periodo1[[#This Row],[CREDITOS]]-Base_Periodo1[[#This Row],[DEBITOS]]</f>
        <v>-119991</v>
      </c>
      <c r="S2932" s="3" t="str">
        <f>IF(ISERROR(VLOOKUP(Base_Periodo1[[#This Row],[CONTA]],BaseContasDRE[#All],4,FALSE)),"Fora do DRE",VLOOKUP(Base_Periodo1[[#This Row],[CONTA]],BaseContasDRE[#All],4,FALSE))</f>
        <v>Fora do DRE</v>
      </c>
      <c r="T2932" s="3" t="str">
        <f>IF(ISERROR(VLOOKUP(Base_Periodo1[[#This Row],[CONTA]],BaseContasDRE[#All],5,FALSE)),"Fora do DRE",VLOOKUP(Base_Periodo1[[#This Row],[CONTA]],BaseContasDRE[#All],6,FALSE))</f>
        <v>Fora do DRE</v>
      </c>
      <c r="U2932" s="3" t="str">
        <f>IF(ISERROR(VLOOKUP(Base_Periodo1[[#This Row],[CONTA]],BaseContasDRE[#All],7,FALSE)),"Fora do DRE",VLOOKUP(Base_Periodo1[[#This Row],[CONTA]],BaseContasDRE[#All],7,FALSE))</f>
        <v>Fora do DRE</v>
      </c>
      <c r="V2932" s="3" t="str">
        <f>IF(Base_Periodo1[[#This Row],[Tipo_Linha]]="Fora do DRE","Fora do DRE","( "&amp;Base_Periodo1[[#This Row],[Tipo_Linha]]&amp;" ) "&amp;Base_Periodo1[[#This Row],[Filtro]])</f>
        <v>Fora do DRE</v>
      </c>
      <c r="W2932" s="3" t="str">
        <f>LEFT(Base_Periodo1[[#This Row],[CLASS]],3)</f>
        <v>2.1</v>
      </c>
    </row>
    <row r="2933" spans="1:23" hidden="1">
      <c r="A2933" s="3" t="str">
        <f t="shared" si="45"/>
        <v>Período 1</v>
      </c>
      <c r="B2933">
        <v>8510</v>
      </c>
      <c r="C2933" t="s">
        <v>1745</v>
      </c>
      <c r="D2933" t="s">
        <v>1878</v>
      </c>
      <c r="E2933" s="3" t="str">
        <f>IF(LEN(Base_Periodo1[[#This Row],[CLASS]])&gt;=7,LEFT(Base_Periodo1[[#This Row],[CLASS]],7),"")</f>
        <v>2.1.2.1</v>
      </c>
      <c r="F2933" s="3" t="str">
        <f>VLOOKUP(Base_Periodo1[[#This Row],[Aux]],Base_Contas_Balanco[#All],2,FALSE)</f>
        <v>Fornecedores Cooperados</v>
      </c>
      <c r="G2933" s="1">
        <v>42432</v>
      </c>
      <c r="H2933" s="225">
        <v>2420.3999999999942</v>
      </c>
      <c r="I2933" s="225">
        <v>0</v>
      </c>
      <c r="J2933" s="225">
        <v>0</v>
      </c>
      <c r="K2933" s="225">
        <v>2420.3999999999942</v>
      </c>
      <c r="L29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2420.4</v>
      </c>
      <c r="M2933" s="225">
        <f>ROUND(IF(AND(Base_Periodo1[[#This Row],[Tipo_Linha]]="-",Base_Periodo1[[#This Row],[TIPOSALDO]]="D"),Base_Periodo1[[#This Row],[SALDO_ATUAL]]*-1,Base_Periodo1[[#This Row],[SALDO_ATUAL]]),4)</f>
        <v>2420.4</v>
      </c>
      <c r="N2933" t="s">
        <v>116</v>
      </c>
      <c r="O2933" t="s">
        <v>459</v>
      </c>
      <c r="P2933" t="s">
        <v>459</v>
      </c>
      <c r="Q2933">
        <v>7</v>
      </c>
      <c r="R2933" s="225">
        <f>Base_Periodo1[[#This Row],[CREDITOS]]-Base_Periodo1[[#This Row],[DEBITOS]]</f>
        <v>0</v>
      </c>
      <c r="S2933" s="3" t="str">
        <f>IF(ISERROR(VLOOKUP(Base_Periodo1[[#This Row],[CONTA]],BaseContasDRE[#All],4,FALSE)),"Fora do DRE",VLOOKUP(Base_Periodo1[[#This Row],[CONTA]],BaseContasDRE[#All],4,FALSE))</f>
        <v>Fora do DRE</v>
      </c>
      <c r="T2933" s="3" t="str">
        <f>IF(ISERROR(VLOOKUP(Base_Periodo1[[#This Row],[CONTA]],BaseContasDRE[#All],5,FALSE)),"Fora do DRE",VLOOKUP(Base_Periodo1[[#This Row],[CONTA]],BaseContasDRE[#All],6,FALSE))</f>
        <v>Fora do DRE</v>
      </c>
      <c r="U2933" s="3" t="str">
        <f>IF(ISERROR(VLOOKUP(Base_Periodo1[[#This Row],[CONTA]],BaseContasDRE[#All],7,FALSE)),"Fora do DRE",VLOOKUP(Base_Periodo1[[#This Row],[CONTA]],BaseContasDRE[#All],7,FALSE))</f>
        <v>Fora do DRE</v>
      </c>
      <c r="V2933" s="3" t="str">
        <f>IF(Base_Periodo1[[#This Row],[Tipo_Linha]]="Fora do DRE","Fora do DRE","( "&amp;Base_Periodo1[[#This Row],[Tipo_Linha]]&amp;" ) "&amp;Base_Periodo1[[#This Row],[Filtro]])</f>
        <v>Fora do DRE</v>
      </c>
      <c r="W2933" s="3" t="str">
        <f>LEFT(Base_Periodo1[[#This Row],[CLASS]],3)</f>
        <v>2.1</v>
      </c>
    </row>
    <row r="2934" spans="1:23" hidden="1">
      <c r="A2934" s="3" t="str">
        <f t="shared" si="45"/>
        <v>Período 1</v>
      </c>
      <c r="B2934">
        <v>3878</v>
      </c>
      <c r="C2934" t="s">
        <v>1745</v>
      </c>
      <c r="D2934" t="s">
        <v>1879</v>
      </c>
      <c r="E2934" s="3" t="str">
        <f>IF(LEN(Base_Periodo1[[#This Row],[CLASS]])&gt;=7,LEFT(Base_Periodo1[[#This Row],[CLASS]],7),"")</f>
        <v>2.1.2.1</v>
      </c>
      <c r="F2934" s="3" t="str">
        <f>VLOOKUP(Base_Periodo1[[#This Row],[Aux]],Base_Contas_Balanco[#All],2,FALSE)</f>
        <v>Fornecedores Cooperados</v>
      </c>
      <c r="G2934" s="1">
        <v>42685</v>
      </c>
      <c r="H2934" s="225">
        <v>563.18000000005122</v>
      </c>
      <c r="I2934" s="225">
        <v>0</v>
      </c>
      <c r="J2934" s="225">
        <v>0</v>
      </c>
      <c r="K2934" s="225">
        <v>563.18000000005122</v>
      </c>
      <c r="L29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563.17999999999995</v>
      </c>
      <c r="M2934" s="225">
        <f>ROUND(IF(AND(Base_Periodo1[[#This Row],[Tipo_Linha]]="-",Base_Periodo1[[#This Row],[TIPOSALDO]]="D"),Base_Periodo1[[#This Row],[SALDO_ATUAL]]*-1,Base_Periodo1[[#This Row],[SALDO_ATUAL]]),4)</f>
        <v>563.17999999999995</v>
      </c>
      <c r="N2934" t="s">
        <v>116</v>
      </c>
      <c r="O2934" t="s">
        <v>459</v>
      </c>
      <c r="P2934" t="s">
        <v>459</v>
      </c>
      <c r="Q2934">
        <v>7</v>
      </c>
      <c r="R2934" s="225">
        <f>Base_Periodo1[[#This Row],[CREDITOS]]-Base_Periodo1[[#This Row],[DEBITOS]]</f>
        <v>0</v>
      </c>
      <c r="S2934" s="3" t="str">
        <f>IF(ISERROR(VLOOKUP(Base_Periodo1[[#This Row],[CONTA]],BaseContasDRE[#All],4,FALSE)),"Fora do DRE",VLOOKUP(Base_Periodo1[[#This Row],[CONTA]],BaseContasDRE[#All],4,FALSE))</f>
        <v>Fora do DRE</v>
      </c>
      <c r="T2934" s="3" t="str">
        <f>IF(ISERROR(VLOOKUP(Base_Periodo1[[#This Row],[CONTA]],BaseContasDRE[#All],5,FALSE)),"Fora do DRE",VLOOKUP(Base_Periodo1[[#This Row],[CONTA]],BaseContasDRE[#All],6,FALSE))</f>
        <v>Fora do DRE</v>
      </c>
      <c r="U2934" s="3" t="str">
        <f>IF(ISERROR(VLOOKUP(Base_Periodo1[[#This Row],[CONTA]],BaseContasDRE[#All],7,FALSE)),"Fora do DRE",VLOOKUP(Base_Periodo1[[#This Row],[CONTA]],BaseContasDRE[#All],7,FALSE))</f>
        <v>Fora do DRE</v>
      </c>
      <c r="V2934" s="3" t="str">
        <f>IF(Base_Periodo1[[#This Row],[Tipo_Linha]]="Fora do DRE","Fora do DRE","( "&amp;Base_Periodo1[[#This Row],[Tipo_Linha]]&amp;" ) "&amp;Base_Periodo1[[#This Row],[Filtro]])</f>
        <v>Fora do DRE</v>
      </c>
      <c r="W2934" s="3" t="str">
        <f>LEFT(Base_Periodo1[[#This Row],[CLASS]],3)</f>
        <v>2.1</v>
      </c>
    </row>
    <row r="2935" spans="1:23" hidden="1">
      <c r="A2935" s="3" t="str">
        <f t="shared" si="45"/>
        <v>Período 1</v>
      </c>
      <c r="B2935">
        <v>8218</v>
      </c>
      <c r="C2935" t="s">
        <v>1745</v>
      </c>
      <c r="D2935" t="s">
        <v>6374</v>
      </c>
      <c r="E2935" s="3" t="str">
        <f>IF(LEN(Base_Periodo1[[#This Row],[CLASS]])&gt;=7,LEFT(Base_Periodo1[[#This Row],[CLASS]],7),"")</f>
        <v>2.1.2.1</v>
      </c>
      <c r="F2935" s="3" t="str">
        <f>VLOOKUP(Base_Periodo1[[#This Row],[Aux]],Base_Contas_Balanco[#All],2,FALSE)</f>
        <v>Fornecedores Cooperados</v>
      </c>
      <c r="G2935" s="1"/>
      <c r="H2935" s="225">
        <v>913.59</v>
      </c>
      <c r="I2935" s="225">
        <v>0</v>
      </c>
      <c r="J2935" s="225">
        <v>0</v>
      </c>
      <c r="K2935" s="225">
        <v>913.59</v>
      </c>
      <c r="L29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913.59</v>
      </c>
      <c r="M2935" s="225">
        <f>ROUND(IF(AND(Base_Periodo1[[#This Row],[Tipo_Linha]]="-",Base_Periodo1[[#This Row],[TIPOSALDO]]="D"),Base_Periodo1[[#This Row],[SALDO_ATUAL]]*-1,Base_Periodo1[[#This Row],[SALDO_ATUAL]]),4)</f>
        <v>913.59</v>
      </c>
      <c r="N2935" t="s">
        <v>116</v>
      </c>
      <c r="O2935" t="s">
        <v>459</v>
      </c>
      <c r="P2935" t="s">
        <v>459</v>
      </c>
      <c r="Q2935">
        <v>7</v>
      </c>
      <c r="R2935" s="225">
        <f>Base_Periodo1[[#This Row],[CREDITOS]]-Base_Periodo1[[#This Row],[DEBITOS]]</f>
        <v>0</v>
      </c>
      <c r="S2935" s="3" t="str">
        <f>IF(ISERROR(VLOOKUP(Base_Periodo1[[#This Row],[CONTA]],BaseContasDRE[#All],4,FALSE)),"Fora do DRE",VLOOKUP(Base_Periodo1[[#This Row],[CONTA]],BaseContasDRE[#All],4,FALSE))</f>
        <v>Fora do DRE</v>
      </c>
      <c r="T2935" s="3" t="str">
        <f>IF(ISERROR(VLOOKUP(Base_Periodo1[[#This Row],[CONTA]],BaseContasDRE[#All],5,FALSE)),"Fora do DRE",VLOOKUP(Base_Periodo1[[#This Row],[CONTA]],BaseContasDRE[#All],6,FALSE))</f>
        <v>Fora do DRE</v>
      </c>
      <c r="U2935" s="3" t="str">
        <f>IF(ISERROR(VLOOKUP(Base_Periodo1[[#This Row],[CONTA]],BaseContasDRE[#All],7,FALSE)),"Fora do DRE",VLOOKUP(Base_Periodo1[[#This Row],[CONTA]],BaseContasDRE[#All],7,FALSE))</f>
        <v>Fora do DRE</v>
      </c>
      <c r="V2935" s="3" t="str">
        <f>IF(Base_Periodo1[[#This Row],[Tipo_Linha]]="Fora do DRE","Fora do DRE","( "&amp;Base_Periodo1[[#This Row],[Tipo_Linha]]&amp;" ) "&amp;Base_Periodo1[[#This Row],[Filtro]])</f>
        <v>Fora do DRE</v>
      </c>
      <c r="W2935" s="3" t="str">
        <f>LEFT(Base_Periodo1[[#This Row],[CLASS]],3)</f>
        <v>2.1</v>
      </c>
    </row>
    <row r="2936" spans="1:23" hidden="1">
      <c r="A2936" s="3" t="str">
        <f t="shared" si="45"/>
        <v>Período 1</v>
      </c>
      <c r="B2936">
        <v>51844</v>
      </c>
      <c r="C2936" t="s">
        <v>1745</v>
      </c>
      <c r="D2936" t="s">
        <v>4761</v>
      </c>
      <c r="E2936" s="3" t="str">
        <f>IF(LEN(Base_Periodo1[[#This Row],[CLASS]])&gt;=7,LEFT(Base_Periodo1[[#This Row],[CLASS]],7),"")</f>
        <v>2.1.2.1</v>
      </c>
      <c r="F2936" s="3" t="str">
        <f>VLOOKUP(Base_Periodo1[[#This Row],[Aux]],Base_Contas_Balanco[#All],2,FALSE)</f>
        <v>Fornecedores Cooperados</v>
      </c>
      <c r="G2936" s="1">
        <v>42801</v>
      </c>
      <c r="H2936" s="225">
        <v>378.72000000000844</v>
      </c>
      <c r="I2936" s="225">
        <v>0</v>
      </c>
      <c r="J2936" s="225">
        <v>0</v>
      </c>
      <c r="K2936" s="225">
        <v>378.72000000000844</v>
      </c>
      <c r="L29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378.72</v>
      </c>
      <c r="M2936" s="225">
        <f>ROUND(IF(AND(Base_Periodo1[[#This Row],[Tipo_Linha]]="-",Base_Periodo1[[#This Row],[TIPOSALDO]]="D"),Base_Periodo1[[#This Row],[SALDO_ATUAL]]*-1,Base_Periodo1[[#This Row],[SALDO_ATUAL]]),4)</f>
        <v>378.72</v>
      </c>
      <c r="N2936" t="s">
        <v>116</v>
      </c>
      <c r="O2936" t="s">
        <v>459</v>
      </c>
      <c r="P2936" t="s">
        <v>459</v>
      </c>
      <c r="Q2936">
        <v>7</v>
      </c>
      <c r="R2936" s="225">
        <f>Base_Periodo1[[#This Row],[CREDITOS]]-Base_Periodo1[[#This Row],[DEBITOS]]</f>
        <v>0</v>
      </c>
      <c r="S2936" s="3" t="str">
        <f>IF(ISERROR(VLOOKUP(Base_Periodo1[[#This Row],[CONTA]],BaseContasDRE[#All],4,FALSE)),"Fora do DRE",VLOOKUP(Base_Periodo1[[#This Row],[CONTA]],BaseContasDRE[#All],4,FALSE))</f>
        <v>Fora do DRE</v>
      </c>
      <c r="T2936" s="3" t="str">
        <f>IF(ISERROR(VLOOKUP(Base_Periodo1[[#This Row],[CONTA]],BaseContasDRE[#All],5,FALSE)),"Fora do DRE",VLOOKUP(Base_Periodo1[[#This Row],[CONTA]],BaseContasDRE[#All],6,FALSE))</f>
        <v>Fora do DRE</v>
      </c>
      <c r="U2936" s="3" t="str">
        <f>IF(ISERROR(VLOOKUP(Base_Periodo1[[#This Row],[CONTA]],BaseContasDRE[#All],7,FALSE)),"Fora do DRE",VLOOKUP(Base_Periodo1[[#This Row],[CONTA]],BaseContasDRE[#All],7,FALSE))</f>
        <v>Fora do DRE</v>
      </c>
      <c r="V2936" s="3" t="str">
        <f>IF(Base_Periodo1[[#This Row],[Tipo_Linha]]="Fora do DRE","Fora do DRE","( "&amp;Base_Periodo1[[#This Row],[Tipo_Linha]]&amp;" ) "&amp;Base_Periodo1[[#This Row],[Filtro]])</f>
        <v>Fora do DRE</v>
      </c>
      <c r="W2936" s="3" t="str">
        <f>LEFT(Base_Periodo1[[#This Row],[CLASS]],3)</f>
        <v>2.1</v>
      </c>
    </row>
    <row r="2937" spans="1:23" hidden="1">
      <c r="A2937" s="3" t="str">
        <f t="shared" si="45"/>
        <v>Período 1</v>
      </c>
      <c r="B2937">
        <v>3106</v>
      </c>
      <c r="C2937" t="s">
        <v>1745</v>
      </c>
      <c r="D2937" t="s">
        <v>1880</v>
      </c>
      <c r="E2937" s="3" t="str">
        <f>IF(LEN(Base_Periodo1[[#This Row],[CLASS]])&gt;=7,LEFT(Base_Periodo1[[#This Row],[CLASS]],7),"")</f>
        <v>2.1.2.1</v>
      </c>
      <c r="F2937" s="3" t="str">
        <f>VLOOKUP(Base_Periodo1[[#This Row],[Aux]],Base_Contas_Balanco[#All],2,FALSE)</f>
        <v>Fornecedores Cooperados</v>
      </c>
      <c r="G2937" s="1">
        <v>42779</v>
      </c>
      <c r="H2937" s="225">
        <v>8161.5299999999988</v>
      </c>
      <c r="I2937" s="225">
        <v>0</v>
      </c>
      <c r="J2937" s="225">
        <v>0</v>
      </c>
      <c r="K2937" s="225">
        <v>8161.5299999999988</v>
      </c>
      <c r="L29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8161.53</v>
      </c>
      <c r="M2937" s="225">
        <f>ROUND(IF(AND(Base_Periodo1[[#This Row],[Tipo_Linha]]="-",Base_Periodo1[[#This Row],[TIPOSALDO]]="D"),Base_Periodo1[[#This Row],[SALDO_ATUAL]]*-1,Base_Periodo1[[#This Row],[SALDO_ATUAL]]),4)</f>
        <v>8161.53</v>
      </c>
      <c r="N2937" t="s">
        <v>116</v>
      </c>
      <c r="O2937" t="s">
        <v>459</v>
      </c>
      <c r="P2937" t="s">
        <v>459</v>
      </c>
      <c r="Q2937">
        <v>7</v>
      </c>
      <c r="R2937" s="225">
        <f>Base_Periodo1[[#This Row],[CREDITOS]]-Base_Periodo1[[#This Row],[DEBITOS]]</f>
        <v>0</v>
      </c>
      <c r="S2937" s="3" t="str">
        <f>IF(ISERROR(VLOOKUP(Base_Periodo1[[#This Row],[CONTA]],BaseContasDRE[#All],4,FALSE)),"Fora do DRE",VLOOKUP(Base_Periodo1[[#This Row],[CONTA]],BaseContasDRE[#All],4,FALSE))</f>
        <v>Fora do DRE</v>
      </c>
      <c r="T2937" s="3" t="str">
        <f>IF(ISERROR(VLOOKUP(Base_Periodo1[[#This Row],[CONTA]],BaseContasDRE[#All],5,FALSE)),"Fora do DRE",VLOOKUP(Base_Periodo1[[#This Row],[CONTA]],BaseContasDRE[#All],6,FALSE))</f>
        <v>Fora do DRE</v>
      </c>
      <c r="U2937" s="3" t="str">
        <f>IF(ISERROR(VLOOKUP(Base_Periodo1[[#This Row],[CONTA]],BaseContasDRE[#All],7,FALSE)),"Fora do DRE",VLOOKUP(Base_Periodo1[[#This Row],[CONTA]],BaseContasDRE[#All],7,FALSE))</f>
        <v>Fora do DRE</v>
      </c>
      <c r="V2937" s="3" t="str">
        <f>IF(Base_Periodo1[[#This Row],[Tipo_Linha]]="Fora do DRE","Fora do DRE","( "&amp;Base_Periodo1[[#This Row],[Tipo_Linha]]&amp;" ) "&amp;Base_Periodo1[[#This Row],[Filtro]])</f>
        <v>Fora do DRE</v>
      </c>
      <c r="W2937" s="3" t="str">
        <f>LEFT(Base_Periodo1[[#This Row],[CLASS]],3)</f>
        <v>2.1</v>
      </c>
    </row>
    <row r="2938" spans="1:23" hidden="1">
      <c r="A2938" s="3" t="str">
        <f t="shared" si="45"/>
        <v>Período 1</v>
      </c>
      <c r="B2938">
        <v>47833</v>
      </c>
      <c r="C2938" t="s">
        <v>1745</v>
      </c>
      <c r="D2938" t="s">
        <v>6375</v>
      </c>
      <c r="E2938" s="3" t="str">
        <f>IF(LEN(Base_Periodo1[[#This Row],[CLASS]])&gt;=7,LEFT(Base_Periodo1[[#This Row],[CLASS]],7),"")</f>
        <v>2.1.2.1</v>
      </c>
      <c r="F2938" s="3" t="str">
        <f>VLOOKUP(Base_Periodo1[[#This Row],[Aux]],Base_Contas_Balanco[#All],2,FALSE)</f>
        <v>Fornecedores Cooperados</v>
      </c>
      <c r="G2938" s="1">
        <v>42804</v>
      </c>
      <c r="H2938" s="225">
        <v>100815.06000000003</v>
      </c>
      <c r="I2938" s="225">
        <v>0</v>
      </c>
      <c r="J2938" s="225">
        <v>0</v>
      </c>
      <c r="K2938" s="225">
        <v>100815.06000000003</v>
      </c>
      <c r="L29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100815.06</v>
      </c>
      <c r="M2938" s="225">
        <f>ROUND(IF(AND(Base_Periodo1[[#This Row],[Tipo_Linha]]="-",Base_Periodo1[[#This Row],[TIPOSALDO]]="D"),Base_Periodo1[[#This Row],[SALDO_ATUAL]]*-1,Base_Periodo1[[#This Row],[SALDO_ATUAL]]),4)</f>
        <v>100815.06</v>
      </c>
      <c r="N2938" t="s">
        <v>116</v>
      </c>
      <c r="O2938" t="s">
        <v>459</v>
      </c>
      <c r="P2938" t="s">
        <v>459</v>
      </c>
      <c r="Q2938">
        <v>7</v>
      </c>
      <c r="R2938" s="225">
        <f>Base_Periodo1[[#This Row],[CREDITOS]]-Base_Periodo1[[#This Row],[DEBITOS]]</f>
        <v>0</v>
      </c>
      <c r="S2938" s="3" t="str">
        <f>IF(ISERROR(VLOOKUP(Base_Periodo1[[#This Row],[CONTA]],BaseContasDRE[#All],4,FALSE)),"Fora do DRE",VLOOKUP(Base_Periodo1[[#This Row],[CONTA]],BaseContasDRE[#All],4,FALSE))</f>
        <v>Fora do DRE</v>
      </c>
      <c r="T2938" s="3" t="str">
        <f>IF(ISERROR(VLOOKUP(Base_Periodo1[[#This Row],[CONTA]],BaseContasDRE[#All],5,FALSE)),"Fora do DRE",VLOOKUP(Base_Periodo1[[#This Row],[CONTA]],BaseContasDRE[#All],6,FALSE))</f>
        <v>Fora do DRE</v>
      </c>
      <c r="U2938" s="3" t="str">
        <f>IF(ISERROR(VLOOKUP(Base_Periodo1[[#This Row],[CONTA]],BaseContasDRE[#All],7,FALSE)),"Fora do DRE",VLOOKUP(Base_Periodo1[[#This Row],[CONTA]],BaseContasDRE[#All],7,FALSE))</f>
        <v>Fora do DRE</v>
      </c>
      <c r="V2938" s="3" t="str">
        <f>IF(Base_Periodo1[[#This Row],[Tipo_Linha]]="Fora do DRE","Fora do DRE","( "&amp;Base_Periodo1[[#This Row],[Tipo_Linha]]&amp;" ) "&amp;Base_Periodo1[[#This Row],[Filtro]])</f>
        <v>Fora do DRE</v>
      </c>
      <c r="W2938" s="3" t="str">
        <f>LEFT(Base_Periodo1[[#This Row],[CLASS]],3)</f>
        <v>2.1</v>
      </c>
    </row>
    <row r="2939" spans="1:23" hidden="1">
      <c r="A2939" s="3" t="str">
        <f t="shared" si="45"/>
        <v>Período 1</v>
      </c>
      <c r="B2939">
        <v>47139</v>
      </c>
      <c r="C2939" t="s">
        <v>1745</v>
      </c>
      <c r="D2939" t="s">
        <v>4281</v>
      </c>
      <c r="E2939" s="3" t="str">
        <f>IF(LEN(Base_Periodo1[[#This Row],[CLASS]])&gt;=7,LEFT(Base_Periodo1[[#This Row],[CLASS]],7),"")</f>
        <v>2.1.2.1</v>
      </c>
      <c r="F2939" s="3" t="str">
        <f>VLOOKUP(Base_Periodo1[[#This Row],[Aux]],Base_Contas_Balanco[#All],2,FALSE)</f>
        <v>Fornecedores Cooperados</v>
      </c>
      <c r="G2939" s="1">
        <v>42884</v>
      </c>
      <c r="H2939" s="225">
        <v>1511.9999999999418</v>
      </c>
      <c r="I2939" s="225">
        <v>0</v>
      </c>
      <c r="J2939" s="225">
        <v>287206.12</v>
      </c>
      <c r="K2939" s="225">
        <v>288718.11999999994</v>
      </c>
      <c r="L29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288718.12</v>
      </c>
      <c r="M2939" s="225">
        <f>ROUND(IF(AND(Base_Periodo1[[#This Row],[Tipo_Linha]]="-",Base_Periodo1[[#This Row],[TIPOSALDO]]="D"),Base_Periodo1[[#This Row],[SALDO_ATUAL]]*-1,Base_Periodo1[[#This Row],[SALDO_ATUAL]]),4)</f>
        <v>288718.12</v>
      </c>
      <c r="N2939" t="s">
        <v>116</v>
      </c>
      <c r="O2939" t="s">
        <v>459</v>
      </c>
      <c r="P2939" t="s">
        <v>459</v>
      </c>
      <c r="Q2939">
        <v>7</v>
      </c>
      <c r="R2939" s="225">
        <f>Base_Periodo1[[#This Row],[CREDITOS]]-Base_Periodo1[[#This Row],[DEBITOS]]</f>
        <v>287206.12</v>
      </c>
      <c r="S2939" s="3" t="str">
        <f>IF(ISERROR(VLOOKUP(Base_Periodo1[[#This Row],[CONTA]],BaseContasDRE[#All],4,FALSE)),"Fora do DRE",VLOOKUP(Base_Periodo1[[#This Row],[CONTA]],BaseContasDRE[#All],4,FALSE))</f>
        <v>Fora do DRE</v>
      </c>
      <c r="T2939" s="3" t="str">
        <f>IF(ISERROR(VLOOKUP(Base_Periodo1[[#This Row],[CONTA]],BaseContasDRE[#All],5,FALSE)),"Fora do DRE",VLOOKUP(Base_Periodo1[[#This Row],[CONTA]],BaseContasDRE[#All],6,FALSE))</f>
        <v>Fora do DRE</v>
      </c>
      <c r="U2939" s="3" t="str">
        <f>IF(ISERROR(VLOOKUP(Base_Periodo1[[#This Row],[CONTA]],BaseContasDRE[#All],7,FALSE)),"Fora do DRE",VLOOKUP(Base_Periodo1[[#This Row],[CONTA]],BaseContasDRE[#All],7,FALSE))</f>
        <v>Fora do DRE</v>
      </c>
      <c r="V2939" s="3" t="str">
        <f>IF(Base_Periodo1[[#This Row],[Tipo_Linha]]="Fora do DRE","Fora do DRE","( "&amp;Base_Periodo1[[#This Row],[Tipo_Linha]]&amp;" ) "&amp;Base_Periodo1[[#This Row],[Filtro]])</f>
        <v>Fora do DRE</v>
      </c>
      <c r="W2939" s="3" t="str">
        <f>LEFT(Base_Periodo1[[#This Row],[CLASS]],3)</f>
        <v>2.1</v>
      </c>
    </row>
    <row r="2940" spans="1:23" hidden="1">
      <c r="A2940" s="3" t="str">
        <f t="shared" si="45"/>
        <v>Período 1</v>
      </c>
      <c r="B2940">
        <v>7975</v>
      </c>
      <c r="C2940" t="s">
        <v>1745</v>
      </c>
      <c r="D2940" t="s">
        <v>1881</v>
      </c>
      <c r="E2940" s="3" t="str">
        <f>IF(LEN(Base_Periodo1[[#This Row],[CLASS]])&gt;=7,LEFT(Base_Periodo1[[#This Row],[CLASS]],7),"")</f>
        <v>2.1.2.1</v>
      </c>
      <c r="F2940" s="3" t="str">
        <f>VLOOKUP(Base_Periodo1[[#This Row],[Aux]],Base_Contas_Balanco[#All],2,FALSE)</f>
        <v>Fornecedores Cooperados</v>
      </c>
      <c r="G2940" s="1">
        <v>42884</v>
      </c>
      <c r="H2940" s="225">
        <v>106689.27000000002</v>
      </c>
      <c r="I2940" s="225">
        <v>14080</v>
      </c>
      <c r="J2940" s="225">
        <v>14080</v>
      </c>
      <c r="K2940" s="225">
        <v>106689.27000000002</v>
      </c>
      <c r="L29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106689.27</v>
      </c>
      <c r="M2940" s="225">
        <f>ROUND(IF(AND(Base_Periodo1[[#This Row],[Tipo_Linha]]="-",Base_Periodo1[[#This Row],[TIPOSALDO]]="D"),Base_Periodo1[[#This Row],[SALDO_ATUAL]]*-1,Base_Periodo1[[#This Row],[SALDO_ATUAL]]),4)</f>
        <v>106689.27</v>
      </c>
      <c r="N2940" t="s">
        <v>116</v>
      </c>
      <c r="O2940" t="s">
        <v>459</v>
      </c>
      <c r="P2940" t="s">
        <v>459</v>
      </c>
      <c r="Q2940">
        <v>7</v>
      </c>
      <c r="R2940" s="225">
        <f>Base_Periodo1[[#This Row],[CREDITOS]]-Base_Periodo1[[#This Row],[DEBITOS]]</f>
        <v>0</v>
      </c>
      <c r="S2940" s="3" t="str">
        <f>IF(ISERROR(VLOOKUP(Base_Periodo1[[#This Row],[CONTA]],BaseContasDRE[#All],4,FALSE)),"Fora do DRE",VLOOKUP(Base_Periodo1[[#This Row],[CONTA]],BaseContasDRE[#All],4,FALSE))</f>
        <v>Fora do DRE</v>
      </c>
      <c r="T2940" s="3" t="str">
        <f>IF(ISERROR(VLOOKUP(Base_Periodo1[[#This Row],[CONTA]],BaseContasDRE[#All],5,FALSE)),"Fora do DRE",VLOOKUP(Base_Periodo1[[#This Row],[CONTA]],BaseContasDRE[#All],6,FALSE))</f>
        <v>Fora do DRE</v>
      </c>
      <c r="U2940" s="3" t="str">
        <f>IF(ISERROR(VLOOKUP(Base_Periodo1[[#This Row],[CONTA]],BaseContasDRE[#All],7,FALSE)),"Fora do DRE",VLOOKUP(Base_Periodo1[[#This Row],[CONTA]],BaseContasDRE[#All],7,FALSE))</f>
        <v>Fora do DRE</v>
      </c>
      <c r="V2940" s="3" t="str">
        <f>IF(Base_Periodo1[[#This Row],[Tipo_Linha]]="Fora do DRE","Fora do DRE","( "&amp;Base_Periodo1[[#This Row],[Tipo_Linha]]&amp;" ) "&amp;Base_Periodo1[[#This Row],[Filtro]])</f>
        <v>Fora do DRE</v>
      </c>
      <c r="W2940" s="3" t="str">
        <f>LEFT(Base_Periodo1[[#This Row],[CLASS]],3)</f>
        <v>2.1</v>
      </c>
    </row>
    <row r="2941" spans="1:23" hidden="1">
      <c r="A2941" s="3" t="str">
        <f t="shared" si="45"/>
        <v>Período 1</v>
      </c>
      <c r="B2941">
        <v>3138</v>
      </c>
      <c r="C2941" t="s">
        <v>1745</v>
      </c>
      <c r="D2941" t="s">
        <v>1882</v>
      </c>
      <c r="E2941" s="3" t="str">
        <f>IF(LEN(Base_Periodo1[[#This Row],[CLASS]])&gt;=7,LEFT(Base_Periodo1[[#This Row],[CLASS]],7),"")</f>
        <v>2.1.2.1</v>
      </c>
      <c r="F2941" s="3" t="str">
        <f>VLOOKUP(Base_Periodo1[[#This Row],[Aux]],Base_Contas_Balanco[#All],2,FALSE)</f>
        <v>Fornecedores Cooperados</v>
      </c>
      <c r="G2941" s="1">
        <v>42857</v>
      </c>
      <c r="H2941" s="225">
        <v>21959.199999999953</v>
      </c>
      <c r="I2941" s="225">
        <v>0</v>
      </c>
      <c r="J2941" s="225">
        <v>80699.929999999993</v>
      </c>
      <c r="K2941" s="225">
        <v>102659.12999999995</v>
      </c>
      <c r="L29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102659.13</v>
      </c>
      <c r="M2941" s="225">
        <f>ROUND(IF(AND(Base_Periodo1[[#This Row],[Tipo_Linha]]="-",Base_Periodo1[[#This Row],[TIPOSALDO]]="D"),Base_Periodo1[[#This Row],[SALDO_ATUAL]]*-1,Base_Periodo1[[#This Row],[SALDO_ATUAL]]),4)</f>
        <v>102659.13</v>
      </c>
      <c r="N2941" t="s">
        <v>116</v>
      </c>
      <c r="O2941" t="s">
        <v>459</v>
      </c>
      <c r="P2941" t="s">
        <v>459</v>
      </c>
      <c r="Q2941">
        <v>7</v>
      </c>
      <c r="R2941" s="225">
        <f>Base_Periodo1[[#This Row],[CREDITOS]]-Base_Periodo1[[#This Row],[DEBITOS]]</f>
        <v>80699.929999999993</v>
      </c>
      <c r="S2941" s="3" t="str">
        <f>IF(ISERROR(VLOOKUP(Base_Periodo1[[#This Row],[CONTA]],BaseContasDRE[#All],4,FALSE)),"Fora do DRE",VLOOKUP(Base_Periodo1[[#This Row],[CONTA]],BaseContasDRE[#All],4,FALSE))</f>
        <v>Fora do DRE</v>
      </c>
      <c r="T2941" s="3" t="str">
        <f>IF(ISERROR(VLOOKUP(Base_Periodo1[[#This Row],[CONTA]],BaseContasDRE[#All],5,FALSE)),"Fora do DRE",VLOOKUP(Base_Periodo1[[#This Row],[CONTA]],BaseContasDRE[#All],6,FALSE))</f>
        <v>Fora do DRE</v>
      </c>
      <c r="U2941" s="3" t="str">
        <f>IF(ISERROR(VLOOKUP(Base_Periodo1[[#This Row],[CONTA]],BaseContasDRE[#All],7,FALSE)),"Fora do DRE",VLOOKUP(Base_Periodo1[[#This Row],[CONTA]],BaseContasDRE[#All],7,FALSE))</f>
        <v>Fora do DRE</v>
      </c>
      <c r="V2941" s="3" t="str">
        <f>IF(Base_Periodo1[[#This Row],[Tipo_Linha]]="Fora do DRE","Fora do DRE","( "&amp;Base_Periodo1[[#This Row],[Tipo_Linha]]&amp;" ) "&amp;Base_Periodo1[[#This Row],[Filtro]])</f>
        <v>Fora do DRE</v>
      </c>
      <c r="W2941" s="3" t="str">
        <f>LEFT(Base_Periodo1[[#This Row],[CLASS]],3)</f>
        <v>2.1</v>
      </c>
    </row>
    <row r="2942" spans="1:23" hidden="1">
      <c r="A2942" s="3" t="str">
        <f t="shared" si="45"/>
        <v>Período 1</v>
      </c>
      <c r="B2942">
        <v>23959</v>
      </c>
      <c r="C2942" t="s">
        <v>1745</v>
      </c>
      <c r="D2942" t="s">
        <v>1883</v>
      </c>
      <c r="E2942" s="3" t="str">
        <f>IF(LEN(Base_Periodo1[[#This Row],[CLASS]])&gt;=7,LEFT(Base_Periodo1[[#This Row],[CLASS]],7),"")</f>
        <v>2.1.2.1</v>
      </c>
      <c r="F2942" s="3" t="str">
        <f>VLOOKUP(Base_Periodo1[[#This Row],[Aux]],Base_Contas_Balanco[#All],2,FALSE)</f>
        <v>Fornecedores Cooperados</v>
      </c>
      <c r="G2942" s="1">
        <v>42686</v>
      </c>
      <c r="H2942" s="225">
        <v>0.12000000000261934</v>
      </c>
      <c r="I2942" s="225">
        <v>0</v>
      </c>
      <c r="J2942" s="225">
        <v>0</v>
      </c>
      <c r="K2942" s="225">
        <v>0.12000000000261934</v>
      </c>
      <c r="L29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0.12</v>
      </c>
      <c r="M2942" s="225">
        <f>ROUND(IF(AND(Base_Periodo1[[#This Row],[Tipo_Linha]]="-",Base_Periodo1[[#This Row],[TIPOSALDO]]="D"),Base_Periodo1[[#This Row],[SALDO_ATUAL]]*-1,Base_Periodo1[[#This Row],[SALDO_ATUAL]]),4)</f>
        <v>0.12</v>
      </c>
      <c r="N2942" t="s">
        <v>116</v>
      </c>
      <c r="O2942" t="s">
        <v>459</v>
      </c>
      <c r="P2942" t="s">
        <v>459</v>
      </c>
      <c r="Q2942">
        <v>7</v>
      </c>
      <c r="R2942" s="225">
        <f>Base_Periodo1[[#This Row],[CREDITOS]]-Base_Periodo1[[#This Row],[DEBITOS]]</f>
        <v>0</v>
      </c>
      <c r="S2942" s="3" t="str">
        <f>IF(ISERROR(VLOOKUP(Base_Periodo1[[#This Row],[CONTA]],BaseContasDRE[#All],4,FALSE)),"Fora do DRE",VLOOKUP(Base_Periodo1[[#This Row],[CONTA]],BaseContasDRE[#All],4,FALSE))</f>
        <v>Fora do DRE</v>
      </c>
      <c r="T2942" s="3" t="str">
        <f>IF(ISERROR(VLOOKUP(Base_Periodo1[[#This Row],[CONTA]],BaseContasDRE[#All],5,FALSE)),"Fora do DRE",VLOOKUP(Base_Periodo1[[#This Row],[CONTA]],BaseContasDRE[#All],6,FALSE))</f>
        <v>Fora do DRE</v>
      </c>
      <c r="U2942" s="3" t="str">
        <f>IF(ISERROR(VLOOKUP(Base_Periodo1[[#This Row],[CONTA]],BaseContasDRE[#All],7,FALSE)),"Fora do DRE",VLOOKUP(Base_Periodo1[[#This Row],[CONTA]],BaseContasDRE[#All],7,FALSE))</f>
        <v>Fora do DRE</v>
      </c>
      <c r="V2942" s="3" t="str">
        <f>IF(Base_Periodo1[[#This Row],[Tipo_Linha]]="Fora do DRE","Fora do DRE","( "&amp;Base_Periodo1[[#This Row],[Tipo_Linha]]&amp;" ) "&amp;Base_Periodo1[[#This Row],[Filtro]])</f>
        <v>Fora do DRE</v>
      </c>
      <c r="W2942" s="3" t="str">
        <f>LEFT(Base_Periodo1[[#This Row],[CLASS]],3)</f>
        <v>2.1</v>
      </c>
    </row>
    <row r="2943" spans="1:23" hidden="1">
      <c r="A2943" s="3" t="str">
        <f t="shared" si="45"/>
        <v>Período 1</v>
      </c>
      <c r="B2943">
        <v>3574</v>
      </c>
      <c r="C2943" t="s">
        <v>1745</v>
      </c>
      <c r="D2943" t="s">
        <v>6376</v>
      </c>
      <c r="E2943" s="3" t="str">
        <f>IF(LEN(Base_Periodo1[[#This Row],[CLASS]])&gt;=7,LEFT(Base_Periodo1[[#This Row],[CLASS]],7),"")</f>
        <v>2.1.2.1</v>
      </c>
      <c r="F2943" s="3" t="str">
        <f>VLOOKUP(Base_Periodo1[[#This Row],[Aux]],Base_Contas_Balanco[#All],2,FALSE)</f>
        <v>Fornecedores Cooperados</v>
      </c>
      <c r="G2943" s="1">
        <v>42843</v>
      </c>
      <c r="H2943" s="225">
        <v>866.40000000002328</v>
      </c>
      <c r="I2943" s="225">
        <v>0</v>
      </c>
      <c r="J2943" s="225">
        <v>0</v>
      </c>
      <c r="K2943" s="225">
        <v>866.40000000002328</v>
      </c>
      <c r="L29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866.4</v>
      </c>
      <c r="M2943" s="225">
        <f>ROUND(IF(AND(Base_Periodo1[[#This Row],[Tipo_Linha]]="-",Base_Periodo1[[#This Row],[TIPOSALDO]]="D"),Base_Periodo1[[#This Row],[SALDO_ATUAL]]*-1,Base_Periodo1[[#This Row],[SALDO_ATUAL]]),4)</f>
        <v>866.4</v>
      </c>
      <c r="N2943" t="s">
        <v>116</v>
      </c>
      <c r="O2943" t="s">
        <v>459</v>
      </c>
      <c r="P2943" t="s">
        <v>459</v>
      </c>
      <c r="Q2943">
        <v>7</v>
      </c>
      <c r="R2943" s="225">
        <f>Base_Periodo1[[#This Row],[CREDITOS]]-Base_Periodo1[[#This Row],[DEBITOS]]</f>
        <v>0</v>
      </c>
      <c r="S2943" s="3" t="str">
        <f>IF(ISERROR(VLOOKUP(Base_Periodo1[[#This Row],[CONTA]],BaseContasDRE[#All],4,FALSE)),"Fora do DRE",VLOOKUP(Base_Periodo1[[#This Row],[CONTA]],BaseContasDRE[#All],4,FALSE))</f>
        <v>Fora do DRE</v>
      </c>
      <c r="T2943" s="3" t="str">
        <f>IF(ISERROR(VLOOKUP(Base_Periodo1[[#This Row],[CONTA]],BaseContasDRE[#All],5,FALSE)),"Fora do DRE",VLOOKUP(Base_Periodo1[[#This Row],[CONTA]],BaseContasDRE[#All],6,FALSE))</f>
        <v>Fora do DRE</v>
      </c>
      <c r="U2943" s="3" t="str">
        <f>IF(ISERROR(VLOOKUP(Base_Periodo1[[#This Row],[CONTA]],BaseContasDRE[#All],7,FALSE)),"Fora do DRE",VLOOKUP(Base_Periodo1[[#This Row],[CONTA]],BaseContasDRE[#All],7,FALSE))</f>
        <v>Fora do DRE</v>
      </c>
      <c r="V2943" s="3" t="str">
        <f>IF(Base_Periodo1[[#This Row],[Tipo_Linha]]="Fora do DRE","Fora do DRE","( "&amp;Base_Periodo1[[#This Row],[Tipo_Linha]]&amp;" ) "&amp;Base_Periodo1[[#This Row],[Filtro]])</f>
        <v>Fora do DRE</v>
      </c>
      <c r="W2943" s="3" t="str">
        <f>LEFT(Base_Periodo1[[#This Row],[CLASS]],3)</f>
        <v>2.1</v>
      </c>
    </row>
    <row r="2944" spans="1:23" hidden="1">
      <c r="A2944" s="3" t="str">
        <f t="shared" si="45"/>
        <v>Período 1</v>
      </c>
      <c r="B2944">
        <v>16697</v>
      </c>
      <c r="C2944" t="s">
        <v>1745</v>
      </c>
      <c r="D2944" t="s">
        <v>5520</v>
      </c>
      <c r="E2944" s="3" t="str">
        <f>IF(LEN(Base_Periodo1[[#This Row],[CLASS]])&gt;=7,LEFT(Base_Periodo1[[#This Row],[CLASS]],7),"")</f>
        <v>2.1.2.1</v>
      </c>
      <c r="F2944" s="3" t="str">
        <f>VLOOKUP(Base_Periodo1[[#This Row],[Aux]],Base_Contas_Balanco[#All],2,FALSE)</f>
        <v>Fornecedores Cooperados</v>
      </c>
      <c r="G2944" s="1">
        <v>42872</v>
      </c>
      <c r="H2944" s="225">
        <v>19426.450000000012</v>
      </c>
      <c r="I2944" s="225">
        <v>12756.130000000001</v>
      </c>
      <c r="J2944" s="225">
        <v>0</v>
      </c>
      <c r="K2944" s="225">
        <v>6670.3200000000106</v>
      </c>
      <c r="L29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6670.32</v>
      </c>
      <c r="M2944" s="225">
        <f>ROUND(IF(AND(Base_Periodo1[[#This Row],[Tipo_Linha]]="-",Base_Periodo1[[#This Row],[TIPOSALDO]]="D"),Base_Periodo1[[#This Row],[SALDO_ATUAL]]*-1,Base_Periodo1[[#This Row],[SALDO_ATUAL]]),4)</f>
        <v>6670.32</v>
      </c>
      <c r="N2944" t="s">
        <v>116</v>
      </c>
      <c r="O2944" t="s">
        <v>459</v>
      </c>
      <c r="P2944" t="s">
        <v>459</v>
      </c>
      <c r="Q2944">
        <v>7</v>
      </c>
      <c r="R2944" s="225">
        <f>Base_Periodo1[[#This Row],[CREDITOS]]-Base_Periodo1[[#This Row],[DEBITOS]]</f>
        <v>-12756.130000000001</v>
      </c>
      <c r="S2944" s="3" t="str">
        <f>IF(ISERROR(VLOOKUP(Base_Periodo1[[#This Row],[CONTA]],BaseContasDRE[#All],4,FALSE)),"Fora do DRE",VLOOKUP(Base_Periodo1[[#This Row],[CONTA]],BaseContasDRE[#All],4,FALSE))</f>
        <v>Fora do DRE</v>
      </c>
      <c r="T2944" s="3" t="str">
        <f>IF(ISERROR(VLOOKUP(Base_Periodo1[[#This Row],[CONTA]],BaseContasDRE[#All],5,FALSE)),"Fora do DRE",VLOOKUP(Base_Periodo1[[#This Row],[CONTA]],BaseContasDRE[#All],6,FALSE))</f>
        <v>Fora do DRE</v>
      </c>
      <c r="U2944" s="3" t="str">
        <f>IF(ISERROR(VLOOKUP(Base_Periodo1[[#This Row],[CONTA]],BaseContasDRE[#All],7,FALSE)),"Fora do DRE",VLOOKUP(Base_Periodo1[[#This Row],[CONTA]],BaseContasDRE[#All],7,FALSE))</f>
        <v>Fora do DRE</v>
      </c>
      <c r="V2944" s="3" t="str">
        <f>IF(Base_Periodo1[[#This Row],[Tipo_Linha]]="Fora do DRE","Fora do DRE","( "&amp;Base_Periodo1[[#This Row],[Tipo_Linha]]&amp;" ) "&amp;Base_Periodo1[[#This Row],[Filtro]])</f>
        <v>Fora do DRE</v>
      </c>
      <c r="W2944" s="3" t="str">
        <f>LEFT(Base_Periodo1[[#This Row],[CLASS]],3)</f>
        <v>2.1</v>
      </c>
    </row>
    <row r="2945" spans="1:23" hidden="1">
      <c r="A2945" s="3" t="str">
        <f t="shared" si="45"/>
        <v>Período 1</v>
      </c>
      <c r="B2945">
        <v>3210</v>
      </c>
      <c r="C2945" t="s">
        <v>1745</v>
      </c>
      <c r="D2945" t="s">
        <v>4678</v>
      </c>
      <c r="E2945" s="3" t="str">
        <f>IF(LEN(Base_Periodo1[[#This Row],[CLASS]])&gt;=7,LEFT(Base_Periodo1[[#This Row],[CLASS]],7),"")</f>
        <v>2.1.2.1</v>
      </c>
      <c r="F2945" s="3" t="str">
        <f>VLOOKUP(Base_Periodo1[[#This Row],[Aux]],Base_Contas_Balanco[#All],2,FALSE)</f>
        <v>Fornecedores Cooperados</v>
      </c>
      <c r="G2945" s="1">
        <v>42864</v>
      </c>
      <c r="H2945" s="225">
        <v>57499.990000000224</v>
      </c>
      <c r="I2945" s="225">
        <v>41400</v>
      </c>
      <c r="J2945" s="225">
        <v>140500</v>
      </c>
      <c r="K2945" s="225">
        <v>156599.99000000022</v>
      </c>
      <c r="L29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156599.99</v>
      </c>
      <c r="M2945" s="225">
        <f>ROUND(IF(AND(Base_Periodo1[[#This Row],[Tipo_Linha]]="-",Base_Periodo1[[#This Row],[TIPOSALDO]]="D"),Base_Periodo1[[#This Row],[SALDO_ATUAL]]*-1,Base_Periodo1[[#This Row],[SALDO_ATUAL]]),4)</f>
        <v>156599.99</v>
      </c>
      <c r="N2945" t="s">
        <v>116</v>
      </c>
      <c r="O2945" t="s">
        <v>459</v>
      </c>
      <c r="P2945" t="s">
        <v>459</v>
      </c>
      <c r="Q2945">
        <v>7</v>
      </c>
      <c r="R2945" s="225">
        <f>Base_Periodo1[[#This Row],[CREDITOS]]-Base_Periodo1[[#This Row],[DEBITOS]]</f>
        <v>99100</v>
      </c>
      <c r="S2945" s="3" t="str">
        <f>IF(ISERROR(VLOOKUP(Base_Periodo1[[#This Row],[CONTA]],BaseContasDRE[#All],4,FALSE)),"Fora do DRE",VLOOKUP(Base_Periodo1[[#This Row],[CONTA]],BaseContasDRE[#All],4,FALSE))</f>
        <v>Fora do DRE</v>
      </c>
      <c r="T2945" s="3" t="str">
        <f>IF(ISERROR(VLOOKUP(Base_Periodo1[[#This Row],[CONTA]],BaseContasDRE[#All],5,FALSE)),"Fora do DRE",VLOOKUP(Base_Periodo1[[#This Row],[CONTA]],BaseContasDRE[#All],6,FALSE))</f>
        <v>Fora do DRE</v>
      </c>
      <c r="U2945" s="3" t="str">
        <f>IF(ISERROR(VLOOKUP(Base_Periodo1[[#This Row],[CONTA]],BaseContasDRE[#All],7,FALSE)),"Fora do DRE",VLOOKUP(Base_Periodo1[[#This Row],[CONTA]],BaseContasDRE[#All],7,FALSE))</f>
        <v>Fora do DRE</v>
      </c>
      <c r="V2945" s="3" t="str">
        <f>IF(Base_Periodo1[[#This Row],[Tipo_Linha]]="Fora do DRE","Fora do DRE","( "&amp;Base_Periodo1[[#This Row],[Tipo_Linha]]&amp;" ) "&amp;Base_Periodo1[[#This Row],[Filtro]])</f>
        <v>Fora do DRE</v>
      </c>
      <c r="W2945" s="3" t="str">
        <f>LEFT(Base_Periodo1[[#This Row],[CLASS]],3)</f>
        <v>2.1</v>
      </c>
    </row>
    <row r="2946" spans="1:23" hidden="1">
      <c r="A2946" s="3" t="str">
        <f t="shared" si="45"/>
        <v>Período 1</v>
      </c>
      <c r="B2946">
        <v>9386</v>
      </c>
      <c r="C2946" t="s">
        <v>1745</v>
      </c>
      <c r="D2946" t="s">
        <v>1884</v>
      </c>
      <c r="E2946" s="3" t="str">
        <f>IF(LEN(Base_Periodo1[[#This Row],[CLASS]])&gt;=7,LEFT(Base_Periodo1[[#This Row],[CLASS]],7),"")</f>
        <v>2.1.2.1</v>
      </c>
      <c r="F2946" s="3" t="str">
        <f>VLOOKUP(Base_Periodo1[[#This Row],[Aux]],Base_Contas_Balanco[#All],2,FALSE)</f>
        <v>Fornecedores Cooperados</v>
      </c>
      <c r="G2946" s="1">
        <v>42859</v>
      </c>
      <c r="H2946" s="225">
        <v>115.82000000002154</v>
      </c>
      <c r="I2946" s="225">
        <v>231.64</v>
      </c>
      <c r="J2946" s="225">
        <v>115.82</v>
      </c>
      <c r="K2946" s="225">
        <v>-2.1543655748246238E-11</v>
      </c>
      <c r="L29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946" s="225">
        <f>ROUND(IF(AND(Base_Periodo1[[#This Row],[Tipo_Linha]]="-",Base_Periodo1[[#This Row],[TIPOSALDO]]="D"),Base_Periodo1[[#This Row],[SALDO_ATUAL]]*-1,Base_Periodo1[[#This Row],[SALDO_ATUAL]]),4)</f>
        <v>0</v>
      </c>
      <c r="N2946" t="s">
        <v>116</v>
      </c>
      <c r="O2946" t="s">
        <v>459</v>
      </c>
      <c r="P2946" t="s">
        <v>436</v>
      </c>
      <c r="Q2946">
        <v>7</v>
      </c>
      <c r="R2946" s="225">
        <f>Base_Periodo1[[#This Row],[CREDITOS]]-Base_Periodo1[[#This Row],[DEBITOS]]</f>
        <v>-115.82</v>
      </c>
      <c r="S2946" s="3" t="str">
        <f>IF(ISERROR(VLOOKUP(Base_Periodo1[[#This Row],[CONTA]],BaseContasDRE[#All],4,FALSE)),"Fora do DRE",VLOOKUP(Base_Periodo1[[#This Row],[CONTA]],BaseContasDRE[#All],4,FALSE))</f>
        <v>Fora do DRE</v>
      </c>
      <c r="T2946" s="3" t="str">
        <f>IF(ISERROR(VLOOKUP(Base_Periodo1[[#This Row],[CONTA]],BaseContasDRE[#All],5,FALSE)),"Fora do DRE",VLOOKUP(Base_Periodo1[[#This Row],[CONTA]],BaseContasDRE[#All],6,FALSE))</f>
        <v>Fora do DRE</v>
      </c>
      <c r="U2946" s="3" t="str">
        <f>IF(ISERROR(VLOOKUP(Base_Periodo1[[#This Row],[CONTA]],BaseContasDRE[#All],7,FALSE)),"Fora do DRE",VLOOKUP(Base_Periodo1[[#This Row],[CONTA]],BaseContasDRE[#All],7,FALSE))</f>
        <v>Fora do DRE</v>
      </c>
      <c r="V2946" s="3" t="str">
        <f>IF(Base_Periodo1[[#This Row],[Tipo_Linha]]="Fora do DRE","Fora do DRE","( "&amp;Base_Periodo1[[#This Row],[Tipo_Linha]]&amp;" ) "&amp;Base_Periodo1[[#This Row],[Filtro]])</f>
        <v>Fora do DRE</v>
      </c>
      <c r="W2946" s="3" t="str">
        <f>LEFT(Base_Periodo1[[#This Row],[CLASS]],3)</f>
        <v>2.1</v>
      </c>
    </row>
    <row r="2947" spans="1:23" hidden="1">
      <c r="A2947" s="3" t="str">
        <f t="shared" si="45"/>
        <v>Período 1</v>
      </c>
      <c r="B2947">
        <v>2934</v>
      </c>
      <c r="C2947" t="s">
        <v>1745</v>
      </c>
      <c r="D2947" t="s">
        <v>1885</v>
      </c>
      <c r="E2947" s="3" t="str">
        <f>IF(LEN(Base_Periodo1[[#This Row],[CLASS]])&gt;=7,LEFT(Base_Periodo1[[#This Row],[CLASS]],7),"")</f>
        <v>2.1.2.1</v>
      </c>
      <c r="F2947" s="3" t="str">
        <f>VLOOKUP(Base_Periodo1[[#This Row],[Aux]],Base_Contas_Balanco[#All],2,FALSE)</f>
        <v>Fornecedores Cooperados</v>
      </c>
      <c r="G2947" s="1">
        <v>42885</v>
      </c>
      <c r="H2947" s="225">
        <v>6037.1600000010803</v>
      </c>
      <c r="I2947" s="225">
        <v>24766.07</v>
      </c>
      <c r="J2947" s="225">
        <v>170895.31</v>
      </c>
      <c r="K2947" s="225">
        <v>152166.40000000107</v>
      </c>
      <c r="L29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152166.39999999999</v>
      </c>
      <c r="M2947" s="225">
        <f>ROUND(IF(AND(Base_Periodo1[[#This Row],[Tipo_Linha]]="-",Base_Periodo1[[#This Row],[TIPOSALDO]]="D"),Base_Periodo1[[#This Row],[SALDO_ATUAL]]*-1,Base_Periodo1[[#This Row],[SALDO_ATUAL]]),4)</f>
        <v>152166.39999999999</v>
      </c>
      <c r="N2947" t="s">
        <v>116</v>
      </c>
      <c r="O2947" t="s">
        <v>459</v>
      </c>
      <c r="P2947" t="s">
        <v>459</v>
      </c>
      <c r="Q2947">
        <v>7</v>
      </c>
      <c r="R2947" s="225">
        <f>Base_Periodo1[[#This Row],[CREDITOS]]-Base_Periodo1[[#This Row],[DEBITOS]]</f>
        <v>146129.24</v>
      </c>
      <c r="S2947" s="3" t="str">
        <f>IF(ISERROR(VLOOKUP(Base_Periodo1[[#This Row],[CONTA]],BaseContasDRE[#All],4,FALSE)),"Fora do DRE",VLOOKUP(Base_Periodo1[[#This Row],[CONTA]],BaseContasDRE[#All],4,FALSE))</f>
        <v>Fora do DRE</v>
      </c>
      <c r="T2947" s="3" t="str">
        <f>IF(ISERROR(VLOOKUP(Base_Periodo1[[#This Row],[CONTA]],BaseContasDRE[#All],5,FALSE)),"Fora do DRE",VLOOKUP(Base_Periodo1[[#This Row],[CONTA]],BaseContasDRE[#All],6,FALSE))</f>
        <v>Fora do DRE</v>
      </c>
      <c r="U2947" s="3" t="str">
        <f>IF(ISERROR(VLOOKUP(Base_Periodo1[[#This Row],[CONTA]],BaseContasDRE[#All],7,FALSE)),"Fora do DRE",VLOOKUP(Base_Periodo1[[#This Row],[CONTA]],BaseContasDRE[#All],7,FALSE))</f>
        <v>Fora do DRE</v>
      </c>
      <c r="V2947" s="3" t="str">
        <f>IF(Base_Periodo1[[#This Row],[Tipo_Linha]]="Fora do DRE","Fora do DRE","( "&amp;Base_Periodo1[[#This Row],[Tipo_Linha]]&amp;" ) "&amp;Base_Periodo1[[#This Row],[Filtro]])</f>
        <v>Fora do DRE</v>
      </c>
      <c r="W2947" s="3" t="str">
        <f>LEFT(Base_Periodo1[[#This Row],[CLASS]],3)</f>
        <v>2.1</v>
      </c>
    </row>
    <row r="2948" spans="1:23" hidden="1">
      <c r="A2948" s="3" t="str">
        <f t="shared" si="45"/>
        <v>Período 1</v>
      </c>
      <c r="B2948">
        <v>25106</v>
      </c>
      <c r="C2948" t="s">
        <v>1745</v>
      </c>
      <c r="D2948" t="s">
        <v>1886</v>
      </c>
      <c r="E2948" s="3" t="str">
        <f>IF(LEN(Base_Periodo1[[#This Row],[CLASS]])&gt;=7,LEFT(Base_Periodo1[[#This Row],[CLASS]],7),"")</f>
        <v>2.1.2.1</v>
      </c>
      <c r="F2948" s="3" t="str">
        <f>VLOOKUP(Base_Periodo1[[#This Row],[Aux]],Base_Contas_Balanco[#All],2,FALSE)</f>
        <v>Fornecedores Cooperados</v>
      </c>
      <c r="G2948" s="1">
        <v>42874</v>
      </c>
      <c r="H2948" s="225">
        <v>1075.739999999998</v>
      </c>
      <c r="I2948" s="225">
        <v>1075.23</v>
      </c>
      <c r="J2948" s="225">
        <v>0</v>
      </c>
      <c r="K2948" s="225">
        <v>0.50999999999794454</v>
      </c>
      <c r="L29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0.51</v>
      </c>
      <c r="M2948" s="225">
        <f>ROUND(IF(AND(Base_Periodo1[[#This Row],[Tipo_Linha]]="-",Base_Periodo1[[#This Row],[TIPOSALDO]]="D"),Base_Periodo1[[#This Row],[SALDO_ATUAL]]*-1,Base_Periodo1[[#This Row],[SALDO_ATUAL]]),4)</f>
        <v>0.51</v>
      </c>
      <c r="N2948" t="s">
        <v>116</v>
      </c>
      <c r="O2948" t="s">
        <v>459</v>
      </c>
      <c r="P2948" t="s">
        <v>459</v>
      </c>
      <c r="Q2948">
        <v>7</v>
      </c>
      <c r="R2948" s="225">
        <f>Base_Periodo1[[#This Row],[CREDITOS]]-Base_Periodo1[[#This Row],[DEBITOS]]</f>
        <v>-1075.23</v>
      </c>
      <c r="S2948" s="3" t="str">
        <f>IF(ISERROR(VLOOKUP(Base_Periodo1[[#This Row],[CONTA]],BaseContasDRE[#All],4,FALSE)),"Fora do DRE",VLOOKUP(Base_Periodo1[[#This Row],[CONTA]],BaseContasDRE[#All],4,FALSE))</f>
        <v>Fora do DRE</v>
      </c>
      <c r="T2948" s="3" t="str">
        <f>IF(ISERROR(VLOOKUP(Base_Periodo1[[#This Row],[CONTA]],BaseContasDRE[#All],5,FALSE)),"Fora do DRE",VLOOKUP(Base_Periodo1[[#This Row],[CONTA]],BaseContasDRE[#All],6,FALSE))</f>
        <v>Fora do DRE</v>
      </c>
      <c r="U2948" s="3" t="str">
        <f>IF(ISERROR(VLOOKUP(Base_Periodo1[[#This Row],[CONTA]],BaseContasDRE[#All],7,FALSE)),"Fora do DRE",VLOOKUP(Base_Periodo1[[#This Row],[CONTA]],BaseContasDRE[#All],7,FALSE))</f>
        <v>Fora do DRE</v>
      </c>
      <c r="V2948" s="3" t="str">
        <f>IF(Base_Periodo1[[#This Row],[Tipo_Linha]]="Fora do DRE","Fora do DRE","( "&amp;Base_Periodo1[[#This Row],[Tipo_Linha]]&amp;" ) "&amp;Base_Periodo1[[#This Row],[Filtro]])</f>
        <v>Fora do DRE</v>
      </c>
      <c r="W2948" s="3" t="str">
        <f>LEFT(Base_Periodo1[[#This Row],[CLASS]],3)</f>
        <v>2.1</v>
      </c>
    </row>
    <row r="2949" spans="1:23" hidden="1">
      <c r="A2949" s="3" t="str">
        <f t="shared" si="45"/>
        <v>Período 1</v>
      </c>
      <c r="B2949">
        <v>53976</v>
      </c>
      <c r="C2949" t="s">
        <v>1745</v>
      </c>
      <c r="D2949" t="s">
        <v>5060</v>
      </c>
      <c r="E2949" s="3" t="str">
        <f>IF(LEN(Base_Periodo1[[#This Row],[CLASS]])&gt;=7,LEFT(Base_Periodo1[[#This Row],[CLASS]],7),"")</f>
        <v>2.1.2.1</v>
      </c>
      <c r="F2949" s="3" t="str">
        <f>VLOOKUP(Base_Periodo1[[#This Row],[Aux]],Base_Contas_Balanco[#All],2,FALSE)</f>
        <v>Fornecedores Cooperados</v>
      </c>
      <c r="G2949" s="1">
        <v>42872</v>
      </c>
      <c r="H2949" s="225">
        <v>999.15000000000055</v>
      </c>
      <c r="I2949" s="225">
        <v>0</v>
      </c>
      <c r="J2949" s="225">
        <v>1242</v>
      </c>
      <c r="K2949" s="225">
        <v>2241.1500000000005</v>
      </c>
      <c r="L29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2241.15</v>
      </c>
      <c r="M2949" s="225">
        <f>ROUND(IF(AND(Base_Periodo1[[#This Row],[Tipo_Linha]]="-",Base_Periodo1[[#This Row],[TIPOSALDO]]="D"),Base_Periodo1[[#This Row],[SALDO_ATUAL]]*-1,Base_Periodo1[[#This Row],[SALDO_ATUAL]]),4)</f>
        <v>2241.15</v>
      </c>
      <c r="N2949" t="s">
        <v>116</v>
      </c>
      <c r="O2949" t="s">
        <v>459</v>
      </c>
      <c r="P2949" t="s">
        <v>459</v>
      </c>
      <c r="Q2949">
        <v>7</v>
      </c>
      <c r="R2949" s="225">
        <f>Base_Periodo1[[#This Row],[CREDITOS]]-Base_Periodo1[[#This Row],[DEBITOS]]</f>
        <v>1242</v>
      </c>
      <c r="S2949" s="3" t="str">
        <f>IF(ISERROR(VLOOKUP(Base_Periodo1[[#This Row],[CONTA]],BaseContasDRE[#All],4,FALSE)),"Fora do DRE",VLOOKUP(Base_Periodo1[[#This Row],[CONTA]],BaseContasDRE[#All],4,FALSE))</f>
        <v>Fora do DRE</v>
      </c>
      <c r="T2949" s="3" t="str">
        <f>IF(ISERROR(VLOOKUP(Base_Periodo1[[#This Row],[CONTA]],BaseContasDRE[#All],5,FALSE)),"Fora do DRE",VLOOKUP(Base_Periodo1[[#This Row],[CONTA]],BaseContasDRE[#All],6,FALSE))</f>
        <v>Fora do DRE</v>
      </c>
      <c r="U2949" s="3" t="str">
        <f>IF(ISERROR(VLOOKUP(Base_Periodo1[[#This Row],[CONTA]],BaseContasDRE[#All],7,FALSE)),"Fora do DRE",VLOOKUP(Base_Periodo1[[#This Row],[CONTA]],BaseContasDRE[#All],7,FALSE))</f>
        <v>Fora do DRE</v>
      </c>
      <c r="V2949" s="3" t="str">
        <f>IF(Base_Periodo1[[#This Row],[Tipo_Linha]]="Fora do DRE","Fora do DRE","( "&amp;Base_Periodo1[[#This Row],[Tipo_Linha]]&amp;" ) "&amp;Base_Periodo1[[#This Row],[Filtro]])</f>
        <v>Fora do DRE</v>
      </c>
      <c r="W2949" s="3" t="str">
        <f>LEFT(Base_Periodo1[[#This Row],[CLASS]],3)</f>
        <v>2.1</v>
      </c>
    </row>
    <row r="2950" spans="1:23" hidden="1">
      <c r="A2950" s="3" t="str">
        <f t="shared" ref="A2950:A3013" si="46">"Período 1"</f>
        <v>Período 1</v>
      </c>
      <c r="B2950">
        <v>3970</v>
      </c>
      <c r="C2950" t="s">
        <v>1745</v>
      </c>
      <c r="D2950" t="s">
        <v>4204</v>
      </c>
      <c r="E2950" s="3" t="str">
        <f>IF(LEN(Base_Periodo1[[#This Row],[CLASS]])&gt;=7,LEFT(Base_Periodo1[[#This Row],[CLASS]],7),"")</f>
        <v>2.1.2.1</v>
      </c>
      <c r="F2950" s="3" t="str">
        <f>VLOOKUP(Base_Periodo1[[#This Row],[Aux]],Base_Contas_Balanco[#All],2,FALSE)</f>
        <v>Fornecedores Cooperados</v>
      </c>
      <c r="G2950" s="1">
        <v>42347</v>
      </c>
      <c r="H2950" s="225">
        <v>9.9999999983992893E-3</v>
      </c>
      <c r="I2950" s="225">
        <v>0</v>
      </c>
      <c r="J2950" s="225">
        <v>0</v>
      </c>
      <c r="K2950" s="225">
        <v>9.9999999983992893E-3</v>
      </c>
      <c r="L29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2950" s="225">
        <f>ROUND(IF(AND(Base_Periodo1[[#This Row],[Tipo_Linha]]="-",Base_Periodo1[[#This Row],[TIPOSALDO]]="D"),Base_Periodo1[[#This Row],[SALDO_ATUAL]]*-1,Base_Periodo1[[#This Row],[SALDO_ATUAL]]),4)</f>
        <v>0.01</v>
      </c>
      <c r="N2950" t="s">
        <v>116</v>
      </c>
      <c r="O2950" t="s">
        <v>459</v>
      </c>
      <c r="P2950" t="s">
        <v>459</v>
      </c>
      <c r="Q2950">
        <v>7</v>
      </c>
      <c r="R2950" s="225">
        <f>Base_Periodo1[[#This Row],[CREDITOS]]-Base_Periodo1[[#This Row],[DEBITOS]]</f>
        <v>0</v>
      </c>
      <c r="S2950" s="3" t="str">
        <f>IF(ISERROR(VLOOKUP(Base_Periodo1[[#This Row],[CONTA]],BaseContasDRE[#All],4,FALSE)),"Fora do DRE",VLOOKUP(Base_Periodo1[[#This Row],[CONTA]],BaseContasDRE[#All],4,FALSE))</f>
        <v>Fora do DRE</v>
      </c>
      <c r="T2950" s="3" t="str">
        <f>IF(ISERROR(VLOOKUP(Base_Periodo1[[#This Row],[CONTA]],BaseContasDRE[#All],5,FALSE)),"Fora do DRE",VLOOKUP(Base_Periodo1[[#This Row],[CONTA]],BaseContasDRE[#All],6,FALSE))</f>
        <v>Fora do DRE</v>
      </c>
      <c r="U2950" s="3" t="str">
        <f>IF(ISERROR(VLOOKUP(Base_Periodo1[[#This Row],[CONTA]],BaseContasDRE[#All],7,FALSE)),"Fora do DRE",VLOOKUP(Base_Periodo1[[#This Row],[CONTA]],BaseContasDRE[#All],7,FALSE))</f>
        <v>Fora do DRE</v>
      </c>
      <c r="V2950" s="3" t="str">
        <f>IF(Base_Periodo1[[#This Row],[Tipo_Linha]]="Fora do DRE","Fora do DRE","( "&amp;Base_Periodo1[[#This Row],[Tipo_Linha]]&amp;" ) "&amp;Base_Periodo1[[#This Row],[Filtro]])</f>
        <v>Fora do DRE</v>
      </c>
      <c r="W2950" s="3" t="str">
        <f>LEFT(Base_Periodo1[[#This Row],[CLASS]],3)</f>
        <v>2.1</v>
      </c>
    </row>
    <row r="2951" spans="1:23" hidden="1">
      <c r="A2951" s="3" t="str">
        <f t="shared" si="46"/>
        <v>Período 1</v>
      </c>
      <c r="B2951">
        <v>47967</v>
      </c>
      <c r="C2951" t="s">
        <v>1745</v>
      </c>
      <c r="D2951" t="s">
        <v>6880</v>
      </c>
      <c r="E2951" s="3" t="str">
        <f>IF(LEN(Base_Periodo1[[#This Row],[CLASS]])&gt;=7,LEFT(Base_Periodo1[[#This Row],[CLASS]],7),"")</f>
        <v>2.1.2.1</v>
      </c>
      <c r="F2951" s="3" t="str">
        <f>VLOOKUP(Base_Periodo1[[#This Row],[Aux]],Base_Contas_Balanco[#All],2,FALSE)</f>
        <v>Fornecedores Cooperados</v>
      </c>
      <c r="G2951" s="1">
        <v>42880</v>
      </c>
      <c r="I2951" s="225">
        <v>876</v>
      </c>
      <c r="J2951" s="225">
        <v>876</v>
      </c>
      <c r="K2951" s="225">
        <v>1.4551915228366852E-11</v>
      </c>
      <c r="L29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951" s="225">
        <f>ROUND(IF(AND(Base_Periodo1[[#This Row],[Tipo_Linha]]="-",Base_Periodo1[[#This Row],[TIPOSALDO]]="D"),Base_Periodo1[[#This Row],[SALDO_ATUAL]]*-1,Base_Periodo1[[#This Row],[SALDO_ATUAL]]),4)</f>
        <v>0</v>
      </c>
      <c r="N2951" t="s">
        <v>116</v>
      </c>
      <c r="O2951" t="s">
        <v>436</v>
      </c>
      <c r="P2951" t="s">
        <v>436</v>
      </c>
      <c r="Q2951">
        <v>7</v>
      </c>
      <c r="R2951" s="225">
        <f>Base_Periodo1[[#This Row],[CREDITOS]]-Base_Periodo1[[#This Row],[DEBITOS]]</f>
        <v>0</v>
      </c>
      <c r="S2951" s="3" t="str">
        <f>IF(ISERROR(VLOOKUP(Base_Periodo1[[#This Row],[CONTA]],BaseContasDRE[#All],4,FALSE)),"Fora do DRE",VLOOKUP(Base_Periodo1[[#This Row],[CONTA]],BaseContasDRE[#All],4,FALSE))</f>
        <v>Fora do DRE</v>
      </c>
      <c r="T2951" s="3" t="str">
        <f>IF(ISERROR(VLOOKUP(Base_Periodo1[[#This Row],[CONTA]],BaseContasDRE[#All],5,FALSE)),"Fora do DRE",VLOOKUP(Base_Periodo1[[#This Row],[CONTA]],BaseContasDRE[#All],6,FALSE))</f>
        <v>Fora do DRE</v>
      </c>
      <c r="U2951" s="3" t="str">
        <f>IF(ISERROR(VLOOKUP(Base_Periodo1[[#This Row],[CONTA]],BaseContasDRE[#All],7,FALSE)),"Fora do DRE",VLOOKUP(Base_Periodo1[[#This Row],[CONTA]],BaseContasDRE[#All],7,FALSE))</f>
        <v>Fora do DRE</v>
      </c>
      <c r="V2951" s="3" t="str">
        <f>IF(Base_Periodo1[[#This Row],[Tipo_Linha]]="Fora do DRE","Fora do DRE","( "&amp;Base_Periodo1[[#This Row],[Tipo_Linha]]&amp;" ) "&amp;Base_Periodo1[[#This Row],[Filtro]])</f>
        <v>Fora do DRE</v>
      </c>
      <c r="W2951" s="3" t="str">
        <f>LEFT(Base_Periodo1[[#This Row],[CLASS]],3)</f>
        <v>2.1</v>
      </c>
    </row>
    <row r="2952" spans="1:23" hidden="1">
      <c r="A2952" s="3" t="str">
        <f t="shared" si="46"/>
        <v>Período 1</v>
      </c>
      <c r="B2952">
        <v>3742</v>
      </c>
      <c r="C2952" t="s">
        <v>1745</v>
      </c>
      <c r="D2952" t="s">
        <v>1887</v>
      </c>
      <c r="E2952" s="3" t="str">
        <f>IF(LEN(Base_Periodo1[[#This Row],[CLASS]])&gt;=7,LEFT(Base_Periodo1[[#This Row],[CLASS]],7),"")</f>
        <v>2.1.2.1</v>
      </c>
      <c r="F2952" s="3" t="str">
        <f>VLOOKUP(Base_Periodo1[[#This Row],[Aux]],Base_Contas_Balanco[#All],2,FALSE)</f>
        <v>Fornecedores Cooperados</v>
      </c>
      <c r="G2952" s="1">
        <v>42886</v>
      </c>
      <c r="H2952" s="225">
        <v>745.76000000006752</v>
      </c>
      <c r="I2952" s="225">
        <v>0</v>
      </c>
      <c r="J2952" s="225">
        <v>21080</v>
      </c>
      <c r="K2952" s="225">
        <v>21825.760000000068</v>
      </c>
      <c r="L29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21825.759999999998</v>
      </c>
      <c r="M2952" s="225">
        <f>ROUND(IF(AND(Base_Periodo1[[#This Row],[Tipo_Linha]]="-",Base_Periodo1[[#This Row],[TIPOSALDO]]="D"),Base_Periodo1[[#This Row],[SALDO_ATUAL]]*-1,Base_Periodo1[[#This Row],[SALDO_ATUAL]]),4)</f>
        <v>21825.759999999998</v>
      </c>
      <c r="N2952" t="s">
        <v>116</v>
      </c>
      <c r="O2952" t="s">
        <v>459</v>
      </c>
      <c r="P2952" t="s">
        <v>459</v>
      </c>
      <c r="Q2952">
        <v>7</v>
      </c>
      <c r="R2952" s="225">
        <f>Base_Periodo1[[#This Row],[CREDITOS]]-Base_Periodo1[[#This Row],[DEBITOS]]</f>
        <v>21080</v>
      </c>
      <c r="S2952" s="3" t="str">
        <f>IF(ISERROR(VLOOKUP(Base_Periodo1[[#This Row],[CONTA]],BaseContasDRE[#All],4,FALSE)),"Fora do DRE",VLOOKUP(Base_Periodo1[[#This Row],[CONTA]],BaseContasDRE[#All],4,FALSE))</f>
        <v>Fora do DRE</v>
      </c>
      <c r="T2952" s="3" t="str">
        <f>IF(ISERROR(VLOOKUP(Base_Periodo1[[#This Row],[CONTA]],BaseContasDRE[#All],5,FALSE)),"Fora do DRE",VLOOKUP(Base_Periodo1[[#This Row],[CONTA]],BaseContasDRE[#All],6,FALSE))</f>
        <v>Fora do DRE</v>
      </c>
      <c r="U2952" s="3" t="str">
        <f>IF(ISERROR(VLOOKUP(Base_Periodo1[[#This Row],[CONTA]],BaseContasDRE[#All],7,FALSE)),"Fora do DRE",VLOOKUP(Base_Periodo1[[#This Row],[CONTA]],BaseContasDRE[#All],7,FALSE))</f>
        <v>Fora do DRE</v>
      </c>
      <c r="V2952" s="3" t="str">
        <f>IF(Base_Periodo1[[#This Row],[Tipo_Linha]]="Fora do DRE","Fora do DRE","( "&amp;Base_Periodo1[[#This Row],[Tipo_Linha]]&amp;" ) "&amp;Base_Periodo1[[#This Row],[Filtro]])</f>
        <v>Fora do DRE</v>
      </c>
      <c r="W2952" s="3" t="str">
        <f>LEFT(Base_Periodo1[[#This Row],[CLASS]],3)</f>
        <v>2.1</v>
      </c>
    </row>
    <row r="2953" spans="1:23" hidden="1">
      <c r="A2953" s="3" t="str">
        <f t="shared" si="46"/>
        <v>Período 1</v>
      </c>
      <c r="B2953">
        <v>53551</v>
      </c>
      <c r="C2953" t="s">
        <v>1745</v>
      </c>
      <c r="D2953" t="s">
        <v>6377</v>
      </c>
      <c r="E2953" s="3" t="str">
        <f>IF(LEN(Base_Periodo1[[#This Row],[CLASS]])&gt;=7,LEFT(Base_Periodo1[[#This Row],[CLASS]],7),"")</f>
        <v>2.1.2.1</v>
      </c>
      <c r="F2953" s="3" t="str">
        <f>VLOOKUP(Base_Periodo1[[#This Row],[Aux]],Base_Contas_Balanco[#All],2,FALSE)</f>
        <v>Fornecedores Cooperados</v>
      </c>
      <c r="G2953" s="1">
        <v>42822</v>
      </c>
      <c r="H2953" s="225">
        <v>17724.590000000004</v>
      </c>
      <c r="I2953" s="225">
        <v>0</v>
      </c>
      <c r="J2953" s="225">
        <v>0</v>
      </c>
      <c r="K2953" s="225">
        <v>17724.590000000004</v>
      </c>
      <c r="L29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17724.59</v>
      </c>
      <c r="M2953" s="225">
        <f>ROUND(IF(AND(Base_Periodo1[[#This Row],[Tipo_Linha]]="-",Base_Periodo1[[#This Row],[TIPOSALDO]]="D"),Base_Periodo1[[#This Row],[SALDO_ATUAL]]*-1,Base_Periodo1[[#This Row],[SALDO_ATUAL]]),4)</f>
        <v>17724.59</v>
      </c>
      <c r="N2953" t="s">
        <v>116</v>
      </c>
      <c r="O2953" t="s">
        <v>459</v>
      </c>
      <c r="P2953" t="s">
        <v>459</v>
      </c>
      <c r="Q2953">
        <v>7</v>
      </c>
      <c r="R2953" s="225">
        <f>Base_Periodo1[[#This Row],[CREDITOS]]-Base_Periodo1[[#This Row],[DEBITOS]]</f>
        <v>0</v>
      </c>
      <c r="S2953" s="3" t="str">
        <f>IF(ISERROR(VLOOKUP(Base_Periodo1[[#This Row],[CONTA]],BaseContasDRE[#All],4,FALSE)),"Fora do DRE",VLOOKUP(Base_Periodo1[[#This Row],[CONTA]],BaseContasDRE[#All],4,FALSE))</f>
        <v>Fora do DRE</v>
      </c>
      <c r="T2953" s="3" t="str">
        <f>IF(ISERROR(VLOOKUP(Base_Periodo1[[#This Row],[CONTA]],BaseContasDRE[#All],5,FALSE)),"Fora do DRE",VLOOKUP(Base_Periodo1[[#This Row],[CONTA]],BaseContasDRE[#All],6,FALSE))</f>
        <v>Fora do DRE</v>
      </c>
      <c r="U2953" s="3" t="str">
        <f>IF(ISERROR(VLOOKUP(Base_Periodo1[[#This Row],[CONTA]],BaseContasDRE[#All],7,FALSE)),"Fora do DRE",VLOOKUP(Base_Periodo1[[#This Row],[CONTA]],BaseContasDRE[#All],7,FALSE))</f>
        <v>Fora do DRE</v>
      </c>
      <c r="V2953" s="3" t="str">
        <f>IF(Base_Periodo1[[#This Row],[Tipo_Linha]]="Fora do DRE","Fora do DRE","( "&amp;Base_Periodo1[[#This Row],[Tipo_Linha]]&amp;" ) "&amp;Base_Periodo1[[#This Row],[Filtro]])</f>
        <v>Fora do DRE</v>
      </c>
      <c r="W2953" s="3" t="str">
        <f>LEFT(Base_Periodo1[[#This Row],[CLASS]],3)</f>
        <v>2.1</v>
      </c>
    </row>
    <row r="2954" spans="1:23" hidden="1">
      <c r="A2954" s="3" t="str">
        <f t="shared" si="46"/>
        <v>Período 1</v>
      </c>
      <c r="B2954">
        <v>6891</v>
      </c>
      <c r="C2954" t="s">
        <v>1745</v>
      </c>
      <c r="D2954" t="s">
        <v>1888</v>
      </c>
      <c r="E2954" s="3" t="str">
        <f>IF(LEN(Base_Periodo1[[#This Row],[CLASS]])&gt;=7,LEFT(Base_Periodo1[[#This Row],[CLASS]],7),"")</f>
        <v>2.1.2.1</v>
      </c>
      <c r="F2954" s="3" t="str">
        <f>VLOOKUP(Base_Periodo1[[#This Row],[Aux]],Base_Contas_Balanco[#All],2,FALSE)</f>
        <v>Fornecedores Cooperados</v>
      </c>
      <c r="G2954" s="1">
        <v>42135</v>
      </c>
      <c r="H2954" s="225">
        <v>1.4599999999918509</v>
      </c>
      <c r="I2954" s="225">
        <v>0</v>
      </c>
      <c r="J2954" s="225">
        <v>0</v>
      </c>
      <c r="K2954" s="225">
        <v>1.4599999999918509</v>
      </c>
      <c r="L29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1.46</v>
      </c>
      <c r="M2954" s="225">
        <f>ROUND(IF(AND(Base_Periodo1[[#This Row],[Tipo_Linha]]="-",Base_Periodo1[[#This Row],[TIPOSALDO]]="D"),Base_Periodo1[[#This Row],[SALDO_ATUAL]]*-1,Base_Periodo1[[#This Row],[SALDO_ATUAL]]),4)</f>
        <v>1.46</v>
      </c>
      <c r="N2954" t="s">
        <v>116</v>
      </c>
      <c r="O2954" t="s">
        <v>459</v>
      </c>
      <c r="P2954" t="s">
        <v>459</v>
      </c>
      <c r="Q2954">
        <v>7</v>
      </c>
      <c r="R2954" s="225">
        <f>Base_Periodo1[[#This Row],[CREDITOS]]-Base_Periodo1[[#This Row],[DEBITOS]]</f>
        <v>0</v>
      </c>
      <c r="S2954" s="3" t="str">
        <f>IF(ISERROR(VLOOKUP(Base_Periodo1[[#This Row],[CONTA]],BaseContasDRE[#All],4,FALSE)),"Fora do DRE",VLOOKUP(Base_Periodo1[[#This Row],[CONTA]],BaseContasDRE[#All],4,FALSE))</f>
        <v>Fora do DRE</v>
      </c>
      <c r="T2954" s="3" t="str">
        <f>IF(ISERROR(VLOOKUP(Base_Periodo1[[#This Row],[CONTA]],BaseContasDRE[#All],5,FALSE)),"Fora do DRE",VLOOKUP(Base_Periodo1[[#This Row],[CONTA]],BaseContasDRE[#All],6,FALSE))</f>
        <v>Fora do DRE</v>
      </c>
      <c r="U2954" s="3" t="str">
        <f>IF(ISERROR(VLOOKUP(Base_Periodo1[[#This Row],[CONTA]],BaseContasDRE[#All],7,FALSE)),"Fora do DRE",VLOOKUP(Base_Periodo1[[#This Row],[CONTA]],BaseContasDRE[#All],7,FALSE))</f>
        <v>Fora do DRE</v>
      </c>
      <c r="V2954" s="3" t="str">
        <f>IF(Base_Periodo1[[#This Row],[Tipo_Linha]]="Fora do DRE","Fora do DRE","( "&amp;Base_Periodo1[[#This Row],[Tipo_Linha]]&amp;" ) "&amp;Base_Periodo1[[#This Row],[Filtro]])</f>
        <v>Fora do DRE</v>
      </c>
      <c r="W2954" s="3" t="str">
        <f>LEFT(Base_Periodo1[[#This Row],[CLASS]],3)</f>
        <v>2.1</v>
      </c>
    </row>
    <row r="2955" spans="1:23" hidden="1">
      <c r="A2955" s="3" t="str">
        <f t="shared" si="46"/>
        <v>Período 1</v>
      </c>
      <c r="B2955">
        <v>27160</v>
      </c>
      <c r="C2955" t="s">
        <v>1745</v>
      </c>
      <c r="D2955" t="s">
        <v>6378</v>
      </c>
      <c r="E2955" s="3" t="str">
        <f>IF(LEN(Base_Periodo1[[#This Row],[CLASS]])&gt;=7,LEFT(Base_Periodo1[[#This Row],[CLASS]],7),"")</f>
        <v>2.1.2.1</v>
      </c>
      <c r="F2955" s="3" t="str">
        <f>VLOOKUP(Base_Periodo1[[#This Row],[Aux]],Base_Contas_Balanco[#All],2,FALSE)</f>
        <v>Fornecedores Cooperados</v>
      </c>
      <c r="G2955" s="1">
        <v>42877</v>
      </c>
      <c r="I2955" s="225">
        <v>11060</v>
      </c>
      <c r="J2955" s="225">
        <v>11060</v>
      </c>
      <c r="K2955" s="225">
        <v>0</v>
      </c>
      <c r="L29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955" s="225">
        <f>ROUND(IF(AND(Base_Periodo1[[#This Row],[Tipo_Linha]]="-",Base_Periodo1[[#This Row],[TIPOSALDO]]="D"),Base_Periodo1[[#This Row],[SALDO_ATUAL]]*-1,Base_Periodo1[[#This Row],[SALDO_ATUAL]]),4)</f>
        <v>0</v>
      </c>
      <c r="N2955" t="s">
        <v>116</v>
      </c>
      <c r="O2955" t="s">
        <v>436</v>
      </c>
      <c r="P2955" t="s">
        <v>436</v>
      </c>
      <c r="Q2955">
        <v>7</v>
      </c>
      <c r="R2955" s="225">
        <f>Base_Periodo1[[#This Row],[CREDITOS]]-Base_Periodo1[[#This Row],[DEBITOS]]</f>
        <v>0</v>
      </c>
      <c r="S2955" s="3" t="str">
        <f>IF(ISERROR(VLOOKUP(Base_Periodo1[[#This Row],[CONTA]],BaseContasDRE[#All],4,FALSE)),"Fora do DRE",VLOOKUP(Base_Periodo1[[#This Row],[CONTA]],BaseContasDRE[#All],4,FALSE))</f>
        <v>Fora do DRE</v>
      </c>
      <c r="T2955" s="3" t="str">
        <f>IF(ISERROR(VLOOKUP(Base_Periodo1[[#This Row],[CONTA]],BaseContasDRE[#All],5,FALSE)),"Fora do DRE",VLOOKUP(Base_Periodo1[[#This Row],[CONTA]],BaseContasDRE[#All],6,FALSE))</f>
        <v>Fora do DRE</v>
      </c>
      <c r="U2955" s="3" t="str">
        <f>IF(ISERROR(VLOOKUP(Base_Periodo1[[#This Row],[CONTA]],BaseContasDRE[#All],7,FALSE)),"Fora do DRE",VLOOKUP(Base_Periodo1[[#This Row],[CONTA]],BaseContasDRE[#All],7,FALSE))</f>
        <v>Fora do DRE</v>
      </c>
      <c r="V2955" s="3" t="str">
        <f>IF(Base_Periodo1[[#This Row],[Tipo_Linha]]="Fora do DRE","Fora do DRE","( "&amp;Base_Periodo1[[#This Row],[Tipo_Linha]]&amp;" ) "&amp;Base_Periodo1[[#This Row],[Filtro]])</f>
        <v>Fora do DRE</v>
      </c>
      <c r="W2955" s="3" t="str">
        <f>LEFT(Base_Periodo1[[#This Row],[CLASS]],3)</f>
        <v>2.1</v>
      </c>
    </row>
    <row r="2956" spans="1:23" hidden="1">
      <c r="A2956" s="3" t="str">
        <f t="shared" si="46"/>
        <v>Período 1</v>
      </c>
      <c r="B2956">
        <v>47716</v>
      </c>
      <c r="C2956" t="s">
        <v>1745</v>
      </c>
      <c r="D2956" t="s">
        <v>6881</v>
      </c>
      <c r="E2956" s="3" t="str">
        <f>IF(LEN(Base_Periodo1[[#This Row],[CLASS]])&gt;=7,LEFT(Base_Periodo1[[#This Row],[CLASS]],7),"")</f>
        <v>2.1.2.1</v>
      </c>
      <c r="F2956" s="3" t="str">
        <f>VLOOKUP(Base_Periodo1[[#This Row],[Aux]],Base_Contas_Balanco[#All],2,FALSE)</f>
        <v>Fornecedores Cooperados</v>
      </c>
      <c r="G2956" s="1">
        <v>42870</v>
      </c>
      <c r="I2956" s="225">
        <v>0</v>
      </c>
      <c r="J2956" s="225">
        <v>2451.29</v>
      </c>
      <c r="K2956" s="225">
        <v>2451.2899999999927</v>
      </c>
      <c r="L29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2451.29</v>
      </c>
      <c r="M2956" s="225">
        <f>ROUND(IF(AND(Base_Periodo1[[#This Row],[Tipo_Linha]]="-",Base_Periodo1[[#This Row],[TIPOSALDO]]="D"),Base_Periodo1[[#This Row],[SALDO_ATUAL]]*-1,Base_Periodo1[[#This Row],[SALDO_ATUAL]]),4)</f>
        <v>2451.29</v>
      </c>
      <c r="N2956" t="s">
        <v>116</v>
      </c>
      <c r="O2956" t="s">
        <v>436</v>
      </c>
      <c r="P2956" t="s">
        <v>459</v>
      </c>
      <c r="Q2956">
        <v>7</v>
      </c>
      <c r="R2956" s="225">
        <f>Base_Periodo1[[#This Row],[CREDITOS]]-Base_Periodo1[[#This Row],[DEBITOS]]</f>
        <v>2451.29</v>
      </c>
      <c r="S2956" s="3" t="str">
        <f>IF(ISERROR(VLOOKUP(Base_Periodo1[[#This Row],[CONTA]],BaseContasDRE[#All],4,FALSE)),"Fora do DRE",VLOOKUP(Base_Periodo1[[#This Row],[CONTA]],BaseContasDRE[#All],4,FALSE))</f>
        <v>Fora do DRE</v>
      </c>
      <c r="T2956" s="3" t="str">
        <f>IF(ISERROR(VLOOKUP(Base_Periodo1[[#This Row],[CONTA]],BaseContasDRE[#All],5,FALSE)),"Fora do DRE",VLOOKUP(Base_Periodo1[[#This Row],[CONTA]],BaseContasDRE[#All],6,FALSE))</f>
        <v>Fora do DRE</v>
      </c>
      <c r="U2956" s="3" t="str">
        <f>IF(ISERROR(VLOOKUP(Base_Periodo1[[#This Row],[CONTA]],BaseContasDRE[#All],7,FALSE)),"Fora do DRE",VLOOKUP(Base_Periodo1[[#This Row],[CONTA]],BaseContasDRE[#All],7,FALSE))</f>
        <v>Fora do DRE</v>
      </c>
      <c r="V2956" s="3" t="str">
        <f>IF(Base_Periodo1[[#This Row],[Tipo_Linha]]="Fora do DRE","Fora do DRE","( "&amp;Base_Periodo1[[#This Row],[Tipo_Linha]]&amp;" ) "&amp;Base_Periodo1[[#This Row],[Filtro]])</f>
        <v>Fora do DRE</v>
      </c>
      <c r="W2956" s="3" t="str">
        <f>LEFT(Base_Periodo1[[#This Row],[CLASS]],3)</f>
        <v>2.1</v>
      </c>
    </row>
    <row r="2957" spans="1:23" hidden="1">
      <c r="A2957" s="3" t="str">
        <f t="shared" si="46"/>
        <v>Período 1</v>
      </c>
      <c r="B2957">
        <v>14983</v>
      </c>
      <c r="C2957" t="s">
        <v>1745</v>
      </c>
      <c r="D2957" t="s">
        <v>5219</v>
      </c>
      <c r="E2957" s="3" t="str">
        <f>IF(LEN(Base_Periodo1[[#This Row],[CLASS]])&gt;=7,LEFT(Base_Periodo1[[#This Row],[CLASS]],7),"")</f>
        <v>2.1.2.1</v>
      </c>
      <c r="F2957" s="3" t="str">
        <f>VLOOKUP(Base_Periodo1[[#This Row],[Aux]],Base_Contas_Balanco[#All],2,FALSE)</f>
        <v>Fornecedores Cooperados</v>
      </c>
      <c r="G2957" s="1">
        <v>42629</v>
      </c>
      <c r="H2957" s="225">
        <v>1845</v>
      </c>
      <c r="I2957" s="225">
        <v>0</v>
      </c>
      <c r="J2957" s="225">
        <v>0</v>
      </c>
      <c r="K2957" s="225">
        <v>1845</v>
      </c>
      <c r="L29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1845</v>
      </c>
      <c r="M2957" s="225">
        <f>ROUND(IF(AND(Base_Periodo1[[#This Row],[Tipo_Linha]]="-",Base_Periodo1[[#This Row],[TIPOSALDO]]="D"),Base_Periodo1[[#This Row],[SALDO_ATUAL]]*-1,Base_Periodo1[[#This Row],[SALDO_ATUAL]]),4)</f>
        <v>1845</v>
      </c>
      <c r="N2957" t="s">
        <v>116</v>
      </c>
      <c r="O2957" t="s">
        <v>459</v>
      </c>
      <c r="P2957" t="s">
        <v>459</v>
      </c>
      <c r="Q2957">
        <v>7</v>
      </c>
      <c r="R2957" s="225">
        <f>Base_Periodo1[[#This Row],[CREDITOS]]-Base_Periodo1[[#This Row],[DEBITOS]]</f>
        <v>0</v>
      </c>
      <c r="S2957" s="3" t="str">
        <f>IF(ISERROR(VLOOKUP(Base_Periodo1[[#This Row],[CONTA]],BaseContasDRE[#All],4,FALSE)),"Fora do DRE",VLOOKUP(Base_Periodo1[[#This Row],[CONTA]],BaseContasDRE[#All],4,FALSE))</f>
        <v>Fora do DRE</v>
      </c>
      <c r="T2957" s="3" t="str">
        <f>IF(ISERROR(VLOOKUP(Base_Periodo1[[#This Row],[CONTA]],BaseContasDRE[#All],5,FALSE)),"Fora do DRE",VLOOKUP(Base_Periodo1[[#This Row],[CONTA]],BaseContasDRE[#All],6,FALSE))</f>
        <v>Fora do DRE</v>
      </c>
      <c r="U2957" s="3" t="str">
        <f>IF(ISERROR(VLOOKUP(Base_Periodo1[[#This Row],[CONTA]],BaseContasDRE[#All],7,FALSE)),"Fora do DRE",VLOOKUP(Base_Periodo1[[#This Row],[CONTA]],BaseContasDRE[#All],7,FALSE))</f>
        <v>Fora do DRE</v>
      </c>
      <c r="V2957" s="3" t="str">
        <f>IF(Base_Periodo1[[#This Row],[Tipo_Linha]]="Fora do DRE","Fora do DRE","( "&amp;Base_Periodo1[[#This Row],[Tipo_Linha]]&amp;" ) "&amp;Base_Periodo1[[#This Row],[Filtro]])</f>
        <v>Fora do DRE</v>
      </c>
      <c r="W2957" s="3" t="str">
        <f>LEFT(Base_Periodo1[[#This Row],[CLASS]],3)</f>
        <v>2.1</v>
      </c>
    </row>
    <row r="2958" spans="1:23" hidden="1">
      <c r="A2958" s="3" t="str">
        <f t="shared" si="46"/>
        <v>Período 1</v>
      </c>
      <c r="B2958">
        <v>7435</v>
      </c>
      <c r="C2958" t="s">
        <v>1745</v>
      </c>
      <c r="D2958" t="s">
        <v>1889</v>
      </c>
      <c r="E2958" s="3" t="str">
        <f>IF(LEN(Base_Periodo1[[#This Row],[CLASS]])&gt;=7,LEFT(Base_Periodo1[[#This Row],[CLASS]],7),"")</f>
        <v>2.1.2.1</v>
      </c>
      <c r="F2958" s="3" t="str">
        <f>VLOOKUP(Base_Periodo1[[#This Row],[Aux]],Base_Contas_Balanco[#All],2,FALSE)</f>
        <v>Fornecedores Cooperados</v>
      </c>
      <c r="G2958" s="1">
        <v>42884</v>
      </c>
      <c r="H2958" s="225">
        <v>440</v>
      </c>
      <c r="I2958" s="225">
        <v>440</v>
      </c>
      <c r="J2958" s="225">
        <v>0</v>
      </c>
      <c r="K2958" s="225">
        <v>0</v>
      </c>
      <c r="L29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958" s="225">
        <f>ROUND(IF(AND(Base_Periodo1[[#This Row],[Tipo_Linha]]="-",Base_Periodo1[[#This Row],[TIPOSALDO]]="D"),Base_Periodo1[[#This Row],[SALDO_ATUAL]]*-1,Base_Periodo1[[#This Row],[SALDO_ATUAL]]),4)</f>
        <v>0</v>
      </c>
      <c r="N2958" t="s">
        <v>116</v>
      </c>
      <c r="O2958" t="s">
        <v>459</v>
      </c>
      <c r="P2958" t="s">
        <v>436</v>
      </c>
      <c r="Q2958">
        <v>7</v>
      </c>
      <c r="R2958" s="225">
        <f>Base_Periodo1[[#This Row],[CREDITOS]]-Base_Periodo1[[#This Row],[DEBITOS]]</f>
        <v>-440</v>
      </c>
      <c r="S2958" s="3" t="str">
        <f>IF(ISERROR(VLOOKUP(Base_Periodo1[[#This Row],[CONTA]],BaseContasDRE[#All],4,FALSE)),"Fora do DRE",VLOOKUP(Base_Periodo1[[#This Row],[CONTA]],BaseContasDRE[#All],4,FALSE))</f>
        <v>Fora do DRE</v>
      </c>
      <c r="T2958" s="3" t="str">
        <f>IF(ISERROR(VLOOKUP(Base_Periodo1[[#This Row],[CONTA]],BaseContasDRE[#All],5,FALSE)),"Fora do DRE",VLOOKUP(Base_Periodo1[[#This Row],[CONTA]],BaseContasDRE[#All],6,FALSE))</f>
        <v>Fora do DRE</v>
      </c>
      <c r="U2958" s="3" t="str">
        <f>IF(ISERROR(VLOOKUP(Base_Periodo1[[#This Row],[CONTA]],BaseContasDRE[#All],7,FALSE)),"Fora do DRE",VLOOKUP(Base_Periodo1[[#This Row],[CONTA]],BaseContasDRE[#All],7,FALSE))</f>
        <v>Fora do DRE</v>
      </c>
      <c r="V2958" s="3" t="str">
        <f>IF(Base_Periodo1[[#This Row],[Tipo_Linha]]="Fora do DRE","Fora do DRE","( "&amp;Base_Periodo1[[#This Row],[Tipo_Linha]]&amp;" ) "&amp;Base_Periodo1[[#This Row],[Filtro]])</f>
        <v>Fora do DRE</v>
      </c>
      <c r="W2958" s="3" t="str">
        <f>LEFT(Base_Periodo1[[#This Row],[CLASS]],3)</f>
        <v>2.1</v>
      </c>
    </row>
    <row r="2959" spans="1:23" hidden="1">
      <c r="A2959" s="3" t="str">
        <f t="shared" si="46"/>
        <v>Período 1</v>
      </c>
      <c r="B2959">
        <v>3186</v>
      </c>
      <c r="C2959" t="s">
        <v>1745</v>
      </c>
      <c r="D2959" t="s">
        <v>1890</v>
      </c>
      <c r="E2959" s="3" t="str">
        <f>IF(LEN(Base_Periodo1[[#This Row],[CLASS]])&gt;=7,LEFT(Base_Periodo1[[#This Row],[CLASS]],7),"")</f>
        <v>2.1.2.1</v>
      </c>
      <c r="F2959" s="3" t="str">
        <f>VLOOKUP(Base_Periodo1[[#This Row],[Aux]],Base_Contas_Balanco[#All],2,FALSE)</f>
        <v>Fornecedores Cooperados</v>
      </c>
      <c r="G2959" s="1">
        <v>42880</v>
      </c>
      <c r="H2959" s="225">
        <v>87215.570000000065</v>
      </c>
      <c r="I2959" s="225">
        <v>44155.25</v>
      </c>
      <c r="J2959" s="225">
        <v>0</v>
      </c>
      <c r="K2959" s="225">
        <v>43060.320000000065</v>
      </c>
      <c r="L29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43060.32</v>
      </c>
      <c r="M2959" s="225">
        <f>ROUND(IF(AND(Base_Periodo1[[#This Row],[Tipo_Linha]]="-",Base_Periodo1[[#This Row],[TIPOSALDO]]="D"),Base_Periodo1[[#This Row],[SALDO_ATUAL]]*-1,Base_Periodo1[[#This Row],[SALDO_ATUAL]]),4)</f>
        <v>43060.32</v>
      </c>
      <c r="N2959" t="s">
        <v>116</v>
      </c>
      <c r="O2959" t="s">
        <v>459</v>
      </c>
      <c r="P2959" t="s">
        <v>459</v>
      </c>
      <c r="Q2959">
        <v>7</v>
      </c>
      <c r="R2959" s="225">
        <f>Base_Periodo1[[#This Row],[CREDITOS]]-Base_Periodo1[[#This Row],[DEBITOS]]</f>
        <v>-44155.25</v>
      </c>
      <c r="S2959" s="3" t="str">
        <f>IF(ISERROR(VLOOKUP(Base_Periodo1[[#This Row],[CONTA]],BaseContasDRE[#All],4,FALSE)),"Fora do DRE",VLOOKUP(Base_Periodo1[[#This Row],[CONTA]],BaseContasDRE[#All],4,FALSE))</f>
        <v>Fora do DRE</v>
      </c>
      <c r="T2959" s="3" t="str">
        <f>IF(ISERROR(VLOOKUP(Base_Periodo1[[#This Row],[CONTA]],BaseContasDRE[#All],5,FALSE)),"Fora do DRE",VLOOKUP(Base_Periodo1[[#This Row],[CONTA]],BaseContasDRE[#All],6,FALSE))</f>
        <v>Fora do DRE</v>
      </c>
      <c r="U2959" s="3" t="str">
        <f>IF(ISERROR(VLOOKUP(Base_Periodo1[[#This Row],[CONTA]],BaseContasDRE[#All],7,FALSE)),"Fora do DRE",VLOOKUP(Base_Periodo1[[#This Row],[CONTA]],BaseContasDRE[#All],7,FALSE))</f>
        <v>Fora do DRE</v>
      </c>
      <c r="V2959" s="3" t="str">
        <f>IF(Base_Periodo1[[#This Row],[Tipo_Linha]]="Fora do DRE","Fora do DRE","( "&amp;Base_Periodo1[[#This Row],[Tipo_Linha]]&amp;" ) "&amp;Base_Periodo1[[#This Row],[Filtro]])</f>
        <v>Fora do DRE</v>
      </c>
      <c r="W2959" s="3" t="str">
        <f>LEFT(Base_Periodo1[[#This Row],[CLASS]],3)</f>
        <v>2.1</v>
      </c>
    </row>
    <row r="2960" spans="1:23" hidden="1">
      <c r="A2960" s="3" t="str">
        <f t="shared" si="46"/>
        <v>Período 1</v>
      </c>
      <c r="B2960">
        <v>55073</v>
      </c>
      <c r="C2960" t="s">
        <v>1745</v>
      </c>
      <c r="D2960" t="s">
        <v>2179</v>
      </c>
      <c r="E2960" s="3" t="str">
        <f>IF(LEN(Base_Periodo1[[#This Row],[CLASS]])&gt;=7,LEFT(Base_Periodo1[[#This Row],[CLASS]],7),"")</f>
        <v>2.1.2.1</v>
      </c>
      <c r="F2960" s="3" t="str">
        <f>VLOOKUP(Base_Periodo1[[#This Row],[Aux]],Base_Contas_Balanco[#All],2,FALSE)</f>
        <v>Fornecedores Cooperados</v>
      </c>
      <c r="G2960" s="1"/>
      <c r="H2960" s="225">
        <v>4194.1000000000004</v>
      </c>
      <c r="I2960" s="225">
        <v>0</v>
      </c>
      <c r="J2960" s="225">
        <v>0</v>
      </c>
      <c r="K2960" s="225">
        <v>4194.1000000000004</v>
      </c>
      <c r="L29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4194.1000000000004</v>
      </c>
      <c r="M2960" s="225">
        <f>ROUND(IF(AND(Base_Periodo1[[#This Row],[Tipo_Linha]]="-",Base_Periodo1[[#This Row],[TIPOSALDO]]="D"),Base_Periodo1[[#This Row],[SALDO_ATUAL]]*-1,Base_Periodo1[[#This Row],[SALDO_ATUAL]]),4)</f>
        <v>4194.1000000000004</v>
      </c>
      <c r="N2960" t="s">
        <v>116</v>
      </c>
      <c r="O2960" t="s">
        <v>459</v>
      </c>
      <c r="P2960" t="s">
        <v>459</v>
      </c>
      <c r="Q2960">
        <v>7</v>
      </c>
      <c r="R2960" s="225">
        <f>Base_Periodo1[[#This Row],[CREDITOS]]-Base_Periodo1[[#This Row],[DEBITOS]]</f>
        <v>0</v>
      </c>
      <c r="S2960" s="3" t="str">
        <f>IF(ISERROR(VLOOKUP(Base_Periodo1[[#This Row],[CONTA]],BaseContasDRE[#All],4,FALSE)),"Fora do DRE",VLOOKUP(Base_Periodo1[[#This Row],[CONTA]],BaseContasDRE[#All],4,FALSE))</f>
        <v>Fora do DRE</v>
      </c>
      <c r="T2960" s="3" t="str">
        <f>IF(ISERROR(VLOOKUP(Base_Periodo1[[#This Row],[CONTA]],BaseContasDRE[#All],5,FALSE)),"Fora do DRE",VLOOKUP(Base_Periodo1[[#This Row],[CONTA]],BaseContasDRE[#All],6,FALSE))</f>
        <v>Fora do DRE</v>
      </c>
      <c r="U2960" s="3" t="str">
        <f>IF(ISERROR(VLOOKUP(Base_Periodo1[[#This Row],[CONTA]],BaseContasDRE[#All],7,FALSE)),"Fora do DRE",VLOOKUP(Base_Periodo1[[#This Row],[CONTA]],BaseContasDRE[#All],7,FALSE))</f>
        <v>Fora do DRE</v>
      </c>
      <c r="V2960" s="3" t="str">
        <f>IF(Base_Periodo1[[#This Row],[Tipo_Linha]]="Fora do DRE","Fora do DRE","( "&amp;Base_Periodo1[[#This Row],[Tipo_Linha]]&amp;" ) "&amp;Base_Periodo1[[#This Row],[Filtro]])</f>
        <v>Fora do DRE</v>
      </c>
      <c r="W2960" s="3" t="str">
        <f>LEFT(Base_Periodo1[[#This Row],[CLASS]],3)</f>
        <v>2.1</v>
      </c>
    </row>
    <row r="2961" spans="1:23" hidden="1">
      <c r="A2961" s="3" t="str">
        <f t="shared" si="46"/>
        <v>Período 1</v>
      </c>
      <c r="B2961">
        <v>39038</v>
      </c>
      <c r="C2961" t="s">
        <v>1745</v>
      </c>
      <c r="D2961" t="s">
        <v>1891</v>
      </c>
      <c r="E2961" s="3" t="str">
        <f>IF(LEN(Base_Periodo1[[#This Row],[CLASS]])&gt;=7,LEFT(Base_Periodo1[[#This Row],[CLASS]],7),"")</f>
        <v>2.1.2.1</v>
      </c>
      <c r="F2961" s="3" t="str">
        <f>VLOOKUP(Base_Periodo1[[#This Row],[Aux]],Base_Contas_Balanco[#All],2,FALSE)</f>
        <v>Fornecedores Cooperados</v>
      </c>
      <c r="G2961" s="1">
        <v>42870</v>
      </c>
      <c r="H2961" s="225">
        <v>88.020000000004075</v>
      </c>
      <c r="I2961" s="225">
        <v>0</v>
      </c>
      <c r="J2961" s="225">
        <v>2451.29</v>
      </c>
      <c r="K2961" s="225">
        <v>2539.310000000004</v>
      </c>
      <c r="L29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2539.31</v>
      </c>
      <c r="M2961" s="225">
        <f>ROUND(IF(AND(Base_Periodo1[[#This Row],[Tipo_Linha]]="-",Base_Periodo1[[#This Row],[TIPOSALDO]]="D"),Base_Periodo1[[#This Row],[SALDO_ATUAL]]*-1,Base_Periodo1[[#This Row],[SALDO_ATUAL]]),4)</f>
        <v>2539.31</v>
      </c>
      <c r="N2961" t="s">
        <v>116</v>
      </c>
      <c r="O2961" t="s">
        <v>459</v>
      </c>
      <c r="P2961" t="s">
        <v>459</v>
      </c>
      <c r="Q2961">
        <v>7</v>
      </c>
      <c r="R2961" s="225">
        <f>Base_Periodo1[[#This Row],[CREDITOS]]-Base_Periodo1[[#This Row],[DEBITOS]]</f>
        <v>2451.29</v>
      </c>
      <c r="S2961" s="3" t="str">
        <f>IF(ISERROR(VLOOKUP(Base_Periodo1[[#This Row],[CONTA]],BaseContasDRE[#All],4,FALSE)),"Fora do DRE",VLOOKUP(Base_Periodo1[[#This Row],[CONTA]],BaseContasDRE[#All],4,FALSE))</f>
        <v>Fora do DRE</v>
      </c>
      <c r="T2961" s="3" t="str">
        <f>IF(ISERROR(VLOOKUP(Base_Periodo1[[#This Row],[CONTA]],BaseContasDRE[#All],5,FALSE)),"Fora do DRE",VLOOKUP(Base_Periodo1[[#This Row],[CONTA]],BaseContasDRE[#All],6,FALSE))</f>
        <v>Fora do DRE</v>
      </c>
      <c r="U2961" s="3" t="str">
        <f>IF(ISERROR(VLOOKUP(Base_Periodo1[[#This Row],[CONTA]],BaseContasDRE[#All],7,FALSE)),"Fora do DRE",VLOOKUP(Base_Periodo1[[#This Row],[CONTA]],BaseContasDRE[#All],7,FALSE))</f>
        <v>Fora do DRE</v>
      </c>
      <c r="V2961" s="3" t="str">
        <f>IF(Base_Periodo1[[#This Row],[Tipo_Linha]]="Fora do DRE","Fora do DRE","( "&amp;Base_Periodo1[[#This Row],[Tipo_Linha]]&amp;" ) "&amp;Base_Periodo1[[#This Row],[Filtro]])</f>
        <v>Fora do DRE</v>
      </c>
      <c r="W2961" s="3" t="str">
        <f>LEFT(Base_Periodo1[[#This Row],[CLASS]],3)</f>
        <v>2.1</v>
      </c>
    </row>
    <row r="2962" spans="1:23" hidden="1">
      <c r="A2962" s="3" t="str">
        <f t="shared" si="46"/>
        <v>Período 1</v>
      </c>
      <c r="B2962">
        <v>3730</v>
      </c>
      <c r="C2962" t="s">
        <v>1745</v>
      </c>
      <c r="D2962" t="s">
        <v>6882</v>
      </c>
      <c r="E2962" s="3" t="str">
        <f>IF(LEN(Base_Periodo1[[#This Row],[CLASS]])&gt;=7,LEFT(Base_Periodo1[[#This Row],[CLASS]],7),"")</f>
        <v>2.1.2.1</v>
      </c>
      <c r="F2962" s="3" t="str">
        <f>VLOOKUP(Base_Periodo1[[#This Row],[Aux]],Base_Contas_Balanco[#All],2,FALSE)</f>
        <v>Fornecedores Cooperados</v>
      </c>
      <c r="G2962" s="1">
        <v>42884</v>
      </c>
      <c r="I2962" s="225">
        <v>6660.48</v>
      </c>
      <c r="J2962" s="225">
        <v>6660.48</v>
      </c>
      <c r="K2962" s="225">
        <v>0</v>
      </c>
      <c r="L29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962" s="225">
        <f>ROUND(IF(AND(Base_Periodo1[[#This Row],[Tipo_Linha]]="-",Base_Periodo1[[#This Row],[TIPOSALDO]]="D"),Base_Periodo1[[#This Row],[SALDO_ATUAL]]*-1,Base_Periodo1[[#This Row],[SALDO_ATUAL]]),4)</f>
        <v>0</v>
      </c>
      <c r="N2962" t="s">
        <v>116</v>
      </c>
      <c r="O2962" t="s">
        <v>436</v>
      </c>
      <c r="P2962" t="s">
        <v>436</v>
      </c>
      <c r="Q2962">
        <v>7</v>
      </c>
      <c r="R2962" s="225">
        <f>Base_Periodo1[[#This Row],[CREDITOS]]-Base_Periodo1[[#This Row],[DEBITOS]]</f>
        <v>0</v>
      </c>
      <c r="S2962" s="3" t="str">
        <f>IF(ISERROR(VLOOKUP(Base_Periodo1[[#This Row],[CONTA]],BaseContasDRE[#All],4,FALSE)),"Fora do DRE",VLOOKUP(Base_Periodo1[[#This Row],[CONTA]],BaseContasDRE[#All],4,FALSE))</f>
        <v>Fora do DRE</v>
      </c>
      <c r="T2962" s="3" t="str">
        <f>IF(ISERROR(VLOOKUP(Base_Periodo1[[#This Row],[CONTA]],BaseContasDRE[#All],5,FALSE)),"Fora do DRE",VLOOKUP(Base_Periodo1[[#This Row],[CONTA]],BaseContasDRE[#All],6,FALSE))</f>
        <v>Fora do DRE</v>
      </c>
      <c r="U2962" s="3" t="str">
        <f>IF(ISERROR(VLOOKUP(Base_Periodo1[[#This Row],[CONTA]],BaseContasDRE[#All],7,FALSE)),"Fora do DRE",VLOOKUP(Base_Periodo1[[#This Row],[CONTA]],BaseContasDRE[#All],7,FALSE))</f>
        <v>Fora do DRE</v>
      </c>
      <c r="V2962" s="3" t="str">
        <f>IF(Base_Periodo1[[#This Row],[Tipo_Linha]]="Fora do DRE","Fora do DRE","( "&amp;Base_Periodo1[[#This Row],[Tipo_Linha]]&amp;" ) "&amp;Base_Periodo1[[#This Row],[Filtro]])</f>
        <v>Fora do DRE</v>
      </c>
      <c r="W2962" s="3" t="str">
        <f>LEFT(Base_Periodo1[[#This Row],[CLASS]],3)</f>
        <v>2.1</v>
      </c>
    </row>
    <row r="2963" spans="1:23" hidden="1">
      <c r="A2963" s="3" t="str">
        <f t="shared" si="46"/>
        <v>Período 1</v>
      </c>
      <c r="B2963">
        <v>53986</v>
      </c>
      <c r="C2963" t="s">
        <v>1745</v>
      </c>
      <c r="D2963" t="s">
        <v>5327</v>
      </c>
      <c r="E2963" s="3" t="str">
        <f>IF(LEN(Base_Periodo1[[#This Row],[CLASS]])&gt;=7,LEFT(Base_Periodo1[[#This Row],[CLASS]],7),"")</f>
        <v>2.1.2.1</v>
      </c>
      <c r="F2963" s="3" t="str">
        <f>VLOOKUP(Base_Periodo1[[#This Row],[Aux]],Base_Contas_Balanco[#All],2,FALSE)</f>
        <v>Fornecedores Cooperados</v>
      </c>
      <c r="G2963" s="1">
        <v>42844</v>
      </c>
      <c r="H2963" s="225">
        <v>1748.5200000000004</v>
      </c>
      <c r="I2963" s="225">
        <v>0</v>
      </c>
      <c r="J2963" s="225">
        <v>0</v>
      </c>
      <c r="K2963" s="225">
        <v>1748.5200000000004</v>
      </c>
      <c r="L29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1748.52</v>
      </c>
      <c r="M2963" s="225">
        <f>ROUND(IF(AND(Base_Periodo1[[#This Row],[Tipo_Linha]]="-",Base_Periodo1[[#This Row],[TIPOSALDO]]="D"),Base_Periodo1[[#This Row],[SALDO_ATUAL]]*-1,Base_Periodo1[[#This Row],[SALDO_ATUAL]]),4)</f>
        <v>1748.52</v>
      </c>
      <c r="N2963" t="s">
        <v>116</v>
      </c>
      <c r="O2963" t="s">
        <v>459</v>
      </c>
      <c r="P2963" t="s">
        <v>459</v>
      </c>
      <c r="Q2963">
        <v>7</v>
      </c>
      <c r="R2963" s="225">
        <f>Base_Periodo1[[#This Row],[CREDITOS]]-Base_Periodo1[[#This Row],[DEBITOS]]</f>
        <v>0</v>
      </c>
      <c r="S2963" s="3" t="str">
        <f>IF(ISERROR(VLOOKUP(Base_Periodo1[[#This Row],[CONTA]],BaseContasDRE[#All],4,FALSE)),"Fora do DRE",VLOOKUP(Base_Periodo1[[#This Row],[CONTA]],BaseContasDRE[#All],4,FALSE))</f>
        <v>Fora do DRE</v>
      </c>
      <c r="T2963" s="3" t="str">
        <f>IF(ISERROR(VLOOKUP(Base_Periodo1[[#This Row],[CONTA]],BaseContasDRE[#All],5,FALSE)),"Fora do DRE",VLOOKUP(Base_Periodo1[[#This Row],[CONTA]],BaseContasDRE[#All],6,FALSE))</f>
        <v>Fora do DRE</v>
      </c>
      <c r="U2963" s="3" t="str">
        <f>IF(ISERROR(VLOOKUP(Base_Periodo1[[#This Row],[CONTA]],BaseContasDRE[#All],7,FALSE)),"Fora do DRE",VLOOKUP(Base_Periodo1[[#This Row],[CONTA]],BaseContasDRE[#All],7,FALSE))</f>
        <v>Fora do DRE</v>
      </c>
      <c r="V2963" s="3" t="str">
        <f>IF(Base_Periodo1[[#This Row],[Tipo_Linha]]="Fora do DRE","Fora do DRE","( "&amp;Base_Periodo1[[#This Row],[Tipo_Linha]]&amp;" ) "&amp;Base_Periodo1[[#This Row],[Filtro]])</f>
        <v>Fora do DRE</v>
      </c>
      <c r="W2963" s="3" t="str">
        <f>LEFT(Base_Periodo1[[#This Row],[CLASS]],3)</f>
        <v>2.1</v>
      </c>
    </row>
    <row r="2964" spans="1:23" hidden="1">
      <c r="A2964" s="3" t="str">
        <f t="shared" si="46"/>
        <v>Período 1</v>
      </c>
      <c r="B2964">
        <v>40506</v>
      </c>
      <c r="C2964" t="s">
        <v>1745</v>
      </c>
      <c r="D2964" t="s">
        <v>5958</v>
      </c>
      <c r="E2964" s="3" t="str">
        <f>IF(LEN(Base_Periodo1[[#This Row],[CLASS]])&gt;=7,LEFT(Base_Periodo1[[#This Row],[CLASS]],7),"")</f>
        <v>2.1.2.1</v>
      </c>
      <c r="F2964" s="3" t="str">
        <f>VLOOKUP(Base_Periodo1[[#This Row],[Aux]],Base_Contas_Balanco[#All],2,FALSE)</f>
        <v>Fornecedores Cooperados</v>
      </c>
      <c r="G2964" s="1">
        <v>42831</v>
      </c>
      <c r="H2964" s="225">
        <v>1248.9300000000003</v>
      </c>
      <c r="I2964" s="225">
        <v>0</v>
      </c>
      <c r="J2964" s="225">
        <v>0</v>
      </c>
      <c r="K2964" s="225">
        <v>1248.9300000000003</v>
      </c>
      <c r="L29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1248.93</v>
      </c>
      <c r="M2964" s="225">
        <f>ROUND(IF(AND(Base_Periodo1[[#This Row],[Tipo_Linha]]="-",Base_Periodo1[[#This Row],[TIPOSALDO]]="D"),Base_Periodo1[[#This Row],[SALDO_ATUAL]]*-1,Base_Periodo1[[#This Row],[SALDO_ATUAL]]),4)</f>
        <v>1248.93</v>
      </c>
      <c r="N2964" t="s">
        <v>116</v>
      </c>
      <c r="O2964" t="s">
        <v>459</v>
      </c>
      <c r="P2964" t="s">
        <v>459</v>
      </c>
      <c r="Q2964">
        <v>7</v>
      </c>
      <c r="R2964" s="225">
        <f>Base_Periodo1[[#This Row],[CREDITOS]]-Base_Periodo1[[#This Row],[DEBITOS]]</f>
        <v>0</v>
      </c>
      <c r="S2964" s="3" t="str">
        <f>IF(ISERROR(VLOOKUP(Base_Periodo1[[#This Row],[CONTA]],BaseContasDRE[#All],4,FALSE)),"Fora do DRE",VLOOKUP(Base_Periodo1[[#This Row],[CONTA]],BaseContasDRE[#All],4,FALSE))</f>
        <v>Fora do DRE</v>
      </c>
      <c r="T2964" s="3" t="str">
        <f>IF(ISERROR(VLOOKUP(Base_Periodo1[[#This Row],[CONTA]],BaseContasDRE[#All],5,FALSE)),"Fora do DRE",VLOOKUP(Base_Periodo1[[#This Row],[CONTA]],BaseContasDRE[#All],6,FALSE))</f>
        <v>Fora do DRE</v>
      </c>
      <c r="U2964" s="3" t="str">
        <f>IF(ISERROR(VLOOKUP(Base_Periodo1[[#This Row],[CONTA]],BaseContasDRE[#All],7,FALSE)),"Fora do DRE",VLOOKUP(Base_Periodo1[[#This Row],[CONTA]],BaseContasDRE[#All],7,FALSE))</f>
        <v>Fora do DRE</v>
      </c>
      <c r="V2964" s="3" t="str">
        <f>IF(Base_Periodo1[[#This Row],[Tipo_Linha]]="Fora do DRE","Fora do DRE","( "&amp;Base_Periodo1[[#This Row],[Tipo_Linha]]&amp;" ) "&amp;Base_Periodo1[[#This Row],[Filtro]])</f>
        <v>Fora do DRE</v>
      </c>
      <c r="W2964" s="3" t="str">
        <f>LEFT(Base_Periodo1[[#This Row],[CLASS]],3)</f>
        <v>2.1</v>
      </c>
    </row>
    <row r="2965" spans="1:23" hidden="1">
      <c r="A2965" s="3" t="str">
        <f t="shared" si="46"/>
        <v>Período 1</v>
      </c>
      <c r="B2965">
        <v>4818</v>
      </c>
      <c r="C2965" t="s">
        <v>1745</v>
      </c>
      <c r="D2965" t="s">
        <v>1892</v>
      </c>
      <c r="E2965" s="3" t="str">
        <f>IF(LEN(Base_Periodo1[[#This Row],[CLASS]])&gt;=7,LEFT(Base_Periodo1[[#This Row],[CLASS]],7),"")</f>
        <v>2.1.2.1</v>
      </c>
      <c r="F2965" s="3" t="str">
        <f>VLOOKUP(Base_Periodo1[[#This Row],[Aux]],Base_Contas_Balanco[#All],2,FALSE)</f>
        <v>Fornecedores Cooperados</v>
      </c>
      <c r="G2965" s="1">
        <v>42748</v>
      </c>
      <c r="H2965" s="225">
        <v>138.46999999994296</v>
      </c>
      <c r="I2965" s="225">
        <v>0</v>
      </c>
      <c r="J2965" s="225">
        <v>0</v>
      </c>
      <c r="K2965" s="225">
        <v>138.46999999994296</v>
      </c>
      <c r="L29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138.47</v>
      </c>
      <c r="M2965" s="225">
        <f>ROUND(IF(AND(Base_Periodo1[[#This Row],[Tipo_Linha]]="-",Base_Periodo1[[#This Row],[TIPOSALDO]]="D"),Base_Periodo1[[#This Row],[SALDO_ATUAL]]*-1,Base_Periodo1[[#This Row],[SALDO_ATUAL]]),4)</f>
        <v>138.47</v>
      </c>
      <c r="N2965" t="s">
        <v>116</v>
      </c>
      <c r="O2965" t="s">
        <v>459</v>
      </c>
      <c r="P2965" t="s">
        <v>459</v>
      </c>
      <c r="Q2965">
        <v>7</v>
      </c>
      <c r="R2965" s="225">
        <f>Base_Periodo1[[#This Row],[CREDITOS]]-Base_Periodo1[[#This Row],[DEBITOS]]</f>
        <v>0</v>
      </c>
      <c r="S2965" s="3" t="str">
        <f>IF(ISERROR(VLOOKUP(Base_Periodo1[[#This Row],[CONTA]],BaseContasDRE[#All],4,FALSE)),"Fora do DRE",VLOOKUP(Base_Periodo1[[#This Row],[CONTA]],BaseContasDRE[#All],4,FALSE))</f>
        <v>Fora do DRE</v>
      </c>
      <c r="T2965" s="3" t="str">
        <f>IF(ISERROR(VLOOKUP(Base_Periodo1[[#This Row],[CONTA]],BaseContasDRE[#All],5,FALSE)),"Fora do DRE",VLOOKUP(Base_Periodo1[[#This Row],[CONTA]],BaseContasDRE[#All],6,FALSE))</f>
        <v>Fora do DRE</v>
      </c>
      <c r="U2965" s="3" t="str">
        <f>IF(ISERROR(VLOOKUP(Base_Periodo1[[#This Row],[CONTA]],BaseContasDRE[#All],7,FALSE)),"Fora do DRE",VLOOKUP(Base_Periodo1[[#This Row],[CONTA]],BaseContasDRE[#All],7,FALSE))</f>
        <v>Fora do DRE</v>
      </c>
      <c r="V2965" s="3" t="str">
        <f>IF(Base_Periodo1[[#This Row],[Tipo_Linha]]="Fora do DRE","Fora do DRE","( "&amp;Base_Periodo1[[#This Row],[Tipo_Linha]]&amp;" ) "&amp;Base_Periodo1[[#This Row],[Filtro]])</f>
        <v>Fora do DRE</v>
      </c>
      <c r="W2965" s="3" t="str">
        <f>LEFT(Base_Periodo1[[#This Row],[CLASS]],3)</f>
        <v>2.1</v>
      </c>
    </row>
    <row r="2966" spans="1:23" hidden="1">
      <c r="A2966" s="3" t="str">
        <f t="shared" si="46"/>
        <v>Período 1</v>
      </c>
      <c r="B2966">
        <v>4466</v>
      </c>
      <c r="C2966" t="s">
        <v>1745</v>
      </c>
      <c r="D2966" t="s">
        <v>6379</v>
      </c>
      <c r="E2966" s="3" t="str">
        <f>IF(LEN(Base_Periodo1[[#This Row],[CLASS]])&gt;=7,LEFT(Base_Periodo1[[#This Row],[CLASS]],7),"")</f>
        <v>2.1.2.1</v>
      </c>
      <c r="F2966" s="3" t="str">
        <f>VLOOKUP(Base_Periodo1[[#This Row],[Aux]],Base_Contas_Balanco[#All],2,FALSE)</f>
        <v>Fornecedores Cooperados</v>
      </c>
      <c r="G2966" s="1">
        <v>42863</v>
      </c>
      <c r="H2966" s="225">
        <v>642133.16000000294</v>
      </c>
      <c r="I2966" s="225">
        <v>73221.100000000006</v>
      </c>
      <c r="J2966" s="225">
        <v>0</v>
      </c>
      <c r="K2966" s="225">
        <v>568912.06000000297</v>
      </c>
      <c r="L29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568912.06000000006</v>
      </c>
      <c r="M2966" s="225">
        <f>ROUND(IF(AND(Base_Periodo1[[#This Row],[Tipo_Linha]]="-",Base_Periodo1[[#This Row],[TIPOSALDO]]="D"),Base_Periodo1[[#This Row],[SALDO_ATUAL]]*-1,Base_Periodo1[[#This Row],[SALDO_ATUAL]]),4)</f>
        <v>568912.06000000006</v>
      </c>
      <c r="N2966" t="s">
        <v>116</v>
      </c>
      <c r="O2966" t="s">
        <v>459</v>
      </c>
      <c r="P2966" t="s">
        <v>459</v>
      </c>
      <c r="Q2966">
        <v>7</v>
      </c>
      <c r="R2966" s="225">
        <f>Base_Periodo1[[#This Row],[CREDITOS]]-Base_Periodo1[[#This Row],[DEBITOS]]</f>
        <v>-73221.100000000006</v>
      </c>
      <c r="S2966" s="3" t="str">
        <f>IF(ISERROR(VLOOKUP(Base_Periodo1[[#This Row],[CONTA]],BaseContasDRE[#All],4,FALSE)),"Fora do DRE",VLOOKUP(Base_Periodo1[[#This Row],[CONTA]],BaseContasDRE[#All],4,FALSE))</f>
        <v>Fora do DRE</v>
      </c>
      <c r="T2966" s="3" t="str">
        <f>IF(ISERROR(VLOOKUP(Base_Periodo1[[#This Row],[CONTA]],BaseContasDRE[#All],5,FALSE)),"Fora do DRE",VLOOKUP(Base_Periodo1[[#This Row],[CONTA]],BaseContasDRE[#All],6,FALSE))</f>
        <v>Fora do DRE</v>
      </c>
      <c r="U2966" s="3" t="str">
        <f>IF(ISERROR(VLOOKUP(Base_Periodo1[[#This Row],[CONTA]],BaseContasDRE[#All],7,FALSE)),"Fora do DRE",VLOOKUP(Base_Periodo1[[#This Row],[CONTA]],BaseContasDRE[#All],7,FALSE))</f>
        <v>Fora do DRE</v>
      </c>
      <c r="V2966" s="3" t="str">
        <f>IF(Base_Periodo1[[#This Row],[Tipo_Linha]]="Fora do DRE","Fora do DRE","( "&amp;Base_Periodo1[[#This Row],[Tipo_Linha]]&amp;" ) "&amp;Base_Periodo1[[#This Row],[Filtro]])</f>
        <v>Fora do DRE</v>
      </c>
      <c r="W2966" s="3" t="str">
        <f>LEFT(Base_Periodo1[[#This Row],[CLASS]],3)</f>
        <v>2.1</v>
      </c>
    </row>
    <row r="2967" spans="1:23" hidden="1">
      <c r="A2967" s="3" t="str">
        <f t="shared" si="46"/>
        <v>Período 1</v>
      </c>
      <c r="B2967">
        <v>3014</v>
      </c>
      <c r="C2967" t="s">
        <v>1745</v>
      </c>
      <c r="D2967" t="s">
        <v>4205</v>
      </c>
      <c r="E2967" s="3" t="str">
        <f>IF(LEN(Base_Periodo1[[#This Row],[CLASS]])&gt;=7,LEFT(Base_Periodo1[[#This Row],[CLASS]],7),"")</f>
        <v>2.1.2.1</v>
      </c>
      <c r="F2967" s="3" t="str">
        <f>VLOOKUP(Base_Periodo1[[#This Row],[Aux]],Base_Contas_Balanco[#All],2,FALSE)</f>
        <v>Fornecedores Cooperados</v>
      </c>
      <c r="G2967" s="1">
        <v>42886</v>
      </c>
      <c r="H2967" s="225">
        <v>1587.1700000000419</v>
      </c>
      <c r="I2967" s="225">
        <v>1020.57</v>
      </c>
      <c r="J2967" s="225">
        <v>1020.57</v>
      </c>
      <c r="K2967" s="225">
        <v>1587.1700000000419</v>
      </c>
      <c r="L29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1587.17</v>
      </c>
      <c r="M2967" s="225">
        <f>ROUND(IF(AND(Base_Periodo1[[#This Row],[Tipo_Linha]]="-",Base_Periodo1[[#This Row],[TIPOSALDO]]="D"),Base_Periodo1[[#This Row],[SALDO_ATUAL]]*-1,Base_Periodo1[[#This Row],[SALDO_ATUAL]]),4)</f>
        <v>1587.17</v>
      </c>
      <c r="N2967" t="s">
        <v>116</v>
      </c>
      <c r="O2967" t="s">
        <v>459</v>
      </c>
      <c r="P2967" t="s">
        <v>459</v>
      </c>
      <c r="Q2967">
        <v>7</v>
      </c>
      <c r="R2967" s="225">
        <f>Base_Periodo1[[#This Row],[CREDITOS]]-Base_Periodo1[[#This Row],[DEBITOS]]</f>
        <v>0</v>
      </c>
      <c r="S2967" s="3" t="str">
        <f>IF(ISERROR(VLOOKUP(Base_Periodo1[[#This Row],[CONTA]],BaseContasDRE[#All],4,FALSE)),"Fora do DRE",VLOOKUP(Base_Periodo1[[#This Row],[CONTA]],BaseContasDRE[#All],4,FALSE))</f>
        <v>Fora do DRE</v>
      </c>
      <c r="T2967" s="3" t="str">
        <f>IF(ISERROR(VLOOKUP(Base_Periodo1[[#This Row],[CONTA]],BaseContasDRE[#All],5,FALSE)),"Fora do DRE",VLOOKUP(Base_Periodo1[[#This Row],[CONTA]],BaseContasDRE[#All],6,FALSE))</f>
        <v>Fora do DRE</v>
      </c>
      <c r="U2967" s="3" t="str">
        <f>IF(ISERROR(VLOOKUP(Base_Periodo1[[#This Row],[CONTA]],BaseContasDRE[#All],7,FALSE)),"Fora do DRE",VLOOKUP(Base_Periodo1[[#This Row],[CONTA]],BaseContasDRE[#All],7,FALSE))</f>
        <v>Fora do DRE</v>
      </c>
      <c r="V2967" s="3" t="str">
        <f>IF(Base_Periodo1[[#This Row],[Tipo_Linha]]="Fora do DRE","Fora do DRE","( "&amp;Base_Periodo1[[#This Row],[Tipo_Linha]]&amp;" ) "&amp;Base_Periodo1[[#This Row],[Filtro]])</f>
        <v>Fora do DRE</v>
      </c>
      <c r="W2967" s="3" t="str">
        <f>LEFT(Base_Periodo1[[#This Row],[CLASS]],3)</f>
        <v>2.1</v>
      </c>
    </row>
    <row r="2968" spans="1:23" hidden="1">
      <c r="A2968" s="3" t="str">
        <f t="shared" si="46"/>
        <v>Período 1</v>
      </c>
      <c r="B2968">
        <v>47558</v>
      </c>
      <c r="C2968" t="s">
        <v>1745</v>
      </c>
      <c r="D2968" t="s">
        <v>5220</v>
      </c>
      <c r="E2968" s="3" t="str">
        <f>IF(LEN(Base_Periodo1[[#This Row],[CLASS]])&gt;=7,LEFT(Base_Periodo1[[#This Row],[CLASS]],7),"")</f>
        <v>2.1.2.1</v>
      </c>
      <c r="F2968" s="3" t="str">
        <f>VLOOKUP(Base_Periodo1[[#This Row],[Aux]],Base_Contas_Balanco[#All],2,FALSE)</f>
        <v>Fornecedores Cooperados</v>
      </c>
      <c r="G2968" s="1">
        <v>42745</v>
      </c>
      <c r="H2968" s="225">
        <v>2.9999999998835847E-2</v>
      </c>
      <c r="I2968" s="225">
        <v>0</v>
      </c>
      <c r="J2968" s="225">
        <v>0</v>
      </c>
      <c r="K2968" s="225">
        <v>2.9999999998835847E-2</v>
      </c>
      <c r="L29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0.03</v>
      </c>
      <c r="M2968" s="225">
        <f>ROUND(IF(AND(Base_Periodo1[[#This Row],[Tipo_Linha]]="-",Base_Periodo1[[#This Row],[TIPOSALDO]]="D"),Base_Periodo1[[#This Row],[SALDO_ATUAL]]*-1,Base_Periodo1[[#This Row],[SALDO_ATUAL]]),4)</f>
        <v>0.03</v>
      </c>
      <c r="N2968" t="s">
        <v>116</v>
      </c>
      <c r="O2968" t="s">
        <v>459</v>
      </c>
      <c r="P2968" t="s">
        <v>459</v>
      </c>
      <c r="Q2968">
        <v>7</v>
      </c>
      <c r="R2968" s="225">
        <f>Base_Periodo1[[#This Row],[CREDITOS]]-Base_Periodo1[[#This Row],[DEBITOS]]</f>
        <v>0</v>
      </c>
      <c r="S2968" s="3" t="str">
        <f>IF(ISERROR(VLOOKUP(Base_Periodo1[[#This Row],[CONTA]],BaseContasDRE[#All],4,FALSE)),"Fora do DRE",VLOOKUP(Base_Periodo1[[#This Row],[CONTA]],BaseContasDRE[#All],4,FALSE))</f>
        <v>Fora do DRE</v>
      </c>
      <c r="T2968" s="3" t="str">
        <f>IF(ISERROR(VLOOKUP(Base_Periodo1[[#This Row],[CONTA]],BaseContasDRE[#All],5,FALSE)),"Fora do DRE",VLOOKUP(Base_Periodo1[[#This Row],[CONTA]],BaseContasDRE[#All],6,FALSE))</f>
        <v>Fora do DRE</v>
      </c>
      <c r="U2968" s="3" t="str">
        <f>IF(ISERROR(VLOOKUP(Base_Periodo1[[#This Row],[CONTA]],BaseContasDRE[#All],7,FALSE)),"Fora do DRE",VLOOKUP(Base_Periodo1[[#This Row],[CONTA]],BaseContasDRE[#All],7,FALSE))</f>
        <v>Fora do DRE</v>
      </c>
      <c r="V2968" s="3" t="str">
        <f>IF(Base_Periodo1[[#This Row],[Tipo_Linha]]="Fora do DRE","Fora do DRE","( "&amp;Base_Periodo1[[#This Row],[Tipo_Linha]]&amp;" ) "&amp;Base_Periodo1[[#This Row],[Filtro]])</f>
        <v>Fora do DRE</v>
      </c>
      <c r="W2968" s="3" t="str">
        <f>LEFT(Base_Periodo1[[#This Row],[CLASS]],3)</f>
        <v>2.1</v>
      </c>
    </row>
    <row r="2969" spans="1:23" hidden="1">
      <c r="A2969" s="3" t="str">
        <f t="shared" si="46"/>
        <v>Período 1</v>
      </c>
      <c r="B2969">
        <v>3202</v>
      </c>
      <c r="C2969" t="s">
        <v>1745</v>
      </c>
      <c r="D2969" t="s">
        <v>1893</v>
      </c>
      <c r="E2969" s="3" t="str">
        <f>IF(LEN(Base_Periodo1[[#This Row],[CLASS]])&gt;=7,LEFT(Base_Periodo1[[#This Row],[CLASS]],7),"")</f>
        <v>2.1.2.1</v>
      </c>
      <c r="F2969" s="3" t="str">
        <f>VLOOKUP(Base_Periodo1[[#This Row],[Aux]],Base_Contas_Balanco[#All],2,FALSE)</f>
        <v>Fornecedores Cooperados</v>
      </c>
      <c r="G2969" s="1">
        <v>42850</v>
      </c>
      <c r="H2969" s="225">
        <v>9343.480000001844</v>
      </c>
      <c r="I2969" s="225">
        <v>0</v>
      </c>
      <c r="J2969" s="225">
        <v>0</v>
      </c>
      <c r="K2969" s="225">
        <v>9343.480000001844</v>
      </c>
      <c r="L29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9343.48</v>
      </c>
      <c r="M2969" s="225">
        <f>ROUND(IF(AND(Base_Periodo1[[#This Row],[Tipo_Linha]]="-",Base_Periodo1[[#This Row],[TIPOSALDO]]="D"),Base_Periodo1[[#This Row],[SALDO_ATUAL]]*-1,Base_Periodo1[[#This Row],[SALDO_ATUAL]]),4)</f>
        <v>9343.48</v>
      </c>
      <c r="N2969" t="s">
        <v>116</v>
      </c>
      <c r="O2969" t="s">
        <v>459</v>
      </c>
      <c r="P2969" t="s">
        <v>459</v>
      </c>
      <c r="Q2969">
        <v>7</v>
      </c>
      <c r="R2969" s="225">
        <f>Base_Periodo1[[#This Row],[CREDITOS]]-Base_Periodo1[[#This Row],[DEBITOS]]</f>
        <v>0</v>
      </c>
      <c r="S2969" s="3" t="str">
        <f>IF(ISERROR(VLOOKUP(Base_Periodo1[[#This Row],[CONTA]],BaseContasDRE[#All],4,FALSE)),"Fora do DRE",VLOOKUP(Base_Periodo1[[#This Row],[CONTA]],BaseContasDRE[#All],4,FALSE))</f>
        <v>Fora do DRE</v>
      </c>
      <c r="T2969" s="3" t="str">
        <f>IF(ISERROR(VLOOKUP(Base_Periodo1[[#This Row],[CONTA]],BaseContasDRE[#All],5,FALSE)),"Fora do DRE",VLOOKUP(Base_Periodo1[[#This Row],[CONTA]],BaseContasDRE[#All],6,FALSE))</f>
        <v>Fora do DRE</v>
      </c>
      <c r="U2969" s="3" t="str">
        <f>IF(ISERROR(VLOOKUP(Base_Periodo1[[#This Row],[CONTA]],BaseContasDRE[#All],7,FALSE)),"Fora do DRE",VLOOKUP(Base_Periodo1[[#This Row],[CONTA]],BaseContasDRE[#All],7,FALSE))</f>
        <v>Fora do DRE</v>
      </c>
      <c r="V2969" s="3" t="str">
        <f>IF(Base_Periodo1[[#This Row],[Tipo_Linha]]="Fora do DRE","Fora do DRE","( "&amp;Base_Periodo1[[#This Row],[Tipo_Linha]]&amp;" ) "&amp;Base_Periodo1[[#This Row],[Filtro]])</f>
        <v>Fora do DRE</v>
      </c>
      <c r="W2969" s="3" t="str">
        <f>LEFT(Base_Periodo1[[#This Row],[CLASS]],3)</f>
        <v>2.1</v>
      </c>
    </row>
    <row r="2970" spans="1:23" hidden="1">
      <c r="A2970" s="3" t="str">
        <f t="shared" si="46"/>
        <v>Período 1</v>
      </c>
      <c r="B2970">
        <v>18558</v>
      </c>
      <c r="C2970" t="s">
        <v>1745</v>
      </c>
      <c r="D2970" t="s">
        <v>6380</v>
      </c>
      <c r="E2970" s="3" t="str">
        <f>IF(LEN(Base_Periodo1[[#This Row],[CLASS]])&gt;=7,LEFT(Base_Periodo1[[#This Row],[CLASS]],7),"")</f>
        <v>2.1.2.1</v>
      </c>
      <c r="F2970" s="3" t="str">
        <f>VLOOKUP(Base_Periodo1[[#This Row],[Aux]],Base_Contas_Balanco[#All],2,FALSE)</f>
        <v>Fornecedores Cooperados</v>
      </c>
      <c r="G2970" s="1">
        <v>42851</v>
      </c>
      <c r="H2970" s="225">
        <v>32782.740000000005</v>
      </c>
      <c r="I2970" s="225">
        <v>0</v>
      </c>
      <c r="J2970" s="225">
        <v>0</v>
      </c>
      <c r="K2970" s="225">
        <v>32782.740000000005</v>
      </c>
      <c r="L29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32782.74</v>
      </c>
      <c r="M2970" s="225">
        <f>ROUND(IF(AND(Base_Periodo1[[#This Row],[Tipo_Linha]]="-",Base_Periodo1[[#This Row],[TIPOSALDO]]="D"),Base_Periodo1[[#This Row],[SALDO_ATUAL]]*-1,Base_Periodo1[[#This Row],[SALDO_ATUAL]]),4)</f>
        <v>32782.74</v>
      </c>
      <c r="N2970" t="s">
        <v>116</v>
      </c>
      <c r="O2970" t="s">
        <v>459</v>
      </c>
      <c r="P2970" t="s">
        <v>459</v>
      </c>
      <c r="Q2970">
        <v>7</v>
      </c>
      <c r="R2970" s="225">
        <f>Base_Periodo1[[#This Row],[CREDITOS]]-Base_Periodo1[[#This Row],[DEBITOS]]</f>
        <v>0</v>
      </c>
      <c r="S2970" s="3" t="str">
        <f>IF(ISERROR(VLOOKUP(Base_Periodo1[[#This Row],[CONTA]],BaseContasDRE[#All],4,FALSE)),"Fora do DRE",VLOOKUP(Base_Periodo1[[#This Row],[CONTA]],BaseContasDRE[#All],4,FALSE))</f>
        <v>Fora do DRE</v>
      </c>
      <c r="T2970" s="3" t="str">
        <f>IF(ISERROR(VLOOKUP(Base_Periodo1[[#This Row],[CONTA]],BaseContasDRE[#All],5,FALSE)),"Fora do DRE",VLOOKUP(Base_Periodo1[[#This Row],[CONTA]],BaseContasDRE[#All],6,FALSE))</f>
        <v>Fora do DRE</v>
      </c>
      <c r="U2970" s="3" t="str">
        <f>IF(ISERROR(VLOOKUP(Base_Periodo1[[#This Row],[CONTA]],BaseContasDRE[#All],7,FALSE)),"Fora do DRE",VLOOKUP(Base_Periodo1[[#This Row],[CONTA]],BaseContasDRE[#All],7,FALSE))</f>
        <v>Fora do DRE</v>
      </c>
      <c r="V2970" s="3" t="str">
        <f>IF(Base_Periodo1[[#This Row],[Tipo_Linha]]="Fora do DRE","Fora do DRE","( "&amp;Base_Periodo1[[#This Row],[Tipo_Linha]]&amp;" ) "&amp;Base_Periodo1[[#This Row],[Filtro]])</f>
        <v>Fora do DRE</v>
      </c>
      <c r="W2970" s="3" t="str">
        <f>LEFT(Base_Periodo1[[#This Row],[CLASS]],3)</f>
        <v>2.1</v>
      </c>
    </row>
    <row r="2971" spans="1:23" hidden="1">
      <c r="A2971" s="3" t="str">
        <f t="shared" si="46"/>
        <v>Período 1</v>
      </c>
      <c r="B2971">
        <v>4250</v>
      </c>
      <c r="C2971" t="s">
        <v>1745</v>
      </c>
      <c r="D2971" t="s">
        <v>5423</v>
      </c>
      <c r="E2971" s="3" t="str">
        <f>IF(LEN(Base_Periodo1[[#This Row],[CLASS]])&gt;=7,LEFT(Base_Periodo1[[#This Row],[CLASS]],7),"")</f>
        <v>2.1.2.1</v>
      </c>
      <c r="F2971" s="3" t="str">
        <f>VLOOKUP(Base_Periodo1[[#This Row],[Aux]],Base_Contas_Balanco[#All],2,FALSE)</f>
        <v>Fornecedores Cooperados</v>
      </c>
      <c r="G2971" s="1">
        <v>42874</v>
      </c>
      <c r="H2971" s="225">
        <v>1331.1899999999951</v>
      </c>
      <c r="I2971" s="225">
        <v>0</v>
      </c>
      <c r="J2971" s="225">
        <v>5344.9</v>
      </c>
      <c r="K2971" s="225">
        <v>6676.0899999999947</v>
      </c>
      <c r="L29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6676.09</v>
      </c>
      <c r="M2971" s="225">
        <f>ROUND(IF(AND(Base_Periodo1[[#This Row],[Tipo_Linha]]="-",Base_Periodo1[[#This Row],[TIPOSALDO]]="D"),Base_Periodo1[[#This Row],[SALDO_ATUAL]]*-1,Base_Periodo1[[#This Row],[SALDO_ATUAL]]),4)</f>
        <v>6676.09</v>
      </c>
      <c r="N2971" t="s">
        <v>116</v>
      </c>
      <c r="O2971" t="s">
        <v>459</v>
      </c>
      <c r="P2971" t="s">
        <v>459</v>
      </c>
      <c r="Q2971">
        <v>7</v>
      </c>
      <c r="R2971" s="225">
        <f>Base_Periodo1[[#This Row],[CREDITOS]]-Base_Periodo1[[#This Row],[DEBITOS]]</f>
        <v>5344.9</v>
      </c>
      <c r="S2971" s="3" t="str">
        <f>IF(ISERROR(VLOOKUP(Base_Periodo1[[#This Row],[CONTA]],BaseContasDRE[#All],4,FALSE)),"Fora do DRE",VLOOKUP(Base_Periodo1[[#This Row],[CONTA]],BaseContasDRE[#All],4,FALSE))</f>
        <v>Fora do DRE</v>
      </c>
      <c r="T2971" s="3" t="str">
        <f>IF(ISERROR(VLOOKUP(Base_Periodo1[[#This Row],[CONTA]],BaseContasDRE[#All],5,FALSE)),"Fora do DRE",VLOOKUP(Base_Periodo1[[#This Row],[CONTA]],BaseContasDRE[#All],6,FALSE))</f>
        <v>Fora do DRE</v>
      </c>
      <c r="U2971" s="3" t="str">
        <f>IF(ISERROR(VLOOKUP(Base_Periodo1[[#This Row],[CONTA]],BaseContasDRE[#All],7,FALSE)),"Fora do DRE",VLOOKUP(Base_Periodo1[[#This Row],[CONTA]],BaseContasDRE[#All],7,FALSE))</f>
        <v>Fora do DRE</v>
      </c>
      <c r="V2971" s="3" t="str">
        <f>IF(Base_Periodo1[[#This Row],[Tipo_Linha]]="Fora do DRE","Fora do DRE","( "&amp;Base_Periodo1[[#This Row],[Tipo_Linha]]&amp;" ) "&amp;Base_Periodo1[[#This Row],[Filtro]])</f>
        <v>Fora do DRE</v>
      </c>
      <c r="W2971" s="3" t="str">
        <f>LEFT(Base_Periodo1[[#This Row],[CLASS]],3)</f>
        <v>2.1</v>
      </c>
    </row>
    <row r="2972" spans="1:23" hidden="1">
      <c r="A2972" s="3" t="str">
        <f t="shared" si="46"/>
        <v>Período 1</v>
      </c>
      <c r="B2972">
        <v>4226</v>
      </c>
      <c r="C2972" t="s">
        <v>1745</v>
      </c>
      <c r="D2972" t="s">
        <v>5711</v>
      </c>
      <c r="E2972" s="3" t="str">
        <f>IF(LEN(Base_Periodo1[[#This Row],[CLASS]])&gt;=7,LEFT(Base_Periodo1[[#This Row],[CLASS]],7),"")</f>
        <v>2.1.2.1</v>
      </c>
      <c r="F2972" s="3" t="str">
        <f>VLOOKUP(Base_Periodo1[[#This Row],[Aux]],Base_Contas_Balanco[#All],2,FALSE)</f>
        <v>Fornecedores Cooperados</v>
      </c>
      <c r="G2972" s="1">
        <v>42766</v>
      </c>
      <c r="H2972" s="225">
        <v>16137.869999999995</v>
      </c>
      <c r="I2972" s="225">
        <v>0</v>
      </c>
      <c r="J2972" s="225">
        <v>0</v>
      </c>
      <c r="K2972" s="225">
        <v>16137.869999999995</v>
      </c>
      <c r="L29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16137.87</v>
      </c>
      <c r="M2972" s="225">
        <f>ROUND(IF(AND(Base_Periodo1[[#This Row],[Tipo_Linha]]="-",Base_Periodo1[[#This Row],[TIPOSALDO]]="D"),Base_Periodo1[[#This Row],[SALDO_ATUAL]]*-1,Base_Periodo1[[#This Row],[SALDO_ATUAL]]),4)</f>
        <v>16137.87</v>
      </c>
      <c r="N2972" t="s">
        <v>116</v>
      </c>
      <c r="O2972" t="s">
        <v>459</v>
      </c>
      <c r="P2972" t="s">
        <v>459</v>
      </c>
      <c r="Q2972">
        <v>7</v>
      </c>
      <c r="R2972" s="225">
        <f>Base_Periodo1[[#This Row],[CREDITOS]]-Base_Periodo1[[#This Row],[DEBITOS]]</f>
        <v>0</v>
      </c>
      <c r="S2972" s="3" t="str">
        <f>IF(ISERROR(VLOOKUP(Base_Periodo1[[#This Row],[CONTA]],BaseContasDRE[#All],4,FALSE)),"Fora do DRE",VLOOKUP(Base_Periodo1[[#This Row],[CONTA]],BaseContasDRE[#All],4,FALSE))</f>
        <v>Fora do DRE</v>
      </c>
      <c r="T2972" s="3" t="str">
        <f>IF(ISERROR(VLOOKUP(Base_Periodo1[[#This Row],[CONTA]],BaseContasDRE[#All],5,FALSE)),"Fora do DRE",VLOOKUP(Base_Periodo1[[#This Row],[CONTA]],BaseContasDRE[#All],6,FALSE))</f>
        <v>Fora do DRE</v>
      </c>
      <c r="U2972" s="3" t="str">
        <f>IF(ISERROR(VLOOKUP(Base_Periodo1[[#This Row],[CONTA]],BaseContasDRE[#All],7,FALSE)),"Fora do DRE",VLOOKUP(Base_Periodo1[[#This Row],[CONTA]],BaseContasDRE[#All],7,FALSE))</f>
        <v>Fora do DRE</v>
      </c>
      <c r="V2972" s="3" t="str">
        <f>IF(Base_Periodo1[[#This Row],[Tipo_Linha]]="Fora do DRE","Fora do DRE","( "&amp;Base_Periodo1[[#This Row],[Tipo_Linha]]&amp;" ) "&amp;Base_Periodo1[[#This Row],[Filtro]])</f>
        <v>Fora do DRE</v>
      </c>
      <c r="W2972" s="3" t="str">
        <f>LEFT(Base_Periodo1[[#This Row],[CLASS]],3)</f>
        <v>2.1</v>
      </c>
    </row>
    <row r="2973" spans="1:23" hidden="1">
      <c r="A2973" s="3" t="str">
        <f t="shared" si="46"/>
        <v>Período 1</v>
      </c>
      <c r="B2973">
        <v>2810</v>
      </c>
      <c r="C2973" t="s">
        <v>1745</v>
      </c>
      <c r="D2973" t="s">
        <v>1894</v>
      </c>
      <c r="E2973" s="3" t="str">
        <f>IF(LEN(Base_Periodo1[[#This Row],[CLASS]])&gt;=7,LEFT(Base_Periodo1[[#This Row],[CLASS]],7),"")</f>
        <v>2.1.2.1</v>
      </c>
      <c r="F2973" s="3" t="str">
        <f>VLOOKUP(Base_Periodo1[[#This Row],[Aux]],Base_Contas_Balanco[#All],2,FALSE)</f>
        <v>Fornecedores Cooperados</v>
      </c>
      <c r="G2973" s="1">
        <v>42881</v>
      </c>
      <c r="H2973" s="225">
        <v>0.26999999998952262</v>
      </c>
      <c r="I2973" s="225">
        <v>0</v>
      </c>
      <c r="J2973" s="225">
        <v>5348.75</v>
      </c>
      <c r="K2973" s="225">
        <v>5349.0199999999895</v>
      </c>
      <c r="L29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5349.02</v>
      </c>
      <c r="M2973" s="225">
        <f>ROUND(IF(AND(Base_Periodo1[[#This Row],[Tipo_Linha]]="-",Base_Periodo1[[#This Row],[TIPOSALDO]]="D"),Base_Periodo1[[#This Row],[SALDO_ATUAL]]*-1,Base_Periodo1[[#This Row],[SALDO_ATUAL]]),4)</f>
        <v>5349.02</v>
      </c>
      <c r="N2973" t="s">
        <v>116</v>
      </c>
      <c r="O2973" t="s">
        <v>459</v>
      </c>
      <c r="P2973" t="s">
        <v>459</v>
      </c>
      <c r="Q2973">
        <v>7</v>
      </c>
      <c r="R2973" s="225">
        <f>Base_Periodo1[[#This Row],[CREDITOS]]-Base_Periodo1[[#This Row],[DEBITOS]]</f>
        <v>5348.75</v>
      </c>
      <c r="S2973" s="3" t="str">
        <f>IF(ISERROR(VLOOKUP(Base_Periodo1[[#This Row],[CONTA]],BaseContasDRE[#All],4,FALSE)),"Fora do DRE",VLOOKUP(Base_Periodo1[[#This Row],[CONTA]],BaseContasDRE[#All],4,FALSE))</f>
        <v>Fora do DRE</v>
      </c>
      <c r="T2973" s="3" t="str">
        <f>IF(ISERROR(VLOOKUP(Base_Periodo1[[#This Row],[CONTA]],BaseContasDRE[#All],5,FALSE)),"Fora do DRE",VLOOKUP(Base_Periodo1[[#This Row],[CONTA]],BaseContasDRE[#All],6,FALSE))</f>
        <v>Fora do DRE</v>
      </c>
      <c r="U2973" s="3" t="str">
        <f>IF(ISERROR(VLOOKUP(Base_Periodo1[[#This Row],[CONTA]],BaseContasDRE[#All],7,FALSE)),"Fora do DRE",VLOOKUP(Base_Periodo1[[#This Row],[CONTA]],BaseContasDRE[#All],7,FALSE))</f>
        <v>Fora do DRE</v>
      </c>
      <c r="V2973" s="3" t="str">
        <f>IF(Base_Periodo1[[#This Row],[Tipo_Linha]]="Fora do DRE","Fora do DRE","( "&amp;Base_Periodo1[[#This Row],[Tipo_Linha]]&amp;" ) "&amp;Base_Periodo1[[#This Row],[Filtro]])</f>
        <v>Fora do DRE</v>
      </c>
      <c r="W2973" s="3" t="str">
        <f>LEFT(Base_Periodo1[[#This Row],[CLASS]],3)</f>
        <v>2.1</v>
      </c>
    </row>
    <row r="2974" spans="1:23" hidden="1">
      <c r="A2974" s="3" t="str">
        <f t="shared" si="46"/>
        <v>Período 1</v>
      </c>
      <c r="B2974">
        <v>52977</v>
      </c>
      <c r="C2974" t="s">
        <v>1745</v>
      </c>
      <c r="D2974" t="s">
        <v>5521</v>
      </c>
      <c r="E2974" s="3" t="str">
        <f>IF(LEN(Base_Periodo1[[#This Row],[CLASS]])&gt;=7,LEFT(Base_Periodo1[[#This Row],[CLASS]],7),"")</f>
        <v>2.1.2.1</v>
      </c>
      <c r="F2974" s="3" t="str">
        <f>VLOOKUP(Base_Periodo1[[#This Row],[Aux]],Base_Contas_Balanco[#All],2,FALSE)</f>
        <v>Fornecedores Cooperados</v>
      </c>
      <c r="G2974" s="1">
        <v>42867</v>
      </c>
      <c r="H2974" s="225">
        <v>4560</v>
      </c>
      <c r="I2974" s="225">
        <v>1900</v>
      </c>
      <c r="J2974" s="225">
        <v>0</v>
      </c>
      <c r="K2974" s="225">
        <v>2660</v>
      </c>
      <c r="L29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2660</v>
      </c>
      <c r="M2974" s="225">
        <f>ROUND(IF(AND(Base_Periodo1[[#This Row],[Tipo_Linha]]="-",Base_Periodo1[[#This Row],[TIPOSALDO]]="D"),Base_Periodo1[[#This Row],[SALDO_ATUAL]]*-1,Base_Periodo1[[#This Row],[SALDO_ATUAL]]),4)</f>
        <v>2660</v>
      </c>
      <c r="N2974" t="s">
        <v>116</v>
      </c>
      <c r="O2974" t="s">
        <v>459</v>
      </c>
      <c r="P2974" t="s">
        <v>459</v>
      </c>
      <c r="Q2974">
        <v>7</v>
      </c>
      <c r="R2974" s="225">
        <f>Base_Periodo1[[#This Row],[CREDITOS]]-Base_Periodo1[[#This Row],[DEBITOS]]</f>
        <v>-1900</v>
      </c>
      <c r="S2974" s="3" t="str">
        <f>IF(ISERROR(VLOOKUP(Base_Periodo1[[#This Row],[CONTA]],BaseContasDRE[#All],4,FALSE)),"Fora do DRE",VLOOKUP(Base_Periodo1[[#This Row],[CONTA]],BaseContasDRE[#All],4,FALSE))</f>
        <v>Fora do DRE</v>
      </c>
      <c r="T2974" s="3" t="str">
        <f>IF(ISERROR(VLOOKUP(Base_Periodo1[[#This Row],[CONTA]],BaseContasDRE[#All],5,FALSE)),"Fora do DRE",VLOOKUP(Base_Periodo1[[#This Row],[CONTA]],BaseContasDRE[#All],6,FALSE))</f>
        <v>Fora do DRE</v>
      </c>
      <c r="U2974" s="3" t="str">
        <f>IF(ISERROR(VLOOKUP(Base_Periodo1[[#This Row],[CONTA]],BaseContasDRE[#All],7,FALSE)),"Fora do DRE",VLOOKUP(Base_Periodo1[[#This Row],[CONTA]],BaseContasDRE[#All],7,FALSE))</f>
        <v>Fora do DRE</v>
      </c>
      <c r="V2974" s="3" t="str">
        <f>IF(Base_Periodo1[[#This Row],[Tipo_Linha]]="Fora do DRE","Fora do DRE","( "&amp;Base_Periodo1[[#This Row],[Tipo_Linha]]&amp;" ) "&amp;Base_Periodo1[[#This Row],[Filtro]])</f>
        <v>Fora do DRE</v>
      </c>
      <c r="W2974" s="3" t="str">
        <f>LEFT(Base_Periodo1[[#This Row],[CLASS]],3)</f>
        <v>2.1</v>
      </c>
    </row>
    <row r="2975" spans="1:23" hidden="1">
      <c r="A2975" s="3" t="str">
        <f t="shared" si="46"/>
        <v>Período 1</v>
      </c>
      <c r="B2975">
        <v>7775</v>
      </c>
      <c r="C2975" t="s">
        <v>1745</v>
      </c>
      <c r="D2975" t="s">
        <v>1895</v>
      </c>
      <c r="E2975" s="3" t="str">
        <f>IF(LEN(Base_Periodo1[[#This Row],[CLASS]])&gt;=7,LEFT(Base_Periodo1[[#This Row],[CLASS]],7),"")</f>
        <v>2.1.2.1</v>
      </c>
      <c r="F2975" s="3" t="str">
        <f>VLOOKUP(Base_Periodo1[[#This Row],[Aux]],Base_Contas_Balanco[#All],2,FALSE)</f>
        <v>Fornecedores Cooperados</v>
      </c>
      <c r="G2975" s="1">
        <v>42684</v>
      </c>
      <c r="H2975" s="225">
        <v>0.45999999999185093</v>
      </c>
      <c r="I2975" s="225">
        <v>0</v>
      </c>
      <c r="J2975" s="225">
        <v>0</v>
      </c>
      <c r="K2975" s="225">
        <v>0.45999999999185093</v>
      </c>
      <c r="L29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0.46</v>
      </c>
      <c r="M2975" s="225">
        <f>ROUND(IF(AND(Base_Periodo1[[#This Row],[Tipo_Linha]]="-",Base_Periodo1[[#This Row],[TIPOSALDO]]="D"),Base_Periodo1[[#This Row],[SALDO_ATUAL]]*-1,Base_Periodo1[[#This Row],[SALDO_ATUAL]]),4)</f>
        <v>0.46</v>
      </c>
      <c r="N2975" t="s">
        <v>116</v>
      </c>
      <c r="O2975" t="s">
        <v>459</v>
      </c>
      <c r="P2975" t="s">
        <v>459</v>
      </c>
      <c r="Q2975">
        <v>7</v>
      </c>
      <c r="R2975" s="225">
        <f>Base_Periodo1[[#This Row],[CREDITOS]]-Base_Periodo1[[#This Row],[DEBITOS]]</f>
        <v>0</v>
      </c>
      <c r="S2975" s="3" t="str">
        <f>IF(ISERROR(VLOOKUP(Base_Periodo1[[#This Row],[CONTA]],BaseContasDRE[#All],4,FALSE)),"Fora do DRE",VLOOKUP(Base_Periodo1[[#This Row],[CONTA]],BaseContasDRE[#All],4,FALSE))</f>
        <v>Fora do DRE</v>
      </c>
      <c r="T2975" s="3" t="str">
        <f>IF(ISERROR(VLOOKUP(Base_Periodo1[[#This Row],[CONTA]],BaseContasDRE[#All],5,FALSE)),"Fora do DRE",VLOOKUP(Base_Periodo1[[#This Row],[CONTA]],BaseContasDRE[#All],6,FALSE))</f>
        <v>Fora do DRE</v>
      </c>
      <c r="U2975" s="3" t="str">
        <f>IF(ISERROR(VLOOKUP(Base_Periodo1[[#This Row],[CONTA]],BaseContasDRE[#All],7,FALSE)),"Fora do DRE",VLOOKUP(Base_Periodo1[[#This Row],[CONTA]],BaseContasDRE[#All],7,FALSE))</f>
        <v>Fora do DRE</v>
      </c>
      <c r="V2975" s="3" t="str">
        <f>IF(Base_Periodo1[[#This Row],[Tipo_Linha]]="Fora do DRE","Fora do DRE","( "&amp;Base_Periodo1[[#This Row],[Tipo_Linha]]&amp;" ) "&amp;Base_Periodo1[[#This Row],[Filtro]])</f>
        <v>Fora do DRE</v>
      </c>
      <c r="W2975" s="3" t="str">
        <f>LEFT(Base_Periodo1[[#This Row],[CLASS]],3)</f>
        <v>2.1</v>
      </c>
    </row>
    <row r="2976" spans="1:23" hidden="1">
      <c r="A2976" s="3" t="str">
        <f t="shared" si="46"/>
        <v>Período 1</v>
      </c>
      <c r="B2976">
        <v>39625</v>
      </c>
      <c r="C2976" t="s">
        <v>1745</v>
      </c>
      <c r="D2976" t="s">
        <v>6381</v>
      </c>
      <c r="E2976" s="3" t="str">
        <f>IF(LEN(Base_Periodo1[[#This Row],[CLASS]])&gt;=7,LEFT(Base_Periodo1[[#This Row],[CLASS]],7),"")</f>
        <v>2.1.2.1</v>
      </c>
      <c r="F2976" s="3" t="str">
        <f>VLOOKUP(Base_Periodo1[[#This Row],[Aux]],Base_Contas_Balanco[#All],2,FALSE)</f>
        <v>Fornecedores Cooperados</v>
      </c>
      <c r="G2976" s="1">
        <v>42844</v>
      </c>
      <c r="H2976" s="225">
        <v>1748.5100000000002</v>
      </c>
      <c r="I2976" s="225">
        <v>0</v>
      </c>
      <c r="J2976" s="225">
        <v>0</v>
      </c>
      <c r="K2976" s="225">
        <v>1748.5100000000002</v>
      </c>
      <c r="L29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1748.51</v>
      </c>
      <c r="M2976" s="225">
        <f>ROUND(IF(AND(Base_Periodo1[[#This Row],[Tipo_Linha]]="-",Base_Periodo1[[#This Row],[TIPOSALDO]]="D"),Base_Periodo1[[#This Row],[SALDO_ATUAL]]*-1,Base_Periodo1[[#This Row],[SALDO_ATUAL]]),4)</f>
        <v>1748.51</v>
      </c>
      <c r="N2976" t="s">
        <v>116</v>
      </c>
      <c r="O2976" t="s">
        <v>459</v>
      </c>
      <c r="P2976" t="s">
        <v>459</v>
      </c>
      <c r="Q2976">
        <v>7</v>
      </c>
      <c r="R2976" s="225">
        <f>Base_Periodo1[[#This Row],[CREDITOS]]-Base_Periodo1[[#This Row],[DEBITOS]]</f>
        <v>0</v>
      </c>
      <c r="S2976" s="3" t="str">
        <f>IF(ISERROR(VLOOKUP(Base_Periodo1[[#This Row],[CONTA]],BaseContasDRE[#All],4,FALSE)),"Fora do DRE",VLOOKUP(Base_Periodo1[[#This Row],[CONTA]],BaseContasDRE[#All],4,FALSE))</f>
        <v>Fora do DRE</v>
      </c>
      <c r="T2976" s="3" t="str">
        <f>IF(ISERROR(VLOOKUP(Base_Periodo1[[#This Row],[CONTA]],BaseContasDRE[#All],5,FALSE)),"Fora do DRE",VLOOKUP(Base_Periodo1[[#This Row],[CONTA]],BaseContasDRE[#All],6,FALSE))</f>
        <v>Fora do DRE</v>
      </c>
      <c r="U2976" s="3" t="str">
        <f>IF(ISERROR(VLOOKUP(Base_Periodo1[[#This Row],[CONTA]],BaseContasDRE[#All],7,FALSE)),"Fora do DRE",VLOOKUP(Base_Periodo1[[#This Row],[CONTA]],BaseContasDRE[#All],7,FALSE))</f>
        <v>Fora do DRE</v>
      </c>
      <c r="V2976" s="3" t="str">
        <f>IF(Base_Periodo1[[#This Row],[Tipo_Linha]]="Fora do DRE","Fora do DRE","( "&amp;Base_Periodo1[[#This Row],[Tipo_Linha]]&amp;" ) "&amp;Base_Periodo1[[#This Row],[Filtro]])</f>
        <v>Fora do DRE</v>
      </c>
      <c r="W2976" s="3" t="str">
        <f>LEFT(Base_Periodo1[[#This Row],[CLASS]],3)</f>
        <v>2.1</v>
      </c>
    </row>
    <row r="2977" spans="1:23" hidden="1">
      <c r="A2977" s="3" t="str">
        <f t="shared" si="46"/>
        <v>Período 1</v>
      </c>
      <c r="B2977">
        <v>2994</v>
      </c>
      <c r="C2977" t="s">
        <v>1745</v>
      </c>
      <c r="D2977" t="s">
        <v>6883</v>
      </c>
      <c r="E2977" s="3" t="str">
        <f>IF(LEN(Base_Periodo1[[#This Row],[CLASS]])&gt;=7,LEFT(Base_Periodo1[[#This Row],[CLASS]],7),"")</f>
        <v>2.1.2.1</v>
      </c>
      <c r="F2977" s="3" t="str">
        <f>VLOOKUP(Base_Periodo1[[#This Row],[Aux]],Base_Contas_Balanco[#All],2,FALSE)</f>
        <v>Fornecedores Cooperados</v>
      </c>
      <c r="G2977" s="1">
        <v>42884</v>
      </c>
      <c r="I2977" s="225">
        <v>0</v>
      </c>
      <c r="J2977" s="225">
        <v>7468.01</v>
      </c>
      <c r="K2977" s="225">
        <v>7468.01</v>
      </c>
      <c r="L29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7468.01</v>
      </c>
      <c r="M2977" s="225">
        <f>ROUND(IF(AND(Base_Periodo1[[#This Row],[Tipo_Linha]]="-",Base_Periodo1[[#This Row],[TIPOSALDO]]="D"),Base_Periodo1[[#This Row],[SALDO_ATUAL]]*-1,Base_Periodo1[[#This Row],[SALDO_ATUAL]]),4)</f>
        <v>7468.01</v>
      </c>
      <c r="N2977" t="s">
        <v>116</v>
      </c>
      <c r="O2977" t="s">
        <v>436</v>
      </c>
      <c r="P2977" t="s">
        <v>459</v>
      </c>
      <c r="Q2977">
        <v>7</v>
      </c>
      <c r="R2977" s="225">
        <f>Base_Periodo1[[#This Row],[CREDITOS]]-Base_Periodo1[[#This Row],[DEBITOS]]</f>
        <v>7468.01</v>
      </c>
      <c r="S2977" s="3" t="str">
        <f>IF(ISERROR(VLOOKUP(Base_Periodo1[[#This Row],[CONTA]],BaseContasDRE[#All],4,FALSE)),"Fora do DRE",VLOOKUP(Base_Periodo1[[#This Row],[CONTA]],BaseContasDRE[#All],4,FALSE))</f>
        <v>Fora do DRE</v>
      </c>
      <c r="T2977" s="3" t="str">
        <f>IF(ISERROR(VLOOKUP(Base_Periodo1[[#This Row],[CONTA]],BaseContasDRE[#All],5,FALSE)),"Fora do DRE",VLOOKUP(Base_Periodo1[[#This Row],[CONTA]],BaseContasDRE[#All],6,FALSE))</f>
        <v>Fora do DRE</v>
      </c>
      <c r="U2977" s="3" t="str">
        <f>IF(ISERROR(VLOOKUP(Base_Periodo1[[#This Row],[CONTA]],BaseContasDRE[#All],7,FALSE)),"Fora do DRE",VLOOKUP(Base_Periodo1[[#This Row],[CONTA]],BaseContasDRE[#All],7,FALSE))</f>
        <v>Fora do DRE</v>
      </c>
      <c r="V2977" s="3" t="str">
        <f>IF(Base_Periodo1[[#This Row],[Tipo_Linha]]="Fora do DRE","Fora do DRE","( "&amp;Base_Periodo1[[#This Row],[Tipo_Linha]]&amp;" ) "&amp;Base_Periodo1[[#This Row],[Filtro]])</f>
        <v>Fora do DRE</v>
      </c>
      <c r="W2977" s="3" t="str">
        <f>LEFT(Base_Periodo1[[#This Row],[CLASS]],3)</f>
        <v>2.1</v>
      </c>
    </row>
    <row r="2978" spans="1:23" hidden="1">
      <c r="A2978" s="3" t="str">
        <f t="shared" si="46"/>
        <v>Período 1</v>
      </c>
      <c r="B2978">
        <v>14895</v>
      </c>
      <c r="C2978" t="s">
        <v>1745</v>
      </c>
      <c r="D2978" t="s">
        <v>1896</v>
      </c>
      <c r="E2978" s="3" t="str">
        <f>IF(LEN(Base_Periodo1[[#This Row],[CLASS]])&gt;=7,LEFT(Base_Periodo1[[#This Row],[CLASS]],7),"")</f>
        <v>2.1.2.1</v>
      </c>
      <c r="F2978" s="3" t="str">
        <f>VLOOKUP(Base_Periodo1[[#This Row],[Aux]],Base_Contas_Balanco[#All],2,FALSE)</f>
        <v>Fornecedores Cooperados</v>
      </c>
      <c r="G2978" s="1">
        <v>42881</v>
      </c>
      <c r="H2978" s="225">
        <v>19048.989999999932</v>
      </c>
      <c r="I2978" s="225">
        <v>1684.68</v>
      </c>
      <c r="J2978" s="225">
        <v>8370.08</v>
      </c>
      <c r="K2978" s="225">
        <v>25734.389999999934</v>
      </c>
      <c r="L29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25734.39</v>
      </c>
      <c r="M2978" s="225">
        <f>ROUND(IF(AND(Base_Periodo1[[#This Row],[Tipo_Linha]]="-",Base_Periodo1[[#This Row],[TIPOSALDO]]="D"),Base_Periodo1[[#This Row],[SALDO_ATUAL]]*-1,Base_Periodo1[[#This Row],[SALDO_ATUAL]]),4)</f>
        <v>25734.39</v>
      </c>
      <c r="N2978" t="s">
        <v>116</v>
      </c>
      <c r="O2978" t="s">
        <v>459</v>
      </c>
      <c r="P2978" t="s">
        <v>459</v>
      </c>
      <c r="Q2978">
        <v>7</v>
      </c>
      <c r="R2978" s="225">
        <f>Base_Periodo1[[#This Row],[CREDITOS]]-Base_Periodo1[[#This Row],[DEBITOS]]</f>
        <v>6685.4</v>
      </c>
      <c r="S2978" s="3" t="str">
        <f>IF(ISERROR(VLOOKUP(Base_Periodo1[[#This Row],[CONTA]],BaseContasDRE[#All],4,FALSE)),"Fora do DRE",VLOOKUP(Base_Periodo1[[#This Row],[CONTA]],BaseContasDRE[#All],4,FALSE))</f>
        <v>Fora do DRE</v>
      </c>
      <c r="T2978" s="3" t="str">
        <f>IF(ISERROR(VLOOKUP(Base_Periodo1[[#This Row],[CONTA]],BaseContasDRE[#All],5,FALSE)),"Fora do DRE",VLOOKUP(Base_Periodo1[[#This Row],[CONTA]],BaseContasDRE[#All],6,FALSE))</f>
        <v>Fora do DRE</v>
      </c>
      <c r="U2978" s="3" t="str">
        <f>IF(ISERROR(VLOOKUP(Base_Periodo1[[#This Row],[CONTA]],BaseContasDRE[#All],7,FALSE)),"Fora do DRE",VLOOKUP(Base_Periodo1[[#This Row],[CONTA]],BaseContasDRE[#All],7,FALSE))</f>
        <v>Fora do DRE</v>
      </c>
      <c r="V2978" s="3" t="str">
        <f>IF(Base_Periodo1[[#This Row],[Tipo_Linha]]="Fora do DRE","Fora do DRE","( "&amp;Base_Periodo1[[#This Row],[Tipo_Linha]]&amp;" ) "&amp;Base_Periodo1[[#This Row],[Filtro]])</f>
        <v>Fora do DRE</v>
      </c>
      <c r="W2978" s="3" t="str">
        <f>LEFT(Base_Periodo1[[#This Row],[CLASS]],3)</f>
        <v>2.1</v>
      </c>
    </row>
    <row r="2979" spans="1:23" hidden="1">
      <c r="A2979" s="3" t="str">
        <f t="shared" si="46"/>
        <v>Período 1</v>
      </c>
      <c r="B2979">
        <v>9598</v>
      </c>
      <c r="C2979" t="s">
        <v>1745</v>
      </c>
      <c r="D2979" t="s">
        <v>5712</v>
      </c>
      <c r="E2979" s="3" t="str">
        <f>IF(LEN(Base_Periodo1[[#This Row],[CLASS]])&gt;=7,LEFT(Base_Periodo1[[#This Row],[CLASS]],7),"")</f>
        <v>2.1.2.1</v>
      </c>
      <c r="F2979" s="3" t="str">
        <f>VLOOKUP(Base_Periodo1[[#This Row],[Aux]],Base_Contas_Balanco[#All],2,FALSE)</f>
        <v>Fornecedores Cooperados</v>
      </c>
      <c r="G2979" s="1">
        <v>42868</v>
      </c>
      <c r="H2979" s="225">
        <v>15676.640000000043</v>
      </c>
      <c r="I2979" s="225">
        <v>3866.24</v>
      </c>
      <c r="J2979" s="225">
        <v>0</v>
      </c>
      <c r="K2979" s="225">
        <v>11810.400000000043</v>
      </c>
      <c r="L29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11810.4</v>
      </c>
      <c r="M2979" s="225">
        <f>ROUND(IF(AND(Base_Periodo1[[#This Row],[Tipo_Linha]]="-",Base_Periodo1[[#This Row],[TIPOSALDO]]="D"),Base_Periodo1[[#This Row],[SALDO_ATUAL]]*-1,Base_Periodo1[[#This Row],[SALDO_ATUAL]]),4)</f>
        <v>11810.4</v>
      </c>
      <c r="N2979" t="s">
        <v>116</v>
      </c>
      <c r="O2979" t="s">
        <v>459</v>
      </c>
      <c r="P2979" t="s">
        <v>459</v>
      </c>
      <c r="Q2979">
        <v>7</v>
      </c>
      <c r="R2979" s="225">
        <f>Base_Periodo1[[#This Row],[CREDITOS]]-Base_Periodo1[[#This Row],[DEBITOS]]</f>
        <v>-3866.24</v>
      </c>
      <c r="S2979" s="3" t="str">
        <f>IF(ISERROR(VLOOKUP(Base_Periodo1[[#This Row],[CONTA]],BaseContasDRE[#All],4,FALSE)),"Fora do DRE",VLOOKUP(Base_Periodo1[[#This Row],[CONTA]],BaseContasDRE[#All],4,FALSE))</f>
        <v>Fora do DRE</v>
      </c>
      <c r="T2979" s="3" t="str">
        <f>IF(ISERROR(VLOOKUP(Base_Periodo1[[#This Row],[CONTA]],BaseContasDRE[#All],5,FALSE)),"Fora do DRE",VLOOKUP(Base_Periodo1[[#This Row],[CONTA]],BaseContasDRE[#All],6,FALSE))</f>
        <v>Fora do DRE</v>
      </c>
      <c r="U2979" s="3" t="str">
        <f>IF(ISERROR(VLOOKUP(Base_Periodo1[[#This Row],[CONTA]],BaseContasDRE[#All],7,FALSE)),"Fora do DRE",VLOOKUP(Base_Periodo1[[#This Row],[CONTA]],BaseContasDRE[#All],7,FALSE))</f>
        <v>Fora do DRE</v>
      </c>
      <c r="V2979" s="3" t="str">
        <f>IF(Base_Periodo1[[#This Row],[Tipo_Linha]]="Fora do DRE","Fora do DRE","( "&amp;Base_Periodo1[[#This Row],[Tipo_Linha]]&amp;" ) "&amp;Base_Periodo1[[#This Row],[Filtro]])</f>
        <v>Fora do DRE</v>
      </c>
      <c r="W2979" s="3" t="str">
        <f>LEFT(Base_Periodo1[[#This Row],[CLASS]],3)</f>
        <v>2.1</v>
      </c>
    </row>
    <row r="2980" spans="1:23" hidden="1">
      <c r="A2980" s="3" t="str">
        <f t="shared" si="46"/>
        <v>Período 1</v>
      </c>
      <c r="B2980">
        <v>45893</v>
      </c>
      <c r="C2980" t="s">
        <v>1745</v>
      </c>
      <c r="D2980" t="s">
        <v>5424</v>
      </c>
      <c r="E2980" s="3" t="str">
        <f>IF(LEN(Base_Periodo1[[#This Row],[CLASS]])&gt;=7,LEFT(Base_Periodo1[[#This Row],[CLASS]],7),"")</f>
        <v>2.1.2.1</v>
      </c>
      <c r="F2980" s="3" t="str">
        <f>VLOOKUP(Base_Periodo1[[#This Row],[Aux]],Base_Contas_Balanco[#All],2,FALSE)</f>
        <v>Fornecedores Cooperados</v>
      </c>
      <c r="G2980" s="1">
        <v>42690</v>
      </c>
      <c r="H2980" s="225">
        <v>5200</v>
      </c>
      <c r="I2980" s="225">
        <v>0</v>
      </c>
      <c r="J2980" s="225">
        <v>0</v>
      </c>
      <c r="K2980" s="225">
        <v>5200</v>
      </c>
      <c r="L29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5200</v>
      </c>
      <c r="M2980" s="225">
        <f>ROUND(IF(AND(Base_Periodo1[[#This Row],[Tipo_Linha]]="-",Base_Periodo1[[#This Row],[TIPOSALDO]]="D"),Base_Periodo1[[#This Row],[SALDO_ATUAL]]*-1,Base_Periodo1[[#This Row],[SALDO_ATUAL]]),4)</f>
        <v>5200</v>
      </c>
      <c r="N2980" t="s">
        <v>116</v>
      </c>
      <c r="O2980" t="s">
        <v>459</v>
      </c>
      <c r="P2980" t="s">
        <v>459</v>
      </c>
      <c r="Q2980">
        <v>7</v>
      </c>
      <c r="R2980" s="225">
        <f>Base_Periodo1[[#This Row],[CREDITOS]]-Base_Periodo1[[#This Row],[DEBITOS]]</f>
        <v>0</v>
      </c>
      <c r="S2980" s="3" t="str">
        <f>IF(ISERROR(VLOOKUP(Base_Periodo1[[#This Row],[CONTA]],BaseContasDRE[#All],4,FALSE)),"Fora do DRE",VLOOKUP(Base_Periodo1[[#This Row],[CONTA]],BaseContasDRE[#All],4,FALSE))</f>
        <v>Fora do DRE</v>
      </c>
      <c r="T2980" s="3" t="str">
        <f>IF(ISERROR(VLOOKUP(Base_Periodo1[[#This Row],[CONTA]],BaseContasDRE[#All],5,FALSE)),"Fora do DRE",VLOOKUP(Base_Periodo1[[#This Row],[CONTA]],BaseContasDRE[#All],6,FALSE))</f>
        <v>Fora do DRE</v>
      </c>
      <c r="U2980" s="3" t="str">
        <f>IF(ISERROR(VLOOKUP(Base_Periodo1[[#This Row],[CONTA]],BaseContasDRE[#All],7,FALSE)),"Fora do DRE",VLOOKUP(Base_Periodo1[[#This Row],[CONTA]],BaseContasDRE[#All],7,FALSE))</f>
        <v>Fora do DRE</v>
      </c>
      <c r="V2980" s="3" t="str">
        <f>IF(Base_Periodo1[[#This Row],[Tipo_Linha]]="Fora do DRE","Fora do DRE","( "&amp;Base_Periodo1[[#This Row],[Tipo_Linha]]&amp;" ) "&amp;Base_Periodo1[[#This Row],[Filtro]])</f>
        <v>Fora do DRE</v>
      </c>
      <c r="W2980" s="3" t="str">
        <f>LEFT(Base_Periodo1[[#This Row],[CLASS]],3)</f>
        <v>2.1</v>
      </c>
    </row>
    <row r="2981" spans="1:23" hidden="1">
      <c r="A2981" s="3" t="str">
        <f t="shared" si="46"/>
        <v>Período 1</v>
      </c>
      <c r="B2981">
        <v>3842</v>
      </c>
      <c r="C2981" t="s">
        <v>1745</v>
      </c>
      <c r="D2981" t="s">
        <v>1897</v>
      </c>
      <c r="E2981" s="3" t="str">
        <f>IF(LEN(Base_Periodo1[[#This Row],[CLASS]])&gt;=7,LEFT(Base_Periodo1[[#This Row],[CLASS]],7),"")</f>
        <v>2.1.2.1</v>
      </c>
      <c r="F2981" s="3" t="str">
        <f>VLOOKUP(Base_Periodo1[[#This Row],[Aux]],Base_Contas_Balanco[#All],2,FALSE)</f>
        <v>Fornecedores Cooperados</v>
      </c>
      <c r="G2981" s="1">
        <v>42824</v>
      </c>
      <c r="H2981" s="225">
        <v>58449.969999999972</v>
      </c>
      <c r="I2981" s="225">
        <v>0</v>
      </c>
      <c r="J2981" s="225">
        <v>0</v>
      </c>
      <c r="K2981" s="225">
        <v>58449.969999999972</v>
      </c>
      <c r="L29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58449.97</v>
      </c>
      <c r="M2981" s="225">
        <f>ROUND(IF(AND(Base_Periodo1[[#This Row],[Tipo_Linha]]="-",Base_Periodo1[[#This Row],[TIPOSALDO]]="D"),Base_Periodo1[[#This Row],[SALDO_ATUAL]]*-1,Base_Periodo1[[#This Row],[SALDO_ATUAL]]),4)</f>
        <v>58449.97</v>
      </c>
      <c r="N2981" t="s">
        <v>116</v>
      </c>
      <c r="O2981" t="s">
        <v>459</v>
      </c>
      <c r="P2981" t="s">
        <v>459</v>
      </c>
      <c r="Q2981">
        <v>7</v>
      </c>
      <c r="R2981" s="225">
        <f>Base_Periodo1[[#This Row],[CREDITOS]]-Base_Periodo1[[#This Row],[DEBITOS]]</f>
        <v>0</v>
      </c>
      <c r="S2981" s="3" t="str">
        <f>IF(ISERROR(VLOOKUP(Base_Periodo1[[#This Row],[CONTA]],BaseContasDRE[#All],4,FALSE)),"Fora do DRE",VLOOKUP(Base_Periodo1[[#This Row],[CONTA]],BaseContasDRE[#All],4,FALSE))</f>
        <v>Fora do DRE</v>
      </c>
      <c r="T2981" s="3" t="str">
        <f>IF(ISERROR(VLOOKUP(Base_Periodo1[[#This Row],[CONTA]],BaseContasDRE[#All],5,FALSE)),"Fora do DRE",VLOOKUP(Base_Periodo1[[#This Row],[CONTA]],BaseContasDRE[#All],6,FALSE))</f>
        <v>Fora do DRE</v>
      </c>
      <c r="U2981" s="3" t="str">
        <f>IF(ISERROR(VLOOKUP(Base_Periodo1[[#This Row],[CONTA]],BaseContasDRE[#All],7,FALSE)),"Fora do DRE",VLOOKUP(Base_Periodo1[[#This Row],[CONTA]],BaseContasDRE[#All],7,FALSE))</f>
        <v>Fora do DRE</v>
      </c>
      <c r="V2981" s="3" t="str">
        <f>IF(Base_Periodo1[[#This Row],[Tipo_Linha]]="Fora do DRE","Fora do DRE","( "&amp;Base_Periodo1[[#This Row],[Tipo_Linha]]&amp;" ) "&amp;Base_Periodo1[[#This Row],[Filtro]])</f>
        <v>Fora do DRE</v>
      </c>
      <c r="W2981" s="3" t="str">
        <f>LEFT(Base_Periodo1[[#This Row],[CLASS]],3)</f>
        <v>2.1</v>
      </c>
    </row>
    <row r="2982" spans="1:23" hidden="1">
      <c r="A2982" s="3" t="str">
        <f t="shared" si="46"/>
        <v>Período 1</v>
      </c>
      <c r="B2982">
        <v>3778</v>
      </c>
      <c r="C2982" t="s">
        <v>1745</v>
      </c>
      <c r="D2982" t="s">
        <v>1898</v>
      </c>
      <c r="E2982" s="3" t="str">
        <f>IF(LEN(Base_Periodo1[[#This Row],[CLASS]])&gt;=7,LEFT(Base_Periodo1[[#This Row],[CLASS]],7),"")</f>
        <v>2.1.2.1</v>
      </c>
      <c r="F2982" s="3" t="str">
        <f>VLOOKUP(Base_Periodo1[[#This Row],[Aux]],Base_Contas_Balanco[#All],2,FALSE)</f>
        <v>Fornecedores Cooperados</v>
      </c>
      <c r="G2982" s="1">
        <v>42752</v>
      </c>
      <c r="H2982" s="225">
        <v>2480.3199999999488</v>
      </c>
      <c r="I2982" s="225">
        <v>0</v>
      </c>
      <c r="J2982" s="225">
        <v>0</v>
      </c>
      <c r="K2982" s="225">
        <v>2480.3199999999488</v>
      </c>
      <c r="L29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2480.3200000000002</v>
      </c>
      <c r="M2982" s="225">
        <f>ROUND(IF(AND(Base_Periodo1[[#This Row],[Tipo_Linha]]="-",Base_Periodo1[[#This Row],[TIPOSALDO]]="D"),Base_Periodo1[[#This Row],[SALDO_ATUAL]]*-1,Base_Periodo1[[#This Row],[SALDO_ATUAL]]),4)</f>
        <v>2480.3200000000002</v>
      </c>
      <c r="N2982" t="s">
        <v>116</v>
      </c>
      <c r="O2982" t="s">
        <v>459</v>
      </c>
      <c r="P2982" t="s">
        <v>459</v>
      </c>
      <c r="Q2982">
        <v>7</v>
      </c>
      <c r="R2982" s="225">
        <f>Base_Periodo1[[#This Row],[CREDITOS]]-Base_Periodo1[[#This Row],[DEBITOS]]</f>
        <v>0</v>
      </c>
      <c r="S2982" s="3" t="str">
        <f>IF(ISERROR(VLOOKUP(Base_Periodo1[[#This Row],[CONTA]],BaseContasDRE[#All],4,FALSE)),"Fora do DRE",VLOOKUP(Base_Periodo1[[#This Row],[CONTA]],BaseContasDRE[#All],4,FALSE))</f>
        <v>Fora do DRE</v>
      </c>
      <c r="T2982" s="3" t="str">
        <f>IF(ISERROR(VLOOKUP(Base_Periodo1[[#This Row],[CONTA]],BaseContasDRE[#All],5,FALSE)),"Fora do DRE",VLOOKUP(Base_Periodo1[[#This Row],[CONTA]],BaseContasDRE[#All],6,FALSE))</f>
        <v>Fora do DRE</v>
      </c>
      <c r="U2982" s="3" t="str">
        <f>IF(ISERROR(VLOOKUP(Base_Periodo1[[#This Row],[CONTA]],BaseContasDRE[#All],7,FALSE)),"Fora do DRE",VLOOKUP(Base_Periodo1[[#This Row],[CONTA]],BaseContasDRE[#All],7,FALSE))</f>
        <v>Fora do DRE</v>
      </c>
      <c r="V2982" s="3" t="str">
        <f>IF(Base_Periodo1[[#This Row],[Tipo_Linha]]="Fora do DRE","Fora do DRE","( "&amp;Base_Periodo1[[#This Row],[Tipo_Linha]]&amp;" ) "&amp;Base_Periodo1[[#This Row],[Filtro]])</f>
        <v>Fora do DRE</v>
      </c>
      <c r="W2982" s="3" t="str">
        <f>LEFT(Base_Periodo1[[#This Row],[CLASS]],3)</f>
        <v>2.1</v>
      </c>
    </row>
    <row r="2983" spans="1:23" hidden="1">
      <c r="A2983" s="3" t="str">
        <f t="shared" si="46"/>
        <v>Período 1</v>
      </c>
      <c r="B2983">
        <v>8506</v>
      </c>
      <c r="C2983" t="s">
        <v>1745</v>
      </c>
      <c r="D2983" t="s">
        <v>1899</v>
      </c>
      <c r="E2983" s="3" t="str">
        <f>IF(LEN(Base_Periodo1[[#This Row],[CLASS]])&gt;=7,LEFT(Base_Periodo1[[#This Row],[CLASS]],7),"")</f>
        <v>2.1.2.1</v>
      </c>
      <c r="F2983" s="3" t="str">
        <f>VLOOKUP(Base_Periodo1[[#This Row],[Aux]],Base_Contas_Balanco[#All],2,FALSE)</f>
        <v>Fornecedores Cooperados</v>
      </c>
      <c r="G2983" s="1">
        <v>42268</v>
      </c>
      <c r="H2983" s="225">
        <v>8352.4800000000105</v>
      </c>
      <c r="I2983" s="225">
        <v>0</v>
      </c>
      <c r="J2983" s="225">
        <v>0</v>
      </c>
      <c r="K2983" s="225">
        <v>8352.4800000000105</v>
      </c>
      <c r="L29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8352.48</v>
      </c>
      <c r="M2983" s="225">
        <f>ROUND(IF(AND(Base_Periodo1[[#This Row],[Tipo_Linha]]="-",Base_Periodo1[[#This Row],[TIPOSALDO]]="D"),Base_Periodo1[[#This Row],[SALDO_ATUAL]]*-1,Base_Periodo1[[#This Row],[SALDO_ATUAL]]),4)</f>
        <v>8352.48</v>
      </c>
      <c r="N2983" t="s">
        <v>116</v>
      </c>
      <c r="O2983" t="s">
        <v>459</v>
      </c>
      <c r="P2983" t="s">
        <v>459</v>
      </c>
      <c r="Q2983">
        <v>7</v>
      </c>
      <c r="R2983" s="225">
        <f>Base_Periodo1[[#This Row],[CREDITOS]]-Base_Periodo1[[#This Row],[DEBITOS]]</f>
        <v>0</v>
      </c>
      <c r="S2983" s="3" t="str">
        <f>IF(ISERROR(VLOOKUP(Base_Periodo1[[#This Row],[CONTA]],BaseContasDRE[#All],4,FALSE)),"Fora do DRE",VLOOKUP(Base_Periodo1[[#This Row],[CONTA]],BaseContasDRE[#All],4,FALSE))</f>
        <v>Fora do DRE</v>
      </c>
      <c r="T2983" s="3" t="str">
        <f>IF(ISERROR(VLOOKUP(Base_Periodo1[[#This Row],[CONTA]],BaseContasDRE[#All],5,FALSE)),"Fora do DRE",VLOOKUP(Base_Periodo1[[#This Row],[CONTA]],BaseContasDRE[#All],6,FALSE))</f>
        <v>Fora do DRE</v>
      </c>
      <c r="U2983" s="3" t="str">
        <f>IF(ISERROR(VLOOKUP(Base_Periodo1[[#This Row],[CONTA]],BaseContasDRE[#All],7,FALSE)),"Fora do DRE",VLOOKUP(Base_Periodo1[[#This Row],[CONTA]],BaseContasDRE[#All],7,FALSE))</f>
        <v>Fora do DRE</v>
      </c>
      <c r="V2983" s="3" t="str">
        <f>IF(Base_Periodo1[[#This Row],[Tipo_Linha]]="Fora do DRE","Fora do DRE","( "&amp;Base_Periodo1[[#This Row],[Tipo_Linha]]&amp;" ) "&amp;Base_Periodo1[[#This Row],[Filtro]])</f>
        <v>Fora do DRE</v>
      </c>
      <c r="W2983" s="3" t="str">
        <f>LEFT(Base_Periodo1[[#This Row],[CLASS]],3)</f>
        <v>2.1</v>
      </c>
    </row>
    <row r="2984" spans="1:23" hidden="1">
      <c r="A2984" s="3" t="str">
        <f t="shared" si="46"/>
        <v>Período 1</v>
      </c>
      <c r="B2984">
        <v>2326</v>
      </c>
      <c r="C2984" t="s">
        <v>1745</v>
      </c>
      <c r="D2984" t="s">
        <v>6884</v>
      </c>
      <c r="E2984" s="3" t="str">
        <f>IF(LEN(Base_Periodo1[[#This Row],[CLASS]])&gt;=7,LEFT(Base_Periodo1[[#This Row],[CLASS]],7),"")</f>
        <v>2.1.2.1</v>
      </c>
      <c r="F2984" s="3" t="str">
        <f>VLOOKUP(Base_Periodo1[[#This Row],[Aux]],Base_Contas_Balanco[#All],2,FALSE)</f>
        <v>Fornecedores Cooperados</v>
      </c>
      <c r="G2984" s="1">
        <v>42884</v>
      </c>
      <c r="I2984" s="225">
        <v>261588.45</v>
      </c>
      <c r="J2984" s="225">
        <v>261588.45</v>
      </c>
      <c r="K2984" s="225">
        <v>-1.1641532182693481E-10</v>
      </c>
      <c r="L29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984" s="225">
        <f>ROUND(IF(AND(Base_Periodo1[[#This Row],[Tipo_Linha]]="-",Base_Periodo1[[#This Row],[TIPOSALDO]]="D"),Base_Periodo1[[#This Row],[SALDO_ATUAL]]*-1,Base_Periodo1[[#This Row],[SALDO_ATUAL]]),4)</f>
        <v>0</v>
      </c>
      <c r="N2984" t="s">
        <v>116</v>
      </c>
      <c r="O2984" t="s">
        <v>436</v>
      </c>
      <c r="P2984" t="s">
        <v>436</v>
      </c>
      <c r="Q2984">
        <v>7</v>
      </c>
      <c r="R2984" s="225">
        <f>Base_Periodo1[[#This Row],[CREDITOS]]-Base_Periodo1[[#This Row],[DEBITOS]]</f>
        <v>0</v>
      </c>
      <c r="S2984" s="3" t="str">
        <f>IF(ISERROR(VLOOKUP(Base_Periodo1[[#This Row],[CONTA]],BaseContasDRE[#All],4,FALSE)),"Fora do DRE",VLOOKUP(Base_Periodo1[[#This Row],[CONTA]],BaseContasDRE[#All],4,FALSE))</f>
        <v>Fora do DRE</v>
      </c>
      <c r="T2984" s="3" t="str">
        <f>IF(ISERROR(VLOOKUP(Base_Periodo1[[#This Row],[CONTA]],BaseContasDRE[#All],5,FALSE)),"Fora do DRE",VLOOKUP(Base_Periodo1[[#This Row],[CONTA]],BaseContasDRE[#All],6,FALSE))</f>
        <v>Fora do DRE</v>
      </c>
      <c r="U2984" s="3" t="str">
        <f>IF(ISERROR(VLOOKUP(Base_Periodo1[[#This Row],[CONTA]],BaseContasDRE[#All],7,FALSE)),"Fora do DRE",VLOOKUP(Base_Periodo1[[#This Row],[CONTA]],BaseContasDRE[#All],7,FALSE))</f>
        <v>Fora do DRE</v>
      </c>
      <c r="V2984" s="3" t="str">
        <f>IF(Base_Periodo1[[#This Row],[Tipo_Linha]]="Fora do DRE","Fora do DRE","( "&amp;Base_Periodo1[[#This Row],[Tipo_Linha]]&amp;" ) "&amp;Base_Periodo1[[#This Row],[Filtro]])</f>
        <v>Fora do DRE</v>
      </c>
      <c r="W2984" s="3" t="str">
        <f>LEFT(Base_Periodo1[[#This Row],[CLASS]],3)</f>
        <v>2.1</v>
      </c>
    </row>
    <row r="2985" spans="1:23" hidden="1">
      <c r="A2985" s="3" t="str">
        <f t="shared" si="46"/>
        <v>Período 1</v>
      </c>
      <c r="B2985">
        <v>48428</v>
      </c>
      <c r="C2985" t="s">
        <v>1745</v>
      </c>
      <c r="D2985" t="s">
        <v>6382</v>
      </c>
      <c r="E2985" s="3" t="str">
        <f>IF(LEN(Base_Periodo1[[#This Row],[CLASS]])&gt;=7,LEFT(Base_Periodo1[[#This Row],[CLASS]],7),"")</f>
        <v>2.1.2.1</v>
      </c>
      <c r="F2985" s="3" t="str">
        <f>VLOOKUP(Base_Periodo1[[#This Row],[Aux]],Base_Contas_Balanco[#All],2,FALSE)</f>
        <v>Fornecedores Cooperados</v>
      </c>
      <c r="G2985" s="1">
        <v>42831</v>
      </c>
      <c r="H2985" s="225">
        <v>3497</v>
      </c>
      <c r="I2985" s="225">
        <v>0</v>
      </c>
      <c r="J2985" s="225">
        <v>0</v>
      </c>
      <c r="K2985" s="225">
        <v>3497</v>
      </c>
      <c r="L29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3497</v>
      </c>
      <c r="M2985" s="225">
        <f>ROUND(IF(AND(Base_Periodo1[[#This Row],[Tipo_Linha]]="-",Base_Periodo1[[#This Row],[TIPOSALDO]]="D"),Base_Periodo1[[#This Row],[SALDO_ATUAL]]*-1,Base_Periodo1[[#This Row],[SALDO_ATUAL]]),4)</f>
        <v>3497</v>
      </c>
      <c r="N2985" t="s">
        <v>116</v>
      </c>
      <c r="O2985" t="s">
        <v>459</v>
      </c>
      <c r="P2985" t="s">
        <v>459</v>
      </c>
      <c r="Q2985">
        <v>7</v>
      </c>
      <c r="R2985" s="225">
        <f>Base_Periodo1[[#This Row],[CREDITOS]]-Base_Periodo1[[#This Row],[DEBITOS]]</f>
        <v>0</v>
      </c>
      <c r="S2985" s="3" t="str">
        <f>IF(ISERROR(VLOOKUP(Base_Periodo1[[#This Row],[CONTA]],BaseContasDRE[#All],4,FALSE)),"Fora do DRE",VLOOKUP(Base_Periodo1[[#This Row],[CONTA]],BaseContasDRE[#All],4,FALSE))</f>
        <v>Fora do DRE</v>
      </c>
      <c r="T2985" s="3" t="str">
        <f>IF(ISERROR(VLOOKUP(Base_Periodo1[[#This Row],[CONTA]],BaseContasDRE[#All],5,FALSE)),"Fora do DRE",VLOOKUP(Base_Periodo1[[#This Row],[CONTA]],BaseContasDRE[#All],6,FALSE))</f>
        <v>Fora do DRE</v>
      </c>
      <c r="U2985" s="3" t="str">
        <f>IF(ISERROR(VLOOKUP(Base_Periodo1[[#This Row],[CONTA]],BaseContasDRE[#All],7,FALSE)),"Fora do DRE",VLOOKUP(Base_Periodo1[[#This Row],[CONTA]],BaseContasDRE[#All],7,FALSE))</f>
        <v>Fora do DRE</v>
      </c>
      <c r="V2985" s="3" t="str">
        <f>IF(Base_Periodo1[[#This Row],[Tipo_Linha]]="Fora do DRE","Fora do DRE","( "&amp;Base_Periodo1[[#This Row],[Tipo_Linha]]&amp;" ) "&amp;Base_Periodo1[[#This Row],[Filtro]])</f>
        <v>Fora do DRE</v>
      </c>
      <c r="W2985" s="3" t="str">
        <f>LEFT(Base_Periodo1[[#This Row],[CLASS]],3)</f>
        <v>2.1</v>
      </c>
    </row>
    <row r="2986" spans="1:23" hidden="1">
      <c r="A2986" s="3" t="str">
        <f t="shared" si="46"/>
        <v>Período 1</v>
      </c>
      <c r="B2986">
        <v>53105</v>
      </c>
      <c r="C2986" t="s">
        <v>1745</v>
      </c>
      <c r="D2986" t="s">
        <v>5061</v>
      </c>
      <c r="E2986" s="3" t="str">
        <f>IF(LEN(Base_Periodo1[[#This Row],[CLASS]])&gt;=7,LEFT(Base_Periodo1[[#This Row],[CLASS]],7),"")</f>
        <v>2.1.2.1</v>
      </c>
      <c r="F2986" s="3" t="str">
        <f>VLOOKUP(Base_Periodo1[[#This Row],[Aux]],Base_Contas_Balanco[#All],2,FALSE)</f>
        <v>Fornecedores Cooperados</v>
      </c>
      <c r="G2986" s="1">
        <v>42762</v>
      </c>
      <c r="H2986" s="225">
        <v>6938.5399999999936</v>
      </c>
      <c r="I2986" s="225">
        <v>0</v>
      </c>
      <c r="J2986" s="225">
        <v>0</v>
      </c>
      <c r="K2986" s="225">
        <v>6938.5399999999936</v>
      </c>
      <c r="L29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6938.54</v>
      </c>
      <c r="M2986" s="225">
        <f>ROUND(IF(AND(Base_Periodo1[[#This Row],[Tipo_Linha]]="-",Base_Periodo1[[#This Row],[TIPOSALDO]]="D"),Base_Periodo1[[#This Row],[SALDO_ATUAL]]*-1,Base_Periodo1[[#This Row],[SALDO_ATUAL]]),4)</f>
        <v>6938.54</v>
      </c>
      <c r="N2986" t="s">
        <v>116</v>
      </c>
      <c r="O2986" t="s">
        <v>459</v>
      </c>
      <c r="P2986" t="s">
        <v>459</v>
      </c>
      <c r="Q2986">
        <v>7</v>
      </c>
      <c r="R2986" s="225">
        <f>Base_Periodo1[[#This Row],[CREDITOS]]-Base_Periodo1[[#This Row],[DEBITOS]]</f>
        <v>0</v>
      </c>
      <c r="S2986" s="3" t="str">
        <f>IF(ISERROR(VLOOKUP(Base_Periodo1[[#This Row],[CONTA]],BaseContasDRE[#All],4,FALSE)),"Fora do DRE",VLOOKUP(Base_Periodo1[[#This Row],[CONTA]],BaseContasDRE[#All],4,FALSE))</f>
        <v>Fora do DRE</v>
      </c>
      <c r="T2986" s="3" t="str">
        <f>IF(ISERROR(VLOOKUP(Base_Periodo1[[#This Row],[CONTA]],BaseContasDRE[#All],5,FALSE)),"Fora do DRE",VLOOKUP(Base_Periodo1[[#This Row],[CONTA]],BaseContasDRE[#All],6,FALSE))</f>
        <v>Fora do DRE</v>
      </c>
      <c r="U2986" s="3" t="str">
        <f>IF(ISERROR(VLOOKUP(Base_Periodo1[[#This Row],[CONTA]],BaseContasDRE[#All],7,FALSE)),"Fora do DRE",VLOOKUP(Base_Periodo1[[#This Row],[CONTA]],BaseContasDRE[#All],7,FALSE))</f>
        <v>Fora do DRE</v>
      </c>
      <c r="V2986" s="3" t="str">
        <f>IF(Base_Periodo1[[#This Row],[Tipo_Linha]]="Fora do DRE","Fora do DRE","( "&amp;Base_Periodo1[[#This Row],[Tipo_Linha]]&amp;" ) "&amp;Base_Periodo1[[#This Row],[Filtro]])</f>
        <v>Fora do DRE</v>
      </c>
      <c r="W2986" s="3" t="str">
        <f>LEFT(Base_Periodo1[[#This Row],[CLASS]],3)</f>
        <v>2.1</v>
      </c>
    </row>
    <row r="2987" spans="1:23" hidden="1">
      <c r="A2987" s="3" t="str">
        <f t="shared" si="46"/>
        <v>Período 1</v>
      </c>
      <c r="B2987">
        <v>3502</v>
      </c>
      <c r="C2987" t="s">
        <v>1745</v>
      </c>
      <c r="D2987" t="s">
        <v>1900</v>
      </c>
      <c r="E2987" s="3" t="str">
        <f>IF(LEN(Base_Periodo1[[#This Row],[CLASS]])&gt;=7,LEFT(Base_Periodo1[[#This Row],[CLASS]],7),"")</f>
        <v>2.1.2.1</v>
      </c>
      <c r="F2987" s="3" t="str">
        <f>VLOOKUP(Base_Periodo1[[#This Row],[Aux]],Base_Contas_Balanco[#All],2,FALSE)</f>
        <v>Fornecedores Cooperados</v>
      </c>
      <c r="G2987" s="1">
        <v>42814</v>
      </c>
      <c r="H2987" s="225">
        <v>27560</v>
      </c>
      <c r="I2987" s="225">
        <v>0</v>
      </c>
      <c r="J2987" s="225">
        <v>0</v>
      </c>
      <c r="K2987" s="225">
        <v>27560</v>
      </c>
      <c r="L29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27560</v>
      </c>
      <c r="M2987" s="225">
        <f>ROUND(IF(AND(Base_Periodo1[[#This Row],[Tipo_Linha]]="-",Base_Periodo1[[#This Row],[TIPOSALDO]]="D"),Base_Periodo1[[#This Row],[SALDO_ATUAL]]*-1,Base_Periodo1[[#This Row],[SALDO_ATUAL]]),4)</f>
        <v>27560</v>
      </c>
      <c r="N2987" t="s">
        <v>116</v>
      </c>
      <c r="O2987" t="s">
        <v>459</v>
      </c>
      <c r="P2987" t="s">
        <v>459</v>
      </c>
      <c r="Q2987">
        <v>7</v>
      </c>
      <c r="R2987" s="225">
        <f>Base_Periodo1[[#This Row],[CREDITOS]]-Base_Periodo1[[#This Row],[DEBITOS]]</f>
        <v>0</v>
      </c>
      <c r="S2987" s="3" t="str">
        <f>IF(ISERROR(VLOOKUP(Base_Periodo1[[#This Row],[CONTA]],BaseContasDRE[#All],4,FALSE)),"Fora do DRE",VLOOKUP(Base_Periodo1[[#This Row],[CONTA]],BaseContasDRE[#All],4,FALSE))</f>
        <v>Fora do DRE</v>
      </c>
      <c r="T2987" s="3" t="str">
        <f>IF(ISERROR(VLOOKUP(Base_Periodo1[[#This Row],[CONTA]],BaseContasDRE[#All],5,FALSE)),"Fora do DRE",VLOOKUP(Base_Periodo1[[#This Row],[CONTA]],BaseContasDRE[#All],6,FALSE))</f>
        <v>Fora do DRE</v>
      </c>
      <c r="U2987" s="3" t="str">
        <f>IF(ISERROR(VLOOKUP(Base_Periodo1[[#This Row],[CONTA]],BaseContasDRE[#All],7,FALSE)),"Fora do DRE",VLOOKUP(Base_Periodo1[[#This Row],[CONTA]],BaseContasDRE[#All],7,FALSE))</f>
        <v>Fora do DRE</v>
      </c>
      <c r="V2987" s="3" t="str">
        <f>IF(Base_Periodo1[[#This Row],[Tipo_Linha]]="Fora do DRE","Fora do DRE","( "&amp;Base_Periodo1[[#This Row],[Tipo_Linha]]&amp;" ) "&amp;Base_Periodo1[[#This Row],[Filtro]])</f>
        <v>Fora do DRE</v>
      </c>
      <c r="W2987" s="3" t="str">
        <f>LEFT(Base_Periodo1[[#This Row],[CLASS]],3)</f>
        <v>2.1</v>
      </c>
    </row>
    <row r="2988" spans="1:23" hidden="1">
      <c r="A2988" s="3" t="str">
        <f t="shared" si="46"/>
        <v>Período 1</v>
      </c>
      <c r="B2988">
        <v>5258</v>
      </c>
      <c r="C2988" t="s">
        <v>1745</v>
      </c>
      <c r="D2988" t="s">
        <v>1901</v>
      </c>
      <c r="E2988" s="3" t="str">
        <f>IF(LEN(Base_Periodo1[[#This Row],[CLASS]])&gt;=7,LEFT(Base_Periodo1[[#This Row],[CLASS]],7),"")</f>
        <v>2.1.2.1</v>
      </c>
      <c r="F2988" s="3" t="str">
        <f>VLOOKUP(Base_Periodo1[[#This Row],[Aux]],Base_Contas_Balanco[#All],2,FALSE)</f>
        <v>Fornecedores Cooperados</v>
      </c>
      <c r="G2988" s="1">
        <v>42864</v>
      </c>
      <c r="H2988" s="225">
        <v>80.019999999989523</v>
      </c>
      <c r="I2988" s="225">
        <v>160</v>
      </c>
      <c r="J2988" s="225">
        <v>80</v>
      </c>
      <c r="K2988" s="225">
        <v>1.9999999989522621E-2</v>
      </c>
      <c r="L29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2988" s="225">
        <f>ROUND(IF(AND(Base_Periodo1[[#This Row],[Tipo_Linha]]="-",Base_Periodo1[[#This Row],[TIPOSALDO]]="D"),Base_Periodo1[[#This Row],[SALDO_ATUAL]]*-1,Base_Periodo1[[#This Row],[SALDO_ATUAL]]),4)</f>
        <v>0.02</v>
      </c>
      <c r="N2988" t="s">
        <v>116</v>
      </c>
      <c r="O2988" t="s">
        <v>459</v>
      </c>
      <c r="P2988" t="s">
        <v>459</v>
      </c>
      <c r="Q2988">
        <v>7</v>
      </c>
      <c r="R2988" s="225">
        <f>Base_Periodo1[[#This Row],[CREDITOS]]-Base_Periodo1[[#This Row],[DEBITOS]]</f>
        <v>-80</v>
      </c>
      <c r="S2988" s="3" t="str">
        <f>IF(ISERROR(VLOOKUP(Base_Periodo1[[#This Row],[CONTA]],BaseContasDRE[#All],4,FALSE)),"Fora do DRE",VLOOKUP(Base_Periodo1[[#This Row],[CONTA]],BaseContasDRE[#All],4,FALSE))</f>
        <v>Fora do DRE</v>
      </c>
      <c r="T2988" s="3" t="str">
        <f>IF(ISERROR(VLOOKUP(Base_Periodo1[[#This Row],[CONTA]],BaseContasDRE[#All],5,FALSE)),"Fora do DRE",VLOOKUP(Base_Periodo1[[#This Row],[CONTA]],BaseContasDRE[#All],6,FALSE))</f>
        <v>Fora do DRE</v>
      </c>
      <c r="U2988" s="3" t="str">
        <f>IF(ISERROR(VLOOKUP(Base_Periodo1[[#This Row],[CONTA]],BaseContasDRE[#All],7,FALSE)),"Fora do DRE",VLOOKUP(Base_Periodo1[[#This Row],[CONTA]],BaseContasDRE[#All],7,FALSE))</f>
        <v>Fora do DRE</v>
      </c>
      <c r="V2988" s="3" t="str">
        <f>IF(Base_Periodo1[[#This Row],[Tipo_Linha]]="Fora do DRE","Fora do DRE","( "&amp;Base_Periodo1[[#This Row],[Tipo_Linha]]&amp;" ) "&amp;Base_Periodo1[[#This Row],[Filtro]])</f>
        <v>Fora do DRE</v>
      </c>
      <c r="W2988" s="3" t="str">
        <f>LEFT(Base_Periodo1[[#This Row],[CLASS]],3)</f>
        <v>2.1</v>
      </c>
    </row>
    <row r="2989" spans="1:23" hidden="1">
      <c r="A2989" s="3" t="str">
        <f t="shared" si="46"/>
        <v>Período 1</v>
      </c>
      <c r="B2989">
        <v>3426</v>
      </c>
      <c r="C2989" t="s">
        <v>1745</v>
      </c>
      <c r="D2989" t="s">
        <v>1902</v>
      </c>
      <c r="E2989" s="3" t="str">
        <f>IF(LEN(Base_Periodo1[[#This Row],[CLASS]])&gt;=7,LEFT(Base_Periodo1[[#This Row],[CLASS]],7),"")</f>
        <v>2.1.2.1</v>
      </c>
      <c r="F2989" s="3" t="str">
        <f>VLOOKUP(Base_Periodo1[[#This Row],[Aux]],Base_Contas_Balanco[#All],2,FALSE)</f>
        <v>Fornecedores Cooperados</v>
      </c>
      <c r="G2989" s="1">
        <v>42847</v>
      </c>
      <c r="H2989" s="225">
        <v>54173.950000000652</v>
      </c>
      <c r="I2989" s="225">
        <v>0</v>
      </c>
      <c r="J2989" s="225">
        <v>0</v>
      </c>
      <c r="K2989" s="225">
        <v>54173.950000000652</v>
      </c>
      <c r="L29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54173.95</v>
      </c>
      <c r="M2989" s="225">
        <f>ROUND(IF(AND(Base_Periodo1[[#This Row],[Tipo_Linha]]="-",Base_Periodo1[[#This Row],[TIPOSALDO]]="D"),Base_Periodo1[[#This Row],[SALDO_ATUAL]]*-1,Base_Periodo1[[#This Row],[SALDO_ATUAL]]),4)</f>
        <v>54173.95</v>
      </c>
      <c r="N2989" t="s">
        <v>116</v>
      </c>
      <c r="O2989" t="s">
        <v>459</v>
      </c>
      <c r="P2989" t="s">
        <v>459</v>
      </c>
      <c r="Q2989">
        <v>7</v>
      </c>
      <c r="R2989" s="225">
        <f>Base_Periodo1[[#This Row],[CREDITOS]]-Base_Periodo1[[#This Row],[DEBITOS]]</f>
        <v>0</v>
      </c>
      <c r="S2989" s="3" t="str">
        <f>IF(ISERROR(VLOOKUP(Base_Periodo1[[#This Row],[CONTA]],BaseContasDRE[#All],4,FALSE)),"Fora do DRE",VLOOKUP(Base_Periodo1[[#This Row],[CONTA]],BaseContasDRE[#All],4,FALSE))</f>
        <v>Fora do DRE</v>
      </c>
      <c r="T2989" s="3" t="str">
        <f>IF(ISERROR(VLOOKUP(Base_Periodo1[[#This Row],[CONTA]],BaseContasDRE[#All],5,FALSE)),"Fora do DRE",VLOOKUP(Base_Periodo1[[#This Row],[CONTA]],BaseContasDRE[#All],6,FALSE))</f>
        <v>Fora do DRE</v>
      </c>
      <c r="U2989" s="3" t="str">
        <f>IF(ISERROR(VLOOKUP(Base_Periodo1[[#This Row],[CONTA]],BaseContasDRE[#All],7,FALSE)),"Fora do DRE",VLOOKUP(Base_Periodo1[[#This Row],[CONTA]],BaseContasDRE[#All],7,FALSE))</f>
        <v>Fora do DRE</v>
      </c>
      <c r="V2989" s="3" t="str">
        <f>IF(Base_Periodo1[[#This Row],[Tipo_Linha]]="Fora do DRE","Fora do DRE","( "&amp;Base_Periodo1[[#This Row],[Tipo_Linha]]&amp;" ) "&amp;Base_Periodo1[[#This Row],[Filtro]])</f>
        <v>Fora do DRE</v>
      </c>
      <c r="W2989" s="3" t="str">
        <f>LEFT(Base_Periodo1[[#This Row],[CLASS]],3)</f>
        <v>2.1</v>
      </c>
    </row>
    <row r="2990" spans="1:23" hidden="1">
      <c r="A2990" s="3" t="str">
        <f t="shared" si="46"/>
        <v>Período 1</v>
      </c>
      <c r="B2990">
        <v>19815</v>
      </c>
      <c r="C2990" t="s">
        <v>1745</v>
      </c>
      <c r="D2990" t="s">
        <v>4852</v>
      </c>
      <c r="E2990" s="3" t="str">
        <f>IF(LEN(Base_Periodo1[[#This Row],[CLASS]])&gt;=7,LEFT(Base_Periodo1[[#This Row],[CLASS]],7),"")</f>
        <v>2.1.2.1</v>
      </c>
      <c r="F2990" s="3" t="str">
        <f>VLOOKUP(Base_Periodo1[[#This Row],[Aux]],Base_Contas_Balanco[#All],2,FALSE)</f>
        <v>Fornecedores Cooperados</v>
      </c>
      <c r="G2990" s="1">
        <v>42871</v>
      </c>
      <c r="H2990" s="225">
        <v>4726.0099999999984</v>
      </c>
      <c r="I2990" s="225">
        <v>0</v>
      </c>
      <c r="J2990" s="225">
        <v>11909.24</v>
      </c>
      <c r="K2990" s="225">
        <v>16635.25</v>
      </c>
      <c r="L29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16635.25</v>
      </c>
      <c r="M2990" s="225">
        <f>ROUND(IF(AND(Base_Periodo1[[#This Row],[Tipo_Linha]]="-",Base_Periodo1[[#This Row],[TIPOSALDO]]="D"),Base_Periodo1[[#This Row],[SALDO_ATUAL]]*-1,Base_Periodo1[[#This Row],[SALDO_ATUAL]]),4)</f>
        <v>16635.25</v>
      </c>
      <c r="N2990" t="s">
        <v>116</v>
      </c>
      <c r="O2990" t="s">
        <v>459</v>
      </c>
      <c r="P2990" t="s">
        <v>459</v>
      </c>
      <c r="Q2990">
        <v>7</v>
      </c>
      <c r="R2990" s="225">
        <f>Base_Periodo1[[#This Row],[CREDITOS]]-Base_Periodo1[[#This Row],[DEBITOS]]</f>
        <v>11909.24</v>
      </c>
      <c r="S2990" s="3" t="str">
        <f>IF(ISERROR(VLOOKUP(Base_Periodo1[[#This Row],[CONTA]],BaseContasDRE[#All],4,FALSE)),"Fora do DRE",VLOOKUP(Base_Periodo1[[#This Row],[CONTA]],BaseContasDRE[#All],4,FALSE))</f>
        <v>Fora do DRE</v>
      </c>
      <c r="T2990" s="3" t="str">
        <f>IF(ISERROR(VLOOKUP(Base_Periodo1[[#This Row],[CONTA]],BaseContasDRE[#All],5,FALSE)),"Fora do DRE",VLOOKUP(Base_Periodo1[[#This Row],[CONTA]],BaseContasDRE[#All],6,FALSE))</f>
        <v>Fora do DRE</v>
      </c>
      <c r="U2990" s="3" t="str">
        <f>IF(ISERROR(VLOOKUP(Base_Periodo1[[#This Row],[CONTA]],BaseContasDRE[#All],7,FALSE)),"Fora do DRE",VLOOKUP(Base_Periodo1[[#This Row],[CONTA]],BaseContasDRE[#All],7,FALSE))</f>
        <v>Fora do DRE</v>
      </c>
      <c r="V2990" s="3" t="str">
        <f>IF(Base_Periodo1[[#This Row],[Tipo_Linha]]="Fora do DRE","Fora do DRE","( "&amp;Base_Periodo1[[#This Row],[Tipo_Linha]]&amp;" ) "&amp;Base_Periodo1[[#This Row],[Filtro]])</f>
        <v>Fora do DRE</v>
      </c>
      <c r="W2990" s="3" t="str">
        <f>LEFT(Base_Periodo1[[#This Row],[CLASS]],3)</f>
        <v>2.1</v>
      </c>
    </row>
    <row r="2991" spans="1:23" hidden="1">
      <c r="A2991" s="3" t="str">
        <f t="shared" si="46"/>
        <v>Período 1</v>
      </c>
      <c r="B2991">
        <v>2434</v>
      </c>
      <c r="C2991" t="s">
        <v>1745</v>
      </c>
      <c r="D2991" t="s">
        <v>1903</v>
      </c>
      <c r="E2991" s="3" t="str">
        <f>IF(LEN(Base_Periodo1[[#This Row],[CLASS]])&gt;=7,LEFT(Base_Periodo1[[#This Row],[CLASS]],7),"")</f>
        <v>2.1.2.1</v>
      </c>
      <c r="F2991" s="3" t="str">
        <f>VLOOKUP(Base_Periodo1[[#This Row],[Aux]],Base_Contas_Balanco[#All],2,FALSE)</f>
        <v>Fornecedores Cooperados</v>
      </c>
      <c r="G2991" s="1">
        <v>42884</v>
      </c>
      <c r="H2991" s="225">
        <v>0.12000000002444722</v>
      </c>
      <c r="I2991" s="225">
        <v>0.12</v>
      </c>
      <c r="J2991" s="225">
        <v>0</v>
      </c>
      <c r="K2991" s="225">
        <v>-2.444722202454841E-11</v>
      </c>
      <c r="L29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991" s="225">
        <f>ROUND(IF(AND(Base_Periodo1[[#This Row],[Tipo_Linha]]="-",Base_Periodo1[[#This Row],[TIPOSALDO]]="D"),Base_Periodo1[[#This Row],[SALDO_ATUAL]]*-1,Base_Periodo1[[#This Row],[SALDO_ATUAL]]),4)</f>
        <v>0</v>
      </c>
      <c r="N2991" t="s">
        <v>116</v>
      </c>
      <c r="O2991" t="s">
        <v>459</v>
      </c>
      <c r="P2991" t="s">
        <v>436</v>
      </c>
      <c r="Q2991">
        <v>7</v>
      </c>
      <c r="R2991" s="225">
        <f>Base_Periodo1[[#This Row],[CREDITOS]]-Base_Periodo1[[#This Row],[DEBITOS]]</f>
        <v>-0.12</v>
      </c>
      <c r="S2991" s="3" t="str">
        <f>IF(ISERROR(VLOOKUP(Base_Periodo1[[#This Row],[CONTA]],BaseContasDRE[#All],4,FALSE)),"Fora do DRE",VLOOKUP(Base_Periodo1[[#This Row],[CONTA]],BaseContasDRE[#All],4,FALSE))</f>
        <v>Fora do DRE</v>
      </c>
      <c r="T2991" s="3" t="str">
        <f>IF(ISERROR(VLOOKUP(Base_Periodo1[[#This Row],[CONTA]],BaseContasDRE[#All],5,FALSE)),"Fora do DRE",VLOOKUP(Base_Periodo1[[#This Row],[CONTA]],BaseContasDRE[#All],6,FALSE))</f>
        <v>Fora do DRE</v>
      </c>
      <c r="U2991" s="3" t="str">
        <f>IF(ISERROR(VLOOKUP(Base_Periodo1[[#This Row],[CONTA]],BaseContasDRE[#All],7,FALSE)),"Fora do DRE",VLOOKUP(Base_Periodo1[[#This Row],[CONTA]],BaseContasDRE[#All],7,FALSE))</f>
        <v>Fora do DRE</v>
      </c>
      <c r="V2991" s="3" t="str">
        <f>IF(Base_Periodo1[[#This Row],[Tipo_Linha]]="Fora do DRE","Fora do DRE","( "&amp;Base_Periodo1[[#This Row],[Tipo_Linha]]&amp;" ) "&amp;Base_Periodo1[[#This Row],[Filtro]])</f>
        <v>Fora do DRE</v>
      </c>
      <c r="W2991" s="3" t="str">
        <f>LEFT(Base_Periodo1[[#This Row],[CLASS]],3)</f>
        <v>2.1</v>
      </c>
    </row>
    <row r="2992" spans="1:23" hidden="1">
      <c r="A2992" s="3" t="str">
        <f t="shared" si="46"/>
        <v>Período 1</v>
      </c>
      <c r="B2992">
        <v>54038</v>
      </c>
      <c r="C2992" t="s">
        <v>1745</v>
      </c>
      <c r="D2992" t="s">
        <v>5328</v>
      </c>
      <c r="E2992" s="3" t="str">
        <f>IF(LEN(Base_Periodo1[[#This Row],[CLASS]])&gt;=7,LEFT(Base_Periodo1[[#This Row],[CLASS]],7),"")</f>
        <v>2.1.2.1</v>
      </c>
      <c r="F2992" s="3" t="str">
        <f>VLOOKUP(Base_Periodo1[[#This Row],[Aux]],Base_Contas_Balanco[#All],2,FALSE)</f>
        <v>Fornecedores Cooperados</v>
      </c>
      <c r="G2992" s="1">
        <v>42747</v>
      </c>
      <c r="H2992" s="225">
        <v>1098.6400000000031</v>
      </c>
      <c r="I2992" s="225">
        <v>0</v>
      </c>
      <c r="J2992" s="225">
        <v>0</v>
      </c>
      <c r="K2992" s="225">
        <v>1098.6400000000031</v>
      </c>
      <c r="L29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1098.6400000000001</v>
      </c>
      <c r="M2992" s="225">
        <f>ROUND(IF(AND(Base_Periodo1[[#This Row],[Tipo_Linha]]="-",Base_Periodo1[[#This Row],[TIPOSALDO]]="D"),Base_Periodo1[[#This Row],[SALDO_ATUAL]]*-1,Base_Periodo1[[#This Row],[SALDO_ATUAL]]),4)</f>
        <v>1098.6400000000001</v>
      </c>
      <c r="N2992" t="s">
        <v>116</v>
      </c>
      <c r="O2992" t="s">
        <v>459</v>
      </c>
      <c r="P2992" t="s">
        <v>459</v>
      </c>
      <c r="Q2992">
        <v>7</v>
      </c>
      <c r="R2992" s="225">
        <f>Base_Periodo1[[#This Row],[CREDITOS]]-Base_Periodo1[[#This Row],[DEBITOS]]</f>
        <v>0</v>
      </c>
      <c r="S2992" s="3" t="str">
        <f>IF(ISERROR(VLOOKUP(Base_Periodo1[[#This Row],[CONTA]],BaseContasDRE[#All],4,FALSE)),"Fora do DRE",VLOOKUP(Base_Periodo1[[#This Row],[CONTA]],BaseContasDRE[#All],4,FALSE))</f>
        <v>Fora do DRE</v>
      </c>
      <c r="T2992" s="3" t="str">
        <f>IF(ISERROR(VLOOKUP(Base_Periodo1[[#This Row],[CONTA]],BaseContasDRE[#All],5,FALSE)),"Fora do DRE",VLOOKUP(Base_Periodo1[[#This Row],[CONTA]],BaseContasDRE[#All],6,FALSE))</f>
        <v>Fora do DRE</v>
      </c>
      <c r="U2992" s="3" t="str">
        <f>IF(ISERROR(VLOOKUP(Base_Periodo1[[#This Row],[CONTA]],BaseContasDRE[#All],7,FALSE)),"Fora do DRE",VLOOKUP(Base_Periodo1[[#This Row],[CONTA]],BaseContasDRE[#All],7,FALSE))</f>
        <v>Fora do DRE</v>
      </c>
      <c r="V2992" s="3" t="str">
        <f>IF(Base_Periodo1[[#This Row],[Tipo_Linha]]="Fora do DRE","Fora do DRE","( "&amp;Base_Periodo1[[#This Row],[Tipo_Linha]]&amp;" ) "&amp;Base_Periodo1[[#This Row],[Filtro]])</f>
        <v>Fora do DRE</v>
      </c>
      <c r="W2992" s="3" t="str">
        <f>LEFT(Base_Periodo1[[#This Row],[CLASS]],3)</f>
        <v>2.1</v>
      </c>
    </row>
    <row r="2993" spans="1:23" hidden="1">
      <c r="A2993" s="3" t="str">
        <f t="shared" si="46"/>
        <v>Período 1</v>
      </c>
      <c r="B2993">
        <v>47838</v>
      </c>
      <c r="C2993" t="s">
        <v>1745</v>
      </c>
      <c r="D2993" t="s">
        <v>1904</v>
      </c>
      <c r="E2993" s="3" t="str">
        <f>IF(LEN(Base_Periodo1[[#This Row],[CLASS]])&gt;=7,LEFT(Base_Periodo1[[#This Row],[CLASS]],7),"")</f>
        <v>2.1.2.1</v>
      </c>
      <c r="F2993" s="3" t="str">
        <f>VLOOKUP(Base_Periodo1[[#This Row],[Aux]],Base_Contas_Balanco[#All],2,FALSE)</f>
        <v>Fornecedores Cooperados</v>
      </c>
      <c r="G2993" s="1">
        <v>42773</v>
      </c>
      <c r="H2993" s="225">
        <v>6170.429999999993</v>
      </c>
      <c r="I2993" s="225">
        <v>0</v>
      </c>
      <c r="J2993" s="225">
        <v>0</v>
      </c>
      <c r="K2993" s="225">
        <v>6170.429999999993</v>
      </c>
      <c r="L29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6170.43</v>
      </c>
      <c r="M2993" s="225">
        <f>ROUND(IF(AND(Base_Periodo1[[#This Row],[Tipo_Linha]]="-",Base_Periodo1[[#This Row],[TIPOSALDO]]="D"),Base_Periodo1[[#This Row],[SALDO_ATUAL]]*-1,Base_Periodo1[[#This Row],[SALDO_ATUAL]]),4)</f>
        <v>6170.43</v>
      </c>
      <c r="N2993" t="s">
        <v>116</v>
      </c>
      <c r="O2993" t="s">
        <v>459</v>
      </c>
      <c r="P2993" t="s">
        <v>459</v>
      </c>
      <c r="Q2993">
        <v>7</v>
      </c>
      <c r="R2993" s="225">
        <f>Base_Periodo1[[#This Row],[CREDITOS]]-Base_Periodo1[[#This Row],[DEBITOS]]</f>
        <v>0</v>
      </c>
      <c r="S2993" s="3" t="str">
        <f>IF(ISERROR(VLOOKUP(Base_Periodo1[[#This Row],[CONTA]],BaseContasDRE[#All],4,FALSE)),"Fora do DRE",VLOOKUP(Base_Periodo1[[#This Row],[CONTA]],BaseContasDRE[#All],4,FALSE))</f>
        <v>Fora do DRE</v>
      </c>
      <c r="T2993" s="3" t="str">
        <f>IF(ISERROR(VLOOKUP(Base_Periodo1[[#This Row],[CONTA]],BaseContasDRE[#All],5,FALSE)),"Fora do DRE",VLOOKUP(Base_Periodo1[[#This Row],[CONTA]],BaseContasDRE[#All],6,FALSE))</f>
        <v>Fora do DRE</v>
      </c>
      <c r="U2993" s="3" t="str">
        <f>IF(ISERROR(VLOOKUP(Base_Periodo1[[#This Row],[CONTA]],BaseContasDRE[#All],7,FALSE)),"Fora do DRE",VLOOKUP(Base_Periodo1[[#This Row],[CONTA]],BaseContasDRE[#All],7,FALSE))</f>
        <v>Fora do DRE</v>
      </c>
      <c r="V2993" s="3" t="str">
        <f>IF(Base_Periodo1[[#This Row],[Tipo_Linha]]="Fora do DRE","Fora do DRE","( "&amp;Base_Periodo1[[#This Row],[Tipo_Linha]]&amp;" ) "&amp;Base_Periodo1[[#This Row],[Filtro]])</f>
        <v>Fora do DRE</v>
      </c>
      <c r="W2993" s="3" t="str">
        <f>LEFT(Base_Periodo1[[#This Row],[CLASS]],3)</f>
        <v>2.1</v>
      </c>
    </row>
    <row r="2994" spans="1:23" hidden="1">
      <c r="A2994" s="3" t="str">
        <f t="shared" si="46"/>
        <v>Período 1</v>
      </c>
      <c r="B2994">
        <v>53246</v>
      </c>
      <c r="C2994" t="s">
        <v>1745</v>
      </c>
      <c r="D2994" t="s">
        <v>4942</v>
      </c>
      <c r="E2994" s="3" t="str">
        <f>IF(LEN(Base_Periodo1[[#This Row],[CLASS]])&gt;=7,LEFT(Base_Periodo1[[#This Row],[CLASS]],7),"")</f>
        <v>2.1.2.1</v>
      </c>
      <c r="F2994" s="3" t="str">
        <f>VLOOKUP(Base_Periodo1[[#This Row],[Aux]],Base_Contas_Balanco[#All],2,FALSE)</f>
        <v>Fornecedores Cooperados</v>
      </c>
      <c r="G2994" s="1">
        <v>42885</v>
      </c>
      <c r="H2994" s="225">
        <v>49343.29</v>
      </c>
      <c r="I2994" s="225">
        <v>49343.29</v>
      </c>
      <c r="J2994" s="225">
        <v>0</v>
      </c>
      <c r="K2994" s="225">
        <v>0</v>
      </c>
      <c r="L29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2994" s="225">
        <f>ROUND(IF(AND(Base_Periodo1[[#This Row],[Tipo_Linha]]="-",Base_Periodo1[[#This Row],[TIPOSALDO]]="D"),Base_Periodo1[[#This Row],[SALDO_ATUAL]]*-1,Base_Periodo1[[#This Row],[SALDO_ATUAL]]),4)</f>
        <v>0</v>
      </c>
      <c r="N2994" t="s">
        <v>116</v>
      </c>
      <c r="O2994" t="s">
        <v>459</v>
      </c>
      <c r="P2994" t="s">
        <v>436</v>
      </c>
      <c r="Q2994">
        <v>7</v>
      </c>
      <c r="R2994" s="225">
        <f>Base_Periodo1[[#This Row],[CREDITOS]]-Base_Periodo1[[#This Row],[DEBITOS]]</f>
        <v>-49343.29</v>
      </c>
      <c r="S2994" s="3" t="str">
        <f>IF(ISERROR(VLOOKUP(Base_Periodo1[[#This Row],[CONTA]],BaseContasDRE[#All],4,FALSE)),"Fora do DRE",VLOOKUP(Base_Periodo1[[#This Row],[CONTA]],BaseContasDRE[#All],4,FALSE))</f>
        <v>Fora do DRE</v>
      </c>
      <c r="T2994" s="3" t="str">
        <f>IF(ISERROR(VLOOKUP(Base_Periodo1[[#This Row],[CONTA]],BaseContasDRE[#All],5,FALSE)),"Fora do DRE",VLOOKUP(Base_Periodo1[[#This Row],[CONTA]],BaseContasDRE[#All],6,FALSE))</f>
        <v>Fora do DRE</v>
      </c>
      <c r="U2994" s="3" t="str">
        <f>IF(ISERROR(VLOOKUP(Base_Periodo1[[#This Row],[CONTA]],BaseContasDRE[#All],7,FALSE)),"Fora do DRE",VLOOKUP(Base_Periodo1[[#This Row],[CONTA]],BaseContasDRE[#All],7,FALSE))</f>
        <v>Fora do DRE</v>
      </c>
      <c r="V2994" s="3" t="str">
        <f>IF(Base_Periodo1[[#This Row],[Tipo_Linha]]="Fora do DRE","Fora do DRE","( "&amp;Base_Periodo1[[#This Row],[Tipo_Linha]]&amp;" ) "&amp;Base_Periodo1[[#This Row],[Filtro]])</f>
        <v>Fora do DRE</v>
      </c>
      <c r="W2994" s="3" t="str">
        <f>LEFT(Base_Periodo1[[#This Row],[CLASS]],3)</f>
        <v>2.1</v>
      </c>
    </row>
    <row r="2995" spans="1:23" hidden="1">
      <c r="A2995" s="3" t="str">
        <f t="shared" si="46"/>
        <v>Período 1</v>
      </c>
      <c r="B2995">
        <v>3598</v>
      </c>
      <c r="C2995" t="s">
        <v>1745</v>
      </c>
      <c r="D2995" t="s">
        <v>1905</v>
      </c>
      <c r="E2995" s="3" t="str">
        <f>IF(LEN(Base_Periodo1[[#This Row],[CLASS]])&gt;=7,LEFT(Base_Periodo1[[#This Row],[CLASS]],7),"")</f>
        <v>2.1.2.1</v>
      </c>
      <c r="F2995" s="3" t="str">
        <f>VLOOKUP(Base_Periodo1[[#This Row],[Aux]],Base_Contas_Balanco[#All],2,FALSE)</f>
        <v>Fornecedores Cooperados</v>
      </c>
      <c r="G2995" s="1">
        <v>42576</v>
      </c>
      <c r="H2995" s="225">
        <v>641.9100000000326</v>
      </c>
      <c r="I2995" s="225">
        <v>0</v>
      </c>
      <c r="J2995" s="225">
        <v>0</v>
      </c>
      <c r="K2995" s="225">
        <v>641.9100000000326</v>
      </c>
      <c r="L29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641.91</v>
      </c>
      <c r="M2995" s="225">
        <f>ROUND(IF(AND(Base_Periodo1[[#This Row],[Tipo_Linha]]="-",Base_Periodo1[[#This Row],[TIPOSALDO]]="D"),Base_Periodo1[[#This Row],[SALDO_ATUAL]]*-1,Base_Periodo1[[#This Row],[SALDO_ATUAL]]),4)</f>
        <v>641.91</v>
      </c>
      <c r="N2995" t="s">
        <v>116</v>
      </c>
      <c r="O2995" t="s">
        <v>459</v>
      </c>
      <c r="P2995" t="s">
        <v>459</v>
      </c>
      <c r="Q2995">
        <v>7</v>
      </c>
      <c r="R2995" s="225">
        <f>Base_Periodo1[[#This Row],[CREDITOS]]-Base_Periodo1[[#This Row],[DEBITOS]]</f>
        <v>0</v>
      </c>
      <c r="S2995" s="3" t="str">
        <f>IF(ISERROR(VLOOKUP(Base_Periodo1[[#This Row],[CONTA]],BaseContasDRE[#All],4,FALSE)),"Fora do DRE",VLOOKUP(Base_Periodo1[[#This Row],[CONTA]],BaseContasDRE[#All],4,FALSE))</f>
        <v>Fora do DRE</v>
      </c>
      <c r="T2995" s="3" t="str">
        <f>IF(ISERROR(VLOOKUP(Base_Periodo1[[#This Row],[CONTA]],BaseContasDRE[#All],5,FALSE)),"Fora do DRE",VLOOKUP(Base_Periodo1[[#This Row],[CONTA]],BaseContasDRE[#All],6,FALSE))</f>
        <v>Fora do DRE</v>
      </c>
      <c r="U2995" s="3" t="str">
        <f>IF(ISERROR(VLOOKUP(Base_Periodo1[[#This Row],[CONTA]],BaseContasDRE[#All],7,FALSE)),"Fora do DRE",VLOOKUP(Base_Periodo1[[#This Row],[CONTA]],BaseContasDRE[#All],7,FALSE))</f>
        <v>Fora do DRE</v>
      </c>
      <c r="V2995" s="3" t="str">
        <f>IF(Base_Periodo1[[#This Row],[Tipo_Linha]]="Fora do DRE","Fora do DRE","( "&amp;Base_Periodo1[[#This Row],[Tipo_Linha]]&amp;" ) "&amp;Base_Periodo1[[#This Row],[Filtro]])</f>
        <v>Fora do DRE</v>
      </c>
      <c r="W2995" s="3" t="str">
        <f>LEFT(Base_Periodo1[[#This Row],[CLASS]],3)</f>
        <v>2.1</v>
      </c>
    </row>
    <row r="2996" spans="1:23" hidden="1">
      <c r="A2996" s="3" t="str">
        <f t="shared" si="46"/>
        <v>Período 1</v>
      </c>
      <c r="B2996">
        <v>48550</v>
      </c>
      <c r="C2996" t="s">
        <v>1745</v>
      </c>
      <c r="D2996" t="s">
        <v>6383</v>
      </c>
      <c r="E2996" s="3" t="str">
        <f>IF(LEN(Base_Periodo1[[#This Row],[CLASS]])&gt;=7,LEFT(Base_Periodo1[[#This Row],[CLASS]],7),"")</f>
        <v>2.1.2.1</v>
      </c>
      <c r="F2996" s="3" t="str">
        <f>VLOOKUP(Base_Periodo1[[#This Row],[Aux]],Base_Contas_Balanco[#All],2,FALSE)</f>
        <v>Fornecedores Cooperados</v>
      </c>
      <c r="G2996" s="1">
        <v>42845</v>
      </c>
      <c r="H2996" s="225">
        <v>2622.7599999999984</v>
      </c>
      <c r="I2996" s="225">
        <v>0</v>
      </c>
      <c r="J2996" s="225">
        <v>0</v>
      </c>
      <c r="K2996" s="225">
        <v>2622.7599999999984</v>
      </c>
      <c r="L29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2622.76</v>
      </c>
      <c r="M2996" s="225">
        <f>ROUND(IF(AND(Base_Periodo1[[#This Row],[Tipo_Linha]]="-",Base_Periodo1[[#This Row],[TIPOSALDO]]="D"),Base_Periodo1[[#This Row],[SALDO_ATUAL]]*-1,Base_Periodo1[[#This Row],[SALDO_ATUAL]]),4)</f>
        <v>2622.76</v>
      </c>
      <c r="N2996" t="s">
        <v>116</v>
      </c>
      <c r="O2996" t="s">
        <v>459</v>
      </c>
      <c r="P2996" t="s">
        <v>459</v>
      </c>
      <c r="Q2996">
        <v>7</v>
      </c>
      <c r="R2996" s="225">
        <f>Base_Periodo1[[#This Row],[CREDITOS]]-Base_Periodo1[[#This Row],[DEBITOS]]</f>
        <v>0</v>
      </c>
      <c r="S2996" s="3" t="str">
        <f>IF(ISERROR(VLOOKUP(Base_Periodo1[[#This Row],[CONTA]],BaseContasDRE[#All],4,FALSE)),"Fora do DRE",VLOOKUP(Base_Periodo1[[#This Row],[CONTA]],BaseContasDRE[#All],4,FALSE))</f>
        <v>Fora do DRE</v>
      </c>
      <c r="T2996" s="3" t="str">
        <f>IF(ISERROR(VLOOKUP(Base_Periodo1[[#This Row],[CONTA]],BaseContasDRE[#All],5,FALSE)),"Fora do DRE",VLOOKUP(Base_Periodo1[[#This Row],[CONTA]],BaseContasDRE[#All],6,FALSE))</f>
        <v>Fora do DRE</v>
      </c>
      <c r="U2996" s="3" t="str">
        <f>IF(ISERROR(VLOOKUP(Base_Periodo1[[#This Row],[CONTA]],BaseContasDRE[#All],7,FALSE)),"Fora do DRE",VLOOKUP(Base_Periodo1[[#This Row],[CONTA]],BaseContasDRE[#All],7,FALSE))</f>
        <v>Fora do DRE</v>
      </c>
      <c r="V2996" s="3" t="str">
        <f>IF(Base_Periodo1[[#This Row],[Tipo_Linha]]="Fora do DRE","Fora do DRE","( "&amp;Base_Periodo1[[#This Row],[Tipo_Linha]]&amp;" ) "&amp;Base_Periodo1[[#This Row],[Filtro]])</f>
        <v>Fora do DRE</v>
      </c>
      <c r="W2996" s="3" t="str">
        <f>LEFT(Base_Periodo1[[#This Row],[CLASS]],3)</f>
        <v>2.1</v>
      </c>
    </row>
    <row r="2997" spans="1:23" hidden="1">
      <c r="A2997" s="3" t="str">
        <f t="shared" si="46"/>
        <v>Período 1</v>
      </c>
      <c r="B2997">
        <v>3834</v>
      </c>
      <c r="C2997" t="s">
        <v>1745</v>
      </c>
      <c r="D2997" t="s">
        <v>1906</v>
      </c>
      <c r="E2997" s="3" t="str">
        <f>IF(LEN(Base_Periodo1[[#This Row],[CLASS]])&gt;=7,LEFT(Base_Periodo1[[#This Row],[CLASS]],7),"")</f>
        <v>2.1.2.1</v>
      </c>
      <c r="F2997" s="3" t="str">
        <f>VLOOKUP(Base_Periodo1[[#This Row],[Aux]],Base_Contas_Balanco[#All],2,FALSE)</f>
        <v>Fornecedores Cooperados</v>
      </c>
      <c r="G2997" s="1">
        <v>42851</v>
      </c>
      <c r="H2997" s="225">
        <v>180743.65999999992</v>
      </c>
      <c r="I2997" s="225">
        <v>0</v>
      </c>
      <c r="J2997" s="225">
        <v>0</v>
      </c>
      <c r="K2997" s="225">
        <v>180743.65999999992</v>
      </c>
      <c r="L29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180743.66</v>
      </c>
      <c r="M2997" s="225">
        <f>ROUND(IF(AND(Base_Periodo1[[#This Row],[Tipo_Linha]]="-",Base_Periodo1[[#This Row],[TIPOSALDO]]="D"),Base_Periodo1[[#This Row],[SALDO_ATUAL]]*-1,Base_Periodo1[[#This Row],[SALDO_ATUAL]]),4)</f>
        <v>180743.66</v>
      </c>
      <c r="N2997" t="s">
        <v>116</v>
      </c>
      <c r="O2997" t="s">
        <v>459</v>
      </c>
      <c r="P2997" t="s">
        <v>459</v>
      </c>
      <c r="Q2997">
        <v>7</v>
      </c>
      <c r="R2997" s="225">
        <f>Base_Periodo1[[#This Row],[CREDITOS]]-Base_Periodo1[[#This Row],[DEBITOS]]</f>
        <v>0</v>
      </c>
      <c r="S2997" s="3" t="str">
        <f>IF(ISERROR(VLOOKUP(Base_Periodo1[[#This Row],[CONTA]],BaseContasDRE[#All],4,FALSE)),"Fora do DRE",VLOOKUP(Base_Periodo1[[#This Row],[CONTA]],BaseContasDRE[#All],4,FALSE))</f>
        <v>Fora do DRE</v>
      </c>
      <c r="T2997" s="3" t="str">
        <f>IF(ISERROR(VLOOKUP(Base_Periodo1[[#This Row],[CONTA]],BaseContasDRE[#All],5,FALSE)),"Fora do DRE",VLOOKUP(Base_Periodo1[[#This Row],[CONTA]],BaseContasDRE[#All],6,FALSE))</f>
        <v>Fora do DRE</v>
      </c>
      <c r="U2997" s="3" t="str">
        <f>IF(ISERROR(VLOOKUP(Base_Periodo1[[#This Row],[CONTA]],BaseContasDRE[#All],7,FALSE)),"Fora do DRE",VLOOKUP(Base_Periodo1[[#This Row],[CONTA]],BaseContasDRE[#All],7,FALSE))</f>
        <v>Fora do DRE</v>
      </c>
      <c r="V2997" s="3" t="str">
        <f>IF(Base_Periodo1[[#This Row],[Tipo_Linha]]="Fora do DRE","Fora do DRE","( "&amp;Base_Periodo1[[#This Row],[Tipo_Linha]]&amp;" ) "&amp;Base_Periodo1[[#This Row],[Filtro]])</f>
        <v>Fora do DRE</v>
      </c>
      <c r="W2997" s="3" t="str">
        <f>LEFT(Base_Periodo1[[#This Row],[CLASS]],3)</f>
        <v>2.1</v>
      </c>
    </row>
    <row r="2998" spans="1:23" hidden="1">
      <c r="A2998" s="3" t="str">
        <f t="shared" si="46"/>
        <v>Período 1</v>
      </c>
      <c r="B2998">
        <v>54163</v>
      </c>
      <c r="C2998" t="s">
        <v>1745</v>
      </c>
      <c r="D2998" t="s">
        <v>6885</v>
      </c>
      <c r="E2998" s="3" t="str">
        <f>IF(LEN(Base_Periodo1[[#This Row],[CLASS]])&gt;=7,LEFT(Base_Periodo1[[#This Row],[CLASS]],7),"")</f>
        <v>2.1.2.1</v>
      </c>
      <c r="F2998" s="3" t="str">
        <f>VLOOKUP(Base_Periodo1[[#This Row],[Aux]],Base_Contas_Balanco[#All],2,FALSE)</f>
        <v>Fornecedores Cooperados</v>
      </c>
      <c r="G2998" s="1">
        <v>42865</v>
      </c>
      <c r="I2998" s="225">
        <v>0</v>
      </c>
      <c r="J2998" s="225">
        <v>17976.8</v>
      </c>
      <c r="K2998" s="225">
        <v>17976.8</v>
      </c>
      <c r="L29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17976.8</v>
      </c>
      <c r="M2998" s="225">
        <f>ROUND(IF(AND(Base_Periodo1[[#This Row],[Tipo_Linha]]="-",Base_Periodo1[[#This Row],[TIPOSALDO]]="D"),Base_Periodo1[[#This Row],[SALDO_ATUAL]]*-1,Base_Periodo1[[#This Row],[SALDO_ATUAL]]),4)</f>
        <v>17976.8</v>
      </c>
      <c r="N2998" t="s">
        <v>116</v>
      </c>
      <c r="O2998" t="s">
        <v>436</v>
      </c>
      <c r="P2998" t="s">
        <v>459</v>
      </c>
      <c r="Q2998">
        <v>7</v>
      </c>
      <c r="R2998" s="225">
        <f>Base_Periodo1[[#This Row],[CREDITOS]]-Base_Periodo1[[#This Row],[DEBITOS]]</f>
        <v>17976.8</v>
      </c>
      <c r="S2998" s="3" t="str">
        <f>IF(ISERROR(VLOOKUP(Base_Periodo1[[#This Row],[CONTA]],BaseContasDRE[#All],4,FALSE)),"Fora do DRE",VLOOKUP(Base_Periodo1[[#This Row],[CONTA]],BaseContasDRE[#All],4,FALSE))</f>
        <v>Fora do DRE</v>
      </c>
      <c r="T2998" s="3" t="str">
        <f>IF(ISERROR(VLOOKUP(Base_Periodo1[[#This Row],[CONTA]],BaseContasDRE[#All],5,FALSE)),"Fora do DRE",VLOOKUP(Base_Periodo1[[#This Row],[CONTA]],BaseContasDRE[#All],6,FALSE))</f>
        <v>Fora do DRE</v>
      </c>
      <c r="U2998" s="3" t="str">
        <f>IF(ISERROR(VLOOKUP(Base_Periodo1[[#This Row],[CONTA]],BaseContasDRE[#All],7,FALSE)),"Fora do DRE",VLOOKUP(Base_Periodo1[[#This Row],[CONTA]],BaseContasDRE[#All],7,FALSE))</f>
        <v>Fora do DRE</v>
      </c>
      <c r="V2998" s="3" t="str">
        <f>IF(Base_Periodo1[[#This Row],[Tipo_Linha]]="Fora do DRE","Fora do DRE","( "&amp;Base_Periodo1[[#This Row],[Tipo_Linha]]&amp;" ) "&amp;Base_Periodo1[[#This Row],[Filtro]])</f>
        <v>Fora do DRE</v>
      </c>
      <c r="W2998" s="3" t="str">
        <f>LEFT(Base_Periodo1[[#This Row],[CLASS]],3)</f>
        <v>2.1</v>
      </c>
    </row>
    <row r="2999" spans="1:23" hidden="1">
      <c r="A2999" s="3" t="str">
        <f t="shared" si="46"/>
        <v>Período 1</v>
      </c>
      <c r="B2999">
        <v>2362</v>
      </c>
      <c r="C2999" t="s">
        <v>1745</v>
      </c>
      <c r="D2999" t="s">
        <v>4679</v>
      </c>
      <c r="E2999" s="3" t="str">
        <f>IF(LEN(Base_Periodo1[[#This Row],[CLASS]])&gt;=7,LEFT(Base_Periodo1[[#This Row],[CLASS]],7),"")</f>
        <v>2.1.2.1</v>
      </c>
      <c r="F2999" s="3" t="str">
        <f>VLOOKUP(Base_Periodo1[[#This Row],[Aux]],Base_Contas_Balanco[#All],2,FALSE)</f>
        <v>Fornecedores Cooperados</v>
      </c>
      <c r="G2999" s="1">
        <v>42727</v>
      </c>
      <c r="H2999" s="225">
        <v>74.97999999998865</v>
      </c>
      <c r="I2999" s="225">
        <v>0</v>
      </c>
      <c r="J2999" s="225">
        <v>0</v>
      </c>
      <c r="K2999" s="225">
        <v>74.97999999998865</v>
      </c>
      <c r="L29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74.98</v>
      </c>
      <c r="M2999" s="225">
        <f>ROUND(IF(AND(Base_Periodo1[[#This Row],[Tipo_Linha]]="-",Base_Periodo1[[#This Row],[TIPOSALDO]]="D"),Base_Periodo1[[#This Row],[SALDO_ATUAL]]*-1,Base_Periodo1[[#This Row],[SALDO_ATUAL]]),4)</f>
        <v>74.98</v>
      </c>
      <c r="N2999" t="s">
        <v>116</v>
      </c>
      <c r="O2999" t="s">
        <v>459</v>
      </c>
      <c r="P2999" t="s">
        <v>459</v>
      </c>
      <c r="Q2999">
        <v>7</v>
      </c>
      <c r="R2999" s="225">
        <f>Base_Periodo1[[#This Row],[CREDITOS]]-Base_Periodo1[[#This Row],[DEBITOS]]</f>
        <v>0</v>
      </c>
      <c r="S2999" s="3" t="str">
        <f>IF(ISERROR(VLOOKUP(Base_Periodo1[[#This Row],[CONTA]],BaseContasDRE[#All],4,FALSE)),"Fora do DRE",VLOOKUP(Base_Periodo1[[#This Row],[CONTA]],BaseContasDRE[#All],4,FALSE))</f>
        <v>Fora do DRE</v>
      </c>
      <c r="T2999" s="3" t="str">
        <f>IF(ISERROR(VLOOKUP(Base_Periodo1[[#This Row],[CONTA]],BaseContasDRE[#All],5,FALSE)),"Fora do DRE",VLOOKUP(Base_Periodo1[[#This Row],[CONTA]],BaseContasDRE[#All],6,FALSE))</f>
        <v>Fora do DRE</v>
      </c>
      <c r="U2999" s="3" t="str">
        <f>IF(ISERROR(VLOOKUP(Base_Periodo1[[#This Row],[CONTA]],BaseContasDRE[#All],7,FALSE)),"Fora do DRE",VLOOKUP(Base_Periodo1[[#This Row],[CONTA]],BaseContasDRE[#All],7,FALSE))</f>
        <v>Fora do DRE</v>
      </c>
      <c r="V2999" s="3" t="str">
        <f>IF(Base_Periodo1[[#This Row],[Tipo_Linha]]="Fora do DRE","Fora do DRE","( "&amp;Base_Periodo1[[#This Row],[Tipo_Linha]]&amp;" ) "&amp;Base_Periodo1[[#This Row],[Filtro]])</f>
        <v>Fora do DRE</v>
      </c>
      <c r="W2999" s="3" t="str">
        <f>LEFT(Base_Periodo1[[#This Row],[CLASS]],3)</f>
        <v>2.1</v>
      </c>
    </row>
    <row r="3000" spans="1:23" hidden="1">
      <c r="A3000" s="3" t="str">
        <f t="shared" si="46"/>
        <v>Período 1</v>
      </c>
      <c r="B3000">
        <v>2162</v>
      </c>
      <c r="C3000" t="s">
        <v>1745</v>
      </c>
      <c r="D3000" t="s">
        <v>1907</v>
      </c>
      <c r="E3000" s="3" t="str">
        <f>IF(LEN(Base_Periodo1[[#This Row],[CLASS]])&gt;=7,LEFT(Base_Periodo1[[#This Row],[CLASS]],7),"")</f>
        <v>2.1.2.1</v>
      </c>
      <c r="F3000" s="3" t="str">
        <f>VLOOKUP(Base_Periodo1[[#This Row],[Aux]],Base_Contas_Balanco[#All],2,FALSE)</f>
        <v>Fornecedores Cooperados</v>
      </c>
      <c r="G3000" s="1">
        <v>42874</v>
      </c>
      <c r="H3000" s="225">
        <v>89096.329999998212</v>
      </c>
      <c r="I3000" s="225">
        <v>5515.0999999999995</v>
      </c>
      <c r="J3000" s="225">
        <v>2528</v>
      </c>
      <c r="K3000" s="225">
        <v>86109.229999998206</v>
      </c>
      <c r="L30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86109.23</v>
      </c>
      <c r="M3000" s="225">
        <f>ROUND(IF(AND(Base_Periodo1[[#This Row],[Tipo_Linha]]="-",Base_Periodo1[[#This Row],[TIPOSALDO]]="D"),Base_Periodo1[[#This Row],[SALDO_ATUAL]]*-1,Base_Periodo1[[#This Row],[SALDO_ATUAL]]),4)</f>
        <v>86109.23</v>
      </c>
      <c r="N3000" t="s">
        <v>116</v>
      </c>
      <c r="O3000" t="s">
        <v>459</v>
      </c>
      <c r="P3000" t="s">
        <v>459</v>
      </c>
      <c r="Q3000">
        <v>7</v>
      </c>
      <c r="R3000" s="225">
        <f>Base_Periodo1[[#This Row],[CREDITOS]]-Base_Periodo1[[#This Row],[DEBITOS]]</f>
        <v>-2987.0999999999995</v>
      </c>
      <c r="S3000" s="3" t="str">
        <f>IF(ISERROR(VLOOKUP(Base_Periodo1[[#This Row],[CONTA]],BaseContasDRE[#All],4,FALSE)),"Fora do DRE",VLOOKUP(Base_Periodo1[[#This Row],[CONTA]],BaseContasDRE[#All],4,FALSE))</f>
        <v>Fora do DRE</v>
      </c>
      <c r="T3000" s="3" t="str">
        <f>IF(ISERROR(VLOOKUP(Base_Periodo1[[#This Row],[CONTA]],BaseContasDRE[#All],5,FALSE)),"Fora do DRE",VLOOKUP(Base_Periodo1[[#This Row],[CONTA]],BaseContasDRE[#All],6,FALSE))</f>
        <v>Fora do DRE</v>
      </c>
      <c r="U3000" s="3" t="str">
        <f>IF(ISERROR(VLOOKUP(Base_Periodo1[[#This Row],[CONTA]],BaseContasDRE[#All],7,FALSE)),"Fora do DRE",VLOOKUP(Base_Periodo1[[#This Row],[CONTA]],BaseContasDRE[#All],7,FALSE))</f>
        <v>Fora do DRE</v>
      </c>
      <c r="V3000" s="3" t="str">
        <f>IF(Base_Periodo1[[#This Row],[Tipo_Linha]]="Fora do DRE","Fora do DRE","( "&amp;Base_Periodo1[[#This Row],[Tipo_Linha]]&amp;" ) "&amp;Base_Periodo1[[#This Row],[Filtro]])</f>
        <v>Fora do DRE</v>
      </c>
      <c r="W3000" s="3" t="str">
        <f>LEFT(Base_Periodo1[[#This Row],[CLASS]],3)</f>
        <v>2.1</v>
      </c>
    </row>
    <row r="3001" spans="1:23" hidden="1">
      <c r="A3001" s="3" t="str">
        <f t="shared" si="46"/>
        <v>Período 1</v>
      </c>
      <c r="B3001">
        <v>3826</v>
      </c>
      <c r="C3001" t="s">
        <v>1745</v>
      </c>
      <c r="D3001" t="s">
        <v>1908</v>
      </c>
      <c r="E3001" s="3" t="str">
        <f>IF(LEN(Base_Periodo1[[#This Row],[CLASS]])&gt;=7,LEFT(Base_Periodo1[[#This Row],[CLASS]],7),"")</f>
        <v>2.1.2.1</v>
      </c>
      <c r="F3001" s="3" t="str">
        <f>VLOOKUP(Base_Periodo1[[#This Row],[Aux]],Base_Contas_Balanco[#All],2,FALSE)</f>
        <v>Fornecedores Cooperados</v>
      </c>
      <c r="G3001" s="1">
        <v>42851</v>
      </c>
      <c r="H3001" s="225">
        <v>42521.169999999984</v>
      </c>
      <c r="I3001" s="225">
        <v>0</v>
      </c>
      <c r="J3001" s="225">
        <v>0</v>
      </c>
      <c r="K3001" s="225">
        <v>42521.169999999984</v>
      </c>
      <c r="L30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42521.17</v>
      </c>
      <c r="M3001" s="225">
        <f>ROUND(IF(AND(Base_Periodo1[[#This Row],[Tipo_Linha]]="-",Base_Periodo1[[#This Row],[TIPOSALDO]]="D"),Base_Periodo1[[#This Row],[SALDO_ATUAL]]*-1,Base_Periodo1[[#This Row],[SALDO_ATUAL]]),4)</f>
        <v>42521.17</v>
      </c>
      <c r="N3001" t="s">
        <v>116</v>
      </c>
      <c r="O3001" t="s">
        <v>459</v>
      </c>
      <c r="P3001" t="s">
        <v>459</v>
      </c>
      <c r="Q3001">
        <v>7</v>
      </c>
      <c r="R3001" s="225">
        <f>Base_Periodo1[[#This Row],[CREDITOS]]-Base_Periodo1[[#This Row],[DEBITOS]]</f>
        <v>0</v>
      </c>
      <c r="S3001" s="3" t="str">
        <f>IF(ISERROR(VLOOKUP(Base_Periodo1[[#This Row],[CONTA]],BaseContasDRE[#All],4,FALSE)),"Fora do DRE",VLOOKUP(Base_Periodo1[[#This Row],[CONTA]],BaseContasDRE[#All],4,FALSE))</f>
        <v>Fora do DRE</v>
      </c>
      <c r="T3001" s="3" t="str">
        <f>IF(ISERROR(VLOOKUP(Base_Periodo1[[#This Row],[CONTA]],BaseContasDRE[#All],5,FALSE)),"Fora do DRE",VLOOKUP(Base_Periodo1[[#This Row],[CONTA]],BaseContasDRE[#All],6,FALSE))</f>
        <v>Fora do DRE</v>
      </c>
      <c r="U3001" s="3" t="str">
        <f>IF(ISERROR(VLOOKUP(Base_Periodo1[[#This Row],[CONTA]],BaseContasDRE[#All],7,FALSE)),"Fora do DRE",VLOOKUP(Base_Periodo1[[#This Row],[CONTA]],BaseContasDRE[#All],7,FALSE))</f>
        <v>Fora do DRE</v>
      </c>
      <c r="V3001" s="3" t="str">
        <f>IF(Base_Periodo1[[#This Row],[Tipo_Linha]]="Fora do DRE","Fora do DRE","( "&amp;Base_Periodo1[[#This Row],[Tipo_Linha]]&amp;" ) "&amp;Base_Periodo1[[#This Row],[Filtro]])</f>
        <v>Fora do DRE</v>
      </c>
      <c r="W3001" s="3" t="str">
        <f>LEFT(Base_Periodo1[[#This Row],[CLASS]],3)</f>
        <v>2.1</v>
      </c>
    </row>
    <row r="3002" spans="1:23" hidden="1">
      <c r="A3002" s="3" t="str">
        <f t="shared" si="46"/>
        <v>Período 1</v>
      </c>
      <c r="B3002">
        <v>4758</v>
      </c>
      <c r="C3002" t="s">
        <v>1745</v>
      </c>
      <c r="D3002" t="s">
        <v>6384</v>
      </c>
      <c r="E3002" s="3" t="str">
        <f>IF(LEN(Base_Periodo1[[#This Row],[CLASS]])&gt;=7,LEFT(Base_Periodo1[[#This Row],[CLASS]],7),"")</f>
        <v>2.1.2.1</v>
      </c>
      <c r="F3002" s="3" t="str">
        <f>VLOOKUP(Base_Periodo1[[#This Row],[Aux]],Base_Contas_Balanco[#All],2,FALSE)</f>
        <v>Fornecedores Cooperados</v>
      </c>
      <c r="G3002" s="1">
        <v>42838</v>
      </c>
      <c r="H3002" s="225">
        <v>36783.999999999302</v>
      </c>
      <c r="I3002" s="225">
        <v>0</v>
      </c>
      <c r="J3002" s="225">
        <v>0</v>
      </c>
      <c r="K3002" s="225">
        <v>36783.999999999302</v>
      </c>
      <c r="L30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36784</v>
      </c>
      <c r="M3002" s="225">
        <f>ROUND(IF(AND(Base_Periodo1[[#This Row],[Tipo_Linha]]="-",Base_Periodo1[[#This Row],[TIPOSALDO]]="D"),Base_Periodo1[[#This Row],[SALDO_ATUAL]]*-1,Base_Periodo1[[#This Row],[SALDO_ATUAL]]),4)</f>
        <v>36784</v>
      </c>
      <c r="N3002" t="s">
        <v>116</v>
      </c>
      <c r="O3002" t="s">
        <v>459</v>
      </c>
      <c r="P3002" t="s">
        <v>459</v>
      </c>
      <c r="Q3002">
        <v>7</v>
      </c>
      <c r="R3002" s="225">
        <f>Base_Periodo1[[#This Row],[CREDITOS]]-Base_Periodo1[[#This Row],[DEBITOS]]</f>
        <v>0</v>
      </c>
      <c r="S3002" s="3" t="str">
        <f>IF(ISERROR(VLOOKUP(Base_Periodo1[[#This Row],[CONTA]],BaseContasDRE[#All],4,FALSE)),"Fora do DRE",VLOOKUP(Base_Periodo1[[#This Row],[CONTA]],BaseContasDRE[#All],4,FALSE))</f>
        <v>Fora do DRE</v>
      </c>
      <c r="T3002" s="3" t="str">
        <f>IF(ISERROR(VLOOKUP(Base_Periodo1[[#This Row],[CONTA]],BaseContasDRE[#All],5,FALSE)),"Fora do DRE",VLOOKUP(Base_Periodo1[[#This Row],[CONTA]],BaseContasDRE[#All],6,FALSE))</f>
        <v>Fora do DRE</v>
      </c>
      <c r="U3002" s="3" t="str">
        <f>IF(ISERROR(VLOOKUP(Base_Periodo1[[#This Row],[CONTA]],BaseContasDRE[#All],7,FALSE)),"Fora do DRE",VLOOKUP(Base_Periodo1[[#This Row],[CONTA]],BaseContasDRE[#All],7,FALSE))</f>
        <v>Fora do DRE</v>
      </c>
      <c r="V3002" s="3" t="str">
        <f>IF(Base_Periodo1[[#This Row],[Tipo_Linha]]="Fora do DRE","Fora do DRE","( "&amp;Base_Periodo1[[#This Row],[Tipo_Linha]]&amp;" ) "&amp;Base_Periodo1[[#This Row],[Filtro]])</f>
        <v>Fora do DRE</v>
      </c>
      <c r="W3002" s="3" t="str">
        <f>LEFT(Base_Periodo1[[#This Row],[CLASS]],3)</f>
        <v>2.1</v>
      </c>
    </row>
    <row r="3003" spans="1:23" hidden="1">
      <c r="A3003" s="3" t="str">
        <f t="shared" si="46"/>
        <v>Período 1</v>
      </c>
      <c r="B3003">
        <v>53636</v>
      </c>
      <c r="C3003" t="s">
        <v>1745</v>
      </c>
      <c r="D3003" t="s">
        <v>6385</v>
      </c>
      <c r="E3003" s="3" t="str">
        <f>IF(LEN(Base_Periodo1[[#This Row],[CLASS]])&gt;=7,LEFT(Base_Periodo1[[#This Row],[CLASS]],7),"")</f>
        <v>2.1.2.1</v>
      </c>
      <c r="F3003" s="3" t="str">
        <f>VLOOKUP(Base_Periodo1[[#This Row],[Aux]],Base_Contas_Balanco[#All],2,FALSE)</f>
        <v>Fornecedores Cooperados</v>
      </c>
      <c r="G3003" s="1">
        <v>42870</v>
      </c>
      <c r="H3003" s="225">
        <v>4112.4700000000012</v>
      </c>
      <c r="I3003" s="225">
        <v>4112.47</v>
      </c>
      <c r="J3003" s="225">
        <v>0</v>
      </c>
      <c r="K3003" s="225">
        <v>-9.0949470177292824E-13</v>
      </c>
      <c r="L30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003" s="225">
        <f>ROUND(IF(AND(Base_Periodo1[[#This Row],[Tipo_Linha]]="-",Base_Periodo1[[#This Row],[TIPOSALDO]]="D"),Base_Periodo1[[#This Row],[SALDO_ATUAL]]*-1,Base_Periodo1[[#This Row],[SALDO_ATUAL]]),4)</f>
        <v>0</v>
      </c>
      <c r="N3003" t="s">
        <v>116</v>
      </c>
      <c r="O3003" t="s">
        <v>459</v>
      </c>
      <c r="P3003" t="s">
        <v>436</v>
      </c>
      <c r="Q3003">
        <v>7</v>
      </c>
      <c r="R3003" s="225">
        <f>Base_Periodo1[[#This Row],[CREDITOS]]-Base_Periodo1[[#This Row],[DEBITOS]]</f>
        <v>-4112.47</v>
      </c>
      <c r="S3003" s="3" t="str">
        <f>IF(ISERROR(VLOOKUP(Base_Periodo1[[#This Row],[CONTA]],BaseContasDRE[#All],4,FALSE)),"Fora do DRE",VLOOKUP(Base_Periodo1[[#This Row],[CONTA]],BaseContasDRE[#All],4,FALSE))</f>
        <v>Fora do DRE</v>
      </c>
      <c r="T3003" s="3" t="str">
        <f>IF(ISERROR(VLOOKUP(Base_Periodo1[[#This Row],[CONTA]],BaseContasDRE[#All],5,FALSE)),"Fora do DRE",VLOOKUP(Base_Periodo1[[#This Row],[CONTA]],BaseContasDRE[#All],6,FALSE))</f>
        <v>Fora do DRE</v>
      </c>
      <c r="U3003" s="3" t="str">
        <f>IF(ISERROR(VLOOKUP(Base_Periodo1[[#This Row],[CONTA]],BaseContasDRE[#All],7,FALSE)),"Fora do DRE",VLOOKUP(Base_Periodo1[[#This Row],[CONTA]],BaseContasDRE[#All],7,FALSE))</f>
        <v>Fora do DRE</v>
      </c>
      <c r="V3003" s="3" t="str">
        <f>IF(Base_Periodo1[[#This Row],[Tipo_Linha]]="Fora do DRE","Fora do DRE","( "&amp;Base_Periodo1[[#This Row],[Tipo_Linha]]&amp;" ) "&amp;Base_Periodo1[[#This Row],[Filtro]])</f>
        <v>Fora do DRE</v>
      </c>
      <c r="W3003" s="3" t="str">
        <f>LEFT(Base_Periodo1[[#This Row],[CLASS]],3)</f>
        <v>2.1</v>
      </c>
    </row>
    <row r="3004" spans="1:23" hidden="1">
      <c r="A3004" s="3" t="str">
        <f t="shared" si="46"/>
        <v>Período 1</v>
      </c>
      <c r="B3004">
        <v>3954</v>
      </c>
      <c r="C3004" t="s">
        <v>1745</v>
      </c>
      <c r="D3004" t="s">
        <v>5959</v>
      </c>
      <c r="E3004" s="3" t="str">
        <f>IF(LEN(Base_Periodo1[[#This Row],[CLASS]])&gt;=7,LEFT(Base_Periodo1[[#This Row],[CLASS]],7),"")</f>
        <v>2.1.2.1</v>
      </c>
      <c r="F3004" s="3" t="str">
        <f>VLOOKUP(Base_Periodo1[[#This Row],[Aux]],Base_Contas_Balanco[#All],2,FALSE)</f>
        <v>Fornecedores Cooperados</v>
      </c>
      <c r="G3004" s="1">
        <v>42881</v>
      </c>
      <c r="H3004" s="225">
        <v>204.87999999997555</v>
      </c>
      <c r="I3004" s="225">
        <v>68.290000000000006</v>
      </c>
      <c r="J3004" s="225">
        <v>0</v>
      </c>
      <c r="K3004" s="225">
        <v>136.58999999997553</v>
      </c>
      <c r="L30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136.59</v>
      </c>
      <c r="M3004" s="225">
        <f>ROUND(IF(AND(Base_Periodo1[[#This Row],[Tipo_Linha]]="-",Base_Periodo1[[#This Row],[TIPOSALDO]]="D"),Base_Periodo1[[#This Row],[SALDO_ATUAL]]*-1,Base_Periodo1[[#This Row],[SALDO_ATUAL]]),4)</f>
        <v>136.59</v>
      </c>
      <c r="N3004" t="s">
        <v>116</v>
      </c>
      <c r="O3004" t="s">
        <v>459</v>
      </c>
      <c r="P3004" t="s">
        <v>459</v>
      </c>
      <c r="Q3004">
        <v>7</v>
      </c>
      <c r="R3004" s="225">
        <f>Base_Periodo1[[#This Row],[CREDITOS]]-Base_Periodo1[[#This Row],[DEBITOS]]</f>
        <v>-68.290000000000006</v>
      </c>
      <c r="S3004" s="3" t="str">
        <f>IF(ISERROR(VLOOKUP(Base_Periodo1[[#This Row],[CONTA]],BaseContasDRE[#All],4,FALSE)),"Fora do DRE",VLOOKUP(Base_Periodo1[[#This Row],[CONTA]],BaseContasDRE[#All],4,FALSE))</f>
        <v>Fora do DRE</v>
      </c>
      <c r="T3004" s="3" t="str">
        <f>IF(ISERROR(VLOOKUP(Base_Periodo1[[#This Row],[CONTA]],BaseContasDRE[#All],5,FALSE)),"Fora do DRE",VLOOKUP(Base_Periodo1[[#This Row],[CONTA]],BaseContasDRE[#All],6,FALSE))</f>
        <v>Fora do DRE</v>
      </c>
      <c r="U3004" s="3" t="str">
        <f>IF(ISERROR(VLOOKUP(Base_Periodo1[[#This Row],[CONTA]],BaseContasDRE[#All],7,FALSE)),"Fora do DRE",VLOOKUP(Base_Periodo1[[#This Row],[CONTA]],BaseContasDRE[#All],7,FALSE))</f>
        <v>Fora do DRE</v>
      </c>
      <c r="V3004" s="3" t="str">
        <f>IF(Base_Periodo1[[#This Row],[Tipo_Linha]]="Fora do DRE","Fora do DRE","( "&amp;Base_Periodo1[[#This Row],[Tipo_Linha]]&amp;" ) "&amp;Base_Periodo1[[#This Row],[Filtro]])</f>
        <v>Fora do DRE</v>
      </c>
      <c r="W3004" s="3" t="str">
        <f>LEFT(Base_Periodo1[[#This Row],[CLASS]],3)</f>
        <v>2.1</v>
      </c>
    </row>
    <row r="3005" spans="1:23" hidden="1">
      <c r="A3005" s="3" t="str">
        <f t="shared" si="46"/>
        <v>Período 1</v>
      </c>
      <c r="B3005">
        <v>7419</v>
      </c>
      <c r="C3005" t="s">
        <v>1745</v>
      </c>
      <c r="D3005" t="s">
        <v>4943</v>
      </c>
      <c r="E3005" s="3" t="str">
        <f>IF(LEN(Base_Periodo1[[#This Row],[CLASS]])&gt;=7,LEFT(Base_Periodo1[[#This Row],[CLASS]],7),"")</f>
        <v>2.1.2.1</v>
      </c>
      <c r="F3005" s="3" t="str">
        <f>VLOOKUP(Base_Periodo1[[#This Row],[Aux]],Base_Contas_Balanco[#All],2,FALSE)</f>
        <v>Fornecedores Cooperados</v>
      </c>
      <c r="G3005" s="1">
        <v>42691</v>
      </c>
      <c r="H3005" s="225">
        <v>421.63999999997031</v>
      </c>
      <c r="I3005" s="225">
        <v>0</v>
      </c>
      <c r="J3005" s="225">
        <v>0</v>
      </c>
      <c r="K3005" s="225">
        <v>421.63999999997031</v>
      </c>
      <c r="L30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421.64</v>
      </c>
      <c r="M3005" s="225">
        <f>ROUND(IF(AND(Base_Periodo1[[#This Row],[Tipo_Linha]]="-",Base_Periodo1[[#This Row],[TIPOSALDO]]="D"),Base_Periodo1[[#This Row],[SALDO_ATUAL]]*-1,Base_Periodo1[[#This Row],[SALDO_ATUAL]]),4)</f>
        <v>421.64</v>
      </c>
      <c r="N3005" t="s">
        <v>116</v>
      </c>
      <c r="O3005" t="s">
        <v>459</v>
      </c>
      <c r="P3005" t="s">
        <v>459</v>
      </c>
      <c r="Q3005">
        <v>7</v>
      </c>
      <c r="R3005" s="225">
        <f>Base_Periodo1[[#This Row],[CREDITOS]]-Base_Periodo1[[#This Row],[DEBITOS]]</f>
        <v>0</v>
      </c>
      <c r="S3005" s="3" t="str">
        <f>IF(ISERROR(VLOOKUP(Base_Periodo1[[#This Row],[CONTA]],BaseContasDRE[#All],4,FALSE)),"Fora do DRE",VLOOKUP(Base_Periodo1[[#This Row],[CONTA]],BaseContasDRE[#All],4,FALSE))</f>
        <v>Fora do DRE</v>
      </c>
      <c r="T3005" s="3" t="str">
        <f>IF(ISERROR(VLOOKUP(Base_Periodo1[[#This Row],[CONTA]],BaseContasDRE[#All],5,FALSE)),"Fora do DRE",VLOOKUP(Base_Periodo1[[#This Row],[CONTA]],BaseContasDRE[#All],6,FALSE))</f>
        <v>Fora do DRE</v>
      </c>
      <c r="U3005" s="3" t="str">
        <f>IF(ISERROR(VLOOKUP(Base_Periodo1[[#This Row],[CONTA]],BaseContasDRE[#All],7,FALSE)),"Fora do DRE",VLOOKUP(Base_Periodo1[[#This Row],[CONTA]],BaseContasDRE[#All],7,FALSE))</f>
        <v>Fora do DRE</v>
      </c>
      <c r="V3005" s="3" t="str">
        <f>IF(Base_Periodo1[[#This Row],[Tipo_Linha]]="Fora do DRE","Fora do DRE","( "&amp;Base_Periodo1[[#This Row],[Tipo_Linha]]&amp;" ) "&amp;Base_Periodo1[[#This Row],[Filtro]])</f>
        <v>Fora do DRE</v>
      </c>
      <c r="W3005" s="3" t="str">
        <f>LEFT(Base_Periodo1[[#This Row],[CLASS]],3)</f>
        <v>2.1</v>
      </c>
    </row>
    <row r="3006" spans="1:23" hidden="1">
      <c r="A3006" s="3" t="str">
        <f t="shared" si="46"/>
        <v>Período 1</v>
      </c>
      <c r="B3006">
        <v>2670</v>
      </c>
      <c r="C3006" t="s">
        <v>1745</v>
      </c>
      <c r="D3006" t="s">
        <v>1909</v>
      </c>
      <c r="E3006" s="3" t="str">
        <f>IF(LEN(Base_Periodo1[[#This Row],[CLASS]])&gt;=7,LEFT(Base_Periodo1[[#This Row],[CLASS]],7),"")</f>
        <v>2.1.2.1</v>
      </c>
      <c r="F3006" s="3" t="str">
        <f>VLOOKUP(Base_Periodo1[[#This Row],[Aux]],Base_Contas_Balanco[#All],2,FALSE)</f>
        <v>Fornecedores Cooperados</v>
      </c>
      <c r="G3006" s="1">
        <v>42850</v>
      </c>
      <c r="H3006" s="225">
        <v>51927.260000000009</v>
      </c>
      <c r="I3006" s="225">
        <v>0</v>
      </c>
      <c r="J3006" s="225">
        <v>0</v>
      </c>
      <c r="K3006" s="225">
        <v>51927.260000000009</v>
      </c>
      <c r="L30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51927.26</v>
      </c>
      <c r="M3006" s="225">
        <f>ROUND(IF(AND(Base_Periodo1[[#This Row],[Tipo_Linha]]="-",Base_Periodo1[[#This Row],[TIPOSALDO]]="D"),Base_Periodo1[[#This Row],[SALDO_ATUAL]]*-1,Base_Periodo1[[#This Row],[SALDO_ATUAL]]),4)</f>
        <v>51927.26</v>
      </c>
      <c r="N3006" t="s">
        <v>116</v>
      </c>
      <c r="O3006" t="s">
        <v>459</v>
      </c>
      <c r="P3006" t="s">
        <v>459</v>
      </c>
      <c r="Q3006">
        <v>7</v>
      </c>
      <c r="R3006" s="225">
        <f>Base_Periodo1[[#This Row],[CREDITOS]]-Base_Periodo1[[#This Row],[DEBITOS]]</f>
        <v>0</v>
      </c>
      <c r="S3006" s="3" t="str">
        <f>IF(ISERROR(VLOOKUP(Base_Periodo1[[#This Row],[CONTA]],BaseContasDRE[#All],4,FALSE)),"Fora do DRE",VLOOKUP(Base_Periodo1[[#This Row],[CONTA]],BaseContasDRE[#All],4,FALSE))</f>
        <v>Fora do DRE</v>
      </c>
      <c r="T3006" s="3" t="str">
        <f>IF(ISERROR(VLOOKUP(Base_Periodo1[[#This Row],[CONTA]],BaseContasDRE[#All],5,FALSE)),"Fora do DRE",VLOOKUP(Base_Periodo1[[#This Row],[CONTA]],BaseContasDRE[#All],6,FALSE))</f>
        <v>Fora do DRE</v>
      </c>
      <c r="U3006" s="3" t="str">
        <f>IF(ISERROR(VLOOKUP(Base_Periodo1[[#This Row],[CONTA]],BaseContasDRE[#All],7,FALSE)),"Fora do DRE",VLOOKUP(Base_Periodo1[[#This Row],[CONTA]],BaseContasDRE[#All],7,FALSE))</f>
        <v>Fora do DRE</v>
      </c>
      <c r="V3006" s="3" t="str">
        <f>IF(Base_Periodo1[[#This Row],[Tipo_Linha]]="Fora do DRE","Fora do DRE","( "&amp;Base_Periodo1[[#This Row],[Tipo_Linha]]&amp;" ) "&amp;Base_Periodo1[[#This Row],[Filtro]])</f>
        <v>Fora do DRE</v>
      </c>
      <c r="W3006" s="3" t="str">
        <f>LEFT(Base_Periodo1[[#This Row],[CLASS]],3)</f>
        <v>2.1</v>
      </c>
    </row>
    <row r="3007" spans="1:23" hidden="1">
      <c r="A3007" s="3" t="str">
        <f t="shared" si="46"/>
        <v>Período 1</v>
      </c>
      <c r="B3007">
        <v>46927</v>
      </c>
      <c r="C3007" t="s">
        <v>1745</v>
      </c>
      <c r="D3007" t="s">
        <v>5329</v>
      </c>
      <c r="E3007" s="3" t="str">
        <f>IF(LEN(Base_Periodo1[[#This Row],[CLASS]])&gt;=7,LEFT(Base_Periodo1[[#This Row],[CLASS]],7),"")</f>
        <v>2.1.2.1</v>
      </c>
      <c r="F3007" s="3" t="str">
        <f>VLOOKUP(Base_Periodo1[[#This Row],[Aux]],Base_Contas_Balanco[#All],2,FALSE)</f>
        <v>Fornecedores Cooperados</v>
      </c>
      <c r="G3007" s="1">
        <v>42723</v>
      </c>
      <c r="H3007" s="225">
        <v>521.0599999999904</v>
      </c>
      <c r="I3007" s="225">
        <v>0</v>
      </c>
      <c r="J3007" s="225">
        <v>0</v>
      </c>
      <c r="K3007" s="225">
        <v>521.0599999999904</v>
      </c>
      <c r="L30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521.05999999999995</v>
      </c>
      <c r="M3007" s="225">
        <f>ROUND(IF(AND(Base_Periodo1[[#This Row],[Tipo_Linha]]="-",Base_Periodo1[[#This Row],[TIPOSALDO]]="D"),Base_Periodo1[[#This Row],[SALDO_ATUAL]]*-1,Base_Periodo1[[#This Row],[SALDO_ATUAL]]),4)</f>
        <v>521.05999999999995</v>
      </c>
      <c r="N3007" t="s">
        <v>116</v>
      </c>
      <c r="O3007" t="s">
        <v>459</v>
      </c>
      <c r="P3007" t="s">
        <v>459</v>
      </c>
      <c r="Q3007">
        <v>7</v>
      </c>
      <c r="R3007" s="225">
        <f>Base_Periodo1[[#This Row],[CREDITOS]]-Base_Periodo1[[#This Row],[DEBITOS]]</f>
        <v>0</v>
      </c>
      <c r="S3007" s="3" t="str">
        <f>IF(ISERROR(VLOOKUP(Base_Periodo1[[#This Row],[CONTA]],BaseContasDRE[#All],4,FALSE)),"Fora do DRE",VLOOKUP(Base_Periodo1[[#This Row],[CONTA]],BaseContasDRE[#All],4,FALSE))</f>
        <v>Fora do DRE</v>
      </c>
      <c r="T3007" s="3" t="str">
        <f>IF(ISERROR(VLOOKUP(Base_Periodo1[[#This Row],[CONTA]],BaseContasDRE[#All],5,FALSE)),"Fora do DRE",VLOOKUP(Base_Periodo1[[#This Row],[CONTA]],BaseContasDRE[#All],6,FALSE))</f>
        <v>Fora do DRE</v>
      </c>
      <c r="U3007" s="3" t="str">
        <f>IF(ISERROR(VLOOKUP(Base_Periodo1[[#This Row],[CONTA]],BaseContasDRE[#All],7,FALSE)),"Fora do DRE",VLOOKUP(Base_Periodo1[[#This Row],[CONTA]],BaseContasDRE[#All],7,FALSE))</f>
        <v>Fora do DRE</v>
      </c>
      <c r="V3007" s="3" t="str">
        <f>IF(Base_Periodo1[[#This Row],[Tipo_Linha]]="Fora do DRE","Fora do DRE","( "&amp;Base_Periodo1[[#This Row],[Tipo_Linha]]&amp;" ) "&amp;Base_Periodo1[[#This Row],[Filtro]])</f>
        <v>Fora do DRE</v>
      </c>
      <c r="W3007" s="3" t="str">
        <f>LEFT(Base_Periodo1[[#This Row],[CLASS]],3)</f>
        <v>2.1</v>
      </c>
    </row>
    <row r="3008" spans="1:23" hidden="1">
      <c r="A3008" s="3" t="str">
        <f t="shared" si="46"/>
        <v>Período 1</v>
      </c>
      <c r="B3008">
        <v>52581</v>
      </c>
      <c r="C3008" t="s">
        <v>1745</v>
      </c>
      <c r="D3008" t="s">
        <v>4298</v>
      </c>
      <c r="E3008" s="3" t="str">
        <f>IF(LEN(Base_Periodo1[[#This Row],[CLASS]])&gt;=7,LEFT(Base_Periodo1[[#This Row],[CLASS]],7),"")</f>
        <v>2.1.2.1</v>
      </c>
      <c r="F3008" s="3" t="str">
        <f>VLOOKUP(Base_Periodo1[[#This Row],[Aux]],Base_Contas_Balanco[#All],2,FALSE)</f>
        <v>Fornecedores Cooperados</v>
      </c>
      <c r="G3008" s="1">
        <v>42881</v>
      </c>
      <c r="H3008" s="225">
        <v>2827.0800000000054</v>
      </c>
      <c r="I3008" s="225">
        <v>9419.4700000000012</v>
      </c>
      <c r="J3008" s="225">
        <v>10761.23</v>
      </c>
      <c r="K3008" s="225">
        <v>4168.8400000000038</v>
      </c>
      <c r="L30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4168.84</v>
      </c>
      <c r="M3008" s="225">
        <f>ROUND(IF(AND(Base_Periodo1[[#This Row],[Tipo_Linha]]="-",Base_Periodo1[[#This Row],[TIPOSALDO]]="D"),Base_Periodo1[[#This Row],[SALDO_ATUAL]]*-1,Base_Periodo1[[#This Row],[SALDO_ATUAL]]),4)</f>
        <v>4168.84</v>
      </c>
      <c r="N3008" t="s">
        <v>116</v>
      </c>
      <c r="O3008" t="s">
        <v>459</v>
      </c>
      <c r="P3008" t="s">
        <v>459</v>
      </c>
      <c r="Q3008">
        <v>7</v>
      </c>
      <c r="R3008" s="225">
        <f>Base_Periodo1[[#This Row],[CREDITOS]]-Base_Periodo1[[#This Row],[DEBITOS]]</f>
        <v>1341.7599999999984</v>
      </c>
      <c r="S3008" s="3" t="str">
        <f>IF(ISERROR(VLOOKUP(Base_Periodo1[[#This Row],[CONTA]],BaseContasDRE[#All],4,FALSE)),"Fora do DRE",VLOOKUP(Base_Periodo1[[#This Row],[CONTA]],BaseContasDRE[#All],4,FALSE))</f>
        <v>Fora do DRE</v>
      </c>
      <c r="T3008" s="3" t="str">
        <f>IF(ISERROR(VLOOKUP(Base_Periodo1[[#This Row],[CONTA]],BaseContasDRE[#All],5,FALSE)),"Fora do DRE",VLOOKUP(Base_Periodo1[[#This Row],[CONTA]],BaseContasDRE[#All],6,FALSE))</f>
        <v>Fora do DRE</v>
      </c>
      <c r="U3008" s="3" t="str">
        <f>IF(ISERROR(VLOOKUP(Base_Periodo1[[#This Row],[CONTA]],BaseContasDRE[#All],7,FALSE)),"Fora do DRE",VLOOKUP(Base_Periodo1[[#This Row],[CONTA]],BaseContasDRE[#All],7,FALSE))</f>
        <v>Fora do DRE</v>
      </c>
      <c r="V3008" s="3" t="str">
        <f>IF(Base_Periodo1[[#This Row],[Tipo_Linha]]="Fora do DRE","Fora do DRE","( "&amp;Base_Periodo1[[#This Row],[Tipo_Linha]]&amp;" ) "&amp;Base_Periodo1[[#This Row],[Filtro]])</f>
        <v>Fora do DRE</v>
      </c>
      <c r="W3008" s="3" t="str">
        <f>LEFT(Base_Periodo1[[#This Row],[CLASS]],3)</f>
        <v>2.1</v>
      </c>
    </row>
    <row r="3009" spans="1:23" hidden="1">
      <c r="A3009" s="3" t="str">
        <f t="shared" si="46"/>
        <v>Período 1</v>
      </c>
      <c r="B3009">
        <v>4658</v>
      </c>
      <c r="C3009" t="s">
        <v>1745</v>
      </c>
      <c r="D3009" t="s">
        <v>1910</v>
      </c>
      <c r="E3009" s="3" t="str">
        <f>IF(LEN(Base_Periodo1[[#This Row],[CLASS]])&gt;=7,LEFT(Base_Periodo1[[#This Row],[CLASS]],7),"")</f>
        <v>2.1.2.1</v>
      </c>
      <c r="F3009" s="3" t="str">
        <f>VLOOKUP(Base_Periodo1[[#This Row],[Aux]],Base_Contas_Balanco[#All],2,FALSE)</f>
        <v>Fornecedores Cooperados</v>
      </c>
      <c r="G3009" s="1">
        <v>42845</v>
      </c>
      <c r="H3009" s="225">
        <v>8138.0499999999884</v>
      </c>
      <c r="I3009" s="225">
        <v>0</v>
      </c>
      <c r="J3009" s="225">
        <v>0</v>
      </c>
      <c r="K3009" s="225">
        <v>8138.0499999999884</v>
      </c>
      <c r="L30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8138.05</v>
      </c>
      <c r="M3009" s="225">
        <f>ROUND(IF(AND(Base_Periodo1[[#This Row],[Tipo_Linha]]="-",Base_Periodo1[[#This Row],[TIPOSALDO]]="D"),Base_Periodo1[[#This Row],[SALDO_ATUAL]]*-1,Base_Periodo1[[#This Row],[SALDO_ATUAL]]),4)</f>
        <v>8138.05</v>
      </c>
      <c r="N3009" t="s">
        <v>116</v>
      </c>
      <c r="O3009" t="s">
        <v>459</v>
      </c>
      <c r="P3009" t="s">
        <v>459</v>
      </c>
      <c r="Q3009">
        <v>7</v>
      </c>
      <c r="R3009" s="225">
        <f>Base_Periodo1[[#This Row],[CREDITOS]]-Base_Periodo1[[#This Row],[DEBITOS]]</f>
        <v>0</v>
      </c>
      <c r="S3009" s="3" t="str">
        <f>IF(ISERROR(VLOOKUP(Base_Periodo1[[#This Row],[CONTA]],BaseContasDRE[#All],4,FALSE)),"Fora do DRE",VLOOKUP(Base_Periodo1[[#This Row],[CONTA]],BaseContasDRE[#All],4,FALSE))</f>
        <v>Fora do DRE</v>
      </c>
      <c r="T3009" s="3" t="str">
        <f>IF(ISERROR(VLOOKUP(Base_Periodo1[[#This Row],[CONTA]],BaseContasDRE[#All],5,FALSE)),"Fora do DRE",VLOOKUP(Base_Periodo1[[#This Row],[CONTA]],BaseContasDRE[#All],6,FALSE))</f>
        <v>Fora do DRE</v>
      </c>
      <c r="U3009" s="3" t="str">
        <f>IF(ISERROR(VLOOKUP(Base_Periodo1[[#This Row],[CONTA]],BaseContasDRE[#All],7,FALSE)),"Fora do DRE",VLOOKUP(Base_Periodo1[[#This Row],[CONTA]],BaseContasDRE[#All],7,FALSE))</f>
        <v>Fora do DRE</v>
      </c>
      <c r="V3009" s="3" t="str">
        <f>IF(Base_Periodo1[[#This Row],[Tipo_Linha]]="Fora do DRE","Fora do DRE","( "&amp;Base_Periodo1[[#This Row],[Tipo_Linha]]&amp;" ) "&amp;Base_Periodo1[[#This Row],[Filtro]])</f>
        <v>Fora do DRE</v>
      </c>
      <c r="W3009" s="3" t="str">
        <f>LEFT(Base_Periodo1[[#This Row],[CLASS]],3)</f>
        <v>2.1</v>
      </c>
    </row>
    <row r="3010" spans="1:23" hidden="1">
      <c r="A3010" s="3" t="str">
        <f t="shared" si="46"/>
        <v>Período 1</v>
      </c>
      <c r="B3010">
        <v>50712</v>
      </c>
      <c r="C3010" t="s">
        <v>1745</v>
      </c>
      <c r="D3010" t="s">
        <v>4451</v>
      </c>
      <c r="E3010" s="3" t="str">
        <f>IF(LEN(Base_Periodo1[[#This Row],[CLASS]])&gt;=7,LEFT(Base_Periodo1[[#This Row],[CLASS]],7),"")</f>
        <v>2.1.2.1</v>
      </c>
      <c r="F3010" s="3" t="str">
        <f>VLOOKUP(Base_Periodo1[[#This Row],[Aux]],Base_Contas_Balanco[#All],2,FALSE)</f>
        <v>Fornecedores Cooperados</v>
      </c>
      <c r="G3010" s="1">
        <v>42885</v>
      </c>
      <c r="H3010" s="225">
        <v>15642.869999999995</v>
      </c>
      <c r="I3010" s="225">
        <v>0</v>
      </c>
      <c r="J3010" s="225">
        <v>11108.5</v>
      </c>
      <c r="K3010" s="225">
        <v>26751.369999999995</v>
      </c>
      <c r="L30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26751.37</v>
      </c>
      <c r="M3010" s="225">
        <f>ROUND(IF(AND(Base_Periodo1[[#This Row],[Tipo_Linha]]="-",Base_Periodo1[[#This Row],[TIPOSALDO]]="D"),Base_Periodo1[[#This Row],[SALDO_ATUAL]]*-1,Base_Periodo1[[#This Row],[SALDO_ATUAL]]),4)</f>
        <v>26751.37</v>
      </c>
      <c r="N3010" t="s">
        <v>116</v>
      </c>
      <c r="O3010" t="s">
        <v>459</v>
      </c>
      <c r="P3010" t="s">
        <v>459</v>
      </c>
      <c r="Q3010">
        <v>7</v>
      </c>
      <c r="R3010" s="225">
        <f>Base_Periodo1[[#This Row],[CREDITOS]]-Base_Periodo1[[#This Row],[DEBITOS]]</f>
        <v>11108.5</v>
      </c>
      <c r="S3010" s="3" t="str">
        <f>IF(ISERROR(VLOOKUP(Base_Periodo1[[#This Row],[CONTA]],BaseContasDRE[#All],4,FALSE)),"Fora do DRE",VLOOKUP(Base_Periodo1[[#This Row],[CONTA]],BaseContasDRE[#All],4,FALSE))</f>
        <v>Fora do DRE</v>
      </c>
      <c r="T3010" s="3" t="str">
        <f>IF(ISERROR(VLOOKUP(Base_Periodo1[[#This Row],[CONTA]],BaseContasDRE[#All],5,FALSE)),"Fora do DRE",VLOOKUP(Base_Periodo1[[#This Row],[CONTA]],BaseContasDRE[#All],6,FALSE))</f>
        <v>Fora do DRE</v>
      </c>
      <c r="U3010" s="3" t="str">
        <f>IF(ISERROR(VLOOKUP(Base_Periodo1[[#This Row],[CONTA]],BaseContasDRE[#All],7,FALSE)),"Fora do DRE",VLOOKUP(Base_Periodo1[[#This Row],[CONTA]],BaseContasDRE[#All],7,FALSE))</f>
        <v>Fora do DRE</v>
      </c>
      <c r="V3010" s="3" t="str">
        <f>IF(Base_Periodo1[[#This Row],[Tipo_Linha]]="Fora do DRE","Fora do DRE","( "&amp;Base_Periodo1[[#This Row],[Tipo_Linha]]&amp;" ) "&amp;Base_Periodo1[[#This Row],[Filtro]])</f>
        <v>Fora do DRE</v>
      </c>
      <c r="W3010" s="3" t="str">
        <f>LEFT(Base_Periodo1[[#This Row],[CLASS]],3)</f>
        <v>2.1</v>
      </c>
    </row>
    <row r="3011" spans="1:23" hidden="1">
      <c r="A3011" s="3" t="str">
        <f t="shared" si="46"/>
        <v>Período 1</v>
      </c>
      <c r="B3011">
        <v>12917</v>
      </c>
      <c r="C3011" t="s">
        <v>1745</v>
      </c>
      <c r="D3011" t="s">
        <v>1911</v>
      </c>
      <c r="E3011" s="3" t="str">
        <f>IF(LEN(Base_Periodo1[[#This Row],[CLASS]])&gt;=7,LEFT(Base_Periodo1[[#This Row],[CLASS]],7),"")</f>
        <v>2.1.2.1</v>
      </c>
      <c r="F3011" s="3" t="str">
        <f>VLOOKUP(Base_Periodo1[[#This Row],[Aux]],Base_Contas_Balanco[#All],2,FALSE)</f>
        <v>Fornecedores Cooperados</v>
      </c>
      <c r="G3011" s="1">
        <v>42653</v>
      </c>
      <c r="H3011" s="225">
        <v>8.999999999650754E-2</v>
      </c>
      <c r="I3011" s="225">
        <v>0</v>
      </c>
      <c r="J3011" s="225">
        <v>0</v>
      </c>
      <c r="K3011" s="225">
        <v>8.999999999650754E-2</v>
      </c>
      <c r="L30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0.09</v>
      </c>
      <c r="M3011" s="225">
        <f>ROUND(IF(AND(Base_Periodo1[[#This Row],[Tipo_Linha]]="-",Base_Periodo1[[#This Row],[TIPOSALDO]]="D"),Base_Periodo1[[#This Row],[SALDO_ATUAL]]*-1,Base_Periodo1[[#This Row],[SALDO_ATUAL]]),4)</f>
        <v>0.09</v>
      </c>
      <c r="N3011" t="s">
        <v>116</v>
      </c>
      <c r="O3011" t="s">
        <v>459</v>
      </c>
      <c r="P3011" t="s">
        <v>459</v>
      </c>
      <c r="Q3011">
        <v>7</v>
      </c>
      <c r="R3011" s="225">
        <f>Base_Periodo1[[#This Row],[CREDITOS]]-Base_Periodo1[[#This Row],[DEBITOS]]</f>
        <v>0</v>
      </c>
      <c r="S3011" s="3" t="str">
        <f>IF(ISERROR(VLOOKUP(Base_Periodo1[[#This Row],[CONTA]],BaseContasDRE[#All],4,FALSE)),"Fora do DRE",VLOOKUP(Base_Periodo1[[#This Row],[CONTA]],BaseContasDRE[#All],4,FALSE))</f>
        <v>Fora do DRE</v>
      </c>
      <c r="T3011" s="3" t="str">
        <f>IF(ISERROR(VLOOKUP(Base_Periodo1[[#This Row],[CONTA]],BaseContasDRE[#All],5,FALSE)),"Fora do DRE",VLOOKUP(Base_Periodo1[[#This Row],[CONTA]],BaseContasDRE[#All],6,FALSE))</f>
        <v>Fora do DRE</v>
      </c>
      <c r="U3011" s="3" t="str">
        <f>IF(ISERROR(VLOOKUP(Base_Periodo1[[#This Row],[CONTA]],BaseContasDRE[#All],7,FALSE)),"Fora do DRE",VLOOKUP(Base_Periodo1[[#This Row],[CONTA]],BaseContasDRE[#All],7,FALSE))</f>
        <v>Fora do DRE</v>
      </c>
      <c r="V3011" s="3" t="str">
        <f>IF(Base_Periodo1[[#This Row],[Tipo_Linha]]="Fora do DRE","Fora do DRE","( "&amp;Base_Periodo1[[#This Row],[Tipo_Linha]]&amp;" ) "&amp;Base_Periodo1[[#This Row],[Filtro]])</f>
        <v>Fora do DRE</v>
      </c>
      <c r="W3011" s="3" t="str">
        <f>LEFT(Base_Periodo1[[#This Row],[CLASS]],3)</f>
        <v>2.1</v>
      </c>
    </row>
    <row r="3012" spans="1:23" hidden="1">
      <c r="A3012" s="3" t="str">
        <f t="shared" si="46"/>
        <v>Período 1</v>
      </c>
      <c r="B3012">
        <v>46884</v>
      </c>
      <c r="C3012" t="s">
        <v>1745</v>
      </c>
      <c r="D3012" t="s">
        <v>1912</v>
      </c>
      <c r="E3012" s="3" t="str">
        <f>IF(LEN(Base_Periodo1[[#This Row],[CLASS]])&gt;=7,LEFT(Base_Periodo1[[#This Row],[CLASS]],7),"")</f>
        <v>2.1.2.1</v>
      </c>
      <c r="F3012" s="3" t="str">
        <f>VLOOKUP(Base_Periodo1[[#This Row],[Aux]],Base_Contas_Balanco[#All],2,FALSE)</f>
        <v>Fornecedores Cooperados</v>
      </c>
      <c r="G3012" s="1">
        <v>42872</v>
      </c>
      <c r="H3012" s="225">
        <v>56959.260000000038</v>
      </c>
      <c r="I3012" s="225">
        <v>21106.62</v>
      </c>
      <c r="J3012" s="225">
        <v>0</v>
      </c>
      <c r="K3012" s="225">
        <v>35852.640000000043</v>
      </c>
      <c r="L30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35852.639999999999</v>
      </c>
      <c r="M3012" s="225">
        <f>ROUND(IF(AND(Base_Periodo1[[#This Row],[Tipo_Linha]]="-",Base_Periodo1[[#This Row],[TIPOSALDO]]="D"),Base_Periodo1[[#This Row],[SALDO_ATUAL]]*-1,Base_Periodo1[[#This Row],[SALDO_ATUAL]]),4)</f>
        <v>35852.639999999999</v>
      </c>
      <c r="N3012" t="s">
        <v>116</v>
      </c>
      <c r="O3012" t="s">
        <v>459</v>
      </c>
      <c r="P3012" t="s">
        <v>459</v>
      </c>
      <c r="Q3012">
        <v>7</v>
      </c>
      <c r="R3012" s="225">
        <f>Base_Periodo1[[#This Row],[CREDITOS]]-Base_Periodo1[[#This Row],[DEBITOS]]</f>
        <v>-21106.62</v>
      </c>
      <c r="S3012" s="3" t="str">
        <f>IF(ISERROR(VLOOKUP(Base_Periodo1[[#This Row],[CONTA]],BaseContasDRE[#All],4,FALSE)),"Fora do DRE",VLOOKUP(Base_Periodo1[[#This Row],[CONTA]],BaseContasDRE[#All],4,FALSE))</f>
        <v>Fora do DRE</v>
      </c>
      <c r="T3012" s="3" t="str">
        <f>IF(ISERROR(VLOOKUP(Base_Periodo1[[#This Row],[CONTA]],BaseContasDRE[#All],5,FALSE)),"Fora do DRE",VLOOKUP(Base_Periodo1[[#This Row],[CONTA]],BaseContasDRE[#All],6,FALSE))</f>
        <v>Fora do DRE</v>
      </c>
      <c r="U3012" s="3" t="str">
        <f>IF(ISERROR(VLOOKUP(Base_Periodo1[[#This Row],[CONTA]],BaseContasDRE[#All],7,FALSE)),"Fora do DRE",VLOOKUP(Base_Periodo1[[#This Row],[CONTA]],BaseContasDRE[#All],7,FALSE))</f>
        <v>Fora do DRE</v>
      </c>
      <c r="V3012" s="3" t="str">
        <f>IF(Base_Periodo1[[#This Row],[Tipo_Linha]]="Fora do DRE","Fora do DRE","( "&amp;Base_Periodo1[[#This Row],[Tipo_Linha]]&amp;" ) "&amp;Base_Periodo1[[#This Row],[Filtro]])</f>
        <v>Fora do DRE</v>
      </c>
      <c r="W3012" s="3" t="str">
        <f>LEFT(Base_Periodo1[[#This Row],[CLASS]],3)</f>
        <v>2.1</v>
      </c>
    </row>
    <row r="3013" spans="1:23" hidden="1">
      <c r="A3013" s="3" t="str">
        <f t="shared" si="46"/>
        <v>Período 1</v>
      </c>
      <c r="B3013">
        <v>7051</v>
      </c>
      <c r="C3013" t="s">
        <v>1745</v>
      </c>
      <c r="D3013" t="s">
        <v>1913</v>
      </c>
      <c r="E3013" s="3" t="str">
        <f>IF(LEN(Base_Periodo1[[#This Row],[CLASS]])&gt;=7,LEFT(Base_Periodo1[[#This Row],[CLASS]],7),"")</f>
        <v>2.1.2.1</v>
      </c>
      <c r="F3013" s="3" t="str">
        <f>VLOOKUP(Base_Periodo1[[#This Row],[Aux]],Base_Contas_Balanco[#All],2,FALSE)</f>
        <v>Fornecedores Cooperados</v>
      </c>
      <c r="G3013" s="1">
        <v>42884</v>
      </c>
      <c r="H3013" s="225">
        <v>39091.870000000112</v>
      </c>
      <c r="I3013" s="225">
        <v>0</v>
      </c>
      <c r="J3013" s="225">
        <v>21090.26</v>
      </c>
      <c r="K3013" s="225">
        <v>60182.130000000107</v>
      </c>
      <c r="L30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60182.13</v>
      </c>
      <c r="M3013" s="225">
        <f>ROUND(IF(AND(Base_Periodo1[[#This Row],[Tipo_Linha]]="-",Base_Periodo1[[#This Row],[TIPOSALDO]]="D"),Base_Periodo1[[#This Row],[SALDO_ATUAL]]*-1,Base_Periodo1[[#This Row],[SALDO_ATUAL]]),4)</f>
        <v>60182.13</v>
      </c>
      <c r="N3013" t="s">
        <v>116</v>
      </c>
      <c r="O3013" t="s">
        <v>459</v>
      </c>
      <c r="P3013" t="s">
        <v>459</v>
      </c>
      <c r="Q3013">
        <v>7</v>
      </c>
      <c r="R3013" s="225">
        <f>Base_Periodo1[[#This Row],[CREDITOS]]-Base_Periodo1[[#This Row],[DEBITOS]]</f>
        <v>21090.26</v>
      </c>
      <c r="S3013" s="3" t="str">
        <f>IF(ISERROR(VLOOKUP(Base_Periodo1[[#This Row],[CONTA]],BaseContasDRE[#All],4,FALSE)),"Fora do DRE",VLOOKUP(Base_Periodo1[[#This Row],[CONTA]],BaseContasDRE[#All],4,FALSE))</f>
        <v>Fora do DRE</v>
      </c>
      <c r="T3013" s="3" t="str">
        <f>IF(ISERROR(VLOOKUP(Base_Periodo1[[#This Row],[CONTA]],BaseContasDRE[#All],5,FALSE)),"Fora do DRE",VLOOKUP(Base_Periodo1[[#This Row],[CONTA]],BaseContasDRE[#All],6,FALSE))</f>
        <v>Fora do DRE</v>
      </c>
      <c r="U3013" s="3" t="str">
        <f>IF(ISERROR(VLOOKUP(Base_Periodo1[[#This Row],[CONTA]],BaseContasDRE[#All],7,FALSE)),"Fora do DRE",VLOOKUP(Base_Periodo1[[#This Row],[CONTA]],BaseContasDRE[#All],7,FALSE))</f>
        <v>Fora do DRE</v>
      </c>
      <c r="V3013" s="3" t="str">
        <f>IF(Base_Periodo1[[#This Row],[Tipo_Linha]]="Fora do DRE","Fora do DRE","( "&amp;Base_Periodo1[[#This Row],[Tipo_Linha]]&amp;" ) "&amp;Base_Periodo1[[#This Row],[Filtro]])</f>
        <v>Fora do DRE</v>
      </c>
      <c r="W3013" s="3" t="str">
        <f>LEFT(Base_Periodo1[[#This Row],[CLASS]],3)</f>
        <v>2.1</v>
      </c>
    </row>
    <row r="3014" spans="1:23" hidden="1">
      <c r="A3014" s="3" t="str">
        <f t="shared" ref="A3014:A3077" si="47">"Período 1"</f>
        <v>Período 1</v>
      </c>
      <c r="B3014">
        <v>12761</v>
      </c>
      <c r="C3014" t="s">
        <v>1745</v>
      </c>
      <c r="D3014" t="s">
        <v>1914</v>
      </c>
      <c r="E3014" s="3" t="str">
        <f>IF(LEN(Base_Periodo1[[#This Row],[CLASS]])&gt;=7,LEFT(Base_Periodo1[[#This Row],[CLASS]],7),"")</f>
        <v>2.1.2.1</v>
      </c>
      <c r="F3014" s="3" t="str">
        <f>VLOOKUP(Base_Periodo1[[#This Row],[Aux]],Base_Contas_Balanco[#All],2,FALSE)</f>
        <v>Fornecedores Cooperados</v>
      </c>
      <c r="G3014" s="1">
        <v>42402</v>
      </c>
      <c r="H3014" s="225">
        <v>86.329999999999927</v>
      </c>
      <c r="I3014" s="225">
        <v>0</v>
      </c>
      <c r="J3014" s="225">
        <v>0</v>
      </c>
      <c r="K3014" s="225">
        <v>86.329999999999927</v>
      </c>
      <c r="L30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86.33</v>
      </c>
      <c r="M3014" s="225">
        <f>ROUND(IF(AND(Base_Periodo1[[#This Row],[Tipo_Linha]]="-",Base_Periodo1[[#This Row],[TIPOSALDO]]="D"),Base_Periodo1[[#This Row],[SALDO_ATUAL]]*-1,Base_Periodo1[[#This Row],[SALDO_ATUAL]]),4)</f>
        <v>86.33</v>
      </c>
      <c r="N3014" t="s">
        <v>116</v>
      </c>
      <c r="O3014" t="s">
        <v>459</v>
      </c>
      <c r="P3014" t="s">
        <v>459</v>
      </c>
      <c r="Q3014">
        <v>7</v>
      </c>
      <c r="R3014" s="225">
        <f>Base_Periodo1[[#This Row],[CREDITOS]]-Base_Periodo1[[#This Row],[DEBITOS]]</f>
        <v>0</v>
      </c>
      <c r="S3014" s="3" t="str">
        <f>IF(ISERROR(VLOOKUP(Base_Periodo1[[#This Row],[CONTA]],BaseContasDRE[#All],4,FALSE)),"Fora do DRE",VLOOKUP(Base_Periodo1[[#This Row],[CONTA]],BaseContasDRE[#All],4,FALSE))</f>
        <v>Fora do DRE</v>
      </c>
      <c r="T3014" s="3" t="str">
        <f>IF(ISERROR(VLOOKUP(Base_Periodo1[[#This Row],[CONTA]],BaseContasDRE[#All],5,FALSE)),"Fora do DRE",VLOOKUP(Base_Periodo1[[#This Row],[CONTA]],BaseContasDRE[#All],6,FALSE))</f>
        <v>Fora do DRE</v>
      </c>
      <c r="U3014" s="3" t="str">
        <f>IF(ISERROR(VLOOKUP(Base_Periodo1[[#This Row],[CONTA]],BaseContasDRE[#All],7,FALSE)),"Fora do DRE",VLOOKUP(Base_Periodo1[[#This Row],[CONTA]],BaseContasDRE[#All],7,FALSE))</f>
        <v>Fora do DRE</v>
      </c>
      <c r="V3014" s="3" t="str">
        <f>IF(Base_Periodo1[[#This Row],[Tipo_Linha]]="Fora do DRE","Fora do DRE","( "&amp;Base_Periodo1[[#This Row],[Tipo_Linha]]&amp;" ) "&amp;Base_Periodo1[[#This Row],[Filtro]])</f>
        <v>Fora do DRE</v>
      </c>
      <c r="W3014" s="3" t="str">
        <f>LEFT(Base_Periodo1[[#This Row],[CLASS]],3)</f>
        <v>2.1</v>
      </c>
    </row>
    <row r="3015" spans="1:23" hidden="1">
      <c r="A3015" s="3" t="str">
        <f t="shared" si="47"/>
        <v>Período 1</v>
      </c>
      <c r="B3015">
        <v>12024</v>
      </c>
      <c r="C3015" t="s">
        <v>1745</v>
      </c>
      <c r="D3015" t="s">
        <v>1915</v>
      </c>
      <c r="E3015" s="3" t="str">
        <f>IF(LEN(Base_Periodo1[[#This Row],[CLASS]])&gt;=7,LEFT(Base_Periodo1[[#This Row],[CLASS]],7),"")</f>
        <v>2.1.2.1</v>
      </c>
      <c r="F3015" s="3" t="str">
        <f>VLOOKUP(Base_Periodo1[[#This Row],[Aux]],Base_Contas_Balanco[#All],2,FALSE)</f>
        <v>Fornecedores Cooperados</v>
      </c>
      <c r="G3015" s="1">
        <v>42878</v>
      </c>
      <c r="H3015" s="225">
        <v>21513.660000000033</v>
      </c>
      <c r="I3015" s="225">
        <v>1263.5</v>
      </c>
      <c r="J3015" s="225">
        <v>9618.84</v>
      </c>
      <c r="K3015" s="225">
        <v>29869.000000000033</v>
      </c>
      <c r="L30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29869</v>
      </c>
      <c r="M3015" s="225">
        <f>ROUND(IF(AND(Base_Periodo1[[#This Row],[Tipo_Linha]]="-",Base_Periodo1[[#This Row],[TIPOSALDO]]="D"),Base_Periodo1[[#This Row],[SALDO_ATUAL]]*-1,Base_Periodo1[[#This Row],[SALDO_ATUAL]]),4)</f>
        <v>29869</v>
      </c>
      <c r="N3015" t="s">
        <v>116</v>
      </c>
      <c r="O3015" t="s">
        <v>459</v>
      </c>
      <c r="P3015" t="s">
        <v>459</v>
      </c>
      <c r="Q3015">
        <v>7</v>
      </c>
      <c r="R3015" s="225">
        <f>Base_Periodo1[[#This Row],[CREDITOS]]-Base_Periodo1[[#This Row],[DEBITOS]]</f>
        <v>8355.34</v>
      </c>
      <c r="S3015" s="3" t="str">
        <f>IF(ISERROR(VLOOKUP(Base_Periodo1[[#This Row],[CONTA]],BaseContasDRE[#All],4,FALSE)),"Fora do DRE",VLOOKUP(Base_Periodo1[[#This Row],[CONTA]],BaseContasDRE[#All],4,FALSE))</f>
        <v>Fora do DRE</v>
      </c>
      <c r="T3015" s="3" t="str">
        <f>IF(ISERROR(VLOOKUP(Base_Periodo1[[#This Row],[CONTA]],BaseContasDRE[#All],5,FALSE)),"Fora do DRE",VLOOKUP(Base_Periodo1[[#This Row],[CONTA]],BaseContasDRE[#All],6,FALSE))</f>
        <v>Fora do DRE</v>
      </c>
      <c r="U3015" s="3" t="str">
        <f>IF(ISERROR(VLOOKUP(Base_Periodo1[[#This Row],[CONTA]],BaseContasDRE[#All],7,FALSE)),"Fora do DRE",VLOOKUP(Base_Periodo1[[#This Row],[CONTA]],BaseContasDRE[#All],7,FALSE))</f>
        <v>Fora do DRE</v>
      </c>
      <c r="V3015" s="3" t="str">
        <f>IF(Base_Periodo1[[#This Row],[Tipo_Linha]]="Fora do DRE","Fora do DRE","( "&amp;Base_Periodo1[[#This Row],[Tipo_Linha]]&amp;" ) "&amp;Base_Periodo1[[#This Row],[Filtro]])</f>
        <v>Fora do DRE</v>
      </c>
      <c r="W3015" s="3" t="str">
        <f>LEFT(Base_Periodo1[[#This Row],[CLASS]],3)</f>
        <v>2.1</v>
      </c>
    </row>
    <row r="3016" spans="1:23" hidden="1">
      <c r="A3016" s="3" t="str">
        <f t="shared" si="47"/>
        <v>Período 1</v>
      </c>
      <c r="B3016">
        <v>47754</v>
      </c>
      <c r="C3016" t="s">
        <v>1745</v>
      </c>
      <c r="D3016" t="s">
        <v>5425</v>
      </c>
      <c r="E3016" s="3" t="str">
        <f>IF(LEN(Base_Periodo1[[#This Row],[CLASS]])&gt;=7,LEFT(Base_Periodo1[[#This Row],[CLASS]],7),"")</f>
        <v>2.1.2.1</v>
      </c>
      <c r="F3016" s="3" t="str">
        <f>VLOOKUP(Base_Periodo1[[#This Row],[Aux]],Base_Contas_Balanco[#All],2,FALSE)</f>
        <v>Fornecedores Cooperados</v>
      </c>
      <c r="G3016" s="1">
        <v>42768</v>
      </c>
      <c r="H3016" s="225">
        <v>184.08999999999651</v>
      </c>
      <c r="I3016" s="225">
        <v>0</v>
      </c>
      <c r="J3016" s="225">
        <v>0</v>
      </c>
      <c r="K3016" s="225">
        <v>184.08999999999651</v>
      </c>
      <c r="L30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184.09</v>
      </c>
      <c r="M3016" s="225">
        <f>ROUND(IF(AND(Base_Periodo1[[#This Row],[Tipo_Linha]]="-",Base_Periodo1[[#This Row],[TIPOSALDO]]="D"),Base_Periodo1[[#This Row],[SALDO_ATUAL]]*-1,Base_Periodo1[[#This Row],[SALDO_ATUAL]]),4)</f>
        <v>184.09</v>
      </c>
      <c r="N3016" t="s">
        <v>116</v>
      </c>
      <c r="O3016" t="s">
        <v>459</v>
      </c>
      <c r="P3016" t="s">
        <v>459</v>
      </c>
      <c r="Q3016">
        <v>7</v>
      </c>
      <c r="R3016" s="225">
        <f>Base_Periodo1[[#This Row],[CREDITOS]]-Base_Periodo1[[#This Row],[DEBITOS]]</f>
        <v>0</v>
      </c>
      <c r="S3016" s="3" t="str">
        <f>IF(ISERROR(VLOOKUP(Base_Periodo1[[#This Row],[CONTA]],BaseContasDRE[#All],4,FALSE)),"Fora do DRE",VLOOKUP(Base_Periodo1[[#This Row],[CONTA]],BaseContasDRE[#All],4,FALSE))</f>
        <v>Fora do DRE</v>
      </c>
      <c r="T3016" s="3" t="str">
        <f>IF(ISERROR(VLOOKUP(Base_Periodo1[[#This Row],[CONTA]],BaseContasDRE[#All],5,FALSE)),"Fora do DRE",VLOOKUP(Base_Periodo1[[#This Row],[CONTA]],BaseContasDRE[#All],6,FALSE))</f>
        <v>Fora do DRE</v>
      </c>
      <c r="U3016" s="3" t="str">
        <f>IF(ISERROR(VLOOKUP(Base_Periodo1[[#This Row],[CONTA]],BaseContasDRE[#All],7,FALSE)),"Fora do DRE",VLOOKUP(Base_Periodo1[[#This Row],[CONTA]],BaseContasDRE[#All],7,FALSE))</f>
        <v>Fora do DRE</v>
      </c>
      <c r="V3016" s="3" t="str">
        <f>IF(Base_Periodo1[[#This Row],[Tipo_Linha]]="Fora do DRE","Fora do DRE","( "&amp;Base_Periodo1[[#This Row],[Tipo_Linha]]&amp;" ) "&amp;Base_Periodo1[[#This Row],[Filtro]])</f>
        <v>Fora do DRE</v>
      </c>
      <c r="W3016" s="3" t="str">
        <f>LEFT(Base_Periodo1[[#This Row],[CLASS]],3)</f>
        <v>2.1</v>
      </c>
    </row>
    <row r="3017" spans="1:23" hidden="1">
      <c r="A3017" s="3" t="str">
        <f t="shared" si="47"/>
        <v>Período 1</v>
      </c>
      <c r="B3017">
        <v>18649</v>
      </c>
      <c r="C3017" t="s">
        <v>1745</v>
      </c>
      <c r="D3017" t="s">
        <v>4452</v>
      </c>
      <c r="E3017" s="3" t="str">
        <f>IF(LEN(Base_Periodo1[[#This Row],[CLASS]])&gt;=7,LEFT(Base_Periodo1[[#This Row],[CLASS]],7),"")</f>
        <v>2.1.2.1</v>
      </c>
      <c r="F3017" s="3" t="str">
        <f>VLOOKUP(Base_Periodo1[[#This Row],[Aux]],Base_Contas_Balanco[#All],2,FALSE)</f>
        <v>Fornecedores Cooperados</v>
      </c>
      <c r="G3017" s="1">
        <v>42844</v>
      </c>
      <c r="H3017" s="225">
        <v>25065.270000000004</v>
      </c>
      <c r="I3017" s="225">
        <v>0</v>
      </c>
      <c r="J3017" s="225">
        <v>0</v>
      </c>
      <c r="K3017" s="225">
        <v>25065.270000000004</v>
      </c>
      <c r="L30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25065.27</v>
      </c>
      <c r="M3017" s="225">
        <f>ROUND(IF(AND(Base_Periodo1[[#This Row],[Tipo_Linha]]="-",Base_Periodo1[[#This Row],[TIPOSALDO]]="D"),Base_Periodo1[[#This Row],[SALDO_ATUAL]]*-1,Base_Periodo1[[#This Row],[SALDO_ATUAL]]),4)</f>
        <v>25065.27</v>
      </c>
      <c r="N3017" t="s">
        <v>116</v>
      </c>
      <c r="O3017" t="s">
        <v>459</v>
      </c>
      <c r="P3017" t="s">
        <v>459</v>
      </c>
      <c r="Q3017">
        <v>7</v>
      </c>
      <c r="R3017" s="225">
        <f>Base_Periodo1[[#This Row],[CREDITOS]]-Base_Periodo1[[#This Row],[DEBITOS]]</f>
        <v>0</v>
      </c>
      <c r="S3017" s="3" t="str">
        <f>IF(ISERROR(VLOOKUP(Base_Periodo1[[#This Row],[CONTA]],BaseContasDRE[#All],4,FALSE)),"Fora do DRE",VLOOKUP(Base_Periodo1[[#This Row],[CONTA]],BaseContasDRE[#All],4,FALSE))</f>
        <v>Fora do DRE</v>
      </c>
      <c r="T3017" s="3" t="str">
        <f>IF(ISERROR(VLOOKUP(Base_Periodo1[[#This Row],[CONTA]],BaseContasDRE[#All],5,FALSE)),"Fora do DRE",VLOOKUP(Base_Periodo1[[#This Row],[CONTA]],BaseContasDRE[#All],6,FALSE))</f>
        <v>Fora do DRE</v>
      </c>
      <c r="U3017" s="3" t="str">
        <f>IF(ISERROR(VLOOKUP(Base_Periodo1[[#This Row],[CONTA]],BaseContasDRE[#All],7,FALSE)),"Fora do DRE",VLOOKUP(Base_Periodo1[[#This Row],[CONTA]],BaseContasDRE[#All],7,FALSE))</f>
        <v>Fora do DRE</v>
      </c>
      <c r="V3017" s="3" t="str">
        <f>IF(Base_Periodo1[[#This Row],[Tipo_Linha]]="Fora do DRE","Fora do DRE","( "&amp;Base_Periodo1[[#This Row],[Tipo_Linha]]&amp;" ) "&amp;Base_Periodo1[[#This Row],[Filtro]])</f>
        <v>Fora do DRE</v>
      </c>
      <c r="W3017" s="3" t="str">
        <f>LEFT(Base_Periodo1[[#This Row],[CLASS]],3)</f>
        <v>2.1</v>
      </c>
    </row>
    <row r="3018" spans="1:23" hidden="1">
      <c r="A3018" s="3" t="str">
        <f t="shared" si="47"/>
        <v>Período 1</v>
      </c>
      <c r="B3018">
        <v>38881</v>
      </c>
      <c r="C3018" t="s">
        <v>1745</v>
      </c>
      <c r="D3018" t="s">
        <v>1916</v>
      </c>
      <c r="E3018" s="3" t="str">
        <f>IF(LEN(Base_Periodo1[[#This Row],[CLASS]])&gt;=7,LEFT(Base_Periodo1[[#This Row],[CLASS]],7),"")</f>
        <v>2.1.2.1</v>
      </c>
      <c r="F3018" s="3" t="str">
        <f>VLOOKUP(Base_Periodo1[[#This Row],[Aux]],Base_Contas_Balanco[#All],2,FALSE)</f>
        <v>Fornecedores Cooperados</v>
      </c>
      <c r="G3018" s="1">
        <v>42865</v>
      </c>
      <c r="H3018" s="225">
        <v>16959.910000000003</v>
      </c>
      <c r="I3018" s="225">
        <v>13163.39</v>
      </c>
      <c r="J3018" s="225">
        <v>13163.39</v>
      </c>
      <c r="K3018" s="225">
        <v>16959.910000000003</v>
      </c>
      <c r="L30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16959.91</v>
      </c>
      <c r="M3018" s="225">
        <f>ROUND(IF(AND(Base_Periodo1[[#This Row],[Tipo_Linha]]="-",Base_Periodo1[[#This Row],[TIPOSALDO]]="D"),Base_Periodo1[[#This Row],[SALDO_ATUAL]]*-1,Base_Periodo1[[#This Row],[SALDO_ATUAL]]),4)</f>
        <v>16959.91</v>
      </c>
      <c r="N3018" t="s">
        <v>116</v>
      </c>
      <c r="O3018" t="s">
        <v>459</v>
      </c>
      <c r="P3018" t="s">
        <v>459</v>
      </c>
      <c r="Q3018">
        <v>7</v>
      </c>
      <c r="R3018" s="225">
        <f>Base_Periodo1[[#This Row],[CREDITOS]]-Base_Periodo1[[#This Row],[DEBITOS]]</f>
        <v>0</v>
      </c>
      <c r="S3018" s="3" t="str">
        <f>IF(ISERROR(VLOOKUP(Base_Periodo1[[#This Row],[CONTA]],BaseContasDRE[#All],4,FALSE)),"Fora do DRE",VLOOKUP(Base_Periodo1[[#This Row],[CONTA]],BaseContasDRE[#All],4,FALSE))</f>
        <v>Fora do DRE</v>
      </c>
      <c r="T3018" s="3" t="str">
        <f>IF(ISERROR(VLOOKUP(Base_Periodo1[[#This Row],[CONTA]],BaseContasDRE[#All],5,FALSE)),"Fora do DRE",VLOOKUP(Base_Periodo1[[#This Row],[CONTA]],BaseContasDRE[#All],6,FALSE))</f>
        <v>Fora do DRE</v>
      </c>
      <c r="U3018" s="3" t="str">
        <f>IF(ISERROR(VLOOKUP(Base_Periodo1[[#This Row],[CONTA]],BaseContasDRE[#All],7,FALSE)),"Fora do DRE",VLOOKUP(Base_Periodo1[[#This Row],[CONTA]],BaseContasDRE[#All],7,FALSE))</f>
        <v>Fora do DRE</v>
      </c>
      <c r="V3018" s="3" t="str">
        <f>IF(Base_Periodo1[[#This Row],[Tipo_Linha]]="Fora do DRE","Fora do DRE","( "&amp;Base_Periodo1[[#This Row],[Tipo_Linha]]&amp;" ) "&amp;Base_Periodo1[[#This Row],[Filtro]])</f>
        <v>Fora do DRE</v>
      </c>
      <c r="W3018" s="3" t="str">
        <f>LEFT(Base_Periodo1[[#This Row],[CLASS]],3)</f>
        <v>2.1</v>
      </c>
    </row>
    <row r="3019" spans="1:23" hidden="1">
      <c r="A3019" s="3" t="str">
        <f t="shared" si="47"/>
        <v>Período 1</v>
      </c>
      <c r="B3019">
        <v>2222</v>
      </c>
      <c r="C3019" t="s">
        <v>1745</v>
      </c>
      <c r="D3019" t="s">
        <v>5330</v>
      </c>
      <c r="E3019" s="3" t="str">
        <f>IF(LEN(Base_Periodo1[[#This Row],[CLASS]])&gt;=7,LEFT(Base_Periodo1[[#This Row],[CLASS]],7),"")</f>
        <v>2.1.2.1</v>
      </c>
      <c r="F3019" s="3" t="str">
        <f>VLOOKUP(Base_Periodo1[[#This Row],[Aux]],Base_Contas_Balanco[#All],2,FALSE)</f>
        <v>Fornecedores Cooperados</v>
      </c>
      <c r="G3019" s="1">
        <v>42710</v>
      </c>
      <c r="H3019" s="225">
        <v>649.85999999986961</v>
      </c>
      <c r="I3019" s="225">
        <v>0</v>
      </c>
      <c r="J3019" s="225">
        <v>0</v>
      </c>
      <c r="K3019" s="225">
        <v>649.85999999986961</v>
      </c>
      <c r="L30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649.86</v>
      </c>
      <c r="M3019" s="225">
        <f>ROUND(IF(AND(Base_Periodo1[[#This Row],[Tipo_Linha]]="-",Base_Periodo1[[#This Row],[TIPOSALDO]]="D"),Base_Periodo1[[#This Row],[SALDO_ATUAL]]*-1,Base_Periodo1[[#This Row],[SALDO_ATUAL]]),4)</f>
        <v>649.86</v>
      </c>
      <c r="N3019" t="s">
        <v>116</v>
      </c>
      <c r="O3019" t="s">
        <v>459</v>
      </c>
      <c r="P3019" t="s">
        <v>459</v>
      </c>
      <c r="Q3019">
        <v>7</v>
      </c>
      <c r="R3019" s="225">
        <f>Base_Periodo1[[#This Row],[CREDITOS]]-Base_Periodo1[[#This Row],[DEBITOS]]</f>
        <v>0</v>
      </c>
      <c r="S3019" s="3" t="str">
        <f>IF(ISERROR(VLOOKUP(Base_Periodo1[[#This Row],[CONTA]],BaseContasDRE[#All],4,FALSE)),"Fora do DRE",VLOOKUP(Base_Periodo1[[#This Row],[CONTA]],BaseContasDRE[#All],4,FALSE))</f>
        <v>Fora do DRE</v>
      </c>
      <c r="T3019" s="3" t="str">
        <f>IF(ISERROR(VLOOKUP(Base_Periodo1[[#This Row],[CONTA]],BaseContasDRE[#All],5,FALSE)),"Fora do DRE",VLOOKUP(Base_Periodo1[[#This Row],[CONTA]],BaseContasDRE[#All],6,FALSE))</f>
        <v>Fora do DRE</v>
      </c>
      <c r="U3019" s="3" t="str">
        <f>IF(ISERROR(VLOOKUP(Base_Periodo1[[#This Row],[CONTA]],BaseContasDRE[#All],7,FALSE)),"Fora do DRE",VLOOKUP(Base_Periodo1[[#This Row],[CONTA]],BaseContasDRE[#All],7,FALSE))</f>
        <v>Fora do DRE</v>
      </c>
      <c r="V3019" s="3" t="str">
        <f>IF(Base_Periodo1[[#This Row],[Tipo_Linha]]="Fora do DRE","Fora do DRE","( "&amp;Base_Periodo1[[#This Row],[Tipo_Linha]]&amp;" ) "&amp;Base_Periodo1[[#This Row],[Filtro]])</f>
        <v>Fora do DRE</v>
      </c>
      <c r="W3019" s="3" t="str">
        <f>LEFT(Base_Periodo1[[#This Row],[CLASS]],3)</f>
        <v>2.1</v>
      </c>
    </row>
    <row r="3020" spans="1:23" hidden="1">
      <c r="A3020" s="3" t="str">
        <f t="shared" si="47"/>
        <v>Período 1</v>
      </c>
      <c r="B3020">
        <v>3938</v>
      </c>
      <c r="C3020" t="s">
        <v>1745</v>
      </c>
      <c r="D3020" t="s">
        <v>1917</v>
      </c>
      <c r="E3020" s="3" t="str">
        <f>IF(LEN(Base_Periodo1[[#This Row],[CLASS]])&gt;=7,LEFT(Base_Periodo1[[#This Row],[CLASS]],7),"")</f>
        <v>2.1.2.1</v>
      </c>
      <c r="F3020" s="3" t="str">
        <f>VLOOKUP(Base_Periodo1[[#This Row],[Aux]],Base_Contas_Balanco[#All],2,FALSE)</f>
        <v>Fornecedores Cooperados</v>
      </c>
      <c r="G3020" s="1">
        <v>42712</v>
      </c>
      <c r="H3020" s="225">
        <v>725.02999999996973</v>
      </c>
      <c r="I3020" s="225">
        <v>0</v>
      </c>
      <c r="J3020" s="225">
        <v>0</v>
      </c>
      <c r="K3020" s="225">
        <v>725.02999999996973</v>
      </c>
      <c r="L30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725.03</v>
      </c>
      <c r="M3020" s="225">
        <f>ROUND(IF(AND(Base_Periodo1[[#This Row],[Tipo_Linha]]="-",Base_Periodo1[[#This Row],[TIPOSALDO]]="D"),Base_Periodo1[[#This Row],[SALDO_ATUAL]]*-1,Base_Periodo1[[#This Row],[SALDO_ATUAL]]),4)</f>
        <v>725.03</v>
      </c>
      <c r="N3020" t="s">
        <v>116</v>
      </c>
      <c r="O3020" t="s">
        <v>459</v>
      </c>
      <c r="P3020" t="s">
        <v>459</v>
      </c>
      <c r="Q3020">
        <v>7</v>
      </c>
      <c r="R3020" s="225">
        <f>Base_Periodo1[[#This Row],[CREDITOS]]-Base_Periodo1[[#This Row],[DEBITOS]]</f>
        <v>0</v>
      </c>
      <c r="S3020" s="3" t="str">
        <f>IF(ISERROR(VLOOKUP(Base_Periodo1[[#This Row],[CONTA]],BaseContasDRE[#All],4,FALSE)),"Fora do DRE",VLOOKUP(Base_Periodo1[[#This Row],[CONTA]],BaseContasDRE[#All],4,FALSE))</f>
        <v>Fora do DRE</v>
      </c>
      <c r="T3020" s="3" t="str">
        <f>IF(ISERROR(VLOOKUP(Base_Periodo1[[#This Row],[CONTA]],BaseContasDRE[#All],5,FALSE)),"Fora do DRE",VLOOKUP(Base_Periodo1[[#This Row],[CONTA]],BaseContasDRE[#All],6,FALSE))</f>
        <v>Fora do DRE</v>
      </c>
      <c r="U3020" s="3" t="str">
        <f>IF(ISERROR(VLOOKUP(Base_Periodo1[[#This Row],[CONTA]],BaseContasDRE[#All],7,FALSE)),"Fora do DRE",VLOOKUP(Base_Periodo1[[#This Row],[CONTA]],BaseContasDRE[#All],7,FALSE))</f>
        <v>Fora do DRE</v>
      </c>
      <c r="V3020" s="3" t="str">
        <f>IF(Base_Periodo1[[#This Row],[Tipo_Linha]]="Fora do DRE","Fora do DRE","( "&amp;Base_Periodo1[[#This Row],[Tipo_Linha]]&amp;" ) "&amp;Base_Periodo1[[#This Row],[Filtro]])</f>
        <v>Fora do DRE</v>
      </c>
      <c r="W3020" s="3" t="str">
        <f>LEFT(Base_Periodo1[[#This Row],[CLASS]],3)</f>
        <v>2.1</v>
      </c>
    </row>
    <row r="3021" spans="1:23" hidden="1">
      <c r="A3021" s="3" t="str">
        <f t="shared" si="47"/>
        <v>Período 1</v>
      </c>
      <c r="B3021">
        <v>3674</v>
      </c>
      <c r="C3021" t="s">
        <v>1745</v>
      </c>
      <c r="D3021" t="s">
        <v>4680</v>
      </c>
      <c r="E3021" s="3" t="str">
        <f>IF(LEN(Base_Periodo1[[#This Row],[CLASS]])&gt;=7,LEFT(Base_Periodo1[[#This Row],[CLASS]],7),"")</f>
        <v>2.1.2.1</v>
      </c>
      <c r="F3021" s="3" t="str">
        <f>VLOOKUP(Base_Periodo1[[#This Row],[Aux]],Base_Contas_Balanco[#All],2,FALSE)</f>
        <v>Fornecedores Cooperados</v>
      </c>
      <c r="G3021" s="1">
        <v>42796</v>
      </c>
      <c r="H3021" s="225">
        <v>2419.2000000000003</v>
      </c>
      <c r="I3021" s="225">
        <v>0</v>
      </c>
      <c r="J3021" s="225">
        <v>0</v>
      </c>
      <c r="K3021" s="225">
        <v>2419.2000000000003</v>
      </c>
      <c r="L30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2419.1999999999998</v>
      </c>
      <c r="M3021" s="225">
        <f>ROUND(IF(AND(Base_Periodo1[[#This Row],[Tipo_Linha]]="-",Base_Periodo1[[#This Row],[TIPOSALDO]]="D"),Base_Periodo1[[#This Row],[SALDO_ATUAL]]*-1,Base_Periodo1[[#This Row],[SALDO_ATUAL]]),4)</f>
        <v>2419.1999999999998</v>
      </c>
      <c r="N3021" t="s">
        <v>116</v>
      </c>
      <c r="O3021" t="s">
        <v>459</v>
      </c>
      <c r="P3021" t="s">
        <v>459</v>
      </c>
      <c r="Q3021">
        <v>7</v>
      </c>
      <c r="R3021" s="225">
        <f>Base_Periodo1[[#This Row],[CREDITOS]]-Base_Periodo1[[#This Row],[DEBITOS]]</f>
        <v>0</v>
      </c>
      <c r="S3021" s="3" t="str">
        <f>IF(ISERROR(VLOOKUP(Base_Periodo1[[#This Row],[CONTA]],BaseContasDRE[#All],4,FALSE)),"Fora do DRE",VLOOKUP(Base_Periodo1[[#This Row],[CONTA]],BaseContasDRE[#All],4,FALSE))</f>
        <v>Fora do DRE</v>
      </c>
      <c r="T3021" s="3" t="str">
        <f>IF(ISERROR(VLOOKUP(Base_Periodo1[[#This Row],[CONTA]],BaseContasDRE[#All],5,FALSE)),"Fora do DRE",VLOOKUP(Base_Periodo1[[#This Row],[CONTA]],BaseContasDRE[#All],6,FALSE))</f>
        <v>Fora do DRE</v>
      </c>
      <c r="U3021" s="3" t="str">
        <f>IF(ISERROR(VLOOKUP(Base_Periodo1[[#This Row],[CONTA]],BaseContasDRE[#All],7,FALSE)),"Fora do DRE",VLOOKUP(Base_Periodo1[[#This Row],[CONTA]],BaseContasDRE[#All],7,FALSE))</f>
        <v>Fora do DRE</v>
      </c>
      <c r="V3021" s="3" t="str">
        <f>IF(Base_Periodo1[[#This Row],[Tipo_Linha]]="Fora do DRE","Fora do DRE","( "&amp;Base_Periodo1[[#This Row],[Tipo_Linha]]&amp;" ) "&amp;Base_Periodo1[[#This Row],[Filtro]])</f>
        <v>Fora do DRE</v>
      </c>
      <c r="W3021" s="3" t="str">
        <f>LEFT(Base_Periodo1[[#This Row],[CLASS]],3)</f>
        <v>2.1</v>
      </c>
    </row>
    <row r="3022" spans="1:23" hidden="1">
      <c r="A3022" s="3" t="str">
        <f t="shared" si="47"/>
        <v>Período 1</v>
      </c>
      <c r="B3022">
        <v>12625</v>
      </c>
      <c r="C3022" t="s">
        <v>1745</v>
      </c>
      <c r="D3022" t="s">
        <v>6886</v>
      </c>
      <c r="E3022" s="3" t="str">
        <f>IF(LEN(Base_Periodo1[[#This Row],[CLASS]])&gt;=7,LEFT(Base_Periodo1[[#This Row],[CLASS]],7),"")</f>
        <v>2.1.2.1</v>
      </c>
      <c r="F3022" s="3" t="str">
        <f>VLOOKUP(Base_Periodo1[[#This Row],[Aux]],Base_Contas_Balanco[#All],2,FALSE)</f>
        <v>Fornecedores Cooperados</v>
      </c>
      <c r="G3022" s="1">
        <v>42866</v>
      </c>
      <c r="I3022" s="225">
        <v>0</v>
      </c>
      <c r="J3022" s="225">
        <v>15263</v>
      </c>
      <c r="K3022" s="225">
        <v>15263</v>
      </c>
      <c r="L30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15263</v>
      </c>
      <c r="M3022" s="225">
        <f>ROUND(IF(AND(Base_Periodo1[[#This Row],[Tipo_Linha]]="-",Base_Periodo1[[#This Row],[TIPOSALDO]]="D"),Base_Periodo1[[#This Row],[SALDO_ATUAL]]*-1,Base_Periodo1[[#This Row],[SALDO_ATUAL]]),4)</f>
        <v>15263</v>
      </c>
      <c r="N3022" t="s">
        <v>116</v>
      </c>
      <c r="O3022" t="s">
        <v>436</v>
      </c>
      <c r="P3022" t="s">
        <v>459</v>
      </c>
      <c r="Q3022">
        <v>7</v>
      </c>
      <c r="R3022" s="225">
        <f>Base_Periodo1[[#This Row],[CREDITOS]]-Base_Periodo1[[#This Row],[DEBITOS]]</f>
        <v>15263</v>
      </c>
      <c r="S3022" s="3" t="str">
        <f>IF(ISERROR(VLOOKUP(Base_Periodo1[[#This Row],[CONTA]],BaseContasDRE[#All],4,FALSE)),"Fora do DRE",VLOOKUP(Base_Periodo1[[#This Row],[CONTA]],BaseContasDRE[#All],4,FALSE))</f>
        <v>Fora do DRE</v>
      </c>
      <c r="T3022" s="3" t="str">
        <f>IF(ISERROR(VLOOKUP(Base_Periodo1[[#This Row],[CONTA]],BaseContasDRE[#All],5,FALSE)),"Fora do DRE",VLOOKUP(Base_Periodo1[[#This Row],[CONTA]],BaseContasDRE[#All],6,FALSE))</f>
        <v>Fora do DRE</v>
      </c>
      <c r="U3022" s="3" t="str">
        <f>IF(ISERROR(VLOOKUP(Base_Periodo1[[#This Row],[CONTA]],BaseContasDRE[#All],7,FALSE)),"Fora do DRE",VLOOKUP(Base_Periodo1[[#This Row],[CONTA]],BaseContasDRE[#All],7,FALSE))</f>
        <v>Fora do DRE</v>
      </c>
      <c r="V3022" s="3" t="str">
        <f>IF(Base_Periodo1[[#This Row],[Tipo_Linha]]="Fora do DRE","Fora do DRE","( "&amp;Base_Periodo1[[#This Row],[Tipo_Linha]]&amp;" ) "&amp;Base_Periodo1[[#This Row],[Filtro]])</f>
        <v>Fora do DRE</v>
      </c>
      <c r="W3022" s="3" t="str">
        <f>LEFT(Base_Periodo1[[#This Row],[CLASS]],3)</f>
        <v>2.1</v>
      </c>
    </row>
    <row r="3023" spans="1:23" hidden="1">
      <c r="A3023" s="3" t="str">
        <f t="shared" si="47"/>
        <v>Período 1</v>
      </c>
      <c r="B3023">
        <v>8137</v>
      </c>
      <c r="C3023" t="s">
        <v>1745</v>
      </c>
      <c r="D3023" t="s">
        <v>4453</v>
      </c>
      <c r="E3023" s="3" t="str">
        <f>IF(LEN(Base_Periodo1[[#This Row],[CLASS]])&gt;=7,LEFT(Base_Periodo1[[#This Row],[CLASS]],7),"")</f>
        <v>2.1.2.1</v>
      </c>
      <c r="F3023" s="3" t="str">
        <f>VLOOKUP(Base_Periodo1[[#This Row],[Aux]],Base_Contas_Balanco[#All],2,FALSE)</f>
        <v>Fornecedores Cooperados</v>
      </c>
      <c r="G3023" s="1">
        <v>42866</v>
      </c>
      <c r="H3023" s="225">
        <v>7495.6199999999953</v>
      </c>
      <c r="I3023" s="225">
        <v>860</v>
      </c>
      <c r="J3023" s="225">
        <v>860</v>
      </c>
      <c r="K3023" s="225">
        <v>7495.6199999999953</v>
      </c>
      <c r="L30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7495.62</v>
      </c>
      <c r="M3023" s="225">
        <f>ROUND(IF(AND(Base_Periodo1[[#This Row],[Tipo_Linha]]="-",Base_Periodo1[[#This Row],[TIPOSALDO]]="D"),Base_Periodo1[[#This Row],[SALDO_ATUAL]]*-1,Base_Periodo1[[#This Row],[SALDO_ATUAL]]),4)</f>
        <v>7495.62</v>
      </c>
      <c r="N3023" t="s">
        <v>116</v>
      </c>
      <c r="O3023" t="s">
        <v>459</v>
      </c>
      <c r="P3023" t="s">
        <v>459</v>
      </c>
      <c r="Q3023">
        <v>7</v>
      </c>
      <c r="R3023" s="225">
        <f>Base_Periodo1[[#This Row],[CREDITOS]]-Base_Periodo1[[#This Row],[DEBITOS]]</f>
        <v>0</v>
      </c>
      <c r="S3023" s="3" t="str">
        <f>IF(ISERROR(VLOOKUP(Base_Periodo1[[#This Row],[CONTA]],BaseContasDRE[#All],4,FALSE)),"Fora do DRE",VLOOKUP(Base_Periodo1[[#This Row],[CONTA]],BaseContasDRE[#All],4,FALSE))</f>
        <v>Fora do DRE</v>
      </c>
      <c r="T3023" s="3" t="str">
        <f>IF(ISERROR(VLOOKUP(Base_Periodo1[[#This Row],[CONTA]],BaseContasDRE[#All],5,FALSE)),"Fora do DRE",VLOOKUP(Base_Periodo1[[#This Row],[CONTA]],BaseContasDRE[#All],6,FALSE))</f>
        <v>Fora do DRE</v>
      </c>
      <c r="U3023" s="3" t="str">
        <f>IF(ISERROR(VLOOKUP(Base_Periodo1[[#This Row],[CONTA]],BaseContasDRE[#All],7,FALSE)),"Fora do DRE",VLOOKUP(Base_Periodo1[[#This Row],[CONTA]],BaseContasDRE[#All],7,FALSE))</f>
        <v>Fora do DRE</v>
      </c>
      <c r="V3023" s="3" t="str">
        <f>IF(Base_Periodo1[[#This Row],[Tipo_Linha]]="Fora do DRE","Fora do DRE","( "&amp;Base_Periodo1[[#This Row],[Tipo_Linha]]&amp;" ) "&amp;Base_Periodo1[[#This Row],[Filtro]])</f>
        <v>Fora do DRE</v>
      </c>
      <c r="W3023" s="3" t="str">
        <f>LEFT(Base_Periodo1[[#This Row],[CLASS]],3)</f>
        <v>2.1</v>
      </c>
    </row>
    <row r="3024" spans="1:23" hidden="1">
      <c r="A3024" s="3" t="str">
        <f t="shared" si="47"/>
        <v>Período 1</v>
      </c>
      <c r="B3024">
        <v>46932</v>
      </c>
      <c r="C3024" t="s">
        <v>1745</v>
      </c>
      <c r="D3024" t="s">
        <v>1918</v>
      </c>
      <c r="E3024" s="3" t="str">
        <f>IF(LEN(Base_Periodo1[[#This Row],[CLASS]])&gt;=7,LEFT(Base_Periodo1[[#This Row],[CLASS]],7),"")</f>
        <v>2.1.2.1</v>
      </c>
      <c r="F3024" s="3" t="str">
        <f>VLOOKUP(Base_Periodo1[[#This Row],[Aux]],Base_Contas_Balanco[#All],2,FALSE)</f>
        <v>Fornecedores Cooperados</v>
      </c>
      <c r="G3024" s="1">
        <v>42738</v>
      </c>
      <c r="H3024" s="225">
        <v>87.549999999991996</v>
      </c>
      <c r="I3024" s="225">
        <v>0</v>
      </c>
      <c r="J3024" s="225">
        <v>0</v>
      </c>
      <c r="K3024" s="225">
        <v>87.549999999991996</v>
      </c>
      <c r="L30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87.55</v>
      </c>
      <c r="M3024" s="225">
        <f>ROUND(IF(AND(Base_Periodo1[[#This Row],[Tipo_Linha]]="-",Base_Periodo1[[#This Row],[TIPOSALDO]]="D"),Base_Periodo1[[#This Row],[SALDO_ATUAL]]*-1,Base_Periodo1[[#This Row],[SALDO_ATUAL]]),4)</f>
        <v>87.55</v>
      </c>
      <c r="N3024" t="s">
        <v>116</v>
      </c>
      <c r="O3024" t="s">
        <v>459</v>
      </c>
      <c r="P3024" t="s">
        <v>459</v>
      </c>
      <c r="Q3024">
        <v>7</v>
      </c>
      <c r="R3024" s="225">
        <f>Base_Periodo1[[#This Row],[CREDITOS]]-Base_Periodo1[[#This Row],[DEBITOS]]</f>
        <v>0</v>
      </c>
      <c r="S3024" s="3" t="str">
        <f>IF(ISERROR(VLOOKUP(Base_Periodo1[[#This Row],[CONTA]],BaseContasDRE[#All],4,FALSE)),"Fora do DRE",VLOOKUP(Base_Periodo1[[#This Row],[CONTA]],BaseContasDRE[#All],4,FALSE))</f>
        <v>Fora do DRE</v>
      </c>
      <c r="T3024" s="3" t="str">
        <f>IF(ISERROR(VLOOKUP(Base_Periodo1[[#This Row],[CONTA]],BaseContasDRE[#All],5,FALSE)),"Fora do DRE",VLOOKUP(Base_Periodo1[[#This Row],[CONTA]],BaseContasDRE[#All],6,FALSE))</f>
        <v>Fora do DRE</v>
      </c>
      <c r="U3024" s="3" t="str">
        <f>IF(ISERROR(VLOOKUP(Base_Periodo1[[#This Row],[CONTA]],BaseContasDRE[#All],7,FALSE)),"Fora do DRE",VLOOKUP(Base_Periodo1[[#This Row],[CONTA]],BaseContasDRE[#All],7,FALSE))</f>
        <v>Fora do DRE</v>
      </c>
      <c r="V3024" s="3" t="str">
        <f>IF(Base_Periodo1[[#This Row],[Tipo_Linha]]="Fora do DRE","Fora do DRE","( "&amp;Base_Periodo1[[#This Row],[Tipo_Linha]]&amp;" ) "&amp;Base_Periodo1[[#This Row],[Filtro]])</f>
        <v>Fora do DRE</v>
      </c>
      <c r="W3024" s="3" t="str">
        <f>LEFT(Base_Periodo1[[#This Row],[CLASS]],3)</f>
        <v>2.1</v>
      </c>
    </row>
    <row r="3025" spans="1:23" hidden="1">
      <c r="A3025" s="3" t="str">
        <f t="shared" si="47"/>
        <v>Período 1</v>
      </c>
      <c r="B3025">
        <v>3382</v>
      </c>
      <c r="C3025" t="s">
        <v>1745</v>
      </c>
      <c r="D3025" t="s">
        <v>1919</v>
      </c>
      <c r="E3025" s="3" t="str">
        <f>IF(LEN(Base_Periodo1[[#This Row],[CLASS]])&gt;=7,LEFT(Base_Periodo1[[#This Row],[CLASS]],7),"")</f>
        <v>2.1.2.1</v>
      </c>
      <c r="F3025" s="3" t="str">
        <f>VLOOKUP(Base_Periodo1[[#This Row],[Aux]],Base_Contas_Balanco[#All],2,FALSE)</f>
        <v>Fornecedores Cooperados</v>
      </c>
      <c r="G3025" s="1">
        <v>41969</v>
      </c>
      <c r="H3025" s="225">
        <v>247.92000000001281</v>
      </c>
      <c r="I3025" s="225">
        <v>0</v>
      </c>
      <c r="J3025" s="225">
        <v>0</v>
      </c>
      <c r="K3025" s="225">
        <v>247.92000000001281</v>
      </c>
      <c r="L30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247.92</v>
      </c>
      <c r="M3025" s="225">
        <f>ROUND(IF(AND(Base_Periodo1[[#This Row],[Tipo_Linha]]="-",Base_Periodo1[[#This Row],[TIPOSALDO]]="D"),Base_Periodo1[[#This Row],[SALDO_ATUAL]]*-1,Base_Periodo1[[#This Row],[SALDO_ATUAL]]),4)</f>
        <v>247.92</v>
      </c>
      <c r="N3025" t="s">
        <v>116</v>
      </c>
      <c r="O3025" t="s">
        <v>459</v>
      </c>
      <c r="P3025" t="s">
        <v>459</v>
      </c>
      <c r="Q3025">
        <v>7</v>
      </c>
      <c r="R3025" s="225">
        <f>Base_Periodo1[[#This Row],[CREDITOS]]-Base_Periodo1[[#This Row],[DEBITOS]]</f>
        <v>0</v>
      </c>
      <c r="S3025" s="3" t="str">
        <f>IF(ISERROR(VLOOKUP(Base_Periodo1[[#This Row],[CONTA]],BaseContasDRE[#All],4,FALSE)),"Fora do DRE",VLOOKUP(Base_Periodo1[[#This Row],[CONTA]],BaseContasDRE[#All],4,FALSE))</f>
        <v>Fora do DRE</v>
      </c>
      <c r="T3025" s="3" t="str">
        <f>IF(ISERROR(VLOOKUP(Base_Periodo1[[#This Row],[CONTA]],BaseContasDRE[#All],5,FALSE)),"Fora do DRE",VLOOKUP(Base_Periodo1[[#This Row],[CONTA]],BaseContasDRE[#All],6,FALSE))</f>
        <v>Fora do DRE</v>
      </c>
      <c r="U3025" s="3" t="str">
        <f>IF(ISERROR(VLOOKUP(Base_Periodo1[[#This Row],[CONTA]],BaseContasDRE[#All],7,FALSE)),"Fora do DRE",VLOOKUP(Base_Periodo1[[#This Row],[CONTA]],BaseContasDRE[#All],7,FALSE))</f>
        <v>Fora do DRE</v>
      </c>
      <c r="V3025" s="3" t="str">
        <f>IF(Base_Periodo1[[#This Row],[Tipo_Linha]]="Fora do DRE","Fora do DRE","( "&amp;Base_Periodo1[[#This Row],[Tipo_Linha]]&amp;" ) "&amp;Base_Periodo1[[#This Row],[Filtro]])</f>
        <v>Fora do DRE</v>
      </c>
      <c r="W3025" s="3" t="str">
        <f>LEFT(Base_Periodo1[[#This Row],[CLASS]],3)</f>
        <v>2.1</v>
      </c>
    </row>
    <row r="3026" spans="1:23" hidden="1">
      <c r="A3026" s="3" t="str">
        <f t="shared" si="47"/>
        <v>Período 1</v>
      </c>
      <c r="B3026">
        <v>2602</v>
      </c>
      <c r="C3026" t="s">
        <v>1745</v>
      </c>
      <c r="D3026" t="s">
        <v>4454</v>
      </c>
      <c r="E3026" s="3" t="str">
        <f>IF(LEN(Base_Periodo1[[#This Row],[CLASS]])&gt;=7,LEFT(Base_Periodo1[[#This Row],[CLASS]],7),"")</f>
        <v>2.1.2.1</v>
      </c>
      <c r="F3026" s="3" t="str">
        <f>VLOOKUP(Base_Periodo1[[#This Row],[Aux]],Base_Contas_Balanco[#All],2,FALSE)</f>
        <v>Fornecedores Cooperados</v>
      </c>
      <c r="G3026" s="1">
        <v>42807</v>
      </c>
      <c r="H3026" s="225">
        <v>29339.999999999985</v>
      </c>
      <c r="I3026" s="225">
        <v>0</v>
      </c>
      <c r="J3026" s="225">
        <v>0</v>
      </c>
      <c r="K3026" s="225">
        <v>29339.999999999985</v>
      </c>
      <c r="L30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29340</v>
      </c>
      <c r="M3026" s="225">
        <f>ROUND(IF(AND(Base_Periodo1[[#This Row],[Tipo_Linha]]="-",Base_Periodo1[[#This Row],[TIPOSALDO]]="D"),Base_Periodo1[[#This Row],[SALDO_ATUAL]]*-1,Base_Periodo1[[#This Row],[SALDO_ATUAL]]),4)</f>
        <v>29340</v>
      </c>
      <c r="N3026" t="s">
        <v>116</v>
      </c>
      <c r="O3026" t="s">
        <v>459</v>
      </c>
      <c r="P3026" t="s">
        <v>459</v>
      </c>
      <c r="Q3026">
        <v>7</v>
      </c>
      <c r="R3026" s="225">
        <f>Base_Periodo1[[#This Row],[CREDITOS]]-Base_Periodo1[[#This Row],[DEBITOS]]</f>
        <v>0</v>
      </c>
      <c r="S3026" s="3" t="str">
        <f>IF(ISERROR(VLOOKUP(Base_Periodo1[[#This Row],[CONTA]],BaseContasDRE[#All],4,FALSE)),"Fora do DRE",VLOOKUP(Base_Periodo1[[#This Row],[CONTA]],BaseContasDRE[#All],4,FALSE))</f>
        <v>Fora do DRE</v>
      </c>
      <c r="T3026" s="3" t="str">
        <f>IF(ISERROR(VLOOKUP(Base_Periodo1[[#This Row],[CONTA]],BaseContasDRE[#All],5,FALSE)),"Fora do DRE",VLOOKUP(Base_Periodo1[[#This Row],[CONTA]],BaseContasDRE[#All],6,FALSE))</f>
        <v>Fora do DRE</v>
      </c>
      <c r="U3026" s="3" t="str">
        <f>IF(ISERROR(VLOOKUP(Base_Periodo1[[#This Row],[CONTA]],BaseContasDRE[#All],7,FALSE)),"Fora do DRE",VLOOKUP(Base_Periodo1[[#This Row],[CONTA]],BaseContasDRE[#All],7,FALSE))</f>
        <v>Fora do DRE</v>
      </c>
      <c r="V3026" s="3" t="str">
        <f>IF(Base_Periodo1[[#This Row],[Tipo_Linha]]="Fora do DRE","Fora do DRE","( "&amp;Base_Periodo1[[#This Row],[Tipo_Linha]]&amp;" ) "&amp;Base_Periodo1[[#This Row],[Filtro]])</f>
        <v>Fora do DRE</v>
      </c>
      <c r="W3026" s="3" t="str">
        <f>LEFT(Base_Periodo1[[#This Row],[CLASS]],3)</f>
        <v>2.1</v>
      </c>
    </row>
    <row r="3027" spans="1:23" hidden="1">
      <c r="A3027" s="3" t="str">
        <f t="shared" si="47"/>
        <v>Período 1</v>
      </c>
      <c r="B3027">
        <v>4294</v>
      </c>
      <c r="C3027" t="s">
        <v>1745</v>
      </c>
      <c r="D3027" t="s">
        <v>1920</v>
      </c>
      <c r="E3027" s="3" t="str">
        <f>IF(LEN(Base_Periodo1[[#This Row],[CLASS]])&gt;=7,LEFT(Base_Periodo1[[#This Row],[CLASS]],7),"")</f>
        <v>2.1.2.1</v>
      </c>
      <c r="F3027" s="3" t="str">
        <f>VLOOKUP(Base_Periodo1[[#This Row],[Aux]],Base_Contas_Balanco[#All],2,FALSE)</f>
        <v>Fornecedores Cooperados</v>
      </c>
      <c r="G3027" s="1">
        <v>41808</v>
      </c>
      <c r="H3027" s="225">
        <v>1522.5199999999022</v>
      </c>
      <c r="I3027" s="225">
        <v>0</v>
      </c>
      <c r="J3027" s="225">
        <v>0</v>
      </c>
      <c r="K3027" s="225">
        <v>1522.5199999999022</v>
      </c>
      <c r="L30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1522.52</v>
      </c>
      <c r="M3027" s="225">
        <f>ROUND(IF(AND(Base_Periodo1[[#This Row],[Tipo_Linha]]="-",Base_Periodo1[[#This Row],[TIPOSALDO]]="D"),Base_Periodo1[[#This Row],[SALDO_ATUAL]]*-1,Base_Periodo1[[#This Row],[SALDO_ATUAL]]),4)</f>
        <v>1522.52</v>
      </c>
      <c r="N3027" t="s">
        <v>116</v>
      </c>
      <c r="O3027" t="s">
        <v>459</v>
      </c>
      <c r="P3027" t="s">
        <v>459</v>
      </c>
      <c r="Q3027">
        <v>7</v>
      </c>
      <c r="R3027" s="225">
        <f>Base_Periodo1[[#This Row],[CREDITOS]]-Base_Periodo1[[#This Row],[DEBITOS]]</f>
        <v>0</v>
      </c>
      <c r="S3027" s="3" t="str">
        <f>IF(ISERROR(VLOOKUP(Base_Periodo1[[#This Row],[CONTA]],BaseContasDRE[#All],4,FALSE)),"Fora do DRE",VLOOKUP(Base_Periodo1[[#This Row],[CONTA]],BaseContasDRE[#All],4,FALSE))</f>
        <v>Fora do DRE</v>
      </c>
      <c r="T3027" s="3" t="str">
        <f>IF(ISERROR(VLOOKUP(Base_Periodo1[[#This Row],[CONTA]],BaseContasDRE[#All],5,FALSE)),"Fora do DRE",VLOOKUP(Base_Periodo1[[#This Row],[CONTA]],BaseContasDRE[#All],6,FALSE))</f>
        <v>Fora do DRE</v>
      </c>
      <c r="U3027" s="3" t="str">
        <f>IF(ISERROR(VLOOKUP(Base_Periodo1[[#This Row],[CONTA]],BaseContasDRE[#All],7,FALSE)),"Fora do DRE",VLOOKUP(Base_Periodo1[[#This Row],[CONTA]],BaseContasDRE[#All],7,FALSE))</f>
        <v>Fora do DRE</v>
      </c>
      <c r="V3027" s="3" t="str">
        <f>IF(Base_Periodo1[[#This Row],[Tipo_Linha]]="Fora do DRE","Fora do DRE","( "&amp;Base_Periodo1[[#This Row],[Tipo_Linha]]&amp;" ) "&amp;Base_Periodo1[[#This Row],[Filtro]])</f>
        <v>Fora do DRE</v>
      </c>
      <c r="W3027" s="3" t="str">
        <f>LEFT(Base_Periodo1[[#This Row],[CLASS]],3)</f>
        <v>2.1</v>
      </c>
    </row>
    <row r="3028" spans="1:23" hidden="1">
      <c r="A3028" s="3" t="str">
        <f t="shared" si="47"/>
        <v>Período 1</v>
      </c>
      <c r="B3028">
        <v>13374</v>
      </c>
      <c r="C3028" t="s">
        <v>1745</v>
      </c>
      <c r="D3028" t="s">
        <v>4455</v>
      </c>
      <c r="E3028" s="3" t="str">
        <f>IF(LEN(Base_Periodo1[[#This Row],[CLASS]])&gt;=7,LEFT(Base_Periodo1[[#This Row],[CLASS]],7),"")</f>
        <v>2.1.2.1</v>
      </c>
      <c r="F3028" s="3" t="str">
        <f>VLOOKUP(Base_Periodo1[[#This Row],[Aux]],Base_Contas_Balanco[#All],2,FALSE)</f>
        <v>Fornecedores Cooperados</v>
      </c>
      <c r="G3028" s="1">
        <v>42772</v>
      </c>
      <c r="H3028" s="225">
        <v>13787.020000000019</v>
      </c>
      <c r="I3028" s="225">
        <v>0</v>
      </c>
      <c r="J3028" s="225">
        <v>0</v>
      </c>
      <c r="K3028" s="225">
        <v>13787.020000000019</v>
      </c>
      <c r="L30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13787.02</v>
      </c>
      <c r="M3028" s="225">
        <f>ROUND(IF(AND(Base_Periodo1[[#This Row],[Tipo_Linha]]="-",Base_Periodo1[[#This Row],[TIPOSALDO]]="D"),Base_Periodo1[[#This Row],[SALDO_ATUAL]]*-1,Base_Periodo1[[#This Row],[SALDO_ATUAL]]),4)</f>
        <v>13787.02</v>
      </c>
      <c r="N3028" t="s">
        <v>116</v>
      </c>
      <c r="O3028" t="s">
        <v>459</v>
      </c>
      <c r="P3028" t="s">
        <v>459</v>
      </c>
      <c r="Q3028">
        <v>7</v>
      </c>
      <c r="R3028" s="225">
        <f>Base_Periodo1[[#This Row],[CREDITOS]]-Base_Periodo1[[#This Row],[DEBITOS]]</f>
        <v>0</v>
      </c>
      <c r="S3028" s="3" t="str">
        <f>IF(ISERROR(VLOOKUP(Base_Periodo1[[#This Row],[CONTA]],BaseContasDRE[#All],4,FALSE)),"Fora do DRE",VLOOKUP(Base_Periodo1[[#This Row],[CONTA]],BaseContasDRE[#All],4,FALSE))</f>
        <v>Fora do DRE</v>
      </c>
      <c r="T3028" s="3" t="str">
        <f>IF(ISERROR(VLOOKUP(Base_Periodo1[[#This Row],[CONTA]],BaseContasDRE[#All],5,FALSE)),"Fora do DRE",VLOOKUP(Base_Periodo1[[#This Row],[CONTA]],BaseContasDRE[#All],6,FALSE))</f>
        <v>Fora do DRE</v>
      </c>
      <c r="U3028" s="3" t="str">
        <f>IF(ISERROR(VLOOKUP(Base_Periodo1[[#This Row],[CONTA]],BaseContasDRE[#All],7,FALSE)),"Fora do DRE",VLOOKUP(Base_Periodo1[[#This Row],[CONTA]],BaseContasDRE[#All],7,FALSE))</f>
        <v>Fora do DRE</v>
      </c>
      <c r="V3028" s="3" t="str">
        <f>IF(Base_Periodo1[[#This Row],[Tipo_Linha]]="Fora do DRE","Fora do DRE","( "&amp;Base_Periodo1[[#This Row],[Tipo_Linha]]&amp;" ) "&amp;Base_Periodo1[[#This Row],[Filtro]])</f>
        <v>Fora do DRE</v>
      </c>
      <c r="W3028" s="3" t="str">
        <f>LEFT(Base_Periodo1[[#This Row],[CLASS]],3)</f>
        <v>2.1</v>
      </c>
    </row>
    <row r="3029" spans="1:23" hidden="1">
      <c r="A3029" s="3" t="str">
        <f t="shared" si="47"/>
        <v>Período 1</v>
      </c>
      <c r="B3029">
        <v>46553</v>
      </c>
      <c r="C3029" t="s">
        <v>1745</v>
      </c>
      <c r="D3029" t="s">
        <v>6386</v>
      </c>
      <c r="E3029" s="3" t="str">
        <f>IF(LEN(Base_Periodo1[[#This Row],[CLASS]])&gt;=7,LEFT(Base_Periodo1[[#This Row],[CLASS]],7),"")</f>
        <v>2.1.2.1</v>
      </c>
      <c r="F3029" s="3" t="str">
        <f>VLOOKUP(Base_Periodo1[[#This Row],[Aux]],Base_Contas_Balanco[#All],2,FALSE)</f>
        <v>Fornecedores Cooperados</v>
      </c>
      <c r="G3029" s="1"/>
      <c r="H3029" s="225">
        <v>270</v>
      </c>
      <c r="I3029" s="225">
        <v>0</v>
      </c>
      <c r="J3029" s="225">
        <v>0</v>
      </c>
      <c r="K3029" s="225">
        <v>270</v>
      </c>
      <c r="L30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</v>
      </c>
      <c r="M3029" s="225">
        <f>ROUND(IF(AND(Base_Periodo1[[#This Row],[Tipo_Linha]]="-",Base_Periodo1[[#This Row],[TIPOSALDO]]="D"),Base_Periodo1[[#This Row],[SALDO_ATUAL]]*-1,Base_Periodo1[[#This Row],[SALDO_ATUAL]]),4)</f>
        <v>270</v>
      </c>
      <c r="N3029" t="s">
        <v>116</v>
      </c>
      <c r="O3029" t="s">
        <v>459</v>
      </c>
      <c r="P3029" t="s">
        <v>459</v>
      </c>
      <c r="Q3029">
        <v>7</v>
      </c>
      <c r="R3029" s="225">
        <f>Base_Periodo1[[#This Row],[CREDITOS]]-Base_Periodo1[[#This Row],[DEBITOS]]</f>
        <v>0</v>
      </c>
      <c r="S3029" s="3" t="str">
        <f>IF(ISERROR(VLOOKUP(Base_Periodo1[[#This Row],[CONTA]],BaseContasDRE[#All],4,FALSE)),"Fora do DRE",VLOOKUP(Base_Periodo1[[#This Row],[CONTA]],BaseContasDRE[#All],4,FALSE))</f>
        <v>Fora do DRE</v>
      </c>
      <c r="T3029" s="3" t="str">
        <f>IF(ISERROR(VLOOKUP(Base_Periodo1[[#This Row],[CONTA]],BaseContasDRE[#All],5,FALSE)),"Fora do DRE",VLOOKUP(Base_Periodo1[[#This Row],[CONTA]],BaseContasDRE[#All],6,FALSE))</f>
        <v>Fora do DRE</v>
      </c>
      <c r="U3029" s="3" t="str">
        <f>IF(ISERROR(VLOOKUP(Base_Periodo1[[#This Row],[CONTA]],BaseContasDRE[#All],7,FALSE)),"Fora do DRE",VLOOKUP(Base_Periodo1[[#This Row],[CONTA]],BaseContasDRE[#All],7,FALSE))</f>
        <v>Fora do DRE</v>
      </c>
      <c r="V3029" s="3" t="str">
        <f>IF(Base_Periodo1[[#This Row],[Tipo_Linha]]="Fora do DRE","Fora do DRE","( "&amp;Base_Periodo1[[#This Row],[Tipo_Linha]]&amp;" ) "&amp;Base_Periodo1[[#This Row],[Filtro]])</f>
        <v>Fora do DRE</v>
      </c>
      <c r="W3029" s="3" t="str">
        <f>LEFT(Base_Periodo1[[#This Row],[CLASS]],3)</f>
        <v>2.1</v>
      </c>
    </row>
    <row r="3030" spans="1:23" hidden="1">
      <c r="A3030" s="3" t="str">
        <f t="shared" si="47"/>
        <v>Período 1</v>
      </c>
      <c r="B3030">
        <v>48903</v>
      </c>
      <c r="C3030" t="s">
        <v>1745</v>
      </c>
      <c r="D3030" t="s">
        <v>2190</v>
      </c>
      <c r="E3030" s="3" t="str">
        <f>IF(LEN(Base_Periodo1[[#This Row],[CLASS]])&gt;=7,LEFT(Base_Periodo1[[#This Row],[CLASS]],7),"")</f>
        <v>2.1.2.1</v>
      </c>
      <c r="F3030" s="3" t="str">
        <f>VLOOKUP(Base_Periodo1[[#This Row],[Aux]],Base_Contas_Balanco[#All],2,FALSE)</f>
        <v>Fornecedores Cooperados</v>
      </c>
      <c r="G3030" s="1">
        <v>42772</v>
      </c>
      <c r="H3030" s="225">
        <v>318.26000000000931</v>
      </c>
      <c r="I3030" s="225">
        <v>0</v>
      </c>
      <c r="J3030" s="225">
        <v>0</v>
      </c>
      <c r="K3030" s="225">
        <v>318.26000000000931</v>
      </c>
      <c r="L30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318.26</v>
      </c>
      <c r="M3030" s="225">
        <f>ROUND(IF(AND(Base_Periodo1[[#This Row],[Tipo_Linha]]="-",Base_Periodo1[[#This Row],[TIPOSALDO]]="D"),Base_Periodo1[[#This Row],[SALDO_ATUAL]]*-1,Base_Periodo1[[#This Row],[SALDO_ATUAL]]),4)</f>
        <v>318.26</v>
      </c>
      <c r="N3030" t="s">
        <v>116</v>
      </c>
      <c r="O3030" t="s">
        <v>459</v>
      </c>
      <c r="P3030" t="s">
        <v>459</v>
      </c>
      <c r="Q3030">
        <v>7</v>
      </c>
      <c r="R3030" s="225">
        <f>Base_Periodo1[[#This Row],[CREDITOS]]-Base_Periodo1[[#This Row],[DEBITOS]]</f>
        <v>0</v>
      </c>
      <c r="S3030" s="3" t="str">
        <f>IF(ISERROR(VLOOKUP(Base_Periodo1[[#This Row],[CONTA]],BaseContasDRE[#All],4,FALSE)),"Fora do DRE",VLOOKUP(Base_Periodo1[[#This Row],[CONTA]],BaseContasDRE[#All],4,FALSE))</f>
        <v>Fora do DRE</v>
      </c>
      <c r="T3030" s="3" t="str">
        <f>IF(ISERROR(VLOOKUP(Base_Periodo1[[#This Row],[CONTA]],BaseContasDRE[#All],5,FALSE)),"Fora do DRE",VLOOKUP(Base_Periodo1[[#This Row],[CONTA]],BaseContasDRE[#All],6,FALSE))</f>
        <v>Fora do DRE</v>
      </c>
      <c r="U3030" s="3" t="str">
        <f>IF(ISERROR(VLOOKUP(Base_Periodo1[[#This Row],[CONTA]],BaseContasDRE[#All],7,FALSE)),"Fora do DRE",VLOOKUP(Base_Periodo1[[#This Row],[CONTA]],BaseContasDRE[#All],7,FALSE))</f>
        <v>Fora do DRE</v>
      </c>
      <c r="V3030" s="3" t="str">
        <f>IF(Base_Periodo1[[#This Row],[Tipo_Linha]]="Fora do DRE","Fora do DRE","( "&amp;Base_Periodo1[[#This Row],[Tipo_Linha]]&amp;" ) "&amp;Base_Periodo1[[#This Row],[Filtro]])</f>
        <v>Fora do DRE</v>
      </c>
      <c r="W3030" s="3" t="str">
        <f>LEFT(Base_Periodo1[[#This Row],[CLASS]],3)</f>
        <v>2.1</v>
      </c>
    </row>
    <row r="3031" spans="1:23" hidden="1">
      <c r="A3031" s="3" t="str">
        <f t="shared" si="47"/>
        <v>Período 1</v>
      </c>
      <c r="B3031">
        <v>6911</v>
      </c>
      <c r="C3031" t="s">
        <v>1745</v>
      </c>
      <c r="D3031" t="s">
        <v>4282</v>
      </c>
      <c r="E3031" s="3" t="str">
        <f>IF(LEN(Base_Periodo1[[#This Row],[CLASS]])&gt;=7,LEFT(Base_Periodo1[[#This Row],[CLASS]],7),"")</f>
        <v>2.1.2.1</v>
      </c>
      <c r="F3031" s="3" t="str">
        <f>VLOOKUP(Base_Periodo1[[#This Row],[Aux]],Base_Contas_Balanco[#All],2,FALSE)</f>
        <v>Fornecedores Cooperados</v>
      </c>
      <c r="G3031" s="1">
        <v>42331</v>
      </c>
      <c r="H3031" s="225">
        <v>3120.0000000000146</v>
      </c>
      <c r="I3031" s="225">
        <v>0</v>
      </c>
      <c r="J3031" s="225">
        <v>0</v>
      </c>
      <c r="K3031" s="225">
        <v>3120.0000000000146</v>
      </c>
      <c r="L30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3120</v>
      </c>
      <c r="M3031" s="225">
        <f>ROUND(IF(AND(Base_Periodo1[[#This Row],[Tipo_Linha]]="-",Base_Periodo1[[#This Row],[TIPOSALDO]]="D"),Base_Periodo1[[#This Row],[SALDO_ATUAL]]*-1,Base_Periodo1[[#This Row],[SALDO_ATUAL]]),4)</f>
        <v>3120</v>
      </c>
      <c r="N3031" t="s">
        <v>116</v>
      </c>
      <c r="O3031" t="s">
        <v>459</v>
      </c>
      <c r="P3031" t="s">
        <v>459</v>
      </c>
      <c r="Q3031">
        <v>7</v>
      </c>
      <c r="R3031" s="225">
        <f>Base_Periodo1[[#This Row],[CREDITOS]]-Base_Periodo1[[#This Row],[DEBITOS]]</f>
        <v>0</v>
      </c>
      <c r="S3031" s="3" t="str">
        <f>IF(ISERROR(VLOOKUP(Base_Periodo1[[#This Row],[CONTA]],BaseContasDRE[#All],4,FALSE)),"Fora do DRE",VLOOKUP(Base_Periodo1[[#This Row],[CONTA]],BaseContasDRE[#All],4,FALSE))</f>
        <v>Fora do DRE</v>
      </c>
      <c r="T3031" s="3" t="str">
        <f>IF(ISERROR(VLOOKUP(Base_Periodo1[[#This Row],[CONTA]],BaseContasDRE[#All],5,FALSE)),"Fora do DRE",VLOOKUP(Base_Periodo1[[#This Row],[CONTA]],BaseContasDRE[#All],6,FALSE))</f>
        <v>Fora do DRE</v>
      </c>
      <c r="U3031" s="3" t="str">
        <f>IF(ISERROR(VLOOKUP(Base_Periodo1[[#This Row],[CONTA]],BaseContasDRE[#All],7,FALSE)),"Fora do DRE",VLOOKUP(Base_Periodo1[[#This Row],[CONTA]],BaseContasDRE[#All],7,FALSE))</f>
        <v>Fora do DRE</v>
      </c>
      <c r="V3031" s="3" t="str">
        <f>IF(Base_Periodo1[[#This Row],[Tipo_Linha]]="Fora do DRE","Fora do DRE","( "&amp;Base_Periodo1[[#This Row],[Tipo_Linha]]&amp;" ) "&amp;Base_Periodo1[[#This Row],[Filtro]])</f>
        <v>Fora do DRE</v>
      </c>
      <c r="W3031" s="3" t="str">
        <f>LEFT(Base_Periodo1[[#This Row],[CLASS]],3)</f>
        <v>2.1</v>
      </c>
    </row>
    <row r="3032" spans="1:23" hidden="1">
      <c r="A3032" s="3" t="str">
        <f t="shared" si="47"/>
        <v>Período 1</v>
      </c>
      <c r="B3032">
        <v>46962</v>
      </c>
      <c r="C3032" t="s">
        <v>1745</v>
      </c>
      <c r="D3032" t="s">
        <v>4456</v>
      </c>
      <c r="E3032" s="3" t="str">
        <f>IF(LEN(Base_Periodo1[[#This Row],[CLASS]])&gt;=7,LEFT(Base_Periodo1[[#This Row],[CLASS]],7),"")</f>
        <v>2.1.2.1</v>
      </c>
      <c r="F3032" s="3" t="str">
        <f>VLOOKUP(Base_Periodo1[[#This Row],[Aux]],Base_Contas_Balanco[#All],2,FALSE)</f>
        <v>Fornecedores Cooperados</v>
      </c>
      <c r="G3032" s="1">
        <v>42800</v>
      </c>
      <c r="H3032" s="225">
        <v>1.9999999989522621E-2</v>
      </c>
      <c r="I3032" s="225">
        <v>0</v>
      </c>
      <c r="J3032" s="225">
        <v>0</v>
      </c>
      <c r="K3032" s="225">
        <v>1.9999999989522621E-2</v>
      </c>
      <c r="L30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3032" s="225">
        <f>ROUND(IF(AND(Base_Periodo1[[#This Row],[Tipo_Linha]]="-",Base_Periodo1[[#This Row],[TIPOSALDO]]="D"),Base_Periodo1[[#This Row],[SALDO_ATUAL]]*-1,Base_Periodo1[[#This Row],[SALDO_ATUAL]]),4)</f>
        <v>0.02</v>
      </c>
      <c r="N3032" t="s">
        <v>116</v>
      </c>
      <c r="O3032" t="s">
        <v>459</v>
      </c>
      <c r="P3032" t="s">
        <v>459</v>
      </c>
      <c r="Q3032">
        <v>7</v>
      </c>
      <c r="R3032" s="225">
        <f>Base_Periodo1[[#This Row],[CREDITOS]]-Base_Periodo1[[#This Row],[DEBITOS]]</f>
        <v>0</v>
      </c>
      <c r="S3032" s="3" t="str">
        <f>IF(ISERROR(VLOOKUP(Base_Periodo1[[#This Row],[CONTA]],BaseContasDRE[#All],4,FALSE)),"Fora do DRE",VLOOKUP(Base_Periodo1[[#This Row],[CONTA]],BaseContasDRE[#All],4,FALSE))</f>
        <v>Fora do DRE</v>
      </c>
      <c r="T3032" s="3" t="str">
        <f>IF(ISERROR(VLOOKUP(Base_Periodo1[[#This Row],[CONTA]],BaseContasDRE[#All],5,FALSE)),"Fora do DRE",VLOOKUP(Base_Periodo1[[#This Row],[CONTA]],BaseContasDRE[#All],6,FALSE))</f>
        <v>Fora do DRE</v>
      </c>
      <c r="U3032" s="3" t="str">
        <f>IF(ISERROR(VLOOKUP(Base_Periodo1[[#This Row],[CONTA]],BaseContasDRE[#All],7,FALSE)),"Fora do DRE",VLOOKUP(Base_Periodo1[[#This Row],[CONTA]],BaseContasDRE[#All],7,FALSE))</f>
        <v>Fora do DRE</v>
      </c>
      <c r="V3032" s="3" t="str">
        <f>IF(Base_Periodo1[[#This Row],[Tipo_Linha]]="Fora do DRE","Fora do DRE","( "&amp;Base_Periodo1[[#This Row],[Tipo_Linha]]&amp;" ) "&amp;Base_Periodo1[[#This Row],[Filtro]])</f>
        <v>Fora do DRE</v>
      </c>
      <c r="W3032" s="3" t="str">
        <f>LEFT(Base_Periodo1[[#This Row],[CLASS]],3)</f>
        <v>2.1</v>
      </c>
    </row>
    <row r="3033" spans="1:23" hidden="1">
      <c r="A3033" s="3" t="str">
        <f t="shared" si="47"/>
        <v>Período 1</v>
      </c>
      <c r="B3033">
        <v>4546</v>
      </c>
      <c r="C3033" t="s">
        <v>1745</v>
      </c>
      <c r="D3033" t="s">
        <v>5522</v>
      </c>
      <c r="E3033" s="3" t="str">
        <f>IF(LEN(Base_Periodo1[[#This Row],[CLASS]])&gt;=7,LEFT(Base_Periodo1[[#This Row],[CLASS]],7),"")</f>
        <v>2.1.2.1</v>
      </c>
      <c r="F3033" s="3" t="str">
        <f>VLOOKUP(Base_Periodo1[[#This Row],[Aux]],Base_Contas_Balanco[#All],2,FALSE)</f>
        <v>Fornecedores Cooperados</v>
      </c>
      <c r="G3033" s="1">
        <v>42731</v>
      </c>
      <c r="H3033" s="225">
        <v>1.0000000009313226E-2</v>
      </c>
      <c r="I3033" s="225">
        <v>0</v>
      </c>
      <c r="J3033" s="225">
        <v>0</v>
      </c>
      <c r="K3033" s="225">
        <v>1.0000000009313226E-2</v>
      </c>
      <c r="L30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033" s="225">
        <f>ROUND(IF(AND(Base_Periodo1[[#This Row],[Tipo_Linha]]="-",Base_Periodo1[[#This Row],[TIPOSALDO]]="D"),Base_Periodo1[[#This Row],[SALDO_ATUAL]]*-1,Base_Periodo1[[#This Row],[SALDO_ATUAL]]),4)</f>
        <v>0.01</v>
      </c>
      <c r="N3033" t="s">
        <v>116</v>
      </c>
      <c r="O3033" t="s">
        <v>459</v>
      </c>
      <c r="P3033" t="s">
        <v>459</v>
      </c>
      <c r="Q3033">
        <v>7</v>
      </c>
      <c r="R3033" s="225">
        <f>Base_Periodo1[[#This Row],[CREDITOS]]-Base_Periodo1[[#This Row],[DEBITOS]]</f>
        <v>0</v>
      </c>
      <c r="S3033" s="3" t="str">
        <f>IF(ISERROR(VLOOKUP(Base_Periodo1[[#This Row],[CONTA]],BaseContasDRE[#All],4,FALSE)),"Fora do DRE",VLOOKUP(Base_Periodo1[[#This Row],[CONTA]],BaseContasDRE[#All],4,FALSE))</f>
        <v>Fora do DRE</v>
      </c>
      <c r="T3033" s="3" t="str">
        <f>IF(ISERROR(VLOOKUP(Base_Periodo1[[#This Row],[CONTA]],BaseContasDRE[#All],5,FALSE)),"Fora do DRE",VLOOKUP(Base_Periodo1[[#This Row],[CONTA]],BaseContasDRE[#All],6,FALSE))</f>
        <v>Fora do DRE</v>
      </c>
      <c r="U3033" s="3" t="str">
        <f>IF(ISERROR(VLOOKUP(Base_Periodo1[[#This Row],[CONTA]],BaseContasDRE[#All],7,FALSE)),"Fora do DRE",VLOOKUP(Base_Periodo1[[#This Row],[CONTA]],BaseContasDRE[#All],7,FALSE))</f>
        <v>Fora do DRE</v>
      </c>
      <c r="V3033" s="3" t="str">
        <f>IF(Base_Periodo1[[#This Row],[Tipo_Linha]]="Fora do DRE","Fora do DRE","( "&amp;Base_Periodo1[[#This Row],[Tipo_Linha]]&amp;" ) "&amp;Base_Periodo1[[#This Row],[Filtro]])</f>
        <v>Fora do DRE</v>
      </c>
      <c r="W3033" s="3" t="str">
        <f>LEFT(Base_Periodo1[[#This Row],[CLASS]],3)</f>
        <v>2.1</v>
      </c>
    </row>
    <row r="3034" spans="1:23" hidden="1">
      <c r="A3034" s="3" t="str">
        <f t="shared" si="47"/>
        <v>Período 1</v>
      </c>
      <c r="B3034">
        <v>8586</v>
      </c>
      <c r="C3034" t="s">
        <v>1745</v>
      </c>
      <c r="D3034" t="s">
        <v>1921</v>
      </c>
      <c r="E3034" s="3" t="str">
        <f>IF(LEN(Base_Periodo1[[#This Row],[CLASS]])&gt;=7,LEFT(Base_Periodo1[[#This Row],[CLASS]],7),"")</f>
        <v>2.1.2.1</v>
      </c>
      <c r="F3034" s="3" t="str">
        <f>VLOOKUP(Base_Periodo1[[#This Row],[Aux]],Base_Contas_Balanco[#All],2,FALSE)</f>
        <v>Fornecedores Cooperados</v>
      </c>
      <c r="G3034" s="1">
        <v>41173</v>
      </c>
      <c r="H3034" s="225">
        <v>3.0000000002473826E-2</v>
      </c>
      <c r="I3034" s="225">
        <v>0</v>
      </c>
      <c r="J3034" s="225">
        <v>0</v>
      </c>
      <c r="K3034" s="225">
        <v>3.0000000002473826E-2</v>
      </c>
      <c r="L30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0.03</v>
      </c>
      <c r="M3034" s="225">
        <f>ROUND(IF(AND(Base_Periodo1[[#This Row],[Tipo_Linha]]="-",Base_Periodo1[[#This Row],[TIPOSALDO]]="D"),Base_Periodo1[[#This Row],[SALDO_ATUAL]]*-1,Base_Periodo1[[#This Row],[SALDO_ATUAL]]),4)</f>
        <v>0.03</v>
      </c>
      <c r="N3034" t="s">
        <v>116</v>
      </c>
      <c r="O3034" t="s">
        <v>459</v>
      </c>
      <c r="P3034" t="s">
        <v>459</v>
      </c>
      <c r="Q3034">
        <v>7</v>
      </c>
      <c r="R3034" s="225">
        <f>Base_Periodo1[[#This Row],[CREDITOS]]-Base_Periodo1[[#This Row],[DEBITOS]]</f>
        <v>0</v>
      </c>
      <c r="S3034" s="3" t="str">
        <f>IF(ISERROR(VLOOKUP(Base_Periodo1[[#This Row],[CONTA]],BaseContasDRE[#All],4,FALSE)),"Fora do DRE",VLOOKUP(Base_Periodo1[[#This Row],[CONTA]],BaseContasDRE[#All],4,FALSE))</f>
        <v>Fora do DRE</v>
      </c>
      <c r="T3034" s="3" t="str">
        <f>IF(ISERROR(VLOOKUP(Base_Periodo1[[#This Row],[CONTA]],BaseContasDRE[#All],5,FALSE)),"Fora do DRE",VLOOKUP(Base_Periodo1[[#This Row],[CONTA]],BaseContasDRE[#All],6,FALSE))</f>
        <v>Fora do DRE</v>
      </c>
      <c r="U3034" s="3" t="str">
        <f>IF(ISERROR(VLOOKUP(Base_Periodo1[[#This Row],[CONTA]],BaseContasDRE[#All],7,FALSE)),"Fora do DRE",VLOOKUP(Base_Periodo1[[#This Row],[CONTA]],BaseContasDRE[#All],7,FALSE))</f>
        <v>Fora do DRE</v>
      </c>
      <c r="V3034" s="3" t="str">
        <f>IF(Base_Periodo1[[#This Row],[Tipo_Linha]]="Fora do DRE","Fora do DRE","( "&amp;Base_Periodo1[[#This Row],[Tipo_Linha]]&amp;" ) "&amp;Base_Periodo1[[#This Row],[Filtro]])</f>
        <v>Fora do DRE</v>
      </c>
      <c r="W3034" s="3" t="str">
        <f>LEFT(Base_Periodo1[[#This Row],[CLASS]],3)</f>
        <v>2.1</v>
      </c>
    </row>
    <row r="3035" spans="1:23" hidden="1">
      <c r="A3035" s="3" t="str">
        <f t="shared" si="47"/>
        <v>Período 1</v>
      </c>
      <c r="B3035">
        <v>53951</v>
      </c>
      <c r="C3035" t="s">
        <v>1745</v>
      </c>
      <c r="D3035" t="s">
        <v>5062</v>
      </c>
      <c r="E3035" s="3" t="str">
        <f>IF(LEN(Base_Periodo1[[#This Row],[CLASS]])&gt;=7,LEFT(Base_Periodo1[[#This Row],[CLASS]],7),"")</f>
        <v>2.1.2.1</v>
      </c>
      <c r="F3035" s="3" t="str">
        <f>VLOOKUP(Base_Periodo1[[#This Row],[Aux]],Base_Contas_Balanco[#All],2,FALSE)</f>
        <v>Fornecedores Cooperados</v>
      </c>
      <c r="G3035" s="1">
        <v>42713</v>
      </c>
      <c r="H3035" s="225">
        <v>353.72000000000116</v>
      </c>
      <c r="I3035" s="225">
        <v>0</v>
      </c>
      <c r="J3035" s="225">
        <v>0</v>
      </c>
      <c r="K3035" s="225">
        <v>353.72000000000116</v>
      </c>
      <c r="L30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353.72</v>
      </c>
      <c r="M3035" s="225">
        <f>ROUND(IF(AND(Base_Periodo1[[#This Row],[Tipo_Linha]]="-",Base_Periodo1[[#This Row],[TIPOSALDO]]="D"),Base_Periodo1[[#This Row],[SALDO_ATUAL]]*-1,Base_Periodo1[[#This Row],[SALDO_ATUAL]]),4)</f>
        <v>353.72</v>
      </c>
      <c r="N3035" t="s">
        <v>116</v>
      </c>
      <c r="O3035" t="s">
        <v>459</v>
      </c>
      <c r="P3035" t="s">
        <v>459</v>
      </c>
      <c r="Q3035">
        <v>7</v>
      </c>
      <c r="R3035" s="225">
        <f>Base_Periodo1[[#This Row],[CREDITOS]]-Base_Periodo1[[#This Row],[DEBITOS]]</f>
        <v>0</v>
      </c>
      <c r="S3035" s="3" t="str">
        <f>IF(ISERROR(VLOOKUP(Base_Periodo1[[#This Row],[CONTA]],BaseContasDRE[#All],4,FALSE)),"Fora do DRE",VLOOKUP(Base_Periodo1[[#This Row],[CONTA]],BaseContasDRE[#All],4,FALSE))</f>
        <v>Fora do DRE</v>
      </c>
      <c r="T3035" s="3" t="str">
        <f>IF(ISERROR(VLOOKUP(Base_Periodo1[[#This Row],[CONTA]],BaseContasDRE[#All],5,FALSE)),"Fora do DRE",VLOOKUP(Base_Periodo1[[#This Row],[CONTA]],BaseContasDRE[#All],6,FALSE))</f>
        <v>Fora do DRE</v>
      </c>
      <c r="U3035" s="3" t="str">
        <f>IF(ISERROR(VLOOKUP(Base_Periodo1[[#This Row],[CONTA]],BaseContasDRE[#All],7,FALSE)),"Fora do DRE",VLOOKUP(Base_Periodo1[[#This Row],[CONTA]],BaseContasDRE[#All],7,FALSE))</f>
        <v>Fora do DRE</v>
      </c>
      <c r="V3035" s="3" t="str">
        <f>IF(Base_Periodo1[[#This Row],[Tipo_Linha]]="Fora do DRE","Fora do DRE","( "&amp;Base_Periodo1[[#This Row],[Tipo_Linha]]&amp;" ) "&amp;Base_Periodo1[[#This Row],[Filtro]])</f>
        <v>Fora do DRE</v>
      </c>
      <c r="W3035" s="3" t="str">
        <f>LEFT(Base_Periodo1[[#This Row],[CLASS]],3)</f>
        <v>2.1</v>
      </c>
    </row>
    <row r="3036" spans="1:23" hidden="1">
      <c r="A3036" s="3" t="str">
        <f t="shared" si="47"/>
        <v>Período 1</v>
      </c>
      <c r="B3036">
        <v>2498</v>
      </c>
      <c r="C3036" t="s">
        <v>1745</v>
      </c>
      <c r="D3036" t="s">
        <v>1922</v>
      </c>
      <c r="E3036" s="3" t="str">
        <f>IF(LEN(Base_Periodo1[[#This Row],[CLASS]])&gt;=7,LEFT(Base_Periodo1[[#This Row],[CLASS]],7),"")</f>
        <v>2.1.2.1</v>
      </c>
      <c r="F3036" s="3" t="str">
        <f>VLOOKUP(Base_Periodo1[[#This Row],[Aux]],Base_Contas_Balanco[#All],2,FALSE)</f>
        <v>Fornecedores Cooperados</v>
      </c>
      <c r="G3036" s="1">
        <v>42649</v>
      </c>
      <c r="H3036" s="225">
        <v>26.660000000003492</v>
      </c>
      <c r="I3036" s="225">
        <v>0</v>
      </c>
      <c r="J3036" s="225">
        <v>0</v>
      </c>
      <c r="K3036" s="225">
        <v>26.660000000003492</v>
      </c>
      <c r="L30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26.66</v>
      </c>
      <c r="M3036" s="225">
        <f>ROUND(IF(AND(Base_Periodo1[[#This Row],[Tipo_Linha]]="-",Base_Periodo1[[#This Row],[TIPOSALDO]]="D"),Base_Periodo1[[#This Row],[SALDO_ATUAL]]*-1,Base_Periodo1[[#This Row],[SALDO_ATUAL]]),4)</f>
        <v>26.66</v>
      </c>
      <c r="N3036" t="s">
        <v>116</v>
      </c>
      <c r="O3036" t="s">
        <v>459</v>
      </c>
      <c r="P3036" t="s">
        <v>459</v>
      </c>
      <c r="Q3036">
        <v>7</v>
      </c>
      <c r="R3036" s="225">
        <f>Base_Periodo1[[#This Row],[CREDITOS]]-Base_Periodo1[[#This Row],[DEBITOS]]</f>
        <v>0</v>
      </c>
      <c r="S3036" s="3" t="str">
        <f>IF(ISERROR(VLOOKUP(Base_Periodo1[[#This Row],[CONTA]],BaseContasDRE[#All],4,FALSE)),"Fora do DRE",VLOOKUP(Base_Periodo1[[#This Row],[CONTA]],BaseContasDRE[#All],4,FALSE))</f>
        <v>Fora do DRE</v>
      </c>
      <c r="T3036" s="3" t="str">
        <f>IF(ISERROR(VLOOKUP(Base_Periodo1[[#This Row],[CONTA]],BaseContasDRE[#All],5,FALSE)),"Fora do DRE",VLOOKUP(Base_Periodo1[[#This Row],[CONTA]],BaseContasDRE[#All],6,FALSE))</f>
        <v>Fora do DRE</v>
      </c>
      <c r="U3036" s="3" t="str">
        <f>IF(ISERROR(VLOOKUP(Base_Periodo1[[#This Row],[CONTA]],BaseContasDRE[#All],7,FALSE)),"Fora do DRE",VLOOKUP(Base_Periodo1[[#This Row],[CONTA]],BaseContasDRE[#All],7,FALSE))</f>
        <v>Fora do DRE</v>
      </c>
      <c r="V3036" s="3" t="str">
        <f>IF(Base_Periodo1[[#This Row],[Tipo_Linha]]="Fora do DRE","Fora do DRE","( "&amp;Base_Periodo1[[#This Row],[Tipo_Linha]]&amp;" ) "&amp;Base_Periodo1[[#This Row],[Filtro]])</f>
        <v>Fora do DRE</v>
      </c>
      <c r="W3036" s="3" t="str">
        <f>LEFT(Base_Periodo1[[#This Row],[CLASS]],3)</f>
        <v>2.1</v>
      </c>
    </row>
    <row r="3037" spans="1:23" hidden="1">
      <c r="A3037" s="3" t="str">
        <f t="shared" si="47"/>
        <v>Período 1</v>
      </c>
      <c r="B3037">
        <v>46874</v>
      </c>
      <c r="C3037" t="s">
        <v>1745</v>
      </c>
      <c r="D3037" t="s">
        <v>6387</v>
      </c>
      <c r="E3037" s="3" t="str">
        <f>IF(LEN(Base_Periodo1[[#This Row],[CLASS]])&gt;=7,LEFT(Base_Periodo1[[#This Row],[CLASS]],7),"")</f>
        <v>2.1.2.1</v>
      </c>
      <c r="F3037" s="3" t="str">
        <f>VLOOKUP(Base_Periodo1[[#This Row],[Aux]],Base_Contas_Balanco[#All],2,FALSE)</f>
        <v>Fornecedores Cooperados</v>
      </c>
      <c r="G3037" s="1">
        <v>42835</v>
      </c>
      <c r="H3037" s="225">
        <v>1373.83</v>
      </c>
      <c r="I3037" s="225">
        <v>0</v>
      </c>
      <c r="J3037" s="225">
        <v>0</v>
      </c>
      <c r="K3037" s="225">
        <v>1373.83</v>
      </c>
      <c r="L30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1373.83</v>
      </c>
      <c r="M3037" s="225">
        <f>ROUND(IF(AND(Base_Periodo1[[#This Row],[Tipo_Linha]]="-",Base_Periodo1[[#This Row],[TIPOSALDO]]="D"),Base_Periodo1[[#This Row],[SALDO_ATUAL]]*-1,Base_Periodo1[[#This Row],[SALDO_ATUAL]]),4)</f>
        <v>1373.83</v>
      </c>
      <c r="N3037" t="s">
        <v>116</v>
      </c>
      <c r="O3037" t="s">
        <v>459</v>
      </c>
      <c r="P3037" t="s">
        <v>459</v>
      </c>
      <c r="Q3037">
        <v>7</v>
      </c>
      <c r="R3037" s="225">
        <f>Base_Periodo1[[#This Row],[CREDITOS]]-Base_Periodo1[[#This Row],[DEBITOS]]</f>
        <v>0</v>
      </c>
      <c r="S3037" s="3" t="str">
        <f>IF(ISERROR(VLOOKUP(Base_Periodo1[[#This Row],[CONTA]],BaseContasDRE[#All],4,FALSE)),"Fora do DRE",VLOOKUP(Base_Periodo1[[#This Row],[CONTA]],BaseContasDRE[#All],4,FALSE))</f>
        <v>Fora do DRE</v>
      </c>
      <c r="T3037" s="3" t="str">
        <f>IF(ISERROR(VLOOKUP(Base_Periodo1[[#This Row],[CONTA]],BaseContasDRE[#All],5,FALSE)),"Fora do DRE",VLOOKUP(Base_Periodo1[[#This Row],[CONTA]],BaseContasDRE[#All],6,FALSE))</f>
        <v>Fora do DRE</v>
      </c>
      <c r="U3037" s="3" t="str">
        <f>IF(ISERROR(VLOOKUP(Base_Periodo1[[#This Row],[CONTA]],BaseContasDRE[#All],7,FALSE)),"Fora do DRE",VLOOKUP(Base_Periodo1[[#This Row],[CONTA]],BaseContasDRE[#All],7,FALSE))</f>
        <v>Fora do DRE</v>
      </c>
      <c r="V3037" s="3" t="str">
        <f>IF(Base_Periodo1[[#This Row],[Tipo_Linha]]="Fora do DRE","Fora do DRE","( "&amp;Base_Periodo1[[#This Row],[Tipo_Linha]]&amp;" ) "&amp;Base_Periodo1[[#This Row],[Filtro]])</f>
        <v>Fora do DRE</v>
      </c>
      <c r="W3037" s="3" t="str">
        <f>LEFT(Base_Periodo1[[#This Row],[CLASS]],3)</f>
        <v>2.1</v>
      </c>
    </row>
    <row r="3038" spans="1:23" hidden="1">
      <c r="A3038" s="3" t="str">
        <f t="shared" si="47"/>
        <v>Período 1</v>
      </c>
      <c r="B3038">
        <v>54257</v>
      </c>
      <c r="C3038" t="s">
        <v>1745</v>
      </c>
      <c r="D3038" t="s">
        <v>2192</v>
      </c>
      <c r="E3038" s="3" t="str">
        <f>IF(LEN(Base_Periodo1[[#This Row],[CLASS]])&gt;=7,LEFT(Base_Periodo1[[#This Row],[CLASS]],7),"")</f>
        <v>2.1.2.1</v>
      </c>
      <c r="F3038" s="3" t="str">
        <f>VLOOKUP(Base_Periodo1[[#This Row],[Aux]],Base_Contas_Balanco[#All],2,FALSE)</f>
        <v>Fornecedores Cooperados</v>
      </c>
      <c r="G3038" s="1">
        <v>42884</v>
      </c>
      <c r="H3038" s="225">
        <v>92051.889999999956</v>
      </c>
      <c r="I3038" s="225">
        <v>111.07</v>
      </c>
      <c r="J3038" s="225">
        <v>55341.37</v>
      </c>
      <c r="K3038" s="225">
        <v>147282.18999999994</v>
      </c>
      <c r="L30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147282.19</v>
      </c>
      <c r="M3038" s="225">
        <f>ROUND(IF(AND(Base_Periodo1[[#This Row],[Tipo_Linha]]="-",Base_Periodo1[[#This Row],[TIPOSALDO]]="D"),Base_Periodo1[[#This Row],[SALDO_ATUAL]]*-1,Base_Periodo1[[#This Row],[SALDO_ATUAL]]),4)</f>
        <v>147282.19</v>
      </c>
      <c r="N3038" t="s">
        <v>116</v>
      </c>
      <c r="O3038" t="s">
        <v>459</v>
      </c>
      <c r="P3038" t="s">
        <v>459</v>
      </c>
      <c r="Q3038">
        <v>7</v>
      </c>
      <c r="R3038" s="225">
        <f>Base_Periodo1[[#This Row],[CREDITOS]]-Base_Periodo1[[#This Row],[DEBITOS]]</f>
        <v>55230.3</v>
      </c>
      <c r="S3038" s="3" t="str">
        <f>IF(ISERROR(VLOOKUP(Base_Periodo1[[#This Row],[CONTA]],BaseContasDRE[#All],4,FALSE)),"Fora do DRE",VLOOKUP(Base_Periodo1[[#This Row],[CONTA]],BaseContasDRE[#All],4,FALSE))</f>
        <v>Fora do DRE</v>
      </c>
      <c r="T3038" s="3" t="str">
        <f>IF(ISERROR(VLOOKUP(Base_Periodo1[[#This Row],[CONTA]],BaseContasDRE[#All],5,FALSE)),"Fora do DRE",VLOOKUP(Base_Periodo1[[#This Row],[CONTA]],BaseContasDRE[#All],6,FALSE))</f>
        <v>Fora do DRE</v>
      </c>
      <c r="U3038" s="3" t="str">
        <f>IF(ISERROR(VLOOKUP(Base_Periodo1[[#This Row],[CONTA]],BaseContasDRE[#All],7,FALSE)),"Fora do DRE",VLOOKUP(Base_Periodo1[[#This Row],[CONTA]],BaseContasDRE[#All],7,FALSE))</f>
        <v>Fora do DRE</v>
      </c>
      <c r="V3038" s="3" t="str">
        <f>IF(Base_Periodo1[[#This Row],[Tipo_Linha]]="Fora do DRE","Fora do DRE","( "&amp;Base_Periodo1[[#This Row],[Tipo_Linha]]&amp;" ) "&amp;Base_Periodo1[[#This Row],[Filtro]])</f>
        <v>Fora do DRE</v>
      </c>
      <c r="W3038" s="3" t="str">
        <f>LEFT(Base_Periodo1[[#This Row],[CLASS]],3)</f>
        <v>2.1</v>
      </c>
    </row>
    <row r="3039" spans="1:23" hidden="1">
      <c r="A3039" s="3" t="str">
        <f t="shared" si="47"/>
        <v>Período 1</v>
      </c>
      <c r="B3039">
        <v>3898</v>
      </c>
      <c r="C3039" t="s">
        <v>1745</v>
      </c>
      <c r="D3039" t="s">
        <v>6887</v>
      </c>
      <c r="E3039" s="3" t="str">
        <f>IF(LEN(Base_Periodo1[[#This Row],[CLASS]])&gt;=7,LEFT(Base_Periodo1[[#This Row],[CLASS]],7),"")</f>
        <v>2.1.2.1</v>
      </c>
      <c r="F3039" s="3" t="str">
        <f>VLOOKUP(Base_Periodo1[[#This Row],[Aux]],Base_Contas_Balanco[#All],2,FALSE)</f>
        <v>Fornecedores Cooperados</v>
      </c>
      <c r="G3039" s="1">
        <v>42879</v>
      </c>
      <c r="I3039" s="225">
        <v>0</v>
      </c>
      <c r="J3039" s="225">
        <v>16866.88</v>
      </c>
      <c r="K3039" s="225">
        <v>16866.88</v>
      </c>
      <c r="L30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16866.88</v>
      </c>
      <c r="M3039" s="225">
        <f>ROUND(IF(AND(Base_Periodo1[[#This Row],[Tipo_Linha]]="-",Base_Periodo1[[#This Row],[TIPOSALDO]]="D"),Base_Periodo1[[#This Row],[SALDO_ATUAL]]*-1,Base_Periodo1[[#This Row],[SALDO_ATUAL]]),4)</f>
        <v>16866.88</v>
      </c>
      <c r="N3039" t="s">
        <v>116</v>
      </c>
      <c r="O3039" t="s">
        <v>436</v>
      </c>
      <c r="P3039" t="s">
        <v>459</v>
      </c>
      <c r="Q3039">
        <v>7</v>
      </c>
      <c r="R3039" s="225">
        <f>Base_Periodo1[[#This Row],[CREDITOS]]-Base_Periodo1[[#This Row],[DEBITOS]]</f>
        <v>16866.88</v>
      </c>
      <c r="S3039" s="3" t="str">
        <f>IF(ISERROR(VLOOKUP(Base_Periodo1[[#This Row],[CONTA]],BaseContasDRE[#All],4,FALSE)),"Fora do DRE",VLOOKUP(Base_Periodo1[[#This Row],[CONTA]],BaseContasDRE[#All],4,FALSE))</f>
        <v>Fora do DRE</v>
      </c>
      <c r="T3039" s="3" t="str">
        <f>IF(ISERROR(VLOOKUP(Base_Periodo1[[#This Row],[CONTA]],BaseContasDRE[#All],5,FALSE)),"Fora do DRE",VLOOKUP(Base_Periodo1[[#This Row],[CONTA]],BaseContasDRE[#All],6,FALSE))</f>
        <v>Fora do DRE</v>
      </c>
      <c r="U3039" s="3" t="str">
        <f>IF(ISERROR(VLOOKUP(Base_Periodo1[[#This Row],[CONTA]],BaseContasDRE[#All],7,FALSE)),"Fora do DRE",VLOOKUP(Base_Periodo1[[#This Row],[CONTA]],BaseContasDRE[#All],7,FALSE))</f>
        <v>Fora do DRE</v>
      </c>
      <c r="V3039" s="3" t="str">
        <f>IF(Base_Periodo1[[#This Row],[Tipo_Linha]]="Fora do DRE","Fora do DRE","( "&amp;Base_Periodo1[[#This Row],[Tipo_Linha]]&amp;" ) "&amp;Base_Periodo1[[#This Row],[Filtro]])</f>
        <v>Fora do DRE</v>
      </c>
      <c r="W3039" s="3" t="str">
        <f>LEFT(Base_Periodo1[[#This Row],[CLASS]],3)</f>
        <v>2.1</v>
      </c>
    </row>
    <row r="3040" spans="1:23" hidden="1">
      <c r="A3040" s="3" t="str">
        <f t="shared" si="47"/>
        <v>Período 1</v>
      </c>
      <c r="B3040">
        <v>2610</v>
      </c>
      <c r="C3040" t="s">
        <v>1745</v>
      </c>
      <c r="D3040" t="s">
        <v>1923</v>
      </c>
      <c r="E3040" s="3" t="str">
        <f>IF(LEN(Base_Periodo1[[#This Row],[CLASS]])&gt;=7,LEFT(Base_Periodo1[[#This Row],[CLASS]],7),"")</f>
        <v>2.1.2.1</v>
      </c>
      <c r="F3040" s="3" t="str">
        <f>VLOOKUP(Base_Periodo1[[#This Row],[Aux]],Base_Contas_Balanco[#All],2,FALSE)</f>
        <v>Fornecedores Cooperados</v>
      </c>
      <c r="G3040" s="1">
        <v>42816</v>
      </c>
      <c r="H3040" s="225">
        <v>5931.3600000000151</v>
      </c>
      <c r="I3040" s="225">
        <v>0</v>
      </c>
      <c r="J3040" s="225">
        <v>0</v>
      </c>
      <c r="K3040" s="225">
        <v>5931.3600000000151</v>
      </c>
      <c r="L30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5931.36</v>
      </c>
      <c r="M3040" s="225">
        <f>ROUND(IF(AND(Base_Periodo1[[#This Row],[Tipo_Linha]]="-",Base_Periodo1[[#This Row],[TIPOSALDO]]="D"),Base_Periodo1[[#This Row],[SALDO_ATUAL]]*-1,Base_Periodo1[[#This Row],[SALDO_ATUAL]]),4)</f>
        <v>5931.36</v>
      </c>
      <c r="N3040" t="s">
        <v>116</v>
      </c>
      <c r="O3040" t="s">
        <v>459</v>
      </c>
      <c r="P3040" t="s">
        <v>459</v>
      </c>
      <c r="Q3040">
        <v>7</v>
      </c>
      <c r="R3040" s="225">
        <f>Base_Periodo1[[#This Row],[CREDITOS]]-Base_Periodo1[[#This Row],[DEBITOS]]</f>
        <v>0</v>
      </c>
      <c r="S3040" s="3" t="str">
        <f>IF(ISERROR(VLOOKUP(Base_Periodo1[[#This Row],[CONTA]],BaseContasDRE[#All],4,FALSE)),"Fora do DRE",VLOOKUP(Base_Periodo1[[#This Row],[CONTA]],BaseContasDRE[#All],4,FALSE))</f>
        <v>Fora do DRE</v>
      </c>
      <c r="T3040" s="3" t="str">
        <f>IF(ISERROR(VLOOKUP(Base_Periodo1[[#This Row],[CONTA]],BaseContasDRE[#All],5,FALSE)),"Fora do DRE",VLOOKUP(Base_Periodo1[[#This Row],[CONTA]],BaseContasDRE[#All],6,FALSE))</f>
        <v>Fora do DRE</v>
      </c>
      <c r="U3040" s="3" t="str">
        <f>IF(ISERROR(VLOOKUP(Base_Periodo1[[#This Row],[CONTA]],BaseContasDRE[#All],7,FALSE)),"Fora do DRE",VLOOKUP(Base_Periodo1[[#This Row],[CONTA]],BaseContasDRE[#All],7,FALSE))</f>
        <v>Fora do DRE</v>
      </c>
      <c r="V3040" s="3" t="str">
        <f>IF(Base_Periodo1[[#This Row],[Tipo_Linha]]="Fora do DRE","Fora do DRE","( "&amp;Base_Periodo1[[#This Row],[Tipo_Linha]]&amp;" ) "&amp;Base_Periodo1[[#This Row],[Filtro]])</f>
        <v>Fora do DRE</v>
      </c>
      <c r="W3040" s="3" t="str">
        <f>LEFT(Base_Periodo1[[#This Row],[CLASS]],3)</f>
        <v>2.1</v>
      </c>
    </row>
    <row r="3041" spans="1:23" hidden="1">
      <c r="A3041" s="3" t="str">
        <f t="shared" si="47"/>
        <v>Período 1</v>
      </c>
      <c r="B3041">
        <v>6915</v>
      </c>
      <c r="C3041" t="s">
        <v>1745</v>
      </c>
      <c r="D3041" t="s">
        <v>1924</v>
      </c>
      <c r="E3041" s="3" t="str">
        <f>IF(LEN(Base_Periodo1[[#This Row],[CLASS]])&gt;=7,LEFT(Base_Periodo1[[#This Row],[CLASS]],7),"")</f>
        <v>2.1.2.1</v>
      </c>
      <c r="F3041" s="3" t="str">
        <f>VLOOKUP(Base_Periodo1[[#This Row],[Aux]],Base_Contas_Balanco[#All],2,FALSE)</f>
        <v>Fornecedores Cooperados</v>
      </c>
      <c r="G3041" s="1">
        <v>42850</v>
      </c>
      <c r="H3041" s="225">
        <v>35014.949999999997</v>
      </c>
      <c r="I3041" s="225">
        <v>0</v>
      </c>
      <c r="J3041" s="225">
        <v>0</v>
      </c>
      <c r="K3041" s="225">
        <v>35014.949999999997</v>
      </c>
      <c r="L30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35014.949999999997</v>
      </c>
      <c r="M3041" s="225">
        <f>ROUND(IF(AND(Base_Periodo1[[#This Row],[Tipo_Linha]]="-",Base_Periodo1[[#This Row],[TIPOSALDO]]="D"),Base_Periodo1[[#This Row],[SALDO_ATUAL]]*-1,Base_Periodo1[[#This Row],[SALDO_ATUAL]]),4)</f>
        <v>35014.949999999997</v>
      </c>
      <c r="N3041" t="s">
        <v>116</v>
      </c>
      <c r="O3041" t="s">
        <v>459</v>
      </c>
      <c r="P3041" t="s">
        <v>459</v>
      </c>
      <c r="Q3041">
        <v>7</v>
      </c>
      <c r="R3041" s="225">
        <f>Base_Periodo1[[#This Row],[CREDITOS]]-Base_Periodo1[[#This Row],[DEBITOS]]</f>
        <v>0</v>
      </c>
      <c r="S3041" s="3" t="str">
        <f>IF(ISERROR(VLOOKUP(Base_Periodo1[[#This Row],[CONTA]],BaseContasDRE[#All],4,FALSE)),"Fora do DRE",VLOOKUP(Base_Periodo1[[#This Row],[CONTA]],BaseContasDRE[#All],4,FALSE))</f>
        <v>Fora do DRE</v>
      </c>
      <c r="T3041" s="3" t="str">
        <f>IF(ISERROR(VLOOKUP(Base_Periodo1[[#This Row],[CONTA]],BaseContasDRE[#All],5,FALSE)),"Fora do DRE",VLOOKUP(Base_Periodo1[[#This Row],[CONTA]],BaseContasDRE[#All],6,FALSE))</f>
        <v>Fora do DRE</v>
      </c>
      <c r="U3041" s="3" t="str">
        <f>IF(ISERROR(VLOOKUP(Base_Periodo1[[#This Row],[CONTA]],BaseContasDRE[#All],7,FALSE)),"Fora do DRE",VLOOKUP(Base_Periodo1[[#This Row],[CONTA]],BaseContasDRE[#All],7,FALSE))</f>
        <v>Fora do DRE</v>
      </c>
      <c r="V3041" s="3" t="str">
        <f>IF(Base_Periodo1[[#This Row],[Tipo_Linha]]="Fora do DRE","Fora do DRE","( "&amp;Base_Periodo1[[#This Row],[Tipo_Linha]]&amp;" ) "&amp;Base_Periodo1[[#This Row],[Filtro]])</f>
        <v>Fora do DRE</v>
      </c>
      <c r="W3041" s="3" t="str">
        <f>LEFT(Base_Periodo1[[#This Row],[CLASS]],3)</f>
        <v>2.1</v>
      </c>
    </row>
    <row r="3042" spans="1:23" hidden="1">
      <c r="A3042" s="3" t="str">
        <f t="shared" si="47"/>
        <v>Período 1</v>
      </c>
      <c r="B3042">
        <v>25462</v>
      </c>
      <c r="C3042" t="s">
        <v>1745</v>
      </c>
      <c r="D3042" t="s">
        <v>5426</v>
      </c>
      <c r="E3042" s="3" t="str">
        <f>IF(LEN(Base_Periodo1[[#This Row],[CLASS]])&gt;=7,LEFT(Base_Periodo1[[#This Row],[CLASS]],7),"")</f>
        <v>2.1.2.1</v>
      </c>
      <c r="F3042" s="3" t="str">
        <f>VLOOKUP(Base_Periodo1[[#This Row],[Aux]],Base_Contas_Balanco[#All],2,FALSE)</f>
        <v>Fornecedores Cooperados</v>
      </c>
      <c r="G3042" s="1">
        <v>42765</v>
      </c>
      <c r="H3042" s="225">
        <v>3810.3299999999872</v>
      </c>
      <c r="I3042" s="225">
        <v>0</v>
      </c>
      <c r="J3042" s="225">
        <v>0</v>
      </c>
      <c r="K3042" s="225">
        <v>3810.3299999999872</v>
      </c>
      <c r="L30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3810.33</v>
      </c>
      <c r="M3042" s="225">
        <f>ROUND(IF(AND(Base_Periodo1[[#This Row],[Tipo_Linha]]="-",Base_Periodo1[[#This Row],[TIPOSALDO]]="D"),Base_Periodo1[[#This Row],[SALDO_ATUAL]]*-1,Base_Periodo1[[#This Row],[SALDO_ATUAL]]),4)</f>
        <v>3810.33</v>
      </c>
      <c r="N3042" t="s">
        <v>116</v>
      </c>
      <c r="O3042" t="s">
        <v>459</v>
      </c>
      <c r="P3042" t="s">
        <v>459</v>
      </c>
      <c r="Q3042">
        <v>7</v>
      </c>
      <c r="R3042" s="225">
        <f>Base_Periodo1[[#This Row],[CREDITOS]]-Base_Periodo1[[#This Row],[DEBITOS]]</f>
        <v>0</v>
      </c>
      <c r="S3042" s="3" t="str">
        <f>IF(ISERROR(VLOOKUP(Base_Periodo1[[#This Row],[CONTA]],BaseContasDRE[#All],4,FALSE)),"Fora do DRE",VLOOKUP(Base_Periodo1[[#This Row],[CONTA]],BaseContasDRE[#All],4,FALSE))</f>
        <v>Fora do DRE</v>
      </c>
      <c r="T3042" s="3" t="str">
        <f>IF(ISERROR(VLOOKUP(Base_Periodo1[[#This Row],[CONTA]],BaseContasDRE[#All],5,FALSE)),"Fora do DRE",VLOOKUP(Base_Periodo1[[#This Row],[CONTA]],BaseContasDRE[#All],6,FALSE))</f>
        <v>Fora do DRE</v>
      </c>
      <c r="U3042" s="3" t="str">
        <f>IF(ISERROR(VLOOKUP(Base_Periodo1[[#This Row],[CONTA]],BaseContasDRE[#All],7,FALSE)),"Fora do DRE",VLOOKUP(Base_Periodo1[[#This Row],[CONTA]],BaseContasDRE[#All],7,FALSE))</f>
        <v>Fora do DRE</v>
      </c>
      <c r="V3042" s="3" t="str">
        <f>IF(Base_Periodo1[[#This Row],[Tipo_Linha]]="Fora do DRE","Fora do DRE","( "&amp;Base_Periodo1[[#This Row],[Tipo_Linha]]&amp;" ) "&amp;Base_Periodo1[[#This Row],[Filtro]])</f>
        <v>Fora do DRE</v>
      </c>
      <c r="W3042" s="3" t="str">
        <f>LEFT(Base_Periodo1[[#This Row],[CLASS]],3)</f>
        <v>2.1</v>
      </c>
    </row>
    <row r="3043" spans="1:23" hidden="1">
      <c r="A3043" s="3" t="str">
        <f t="shared" si="47"/>
        <v>Período 1</v>
      </c>
      <c r="B3043">
        <v>2462</v>
      </c>
      <c r="C3043" t="s">
        <v>1745</v>
      </c>
      <c r="D3043" t="s">
        <v>1925</v>
      </c>
      <c r="E3043" s="3" t="str">
        <f>IF(LEN(Base_Periodo1[[#This Row],[CLASS]])&gt;=7,LEFT(Base_Periodo1[[#This Row],[CLASS]],7),"")</f>
        <v>2.1.2.1</v>
      </c>
      <c r="F3043" s="3" t="str">
        <f>VLOOKUP(Base_Periodo1[[#This Row],[Aux]],Base_Contas_Balanco[#All],2,FALSE)</f>
        <v>Fornecedores Cooperados</v>
      </c>
      <c r="G3043" s="1">
        <v>42691</v>
      </c>
      <c r="H3043" s="225">
        <v>1091.2000000000698</v>
      </c>
      <c r="I3043" s="225">
        <v>0</v>
      </c>
      <c r="J3043" s="225">
        <v>0</v>
      </c>
      <c r="K3043" s="225">
        <v>1091.2000000000698</v>
      </c>
      <c r="L30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1091.2</v>
      </c>
      <c r="M3043" s="225">
        <f>ROUND(IF(AND(Base_Periodo1[[#This Row],[Tipo_Linha]]="-",Base_Periodo1[[#This Row],[TIPOSALDO]]="D"),Base_Periodo1[[#This Row],[SALDO_ATUAL]]*-1,Base_Periodo1[[#This Row],[SALDO_ATUAL]]),4)</f>
        <v>1091.2</v>
      </c>
      <c r="N3043" t="s">
        <v>116</v>
      </c>
      <c r="O3043" t="s">
        <v>459</v>
      </c>
      <c r="P3043" t="s">
        <v>459</v>
      </c>
      <c r="Q3043">
        <v>7</v>
      </c>
      <c r="R3043" s="225">
        <f>Base_Periodo1[[#This Row],[CREDITOS]]-Base_Periodo1[[#This Row],[DEBITOS]]</f>
        <v>0</v>
      </c>
      <c r="S3043" s="3" t="str">
        <f>IF(ISERROR(VLOOKUP(Base_Periodo1[[#This Row],[CONTA]],BaseContasDRE[#All],4,FALSE)),"Fora do DRE",VLOOKUP(Base_Periodo1[[#This Row],[CONTA]],BaseContasDRE[#All],4,FALSE))</f>
        <v>Fora do DRE</v>
      </c>
      <c r="T3043" s="3" t="str">
        <f>IF(ISERROR(VLOOKUP(Base_Periodo1[[#This Row],[CONTA]],BaseContasDRE[#All],5,FALSE)),"Fora do DRE",VLOOKUP(Base_Periodo1[[#This Row],[CONTA]],BaseContasDRE[#All],6,FALSE))</f>
        <v>Fora do DRE</v>
      </c>
      <c r="U3043" s="3" t="str">
        <f>IF(ISERROR(VLOOKUP(Base_Periodo1[[#This Row],[CONTA]],BaseContasDRE[#All],7,FALSE)),"Fora do DRE",VLOOKUP(Base_Periodo1[[#This Row],[CONTA]],BaseContasDRE[#All],7,FALSE))</f>
        <v>Fora do DRE</v>
      </c>
      <c r="V3043" s="3" t="str">
        <f>IF(Base_Periodo1[[#This Row],[Tipo_Linha]]="Fora do DRE","Fora do DRE","( "&amp;Base_Periodo1[[#This Row],[Tipo_Linha]]&amp;" ) "&amp;Base_Periodo1[[#This Row],[Filtro]])</f>
        <v>Fora do DRE</v>
      </c>
      <c r="W3043" s="3" t="str">
        <f>LEFT(Base_Periodo1[[#This Row],[CLASS]],3)</f>
        <v>2.1</v>
      </c>
    </row>
    <row r="3044" spans="1:23" hidden="1">
      <c r="A3044" s="3" t="str">
        <f t="shared" si="47"/>
        <v>Período 1</v>
      </c>
      <c r="B3044">
        <v>49676</v>
      </c>
      <c r="C3044" t="s">
        <v>1745</v>
      </c>
      <c r="D3044" t="s">
        <v>4681</v>
      </c>
      <c r="E3044" s="3" t="str">
        <f>IF(LEN(Base_Periodo1[[#This Row],[CLASS]])&gt;=7,LEFT(Base_Periodo1[[#This Row],[CLASS]],7),"")</f>
        <v>2.1.2.1</v>
      </c>
      <c r="F3044" s="3" t="str">
        <f>VLOOKUP(Base_Periodo1[[#This Row],[Aux]],Base_Contas_Balanco[#All],2,FALSE)</f>
        <v>Fornecedores Cooperados</v>
      </c>
      <c r="G3044" s="1">
        <v>42800</v>
      </c>
      <c r="H3044" s="225">
        <v>3186.7200000000007</v>
      </c>
      <c r="I3044" s="225">
        <v>0</v>
      </c>
      <c r="J3044" s="225">
        <v>0</v>
      </c>
      <c r="K3044" s="225">
        <v>3186.7200000000007</v>
      </c>
      <c r="L30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3186.72</v>
      </c>
      <c r="M3044" s="225">
        <f>ROUND(IF(AND(Base_Periodo1[[#This Row],[Tipo_Linha]]="-",Base_Periodo1[[#This Row],[TIPOSALDO]]="D"),Base_Periodo1[[#This Row],[SALDO_ATUAL]]*-1,Base_Periodo1[[#This Row],[SALDO_ATUAL]]),4)</f>
        <v>3186.72</v>
      </c>
      <c r="N3044" t="s">
        <v>116</v>
      </c>
      <c r="O3044" t="s">
        <v>459</v>
      </c>
      <c r="P3044" t="s">
        <v>459</v>
      </c>
      <c r="Q3044">
        <v>7</v>
      </c>
      <c r="R3044" s="225">
        <f>Base_Periodo1[[#This Row],[CREDITOS]]-Base_Periodo1[[#This Row],[DEBITOS]]</f>
        <v>0</v>
      </c>
      <c r="S3044" s="3" t="str">
        <f>IF(ISERROR(VLOOKUP(Base_Periodo1[[#This Row],[CONTA]],BaseContasDRE[#All],4,FALSE)),"Fora do DRE",VLOOKUP(Base_Periodo1[[#This Row],[CONTA]],BaseContasDRE[#All],4,FALSE))</f>
        <v>Fora do DRE</v>
      </c>
      <c r="T3044" s="3" t="str">
        <f>IF(ISERROR(VLOOKUP(Base_Periodo1[[#This Row],[CONTA]],BaseContasDRE[#All],5,FALSE)),"Fora do DRE",VLOOKUP(Base_Periodo1[[#This Row],[CONTA]],BaseContasDRE[#All],6,FALSE))</f>
        <v>Fora do DRE</v>
      </c>
      <c r="U3044" s="3" t="str">
        <f>IF(ISERROR(VLOOKUP(Base_Periodo1[[#This Row],[CONTA]],BaseContasDRE[#All],7,FALSE)),"Fora do DRE",VLOOKUP(Base_Periodo1[[#This Row],[CONTA]],BaseContasDRE[#All],7,FALSE))</f>
        <v>Fora do DRE</v>
      </c>
      <c r="V3044" s="3" t="str">
        <f>IF(Base_Periodo1[[#This Row],[Tipo_Linha]]="Fora do DRE","Fora do DRE","( "&amp;Base_Periodo1[[#This Row],[Tipo_Linha]]&amp;" ) "&amp;Base_Periodo1[[#This Row],[Filtro]])</f>
        <v>Fora do DRE</v>
      </c>
      <c r="W3044" s="3" t="str">
        <f>LEFT(Base_Periodo1[[#This Row],[CLASS]],3)</f>
        <v>2.1</v>
      </c>
    </row>
    <row r="3045" spans="1:23" hidden="1">
      <c r="A3045" s="3" t="str">
        <f t="shared" si="47"/>
        <v>Período 1</v>
      </c>
      <c r="B3045">
        <v>47764</v>
      </c>
      <c r="C3045" t="s">
        <v>1745</v>
      </c>
      <c r="D3045" t="s">
        <v>1926</v>
      </c>
      <c r="E3045" s="3" t="str">
        <f>IF(LEN(Base_Periodo1[[#This Row],[CLASS]])&gt;=7,LEFT(Base_Periodo1[[#This Row],[CLASS]],7),"")</f>
        <v>2.1.2.1</v>
      </c>
      <c r="F3045" s="3" t="str">
        <f>VLOOKUP(Base_Periodo1[[#This Row],[Aux]],Base_Contas_Balanco[#All],2,FALSE)</f>
        <v>Fornecedores Cooperados</v>
      </c>
      <c r="G3045" s="1">
        <v>42523</v>
      </c>
      <c r="H3045" s="225">
        <v>969.22999999998137</v>
      </c>
      <c r="I3045" s="225">
        <v>0</v>
      </c>
      <c r="J3045" s="225">
        <v>0</v>
      </c>
      <c r="K3045" s="225">
        <v>969.22999999998137</v>
      </c>
      <c r="L30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969.23</v>
      </c>
      <c r="M3045" s="225">
        <f>ROUND(IF(AND(Base_Periodo1[[#This Row],[Tipo_Linha]]="-",Base_Periodo1[[#This Row],[TIPOSALDO]]="D"),Base_Periodo1[[#This Row],[SALDO_ATUAL]]*-1,Base_Periodo1[[#This Row],[SALDO_ATUAL]]),4)</f>
        <v>969.23</v>
      </c>
      <c r="N3045" t="s">
        <v>116</v>
      </c>
      <c r="O3045" t="s">
        <v>459</v>
      </c>
      <c r="P3045" t="s">
        <v>459</v>
      </c>
      <c r="Q3045">
        <v>7</v>
      </c>
      <c r="R3045" s="225">
        <f>Base_Periodo1[[#This Row],[CREDITOS]]-Base_Periodo1[[#This Row],[DEBITOS]]</f>
        <v>0</v>
      </c>
      <c r="S3045" s="3" t="str">
        <f>IF(ISERROR(VLOOKUP(Base_Periodo1[[#This Row],[CONTA]],BaseContasDRE[#All],4,FALSE)),"Fora do DRE",VLOOKUP(Base_Periodo1[[#This Row],[CONTA]],BaseContasDRE[#All],4,FALSE))</f>
        <v>Fora do DRE</v>
      </c>
      <c r="T3045" s="3" t="str">
        <f>IF(ISERROR(VLOOKUP(Base_Periodo1[[#This Row],[CONTA]],BaseContasDRE[#All],5,FALSE)),"Fora do DRE",VLOOKUP(Base_Periodo1[[#This Row],[CONTA]],BaseContasDRE[#All],6,FALSE))</f>
        <v>Fora do DRE</v>
      </c>
      <c r="U3045" s="3" t="str">
        <f>IF(ISERROR(VLOOKUP(Base_Periodo1[[#This Row],[CONTA]],BaseContasDRE[#All],7,FALSE)),"Fora do DRE",VLOOKUP(Base_Periodo1[[#This Row],[CONTA]],BaseContasDRE[#All],7,FALSE))</f>
        <v>Fora do DRE</v>
      </c>
      <c r="V3045" s="3" t="str">
        <f>IF(Base_Periodo1[[#This Row],[Tipo_Linha]]="Fora do DRE","Fora do DRE","( "&amp;Base_Periodo1[[#This Row],[Tipo_Linha]]&amp;" ) "&amp;Base_Periodo1[[#This Row],[Filtro]])</f>
        <v>Fora do DRE</v>
      </c>
      <c r="W3045" s="3" t="str">
        <f>LEFT(Base_Periodo1[[#This Row],[CLASS]],3)</f>
        <v>2.1</v>
      </c>
    </row>
    <row r="3046" spans="1:23" hidden="1">
      <c r="A3046" s="3" t="str">
        <f t="shared" si="47"/>
        <v>Período 1</v>
      </c>
      <c r="B3046">
        <v>6919</v>
      </c>
      <c r="C3046" t="s">
        <v>1745</v>
      </c>
      <c r="D3046" t="s">
        <v>6388</v>
      </c>
      <c r="E3046" s="3" t="str">
        <f>IF(LEN(Base_Periodo1[[#This Row],[CLASS]])&gt;=7,LEFT(Base_Periodo1[[#This Row],[CLASS]],7),"")</f>
        <v>2.1.2.1</v>
      </c>
      <c r="F3046" s="3" t="str">
        <f>VLOOKUP(Base_Periodo1[[#This Row],[Aux]],Base_Contas_Balanco[#All],2,FALSE)</f>
        <v>Fornecedores Cooperados</v>
      </c>
      <c r="G3046" s="1">
        <v>42850</v>
      </c>
      <c r="H3046" s="225">
        <v>279</v>
      </c>
      <c r="I3046" s="225">
        <v>0</v>
      </c>
      <c r="J3046" s="225">
        <v>0</v>
      </c>
      <c r="K3046" s="225">
        <v>279</v>
      </c>
      <c r="L30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279</v>
      </c>
      <c r="M3046" s="225">
        <f>ROUND(IF(AND(Base_Periodo1[[#This Row],[Tipo_Linha]]="-",Base_Periodo1[[#This Row],[TIPOSALDO]]="D"),Base_Periodo1[[#This Row],[SALDO_ATUAL]]*-1,Base_Periodo1[[#This Row],[SALDO_ATUAL]]),4)</f>
        <v>279</v>
      </c>
      <c r="N3046" t="s">
        <v>116</v>
      </c>
      <c r="O3046" t="s">
        <v>459</v>
      </c>
      <c r="P3046" t="s">
        <v>459</v>
      </c>
      <c r="Q3046">
        <v>7</v>
      </c>
      <c r="R3046" s="225">
        <f>Base_Periodo1[[#This Row],[CREDITOS]]-Base_Periodo1[[#This Row],[DEBITOS]]</f>
        <v>0</v>
      </c>
      <c r="S3046" s="3" t="str">
        <f>IF(ISERROR(VLOOKUP(Base_Periodo1[[#This Row],[CONTA]],BaseContasDRE[#All],4,FALSE)),"Fora do DRE",VLOOKUP(Base_Periodo1[[#This Row],[CONTA]],BaseContasDRE[#All],4,FALSE))</f>
        <v>Fora do DRE</v>
      </c>
      <c r="T3046" s="3" t="str">
        <f>IF(ISERROR(VLOOKUP(Base_Periodo1[[#This Row],[CONTA]],BaseContasDRE[#All],5,FALSE)),"Fora do DRE",VLOOKUP(Base_Periodo1[[#This Row],[CONTA]],BaseContasDRE[#All],6,FALSE))</f>
        <v>Fora do DRE</v>
      </c>
      <c r="U3046" s="3" t="str">
        <f>IF(ISERROR(VLOOKUP(Base_Periodo1[[#This Row],[CONTA]],BaseContasDRE[#All],7,FALSE)),"Fora do DRE",VLOOKUP(Base_Periodo1[[#This Row],[CONTA]],BaseContasDRE[#All],7,FALSE))</f>
        <v>Fora do DRE</v>
      </c>
      <c r="V3046" s="3" t="str">
        <f>IF(Base_Periodo1[[#This Row],[Tipo_Linha]]="Fora do DRE","Fora do DRE","( "&amp;Base_Periodo1[[#This Row],[Tipo_Linha]]&amp;" ) "&amp;Base_Periodo1[[#This Row],[Filtro]])</f>
        <v>Fora do DRE</v>
      </c>
      <c r="W3046" s="3" t="str">
        <f>LEFT(Base_Periodo1[[#This Row],[CLASS]],3)</f>
        <v>2.1</v>
      </c>
    </row>
    <row r="3047" spans="1:23" hidden="1">
      <c r="A3047" s="3" t="str">
        <f t="shared" si="47"/>
        <v>Período 1</v>
      </c>
      <c r="B3047">
        <v>4134</v>
      </c>
      <c r="C3047" t="s">
        <v>1745</v>
      </c>
      <c r="D3047" t="s">
        <v>1927</v>
      </c>
      <c r="E3047" s="3" t="str">
        <f>IF(LEN(Base_Periodo1[[#This Row],[CLASS]])&gt;=7,LEFT(Base_Periodo1[[#This Row],[CLASS]],7),"")</f>
        <v>2.1.2.1</v>
      </c>
      <c r="F3047" s="3" t="str">
        <f>VLOOKUP(Base_Periodo1[[#This Row],[Aux]],Base_Contas_Balanco[#All],2,FALSE)</f>
        <v>Fornecedores Cooperados</v>
      </c>
      <c r="G3047" s="1">
        <v>41201</v>
      </c>
      <c r="H3047" s="225">
        <v>0.63999999999941792</v>
      </c>
      <c r="I3047" s="225">
        <v>0</v>
      </c>
      <c r="J3047" s="225">
        <v>0</v>
      </c>
      <c r="K3047" s="225">
        <v>0.63999999999941792</v>
      </c>
      <c r="L30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0.64</v>
      </c>
      <c r="M3047" s="225">
        <f>ROUND(IF(AND(Base_Periodo1[[#This Row],[Tipo_Linha]]="-",Base_Periodo1[[#This Row],[TIPOSALDO]]="D"),Base_Periodo1[[#This Row],[SALDO_ATUAL]]*-1,Base_Periodo1[[#This Row],[SALDO_ATUAL]]),4)</f>
        <v>0.64</v>
      </c>
      <c r="N3047" t="s">
        <v>116</v>
      </c>
      <c r="O3047" t="s">
        <v>459</v>
      </c>
      <c r="P3047" t="s">
        <v>459</v>
      </c>
      <c r="Q3047">
        <v>7</v>
      </c>
      <c r="R3047" s="225">
        <f>Base_Periodo1[[#This Row],[CREDITOS]]-Base_Periodo1[[#This Row],[DEBITOS]]</f>
        <v>0</v>
      </c>
      <c r="S3047" s="3" t="str">
        <f>IF(ISERROR(VLOOKUP(Base_Periodo1[[#This Row],[CONTA]],BaseContasDRE[#All],4,FALSE)),"Fora do DRE",VLOOKUP(Base_Periodo1[[#This Row],[CONTA]],BaseContasDRE[#All],4,FALSE))</f>
        <v>Fora do DRE</v>
      </c>
      <c r="T3047" s="3" t="str">
        <f>IF(ISERROR(VLOOKUP(Base_Periodo1[[#This Row],[CONTA]],BaseContasDRE[#All],5,FALSE)),"Fora do DRE",VLOOKUP(Base_Periodo1[[#This Row],[CONTA]],BaseContasDRE[#All],6,FALSE))</f>
        <v>Fora do DRE</v>
      </c>
      <c r="U3047" s="3" t="str">
        <f>IF(ISERROR(VLOOKUP(Base_Periodo1[[#This Row],[CONTA]],BaseContasDRE[#All],7,FALSE)),"Fora do DRE",VLOOKUP(Base_Periodo1[[#This Row],[CONTA]],BaseContasDRE[#All],7,FALSE))</f>
        <v>Fora do DRE</v>
      </c>
      <c r="V3047" s="3" t="str">
        <f>IF(Base_Periodo1[[#This Row],[Tipo_Linha]]="Fora do DRE","Fora do DRE","( "&amp;Base_Periodo1[[#This Row],[Tipo_Linha]]&amp;" ) "&amp;Base_Periodo1[[#This Row],[Filtro]])</f>
        <v>Fora do DRE</v>
      </c>
      <c r="W3047" s="3" t="str">
        <f>LEFT(Base_Periodo1[[#This Row],[CLASS]],3)</f>
        <v>2.1</v>
      </c>
    </row>
    <row r="3048" spans="1:23" hidden="1">
      <c r="A3048" s="3" t="str">
        <f t="shared" si="47"/>
        <v>Período 1</v>
      </c>
      <c r="B3048">
        <v>23173</v>
      </c>
      <c r="C3048" t="s">
        <v>1745</v>
      </c>
      <c r="D3048" t="s">
        <v>1928</v>
      </c>
      <c r="E3048" s="3" t="str">
        <f>IF(LEN(Base_Periodo1[[#This Row],[CLASS]])&gt;=7,LEFT(Base_Periodo1[[#This Row],[CLASS]],7),"")</f>
        <v>2.1.2.1</v>
      </c>
      <c r="F3048" s="3" t="str">
        <f>VLOOKUP(Base_Periodo1[[#This Row],[Aux]],Base_Contas_Balanco[#All],2,FALSE)</f>
        <v>Fornecedores Cooperados</v>
      </c>
      <c r="G3048" s="1">
        <v>41264</v>
      </c>
      <c r="H3048" s="225">
        <v>9.9999999999909051E-3</v>
      </c>
      <c r="I3048" s="225">
        <v>0</v>
      </c>
      <c r="J3048" s="225">
        <v>0</v>
      </c>
      <c r="K3048" s="225">
        <v>9.9999999999909051E-3</v>
      </c>
      <c r="L30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048" s="225">
        <f>ROUND(IF(AND(Base_Periodo1[[#This Row],[Tipo_Linha]]="-",Base_Periodo1[[#This Row],[TIPOSALDO]]="D"),Base_Periodo1[[#This Row],[SALDO_ATUAL]]*-1,Base_Periodo1[[#This Row],[SALDO_ATUAL]]),4)</f>
        <v>0.01</v>
      </c>
      <c r="N3048" t="s">
        <v>116</v>
      </c>
      <c r="O3048" t="s">
        <v>459</v>
      </c>
      <c r="P3048" t="s">
        <v>459</v>
      </c>
      <c r="Q3048">
        <v>7</v>
      </c>
      <c r="R3048" s="225">
        <f>Base_Periodo1[[#This Row],[CREDITOS]]-Base_Periodo1[[#This Row],[DEBITOS]]</f>
        <v>0</v>
      </c>
      <c r="S3048" s="3" t="str">
        <f>IF(ISERROR(VLOOKUP(Base_Periodo1[[#This Row],[CONTA]],BaseContasDRE[#All],4,FALSE)),"Fora do DRE",VLOOKUP(Base_Periodo1[[#This Row],[CONTA]],BaseContasDRE[#All],4,FALSE))</f>
        <v>Fora do DRE</v>
      </c>
      <c r="T3048" s="3" t="str">
        <f>IF(ISERROR(VLOOKUP(Base_Periodo1[[#This Row],[CONTA]],BaseContasDRE[#All],5,FALSE)),"Fora do DRE",VLOOKUP(Base_Periodo1[[#This Row],[CONTA]],BaseContasDRE[#All],6,FALSE))</f>
        <v>Fora do DRE</v>
      </c>
      <c r="U3048" s="3" t="str">
        <f>IF(ISERROR(VLOOKUP(Base_Periodo1[[#This Row],[CONTA]],BaseContasDRE[#All],7,FALSE)),"Fora do DRE",VLOOKUP(Base_Periodo1[[#This Row],[CONTA]],BaseContasDRE[#All],7,FALSE))</f>
        <v>Fora do DRE</v>
      </c>
      <c r="V3048" s="3" t="str">
        <f>IF(Base_Periodo1[[#This Row],[Tipo_Linha]]="Fora do DRE","Fora do DRE","( "&amp;Base_Periodo1[[#This Row],[Tipo_Linha]]&amp;" ) "&amp;Base_Periodo1[[#This Row],[Filtro]])</f>
        <v>Fora do DRE</v>
      </c>
      <c r="W3048" s="3" t="str">
        <f>LEFT(Base_Periodo1[[#This Row],[CLASS]],3)</f>
        <v>2.1</v>
      </c>
    </row>
    <row r="3049" spans="1:23" hidden="1">
      <c r="A3049" s="3" t="str">
        <f t="shared" si="47"/>
        <v>Período 1</v>
      </c>
      <c r="B3049">
        <v>49315</v>
      </c>
      <c r="C3049" t="s">
        <v>1745</v>
      </c>
      <c r="D3049" t="s">
        <v>4944</v>
      </c>
      <c r="E3049" s="3" t="str">
        <f>IF(LEN(Base_Periodo1[[#This Row],[CLASS]])&gt;=7,LEFT(Base_Periodo1[[#This Row],[CLASS]],7),"")</f>
        <v>2.1.2.1</v>
      </c>
      <c r="F3049" s="3" t="str">
        <f>VLOOKUP(Base_Periodo1[[#This Row],[Aux]],Base_Contas_Balanco[#All],2,FALSE)</f>
        <v>Fornecedores Cooperados</v>
      </c>
      <c r="G3049" s="1">
        <v>42844</v>
      </c>
      <c r="H3049" s="225">
        <v>1498.7399999999998</v>
      </c>
      <c r="I3049" s="225">
        <v>0</v>
      </c>
      <c r="J3049" s="225">
        <v>0</v>
      </c>
      <c r="K3049" s="225">
        <v>1498.7399999999998</v>
      </c>
      <c r="L30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1498.74</v>
      </c>
      <c r="M3049" s="225">
        <f>ROUND(IF(AND(Base_Periodo1[[#This Row],[Tipo_Linha]]="-",Base_Periodo1[[#This Row],[TIPOSALDO]]="D"),Base_Periodo1[[#This Row],[SALDO_ATUAL]]*-1,Base_Periodo1[[#This Row],[SALDO_ATUAL]]),4)</f>
        <v>1498.74</v>
      </c>
      <c r="N3049" t="s">
        <v>116</v>
      </c>
      <c r="O3049" t="s">
        <v>459</v>
      </c>
      <c r="P3049" t="s">
        <v>459</v>
      </c>
      <c r="Q3049">
        <v>7</v>
      </c>
      <c r="R3049" s="225">
        <f>Base_Periodo1[[#This Row],[CREDITOS]]-Base_Periodo1[[#This Row],[DEBITOS]]</f>
        <v>0</v>
      </c>
      <c r="S3049" s="3" t="str">
        <f>IF(ISERROR(VLOOKUP(Base_Periodo1[[#This Row],[CONTA]],BaseContasDRE[#All],4,FALSE)),"Fora do DRE",VLOOKUP(Base_Periodo1[[#This Row],[CONTA]],BaseContasDRE[#All],4,FALSE))</f>
        <v>Fora do DRE</v>
      </c>
      <c r="T3049" s="3" t="str">
        <f>IF(ISERROR(VLOOKUP(Base_Periodo1[[#This Row],[CONTA]],BaseContasDRE[#All],5,FALSE)),"Fora do DRE",VLOOKUP(Base_Periodo1[[#This Row],[CONTA]],BaseContasDRE[#All],6,FALSE))</f>
        <v>Fora do DRE</v>
      </c>
      <c r="U3049" s="3" t="str">
        <f>IF(ISERROR(VLOOKUP(Base_Periodo1[[#This Row],[CONTA]],BaseContasDRE[#All],7,FALSE)),"Fora do DRE",VLOOKUP(Base_Periodo1[[#This Row],[CONTA]],BaseContasDRE[#All],7,FALSE))</f>
        <v>Fora do DRE</v>
      </c>
      <c r="V3049" s="3" t="str">
        <f>IF(Base_Periodo1[[#This Row],[Tipo_Linha]]="Fora do DRE","Fora do DRE","( "&amp;Base_Periodo1[[#This Row],[Tipo_Linha]]&amp;" ) "&amp;Base_Periodo1[[#This Row],[Filtro]])</f>
        <v>Fora do DRE</v>
      </c>
      <c r="W3049" s="3" t="str">
        <f>LEFT(Base_Periodo1[[#This Row],[CLASS]],3)</f>
        <v>2.1</v>
      </c>
    </row>
    <row r="3050" spans="1:23" hidden="1">
      <c r="A3050" s="3" t="str">
        <f t="shared" si="47"/>
        <v>Período 1</v>
      </c>
      <c r="B3050">
        <v>24151</v>
      </c>
      <c r="C3050" t="s">
        <v>1745</v>
      </c>
      <c r="D3050" t="s">
        <v>1929</v>
      </c>
      <c r="E3050" s="3" t="str">
        <f>IF(LEN(Base_Periodo1[[#This Row],[CLASS]])&gt;=7,LEFT(Base_Periodo1[[#This Row],[CLASS]],7),"")</f>
        <v>2.1.2.1</v>
      </c>
      <c r="F3050" s="3" t="str">
        <f>VLOOKUP(Base_Periodo1[[#This Row],[Aux]],Base_Contas_Balanco[#All],2,FALSE)</f>
        <v>Fornecedores Cooperados</v>
      </c>
      <c r="G3050" s="1">
        <v>42287</v>
      </c>
      <c r="H3050" s="225">
        <v>0.25000000000363798</v>
      </c>
      <c r="I3050" s="225">
        <v>0</v>
      </c>
      <c r="J3050" s="225">
        <v>0</v>
      </c>
      <c r="K3050" s="225">
        <v>0.25000000000363798</v>
      </c>
      <c r="L30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0.25</v>
      </c>
      <c r="M3050" s="225">
        <f>ROUND(IF(AND(Base_Periodo1[[#This Row],[Tipo_Linha]]="-",Base_Periodo1[[#This Row],[TIPOSALDO]]="D"),Base_Periodo1[[#This Row],[SALDO_ATUAL]]*-1,Base_Periodo1[[#This Row],[SALDO_ATUAL]]),4)</f>
        <v>0.25</v>
      </c>
      <c r="N3050" t="s">
        <v>116</v>
      </c>
      <c r="O3050" t="s">
        <v>459</v>
      </c>
      <c r="P3050" t="s">
        <v>459</v>
      </c>
      <c r="Q3050">
        <v>7</v>
      </c>
      <c r="R3050" s="225">
        <f>Base_Periodo1[[#This Row],[CREDITOS]]-Base_Periodo1[[#This Row],[DEBITOS]]</f>
        <v>0</v>
      </c>
      <c r="S3050" s="3" t="str">
        <f>IF(ISERROR(VLOOKUP(Base_Periodo1[[#This Row],[CONTA]],BaseContasDRE[#All],4,FALSE)),"Fora do DRE",VLOOKUP(Base_Periodo1[[#This Row],[CONTA]],BaseContasDRE[#All],4,FALSE))</f>
        <v>Fora do DRE</v>
      </c>
      <c r="T3050" s="3" t="str">
        <f>IF(ISERROR(VLOOKUP(Base_Periodo1[[#This Row],[CONTA]],BaseContasDRE[#All],5,FALSE)),"Fora do DRE",VLOOKUP(Base_Periodo1[[#This Row],[CONTA]],BaseContasDRE[#All],6,FALSE))</f>
        <v>Fora do DRE</v>
      </c>
      <c r="U3050" s="3" t="str">
        <f>IF(ISERROR(VLOOKUP(Base_Periodo1[[#This Row],[CONTA]],BaseContasDRE[#All],7,FALSE)),"Fora do DRE",VLOOKUP(Base_Periodo1[[#This Row],[CONTA]],BaseContasDRE[#All],7,FALSE))</f>
        <v>Fora do DRE</v>
      </c>
      <c r="V3050" s="3" t="str">
        <f>IF(Base_Periodo1[[#This Row],[Tipo_Linha]]="Fora do DRE","Fora do DRE","( "&amp;Base_Periodo1[[#This Row],[Tipo_Linha]]&amp;" ) "&amp;Base_Periodo1[[#This Row],[Filtro]])</f>
        <v>Fora do DRE</v>
      </c>
      <c r="W3050" s="3" t="str">
        <f>LEFT(Base_Periodo1[[#This Row],[CLASS]],3)</f>
        <v>2.1</v>
      </c>
    </row>
    <row r="3051" spans="1:23" hidden="1">
      <c r="A3051" s="3" t="str">
        <f t="shared" si="47"/>
        <v>Período 1</v>
      </c>
      <c r="B3051">
        <v>48423</v>
      </c>
      <c r="C3051" t="s">
        <v>1745</v>
      </c>
      <c r="D3051" t="s">
        <v>4283</v>
      </c>
      <c r="E3051" s="3" t="str">
        <f>IF(LEN(Base_Periodo1[[#This Row],[CLASS]])&gt;=7,LEFT(Base_Periodo1[[#This Row],[CLASS]],7),"")</f>
        <v>2.1.2.1</v>
      </c>
      <c r="F3051" s="3" t="str">
        <f>VLOOKUP(Base_Periodo1[[#This Row],[Aux]],Base_Contas_Balanco[#All],2,FALSE)</f>
        <v>Fornecedores Cooperados</v>
      </c>
      <c r="G3051" s="1">
        <v>42517</v>
      </c>
      <c r="H3051" s="225">
        <v>784.33999999999992</v>
      </c>
      <c r="I3051" s="225">
        <v>0</v>
      </c>
      <c r="J3051" s="225">
        <v>0</v>
      </c>
      <c r="K3051" s="225">
        <v>784.33999999999992</v>
      </c>
      <c r="L30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784.34</v>
      </c>
      <c r="M3051" s="225">
        <f>ROUND(IF(AND(Base_Periodo1[[#This Row],[Tipo_Linha]]="-",Base_Periodo1[[#This Row],[TIPOSALDO]]="D"),Base_Periodo1[[#This Row],[SALDO_ATUAL]]*-1,Base_Periodo1[[#This Row],[SALDO_ATUAL]]),4)</f>
        <v>784.34</v>
      </c>
      <c r="N3051" t="s">
        <v>116</v>
      </c>
      <c r="O3051" t="s">
        <v>459</v>
      </c>
      <c r="P3051" t="s">
        <v>459</v>
      </c>
      <c r="Q3051">
        <v>7</v>
      </c>
      <c r="R3051" s="225">
        <f>Base_Periodo1[[#This Row],[CREDITOS]]-Base_Periodo1[[#This Row],[DEBITOS]]</f>
        <v>0</v>
      </c>
      <c r="S3051" s="3" t="str">
        <f>IF(ISERROR(VLOOKUP(Base_Periodo1[[#This Row],[CONTA]],BaseContasDRE[#All],4,FALSE)),"Fora do DRE",VLOOKUP(Base_Periodo1[[#This Row],[CONTA]],BaseContasDRE[#All],4,FALSE))</f>
        <v>Fora do DRE</v>
      </c>
      <c r="T3051" s="3" t="str">
        <f>IF(ISERROR(VLOOKUP(Base_Periodo1[[#This Row],[CONTA]],BaseContasDRE[#All],5,FALSE)),"Fora do DRE",VLOOKUP(Base_Periodo1[[#This Row],[CONTA]],BaseContasDRE[#All],6,FALSE))</f>
        <v>Fora do DRE</v>
      </c>
      <c r="U3051" s="3" t="str">
        <f>IF(ISERROR(VLOOKUP(Base_Periodo1[[#This Row],[CONTA]],BaseContasDRE[#All],7,FALSE)),"Fora do DRE",VLOOKUP(Base_Periodo1[[#This Row],[CONTA]],BaseContasDRE[#All],7,FALSE))</f>
        <v>Fora do DRE</v>
      </c>
      <c r="V3051" s="3" t="str">
        <f>IF(Base_Periodo1[[#This Row],[Tipo_Linha]]="Fora do DRE","Fora do DRE","( "&amp;Base_Periodo1[[#This Row],[Tipo_Linha]]&amp;" ) "&amp;Base_Periodo1[[#This Row],[Filtro]])</f>
        <v>Fora do DRE</v>
      </c>
      <c r="W3051" s="3" t="str">
        <f>LEFT(Base_Periodo1[[#This Row],[CLASS]],3)</f>
        <v>2.1</v>
      </c>
    </row>
    <row r="3052" spans="1:23" hidden="1">
      <c r="A3052" s="3" t="str">
        <f t="shared" si="47"/>
        <v>Período 1</v>
      </c>
      <c r="B3052">
        <v>47252</v>
      </c>
      <c r="C3052" t="s">
        <v>1745</v>
      </c>
      <c r="D3052" t="s">
        <v>1930</v>
      </c>
      <c r="E3052" s="3" t="str">
        <f>IF(LEN(Base_Periodo1[[#This Row],[CLASS]])&gt;=7,LEFT(Base_Periodo1[[#This Row],[CLASS]],7),"")</f>
        <v>2.1.2.1</v>
      </c>
      <c r="F3052" s="3" t="str">
        <f>VLOOKUP(Base_Periodo1[[#This Row],[Aux]],Base_Contas_Balanco[#All],2,FALSE)</f>
        <v>Fornecedores Cooperados</v>
      </c>
      <c r="G3052" s="1">
        <v>42845</v>
      </c>
      <c r="H3052" s="225">
        <v>21380.83</v>
      </c>
      <c r="I3052" s="225">
        <v>0</v>
      </c>
      <c r="J3052" s="225">
        <v>0</v>
      </c>
      <c r="K3052" s="225">
        <v>21380.83</v>
      </c>
      <c r="L30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21380.83</v>
      </c>
      <c r="M3052" s="225">
        <f>ROUND(IF(AND(Base_Periodo1[[#This Row],[Tipo_Linha]]="-",Base_Periodo1[[#This Row],[TIPOSALDO]]="D"),Base_Periodo1[[#This Row],[SALDO_ATUAL]]*-1,Base_Periodo1[[#This Row],[SALDO_ATUAL]]),4)</f>
        <v>21380.83</v>
      </c>
      <c r="N3052" t="s">
        <v>116</v>
      </c>
      <c r="O3052" t="s">
        <v>459</v>
      </c>
      <c r="P3052" t="s">
        <v>459</v>
      </c>
      <c r="Q3052">
        <v>7</v>
      </c>
      <c r="R3052" s="225">
        <f>Base_Periodo1[[#This Row],[CREDITOS]]-Base_Periodo1[[#This Row],[DEBITOS]]</f>
        <v>0</v>
      </c>
      <c r="S3052" s="3" t="str">
        <f>IF(ISERROR(VLOOKUP(Base_Periodo1[[#This Row],[CONTA]],BaseContasDRE[#All],4,FALSE)),"Fora do DRE",VLOOKUP(Base_Periodo1[[#This Row],[CONTA]],BaseContasDRE[#All],4,FALSE))</f>
        <v>Fora do DRE</v>
      </c>
      <c r="T3052" s="3" t="str">
        <f>IF(ISERROR(VLOOKUP(Base_Periodo1[[#This Row],[CONTA]],BaseContasDRE[#All],5,FALSE)),"Fora do DRE",VLOOKUP(Base_Periodo1[[#This Row],[CONTA]],BaseContasDRE[#All],6,FALSE))</f>
        <v>Fora do DRE</v>
      </c>
      <c r="U3052" s="3" t="str">
        <f>IF(ISERROR(VLOOKUP(Base_Periodo1[[#This Row],[CONTA]],BaseContasDRE[#All],7,FALSE)),"Fora do DRE",VLOOKUP(Base_Periodo1[[#This Row],[CONTA]],BaseContasDRE[#All],7,FALSE))</f>
        <v>Fora do DRE</v>
      </c>
      <c r="V3052" s="3" t="str">
        <f>IF(Base_Periodo1[[#This Row],[Tipo_Linha]]="Fora do DRE","Fora do DRE","( "&amp;Base_Periodo1[[#This Row],[Tipo_Linha]]&amp;" ) "&amp;Base_Periodo1[[#This Row],[Filtro]])</f>
        <v>Fora do DRE</v>
      </c>
      <c r="W3052" s="3" t="str">
        <f>LEFT(Base_Periodo1[[#This Row],[CLASS]],3)</f>
        <v>2.1</v>
      </c>
    </row>
    <row r="3053" spans="1:23" hidden="1">
      <c r="A3053" s="3" t="str">
        <f t="shared" si="47"/>
        <v>Período 1</v>
      </c>
      <c r="B3053">
        <v>48294</v>
      </c>
      <c r="C3053" t="s">
        <v>1745</v>
      </c>
      <c r="D3053" t="s">
        <v>1931</v>
      </c>
      <c r="E3053" s="3" t="str">
        <f>IF(LEN(Base_Periodo1[[#This Row],[CLASS]])&gt;=7,LEFT(Base_Periodo1[[#This Row],[CLASS]],7),"")</f>
        <v>2.1.2.1</v>
      </c>
      <c r="F3053" s="3" t="str">
        <f>VLOOKUP(Base_Periodo1[[#This Row],[Aux]],Base_Contas_Balanco[#All],2,FALSE)</f>
        <v>Fornecedores Cooperados</v>
      </c>
      <c r="G3053" s="1">
        <v>42793</v>
      </c>
      <c r="H3053" s="225">
        <v>1880.2199999999939</v>
      </c>
      <c r="I3053" s="225">
        <v>0</v>
      </c>
      <c r="J3053" s="225">
        <v>0</v>
      </c>
      <c r="K3053" s="225">
        <v>1880.2199999999939</v>
      </c>
      <c r="L30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1880.22</v>
      </c>
      <c r="M3053" s="225">
        <f>ROUND(IF(AND(Base_Periodo1[[#This Row],[Tipo_Linha]]="-",Base_Periodo1[[#This Row],[TIPOSALDO]]="D"),Base_Periodo1[[#This Row],[SALDO_ATUAL]]*-1,Base_Periodo1[[#This Row],[SALDO_ATUAL]]),4)</f>
        <v>1880.22</v>
      </c>
      <c r="N3053" t="s">
        <v>116</v>
      </c>
      <c r="O3053" t="s">
        <v>459</v>
      </c>
      <c r="P3053" t="s">
        <v>459</v>
      </c>
      <c r="Q3053">
        <v>7</v>
      </c>
      <c r="R3053" s="225">
        <f>Base_Periodo1[[#This Row],[CREDITOS]]-Base_Periodo1[[#This Row],[DEBITOS]]</f>
        <v>0</v>
      </c>
      <c r="S3053" s="3" t="str">
        <f>IF(ISERROR(VLOOKUP(Base_Periodo1[[#This Row],[CONTA]],BaseContasDRE[#All],4,FALSE)),"Fora do DRE",VLOOKUP(Base_Periodo1[[#This Row],[CONTA]],BaseContasDRE[#All],4,FALSE))</f>
        <v>Fora do DRE</v>
      </c>
      <c r="T3053" s="3" t="str">
        <f>IF(ISERROR(VLOOKUP(Base_Periodo1[[#This Row],[CONTA]],BaseContasDRE[#All],5,FALSE)),"Fora do DRE",VLOOKUP(Base_Periodo1[[#This Row],[CONTA]],BaseContasDRE[#All],6,FALSE))</f>
        <v>Fora do DRE</v>
      </c>
      <c r="U3053" s="3" t="str">
        <f>IF(ISERROR(VLOOKUP(Base_Periodo1[[#This Row],[CONTA]],BaseContasDRE[#All],7,FALSE)),"Fora do DRE",VLOOKUP(Base_Periodo1[[#This Row],[CONTA]],BaseContasDRE[#All],7,FALSE))</f>
        <v>Fora do DRE</v>
      </c>
      <c r="V3053" s="3" t="str">
        <f>IF(Base_Periodo1[[#This Row],[Tipo_Linha]]="Fora do DRE","Fora do DRE","( "&amp;Base_Periodo1[[#This Row],[Tipo_Linha]]&amp;" ) "&amp;Base_Periodo1[[#This Row],[Filtro]])</f>
        <v>Fora do DRE</v>
      </c>
      <c r="W3053" s="3" t="str">
        <f>LEFT(Base_Periodo1[[#This Row],[CLASS]],3)</f>
        <v>2.1</v>
      </c>
    </row>
    <row r="3054" spans="1:23" hidden="1">
      <c r="A3054" s="3" t="str">
        <f t="shared" si="47"/>
        <v>Período 1</v>
      </c>
      <c r="B3054">
        <v>4746</v>
      </c>
      <c r="C3054" t="s">
        <v>1745</v>
      </c>
      <c r="D3054" t="s">
        <v>5331</v>
      </c>
      <c r="E3054" s="3" t="str">
        <f>IF(LEN(Base_Periodo1[[#This Row],[CLASS]])&gt;=7,LEFT(Base_Periodo1[[#This Row],[CLASS]],7),"")</f>
        <v>2.1.2.1</v>
      </c>
      <c r="F3054" s="3" t="str">
        <f>VLOOKUP(Base_Periodo1[[#This Row],[Aux]],Base_Contas_Balanco[#All],2,FALSE)</f>
        <v>Fornecedores Cooperados</v>
      </c>
      <c r="G3054" s="1">
        <v>42772</v>
      </c>
      <c r="H3054" s="225">
        <v>164.26000000000204</v>
      </c>
      <c r="I3054" s="225">
        <v>0</v>
      </c>
      <c r="J3054" s="225">
        <v>0</v>
      </c>
      <c r="K3054" s="225">
        <v>164.26000000000204</v>
      </c>
      <c r="L30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164.26</v>
      </c>
      <c r="M3054" s="225">
        <f>ROUND(IF(AND(Base_Periodo1[[#This Row],[Tipo_Linha]]="-",Base_Periodo1[[#This Row],[TIPOSALDO]]="D"),Base_Periodo1[[#This Row],[SALDO_ATUAL]]*-1,Base_Periodo1[[#This Row],[SALDO_ATUAL]]),4)</f>
        <v>164.26</v>
      </c>
      <c r="N3054" t="s">
        <v>116</v>
      </c>
      <c r="O3054" t="s">
        <v>459</v>
      </c>
      <c r="P3054" t="s">
        <v>459</v>
      </c>
      <c r="Q3054">
        <v>7</v>
      </c>
      <c r="R3054" s="225">
        <f>Base_Periodo1[[#This Row],[CREDITOS]]-Base_Periodo1[[#This Row],[DEBITOS]]</f>
        <v>0</v>
      </c>
      <c r="S3054" s="3" t="str">
        <f>IF(ISERROR(VLOOKUP(Base_Periodo1[[#This Row],[CONTA]],BaseContasDRE[#All],4,FALSE)),"Fora do DRE",VLOOKUP(Base_Periodo1[[#This Row],[CONTA]],BaseContasDRE[#All],4,FALSE))</f>
        <v>Fora do DRE</v>
      </c>
      <c r="T3054" s="3" t="str">
        <f>IF(ISERROR(VLOOKUP(Base_Periodo1[[#This Row],[CONTA]],BaseContasDRE[#All],5,FALSE)),"Fora do DRE",VLOOKUP(Base_Periodo1[[#This Row],[CONTA]],BaseContasDRE[#All],6,FALSE))</f>
        <v>Fora do DRE</v>
      </c>
      <c r="U3054" s="3" t="str">
        <f>IF(ISERROR(VLOOKUP(Base_Periodo1[[#This Row],[CONTA]],BaseContasDRE[#All],7,FALSE)),"Fora do DRE",VLOOKUP(Base_Periodo1[[#This Row],[CONTA]],BaseContasDRE[#All],7,FALSE))</f>
        <v>Fora do DRE</v>
      </c>
      <c r="V3054" s="3" t="str">
        <f>IF(Base_Periodo1[[#This Row],[Tipo_Linha]]="Fora do DRE","Fora do DRE","( "&amp;Base_Periodo1[[#This Row],[Tipo_Linha]]&amp;" ) "&amp;Base_Periodo1[[#This Row],[Filtro]])</f>
        <v>Fora do DRE</v>
      </c>
      <c r="W3054" s="3" t="str">
        <f>LEFT(Base_Periodo1[[#This Row],[CLASS]],3)</f>
        <v>2.1</v>
      </c>
    </row>
    <row r="3055" spans="1:23" hidden="1">
      <c r="A3055" s="3" t="str">
        <f t="shared" si="47"/>
        <v>Período 1</v>
      </c>
      <c r="B3055">
        <v>4378</v>
      </c>
      <c r="C3055" t="s">
        <v>1745</v>
      </c>
      <c r="D3055" t="s">
        <v>1932</v>
      </c>
      <c r="E3055" s="3" t="str">
        <f>IF(LEN(Base_Periodo1[[#This Row],[CLASS]])&gt;=7,LEFT(Base_Periodo1[[#This Row],[CLASS]],7),"")</f>
        <v>2.1.2.1</v>
      </c>
      <c r="F3055" s="3" t="str">
        <f>VLOOKUP(Base_Periodo1[[#This Row],[Aux]],Base_Contas_Balanco[#All],2,FALSE)</f>
        <v>Fornecedores Cooperados</v>
      </c>
      <c r="G3055" s="1">
        <v>41971</v>
      </c>
      <c r="H3055" s="225">
        <v>1.0000000000218279E-2</v>
      </c>
      <c r="I3055" s="225">
        <v>0</v>
      </c>
      <c r="J3055" s="225">
        <v>0</v>
      </c>
      <c r="K3055" s="225">
        <v>1.0000000000218279E-2</v>
      </c>
      <c r="L30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055" s="225">
        <f>ROUND(IF(AND(Base_Periodo1[[#This Row],[Tipo_Linha]]="-",Base_Periodo1[[#This Row],[TIPOSALDO]]="D"),Base_Periodo1[[#This Row],[SALDO_ATUAL]]*-1,Base_Periodo1[[#This Row],[SALDO_ATUAL]]),4)</f>
        <v>0.01</v>
      </c>
      <c r="N3055" t="s">
        <v>116</v>
      </c>
      <c r="O3055" t="s">
        <v>459</v>
      </c>
      <c r="P3055" t="s">
        <v>459</v>
      </c>
      <c r="Q3055">
        <v>7</v>
      </c>
      <c r="R3055" s="225">
        <f>Base_Periodo1[[#This Row],[CREDITOS]]-Base_Periodo1[[#This Row],[DEBITOS]]</f>
        <v>0</v>
      </c>
      <c r="S3055" s="3" t="str">
        <f>IF(ISERROR(VLOOKUP(Base_Periodo1[[#This Row],[CONTA]],BaseContasDRE[#All],4,FALSE)),"Fora do DRE",VLOOKUP(Base_Periodo1[[#This Row],[CONTA]],BaseContasDRE[#All],4,FALSE))</f>
        <v>Fora do DRE</v>
      </c>
      <c r="T3055" s="3" t="str">
        <f>IF(ISERROR(VLOOKUP(Base_Periodo1[[#This Row],[CONTA]],BaseContasDRE[#All],5,FALSE)),"Fora do DRE",VLOOKUP(Base_Periodo1[[#This Row],[CONTA]],BaseContasDRE[#All],6,FALSE))</f>
        <v>Fora do DRE</v>
      </c>
      <c r="U3055" s="3" t="str">
        <f>IF(ISERROR(VLOOKUP(Base_Periodo1[[#This Row],[CONTA]],BaseContasDRE[#All],7,FALSE)),"Fora do DRE",VLOOKUP(Base_Periodo1[[#This Row],[CONTA]],BaseContasDRE[#All],7,FALSE))</f>
        <v>Fora do DRE</v>
      </c>
      <c r="V3055" s="3" t="str">
        <f>IF(Base_Periodo1[[#This Row],[Tipo_Linha]]="Fora do DRE","Fora do DRE","( "&amp;Base_Periodo1[[#This Row],[Tipo_Linha]]&amp;" ) "&amp;Base_Periodo1[[#This Row],[Filtro]])</f>
        <v>Fora do DRE</v>
      </c>
      <c r="W3055" s="3" t="str">
        <f>LEFT(Base_Periodo1[[#This Row],[CLASS]],3)</f>
        <v>2.1</v>
      </c>
    </row>
    <row r="3056" spans="1:23" hidden="1">
      <c r="A3056" s="3" t="str">
        <f t="shared" si="47"/>
        <v>Período 1</v>
      </c>
      <c r="B3056">
        <v>6923</v>
      </c>
      <c r="C3056" t="s">
        <v>1745</v>
      </c>
      <c r="D3056" t="s">
        <v>6389</v>
      </c>
      <c r="E3056" s="3" t="str">
        <f>IF(LEN(Base_Periodo1[[#This Row],[CLASS]])&gt;=7,LEFT(Base_Periodo1[[#This Row],[CLASS]],7),"")</f>
        <v>2.1.2.1</v>
      </c>
      <c r="F3056" s="3" t="str">
        <f>VLOOKUP(Base_Periodo1[[#This Row],[Aux]],Base_Contas_Balanco[#All],2,FALSE)</f>
        <v>Fornecedores Cooperados</v>
      </c>
      <c r="G3056" s="1">
        <v>42850</v>
      </c>
      <c r="H3056" s="225">
        <v>69.75</v>
      </c>
      <c r="I3056" s="225">
        <v>0</v>
      </c>
      <c r="J3056" s="225">
        <v>0</v>
      </c>
      <c r="K3056" s="225">
        <v>69.75</v>
      </c>
      <c r="L30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69.75</v>
      </c>
      <c r="M3056" s="225">
        <f>ROUND(IF(AND(Base_Periodo1[[#This Row],[Tipo_Linha]]="-",Base_Periodo1[[#This Row],[TIPOSALDO]]="D"),Base_Periodo1[[#This Row],[SALDO_ATUAL]]*-1,Base_Periodo1[[#This Row],[SALDO_ATUAL]]),4)</f>
        <v>69.75</v>
      </c>
      <c r="N3056" t="s">
        <v>116</v>
      </c>
      <c r="O3056" t="s">
        <v>459</v>
      </c>
      <c r="P3056" t="s">
        <v>459</v>
      </c>
      <c r="Q3056">
        <v>7</v>
      </c>
      <c r="R3056" s="225">
        <f>Base_Periodo1[[#This Row],[CREDITOS]]-Base_Periodo1[[#This Row],[DEBITOS]]</f>
        <v>0</v>
      </c>
      <c r="S3056" s="3" t="str">
        <f>IF(ISERROR(VLOOKUP(Base_Periodo1[[#This Row],[CONTA]],BaseContasDRE[#All],4,FALSE)),"Fora do DRE",VLOOKUP(Base_Periodo1[[#This Row],[CONTA]],BaseContasDRE[#All],4,FALSE))</f>
        <v>Fora do DRE</v>
      </c>
      <c r="T3056" s="3" t="str">
        <f>IF(ISERROR(VLOOKUP(Base_Periodo1[[#This Row],[CONTA]],BaseContasDRE[#All],5,FALSE)),"Fora do DRE",VLOOKUP(Base_Periodo1[[#This Row],[CONTA]],BaseContasDRE[#All],6,FALSE))</f>
        <v>Fora do DRE</v>
      </c>
      <c r="U3056" s="3" t="str">
        <f>IF(ISERROR(VLOOKUP(Base_Periodo1[[#This Row],[CONTA]],BaseContasDRE[#All],7,FALSE)),"Fora do DRE",VLOOKUP(Base_Periodo1[[#This Row],[CONTA]],BaseContasDRE[#All],7,FALSE))</f>
        <v>Fora do DRE</v>
      </c>
      <c r="V3056" s="3" t="str">
        <f>IF(Base_Periodo1[[#This Row],[Tipo_Linha]]="Fora do DRE","Fora do DRE","( "&amp;Base_Periodo1[[#This Row],[Tipo_Linha]]&amp;" ) "&amp;Base_Periodo1[[#This Row],[Filtro]])</f>
        <v>Fora do DRE</v>
      </c>
      <c r="W3056" s="3" t="str">
        <f>LEFT(Base_Periodo1[[#This Row],[CLASS]],3)</f>
        <v>2.1</v>
      </c>
    </row>
    <row r="3057" spans="1:23" hidden="1">
      <c r="A3057" s="3" t="str">
        <f t="shared" si="47"/>
        <v>Período 1</v>
      </c>
      <c r="B3057">
        <v>48480</v>
      </c>
      <c r="C3057" t="s">
        <v>1745</v>
      </c>
      <c r="D3057" t="s">
        <v>2194</v>
      </c>
      <c r="E3057" s="3" t="str">
        <f>IF(LEN(Base_Periodo1[[#This Row],[CLASS]])&gt;=7,LEFT(Base_Periodo1[[#This Row],[CLASS]],7),"")</f>
        <v>2.1.2.1</v>
      </c>
      <c r="F3057" s="3" t="str">
        <f>VLOOKUP(Base_Periodo1[[#This Row],[Aux]],Base_Contas_Balanco[#All],2,FALSE)</f>
        <v>Fornecedores Cooperados</v>
      </c>
      <c r="G3057" s="1">
        <v>42845</v>
      </c>
      <c r="H3057" s="225">
        <v>1966.8499999999985</v>
      </c>
      <c r="I3057" s="225">
        <v>0</v>
      </c>
      <c r="J3057" s="225">
        <v>0</v>
      </c>
      <c r="K3057" s="225">
        <v>1966.8499999999985</v>
      </c>
      <c r="L30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1966.85</v>
      </c>
      <c r="M3057" s="225">
        <f>ROUND(IF(AND(Base_Periodo1[[#This Row],[Tipo_Linha]]="-",Base_Periodo1[[#This Row],[TIPOSALDO]]="D"),Base_Periodo1[[#This Row],[SALDO_ATUAL]]*-1,Base_Periodo1[[#This Row],[SALDO_ATUAL]]),4)</f>
        <v>1966.85</v>
      </c>
      <c r="N3057" t="s">
        <v>116</v>
      </c>
      <c r="O3057" t="s">
        <v>459</v>
      </c>
      <c r="P3057" t="s">
        <v>459</v>
      </c>
      <c r="Q3057">
        <v>7</v>
      </c>
      <c r="R3057" s="225">
        <f>Base_Periodo1[[#This Row],[CREDITOS]]-Base_Periodo1[[#This Row],[DEBITOS]]</f>
        <v>0</v>
      </c>
      <c r="S3057" s="3" t="str">
        <f>IF(ISERROR(VLOOKUP(Base_Periodo1[[#This Row],[CONTA]],BaseContasDRE[#All],4,FALSE)),"Fora do DRE",VLOOKUP(Base_Periodo1[[#This Row],[CONTA]],BaseContasDRE[#All],4,FALSE))</f>
        <v>Fora do DRE</v>
      </c>
      <c r="T3057" s="3" t="str">
        <f>IF(ISERROR(VLOOKUP(Base_Periodo1[[#This Row],[CONTA]],BaseContasDRE[#All],5,FALSE)),"Fora do DRE",VLOOKUP(Base_Periodo1[[#This Row],[CONTA]],BaseContasDRE[#All],6,FALSE))</f>
        <v>Fora do DRE</v>
      </c>
      <c r="U3057" s="3" t="str">
        <f>IF(ISERROR(VLOOKUP(Base_Periodo1[[#This Row],[CONTA]],BaseContasDRE[#All],7,FALSE)),"Fora do DRE",VLOOKUP(Base_Periodo1[[#This Row],[CONTA]],BaseContasDRE[#All],7,FALSE))</f>
        <v>Fora do DRE</v>
      </c>
      <c r="V3057" s="3" t="str">
        <f>IF(Base_Periodo1[[#This Row],[Tipo_Linha]]="Fora do DRE","Fora do DRE","( "&amp;Base_Periodo1[[#This Row],[Tipo_Linha]]&amp;" ) "&amp;Base_Periodo1[[#This Row],[Filtro]])</f>
        <v>Fora do DRE</v>
      </c>
      <c r="W3057" s="3" t="str">
        <f>LEFT(Base_Periodo1[[#This Row],[CLASS]],3)</f>
        <v>2.1</v>
      </c>
    </row>
    <row r="3058" spans="1:23" hidden="1">
      <c r="A3058" s="3" t="str">
        <f t="shared" si="47"/>
        <v>Período 1</v>
      </c>
      <c r="B3058">
        <v>46837</v>
      </c>
      <c r="C3058" t="s">
        <v>1745</v>
      </c>
      <c r="D3058" t="s">
        <v>1933</v>
      </c>
      <c r="E3058" s="3" t="str">
        <f>IF(LEN(Base_Periodo1[[#This Row],[CLASS]])&gt;=7,LEFT(Base_Periodo1[[#This Row],[CLASS]],7),"")</f>
        <v>2.1.2.1</v>
      </c>
      <c r="F3058" s="3" t="str">
        <f>VLOOKUP(Base_Periodo1[[#This Row],[Aux]],Base_Contas_Balanco[#All],2,FALSE)</f>
        <v>Fornecedores Cooperados</v>
      </c>
      <c r="G3058" s="1">
        <v>42478</v>
      </c>
      <c r="H3058" s="225">
        <v>1351.4899999999907</v>
      </c>
      <c r="I3058" s="225">
        <v>0</v>
      </c>
      <c r="J3058" s="225">
        <v>0</v>
      </c>
      <c r="K3058" s="225">
        <v>1351.4899999999907</v>
      </c>
      <c r="L30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1351.49</v>
      </c>
      <c r="M3058" s="225">
        <f>ROUND(IF(AND(Base_Periodo1[[#This Row],[Tipo_Linha]]="-",Base_Periodo1[[#This Row],[TIPOSALDO]]="D"),Base_Periodo1[[#This Row],[SALDO_ATUAL]]*-1,Base_Periodo1[[#This Row],[SALDO_ATUAL]]),4)</f>
        <v>1351.49</v>
      </c>
      <c r="N3058" t="s">
        <v>116</v>
      </c>
      <c r="O3058" t="s">
        <v>459</v>
      </c>
      <c r="P3058" t="s">
        <v>459</v>
      </c>
      <c r="Q3058">
        <v>7</v>
      </c>
      <c r="R3058" s="225">
        <f>Base_Periodo1[[#This Row],[CREDITOS]]-Base_Periodo1[[#This Row],[DEBITOS]]</f>
        <v>0</v>
      </c>
      <c r="S3058" s="3" t="str">
        <f>IF(ISERROR(VLOOKUP(Base_Periodo1[[#This Row],[CONTA]],BaseContasDRE[#All],4,FALSE)),"Fora do DRE",VLOOKUP(Base_Periodo1[[#This Row],[CONTA]],BaseContasDRE[#All],4,FALSE))</f>
        <v>Fora do DRE</v>
      </c>
      <c r="T3058" s="3" t="str">
        <f>IF(ISERROR(VLOOKUP(Base_Periodo1[[#This Row],[CONTA]],BaseContasDRE[#All],5,FALSE)),"Fora do DRE",VLOOKUP(Base_Periodo1[[#This Row],[CONTA]],BaseContasDRE[#All],6,FALSE))</f>
        <v>Fora do DRE</v>
      </c>
      <c r="U3058" s="3" t="str">
        <f>IF(ISERROR(VLOOKUP(Base_Periodo1[[#This Row],[CONTA]],BaseContasDRE[#All],7,FALSE)),"Fora do DRE",VLOOKUP(Base_Periodo1[[#This Row],[CONTA]],BaseContasDRE[#All],7,FALSE))</f>
        <v>Fora do DRE</v>
      </c>
      <c r="V3058" s="3" t="str">
        <f>IF(Base_Periodo1[[#This Row],[Tipo_Linha]]="Fora do DRE","Fora do DRE","( "&amp;Base_Periodo1[[#This Row],[Tipo_Linha]]&amp;" ) "&amp;Base_Periodo1[[#This Row],[Filtro]])</f>
        <v>Fora do DRE</v>
      </c>
      <c r="W3058" s="3" t="str">
        <f>LEFT(Base_Periodo1[[#This Row],[CLASS]],3)</f>
        <v>2.1</v>
      </c>
    </row>
    <row r="3059" spans="1:23" hidden="1">
      <c r="A3059" s="3" t="str">
        <f t="shared" si="47"/>
        <v>Período 1</v>
      </c>
      <c r="B3059">
        <v>39616</v>
      </c>
      <c r="C3059" t="s">
        <v>1745</v>
      </c>
      <c r="D3059" t="s">
        <v>4762</v>
      </c>
      <c r="E3059" s="3" t="str">
        <f>IF(LEN(Base_Periodo1[[#This Row],[CLASS]])&gt;=7,LEFT(Base_Periodo1[[#This Row],[CLASS]],7),"")</f>
        <v>2.1.2.1</v>
      </c>
      <c r="F3059" s="3" t="str">
        <f>VLOOKUP(Base_Periodo1[[#This Row],[Aux]],Base_Contas_Balanco[#All],2,FALSE)</f>
        <v>Fornecedores Cooperados</v>
      </c>
      <c r="G3059" s="1">
        <v>42837</v>
      </c>
      <c r="H3059" s="225">
        <v>15309.179999999964</v>
      </c>
      <c r="I3059" s="225">
        <v>0</v>
      </c>
      <c r="J3059" s="225">
        <v>0</v>
      </c>
      <c r="K3059" s="225">
        <v>15309.179999999964</v>
      </c>
      <c r="L30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15309.18</v>
      </c>
      <c r="M3059" s="225">
        <f>ROUND(IF(AND(Base_Periodo1[[#This Row],[Tipo_Linha]]="-",Base_Periodo1[[#This Row],[TIPOSALDO]]="D"),Base_Periodo1[[#This Row],[SALDO_ATUAL]]*-1,Base_Periodo1[[#This Row],[SALDO_ATUAL]]),4)</f>
        <v>15309.18</v>
      </c>
      <c r="N3059" t="s">
        <v>116</v>
      </c>
      <c r="O3059" t="s">
        <v>459</v>
      </c>
      <c r="P3059" t="s">
        <v>459</v>
      </c>
      <c r="Q3059">
        <v>7</v>
      </c>
      <c r="R3059" s="225">
        <f>Base_Periodo1[[#This Row],[CREDITOS]]-Base_Periodo1[[#This Row],[DEBITOS]]</f>
        <v>0</v>
      </c>
      <c r="S3059" s="3" t="str">
        <f>IF(ISERROR(VLOOKUP(Base_Periodo1[[#This Row],[CONTA]],BaseContasDRE[#All],4,FALSE)),"Fora do DRE",VLOOKUP(Base_Periodo1[[#This Row],[CONTA]],BaseContasDRE[#All],4,FALSE))</f>
        <v>Fora do DRE</v>
      </c>
      <c r="T3059" s="3" t="str">
        <f>IF(ISERROR(VLOOKUP(Base_Periodo1[[#This Row],[CONTA]],BaseContasDRE[#All],5,FALSE)),"Fora do DRE",VLOOKUP(Base_Periodo1[[#This Row],[CONTA]],BaseContasDRE[#All],6,FALSE))</f>
        <v>Fora do DRE</v>
      </c>
      <c r="U3059" s="3" t="str">
        <f>IF(ISERROR(VLOOKUP(Base_Periodo1[[#This Row],[CONTA]],BaseContasDRE[#All],7,FALSE)),"Fora do DRE",VLOOKUP(Base_Periodo1[[#This Row],[CONTA]],BaseContasDRE[#All],7,FALSE))</f>
        <v>Fora do DRE</v>
      </c>
      <c r="V3059" s="3" t="str">
        <f>IF(Base_Periodo1[[#This Row],[Tipo_Linha]]="Fora do DRE","Fora do DRE","( "&amp;Base_Periodo1[[#This Row],[Tipo_Linha]]&amp;" ) "&amp;Base_Periodo1[[#This Row],[Filtro]])</f>
        <v>Fora do DRE</v>
      </c>
      <c r="W3059" s="3" t="str">
        <f>LEFT(Base_Periodo1[[#This Row],[CLASS]],3)</f>
        <v>2.1</v>
      </c>
    </row>
    <row r="3060" spans="1:23" hidden="1">
      <c r="A3060" s="3" t="str">
        <f t="shared" si="47"/>
        <v>Período 1</v>
      </c>
      <c r="B3060">
        <v>7227</v>
      </c>
      <c r="C3060" t="s">
        <v>1745</v>
      </c>
      <c r="D3060" t="s">
        <v>1934</v>
      </c>
      <c r="E3060" s="3" t="str">
        <f>IF(LEN(Base_Periodo1[[#This Row],[CLASS]])&gt;=7,LEFT(Base_Periodo1[[#This Row],[CLASS]],7),"")</f>
        <v>2.1.2.1</v>
      </c>
      <c r="F3060" s="3" t="str">
        <f>VLOOKUP(Base_Periodo1[[#This Row],[Aux]],Base_Contas_Balanco[#All],2,FALSE)</f>
        <v>Fornecedores Cooperados</v>
      </c>
      <c r="G3060" s="1">
        <v>42311</v>
      </c>
      <c r="H3060" s="225">
        <v>9.9999999983992893E-3</v>
      </c>
      <c r="I3060" s="225">
        <v>0</v>
      </c>
      <c r="J3060" s="225">
        <v>0</v>
      </c>
      <c r="K3060" s="225">
        <v>9.9999999983992893E-3</v>
      </c>
      <c r="L30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060" s="225">
        <f>ROUND(IF(AND(Base_Periodo1[[#This Row],[Tipo_Linha]]="-",Base_Periodo1[[#This Row],[TIPOSALDO]]="D"),Base_Periodo1[[#This Row],[SALDO_ATUAL]]*-1,Base_Periodo1[[#This Row],[SALDO_ATUAL]]),4)</f>
        <v>0.01</v>
      </c>
      <c r="N3060" t="s">
        <v>116</v>
      </c>
      <c r="O3060" t="s">
        <v>459</v>
      </c>
      <c r="P3060" t="s">
        <v>459</v>
      </c>
      <c r="Q3060">
        <v>7</v>
      </c>
      <c r="R3060" s="225">
        <f>Base_Periodo1[[#This Row],[CREDITOS]]-Base_Periodo1[[#This Row],[DEBITOS]]</f>
        <v>0</v>
      </c>
      <c r="S3060" s="3" t="str">
        <f>IF(ISERROR(VLOOKUP(Base_Periodo1[[#This Row],[CONTA]],BaseContasDRE[#All],4,FALSE)),"Fora do DRE",VLOOKUP(Base_Periodo1[[#This Row],[CONTA]],BaseContasDRE[#All],4,FALSE))</f>
        <v>Fora do DRE</v>
      </c>
      <c r="T3060" s="3" t="str">
        <f>IF(ISERROR(VLOOKUP(Base_Periodo1[[#This Row],[CONTA]],BaseContasDRE[#All],5,FALSE)),"Fora do DRE",VLOOKUP(Base_Periodo1[[#This Row],[CONTA]],BaseContasDRE[#All],6,FALSE))</f>
        <v>Fora do DRE</v>
      </c>
      <c r="U3060" s="3" t="str">
        <f>IF(ISERROR(VLOOKUP(Base_Periodo1[[#This Row],[CONTA]],BaseContasDRE[#All],7,FALSE)),"Fora do DRE",VLOOKUP(Base_Periodo1[[#This Row],[CONTA]],BaseContasDRE[#All],7,FALSE))</f>
        <v>Fora do DRE</v>
      </c>
      <c r="V3060" s="3" t="str">
        <f>IF(Base_Periodo1[[#This Row],[Tipo_Linha]]="Fora do DRE","Fora do DRE","( "&amp;Base_Periodo1[[#This Row],[Tipo_Linha]]&amp;" ) "&amp;Base_Periodo1[[#This Row],[Filtro]])</f>
        <v>Fora do DRE</v>
      </c>
      <c r="W3060" s="3" t="str">
        <f>LEFT(Base_Periodo1[[#This Row],[CLASS]],3)</f>
        <v>2.1</v>
      </c>
    </row>
    <row r="3061" spans="1:23" hidden="1">
      <c r="A3061" s="3" t="str">
        <f t="shared" si="47"/>
        <v>Período 1</v>
      </c>
      <c r="B3061">
        <v>23975</v>
      </c>
      <c r="C3061" t="s">
        <v>1745</v>
      </c>
      <c r="D3061" t="s">
        <v>4682</v>
      </c>
      <c r="E3061" s="3" t="str">
        <f>IF(LEN(Base_Periodo1[[#This Row],[CLASS]])&gt;=7,LEFT(Base_Periodo1[[#This Row],[CLASS]],7),"")</f>
        <v>2.1.2.1</v>
      </c>
      <c r="F3061" s="3" t="str">
        <f>VLOOKUP(Base_Periodo1[[#This Row],[Aux]],Base_Contas_Balanco[#All],2,FALSE)</f>
        <v>Fornecedores Cooperados</v>
      </c>
      <c r="G3061" s="1">
        <v>42760</v>
      </c>
      <c r="H3061" s="225">
        <v>54.019999999974971</v>
      </c>
      <c r="I3061" s="225">
        <v>0</v>
      </c>
      <c r="J3061" s="225">
        <v>0</v>
      </c>
      <c r="K3061" s="225">
        <v>54.019999999974971</v>
      </c>
      <c r="L30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54.02</v>
      </c>
      <c r="M3061" s="225">
        <f>ROUND(IF(AND(Base_Periodo1[[#This Row],[Tipo_Linha]]="-",Base_Periodo1[[#This Row],[TIPOSALDO]]="D"),Base_Periodo1[[#This Row],[SALDO_ATUAL]]*-1,Base_Periodo1[[#This Row],[SALDO_ATUAL]]),4)</f>
        <v>54.02</v>
      </c>
      <c r="N3061" t="s">
        <v>116</v>
      </c>
      <c r="O3061" t="s">
        <v>459</v>
      </c>
      <c r="P3061" t="s">
        <v>459</v>
      </c>
      <c r="Q3061">
        <v>7</v>
      </c>
      <c r="R3061" s="225">
        <f>Base_Periodo1[[#This Row],[CREDITOS]]-Base_Periodo1[[#This Row],[DEBITOS]]</f>
        <v>0</v>
      </c>
      <c r="S3061" s="3" t="str">
        <f>IF(ISERROR(VLOOKUP(Base_Periodo1[[#This Row],[CONTA]],BaseContasDRE[#All],4,FALSE)),"Fora do DRE",VLOOKUP(Base_Periodo1[[#This Row],[CONTA]],BaseContasDRE[#All],4,FALSE))</f>
        <v>Fora do DRE</v>
      </c>
      <c r="T3061" s="3" t="str">
        <f>IF(ISERROR(VLOOKUP(Base_Periodo1[[#This Row],[CONTA]],BaseContasDRE[#All],5,FALSE)),"Fora do DRE",VLOOKUP(Base_Periodo1[[#This Row],[CONTA]],BaseContasDRE[#All],6,FALSE))</f>
        <v>Fora do DRE</v>
      </c>
      <c r="U3061" s="3" t="str">
        <f>IF(ISERROR(VLOOKUP(Base_Periodo1[[#This Row],[CONTA]],BaseContasDRE[#All],7,FALSE)),"Fora do DRE",VLOOKUP(Base_Periodo1[[#This Row],[CONTA]],BaseContasDRE[#All],7,FALSE))</f>
        <v>Fora do DRE</v>
      </c>
      <c r="V3061" s="3" t="str">
        <f>IF(Base_Periodo1[[#This Row],[Tipo_Linha]]="Fora do DRE","Fora do DRE","( "&amp;Base_Periodo1[[#This Row],[Tipo_Linha]]&amp;" ) "&amp;Base_Periodo1[[#This Row],[Filtro]])</f>
        <v>Fora do DRE</v>
      </c>
      <c r="W3061" s="3" t="str">
        <f>LEFT(Base_Periodo1[[#This Row],[CLASS]],3)</f>
        <v>2.1</v>
      </c>
    </row>
    <row r="3062" spans="1:23" hidden="1">
      <c r="A3062" s="3" t="str">
        <f t="shared" si="47"/>
        <v>Período 1</v>
      </c>
      <c r="B3062">
        <v>16518</v>
      </c>
      <c r="C3062" t="s">
        <v>1745</v>
      </c>
      <c r="D3062" t="s">
        <v>6888</v>
      </c>
      <c r="E3062" s="3" t="str">
        <f>IF(LEN(Base_Periodo1[[#This Row],[CLASS]])&gt;=7,LEFT(Base_Periodo1[[#This Row],[CLASS]],7),"")</f>
        <v>2.1.2.1</v>
      </c>
      <c r="F3062" s="3" t="str">
        <f>VLOOKUP(Base_Periodo1[[#This Row],[Aux]],Base_Contas_Balanco[#All],2,FALSE)</f>
        <v>Fornecedores Cooperados</v>
      </c>
      <c r="G3062" s="1">
        <v>42873</v>
      </c>
      <c r="I3062" s="225">
        <v>14998.24</v>
      </c>
      <c r="J3062" s="225">
        <v>14998.24</v>
      </c>
      <c r="K3062" s="225">
        <v>0</v>
      </c>
      <c r="L30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062" s="225">
        <f>ROUND(IF(AND(Base_Periodo1[[#This Row],[Tipo_Linha]]="-",Base_Periodo1[[#This Row],[TIPOSALDO]]="D"),Base_Periodo1[[#This Row],[SALDO_ATUAL]]*-1,Base_Periodo1[[#This Row],[SALDO_ATUAL]]),4)</f>
        <v>0</v>
      </c>
      <c r="N3062" t="s">
        <v>116</v>
      </c>
      <c r="O3062" t="s">
        <v>436</v>
      </c>
      <c r="P3062" t="s">
        <v>436</v>
      </c>
      <c r="Q3062">
        <v>7</v>
      </c>
      <c r="R3062" s="225">
        <f>Base_Periodo1[[#This Row],[CREDITOS]]-Base_Periodo1[[#This Row],[DEBITOS]]</f>
        <v>0</v>
      </c>
      <c r="S3062" s="3" t="str">
        <f>IF(ISERROR(VLOOKUP(Base_Periodo1[[#This Row],[CONTA]],BaseContasDRE[#All],4,FALSE)),"Fora do DRE",VLOOKUP(Base_Periodo1[[#This Row],[CONTA]],BaseContasDRE[#All],4,FALSE))</f>
        <v>Fora do DRE</v>
      </c>
      <c r="T3062" s="3" t="str">
        <f>IF(ISERROR(VLOOKUP(Base_Periodo1[[#This Row],[CONTA]],BaseContasDRE[#All],5,FALSE)),"Fora do DRE",VLOOKUP(Base_Periodo1[[#This Row],[CONTA]],BaseContasDRE[#All],6,FALSE))</f>
        <v>Fora do DRE</v>
      </c>
      <c r="U3062" s="3" t="str">
        <f>IF(ISERROR(VLOOKUP(Base_Periodo1[[#This Row],[CONTA]],BaseContasDRE[#All],7,FALSE)),"Fora do DRE",VLOOKUP(Base_Periodo1[[#This Row],[CONTA]],BaseContasDRE[#All],7,FALSE))</f>
        <v>Fora do DRE</v>
      </c>
      <c r="V3062" s="3" t="str">
        <f>IF(Base_Periodo1[[#This Row],[Tipo_Linha]]="Fora do DRE","Fora do DRE","( "&amp;Base_Periodo1[[#This Row],[Tipo_Linha]]&amp;" ) "&amp;Base_Periodo1[[#This Row],[Filtro]])</f>
        <v>Fora do DRE</v>
      </c>
      <c r="W3062" s="3" t="str">
        <f>LEFT(Base_Periodo1[[#This Row],[CLASS]],3)</f>
        <v>2.1</v>
      </c>
    </row>
    <row r="3063" spans="1:23" hidden="1">
      <c r="A3063" s="3" t="str">
        <f t="shared" si="47"/>
        <v>Período 1</v>
      </c>
      <c r="B3063">
        <v>24616</v>
      </c>
      <c r="C3063" t="s">
        <v>1745</v>
      </c>
      <c r="D3063" t="s">
        <v>6390</v>
      </c>
      <c r="E3063" s="3" t="str">
        <f>IF(LEN(Base_Periodo1[[#This Row],[CLASS]])&gt;=7,LEFT(Base_Periodo1[[#This Row],[CLASS]],7),"")</f>
        <v>2.1.2.1</v>
      </c>
      <c r="F3063" s="3" t="str">
        <f>VLOOKUP(Base_Periodo1[[#This Row],[Aux]],Base_Contas_Balanco[#All],2,FALSE)</f>
        <v>Fornecedores Cooperados</v>
      </c>
      <c r="G3063" s="1">
        <v>42850</v>
      </c>
      <c r="H3063" s="225">
        <v>279</v>
      </c>
      <c r="I3063" s="225">
        <v>0</v>
      </c>
      <c r="J3063" s="225">
        <v>0</v>
      </c>
      <c r="K3063" s="225">
        <v>279</v>
      </c>
      <c r="L30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279</v>
      </c>
      <c r="M3063" s="225">
        <f>ROUND(IF(AND(Base_Periodo1[[#This Row],[Tipo_Linha]]="-",Base_Periodo1[[#This Row],[TIPOSALDO]]="D"),Base_Periodo1[[#This Row],[SALDO_ATUAL]]*-1,Base_Periodo1[[#This Row],[SALDO_ATUAL]]),4)</f>
        <v>279</v>
      </c>
      <c r="N3063" t="s">
        <v>116</v>
      </c>
      <c r="O3063" t="s">
        <v>459</v>
      </c>
      <c r="P3063" t="s">
        <v>459</v>
      </c>
      <c r="Q3063">
        <v>7</v>
      </c>
      <c r="R3063" s="225">
        <f>Base_Periodo1[[#This Row],[CREDITOS]]-Base_Periodo1[[#This Row],[DEBITOS]]</f>
        <v>0</v>
      </c>
      <c r="S3063" s="3" t="str">
        <f>IF(ISERROR(VLOOKUP(Base_Periodo1[[#This Row],[CONTA]],BaseContasDRE[#All],4,FALSE)),"Fora do DRE",VLOOKUP(Base_Periodo1[[#This Row],[CONTA]],BaseContasDRE[#All],4,FALSE))</f>
        <v>Fora do DRE</v>
      </c>
      <c r="T3063" s="3" t="str">
        <f>IF(ISERROR(VLOOKUP(Base_Periodo1[[#This Row],[CONTA]],BaseContasDRE[#All],5,FALSE)),"Fora do DRE",VLOOKUP(Base_Periodo1[[#This Row],[CONTA]],BaseContasDRE[#All],6,FALSE))</f>
        <v>Fora do DRE</v>
      </c>
      <c r="U3063" s="3" t="str">
        <f>IF(ISERROR(VLOOKUP(Base_Periodo1[[#This Row],[CONTA]],BaseContasDRE[#All],7,FALSE)),"Fora do DRE",VLOOKUP(Base_Periodo1[[#This Row],[CONTA]],BaseContasDRE[#All],7,FALSE))</f>
        <v>Fora do DRE</v>
      </c>
      <c r="V3063" s="3" t="str">
        <f>IF(Base_Periodo1[[#This Row],[Tipo_Linha]]="Fora do DRE","Fora do DRE","( "&amp;Base_Periodo1[[#This Row],[Tipo_Linha]]&amp;" ) "&amp;Base_Periodo1[[#This Row],[Filtro]])</f>
        <v>Fora do DRE</v>
      </c>
      <c r="W3063" s="3" t="str">
        <f>LEFT(Base_Periodo1[[#This Row],[CLASS]],3)</f>
        <v>2.1</v>
      </c>
    </row>
    <row r="3064" spans="1:23" hidden="1">
      <c r="A3064" s="3" t="str">
        <f t="shared" si="47"/>
        <v>Período 1</v>
      </c>
      <c r="B3064">
        <v>7771</v>
      </c>
      <c r="C3064" t="s">
        <v>1745</v>
      </c>
      <c r="D3064" t="s">
        <v>1935</v>
      </c>
      <c r="E3064" s="3" t="str">
        <f>IF(LEN(Base_Periodo1[[#This Row],[CLASS]])&gt;=7,LEFT(Base_Periodo1[[#This Row],[CLASS]],7),"")</f>
        <v>2.1.2.1</v>
      </c>
      <c r="F3064" s="3" t="str">
        <f>VLOOKUP(Base_Periodo1[[#This Row],[Aux]],Base_Contas_Balanco[#All],2,FALSE)</f>
        <v>Fornecedores Cooperados</v>
      </c>
      <c r="G3064" s="1">
        <v>42865</v>
      </c>
      <c r="H3064" s="225">
        <v>11688.820000000007</v>
      </c>
      <c r="I3064" s="225">
        <v>3798.47</v>
      </c>
      <c r="J3064" s="225">
        <v>0</v>
      </c>
      <c r="K3064" s="225">
        <v>7890.3500000000076</v>
      </c>
      <c r="L30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7890.35</v>
      </c>
      <c r="M3064" s="225">
        <f>ROUND(IF(AND(Base_Periodo1[[#This Row],[Tipo_Linha]]="-",Base_Periodo1[[#This Row],[TIPOSALDO]]="D"),Base_Periodo1[[#This Row],[SALDO_ATUAL]]*-1,Base_Periodo1[[#This Row],[SALDO_ATUAL]]),4)</f>
        <v>7890.35</v>
      </c>
      <c r="N3064" t="s">
        <v>116</v>
      </c>
      <c r="O3064" t="s">
        <v>459</v>
      </c>
      <c r="P3064" t="s">
        <v>459</v>
      </c>
      <c r="Q3064">
        <v>7</v>
      </c>
      <c r="R3064" s="225">
        <f>Base_Periodo1[[#This Row],[CREDITOS]]-Base_Periodo1[[#This Row],[DEBITOS]]</f>
        <v>-3798.47</v>
      </c>
      <c r="S3064" s="3" t="str">
        <f>IF(ISERROR(VLOOKUP(Base_Periodo1[[#This Row],[CONTA]],BaseContasDRE[#All],4,FALSE)),"Fora do DRE",VLOOKUP(Base_Periodo1[[#This Row],[CONTA]],BaseContasDRE[#All],4,FALSE))</f>
        <v>Fora do DRE</v>
      </c>
      <c r="T3064" s="3" t="str">
        <f>IF(ISERROR(VLOOKUP(Base_Periodo1[[#This Row],[CONTA]],BaseContasDRE[#All],5,FALSE)),"Fora do DRE",VLOOKUP(Base_Periodo1[[#This Row],[CONTA]],BaseContasDRE[#All],6,FALSE))</f>
        <v>Fora do DRE</v>
      </c>
      <c r="U3064" s="3" t="str">
        <f>IF(ISERROR(VLOOKUP(Base_Periodo1[[#This Row],[CONTA]],BaseContasDRE[#All],7,FALSE)),"Fora do DRE",VLOOKUP(Base_Periodo1[[#This Row],[CONTA]],BaseContasDRE[#All],7,FALSE))</f>
        <v>Fora do DRE</v>
      </c>
      <c r="V3064" s="3" t="str">
        <f>IF(Base_Periodo1[[#This Row],[Tipo_Linha]]="Fora do DRE","Fora do DRE","( "&amp;Base_Periodo1[[#This Row],[Tipo_Linha]]&amp;" ) "&amp;Base_Periodo1[[#This Row],[Filtro]])</f>
        <v>Fora do DRE</v>
      </c>
      <c r="W3064" s="3" t="str">
        <f>LEFT(Base_Periodo1[[#This Row],[CLASS]],3)</f>
        <v>2.1</v>
      </c>
    </row>
    <row r="3065" spans="1:23" hidden="1">
      <c r="A3065" s="3" t="str">
        <f t="shared" si="47"/>
        <v>Período 1</v>
      </c>
      <c r="B3065">
        <v>46854</v>
      </c>
      <c r="C3065" t="s">
        <v>1745</v>
      </c>
      <c r="D3065" t="s">
        <v>5221</v>
      </c>
      <c r="E3065" s="3" t="str">
        <f>IF(LEN(Base_Periodo1[[#This Row],[CLASS]])&gt;=7,LEFT(Base_Periodo1[[#This Row],[CLASS]],7),"")</f>
        <v>2.1.2.1</v>
      </c>
      <c r="F3065" s="3" t="str">
        <f>VLOOKUP(Base_Periodo1[[#This Row],[Aux]],Base_Contas_Balanco[#All],2,FALSE)</f>
        <v>Fornecedores Cooperados</v>
      </c>
      <c r="G3065" s="1">
        <v>42790</v>
      </c>
      <c r="H3065" s="225">
        <v>303.01999999999953</v>
      </c>
      <c r="I3065" s="225">
        <v>0</v>
      </c>
      <c r="J3065" s="225">
        <v>0</v>
      </c>
      <c r="K3065" s="225">
        <v>303.01999999999953</v>
      </c>
      <c r="L30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303.02</v>
      </c>
      <c r="M3065" s="225">
        <f>ROUND(IF(AND(Base_Periodo1[[#This Row],[Tipo_Linha]]="-",Base_Periodo1[[#This Row],[TIPOSALDO]]="D"),Base_Periodo1[[#This Row],[SALDO_ATUAL]]*-1,Base_Periodo1[[#This Row],[SALDO_ATUAL]]),4)</f>
        <v>303.02</v>
      </c>
      <c r="N3065" t="s">
        <v>116</v>
      </c>
      <c r="O3065" t="s">
        <v>459</v>
      </c>
      <c r="P3065" t="s">
        <v>459</v>
      </c>
      <c r="Q3065">
        <v>7</v>
      </c>
      <c r="R3065" s="225">
        <f>Base_Periodo1[[#This Row],[CREDITOS]]-Base_Periodo1[[#This Row],[DEBITOS]]</f>
        <v>0</v>
      </c>
      <c r="S3065" s="3" t="str">
        <f>IF(ISERROR(VLOOKUP(Base_Periodo1[[#This Row],[CONTA]],BaseContasDRE[#All],4,FALSE)),"Fora do DRE",VLOOKUP(Base_Periodo1[[#This Row],[CONTA]],BaseContasDRE[#All],4,FALSE))</f>
        <v>Fora do DRE</v>
      </c>
      <c r="T3065" s="3" t="str">
        <f>IF(ISERROR(VLOOKUP(Base_Periodo1[[#This Row],[CONTA]],BaseContasDRE[#All],5,FALSE)),"Fora do DRE",VLOOKUP(Base_Periodo1[[#This Row],[CONTA]],BaseContasDRE[#All],6,FALSE))</f>
        <v>Fora do DRE</v>
      </c>
      <c r="U3065" s="3" t="str">
        <f>IF(ISERROR(VLOOKUP(Base_Periodo1[[#This Row],[CONTA]],BaseContasDRE[#All],7,FALSE)),"Fora do DRE",VLOOKUP(Base_Periodo1[[#This Row],[CONTA]],BaseContasDRE[#All],7,FALSE))</f>
        <v>Fora do DRE</v>
      </c>
      <c r="V3065" s="3" t="str">
        <f>IF(Base_Periodo1[[#This Row],[Tipo_Linha]]="Fora do DRE","Fora do DRE","( "&amp;Base_Periodo1[[#This Row],[Tipo_Linha]]&amp;" ) "&amp;Base_Periodo1[[#This Row],[Filtro]])</f>
        <v>Fora do DRE</v>
      </c>
      <c r="W3065" s="3" t="str">
        <f>LEFT(Base_Periodo1[[#This Row],[CLASS]],3)</f>
        <v>2.1</v>
      </c>
    </row>
    <row r="3066" spans="1:23" hidden="1">
      <c r="A3066" s="3" t="str">
        <f t="shared" si="47"/>
        <v>Período 1</v>
      </c>
      <c r="B3066">
        <v>40083</v>
      </c>
      <c r="C3066" t="s">
        <v>1745</v>
      </c>
      <c r="D3066" t="s">
        <v>5332</v>
      </c>
      <c r="E3066" s="3" t="str">
        <f>IF(LEN(Base_Periodo1[[#This Row],[CLASS]])&gt;=7,LEFT(Base_Periodo1[[#This Row],[CLASS]],7),"")</f>
        <v>2.1.2.1</v>
      </c>
      <c r="F3066" s="3" t="str">
        <f>VLOOKUP(Base_Periodo1[[#This Row],[Aux]],Base_Contas_Balanco[#All],2,FALSE)</f>
        <v>Fornecedores Cooperados</v>
      </c>
      <c r="G3066" s="1">
        <v>42821</v>
      </c>
      <c r="H3066" s="225">
        <v>3626.2099999999919</v>
      </c>
      <c r="I3066" s="225">
        <v>0</v>
      </c>
      <c r="J3066" s="225">
        <v>0</v>
      </c>
      <c r="K3066" s="225">
        <v>3626.2099999999919</v>
      </c>
      <c r="L30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3626.21</v>
      </c>
      <c r="M3066" s="225">
        <f>ROUND(IF(AND(Base_Periodo1[[#This Row],[Tipo_Linha]]="-",Base_Periodo1[[#This Row],[TIPOSALDO]]="D"),Base_Periodo1[[#This Row],[SALDO_ATUAL]]*-1,Base_Periodo1[[#This Row],[SALDO_ATUAL]]),4)</f>
        <v>3626.21</v>
      </c>
      <c r="N3066" t="s">
        <v>116</v>
      </c>
      <c r="O3066" t="s">
        <v>459</v>
      </c>
      <c r="P3066" t="s">
        <v>459</v>
      </c>
      <c r="Q3066">
        <v>7</v>
      </c>
      <c r="R3066" s="225">
        <f>Base_Periodo1[[#This Row],[CREDITOS]]-Base_Periodo1[[#This Row],[DEBITOS]]</f>
        <v>0</v>
      </c>
      <c r="S3066" s="3" t="str">
        <f>IF(ISERROR(VLOOKUP(Base_Periodo1[[#This Row],[CONTA]],BaseContasDRE[#All],4,FALSE)),"Fora do DRE",VLOOKUP(Base_Periodo1[[#This Row],[CONTA]],BaseContasDRE[#All],4,FALSE))</f>
        <v>Fora do DRE</v>
      </c>
      <c r="T3066" s="3" t="str">
        <f>IF(ISERROR(VLOOKUP(Base_Periodo1[[#This Row],[CONTA]],BaseContasDRE[#All],5,FALSE)),"Fora do DRE",VLOOKUP(Base_Periodo1[[#This Row],[CONTA]],BaseContasDRE[#All],6,FALSE))</f>
        <v>Fora do DRE</v>
      </c>
      <c r="U3066" s="3" t="str">
        <f>IF(ISERROR(VLOOKUP(Base_Periodo1[[#This Row],[CONTA]],BaseContasDRE[#All],7,FALSE)),"Fora do DRE",VLOOKUP(Base_Periodo1[[#This Row],[CONTA]],BaseContasDRE[#All],7,FALSE))</f>
        <v>Fora do DRE</v>
      </c>
      <c r="V3066" s="3" t="str">
        <f>IF(Base_Periodo1[[#This Row],[Tipo_Linha]]="Fora do DRE","Fora do DRE","( "&amp;Base_Periodo1[[#This Row],[Tipo_Linha]]&amp;" ) "&amp;Base_Periodo1[[#This Row],[Filtro]])</f>
        <v>Fora do DRE</v>
      </c>
      <c r="W3066" s="3" t="str">
        <f>LEFT(Base_Periodo1[[#This Row],[CLASS]],3)</f>
        <v>2.1</v>
      </c>
    </row>
    <row r="3067" spans="1:23" hidden="1">
      <c r="A3067" s="3" t="str">
        <f t="shared" si="47"/>
        <v>Período 1</v>
      </c>
      <c r="B3067">
        <v>3766</v>
      </c>
      <c r="C3067" t="s">
        <v>1745</v>
      </c>
      <c r="D3067" t="s">
        <v>4683</v>
      </c>
      <c r="E3067" s="3" t="str">
        <f>IF(LEN(Base_Periodo1[[#This Row],[CLASS]])&gt;=7,LEFT(Base_Periodo1[[#This Row],[CLASS]],7),"")</f>
        <v>2.1.2.1</v>
      </c>
      <c r="F3067" s="3" t="str">
        <f>VLOOKUP(Base_Periodo1[[#This Row],[Aux]],Base_Contas_Balanco[#All],2,FALSE)</f>
        <v>Fornecedores Cooperados</v>
      </c>
      <c r="G3067" s="1">
        <v>42738</v>
      </c>
      <c r="H3067" s="225">
        <v>5413.1200000000536</v>
      </c>
      <c r="I3067" s="225">
        <v>0</v>
      </c>
      <c r="J3067" s="225">
        <v>0</v>
      </c>
      <c r="K3067" s="225">
        <v>5413.1200000000536</v>
      </c>
      <c r="L30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5413.12</v>
      </c>
      <c r="M3067" s="225">
        <f>ROUND(IF(AND(Base_Periodo1[[#This Row],[Tipo_Linha]]="-",Base_Periodo1[[#This Row],[TIPOSALDO]]="D"),Base_Periodo1[[#This Row],[SALDO_ATUAL]]*-1,Base_Periodo1[[#This Row],[SALDO_ATUAL]]),4)</f>
        <v>5413.12</v>
      </c>
      <c r="N3067" t="s">
        <v>116</v>
      </c>
      <c r="O3067" t="s">
        <v>459</v>
      </c>
      <c r="P3067" t="s">
        <v>459</v>
      </c>
      <c r="Q3067">
        <v>7</v>
      </c>
      <c r="R3067" s="225">
        <f>Base_Periodo1[[#This Row],[CREDITOS]]-Base_Periodo1[[#This Row],[DEBITOS]]</f>
        <v>0</v>
      </c>
      <c r="S3067" s="3" t="str">
        <f>IF(ISERROR(VLOOKUP(Base_Periodo1[[#This Row],[CONTA]],BaseContasDRE[#All],4,FALSE)),"Fora do DRE",VLOOKUP(Base_Periodo1[[#This Row],[CONTA]],BaseContasDRE[#All],4,FALSE))</f>
        <v>Fora do DRE</v>
      </c>
      <c r="T3067" s="3" t="str">
        <f>IF(ISERROR(VLOOKUP(Base_Periodo1[[#This Row],[CONTA]],BaseContasDRE[#All],5,FALSE)),"Fora do DRE",VLOOKUP(Base_Periodo1[[#This Row],[CONTA]],BaseContasDRE[#All],6,FALSE))</f>
        <v>Fora do DRE</v>
      </c>
      <c r="U3067" s="3" t="str">
        <f>IF(ISERROR(VLOOKUP(Base_Periodo1[[#This Row],[CONTA]],BaseContasDRE[#All],7,FALSE)),"Fora do DRE",VLOOKUP(Base_Periodo1[[#This Row],[CONTA]],BaseContasDRE[#All],7,FALSE))</f>
        <v>Fora do DRE</v>
      </c>
      <c r="V3067" s="3" t="str">
        <f>IF(Base_Periodo1[[#This Row],[Tipo_Linha]]="Fora do DRE","Fora do DRE","( "&amp;Base_Periodo1[[#This Row],[Tipo_Linha]]&amp;" ) "&amp;Base_Periodo1[[#This Row],[Filtro]])</f>
        <v>Fora do DRE</v>
      </c>
      <c r="W3067" s="3" t="str">
        <f>LEFT(Base_Periodo1[[#This Row],[CLASS]],3)</f>
        <v>2.1</v>
      </c>
    </row>
    <row r="3068" spans="1:23" hidden="1">
      <c r="A3068" s="3" t="str">
        <f t="shared" si="47"/>
        <v>Período 1</v>
      </c>
      <c r="B3068">
        <v>52571</v>
      </c>
      <c r="C3068" t="s">
        <v>1745</v>
      </c>
      <c r="D3068" t="s">
        <v>6391</v>
      </c>
      <c r="E3068" s="3" t="str">
        <f>IF(LEN(Base_Periodo1[[#This Row],[CLASS]])&gt;=7,LEFT(Base_Periodo1[[#This Row],[CLASS]],7),"")</f>
        <v>2.1.2.1</v>
      </c>
      <c r="F3068" s="3" t="str">
        <f>VLOOKUP(Base_Periodo1[[#This Row],[Aux]],Base_Contas_Balanco[#All],2,FALSE)</f>
        <v>Fornecedores Cooperados</v>
      </c>
      <c r="G3068" s="1">
        <v>42881</v>
      </c>
      <c r="H3068" s="225">
        <v>5003.3300000000017</v>
      </c>
      <c r="I3068" s="225">
        <v>938.6</v>
      </c>
      <c r="J3068" s="225">
        <v>0</v>
      </c>
      <c r="K3068" s="225">
        <v>4064.7300000000018</v>
      </c>
      <c r="L30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4064.73</v>
      </c>
      <c r="M3068" s="225">
        <f>ROUND(IF(AND(Base_Periodo1[[#This Row],[Tipo_Linha]]="-",Base_Periodo1[[#This Row],[TIPOSALDO]]="D"),Base_Periodo1[[#This Row],[SALDO_ATUAL]]*-1,Base_Periodo1[[#This Row],[SALDO_ATUAL]]),4)</f>
        <v>4064.73</v>
      </c>
      <c r="N3068" t="s">
        <v>116</v>
      </c>
      <c r="O3068" t="s">
        <v>459</v>
      </c>
      <c r="P3068" t="s">
        <v>459</v>
      </c>
      <c r="Q3068">
        <v>7</v>
      </c>
      <c r="R3068" s="225">
        <f>Base_Periodo1[[#This Row],[CREDITOS]]-Base_Periodo1[[#This Row],[DEBITOS]]</f>
        <v>-938.6</v>
      </c>
      <c r="S3068" s="3" t="str">
        <f>IF(ISERROR(VLOOKUP(Base_Periodo1[[#This Row],[CONTA]],BaseContasDRE[#All],4,FALSE)),"Fora do DRE",VLOOKUP(Base_Periodo1[[#This Row],[CONTA]],BaseContasDRE[#All],4,FALSE))</f>
        <v>Fora do DRE</v>
      </c>
      <c r="T3068" s="3" t="str">
        <f>IF(ISERROR(VLOOKUP(Base_Periodo1[[#This Row],[CONTA]],BaseContasDRE[#All],5,FALSE)),"Fora do DRE",VLOOKUP(Base_Periodo1[[#This Row],[CONTA]],BaseContasDRE[#All],6,FALSE))</f>
        <v>Fora do DRE</v>
      </c>
      <c r="U3068" s="3" t="str">
        <f>IF(ISERROR(VLOOKUP(Base_Periodo1[[#This Row],[CONTA]],BaseContasDRE[#All],7,FALSE)),"Fora do DRE",VLOOKUP(Base_Periodo1[[#This Row],[CONTA]],BaseContasDRE[#All],7,FALSE))</f>
        <v>Fora do DRE</v>
      </c>
      <c r="V3068" s="3" t="str">
        <f>IF(Base_Periodo1[[#This Row],[Tipo_Linha]]="Fora do DRE","Fora do DRE","( "&amp;Base_Periodo1[[#This Row],[Tipo_Linha]]&amp;" ) "&amp;Base_Periodo1[[#This Row],[Filtro]])</f>
        <v>Fora do DRE</v>
      </c>
      <c r="W3068" s="3" t="str">
        <f>LEFT(Base_Periodo1[[#This Row],[CLASS]],3)</f>
        <v>2.1</v>
      </c>
    </row>
    <row r="3069" spans="1:23" hidden="1">
      <c r="A3069" s="3" t="str">
        <f t="shared" si="47"/>
        <v>Período 1</v>
      </c>
      <c r="B3069">
        <v>2874</v>
      </c>
      <c r="C3069" t="s">
        <v>1745</v>
      </c>
      <c r="D3069" t="s">
        <v>1936</v>
      </c>
      <c r="E3069" s="3" t="str">
        <f>IF(LEN(Base_Periodo1[[#This Row],[CLASS]])&gt;=7,LEFT(Base_Periodo1[[#This Row],[CLASS]],7),"")</f>
        <v>2.1.2.1</v>
      </c>
      <c r="F3069" s="3" t="str">
        <f>VLOOKUP(Base_Periodo1[[#This Row],[Aux]],Base_Contas_Balanco[#All],2,FALSE)</f>
        <v>Fornecedores Cooperados</v>
      </c>
      <c r="G3069" s="1">
        <v>42870</v>
      </c>
      <c r="H3069" s="225">
        <v>3143.2400000000198</v>
      </c>
      <c r="I3069" s="225">
        <v>0</v>
      </c>
      <c r="J3069" s="225">
        <v>4746.43</v>
      </c>
      <c r="K3069" s="225">
        <v>7889.6700000000201</v>
      </c>
      <c r="L30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7889.67</v>
      </c>
      <c r="M3069" s="225">
        <f>ROUND(IF(AND(Base_Periodo1[[#This Row],[Tipo_Linha]]="-",Base_Periodo1[[#This Row],[TIPOSALDO]]="D"),Base_Periodo1[[#This Row],[SALDO_ATUAL]]*-1,Base_Periodo1[[#This Row],[SALDO_ATUAL]]),4)</f>
        <v>7889.67</v>
      </c>
      <c r="N3069" t="s">
        <v>116</v>
      </c>
      <c r="O3069" t="s">
        <v>459</v>
      </c>
      <c r="P3069" t="s">
        <v>459</v>
      </c>
      <c r="Q3069">
        <v>7</v>
      </c>
      <c r="R3069" s="225">
        <f>Base_Periodo1[[#This Row],[CREDITOS]]-Base_Periodo1[[#This Row],[DEBITOS]]</f>
        <v>4746.43</v>
      </c>
      <c r="S3069" s="3" t="str">
        <f>IF(ISERROR(VLOOKUP(Base_Periodo1[[#This Row],[CONTA]],BaseContasDRE[#All],4,FALSE)),"Fora do DRE",VLOOKUP(Base_Periodo1[[#This Row],[CONTA]],BaseContasDRE[#All],4,FALSE))</f>
        <v>Fora do DRE</v>
      </c>
      <c r="T3069" s="3" t="str">
        <f>IF(ISERROR(VLOOKUP(Base_Periodo1[[#This Row],[CONTA]],BaseContasDRE[#All],5,FALSE)),"Fora do DRE",VLOOKUP(Base_Periodo1[[#This Row],[CONTA]],BaseContasDRE[#All],6,FALSE))</f>
        <v>Fora do DRE</v>
      </c>
      <c r="U3069" s="3" t="str">
        <f>IF(ISERROR(VLOOKUP(Base_Periodo1[[#This Row],[CONTA]],BaseContasDRE[#All],7,FALSE)),"Fora do DRE",VLOOKUP(Base_Periodo1[[#This Row],[CONTA]],BaseContasDRE[#All],7,FALSE))</f>
        <v>Fora do DRE</v>
      </c>
      <c r="V3069" s="3" t="str">
        <f>IF(Base_Periodo1[[#This Row],[Tipo_Linha]]="Fora do DRE","Fora do DRE","( "&amp;Base_Periodo1[[#This Row],[Tipo_Linha]]&amp;" ) "&amp;Base_Periodo1[[#This Row],[Filtro]])</f>
        <v>Fora do DRE</v>
      </c>
      <c r="W3069" s="3" t="str">
        <f>LEFT(Base_Periodo1[[#This Row],[CLASS]],3)</f>
        <v>2.1</v>
      </c>
    </row>
    <row r="3070" spans="1:23" hidden="1">
      <c r="A3070" s="3" t="str">
        <f t="shared" si="47"/>
        <v>Período 1</v>
      </c>
      <c r="B3070">
        <v>2834</v>
      </c>
      <c r="C3070" t="s">
        <v>1745</v>
      </c>
      <c r="D3070" t="s">
        <v>4763</v>
      </c>
      <c r="E3070" s="3" t="str">
        <f>IF(LEN(Base_Periodo1[[#This Row],[CLASS]])&gt;=7,LEFT(Base_Periodo1[[#This Row],[CLASS]],7),"")</f>
        <v>2.1.2.1</v>
      </c>
      <c r="F3070" s="3" t="str">
        <f>VLOOKUP(Base_Periodo1[[#This Row],[Aux]],Base_Contas_Balanco[#All],2,FALSE)</f>
        <v>Fornecedores Cooperados</v>
      </c>
      <c r="G3070" s="1">
        <v>42864</v>
      </c>
      <c r="H3070" s="225">
        <v>1699.9199999995762</v>
      </c>
      <c r="I3070" s="225">
        <v>1049.69</v>
      </c>
      <c r="J3070" s="225">
        <v>61918.369999999995</v>
      </c>
      <c r="K3070" s="225">
        <v>62568.599999999569</v>
      </c>
      <c r="L30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62568.6</v>
      </c>
      <c r="M3070" s="225">
        <f>ROUND(IF(AND(Base_Periodo1[[#This Row],[Tipo_Linha]]="-",Base_Periodo1[[#This Row],[TIPOSALDO]]="D"),Base_Periodo1[[#This Row],[SALDO_ATUAL]]*-1,Base_Periodo1[[#This Row],[SALDO_ATUAL]]),4)</f>
        <v>62568.6</v>
      </c>
      <c r="N3070" t="s">
        <v>116</v>
      </c>
      <c r="O3070" t="s">
        <v>459</v>
      </c>
      <c r="P3070" t="s">
        <v>459</v>
      </c>
      <c r="Q3070">
        <v>7</v>
      </c>
      <c r="R3070" s="225">
        <f>Base_Periodo1[[#This Row],[CREDITOS]]-Base_Periodo1[[#This Row],[DEBITOS]]</f>
        <v>60868.679999999993</v>
      </c>
      <c r="S3070" s="3" t="str">
        <f>IF(ISERROR(VLOOKUP(Base_Periodo1[[#This Row],[CONTA]],BaseContasDRE[#All],4,FALSE)),"Fora do DRE",VLOOKUP(Base_Periodo1[[#This Row],[CONTA]],BaseContasDRE[#All],4,FALSE))</f>
        <v>Fora do DRE</v>
      </c>
      <c r="T3070" s="3" t="str">
        <f>IF(ISERROR(VLOOKUP(Base_Periodo1[[#This Row],[CONTA]],BaseContasDRE[#All],5,FALSE)),"Fora do DRE",VLOOKUP(Base_Periodo1[[#This Row],[CONTA]],BaseContasDRE[#All],6,FALSE))</f>
        <v>Fora do DRE</v>
      </c>
      <c r="U3070" s="3" t="str">
        <f>IF(ISERROR(VLOOKUP(Base_Periodo1[[#This Row],[CONTA]],BaseContasDRE[#All],7,FALSE)),"Fora do DRE",VLOOKUP(Base_Periodo1[[#This Row],[CONTA]],BaseContasDRE[#All],7,FALSE))</f>
        <v>Fora do DRE</v>
      </c>
      <c r="V3070" s="3" t="str">
        <f>IF(Base_Periodo1[[#This Row],[Tipo_Linha]]="Fora do DRE","Fora do DRE","( "&amp;Base_Periodo1[[#This Row],[Tipo_Linha]]&amp;" ) "&amp;Base_Periodo1[[#This Row],[Filtro]])</f>
        <v>Fora do DRE</v>
      </c>
      <c r="W3070" s="3" t="str">
        <f>LEFT(Base_Periodo1[[#This Row],[CLASS]],3)</f>
        <v>2.1</v>
      </c>
    </row>
    <row r="3071" spans="1:23" hidden="1">
      <c r="A3071" s="3" t="str">
        <f t="shared" si="47"/>
        <v>Período 1</v>
      </c>
      <c r="B3071">
        <v>3270</v>
      </c>
      <c r="C3071" t="s">
        <v>1745</v>
      </c>
      <c r="D3071" t="s">
        <v>4206</v>
      </c>
      <c r="E3071" s="3" t="str">
        <f>IF(LEN(Base_Periodo1[[#This Row],[CLASS]])&gt;=7,LEFT(Base_Periodo1[[#This Row],[CLASS]],7),"")</f>
        <v>2.1.2.1</v>
      </c>
      <c r="F3071" s="3" t="str">
        <f>VLOOKUP(Base_Periodo1[[#This Row],[Aux]],Base_Contas_Balanco[#All],2,FALSE)</f>
        <v>Fornecedores Cooperados</v>
      </c>
      <c r="G3071" s="1">
        <v>42884</v>
      </c>
      <c r="H3071" s="225">
        <v>3180</v>
      </c>
      <c r="I3071" s="225">
        <v>6360</v>
      </c>
      <c r="J3071" s="225">
        <v>3180</v>
      </c>
      <c r="K3071" s="225">
        <v>0</v>
      </c>
      <c r="L30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071" s="225">
        <f>ROUND(IF(AND(Base_Periodo1[[#This Row],[Tipo_Linha]]="-",Base_Periodo1[[#This Row],[TIPOSALDO]]="D"),Base_Periodo1[[#This Row],[SALDO_ATUAL]]*-1,Base_Periodo1[[#This Row],[SALDO_ATUAL]]),4)</f>
        <v>0</v>
      </c>
      <c r="N3071" t="s">
        <v>116</v>
      </c>
      <c r="O3071" t="s">
        <v>459</v>
      </c>
      <c r="P3071" t="s">
        <v>436</v>
      </c>
      <c r="Q3071">
        <v>7</v>
      </c>
      <c r="R3071" s="225">
        <f>Base_Periodo1[[#This Row],[CREDITOS]]-Base_Periodo1[[#This Row],[DEBITOS]]</f>
        <v>-3180</v>
      </c>
      <c r="S3071" s="3" t="str">
        <f>IF(ISERROR(VLOOKUP(Base_Periodo1[[#This Row],[CONTA]],BaseContasDRE[#All],4,FALSE)),"Fora do DRE",VLOOKUP(Base_Periodo1[[#This Row],[CONTA]],BaseContasDRE[#All],4,FALSE))</f>
        <v>Fora do DRE</v>
      </c>
      <c r="T3071" s="3" t="str">
        <f>IF(ISERROR(VLOOKUP(Base_Periodo1[[#This Row],[CONTA]],BaseContasDRE[#All],5,FALSE)),"Fora do DRE",VLOOKUP(Base_Periodo1[[#This Row],[CONTA]],BaseContasDRE[#All],6,FALSE))</f>
        <v>Fora do DRE</v>
      </c>
      <c r="U3071" s="3" t="str">
        <f>IF(ISERROR(VLOOKUP(Base_Periodo1[[#This Row],[CONTA]],BaseContasDRE[#All],7,FALSE)),"Fora do DRE",VLOOKUP(Base_Periodo1[[#This Row],[CONTA]],BaseContasDRE[#All],7,FALSE))</f>
        <v>Fora do DRE</v>
      </c>
      <c r="V3071" s="3" t="str">
        <f>IF(Base_Periodo1[[#This Row],[Tipo_Linha]]="Fora do DRE","Fora do DRE","( "&amp;Base_Periodo1[[#This Row],[Tipo_Linha]]&amp;" ) "&amp;Base_Periodo1[[#This Row],[Filtro]])</f>
        <v>Fora do DRE</v>
      </c>
      <c r="W3071" s="3" t="str">
        <f>LEFT(Base_Periodo1[[#This Row],[CLASS]],3)</f>
        <v>2.1</v>
      </c>
    </row>
    <row r="3072" spans="1:23" hidden="1">
      <c r="A3072" s="3" t="str">
        <f t="shared" si="47"/>
        <v>Período 1</v>
      </c>
      <c r="B3072">
        <v>6931</v>
      </c>
      <c r="C3072" t="s">
        <v>1745</v>
      </c>
      <c r="D3072" t="s">
        <v>1937</v>
      </c>
      <c r="E3072" s="3" t="str">
        <f>IF(LEN(Base_Periodo1[[#This Row],[CLASS]])&gt;=7,LEFT(Base_Periodo1[[#This Row],[CLASS]],7),"")</f>
        <v>2.1.2.1</v>
      </c>
      <c r="F3072" s="3" t="str">
        <f>VLOOKUP(Base_Periodo1[[#This Row],[Aux]],Base_Contas_Balanco[#All],2,FALSE)</f>
        <v>Fornecedores Cooperados</v>
      </c>
      <c r="G3072" s="1">
        <v>42790</v>
      </c>
      <c r="H3072" s="225">
        <v>10816.840000000011</v>
      </c>
      <c r="I3072" s="225">
        <v>0</v>
      </c>
      <c r="J3072" s="225">
        <v>0</v>
      </c>
      <c r="K3072" s="225">
        <v>10816.840000000011</v>
      </c>
      <c r="L30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10816.84</v>
      </c>
      <c r="M3072" s="225">
        <f>ROUND(IF(AND(Base_Periodo1[[#This Row],[Tipo_Linha]]="-",Base_Periodo1[[#This Row],[TIPOSALDO]]="D"),Base_Periodo1[[#This Row],[SALDO_ATUAL]]*-1,Base_Periodo1[[#This Row],[SALDO_ATUAL]]),4)</f>
        <v>10816.84</v>
      </c>
      <c r="N3072" t="s">
        <v>116</v>
      </c>
      <c r="O3072" t="s">
        <v>459</v>
      </c>
      <c r="P3072" t="s">
        <v>459</v>
      </c>
      <c r="Q3072">
        <v>7</v>
      </c>
      <c r="R3072" s="225">
        <f>Base_Periodo1[[#This Row],[CREDITOS]]-Base_Periodo1[[#This Row],[DEBITOS]]</f>
        <v>0</v>
      </c>
      <c r="S3072" s="3" t="str">
        <f>IF(ISERROR(VLOOKUP(Base_Periodo1[[#This Row],[CONTA]],BaseContasDRE[#All],4,FALSE)),"Fora do DRE",VLOOKUP(Base_Periodo1[[#This Row],[CONTA]],BaseContasDRE[#All],4,FALSE))</f>
        <v>Fora do DRE</v>
      </c>
      <c r="T3072" s="3" t="str">
        <f>IF(ISERROR(VLOOKUP(Base_Periodo1[[#This Row],[CONTA]],BaseContasDRE[#All],5,FALSE)),"Fora do DRE",VLOOKUP(Base_Periodo1[[#This Row],[CONTA]],BaseContasDRE[#All],6,FALSE))</f>
        <v>Fora do DRE</v>
      </c>
      <c r="U3072" s="3" t="str">
        <f>IF(ISERROR(VLOOKUP(Base_Periodo1[[#This Row],[CONTA]],BaseContasDRE[#All],7,FALSE)),"Fora do DRE",VLOOKUP(Base_Periodo1[[#This Row],[CONTA]],BaseContasDRE[#All],7,FALSE))</f>
        <v>Fora do DRE</v>
      </c>
      <c r="V3072" s="3" t="str">
        <f>IF(Base_Periodo1[[#This Row],[Tipo_Linha]]="Fora do DRE","Fora do DRE","( "&amp;Base_Periodo1[[#This Row],[Tipo_Linha]]&amp;" ) "&amp;Base_Periodo1[[#This Row],[Filtro]])</f>
        <v>Fora do DRE</v>
      </c>
      <c r="W3072" s="3" t="str">
        <f>LEFT(Base_Periodo1[[#This Row],[CLASS]],3)</f>
        <v>2.1</v>
      </c>
    </row>
    <row r="3073" spans="1:23" hidden="1">
      <c r="A3073" s="3" t="str">
        <f t="shared" si="47"/>
        <v>Período 1</v>
      </c>
      <c r="B3073">
        <v>3190</v>
      </c>
      <c r="C3073" t="s">
        <v>1745</v>
      </c>
      <c r="D3073" t="s">
        <v>5427</v>
      </c>
      <c r="E3073" s="3" t="str">
        <f>IF(LEN(Base_Periodo1[[#This Row],[CLASS]])&gt;=7,LEFT(Base_Periodo1[[#This Row],[CLASS]],7),"")</f>
        <v>2.1.2.1</v>
      </c>
      <c r="F3073" s="3" t="str">
        <f>VLOOKUP(Base_Periodo1[[#This Row],[Aux]],Base_Contas_Balanco[#All],2,FALSE)</f>
        <v>Fornecedores Cooperados</v>
      </c>
      <c r="G3073" s="1">
        <v>42765</v>
      </c>
      <c r="H3073" s="225">
        <v>153.27000000001863</v>
      </c>
      <c r="I3073" s="225">
        <v>0</v>
      </c>
      <c r="J3073" s="225">
        <v>0</v>
      </c>
      <c r="K3073" s="225">
        <v>153.27000000001863</v>
      </c>
      <c r="L30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153.27000000000001</v>
      </c>
      <c r="M3073" s="225">
        <f>ROUND(IF(AND(Base_Periodo1[[#This Row],[Tipo_Linha]]="-",Base_Periodo1[[#This Row],[TIPOSALDO]]="D"),Base_Periodo1[[#This Row],[SALDO_ATUAL]]*-1,Base_Periodo1[[#This Row],[SALDO_ATUAL]]),4)</f>
        <v>153.27000000000001</v>
      </c>
      <c r="N3073" t="s">
        <v>116</v>
      </c>
      <c r="O3073" t="s">
        <v>459</v>
      </c>
      <c r="P3073" t="s">
        <v>459</v>
      </c>
      <c r="Q3073">
        <v>7</v>
      </c>
      <c r="R3073" s="225">
        <f>Base_Periodo1[[#This Row],[CREDITOS]]-Base_Periodo1[[#This Row],[DEBITOS]]</f>
        <v>0</v>
      </c>
      <c r="S3073" s="3" t="str">
        <f>IF(ISERROR(VLOOKUP(Base_Periodo1[[#This Row],[CONTA]],BaseContasDRE[#All],4,FALSE)),"Fora do DRE",VLOOKUP(Base_Periodo1[[#This Row],[CONTA]],BaseContasDRE[#All],4,FALSE))</f>
        <v>Fora do DRE</v>
      </c>
      <c r="T3073" s="3" t="str">
        <f>IF(ISERROR(VLOOKUP(Base_Periodo1[[#This Row],[CONTA]],BaseContasDRE[#All],5,FALSE)),"Fora do DRE",VLOOKUP(Base_Periodo1[[#This Row],[CONTA]],BaseContasDRE[#All],6,FALSE))</f>
        <v>Fora do DRE</v>
      </c>
      <c r="U3073" s="3" t="str">
        <f>IF(ISERROR(VLOOKUP(Base_Periodo1[[#This Row],[CONTA]],BaseContasDRE[#All],7,FALSE)),"Fora do DRE",VLOOKUP(Base_Periodo1[[#This Row],[CONTA]],BaseContasDRE[#All],7,FALSE))</f>
        <v>Fora do DRE</v>
      </c>
      <c r="V3073" s="3" t="str">
        <f>IF(Base_Periodo1[[#This Row],[Tipo_Linha]]="Fora do DRE","Fora do DRE","( "&amp;Base_Periodo1[[#This Row],[Tipo_Linha]]&amp;" ) "&amp;Base_Periodo1[[#This Row],[Filtro]])</f>
        <v>Fora do DRE</v>
      </c>
      <c r="W3073" s="3" t="str">
        <f>LEFT(Base_Periodo1[[#This Row],[CLASS]],3)</f>
        <v>2.1</v>
      </c>
    </row>
    <row r="3074" spans="1:23" hidden="1">
      <c r="A3074" s="3" t="str">
        <f t="shared" si="47"/>
        <v>Período 1</v>
      </c>
      <c r="B3074">
        <v>47759</v>
      </c>
      <c r="C3074" t="s">
        <v>1745</v>
      </c>
      <c r="D3074" t="s">
        <v>1938</v>
      </c>
      <c r="E3074" s="3" t="str">
        <f>IF(LEN(Base_Periodo1[[#This Row],[CLASS]])&gt;=7,LEFT(Base_Periodo1[[#This Row],[CLASS]],7),"")</f>
        <v>2.1.2.1</v>
      </c>
      <c r="F3074" s="3" t="str">
        <f>VLOOKUP(Base_Periodo1[[#This Row],[Aux]],Base_Contas_Balanco[#All],2,FALSE)</f>
        <v>Fornecedores Cooperados</v>
      </c>
      <c r="G3074" s="1">
        <v>42865</v>
      </c>
      <c r="H3074" s="225">
        <v>73181.839999999967</v>
      </c>
      <c r="I3074" s="225">
        <v>0</v>
      </c>
      <c r="J3074" s="225">
        <v>33107.5</v>
      </c>
      <c r="K3074" s="225">
        <v>106289.33999999997</v>
      </c>
      <c r="L30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106289.34</v>
      </c>
      <c r="M3074" s="225">
        <f>ROUND(IF(AND(Base_Periodo1[[#This Row],[Tipo_Linha]]="-",Base_Periodo1[[#This Row],[TIPOSALDO]]="D"),Base_Periodo1[[#This Row],[SALDO_ATUAL]]*-1,Base_Periodo1[[#This Row],[SALDO_ATUAL]]),4)</f>
        <v>106289.34</v>
      </c>
      <c r="N3074" t="s">
        <v>116</v>
      </c>
      <c r="O3074" t="s">
        <v>459</v>
      </c>
      <c r="P3074" t="s">
        <v>459</v>
      </c>
      <c r="Q3074">
        <v>7</v>
      </c>
      <c r="R3074" s="225">
        <f>Base_Periodo1[[#This Row],[CREDITOS]]-Base_Periodo1[[#This Row],[DEBITOS]]</f>
        <v>33107.5</v>
      </c>
      <c r="S3074" s="3" t="str">
        <f>IF(ISERROR(VLOOKUP(Base_Periodo1[[#This Row],[CONTA]],BaseContasDRE[#All],4,FALSE)),"Fora do DRE",VLOOKUP(Base_Periodo1[[#This Row],[CONTA]],BaseContasDRE[#All],4,FALSE))</f>
        <v>Fora do DRE</v>
      </c>
      <c r="T3074" s="3" t="str">
        <f>IF(ISERROR(VLOOKUP(Base_Periodo1[[#This Row],[CONTA]],BaseContasDRE[#All],5,FALSE)),"Fora do DRE",VLOOKUP(Base_Periodo1[[#This Row],[CONTA]],BaseContasDRE[#All],6,FALSE))</f>
        <v>Fora do DRE</v>
      </c>
      <c r="U3074" s="3" t="str">
        <f>IF(ISERROR(VLOOKUP(Base_Periodo1[[#This Row],[CONTA]],BaseContasDRE[#All],7,FALSE)),"Fora do DRE",VLOOKUP(Base_Periodo1[[#This Row],[CONTA]],BaseContasDRE[#All],7,FALSE))</f>
        <v>Fora do DRE</v>
      </c>
      <c r="V3074" s="3" t="str">
        <f>IF(Base_Periodo1[[#This Row],[Tipo_Linha]]="Fora do DRE","Fora do DRE","( "&amp;Base_Periodo1[[#This Row],[Tipo_Linha]]&amp;" ) "&amp;Base_Periodo1[[#This Row],[Filtro]])</f>
        <v>Fora do DRE</v>
      </c>
      <c r="W3074" s="3" t="str">
        <f>LEFT(Base_Periodo1[[#This Row],[CLASS]],3)</f>
        <v>2.1</v>
      </c>
    </row>
    <row r="3075" spans="1:23" hidden="1">
      <c r="A3075" s="3" t="str">
        <f t="shared" si="47"/>
        <v>Período 1</v>
      </c>
      <c r="B3075">
        <v>49137</v>
      </c>
      <c r="C3075" t="s">
        <v>1745</v>
      </c>
      <c r="D3075" t="s">
        <v>4853</v>
      </c>
      <c r="E3075" s="3" t="str">
        <f>IF(LEN(Base_Periodo1[[#This Row],[CLASS]])&gt;=7,LEFT(Base_Periodo1[[#This Row],[CLASS]],7),"")</f>
        <v>2.1.2.1</v>
      </c>
      <c r="F3075" s="3" t="str">
        <f>VLOOKUP(Base_Periodo1[[#This Row],[Aux]],Base_Contas_Balanco[#All],2,FALSE)</f>
        <v>Fornecedores Cooperados</v>
      </c>
      <c r="G3075" s="1">
        <v>42661</v>
      </c>
      <c r="H3075" s="225">
        <v>21441.61</v>
      </c>
      <c r="I3075" s="225">
        <v>0</v>
      </c>
      <c r="J3075" s="225">
        <v>0</v>
      </c>
      <c r="K3075" s="225">
        <v>21441.61</v>
      </c>
      <c r="L30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21441.61</v>
      </c>
      <c r="M3075" s="225">
        <f>ROUND(IF(AND(Base_Periodo1[[#This Row],[Tipo_Linha]]="-",Base_Periodo1[[#This Row],[TIPOSALDO]]="D"),Base_Periodo1[[#This Row],[SALDO_ATUAL]]*-1,Base_Periodo1[[#This Row],[SALDO_ATUAL]]),4)</f>
        <v>21441.61</v>
      </c>
      <c r="N3075" t="s">
        <v>116</v>
      </c>
      <c r="O3075" t="s">
        <v>459</v>
      </c>
      <c r="P3075" t="s">
        <v>459</v>
      </c>
      <c r="Q3075">
        <v>7</v>
      </c>
      <c r="R3075" s="225">
        <f>Base_Periodo1[[#This Row],[CREDITOS]]-Base_Periodo1[[#This Row],[DEBITOS]]</f>
        <v>0</v>
      </c>
      <c r="S3075" s="3" t="str">
        <f>IF(ISERROR(VLOOKUP(Base_Periodo1[[#This Row],[CONTA]],BaseContasDRE[#All],4,FALSE)),"Fora do DRE",VLOOKUP(Base_Periodo1[[#This Row],[CONTA]],BaseContasDRE[#All],4,FALSE))</f>
        <v>Fora do DRE</v>
      </c>
      <c r="T3075" s="3" t="str">
        <f>IF(ISERROR(VLOOKUP(Base_Periodo1[[#This Row],[CONTA]],BaseContasDRE[#All],5,FALSE)),"Fora do DRE",VLOOKUP(Base_Periodo1[[#This Row],[CONTA]],BaseContasDRE[#All],6,FALSE))</f>
        <v>Fora do DRE</v>
      </c>
      <c r="U3075" s="3" t="str">
        <f>IF(ISERROR(VLOOKUP(Base_Periodo1[[#This Row],[CONTA]],BaseContasDRE[#All],7,FALSE)),"Fora do DRE",VLOOKUP(Base_Periodo1[[#This Row],[CONTA]],BaseContasDRE[#All],7,FALSE))</f>
        <v>Fora do DRE</v>
      </c>
      <c r="V3075" s="3" t="str">
        <f>IF(Base_Periodo1[[#This Row],[Tipo_Linha]]="Fora do DRE","Fora do DRE","( "&amp;Base_Periodo1[[#This Row],[Tipo_Linha]]&amp;" ) "&amp;Base_Periodo1[[#This Row],[Filtro]])</f>
        <v>Fora do DRE</v>
      </c>
      <c r="W3075" s="3" t="str">
        <f>LEFT(Base_Periodo1[[#This Row],[CLASS]],3)</f>
        <v>2.1</v>
      </c>
    </row>
    <row r="3076" spans="1:23" hidden="1">
      <c r="A3076" s="3" t="str">
        <f t="shared" si="47"/>
        <v>Período 1</v>
      </c>
      <c r="B3076">
        <v>49985</v>
      </c>
      <c r="C3076" t="s">
        <v>1745</v>
      </c>
      <c r="D3076" t="s">
        <v>2198</v>
      </c>
      <c r="E3076" s="3" t="str">
        <f>IF(LEN(Base_Periodo1[[#This Row],[CLASS]])&gt;=7,LEFT(Base_Periodo1[[#This Row],[CLASS]],7),"")</f>
        <v>2.1.2.1</v>
      </c>
      <c r="F3076" s="3" t="str">
        <f>VLOOKUP(Base_Periodo1[[#This Row],[Aux]],Base_Contas_Balanco[#All],2,FALSE)</f>
        <v>Fornecedores Cooperados</v>
      </c>
      <c r="G3076" s="1">
        <v>42828</v>
      </c>
      <c r="H3076" s="225">
        <v>3675.4300000000003</v>
      </c>
      <c r="I3076" s="225">
        <v>0</v>
      </c>
      <c r="J3076" s="225">
        <v>0</v>
      </c>
      <c r="K3076" s="225">
        <v>3675.4300000000003</v>
      </c>
      <c r="L30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3675.43</v>
      </c>
      <c r="M3076" s="225">
        <f>ROUND(IF(AND(Base_Periodo1[[#This Row],[Tipo_Linha]]="-",Base_Periodo1[[#This Row],[TIPOSALDO]]="D"),Base_Periodo1[[#This Row],[SALDO_ATUAL]]*-1,Base_Periodo1[[#This Row],[SALDO_ATUAL]]),4)</f>
        <v>3675.43</v>
      </c>
      <c r="N3076" t="s">
        <v>116</v>
      </c>
      <c r="O3076" t="s">
        <v>459</v>
      </c>
      <c r="P3076" t="s">
        <v>459</v>
      </c>
      <c r="Q3076">
        <v>7</v>
      </c>
      <c r="R3076" s="225">
        <f>Base_Periodo1[[#This Row],[CREDITOS]]-Base_Periodo1[[#This Row],[DEBITOS]]</f>
        <v>0</v>
      </c>
      <c r="S3076" s="3" t="str">
        <f>IF(ISERROR(VLOOKUP(Base_Periodo1[[#This Row],[CONTA]],BaseContasDRE[#All],4,FALSE)),"Fora do DRE",VLOOKUP(Base_Periodo1[[#This Row],[CONTA]],BaseContasDRE[#All],4,FALSE))</f>
        <v>Fora do DRE</v>
      </c>
      <c r="T3076" s="3" t="str">
        <f>IF(ISERROR(VLOOKUP(Base_Periodo1[[#This Row],[CONTA]],BaseContasDRE[#All],5,FALSE)),"Fora do DRE",VLOOKUP(Base_Periodo1[[#This Row],[CONTA]],BaseContasDRE[#All],6,FALSE))</f>
        <v>Fora do DRE</v>
      </c>
      <c r="U3076" s="3" t="str">
        <f>IF(ISERROR(VLOOKUP(Base_Periodo1[[#This Row],[CONTA]],BaseContasDRE[#All],7,FALSE)),"Fora do DRE",VLOOKUP(Base_Periodo1[[#This Row],[CONTA]],BaseContasDRE[#All],7,FALSE))</f>
        <v>Fora do DRE</v>
      </c>
      <c r="V3076" s="3" t="str">
        <f>IF(Base_Periodo1[[#This Row],[Tipo_Linha]]="Fora do DRE","Fora do DRE","( "&amp;Base_Periodo1[[#This Row],[Tipo_Linha]]&amp;" ) "&amp;Base_Periodo1[[#This Row],[Filtro]])</f>
        <v>Fora do DRE</v>
      </c>
      <c r="W3076" s="3" t="str">
        <f>LEFT(Base_Periodo1[[#This Row],[CLASS]],3)</f>
        <v>2.1</v>
      </c>
    </row>
    <row r="3077" spans="1:23" hidden="1">
      <c r="A3077" s="3" t="str">
        <f t="shared" si="47"/>
        <v>Período 1</v>
      </c>
      <c r="B3077">
        <v>13382</v>
      </c>
      <c r="C3077" t="s">
        <v>1745</v>
      </c>
      <c r="D3077" t="s">
        <v>1939</v>
      </c>
      <c r="E3077" s="3" t="str">
        <f>IF(LEN(Base_Periodo1[[#This Row],[CLASS]])&gt;=7,LEFT(Base_Periodo1[[#This Row],[CLASS]],7),"")</f>
        <v>2.1.2.1</v>
      </c>
      <c r="F3077" s="3" t="str">
        <f>VLOOKUP(Base_Periodo1[[#This Row],[Aux]],Base_Contas_Balanco[#All],2,FALSE)</f>
        <v>Fornecedores Cooperados</v>
      </c>
      <c r="G3077" s="1">
        <v>41570</v>
      </c>
      <c r="H3077" s="225">
        <v>520</v>
      </c>
      <c r="I3077" s="225">
        <v>0</v>
      </c>
      <c r="J3077" s="225">
        <v>0</v>
      </c>
      <c r="K3077" s="225">
        <v>520</v>
      </c>
      <c r="L30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520</v>
      </c>
      <c r="M3077" s="225">
        <f>ROUND(IF(AND(Base_Periodo1[[#This Row],[Tipo_Linha]]="-",Base_Periodo1[[#This Row],[TIPOSALDO]]="D"),Base_Periodo1[[#This Row],[SALDO_ATUAL]]*-1,Base_Periodo1[[#This Row],[SALDO_ATUAL]]),4)</f>
        <v>520</v>
      </c>
      <c r="N3077" t="s">
        <v>116</v>
      </c>
      <c r="O3077" t="s">
        <v>459</v>
      </c>
      <c r="P3077" t="s">
        <v>459</v>
      </c>
      <c r="Q3077">
        <v>7</v>
      </c>
      <c r="R3077" s="225">
        <f>Base_Periodo1[[#This Row],[CREDITOS]]-Base_Periodo1[[#This Row],[DEBITOS]]</f>
        <v>0</v>
      </c>
      <c r="S3077" s="3" t="str">
        <f>IF(ISERROR(VLOOKUP(Base_Periodo1[[#This Row],[CONTA]],BaseContasDRE[#All],4,FALSE)),"Fora do DRE",VLOOKUP(Base_Periodo1[[#This Row],[CONTA]],BaseContasDRE[#All],4,FALSE))</f>
        <v>Fora do DRE</v>
      </c>
      <c r="T3077" s="3" t="str">
        <f>IF(ISERROR(VLOOKUP(Base_Periodo1[[#This Row],[CONTA]],BaseContasDRE[#All],5,FALSE)),"Fora do DRE",VLOOKUP(Base_Periodo1[[#This Row],[CONTA]],BaseContasDRE[#All],6,FALSE))</f>
        <v>Fora do DRE</v>
      </c>
      <c r="U3077" s="3" t="str">
        <f>IF(ISERROR(VLOOKUP(Base_Periodo1[[#This Row],[CONTA]],BaseContasDRE[#All],7,FALSE)),"Fora do DRE",VLOOKUP(Base_Periodo1[[#This Row],[CONTA]],BaseContasDRE[#All],7,FALSE))</f>
        <v>Fora do DRE</v>
      </c>
      <c r="V3077" s="3" t="str">
        <f>IF(Base_Periodo1[[#This Row],[Tipo_Linha]]="Fora do DRE","Fora do DRE","( "&amp;Base_Periodo1[[#This Row],[Tipo_Linha]]&amp;" ) "&amp;Base_Periodo1[[#This Row],[Filtro]])</f>
        <v>Fora do DRE</v>
      </c>
      <c r="W3077" s="3" t="str">
        <f>LEFT(Base_Periodo1[[#This Row],[CLASS]],3)</f>
        <v>2.1</v>
      </c>
    </row>
    <row r="3078" spans="1:23" hidden="1">
      <c r="A3078" s="3" t="str">
        <f t="shared" ref="A3078:A3141" si="48">"Período 1"</f>
        <v>Período 1</v>
      </c>
      <c r="B3078">
        <v>52540</v>
      </c>
      <c r="C3078" t="s">
        <v>1745</v>
      </c>
      <c r="D3078" t="s">
        <v>6889</v>
      </c>
      <c r="E3078" s="3" t="str">
        <f>IF(LEN(Base_Periodo1[[#This Row],[CLASS]])&gt;=7,LEFT(Base_Periodo1[[#This Row],[CLASS]],7),"")</f>
        <v>2.1.2.1</v>
      </c>
      <c r="F3078" s="3" t="str">
        <f>VLOOKUP(Base_Periodo1[[#This Row],[Aux]],Base_Contas_Balanco[#All],2,FALSE)</f>
        <v>Fornecedores Cooperados</v>
      </c>
      <c r="G3078" s="1">
        <v>42872</v>
      </c>
      <c r="I3078" s="225">
        <v>1976</v>
      </c>
      <c r="J3078" s="225">
        <v>1976</v>
      </c>
      <c r="K3078" s="225">
        <v>0</v>
      </c>
      <c r="L30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078" s="225">
        <f>ROUND(IF(AND(Base_Periodo1[[#This Row],[Tipo_Linha]]="-",Base_Periodo1[[#This Row],[TIPOSALDO]]="D"),Base_Periodo1[[#This Row],[SALDO_ATUAL]]*-1,Base_Periodo1[[#This Row],[SALDO_ATUAL]]),4)</f>
        <v>0</v>
      </c>
      <c r="N3078" t="s">
        <v>116</v>
      </c>
      <c r="O3078" t="s">
        <v>436</v>
      </c>
      <c r="P3078" t="s">
        <v>436</v>
      </c>
      <c r="Q3078">
        <v>7</v>
      </c>
      <c r="R3078" s="225">
        <f>Base_Periodo1[[#This Row],[CREDITOS]]-Base_Periodo1[[#This Row],[DEBITOS]]</f>
        <v>0</v>
      </c>
      <c r="S3078" s="3" t="str">
        <f>IF(ISERROR(VLOOKUP(Base_Periodo1[[#This Row],[CONTA]],BaseContasDRE[#All],4,FALSE)),"Fora do DRE",VLOOKUP(Base_Periodo1[[#This Row],[CONTA]],BaseContasDRE[#All],4,FALSE))</f>
        <v>Fora do DRE</v>
      </c>
      <c r="T3078" s="3" t="str">
        <f>IF(ISERROR(VLOOKUP(Base_Periodo1[[#This Row],[CONTA]],BaseContasDRE[#All],5,FALSE)),"Fora do DRE",VLOOKUP(Base_Periodo1[[#This Row],[CONTA]],BaseContasDRE[#All],6,FALSE))</f>
        <v>Fora do DRE</v>
      </c>
      <c r="U3078" s="3" t="str">
        <f>IF(ISERROR(VLOOKUP(Base_Periodo1[[#This Row],[CONTA]],BaseContasDRE[#All],7,FALSE)),"Fora do DRE",VLOOKUP(Base_Periodo1[[#This Row],[CONTA]],BaseContasDRE[#All],7,FALSE))</f>
        <v>Fora do DRE</v>
      </c>
      <c r="V3078" s="3" t="str">
        <f>IF(Base_Periodo1[[#This Row],[Tipo_Linha]]="Fora do DRE","Fora do DRE","( "&amp;Base_Periodo1[[#This Row],[Tipo_Linha]]&amp;" ) "&amp;Base_Periodo1[[#This Row],[Filtro]])</f>
        <v>Fora do DRE</v>
      </c>
      <c r="W3078" s="3" t="str">
        <f>LEFT(Base_Periodo1[[#This Row],[CLASS]],3)</f>
        <v>2.1</v>
      </c>
    </row>
    <row r="3079" spans="1:23" hidden="1">
      <c r="A3079" s="3" t="str">
        <f t="shared" si="48"/>
        <v>Período 1</v>
      </c>
      <c r="B3079">
        <v>52586</v>
      </c>
      <c r="C3079" t="s">
        <v>1745</v>
      </c>
      <c r="D3079" t="s">
        <v>4764</v>
      </c>
      <c r="E3079" s="3" t="str">
        <f>IF(LEN(Base_Periodo1[[#This Row],[CLASS]])&gt;=7,LEFT(Base_Periodo1[[#This Row],[CLASS]],7),"")</f>
        <v>2.1.2.1</v>
      </c>
      <c r="F3079" s="3" t="str">
        <f>VLOOKUP(Base_Periodo1[[#This Row],[Aux]],Base_Contas_Balanco[#All],2,FALSE)</f>
        <v>Fornecedores Cooperados</v>
      </c>
      <c r="G3079" s="1">
        <v>42595</v>
      </c>
      <c r="H3079" s="225">
        <v>1.0000000002037268E-2</v>
      </c>
      <c r="I3079" s="225">
        <v>0</v>
      </c>
      <c r="J3079" s="225">
        <v>0</v>
      </c>
      <c r="K3079" s="225">
        <v>1.0000000002037268E-2</v>
      </c>
      <c r="L30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079" s="225">
        <f>ROUND(IF(AND(Base_Periodo1[[#This Row],[Tipo_Linha]]="-",Base_Periodo1[[#This Row],[TIPOSALDO]]="D"),Base_Periodo1[[#This Row],[SALDO_ATUAL]]*-1,Base_Periodo1[[#This Row],[SALDO_ATUAL]]),4)</f>
        <v>0.01</v>
      </c>
      <c r="N3079" t="s">
        <v>116</v>
      </c>
      <c r="O3079" t="s">
        <v>459</v>
      </c>
      <c r="P3079" t="s">
        <v>459</v>
      </c>
      <c r="Q3079">
        <v>7</v>
      </c>
      <c r="R3079" s="225">
        <f>Base_Periodo1[[#This Row],[CREDITOS]]-Base_Periodo1[[#This Row],[DEBITOS]]</f>
        <v>0</v>
      </c>
      <c r="S3079" s="3" t="str">
        <f>IF(ISERROR(VLOOKUP(Base_Periodo1[[#This Row],[CONTA]],BaseContasDRE[#All],4,FALSE)),"Fora do DRE",VLOOKUP(Base_Periodo1[[#This Row],[CONTA]],BaseContasDRE[#All],4,FALSE))</f>
        <v>Fora do DRE</v>
      </c>
      <c r="T3079" s="3" t="str">
        <f>IF(ISERROR(VLOOKUP(Base_Periodo1[[#This Row],[CONTA]],BaseContasDRE[#All],5,FALSE)),"Fora do DRE",VLOOKUP(Base_Periodo1[[#This Row],[CONTA]],BaseContasDRE[#All],6,FALSE))</f>
        <v>Fora do DRE</v>
      </c>
      <c r="U3079" s="3" t="str">
        <f>IF(ISERROR(VLOOKUP(Base_Periodo1[[#This Row],[CONTA]],BaseContasDRE[#All],7,FALSE)),"Fora do DRE",VLOOKUP(Base_Periodo1[[#This Row],[CONTA]],BaseContasDRE[#All],7,FALSE))</f>
        <v>Fora do DRE</v>
      </c>
      <c r="V3079" s="3" t="str">
        <f>IF(Base_Periodo1[[#This Row],[Tipo_Linha]]="Fora do DRE","Fora do DRE","( "&amp;Base_Periodo1[[#This Row],[Tipo_Linha]]&amp;" ) "&amp;Base_Periodo1[[#This Row],[Filtro]])</f>
        <v>Fora do DRE</v>
      </c>
      <c r="W3079" s="3" t="str">
        <f>LEFT(Base_Periodo1[[#This Row],[CLASS]],3)</f>
        <v>2.1</v>
      </c>
    </row>
    <row r="3080" spans="1:23" hidden="1">
      <c r="A3080" s="3" t="str">
        <f t="shared" si="48"/>
        <v>Período 1</v>
      </c>
      <c r="B3080">
        <v>2974</v>
      </c>
      <c r="C3080" t="s">
        <v>1745</v>
      </c>
      <c r="D3080" t="s">
        <v>1940</v>
      </c>
      <c r="E3080" s="3" t="str">
        <f>IF(LEN(Base_Periodo1[[#This Row],[CLASS]])&gt;=7,LEFT(Base_Periodo1[[#This Row],[CLASS]],7),"")</f>
        <v>2.1.2.1</v>
      </c>
      <c r="F3080" s="3" t="str">
        <f>VLOOKUP(Base_Periodo1[[#This Row],[Aux]],Base_Contas_Balanco[#All],2,FALSE)</f>
        <v>Fornecedores Cooperados</v>
      </c>
      <c r="G3080" s="1">
        <v>42012</v>
      </c>
      <c r="H3080" s="225">
        <v>0.13000000000101863</v>
      </c>
      <c r="I3080" s="225">
        <v>0</v>
      </c>
      <c r="J3080" s="225">
        <v>0</v>
      </c>
      <c r="K3080" s="225">
        <v>0.13000000000101863</v>
      </c>
      <c r="L30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0.13</v>
      </c>
      <c r="M3080" s="225">
        <f>ROUND(IF(AND(Base_Periodo1[[#This Row],[Tipo_Linha]]="-",Base_Periodo1[[#This Row],[TIPOSALDO]]="D"),Base_Periodo1[[#This Row],[SALDO_ATUAL]]*-1,Base_Periodo1[[#This Row],[SALDO_ATUAL]]),4)</f>
        <v>0.13</v>
      </c>
      <c r="N3080" t="s">
        <v>116</v>
      </c>
      <c r="O3080" t="s">
        <v>459</v>
      </c>
      <c r="P3080" t="s">
        <v>459</v>
      </c>
      <c r="Q3080">
        <v>7</v>
      </c>
      <c r="R3080" s="225">
        <f>Base_Periodo1[[#This Row],[CREDITOS]]-Base_Periodo1[[#This Row],[DEBITOS]]</f>
        <v>0</v>
      </c>
      <c r="S3080" s="3" t="str">
        <f>IF(ISERROR(VLOOKUP(Base_Periodo1[[#This Row],[CONTA]],BaseContasDRE[#All],4,FALSE)),"Fora do DRE",VLOOKUP(Base_Periodo1[[#This Row],[CONTA]],BaseContasDRE[#All],4,FALSE))</f>
        <v>Fora do DRE</v>
      </c>
      <c r="T3080" s="3" t="str">
        <f>IF(ISERROR(VLOOKUP(Base_Periodo1[[#This Row],[CONTA]],BaseContasDRE[#All],5,FALSE)),"Fora do DRE",VLOOKUP(Base_Periodo1[[#This Row],[CONTA]],BaseContasDRE[#All],6,FALSE))</f>
        <v>Fora do DRE</v>
      </c>
      <c r="U3080" s="3" t="str">
        <f>IF(ISERROR(VLOOKUP(Base_Periodo1[[#This Row],[CONTA]],BaseContasDRE[#All],7,FALSE)),"Fora do DRE",VLOOKUP(Base_Periodo1[[#This Row],[CONTA]],BaseContasDRE[#All],7,FALSE))</f>
        <v>Fora do DRE</v>
      </c>
      <c r="V3080" s="3" t="str">
        <f>IF(Base_Periodo1[[#This Row],[Tipo_Linha]]="Fora do DRE","Fora do DRE","( "&amp;Base_Periodo1[[#This Row],[Tipo_Linha]]&amp;" ) "&amp;Base_Periodo1[[#This Row],[Filtro]])</f>
        <v>Fora do DRE</v>
      </c>
      <c r="W3080" s="3" t="str">
        <f>LEFT(Base_Periodo1[[#This Row],[CLASS]],3)</f>
        <v>2.1</v>
      </c>
    </row>
    <row r="3081" spans="1:23" hidden="1">
      <c r="A3081" s="3" t="str">
        <f t="shared" si="48"/>
        <v>Período 1</v>
      </c>
      <c r="B3081">
        <v>3334</v>
      </c>
      <c r="C3081" t="s">
        <v>1745</v>
      </c>
      <c r="D3081" t="s">
        <v>1941</v>
      </c>
      <c r="E3081" s="3" t="str">
        <f>IF(LEN(Base_Periodo1[[#This Row],[CLASS]])&gt;=7,LEFT(Base_Periodo1[[#This Row],[CLASS]],7),"")</f>
        <v>2.1.2.1</v>
      </c>
      <c r="F3081" s="3" t="str">
        <f>VLOOKUP(Base_Periodo1[[#This Row],[Aux]],Base_Contas_Balanco[#All],2,FALSE)</f>
        <v>Fornecedores Cooperados</v>
      </c>
      <c r="G3081" s="1">
        <v>42879</v>
      </c>
      <c r="H3081" s="225">
        <v>28686.190000000643</v>
      </c>
      <c r="I3081" s="225">
        <v>17710</v>
      </c>
      <c r="J3081" s="225">
        <v>0</v>
      </c>
      <c r="K3081" s="225">
        <v>10976.190000000643</v>
      </c>
      <c r="L30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10976.19</v>
      </c>
      <c r="M3081" s="225">
        <f>ROUND(IF(AND(Base_Periodo1[[#This Row],[Tipo_Linha]]="-",Base_Periodo1[[#This Row],[TIPOSALDO]]="D"),Base_Periodo1[[#This Row],[SALDO_ATUAL]]*-1,Base_Periodo1[[#This Row],[SALDO_ATUAL]]),4)</f>
        <v>10976.19</v>
      </c>
      <c r="N3081" t="s">
        <v>116</v>
      </c>
      <c r="O3081" t="s">
        <v>459</v>
      </c>
      <c r="P3081" t="s">
        <v>459</v>
      </c>
      <c r="Q3081">
        <v>7</v>
      </c>
      <c r="R3081" s="225">
        <f>Base_Periodo1[[#This Row],[CREDITOS]]-Base_Periodo1[[#This Row],[DEBITOS]]</f>
        <v>-17710</v>
      </c>
      <c r="S3081" s="3" t="str">
        <f>IF(ISERROR(VLOOKUP(Base_Periodo1[[#This Row],[CONTA]],BaseContasDRE[#All],4,FALSE)),"Fora do DRE",VLOOKUP(Base_Periodo1[[#This Row],[CONTA]],BaseContasDRE[#All],4,FALSE))</f>
        <v>Fora do DRE</v>
      </c>
      <c r="T3081" s="3" t="str">
        <f>IF(ISERROR(VLOOKUP(Base_Periodo1[[#This Row],[CONTA]],BaseContasDRE[#All],5,FALSE)),"Fora do DRE",VLOOKUP(Base_Periodo1[[#This Row],[CONTA]],BaseContasDRE[#All],6,FALSE))</f>
        <v>Fora do DRE</v>
      </c>
      <c r="U3081" s="3" t="str">
        <f>IF(ISERROR(VLOOKUP(Base_Periodo1[[#This Row],[CONTA]],BaseContasDRE[#All],7,FALSE)),"Fora do DRE",VLOOKUP(Base_Periodo1[[#This Row],[CONTA]],BaseContasDRE[#All],7,FALSE))</f>
        <v>Fora do DRE</v>
      </c>
      <c r="V3081" s="3" t="str">
        <f>IF(Base_Periodo1[[#This Row],[Tipo_Linha]]="Fora do DRE","Fora do DRE","( "&amp;Base_Periodo1[[#This Row],[Tipo_Linha]]&amp;" ) "&amp;Base_Periodo1[[#This Row],[Filtro]])</f>
        <v>Fora do DRE</v>
      </c>
      <c r="W3081" s="3" t="str">
        <f>LEFT(Base_Periodo1[[#This Row],[CLASS]],3)</f>
        <v>2.1</v>
      </c>
    </row>
    <row r="3082" spans="1:23" hidden="1">
      <c r="A3082" s="3" t="str">
        <f t="shared" si="48"/>
        <v>Período 1</v>
      </c>
      <c r="B3082">
        <v>13006</v>
      </c>
      <c r="C3082" t="s">
        <v>1745</v>
      </c>
      <c r="D3082" t="s">
        <v>6392</v>
      </c>
      <c r="E3082" s="3" t="str">
        <f>IF(LEN(Base_Periodo1[[#This Row],[CLASS]])&gt;=7,LEFT(Base_Periodo1[[#This Row],[CLASS]],7),"")</f>
        <v>2.1.2.1</v>
      </c>
      <c r="F3082" s="3" t="str">
        <f>VLOOKUP(Base_Periodo1[[#This Row],[Aux]],Base_Contas_Balanco[#All],2,FALSE)</f>
        <v>Fornecedores Cooperados</v>
      </c>
      <c r="G3082" s="1">
        <v>42849</v>
      </c>
      <c r="H3082" s="225">
        <v>108147.80999999994</v>
      </c>
      <c r="I3082" s="225">
        <v>0</v>
      </c>
      <c r="J3082" s="225">
        <v>0</v>
      </c>
      <c r="K3082" s="225">
        <v>108147.80999999994</v>
      </c>
      <c r="L30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108147.81</v>
      </c>
      <c r="M3082" s="225">
        <f>ROUND(IF(AND(Base_Periodo1[[#This Row],[Tipo_Linha]]="-",Base_Periodo1[[#This Row],[TIPOSALDO]]="D"),Base_Periodo1[[#This Row],[SALDO_ATUAL]]*-1,Base_Periodo1[[#This Row],[SALDO_ATUAL]]),4)</f>
        <v>108147.81</v>
      </c>
      <c r="N3082" t="s">
        <v>116</v>
      </c>
      <c r="O3082" t="s">
        <v>459</v>
      </c>
      <c r="P3082" t="s">
        <v>459</v>
      </c>
      <c r="Q3082">
        <v>7</v>
      </c>
      <c r="R3082" s="225">
        <f>Base_Periodo1[[#This Row],[CREDITOS]]-Base_Periodo1[[#This Row],[DEBITOS]]</f>
        <v>0</v>
      </c>
      <c r="S3082" s="3" t="str">
        <f>IF(ISERROR(VLOOKUP(Base_Periodo1[[#This Row],[CONTA]],BaseContasDRE[#All],4,FALSE)),"Fora do DRE",VLOOKUP(Base_Periodo1[[#This Row],[CONTA]],BaseContasDRE[#All],4,FALSE))</f>
        <v>Fora do DRE</v>
      </c>
      <c r="T3082" s="3" t="str">
        <f>IF(ISERROR(VLOOKUP(Base_Periodo1[[#This Row],[CONTA]],BaseContasDRE[#All],5,FALSE)),"Fora do DRE",VLOOKUP(Base_Periodo1[[#This Row],[CONTA]],BaseContasDRE[#All],6,FALSE))</f>
        <v>Fora do DRE</v>
      </c>
      <c r="U3082" s="3" t="str">
        <f>IF(ISERROR(VLOOKUP(Base_Periodo1[[#This Row],[CONTA]],BaseContasDRE[#All],7,FALSE)),"Fora do DRE",VLOOKUP(Base_Periodo1[[#This Row],[CONTA]],BaseContasDRE[#All],7,FALSE))</f>
        <v>Fora do DRE</v>
      </c>
      <c r="V3082" s="3" t="str">
        <f>IF(Base_Periodo1[[#This Row],[Tipo_Linha]]="Fora do DRE","Fora do DRE","( "&amp;Base_Periodo1[[#This Row],[Tipo_Linha]]&amp;" ) "&amp;Base_Periodo1[[#This Row],[Filtro]])</f>
        <v>Fora do DRE</v>
      </c>
      <c r="W3082" s="3" t="str">
        <f>LEFT(Base_Periodo1[[#This Row],[CLASS]],3)</f>
        <v>2.1</v>
      </c>
    </row>
    <row r="3083" spans="1:23" hidden="1">
      <c r="A3083" s="3" t="str">
        <f t="shared" si="48"/>
        <v>Período 1</v>
      </c>
      <c r="B3083">
        <v>39761</v>
      </c>
      <c r="C3083" t="s">
        <v>1745</v>
      </c>
      <c r="D3083" t="s">
        <v>6393</v>
      </c>
      <c r="E3083" s="3" t="str">
        <f>IF(LEN(Base_Periodo1[[#This Row],[CLASS]])&gt;=7,LEFT(Base_Periodo1[[#This Row],[CLASS]],7),"")</f>
        <v>2.1.2.1</v>
      </c>
      <c r="F3083" s="3" t="str">
        <f>VLOOKUP(Base_Periodo1[[#This Row],[Aux]],Base_Contas_Balanco[#All],2,FALSE)</f>
        <v>Fornecedores Cooperados</v>
      </c>
      <c r="G3083" s="1">
        <v>42845</v>
      </c>
      <c r="H3083" s="225">
        <v>2204.8500000000022</v>
      </c>
      <c r="I3083" s="225">
        <v>0</v>
      </c>
      <c r="J3083" s="225">
        <v>0</v>
      </c>
      <c r="K3083" s="225">
        <v>2204.8500000000022</v>
      </c>
      <c r="L30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2204.85</v>
      </c>
      <c r="M3083" s="225">
        <f>ROUND(IF(AND(Base_Periodo1[[#This Row],[Tipo_Linha]]="-",Base_Periodo1[[#This Row],[TIPOSALDO]]="D"),Base_Periodo1[[#This Row],[SALDO_ATUAL]]*-1,Base_Periodo1[[#This Row],[SALDO_ATUAL]]),4)</f>
        <v>2204.85</v>
      </c>
      <c r="N3083" t="s">
        <v>116</v>
      </c>
      <c r="O3083" t="s">
        <v>459</v>
      </c>
      <c r="P3083" t="s">
        <v>459</v>
      </c>
      <c r="Q3083">
        <v>7</v>
      </c>
      <c r="R3083" s="225">
        <f>Base_Periodo1[[#This Row],[CREDITOS]]-Base_Periodo1[[#This Row],[DEBITOS]]</f>
        <v>0</v>
      </c>
      <c r="S3083" s="3" t="str">
        <f>IF(ISERROR(VLOOKUP(Base_Periodo1[[#This Row],[CONTA]],BaseContasDRE[#All],4,FALSE)),"Fora do DRE",VLOOKUP(Base_Periodo1[[#This Row],[CONTA]],BaseContasDRE[#All],4,FALSE))</f>
        <v>Fora do DRE</v>
      </c>
      <c r="T3083" s="3" t="str">
        <f>IF(ISERROR(VLOOKUP(Base_Periodo1[[#This Row],[CONTA]],BaseContasDRE[#All],5,FALSE)),"Fora do DRE",VLOOKUP(Base_Periodo1[[#This Row],[CONTA]],BaseContasDRE[#All],6,FALSE))</f>
        <v>Fora do DRE</v>
      </c>
      <c r="U3083" s="3" t="str">
        <f>IF(ISERROR(VLOOKUP(Base_Periodo1[[#This Row],[CONTA]],BaseContasDRE[#All],7,FALSE)),"Fora do DRE",VLOOKUP(Base_Periodo1[[#This Row],[CONTA]],BaseContasDRE[#All],7,FALSE))</f>
        <v>Fora do DRE</v>
      </c>
      <c r="V3083" s="3" t="str">
        <f>IF(Base_Periodo1[[#This Row],[Tipo_Linha]]="Fora do DRE","Fora do DRE","( "&amp;Base_Periodo1[[#This Row],[Tipo_Linha]]&amp;" ) "&amp;Base_Periodo1[[#This Row],[Filtro]])</f>
        <v>Fora do DRE</v>
      </c>
      <c r="W3083" s="3" t="str">
        <f>LEFT(Base_Periodo1[[#This Row],[CLASS]],3)</f>
        <v>2.1</v>
      </c>
    </row>
    <row r="3084" spans="1:23" hidden="1">
      <c r="A3084" s="3" t="str">
        <f t="shared" si="48"/>
        <v>Período 1</v>
      </c>
      <c r="B3084">
        <v>13814</v>
      </c>
      <c r="C3084" t="s">
        <v>1745</v>
      </c>
      <c r="D3084" t="s">
        <v>1942</v>
      </c>
      <c r="E3084" s="3" t="str">
        <f>IF(LEN(Base_Periodo1[[#This Row],[CLASS]])&gt;=7,LEFT(Base_Periodo1[[#This Row],[CLASS]],7),"")</f>
        <v>2.1.2.1</v>
      </c>
      <c r="F3084" s="3" t="str">
        <f>VLOOKUP(Base_Periodo1[[#This Row],[Aux]],Base_Contas_Balanco[#All],2,FALSE)</f>
        <v>Fornecedores Cooperados</v>
      </c>
      <c r="G3084" s="1">
        <v>42794</v>
      </c>
      <c r="H3084" s="225">
        <v>1539.9999999999927</v>
      </c>
      <c r="I3084" s="225">
        <v>0</v>
      </c>
      <c r="J3084" s="225">
        <v>0</v>
      </c>
      <c r="K3084" s="225">
        <v>1539.9999999999927</v>
      </c>
      <c r="L30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1540</v>
      </c>
      <c r="M3084" s="225">
        <f>ROUND(IF(AND(Base_Periodo1[[#This Row],[Tipo_Linha]]="-",Base_Periodo1[[#This Row],[TIPOSALDO]]="D"),Base_Periodo1[[#This Row],[SALDO_ATUAL]]*-1,Base_Periodo1[[#This Row],[SALDO_ATUAL]]),4)</f>
        <v>1540</v>
      </c>
      <c r="N3084" t="s">
        <v>116</v>
      </c>
      <c r="O3084" t="s">
        <v>459</v>
      </c>
      <c r="P3084" t="s">
        <v>459</v>
      </c>
      <c r="Q3084">
        <v>7</v>
      </c>
      <c r="R3084" s="225">
        <f>Base_Periodo1[[#This Row],[CREDITOS]]-Base_Periodo1[[#This Row],[DEBITOS]]</f>
        <v>0</v>
      </c>
      <c r="S3084" s="3" t="str">
        <f>IF(ISERROR(VLOOKUP(Base_Periodo1[[#This Row],[CONTA]],BaseContasDRE[#All],4,FALSE)),"Fora do DRE",VLOOKUP(Base_Periodo1[[#This Row],[CONTA]],BaseContasDRE[#All],4,FALSE))</f>
        <v>Fora do DRE</v>
      </c>
      <c r="T3084" s="3" t="str">
        <f>IF(ISERROR(VLOOKUP(Base_Periodo1[[#This Row],[CONTA]],BaseContasDRE[#All],5,FALSE)),"Fora do DRE",VLOOKUP(Base_Periodo1[[#This Row],[CONTA]],BaseContasDRE[#All],6,FALSE))</f>
        <v>Fora do DRE</v>
      </c>
      <c r="U3084" s="3" t="str">
        <f>IF(ISERROR(VLOOKUP(Base_Periodo1[[#This Row],[CONTA]],BaseContasDRE[#All],7,FALSE)),"Fora do DRE",VLOOKUP(Base_Periodo1[[#This Row],[CONTA]],BaseContasDRE[#All],7,FALSE))</f>
        <v>Fora do DRE</v>
      </c>
      <c r="V3084" s="3" t="str">
        <f>IF(Base_Periodo1[[#This Row],[Tipo_Linha]]="Fora do DRE","Fora do DRE","( "&amp;Base_Periodo1[[#This Row],[Tipo_Linha]]&amp;" ) "&amp;Base_Periodo1[[#This Row],[Filtro]])</f>
        <v>Fora do DRE</v>
      </c>
      <c r="W3084" s="3" t="str">
        <f>LEFT(Base_Periodo1[[#This Row],[CLASS]],3)</f>
        <v>2.1</v>
      </c>
    </row>
    <row r="3085" spans="1:23" hidden="1">
      <c r="A3085" s="3" t="str">
        <f t="shared" si="48"/>
        <v>Período 1</v>
      </c>
      <c r="B3085">
        <v>53966</v>
      </c>
      <c r="C3085" t="s">
        <v>1745</v>
      </c>
      <c r="D3085" t="s">
        <v>5222</v>
      </c>
      <c r="E3085" s="3" t="str">
        <f>IF(LEN(Base_Periodo1[[#This Row],[CLASS]])&gt;=7,LEFT(Base_Periodo1[[#This Row],[CLASS]],7),"")</f>
        <v>2.1.2.1</v>
      </c>
      <c r="F3085" s="3" t="str">
        <f>VLOOKUP(Base_Periodo1[[#This Row],[Aux]],Base_Contas_Balanco[#All],2,FALSE)</f>
        <v>Fornecedores Cooperados</v>
      </c>
      <c r="G3085" s="1">
        <v>42768</v>
      </c>
      <c r="H3085" s="225">
        <v>37.25</v>
      </c>
      <c r="I3085" s="225">
        <v>0</v>
      </c>
      <c r="J3085" s="225">
        <v>0</v>
      </c>
      <c r="K3085" s="225">
        <v>37.25</v>
      </c>
      <c r="L30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37.25</v>
      </c>
      <c r="M3085" s="225">
        <f>ROUND(IF(AND(Base_Periodo1[[#This Row],[Tipo_Linha]]="-",Base_Periodo1[[#This Row],[TIPOSALDO]]="D"),Base_Periodo1[[#This Row],[SALDO_ATUAL]]*-1,Base_Periodo1[[#This Row],[SALDO_ATUAL]]),4)</f>
        <v>37.25</v>
      </c>
      <c r="N3085" t="s">
        <v>116</v>
      </c>
      <c r="O3085" t="s">
        <v>459</v>
      </c>
      <c r="P3085" t="s">
        <v>459</v>
      </c>
      <c r="Q3085">
        <v>7</v>
      </c>
      <c r="R3085" s="225">
        <f>Base_Periodo1[[#This Row],[CREDITOS]]-Base_Periodo1[[#This Row],[DEBITOS]]</f>
        <v>0</v>
      </c>
      <c r="S3085" s="3" t="str">
        <f>IF(ISERROR(VLOOKUP(Base_Periodo1[[#This Row],[CONTA]],BaseContasDRE[#All],4,FALSE)),"Fora do DRE",VLOOKUP(Base_Periodo1[[#This Row],[CONTA]],BaseContasDRE[#All],4,FALSE))</f>
        <v>Fora do DRE</v>
      </c>
      <c r="T3085" s="3" t="str">
        <f>IF(ISERROR(VLOOKUP(Base_Periodo1[[#This Row],[CONTA]],BaseContasDRE[#All],5,FALSE)),"Fora do DRE",VLOOKUP(Base_Periodo1[[#This Row],[CONTA]],BaseContasDRE[#All],6,FALSE))</f>
        <v>Fora do DRE</v>
      </c>
      <c r="U3085" s="3" t="str">
        <f>IF(ISERROR(VLOOKUP(Base_Periodo1[[#This Row],[CONTA]],BaseContasDRE[#All],7,FALSE)),"Fora do DRE",VLOOKUP(Base_Periodo1[[#This Row],[CONTA]],BaseContasDRE[#All],7,FALSE))</f>
        <v>Fora do DRE</v>
      </c>
      <c r="V3085" s="3" t="str">
        <f>IF(Base_Periodo1[[#This Row],[Tipo_Linha]]="Fora do DRE","Fora do DRE","( "&amp;Base_Periodo1[[#This Row],[Tipo_Linha]]&amp;" ) "&amp;Base_Periodo1[[#This Row],[Filtro]])</f>
        <v>Fora do DRE</v>
      </c>
      <c r="W3085" s="3" t="str">
        <f>LEFT(Base_Periodo1[[#This Row],[CLASS]],3)</f>
        <v>2.1</v>
      </c>
    </row>
    <row r="3086" spans="1:23" hidden="1">
      <c r="A3086" s="3" t="str">
        <f t="shared" si="48"/>
        <v>Período 1</v>
      </c>
      <c r="B3086">
        <v>2294</v>
      </c>
      <c r="C3086" t="s">
        <v>1745</v>
      </c>
      <c r="D3086" t="s">
        <v>5223</v>
      </c>
      <c r="E3086" s="3" t="str">
        <f>IF(LEN(Base_Periodo1[[#This Row],[CLASS]])&gt;=7,LEFT(Base_Periodo1[[#This Row],[CLASS]],7),"")</f>
        <v>2.1.2.1</v>
      </c>
      <c r="F3086" s="3" t="str">
        <f>VLOOKUP(Base_Periodo1[[#This Row],[Aux]],Base_Contas_Balanco[#All],2,FALSE)</f>
        <v>Fornecedores Cooperados</v>
      </c>
      <c r="G3086" s="1">
        <v>42789</v>
      </c>
      <c r="H3086" s="225">
        <v>250</v>
      </c>
      <c r="I3086" s="225">
        <v>0</v>
      </c>
      <c r="J3086" s="225">
        <v>0</v>
      </c>
      <c r="K3086" s="225">
        <v>250</v>
      </c>
      <c r="L30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250</v>
      </c>
      <c r="M3086" s="225">
        <f>ROUND(IF(AND(Base_Periodo1[[#This Row],[Tipo_Linha]]="-",Base_Periodo1[[#This Row],[TIPOSALDO]]="D"),Base_Periodo1[[#This Row],[SALDO_ATUAL]]*-1,Base_Periodo1[[#This Row],[SALDO_ATUAL]]),4)</f>
        <v>250</v>
      </c>
      <c r="N3086" t="s">
        <v>116</v>
      </c>
      <c r="O3086" t="s">
        <v>459</v>
      </c>
      <c r="P3086" t="s">
        <v>459</v>
      </c>
      <c r="Q3086">
        <v>7</v>
      </c>
      <c r="R3086" s="225">
        <f>Base_Periodo1[[#This Row],[CREDITOS]]-Base_Periodo1[[#This Row],[DEBITOS]]</f>
        <v>0</v>
      </c>
      <c r="S3086" s="3" t="str">
        <f>IF(ISERROR(VLOOKUP(Base_Periodo1[[#This Row],[CONTA]],BaseContasDRE[#All],4,FALSE)),"Fora do DRE",VLOOKUP(Base_Periodo1[[#This Row],[CONTA]],BaseContasDRE[#All],4,FALSE))</f>
        <v>Fora do DRE</v>
      </c>
      <c r="T3086" s="3" t="str">
        <f>IF(ISERROR(VLOOKUP(Base_Periodo1[[#This Row],[CONTA]],BaseContasDRE[#All],5,FALSE)),"Fora do DRE",VLOOKUP(Base_Periodo1[[#This Row],[CONTA]],BaseContasDRE[#All],6,FALSE))</f>
        <v>Fora do DRE</v>
      </c>
      <c r="U3086" s="3" t="str">
        <f>IF(ISERROR(VLOOKUP(Base_Periodo1[[#This Row],[CONTA]],BaseContasDRE[#All],7,FALSE)),"Fora do DRE",VLOOKUP(Base_Periodo1[[#This Row],[CONTA]],BaseContasDRE[#All],7,FALSE))</f>
        <v>Fora do DRE</v>
      </c>
      <c r="V3086" s="3" t="str">
        <f>IF(Base_Periodo1[[#This Row],[Tipo_Linha]]="Fora do DRE","Fora do DRE","( "&amp;Base_Periodo1[[#This Row],[Tipo_Linha]]&amp;" ) "&amp;Base_Periodo1[[#This Row],[Filtro]])</f>
        <v>Fora do DRE</v>
      </c>
      <c r="W3086" s="3" t="str">
        <f>LEFT(Base_Periodo1[[#This Row],[CLASS]],3)</f>
        <v>2.1</v>
      </c>
    </row>
    <row r="3087" spans="1:23" hidden="1">
      <c r="A3087" s="3" t="str">
        <f t="shared" si="48"/>
        <v>Período 1</v>
      </c>
      <c r="B3087">
        <v>24496</v>
      </c>
      <c r="C3087" t="s">
        <v>1745</v>
      </c>
      <c r="D3087" t="s">
        <v>1943</v>
      </c>
      <c r="E3087" s="3" t="str">
        <f>IF(LEN(Base_Periodo1[[#This Row],[CLASS]])&gt;=7,LEFT(Base_Periodo1[[#This Row],[CLASS]],7),"")</f>
        <v>2.1.2.1</v>
      </c>
      <c r="F3087" s="3" t="str">
        <f>VLOOKUP(Base_Periodo1[[#This Row],[Aux]],Base_Contas_Balanco[#All],2,FALSE)</f>
        <v>Fornecedores Cooperados</v>
      </c>
      <c r="G3087" s="1">
        <v>42836</v>
      </c>
      <c r="H3087" s="225">
        <v>2321.5599999999977</v>
      </c>
      <c r="I3087" s="225">
        <v>0</v>
      </c>
      <c r="J3087" s="225">
        <v>0</v>
      </c>
      <c r="K3087" s="225">
        <v>2321.5599999999977</v>
      </c>
      <c r="L30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2321.56</v>
      </c>
      <c r="M3087" s="225">
        <f>ROUND(IF(AND(Base_Periodo1[[#This Row],[Tipo_Linha]]="-",Base_Periodo1[[#This Row],[TIPOSALDO]]="D"),Base_Periodo1[[#This Row],[SALDO_ATUAL]]*-1,Base_Periodo1[[#This Row],[SALDO_ATUAL]]),4)</f>
        <v>2321.56</v>
      </c>
      <c r="N3087" t="s">
        <v>116</v>
      </c>
      <c r="O3087" t="s">
        <v>459</v>
      </c>
      <c r="P3087" t="s">
        <v>459</v>
      </c>
      <c r="Q3087">
        <v>7</v>
      </c>
      <c r="R3087" s="225">
        <f>Base_Periodo1[[#This Row],[CREDITOS]]-Base_Periodo1[[#This Row],[DEBITOS]]</f>
        <v>0</v>
      </c>
      <c r="S3087" s="3" t="str">
        <f>IF(ISERROR(VLOOKUP(Base_Periodo1[[#This Row],[CONTA]],BaseContasDRE[#All],4,FALSE)),"Fora do DRE",VLOOKUP(Base_Periodo1[[#This Row],[CONTA]],BaseContasDRE[#All],4,FALSE))</f>
        <v>Fora do DRE</v>
      </c>
      <c r="T3087" s="3" t="str">
        <f>IF(ISERROR(VLOOKUP(Base_Periodo1[[#This Row],[CONTA]],BaseContasDRE[#All],5,FALSE)),"Fora do DRE",VLOOKUP(Base_Periodo1[[#This Row],[CONTA]],BaseContasDRE[#All],6,FALSE))</f>
        <v>Fora do DRE</v>
      </c>
      <c r="U3087" s="3" t="str">
        <f>IF(ISERROR(VLOOKUP(Base_Periodo1[[#This Row],[CONTA]],BaseContasDRE[#All],7,FALSE)),"Fora do DRE",VLOOKUP(Base_Periodo1[[#This Row],[CONTA]],BaseContasDRE[#All],7,FALSE))</f>
        <v>Fora do DRE</v>
      </c>
      <c r="V3087" s="3" t="str">
        <f>IF(Base_Periodo1[[#This Row],[Tipo_Linha]]="Fora do DRE","Fora do DRE","( "&amp;Base_Periodo1[[#This Row],[Tipo_Linha]]&amp;" ) "&amp;Base_Periodo1[[#This Row],[Filtro]])</f>
        <v>Fora do DRE</v>
      </c>
      <c r="W3087" s="3" t="str">
        <f>LEFT(Base_Periodo1[[#This Row],[CLASS]],3)</f>
        <v>2.1</v>
      </c>
    </row>
    <row r="3088" spans="1:23" hidden="1">
      <c r="A3088" s="3" t="str">
        <f t="shared" si="48"/>
        <v>Período 1</v>
      </c>
      <c r="B3088">
        <v>22835</v>
      </c>
      <c r="C3088" t="s">
        <v>1745</v>
      </c>
      <c r="D3088" t="s">
        <v>5224</v>
      </c>
      <c r="E3088" s="3" t="str">
        <f>IF(LEN(Base_Periodo1[[#This Row],[CLASS]])&gt;=7,LEFT(Base_Periodo1[[#This Row],[CLASS]],7),"")</f>
        <v>2.1.2.1</v>
      </c>
      <c r="F3088" s="3" t="str">
        <f>VLOOKUP(Base_Periodo1[[#This Row],[Aux]],Base_Contas_Balanco[#All],2,FALSE)</f>
        <v>Fornecedores Cooperados</v>
      </c>
      <c r="G3088" s="1">
        <v>42788</v>
      </c>
      <c r="H3088" s="225">
        <v>2076.8400000000038</v>
      </c>
      <c r="I3088" s="225">
        <v>0</v>
      </c>
      <c r="J3088" s="225">
        <v>0</v>
      </c>
      <c r="K3088" s="225">
        <v>2076.8400000000038</v>
      </c>
      <c r="L30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2076.84</v>
      </c>
      <c r="M3088" s="225">
        <f>ROUND(IF(AND(Base_Periodo1[[#This Row],[Tipo_Linha]]="-",Base_Periodo1[[#This Row],[TIPOSALDO]]="D"),Base_Periodo1[[#This Row],[SALDO_ATUAL]]*-1,Base_Periodo1[[#This Row],[SALDO_ATUAL]]),4)</f>
        <v>2076.84</v>
      </c>
      <c r="N3088" t="s">
        <v>116</v>
      </c>
      <c r="O3088" t="s">
        <v>459</v>
      </c>
      <c r="P3088" t="s">
        <v>459</v>
      </c>
      <c r="Q3088">
        <v>7</v>
      </c>
      <c r="R3088" s="225">
        <f>Base_Periodo1[[#This Row],[CREDITOS]]-Base_Periodo1[[#This Row],[DEBITOS]]</f>
        <v>0</v>
      </c>
      <c r="S3088" s="3" t="str">
        <f>IF(ISERROR(VLOOKUP(Base_Periodo1[[#This Row],[CONTA]],BaseContasDRE[#All],4,FALSE)),"Fora do DRE",VLOOKUP(Base_Periodo1[[#This Row],[CONTA]],BaseContasDRE[#All],4,FALSE))</f>
        <v>Fora do DRE</v>
      </c>
      <c r="T3088" s="3" t="str">
        <f>IF(ISERROR(VLOOKUP(Base_Periodo1[[#This Row],[CONTA]],BaseContasDRE[#All],5,FALSE)),"Fora do DRE",VLOOKUP(Base_Periodo1[[#This Row],[CONTA]],BaseContasDRE[#All],6,FALSE))</f>
        <v>Fora do DRE</v>
      </c>
      <c r="U3088" s="3" t="str">
        <f>IF(ISERROR(VLOOKUP(Base_Periodo1[[#This Row],[CONTA]],BaseContasDRE[#All],7,FALSE)),"Fora do DRE",VLOOKUP(Base_Periodo1[[#This Row],[CONTA]],BaseContasDRE[#All],7,FALSE))</f>
        <v>Fora do DRE</v>
      </c>
      <c r="V3088" s="3" t="str">
        <f>IF(Base_Periodo1[[#This Row],[Tipo_Linha]]="Fora do DRE","Fora do DRE","( "&amp;Base_Periodo1[[#This Row],[Tipo_Linha]]&amp;" ) "&amp;Base_Periodo1[[#This Row],[Filtro]])</f>
        <v>Fora do DRE</v>
      </c>
      <c r="W3088" s="3" t="str">
        <f>LEFT(Base_Periodo1[[#This Row],[CLASS]],3)</f>
        <v>2.1</v>
      </c>
    </row>
    <row r="3089" spans="1:23" hidden="1">
      <c r="A3089" s="3" t="str">
        <f t="shared" si="48"/>
        <v>Período 1</v>
      </c>
      <c r="B3089">
        <v>13494</v>
      </c>
      <c r="C3089" t="s">
        <v>1745</v>
      </c>
      <c r="D3089" t="s">
        <v>1944</v>
      </c>
      <c r="E3089" s="3" t="str">
        <f>IF(LEN(Base_Periodo1[[#This Row],[CLASS]])&gt;=7,LEFT(Base_Periodo1[[#This Row],[CLASS]],7),"")</f>
        <v>2.1.2.1</v>
      </c>
      <c r="F3089" s="3" t="str">
        <f>VLOOKUP(Base_Periodo1[[#This Row],[Aux]],Base_Contas_Balanco[#All],2,FALSE)</f>
        <v>Fornecedores Cooperados</v>
      </c>
      <c r="G3089" s="1">
        <v>41961</v>
      </c>
      <c r="H3089" s="225">
        <v>899.99999999999977</v>
      </c>
      <c r="I3089" s="225">
        <v>0</v>
      </c>
      <c r="J3089" s="225">
        <v>0</v>
      </c>
      <c r="K3089" s="225">
        <v>899.99999999999977</v>
      </c>
      <c r="L30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900</v>
      </c>
      <c r="M3089" s="225">
        <f>ROUND(IF(AND(Base_Periodo1[[#This Row],[Tipo_Linha]]="-",Base_Periodo1[[#This Row],[TIPOSALDO]]="D"),Base_Periodo1[[#This Row],[SALDO_ATUAL]]*-1,Base_Periodo1[[#This Row],[SALDO_ATUAL]]),4)</f>
        <v>900</v>
      </c>
      <c r="N3089" t="s">
        <v>116</v>
      </c>
      <c r="O3089" t="s">
        <v>459</v>
      </c>
      <c r="P3089" t="s">
        <v>459</v>
      </c>
      <c r="Q3089">
        <v>7</v>
      </c>
      <c r="R3089" s="225">
        <f>Base_Periodo1[[#This Row],[CREDITOS]]-Base_Periodo1[[#This Row],[DEBITOS]]</f>
        <v>0</v>
      </c>
      <c r="S3089" s="3" t="str">
        <f>IF(ISERROR(VLOOKUP(Base_Periodo1[[#This Row],[CONTA]],BaseContasDRE[#All],4,FALSE)),"Fora do DRE",VLOOKUP(Base_Periodo1[[#This Row],[CONTA]],BaseContasDRE[#All],4,FALSE))</f>
        <v>Fora do DRE</v>
      </c>
      <c r="T3089" s="3" t="str">
        <f>IF(ISERROR(VLOOKUP(Base_Periodo1[[#This Row],[CONTA]],BaseContasDRE[#All],5,FALSE)),"Fora do DRE",VLOOKUP(Base_Periodo1[[#This Row],[CONTA]],BaseContasDRE[#All],6,FALSE))</f>
        <v>Fora do DRE</v>
      </c>
      <c r="U3089" s="3" t="str">
        <f>IF(ISERROR(VLOOKUP(Base_Periodo1[[#This Row],[CONTA]],BaseContasDRE[#All],7,FALSE)),"Fora do DRE",VLOOKUP(Base_Periodo1[[#This Row],[CONTA]],BaseContasDRE[#All],7,FALSE))</f>
        <v>Fora do DRE</v>
      </c>
      <c r="V3089" s="3" t="str">
        <f>IF(Base_Periodo1[[#This Row],[Tipo_Linha]]="Fora do DRE","Fora do DRE","( "&amp;Base_Periodo1[[#This Row],[Tipo_Linha]]&amp;" ) "&amp;Base_Periodo1[[#This Row],[Filtro]])</f>
        <v>Fora do DRE</v>
      </c>
      <c r="W3089" s="3" t="str">
        <f>LEFT(Base_Periodo1[[#This Row],[CLASS]],3)</f>
        <v>2.1</v>
      </c>
    </row>
    <row r="3090" spans="1:23" hidden="1">
      <c r="A3090" s="3" t="str">
        <f t="shared" si="48"/>
        <v>Período 1</v>
      </c>
      <c r="B3090">
        <v>13658</v>
      </c>
      <c r="C3090" t="s">
        <v>1745</v>
      </c>
      <c r="D3090" t="s">
        <v>1945</v>
      </c>
      <c r="E3090" s="3" t="str">
        <f>IF(LEN(Base_Periodo1[[#This Row],[CLASS]])&gt;=7,LEFT(Base_Periodo1[[#This Row],[CLASS]],7),"")</f>
        <v>2.1.2.1</v>
      </c>
      <c r="F3090" s="3" t="str">
        <f>VLOOKUP(Base_Periodo1[[#This Row],[Aux]],Base_Contas_Balanco[#All],2,FALSE)</f>
        <v>Fornecedores Cooperados</v>
      </c>
      <c r="G3090" s="1">
        <v>42824</v>
      </c>
      <c r="H3090" s="225">
        <v>5596.2400000000052</v>
      </c>
      <c r="I3090" s="225">
        <v>0</v>
      </c>
      <c r="J3090" s="225">
        <v>0</v>
      </c>
      <c r="K3090" s="225">
        <v>5596.2400000000052</v>
      </c>
      <c r="L30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5596.24</v>
      </c>
      <c r="M3090" s="225">
        <f>ROUND(IF(AND(Base_Periodo1[[#This Row],[Tipo_Linha]]="-",Base_Periodo1[[#This Row],[TIPOSALDO]]="D"),Base_Periodo1[[#This Row],[SALDO_ATUAL]]*-1,Base_Periodo1[[#This Row],[SALDO_ATUAL]]),4)</f>
        <v>5596.24</v>
      </c>
      <c r="N3090" t="s">
        <v>116</v>
      </c>
      <c r="O3090" t="s">
        <v>459</v>
      </c>
      <c r="P3090" t="s">
        <v>459</v>
      </c>
      <c r="Q3090">
        <v>7</v>
      </c>
      <c r="R3090" s="225">
        <f>Base_Periodo1[[#This Row],[CREDITOS]]-Base_Periodo1[[#This Row],[DEBITOS]]</f>
        <v>0</v>
      </c>
      <c r="S3090" s="3" t="str">
        <f>IF(ISERROR(VLOOKUP(Base_Periodo1[[#This Row],[CONTA]],BaseContasDRE[#All],4,FALSE)),"Fora do DRE",VLOOKUP(Base_Periodo1[[#This Row],[CONTA]],BaseContasDRE[#All],4,FALSE))</f>
        <v>Fora do DRE</v>
      </c>
      <c r="T3090" s="3" t="str">
        <f>IF(ISERROR(VLOOKUP(Base_Periodo1[[#This Row],[CONTA]],BaseContasDRE[#All],5,FALSE)),"Fora do DRE",VLOOKUP(Base_Periodo1[[#This Row],[CONTA]],BaseContasDRE[#All],6,FALSE))</f>
        <v>Fora do DRE</v>
      </c>
      <c r="U3090" s="3" t="str">
        <f>IF(ISERROR(VLOOKUP(Base_Periodo1[[#This Row],[CONTA]],BaseContasDRE[#All],7,FALSE)),"Fora do DRE",VLOOKUP(Base_Periodo1[[#This Row],[CONTA]],BaseContasDRE[#All],7,FALSE))</f>
        <v>Fora do DRE</v>
      </c>
      <c r="V3090" s="3" t="str">
        <f>IF(Base_Periodo1[[#This Row],[Tipo_Linha]]="Fora do DRE","Fora do DRE","( "&amp;Base_Periodo1[[#This Row],[Tipo_Linha]]&amp;" ) "&amp;Base_Periodo1[[#This Row],[Filtro]])</f>
        <v>Fora do DRE</v>
      </c>
      <c r="W3090" s="3" t="str">
        <f>LEFT(Base_Periodo1[[#This Row],[CLASS]],3)</f>
        <v>2.1</v>
      </c>
    </row>
    <row r="3091" spans="1:23" hidden="1">
      <c r="A3091" s="3" t="str">
        <f t="shared" si="48"/>
        <v>Período 1</v>
      </c>
      <c r="B3091">
        <v>3902</v>
      </c>
      <c r="C3091" t="s">
        <v>1745</v>
      </c>
      <c r="D3091" t="s">
        <v>1946</v>
      </c>
      <c r="E3091" s="3" t="str">
        <f>IF(LEN(Base_Periodo1[[#This Row],[CLASS]])&gt;=7,LEFT(Base_Periodo1[[#This Row],[CLASS]],7),"")</f>
        <v>2.1.2.1</v>
      </c>
      <c r="F3091" s="3" t="str">
        <f>VLOOKUP(Base_Periodo1[[#This Row],[Aux]],Base_Contas_Balanco[#All],2,FALSE)</f>
        <v>Fornecedores Cooperados</v>
      </c>
      <c r="G3091" s="1">
        <v>42186</v>
      </c>
      <c r="H3091" s="225">
        <v>5272.07</v>
      </c>
      <c r="I3091" s="225">
        <v>0</v>
      </c>
      <c r="J3091" s="225">
        <v>0</v>
      </c>
      <c r="K3091" s="225">
        <v>5272.07</v>
      </c>
      <c r="L30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5272.07</v>
      </c>
      <c r="M3091" s="225">
        <f>ROUND(IF(AND(Base_Periodo1[[#This Row],[Tipo_Linha]]="-",Base_Periodo1[[#This Row],[TIPOSALDO]]="D"),Base_Periodo1[[#This Row],[SALDO_ATUAL]]*-1,Base_Periodo1[[#This Row],[SALDO_ATUAL]]),4)</f>
        <v>5272.07</v>
      </c>
      <c r="N3091" t="s">
        <v>116</v>
      </c>
      <c r="O3091" t="s">
        <v>459</v>
      </c>
      <c r="P3091" t="s">
        <v>459</v>
      </c>
      <c r="Q3091">
        <v>7</v>
      </c>
      <c r="R3091" s="225">
        <f>Base_Periodo1[[#This Row],[CREDITOS]]-Base_Periodo1[[#This Row],[DEBITOS]]</f>
        <v>0</v>
      </c>
      <c r="S3091" s="3" t="str">
        <f>IF(ISERROR(VLOOKUP(Base_Periodo1[[#This Row],[CONTA]],BaseContasDRE[#All],4,FALSE)),"Fora do DRE",VLOOKUP(Base_Periodo1[[#This Row],[CONTA]],BaseContasDRE[#All],4,FALSE))</f>
        <v>Fora do DRE</v>
      </c>
      <c r="T3091" s="3" t="str">
        <f>IF(ISERROR(VLOOKUP(Base_Periodo1[[#This Row],[CONTA]],BaseContasDRE[#All],5,FALSE)),"Fora do DRE",VLOOKUP(Base_Periodo1[[#This Row],[CONTA]],BaseContasDRE[#All],6,FALSE))</f>
        <v>Fora do DRE</v>
      </c>
      <c r="U3091" s="3" t="str">
        <f>IF(ISERROR(VLOOKUP(Base_Periodo1[[#This Row],[CONTA]],BaseContasDRE[#All],7,FALSE)),"Fora do DRE",VLOOKUP(Base_Periodo1[[#This Row],[CONTA]],BaseContasDRE[#All],7,FALSE))</f>
        <v>Fora do DRE</v>
      </c>
      <c r="V3091" s="3" t="str">
        <f>IF(Base_Periodo1[[#This Row],[Tipo_Linha]]="Fora do DRE","Fora do DRE","( "&amp;Base_Periodo1[[#This Row],[Tipo_Linha]]&amp;" ) "&amp;Base_Periodo1[[#This Row],[Filtro]])</f>
        <v>Fora do DRE</v>
      </c>
      <c r="W3091" s="3" t="str">
        <f>LEFT(Base_Periodo1[[#This Row],[CLASS]],3)</f>
        <v>2.1</v>
      </c>
    </row>
    <row r="3092" spans="1:23" hidden="1">
      <c r="A3092" s="3" t="str">
        <f t="shared" si="48"/>
        <v>Período 1</v>
      </c>
      <c r="B3092">
        <v>2818</v>
      </c>
      <c r="C3092" t="s">
        <v>1745</v>
      </c>
      <c r="D3092" t="s">
        <v>1947</v>
      </c>
      <c r="E3092" s="3" t="str">
        <f>IF(LEN(Base_Periodo1[[#This Row],[CLASS]])&gt;=7,LEFT(Base_Periodo1[[#This Row],[CLASS]],7),"")</f>
        <v>2.1.2.1</v>
      </c>
      <c r="F3092" s="3" t="str">
        <f>VLOOKUP(Base_Periodo1[[#This Row],[Aux]],Base_Contas_Balanco[#All],2,FALSE)</f>
        <v>Fornecedores Cooperados</v>
      </c>
      <c r="G3092" s="1">
        <v>42634</v>
      </c>
      <c r="H3092" s="225">
        <v>168.31999999997788</v>
      </c>
      <c r="I3092" s="225">
        <v>0</v>
      </c>
      <c r="J3092" s="225">
        <v>0</v>
      </c>
      <c r="K3092" s="225">
        <v>168.31999999997788</v>
      </c>
      <c r="L30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168.32</v>
      </c>
      <c r="M3092" s="225">
        <f>ROUND(IF(AND(Base_Periodo1[[#This Row],[Tipo_Linha]]="-",Base_Periodo1[[#This Row],[TIPOSALDO]]="D"),Base_Periodo1[[#This Row],[SALDO_ATUAL]]*-1,Base_Periodo1[[#This Row],[SALDO_ATUAL]]),4)</f>
        <v>168.32</v>
      </c>
      <c r="N3092" t="s">
        <v>116</v>
      </c>
      <c r="O3092" t="s">
        <v>459</v>
      </c>
      <c r="P3092" t="s">
        <v>459</v>
      </c>
      <c r="Q3092">
        <v>7</v>
      </c>
      <c r="R3092" s="225">
        <f>Base_Periodo1[[#This Row],[CREDITOS]]-Base_Periodo1[[#This Row],[DEBITOS]]</f>
        <v>0</v>
      </c>
      <c r="S3092" s="3" t="str">
        <f>IF(ISERROR(VLOOKUP(Base_Periodo1[[#This Row],[CONTA]],BaseContasDRE[#All],4,FALSE)),"Fora do DRE",VLOOKUP(Base_Periodo1[[#This Row],[CONTA]],BaseContasDRE[#All],4,FALSE))</f>
        <v>Fora do DRE</v>
      </c>
      <c r="T3092" s="3" t="str">
        <f>IF(ISERROR(VLOOKUP(Base_Periodo1[[#This Row],[CONTA]],BaseContasDRE[#All],5,FALSE)),"Fora do DRE",VLOOKUP(Base_Periodo1[[#This Row],[CONTA]],BaseContasDRE[#All],6,FALSE))</f>
        <v>Fora do DRE</v>
      </c>
      <c r="U3092" s="3" t="str">
        <f>IF(ISERROR(VLOOKUP(Base_Periodo1[[#This Row],[CONTA]],BaseContasDRE[#All],7,FALSE)),"Fora do DRE",VLOOKUP(Base_Periodo1[[#This Row],[CONTA]],BaseContasDRE[#All],7,FALSE))</f>
        <v>Fora do DRE</v>
      </c>
      <c r="V3092" s="3" t="str">
        <f>IF(Base_Periodo1[[#This Row],[Tipo_Linha]]="Fora do DRE","Fora do DRE","( "&amp;Base_Periodo1[[#This Row],[Tipo_Linha]]&amp;" ) "&amp;Base_Periodo1[[#This Row],[Filtro]])</f>
        <v>Fora do DRE</v>
      </c>
      <c r="W3092" s="3" t="str">
        <f>LEFT(Base_Periodo1[[#This Row],[CLASS]],3)</f>
        <v>2.1</v>
      </c>
    </row>
    <row r="3093" spans="1:23" hidden="1">
      <c r="A3093" s="3" t="str">
        <f t="shared" si="48"/>
        <v>Período 1</v>
      </c>
      <c r="B3093">
        <v>8410</v>
      </c>
      <c r="C3093" t="s">
        <v>1745</v>
      </c>
      <c r="D3093" t="s">
        <v>1948</v>
      </c>
      <c r="E3093" s="3" t="str">
        <f>IF(LEN(Base_Periodo1[[#This Row],[CLASS]])&gt;=7,LEFT(Base_Periodo1[[#This Row],[CLASS]],7),"")</f>
        <v>2.1.2.1</v>
      </c>
      <c r="F3093" s="3" t="str">
        <f>VLOOKUP(Base_Periodo1[[#This Row],[Aux]],Base_Contas_Balanco[#All],2,FALSE)</f>
        <v>Fornecedores Cooperados</v>
      </c>
      <c r="G3093" s="1">
        <v>42760</v>
      </c>
      <c r="H3093" s="225">
        <v>12.069999999832362</v>
      </c>
      <c r="I3093" s="225">
        <v>0</v>
      </c>
      <c r="J3093" s="225">
        <v>0</v>
      </c>
      <c r="K3093" s="225">
        <v>12.069999999832362</v>
      </c>
      <c r="L30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12.07</v>
      </c>
      <c r="M3093" s="225">
        <f>ROUND(IF(AND(Base_Periodo1[[#This Row],[Tipo_Linha]]="-",Base_Periodo1[[#This Row],[TIPOSALDO]]="D"),Base_Periodo1[[#This Row],[SALDO_ATUAL]]*-1,Base_Periodo1[[#This Row],[SALDO_ATUAL]]),4)</f>
        <v>12.07</v>
      </c>
      <c r="N3093" t="s">
        <v>116</v>
      </c>
      <c r="O3093" t="s">
        <v>459</v>
      </c>
      <c r="P3093" t="s">
        <v>459</v>
      </c>
      <c r="Q3093">
        <v>7</v>
      </c>
      <c r="R3093" s="225">
        <f>Base_Periodo1[[#This Row],[CREDITOS]]-Base_Periodo1[[#This Row],[DEBITOS]]</f>
        <v>0</v>
      </c>
      <c r="S3093" s="3" t="str">
        <f>IF(ISERROR(VLOOKUP(Base_Periodo1[[#This Row],[CONTA]],BaseContasDRE[#All],4,FALSE)),"Fora do DRE",VLOOKUP(Base_Periodo1[[#This Row],[CONTA]],BaseContasDRE[#All],4,FALSE))</f>
        <v>Fora do DRE</v>
      </c>
      <c r="T3093" s="3" t="str">
        <f>IF(ISERROR(VLOOKUP(Base_Periodo1[[#This Row],[CONTA]],BaseContasDRE[#All],5,FALSE)),"Fora do DRE",VLOOKUP(Base_Periodo1[[#This Row],[CONTA]],BaseContasDRE[#All],6,FALSE))</f>
        <v>Fora do DRE</v>
      </c>
      <c r="U3093" s="3" t="str">
        <f>IF(ISERROR(VLOOKUP(Base_Periodo1[[#This Row],[CONTA]],BaseContasDRE[#All],7,FALSE)),"Fora do DRE",VLOOKUP(Base_Periodo1[[#This Row],[CONTA]],BaseContasDRE[#All],7,FALSE))</f>
        <v>Fora do DRE</v>
      </c>
      <c r="V3093" s="3" t="str">
        <f>IF(Base_Periodo1[[#This Row],[Tipo_Linha]]="Fora do DRE","Fora do DRE","( "&amp;Base_Periodo1[[#This Row],[Tipo_Linha]]&amp;" ) "&amp;Base_Periodo1[[#This Row],[Filtro]])</f>
        <v>Fora do DRE</v>
      </c>
      <c r="W3093" s="3" t="str">
        <f>LEFT(Base_Periodo1[[#This Row],[CLASS]],3)</f>
        <v>2.1</v>
      </c>
    </row>
    <row r="3094" spans="1:23" hidden="1">
      <c r="A3094" s="3" t="str">
        <f t="shared" si="48"/>
        <v>Período 1</v>
      </c>
      <c r="B3094">
        <v>2698</v>
      </c>
      <c r="C3094" t="s">
        <v>1745</v>
      </c>
      <c r="D3094" t="s">
        <v>4945</v>
      </c>
      <c r="E3094" s="3" t="str">
        <f>IF(LEN(Base_Periodo1[[#This Row],[CLASS]])&gt;=7,LEFT(Base_Periodo1[[#This Row],[CLASS]],7),"")</f>
        <v>2.1.2.1</v>
      </c>
      <c r="F3094" s="3" t="str">
        <f>VLOOKUP(Base_Periodo1[[#This Row],[Aux]],Base_Contas_Balanco[#All],2,FALSE)</f>
        <v>Fornecedores Cooperados</v>
      </c>
      <c r="G3094" s="1">
        <v>42881</v>
      </c>
      <c r="I3094" s="225">
        <v>1126.6599999999999</v>
      </c>
      <c r="J3094" s="225">
        <v>1126.6599999999999</v>
      </c>
      <c r="K3094" s="225">
        <v>2.9103830456733704E-11</v>
      </c>
      <c r="L30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094" s="225">
        <f>ROUND(IF(AND(Base_Periodo1[[#This Row],[Tipo_Linha]]="-",Base_Periodo1[[#This Row],[TIPOSALDO]]="D"),Base_Periodo1[[#This Row],[SALDO_ATUAL]]*-1,Base_Periodo1[[#This Row],[SALDO_ATUAL]]),4)</f>
        <v>0</v>
      </c>
      <c r="N3094" t="s">
        <v>116</v>
      </c>
      <c r="O3094" t="s">
        <v>436</v>
      </c>
      <c r="P3094" t="s">
        <v>436</v>
      </c>
      <c r="Q3094">
        <v>7</v>
      </c>
      <c r="R3094" s="225">
        <f>Base_Periodo1[[#This Row],[CREDITOS]]-Base_Periodo1[[#This Row],[DEBITOS]]</f>
        <v>0</v>
      </c>
      <c r="S3094" s="3" t="str">
        <f>IF(ISERROR(VLOOKUP(Base_Periodo1[[#This Row],[CONTA]],BaseContasDRE[#All],4,FALSE)),"Fora do DRE",VLOOKUP(Base_Periodo1[[#This Row],[CONTA]],BaseContasDRE[#All],4,FALSE))</f>
        <v>Fora do DRE</v>
      </c>
      <c r="T3094" s="3" t="str">
        <f>IF(ISERROR(VLOOKUP(Base_Periodo1[[#This Row],[CONTA]],BaseContasDRE[#All],5,FALSE)),"Fora do DRE",VLOOKUP(Base_Periodo1[[#This Row],[CONTA]],BaseContasDRE[#All],6,FALSE))</f>
        <v>Fora do DRE</v>
      </c>
      <c r="U3094" s="3" t="str">
        <f>IF(ISERROR(VLOOKUP(Base_Periodo1[[#This Row],[CONTA]],BaseContasDRE[#All],7,FALSE)),"Fora do DRE",VLOOKUP(Base_Periodo1[[#This Row],[CONTA]],BaseContasDRE[#All],7,FALSE))</f>
        <v>Fora do DRE</v>
      </c>
      <c r="V3094" s="3" t="str">
        <f>IF(Base_Periodo1[[#This Row],[Tipo_Linha]]="Fora do DRE","Fora do DRE","( "&amp;Base_Periodo1[[#This Row],[Tipo_Linha]]&amp;" ) "&amp;Base_Periodo1[[#This Row],[Filtro]])</f>
        <v>Fora do DRE</v>
      </c>
      <c r="W3094" s="3" t="str">
        <f>LEFT(Base_Periodo1[[#This Row],[CLASS]],3)</f>
        <v>2.1</v>
      </c>
    </row>
    <row r="3095" spans="1:23" hidden="1">
      <c r="A3095" s="3" t="str">
        <f t="shared" si="48"/>
        <v>Período 1</v>
      </c>
      <c r="B3095">
        <v>9016</v>
      </c>
      <c r="C3095" t="s">
        <v>1745</v>
      </c>
      <c r="D3095" t="s">
        <v>6890</v>
      </c>
      <c r="E3095" s="3" t="str">
        <f>IF(LEN(Base_Periodo1[[#This Row],[CLASS]])&gt;=7,LEFT(Base_Periodo1[[#This Row],[CLASS]],7),"")</f>
        <v>2.1.2.1</v>
      </c>
      <c r="F3095" s="3" t="str">
        <f>VLOOKUP(Base_Periodo1[[#This Row],[Aux]],Base_Contas_Balanco[#All],2,FALSE)</f>
        <v>Fornecedores Cooperados</v>
      </c>
      <c r="G3095" s="1">
        <v>42873</v>
      </c>
      <c r="I3095" s="225">
        <v>0</v>
      </c>
      <c r="J3095" s="225">
        <v>28934.21</v>
      </c>
      <c r="K3095" s="225">
        <v>28934.21</v>
      </c>
      <c r="L30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28934.21</v>
      </c>
      <c r="M3095" s="225">
        <f>ROUND(IF(AND(Base_Periodo1[[#This Row],[Tipo_Linha]]="-",Base_Periodo1[[#This Row],[TIPOSALDO]]="D"),Base_Periodo1[[#This Row],[SALDO_ATUAL]]*-1,Base_Periodo1[[#This Row],[SALDO_ATUAL]]),4)</f>
        <v>28934.21</v>
      </c>
      <c r="N3095" t="s">
        <v>116</v>
      </c>
      <c r="O3095" t="s">
        <v>436</v>
      </c>
      <c r="P3095" t="s">
        <v>459</v>
      </c>
      <c r="Q3095">
        <v>7</v>
      </c>
      <c r="R3095" s="225">
        <f>Base_Periodo1[[#This Row],[CREDITOS]]-Base_Periodo1[[#This Row],[DEBITOS]]</f>
        <v>28934.21</v>
      </c>
      <c r="S3095" s="3" t="str">
        <f>IF(ISERROR(VLOOKUP(Base_Periodo1[[#This Row],[CONTA]],BaseContasDRE[#All],4,FALSE)),"Fora do DRE",VLOOKUP(Base_Periodo1[[#This Row],[CONTA]],BaseContasDRE[#All],4,FALSE))</f>
        <v>Fora do DRE</v>
      </c>
      <c r="T3095" s="3" t="str">
        <f>IF(ISERROR(VLOOKUP(Base_Periodo1[[#This Row],[CONTA]],BaseContasDRE[#All],5,FALSE)),"Fora do DRE",VLOOKUP(Base_Periodo1[[#This Row],[CONTA]],BaseContasDRE[#All],6,FALSE))</f>
        <v>Fora do DRE</v>
      </c>
      <c r="U3095" s="3" t="str">
        <f>IF(ISERROR(VLOOKUP(Base_Periodo1[[#This Row],[CONTA]],BaseContasDRE[#All],7,FALSE)),"Fora do DRE",VLOOKUP(Base_Periodo1[[#This Row],[CONTA]],BaseContasDRE[#All],7,FALSE))</f>
        <v>Fora do DRE</v>
      </c>
      <c r="V3095" s="3" t="str">
        <f>IF(Base_Periodo1[[#This Row],[Tipo_Linha]]="Fora do DRE","Fora do DRE","( "&amp;Base_Periodo1[[#This Row],[Tipo_Linha]]&amp;" ) "&amp;Base_Periodo1[[#This Row],[Filtro]])</f>
        <v>Fora do DRE</v>
      </c>
      <c r="W3095" s="3" t="str">
        <f>LEFT(Base_Periodo1[[#This Row],[CLASS]],3)</f>
        <v>2.1</v>
      </c>
    </row>
    <row r="3096" spans="1:23" hidden="1">
      <c r="A3096" s="3" t="str">
        <f t="shared" si="48"/>
        <v>Período 1</v>
      </c>
      <c r="B3096">
        <v>2330</v>
      </c>
      <c r="C3096" t="s">
        <v>1745</v>
      </c>
      <c r="D3096" t="s">
        <v>6394</v>
      </c>
      <c r="E3096" s="3" t="str">
        <f>IF(LEN(Base_Periodo1[[#This Row],[CLASS]])&gt;=7,LEFT(Base_Periodo1[[#This Row],[CLASS]],7),"")</f>
        <v>2.1.2.1</v>
      </c>
      <c r="F3096" s="3" t="str">
        <f>VLOOKUP(Base_Periodo1[[#This Row],[Aux]],Base_Contas_Balanco[#All],2,FALSE)</f>
        <v>Fornecedores Cooperados</v>
      </c>
      <c r="G3096" s="1">
        <v>42814</v>
      </c>
      <c r="H3096" s="225">
        <v>454.49000000000524</v>
      </c>
      <c r="I3096" s="225">
        <v>0</v>
      </c>
      <c r="J3096" s="225">
        <v>0</v>
      </c>
      <c r="K3096" s="225">
        <v>454.49000000000524</v>
      </c>
      <c r="L30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454.49</v>
      </c>
      <c r="M3096" s="225">
        <f>ROUND(IF(AND(Base_Periodo1[[#This Row],[Tipo_Linha]]="-",Base_Periodo1[[#This Row],[TIPOSALDO]]="D"),Base_Periodo1[[#This Row],[SALDO_ATUAL]]*-1,Base_Periodo1[[#This Row],[SALDO_ATUAL]]),4)</f>
        <v>454.49</v>
      </c>
      <c r="N3096" t="s">
        <v>116</v>
      </c>
      <c r="O3096" t="s">
        <v>459</v>
      </c>
      <c r="P3096" t="s">
        <v>459</v>
      </c>
      <c r="Q3096">
        <v>7</v>
      </c>
      <c r="R3096" s="225">
        <f>Base_Periodo1[[#This Row],[CREDITOS]]-Base_Periodo1[[#This Row],[DEBITOS]]</f>
        <v>0</v>
      </c>
      <c r="S3096" s="3" t="str">
        <f>IF(ISERROR(VLOOKUP(Base_Periodo1[[#This Row],[CONTA]],BaseContasDRE[#All],4,FALSE)),"Fora do DRE",VLOOKUP(Base_Periodo1[[#This Row],[CONTA]],BaseContasDRE[#All],4,FALSE))</f>
        <v>Fora do DRE</v>
      </c>
      <c r="T3096" s="3" t="str">
        <f>IF(ISERROR(VLOOKUP(Base_Periodo1[[#This Row],[CONTA]],BaseContasDRE[#All],5,FALSE)),"Fora do DRE",VLOOKUP(Base_Periodo1[[#This Row],[CONTA]],BaseContasDRE[#All],6,FALSE))</f>
        <v>Fora do DRE</v>
      </c>
      <c r="U3096" s="3" t="str">
        <f>IF(ISERROR(VLOOKUP(Base_Periodo1[[#This Row],[CONTA]],BaseContasDRE[#All],7,FALSE)),"Fora do DRE",VLOOKUP(Base_Periodo1[[#This Row],[CONTA]],BaseContasDRE[#All],7,FALSE))</f>
        <v>Fora do DRE</v>
      </c>
      <c r="V3096" s="3" t="str">
        <f>IF(Base_Periodo1[[#This Row],[Tipo_Linha]]="Fora do DRE","Fora do DRE","( "&amp;Base_Periodo1[[#This Row],[Tipo_Linha]]&amp;" ) "&amp;Base_Periodo1[[#This Row],[Filtro]])</f>
        <v>Fora do DRE</v>
      </c>
      <c r="W3096" s="3" t="str">
        <f>LEFT(Base_Periodo1[[#This Row],[CLASS]],3)</f>
        <v>2.1</v>
      </c>
    </row>
    <row r="3097" spans="1:23" hidden="1">
      <c r="A3097" s="3" t="str">
        <f t="shared" si="48"/>
        <v>Período 1</v>
      </c>
      <c r="B3097">
        <v>19654</v>
      </c>
      <c r="C3097" t="s">
        <v>1745</v>
      </c>
      <c r="D3097" t="s">
        <v>6395</v>
      </c>
      <c r="E3097" s="3" t="str">
        <f>IF(LEN(Base_Periodo1[[#This Row],[CLASS]])&gt;=7,LEFT(Base_Periodo1[[#This Row],[CLASS]],7),"")</f>
        <v>2.1.2.1</v>
      </c>
      <c r="F3097" s="3" t="str">
        <f>VLOOKUP(Base_Periodo1[[#This Row],[Aux]],Base_Contas_Balanco[#All],2,FALSE)</f>
        <v>Fornecedores Cooperados</v>
      </c>
      <c r="G3097" s="1">
        <v>42817</v>
      </c>
      <c r="H3097" s="225">
        <v>5625</v>
      </c>
      <c r="I3097" s="225">
        <v>0</v>
      </c>
      <c r="J3097" s="225">
        <v>0</v>
      </c>
      <c r="K3097" s="225">
        <v>5625</v>
      </c>
      <c r="L30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5625</v>
      </c>
      <c r="M3097" s="225">
        <f>ROUND(IF(AND(Base_Periodo1[[#This Row],[Tipo_Linha]]="-",Base_Periodo1[[#This Row],[TIPOSALDO]]="D"),Base_Periodo1[[#This Row],[SALDO_ATUAL]]*-1,Base_Periodo1[[#This Row],[SALDO_ATUAL]]),4)</f>
        <v>5625</v>
      </c>
      <c r="N3097" t="s">
        <v>116</v>
      </c>
      <c r="O3097" t="s">
        <v>459</v>
      </c>
      <c r="P3097" t="s">
        <v>459</v>
      </c>
      <c r="Q3097">
        <v>7</v>
      </c>
      <c r="R3097" s="225">
        <f>Base_Periodo1[[#This Row],[CREDITOS]]-Base_Periodo1[[#This Row],[DEBITOS]]</f>
        <v>0</v>
      </c>
      <c r="S3097" s="3" t="str">
        <f>IF(ISERROR(VLOOKUP(Base_Periodo1[[#This Row],[CONTA]],BaseContasDRE[#All],4,FALSE)),"Fora do DRE",VLOOKUP(Base_Periodo1[[#This Row],[CONTA]],BaseContasDRE[#All],4,FALSE))</f>
        <v>Fora do DRE</v>
      </c>
      <c r="T3097" s="3" t="str">
        <f>IF(ISERROR(VLOOKUP(Base_Periodo1[[#This Row],[CONTA]],BaseContasDRE[#All],5,FALSE)),"Fora do DRE",VLOOKUP(Base_Periodo1[[#This Row],[CONTA]],BaseContasDRE[#All],6,FALSE))</f>
        <v>Fora do DRE</v>
      </c>
      <c r="U3097" s="3" t="str">
        <f>IF(ISERROR(VLOOKUP(Base_Periodo1[[#This Row],[CONTA]],BaseContasDRE[#All],7,FALSE)),"Fora do DRE",VLOOKUP(Base_Periodo1[[#This Row],[CONTA]],BaseContasDRE[#All],7,FALSE))</f>
        <v>Fora do DRE</v>
      </c>
      <c r="V3097" s="3" t="str">
        <f>IF(Base_Periodo1[[#This Row],[Tipo_Linha]]="Fora do DRE","Fora do DRE","( "&amp;Base_Periodo1[[#This Row],[Tipo_Linha]]&amp;" ) "&amp;Base_Periodo1[[#This Row],[Filtro]])</f>
        <v>Fora do DRE</v>
      </c>
      <c r="W3097" s="3" t="str">
        <f>LEFT(Base_Periodo1[[#This Row],[CLASS]],3)</f>
        <v>2.1</v>
      </c>
    </row>
    <row r="3098" spans="1:23" hidden="1">
      <c r="A3098" s="3" t="str">
        <f t="shared" si="48"/>
        <v>Período 1</v>
      </c>
      <c r="B3098">
        <v>2258</v>
      </c>
      <c r="C3098" t="s">
        <v>1745</v>
      </c>
      <c r="D3098" t="s">
        <v>6891</v>
      </c>
      <c r="E3098" s="3" t="str">
        <f>IF(LEN(Base_Periodo1[[#This Row],[CLASS]])&gt;=7,LEFT(Base_Periodo1[[#This Row],[CLASS]],7),"")</f>
        <v>2.1.2.1</v>
      </c>
      <c r="F3098" s="3" t="str">
        <f>VLOOKUP(Base_Periodo1[[#This Row],[Aux]],Base_Contas_Balanco[#All],2,FALSE)</f>
        <v>Fornecedores Cooperados</v>
      </c>
      <c r="G3098" s="1">
        <v>42884</v>
      </c>
      <c r="I3098" s="225">
        <v>336.92</v>
      </c>
      <c r="J3098" s="225">
        <v>336.92</v>
      </c>
      <c r="K3098" s="225">
        <v>4.6566128730773926E-10</v>
      </c>
      <c r="L30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098" s="225">
        <f>ROUND(IF(AND(Base_Periodo1[[#This Row],[Tipo_Linha]]="-",Base_Periodo1[[#This Row],[TIPOSALDO]]="D"),Base_Periodo1[[#This Row],[SALDO_ATUAL]]*-1,Base_Periodo1[[#This Row],[SALDO_ATUAL]]),4)</f>
        <v>0</v>
      </c>
      <c r="N3098" t="s">
        <v>116</v>
      </c>
      <c r="O3098" t="s">
        <v>436</v>
      </c>
      <c r="P3098" t="s">
        <v>436</v>
      </c>
      <c r="Q3098">
        <v>7</v>
      </c>
      <c r="R3098" s="225">
        <f>Base_Periodo1[[#This Row],[CREDITOS]]-Base_Periodo1[[#This Row],[DEBITOS]]</f>
        <v>0</v>
      </c>
      <c r="S3098" s="3" t="str">
        <f>IF(ISERROR(VLOOKUP(Base_Periodo1[[#This Row],[CONTA]],BaseContasDRE[#All],4,FALSE)),"Fora do DRE",VLOOKUP(Base_Periodo1[[#This Row],[CONTA]],BaseContasDRE[#All],4,FALSE))</f>
        <v>Fora do DRE</v>
      </c>
      <c r="T3098" s="3" t="str">
        <f>IF(ISERROR(VLOOKUP(Base_Periodo1[[#This Row],[CONTA]],BaseContasDRE[#All],5,FALSE)),"Fora do DRE",VLOOKUP(Base_Periodo1[[#This Row],[CONTA]],BaseContasDRE[#All],6,FALSE))</f>
        <v>Fora do DRE</v>
      </c>
      <c r="U3098" s="3" t="str">
        <f>IF(ISERROR(VLOOKUP(Base_Periodo1[[#This Row],[CONTA]],BaseContasDRE[#All],7,FALSE)),"Fora do DRE",VLOOKUP(Base_Periodo1[[#This Row],[CONTA]],BaseContasDRE[#All],7,FALSE))</f>
        <v>Fora do DRE</v>
      </c>
      <c r="V3098" s="3" t="str">
        <f>IF(Base_Periodo1[[#This Row],[Tipo_Linha]]="Fora do DRE","Fora do DRE","( "&amp;Base_Periodo1[[#This Row],[Tipo_Linha]]&amp;" ) "&amp;Base_Periodo1[[#This Row],[Filtro]])</f>
        <v>Fora do DRE</v>
      </c>
      <c r="W3098" s="3" t="str">
        <f>LEFT(Base_Periodo1[[#This Row],[CLASS]],3)</f>
        <v>2.1</v>
      </c>
    </row>
    <row r="3099" spans="1:23" hidden="1">
      <c r="A3099" s="3" t="str">
        <f t="shared" si="48"/>
        <v>Período 1</v>
      </c>
      <c r="B3099">
        <v>47573</v>
      </c>
      <c r="C3099" t="s">
        <v>1745</v>
      </c>
      <c r="D3099" t="s">
        <v>4284</v>
      </c>
      <c r="E3099" s="3" t="str">
        <f>IF(LEN(Base_Periodo1[[#This Row],[CLASS]])&gt;=7,LEFT(Base_Periodo1[[#This Row],[CLASS]],7),"")</f>
        <v>2.1.2.1</v>
      </c>
      <c r="F3099" s="3" t="str">
        <f>VLOOKUP(Base_Periodo1[[#This Row],[Aux]],Base_Contas_Balanco[#All],2,FALSE)</f>
        <v>Fornecedores Cooperados</v>
      </c>
      <c r="G3099" s="1">
        <v>42762</v>
      </c>
      <c r="H3099" s="225">
        <v>29280.029999999992</v>
      </c>
      <c r="I3099" s="225">
        <v>0</v>
      </c>
      <c r="J3099" s="225">
        <v>0</v>
      </c>
      <c r="K3099" s="225">
        <v>29280.029999999992</v>
      </c>
      <c r="L30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29280.03</v>
      </c>
      <c r="M3099" s="225">
        <f>ROUND(IF(AND(Base_Periodo1[[#This Row],[Tipo_Linha]]="-",Base_Periodo1[[#This Row],[TIPOSALDO]]="D"),Base_Periodo1[[#This Row],[SALDO_ATUAL]]*-1,Base_Periodo1[[#This Row],[SALDO_ATUAL]]),4)</f>
        <v>29280.03</v>
      </c>
      <c r="N3099" t="s">
        <v>116</v>
      </c>
      <c r="O3099" t="s">
        <v>459</v>
      </c>
      <c r="P3099" t="s">
        <v>459</v>
      </c>
      <c r="Q3099">
        <v>7</v>
      </c>
      <c r="R3099" s="225">
        <f>Base_Periodo1[[#This Row],[CREDITOS]]-Base_Periodo1[[#This Row],[DEBITOS]]</f>
        <v>0</v>
      </c>
      <c r="S3099" s="3" t="str">
        <f>IF(ISERROR(VLOOKUP(Base_Periodo1[[#This Row],[CONTA]],BaseContasDRE[#All],4,FALSE)),"Fora do DRE",VLOOKUP(Base_Periodo1[[#This Row],[CONTA]],BaseContasDRE[#All],4,FALSE))</f>
        <v>Fora do DRE</v>
      </c>
      <c r="T3099" s="3" t="str">
        <f>IF(ISERROR(VLOOKUP(Base_Periodo1[[#This Row],[CONTA]],BaseContasDRE[#All],5,FALSE)),"Fora do DRE",VLOOKUP(Base_Periodo1[[#This Row],[CONTA]],BaseContasDRE[#All],6,FALSE))</f>
        <v>Fora do DRE</v>
      </c>
      <c r="U3099" s="3" t="str">
        <f>IF(ISERROR(VLOOKUP(Base_Periodo1[[#This Row],[CONTA]],BaseContasDRE[#All],7,FALSE)),"Fora do DRE",VLOOKUP(Base_Periodo1[[#This Row],[CONTA]],BaseContasDRE[#All],7,FALSE))</f>
        <v>Fora do DRE</v>
      </c>
      <c r="V3099" s="3" t="str">
        <f>IF(Base_Periodo1[[#This Row],[Tipo_Linha]]="Fora do DRE","Fora do DRE","( "&amp;Base_Periodo1[[#This Row],[Tipo_Linha]]&amp;" ) "&amp;Base_Periodo1[[#This Row],[Filtro]])</f>
        <v>Fora do DRE</v>
      </c>
      <c r="W3099" s="3" t="str">
        <f>LEFT(Base_Periodo1[[#This Row],[CLASS]],3)</f>
        <v>2.1</v>
      </c>
    </row>
    <row r="3100" spans="1:23" hidden="1">
      <c r="A3100" s="3" t="str">
        <f t="shared" si="48"/>
        <v>Período 1</v>
      </c>
      <c r="B3100">
        <v>7015</v>
      </c>
      <c r="C3100" t="s">
        <v>1745</v>
      </c>
      <c r="D3100" t="s">
        <v>1949</v>
      </c>
      <c r="E3100" s="3" t="str">
        <f>IF(LEN(Base_Periodo1[[#This Row],[CLASS]])&gt;=7,LEFT(Base_Periodo1[[#This Row],[CLASS]],7),"")</f>
        <v>2.1.2.1</v>
      </c>
      <c r="F3100" s="3" t="str">
        <f>VLOOKUP(Base_Periodo1[[#This Row],[Aux]],Base_Contas_Balanco[#All],2,FALSE)</f>
        <v>Fornecedores Cooperados</v>
      </c>
      <c r="G3100" s="1">
        <v>42857</v>
      </c>
      <c r="H3100" s="225">
        <v>3147.3400000000256</v>
      </c>
      <c r="I3100" s="225">
        <v>0</v>
      </c>
      <c r="J3100" s="225">
        <v>12675.71</v>
      </c>
      <c r="K3100" s="225">
        <v>15823.050000000025</v>
      </c>
      <c r="L31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15823.05</v>
      </c>
      <c r="M3100" s="225">
        <f>ROUND(IF(AND(Base_Periodo1[[#This Row],[Tipo_Linha]]="-",Base_Periodo1[[#This Row],[TIPOSALDO]]="D"),Base_Periodo1[[#This Row],[SALDO_ATUAL]]*-1,Base_Periodo1[[#This Row],[SALDO_ATUAL]]),4)</f>
        <v>15823.05</v>
      </c>
      <c r="N3100" t="s">
        <v>116</v>
      </c>
      <c r="O3100" t="s">
        <v>459</v>
      </c>
      <c r="P3100" t="s">
        <v>459</v>
      </c>
      <c r="Q3100">
        <v>7</v>
      </c>
      <c r="R3100" s="225">
        <f>Base_Periodo1[[#This Row],[CREDITOS]]-Base_Periodo1[[#This Row],[DEBITOS]]</f>
        <v>12675.71</v>
      </c>
      <c r="S3100" s="3" t="str">
        <f>IF(ISERROR(VLOOKUP(Base_Periodo1[[#This Row],[CONTA]],BaseContasDRE[#All],4,FALSE)),"Fora do DRE",VLOOKUP(Base_Periodo1[[#This Row],[CONTA]],BaseContasDRE[#All],4,FALSE))</f>
        <v>Fora do DRE</v>
      </c>
      <c r="T3100" s="3" t="str">
        <f>IF(ISERROR(VLOOKUP(Base_Periodo1[[#This Row],[CONTA]],BaseContasDRE[#All],5,FALSE)),"Fora do DRE",VLOOKUP(Base_Periodo1[[#This Row],[CONTA]],BaseContasDRE[#All],6,FALSE))</f>
        <v>Fora do DRE</v>
      </c>
      <c r="U3100" s="3" t="str">
        <f>IF(ISERROR(VLOOKUP(Base_Periodo1[[#This Row],[CONTA]],BaseContasDRE[#All],7,FALSE)),"Fora do DRE",VLOOKUP(Base_Periodo1[[#This Row],[CONTA]],BaseContasDRE[#All],7,FALSE))</f>
        <v>Fora do DRE</v>
      </c>
      <c r="V3100" s="3" t="str">
        <f>IF(Base_Periodo1[[#This Row],[Tipo_Linha]]="Fora do DRE","Fora do DRE","( "&amp;Base_Periodo1[[#This Row],[Tipo_Linha]]&amp;" ) "&amp;Base_Periodo1[[#This Row],[Filtro]])</f>
        <v>Fora do DRE</v>
      </c>
      <c r="W3100" s="3" t="str">
        <f>LEFT(Base_Periodo1[[#This Row],[CLASS]],3)</f>
        <v>2.1</v>
      </c>
    </row>
    <row r="3101" spans="1:23" hidden="1">
      <c r="A3101" s="3" t="str">
        <f t="shared" si="48"/>
        <v>Período 1</v>
      </c>
      <c r="B3101">
        <v>57838</v>
      </c>
      <c r="C3101" t="s">
        <v>1745</v>
      </c>
      <c r="D3101" t="s">
        <v>6396</v>
      </c>
      <c r="E3101" s="3" t="str">
        <f>IF(LEN(Base_Periodo1[[#This Row],[CLASS]])&gt;=7,LEFT(Base_Periodo1[[#This Row],[CLASS]],7),"")</f>
        <v>2.1.2.1</v>
      </c>
      <c r="F3101" s="3" t="str">
        <f>VLOOKUP(Base_Periodo1[[#This Row],[Aux]],Base_Contas_Balanco[#All],2,FALSE)</f>
        <v>Fornecedores Cooperados</v>
      </c>
      <c r="G3101" s="1"/>
      <c r="H3101" s="225">
        <v>4083.05</v>
      </c>
      <c r="I3101" s="225">
        <v>0</v>
      </c>
      <c r="J3101" s="225">
        <v>0</v>
      </c>
      <c r="K3101" s="225">
        <v>4083.05</v>
      </c>
      <c r="L31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4083.05</v>
      </c>
      <c r="M3101" s="225">
        <f>ROUND(IF(AND(Base_Periodo1[[#This Row],[Tipo_Linha]]="-",Base_Periodo1[[#This Row],[TIPOSALDO]]="D"),Base_Periodo1[[#This Row],[SALDO_ATUAL]]*-1,Base_Periodo1[[#This Row],[SALDO_ATUAL]]),4)</f>
        <v>4083.05</v>
      </c>
      <c r="N3101" t="s">
        <v>116</v>
      </c>
      <c r="O3101" t="s">
        <v>459</v>
      </c>
      <c r="P3101" t="s">
        <v>459</v>
      </c>
      <c r="Q3101">
        <v>7</v>
      </c>
      <c r="R3101" s="225">
        <f>Base_Periodo1[[#This Row],[CREDITOS]]-Base_Periodo1[[#This Row],[DEBITOS]]</f>
        <v>0</v>
      </c>
      <c r="S3101" s="3" t="str">
        <f>IF(ISERROR(VLOOKUP(Base_Periodo1[[#This Row],[CONTA]],BaseContasDRE[#All],4,FALSE)),"Fora do DRE",VLOOKUP(Base_Periodo1[[#This Row],[CONTA]],BaseContasDRE[#All],4,FALSE))</f>
        <v>Fora do DRE</v>
      </c>
      <c r="T3101" s="3" t="str">
        <f>IF(ISERROR(VLOOKUP(Base_Periodo1[[#This Row],[CONTA]],BaseContasDRE[#All],5,FALSE)),"Fora do DRE",VLOOKUP(Base_Periodo1[[#This Row],[CONTA]],BaseContasDRE[#All],6,FALSE))</f>
        <v>Fora do DRE</v>
      </c>
      <c r="U3101" s="3" t="str">
        <f>IF(ISERROR(VLOOKUP(Base_Periodo1[[#This Row],[CONTA]],BaseContasDRE[#All],7,FALSE)),"Fora do DRE",VLOOKUP(Base_Periodo1[[#This Row],[CONTA]],BaseContasDRE[#All],7,FALSE))</f>
        <v>Fora do DRE</v>
      </c>
      <c r="V3101" s="3" t="str">
        <f>IF(Base_Periodo1[[#This Row],[Tipo_Linha]]="Fora do DRE","Fora do DRE","( "&amp;Base_Periodo1[[#This Row],[Tipo_Linha]]&amp;" ) "&amp;Base_Periodo1[[#This Row],[Filtro]])</f>
        <v>Fora do DRE</v>
      </c>
      <c r="W3101" s="3" t="str">
        <f>LEFT(Base_Periodo1[[#This Row],[CLASS]],3)</f>
        <v>2.1</v>
      </c>
    </row>
    <row r="3102" spans="1:23" hidden="1">
      <c r="A3102" s="3" t="str">
        <f t="shared" si="48"/>
        <v>Período 1</v>
      </c>
      <c r="B3102">
        <v>12889</v>
      </c>
      <c r="C3102" t="s">
        <v>1745</v>
      </c>
      <c r="D3102" t="s">
        <v>5960</v>
      </c>
      <c r="E3102" s="3" t="str">
        <f>IF(LEN(Base_Periodo1[[#This Row],[CLASS]])&gt;=7,LEFT(Base_Periodo1[[#This Row],[CLASS]],7),"")</f>
        <v>2.1.2.1</v>
      </c>
      <c r="F3102" s="3" t="str">
        <f>VLOOKUP(Base_Periodo1[[#This Row],[Aux]],Base_Contas_Balanco[#All],2,FALSE)</f>
        <v>Fornecedores Cooperados</v>
      </c>
      <c r="G3102" s="1">
        <v>42859</v>
      </c>
      <c r="H3102" s="225">
        <v>3465.0000000000146</v>
      </c>
      <c r="I3102" s="225">
        <v>2190</v>
      </c>
      <c r="J3102" s="225">
        <v>2190</v>
      </c>
      <c r="K3102" s="225">
        <v>3465.0000000000146</v>
      </c>
      <c r="L31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3465</v>
      </c>
      <c r="M3102" s="225">
        <f>ROUND(IF(AND(Base_Periodo1[[#This Row],[Tipo_Linha]]="-",Base_Periodo1[[#This Row],[TIPOSALDO]]="D"),Base_Periodo1[[#This Row],[SALDO_ATUAL]]*-1,Base_Periodo1[[#This Row],[SALDO_ATUAL]]),4)</f>
        <v>3465</v>
      </c>
      <c r="N3102" t="s">
        <v>116</v>
      </c>
      <c r="O3102" t="s">
        <v>459</v>
      </c>
      <c r="P3102" t="s">
        <v>459</v>
      </c>
      <c r="Q3102">
        <v>7</v>
      </c>
      <c r="R3102" s="225">
        <f>Base_Periodo1[[#This Row],[CREDITOS]]-Base_Periodo1[[#This Row],[DEBITOS]]</f>
        <v>0</v>
      </c>
      <c r="S3102" s="3" t="str">
        <f>IF(ISERROR(VLOOKUP(Base_Periodo1[[#This Row],[CONTA]],BaseContasDRE[#All],4,FALSE)),"Fora do DRE",VLOOKUP(Base_Periodo1[[#This Row],[CONTA]],BaseContasDRE[#All],4,FALSE))</f>
        <v>Fora do DRE</v>
      </c>
      <c r="T3102" s="3" t="str">
        <f>IF(ISERROR(VLOOKUP(Base_Periodo1[[#This Row],[CONTA]],BaseContasDRE[#All],5,FALSE)),"Fora do DRE",VLOOKUP(Base_Periodo1[[#This Row],[CONTA]],BaseContasDRE[#All],6,FALSE))</f>
        <v>Fora do DRE</v>
      </c>
      <c r="U3102" s="3" t="str">
        <f>IF(ISERROR(VLOOKUP(Base_Periodo1[[#This Row],[CONTA]],BaseContasDRE[#All],7,FALSE)),"Fora do DRE",VLOOKUP(Base_Periodo1[[#This Row],[CONTA]],BaseContasDRE[#All],7,FALSE))</f>
        <v>Fora do DRE</v>
      </c>
      <c r="V3102" s="3" t="str">
        <f>IF(Base_Periodo1[[#This Row],[Tipo_Linha]]="Fora do DRE","Fora do DRE","( "&amp;Base_Periodo1[[#This Row],[Tipo_Linha]]&amp;" ) "&amp;Base_Periodo1[[#This Row],[Filtro]])</f>
        <v>Fora do DRE</v>
      </c>
      <c r="W3102" s="3" t="str">
        <f>LEFT(Base_Periodo1[[#This Row],[CLASS]],3)</f>
        <v>2.1</v>
      </c>
    </row>
    <row r="3103" spans="1:23" hidden="1">
      <c r="A3103" s="3" t="str">
        <f t="shared" si="48"/>
        <v>Período 1</v>
      </c>
      <c r="B3103">
        <v>3298</v>
      </c>
      <c r="C3103" t="s">
        <v>1745</v>
      </c>
      <c r="D3103" t="s">
        <v>6892</v>
      </c>
      <c r="E3103" s="3" t="str">
        <f>IF(LEN(Base_Periodo1[[#This Row],[CLASS]])&gt;=7,LEFT(Base_Periodo1[[#This Row],[CLASS]],7),"")</f>
        <v>2.1.2.1</v>
      </c>
      <c r="F3103" s="3" t="str">
        <f>VLOOKUP(Base_Periodo1[[#This Row],[Aux]],Base_Contas_Balanco[#All],2,FALSE)</f>
        <v>Fornecedores Cooperados</v>
      </c>
      <c r="G3103" s="1">
        <v>42884</v>
      </c>
      <c r="I3103" s="225">
        <v>214202.32</v>
      </c>
      <c r="J3103" s="225">
        <v>214202.32</v>
      </c>
      <c r="K3103" s="225">
        <v>-4.6566128730773926E-10</v>
      </c>
      <c r="L31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03" s="225">
        <f>ROUND(IF(AND(Base_Periodo1[[#This Row],[Tipo_Linha]]="-",Base_Periodo1[[#This Row],[TIPOSALDO]]="D"),Base_Periodo1[[#This Row],[SALDO_ATUAL]]*-1,Base_Periodo1[[#This Row],[SALDO_ATUAL]]),4)</f>
        <v>0</v>
      </c>
      <c r="N3103" t="s">
        <v>116</v>
      </c>
      <c r="O3103" t="s">
        <v>436</v>
      </c>
      <c r="P3103" t="s">
        <v>436</v>
      </c>
      <c r="Q3103">
        <v>7</v>
      </c>
      <c r="R3103" s="225">
        <f>Base_Periodo1[[#This Row],[CREDITOS]]-Base_Periodo1[[#This Row],[DEBITOS]]</f>
        <v>0</v>
      </c>
      <c r="S3103" s="3" t="str">
        <f>IF(ISERROR(VLOOKUP(Base_Periodo1[[#This Row],[CONTA]],BaseContasDRE[#All],4,FALSE)),"Fora do DRE",VLOOKUP(Base_Periodo1[[#This Row],[CONTA]],BaseContasDRE[#All],4,FALSE))</f>
        <v>Fora do DRE</v>
      </c>
      <c r="T3103" s="3" t="str">
        <f>IF(ISERROR(VLOOKUP(Base_Periodo1[[#This Row],[CONTA]],BaseContasDRE[#All],5,FALSE)),"Fora do DRE",VLOOKUP(Base_Periodo1[[#This Row],[CONTA]],BaseContasDRE[#All],6,FALSE))</f>
        <v>Fora do DRE</v>
      </c>
      <c r="U3103" s="3" t="str">
        <f>IF(ISERROR(VLOOKUP(Base_Periodo1[[#This Row],[CONTA]],BaseContasDRE[#All],7,FALSE)),"Fora do DRE",VLOOKUP(Base_Periodo1[[#This Row],[CONTA]],BaseContasDRE[#All],7,FALSE))</f>
        <v>Fora do DRE</v>
      </c>
      <c r="V3103" s="3" t="str">
        <f>IF(Base_Periodo1[[#This Row],[Tipo_Linha]]="Fora do DRE","Fora do DRE","( "&amp;Base_Periodo1[[#This Row],[Tipo_Linha]]&amp;" ) "&amp;Base_Periodo1[[#This Row],[Filtro]])</f>
        <v>Fora do DRE</v>
      </c>
      <c r="W3103" s="3" t="str">
        <f>LEFT(Base_Periodo1[[#This Row],[CLASS]],3)</f>
        <v>2.1</v>
      </c>
    </row>
    <row r="3104" spans="1:23" hidden="1">
      <c r="A3104" s="3" t="str">
        <f t="shared" si="48"/>
        <v>Período 1</v>
      </c>
      <c r="B3104">
        <v>50914</v>
      </c>
      <c r="C3104" t="s">
        <v>1745</v>
      </c>
      <c r="D3104" t="s">
        <v>4684</v>
      </c>
      <c r="E3104" s="3" t="str">
        <f>IF(LEN(Base_Periodo1[[#This Row],[CLASS]])&gt;=7,LEFT(Base_Periodo1[[#This Row],[CLASS]],7),"")</f>
        <v>2.1.2.1</v>
      </c>
      <c r="F3104" s="3" t="str">
        <f>VLOOKUP(Base_Periodo1[[#This Row],[Aux]],Base_Contas_Balanco[#All],2,FALSE)</f>
        <v>Fornecedores Cooperados</v>
      </c>
      <c r="G3104" s="1">
        <v>42849</v>
      </c>
      <c r="H3104" s="225">
        <v>1764.2199999999975</v>
      </c>
      <c r="I3104" s="225">
        <v>0</v>
      </c>
      <c r="J3104" s="225">
        <v>0</v>
      </c>
      <c r="K3104" s="225">
        <v>1764.2199999999975</v>
      </c>
      <c r="L31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1764.22</v>
      </c>
      <c r="M3104" s="225">
        <f>ROUND(IF(AND(Base_Periodo1[[#This Row],[Tipo_Linha]]="-",Base_Periodo1[[#This Row],[TIPOSALDO]]="D"),Base_Periodo1[[#This Row],[SALDO_ATUAL]]*-1,Base_Periodo1[[#This Row],[SALDO_ATUAL]]),4)</f>
        <v>1764.22</v>
      </c>
      <c r="N3104" t="s">
        <v>116</v>
      </c>
      <c r="O3104" t="s">
        <v>459</v>
      </c>
      <c r="P3104" t="s">
        <v>459</v>
      </c>
      <c r="Q3104">
        <v>7</v>
      </c>
      <c r="R3104" s="225">
        <f>Base_Periodo1[[#This Row],[CREDITOS]]-Base_Periodo1[[#This Row],[DEBITOS]]</f>
        <v>0</v>
      </c>
      <c r="S3104" s="3" t="str">
        <f>IF(ISERROR(VLOOKUP(Base_Periodo1[[#This Row],[CONTA]],BaseContasDRE[#All],4,FALSE)),"Fora do DRE",VLOOKUP(Base_Periodo1[[#This Row],[CONTA]],BaseContasDRE[#All],4,FALSE))</f>
        <v>Fora do DRE</v>
      </c>
      <c r="T3104" s="3" t="str">
        <f>IF(ISERROR(VLOOKUP(Base_Periodo1[[#This Row],[CONTA]],BaseContasDRE[#All],5,FALSE)),"Fora do DRE",VLOOKUP(Base_Periodo1[[#This Row],[CONTA]],BaseContasDRE[#All],6,FALSE))</f>
        <v>Fora do DRE</v>
      </c>
      <c r="U3104" s="3" t="str">
        <f>IF(ISERROR(VLOOKUP(Base_Periodo1[[#This Row],[CONTA]],BaseContasDRE[#All],7,FALSE)),"Fora do DRE",VLOOKUP(Base_Periodo1[[#This Row],[CONTA]],BaseContasDRE[#All],7,FALSE))</f>
        <v>Fora do DRE</v>
      </c>
      <c r="V3104" s="3" t="str">
        <f>IF(Base_Periodo1[[#This Row],[Tipo_Linha]]="Fora do DRE","Fora do DRE","( "&amp;Base_Periodo1[[#This Row],[Tipo_Linha]]&amp;" ) "&amp;Base_Periodo1[[#This Row],[Filtro]])</f>
        <v>Fora do DRE</v>
      </c>
      <c r="W3104" s="3" t="str">
        <f>LEFT(Base_Periodo1[[#This Row],[CLASS]],3)</f>
        <v>2.1</v>
      </c>
    </row>
    <row r="3105" spans="1:23" hidden="1">
      <c r="A3105" s="3" t="str">
        <f t="shared" si="48"/>
        <v>Período 1</v>
      </c>
      <c r="B3105">
        <v>8278</v>
      </c>
      <c r="C3105" t="s">
        <v>1745</v>
      </c>
      <c r="D3105" t="s">
        <v>1950</v>
      </c>
      <c r="E3105" s="3" t="str">
        <f>IF(LEN(Base_Periodo1[[#This Row],[CLASS]])&gt;=7,LEFT(Base_Periodo1[[#This Row],[CLASS]],7),"")</f>
        <v>2.1.2.1</v>
      </c>
      <c r="F3105" s="3" t="str">
        <f>VLOOKUP(Base_Periodo1[[#This Row],[Aux]],Base_Contas_Balanco[#All],2,FALSE)</f>
        <v>Fornecedores Cooperados</v>
      </c>
      <c r="G3105" s="1">
        <v>42716</v>
      </c>
      <c r="H3105" s="225">
        <v>1775.1500000000015</v>
      </c>
      <c r="I3105" s="225">
        <v>0</v>
      </c>
      <c r="J3105" s="225">
        <v>0</v>
      </c>
      <c r="K3105" s="225">
        <v>1775.1500000000015</v>
      </c>
      <c r="L31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1775.15</v>
      </c>
      <c r="M3105" s="225">
        <f>ROUND(IF(AND(Base_Periodo1[[#This Row],[Tipo_Linha]]="-",Base_Periodo1[[#This Row],[TIPOSALDO]]="D"),Base_Periodo1[[#This Row],[SALDO_ATUAL]]*-1,Base_Periodo1[[#This Row],[SALDO_ATUAL]]),4)</f>
        <v>1775.15</v>
      </c>
      <c r="N3105" t="s">
        <v>116</v>
      </c>
      <c r="O3105" t="s">
        <v>459</v>
      </c>
      <c r="P3105" t="s">
        <v>459</v>
      </c>
      <c r="Q3105">
        <v>7</v>
      </c>
      <c r="R3105" s="225">
        <f>Base_Periodo1[[#This Row],[CREDITOS]]-Base_Periodo1[[#This Row],[DEBITOS]]</f>
        <v>0</v>
      </c>
      <c r="S3105" s="3" t="str">
        <f>IF(ISERROR(VLOOKUP(Base_Periodo1[[#This Row],[CONTA]],BaseContasDRE[#All],4,FALSE)),"Fora do DRE",VLOOKUP(Base_Periodo1[[#This Row],[CONTA]],BaseContasDRE[#All],4,FALSE))</f>
        <v>Fora do DRE</v>
      </c>
      <c r="T3105" s="3" t="str">
        <f>IF(ISERROR(VLOOKUP(Base_Periodo1[[#This Row],[CONTA]],BaseContasDRE[#All],5,FALSE)),"Fora do DRE",VLOOKUP(Base_Periodo1[[#This Row],[CONTA]],BaseContasDRE[#All],6,FALSE))</f>
        <v>Fora do DRE</v>
      </c>
      <c r="U3105" s="3" t="str">
        <f>IF(ISERROR(VLOOKUP(Base_Periodo1[[#This Row],[CONTA]],BaseContasDRE[#All],7,FALSE)),"Fora do DRE",VLOOKUP(Base_Periodo1[[#This Row],[CONTA]],BaseContasDRE[#All],7,FALSE))</f>
        <v>Fora do DRE</v>
      </c>
      <c r="V3105" s="3" t="str">
        <f>IF(Base_Periodo1[[#This Row],[Tipo_Linha]]="Fora do DRE","Fora do DRE","( "&amp;Base_Periodo1[[#This Row],[Tipo_Linha]]&amp;" ) "&amp;Base_Periodo1[[#This Row],[Filtro]])</f>
        <v>Fora do DRE</v>
      </c>
      <c r="W3105" s="3" t="str">
        <f>LEFT(Base_Periodo1[[#This Row],[CLASS]],3)</f>
        <v>2.1</v>
      </c>
    </row>
    <row r="3106" spans="1:23" hidden="1">
      <c r="A3106" s="3" t="str">
        <f t="shared" si="48"/>
        <v>Período 1</v>
      </c>
      <c r="B3106">
        <v>3642</v>
      </c>
      <c r="C3106" t="s">
        <v>1745</v>
      </c>
      <c r="D3106" t="s">
        <v>1951</v>
      </c>
      <c r="E3106" s="3" t="str">
        <f>IF(LEN(Base_Periodo1[[#This Row],[CLASS]])&gt;=7,LEFT(Base_Periodo1[[#This Row],[CLASS]],7),"")</f>
        <v>2.1.2.1</v>
      </c>
      <c r="F3106" s="3" t="str">
        <f>VLOOKUP(Base_Periodo1[[#This Row],[Aux]],Base_Contas_Balanco[#All],2,FALSE)</f>
        <v>Fornecedores Cooperados</v>
      </c>
      <c r="G3106" s="1">
        <v>41779</v>
      </c>
      <c r="H3106" s="225">
        <v>0.54000000000087311</v>
      </c>
      <c r="I3106" s="225">
        <v>0</v>
      </c>
      <c r="J3106" s="225">
        <v>0</v>
      </c>
      <c r="K3106" s="225">
        <v>0.54000000000087311</v>
      </c>
      <c r="L31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0.54</v>
      </c>
      <c r="M3106" s="225">
        <f>ROUND(IF(AND(Base_Periodo1[[#This Row],[Tipo_Linha]]="-",Base_Periodo1[[#This Row],[TIPOSALDO]]="D"),Base_Periodo1[[#This Row],[SALDO_ATUAL]]*-1,Base_Periodo1[[#This Row],[SALDO_ATUAL]]),4)</f>
        <v>0.54</v>
      </c>
      <c r="N3106" t="s">
        <v>116</v>
      </c>
      <c r="O3106" t="s">
        <v>459</v>
      </c>
      <c r="P3106" t="s">
        <v>459</v>
      </c>
      <c r="Q3106">
        <v>7</v>
      </c>
      <c r="R3106" s="225">
        <f>Base_Periodo1[[#This Row],[CREDITOS]]-Base_Periodo1[[#This Row],[DEBITOS]]</f>
        <v>0</v>
      </c>
      <c r="S3106" s="3" t="str">
        <f>IF(ISERROR(VLOOKUP(Base_Periodo1[[#This Row],[CONTA]],BaseContasDRE[#All],4,FALSE)),"Fora do DRE",VLOOKUP(Base_Periodo1[[#This Row],[CONTA]],BaseContasDRE[#All],4,FALSE))</f>
        <v>Fora do DRE</v>
      </c>
      <c r="T3106" s="3" t="str">
        <f>IF(ISERROR(VLOOKUP(Base_Periodo1[[#This Row],[CONTA]],BaseContasDRE[#All],5,FALSE)),"Fora do DRE",VLOOKUP(Base_Periodo1[[#This Row],[CONTA]],BaseContasDRE[#All],6,FALSE))</f>
        <v>Fora do DRE</v>
      </c>
      <c r="U3106" s="3" t="str">
        <f>IF(ISERROR(VLOOKUP(Base_Periodo1[[#This Row],[CONTA]],BaseContasDRE[#All],7,FALSE)),"Fora do DRE",VLOOKUP(Base_Periodo1[[#This Row],[CONTA]],BaseContasDRE[#All],7,FALSE))</f>
        <v>Fora do DRE</v>
      </c>
      <c r="V3106" s="3" t="str">
        <f>IF(Base_Periodo1[[#This Row],[Tipo_Linha]]="Fora do DRE","Fora do DRE","( "&amp;Base_Periodo1[[#This Row],[Tipo_Linha]]&amp;" ) "&amp;Base_Periodo1[[#This Row],[Filtro]])</f>
        <v>Fora do DRE</v>
      </c>
      <c r="W3106" s="3" t="str">
        <f>LEFT(Base_Periodo1[[#This Row],[CLASS]],3)</f>
        <v>2.1</v>
      </c>
    </row>
    <row r="3107" spans="1:23" hidden="1">
      <c r="A3107" s="3" t="str">
        <f t="shared" si="48"/>
        <v>Período 1</v>
      </c>
      <c r="B3107">
        <v>3198</v>
      </c>
      <c r="C3107" t="s">
        <v>1745</v>
      </c>
      <c r="D3107" t="s">
        <v>1952</v>
      </c>
      <c r="E3107" s="3" t="str">
        <f>IF(LEN(Base_Periodo1[[#This Row],[CLASS]])&gt;=7,LEFT(Base_Periodo1[[#This Row],[CLASS]],7),"")</f>
        <v>2.1.2.1</v>
      </c>
      <c r="F3107" s="3" t="str">
        <f>VLOOKUP(Base_Periodo1[[#This Row],[Aux]],Base_Contas_Balanco[#All],2,FALSE)</f>
        <v>Fornecedores Cooperados</v>
      </c>
      <c r="G3107" s="1">
        <v>42847</v>
      </c>
      <c r="H3107" s="225">
        <v>70524.450000000186</v>
      </c>
      <c r="I3107" s="225">
        <v>0</v>
      </c>
      <c r="J3107" s="225">
        <v>0</v>
      </c>
      <c r="K3107" s="225">
        <v>70524.450000000186</v>
      </c>
      <c r="L31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70524.45</v>
      </c>
      <c r="M3107" s="225">
        <f>ROUND(IF(AND(Base_Periodo1[[#This Row],[Tipo_Linha]]="-",Base_Periodo1[[#This Row],[TIPOSALDO]]="D"),Base_Periodo1[[#This Row],[SALDO_ATUAL]]*-1,Base_Periodo1[[#This Row],[SALDO_ATUAL]]),4)</f>
        <v>70524.45</v>
      </c>
      <c r="N3107" t="s">
        <v>116</v>
      </c>
      <c r="O3107" t="s">
        <v>459</v>
      </c>
      <c r="P3107" t="s">
        <v>459</v>
      </c>
      <c r="Q3107">
        <v>7</v>
      </c>
      <c r="R3107" s="225">
        <f>Base_Periodo1[[#This Row],[CREDITOS]]-Base_Periodo1[[#This Row],[DEBITOS]]</f>
        <v>0</v>
      </c>
      <c r="S3107" s="3" t="str">
        <f>IF(ISERROR(VLOOKUP(Base_Periodo1[[#This Row],[CONTA]],BaseContasDRE[#All],4,FALSE)),"Fora do DRE",VLOOKUP(Base_Periodo1[[#This Row],[CONTA]],BaseContasDRE[#All],4,FALSE))</f>
        <v>Fora do DRE</v>
      </c>
      <c r="T3107" s="3" t="str">
        <f>IF(ISERROR(VLOOKUP(Base_Periodo1[[#This Row],[CONTA]],BaseContasDRE[#All],5,FALSE)),"Fora do DRE",VLOOKUP(Base_Periodo1[[#This Row],[CONTA]],BaseContasDRE[#All],6,FALSE))</f>
        <v>Fora do DRE</v>
      </c>
      <c r="U3107" s="3" t="str">
        <f>IF(ISERROR(VLOOKUP(Base_Periodo1[[#This Row],[CONTA]],BaseContasDRE[#All],7,FALSE)),"Fora do DRE",VLOOKUP(Base_Periodo1[[#This Row],[CONTA]],BaseContasDRE[#All],7,FALSE))</f>
        <v>Fora do DRE</v>
      </c>
      <c r="V3107" s="3" t="str">
        <f>IF(Base_Periodo1[[#This Row],[Tipo_Linha]]="Fora do DRE","Fora do DRE","( "&amp;Base_Periodo1[[#This Row],[Tipo_Linha]]&amp;" ) "&amp;Base_Periodo1[[#This Row],[Filtro]])</f>
        <v>Fora do DRE</v>
      </c>
      <c r="W3107" s="3" t="str">
        <f>LEFT(Base_Periodo1[[#This Row],[CLASS]],3)</f>
        <v>2.1</v>
      </c>
    </row>
    <row r="3108" spans="1:23" hidden="1">
      <c r="A3108" s="3" t="str">
        <f t="shared" si="48"/>
        <v>Período 1</v>
      </c>
      <c r="B3108">
        <v>36587</v>
      </c>
      <c r="C3108" t="s">
        <v>1745</v>
      </c>
      <c r="D3108" t="s">
        <v>6397</v>
      </c>
      <c r="E3108" s="3" t="str">
        <f>IF(LEN(Base_Periodo1[[#This Row],[CLASS]])&gt;=7,LEFT(Base_Periodo1[[#This Row],[CLASS]],7),"")</f>
        <v>2.1.2.1</v>
      </c>
      <c r="F3108" s="3" t="str">
        <f>VLOOKUP(Base_Periodo1[[#This Row],[Aux]],Base_Contas_Balanco[#All],2,FALSE)</f>
        <v>Fornecedores Cooperados</v>
      </c>
      <c r="G3108" s="1">
        <v>42858</v>
      </c>
      <c r="H3108" s="225">
        <v>1.0000000000218279E-2</v>
      </c>
      <c r="I3108" s="225">
        <v>11921.25</v>
      </c>
      <c r="J3108" s="225">
        <v>11921.25</v>
      </c>
      <c r="K3108" s="225">
        <v>1.0000000000218279E-2</v>
      </c>
      <c r="L31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108" s="225">
        <f>ROUND(IF(AND(Base_Periodo1[[#This Row],[Tipo_Linha]]="-",Base_Periodo1[[#This Row],[TIPOSALDO]]="D"),Base_Periodo1[[#This Row],[SALDO_ATUAL]]*-1,Base_Periodo1[[#This Row],[SALDO_ATUAL]]),4)</f>
        <v>0.01</v>
      </c>
      <c r="N3108" t="s">
        <v>116</v>
      </c>
      <c r="O3108" t="s">
        <v>459</v>
      </c>
      <c r="P3108" t="s">
        <v>459</v>
      </c>
      <c r="Q3108">
        <v>7</v>
      </c>
      <c r="R3108" s="225">
        <f>Base_Periodo1[[#This Row],[CREDITOS]]-Base_Periodo1[[#This Row],[DEBITOS]]</f>
        <v>0</v>
      </c>
      <c r="S3108" s="3" t="str">
        <f>IF(ISERROR(VLOOKUP(Base_Periodo1[[#This Row],[CONTA]],BaseContasDRE[#All],4,FALSE)),"Fora do DRE",VLOOKUP(Base_Periodo1[[#This Row],[CONTA]],BaseContasDRE[#All],4,FALSE))</f>
        <v>Fora do DRE</v>
      </c>
      <c r="T3108" s="3" t="str">
        <f>IF(ISERROR(VLOOKUP(Base_Periodo1[[#This Row],[CONTA]],BaseContasDRE[#All],5,FALSE)),"Fora do DRE",VLOOKUP(Base_Periodo1[[#This Row],[CONTA]],BaseContasDRE[#All],6,FALSE))</f>
        <v>Fora do DRE</v>
      </c>
      <c r="U3108" s="3" t="str">
        <f>IF(ISERROR(VLOOKUP(Base_Periodo1[[#This Row],[CONTA]],BaseContasDRE[#All],7,FALSE)),"Fora do DRE",VLOOKUP(Base_Periodo1[[#This Row],[CONTA]],BaseContasDRE[#All],7,FALSE))</f>
        <v>Fora do DRE</v>
      </c>
      <c r="V3108" s="3" t="str">
        <f>IF(Base_Periodo1[[#This Row],[Tipo_Linha]]="Fora do DRE","Fora do DRE","( "&amp;Base_Periodo1[[#This Row],[Tipo_Linha]]&amp;" ) "&amp;Base_Periodo1[[#This Row],[Filtro]])</f>
        <v>Fora do DRE</v>
      </c>
      <c r="W3108" s="3" t="str">
        <f>LEFT(Base_Periodo1[[#This Row],[CLASS]],3)</f>
        <v>2.1</v>
      </c>
    </row>
    <row r="3109" spans="1:23" hidden="1">
      <c r="A3109" s="3" t="str">
        <f t="shared" si="48"/>
        <v>Período 1</v>
      </c>
      <c r="B3109">
        <v>2366</v>
      </c>
      <c r="C3109" t="s">
        <v>1745</v>
      </c>
      <c r="D3109" t="s">
        <v>1953</v>
      </c>
      <c r="E3109" s="3" t="str">
        <f>IF(LEN(Base_Periodo1[[#This Row],[CLASS]])&gt;=7,LEFT(Base_Periodo1[[#This Row],[CLASS]],7),"")</f>
        <v>2.1.2.1</v>
      </c>
      <c r="F3109" s="3" t="str">
        <f>VLOOKUP(Base_Periodo1[[#This Row],[Aux]],Base_Contas_Balanco[#All],2,FALSE)</f>
        <v>Fornecedores Cooperados</v>
      </c>
      <c r="G3109" s="1">
        <v>42864</v>
      </c>
      <c r="H3109" s="225">
        <v>2700.0200000000186</v>
      </c>
      <c r="I3109" s="225">
        <v>0</v>
      </c>
      <c r="J3109" s="225">
        <v>2200</v>
      </c>
      <c r="K3109" s="225">
        <v>4900.0200000000186</v>
      </c>
      <c r="L31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4900.0200000000004</v>
      </c>
      <c r="M3109" s="225">
        <f>ROUND(IF(AND(Base_Periodo1[[#This Row],[Tipo_Linha]]="-",Base_Periodo1[[#This Row],[TIPOSALDO]]="D"),Base_Periodo1[[#This Row],[SALDO_ATUAL]]*-1,Base_Periodo1[[#This Row],[SALDO_ATUAL]]),4)</f>
        <v>4900.0200000000004</v>
      </c>
      <c r="N3109" t="s">
        <v>116</v>
      </c>
      <c r="O3109" t="s">
        <v>459</v>
      </c>
      <c r="P3109" t="s">
        <v>459</v>
      </c>
      <c r="Q3109">
        <v>7</v>
      </c>
      <c r="R3109" s="225">
        <f>Base_Periodo1[[#This Row],[CREDITOS]]-Base_Periodo1[[#This Row],[DEBITOS]]</f>
        <v>2200</v>
      </c>
      <c r="S3109" s="3" t="str">
        <f>IF(ISERROR(VLOOKUP(Base_Periodo1[[#This Row],[CONTA]],BaseContasDRE[#All],4,FALSE)),"Fora do DRE",VLOOKUP(Base_Periodo1[[#This Row],[CONTA]],BaseContasDRE[#All],4,FALSE))</f>
        <v>Fora do DRE</v>
      </c>
      <c r="T3109" s="3" t="str">
        <f>IF(ISERROR(VLOOKUP(Base_Periodo1[[#This Row],[CONTA]],BaseContasDRE[#All],5,FALSE)),"Fora do DRE",VLOOKUP(Base_Periodo1[[#This Row],[CONTA]],BaseContasDRE[#All],6,FALSE))</f>
        <v>Fora do DRE</v>
      </c>
      <c r="U3109" s="3" t="str">
        <f>IF(ISERROR(VLOOKUP(Base_Periodo1[[#This Row],[CONTA]],BaseContasDRE[#All],7,FALSE)),"Fora do DRE",VLOOKUP(Base_Periodo1[[#This Row],[CONTA]],BaseContasDRE[#All],7,FALSE))</f>
        <v>Fora do DRE</v>
      </c>
      <c r="V3109" s="3" t="str">
        <f>IF(Base_Periodo1[[#This Row],[Tipo_Linha]]="Fora do DRE","Fora do DRE","( "&amp;Base_Periodo1[[#This Row],[Tipo_Linha]]&amp;" ) "&amp;Base_Periodo1[[#This Row],[Filtro]])</f>
        <v>Fora do DRE</v>
      </c>
      <c r="W3109" s="3" t="str">
        <f>LEFT(Base_Periodo1[[#This Row],[CLASS]],3)</f>
        <v>2.1</v>
      </c>
    </row>
    <row r="3110" spans="1:23" hidden="1">
      <c r="A3110" s="3" t="str">
        <f t="shared" si="48"/>
        <v>Período 1</v>
      </c>
      <c r="B3110">
        <v>2342</v>
      </c>
      <c r="C3110" t="s">
        <v>1745</v>
      </c>
      <c r="D3110" t="s">
        <v>4765</v>
      </c>
      <c r="E3110" s="3" t="str">
        <f>IF(LEN(Base_Periodo1[[#This Row],[CLASS]])&gt;=7,LEFT(Base_Periodo1[[#This Row],[CLASS]],7),"")</f>
        <v>2.1.2.1</v>
      </c>
      <c r="F3110" s="3" t="str">
        <f>VLOOKUP(Base_Periodo1[[#This Row],[Aux]],Base_Contas_Balanco[#All],2,FALSE)</f>
        <v>Fornecedores Cooperados</v>
      </c>
      <c r="G3110" s="1">
        <v>42724</v>
      </c>
      <c r="H3110" s="225">
        <v>4218.9699999997974</v>
      </c>
      <c r="I3110" s="225">
        <v>0</v>
      </c>
      <c r="J3110" s="225">
        <v>0</v>
      </c>
      <c r="K3110" s="225">
        <v>4218.9699999997974</v>
      </c>
      <c r="L31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4218.97</v>
      </c>
      <c r="M3110" s="225">
        <f>ROUND(IF(AND(Base_Periodo1[[#This Row],[Tipo_Linha]]="-",Base_Periodo1[[#This Row],[TIPOSALDO]]="D"),Base_Periodo1[[#This Row],[SALDO_ATUAL]]*-1,Base_Periodo1[[#This Row],[SALDO_ATUAL]]),4)</f>
        <v>4218.97</v>
      </c>
      <c r="N3110" t="s">
        <v>116</v>
      </c>
      <c r="O3110" t="s">
        <v>459</v>
      </c>
      <c r="P3110" t="s">
        <v>459</v>
      </c>
      <c r="Q3110">
        <v>7</v>
      </c>
      <c r="R3110" s="225">
        <f>Base_Periodo1[[#This Row],[CREDITOS]]-Base_Periodo1[[#This Row],[DEBITOS]]</f>
        <v>0</v>
      </c>
      <c r="S3110" s="3" t="str">
        <f>IF(ISERROR(VLOOKUP(Base_Periodo1[[#This Row],[CONTA]],BaseContasDRE[#All],4,FALSE)),"Fora do DRE",VLOOKUP(Base_Periodo1[[#This Row],[CONTA]],BaseContasDRE[#All],4,FALSE))</f>
        <v>Fora do DRE</v>
      </c>
      <c r="T3110" s="3" t="str">
        <f>IF(ISERROR(VLOOKUP(Base_Periodo1[[#This Row],[CONTA]],BaseContasDRE[#All],5,FALSE)),"Fora do DRE",VLOOKUP(Base_Periodo1[[#This Row],[CONTA]],BaseContasDRE[#All],6,FALSE))</f>
        <v>Fora do DRE</v>
      </c>
      <c r="U3110" s="3" t="str">
        <f>IF(ISERROR(VLOOKUP(Base_Periodo1[[#This Row],[CONTA]],BaseContasDRE[#All],7,FALSE)),"Fora do DRE",VLOOKUP(Base_Periodo1[[#This Row],[CONTA]],BaseContasDRE[#All],7,FALSE))</f>
        <v>Fora do DRE</v>
      </c>
      <c r="V3110" s="3" t="str">
        <f>IF(Base_Periodo1[[#This Row],[Tipo_Linha]]="Fora do DRE","Fora do DRE","( "&amp;Base_Periodo1[[#This Row],[Tipo_Linha]]&amp;" ) "&amp;Base_Periodo1[[#This Row],[Filtro]])</f>
        <v>Fora do DRE</v>
      </c>
      <c r="W3110" s="3" t="str">
        <f>LEFT(Base_Periodo1[[#This Row],[CLASS]],3)</f>
        <v>2.1</v>
      </c>
    </row>
    <row r="3111" spans="1:23" hidden="1">
      <c r="A3111" s="3" t="str">
        <f t="shared" si="48"/>
        <v>Período 1</v>
      </c>
      <c r="B3111">
        <v>4010</v>
      </c>
      <c r="C3111" t="s">
        <v>1745</v>
      </c>
      <c r="D3111" t="s">
        <v>1954</v>
      </c>
      <c r="E3111" s="3" t="str">
        <f>IF(LEN(Base_Periodo1[[#This Row],[CLASS]])&gt;=7,LEFT(Base_Periodo1[[#This Row],[CLASS]],7),"")</f>
        <v>2.1.2.1</v>
      </c>
      <c r="F3111" s="3" t="str">
        <f>VLOOKUP(Base_Periodo1[[#This Row],[Aux]],Base_Contas_Balanco[#All],2,FALSE)</f>
        <v>Fornecedores Cooperados</v>
      </c>
      <c r="G3111" s="1">
        <v>42774</v>
      </c>
      <c r="H3111" s="225">
        <v>36.279999999998836</v>
      </c>
      <c r="I3111" s="225">
        <v>0</v>
      </c>
      <c r="J3111" s="225">
        <v>0</v>
      </c>
      <c r="K3111" s="225">
        <v>36.279999999998836</v>
      </c>
      <c r="L31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36.28</v>
      </c>
      <c r="M3111" s="225">
        <f>ROUND(IF(AND(Base_Periodo1[[#This Row],[Tipo_Linha]]="-",Base_Periodo1[[#This Row],[TIPOSALDO]]="D"),Base_Periodo1[[#This Row],[SALDO_ATUAL]]*-1,Base_Periodo1[[#This Row],[SALDO_ATUAL]]),4)</f>
        <v>36.28</v>
      </c>
      <c r="N3111" t="s">
        <v>116</v>
      </c>
      <c r="O3111" t="s">
        <v>459</v>
      </c>
      <c r="P3111" t="s">
        <v>459</v>
      </c>
      <c r="Q3111">
        <v>7</v>
      </c>
      <c r="R3111" s="225">
        <f>Base_Periodo1[[#This Row],[CREDITOS]]-Base_Periodo1[[#This Row],[DEBITOS]]</f>
        <v>0</v>
      </c>
      <c r="S3111" s="3" t="str">
        <f>IF(ISERROR(VLOOKUP(Base_Periodo1[[#This Row],[CONTA]],BaseContasDRE[#All],4,FALSE)),"Fora do DRE",VLOOKUP(Base_Periodo1[[#This Row],[CONTA]],BaseContasDRE[#All],4,FALSE))</f>
        <v>Fora do DRE</v>
      </c>
      <c r="T3111" s="3" t="str">
        <f>IF(ISERROR(VLOOKUP(Base_Periodo1[[#This Row],[CONTA]],BaseContasDRE[#All],5,FALSE)),"Fora do DRE",VLOOKUP(Base_Periodo1[[#This Row],[CONTA]],BaseContasDRE[#All],6,FALSE))</f>
        <v>Fora do DRE</v>
      </c>
      <c r="U3111" s="3" t="str">
        <f>IF(ISERROR(VLOOKUP(Base_Periodo1[[#This Row],[CONTA]],BaseContasDRE[#All],7,FALSE)),"Fora do DRE",VLOOKUP(Base_Periodo1[[#This Row],[CONTA]],BaseContasDRE[#All],7,FALSE))</f>
        <v>Fora do DRE</v>
      </c>
      <c r="V3111" s="3" t="str">
        <f>IF(Base_Periodo1[[#This Row],[Tipo_Linha]]="Fora do DRE","Fora do DRE","( "&amp;Base_Periodo1[[#This Row],[Tipo_Linha]]&amp;" ) "&amp;Base_Periodo1[[#This Row],[Filtro]])</f>
        <v>Fora do DRE</v>
      </c>
      <c r="W3111" s="3" t="str">
        <f>LEFT(Base_Periodo1[[#This Row],[CLASS]],3)</f>
        <v>2.1</v>
      </c>
    </row>
    <row r="3112" spans="1:23" hidden="1">
      <c r="A3112" s="3" t="str">
        <f t="shared" si="48"/>
        <v>Período 1</v>
      </c>
      <c r="B3112">
        <v>3170</v>
      </c>
      <c r="C3112" t="s">
        <v>1745</v>
      </c>
      <c r="D3112" t="s">
        <v>1955</v>
      </c>
      <c r="E3112" s="3" t="str">
        <f>IF(LEN(Base_Periodo1[[#This Row],[CLASS]])&gt;=7,LEFT(Base_Periodo1[[#This Row],[CLASS]],7),"")</f>
        <v>2.1.2.1</v>
      </c>
      <c r="F3112" s="3" t="str">
        <f>VLOOKUP(Base_Periodo1[[#This Row],[Aux]],Base_Contas_Balanco[#All],2,FALSE)</f>
        <v>Fornecedores Cooperados</v>
      </c>
      <c r="G3112" s="1">
        <v>42859</v>
      </c>
      <c r="H3112" s="225">
        <v>92148.740000000224</v>
      </c>
      <c r="I3112" s="225">
        <v>52590.219999999994</v>
      </c>
      <c r="J3112" s="225">
        <v>37899.089999999997</v>
      </c>
      <c r="K3112" s="225">
        <v>77457.610000000219</v>
      </c>
      <c r="L31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77457.61</v>
      </c>
      <c r="M3112" s="225">
        <f>ROUND(IF(AND(Base_Periodo1[[#This Row],[Tipo_Linha]]="-",Base_Periodo1[[#This Row],[TIPOSALDO]]="D"),Base_Periodo1[[#This Row],[SALDO_ATUAL]]*-1,Base_Periodo1[[#This Row],[SALDO_ATUAL]]),4)</f>
        <v>77457.61</v>
      </c>
      <c r="N3112" t="s">
        <v>116</v>
      </c>
      <c r="O3112" t="s">
        <v>459</v>
      </c>
      <c r="P3112" t="s">
        <v>459</v>
      </c>
      <c r="Q3112">
        <v>7</v>
      </c>
      <c r="R3112" s="225">
        <f>Base_Periodo1[[#This Row],[CREDITOS]]-Base_Periodo1[[#This Row],[DEBITOS]]</f>
        <v>-14691.129999999997</v>
      </c>
      <c r="S3112" s="3" t="str">
        <f>IF(ISERROR(VLOOKUP(Base_Periodo1[[#This Row],[CONTA]],BaseContasDRE[#All],4,FALSE)),"Fora do DRE",VLOOKUP(Base_Periodo1[[#This Row],[CONTA]],BaseContasDRE[#All],4,FALSE))</f>
        <v>Fora do DRE</v>
      </c>
      <c r="T3112" s="3" t="str">
        <f>IF(ISERROR(VLOOKUP(Base_Periodo1[[#This Row],[CONTA]],BaseContasDRE[#All],5,FALSE)),"Fora do DRE",VLOOKUP(Base_Periodo1[[#This Row],[CONTA]],BaseContasDRE[#All],6,FALSE))</f>
        <v>Fora do DRE</v>
      </c>
      <c r="U3112" s="3" t="str">
        <f>IF(ISERROR(VLOOKUP(Base_Periodo1[[#This Row],[CONTA]],BaseContasDRE[#All],7,FALSE)),"Fora do DRE",VLOOKUP(Base_Periodo1[[#This Row],[CONTA]],BaseContasDRE[#All],7,FALSE))</f>
        <v>Fora do DRE</v>
      </c>
      <c r="V3112" s="3" t="str">
        <f>IF(Base_Periodo1[[#This Row],[Tipo_Linha]]="Fora do DRE","Fora do DRE","( "&amp;Base_Periodo1[[#This Row],[Tipo_Linha]]&amp;" ) "&amp;Base_Periodo1[[#This Row],[Filtro]])</f>
        <v>Fora do DRE</v>
      </c>
      <c r="W3112" s="3" t="str">
        <f>LEFT(Base_Periodo1[[#This Row],[CLASS]],3)</f>
        <v>2.1</v>
      </c>
    </row>
    <row r="3113" spans="1:23" hidden="1">
      <c r="A3113" s="3" t="str">
        <f t="shared" si="48"/>
        <v>Período 1</v>
      </c>
      <c r="B3113">
        <v>48203</v>
      </c>
      <c r="C3113" t="s">
        <v>1745</v>
      </c>
      <c r="D3113" t="s">
        <v>4285</v>
      </c>
      <c r="E3113" s="3" t="str">
        <f>IF(LEN(Base_Periodo1[[#This Row],[CLASS]])&gt;=7,LEFT(Base_Periodo1[[#This Row],[CLASS]],7),"")</f>
        <v>2.1.2.1</v>
      </c>
      <c r="F3113" s="3" t="str">
        <f>VLOOKUP(Base_Periodo1[[#This Row],[Aux]],Base_Contas_Balanco[#All],2,FALSE)</f>
        <v>Fornecedores Cooperados</v>
      </c>
      <c r="G3113" s="1">
        <v>42881</v>
      </c>
      <c r="H3113" s="225">
        <v>27108.83</v>
      </c>
      <c r="I3113" s="225">
        <v>7664.91</v>
      </c>
      <c r="J3113" s="225">
        <v>0</v>
      </c>
      <c r="K3113" s="225">
        <v>19443.920000000002</v>
      </c>
      <c r="L31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19443.919999999998</v>
      </c>
      <c r="M3113" s="225">
        <f>ROUND(IF(AND(Base_Periodo1[[#This Row],[Tipo_Linha]]="-",Base_Periodo1[[#This Row],[TIPOSALDO]]="D"),Base_Periodo1[[#This Row],[SALDO_ATUAL]]*-1,Base_Periodo1[[#This Row],[SALDO_ATUAL]]),4)</f>
        <v>19443.919999999998</v>
      </c>
      <c r="N3113" t="s">
        <v>116</v>
      </c>
      <c r="O3113" t="s">
        <v>459</v>
      </c>
      <c r="P3113" t="s">
        <v>459</v>
      </c>
      <c r="Q3113">
        <v>7</v>
      </c>
      <c r="R3113" s="225">
        <f>Base_Periodo1[[#This Row],[CREDITOS]]-Base_Periodo1[[#This Row],[DEBITOS]]</f>
        <v>-7664.91</v>
      </c>
      <c r="S3113" s="3" t="str">
        <f>IF(ISERROR(VLOOKUP(Base_Periodo1[[#This Row],[CONTA]],BaseContasDRE[#All],4,FALSE)),"Fora do DRE",VLOOKUP(Base_Periodo1[[#This Row],[CONTA]],BaseContasDRE[#All],4,FALSE))</f>
        <v>Fora do DRE</v>
      </c>
      <c r="T3113" s="3" t="str">
        <f>IF(ISERROR(VLOOKUP(Base_Periodo1[[#This Row],[CONTA]],BaseContasDRE[#All],5,FALSE)),"Fora do DRE",VLOOKUP(Base_Periodo1[[#This Row],[CONTA]],BaseContasDRE[#All],6,FALSE))</f>
        <v>Fora do DRE</v>
      </c>
      <c r="U3113" s="3" t="str">
        <f>IF(ISERROR(VLOOKUP(Base_Periodo1[[#This Row],[CONTA]],BaseContasDRE[#All],7,FALSE)),"Fora do DRE",VLOOKUP(Base_Periodo1[[#This Row],[CONTA]],BaseContasDRE[#All],7,FALSE))</f>
        <v>Fora do DRE</v>
      </c>
      <c r="V3113" s="3" t="str">
        <f>IF(Base_Periodo1[[#This Row],[Tipo_Linha]]="Fora do DRE","Fora do DRE","( "&amp;Base_Periodo1[[#This Row],[Tipo_Linha]]&amp;" ) "&amp;Base_Periodo1[[#This Row],[Filtro]])</f>
        <v>Fora do DRE</v>
      </c>
      <c r="W3113" s="3" t="str">
        <f>LEFT(Base_Periodo1[[#This Row],[CLASS]],3)</f>
        <v>2.1</v>
      </c>
    </row>
    <row r="3114" spans="1:23" hidden="1">
      <c r="A3114" s="3" t="str">
        <f t="shared" si="48"/>
        <v>Período 1</v>
      </c>
      <c r="B3114">
        <v>50804</v>
      </c>
      <c r="C3114" t="s">
        <v>1745</v>
      </c>
      <c r="D3114" t="s">
        <v>5225</v>
      </c>
      <c r="E3114" s="3" t="str">
        <f>IF(LEN(Base_Periodo1[[#This Row],[CLASS]])&gt;=7,LEFT(Base_Periodo1[[#This Row],[CLASS]],7),"")</f>
        <v>2.1.2.1</v>
      </c>
      <c r="F3114" s="3" t="str">
        <f>VLOOKUP(Base_Periodo1[[#This Row],[Aux]],Base_Contas_Balanco[#All],2,FALSE)</f>
        <v>Fornecedores Cooperados</v>
      </c>
      <c r="G3114" s="1">
        <v>42858</v>
      </c>
      <c r="H3114" s="225">
        <v>159320.60000000003</v>
      </c>
      <c r="I3114" s="225">
        <v>3183.61</v>
      </c>
      <c r="J3114" s="225">
        <v>0</v>
      </c>
      <c r="K3114" s="225">
        <v>156136.99000000005</v>
      </c>
      <c r="L31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156136.99</v>
      </c>
      <c r="M3114" s="225">
        <f>ROUND(IF(AND(Base_Periodo1[[#This Row],[Tipo_Linha]]="-",Base_Periodo1[[#This Row],[TIPOSALDO]]="D"),Base_Periodo1[[#This Row],[SALDO_ATUAL]]*-1,Base_Periodo1[[#This Row],[SALDO_ATUAL]]),4)</f>
        <v>156136.99</v>
      </c>
      <c r="N3114" t="s">
        <v>116</v>
      </c>
      <c r="O3114" t="s">
        <v>459</v>
      </c>
      <c r="P3114" t="s">
        <v>459</v>
      </c>
      <c r="Q3114">
        <v>7</v>
      </c>
      <c r="R3114" s="225">
        <f>Base_Periodo1[[#This Row],[CREDITOS]]-Base_Periodo1[[#This Row],[DEBITOS]]</f>
        <v>-3183.61</v>
      </c>
      <c r="S3114" s="3" t="str">
        <f>IF(ISERROR(VLOOKUP(Base_Periodo1[[#This Row],[CONTA]],BaseContasDRE[#All],4,FALSE)),"Fora do DRE",VLOOKUP(Base_Periodo1[[#This Row],[CONTA]],BaseContasDRE[#All],4,FALSE))</f>
        <v>Fora do DRE</v>
      </c>
      <c r="T3114" s="3" t="str">
        <f>IF(ISERROR(VLOOKUP(Base_Periodo1[[#This Row],[CONTA]],BaseContasDRE[#All],5,FALSE)),"Fora do DRE",VLOOKUP(Base_Periodo1[[#This Row],[CONTA]],BaseContasDRE[#All],6,FALSE))</f>
        <v>Fora do DRE</v>
      </c>
      <c r="U3114" s="3" t="str">
        <f>IF(ISERROR(VLOOKUP(Base_Periodo1[[#This Row],[CONTA]],BaseContasDRE[#All],7,FALSE)),"Fora do DRE",VLOOKUP(Base_Periodo1[[#This Row],[CONTA]],BaseContasDRE[#All],7,FALSE))</f>
        <v>Fora do DRE</v>
      </c>
      <c r="V3114" s="3" t="str">
        <f>IF(Base_Periodo1[[#This Row],[Tipo_Linha]]="Fora do DRE","Fora do DRE","( "&amp;Base_Periodo1[[#This Row],[Tipo_Linha]]&amp;" ) "&amp;Base_Periodo1[[#This Row],[Filtro]])</f>
        <v>Fora do DRE</v>
      </c>
      <c r="W3114" s="3" t="str">
        <f>LEFT(Base_Periodo1[[#This Row],[CLASS]],3)</f>
        <v>2.1</v>
      </c>
    </row>
    <row r="3115" spans="1:23" hidden="1">
      <c r="A3115" s="3" t="str">
        <f t="shared" si="48"/>
        <v>Período 1</v>
      </c>
      <c r="B3115">
        <v>5046</v>
      </c>
      <c r="C3115" t="s">
        <v>1745</v>
      </c>
      <c r="D3115" t="s">
        <v>1956</v>
      </c>
      <c r="E3115" s="3" t="str">
        <f>IF(LEN(Base_Periodo1[[#This Row],[CLASS]])&gt;=7,LEFT(Base_Periodo1[[#This Row],[CLASS]],7),"")</f>
        <v>2.1.2.1</v>
      </c>
      <c r="F3115" s="3" t="str">
        <f>VLOOKUP(Base_Periodo1[[#This Row],[Aux]],Base_Contas_Balanco[#All],2,FALSE)</f>
        <v>Fornecedores Cooperados</v>
      </c>
      <c r="G3115" s="1">
        <v>42669</v>
      </c>
      <c r="H3115" s="225">
        <v>2713.2300000000032</v>
      </c>
      <c r="I3115" s="225">
        <v>0</v>
      </c>
      <c r="J3115" s="225">
        <v>0</v>
      </c>
      <c r="K3115" s="225">
        <v>2713.2300000000032</v>
      </c>
      <c r="L31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2713.23</v>
      </c>
      <c r="M3115" s="225">
        <f>ROUND(IF(AND(Base_Periodo1[[#This Row],[Tipo_Linha]]="-",Base_Periodo1[[#This Row],[TIPOSALDO]]="D"),Base_Periodo1[[#This Row],[SALDO_ATUAL]]*-1,Base_Periodo1[[#This Row],[SALDO_ATUAL]]),4)</f>
        <v>2713.23</v>
      </c>
      <c r="N3115" t="s">
        <v>116</v>
      </c>
      <c r="O3115" t="s">
        <v>459</v>
      </c>
      <c r="P3115" t="s">
        <v>459</v>
      </c>
      <c r="Q3115">
        <v>7</v>
      </c>
      <c r="R3115" s="225">
        <f>Base_Periodo1[[#This Row],[CREDITOS]]-Base_Periodo1[[#This Row],[DEBITOS]]</f>
        <v>0</v>
      </c>
      <c r="S3115" s="3" t="str">
        <f>IF(ISERROR(VLOOKUP(Base_Periodo1[[#This Row],[CONTA]],BaseContasDRE[#All],4,FALSE)),"Fora do DRE",VLOOKUP(Base_Periodo1[[#This Row],[CONTA]],BaseContasDRE[#All],4,FALSE))</f>
        <v>Fora do DRE</v>
      </c>
      <c r="T3115" s="3" t="str">
        <f>IF(ISERROR(VLOOKUP(Base_Periodo1[[#This Row],[CONTA]],BaseContasDRE[#All],5,FALSE)),"Fora do DRE",VLOOKUP(Base_Periodo1[[#This Row],[CONTA]],BaseContasDRE[#All],6,FALSE))</f>
        <v>Fora do DRE</v>
      </c>
      <c r="U3115" s="3" t="str">
        <f>IF(ISERROR(VLOOKUP(Base_Periodo1[[#This Row],[CONTA]],BaseContasDRE[#All],7,FALSE)),"Fora do DRE",VLOOKUP(Base_Periodo1[[#This Row],[CONTA]],BaseContasDRE[#All],7,FALSE))</f>
        <v>Fora do DRE</v>
      </c>
      <c r="V3115" s="3" t="str">
        <f>IF(Base_Periodo1[[#This Row],[Tipo_Linha]]="Fora do DRE","Fora do DRE","( "&amp;Base_Periodo1[[#This Row],[Tipo_Linha]]&amp;" ) "&amp;Base_Periodo1[[#This Row],[Filtro]])</f>
        <v>Fora do DRE</v>
      </c>
      <c r="W3115" s="3" t="str">
        <f>LEFT(Base_Periodo1[[#This Row],[CLASS]],3)</f>
        <v>2.1</v>
      </c>
    </row>
    <row r="3116" spans="1:23" hidden="1">
      <c r="A3116" s="3" t="str">
        <f t="shared" si="48"/>
        <v>Período 1</v>
      </c>
      <c r="B3116">
        <v>4814</v>
      </c>
      <c r="C3116" t="s">
        <v>1745</v>
      </c>
      <c r="D3116" t="s">
        <v>4946</v>
      </c>
      <c r="E3116" s="3" t="str">
        <f>IF(LEN(Base_Periodo1[[#This Row],[CLASS]])&gt;=7,LEFT(Base_Periodo1[[#This Row],[CLASS]],7),"")</f>
        <v>2.1.2.1</v>
      </c>
      <c r="F3116" s="3" t="str">
        <f>VLOOKUP(Base_Periodo1[[#This Row],[Aux]],Base_Contas_Balanco[#All],2,FALSE)</f>
        <v>Fornecedores Cooperados</v>
      </c>
      <c r="G3116" s="1">
        <v>42563</v>
      </c>
      <c r="H3116" s="225">
        <v>1904.8499999999913</v>
      </c>
      <c r="I3116" s="225">
        <v>0</v>
      </c>
      <c r="J3116" s="225">
        <v>0</v>
      </c>
      <c r="K3116" s="225">
        <v>1904.8499999999913</v>
      </c>
      <c r="L31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1904.85</v>
      </c>
      <c r="M3116" s="225">
        <f>ROUND(IF(AND(Base_Periodo1[[#This Row],[Tipo_Linha]]="-",Base_Periodo1[[#This Row],[TIPOSALDO]]="D"),Base_Periodo1[[#This Row],[SALDO_ATUAL]]*-1,Base_Periodo1[[#This Row],[SALDO_ATUAL]]),4)</f>
        <v>1904.85</v>
      </c>
      <c r="N3116" t="s">
        <v>116</v>
      </c>
      <c r="O3116" t="s">
        <v>459</v>
      </c>
      <c r="P3116" t="s">
        <v>459</v>
      </c>
      <c r="Q3116">
        <v>7</v>
      </c>
      <c r="R3116" s="225">
        <f>Base_Periodo1[[#This Row],[CREDITOS]]-Base_Periodo1[[#This Row],[DEBITOS]]</f>
        <v>0</v>
      </c>
      <c r="S3116" s="3" t="str">
        <f>IF(ISERROR(VLOOKUP(Base_Periodo1[[#This Row],[CONTA]],BaseContasDRE[#All],4,FALSE)),"Fora do DRE",VLOOKUP(Base_Periodo1[[#This Row],[CONTA]],BaseContasDRE[#All],4,FALSE))</f>
        <v>Fora do DRE</v>
      </c>
      <c r="T3116" s="3" t="str">
        <f>IF(ISERROR(VLOOKUP(Base_Periodo1[[#This Row],[CONTA]],BaseContasDRE[#All],5,FALSE)),"Fora do DRE",VLOOKUP(Base_Periodo1[[#This Row],[CONTA]],BaseContasDRE[#All],6,FALSE))</f>
        <v>Fora do DRE</v>
      </c>
      <c r="U3116" s="3" t="str">
        <f>IF(ISERROR(VLOOKUP(Base_Periodo1[[#This Row],[CONTA]],BaseContasDRE[#All],7,FALSE)),"Fora do DRE",VLOOKUP(Base_Periodo1[[#This Row],[CONTA]],BaseContasDRE[#All],7,FALSE))</f>
        <v>Fora do DRE</v>
      </c>
      <c r="V3116" s="3" t="str">
        <f>IF(Base_Periodo1[[#This Row],[Tipo_Linha]]="Fora do DRE","Fora do DRE","( "&amp;Base_Periodo1[[#This Row],[Tipo_Linha]]&amp;" ) "&amp;Base_Periodo1[[#This Row],[Filtro]])</f>
        <v>Fora do DRE</v>
      </c>
      <c r="W3116" s="3" t="str">
        <f>LEFT(Base_Periodo1[[#This Row],[CLASS]],3)</f>
        <v>2.1</v>
      </c>
    </row>
    <row r="3117" spans="1:23" hidden="1">
      <c r="A3117" s="3" t="str">
        <f t="shared" si="48"/>
        <v>Período 1</v>
      </c>
      <c r="B3117">
        <v>25458</v>
      </c>
      <c r="C3117" t="s">
        <v>1745</v>
      </c>
      <c r="D3117" t="s">
        <v>1957</v>
      </c>
      <c r="E3117" s="3" t="str">
        <f>IF(LEN(Base_Periodo1[[#This Row],[CLASS]])&gt;=7,LEFT(Base_Periodo1[[#This Row],[CLASS]],7),"")</f>
        <v>2.1.2.1</v>
      </c>
      <c r="F3117" s="3" t="str">
        <f>VLOOKUP(Base_Periodo1[[#This Row],[Aux]],Base_Contas_Balanco[#All],2,FALSE)</f>
        <v>Fornecedores Cooperados</v>
      </c>
      <c r="G3117" s="1">
        <v>42249</v>
      </c>
      <c r="H3117" s="225">
        <v>1.999999999998181E-2</v>
      </c>
      <c r="I3117" s="225">
        <v>0</v>
      </c>
      <c r="J3117" s="225">
        <v>0</v>
      </c>
      <c r="K3117" s="225">
        <v>1.999999999998181E-2</v>
      </c>
      <c r="L31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3117" s="225">
        <f>ROUND(IF(AND(Base_Periodo1[[#This Row],[Tipo_Linha]]="-",Base_Periodo1[[#This Row],[TIPOSALDO]]="D"),Base_Periodo1[[#This Row],[SALDO_ATUAL]]*-1,Base_Periodo1[[#This Row],[SALDO_ATUAL]]),4)</f>
        <v>0.02</v>
      </c>
      <c r="N3117" t="s">
        <v>116</v>
      </c>
      <c r="O3117" t="s">
        <v>459</v>
      </c>
      <c r="P3117" t="s">
        <v>459</v>
      </c>
      <c r="Q3117">
        <v>7</v>
      </c>
      <c r="R3117" s="225">
        <f>Base_Periodo1[[#This Row],[CREDITOS]]-Base_Periodo1[[#This Row],[DEBITOS]]</f>
        <v>0</v>
      </c>
      <c r="S3117" s="3" t="str">
        <f>IF(ISERROR(VLOOKUP(Base_Periodo1[[#This Row],[CONTA]],BaseContasDRE[#All],4,FALSE)),"Fora do DRE",VLOOKUP(Base_Periodo1[[#This Row],[CONTA]],BaseContasDRE[#All],4,FALSE))</f>
        <v>Fora do DRE</v>
      </c>
      <c r="T3117" s="3" t="str">
        <f>IF(ISERROR(VLOOKUP(Base_Periodo1[[#This Row],[CONTA]],BaseContasDRE[#All],5,FALSE)),"Fora do DRE",VLOOKUP(Base_Periodo1[[#This Row],[CONTA]],BaseContasDRE[#All],6,FALSE))</f>
        <v>Fora do DRE</v>
      </c>
      <c r="U3117" s="3" t="str">
        <f>IF(ISERROR(VLOOKUP(Base_Periodo1[[#This Row],[CONTA]],BaseContasDRE[#All],7,FALSE)),"Fora do DRE",VLOOKUP(Base_Periodo1[[#This Row],[CONTA]],BaseContasDRE[#All],7,FALSE))</f>
        <v>Fora do DRE</v>
      </c>
      <c r="V3117" s="3" t="str">
        <f>IF(Base_Periodo1[[#This Row],[Tipo_Linha]]="Fora do DRE","Fora do DRE","( "&amp;Base_Periodo1[[#This Row],[Tipo_Linha]]&amp;" ) "&amp;Base_Periodo1[[#This Row],[Filtro]])</f>
        <v>Fora do DRE</v>
      </c>
      <c r="W3117" s="3" t="str">
        <f>LEFT(Base_Periodo1[[#This Row],[CLASS]],3)</f>
        <v>2.1</v>
      </c>
    </row>
    <row r="3118" spans="1:23" hidden="1">
      <c r="A3118" s="3" t="str">
        <f t="shared" si="48"/>
        <v>Período 1</v>
      </c>
      <c r="B3118">
        <v>7295</v>
      </c>
      <c r="C3118" t="s">
        <v>1745</v>
      </c>
      <c r="D3118" t="s">
        <v>1958</v>
      </c>
      <c r="E3118" s="3" t="str">
        <f>IF(LEN(Base_Periodo1[[#This Row],[CLASS]])&gt;=7,LEFT(Base_Periodo1[[#This Row],[CLASS]],7),"")</f>
        <v>2.1.2.1</v>
      </c>
      <c r="F3118" s="3" t="str">
        <f>VLOOKUP(Base_Periodo1[[#This Row],[Aux]],Base_Contas_Balanco[#All],2,FALSE)</f>
        <v>Fornecedores Cooperados</v>
      </c>
      <c r="G3118" s="1">
        <v>42026</v>
      </c>
      <c r="H3118" s="225">
        <v>1375.9000000000015</v>
      </c>
      <c r="I3118" s="225">
        <v>0</v>
      </c>
      <c r="J3118" s="225">
        <v>0</v>
      </c>
      <c r="K3118" s="225">
        <v>1375.9000000000015</v>
      </c>
      <c r="L31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1375.9</v>
      </c>
      <c r="M3118" s="225">
        <f>ROUND(IF(AND(Base_Periodo1[[#This Row],[Tipo_Linha]]="-",Base_Periodo1[[#This Row],[TIPOSALDO]]="D"),Base_Periodo1[[#This Row],[SALDO_ATUAL]]*-1,Base_Periodo1[[#This Row],[SALDO_ATUAL]]),4)</f>
        <v>1375.9</v>
      </c>
      <c r="N3118" t="s">
        <v>116</v>
      </c>
      <c r="O3118" t="s">
        <v>459</v>
      </c>
      <c r="P3118" t="s">
        <v>459</v>
      </c>
      <c r="Q3118">
        <v>7</v>
      </c>
      <c r="R3118" s="225">
        <f>Base_Periodo1[[#This Row],[CREDITOS]]-Base_Periodo1[[#This Row],[DEBITOS]]</f>
        <v>0</v>
      </c>
      <c r="S3118" s="3" t="str">
        <f>IF(ISERROR(VLOOKUP(Base_Periodo1[[#This Row],[CONTA]],BaseContasDRE[#All],4,FALSE)),"Fora do DRE",VLOOKUP(Base_Periodo1[[#This Row],[CONTA]],BaseContasDRE[#All],4,FALSE))</f>
        <v>Fora do DRE</v>
      </c>
      <c r="T3118" s="3" t="str">
        <f>IF(ISERROR(VLOOKUP(Base_Periodo1[[#This Row],[CONTA]],BaseContasDRE[#All],5,FALSE)),"Fora do DRE",VLOOKUP(Base_Periodo1[[#This Row],[CONTA]],BaseContasDRE[#All],6,FALSE))</f>
        <v>Fora do DRE</v>
      </c>
      <c r="U3118" s="3" t="str">
        <f>IF(ISERROR(VLOOKUP(Base_Periodo1[[#This Row],[CONTA]],BaseContasDRE[#All],7,FALSE)),"Fora do DRE",VLOOKUP(Base_Periodo1[[#This Row],[CONTA]],BaseContasDRE[#All],7,FALSE))</f>
        <v>Fora do DRE</v>
      </c>
      <c r="V3118" s="3" t="str">
        <f>IF(Base_Periodo1[[#This Row],[Tipo_Linha]]="Fora do DRE","Fora do DRE","( "&amp;Base_Periodo1[[#This Row],[Tipo_Linha]]&amp;" ) "&amp;Base_Periodo1[[#This Row],[Filtro]])</f>
        <v>Fora do DRE</v>
      </c>
      <c r="W3118" s="3" t="str">
        <f>LEFT(Base_Periodo1[[#This Row],[CLASS]],3)</f>
        <v>2.1</v>
      </c>
    </row>
    <row r="3119" spans="1:23" hidden="1">
      <c r="A3119" s="3" t="str">
        <f t="shared" si="48"/>
        <v>Período 1</v>
      </c>
      <c r="B3119">
        <v>21254</v>
      </c>
      <c r="C3119" t="s">
        <v>1745</v>
      </c>
      <c r="D3119" t="s">
        <v>1959</v>
      </c>
      <c r="E3119" s="3" t="str">
        <f>IF(LEN(Base_Periodo1[[#This Row],[CLASS]])&gt;=7,LEFT(Base_Periodo1[[#This Row],[CLASS]],7),"")</f>
        <v>2.1.2.1</v>
      </c>
      <c r="F3119" s="3" t="str">
        <f>VLOOKUP(Base_Periodo1[[#This Row],[Aux]],Base_Contas_Balanco[#All],2,FALSE)</f>
        <v>Fornecedores Cooperados</v>
      </c>
      <c r="G3119" s="1">
        <v>41677</v>
      </c>
      <c r="H3119" s="225">
        <v>0.1999999999998181</v>
      </c>
      <c r="I3119" s="225">
        <v>0</v>
      </c>
      <c r="J3119" s="225">
        <v>0</v>
      </c>
      <c r="K3119" s="225">
        <v>0.1999999999998181</v>
      </c>
      <c r="L31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0.2</v>
      </c>
      <c r="M3119" s="225">
        <f>ROUND(IF(AND(Base_Periodo1[[#This Row],[Tipo_Linha]]="-",Base_Periodo1[[#This Row],[TIPOSALDO]]="D"),Base_Periodo1[[#This Row],[SALDO_ATUAL]]*-1,Base_Periodo1[[#This Row],[SALDO_ATUAL]]),4)</f>
        <v>0.2</v>
      </c>
      <c r="N3119" t="s">
        <v>116</v>
      </c>
      <c r="O3119" t="s">
        <v>459</v>
      </c>
      <c r="P3119" t="s">
        <v>459</v>
      </c>
      <c r="Q3119">
        <v>7</v>
      </c>
      <c r="R3119" s="225">
        <f>Base_Periodo1[[#This Row],[CREDITOS]]-Base_Periodo1[[#This Row],[DEBITOS]]</f>
        <v>0</v>
      </c>
      <c r="S3119" s="3" t="str">
        <f>IF(ISERROR(VLOOKUP(Base_Periodo1[[#This Row],[CONTA]],BaseContasDRE[#All],4,FALSE)),"Fora do DRE",VLOOKUP(Base_Periodo1[[#This Row],[CONTA]],BaseContasDRE[#All],4,FALSE))</f>
        <v>Fora do DRE</v>
      </c>
      <c r="T3119" s="3" t="str">
        <f>IF(ISERROR(VLOOKUP(Base_Periodo1[[#This Row],[CONTA]],BaseContasDRE[#All],5,FALSE)),"Fora do DRE",VLOOKUP(Base_Periodo1[[#This Row],[CONTA]],BaseContasDRE[#All],6,FALSE))</f>
        <v>Fora do DRE</v>
      </c>
      <c r="U3119" s="3" t="str">
        <f>IF(ISERROR(VLOOKUP(Base_Periodo1[[#This Row],[CONTA]],BaseContasDRE[#All],7,FALSE)),"Fora do DRE",VLOOKUP(Base_Periodo1[[#This Row],[CONTA]],BaseContasDRE[#All],7,FALSE))</f>
        <v>Fora do DRE</v>
      </c>
      <c r="V3119" s="3" t="str">
        <f>IF(Base_Periodo1[[#This Row],[Tipo_Linha]]="Fora do DRE","Fora do DRE","( "&amp;Base_Periodo1[[#This Row],[Tipo_Linha]]&amp;" ) "&amp;Base_Periodo1[[#This Row],[Filtro]])</f>
        <v>Fora do DRE</v>
      </c>
      <c r="W3119" s="3" t="str">
        <f>LEFT(Base_Periodo1[[#This Row],[CLASS]],3)</f>
        <v>2.1</v>
      </c>
    </row>
    <row r="3120" spans="1:23" hidden="1">
      <c r="A3120" s="3" t="str">
        <f t="shared" si="48"/>
        <v>Período 1</v>
      </c>
      <c r="B3120">
        <v>3354</v>
      </c>
      <c r="C3120" t="s">
        <v>1745</v>
      </c>
      <c r="D3120" t="s">
        <v>4608</v>
      </c>
      <c r="E3120" s="3" t="str">
        <f>IF(LEN(Base_Periodo1[[#This Row],[CLASS]])&gt;=7,LEFT(Base_Periodo1[[#This Row],[CLASS]],7),"")</f>
        <v>2.1.2.1</v>
      </c>
      <c r="F3120" s="3" t="str">
        <f>VLOOKUP(Base_Periodo1[[#This Row],[Aux]],Base_Contas_Balanco[#All],2,FALSE)</f>
        <v>Fornecedores Cooperados</v>
      </c>
      <c r="G3120" s="1">
        <v>42866</v>
      </c>
      <c r="H3120" s="225">
        <v>280120.82999999973</v>
      </c>
      <c r="I3120" s="225">
        <v>11430.99</v>
      </c>
      <c r="J3120" s="225">
        <v>0</v>
      </c>
      <c r="K3120" s="225">
        <v>268689.83999999973</v>
      </c>
      <c r="L31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268689.84000000003</v>
      </c>
      <c r="M3120" s="225">
        <f>ROUND(IF(AND(Base_Periodo1[[#This Row],[Tipo_Linha]]="-",Base_Periodo1[[#This Row],[TIPOSALDO]]="D"),Base_Periodo1[[#This Row],[SALDO_ATUAL]]*-1,Base_Periodo1[[#This Row],[SALDO_ATUAL]]),4)</f>
        <v>268689.84000000003</v>
      </c>
      <c r="N3120" t="s">
        <v>116</v>
      </c>
      <c r="O3120" t="s">
        <v>459</v>
      </c>
      <c r="P3120" t="s">
        <v>459</v>
      </c>
      <c r="Q3120">
        <v>7</v>
      </c>
      <c r="R3120" s="225">
        <f>Base_Periodo1[[#This Row],[CREDITOS]]-Base_Periodo1[[#This Row],[DEBITOS]]</f>
        <v>-11430.99</v>
      </c>
      <c r="S3120" s="3" t="str">
        <f>IF(ISERROR(VLOOKUP(Base_Periodo1[[#This Row],[CONTA]],BaseContasDRE[#All],4,FALSE)),"Fora do DRE",VLOOKUP(Base_Periodo1[[#This Row],[CONTA]],BaseContasDRE[#All],4,FALSE))</f>
        <v>Fora do DRE</v>
      </c>
      <c r="T3120" s="3" t="str">
        <f>IF(ISERROR(VLOOKUP(Base_Periodo1[[#This Row],[CONTA]],BaseContasDRE[#All],5,FALSE)),"Fora do DRE",VLOOKUP(Base_Periodo1[[#This Row],[CONTA]],BaseContasDRE[#All],6,FALSE))</f>
        <v>Fora do DRE</v>
      </c>
      <c r="U3120" s="3" t="str">
        <f>IF(ISERROR(VLOOKUP(Base_Periodo1[[#This Row],[CONTA]],BaseContasDRE[#All],7,FALSE)),"Fora do DRE",VLOOKUP(Base_Periodo1[[#This Row],[CONTA]],BaseContasDRE[#All],7,FALSE))</f>
        <v>Fora do DRE</v>
      </c>
      <c r="V3120" s="3" t="str">
        <f>IF(Base_Periodo1[[#This Row],[Tipo_Linha]]="Fora do DRE","Fora do DRE","( "&amp;Base_Periodo1[[#This Row],[Tipo_Linha]]&amp;" ) "&amp;Base_Periodo1[[#This Row],[Filtro]])</f>
        <v>Fora do DRE</v>
      </c>
      <c r="W3120" s="3" t="str">
        <f>LEFT(Base_Periodo1[[#This Row],[CLASS]],3)</f>
        <v>2.1</v>
      </c>
    </row>
    <row r="3121" spans="1:23" hidden="1">
      <c r="A3121" s="3" t="str">
        <f t="shared" si="48"/>
        <v>Período 1</v>
      </c>
      <c r="B3121">
        <v>3402</v>
      </c>
      <c r="C3121" t="s">
        <v>1745</v>
      </c>
      <c r="D3121" t="s">
        <v>1960</v>
      </c>
      <c r="E3121" s="3" t="str">
        <f>IF(LEN(Base_Periodo1[[#This Row],[CLASS]])&gt;=7,LEFT(Base_Periodo1[[#This Row],[CLASS]],7),"")</f>
        <v>2.1.2.1</v>
      </c>
      <c r="F3121" s="3" t="str">
        <f>VLOOKUP(Base_Periodo1[[#This Row],[Aux]],Base_Contas_Balanco[#All],2,FALSE)</f>
        <v>Fornecedores Cooperados</v>
      </c>
      <c r="G3121" s="1">
        <v>42737</v>
      </c>
      <c r="H3121" s="225">
        <v>6298.9899999999325</v>
      </c>
      <c r="I3121" s="225">
        <v>0</v>
      </c>
      <c r="J3121" s="225">
        <v>0</v>
      </c>
      <c r="K3121" s="225">
        <v>6298.9899999999325</v>
      </c>
      <c r="L31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6298.99</v>
      </c>
      <c r="M3121" s="225">
        <f>ROUND(IF(AND(Base_Periodo1[[#This Row],[Tipo_Linha]]="-",Base_Periodo1[[#This Row],[TIPOSALDO]]="D"),Base_Periodo1[[#This Row],[SALDO_ATUAL]]*-1,Base_Periodo1[[#This Row],[SALDO_ATUAL]]),4)</f>
        <v>6298.99</v>
      </c>
      <c r="N3121" t="s">
        <v>116</v>
      </c>
      <c r="O3121" t="s">
        <v>459</v>
      </c>
      <c r="P3121" t="s">
        <v>459</v>
      </c>
      <c r="Q3121">
        <v>7</v>
      </c>
      <c r="R3121" s="225">
        <f>Base_Periodo1[[#This Row],[CREDITOS]]-Base_Periodo1[[#This Row],[DEBITOS]]</f>
        <v>0</v>
      </c>
      <c r="S3121" s="3" t="str">
        <f>IF(ISERROR(VLOOKUP(Base_Periodo1[[#This Row],[CONTA]],BaseContasDRE[#All],4,FALSE)),"Fora do DRE",VLOOKUP(Base_Periodo1[[#This Row],[CONTA]],BaseContasDRE[#All],4,FALSE))</f>
        <v>Fora do DRE</v>
      </c>
      <c r="T3121" s="3" t="str">
        <f>IF(ISERROR(VLOOKUP(Base_Periodo1[[#This Row],[CONTA]],BaseContasDRE[#All],5,FALSE)),"Fora do DRE",VLOOKUP(Base_Periodo1[[#This Row],[CONTA]],BaseContasDRE[#All],6,FALSE))</f>
        <v>Fora do DRE</v>
      </c>
      <c r="U3121" s="3" t="str">
        <f>IF(ISERROR(VLOOKUP(Base_Periodo1[[#This Row],[CONTA]],BaseContasDRE[#All],7,FALSE)),"Fora do DRE",VLOOKUP(Base_Periodo1[[#This Row],[CONTA]],BaseContasDRE[#All],7,FALSE))</f>
        <v>Fora do DRE</v>
      </c>
      <c r="V3121" s="3" t="str">
        <f>IF(Base_Periodo1[[#This Row],[Tipo_Linha]]="Fora do DRE","Fora do DRE","( "&amp;Base_Periodo1[[#This Row],[Tipo_Linha]]&amp;" ) "&amp;Base_Periodo1[[#This Row],[Filtro]])</f>
        <v>Fora do DRE</v>
      </c>
      <c r="W3121" s="3" t="str">
        <f>LEFT(Base_Periodo1[[#This Row],[CLASS]],3)</f>
        <v>2.1</v>
      </c>
    </row>
    <row r="3122" spans="1:23" hidden="1">
      <c r="A3122" s="3" t="str">
        <f t="shared" si="48"/>
        <v>Período 1</v>
      </c>
      <c r="B3122">
        <v>21009</v>
      </c>
      <c r="C3122" t="s">
        <v>1745</v>
      </c>
      <c r="D3122" t="s">
        <v>1961</v>
      </c>
      <c r="E3122" s="3" t="str">
        <f>IF(LEN(Base_Periodo1[[#This Row],[CLASS]])&gt;=7,LEFT(Base_Periodo1[[#This Row],[CLASS]],7),"")</f>
        <v>2.1.2.1</v>
      </c>
      <c r="F3122" s="3" t="str">
        <f>VLOOKUP(Base_Periodo1[[#This Row],[Aux]],Base_Contas_Balanco[#All],2,FALSE)</f>
        <v>Fornecedores Cooperados</v>
      </c>
      <c r="G3122" s="1">
        <v>41551</v>
      </c>
      <c r="H3122" s="225">
        <v>0.22999999999956344</v>
      </c>
      <c r="I3122" s="225">
        <v>0</v>
      </c>
      <c r="J3122" s="225">
        <v>0</v>
      </c>
      <c r="K3122" s="225">
        <v>0.22999999999956344</v>
      </c>
      <c r="L31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0.23</v>
      </c>
      <c r="M3122" s="225">
        <f>ROUND(IF(AND(Base_Periodo1[[#This Row],[Tipo_Linha]]="-",Base_Periodo1[[#This Row],[TIPOSALDO]]="D"),Base_Periodo1[[#This Row],[SALDO_ATUAL]]*-1,Base_Periodo1[[#This Row],[SALDO_ATUAL]]),4)</f>
        <v>0.23</v>
      </c>
      <c r="N3122" t="s">
        <v>116</v>
      </c>
      <c r="O3122" t="s">
        <v>459</v>
      </c>
      <c r="P3122" t="s">
        <v>459</v>
      </c>
      <c r="Q3122">
        <v>7</v>
      </c>
      <c r="R3122" s="225">
        <f>Base_Periodo1[[#This Row],[CREDITOS]]-Base_Periodo1[[#This Row],[DEBITOS]]</f>
        <v>0</v>
      </c>
      <c r="S3122" s="3" t="str">
        <f>IF(ISERROR(VLOOKUP(Base_Periodo1[[#This Row],[CONTA]],BaseContasDRE[#All],4,FALSE)),"Fora do DRE",VLOOKUP(Base_Periodo1[[#This Row],[CONTA]],BaseContasDRE[#All],4,FALSE))</f>
        <v>Fora do DRE</v>
      </c>
      <c r="T3122" s="3" t="str">
        <f>IF(ISERROR(VLOOKUP(Base_Periodo1[[#This Row],[CONTA]],BaseContasDRE[#All],5,FALSE)),"Fora do DRE",VLOOKUP(Base_Periodo1[[#This Row],[CONTA]],BaseContasDRE[#All],6,FALSE))</f>
        <v>Fora do DRE</v>
      </c>
      <c r="U3122" s="3" t="str">
        <f>IF(ISERROR(VLOOKUP(Base_Periodo1[[#This Row],[CONTA]],BaseContasDRE[#All],7,FALSE)),"Fora do DRE",VLOOKUP(Base_Periodo1[[#This Row],[CONTA]],BaseContasDRE[#All],7,FALSE))</f>
        <v>Fora do DRE</v>
      </c>
      <c r="V3122" s="3" t="str">
        <f>IF(Base_Periodo1[[#This Row],[Tipo_Linha]]="Fora do DRE","Fora do DRE","( "&amp;Base_Periodo1[[#This Row],[Tipo_Linha]]&amp;" ) "&amp;Base_Periodo1[[#This Row],[Filtro]])</f>
        <v>Fora do DRE</v>
      </c>
      <c r="W3122" s="3" t="str">
        <f>LEFT(Base_Periodo1[[#This Row],[CLASS]],3)</f>
        <v>2.1</v>
      </c>
    </row>
    <row r="3123" spans="1:23" hidden="1">
      <c r="A3123" s="3" t="str">
        <f t="shared" si="48"/>
        <v>Período 1</v>
      </c>
      <c r="B3123">
        <v>3398</v>
      </c>
      <c r="C3123" t="s">
        <v>1745</v>
      </c>
      <c r="D3123" t="s">
        <v>1962</v>
      </c>
      <c r="E3123" s="3" t="str">
        <f>IF(LEN(Base_Periodo1[[#This Row],[CLASS]])&gt;=7,LEFT(Base_Periodo1[[#This Row],[CLASS]],7),"")</f>
        <v>2.1.2.1</v>
      </c>
      <c r="F3123" s="3" t="str">
        <f>VLOOKUP(Base_Periodo1[[#This Row],[Aux]],Base_Contas_Balanco[#All],2,FALSE)</f>
        <v>Fornecedores Cooperados</v>
      </c>
      <c r="G3123" s="1">
        <v>42663</v>
      </c>
      <c r="H3123" s="225">
        <v>828</v>
      </c>
      <c r="I3123" s="225">
        <v>0</v>
      </c>
      <c r="J3123" s="225">
        <v>0</v>
      </c>
      <c r="K3123" s="225">
        <v>828</v>
      </c>
      <c r="L31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828</v>
      </c>
      <c r="M3123" s="225">
        <f>ROUND(IF(AND(Base_Periodo1[[#This Row],[Tipo_Linha]]="-",Base_Periodo1[[#This Row],[TIPOSALDO]]="D"),Base_Periodo1[[#This Row],[SALDO_ATUAL]]*-1,Base_Periodo1[[#This Row],[SALDO_ATUAL]]),4)</f>
        <v>828</v>
      </c>
      <c r="N3123" t="s">
        <v>116</v>
      </c>
      <c r="O3123" t="s">
        <v>459</v>
      </c>
      <c r="P3123" t="s">
        <v>459</v>
      </c>
      <c r="Q3123">
        <v>7</v>
      </c>
      <c r="R3123" s="225">
        <f>Base_Periodo1[[#This Row],[CREDITOS]]-Base_Periodo1[[#This Row],[DEBITOS]]</f>
        <v>0</v>
      </c>
      <c r="S3123" s="3" t="str">
        <f>IF(ISERROR(VLOOKUP(Base_Periodo1[[#This Row],[CONTA]],BaseContasDRE[#All],4,FALSE)),"Fora do DRE",VLOOKUP(Base_Periodo1[[#This Row],[CONTA]],BaseContasDRE[#All],4,FALSE))</f>
        <v>Fora do DRE</v>
      </c>
      <c r="T3123" s="3" t="str">
        <f>IF(ISERROR(VLOOKUP(Base_Periodo1[[#This Row],[CONTA]],BaseContasDRE[#All],5,FALSE)),"Fora do DRE",VLOOKUP(Base_Periodo1[[#This Row],[CONTA]],BaseContasDRE[#All],6,FALSE))</f>
        <v>Fora do DRE</v>
      </c>
      <c r="U3123" s="3" t="str">
        <f>IF(ISERROR(VLOOKUP(Base_Periodo1[[#This Row],[CONTA]],BaseContasDRE[#All],7,FALSE)),"Fora do DRE",VLOOKUP(Base_Periodo1[[#This Row],[CONTA]],BaseContasDRE[#All],7,FALSE))</f>
        <v>Fora do DRE</v>
      </c>
      <c r="V3123" s="3" t="str">
        <f>IF(Base_Periodo1[[#This Row],[Tipo_Linha]]="Fora do DRE","Fora do DRE","( "&amp;Base_Periodo1[[#This Row],[Tipo_Linha]]&amp;" ) "&amp;Base_Periodo1[[#This Row],[Filtro]])</f>
        <v>Fora do DRE</v>
      </c>
      <c r="W3123" s="3" t="str">
        <f>LEFT(Base_Periodo1[[#This Row],[CLASS]],3)</f>
        <v>2.1</v>
      </c>
    </row>
    <row r="3124" spans="1:23" hidden="1">
      <c r="A3124" s="3" t="str">
        <f t="shared" si="48"/>
        <v>Período 1</v>
      </c>
      <c r="B3124">
        <v>49628</v>
      </c>
      <c r="C3124" t="s">
        <v>1745</v>
      </c>
      <c r="D3124" t="s">
        <v>5428</v>
      </c>
      <c r="E3124" s="3" t="str">
        <f>IF(LEN(Base_Periodo1[[#This Row],[CLASS]])&gt;=7,LEFT(Base_Periodo1[[#This Row],[CLASS]],7),"")</f>
        <v>2.1.2.1</v>
      </c>
      <c r="F3124" s="3" t="str">
        <f>VLOOKUP(Base_Periodo1[[#This Row],[Aux]],Base_Contas_Balanco[#All],2,FALSE)</f>
        <v>Fornecedores Cooperados</v>
      </c>
      <c r="G3124" s="1">
        <v>42804</v>
      </c>
      <c r="H3124" s="225">
        <v>42309.87000000001</v>
      </c>
      <c r="I3124" s="225">
        <v>0</v>
      </c>
      <c r="J3124" s="225">
        <v>0</v>
      </c>
      <c r="K3124" s="225">
        <v>42309.87000000001</v>
      </c>
      <c r="L31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42309.87</v>
      </c>
      <c r="M3124" s="225">
        <f>ROUND(IF(AND(Base_Periodo1[[#This Row],[Tipo_Linha]]="-",Base_Periodo1[[#This Row],[TIPOSALDO]]="D"),Base_Periodo1[[#This Row],[SALDO_ATUAL]]*-1,Base_Periodo1[[#This Row],[SALDO_ATUAL]]),4)</f>
        <v>42309.87</v>
      </c>
      <c r="N3124" t="s">
        <v>116</v>
      </c>
      <c r="O3124" t="s">
        <v>459</v>
      </c>
      <c r="P3124" t="s">
        <v>459</v>
      </c>
      <c r="Q3124">
        <v>7</v>
      </c>
      <c r="R3124" s="225">
        <f>Base_Periodo1[[#This Row],[CREDITOS]]-Base_Periodo1[[#This Row],[DEBITOS]]</f>
        <v>0</v>
      </c>
      <c r="S3124" s="3" t="str">
        <f>IF(ISERROR(VLOOKUP(Base_Periodo1[[#This Row],[CONTA]],BaseContasDRE[#All],4,FALSE)),"Fora do DRE",VLOOKUP(Base_Periodo1[[#This Row],[CONTA]],BaseContasDRE[#All],4,FALSE))</f>
        <v>Fora do DRE</v>
      </c>
      <c r="T3124" s="3" t="str">
        <f>IF(ISERROR(VLOOKUP(Base_Periodo1[[#This Row],[CONTA]],BaseContasDRE[#All],5,FALSE)),"Fora do DRE",VLOOKUP(Base_Periodo1[[#This Row],[CONTA]],BaseContasDRE[#All],6,FALSE))</f>
        <v>Fora do DRE</v>
      </c>
      <c r="U3124" s="3" t="str">
        <f>IF(ISERROR(VLOOKUP(Base_Periodo1[[#This Row],[CONTA]],BaseContasDRE[#All],7,FALSE)),"Fora do DRE",VLOOKUP(Base_Periodo1[[#This Row],[CONTA]],BaseContasDRE[#All],7,FALSE))</f>
        <v>Fora do DRE</v>
      </c>
      <c r="V3124" s="3" t="str">
        <f>IF(Base_Periodo1[[#This Row],[Tipo_Linha]]="Fora do DRE","Fora do DRE","( "&amp;Base_Periodo1[[#This Row],[Tipo_Linha]]&amp;" ) "&amp;Base_Periodo1[[#This Row],[Filtro]])</f>
        <v>Fora do DRE</v>
      </c>
      <c r="W3124" s="3" t="str">
        <f>LEFT(Base_Periodo1[[#This Row],[CLASS]],3)</f>
        <v>2.1</v>
      </c>
    </row>
    <row r="3125" spans="1:23" hidden="1">
      <c r="A3125" s="3" t="str">
        <f t="shared" si="48"/>
        <v>Período 1</v>
      </c>
      <c r="B3125">
        <v>2910</v>
      </c>
      <c r="C3125" t="s">
        <v>1745</v>
      </c>
      <c r="D3125" t="s">
        <v>6893</v>
      </c>
      <c r="E3125" s="3" t="str">
        <f>IF(LEN(Base_Periodo1[[#This Row],[CLASS]])&gt;=7,LEFT(Base_Periodo1[[#This Row],[CLASS]],7),"")</f>
        <v>2.1.2.1</v>
      </c>
      <c r="F3125" s="3" t="str">
        <f>VLOOKUP(Base_Periodo1[[#This Row],[Aux]],Base_Contas_Balanco[#All],2,FALSE)</f>
        <v>Fornecedores Cooperados</v>
      </c>
      <c r="G3125" s="1">
        <v>42864</v>
      </c>
      <c r="I3125" s="225">
        <v>0</v>
      </c>
      <c r="J3125" s="225">
        <v>2050</v>
      </c>
      <c r="K3125" s="225">
        <v>2050</v>
      </c>
      <c r="L31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2050</v>
      </c>
      <c r="M3125" s="225">
        <f>ROUND(IF(AND(Base_Periodo1[[#This Row],[Tipo_Linha]]="-",Base_Periodo1[[#This Row],[TIPOSALDO]]="D"),Base_Periodo1[[#This Row],[SALDO_ATUAL]]*-1,Base_Periodo1[[#This Row],[SALDO_ATUAL]]),4)</f>
        <v>2050</v>
      </c>
      <c r="N3125" t="s">
        <v>116</v>
      </c>
      <c r="O3125" t="s">
        <v>436</v>
      </c>
      <c r="P3125" t="s">
        <v>459</v>
      </c>
      <c r="Q3125">
        <v>7</v>
      </c>
      <c r="R3125" s="225">
        <f>Base_Periodo1[[#This Row],[CREDITOS]]-Base_Periodo1[[#This Row],[DEBITOS]]</f>
        <v>2050</v>
      </c>
      <c r="S3125" s="3" t="str">
        <f>IF(ISERROR(VLOOKUP(Base_Periodo1[[#This Row],[CONTA]],BaseContasDRE[#All],4,FALSE)),"Fora do DRE",VLOOKUP(Base_Periodo1[[#This Row],[CONTA]],BaseContasDRE[#All],4,FALSE))</f>
        <v>Fora do DRE</v>
      </c>
      <c r="T3125" s="3" t="str">
        <f>IF(ISERROR(VLOOKUP(Base_Periodo1[[#This Row],[CONTA]],BaseContasDRE[#All],5,FALSE)),"Fora do DRE",VLOOKUP(Base_Periodo1[[#This Row],[CONTA]],BaseContasDRE[#All],6,FALSE))</f>
        <v>Fora do DRE</v>
      </c>
      <c r="U3125" s="3" t="str">
        <f>IF(ISERROR(VLOOKUP(Base_Periodo1[[#This Row],[CONTA]],BaseContasDRE[#All],7,FALSE)),"Fora do DRE",VLOOKUP(Base_Periodo1[[#This Row],[CONTA]],BaseContasDRE[#All],7,FALSE))</f>
        <v>Fora do DRE</v>
      </c>
      <c r="V3125" s="3" t="str">
        <f>IF(Base_Periodo1[[#This Row],[Tipo_Linha]]="Fora do DRE","Fora do DRE","( "&amp;Base_Periodo1[[#This Row],[Tipo_Linha]]&amp;" ) "&amp;Base_Periodo1[[#This Row],[Filtro]])</f>
        <v>Fora do DRE</v>
      </c>
      <c r="W3125" s="3" t="str">
        <f>LEFT(Base_Periodo1[[#This Row],[CLASS]],3)</f>
        <v>2.1</v>
      </c>
    </row>
    <row r="3126" spans="1:23" hidden="1">
      <c r="A3126" s="3" t="str">
        <f t="shared" si="48"/>
        <v>Período 1</v>
      </c>
      <c r="B3126">
        <v>47962</v>
      </c>
      <c r="C3126" t="s">
        <v>1745</v>
      </c>
      <c r="D3126" t="s">
        <v>5063</v>
      </c>
      <c r="E3126" s="3" t="str">
        <f>IF(LEN(Base_Periodo1[[#This Row],[CLASS]])&gt;=7,LEFT(Base_Periodo1[[#This Row],[CLASS]],7),"")</f>
        <v>2.1.2.1</v>
      </c>
      <c r="F3126" s="3" t="str">
        <f>VLOOKUP(Base_Periodo1[[#This Row],[Aux]],Base_Contas_Balanco[#All],2,FALSE)</f>
        <v>Fornecedores Cooperados</v>
      </c>
      <c r="G3126" s="1">
        <v>42756</v>
      </c>
      <c r="H3126" s="225">
        <v>1856.3999999999942</v>
      </c>
      <c r="I3126" s="225">
        <v>0</v>
      </c>
      <c r="J3126" s="225">
        <v>0</v>
      </c>
      <c r="K3126" s="225">
        <v>1856.3999999999942</v>
      </c>
      <c r="L31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1856.4</v>
      </c>
      <c r="M3126" s="225">
        <f>ROUND(IF(AND(Base_Periodo1[[#This Row],[Tipo_Linha]]="-",Base_Periodo1[[#This Row],[TIPOSALDO]]="D"),Base_Periodo1[[#This Row],[SALDO_ATUAL]]*-1,Base_Periodo1[[#This Row],[SALDO_ATUAL]]),4)</f>
        <v>1856.4</v>
      </c>
      <c r="N3126" t="s">
        <v>116</v>
      </c>
      <c r="O3126" t="s">
        <v>459</v>
      </c>
      <c r="P3126" t="s">
        <v>459</v>
      </c>
      <c r="Q3126">
        <v>7</v>
      </c>
      <c r="R3126" s="225">
        <f>Base_Periodo1[[#This Row],[CREDITOS]]-Base_Periodo1[[#This Row],[DEBITOS]]</f>
        <v>0</v>
      </c>
      <c r="S3126" s="3" t="str">
        <f>IF(ISERROR(VLOOKUP(Base_Periodo1[[#This Row],[CONTA]],BaseContasDRE[#All],4,FALSE)),"Fora do DRE",VLOOKUP(Base_Periodo1[[#This Row],[CONTA]],BaseContasDRE[#All],4,FALSE))</f>
        <v>Fora do DRE</v>
      </c>
      <c r="T3126" s="3" t="str">
        <f>IF(ISERROR(VLOOKUP(Base_Periodo1[[#This Row],[CONTA]],BaseContasDRE[#All],5,FALSE)),"Fora do DRE",VLOOKUP(Base_Periodo1[[#This Row],[CONTA]],BaseContasDRE[#All],6,FALSE))</f>
        <v>Fora do DRE</v>
      </c>
      <c r="U3126" s="3" t="str">
        <f>IF(ISERROR(VLOOKUP(Base_Periodo1[[#This Row],[CONTA]],BaseContasDRE[#All],7,FALSE)),"Fora do DRE",VLOOKUP(Base_Periodo1[[#This Row],[CONTA]],BaseContasDRE[#All],7,FALSE))</f>
        <v>Fora do DRE</v>
      </c>
      <c r="V3126" s="3" t="str">
        <f>IF(Base_Periodo1[[#This Row],[Tipo_Linha]]="Fora do DRE","Fora do DRE","( "&amp;Base_Periodo1[[#This Row],[Tipo_Linha]]&amp;" ) "&amp;Base_Periodo1[[#This Row],[Filtro]])</f>
        <v>Fora do DRE</v>
      </c>
      <c r="W3126" s="3" t="str">
        <f>LEFT(Base_Periodo1[[#This Row],[CLASS]],3)</f>
        <v>2.1</v>
      </c>
    </row>
    <row r="3127" spans="1:23" hidden="1">
      <c r="A3127" s="3" t="str">
        <f t="shared" si="48"/>
        <v>Período 1</v>
      </c>
      <c r="B3127">
        <v>39018</v>
      </c>
      <c r="C3127" t="s">
        <v>1745</v>
      </c>
      <c r="D3127" t="s">
        <v>4609</v>
      </c>
      <c r="E3127" s="3" t="str">
        <f>IF(LEN(Base_Periodo1[[#This Row],[CLASS]])&gt;=7,LEFT(Base_Periodo1[[#This Row],[CLASS]],7),"")</f>
        <v>2.1.2.1</v>
      </c>
      <c r="F3127" s="3" t="str">
        <f>VLOOKUP(Base_Periodo1[[#This Row],[Aux]],Base_Contas_Balanco[#All],2,FALSE)</f>
        <v>Fornecedores Cooperados</v>
      </c>
      <c r="G3127" s="1">
        <v>42835</v>
      </c>
      <c r="H3127" s="225">
        <v>2622.7799999999988</v>
      </c>
      <c r="I3127" s="225">
        <v>0</v>
      </c>
      <c r="J3127" s="225">
        <v>0</v>
      </c>
      <c r="K3127" s="225">
        <v>2622.7799999999988</v>
      </c>
      <c r="L31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2622.78</v>
      </c>
      <c r="M3127" s="225">
        <f>ROUND(IF(AND(Base_Periodo1[[#This Row],[Tipo_Linha]]="-",Base_Periodo1[[#This Row],[TIPOSALDO]]="D"),Base_Periodo1[[#This Row],[SALDO_ATUAL]]*-1,Base_Periodo1[[#This Row],[SALDO_ATUAL]]),4)</f>
        <v>2622.78</v>
      </c>
      <c r="N3127" t="s">
        <v>116</v>
      </c>
      <c r="O3127" t="s">
        <v>459</v>
      </c>
      <c r="P3127" t="s">
        <v>459</v>
      </c>
      <c r="Q3127">
        <v>7</v>
      </c>
      <c r="R3127" s="225">
        <f>Base_Periodo1[[#This Row],[CREDITOS]]-Base_Periodo1[[#This Row],[DEBITOS]]</f>
        <v>0</v>
      </c>
      <c r="S3127" s="3" t="str">
        <f>IF(ISERROR(VLOOKUP(Base_Periodo1[[#This Row],[CONTA]],BaseContasDRE[#All],4,FALSE)),"Fora do DRE",VLOOKUP(Base_Periodo1[[#This Row],[CONTA]],BaseContasDRE[#All],4,FALSE))</f>
        <v>Fora do DRE</v>
      </c>
      <c r="T3127" s="3" t="str">
        <f>IF(ISERROR(VLOOKUP(Base_Periodo1[[#This Row],[CONTA]],BaseContasDRE[#All],5,FALSE)),"Fora do DRE",VLOOKUP(Base_Periodo1[[#This Row],[CONTA]],BaseContasDRE[#All],6,FALSE))</f>
        <v>Fora do DRE</v>
      </c>
      <c r="U3127" s="3" t="str">
        <f>IF(ISERROR(VLOOKUP(Base_Periodo1[[#This Row],[CONTA]],BaseContasDRE[#All],7,FALSE)),"Fora do DRE",VLOOKUP(Base_Periodo1[[#This Row],[CONTA]],BaseContasDRE[#All],7,FALSE))</f>
        <v>Fora do DRE</v>
      </c>
      <c r="V3127" s="3" t="str">
        <f>IF(Base_Periodo1[[#This Row],[Tipo_Linha]]="Fora do DRE","Fora do DRE","( "&amp;Base_Periodo1[[#This Row],[Tipo_Linha]]&amp;" ) "&amp;Base_Periodo1[[#This Row],[Filtro]])</f>
        <v>Fora do DRE</v>
      </c>
      <c r="W3127" s="3" t="str">
        <f>LEFT(Base_Periodo1[[#This Row],[CLASS]],3)</f>
        <v>2.1</v>
      </c>
    </row>
    <row r="3128" spans="1:23" hidden="1">
      <c r="A3128" s="3" t="str">
        <f t="shared" si="48"/>
        <v>Período 1</v>
      </c>
      <c r="B3128">
        <v>39102</v>
      </c>
      <c r="C3128" t="s">
        <v>1745</v>
      </c>
      <c r="D3128" t="s">
        <v>4457</v>
      </c>
      <c r="E3128" s="3" t="str">
        <f>IF(LEN(Base_Periodo1[[#This Row],[CLASS]])&gt;=7,LEFT(Base_Periodo1[[#This Row],[CLASS]],7),"")</f>
        <v>2.1.2.1</v>
      </c>
      <c r="F3128" s="3" t="str">
        <f>VLOOKUP(Base_Periodo1[[#This Row],[Aux]],Base_Contas_Balanco[#All],2,FALSE)</f>
        <v>Fornecedores Cooperados</v>
      </c>
      <c r="G3128" s="1">
        <v>42836</v>
      </c>
      <c r="H3128" s="225">
        <v>3746.7899999999645</v>
      </c>
      <c r="I3128" s="225">
        <v>0</v>
      </c>
      <c r="J3128" s="225">
        <v>0</v>
      </c>
      <c r="K3128" s="225">
        <v>3746.7899999999645</v>
      </c>
      <c r="L31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3746.79</v>
      </c>
      <c r="M3128" s="225">
        <f>ROUND(IF(AND(Base_Periodo1[[#This Row],[Tipo_Linha]]="-",Base_Periodo1[[#This Row],[TIPOSALDO]]="D"),Base_Periodo1[[#This Row],[SALDO_ATUAL]]*-1,Base_Periodo1[[#This Row],[SALDO_ATUAL]]),4)</f>
        <v>3746.79</v>
      </c>
      <c r="N3128" t="s">
        <v>116</v>
      </c>
      <c r="O3128" t="s">
        <v>459</v>
      </c>
      <c r="P3128" t="s">
        <v>459</v>
      </c>
      <c r="Q3128">
        <v>7</v>
      </c>
      <c r="R3128" s="225">
        <f>Base_Periodo1[[#This Row],[CREDITOS]]-Base_Periodo1[[#This Row],[DEBITOS]]</f>
        <v>0</v>
      </c>
      <c r="S3128" s="3" t="str">
        <f>IF(ISERROR(VLOOKUP(Base_Periodo1[[#This Row],[CONTA]],BaseContasDRE[#All],4,FALSE)),"Fora do DRE",VLOOKUP(Base_Periodo1[[#This Row],[CONTA]],BaseContasDRE[#All],4,FALSE))</f>
        <v>Fora do DRE</v>
      </c>
      <c r="T3128" s="3" t="str">
        <f>IF(ISERROR(VLOOKUP(Base_Periodo1[[#This Row],[CONTA]],BaseContasDRE[#All],5,FALSE)),"Fora do DRE",VLOOKUP(Base_Periodo1[[#This Row],[CONTA]],BaseContasDRE[#All],6,FALSE))</f>
        <v>Fora do DRE</v>
      </c>
      <c r="U3128" s="3" t="str">
        <f>IF(ISERROR(VLOOKUP(Base_Periodo1[[#This Row],[CONTA]],BaseContasDRE[#All],7,FALSE)),"Fora do DRE",VLOOKUP(Base_Periodo1[[#This Row],[CONTA]],BaseContasDRE[#All],7,FALSE))</f>
        <v>Fora do DRE</v>
      </c>
      <c r="V3128" s="3" t="str">
        <f>IF(Base_Periodo1[[#This Row],[Tipo_Linha]]="Fora do DRE","Fora do DRE","( "&amp;Base_Periodo1[[#This Row],[Tipo_Linha]]&amp;" ) "&amp;Base_Periodo1[[#This Row],[Filtro]])</f>
        <v>Fora do DRE</v>
      </c>
      <c r="W3128" s="3" t="str">
        <f>LEFT(Base_Periodo1[[#This Row],[CLASS]],3)</f>
        <v>2.1</v>
      </c>
    </row>
    <row r="3129" spans="1:23" hidden="1">
      <c r="A3129" s="3" t="str">
        <f t="shared" si="48"/>
        <v>Período 1</v>
      </c>
      <c r="B3129">
        <v>3726</v>
      </c>
      <c r="C3129" t="s">
        <v>1745</v>
      </c>
      <c r="D3129" t="s">
        <v>1963</v>
      </c>
      <c r="E3129" s="3" t="str">
        <f>IF(LEN(Base_Periodo1[[#This Row],[CLASS]])&gt;=7,LEFT(Base_Periodo1[[#This Row],[CLASS]],7),"")</f>
        <v>2.1.2.1</v>
      </c>
      <c r="F3129" s="3" t="str">
        <f>VLOOKUP(Base_Periodo1[[#This Row],[Aux]],Base_Contas_Balanco[#All],2,FALSE)</f>
        <v>Fornecedores Cooperados</v>
      </c>
      <c r="G3129" s="1">
        <v>42884</v>
      </c>
      <c r="H3129" s="225">
        <v>33768.000000000116</v>
      </c>
      <c r="I3129" s="225">
        <v>13385.6</v>
      </c>
      <c r="J3129" s="225">
        <v>13153.57</v>
      </c>
      <c r="K3129" s="225">
        <v>33535.970000000118</v>
      </c>
      <c r="L31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33535.97</v>
      </c>
      <c r="M3129" s="225">
        <f>ROUND(IF(AND(Base_Periodo1[[#This Row],[Tipo_Linha]]="-",Base_Periodo1[[#This Row],[TIPOSALDO]]="D"),Base_Periodo1[[#This Row],[SALDO_ATUAL]]*-1,Base_Periodo1[[#This Row],[SALDO_ATUAL]]),4)</f>
        <v>33535.97</v>
      </c>
      <c r="N3129" t="s">
        <v>116</v>
      </c>
      <c r="O3129" t="s">
        <v>459</v>
      </c>
      <c r="P3129" t="s">
        <v>459</v>
      </c>
      <c r="Q3129">
        <v>7</v>
      </c>
      <c r="R3129" s="225">
        <f>Base_Periodo1[[#This Row],[CREDITOS]]-Base_Periodo1[[#This Row],[DEBITOS]]</f>
        <v>-232.03000000000065</v>
      </c>
      <c r="S3129" s="3" t="str">
        <f>IF(ISERROR(VLOOKUP(Base_Periodo1[[#This Row],[CONTA]],BaseContasDRE[#All],4,FALSE)),"Fora do DRE",VLOOKUP(Base_Periodo1[[#This Row],[CONTA]],BaseContasDRE[#All],4,FALSE))</f>
        <v>Fora do DRE</v>
      </c>
      <c r="T3129" s="3" t="str">
        <f>IF(ISERROR(VLOOKUP(Base_Periodo1[[#This Row],[CONTA]],BaseContasDRE[#All],5,FALSE)),"Fora do DRE",VLOOKUP(Base_Periodo1[[#This Row],[CONTA]],BaseContasDRE[#All],6,FALSE))</f>
        <v>Fora do DRE</v>
      </c>
      <c r="U3129" s="3" t="str">
        <f>IF(ISERROR(VLOOKUP(Base_Periodo1[[#This Row],[CONTA]],BaseContasDRE[#All],7,FALSE)),"Fora do DRE",VLOOKUP(Base_Periodo1[[#This Row],[CONTA]],BaseContasDRE[#All],7,FALSE))</f>
        <v>Fora do DRE</v>
      </c>
      <c r="V3129" s="3" t="str">
        <f>IF(Base_Periodo1[[#This Row],[Tipo_Linha]]="Fora do DRE","Fora do DRE","( "&amp;Base_Periodo1[[#This Row],[Tipo_Linha]]&amp;" ) "&amp;Base_Periodo1[[#This Row],[Filtro]])</f>
        <v>Fora do DRE</v>
      </c>
      <c r="W3129" s="3" t="str">
        <f>LEFT(Base_Periodo1[[#This Row],[CLASS]],3)</f>
        <v>2.1</v>
      </c>
    </row>
    <row r="3130" spans="1:23" hidden="1">
      <c r="A3130" s="3" t="str">
        <f t="shared" si="48"/>
        <v>Período 1</v>
      </c>
      <c r="B3130">
        <v>3086</v>
      </c>
      <c r="C3130" t="s">
        <v>1745</v>
      </c>
      <c r="D3130" t="s">
        <v>6894</v>
      </c>
      <c r="E3130" s="3" t="str">
        <f>IF(LEN(Base_Periodo1[[#This Row],[CLASS]])&gt;=7,LEFT(Base_Periodo1[[#This Row],[CLASS]],7),"")</f>
        <v>2.1.2.1</v>
      </c>
      <c r="F3130" s="3" t="str">
        <f>VLOOKUP(Base_Periodo1[[#This Row],[Aux]],Base_Contas_Balanco[#All],2,FALSE)</f>
        <v>Fornecedores Cooperados</v>
      </c>
      <c r="G3130" s="1">
        <v>42867</v>
      </c>
      <c r="I3130" s="225">
        <v>0</v>
      </c>
      <c r="J3130" s="225">
        <v>13167</v>
      </c>
      <c r="K3130" s="225">
        <v>13167</v>
      </c>
      <c r="L31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13167</v>
      </c>
      <c r="M3130" s="225">
        <f>ROUND(IF(AND(Base_Periodo1[[#This Row],[Tipo_Linha]]="-",Base_Periodo1[[#This Row],[TIPOSALDO]]="D"),Base_Periodo1[[#This Row],[SALDO_ATUAL]]*-1,Base_Periodo1[[#This Row],[SALDO_ATUAL]]),4)</f>
        <v>13167</v>
      </c>
      <c r="N3130" t="s">
        <v>116</v>
      </c>
      <c r="O3130" t="s">
        <v>436</v>
      </c>
      <c r="P3130" t="s">
        <v>459</v>
      </c>
      <c r="Q3130">
        <v>7</v>
      </c>
      <c r="R3130" s="225">
        <f>Base_Periodo1[[#This Row],[CREDITOS]]-Base_Periodo1[[#This Row],[DEBITOS]]</f>
        <v>13167</v>
      </c>
      <c r="S3130" s="3" t="str">
        <f>IF(ISERROR(VLOOKUP(Base_Periodo1[[#This Row],[CONTA]],BaseContasDRE[#All],4,FALSE)),"Fora do DRE",VLOOKUP(Base_Periodo1[[#This Row],[CONTA]],BaseContasDRE[#All],4,FALSE))</f>
        <v>Fora do DRE</v>
      </c>
      <c r="T3130" s="3" t="str">
        <f>IF(ISERROR(VLOOKUP(Base_Periodo1[[#This Row],[CONTA]],BaseContasDRE[#All],5,FALSE)),"Fora do DRE",VLOOKUP(Base_Periodo1[[#This Row],[CONTA]],BaseContasDRE[#All],6,FALSE))</f>
        <v>Fora do DRE</v>
      </c>
      <c r="U3130" s="3" t="str">
        <f>IF(ISERROR(VLOOKUP(Base_Periodo1[[#This Row],[CONTA]],BaseContasDRE[#All],7,FALSE)),"Fora do DRE",VLOOKUP(Base_Periodo1[[#This Row],[CONTA]],BaseContasDRE[#All],7,FALSE))</f>
        <v>Fora do DRE</v>
      </c>
      <c r="V3130" s="3" t="str">
        <f>IF(Base_Periodo1[[#This Row],[Tipo_Linha]]="Fora do DRE","Fora do DRE","( "&amp;Base_Periodo1[[#This Row],[Tipo_Linha]]&amp;" ) "&amp;Base_Periodo1[[#This Row],[Filtro]])</f>
        <v>Fora do DRE</v>
      </c>
      <c r="W3130" s="3" t="str">
        <f>LEFT(Base_Periodo1[[#This Row],[CLASS]],3)</f>
        <v>2.1</v>
      </c>
    </row>
    <row r="3131" spans="1:23" hidden="1">
      <c r="A3131" s="3" t="str">
        <f t="shared" si="48"/>
        <v>Período 1</v>
      </c>
      <c r="B3131">
        <v>3790</v>
      </c>
      <c r="C3131" t="s">
        <v>1745</v>
      </c>
      <c r="D3131" t="s">
        <v>1964</v>
      </c>
      <c r="E3131" s="3" t="str">
        <f>IF(LEN(Base_Periodo1[[#This Row],[CLASS]])&gt;=7,LEFT(Base_Periodo1[[#This Row],[CLASS]],7),"")</f>
        <v>2.1.2.1</v>
      </c>
      <c r="F3131" s="3" t="str">
        <f>VLOOKUP(Base_Periodo1[[#This Row],[Aux]],Base_Contas_Balanco[#All],2,FALSE)</f>
        <v>Fornecedores Cooperados</v>
      </c>
      <c r="G3131" s="1">
        <v>42849</v>
      </c>
      <c r="H3131" s="225">
        <v>102115.20000000019</v>
      </c>
      <c r="I3131" s="225">
        <v>0</v>
      </c>
      <c r="J3131" s="225">
        <v>0</v>
      </c>
      <c r="K3131" s="225">
        <v>102115.20000000019</v>
      </c>
      <c r="L31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102115.2</v>
      </c>
      <c r="M3131" s="225">
        <f>ROUND(IF(AND(Base_Periodo1[[#This Row],[Tipo_Linha]]="-",Base_Periodo1[[#This Row],[TIPOSALDO]]="D"),Base_Periodo1[[#This Row],[SALDO_ATUAL]]*-1,Base_Periodo1[[#This Row],[SALDO_ATUAL]]),4)</f>
        <v>102115.2</v>
      </c>
      <c r="N3131" t="s">
        <v>116</v>
      </c>
      <c r="O3131" t="s">
        <v>459</v>
      </c>
      <c r="P3131" t="s">
        <v>459</v>
      </c>
      <c r="Q3131">
        <v>7</v>
      </c>
      <c r="R3131" s="225">
        <f>Base_Periodo1[[#This Row],[CREDITOS]]-Base_Periodo1[[#This Row],[DEBITOS]]</f>
        <v>0</v>
      </c>
      <c r="S3131" s="3" t="str">
        <f>IF(ISERROR(VLOOKUP(Base_Periodo1[[#This Row],[CONTA]],BaseContasDRE[#All],4,FALSE)),"Fora do DRE",VLOOKUP(Base_Periodo1[[#This Row],[CONTA]],BaseContasDRE[#All],4,FALSE))</f>
        <v>Fora do DRE</v>
      </c>
      <c r="T3131" s="3" t="str">
        <f>IF(ISERROR(VLOOKUP(Base_Periodo1[[#This Row],[CONTA]],BaseContasDRE[#All],5,FALSE)),"Fora do DRE",VLOOKUP(Base_Periodo1[[#This Row],[CONTA]],BaseContasDRE[#All],6,FALSE))</f>
        <v>Fora do DRE</v>
      </c>
      <c r="U3131" s="3" t="str">
        <f>IF(ISERROR(VLOOKUP(Base_Periodo1[[#This Row],[CONTA]],BaseContasDRE[#All],7,FALSE)),"Fora do DRE",VLOOKUP(Base_Periodo1[[#This Row],[CONTA]],BaseContasDRE[#All],7,FALSE))</f>
        <v>Fora do DRE</v>
      </c>
      <c r="V3131" s="3" t="str">
        <f>IF(Base_Periodo1[[#This Row],[Tipo_Linha]]="Fora do DRE","Fora do DRE","( "&amp;Base_Periodo1[[#This Row],[Tipo_Linha]]&amp;" ) "&amp;Base_Periodo1[[#This Row],[Filtro]])</f>
        <v>Fora do DRE</v>
      </c>
      <c r="W3131" s="3" t="str">
        <f>LEFT(Base_Periodo1[[#This Row],[CLASS]],3)</f>
        <v>2.1</v>
      </c>
    </row>
    <row r="3132" spans="1:23" hidden="1">
      <c r="A3132" s="3" t="str">
        <f t="shared" si="48"/>
        <v>Período 1</v>
      </c>
      <c r="B3132">
        <v>2958</v>
      </c>
      <c r="C3132" t="s">
        <v>1745</v>
      </c>
      <c r="D3132" t="s">
        <v>1965</v>
      </c>
      <c r="E3132" s="3" t="str">
        <f>IF(LEN(Base_Periodo1[[#This Row],[CLASS]])&gt;=7,LEFT(Base_Periodo1[[#This Row],[CLASS]],7),"")</f>
        <v>2.1.2.1</v>
      </c>
      <c r="F3132" s="3" t="str">
        <f>VLOOKUP(Base_Periodo1[[#This Row],[Aux]],Base_Contas_Balanco[#All],2,FALSE)</f>
        <v>Fornecedores Cooperados</v>
      </c>
      <c r="G3132" s="1">
        <v>42870</v>
      </c>
      <c r="H3132" s="225">
        <v>2094.3699999996461</v>
      </c>
      <c r="I3132" s="225">
        <v>0</v>
      </c>
      <c r="J3132" s="225">
        <v>11615.07</v>
      </c>
      <c r="K3132" s="225">
        <v>13709.439999999646</v>
      </c>
      <c r="L31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13709.44</v>
      </c>
      <c r="M3132" s="225">
        <f>ROUND(IF(AND(Base_Periodo1[[#This Row],[Tipo_Linha]]="-",Base_Periodo1[[#This Row],[TIPOSALDO]]="D"),Base_Periodo1[[#This Row],[SALDO_ATUAL]]*-1,Base_Periodo1[[#This Row],[SALDO_ATUAL]]),4)</f>
        <v>13709.44</v>
      </c>
      <c r="N3132" t="s">
        <v>116</v>
      </c>
      <c r="O3132" t="s">
        <v>459</v>
      </c>
      <c r="P3132" t="s">
        <v>459</v>
      </c>
      <c r="Q3132">
        <v>7</v>
      </c>
      <c r="R3132" s="225">
        <f>Base_Periodo1[[#This Row],[CREDITOS]]-Base_Periodo1[[#This Row],[DEBITOS]]</f>
        <v>11615.07</v>
      </c>
      <c r="S3132" s="3" t="str">
        <f>IF(ISERROR(VLOOKUP(Base_Periodo1[[#This Row],[CONTA]],BaseContasDRE[#All],4,FALSE)),"Fora do DRE",VLOOKUP(Base_Periodo1[[#This Row],[CONTA]],BaseContasDRE[#All],4,FALSE))</f>
        <v>Fora do DRE</v>
      </c>
      <c r="T3132" s="3" t="str">
        <f>IF(ISERROR(VLOOKUP(Base_Periodo1[[#This Row],[CONTA]],BaseContasDRE[#All],5,FALSE)),"Fora do DRE",VLOOKUP(Base_Periodo1[[#This Row],[CONTA]],BaseContasDRE[#All],6,FALSE))</f>
        <v>Fora do DRE</v>
      </c>
      <c r="U3132" s="3" t="str">
        <f>IF(ISERROR(VLOOKUP(Base_Periodo1[[#This Row],[CONTA]],BaseContasDRE[#All],7,FALSE)),"Fora do DRE",VLOOKUP(Base_Periodo1[[#This Row],[CONTA]],BaseContasDRE[#All],7,FALSE))</f>
        <v>Fora do DRE</v>
      </c>
      <c r="V3132" s="3" t="str">
        <f>IF(Base_Periodo1[[#This Row],[Tipo_Linha]]="Fora do DRE","Fora do DRE","( "&amp;Base_Periodo1[[#This Row],[Tipo_Linha]]&amp;" ) "&amp;Base_Periodo1[[#This Row],[Filtro]])</f>
        <v>Fora do DRE</v>
      </c>
      <c r="W3132" s="3" t="str">
        <f>LEFT(Base_Periodo1[[#This Row],[CLASS]],3)</f>
        <v>2.1</v>
      </c>
    </row>
    <row r="3133" spans="1:23" hidden="1">
      <c r="A3133" s="3" t="str">
        <f t="shared" si="48"/>
        <v>Período 1</v>
      </c>
      <c r="B3133">
        <v>47261</v>
      </c>
      <c r="C3133" t="s">
        <v>1745</v>
      </c>
      <c r="D3133" t="s">
        <v>5226</v>
      </c>
      <c r="E3133" s="3" t="str">
        <f>IF(LEN(Base_Periodo1[[#This Row],[CLASS]])&gt;=7,LEFT(Base_Periodo1[[#This Row],[CLASS]],7),"")</f>
        <v>2.1.2.1</v>
      </c>
      <c r="F3133" s="3" t="str">
        <f>VLOOKUP(Base_Periodo1[[#This Row],[Aux]],Base_Contas_Balanco[#All],2,FALSE)</f>
        <v>Fornecedores Cooperados</v>
      </c>
      <c r="G3133" s="1">
        <v>42845</v>
      </c>
      <c r="H3133" s="225">
        <v>25102.829999999958</v>
      </c>
      <c r="I3133" s="225">
        <v>0</v>
      </c>
      <c r="J3133" s="225">
        <v>0</v>
      </c>
      <c r="K3133" s="225">
        <v>25102.829999999958</v>
      </c>
      <c r="L31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25102.83</v>
      </c>
      <c r="M3133" s="225">
        <f>ROUND(IF(AND(Base_Periodo1[[#This Row],[Tipo_Linha]]="-",Base_Periodo1[[#This Row],[TIPOSALDO]]="D"),Base_Periodo1[[#This Row],[SALDO_ATUAL]]*-1,Base_Periodo1[[#This Row],[SALDO_ATUAL]]),4)</f>
        <v>25102.83</v>
      </c>
      <c r="N3133" t="s">
        <v>116</v>
      </c>
      <c r="O3133" t="s">
        <v>459</v>
      </c>
      <c r="P3133" t="s">
        <v>459</v>
      </c>
      <c r="Q3133">
        <v>7</v>
      </c>
      <c r="R3133" s="225">
        <f>Base_Periodo1[[#This Row],[CREDITOS]]-Base_Periodo1[[#This Row],[DEBITOS]]</f>
        <v>0</v>
      </c>
      <c r="S3133" s="3" t="str">
        <f>IF(ISERROR(VLOOKUP(Base_Periodo1[[#This Row],[CONTA]],BaseContasDRE[#All],4,FALSE)),"Fora do DRE",VLOOKUP(Base_Periodo1[[#This Row],[CONTA]],BaseContasDRE[#All],4,FALSE))</f>
        <v>Fora do DRE</v>
      </c>
      <c r="T3133" s="3" t="str">
        <f>IF(ISERROR(VLOOKUP(Base_Periodo1[[#This Row],[CONTA]],BaseContasDRE[#All],5,FALSE)),"Fora do DRE",VLOOKUP(Base_Periodo1[[#This Row],[CONTA]],BaseContasDRE[#All],6,FALSE))</f>
        <v>Fora do DRE</v>
      </c>
      <c r="U3133" s="3" t="str">
        <f>IF(ISERROR(VLOOKUP(Base_Periodo1[[#This Row],[CONTA]],BaseContasDRE[#All],7,FALSE)),"Fora do DRE",VLOOKUP(Base_Periodo1[[#This Row],[CONTA]],BaseContasDRE[#All],7,FALSE))</f>
        <v>Fora do DRE</v>
      </c>
      <c r="V3133" s="3" t="str">
        <f>IF(Base_Periodo1[[#This Row],[Tipo_Linha]]="Fora do DRE","Fora do DRE","( "&amp;Base_Periodo1[[#This Row],[Tipo_Linha]]&amp;" ) "&amp;Base_Periodo1[[#This Row],[Filtro]])</f>
        <v>Fora do DRE</v>
      </c>
      <c r="W3133" s="3" t="str">
        <f>LEFT(Base_Periodo1[[#This Row],[CLASS]],3)</f>
        <v>2.1</v>
      </c>
    </row>
    <row r="3134" spans="1:23" hidden="1">
      <c r="A3134" s="3" t="str">
        <f t="shared" si="48"/>
        <v>Período 1</v>
      </c>
      <c r="B3134">
        <v>38724</v>
      </c>
      <c r="C3134" t="s">
        <v>1745</v>
      </c>
      <c r="D3134" t="s">
        <v>6398</v>
      </c>
      <c r="E3134" s="3" t="str">
        <f>IF(LEN(Base_Periodo1[[#This Row],[CLASS]])&gt;=7,LEFT(Base_Periodo1[[#This Row],[CLASS]],7),"")</f>
        <v>2.1.2.1</v>
      </c>
      <c r="F3134" s="3" t="str">
        <f>VLOOKUP(Base_Periodo1[[#This Row],[Aux]],Base_Contas_Balanco[#All],2,FALSE)</f>
        <v>Fornecedores Cooperados</v>
      </c>
      <c r="G3134" s="1">
        <v>42824</v>
      </c>
      <c r="H3134" s="225">
        <v>5177.2000000000007</v>
      </c>
      <c r="I3134" s="225">
        <v>0</v>
      </c>
      <c r="J3134" s="225">
        <v>0</v>
      </c>
      <c r="K3134" s="225">
        <v>5177.2000000000007</v>
      </c>
      <c r="L31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5177.2</v>
      </c>
      <c r="M3134" s="225">
        <f>ROUND(IF(AND(Base_Periodo1[[#This Row],[Tipo_Linha]]="-",Base_Periodo1[[#This Row],[TIPOSALDO]]="D"),Base_Periodo1[[#This Row],[SALDO_ATUAL]]*-1,Base_Periodo1[[#This Row],[SALDO_ATUAL]]),4)</f>
        <v>5177.2</v>
      </c>
      <c r="N3134" t="s">
        <v>116</v>
      </c>
      <c r="O3134" t="s">
        <v>459</v>
      </c>
      <c r="P3134" t="s">
        <v>459</v>
      </c>
      <c r="Q3134">
        <v>7</v>
      </c>
      <c r="R3134" s="225">
        <f>Base_Periodo1[[#This Row],[CREDITOS]]-Base_Periodo1[[#This Row],[DEBITOS]]</f>
        <v>0</v>
      </c>
      <c r="S3134" s="3" t="str">
        <f>IF(ISERROR(VLOOKUP(Base_Periodo1[[#This Row],[CONTA]],BaseContasDRE[#All],4,FALSE)),"Fora do DRE",VLOOKUP(Base_Periodo1[[#This Row],[CONTA]],BaseContasDRE[#All],4,FALSE))</f>
        <v>Fora do DRE</v>
      </c>
      <c r="T3134" s="3" t="str">
        <f>IF(ISERROR(VLOOKUP(Base_Periodo1[[#This Row],[CONTA]],BaseContasDRE[#All],5,FALSE)),"Fora do DRE",VLOOKUP(Base_Periodo1[[#This Row],[CONTA]],BaseContasDRE[#All],6,FALSE))</f>
        <v>Fora do DRE</v>
      </c>
      <c r="U3134" s="3" t="str">
        <f>IF(ISERROR(VLOOKUP(Base_Periodo1[[#This Row],[CONTA]],BaseContasDRE[#All],7,FALSE)),"Fora do DRE",VLOOKUP(Base_Periodo1[[#This Row],[CONTA]],BaseContasDRE[#All],7,FALSE))</f>
        <v>Fora do DRE</v>
      </c>
      <c r="V3134" s="3" t="str">
        <f>IF(Base_Periodo1[[#This Row],[Tipo_Linha]]="Fora do DRE","Fora do DRE","( "&amp;Base_Periodo1[[#This Row],[Tipo_Linha]]&amp;" ) "&amp;Base_Periodo1[[#This Row],[Filtro]])</f>
        <v>Fora do DRE</v>
      </c>
      <c r="W3134" s="3" t="str">
        <f>LEFT(Base_Periodo1[[#This Row],[CLASS]],3)</f>
        <v>2.1</v>
      </c>
    </row>
    <row r="3135" spans="1:23" hidden="1">
      <c r="A3135" s="3" t="str">
        <f t="shared" si="48"/>
        <v>Período 1</v>
      </c>
      <c r="B3135">
        <v>2394</v>
      </c>
      <c r="C3135" t="s">
        <v>1745</v>
      </c>
      <c r="D3135" t="s">
        <v>1966</v>
      </c>
      <c r="E3135" s="3" t="str">
        <f>IF(LEN(Base_Periodo1[[#This Row],[CLASS]])&gt;=7,LEFT(Base_Periodo1[[#This Row],[CLASS]],7),"")</f>
        <v>2.1.2.1</v>
      </c>
      <c r="F3135" s="3" t="str">
        <f>VLOOKUP(Base_Periodo1[[#This Row],[Aux]],Base_Contas_Balanco[#All],2,FALSE)</f>
        <v>Fornecedores Cooperados</v>
      </c>
      <c r="G3135" s="1">
        <v>42877</v>
      </c>
      <c r="H3135" s="225">
        <v>18329.219999999943</v>
      </c>
      <c r="I3135" s="225">
        <v>1676.5</v>
      </c>
      <c r="J3135" s="225">
        <v>55843.850000000006</v>
      </c>
      <c r="K3135" s="225">
        <v>72496.569999999949</v>
      </c>
      <c r="L31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72496.570000000007</v>
      </c>
      <c r="M3135" s="225">
        <f>ROUND(IF(AND(Base_Periodo1[[#This Row],[Tipo_Linha]]="-",Base_Periodo1[[#This Row],[TIPOSALDO]]="D"),Base_Periodo1[[#This Row],[SALDO_ATUAL]]*-1,Base_Periodo1[[#This Row],[SALDO_ATUAL]]),4)</f>
        <v>72496.570000000007</v>
      </c>
      <c r="N3135" t="s">
        <v>116</v>
      </c>
      <c r="O3135" t="s">
        <v>459</v>
      </c>
      <c r="P3135" t="s">
        <v>459</v>
      </c>
      <c r="Q3135">
        <v>7</v>
      </c>
      <c r="R3135" s="225">
        <f>Base_Periodo1[[#This Row],[CREDITOS]]-Base_Periodo1[[#This Row],[DEBITOS]]</f>
        <v>54167.350000000006</v>
      </c>
      <c r="S3135" s="3" t="str">
        <f>IF(ISERROR(VLOOKUP(Base_Periodo1[[#This Row],[CONTA]],BaseContasDRE[#All],4,FALSE)),"Fora do DRE",VLOOKUP(Base_Periodo1[[#This Row],[CONTA]],BaseContasDRE[#All],4,FALSE))</f>
        <v>Fora do DRE</v>
      </c>
      <c r="T3135" s="3" t="str">
        <f>IF(ISERROR(VLOOKUP(Base_Periodo1[[#This Row],[CONTA]],BaseContasDRE[#All],5,FALSE)),"Fora do DRE",VLOOKUP(Base_Periodo1[[#This Row],[CONTA]],BaseContasDRE[#All],6,FALSE))</f>
        <v>Fora do DRE</v>
      </c>
      <c r="U3135" s="3" t="str">
        <f>IF(ISERROR(VLOOKUP(Base_Periodo1[[#This Row],[CONTA]],BaseContasDRE[#All],7,FALSE)),"Fora do DRE",VLOOKUP(Base_Periodo1[[#This Row],[CONTA]],BaseContasDRE[#All],7,FALSE))</f>
        <v>Fora do DRE</v>
      </c>
      <c r="V3135" s="3" t="str">
        <f>IF(Base_Periodo1[[#This Row],[Tipo_Linha]]="Fora do DRE","Fora do DRE","( "&amp;Base_Periodo1[[#This Row],[Tipo_Linha]]&amp;" ) "&amp;Base_Periodo1[[#This Row],[Filtro]])</f>
        <v>Fora do DRE</v>
      </c>
      <c r="W3135" s="3" t="str">
        <f>LEFT(Base_Periodo1[[#This Row],[CLASS]],3)</f>
        <v>2.1</v>
      </c>
    </row>
    <row r="3136" spans="1:23" hidden="1">
      <c r="A3136" s="3" t="str">
        <f t="shared" si="48"/>
        <v>Período 1</v>
      </c>
      <c r="B3136">
        <v>40071</v>
      </c>
      <c r="C3136" t="s">
        <v>1745</v>
      </c>
      <c r="D3136" t="s">
        <v>1967</v>
      </c>
      <c r="E3136" s="3" t="str">
        <f>IF(LEN(Base_Periodo1[[#This Row],[CLASS]])&gt;=7,LEFT(Base_Periodo1[[#This Row],[CLASS]],7),"")</f>
        <v>2.1.2.1</v>
      </c>
      <c r="F3136" s="3" t="str">
        <f>VLOOKUP(Base_Periodo1[[#This Row],[Aux]],Base_Contas_Balanco[#All],2,FALSE)</f>
        <v>Fornecedores Cooperados</v>
      </c>
      <c r="G3136" s="1">
        <v>42762</v>
      </c>
      <c r="H3136" s="225">
        <v>108.26999999998952</v>
      </c>
      <c r="I3136" s="225">
        <v>0</v>
      </c>
      <c r="J3136" s="225">
        <v>0</v>
      </c>
      <c r="K3136" s="225">
        <v>108.26999999998952</v>
      </c>
      <c r="L31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108.27</v>
      </c>
      <c r="M3136" s="225">
        <f>ROUND(IF(AND(Base_Periodo1[[#This Row],[Tipo_Linha]]="-",Base_Periodo1[[#This Row],[TIPOSALDO]]="D"),Base_Periodo1[[#This Row],[SALDO_ATUAL]]*-1,Base_Periodo1[[#This Row],[SALDO_ATUAL]]),4)</f>
        <v>108.27</v>
      </c>
      <c r="N3136" t="s">
        <v>116</v>
      </c>
      <c r="O3136" t="s">
        <v>459</v>
      </c>
      <c r="P3136" t="s">
        <v>459</v>
      </c>
      <c r="Q3136">
        <v>7</v>
      </c>
      <c r="R3136" s="225">
        <f>Base_Periodo1[[#This Row],[CREDITOS]]-Base_Periodo1[[#This Row],[DEBITOS]]</f>
        <v>0</v>
      </c>
      <c r="S3136" s="3" t="str">
        <f>IF(ISERROR(VLOOKUP(Base_Periodo1[[#This Row],[CONTA]],BaseContasDRE[#All],4,FALSE)),"Fora do DRE",VLOOKUP(Base_Periodo1[[#This Row],[CONTA]],BaseContasDRE[#All],4,FALSE))</f>
        <v>Fora do DRE</v>
      </c>
      <c r="T3136" s="3" t="str">
        <f>IF(ISERROR(VLOOKUP(Base_Periodo1[[#This Row],[CONTA]],BaseContasDRE[#All],5,FALSE)),"Fora do DRE",VLOOKUP(Base_Periodo1[[#This Row],[CONTA]],BaseContasDRE[#All],6,FALSE))</f>
        <v>Fora do DRE</v>
      </c>
      <c r="U3136" s="3" t="str">
        <f>IF(ISERROR(VLOOKUP(Base_Periodo1[[#This Row],[CONTA]],BaseContasDRE[#All],7,FALSE)),"Fora do DRE",VLOOKUP(Base_Periodo1[[#This Row],[CONTA]],BaseContasDRE[#All],7,FALSE))</f>
        <v>Fora do DRE</v>
      </c>
      <c r="V3136" s="3" t="str">
        <f>IF(Base_Periodo1[[#This Row],[Tipo_Linha]]="Fora do DRE","Fora do DRE","( "&amp;Base_Periodo1[[#This Row],[Tipo_Linha]]&amp;" ) "&amp;Base_Periodo1[[#This Row],[Filtro]])</f>
        <v>Fora do DRE</v>
      </c>
      <c r="W3136" s="3" t="str">
        <f>LEFT(Base_Periodo1[[#This Row],[CLASS]],3)</f>
        <v>2.1</v>
      </c>
    </row>
    <row r="3137" spans="1:23" hidden="1">
      <c r="A3137" s="3" t="str">
        <f t="shared" si="48"/>
        <v>Período 1</v>
      </c>
      <c r="B3137">
        <v>6979</v>
      </c>
      <c r="C3137" t="s">
        <v>1745</v>
      </c>
      <c r="D3137" t="s">
        <v>4286</v>
      </c>
      <c r="E3137" s="3" t="str">
        <f>IF(LEN(Base_Periodo1[[#This Row],[CLASS]])&gt;=7,LEFT(Base_Periodo1[[#This Row],[CLASS]],7),"")</f>
        <v>2.1.2.1</v>
      </c>
      <c r="F3137" s="3" t="str">
        <f>VLOOKUP(Base_Periodo1[[#This Row],[Aux]],Base_Contas_Balanco[#All],2,FALSE)</f>
        <v>Fornecedores Cooperados</v>
      </c>
      <c r="G3137" s="1">
        <v>42705</v>
      </c>
      <c r="H3137" s="225">
        <v>198.01000000000568</v>
      </c>
      <c r="I3137" s="225">
        <v>0</v>
      </c>
      <c r="J3137" s="225">
        <v>0</v>
      </c>
      <c r="K3137" s="225">
        <v>198.01000000000568</v>
      </c>
      <c r="L31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198.01</v>
      </c>
      <c r="M3137" s="225">
        <f>ROUND(IF(AND(Base_Periodo1[[#This Row],[Tipo_Linha]]="-",Base_Periodo1[[#This Row],[TIPOSALDO]]="D"),Base_Periodo1[[#This Row],[SALDO_ATUAL]]*-1,Base_Periodo1[[#This Row],[SALDO_ATUAL]]),4)</f>
        <v>198.01</v>
      </c>
      <c r="N3137" t="s">
        <v>116</v>
      </c>
      <c r="O3137" t="s">
        <v>459</v>
      </c>
      <c r="P3137" t="s">
        <v>459</v>
      </c>
      <c r="Q3137">
        <v>7</v>
      </c>
      <c r="R3137" s="225">
        <f>Base_Periodo1[[#This Row],[CREDITOS]]-Base_Periodo1[[#This Row],[DEBITOS]]</f>
        <v>0</v>
      </c>
      <c r="S3137" s="3" t="str">
        <f>IF(ISERROR(VLOOKUP(Base_Periodo1[[#This Row],[CONTA]],BaseContasDRE[#All],4,FALSE)),"Fora do DRE",VLOOKUP(Base_Periodo1[[#This Row],[CONTA]],BaseContasDRE[#All],4,FALSE))</f>
        <v>Fora do DRE</v>
      </c>
      <c r="T3137" s="3" t="str">
        <f>IF(ISERROR(VLOOKUP(Base_Periodo1[[#This Row],[CONTA]],BaseContasDRE[#All],5,FALSE)),"Fora do DRE",VLOOKUP(Base_Periodo1[[#This Row],[CONTA]],BaseContasDRE[#All],6,FALSE))</f>
        <v>Fora do DRE</v>
      </c>
      <c r="U3137" s="3" t="str">
        <f>IF(ISERROR(VLOOKUP(Base_Periodo1[[#This Row],[CONTA]],BaseContasDRE[#All],7,FALSE)),"Fora do DRE",VLOOKUP(Base_Periodo1[[#This Row],[CONTA]],BaseContasDRE[#All],7,FALSE))</f>
        <v>Fora do DRE</v>
      </c>
      <c r="V3137" s="3" t="str">
        <f>IF(Base_Periodo1[[#This Row],[Tipo_Linha]]="Fora do DRE","Fora do DRE","( "&amp;Base_Periodo1[[#This Row],[Tipo_Linha]]&amp;" ) "&amp;Base_Periodo1[[#This Row],[Filtro]])</f>
        <v>Fora do DRE</v>
      </c>
      <c r="W3137" s="3" t="str">
        <f>LEFT(Base_Periodo1[[#This Row],[CLASS]],3)</f>
        <v>2.1</v>
      </c>
    </row>
    <row r="3138" spans="1:23" hidden="1">
      <c r="A3138" s="3" t="str">
        <f t="shared" si="48"/>
        <v>Período 1</v>
      </c>
      <c r="B3138">
        <v>38950</v>
      </c>
      <c r="C3138" t="s">
        <v>1745</v>
      </c>
      <c r="D3138" t="s">
        <v>1968</v>
      </c>
      <c r="E3138" s="3" t="str">
        <f>IF(LEN(Base_Periodo1[[#This Row],[CLASS]])&gt;=7,LEFT(Base_Periodo1[[#This Row],[CLASS]],7),"")</f>
        <v>2.1.2.1</v>
      </c>
      <c r="F3138" s="3" t="str">
        <f>VLOOKUP(Base_Periodo1[[#This Row],[Aux]],Base_Contas_Balanco[#All],2,FALSE)</f>
        <v>Fornecedores Cooperados</v>
      </c>
      <c r="G3138" s="1">
        <v>42866</v>
      </c>
      <c r="H3138" s="225">
        <v>8312.4000000000233</v>
      </c>
      <c r="I3138" s="225">
        <v>3763</v>
      </c>
      <c r="J3138" s="225">
        <v>0</v>
      </c>
      <c r="K3138" s="225">
        <v>4549.4000000000233</v>
      </c>
      <c r="L31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4549.3999999999996</v>
      </c>
      <c r="M3138" s="225">
        <f>ROUND(IF(AND(Base_Periodo1[[#This Row],[Tipo_Linha]]="-",Base_Periodo1[[#This Row],[TIPOSALDO]]="D"),Base_Periodo1[[#This Row],[SALDO_ATUAL]]*-1,Base_Periodo1[[#This Row],[SALDO_ATUAL]]),4)</f>
        <v>4549.3999999999996</v>
      </c>
      <c r="N3138" t="s">
        <v>116</v>
      </c>
      <c r="O3138" t="s">
        <v>459</v>
      </c>
      <c r="P3138" t="s">
        <v>459</v>
      </c>
      <c r="Q3138">
        <v>7</v>
      </c>
      <c r="R3138" s="225">
        <f>Base_Periodo1[[#This Row],[CREDITOS]]-Base_Periodo1[[#This Row],[DEBITOS]]</f>
        <v>-3763</v>
      </c>
      <c r="S3138" s="3" t="str">
        <f>IF(ISERROR(VLOOKUP(Base_Periodo1[[#This Row],[CONTA]],BaseContasDRE[#All],4,FALSE)),"Fora do DRE",VLOOKUP(Base_Periodo1[[#This Row],[CONTA]],BaseContasDRE[#All],4,FALSE))</f>
        <v>Fora do DRE</v>
      </c>
      <c r="T3138" s="3" t="str">
        <f>IF(ISERROR(VLOOKUP(Base_Periodo1[[#This Row],[CONTA]],BaseContasDRE[#All],5,FALSE)),"Fora do DRE",VLOOKUP(Base_Periodo1[[#This Row],[CONTA]],BaseContasDRE[#All],6,FALSE))</f>
        <v>Fora do DRE</v>
      </c>
      <c r="U3138" s="3" t="str">
        <f>IF(ISERROR(VLOOKUP(Base_Periodo1[[#This Row],[CONTA]],BaseContasDRE[#All],7,FALSE)),"Fora do DRE",VLOOKUP(Base_Periodo1[[#This Row],[CONTA]],BaseContasDRE[#All],7,FALSE))</f>
        <v>Fora do DRE</v>
      </c>
      <c r="V3138" s="3" t="str">
        <f>IF(Base_Periodo1[[#This Row],[Tipo_Linha]]="Fora do DRE","Fora do DRE","( "&amp;Base_Periodo1[[#This Row],[Tipo_Linha]]&amp;" ) "&amp;Base_Periodo1[[#This Row],[Filtro]])</f>
        <v>Fora do DRE</v>
      </c>
      <c r="W3138" s="3" t="str">
        <f>LEFT(Base_Periodo1[[#This Row],[CLASS]],3)</f>
        <v>2.1</v>
      </c>
    </row>
    <row r="3139" spans="1:23" hidden="1">
      <c r="A3139" s="3" t="str">
        <f t="shared" si="48"/>
        <v>Período 1</v>
      </c>
      <c r="B3139">
        <v>3662</v>
      </c>
      <c r="C3139" t="s">
        <v>1745</v>
      </c>
      <c r="D3139" t="s">
        <v>6399</v>
      </c>
      <c r="E3139" s="3" t="str">
        <f>IF(LEN(Base_Periodo1[[#This Row],[CLASS]])&gt;=7,LEFT(Base_Periodo1[[#This Row],[CLASS]],7),"")</f>
        <v>2.1.2.1</v>
      </c>
      <c r="F3139" s="3" t="str">
        <f>VLOOKUP(Base_Periodo1[[#This Row],[Aux]],Base_Contas_Balanco[#All],2,FALSE)</f>
        <v>Fornecedores Cooperados</v>
      </c>
      <c r="G3139" s="1">
        <v>42885</v>
      </c>
      <c r="H3139" s="225">
        <v>3331.9999999997672</v>
      </c>
      <c r="I3139" s="225">
        <v>5982</v>
      </c>
      <c r="J3139" s="225">
        <v>2650</v>
      </c>
      <c r="K3139" s="225">
        <v>2.3283064365386963E-10</v>
      </c>
      <c r="L31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39" s="225">
        <f>ROUND(IF(AND(Base_Periodo1[[#This Row],[Tipo_Linha]]="-",Base_Periodo1[[#This Row],[TIPOSALDO]]="D"),Base_Periodo1[[#This Row],[SALDO_ATUAL]]*-1,Base_Periodo1[[#This Row],[SALDO_ATUAL]]),4)</f>
        <v>0</v>
      </c>
      <c r="N3139" t="s">
        <v>116</v>
      </c>
      <c r="O3139" t="s">
        <v>459</v>
      </c>
      <c r="P3139" t="s">
        <v>436</v>
      </c>
      <c r="Q3139">
        <v>7</v>
      </c>
      <c r="R3139" s="225">
        <f>Base_Periodo1[[#This Row],[CREDITOS]]-Base_Periodo1[[#This Row],[DEBITOS]]</f>
        <v>-3332</v>
      </c>
      <c r="S3139" s="3" t="str">
        <f>IF(ISERROR(VLOOKUP(Base_Periodo1[[#This Row],[CONTA]],BaseContasDRE[#All],4,FALSE)),"Fora do DRE",VLOOKUP(Base_Periodo1[[#This Row],[CONTA]],BaseContasDRE[#All],4,FALSE))</f>
        <v>Fora do DRE</v>
      </c>
      <c r="T3139" s="3" t="str">
        <f>IF(ISERROR(VLOOKUP(Base_Periodo1[[#This Row],[CONTA]],BaseContasDRE[#All],5,FALSE)),"Fora do DRE",VLOOKUP(Base_Periodo1[[#This Row],[CONTA]],BaseContasDRE[#All],6,FALSE))</f>
        <v>Fora do DRE</v>
      </c>
      <c r="U3139" s="3" t="str">
        <f>IF(ISERROR(VLOOKUP(Base_Periodo1[[#This Row],[CONTA]],BaseContasDRE[#All],7,FALSE)),"Fora do DRE",VLOOKUP(Base_Periodo1[[#This Row],[CONTA]],BaseContasDRE[#All],7,FALSE))</f>
        <v>Fora do DRE</v>
      </c>
      <c r="V3139" s="3" t="str">
        <f>IF(Base_Periodo1[[#This Row],[Tipo_Linha]]="Fora do DRE","Fora do DRE","( "&amp;Base_Periodo1[[#This Row],[Tipo_Linha]]&amp;" ) "&amp;Base_Periodo1[[#This Row],[Filtro]])</f>
        <v>Fora do DRE</v>
      </c>
      <c r="W3139" s="3" t="str">
        <f>LEFT(Base_Periodo1[[#This Row],[CLASS]],3)</f>
        <v>2.1</v>
      </c>
    </row>
    <row r="3140" spans="1:23" hidden="1">
      <c r="A3140" s="3" t="str">
        <f t="shared" si="48"/>
        <v>Período 1</v>
      </c>
      <c r="B3140">
        <v>6983</v>
      </c>
      <c r="C3140" t="s">
        <v>1745</v>
      </c>
      <c r="D3140" t="s">
        <v>6400</v>
      </c>
      <c r="E3140" s="3" t="str">
        <f>IF(LEN(Base_Periodo1[[#This Row],[CLASS]])&gt;=7,LEFT(Base_Periodo1[[#This Row],[CLASS]],7),"")</f>
        <v>2.1.2.1</v>
      </c>
      <c r="F3140" s="3" t="str">
        <f>VLOOKUP(Base_Periodo1[[#This Row],[Aux]],Base_Contas_Balanco[#All],2,FALSE)</f>
        <v>Fornecedores Cooperados</v>
      </c>
      <c r="G3140" s="1">
        <v>42851</v>
      </c>
      <c r="H3140" s="225">
        <v>13677.000000000029</v>
      </c>
      <c r="I3140" s="225">
        <v>0</v>
      </c>
      <c r="J3140" s="225">
        <v>0</v>
      </c>
      <c r="K3140" s="225">
        <v>13677.000000000029</v>
      </c>
      <c r="L31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13677</v>
      </c>
      <c r="M3140" s="225">
        <f>ROUND(IF(AND(Base_Periodo1[[#This Row],[Tipo_Linha]]="-",Base_Periodo1[[#This Row],[TIPOSALDO]]="D"),Base_Periodo1[[#This Row],[SALDO_ATUAL]]*-1,Base_Periodo1[[#This Row],[SALDO_ATUAL]]),4)</f>
        <v>13677</v>
      </c>
      <c r="N3140" t="s">
        <v>116</v>
      </c>
      <c r="O3140" t="s">
        <v>459</v>
      </c>
      <c r="P3140" t="s">
        <v>459</v>
      </c>
      <c r="Q3140">
        <v>7</v>
      </c>
      <c r="R3140" s="225">
        <f>Base_Periodo1[[#This Row],[CREDITOS]]-Base_Periodo1[[#This Row],[DEBITOS]]</f>
        <v>0</v>
      </c>
      <c r="S3140" s="3" t="str">
        <f>IF(ISERROR(VLOOKUP(Base_Periodo1[[#This Row],[CONTA]],BaseContasDRE[#All],4,FALSE)),"Fora do DRE",VLOOKUP(Base_Periodo1[[#This Row],[CONTA]],BaseContasDRE[#All],4,FALSE))</f>
        <v>Fora do DRE</v>
      </c>
      <c r="T3140" s="3" t="str">
        <f>IF(ISERROR(VLOOKUP(Base_Periodo1[[#This Row],[CONTA]],BaseContasDRE[#All],5,FALSE)),"Fora do DRE",VLOOKUP(Base_Periodo1[[#This Row],[CONTA]],BaseContasDRE[#All],6,FALSE))</f>
        <v>Fora do DRE</v>
      </c>
      <c r="U3140" s="3" t="str">
        <f>IF(ISERROR(VLOOKUP(Base_Periodo1[[#This Row],[CONTA]],BaseContasDRE[#All],7,FALSE)),"Fora do DRE",VLOOKUP(Base_Periodo1[[#This Row],[CONTA]],BaseContasDRE[#All],7,FALSE))</f>
        <v>Fora do DRE</v>
      </c>
      <c r="V3140" s="3" t="str">
        <f>IF(Base_Periodo1[[#This Row],[Tipo_Linha]]="Fora do DRE","Fora do DRE","( "&amp;Base_Periodo1[[#This Row],[Tipo_Linha]]&amp;" ) "&amp;Base_Periodo1[[#This Row],[Filtro]])</f>
        <v>Fora do DRE</v>
      </c>
      <c r="W3140" s="3" t="str">
        <f>LEFT(Base_Periodo1[[#This Row],[CLASS]],3)</f>
        <v>2.1</v>
      </c>
    </row>
    <row r="3141" spans="1:23" hidden="1">
      <c r="A3141" s="3" t="str">
        <f t="shared" si="48"/>
        <v>Período 1</v>
      </c>
      <c r="B3141">
        <v>37086</v>
      </c>
      <c r="C3141" t="s">
        <v>1745</v>
      </c>
      <c r="D3141" t="s">
        <v>4287</v>
      </c>
      <c r="E3141" s="3" t="str">
        <f>IF(LEN(Base_Periodo1[[#This Row],[CLASS]])&gt;=7,LEFT(Base_Periodo1[[#This Row],[CLASS]],7),"")</f>
        <v>2.1.2.1</v>
      </c>
      <c r="F3141" s="3" t="str">
        <f>VLOOKUP(Base_Periodo1[[#This Row],[Aux]],Base_Contas_Balanco[#All],2,FALSE)</f>
        <v>Fornecedores Cooperados</v>
      </c>
      <c r="G3141" s="1">
        <v>42850</v>
      </c>
      <c r="H3141" s="225">
        <v>7844.52</v>
      </c>
      <c r="I3141" s="225">
        <v>0</v>
      </c>
      <c r="J3141" s="225">
        <v>0</v>
      </c>
      <c r="K3141" s="225">
        <v>7844.52</v>
      </c>
      <c r="L31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7844.52</v>
      </c>
      <c r="M3141" s="225">
        <f>ROUND(IF(AND(Base_Periodo1[[#This Row],[Tipo_Linha]]="-",Base_Periodo1[[#This Row],[TIPOSALDO]]="D"),Base_Periodo1[[#This Row],[SALDO_ATUAL]]*-1,Base_Periodo1[[#This Row],[SALDO_ATUAL]]),4)</f>
        <v>7844.52</v>
      </c>
      <c r="N3141" t="s">
        <v>116</v>
      </c>
      <c r="O3141" t="s">
        <v>459</v>
      </c>
      <c r="P3141" t="s">
        <v>459</v>
      </c>
      <c r="Q3141">
        <v>7</v>
      </c>
      <c r="R3141" s="225">
        <f>Base_Periodo1[[#This Row],[CREDITOS]]-Base_Periodo1[[#This Row],[DEBITOS]]</f>
        <v>0</v>
      </c>
      <c r="S3141" s="3" t="str">
        <f>IF(ISERROR(VLOOKUP(Base_Periodo1[[#This Row],[CONTA]],BaseContasDRE[#All],4,FALSE)),"Fora do DRE",VLOOKUP(Base_Periodo1[[#This Row],[CONTA]],BaseContasDRE[#All],4,FALSE))</f>
        <v>Fora do DRE</v>
      </c>
      <c r="T3141" s="3" t="str">
        <f>IF(ISERROR(VLOOKUP(Base_Periodo1[[#This Row],[CONTA]],BaseContasDRE[#All],5,FALSE)),"Fora do DRE",VLOOKUP(Base_Periodo1[[#This Row],[CONTA]],BaseContasDRE[#All],6,FALSE))</f>
        <v>Fora do DRE</v>
      </c>
      <c r="U3141" s="3" t="str">
        <f>IF(ISERROR(VLOOKUP(Base_Periodo1[[#This Row],[CONTA]],BaseContasDRE[#All],7,FALSE)),"Fora do DRE",VLOOKUP(Base_Periodo1[[#This Row],[CONTA]],BaseContasDRE[#All],7,FALSE))</f>
        <v>Fora do DRE</v>
      </c>
      <c r="V3141" s="3" t="str">
        <f>IF(Base_Periodo1[[#This Row],[Tipo_Linha]]="Fora do DRE","Fora do DRE","( "&amp;Base_Periodo1[[#This Row],[Tipo_Linha]]&amp;" ) "&amp;Base_Periodo1[[#This Row],[Filtro]])</f>
        <v>Fora do DRE</v>
      </c>
      <c r="W3141" s="3" t="str">
        <f>LEFT(Base_Periodo1[[#This Row],[CLASS]],3)</f>
        <v>2.1</v>
      </c>
    </row>
    <row r="3142" spans="1:23" hidden="1">
      <c r="A3142" s="3" t="str">
        <f t="shared" ref="A3142:A3205" si="49">"Período 1"</f>
        <v>Período 1</v>
      </c>
      <c r="B3142">
        <v>52982</v>
      </c>
      <c r="C3142" t="s">
        <v>1745</v>
      </c>
      <c r="D3142" t="s">
        <v>4947</v>
      </c>
      <c r="E3142" s="3" t="str">
        <f>IF(LEN(Base_Periodo1[[#This Row],[CLASS]])&gt;=7,LEFT(Base_Periodo1[[#This Row],[CLASS]],7),"")</f>
        <v>2.1.2.1</v>
      </c>
      <c r="F3142" s="3" t="str">
        <f>VLOOKUP(Base_Periodo1[[#This Row],[Aux]],Base_Contas_Balanco[#All],2,FALSE)</f>
        <v>Fornecedores Cooperados</v>
      </c>
      <c r="G3142" s="1">
        <v>42753</v>
      </c>
      <c r="H3142" s="225">
        <v>1809.96</v>
      </c>
      <c r="I3142" s="225">
        <v>0</v>
      </c>
      <c r="J3142" s="225">
        <v>0</v>
      </c>
      <c r="K3142" s="225">
        <v>1809.96</v>
      </c>
      <c r="L31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1809.96</v>
      </c>
      <c r="M3142" s="225">
        <f>ROUND(IF(AND(Base_Periodo1[[#This Row],[Tipo_Linha]]="-",Base_Periodo1[[#This Row],[TIPOSALDO]]="D"),Base_Periodo1[[#This Row],[SALDO_ATUAL]]*-1,Base_Periodo1[[#This Row],[SALDO_ATUAL]]),4)</f>
        <v>1809.96</v>
      </c>
      <c r="N3142" t="s">
        <v>116</v>
      </c>
      <c r="O3142" t="s">
        <v>459</v>
      </c>
      <c r="P3142" t="s">
        <v>459</v>
      </c>
      <c r="Q3142">
        <v>7</v>
      </c>
      <c r="R3142" s="225">
        <f>Base_Periodo1[[#This Row],[CREDITOS]]-Base_Periodo1[[#This Row],[DEBITOS]]</f>
        <v>0</v>
      </c>
      <c r="S3142" s="3" t="str">
        <f>IF(ISERROR(VLOOKUP(Base_Periodo1[[#This Row],[CONTA]],BaseContasDRE[#All],4,FALSE)),"Fora do DRE",VLOOKUP(Base_Periodo1[[#This Row],[CONTA]],BaseContasDRE[#All],4,FALSE))</f>
        <v>Fora do DRE</v>
      </c>
      <c r="T3142" s="3" t="str">
        <f>IF(ISERROR(VLOOKUP(Base_Periodo1[[#This Row],[CONTA]],BaseContasDRE[#All],5,FALSE)),"Fora do DRE",VLOOKUP(Base_Periodo1[[#This Row],[CONTA]],BaseContasDRE[#All],6,FALSE))</f>
        <v>Fora do DRE</v>
      </c>
      <c r="U3142" s="3" t="str">
        <f>IF(ISERROR(VLOOKUP(Base_Periodo1[[#This Row],[CONTA]],BaseContasDRE[#All],7,FALSE)),"Fora do DRE",VLOOKUP(Base_Periodo1[[#This Row],[CONTA]],BaseContasDRE[#All],7,FALSE))</f>
        <v>Fora do DRE</v>
      </c>
      <c r="V3142" s="3" t="str">
        <f>IF(Base_Periodo1[[#This Row],[Tipo_Linha]]="Fora do DRE","Fora do DRE","( "&amp;Base_Periodo1[[#This Row],[Tipo_Linha]]&amp;" ) "&amp;Base_Periodo1[[#This Row],[Filtro]])</f>
        <v>Fora do DRE</v>
      </c>
      <c r="W3142" s="3" t="str">
        <f>LEFT(Base_Periodo1[[#This Row],[CLASS]],3)</f>
        <v>2.1</v>
      </c>
    </row>
    <row r="3143" spans="1:23" hidden="1">
      <c r="A3143" s="3" t="str">
        <f t="shared" si="49"/>
        <v>Período 1</v>
      </c>
      <c r="B3143">
        <v>15092</v>
      </c>
      <c r="C3143" t="s">
        <v>1745</v>
      </c>
      <c r="D3143" t="s">
        <v>6401</v>
      </c>
      <c r="E3143" s="3" t="str">
        <f>IF(LEN(Base_Periodo1[[#This Row],[CLASS]])&gt;=7,LEFT(Base_Periodo1[[#This Row],[CLASS]],7),"")</f>
        <v>2.1.2.1</v>
      </c>
      <c r="F3143" s="3" t="str">
        <f>VLOOKUP(Base_Periodo1[[#This Row],[Aux]],Base_Contas_Balanco[#All],2,FALSE)</f>
        <v>Fornecedores Cooperados</v>
      </c>
      <c r="G3143" s="1">
        <v>42822</v>
      </c>
      <c r="H3143" s="225">
        <v>21484.260000000009</v>
      </c>
      <c r="I3143" s="225">
        <v>0</v>
      </c>
      <c r="J3143" s="225">
        <v>0</v>
      </c>
      <c r="K3143" s="225">
        <v>21484.260000000009</v>
      </c>
      <c r="L31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21484.26</v>
      </c>
      <c r="M3143" s="225">
        <f>ROUND(IF(AND(Base_Periodo1[[#This Row],[Tipo_Linha]]="-",Base_Periodo1[[#This Row],[TIPOSALDO]]="D"),Base_Periodo1[[#This Row],[SALDO_ATUAL]]*-1,Base_Periodo1[[#This Row],[SALDO_ATUAL]]),4)</f>
        <v>21484.26</v>
      </c>
      <c r="N3143" t="s">
        <v>116</v>
      </c>
      <c r="O3143" t="s">
        <v>459</v>
      </c>
      <c r="P3143" t="s">
        <v>459</v>
      </c>
      <c r="Q3143">
        <v>7</v>
      </c>
      <c r="R3143" s="225">
        <f>Base_Periodo1[[#This Row],[CREDITOS]]-Base_Periodo1[[#This Row],[DEBITOS]]</f>
        <v>0</v>
      </c>
      <c r="S3143" s="3" t="str">
        <f>IF(ISERROR(VLOOKUP(Base_Periodo1[[#This Row],[CONTA]],BaseContasDRE[#All],4,FALSE)),"Fora do DRE",VLOOKUP(Base_Periodo1[[#This Row],[CONTA]],BaseContasDRE[#All],4,FALSE))</f>
        <v>Fora do DRE</v>
      </c>
      <c r="T3143" s="3" t="str">
        <f>IF(ISERROR(VLOOKUP(Base_Periodo1[[#This Row],[CONTA]],BaseContasDRE[#All],5,FALSE)),"Fora do DRE",VLOOKUP(Base_Periodo1[[#This Row],[CONTA]],BaseContasDRE[#All],6,FALSE))</f>
        <v>Fora do DRE</v>
      </c>
      <c r="U3143" s="3" t="str">
        <f>IF(ISERROR(VLOOKUP(Base_Periodo1[[#This Row],[CONTA]],BaseContasDRE[#All],7,FALSE)),"Fora do DRE",VLOOKUP(Base_Periodo1[[#This Row],[CONTA]],BaseContasDRE[#All],7,FALSE))</f>
        <v>Fora do DRE</v>
      </c>
      <c r="V3143" s="3" t="str">
        <f>IF(Base_Periodo1[[#This Row],[Tipo_Linha]]="Fora do DRE","Fora do DRE","( "&amp;Base_Periodo1[[#This Row],[Tipo_Linha]]&amp;" ) "&amp;Base_Periodo1[[#This Row],[Filtro]])</f>
        <v>Fora do DRE</v>
      </c>
      <c r="W3143" s="3" t="str">
        <f>LEFT(Base_Periodo1[[#This Row],[CLASS]],3)</f>
        <v>2.1</v>
      </c>
    </row>
    <row r="3144" spans="1:23" hidden="1">
      <c r="A3144" s="3" t="str">
        <f t="shared" si="49"/>
        <v>Período 1</v>
      </c>
      <c r="B3144">
        <v>6887</v>
      </c>
      <c r="C3144" t="s">
        <v>1745</v>
      </c>
      <c r="D3144" t="s">
        <v>1969</v>
      </c>
      <c r="E3144" s="3" t="str">
        <f>IF(LEN(Base_Periodo1[[#This Row],[CLASS]])&gt;=7,LEFT(Base_Periodo1[[#This Row],[CLASS]],7),"")</f>
        <v>2.1.2.1</v>
      </c>
      <c r="F3144" s="3" t="str">
        <f>VLOOKUP(Base_Periodo1[[#This Row],[Aux]],Base_Contas_Balanco[#All],2,FALSE)</f>
        <v>Fornecedores Cooperados</v>
      </c>
      <c r="G3144" s="1">
        <v>42671</v>
      </c>
      <c r="H3144" s="225">
        <v>3053</v>
      </c>
      <c r="I3144" s="225">
        <v>0</v>
      </c>
      <c r="J3144" s="225">
        <v>0</v>
      </c>
      <c r="K3144" s="225">
        <v>3053</v>
      </c>
      <c r="L31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3053</v>
      </c>
      <c r="M3144" s="225">
        <f>ROUND(IF(AND(Base_Periodo1[[#This Row],[Tipo_Linha]]="-",Base_Periodo1[[#This Row],[TIPOSALDO]]="D"),Base_Periodo1[[#This Row],[SALDO_ATUAL]]*-1,Base_Periodo1[[#This Row],[SALDO_ATUAL]]),4)</f>
        <v>3053</v>
      </c>
      <c r="N3144" t="s">
        <v>116</v>
      </c>
      <c r="O3144" t="s">
        <v>459</v>
      </c>
      <c r="P3144" t="s">
        <v>459</v>
      </c>
      <c r="Q3144">
        <v>7</v>
      </c>
      <c r="R3144" s="225">
        <f>Base_Periodo1[[#This Row],[CREDITOS]]-Base_Periodo1[[#This Row],[DEBITOS]]</f>
        <v>0</v>
      </c>
      <c r="S3144" s="3" t="str">
        <f>IF(ISERROR(VLOOKUP(Base_Periodo1[[#This Row],[CONTA]],BaseContasDRE[#All],4,FALSE)),"Fora do DRE",VLOOKUP(Base_Periodo1[[#This Row],[CONTA]],BaseContasDRE[#All],4,FALSE))</f>
        <v>Fora do DRE</v>
      </c>
      <c r="T3144" s="3" t="str">
        <f>IF(ISERROR(VLOOKUP(Base_Periodo1[[#This Row],[CONTA]],BaseContasDRE[#All],5,FALSE)),"Fora do DRE",VLOOKUP(Base_Periodo1[[#This Row],[CONTA]],BaseContasDRE[#All],6,FALSE))</f>
        <v>Fora do DRE</v>
      </c>
      <c r="U3144" s="3" t="str">
        <f>IF(ISERROR(VLOOKUP(Base_Periodo1[[#This Row],[CONTA]],BaseContasDRE[#All],7,FALSE)),"Fora do DRE",VLOOKUP(Base_Periodo1[[#This Row],[CONTA]],BaseContasDRE[#All],7,FALSE))</f>
        <v>Fora do DRE</v>
      </c>
      <c r="V3144" s="3" t="str">
        <f>IF(Base_Periodo1[[#This Row],[Tipo_Linha]]="Fora do DRE","Fora do DRE","( "&amp;Base_Periodo1[[#This Row],[Tipo_Linha]]&amp;" ) "&amp;Base_Periodo1[[#This Row],[Filtro]])</f>
        <v>Fora do DRE</v>
      </c>
      <c r="W3144" s="3" t="str">
        <f>LEFT(Base_Periodo1[[#This Row],[CLASS]],3)</f>
        <v>2.1</v>
      </c>
    </row>
    <row r="3145" spans="1:23" hidden="1">
      <c r="A3145" s="3" t="str">
        <f t="shared" si="49"/>
        <v>Período 1</v>
      </c>
      <c r="B3145">
        <v>3386</v>
      </c>
      <c r="C3145" t="s">
        <v>1745</v>
      </c>
      <c r="D3145" t="s">
        <v>4854</v>
      </c>
      <c r="E3145" s="3" t="str">
        <f>IF(LEN(Base_Periodo1[[#This Row],[CLASS]])&gt;=7,LEFT(Base_Periodo1[[#This Row],[CLASS]],7),"")</f>
        <v>2.1.2.1</v>
      </c>
      <c r="F3145" s="3" t="str">
        <f>VLOOKUP(Base_Periodo1[[#This Row],[Aux]],Base_Contas_Balanco[#All],2,FALSE)</f>
        <v>Fornecedores Cooperados</v>
      </c>
      <c r="G3145" s="1">
        <v>42865</v>
      </c>
      <c r="H3145" s="225">
        <v>78130.110000000044</v>
      </c>
      <c r="I3145" s="225">
        <v>0</v>
      </c>
      <c r="J3145" s="225">
        <v>24016.61</v>
      </c>
      <c r="K3145" s="225">
        <v>102146.72000000004</v>
      </c>
      <c r="L31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102146.72</v>
      </c>
      <c r="M3145" s="225">
        <f>ROUND(IF(AND(Base_Periodo1[[#This Row],[Tipo_Linha]]="-",Base_Periodo1[[#This Row],[TIPOSALDO]]="D"),Base_Periodo1[[#This Row],[SALDO_ATUAL]]*-1,Base_Periodo1[[#This Row],[SALDO_ATUAL]]),4)</f>
        <v>102146.72</v>
      </c>
      <c r="N3145" t="s">
        <v>116</v>
      </c>
      <c r="O3145" t="s">
        <v>459</v>
      </c>
      <c r="P3145" t="s">
        <v>459</v>
      </c>
      <c r="Q3145">
        <v>7</v>
      </c>
      <c r="R3145" s="225">
        <f>Base_Periodo1[[#This Row],[CREDITOS]]-Base_Periodo1[[#This Row],[DEBITOS]]</f>
        <v>24016.61</v>
      </c>
      <c r="S3145" s="3" t="str">
        <f>IF(ISERROR(VLOOKUP(Base_Periodo1[[#This Row],[CONTA]],BaseContasDRE[#All],4,FALSE)),"Fora do DRE",VLOOKUP(Base_Periodo1[[#This Row],[CONTA]],BaseContasDRE[#All],4,FALSE))</f>
        <v>Fora do DRE</v>
      </c>
      <c r="T3145" s="3" t="str">
        <f>IF(ISERROR(VLOOKUP(Base_Periodo1[[#This Row],[CONTA]],BaseContasDRE[#All],5,FALSE)),"Fora do DRE",VLOOKUP(Base_Periodo1[[#This Row],[CONTA]],BaseContasDRE[#All],6,FALSE))</f>
        <v>Fora do DRE</v>
      </c>
      <c r="U3145" s="3" t="str">
        <f>IF(ISERROR(VLOOKUP(Base_Periodo1[[#This Row],[CONTA]],BaseContasDRE[#All],7,FALSE)),"Fora do DRE",VLOOKUP(Base_Periodo1[[#This Row],[CONTA]],BaseContasDRE[#All],7,FALSE))</f>
        <v>Fora do DRE</v>
      </c>
      <c r="V3145" s="3" t="str">
        <f>IF(Base_Periodo1[[#This Row],[Tipo_Linha]]="Fora do DRE","Fora do DRE","( "&amp;Base_Periodo1[[#This Row],[Tipo_Linha]]&amp;" ) "&amp;Base_Periodo1[[#This Row],[Filtro]])</f>
        <v>Fora do DRE</v>
      </c>
      <c r="W3145" s="3" t="str">
        <f>LEFT(Base_Periodo1[[#This Row],[CLASS]],3)</f>
        <v>2.1</v>
      </c>
    </row>
    <row r="3146" spans="1:23" hidden="1">
      <c r="A3146" s="3" t="str">
        <f t="shared" si="49"/>
        <v>Período 1</v>
      </c>
      <c r="B3146">
        <v>47578</v>
      </c>
      <c r="C3146" t="s">
        <v>1745</v>
      </c>
      <c r="D3146" t="s">
        <v>6402</v>
      </c>
      <c r="E3146" s="3" t="str">
        <f>IF(LEN(Base_Periodo1[[#This Row],[CLASS]])&gt;=7,LEFT(Base_Periodo1[[#This Row],[CLASS]],7),"")</f>
        <v>2.1.2.1</v>
      </c>
      <c r="F3146" s="3" t="str">
        <f>VLOOKUP(Base_Periodo1[[#This Row],[Aux]],Base_Contas_Balanco[#All],2,FALSE)</f>
        <v>Fornecedores Cooperados</v>
      </c>
      <c r="G3146" s="1">
        <v>42835</v>
      </c>
      <c r="H3146" s="225">
        <v>874.25000000000364</v>
      </c>
      <c r="I3146" s="225">
        <v>0</v>
      </c>
      <c r="J3146" s="225">
        <v>0</v>
      </c>
      <c r="K3146" s="225">
        <v>874.25000000000364</v>
      </c>
      <c r="L31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874.25</v>
      </c>
      <c r="M3146" s="225">
        <f>ROUND(IF(AND(Base_Periodo1[[#This Row],[Tipo_Linha]]="-",Base_Periodo1[[#This Row],[TIPOSALDO]]="D"),Base_Periodo1[[#This Row],[SALDO_ATUAL]]*-1,Base_Periodo1[[#This Row],[SALDO_ATUAL]]),4)</f>
        <v>874.25</v>
      </c>
      <c r="N3146" t="s">
        <v>116</v>
      </c>
      <c r="O3146" t="s">
        <v>459</v>
      </c>
      <c r="P3146" t="s">
        <v>459</v>
      </c>
      <c r="Q3146">
        <v>7</v>
      </c>
      <c r="R3146" s="225">
        <f>Base_Periodo1[[#This Row],[CREDITOS]]-Base_Periodo1[[#This Row],[DEBITOS]]</f>
        <v>0</v>
      </c>
      <c r="S3146" s="3" t="str">
        <f>IF(ISERROR(VLOOKUP(Base_Periodo1[[#This Row],[CONTA]],BaseContasDRE[#All],4,FALSE)),"Fora do DRE",VLOOKUP(Base_Periodo1[[#This Row],[CONTA]],BaseContasDRE[#All],4,FALSE))</f>
        <v>Fora do DRE</v>
      </c>
      <c r="T3146" s="3" t="str">
        <f>IF(ISERROR(VLOOKUP(Base_Periodo1[[#This Row],[CONTA]],BaseContasDRE[#All],5,FALSE)),"Fora do DRE",VLOOKUP(Base_Periodo1[[#This Row],[CONTA]],BaseContasDRE[#All],6,FALSE))</f>
        <v>Fora do DRE</v>
      </c>
      <c r="U3146" s="3" t="str">
        <f>IF(ISERROR(VLOOKUP(Base_Periodo1[[#This Row],[CONTA]],BaseContasDRE[#All],7,FALSE)),"Fora do DRE",VLOOKUP(Base_Periodo1[[#This Row],[CONTA]],BaseContasDRE[#All],7,FALSE))</f>
        <v>Fora do DRE</v>
      </c>
      <c r="V3146" s="3" t="str">
        <f>IF(Base_Periodo1[[#This Row],[Tipo_Linha]]="Fora do DRE","Fora do DRE","( "&amp;Base_Periodo1[[#This Row],[Tipo_Linha]]&amp;" ) "&amp;Base_Periodo1[[#This Row],[Filtro]])</f>
        <v>Fora do DRE</v>
      </c>
      <c r="W3146" s="3" t="str">
        <f>LEFT(Base_Periodo1[[#This Row],[CLASS]],3)</f>
        <v>2.1</v>
      </c>
    </row>
    <row r="3147" spans="1:23" hidden="1">
      <c r="A3147" s="3" t="str">
        <f t="shared" si="49"/>
        <v>Período 1</v>
      </c>
      <c r="B3147">
        <v>55673</v>
      </c>
      <c r="C3147" t="s">
        <v>1745</v>
      </c>
      <c r="D3147" t="s">
        <v>2205</v>
      </c>
      <c r="E3147" s="3" t="str">
        <f>IF(LEN(Base_Periodo1[[#This Row],[CLASS]])&gt;=7,LEFT(Base_Periodo1[[#This Row],[CLASS]],7),"")</f>
        <v>2.1.2.1</v>
      </c>
      <c r="F3147" s="3" t="str">
        <f>VLOOKUP(Base_Periodo1[[#This Row],[Aux]],Base_Contas_Balanco[#All],2,FALSE)</f>
        <v>Fornecedores Cooperados</v>
      </c>
      <c r="G3147" s="1">
        <v>42784</v>
      </c>
      <c r="H3147" s="225">
        <v>161.33000000000175</v>
      </c>
      <c r="I3147" s="225">
        <v>0</v>
      </c>
      <c r="J3147" s="225">
        <v>0</v>
      </c>
      <c r="K3147" s="225">
        <v>161.33000000000175</v>
      </c>
      <c r="L31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161.33000000000001</v>
      </c>
      <c r="M3147" s="225">
        <f>ROUND(IF(AND(Base_Periodo1[[#This Row],[Tipo_Linha]]="-",Base_Periodo1[[#This Row],[TIPOSALDO]]="D"),Base_Periodo1[[#This Row],[SALDO_ATUAL]]*-1,Base_Periodo1[[#This Row],[SALDO_ATUAL]]),4)</f>
        <v>161.33000000000001</v>
      </c>
      <c r="N3147" t="s">
        <v>116</v>
      </c>
      <c r="O3147" t="s">
        <v>459</v>
      </c>
      <c r="P3147" t="s">
        <v>459</v>
      </c>
      <c r="Q3147">
        <v>7</v>
      </c>
      <c r="R3147" s="225">
        <f>Base_Periodo1[[#This Row],[CREDITOS]]-Base_Periodo1[[#This Row],[DEBITOS]]</f>
        <v>0</v>
      </c>
      <c r="S3147" s="3" t="str">
        <f>IF(ISERROR(VLOOKUP(Base_Periodo1[[#This Row],[CONTA]],BaseContasDRE[#All],4,FALSE)),"Fora do DRE",VLOOKUP(Base_Periodo1[[#This Row],[CONTA]],BaseContasDRE[#All],4,FALSE))</f>
        <v>Fora do DRE</v>
      </c>
      <c r="T3147" s="3" t="str">
        <f>IF(ISERROR(VLOOKUP(Base_Periodo1[[#This Row],[CONTA]],BaseContasDRE[#All],5,FALSE)),"Fora do DRE",VLOOKUP(Base_Periodo1[[#This Row],[CONTA]],BaseContasDRE[#All],6,FALSE))</f>
        <v>Fora do DRE</v>
      </c>
      <c r="U3147" s="3" t="str">
        <f>IF(ISERROR(VLOOKUP(Base_Periodo1[[#This Row],[CONTA]],BaseContasDRE[#All],7,FALSE)),"Fora do DRE",VLOOKUP(Base_Periodo1[[#This Row],[CONTA]],BaseContasDRE[#All],7,FALSE))</f>
        <v>Fora do DRE</v>
      </c>
      <c r="V3147" s="3" t="str">
        <f>IF(Base_Periodo1[[#This Row],[Tipo_Linha]]="Fora do DRE","Fora do DRE","( "&amp;Base_Periodo1[[#This Row],[Tipo_Linha]]&amp;" ) "&amp;Base_Periodo1[[#This Row],[Filtro]])</f>
        <v>Fora do DRE</v>
      </c>
      <c r="W3147" s="3" t="str">
        <f>LEFT(Base_Periodo1[[#This Row],[CLASS]],3)</f>
        <v>2.1</v>
      </c>
    </row>
    <row r="3148" spans="1:23" hidden="1">
      <c r="A3148" s="3" t="str">
        <f t="shared" si="49"/>
        <v>Período 1</v>
      </c>
      <c r="B3148">
        <v>2882</v>
      </c>
      <c r="C3148" t="s">
        <v>1745</v>
      </c>
      <c r="D3148" t="s">
        <v>1970</v>
      </c>
      <c r="E3148" s="3" t="str">
        <f>IF(LEN(Base_Periodo1[[#This Row],[CLASS]])&gt;=7,LEFT(Base_Periodo1[[#This Row],[CLASS]],7),"")</f>
        <v>2.1.2.1</v>
      </c>
      <c r="F3148" s="3" t="str">
        <f>VLOOKUP(Base_Periodo1[[#This Row],[Aux]],Base_Contas_Balanco[#All],2,FALSE)</f>
        <v>Fornecedores Cooperados</v>
      </c>
      <c r="G3148" s="1">
        <v>42885</v>
      </c>
      <c r="H3148" s="225">
        <v>724.81</v>
      </c>
      <c r="I3148" s="225">
        <v>1610.31</v>
      </c>
      <c r="J3148" s="225">
        <v>885.5</v>
      </c>
      <c r="K3148" s="225">
        <v>0</v>
      </c>
      <c r="L31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48" s="225">
        <f>ROUND(IF(AND(Base_Periodo1[[#This Row],[Tipo_Linha]]="-",Base_Periodo1[[#This Row],[TIPOSALDO]]="D"),Base_Periodo1[[#This Row],[SALDO_ATUAL]]*-1,Base_Periodo1[[#This Row],[SALDO_ATUAL]]),4)</f>
        <v>0</v>
      </c>
      <c r="N3148" t="s">
        <v>116</v>
      </c>
      <c r="O3148" t="s">
        <v>459</v>
      </c>
      <c r="P3148" t="s">
        <v>436</v>
      </c>
      <c r="Q3148">
        <v>7</v>
      </c>
      <c r="R3148" s="225">
        <f>Base_Periodo1[[#This Row],[CREDITOS]]-Base_Periodo1[[#This Row],[DEBITOS]]</f>
        <v>-724.81</v>
      </c>
      <c r="S3148" s="3" t="str">
        <f>IF(ISERROR(VLOOKUP(Base_Periodo1[[#This Row],[CONTA]],BaseContasDRE[#All],4,FALSE)),"Fora do DRE",VLOOKUP(Base_Periodo1[[#This Row],[CONTA]],BaseContasDRE[#All],4,FALSE))</f>
        <v>Fora do DRE</v>
      </c>
      <c r="T3148" s="3" t="str">
        <f>IF(ISERROR(VLOOKUP(Base_Periodo1[[#This Row],[CONTA]],BaseContasDRE[#All],5,FALSE)),"Fora do DRE",VLOOKUP(Base_Periodo1[[#This Row],[CONTA]],BaseContasDRE[#All],6,FALSE))</f>
        <v>Fora do DRE</v>
      </c>
      <c r="U3148" s="3" t="str">
        <f>IF(ISERROR(VLOOKUP(Base_Periodo1[[#This Row],[CONTA]],BaseContasDRE[#All],7,FALSE)),"Fora do DRE",VLOOKUP(Base_Periodo1[[#This Row],[CONTA]],BaseContasDRE[#All],7,FALSE))</f>
        <v>Fora do DRE</v>
      </c>
      <c r="V3148" s="3" t="str">
        <f>IF(Base_Periodo1[[#This Row],[Tipo_Linha]]="Fora do DRE","Fora do DRE","( "&amp;Base_Periodo1[[#This Row],[Tipo_Linha]]&amp;" ) "&amp;Base_Periodo1[[#This Row],[Filtro]])</f>
        <v>Fora do DRE</v>
      </c>
      <c r="W3148" s="3" t="str">
        <f>LEFT(Base_Periodo1[[#This Row],[CLASS]],3)</f>
        <v>2.1</v>
      </c>
    </row>
    <row r="3149" spans="1:23" hidden="1">
      <c r="A3149" s="3" t="str">
        <f t="shared" si="49"/>
        <v>Período 1</v>
      </c>
      <c r="B3149">
        <v>4634</v>
      </c>
      <c r="C3149" t="s">
        <v>1745</v>
      </c>
      <c r="D3149" t="s">
        <v>4610</v>
      </c>
      <c r="E3149" s="3" t="str">
        <f>IF(LEN(Base_Periodo1[[#This Row],[CLASS]])&gt;=7,LEFT(Base_Periodo1[[#This Row],[CLASS]],7),"")</f>
        <v>2.1.2.1</v>
      </c>
      <c r="F3149" s="3" t="str">
        <f>VLOOKUP(Base_Periodo1[[#This Row],[Aux]],Base_Contas_Balanco[#All],2,FALSE)</f>
        <v>Fornecedores Cooperados</v>
      </c>
      <c r="G3149" s="1">
        <v>42615</v>
      </c>
      <c r="H3149" s="225">
        <v>490.99999999998545</v>
      </c>
      <c r="I3149" s="225">
        <v>0</v>
      </c>
      <c r="J3149" s="225">
        <v>0</v>
      </c>
      <c r="K3149" s="225">
        <v>490.99999999998545</v>
      </c>
      <c r="L31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491</v>
      </c>
      <c r="M3149" s="225">
        <f>ROUND(IF(AND(Base_Periodo1[[#This Row],[Tipo_Linha]]="-",Base_Periodo1[[#This Row],[TIPOSALDO]]="D"),Base_Periodo1[[#This Row],[SALDO_ATUAL]]*-1,Base_Periodo1[[#This Row],[SALDO_ATUAL]]),4)</f>
        <v>491</v>
      </c>
      <c r="N3149" t="s">
        <v>116</v>
      </c>
      <c r="O3149" t="s">
        <v>459</v>
      </c>
      <c r="P3149" t="s">
        <v>459</v>
      </c>
      <c r="Q3149">
        <v>7</v>
      </c>
      <c r="R3149" s="225">
        <f>Base_Periodo1[[#This Row],[CREDITOS]]-Base_Periodo1[[#This Row],[DEBITOS]]</f>
        <v>0</v>
      </c>
      <c r="S3149" s="3" t="str">
        <f>IF(ISERROR(VLOOKUP(Base_Periodo1[[#This Row],[CONTA]],BaseContasDRE[#All],4,FALSE)),"Fora do DRE",VLOOKUP(Base_Periodo1[[#This Row],[CONTA]],BaseContasDRE[#All],4,FALSE))</f>
        <v>Fora do DRE</v>
      </c>
      <c r="T3149" s="3" t="str">
        <f>IF(ISERROR(VLOOKUP(Base_Periodo1[[#This Row],[CONTA]],BaseContasDRE[#All],5,FALSE)),"Fora do DRE",VLOOKUP(Base_Periodo1[[#This Row],[CONTA]],BaseContasDRE[#All],6,FALSE))</f>
        <v>Fora do DRE</v>
      </c>
      <c r="U3149" s="3" t="str">
        <f>IF(ISERROR(VLOOKUP(Base_Periodo1[[#This Row],[CONTA]],BaseContasDRE[#All],7,FALSE)),"Fora do DRE",VLOOKUP(Base_Periodo1[[#This Row],[CONTA]],BaseContasDRE[#All],7,FALSE))</f>
        <v>Fora do DRE</v>
      </c>
      <c r="V3149" s="3" t="str">
        <f>IF(Base_Periodo1[[#This Row],[Tipo_Linha]]="Fora do DRE","Fora do DRE","( "&amp;Base_Periodo1[[#This Row],[Tipo_Linha]]&amp;" ) "&amp;Base_Periodo1[[#This Row],[Filtro]])</f>
        <v>Fora do DRE</v>
      </c>
      <c r="W3149" s="3" t="str">
        <f>LEFT(Base_Periodo1[[#This Row],[CLASS]],3)</f>
        <v>2.1</v>
      </c>
    </row>
    <row r="3150" spans="1:23" hidden="1">
      <c r="A3150" s="3" t="str">
        <f t="shared" si="49"/>
        <v>Período 1</v>
      </c>
      <c r="B3150">
        <v>3666</v>
      </c>
      <c r="C3150" t="s">
        <v>1745</v>
      </c>
      <c r="D3150" t="s">
        <v>4766</v>
      </c>
      <c r="E3150" s="3" t="str">
        <f>IF(LEN(Base_Periodo1[[#This Row],[CLASS]])&gt;=7,LEFT(Base_Periodo1[[#This Row],[CLASS]],7),"")</f>
        <v>2.1.2.1</v>
      </c>
      <c r="F3150" s="3" t="str">
        <f>VLOOKUP(Base_Periodo1[[#This Row],[Aux]],Base_Contas_Balanco[#All],2,FALSE)</f>
        <v>Fornecedores Cooperados</v>
      </c>
      <c r="G3150" s="1">
        <v>42880</v>
      </c>
      <c r="H3150" s="225">
        <v>92039.000000000233</v>
      </c>
      <c r="I3150" s="225">
        <v>103432.8</v>
      </c>
      <c r="J3150" s="225">
        <v>66850.8</v>
      </c>
      <c r="K3150" s="225">
        <v>55457.000000000233</v>
      </c>
      <c r="L31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55457</v>
      </c>
      <c r="M3150" s="225">
        <f>ROUND(IF(AND(Base_Periodo1[[#This Row],[Tipo_Linha]]="-",Base_Periodo1[[#This Row],[TIPOSALDO]]="D"),Base_Periodo1[[#This Row],[SALDO_ATUAL]]*-1,Base_Periodo1[[#This Row],[SALDO_ATUAL]]),4)</f>
        <v>55457</v>
      </c>
      <c r="N3150" t="s">
        <v>116</v>
      </c>
      <c r="O3150" t="s">
        <v>459</v>
      </c>
      <c r="P3150" t="s">
        <v>459</v>
      </c>
      <c r="Q3150">
        <v>7</v>
      </c>
      <c r="R3150" s="225">
        <f>Base_Periodo1[[#This Row],[CREDITOS]]-Base_Periodo1[[#This Row],[DEBITOS]]</f>
        <v>-36582</v>
      </c>
      <c r="S3150" s="3" t="str">
        <f>IF(ISERROR(VLOOKUP(Base_Periodo1[[#This Row],[CONTA]],BaseContasDRE[#All],4,FALSE)),"Fora do DRE",VLOOKUP(Base_Periodo1[[#This Row],[CONTA]],BaseContasDRE[#All],4,FALSE))</f>
        <v>Fora do DRE</v>
      </c>
      <c r="T3150" s="3" t="str">
        <f>IF(ISERROR(VLOOKUP(Base_Periodo1[[#This Row],[CONTA]],BaseContasDRE[#All],5,FALSE)),"Fora do DRE",VLOOKUP(Base_Periodo1[[#This Row],[CONTA]],BaseContasDRE[#All],6,FALSE))</f>
        <v>Fora do DRE</v>
      </c>
      <c r="U3150" s="3" t="str">
        <f>IF(ISERROR(VLOOKUP(Base_Periodo1[[#This Row],[CONTA]],BaseContasDRE[#All],7,FALSE)),"Fora do DRE",VLOOKUP(Base_Periodo1[[#This Row],[CONTA]],BaseContasDRE[#All],7,FALSE))</f>
        <v>Fora do DRE</v>
      </c>
      <c r="V3150" s="3" t="str">
        <f>IF(Base_Periodo1[[#This Row],[Tipo_Linha]]="Fora do DRE","Fora do DRE","( "&amp;Base_Periodo1[[#This Row],[Tipo_Linha]]&amp;" ) "&amp;Base_Periodo1[[#This Row],[Filtro]])</f>
        <v>Fora do DRE</v>
      </c>
      <c r="W3150" s="3" t="str">
        <f>LEFT(Base_Periodo1[[#This Row],[CLASS]],3)</f>
        <v>2.1</v>
      </c>
    </row>
    <row r="3151" spans="1:23" hidden="1">
      <c r="A3151" s="3" t="str">
        <f t="shared" si="49"/>
        <v>Período 1</v>
      </c>
      <c r="B3151">
        <v>53251</v>
      </c>
      <c r="C3151" t="s">
        <v>1745</v>
      </c>
      <c r="D3151" t="s">
        <v>4948</v>
      </c>
      <c r="E3151" s="3" t="str">
        <f>IF(LEN(Base_Periodo1[[#This Row],[CLASS]])&gt;=7,LEFT(Base_Periodo1[[#This Row],[CLASS]],7),"")</f>
        <v>2.1.2.1</v>
      </c>
      <c r="F3151" s="3" t="str">
        <f>VLOOKUP(Base_Periodo1[[#This Row],[Aux]],Base_Contas_Balanco[#All],2,FALSE)</f>
        <v>Fornecedores Cooperados</v>
      </c>
      <c r="G3151" s="1">
        <v>42885</v>
      </c>
      <c r="H3151" s="225">
        <v>8868.1099999999988</v>
      </c>
      <c r="I3151" s="225">
        <v>8868.1099999999988</v>
      </c>
      <c r="J3151" s="225">
        <v>0</v>
      </c>
      <c r="K3151" s="225">
        <v>0</v>
      </c>
      <c r="L31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51" s="225">
        <f>ROUND(IF(AND(Base_Periodo1[[#This Row],[Tipo_Linha]]="-",Base_Periodo1[[#This Row],[TIPOSALDO]]="D"),Base_Periodo1[[#This Row],[SALDO_ATUAL]]*-1,Base_Periodo1[[#This Row],[SALDO_ATUAL]]),4)</f>
        <v>0</v>
      </c>
      <c r="N3151" t="s">
        <v>116</v>
      </c>
      <c r="O3151" t="s">
        <v>459</v>
      </c>
      <c r="P3151" t="s">
        <v>436</v>
      </c>
      <c r="Q3151">
        <v>7</v>
      </c>
      <c r="R3151" s="225">
        <f>Base_Periodo1[[#This Row],[CREDITOS]]-Base_Periodo1[[#This Row],[DEBITOS]]</f>
        <v>-8868.1099999999988</v>
      </c>
      <c r="S3151" s="3" t="str">
        <f>IF(ISERROR(VLOOKUP(Base_Periodo1[[#This Row],[CONTA]],BaseContasDRE[#All],4,FALSE)),"Fora do DRE",VLOOKUP(Base_Periodo1[[#This Row],[CONTA]],BaseContasDRE[#All],4,FALSE))</f>
        <v>Fora do DRE</v>
      </c>
      <c r="T3151" s="3" t="str">
        <f>IF(ISERROR(VLOOKUP(Base_Periodo1[[#This Row],[CONTA]],BaseContasDRE[#All],5,FALSE)),"Fora do DRE",VLOOKUP(Base_Periodo1[[#This Row],[CONTA]],BaseContasDRE[#All],6,FALSE))</f>
        <v>Fora do DRE</v>
      </c>
      <c r="U3151" s="3" t="str">
        <f>IF(ISERROR(VLOOKUP(Base_Periodo1[[#This Row],[CONTA]],BaseContasDRE[#All],7,FALSE)),"Fora do DRE",VLOOKUP(Base_Periodo1[[#This Row],[CONTA]],BaseContasDRE[#All],7,FALSE))</f>
        <v>Fora do DRE</v>
      </c>
      <c r="V3151" s="3" t="str">
        <f>IF(Base_Periodo1[[#This Row],[Tipo_Linha]]="Fora do DRE","Fora do DRE","( "&amp;Base_Periodo1[[#This Row],[Tipo_Linha]]&amp;" ) "&amp;Base_Periodo1[[#This Row],[Filtro]])</f>
        <v>Fora do DRE</v>
      </c>
      <c r="W3151" s="3" t="str">
        <f>LEFT(Base_Periodo1[[#This Row],[CLASS]],3)</f>
        <v>2.1</v>
      </c>
    </row>
    <row r="3152" spans="1:23" hidden="1">
      <c r="A3152" s="3" t="str">
        <f t="shared" si="49"/>
        <v>Período 1</v>
      </c>
      <c r="B3152">
        <v>21522</v>
      </c>
      <c r="C3152" t="s">
        <v>1745</v>
      </c>
      <c r="D3152" t="s">
        <v>1971</v>
      </c>
      <c r="E3152" s="3" t="str">
        <f>IF(LEN(Base_Periodo1[[#This Row],[CLASS]])&gt;=7,LEFT(Base_Periodo1[[#This Row],[CLASS]],7),"")</f>
        <v>2.1.2.1</v>
      </c>
      <c r="F3152" s="3" t="str">
        <f>VLOOKUP(Base_Periodo1[[#This Row],[Aux]],Base_Contas_Balanco[#All],2,FALSE)</f>
        <v>Fornecedores Cooperados</v>
      </c>
      <c r="G3152" s="1">
        <v>41771</v>
      </c>
      <c r="H3152" s="225">
        <v>45.120000000002619</v>
      </c>
      <c r="I3152" s="225">
        <v>0</v>
      </c>
      <c r="J3152" s="225">
        <v>0</v>
      </c>
      <c r="K3152" s="225">
        <v>45.120000000002619</v>
      </c>
      <c r="L31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45.12</v>
      </c>
      <c r="M3152" s="225">
        <f>ROUND(IF(AND(Base_Periodo1[[#This Row],[Tipo_Linha]]="-",Base_Periodo1[[#This Row],[TIPOSALDO]]="D"),Base_Periodo1[[#This Row],[SALDO_ATUAL]]*-1,Base_Periodo1[[#This Row],[SALDO_ATUAL]]),4)</f>
        <v>45.12</v>
      </c>
      <c r="N3152" t="s">
        <v>116</v>
      </c>
      <c r="O3152" t="s">
        <v>459</v>
      </c>
      <c r="P3152" t="s">
        <v>459</v>
      </c>
      <c r="Q3152">
        <v>7</v>
      </c>
      <c r="R3152" s="225">
        <f>Base_Periodo1[[#This Row],[CREDITOS]]-Base_Periodo1[[#This Row],[DEBITOS]]</f>
        <v>0</v>
      </c>
      <c r="S3152" s="3" t="str">
        <f>IF(ISERROR(VLOOKUP(Base_Periodo1[[#This Row],[CONTA]],BaseContasDRE[#All],4,FALSE)),"Fora do DRE",VLOOKUP(Base_Periodo1[[#This Row],[CONTA]],BaseContasDRE[#All],4,FALSE))</f>
        <v>Fora do DRE</v>
      </c>
      <c r="T3152" s="3" t="str">
        <f>IF(ISERROR(VLOOKUP(Base_Periodo1[[#This Row],[CONTA]],BaseContasDRE[#All],5,FALSE)),"Fora do DRE",VLOOKUP(Base_Periodo1[[#This Row],[CONTA]],BaseContasDRE[#All],6,FALSE))</f>
        <v>Fora do DRE</v>
      </c>
      <c r="U3152" s="3" t="str">
        <f>IF(ISERROR(VLOOKUP(Base_Periodo1[[#This Row],[CONTA]],BaseContasDRE[#All],7,FALSE)),"Fora do DRE",VLOOKUP(Base_Periodo1[[#This Row],[CONTA]],BaseContasDRE[#All],7,FALSE))</f>
        <v>Fora do DRE</v>
      </c>
      <c r="V3152" s="3" t="str">
        <f>IF(Base_Periodo1[[#This Row],[Tipo_Linha]]="Fora do DRE","Fora do DRE","( "&amp;Base_Periodo1[[#This Row],[Tipo_Linha]]&amp;" ) "&amp;Base_Periodo1[[#This Row],[Filtro]])</f>
        <v>Fora do DRE</v>
      </c>
      <c r="W3152" s="3" t="str">
        <f>LEFT(Base_Periodo1[[#This Row],[CLASS]],3)</f>
        <v>2.1</v>
      </c>
    </row>
    <row r="3153" spans="1:23" hidden="1">
      <c r="A3153" s="3" t="str">
        <f t="shared" si="49"/>
        <v>Período 1</v>
      </c>
      <c r="B3153">
        <v>47281</v>
      </c>
      <c r="C3153" t="s">
        <v>1745</v>
      </c>
      <c r="D3153" t="s">
        <v>1972</v>
      </c>
      <c r="E3153" s="3" t="str">
        <f>IF(LEN(Base_Periodo1[[#This Row],[CLASS]])&gt;=7,LEFT(Base_Periodo1[[#This Row],[CLASS]],7),"")</f>
        <v>2.1.2.1</v>
      </c>
      <c r="F3153" s="3" t="str">
        <f>VLOOKUP(Base_Periodo1[[#This Row],[Aux]],Base_Contas_Balanco[#All],2,FALSE)</f>
        <v>Fornecedores Cooperados</v>
      </c>
      <c r="G3153" s="1">
        <v>42849</v>
      </c>
      <c r="H3153" s="225">
        <v>9660.0599999999977</v>
      </c>
      <c r="I3153" s="225">
        <v>0</v>
      </c>
      <c r="J3153" s="225">
        <v>0</v>
      </c>
      <c r="K3153" s="225">
        <v>9660.0599999999977</v>
      </c>
      <c r="L31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9660.06</v>
      </c>
      <c r="M3153" s="225">
        <f>ROUND(IF(AND(Base_Periodo1[[#This Row],[Tipo_Linha]]="-",Base_Periodo1[[#This Row],[TIPOSALDO]]="D"),Base_Periodo1[[#This Row],[SALDO_ATUAL]]*-1,Base_Periodo1[[#This Row],[SALDO_ATUAL]]),4)</f>
        <v>9660.06</v>
      </c>
      <c r="N3153" t="s">
        <v>116</v>
      </c>
      <c r="O3153" t="s">
        <v>459</v>
      </c>
      <c r="P3153" t="s">
        <v>459</v>
      </c>
      <c r="Q3153">
        <v>7</v>
      </c>
      <c r="R3153" s="225">
        <f>Base_Periodo1[[#This Row],[CREDITOS]]-Base_Periodo1[[#This Row],[DEBITOS]]</f>
        <v>0</v>
      </c>
      <c r="S3153" s="3" t="str">
        <f>IF(ISERROR(VLOOKUP(Base_Periodo1[[#This Row],[CONTA]],BaseContasDRE[#All],4,FALSE)),"Fora do DRE",VLOOKUP(Base_Periodo1[[#This Row],[CONTA]],BaseContasDRE[#All],4,FALSE))</f>
        <v>Fora do DRE</v>
      </c>
      <c r="T3153" s="3" t="str">
        <f>IF(ISERROR(VLOOKUP(Base_Periodo1[[#This Row],[CONTA]],BaseContasDRE[#All],5,FALSE)),"Fora do DRE",VLOOKUP(Base_Periodo1[[#This Row],[CONTA]],BaseContasDRE[#All],6,FALSE))</f>
        <v>Fora do DRE</v>
      </c>
      <c r="U3153" s="3" t="str">
        <f>IF(ISERROR(VLOOKUP(Base_Periodo1[[#This Row],[CONTA]],BaseContasDRE[#All],7,FALSE)),"Fora do DRE",VLOOKUP(Base_Periodo1[[#This Row],[CONTA]],BaseContasDRE[#All],7,FALSE))</f>
        <v>Fora do DRE</v>
      </c>
      <c r="V3153" s="3" t="str">
        <f>IF(Base_Periodo1[[#This Row],[Tipo_Linha]]="Fora do DRE","Fora do DRE","( "&amp;Base_Periodo1[[#This Row],[Tipo_Linha]]&amp;" ) "&amp;Base_Periodo1[[#This Row],[Filtro]])</f>
        <v>Fora do DRE</v>
      </c>
      <c r="W3153" s="3" t="str">
        <f>LEFT(Base_Periodo1[[#This Row],[CLASS]],3)</f>
        <v>2.1</v>
      </c>
    </row>
    <row r="3154" spans="1:23" hidden="1">
      <c r="A3154" s="3" t="str">
        <f t="shared" si="49"/>
        <v>Período 1</v>
      </c>
      <c r="B3154">
        <v>49846</v>
      </c>
      <c r="C3154" t="s">
        <v>1745</v>
      </c>
      <c r="D3154" t="s">
        <v>4685</v>
      </c>
      <c r="E3154" s="3" t="str">
        <f>IF(LEN(Base_Periodo1[[#This Row],[CLASS]])&gt;=7,LEFT(Base_Periodo1[[#This Row],[CLASS]],7),"")</f>
        <v>2.1.2.1</v>
      </c>
      <c r="F3154" s="3" t="str">
        <f>VLOOKUP(Base_Periodo1[[#This Row],[Aux]],Base_Contas_Balanco[#All],2,FALSE)</f>
        <v>Fornecedores Cooperados</v>
      </c>
      <c r="G3154" s="1"/>
      <c r="H3154" s="225">
        <v>140</v>
      </c>
      <c r="I3154" s="225">
        <v>0</v>
      </c>
      <c r="J3154" s="225">
        <v>0</v>
      </c>
      <c r="K3154" s="225">
        <v>140</v>
      </c>
      <c r="L31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</v>
      </c>
      <c r="M3154" s="225">
        <f>ROUND(IF(AND(Base_Periodo1[[#This Row],[Tipo_Linha]]="-",Base_Periodo1[[#This Row],[TIPOSALDO]]="D"),Base_Periodo1[[#This Row],[SALDO_ATUAL]]*-1,Base_Periodo1[[#This Row],[SALDO_ATUAL]]),4)</f>
        <v>140</v>
      </c>
      <c r="N3154" t="s">
        <v>116</v>
      </c>
      <c r="O3154" t="s">
        <v>459</v>
      </c>
      <c r="P3154" t="s">
        <v>459</v>
      </c>
      <c r="Q3154">
        <v>7</v>
      </c>
      <c r="R3154" s="225">
        <f>Base_Periodo1[[#This Row],[CREDITOS]]-Base_Periodo1[[#This Row],[DEBITOS]]</f>
        <v>0</v>
      </c>
      <c r="S3154" s="3" t="str">
        <f>IF(ISERROR(VLOOKUP(Base_Periodo1[[#This Row],[CONTA]],BaseContasDRE[#All],4,FALSE)),"Fora do DRE",VLOOKUP(Base_Periodo1[[#This Row],[CONTA]],BaseContasDRE[#All],4,FALSE))</f>
        <v>Fora do DRE</v>
      </c>
      <c r="T3154" s="3" t="str">
        <f>IF(ISERROR(VLOOKUP(Base_Periodo1[[#This Row],[CONTA]],BaseContasDRE[#All],5,FALSE)),"Fora do DRE",VLOOKUP(Base_Periodo1[[#This Row],[CONTA]],BaseContasDRE[#All],6,FALSE))</f>
        <v>Fora do DRE</v>
      </c>
      <c r="U3154" s="3" t="str">
        <f>IF(ISERROR(VLOOKUP(Base_Periodo1[[#This Row],[CONTA]],BaseContasDRE[#All],7,FALSE)),"Fora do DRE",VLOOKUP(Base_Periodo1[[#This Row],[CONTA]],BaseContasDRE[#All],7,FALSE))</f>
        <v>Fora do DRE</v>
      </c>
      <c r="V3154" s="3" t="str">
        <f>IF(Base_Periodo1[[#This Row],[Tipo_Linha]]="Fora do DRE","Fora do DRE","( "&amp;Base_Periodo1[[#This Row],[Tipo_Linha]]&amp;" ) "&amp;Base_Periodo1[[#This Row],[Filtro]])</f>
        <v>Fora do DRE</v>
      </c>
      <c r="W3154" s="3" t="str">
        <f>LEFT(Base_Periodo1[[#This Row],[CLASS]],3)</f>
        <v>2.1</v>
      </c>
    </row>
    <row r="3155" spans="1:23" hidden="1">
      <c r="A3155" s="3" t="str">
        <f t="shared" si="49"/>
        <v>Período 1</v>
      </c>
      <c r="B3155">
        <v>47167</v>
      </c>
      <c r="C3155" t="s">
        <v>1745</v>
      </c>
      <c r="D3155" t="s">
        <v>1973</v>
      </c>
      <c r="E3155" s="3" t="str">
        <f>IF(LEN(Base_Periodo1[[#This Row],[CLASS]])&gt;=7,LEFT(Base_Periodo1[[#This Row],[CLASS]],7),"")</f>
        <v>2.1.2.1</v>
      </c>
      <c r="F3155" s="3" t="str">
        <f>VLOOKUP(Base_Periodo1[[#This Row],[Aux]],Base_Contas_Balanco[#All],2,FALSE)</f>
        <v>Fornecedores Cooperados</v>
      </c>
      <c r="G3155" s="1">
        <v>42844</v>
      </c>
      <c r="H3155" s="225">
        <v>2747.66</v>
      </c>
      <c r="I3155" s="225">
        <v>0</v>
      </c>
      <c r="J3155" s="225">
        <v>0</v>
      </c>
      <c r="K3155" s="225">
        <v>2747.66</v>
      </c>
      <c r="L31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2747.66</v>
      </c>
      <c r="M3155" s="225">
        <f>ROUND(IF(AND(Base_Periodo1[[#This Row],[Tipo_Linha]]="-",Base_Periodo1[[#This Row],[TIPOSALDO]]="D"),Base_Periodo1[[#This Row],[SALDO_ATUAL]]*-1,Base_Periodo1[[#This Row],[SALDO_ATUAL]]),4)</f>
        <v>2747.66</v>
      </c>
      <c r="N3155" t="s">
        <v>116</v>
      </c>
      <c r="O3155" t="s">
        <v>459</v>
      </c>
      <c r="P3155" t="s">
        <v>459</v>
      </c>
      <c r="Q3155">
        <v>7</v>
      </c>
      <c r="R3155" s="225">
        <f>Base_Periodo1[[#This Row],[CREDITOS]]-Base_Periodo1[[#This Row],[DEBITOS]]</f>
        <v>0</v>
      </c>
      <c r="S3155" s="3" t="str">
        <f>IF(ISERROR(VLOOKUP(Base_Periodo1[[#This Row],[CONTA]],BaseContasDRE[#All],4,FALSE)),"Fora do DRE",VLOOKUP(Base_Periodo1[[#This Row],[CONTA]],BaseContasDRE[#All],4,FALSE))</f>
        <v>Fora do DRE</v>
      </c>
      <c r="T3155" s="3" t="str">
        <f>IF(ISERROR(VLOOKUP(Base_Periodo1[[#This Row],[CONTA]],BaseContasDRE[#All],5,FALSE)),"Fora do DRE",VLOOKUP(Base_Periodo1[[#This Row],[CONTA]],BaseContasDRE[#All],6,FALSE))</f>
        <v>Fora do DRE</v>
      </c>
      <c r="U3155" s="3" t="str">
        <f>IF(ISERROR(VLOOKUP(Base_Periodo1[[#This Row],[CONTA]],BaseContasDRE[#All],7,FALSE)),"Fora do DRE",VLOOKUP(Base_Periodo1[[#This Row],[CONTA]],BaseContasDRE[#All],7,FALSE))</f>
        <v>Fora do DRE</v>
      </c>
      <c r="V3155" s="3" t="str">
        <f>IF(Base_Periodo1[[#This Row],[Tipo_Linha]]="Fora do DRE","Fora do DRE","( "&amp;Base_Periodo1[[#This Row],[Tipo_Linha]]&amp;" ) "&amp;Base_Periodo1[[#This Row],[Filtro]])</f>
        <v>Fora do DRE</v>
      </c>
      <c r="W3155" s="3" t="str">
        <f>LEFT(Base_Periodo1[[#This Row],[CLASS]],3)</f>
        <v>2.1</v>
      </c>
    </row>
    <row r="3156" spans="1:23" hidden="1">
      <c r="A3156" s="3" t="str">
        <f t="shared" si="49"/>
        <v>Período 1</v>
      </c>
      <c r="B3156">
        <v>46879</v>
      </c>
      <c r="C3156" t="s">
        <v>1745</v>
      </c>
      <c r="D3156" t="s">
        <v>1974</v>
      </c>
      <c r="E3156" s="3" t="str">
        <f>IF(LEN(Base_Periodo1[[#This Row],[CLASS]])&gt;=7,LEFT(Base_Periodo1[[#This Row],[CLASS]],7),"")</f>
        <v>2.1.2.1</v>
      </c>
      <c r="F3156" s="3" t="str">
        <f>VLOOKUP(Base_Periodo1[[#This Row],[Aux]],Base_Contas_Balanco[#All],2,FALSE)</f>
        <v>Fornecedores Cooperados</v>
      </c>
      <c r="G3156" s="1">
        <v>42745</v>
      </c>
      <c r="H3156" s="225">
        <v>1.0000000000218279E-2</v>
      </c>
      <c r="I3156" s="225">
        <v>0</v>
      </c>
      <c r="J3156" s="225">
        <v>0</v>
      </c>
      <c r="K3156" s="225">
        <v>1.0000000000218279E-2</v>
      </c>
      <c r="L31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156" s="225">
        <f>ROUND(IF(AND(Base_Periodo1[[#This Row],[Tipo_Linha]]="-",Base_Periodo1[[#This Row],[TIPOSALDO]]="D"),Base_Periodo1[[#This Row],[SALDO_ATUAL]]*-1,Base_Periodo1[[#This Row],[SALDO_ATUAL]]),4)</f>
        <v>0.01</v>
      </c>
      <c r="N3156" t="s">
        <v>116</v>
      </c>
      <c r="O3156" t="s">
        <v>459</v>
      </c>
      <c r="P3156" t="s">
        <v>459</v>
      </c>
      <c r="Q3156">
        <v>7</v>
      </c>
      <c r="R3156" s="225">
        <f>Base_Periodo1[[#This Row],[CREDITOS]]-Base_Periodo1[[#This Row],[DEBITOS]]</f>
        <v>0</v>
      </c>
      <c r="S3156" s="3" t="str">
        <f>IF(ISERROR(VLOOKUP(Base_Periodo1[[#This Row],[CONTA]],BaseContasDRE[#All],4,FALSE)),"Fora do DRE",VLOOKUP(Base_Periodo1[[#This Row],[CONTA]],BaseContasDRE[#All],4,FALSE))</f>
        <v>Fora do DRE</v>
      </c>
      <c r="T3156" s="3" t="str">
        <f>IF(ISERROR(VLOOKUP(Base_Periodo1[[#This Row],[CONTA]],BaseContasDRE[#All],5,FALSE)),"Fora do DRE",VLOOKUP(Base_Periodo1[[#This Row],[CONTA]],BaseContasDRE[#All],6,FALSE))</f>
        <v>Fora do DRE</v>
      </c>
      <c r="U3156" s="3" t="str">
        <f>IF(ISERROR(VLOOKUP(Base_Periodo1[[#This Row],[CONTA]],BaseContasDRE[#All],7,FALSE)),"Fora do DRE",VLOOKUP(Base_Periodo1[[#This Row],[CONTA]],BaseContasDRE[#All],7,FALSE))</f>
        <v>Fora do DRE</v>
      </c>
      <c r="V3156" s="3" t="str">
        <f>IF(Base_Periodo1[[#This Row],[Tipo_Linha]]="Fora do DRE","Fora do DRE","( "&amp;Base_Periodo1[[#This Row],[Tipo_Linha]]&amp;" ) "&amp;Base_Periodo1[[#This Row],[Filtro]])</f>
        <v>Fora do DRE</v>
      </c>
      <c r="W3156" s="3" t="str">
        <f>LEFT(Base_Periodo1[[#This Row],[CLASS]],3)</f>
        <v>2.1</v>
      </c>
    </row>
    <row r="3157" spans="1:23" hidden="1">
      <c r="A3157" s="3" t="str">
        <f t="shared" si="49"/>
        <v>Período 1</v>
      </c>
      <c r="B3157">
        <v>13710</v>
      </c>
      <c r="C3157" t="s">
        <v>1745</v>
      </c>
      <c r="D3157" t="s">
        <v>1975</v>
      </c>
      <c r="E3157" s="3" t="str">
        <f>IF(LEN(Base_Periodo1[[#This Row],[CLASS]])&gt;=7,LEFT(Base_Periodo1[[#This Row],[CLASS]],7),"")</f>
        <v>2.1.2.1</v>
      </c>
      <c r="F3157" s="3" t="str">
        <f>VLOOKUP(Base_Periodo1[[#This Row],[Aux]],Base_Contas_Balanco[#All],2,FALSE)</f>
        <v>Fornecedores Cooperados</v>
      </c>
      <c r="G3157" s="1">
        <v>42867</v>
      </c>
      <c r="H3157" s="225">
        <v>6.5900000000037835</v>
      </c>
      <c r="I3157" s="225">
        <v>13.18</v>
      </c>
      <c r="J3157" s="225">
        <v>6.59</v>
      </c>
      <c r="K3157" s="225">
        <v>-3.7836400679225335E-12</v>
      </c>
      <c r="L31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57" s="225">
        <f>ROUND(IF(AND(Base_Periodo1[[#This Row],[Tipo_Linha]]="-",Base_Periodo1[[#This Row],[TIPOSALDO]]="D"),Base_Periodo1[[#This Row],[SALDO_ATUAL]]*-1,Base_Periodo1[[#This Row],[SALDO_ATUAL]]),4)</f>
        <v>0</v>
      </c>
      <c r="N3157" t="s">
        <v>116</v>
      </c>
      <c r="O3157" t="s">
        <v>459</v>
      </c>
      <c r="P3157" t="s">
        <v>436</v>
      </c>
      <c r="Q3157">
        <v>7</v>
      </c>
      <c r="R3157" s="225">
        <f>Base_Periodo1[[#This Row],[CREDITOS]]-Base_Periodo1[[#This Row],[DEBITOS]]</f>
        <v>-6.59</v>
      </c>
      <c r="S3157" s="3" t="str">
        <f>IF(ISERROR(VLOOKUP(Base_Periodo1[[#This Row],[CONTA]],BaseContasDRE[#All],4,FALSE)),"Fora do DRE",VLOOKUP(Base_Periodo1[[#This Row],[CONTA]],BaseContasDRE[#All],4,FALSE))</f>
        <v>Fora do DRE</v>
      </c>
      <c r="T3157" s="3" t="str">
        <f>IF(ISERROR(VLOOKUP(Base_Periodo1[[#This Row],[CONTA]],BaseContasDRE[#All],5,FALSE)),"Fora do DRE",VLOOKUP(Base_Periodo1[[#This Row],[CONTA]],BaseContasDRE[#All],6,FALSE))</f>
        <v>Fora do DRE</v>
      </c>
      <c r="U3157" s="3" t="str">
        <f>IF(ISERROR(VLOOKUP(Base_Periodo1[[#This Row],[CONTA]],BaseContasDRE[#All],7,FALSE)),"Fora do DRE",VLOOKUP(Base_Periodo1[[#This Row],[CONTA]],BaseContasDRE[#All],7,FALSE))</f>
        <v>Fora do DRE</v>
      </c>
      <c r="V3157" s="3" t="str">
        <f>IF(Base_Periodo1[[#This Row],[Tipo_Linha]]="Fora do DRE","Fora do DRE","( "&amp;Base_Periodo1[[#This Row],[Tipo_Linha]]&amp;" ) "&amp;Base_Periodo1[[#This Row],[Filtro]])</f>
        <v>Fora do DRE</v>
      </c>
      <c r="W3157" s="3" t="str">
        <f>LEFT(Base_Periodo1[[#This Row],[CLASS]],3)</f>
        <v>2.1</v>
      </c>
    </row>
    <row r="3158" spans="1:23" hidden="1">
      <c r="A3158" s="3" t="str">
        <f t="shared" si="49"/>
        <v>Período 1</v>
      </c>
      <c r="B3158">
        <v>2466</v>
      </c>
      <c r="C3158" t="s">
        <v>1745</v>
      </c>
      <c r="D3158" t="s">
        <v>1976</v>
      </c>
      <c r="E3158" s="3" t="str">
        <f>IF(LEN(Base_Periodo1[[#This Row],[CLASS]])&gt;=7,LEFT(Base_Periodo1[[#This Row],[CLASS]],7),"")</f>
        <v>2.1.2.1</v>
      </c>
      <c r="F3158" s="3" t="str">
        <f>VLOOKUP(Base_Periodo1[[#This Row],[Aux]],Base_Contas_Balanco[#All],2,FALSE)</f>
        <v>Fornecedores Cooperados</v>
      </c>
      <c r="G3158" s="1">
        <v>42857</v>
      </c>
      <c r="H3158" s="225">
        <v>32458.839999999618</v>
      </c>
      <c r="I3158" s="225">
        <v>58820</v>
      </c>
      <c r="J3158" s="225">
        <v>134756.85</v>
      </c>
      <c r="K3158" s="225">
        <v>108395.68999999962</v>
      </c>
      <c r="L31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108395.69</v>
      </c>
      <c r="M3158" s="225">
        <f>ROUND(IF(AND(Base_Periodo1[[#This Row],[Tipo_Linha]]="-",Base_Periodo1[[#This Row],[TIPOSALDO]]="D"),Base_Periodo1[[#This Row],[SALDO_ATUAL]]*-1,Base_Periodo1[[#This Row],[SALDO_ATUAL]]),4)</f>
        <v>108395.69</v>
      </c>
      <c r="N3158" t="s">
        <v>116</v>
      </c>
      <c r="O3158" t="s">
        <v>459</v>
      </c>
      <c r="P3158" t="s">
        <v>459</v>
      </c>
      <c r="Q3158">
        <v>7</v>
      </c>
      <c r="R3158" s="225">
        <f>Base_Periodo1[[#This Row],[CREDITOS]]-Base_Periodo1[[#This Row],[DEBITOS]]</f>
        <v>75936.850000000006</v>
      </c>
      <c r="S3158" s="3" t="str">
        <f>IF(ISERROR(VLOOKUP(Base_Periodo1[[#This Row],[CONTA]],BaseContasDRE[#All],4,FALSE)),"Fora do DRE",VLOOKUP(Base_Periodo1[[#This Row],[CONTA]],BaseContasDRE[#All],4,FALSE))</f>
        <v>Fora do DRE</v>
      </c>
      <c r="T3158" s="3" t="str">
        <f>IF(ISERROR(VLOOKUP(Base_Periodo1[[#This Row],[CONTA]],BaseContasDRE[#All],5,FALSE)),"Fora do DRE",VLOOKUP(Base_Periodo1[[#This Row],[CONTA]],BaseContasDRE[#All],6,FALSE))</f>
        <v>Fora do DRE</v>
      </c>
      <c r="U3158" s="3" t="str">
        <f>IF(ISERROR(VLOOKUP(Base_Periodo1[[#This Row],[CONTA]],BaseContasDRE[#All],7,FALSE)),"Fora do DRE",VLOOKUP(Base_Periodo1[[#This Row],[CONTA]],BaseContasDRE[#All],7,FALSE))</f>
        <v>Fora do DRE</v>
      </c>
      <c r="V3158" s="3" t="str">
        <f>IF(Base_Periodo1[[#This Row],[Tipo_Linha]]="Fora do DRE","Fora do DRE","( "&amp;Base_Periodo1[[#This Row],[Tipo_Linha]]&amp;" ) "&amp;Base_Periodo1[[#This Row],[Filtro]])</f>
        <v>Fora do DRE</v>
      </c>
      <c r="W3158" s="3" t="str">
        <f>LEFT(Base_Periodo1[[#This Row],[CLASS]],3)</f>
        <v>2.1</v>
      </c>
    </row>
    <row r="3159" spans="1:23" hidden="1">
      <c r="A3159" s="3" t="str">
        <f t="shared" si="49"/>
        <v>Período 1</v>
      </c>
      <c r="B3159">
        <v>39447</v>
      </c>
      <c r="C3159" t="s">
        <v>1745</v>
      </c>
      <c r="D3159" t="s">
        <v>1977</v>
      </c>
      <c r="E3159" s="3" t="str">
        <f>IF(LEN(Base_Periodo1[[#This Row],[CLASS]])&gt;=7,LEFT(Base_Periodo1[[#This Row],[CLASS]],7),"")</f>
        <v>2.1.2.1</v>
      </c>
      <c r="F3159" s="3" t="str">
        <f>VLOOKUP(Base_Periodo1[[#This Row],[Aux]],Base_Contas_Balanco[#All],2,FALSE)</f>
        <v>Fornecedores Cooperados</v>
      </c>
      <c r="G3159" s="1">
        <v>42786</v>
      </c>
      <c r="H3159" s="225">
        <v>841.80999999999767</v>
      </c>
      <c r="I3159" s="225">
        <v>0</v>
      </c>
      <c r="J3159" s="225">
        <v>0</v>
      </c>
      <c r="K3159" s="225">
        <v>841.80999999999767</v>
      </c>
      <c r="L31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841.81</v>
      </c>
      <c r="M3159" s="225">
        <f>ROUND(IF(AND(Base_Periodo1[[#This Row],[Tipo_Linha]]="-",Base_Periodo1[[#This Row],[TIPOSALDO]]="D"),Base_Periodo1[[#This Row],[SALDO_ATUAL]]*-1,Base_Periodo1[[#This Row],[SALDO_ATUAL]]),4)</f>
        <v>841.81</v>
      </c>
      <c r="N3159" t="s">
        <v>116</v>
      </c>
      <c r="O3159" t="s">
        <v>459</v>
      </c>
      <c r="P3159" t="s">
        <v>459</v>
      </c>
      <c r="Q3159">
        <v>7</v>
      </c>
      <c r="R3159" s="225">
        <f>Base_Periodo1[[#This Row],[CREDITOS]]-Base_Periodo1[[#This Row],[DEBITOS]]</f>
        <v>0</v>
      </c>
      <c r="S3159" s="3" t="str">
        <f>IF(ISERROR(VLOOKUP(Base_Periodo1[[#This Row],[CONTA]],BaseContasDRE[#All],4,FALSE)),"Fora do DRE",VLOOKUP(Base_Periodo1[[#This Row],[CONTA]],BaseContasDRE[#All],4,FALSE))</f>
        <v>Fora do DRE</v>
      </c>
      <c r="T3159" s="3" t="str">
        <f>IF(ISERROR(VLOOKUP(Base_Periodo1[[#This Row],[CONTA]],BaseContasDRE[#All],5,FALSE)),"Fora do DRE",VLOOKUP(Base_Periodo1[[#This Row],[CONTA]],BaseContasDRE[#All],6,FALSE))</f>
        <v>Fora do DRE</v>
      </c>
      <c r="U3159" s="3" t="str">
        <f>IF(ISERROR(VLOOKUP(Base_Periodo1[[#This Row],[CONTA]],BaseContasDRE[#All],7,FALSE)),"Fora do DRE",VLOOKUP(Base_Periodo1[[#This Row],[CONTA]],BaseContasDRE[#All],7,FALSE))</f>
        <v>Fora do DRE</v>
      </c>
      <c r="V3159" s="3" t="str">
        <f>IF(Base_Periodo1[[#This Row],[Tipo_Linha]]="Fora do DRE","Fora do DRE","( "&amp;Base_Periodo1[[#This Row],[Tipo_Linha]]&amp;" ) "&amp;Base_Periodo1[[#This Row],[Filtro]])</f>
        <v>Fora do DRE</v>
      </c>
      <c r="W3159" s="3" t="str">
        <f>LEFT(Base_Periodo1[[#This Row],[CLASS]],3)</f>
        <v>2.1</v>
      </c>
    </row>
    <row r="3160" spans="1:23" hidden="1">
      <c r="A3160" s="3" t="str">
        <f t="shared" si="49"/>
        <v>Período 1</v>
      </c>
      <c r="B3160">
        <v>40067</v>
      </c>
      <c r="C3160" t="s">
        <v>1745</v>
      </c>
      <c r="D3160" t="s">
        <v>6403</v>
      </c>
      <c r="E3160" s="3" t="str">
        <f>IF(LEN(Base_Periodo1[[#This Row],[CLASS]])&gt;=7,LEFT(Base_Periodo1[[#This Row],[CLASS]],7),"")</f>
        <v>2.1.2.1</v>
      </c>
      <c r="F3160" s="3" t="str">
        <f>VLOOKUP(Base_Periodo1[[#This Row],[Aux]],Base_Contas_Balanco[#All],2,FALSE)</f>
        <v>Fornecedores Cooperados</v>
      </c>
      <c r="G3160" s="1">
        <v>42838</v>
      </c>
      <c r="H3160" s="225">
        <v>3247.2200000000012</v>
      </c>
      <c r="I3160" s="225">
        <v>0</v>
      </c>
      <c r="J3160" s="225">
        <v>0</v>
      </c>
      <c r="K3160" s="225">
        <v>3247.2200000000012</v>
      </c>
      <c r="L31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3247.22</v>
      </c>
      <c r="M3160" s="225">
        <f>ROUND(IF(AND(Base_Periodo1[[#This Row],[Tipo_Linha]]="-",Base_Periodo1[[#This Row],[TIPOSALDO]]="D"),Base_Periodo1[[#This Row],[SALDO_ATUAL]]*-1,Base_Periodo1[[#This Row],[SALDO_ATUAL]]),4)</f>
        <v>3247.22</v>
      </c>
      <c r="N3160" t="s">
        <v>116</v>
      </c>
      <c r="O3160" t="s">
        <v>459</v>
      </c>
      <c r="P3160" t="s">
        <v>459</v>
      </c>
      <c r="Q3160">
        <v>7</v>
      </c>
      <c r="R3160" s="225">
        <f>Base_Periodo1[[#This Row],[CREDITOS]]-Base_Periodo1[[#This Row],[DEBITOS]]</f>
        <v>0</v>
      </c>
      <c r="S3160" s="3" t="str">
        <f>IF(ISERROR(VLOOKUP(Base_Periodo1[[#This Row],[CONTA]],BaseContasDRE[#All],4,FALSE)),"Fora do DRE",VLOOKUP(Base_Periodo1[[#This Row],[CONTA]],BaseContasDRE[#All],4,FALSE))</f>
        <v>Fora do DRE</v>
      </c>
      <c r="T3160" s="3" t="str">
        <f>IF(ISERROR(VLOOKUP(Base_Periodo1[[#This Row],[CONTA]],BaseContasDRE[#All],5,FALSE)),"Fora do DRE",VLOOKUP(Base_Periodo1[[#This Row],[CONTA]],BaseContasDRE[#All],6,FALSE))</f>
        <v>Fora do DRE</v>
      </c>
      <c r="U3160" s="3" t="str">
        <f>IF(ISERROR(VLOOKUP(Base_Periodo1[[#This Row],[CONTA]],BaseContasDRE[#All],7,FALSE)),"Fora do DRE",VLOOKUP(Base_Periodo1[[#This Row],[CONTA]],BaseContasDRE[#All],7,FALSE))</f>
        <v>Fora do DRE</v>
      </c>
      <c r="V3160" s="3" t="str">
        <f>IF(Base_Periodo1[[#This Row],[Tipo_Linha]]="Fora do DRE","Fora do DRE","( "&amp;Base_Periodo1[[#This Row],[Tipo_Linha]]&amp;" ) "&amp;Base_Periodo1[[#This Row],[Filtro]])</f>
        <v>Fora do DRE</v>
      </c>
      <c r="W3160" s="3" t="str">
        <f>LEFT(Base_Periodo1[[#This Row],[CLASS]],3)</f>
        <v>2.1</v>
      </c>
    </row>
    <row r="3161" spans="1:23" hidden="1">
      <c r="A3161" s="3" t="str">
        <f t="shared" si="49"/>
        <v>Período 1</v>
      </c>
      <c r="B3161">
        <v>32178</v>
      </c>
      <c r="C3161" t="s">
        <v>1745</v>
      </c>
      <c r="D3161" t="s">
        <v>5713</v>
      </c>
      <c r="E3161" s="3" t="str">
        <f>IF(LEN(Base_Periodo1[[#This Row],[CLASS]])&gt;=7,LEFT(Base_Periodo1[[#This Row],[CLASS]],7),"")</f>
        <v>2.1.2.1</v>
      </c>
      <c r="F3161" s="3" t="str">
        <f>VLOOKUP(Base_Periodo1[[#This Row],[Aux]],Base_Contas_Balanco[#All],2,FALSE)</f>
        <v>Fornecedores Cooperados</v>
      </c>
      <c r="G3161" s="1">
        <v>42824</v>
      </c>
      <c r="H3161" s="225">
        <v>2700</v>
      </c>
      <c r="I3161" s="225">
        <v>0</v>
      </c>
      <c r="J3161" s="225">
        <v>0</v>
      </c>
      <c r="K3161" s="225">
        <v>2700</v>
      </c>
      <c r="L31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2700</v>
      </c>
      <c r="M3161" s="225">
        <f>ROUND(IF(AND(Base_Periodo1[[#This Row],[Tipo_Linha]]="-",Base_Periodo1[[#This Row],[TIPOSALDO]]="D"),Base_Periodo1[[#This Row],[SALDO_ATUAL]]*-1,Base_Periodo1[[#This Row],[SALDO_ATUAL]]),4)</f>
        <v>2700</v>
      </c>
      <c r="N3161" t="s">
        <v>116</v>
      </c>
      <c r="O3161" t="s">
        <v>459</v>
      </c>
      <c r="P3161" t="s">
        <v>459</v>
      </c>
      <c r="Q3161">
        <v>7</v>
      </c>
      <c r="R3161" s="225">
        <f>Base_Periodo1[[#This Row],[CREDITOS]]-Base_Periodo1[[#This Row],[DEBITOS]]</f>
        <v>0</v>
      </c>
      <c r="S3161" s="3" t="str">
        <f>IF(ISERROR(VLOOKUP(Base_Periodo1[[#This Row],[CONTA]],BaseContasDRE[#All],4,FALSE)),"Fora do DRE",VLOOKUP(Base_Periodo1[[#This Row],[CONTA]],BaseContasDRE[#All],4,FALSE))</f>
        <v>Fora do DRE</v>
      </c>
      <c r="T3161" s="3" t="str">
        <f>IF(ISERROR(VLOOKUP(Base_Periodo1[[#This Row],[CONTA]],BaseContasDRE[#All],5,FALSE)),"Fora do DRE",VLOOKUP(Base_Periodo1[[#This Row],[CONTA]],BaseContasDRE[#All],6,FALSE))</f>
        <v>Fora do DRE</v>
      </c>
      <c r="U3161" s="3" t="str">
        <f>IF(ISERROR(VLOOKUP(Base_Periodo1[[#This Row],[CONTA]],BaseContasDRE[#All],7,FALSE)),"Fora do DRE",VLOOKUP(Base_Periodo1[[#This Row],[CONTA]],BaseContasDRE[#All],7,FALSE))</f>
        <v>Fora do DRE</v>
      </c>
      <c r="V3161" s="3" t="str">
        <f>IF(Base_Periodo1[[#This Row],[Tipo_Linha]]="Fora do DRE","Fora do DRE","( "&amp;Base_Periodo1[[#This Row],[Tipo_Linha]]&amp;" ) "&amp;Base_Periodo1[[#This Row],[Filtro]])</f>
        <v>Fora do DRE</v>
      </c>
      <c r="W3161" s="3" t="str">
        <f>LEFT(Base_Periodo1[[#This Row],[CLASS]],3)</f>
        <v>2.1</v>
      </c>
    </row>
    <row r="3162" spans="1:23" hidden="1">
      <c r="A3162" s="3" t="str">
        <f t="shared" si="49"/>
        <v>Período 1</v>
      </c>
      <c r="B3162">
        <v>2278</v>
      </c>
      <c r="C3162" t="s">
        <v>1745</v>
      </c>
      <c r="D3162" t="s">
        <v>1978</v>
      </c>
      <c r="E3162" s="3" t="str">
        <f>IF(LEN(Base_Periodo1[[#This Row],[CLASS]])&gt;=7,LEFT(Base_Periodo1[[#This Row],[CLASS]],7),"")</f>
        <v>2.1.2.1</v>
      </c>
      <c r="F3162" s="3" t="str">
        <f>VLOOKUP(Base_Periodo1[[#This Row],[Aux]],Base_Contas_Balanco[#All],2,FALSE)</f>
        <v>Fornecedores Cooperados</v>
      </c>
      <c r="G3162" s="1">
        <v>42863</v>
      </c>
      <c r="H3162" s="225">
        <v>1051.4099999999744</v>
      </c>
      <c r="I3162" s="225">
        <v>2102.8200000000002</v>
      </c>
      <c r="J3162" s="225">
        <v>1051.4100000000001</v>
      </c>
      <c r="K3162" s="225">
        <v>2.5693225325085223E-11</v>
      </c>
      <c r="L31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62" s="225">
        <f>ROUND(IF(AND(Base_Periodo1[[#This Row],[Tipo_Linha]]="-",Base_Periodo1[[#This Row],[TIPOSALDO]]="D"),Base_Periodo1[[#This Row],[SALDO_ATUAL]]*-1,Base_Periodo1[[#This Row],[SALDO_ATUAL]]),4)</f>
        <v>0</v>
      </c>
      <c r="N3162" t="s">
        <v>116</v>
      </c>
      <c r="O3162" t="s">
        <v>459</v>
      </c>
      <c r="P3162" t="s">
        <v>436</v>
      </c>
      <c r="Q3162">
        <v>7</v>
      </c>
      <c r="R3162" s="225">
        <f>Base_Periodo1[[#This Row],[CREDITOS]]-Base_Periodo1[[#This Row],[DEBITOS]]</f>
        <v>-1051.4100000000001</v>
      </c>
      <c r="S3162" s="3" t="str">
        <f>IF(ISERROR(VLOOKUP(Base_Periodo1[[#This Row],[CONTA]],BaseContasDRE[#All],4,FALSE)),"Fora do DRE",VLOOKUP(Base_Periodo1[[#This Row],[CONTA]],BaseContasDRE[#All],4,FALSE))</f>
        <v>Fora do DRE</v>
      </c>
      <c r="T3162" s="3" t="str">
        <f>IF(ISERROR(VLOOKUP(Base_Periodo1[[#This Row],[CONTA]],BaseContasDRE[#All],5,FALSE)),"Fora do DRE",VLOOKUP(Base_Periodo1[[#This Row],[CONTA]],BaseContasDRE[#All],6,FALSE))</f>
        <v>Fora do DRE</v>
      </c>
      <c r="U3162" s="3" t="str">
        <f>IF(ISERROR(VLOOKUP(Base_Periodo1[[#This Row],[CONTA]],BaseContasDRE[#All],7,FALSE)),"Fora do DRE",VLOOKUP(Base_Periodo1[[#This Row],[CONTA]],BaseContasDRE[#All],7,FALSE))</f>
        <v>Fora do DRE</v>
      </c>
      <c r="V3162" s="3" t="str">
        <f>IF(Base_Periodo1[[#This Row],[Tipo_Linha]]="Fora do DRE","Fora do DRE","( "&amp;Base_Periodo1[[#This Row],[Tipo_Linha]]&amp;" ) "&amp;Base_Periodo1[[#This Row],[Filtro]])</f>
        <v>Fora do DRE</v>
      </c>
      <c r="W3162" s="3" t="str">
        <f>LEFT(Base_Periodo1[[#This Row],[CLASS]],3)</f>
        <v>2.1</v>
      </c>
    </row>
    <row r="3163" spans="1:23" hidden="1">
      <c r="A3163" s="3" t="str">
        <f t="shared" si="49"/>
        <v>Período 1</v>
      </c>
      <c r="B3163">
        <v>50963</v>
      </c>
      <c r="C3163" t="s">
        <v>1745</v>
      </c>
      <c r="D3163" t="s">
        <v>5064</v>
      </c>
      <c r="E3163" s="3" t="str">
        <f>IF(LEN(Base_Periodo1[[#This Row],[CLASS]])&gt;=7,LEFT(Base_Periodo1[[#This Row],[CLASS]],7),"")</f>
        <v>2.1.2.1</v>
      </c>
      <c r="F3163" s="3" t="str">
        <f>VLOOKUP(Base_Periodo1[[#This Row],[Aux]],Base_Contas_Balanco[#All],2,FALSE)</f>
        <v>Fornecedores Cooperados</v>
      </c>
      <c r="G3163" s="1">
        <v>42761</v>
      </c>
      <c r="H3163" s="225">
        <v>1.0000000002037268E-2</v>
      </c>
      <c r="I3163" s="225">
        <v>0</v>
      </c>
      <c r="J3163" s="225">
        <v>0</v>
      </c>
      <c r="K3163" s="225">
        <v>1.0000000002037268E-2</v>
      </c>
      <c r="L31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163" s="225">
        <f>ROUND(IF(AND(Base_Periodo1[[#This Row],[Tipo_Linha]]="-",Base_Periodo1[[#This Row],[TIPOSALDO]]="D"),Base_Periodo1[[#This Row],[SALDO_ATUAL]]*-1,Base_Periodo1[[#This Row],[SALDO_ATUAL]]),4)</f>
        <v>0.01</v>
      </c>
      <c r="N3163" t="s">
        <v>116</v>
      </c>
      <c r="O3163" t="s">
        <v>459</v>
      </c>
      <c r="P3163" t="s">
        <v>459</v>
      </c>
      <c r="Q3163">
        <v>7</v>
      </c>
      <c r="R3163" s="225">
        <f>Base_Periodo1[[#This Row],[CREDITOS]]-Base_Periodo1[[#This Row],[DEBITOS]]</f>
        <v>0</v>
      </c>
      <c r="S3163" s="3" t="str">
        <f>IF(ISERROR(VLOOKUP(Base_Periodo1[[#This Row],[CONTA]],BaseContasDRE[#All],4,FALSE)),"Fora do DRE",VLOOKUP(Base_Periodo1[[#This Row],[CONTA]],BaseContasDRE[#All],4,FALSE))</f>
        <v>Fora do DRE</v>
      </c>
      <c r="T3163" s="3" t="str">
        <f>IF(ISERROR(VLOOKUP(Base_Periodo1[[#This Row],[CONTA]],BaseContasDRE[#All],5,FALSE)),"Fora do DRE",VLOOKUP(Base_Periodo1[[#This Row],[CONTA]],BaseContasDRE[#All],6,FALSE))</f>
        <v>Fora do DRE</v>
      </c>
      <c r="U3163" s="3" t="str">
        <f>IF(ISERROR(VLOOKUP(Base_Periodo1[[#This Row],[CONTA]],BaseContasDRE[#All],7,FALSE)),"Fora do DRE",VLOOKUP(Base_Periodo1[[#This Row],[CONTA]],BaseContasDRE[#All],7,FALSE))</f>
        <v>Fora do DRE</v>
      </c>
      <c r="V3163" s="3" t="str">
        <f>IF(Base_Periodo1[[#This Row],[Tipo_Linha]]="Fora do DRE","Fora do DRE","( "&amp;Base_Periodo1[[#This Row],[Tipo_Linha]]&amp;" ) "&amp;Base_Periodo1[[#This Row],[Filtro]])</f>
        <v>Fora do DRE</v>
      </c>
      <c r="W3163" s="3" t="str">
        <f>LEFT(Base_Periodo1[[#This Row],[CLASS]],3)</f>
        <v>2.1</v>
      </c>
    </row>
    <row r="3164" spans="1:23" hidden="1">
      <c r="A3164" s="3" t="str">
        <f t="shared" si="49"/>
        <v>Período 1</v>
      </c>
      <c r="B3164">
        <v>3926</v>
      </c>
      <c r="C3164" t="s">
        <v>1745</v>
      </c>
      <c r="D3164" t="s">
        <v>1979</v>
      </c>
      <c r="E3164" s="3" t="str">
        <f>IF(LEN(Base_Periodo1[[#This Row],[CLASS]])&gt;=7,LEFT(Base_Periodo1[[#This Row],[CLASS]],7),"")</f>
        <v>2.1.2.1</v>
      </c>
      <c r="F3164" s="3" t="str">
        <f>VLOOKUP(Base_Periodo1[[#This Row],[Aux]],Base_Contas_Balanco[#All],2,FALSE)</f>
        <v>Fornecedores Cooperados</v>
      </c>
      <c r="G3164" s="1">
        <v>42871</v>
      </c>
      <c r="H3164" s="225">
        <v>22069.389999999985</v>
      </c>
      <c r="I3164" s="225">
        <v>0</v>
      </c>
      <c r="J3164" s="225">
        <v>3531.44</v>
      </c>
      <c r="K3164" s="225">
        <v>25600.829999999984</v>
      </c>
      <c r="L31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25600.83</v>
      </c>
      <c r="M3164" s="225">
        <f>ROUND(IF(AND(Base_Periodo1[[#This Row],[Tipo_Linha]]="-",Base_Periodo1[[#This Row],[TIPOSALDO]]="D"),Base_Periodo1[[#This Row],[SALDO_ATUAL]]*-1,Base_Periodo1[[#This Row],[SALDO_ATUAL]]),4)</f>
        <v>25600.83</v>
      </c>
      <c r="N3164" t="s">
        <v>116</v>
      </c>
      <c r="O3164" t="s">
        <v>459</v>
      </c>
      <c r="P3164" t="s">
        <v>459</v>
      </c>
      <c r="Q3164">
        <v>7</v>
      </c>
      <c r="R3164" s="225">
        <f>Base_Periodo1[[#This Row],[CREDITOS]]-Base_Periodo1[[#This Row],[DEBITOS]]</f>
        <v>3531.44</v>
      </c>
      <c r="S3164" s="3" t="str">
        <f>IF(ISERROR(VLOOKUP(Base_Periodo1[[#This Row],[CONTA]],BaseContasDRE[#All],4,FALSE)),"Fora do DRE",VLOOKUP(Base_Periodo1[[#This Row],[CONTA]],BaseContasDRE[#All],4,FALSE))</f>
        <v>Fora do DRE</v>
      </c>
      <c r="T3164" s="3" t="str">
        <f>IF(ISERROR(VLOOKUP(Base_Periodo1[[#This Row],[CONTA]],BaseContasDRE[#All],5,FALSE)),"Fora do DRE",VLOOKUP(Base_Periodo1[[#This Row],[CONTA]],BaseContasDRE[#All],6,FALSE))</f>
        <v>Fora do DRE</v>
      </c>
      <c r="U3164" s="3" t="str">
        <f>IF(ISERROR(VLOOKUP(Base_Periodo1[[#This Row],[CONTA]],BaseContasDRE[#All],7,FALSE)),"Fora do DRE",VLOOKUP(Base_Periodo1[[#This Row],[CONTA]],BaseContasDRE[#All],7,FALSE))</f>
        <v>Fora do DRE</v>
      </c>
      <c r="V3164" s="3" t="str">
        <f>IF(Base_Periodo1[[#This Row],[Tipo_Linha]]="Fora do DRE","Fora do DRE","( "&amp;Base_Periodo1[[#This Row],[Tipo_Linha]]&amp;" ) "&amp;Base_Periodo1[[#This Row],[Filtro]])</f>
        <v>Fora do DRE</v>
      </c>
      <c r="W3164" s="3" t="str">
        <f>LEFT(Base_Periodo1[[#This Row],[CLASS]],3)</f>
        <v>2.1</v>
      </c>
    </row>
    <row r="3165" spans="1:23" hidden="1">
      <c r="A3165" s="3" t="str">
        <f t="shared" si="49"/>
        <v>Período 1</v>
      </c>
      <c r="B3165">
        <v>3982</v>
      </c>
      <c r="C3165" t="s">
        <v>1745</v>
      </c>
      <c r="D3165" t="s">
        <v>5065</v>
      </c>
      <c r="E3165" s="3" t="str">
        <f>IF(LEN(Base_Periodo1[[#This Row],[CLASS]])&gt;=7,LEFT(Base_Periodo1[[#This Row],[CLASS]],7),"")</f>
        <v>2.1.2.1</v>
      </c>
      <c r="F3165" s="3" t="str">
        <f>VLOOKUP(Base_Periodo1[[#This Row],[Aux]],Base_Contas_Balanco[#All],2,FALSE)</f>
        <v>Fornecedores Cooperados</v>
      </c>
      <c r="G3165" s="1">
        <v>42753</v>
      </c>
      <c r="H3165" s="225">
        <v>4.7199999999993452</v>
      </c>
      <c r="I3165" s="225">
        <v>0</v>
      </c>
      <c r="J3165" s="225">
        <v>0</v>
      </c>
      <c r="K3165" s="225">
        <v>4.7199999999993452</v>
      </c>
      <c r="L31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4.72</v>
      </c>
      <c r="M3165" s="225">
        <f>ROUND(IF(AND(Base_Periodo1[[#This Row],[Tipo_Linha]]="-",Base_Periodo1[[#This Row],[TIPOSALDO]]="D"),Base_Periodo1[[#This Row],[SALDO_ATUAL]]*-1,Base_Periodo1[[#This Row],[SALDO_ATUAL]]),4)</f>
        <v>4.72</v>
      </c>
      <c r="N3165" t="s">
        <v>116</v>
      </c>
      <c r="O3165" t="s">
        <v>459</v>
      </c>
      <c r="P3165" t="s">
        <v>459</v>
      </c>
      <c r="Q3165">
        <v>7</v>
      </c>
      <c r="R3165" s="225">
        <f>Base_Periodo1[[#This Row],[CREDITOS]]-Base_Periodo1[[#This Row],[DEBITOS]]</f>
        <v>0</v>
      </c>
      <c r="S3165" s="3" t="str">
        <f>IF(ISERROR(VLOOKUP(Base_Periodo1[[#This Row],[CONTA]],BaseContasDRE[#All],4,FALSE)),"Fora do DRE",VLOOKUP(Base_Periodo1[[#This Row],[CONTA]],BaseContasDRE[#All],4,FALSE))</f>
        <v>Fora do DRE</v>
      </c>
      <c r="T3165" s="3" t="str">
        <f>IF(ISERROR(VLOOKUP(Base_Periodo1[[#This Row],[CONTA]],BaseContasDRE[#All],5,FALSE)),"Fora do DRE",VLOOKUP(Base_Periodo1[[#This Row],[CONTA]],BaseContasDRE[#All],6,FALSE))</f>
        <v>Fora do DRE</v>
      </c>
      <c r="U3165" s="3" t="str">
        <f>IF(ISERROR(VLOOKUP(Base_Periodo1[[#This Row],[CONTA]],BaseContasDRE[#All],7,FALSE)),"Fora do DRE",VLOOKUP(Base_Periodo1[[#This Row],[CONTA]],BaseContasDRE[#All],7,FALSE))</f>
        <v>Fora do DRE</v>
      </c>
      <c r="V3165" s="3" t="str">
        <f>IF(Base_Periodo1[[#This Row],[Tipo_Linha]]="Fora do DRE","Fora do DRE","( "&amp;Base_Periodo1[[#This Row],[Tipo_Linha]]&amp;" ) "&amp;Base_Periodo1[[#This Row],[Filtro]])</f>
        <v>Fora do DRE</v>
      </c>
      <c r="W3165" s="3" t="str">
        <f>LEFT(Base_Periodo1[[#This Row],[CLASS]],3)</f>
        <v>2.1</v>
      </c>
    </row>
    <row r="3166" spans="1:23" hidden="1">
      <c r="A3166" s="3" t="str">
        <f t="shared" si="49"/>
        <v>Período 1</v>
      </c>
      <c r="B3166">
        <v>13690</v>
      </c>
      <c r="C3166" t="s">
        <v>1745</v>
      </c>
      <c r="D3166" t="s">
        <v>1980</v>
      </c>
      <c r="E3166" s="3" t="str">
        <f>IF(LEN(Base_Periodo1[[#This Row],[CLASS]])&gt;=7,LEFT(Base_Periodo1[[#This Row],[CLASS]],7),"")</f>
        <v>2.1.2.1</v>
      </c>
      <c r="F3166" s="3" t="str">
        <f>VLOOKUP(Base_Periodo1[[#This Row],[Aux]],Base_Contas_Balanco[#All],2,FALSE)</f>
        <v>Fornecedores Cooperados</v>
      </c>
      <c r="G3166" s="1">
        <v>42867</v>
      </c>
      <c r="H3166" s="225">
        <v>4.9999999995634425E-2</v>
      </c>
      <c r="I3166" s="225">
        <v>0.1</v>
      </c>
      <c r="J3166" s="225">
        <v>0.05</v>
      </c>
      <c r="K3166" s="225">
        <v>4.3655773440676171E-12</v>
      </c>
      <c r="L31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66" s="225">
        <f>ROUND(IF(AND(Base_Periodo1[[#This Row],[Tipo_Linha]]="-",Base_Periodo1[[#This Row],[TIPOSALDO]]="D"),Base_Periodo1[[#This Row],[SALDO_ATUAL]]*-1,Base_Periodo1[[#This Row],[SALDO_ATUAL]]),4)</f>
        <v>0</v>
      </c>
      <c r="N3166" t="s">
        <v>116</v>
      </c>
      <c r="O3166" t="s">
        <v>459</v>
      </c>
      <c r="P3166" t="s">
        <v>436</v>
      </c>
      <c r="Q3166">
        <v>7</v>
      </c>
      <c r="R3166" s="225">
        <f>Base_Periodo1[[#This Row],[CREDITOS]]-Base_Periodo1[[#This Row],[DEBITOS]]</f>
        <v>-0.05</v>
      </c>
      <c r="S3166" s="3" t="str">
        <f>IF(ISERROR(VLOOKUP(Base_Periodo1[[#This Row],[CONTA]],BaseContasDRE[#All],4,FALSE)),"Fora do DRE",VLOOKUP(Base_Periodo1[[#This Row],[CONTA]],BaseContasDRE[#All],4,FALSE))</f>
        <v>Fora do DRE</v>
      </c>
      <c r="T3166" s="3" t="str">
        <f>IF(ISERROR(VLOOKUP(Base_Periodo1[[#This Row],[CONTA]],BaseContasDRE[#All],5,FALSE)),"Fora do DRE",VLOOKUP(Base_Periodo1[[#This Row],[CONTA]],BaseContasDRE[#All],6,FALSE))</f>
        <v>Fora do DRE</v>
      </c>
      <c r="U3166" s="3" t="str">
        <f>IF(ISERROR(VLOOKUP(Base_Periodo1[[#This Row],[CONTA]],BaseContasDRE[#All],7,FALSE)),"Fora do DRE",VLOOKUP(Base_Periodo1[[#This Row],[CONTA]],BaseContasDRE[#All],7,FALSE))</f>
        <v>Fora do DRE</v>
      </c>
      <c r="V3166" s="3" t="str">
        <f>IF(Base_Periodo1[[#This Row],[Tipo_Linha]]="Fora do DRE","Fora do DRE","( "&amp;Base_Periodo1[[#This Row],[Tipo_Linha]]&amp;" ) "&amp;Base_Periodo1[[#This Row],[Filtro]])</f>
        <v>Fora do DRE</v>
      </c>
      <c r="W3166" s="3" t="str">
        <f>LEFT(Base_Periodo1[[#This Row],[CLASS]],3)</f>
        <v>2.1</v>
      </c>
    </row>
    <row r="3167" spans="1:23" hidden="1">
      <c r="A3167" s="3" t="str">
        <f t="shared" si="49"/>
        <v>Período 1</v>
      </c>
      <c r="B3167">
        <v>8454</v>
      </c>
      <c r="C3167" t="s">
        <v>1745</v>
      </c>
      <c r="D3167" t="s">
        <v>1981</v>
      </c>
      <c r="E3167" s="3" t="str">
        <f>IF(LEN(Base_Periodo1[[#This Row],[CLASS]])&gt;=7,LEFT(Base_Periodo1[[#This Row],[CLASS]],7),"")</f>
        <v>2.1.2.1</v>
      </c>
      <c r="F3167" s="3" t="str">
        <f>VLOOKUP(Base_Periodo1[[#This Row],[Aux]],Base_Contas_Balanco[#All],2,FALSE)</f>
        <v>Fornecedores Cooperados</v>
      </c>
      <c r="G3167" s="1">
        <v>42268</v>
      </c>
      <c r="H3167" s="225">
        <v>330</v>
      </c>
      <c r="I3167" s="225">
        <v>0</v>
      </c>
      <c r="J3167" s="225">
        <v>0</v>
      </c>
      <c r="K3167" s="225">
        <v>330</v>
      </c>
      <c r="L31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330</v>
      </c>
      <c r="M3167" s="225">
        <f>ROUND(IF(AND(Base_Periodo1[[#This Row],[Tipo_Linha]]="-",Base_Periodo1[[#This Row],[TIPOSALDO]]="D"),Base_Periodo1[[#This Row],[SALDO_ATUAL]]*-1,Base_Periodo1[[#This Row],[SALDO_ATUAL]]),4)</f>
        <v>330</v>
      </c>
      <c r="N3167" t="s">
        <v>116</v>
      </c>
      <c r="O3167" t="s">
        <v>459</v>
      </c>
      <c r="P3167" t="s">
        <v>459</v>
      </c>
      <c r="Q3167">
        <v>7</v>
      </c>
      <c r="R3167" s="225">
        <f>Base_Periodo1[[#This Row],[CREDITOS]]-Base_Periodo1[[#This Row],[DEBITOS]]</f>
        <v>0</v>
      </c>
      <c r="S3167" s="3" t="str">
        <f>IF(ISERROR(VLOOKUP(Base_Periodo1[[#This Row],[CONTA]],BaseContasDRE[#All],4,FALSE)),"Fora do DRE",VLOOKUP(Base_Periodo1[[#This Row],[CONTA]],BaseContasDRE[#All],4,FALSE))</f>
        <v>Fora do DRE</v>
      </c>
      <c r="T3167" s="3" t="str">
        <f>IF(ISERROR(VLOOKUP(Base_Periodo1[[#This Row],[CONTA]],BaseContasDRE[#All],5,FALSE)),"Fora do DRE",VLOOKUP(Base_Periodo1[[#This Row],[CONTA]],BaseContasDRE[#All],6,FALSE))</f>
        <v>Fora do DRE</v>
      </c>
      <c r="U3167" s="3" t="str">
        <f>IF(ISERROR(VLOOKUP(Base_Periodo1[[#This Row],[CONTA]],BaseContasDRE[#All],7,FALSE)),"Fora do DRE",VLOOKUP(Base_Periodo1[[#This Row],[CONTA]],BaseContasDRE[#All],7,FALSE))</f>
        <v>Fora do DRE</v>
      </c>
      <c r="V3167" s="3" t="str">
        <f>IF(Base_Periodo1[[#This Row],[Tipo_Linha]]="Fora do DRE","Fora do DRE","( "&amp;Base_Periodo1[[#This Row],[Tipo_Linha]]&amp;" ) "&amp;Base_Periodo1[[#This Row],[Filtro]])</f>
        <v>Fora do DRE</v>
      </c>
      <c r="W3167" s="3" t="str">
        <f>LEFT(Base_Periodo1[[#This Row],[CLASS]],3)</f>
        <v>2.1</v>
      </c>
    </row>
    <row r="3168" spans="1:23" hidden="1">
      <c r="A3168" s="3" t="str">
        <f t="shared" si="49"/>
        <v>Período 1</v>
      </c>
      <c r="B3168">
        <v>47492</v>
      </c>
      <c r="C3168" t="s">
        <v>1745</v>
      </c>
      <c r="D3168" t="s">
        <v>1982</v>
      </c>
      <c r="E3168" s="3" t="str">
        <f>IF(LEN(Base_Periodo1[[#This Row],[CLASS]])&gt;=7,LEFT(Base_Periodo1[[#This Row],[CLASS]],7),"")</f>
        <v>2.1.2.1</v>
      </c>
      <c r="F3168" s="3" t="str">
        <f>VLOOKUP(Base_Periodo1[[#This Row],[Aux]],Base_Contas_Balanco[#All],2,FALSE)</f>
        <v>Fornecedores Cooperados</v>
      </c>
      <c r="G3168" s="1">
        <v>42730</v>
      </c>
      <c r="H3168" s="225">
        <v>2.0000000000436557E-2</v>
      </c>
      <c r="I3168" s="225">
        <v>0</v>
      </c>
      <c r="J3168" s="225">
        <v>0</v>
      </c>
      <c r="K3168" s="225">
        <v>2.0000000000436557E-2</v>
      </c>
      <c r="L31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3168" s="225">
        <f>ROUND(IF(AND(Base_Periodo1[[#This Row],[Tipo_Linha]]="-",Base_Periodo1[[#This Row],[TIPOSALDO]]="D"),Base_Periodo1[[#This Row],[SALDO_ATUAL]]*-1,Base_Periodo1[[#This Row],[SALDO_ATUAL]]),4)</f>
        <v>0.02</v>
      </c>
      <c r="N3168" t="s">
        <v>116</v>
      </c>
      <c r="O3168" t="s">
        <v>459</v>
      </c>
      <c r="P3168" t="s">
        <v>459</v>
      </c>
      <c r="Q3168">
        <v>7</v>
      </c>
      <c r="R3168" s="225">
        <f>Base_Periodo1[[#This Row],[CREDITOS]]-Base_Periodo1[[#This Row],[DEBITOS]]</f>
        <v>0</v>
      </c>
      <c r="S3168" s="3" t="str">
        <f>IF(ISERROR(VLOOKUP(Base_Periodo1[[#This Row],[CONTA]],BaseContasDRE[#All],4,FALSE)),"Fora do DRE",VLOOKUP(Base_Periodo1[[#This Row],[CONTA]],BaseContasDRE[#All],4,FALSE))</f>
        <v>Fora do DRE</v>
      </c>
      <c r="T3168" s="3" t="str">
        <f>IF(ISERROR(VLOOKUP(Base_Periodo1[[#This Row],[CONTA]],BaseContasDRE[#All],5,FALSE)),"Fora do DRE",VLOOKUP(Base_Periodo1[[#This Row],[CONTA]],BaseContasDRE[#All],6,FALSE))</f>
        <v>Fora do DRE</v>
      </c>
      <c r="U3168" s="3" t="str">
        <f>IF(ISERROR(VLOOKUP(Base_Periodo1[[#This Row],[CONTA]],BaseContasDRE[#All],7,FALSE)),"Fora do DRE",VLOOKUP(Base_Periodo1[[#This Row],[CONTA]],BaseContasDRE[#All],7,FALSE))</f>
        <v>Fora do DRE</v>
      </c>
      <c r="V3168" s="3" t="str">
        <f>IF(Base_Periodo1[[#This Row],[Tipo_Linha]]="Fora do DRE","Fora do DRE","( "&amp;Base_Periodo1[[#This Row],[Tipo_Linha]]&amp;" ) "&amp;Base_Periodo1[[#This Row],[Filtro]])</f>
        <v>Fora do DRE</v>
      </c>
      <c r="W3168" s="3" t="str">
        <f>LEFT(Base_Periodo1[[#This Row],[CLASS]],3)</f>
        <v>2.1</v>
      </c>
    </row>
    <row r="3169" spans="1:23" hidden="1">
      <c r="A3169" s="3" t="str">
        <f t="shared" si="49"/>
        <v>Período 1</v>
      </c>
      <c r="B3169">
        <v>4954</v>
      </c>
      <c r="C3169" t="s">
        <v>1745</v>
      </c>
      <c r="D3169" t="s">
        <v>1983</v>
      </c>
      <c r="E3169" s="3" t="str">
        <f>IF(LEN(Base_Periodo1[[#This Row],[CLASS]])&gt;=7,LEFT(Base_Periodo1[[#This Row],[CLASS]],7),"")</f>
        <v>2.1.2.1</v>
      </c>
      <c r="F3169" s="3" t="str">
        <f>VLOOKUP(Base_Periodo1[[#This Row],[Aux]],Base_Contas_Balanco[#All],2,FALSE)</f>
        <v>Fornecedores Cooperados</v>
      </c>
      <c r="G3169" s="1">
        <v>42647</v>
      </c>
      <c r="H3169" s="225">
        <v>0.42000000004190952</v>
      </c>
      <c r="I3169" s="225">
        <v>0</v>
      </c>
      <c r="J3169" s="225">
        <v>0</v>
      </c>
      <c r="K3169" s="225">
        <v>0.42000000004190952</v>
      </c>
      <c r="L31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0.42</v>
      </c>
      <c r="M3169" s="225">
        <f>ROUND(IF(AND(Base_Periodo1[[#This Row],[Tipo_Linha]]="-",Base_Periodo1[[#This Row],[TIPOSALDO]]="D"),Base_Periodo1[[#This Row],[SALDO_ATUAL]]*-1,Base_Periodo1[[#This Row],[SALDO_ATUAL]]),4)</f>
        <v>0.42</v>
      </c>
      <c r="N3169" t="s">
        <v>116</v>
      </c>
      <c r="O3169" t="s">
        <v>459</v>
      </c>
      <c r="P3169" t="s">
        <v>459</v>
      </c>
      <c r="Q3169">
        <v>7</v>
      </c>
      <c r="R3169" s="225">
        <f>Base_Periodo1[[#This Row],[CREDITOS]]-Base_Periodo1[[#This Row],[DEBITOS]]</f>
        <v>0</v>
      </c>
      <c r="S3169" s="3" t="str">
        <f>IF(ISERROR(VLOOKUP(Base_Periodo1[[#This Row],[CONTA]],BaseContasDRE[#All],4,FALSE)),"Fora do DRE",VLOOKUP(Base_Periodo1[[#This Row],[CONTA]],BaseContasDRE[#All],4,FALSE))</f>
        <v>Fora do DRE</v>
      </c>
      <c r="T3169" s="3" t="str">
        <f>IF(ISERROR(VLOOKUP(Base_Periodo1[[#This Row],[CONTA]],BaseContasDRE[#All],5,FALSE)),"Fora do DRE",VLOOKUP(Base_Periodo1[[#This Row],[CONTA]],BaseContasDRE[#All],6,FALSE))</f>
        <v>Fora do DRE</v>
      </c>
      <c r="U3169" s="3" t="str">
        <f>IF(ISERROR(VLOOKUP(Base_Periodo1[[#This Row],[CONTA]],BaseContasDRE[#All],7,FALSE)),"Fora do DRE",VLOOKUP(Base_Periodo1[[#This Row],[CONTA]],BaseContasDRE[#All],7,FALSE))</f>
        <v>Fora do DRE</v>
      </c>
      <c r="V3169" s="3" t="str">
        <f>IF(Base_Periodo1[[#This Row],[Tipo_Linha]]="Fora do DRE","Fora do DRE","( "&amp;Base_Periodo1[[#This Row],[Tipo_Linha]]&amp;" ) "&amp;Base_Periodo1[[#This Row],[Filtro]])</f>
        <v>Fora do DRE</v>
      </c>
      <c r="W3169" s="3" t="str">
        <f>LEFT(Base_Periodo1[[#This Row],[CLASS]],3)</f>
        <v>2.1</v>
      </c>
    </row>
    <row r="3170" spans="1:23" hidden="1">
      <c r="A3170" s="3" t="str">
        <f t="shared" si="49"/>
        <v>Período 1</v>
      </c>
      <c r="B3170">
        <v>2494</v>
      </c>
      <c r="C3170" t="s">
        <v>1745</v>
      </c>
      <c r="D3170" t="s">
        <v>1984</v>
      </c>
      <c r="E3170" s="3" t="str">
        <f>IF(LEN(Base_Periodo1[[#This Row],[CLASS]])&gt;=7,LEFT(Base_Periodo1[[#This Row],[CLASS]],7),"")</f>
        <v>2.1.2.1</v>
      </c>
      <c r="F3170" s="3" t="str">
        <f>VLOOKUP(Base_Periodo1[[#This Row],[Aux]],Base_Contas_Balanco[#All],2,FALSE)</f>
        <v>Fornecedores Cooperados</v>
      </c>
      <c r="G3170" s="1">
        <v>42884</v>
      </c>
      <c r="H3170" s="225">
        <v>1.0000000009313226E-2</v>
      </c>
      <c r="I3170" s="225">
        <v>120.01</v>
      </c>
      <c r="J3170" s="225">
        <v>120</v>
      </c>
      <c r="K3170" s="225">
        <v>-9.3081098384573124E-12</v>
      </c>
      <c r="L31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70" s="225">
        <f>ROUND(IF(AND(Base_Periodo1[[#This Row],[Tipo_Linha]]="-",Base_Periodo1[[#This Row],[TIPOSALDO]]="D"),Base_Periodo1[[#This Row],[SALDO_ATUAL]]*-1,Base_Periodo1[[#This Row],[SALDO_ATUAL]]),4)</f>
        <v>0</v>
      </c>
      <c r="N3170" t="s">
        <v>116</v>
      </c>
      <c r="O3170" t="s">
        <v>459</v>
      </c>
      <c r="P3170" t="s">
        <v>436</v>
      </c>
      <c r="Q3170">
        <v>7</v>
      </c>
      <c r="R3170" s="225">
        <f>Base_Periodo1[[#This Row],[CREDITOS]]-Base_Periodo1[[#This Row],[DEBITOS]]</f>
        <v>-1.0000000000005116E-2</v>
      </c>
      <c r="S3170" s="3" t="str">
        <f>IF(ISERROR(VLOOKUP(Base_Periodo1[[#This Row],[CONTA]],BaseContasDRE[#All],4,FALSE)),"Fora do DRE",VLOOKUP(Base_Periodo1[[#This Row],[CONTA]],BaseContasDRE[#All],4,FALSE))</f>
        <v>Fora do DRE</v>
      </c>
      <c r="T3170" s="3" t="str">
        <f>IF(ISERROR(VLOOKUP(Base_Periodo1[[#This Row],[CONTA]],BaseContasDRE[#All],5,FALSE)),"Fora do DRE",VLOOKUP(Base_Periodo1[[#This Row],[CONTA]],BaseContasDRE[#All],6,FALSE))</f>
        <v>Fora do DRE</v>
      </c>
      <c r="U3170" s="3" t="str">
        <f>IF(ISERROR(VLOOKUP(Base_Periodo1[[#This Row],[CONTA]],BaseContasDRE[#All],7,FALSE)),"Fora do DRE",VLOOKUP(Base_Periodo1[[#This Row],[CONTA]],BaseContasDRE[#All],7,FALSE))</f>
        <v>Fora do DRE</v>
      </c>
      <c r="V3170" s="3" t="str">
        <f>IF(Base_Periodo1[[#This Row],[Tipo_Linha]]="Fora do DRE","Fora do DRE","( "&amp;Base_Periodo1[[#This Row],[Tipo_Linha]]&amp;" ) "&amp;Base_Periodo1[[#This Row],[Filtro]])</f>
        <v>Fora do DRE</v>
      </c>
      <c r="W3170" s="3" t="str">
        <f>LEFT(Base_Periodo1[[#This Row],[CLASS]],3)</f>
        <v>2.1</v>
      </c>
    </row>
    <row r="3171" spans="1:23" hidden="1">
      <c r="A3171" s="3" t="str">
        <f t="shared" si="49"/>
        <v>Período 1</v>
      </c>
      <c r="B3171">
        <v>3934</v>
      </c>
      <c r="C3171" t="s">
        <v>1745</v>
      </c>
      <c r="D3171" t="s">
        <v>1985</v>
      </c>
      <c r="E3171" s="3" t="str">
        <f>IF(LEN(Base_Periodo1[[#This Row],[CLASS]])&gt;=7,LEFT(Base_Periodo1[[#This Row],[CLASS]],7),"")</f>
        <v>2.1.2.1</v>
      </c>
      <c r="F3171" s="3" t="str">
        <f>VLOOKUP(Base_Periodo1[[#This Row],[Aux]],Base_Contas_Balanco[#All],2,FALSE)</f>
        <v>Fornecedores Cooperados</v>
      </c>
      <c r="G3171" s="1">
        <v>42871</v>
      </c>
      <c r="H3171" s="225">
        <v>23505.699999999953</v>
      </c>
      <c r="I3171" s="225">
        <v>0</v>
      </c>
      <c r="J3171" s="225">
        <v>3531.44</v>
      </c>
      <c r="K3171" s="225">
        <v>27037.139999999952</v>
      </c>
      <c r="L31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27037.14</v>
      </c>
      <c r="M3171" s="225">
        <f>ROUND(IF(AND(Base_Periodo1[[#This Row],[Tipo_Linha]]="-",Base_Periodo1[[#This Row],[TIPOSALDO]]="D"),Base_Periodo1[[#This Row],[SALDO_ATUAL]]*-1,Base_Periodo1[[#This Row],[SALDO_ATUAL]]),4)</f>
        <v>27037.14</v>
      </c>
      <c r="N3171" t="s">
        <v>116</v>
      </c>
      <c r="O3171" t="s">
        <v>459</v>
      </c>
      <c r="P3171" t="s">
        <v>459</v>
      </c>
      <c r="Q3171">
        <v>7</v>
      </c>
      <c r="R3171" s="225">
        <f>Base_Periodo1[[#This Row],[CREDITOS]]-Base_Periodo1[[#This Row],[DEBITOS]]</f>
        <v>3531.44</v>
      </c>
      <c r="S3171" s="3" t="str">
        <f>IF(ISERROR(VLOOKUP(Base_Periodo1[[#This Row],[CONTA]],BaseContasDRE[#All],4,FALSE)),"Fora do DRE",VLOOKUP(Base_Periodo1[[#This Row],[CONTA]],BaseContasDRE[#All],4,FALSE))</f>
        <v>Fora do DRE</v>
      </c>
      <c r="T3171" s="3" t="str">
        <f>IF(ISERROR(VLOOKUP(Base_Periodo1[[#This Row],[CONTA]],BaseContasDRE[#All],5,FALSE)),"Fora do DRE",VLOOKUP(Base_Periodo1[[#This Row],[CONTA]],BaseContasDRE[#All],6,FALSE))</f>
        <v>Fora do DRE</v>
      </c>
      <c r="U3171" s="3" t="str">
        <f>IF(ISERROR(VLOOKUP(Base_Periodo1[[#This Row],[CONTA]],BaseContasDRE[#All],7,FALSE)),"Fora do DRE",VLOOKUP(Base_Periodo1[[#This Row],[CONTA]],BaseContasDRE[#All],7,FALSE))</f>
        <v>Fora do DRE</v>
      </c>
      <c r="V3171" s="3" t="str">
        <f>IF(Base_Periodo1[[#This Row],[Tipo_Linha]]="Fora do DRE","Fora do DRE","( "&amp;Base_Periodo1[[#This Row],[Tipo_Linha]]&amp;" ) "&amp;Base_Periodo1[[#This Row],[Filtro]])</f>
        <v>Fora do DRE</v>
      </c>
      <c r="W3171" s="3" t="str">
        <f>LEFT(Base_Periodo1[[#This Row],[CLASS]],3)</f>
        <v>2.1</v>
      </c>
    </row>
    <row r="3172" spans="1:23" hidden="1">
      <c r="A3172" s="3" t="str">
        <f t="shared" si="49"/>
        <v>Período 1</v>
      </c>
      <c r="B3172">
        <v>29599</v>
      </c>
      <c r="C3172" t="s">
        <v>1745</v>
      </c>
      <c r="D3172" t="s">
        <v>4767</v>
      </c>
      <c r="E3172" s="3" t="str">
        <f>IF(LEN(Base_Periodo1[[#This Row],[CLASS]])&gt;=7,LEFT(Base_Periodo1[[#This Row],[CLASS]],7),"")</f>
        <v>2.1.2.1</v>
      </c>
      <c r="F3172" s="3" t="str">
        <f>VLOOKUP(Base_Periodo1[[#This Row],[Aux]],Base_Contas_Balanco[#All],2,FALSE)</f>
        <v>Fornecedores Cooperados</v>
      </c>
      <c r="G3172" s="1">
        <v>42807</v>
      </c>
      <c r="H3172" s="225">
        <v>5245.3700000000244</v>
      </c>
      <c r="I3172" s="225">
        <v>0</v>
      </c>
      <c r="J3172" s="225">
        <v>0</v>
      </c>
      <c r="K3172" s="225">
        <v>5245.3700000000244</v>
      </c>
      <c r="L31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5245.37</v>
      </c>
      <c r="M3172" s="225">
        <f>ROUND(IF(AND(Base_Periodo1[[#This Row],[Tipo_Linha]]="-",Base_Periodo1[[#This Row],[TIPOSALDO]]="D"),Base_Periodo1[[#This Row],[SALDO_ATUAL]]*-1,Base_Periodo1[[#This Row],[SALDO_ATUAL]]),4)</f>
        <v>5245.37</v>
      </c>
      <c r="N3172" t="s">
        <v>116</v>
      </c>
      <c r="O3172" t="s">
        <v>459</v>
      </c>
      <c r="P3172" t="s">
        <v>459</v>
      </c>
      <c r="Q3172">
        <v>7</v>
      </c>
      <c r="R3172" s="225">
        <f>Base_Periodo1[[#This Row],[CREDITOS]]-Base_Periodo1[[#This Row],[DEBITOS]]</f>
        <v>0</v>
      </c>
      <c r="S3172" s="3" t="str">
        <f>IF(ISERROR(VLOOKUP(Base_Periodo1[[#This Row],[CONTA]],BaseContasDRE[#All],4,FALSE)),"Fora do DRE",VLOOKUP(Base_Periodo1[[#This Row],[CONTA]],BaseContasDRE[#All],4,FALSE))</f>
        <v>Fora do DRE</v>
      </c>
      <c r="T3172" s="3" t="str">
        <f>IF(ISERROR(VLOOKUP(Base_Periodo1[[#This Row],[CONTA]],BaseContasDRE[#All],5,FALSE)),"Fora do DRE",VLOOKUP(Base_Periodo1[[#This Row],[CONTA]],BaseContasDRE[#All],6,FALSE))</f>
        <v>Fora do DRE</v>
      </c>
      <c r="U3172" s="3" t="str">
        <f>IF(ISERROR(VLOOKUP(Base_Periodo1[[#This Row],[CONTA]],BaseContasDRE[#All],7,FALSE)),"Fora do DRE",VLOOKUP(Base_Periodo1[[#This Row],[CONTA]],BaseContasDRE[#All],7,FALSE))</f>
        <v>Fora do DRE</v>
      </c>
      <c r="V3172" s="3" t="str">
        <f>IF(Base_Periodo1[[#This Row],[Tipo_Linha]]="Fora do DRE","Fora do DRE","( "&amp;Base_Periodo1[[#This Row],[Tipo_Linha]]&amp;" ) "&amp;Base_Periodo1[[#This Row],[Filtro]])</f>
        <v>Fora do DRE</v>
      </c>
      <c r="W3172" s="3" t="str">
        <f>LEFT(Base_Periodo1[[#This Row],[CLASS]],3)</f>
        <v>2.1</v>
      </c>
    </row>
    <row r="3173" spans="1:23" hidden="1">
      <c r="A3173" s="3" t="str">
        <f t="shared" si="49"/>
        <v>Período 1</v>
      </c>
      <c r="B3173">
        <v>49663</v>
      </c>
      <c r="C3173" t="s">
        <v>1745</v>
      </c>
      <c r="D3173" t="s">
        <v>4768</v>
      </c>
      <c r="E3173" s="3" t="str">
        <f>IF(LEN(Base_Periodo1[[#This Row],[CLASS]])&gt;=7,LEFT(Base_Periodo1[[#This Row],[CLASS]],7),"")</f>
        <v>2.1.2.1</v>
      </c>
      <c r="F3173" s="3" t="str">
        <f>VLOOKUP(Base_Periodo1[[#This Row],[Aux]],Base_Contas_Balanco[#All],2,FALSE)</f>
        <v>Fornecedores Cooperados</v>
      </c>
      <c r="G3173" s="1"/>
      <c r="H3173" s="225">
        <v>750.01</v>
      </c>
      <c r="I3173" s="225">
        <v>0</v>
      </c>
      <c r="J3173" s="225">
        <v>0</v>
      </c>
      <c r="K3173" s="225">
        <v>750.01</v>
      </c>
      <c r="L31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750.01</v>
      </c>
      <c r="M3173" s="225">
        <f>ROUND(IF(AND(Base_Periodo1[[#This Row],[Tipo_Linha]]="-",Base_Periodo1[[#This Row],[TIPOSALDO]]="D"),Base_Periodo1[[#This Row],[SALDO_ATUAL]]*-1,Base_Periodo1[[#This Row],[SALDO_ATUAL]]),4)</f>
        <v>750.01</v>
      </c>
      <c r="N3173" t="s">
        <v>116</v>
      </c>
      <c r="O3173" t="s">
        <v>459</v>
      </c>
      <c r="P3173" t="s">
        <v>459</v>
      </c>
      <c r="Q3173">
        <v>7</v>
      </c>
      <c r="R3173" s="225">
        <f>Base_Periodo1[[#This Row],[CREDITOS]]-Base_Periodo1[[#This Row],[DEBITOS]]</f>
        <v>0</v>
      </c>
      <c r="S3173" s="3" t="str">
        <f>IF(ISERROR(VLOOKUP(Base_Periodo1[[#This Row],[CONTA]],BaseContasDRE[#All],4,FALSE)),"Fora do DRE",VLOOKUP(Base_Periodo1[[#This Row],[CONTA]],BaseContasDRE[#All],4,FALSE))</f>
        <v>Fora do DRE</v>
      </c>
      <c r="T3173" s="3" t="str">
        <f>IF(ISERROR(VLOOKUP(Base_Periodo1[[#This Row],[CONTA]],BaseContasDRE[#All],5,FALSE)),"Fora do DRE",VLOOKUP(Base_Periodo1[[#This Row],[CONTA]],BaseContasDRE[#All],6,FALSE))</f>
        <v>Fora do DRE</v>
      </c>
      <c r="U3173" s="3" t="str">
        <f>IF(ISERROR(VLOOKUP(Base_Periodo1[[#This Row],[CONTA]],BaseContasDRE[#All],7,FALSE)),"Fora do DRE",VLOOKUP(Base_Periodo1[[#This Row],[CONTA]],BaseContasDRE[#All],7,FALSE))</f>
        <v>Fora do DRE</v>
      </c>
      <c r="V3173" s="3" t="str">
        <f>IF(Base_Periodo1[[#This Row],[Tipo_Linha]]="Fora do DRE","Fora do DRE","( "&amp;Base_Periodo1[[#This Row],[Tipo_Linha]]&amp;" ) "&amp;Base_Periodo1[[#This Row],[Filtro]])</f>
        <v>Fora do DRE</v>
      </c>
      <c r="W3173" s="3" t="str">
        <f>LEFT(Base_Periodo1[[#This Row],[CLASS]],3)</f>
        <v>2.1</v>
      </c>
    </row>
    <row r="3174" spans="1:23" hidden="1">
      <c r="A3174" s="3" t="str">
        <f t="shared" si="49"/>
        <v>Período 1</v>
      </c>
      <c r="B3174">
        <v>39344</v>
      </c>
      <c r="C3174" t="s">
        <v>1745</v>
      </c>
      <c r="D3174" t="s">
        <v>4686</v>
      </c>
      <c r="E3174" s="3" t="str">
        <f>IF(LEN(Base_Periodo1[[#This Row],[CLASS]])&gt;=7,LEFT(Base_Periodo1[[#This Row],[CLASS]],7),"")</f>
        <v>2.1.2.1</v>
      </c>
      <c r="F3174" s="3" t="str">
        <f>VLOOKUP(Base_Periodo1[[#This Row],[Aux]],Base_Contas_Balanco[#All],2,FALSE)</f>
        <v>Fornecedores Cooperados</v>
      </c>
      <c r="G3174" s="1">
        <v>42849</v>
      </c>
      <c r="H3174" s="225">
        <v>1939.3899999999958</v>
      </c>
      <c r="I3174" s="225">
        <v>0</v>
      </c>
      <c r="J3174" s="225">
        <v>0</v>
      </c>
      <c r="K3174" s="225">
        <v>1939.3899999999958</v>
      </c>
      <c r="L31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1939.39</v>
      </c>
      <c r="M3174" s="225">
        <f>ROUND(IF(AND(Base_Periodo1[[#This Row],[Tipo_Linha]]="-",Base_Periodo1[[#This Row],[TIPOSALDO]]="D"),Base_Periodo1[[#This Row],[SALDO_ATUAL]]*-1,Base_Periodo1[[#This Row],[SALDO_ATUAL]]),4)</f>
        <v>1939.39</v>
      </c>
      <c r="N3174" t="s">
        <v>116</v>
      </c>
      <c r="O3174" t="s">
        <v>459</v>
      </c>
      <c r="P3174" t="s">
        <v>459</v>
      </c>
      <c r="Q3174">
        <v>7</v>
      </c>
      <c r="R3174" s="225">
        <f>Base_Periodo1[[#This Row],[CREDITOS]]-Base_Periodo1[[#This Row],[DEBITOS]]</f>
        <v>0</v>
      </c>
      <c r="S3174" s="3" t="str">
        <f>IF(ISERROR(VLOOKUP(Base_Periodo1[[#This Row],[CONTA]],BaseContasDRE[#All],4,FALSE)),"Fora do DRE",VLOOKUP(Base_Periodo1[[#This Row],[CONTA]],BaseContasDRE[#All],4,FALSE))</f>
        <v>Fora do DRE</v>
      </c>
      <c r="T3174" s="3" t="str">
        <f>IF(ISERROR(VLOOKUP(Base_Periodo1[[#This Row],[CONTA]],BaseContasDRE[#All],5,FALSE)),"Fora do DRE",VLOOKUP(Base_Periodo1[[#This Row],[CONTA]],BaseContasDRE[#All],6,FALSE))</f>
        <v>Fora do DRE</v>
      </c>
      <c r="U3174" s="3" t="str">
        <f>IF(ISERROR(VLOOKUP(Base_Periodo1[[#This Row],[CONTA]],BaseContasDRE[#All],7,FALSE)),"Fora do DRE",VLOOKUP(Base_Periodo1[[#This Row],[CONTA]],BaseContasDRE[#All],7,FALSE))</f>
        <v>Fora do DRE</v>
      </c>
      <c r="V3174" s="3" t="str">
        <f>IF(Base_Periodo1[[#This Row],[Tipo_Linha]]="Fora do DRE","Fora do DRE","( "&amp;Base_Periodo1[[#This Row],[Tipo_Linha]]&amp;" ) "&amp;Base_Periodo1[[#This Row],[Filtro]])</f>
        <v>Fora do DRE</v>
      </c>
      <c r="W3174" s="3" t="str">
        <f>LEFT(Base_Periodo1[[#This Row],[CLASS]],3)</f>
        <v>2.1</v>
      </c>
    </row>
    <row r="3175" spans="1:23" hidden="1">
      <c r="A3175" s="3" t="str">
        <f t="shared" si="49"/>
        <v>Período 1</v>
      </c>
      <c r="B3175">
        <v>50717</v>
      </c>
      <c r="C3175" t="s">
        <v>1745</v>
      </c>
      <c r="D3175" t="s">
        <v>5714</v>
      </c>
      <c r="E3175" s="3" t="str">
        <f>IF(LEN(Base_Periodo1[[#This Row],[CLASS]])&gt;=7,LEFT(Base_Periodo1[[#This Row],[CLASS]],7),"")</f>
        <v>2.1.2.1</v>
      </c>
      <c r="F3175" s="3" t="str">
        <f>VLOOKUP(Base_Periodo1[[#This Row],[Aux]],Base_Contas_Balanco[#All],2,FALSE)</f>
        <v>Fornecedores Cooperados</v>
      </c>
      <c r="G3175" s="1">
        <v>42851</v>
      </c>
      <c r="H3175" s="225">
        <v>628.7100000000064</v>
      </c>
      <c r="I3175" s="225">
        <v>0</v>
      </c>
      <c r="J3175" s="225">
        <v>0</v>
      </c>
      <c r="K3175" s="225">
        <v>628.7100000000064</v>
      </c>
      <c r="L31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628.71</v>
      </c>
      <c r="M3175" s="225">
        <f>ROUND(IF(AND(Base_Periodo1[[#This Row],[Tipo_Linha]]="-",Base_Periodo1[[#This Row],[TIPOSALDO]]="D"),Base_Periodo1[[#This Row],[SALDO_ATUAL]]*-1,Base_Periodo1[[#This Row],[SALDO_ATUAL]]),4)</f>
        <v>628.71</v>
      </c>
      <c r="N3175" t="s">
        <v>116</v>
      </c>
      <c r="O3175" t="s">
        <v>459</v>
      </c>
      <c r="P3175" t="s">
        <v>459</v>
      </c>
      <c r="Q3175">
        <v>7</v>
      </c>
      <c r="R3175" s="225">
        <f>Base_Periodo1[[#This Row],[CREDITOS]]-Base_Periodo1[[#This Row],[DEBITOS]]</f>
        <v>0</v>
      </c>
      <c r="S3175" s="3" t="str">
        <f>IF(ISERROR(VLOOKUP(Base_Periodo1[[#This Row],[CONTA]],BaseContasDRE[#All],4,FALSE)),"Fora do DRE",VLOOKUP(Base_Periodo1[[#This Row],[CONTA]],BaseContasDRE[#All],4,FALSE))</f>
        <v>Fora do DRE</v>
      </c>
      <c r="T3175" s="3" t="str">
        <f>IF(ISERROR(VLOOKUP(Base_Periodo1[[#This Row],[CONTA]],BaseContasDRE[#All],5,FALSE)),"Fora do DRE",VLOOKUP(Base_Periodo1[[#This Row],[CONTA]],BaseContasDRE[#All],6,FALSE))</f>
        <v>Fora do DRE</v>
      </c>
      <c r="U3175" s="3" t="str">
        <f>IF(ISERROR(VLOOKUP(Base_Periodo1[[#This Row],[CONTA]],BaseContasDRE[#All],7,FALSE)),"Fora do DRE",VLOOKUP(Base_Periodo1[[#This Row],[CONTA]],BaseContasDRE[#All],7,FALSE))</f>
        <v>Fora do DRE</v>
      </c>
      <c r="V3175" s="3" t="str">
        <f>IF(Base_Periodo1[[#This Row],[Tipo_Linha]]="Fora do DRE","Fora do DRE","( "&amp;Base_Periodo1[[#This Row],[Tipo_Linha]]&amp;" ) "&amp;Base_Periodo1[[#This Row],[Filtro]])</f>
        <v>Fora do DRE</v>
      </c>
      <c r="W3175" s="3" t="str">
        <f>LEFT(Base_Periodo1[[#This Row],[CLASS]],3)</f>
        <v>2.1</v>
      </c>
    </row>
    <row r="3176" spans="1:23" hidden="1">
      <c r="A3176" s="3" t="str">
        <f t="shared" si="49"/>
        <v>Período 1</v>
      </c>
      <c r="B3176">
        <v>20698</v>
      </c>
      <c r="C3176" t="s">
        <v>1745</v>
      </c>
      <c r="D3176" t="s">
        <v>1986</v>
      </c>
      <c r="E3176" s="3" t="str">
        <f>IF(LEN(Base_Periodo1[[#This Row],[CLASS]])&gt;=7,LEFT(Base_Periodo1[[#This Row],[CLASS]],7),"")</f>
        <v>2.1.2.1</v>
      </c>
      <c r="F3176" s="3" t="str">
        <f>VLOOKUP(Base_Periodo1[[#This Row],[Aux]],Base_Contas_Balanco[#All],2,FALSE)</f>
        <v>Fornecedores Cooperados</v>
      </c>
      <c r="G3176" s="1">
        <v>42605</v>
      </c>
      <c r="H3176" s="225">
        <v>0.68999999998777639</v>
      </c>
      <c r="I3176" s="225">
        <v>0</v>
      </c>
      <c r="J3176" s="225">
        <v>0</v>
      </c>
      <c r="K3176" s="225">
        <v>0.68999999998777639</v>
      </c>
      <c r="L31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0.69</v>
      </c>
      <c r="M3176" s="225">
        <f>ROUND(IF(AND(Base_Periodo1[[#This Row],[Tipo_Linha]]="-",Base_Periodo1[[#This Row],[TIPOSALDO]]="D"),Base_Periodo1[[#This Row],[SALDO_ATUAL]]*-1,Base_Periodo1[[#This Row],[SALDO_ATUAL]]),4)</f>
        <v>0.69</v>
      </c>
      <c r="N3176" t="s">
        <v>116</v>
      </c>
      <c r="O3176" t="s">
        <v>459</v>
      </c>
      <c r="P3176" t="s">
        <v>459</v>
      </c>
      <c r="Q3176">
        <v>7</v>
      </c>
      <c r="R3176" s="225">
        <f>Base_Periodo1[[#This Row],[CREDITOS]]-Base_Periodo1[[#This Row],[DEBITOS]]</f>
        <v>0</v>
      </c>
      <c r="S3176" s="3" t="str">
        <f>IF(ISERROR(VLOOKUP(Base_Periodo1[[#This Row],[CONTA]],BaseContasDRE[#All],4,FALSE)),"Fora do DRE",VLOOKUP(Base_Periodo1[[#This Row],[CONTA]],BaseContasDRE[#All],4,FALSE))</f>
        <v>Fora do DRE</v>
      </c>
      <c r="T3176" s="3" t="str">
        <f>IF(ISERROR(VLOOKUP(Base_Periodo1[[#This Row],[CONTA]],BaseContasDRE[#All],5,FALSE)),"Fora do DRE",VLOOKUP(Base_Periodo1[[#This Row],[CONTA]],BaseContasDRE[#All],6,FALSE))</f>
        <v>Fora do DRE</v>
      </c>
      <c r="U3176" s="3" t="str">
        <f>IF(ISERROR(VLOOKUP(Base_Periodo1[[#This Row],[CONTA]],BaseContasDRE[#All],7,FALSE)),"Fora do DRE",VLOOKUP(Base_Periodo1[[#This Row],[CONTA]],BaseContasDRE[#All],7,FALSE))</f>
        <v>Fora do DRE</v>
      </c>
      <c r="V3176" s="3" t="str">
        <f>IF(Base_Periodo1[[#This Row],[Tipo_Linha]]="Fora do DRE","Fora do DRE","( "&amp;Base_Periodo1[[#This Row],[Tipo_Linha]]&amp;" ) "&amp;Base_Periodo1[[#This Row],[Filtro]])</f>
        <v>Fora do DRE</v>
      </c>
      <c r="W3176" s="3" t="str">
        <f>LEFT(Base_Periodo1[[#This Row],[CLASS]],3)</f>
        <v>2.1</v>
      </c>
    </row>
    <row r="3177" spans="1:23" hidden="1">
      <c r="A3177" s="3" t="str">
        <f t="shared" si="49"/>
        <v>Período 1</v>
      </c>
      <c r="B3177">
        <v>2726</v>
      </c>
      <c r="C3177" t="s">
        <v>1745</v>
      </c>
      <c r="D3177" t="s">
        <v>1987</v>
      </c>
      <c r="E3177" s="3" t="str">
        <f>IF(LEN(Base_Periodo1[[#This Row],[CLASS]])&gt;=7,LEFT(Base_Periodo1[[#This Row],[CLASS]],7),"")</f>
        <v>2.1.2.1</v>
      </c>
      <c r="F3177" s="3" t="str">
        <f>VLOOKUP(Base_Periodo1[[#This Row],[Aux]],Base_Contas_Balanco[#All],2,FALSE)</f>
        <v>Fornecedores Cooperados</v>
      </c>
      <c r="G3177" s="1">
        <v>42712</v>
      </c>
      <c r="H3177" s="225">
        <v>2.0000000018626451E-2</v>
      </c>
      <c r="I3177" s="225">
        <v>0</v>
      </c>
      <c r="J3177" s="225">
        <v>0</v>
      </c>
      <c r="K3177" s="225">
        <v>2.0000000018626451E-2</v>
      </c>
      <c r="L31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3177" s="225">
        <f>ROUND(IF(AND(Base_Periodo1[[#This Row],[Tipo_Linha]]="-",Base_Periodo1[[#This Row],[TIPOSALDO]]="D"),Base_Periodo1[[#This Row],[SALDO_ATUAL]]*-1,Base_Periodo1[[#This Row],[SALDO_ATUAL]]),4)</f>
        <v>0.02</v>
      </c>
      <c r="N3177" t="s">
        <v>116</v>
      </c>
      <c r="O3177" t="s">
        <v>459</v>
      </c>
      <c r="P3177" t="s">
        <v>459</v>
      </c>
      <c r="Q3177">
        <v>7</v>
      </c>
      <c r="R3177" s="225">
        <f>Base_Periodo1[[#This Row],[CREDITOS]]-Base_Periodo1[[#This Row],[DEBITOS]]</f>
        <v>0</v>
      </c>
      <c r="S3177" s="3" t="str">
        <f>IF(ISERROR(VLOOKUP(Base_Periodo1[[#This Row],[CONTA]],BaseContasDRE[#All],4,FALSE)),"Fora do DRE",VLOOKUP(Base_Periodo1[[#This Row],[CONTA]],BaseContasDRE[#All],4,FALSE))</f>
        <v>Fora do DRE</v>
      </c>
      <c r="T3177" s="3" t="str">
        <f>IF(ISERROR(VLOOKUP(Base_Periodo1[[#This Row],[CONTA]],BaseContasDRE[#All],5,FALSE)),"Fora do DRE",VLOOKUP(Base_Periodo1[[#This Row],[CONTA]],BaseContasDRE[#All],6,FALSE))</f>
        <v>Fora do DRE</v>
      </c>
      <c r="U3177" s="3" t="str">
        <f>IF(ISERROR(VLOOKUP(Base_Periodo1[[#This Row],[CONTA]],BaseContasDRE[#All],7,FALSE)),"Fora do DRE",VLOOKUP(Base_Periodo1[[#This Row],[CONTA]],BaseContasDRE[#All],7,FALSE))</f>
        <v>Fora do DRE</v>
      </c>
      <c r="V3177" s="3" t="str">
        <f>IF(Base_Periodo1[[#This Row],[Tipo_Linha]]="Fora do DRE","Fora do DRE","( "&amp;Base_Periodo1[[#This Row],[Tipo_Linha]]&amp;" ) "&amp;Base_Periodo1[[#This Row],[Filtro]])</f>
        <v>Fora do DRE</v>
      </c>
      <c r="W3177" s="3" t="str">
        <f>LEFT(Base_Periodo1[[#This Row],[CLASS]],3)</f>
        <v>2.1</v>
      </c>
    </row>
    <row r="3178" spans="1:23" hidden="1">
      <c r="A3178" s="3" t="str">
        <f t="shared" si="49"/>
        <v>Período 1</v>
      </c>
      <c r="B3178">
        <v>8756</v>
      </c>
      <c r="C3178" t="s">
        <v>1745</v>
      </c>
      <c r="D3178" t="s">
        <v>4458</v>
      </c>
      <c r="E3178" s="3" t="str">
        <f>IF(LEN(Base_Periodo1[[#This Row],[CLASS]])&gt;=7,LEFT(Base_Periodo1[[#This Row],[CLASS]],7),"")</f>
        <v>2.1.2.1</v>
      </c>
      <c r="F3178" s="3" t="str">
        <f>VLOOKUP(Base_Periodo1[[#This Row],[Aux]],Base_Contas_Balanco[#All],2,FALSE)</f>
        <v>Fornecedores Cooperados</v>
      </c>
      <c r="G3178" s="1">
        <v>42878</v>
      </c>
      <c r="H3178" s="225">
        <v>9169.0999999999767</v>
      </c>
      <c r="I3178" s="225">
        <v>0</v>
      </c>
      <c r="J3178" s="225">
        <v>17596.129999999997</v>
      </c>
      <c r="K3178" s="225">
        <v>26765.229999999974</v>
      </c>
      <c r="L31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26765.23</v>
      </c>
      <c r="M3178" s="225">
        <f>ROUND(IF(AND(Base_Periodo1[[#This Row],[Tipo_Linha]]="-",Base_Periodo1[[#This Row],[TIPOSALDO]]="D"),Base_Periodo1[[#This Row],[SALDO_ATUAL]]*-1,Base_Periodo1[[#This Row],[SALDO_ATUAL]]),4)</f>
        <v>26765.23</v>
      </c>
      <c r="N3178" t="s">
        <v>116</v>
      </c>
      <c r="O3178" t="s">
        <v>459</v>
      </c>
      <c r="P3178" t="s">
        <v>459</v>
      </c>
      <c r="Q3178">
        <v>7</v>
      </c>
      <c r="R3178" s="225">
        <f>Base_Periodo1[[#This Row],[CREDITOS]]-Base_Periodo1[[#This Row],[DEBITOS]]</f>
        <v>17596.129999999997</v>
      </c>
      <c r="S3178" s="3" t="str">
        <f>IF(ISERROR(VLOOKUP(Base_Periodo1[[#This Row],[CONTA]],BaseContasDRE[#All],4,FALSE)),"Fora do DRE",VLOOKUP(Base_Periodo1[[#This Row],[CONTA]],BaseContasDRE[#All],4,FALSE))</f>
        <v>Fora do DRE</v>
      </c>
      <c r="T3178" s="3" t="str">
        <f>IF(ISERROR(VLOOKUP(Base_Periodo1[[#This Row],[CONTA]],BaseContasDRE[#All],5,FALSE)),"Fora do DRE",VLOOKUP(Base_Periodo1[[#This Row],[CONTA]],BaseContasDRE[#All],6,FALSE))</f>
        <v>Fora do DRE</v>
      </c>
      <c r="U3178" s="3" t="str">
        <f>IF(ISERROR(VLOOKUP(Base_Periodo1[[#This Row],[CONTA]],BaseContasDRE[#All],7,FALSE)),"Fora do DRE",VLOOKUP(Base_Periodo1[[#This Row],[CONTA]],BaseContasDRE[#All],7,FALSE))</f>
        <v>Fora do DRE</v>
      </c>
      <c r="V3178" s="3" t="str">
        <f>IF(Base_Periodo1[[#This Row],[Tipo_Linha]]="Fora do DRE","Fora do DRE","( "&amp;Base_Periodo1[[#This Row],[Tipo_Linha]]&amp;" ) "&amp;Base_Periodo1[[#This Row],[Filtro]])</f>
        <v>Fora do DRE</v>
      </c>
      <c r="W3178" s="3" t="str">
        <f>LEFT(Base_Periodo1[[#This Row],[CLASS]],3)</f>
        <v>2.1</v>
      </c>
    </row>
    <row r="3179" spans="1:23" hidden="1">
      <c r="A3179" s="3" t="str">
        <f t="shared" si="49"/>
        <v>Período 1</v>
      </c>
      <c r="B3179">
        <v>50707</v>
      </c>
      <c r="C3179" t="s">
        <v>1745</v>
      </c>
      <c r="D3179" t="s">
        <v>2209</v>
      </c>
      <c r="E3179" s="3" t="str">
        <f>IF(LEN(Base_Periodo1[[#This Row],[CLASS]])&gt;=7,LEFT(Base_Periodo1[[#This Row],[CLASS]],7),"")</f>
        <v>2.1.2.1</v>
      </c>
      <c r="F3179" s="3" t="str">
        <f>VLOOKUP(Base_Periodo1[[#This Row],[Aux]],Base_Contas_Balanco[#All],2,FALSE)</f>
        <v>Fornecedores Cooperados</v>
      </c>
      <c r="G3179" s="1">
        <v>42845</v>
      </c>
      <c r="H3179" s="225">
        <v>7759.5199999999968</v>
      </c>
      <c r="I3179" s="225">
        <v>0</v>
      </c>
      <c r="J3179" s="225">
        <v>0</v>
      </c>
      <c r="K3179" s="225">
        <v>7759.5199999999968</v>
      </c>
      <c r="L31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7759.52</v>
      </c>
      <c r="M3179" s="225">
        <f>ROUND(IF(AND(Base_Periodo1[[#This Row],[Tipo_Linha]]="-",Base_Periodo1[[#This Row],[TIPOSALDO]]="D"),Base_Periodo1[[#This Row],[SALDO_ATUAL]]*-1,Base_Periodo1[[#This Row],[SALDO_ATUAL]]),4)</f>
        <v>7759.52</v>
      </c>
      <c r="N3179" t="s">
        <v>116</v>
      </c>
      <c r="O3179" t="s">
        <v>459</v>
      </c>
      <c r="P3179" t="s">
        <v>459</v>
      </c>
      <c r="Q3179">
        <v>7</v>
      </c>
      <c r="R3179" s="225">
        <f>Base_Periodo1[[#This Row],[CREDITOS]]-Base_Periodo1[[#This Row],[DEBITOS]]</f>
        <v>0</v>
      </c>
      <c r="S3179" s="3" t="str">
        <f>IF(ISERROR(VLOOKUP(Base_Periodo1[[#This Row],[CONTA]],BaseContasDRE[#All],4,FALSE)),"Fora do DRE",VLOOKUP(Base_Periodo1[[#This Row],[CONTA]],BaseContasDRE[#All],4,FALSE))</f>
        <v>Fora do DRE</v>
      </c>
      <c r="T3179" s="3" t="str">
        <f>IF(ISERROR(VLOOKUP(Base_Periodo1[[#This Row],[CONTA]],BaseContasDRE[#All],5,FALSE)),"Fora do DRE",VLOOKUP(Base_Periodo1[[#This Row],[CONTA]],BaseContasDRE[#All],6,FALSE))</f>
        <v>Fora do DRE</v>
      </c>
      <c r="U3179" s="3" t="str">
        <f>IF(ISERROR(VLOOKUP(Base_Periodo1[[#This Row],[CONTA]],BaseContasDRE[#All],7,FALSE)),"Fora do DRE",VLOOKUP(Base_Periodo1[[#This Row],[CONTA]],BaseContasDRE[#All],7,FALSE))</f>
        <v>Fora do DRE</v>
      </c>
      <c r="V3179" s="3" t="str">
        <f>IF(Base_Periodo1[[#This Row],[Tipo_Linha]]="Fora do DRE","Fora do DRE","( "&amp;Base_Periodo1[[#This Row],[Tipo_Linha]]&amp;" ) "&amp;Base_Periodo1[[#This Row],[Filtro]])</f>
        <v>Fora do DRE</v>
      </c>
      <c r="W3179" s="3" t="str">
        <f>LEFT(Base_Periodo1[[#This Row],[CLASS]],3)</f>
        <v>2.1</v>
      </c>
    </row>
    <row r="3180" spans="1:23" hidden="1">
      <c r="A3180" s="3" t="str">
        <f t="shared" si="49"/>
        <v>Período 1</v>
      </c>
      <c r="B3180">
        <v>19031</v>
      </c>
      <c r="C3180" t="s">
        <v>1745</v>
      </c>
      <c r="D3180" t="s">
        <v>5523</v>
      </c>
      <c r="E3180" s="3" t="str">
        <f>IF(LEN(Base_Periodo1[[#This Row],[CLASS]])&gt;=7,LEFT(Base_Periodo1[[#This Row],[CLASS]],7),"")</f>
        <v>2.1.2.1</v>
      </c>
      <c r="F3180" s="3" t="str">
        <f>VLOOKUP(Base_Periodo1[[#This Row],[Aux]],Base_Contas_Balanco[#All],2,FALSE)</f>
        <v>Fornecedores Cooperados</v>
      </c>
      <c r="G3180" s="1">
        <v>42748</v>
      </c>
      <c r="H3180" s="225">
        <v>1.0000000009313226E-2</v>
      </c>
      <c r="I3180" s="225">
        <v>0</v>
      </c>
      <c r="J3180" s="225">
        <v>0</v>
      </c>
      <c r="K3180" s="225">
        <v>1.0000000009313226E-2</v>
      </c>
      <c r="L31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180" s="225">
        <f>ROUND(IF(AND(Base_Periodo1[[#This Row],[Tipo_Linha]]="-",Base_Periodo1[[#This Row],[TIPOSALDO]]="D"),Base_Periodo1[[#This Row],[SALDO_ATUAL]]*-1,Base_Periodo1[[#This Row],[SALDO_ATUAL]]),4)</f>
        <v>0.01</v>
      </c>
      <c r="N3180" t="s">
        <v>116</v>
      </c>
      <c r="O3180" t="s">
        <v>459</v>
      </c>
      <c r="P3180" t="s">
        <v>459</v>
      </c>
      <c r="Q3180">
        <v>7</v>
      </c>
      <c r="R3180" s="225">
        <f>Base_Periodo1[[#This Row],[CREDITOS]]-Base_Periodo1[[#This Row],[DEBITOS]]</f>
        <v>0</v>
      </c>
      <c r="S3180" s="3" t="str">
        <f>IF(ISERROR(VLOOKUP(Base_Periodo1[[#This Row],[CONTA]],BaseContasDRE[#All],4,FALSE)),"Fora do DRE",VLOOKUP(Base_Periodo1[[#This Row],[CONTA]],BaseContasDRE[#All],4,FALSE))</f>
        <v>Fora do DRE</v>
      </c>
      <c r="T3180" s="3" t="str">
        <f>IF(ISERROR(VLOOKUP(Base_Periodo1[[#This Row],[CONTA]],BaseContasDRE[#All],5,FALSE)),"Fora do DRE",VLOOKUP(Base_Periodo1[[#This Row],[CONTA]],BaseContasDRE[#All],6,FALSE))</f>
        <v>Fora do DRE</v>
      </c>
      <c r="U3180" s="3" t="str">
        <f>IF(ISERROR(VLOOKUP(Base_Periodo1[[#This Row],[CONTA]],BaseContasDRE[#All],7,FALSE)),"Fora do DRE",VLOOKUP(Base_Periodo1[[#This Row],[CONTA]],BaseContasDRE[#All],7,FALSE))</f>
        <v>Fora do DRE</v>
      </c>
      <c r="V3180" s="3" t="str">
        <f>IF(Base_Periodo1[[#This Row],[Tipo_Linha]]="Fora do DRE","Fora do DRE","( "&amp;Base_Periodo1[[#This Row],[Tipo_Linha]]&amp;" ) "&amp;Base_Periodo1[[#This Row],[Filtro]])</f>
        <v>Fora do DRE</v>
      </c>
      <c r="W3180" s="3" t="str">
        <f>LEFT(Base_Periodo1[[#This Row],[CLASS]],3)</f>
        <v>2.1</v>
      </c>
    </row>
    <row r="3181" spans="1:23" hidden="1">
      <c r="A3181" s="3" t="str">
        <f t="shared" si="49"/>
        <v>Período 1</v>
      </c>
      <c r="B3181">
        <v>3018</v>
      </c>
      <c r="C3181" t="s">
        <v>1745</v>
      </c>
      <c r="D3181" t="s">
        <v>4611</v>
      </c>
      <c r="E3181" s="3" t="str">
        <f>IF(LEN(Base_Periodo1[[#This Row],[CLASS]])&gt;=7,LEFT(Base_Periodo1[[#This Row],[CLASS]],7),"")</f>
        <v>2.1.2.1</v>
      </c>
      <c r="F3181" s="3" t="str">
        <f>VLOOKUP(Base_Periodo1[[#This Row],[Aux]],Base_Contas_Balanco[#All],2,FALSE)</f>
        <v>Fornecedores Cooperados</v>
      </c>
      <c r="G3181" s="1">
        <v>42872</v>
      </c>
      <c r="H3181" s="225">
        <v>32509.74000000002</v>
      </c>
      <c r="I3181" s="225">
        <v>937.82</v>
      </c>
      <c r="J3181" s="225">
        <v>0</v>
      </c>
      <c r="K3181" s="225">
        <v>31571.92000000002</v>
      </c>
      <c r="L31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31571.919999999998</v>
      </c>
      <c r="M3181" s="225">
        <f>ROUND(IF(AND(Base_Periodo1[[#This Row],[Tipo_Linha]]="-",Base_Periodo1[[#This Row],[TIPOSALDO]]="D"),Base_Periodo1[[#This Row],[SALDO_ATUAL]]*-1,Base_Periodo1[[#This Row],[SALDO_ATUAL]]),4)</f>
        <v>31571.919999999998</v>
      </c>
      <c r="N3181" t="s">
        <v>116</v>
      </c>
      <c r="O3181" t="s">
        <v>459</v>
      </c>
      <c r="P3181" t="s">
        <v>459</v>
      </c>
      <c r="Q3181">
        <v>7</v>
      </c>
      <c r="R3181" s="225">
        <f>Base_Periodo1[[#This Row],[CREDITOS]]-Base_Periodo1[[#This Row],[DEBITOS]]</f>
        <v>-937.82</v>
      </c>
      <c r="S3181" s="3" t="str">
        <f>IF(ISERROR(VLOOKUP(Base_Periodo1[[#This Row],[CONTA]],BaseContasDRE[#All],4,FALSE)),"Fora do DRE",VLOOKUP(Base_Periodo1[[#This Row],[CONTA]],BaseContasDRE[#All],4,FALSE))</f>
        <v>Fora do DRE</v>
      </c>
      <c r="T3181" s="3" t="str">
        <f>IF(ISERROR(VLOOKUP(Base_Periodo1[[#This Row],[CONTA]],BaseContasDRE[#All],5,FALSE)),"Fora do DRE",VLOOKUP(Base_Periodo1[[#This Row],[CONTA]],BaseContasDRE[#All],6,FALSE))</f>
        <v>Fora do DRE</v>
      </c>
      <c r="U3181" s="3" t="str">
        <f>IF(ISERROR(VLOOKUP(Base_Periodo1[[#This Row],[CONTA]],BaseContasDRE[#All],7,FALSE)),"Fora do DRE",VLOOKUP(Base_Periodo1[[#This Row],[CONTA]],BaseContasDRE[#All],7,FALSE))</f>
        <v>Fora do DRE</v>
      </c>
      <c r="V3181" s="3" t="str">
        <f>IF(Base_Periodo1[[#This Row],[Tipo_Linha]]="Fora do DRE","Fora do DRE","( "&amp;Base_Periodo1[[#This Row],[Tipo_Linha]]&amp;" ) "&amp;Base_Periodo1[[#This Row],[Filtro]])</f>
        <v>Fora do DRE</v>
      </c>
      <c r="W3181" s="3" t="str">
        <f>LEFT(Base_Periodo1[[#This Row],[CLASS]],3)</f>
        <v>2.1</v>
      </c>
    </row>
    <row r="3182" spans="1:23" hidden="1">
      <c r="A3182" s="3" t="str">
        <f t="shared" si="49"/>
        <v>Período 1</v>
      </c>
      <c r="B3182">
        <v>3678</v>
      </c>
      <c r="C3182" t="s">
        <v>1745</v>
      </c>
      <c r="D3182" t="s">
        <v>1988</v>
      </c>
      <c r="E3182" s="3" t="str">
        <f>IF(LEN(Base_Periodo1[[#This Row],[CLASS]])&gt;=7,LEFT(Base_Periodo1[[#This Row],[CLASS]],7),"")</f>
        <v>2.1.2.1</v>
      </c>
      <c r="F3182" s="3" t="str">
        <f>VLOOKUP(Base_Periodo1[[#This Row],[Aux]],Base_Contas_Balanco[#All],2,FALSE)</f>
        <v>Fornecedores Cooperados</v>
      </c>
      <c r="G3182" s="1">
        <v>42816</v>
      </c>
      <c r="H3182" s="225">
        <v>85.75</v>
      </c>
      <c r="I3182" s="225">
        <v>0</v>
      </c>
      <c r="J3182" s="225">
        <v>0</v>
      </c>
      <c r="K3182" s="225">
        <v>85.75</v>
      </c>
      <c r="L31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85.75</v>
      </c>
      <c r="M3182" s="225">
        <f>ROUND(IF(AND(Base_Periodo1[[#This Row],[Tipo_Linha]]="-",Base_Periodo1[[#This Row],[TIPOSALDO]]="D"),Base_Periodo1[[#This Row],[SALDO_ATUAL]]*-1,Base_Periodo1[[#This Row],[SALDO_ATUAL]]),4)</f>
        <v>85.75</v>
      </c>
      <c r="N3182" t="s">
        <v>116</v>
      </c>
      <c r="O3182" t="s">
        <v>459</v>
      </c>
      <c r="P3182" t="s">
        <v>459</v>
      </c>
      <c r="Q3182">
        <v>7</v>
      </c>
      <c r="R3182" s="225">
        <f>Base_Periodo1[[#This Row],[CREDITOS]]-Base_Periodo1[[#This Row],[DEBITOS]]</f>
        <v>0</v>
      </c>
      <c r="S3182" s="3" t="str">
        <f>IF(ISERROR(VLOOKUP(Base_Periodo1[[#This Row],[CONTA]],BaseContasDRE[#All],4,FALSE)),"Fora do DRE",VLOOKUP(Base_Periodo1[[#This Row],[CONTA]],BaseContasDRE[#All],4,FALSE))</f>
        <v>Fora do DRE</v>
      </c>
      <c r="T3182" s="3" t="str">
        <f>IF(ISERROR(VLOOKUP(Base_Periodo1[[#This Row],[CONTA]],BaseContasDRE[#All],5,FALSE)),"Fora do DRE",VLOOKUP(Base_Periodo1[[#This Row],[CONTA]],BaseContasDRE[#All],6,FALSE))</f>
        <v>Fora do DRE</v>
      </c>
      <c r="U3182" s="3" t="str">
        <f>IF(ISERROR(VLOOKUP(Base_Periodo1[[#This Row],[CONTA]],BaseContasDRE[#All],7,FALSE)),"Fora do DRE",VLOOKUP(Base_Periodo1[[#This Row],[CONTA]],BaseContasDRE[#All],7,FALSE))</f>
        <v>Fora do DRE</v>
      </c>
      <c r="V3182" s="3" t="str">
        <f>IF(Base_Periodo1[[#This Row],[Tipo_Linha]]="Fora do DRE","Fora do DRE","( "&amp;Base_Periodo1[[#This Row],[Tipo_Linha]]&amp;" ) "&amp;Base_Periodo1[[#This Row],[Filtro]])</f>
        <v>Fora do DRE</v>
      </c>
      <c r="W3182" s="3" t="str">
        <f>LEFT(Base_Periodo1[[#This Row],[CLASS]],3)</f>
        <v>2.1</v>
      </c>
    </row>
    <row r="3183" spans="1:23" hidden="1">
      <c r="A3183" s="3" t="str">
        <f t="shared" si="49"/>
        <v>Período 1</v>
      </c>
      <c r="B3183">
        <v>3434</v>
      </c>
      <c r="C3183" t="s">
        <v>1745</v>
      </c>
      <c r="D3183" t="s">
        <v>6895</v>
      </c>
      <c r="E3183" s="3" t="str">
        <f>IF(LEN(Base_Periodo1[[#This Row],[CLASS]])&gt;=7,LEFT(Base_Periodo1[[#This Row],[CLASS]],7),"")</f>
        <v>2.1.2.1</v>
      </c>
      <c r="F3183" s="3" t="str">
        <f>VLOOKUP(Base_Periodo1[[#This Row],[Aux]],Base_Contas_Balanco[#All],2,FALSE)</f>
        <v>Fornecedores Cooperados</v>
      </c>
      <c r="G3183" s="1">
        <v>42879</v>
      </c>
      <c r="I3183" s="225">
        <v>0</v>
      </c>
      <c r="J3183" s="225">
        <v>16866.87</v>
      </c>
      <c r="K3183" s="225">
        <v>16866.87</v>
      </c>
      <c r="L31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16866.87</v>
      </c>
      <c r="M3183" s="225">
        <f>ROUND(IF(AND(Base_Periodo1[[#This Row],[Tipo_Linha]]="-",Base_Periodo1[[#This Row],[TIPOSALDO]]="D"),Base_Periodo1[[#This Row],[SALDO_ATUAL]]*-1,Base_Periodo1[[#This Row],[SALDO_ATUAL]]),4)</f>
        <v>16866.87</v>
      </c>
      <c r="N3183" t="s">
        <v>116</v>
      </c>
      <c r="O3183" t="s">
        <v>436</v>
      </c>
      <c r="P3183" t="s">
        <v>459</v>
      </c>
      <c r="Q3183">
        <v>7</v>
      </c>
      <c r="R3183" s="225">
        <f>Base_Periodo1[[#This Row],[CREDITOS]]-Base_Periodo1[[#This Row],[DEBITOS]]</f>
        <v>16866.87</v>
      </c>
      <c r="S3183" s="3" t="str">
        <f>IF(ISERROR(VLOOKUP(Base_Periodo1[[#This Row],[CONTA]],BaseContasDRE[#All],4,FALSE)),"Fora do DRE",VLOOKUP(Base_Periodo1[[#This Row],[CONTA]],BaseContasDRE[#All],4,FALSE))</f>
        <v>Fora do DRE</v>
      </c>
      <c r="T3183" s="3" t="str">
        <f>IF(ISERROR(VLOOKUP(Base_Periodo1[[#This Row],[CONTA]],BaseContasDRE[#All],5,FALSE)),"Fora do DRE",VLOOKUP(Base_Periodo1[[#This Row],[CONTA]],BaseContasDRE[#All],6,FALSE))</f>
        <v>Fora do DRE</v>
      </c>
      <c r="U3183" s="3" t="str">
        <f>IF(ISERROR(VLOOKUP(Base_Periodo1[[#This Row],[CONTA]],BaseContasDRE[#All],7,FALSE)),"Fora do DRE",VLOOKUP(Base_Periodo1[[#This Row],[CONTA]],BaseContasDRE[#All],7,FALSE))</f>
        <v>Fora do DRE</v>
      </c>
      <c r="V3183" s="3" t="str">
        <f>IF(Base_Periodo1[[#This Row],[Tipo_Linha]]="Fora do DRE","Fora do DRE","( "&amp;Base_Periodo1[[#This Row],[Tipo_Linha]]&amp;" ) "&amp;Base_Periodo1[[#This Row],[Filtro]])</f>
        <v>Fora do DRE</v>
      </c>
      <c r="W3183" s="3" t="str">
        <f>LEFT(Base_Periodo1[[#This Row],[CLASS]],3)</f>
        <v>2.1</v>
      </c>
    </row>
    <row r="3184" spans="1:23" hidden="1">
      <c r="A3184" s="3" t="str">
        <f t="shared" si="49"/>
        <v>Período 1</v>
      </c>
      <c r="B3184">
        <v>48134</v>
      </c>
      <c r="C3184" t="s">
        <v>1745</v>
      </c>
      <c r="D3184" t="s">
        <v>6404</v>
      </c>
      <c r="E3184" s="3" t="str">
        <f>IF(LEN(Base_Periodo1[[#This Row],[CLASS]])&gt;=7,LEFT(Base_Periodo1[[#This Row],[CLASS]],7),"")</f>
        <v>2.1.2.1</v>
      </c>
      <c r="F3184" s="3" t="str">
        <f>VLOOKUP(Base_Periodo1[[#This Row],[Aux]],Base_Contas_Balanco[#All],2,FALSE)</f>
        <v>Fornecedores Cooperados</v>
      </c>
      <c r="G3184" s="1">
        <v>42844</v>
      </c>
      <c r="H3184" s="225">
        <v>3266.4399999999987</v>
      </c>
      <c r="I3184" s="225">
        <v>0</v>
      </c>
      <c r="J3184" s="225">
        <v>0</v>
      </c>
      <c r="K3184" s="225">
        <v>3266.4399999999987</v>
      </c>
      <c r="L31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3266.44</v>
      </c>
      <c r="M3184" s="225">
        <f>ROUND(IF(AND(Base_Periodo1[[#This Row],[Tipo_Linha]]="-",Base_Periodo1[[#This Row],[TIPOSALDO]]="D"),Base_Periodo1[[#This Row],[SALDO_ATUAL]]*-1,Base_Periodo1[[#This Row],[SALDO_ATUAL]]),4)</f>
        <v>3266.44</v>
      </c>
      <c r="N3184" t="s">
        <v>116</v>
      </c>
      <c r="O3184" t="s">
        <v>459</v>
      </c>
      <c r="P3184" t="s">
        <v>459</v>
      </c>
      <c r="Q3184">
        <v>7</v>
      </c>
      <c r="R3184" s="225">
        <f>Base_Periodo1[[#This Row],[CREDITOS]]-Base_Periodo1[[#This Row],[DEBITOS]]</f>
        <v>0</v>
      </c>
      <c r="S3184" s="3" t="str">
        <f>IF(ISERROR(VLOOKUP(Base_Periodo1[[#This Row],[CONTA]],BaseContasDRE[#All],4,FALSE)),"Fora do DRE",VLOOKUP(Base_Periodo1[[#This Row],[CONTA]],BaseContasDRE[#All],4,FALSE))</f>
        <v>Fora do DRE</v>
      </c>
      <c r="T3184" s="3" t="str">
        <f>IF(ISERROR(VLOOKUP(Base_Periodo1[[#This Row],[CONTA]],BaseContasDRE[#All],5,FALSE)),"Fora do DRE",VLOOKUP(Base_Periodo1[[#This Row],[CONTA]],BaseContasDRE[#All],6,FALSE))</f>
        <v>Fora do DRE</v>
      </c>
      <c r="U3184" s="3" t="str">
        <f>IF(ISERROR(VLOOKUP(Base_Periodo1[[#This Row],[CONTA]],BaseContasDRE[#All],7,FALSE)),"Fora do DRE",VLOOKUP(Base_Periodo1[[#This Row],[CONTA]],BaseContasDRE[#All],7,FALSE))</f>
        <v>Fora do DRE</v>
      </c>
      <c r="V3184" s="3" t="str">
        <f>IF(Base_Periodo1[[#This Row],[Tipo_Linha]]="Fora do DRE","Fora do DRE","( "&amp;Base_Periodo1[[#This Row],[Tipo_Linha]]&amp;" ) "&amp;Base_Periodo1[[#This Row],[Filtro]])</f>
        <v>Fora do DRE</v>
      </c>
      <c r="W3184" s="3" t="str">
        <f>LEFT(Base_Periodo1[[#This Row],[CLASS]],3)</f>
        <v>2.1</v>
      </c>
    </row>
    <row r="3185" spans="1:23" hidden="1">
      <c r="A3185" s="3" t="str">
        <f t="shared" si="49"/>
        <v>Período 1</v>
      </c>
      <c r="B3185">
        <v>4430</v>
      </c>
      <c r="C3185" t="s">
        <v>1745</v>
      </c>
      <c r="D3185" t="s">
        <v>1989</v>
      </c>
      <c r="E3185" s="3" t="str">
        <f>IF(LEN(Base_Periodo1[[#This Row],[CLASS]])&gt;=7,LEFT(Base_Periodo1[[#This Row],[CLASS]],7),"")</f>
        <v>2.1.2.1</v>
      </c>
      <c r="F3185" s="3" t="str">
        <f>VLOOKUP(Base_Periodo1[[#This Row],[Aux]],Base_Contas_Balanco[#All],2,FALSE)</f>
        <v>Fornecedores Cooperados</v>
      </c>
      <c r="G3185" s="1">
        <v>42864</v>
      </c>
      <c r="H3185" s="225">
        <v>39762.34999999986</v>
      </c>
      <c r="I3185" s="225">
        <v>0</v>
      </c>
      <c r="J3185" s="225">
        <v>6560.85</v>
      </c>
      <c r="K3185" s="225">
        <v>46323.199999999859</v>
      </c>
      <c r="L31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46323.199999999997</v>
      </c>
      <c r="M3185" s="225">
        <f>ROUND(IF(AND(Base_Periodo1[[#This Row],[Tipo_Linha]]="-",Base_Periodo1[[#This Row],[TIPOSALDO]]="D"),Base_Periodo1[[#This Row],[SALDO_ATUAL]]*-1,Base_Periodo1[[#This Row],[SALDO_ATUAL]]),4)</f>
        <v>46323.199999999997</v>
      </c>
      <c r="N3185" t="s">
        <v>116</v>
      </c>
      <c r="O3185" t="s">
        <v>459</v>
      </c>
      <c r="P3185" t="s">
        <v>459</v>
      </c>
      <c r="Q3185">
        <v>7</v>
      </c>
      <c r="R3185" s="225">
        <f>Base_Periodo1[[#This Row],[CREDITOS]]-Base_Periodo1[[#This Row],[DEBITOS]]</f>
        <v>6560.85</v>
      </c>
      <c r="S3185" s="3" t="str">
        <f>IF(ISERROR(VLOOKUP(Base_Periodo1[[#This Row],[CONTA]],BaseContasDRE[#All],4,FALSE)),"Fora do DRE",VLOOKUP(Base_Periodo1[[#This Row],[CONTA]],BaseContasDRE[#All],4,FALSE))</f>
        <v>Fora do DRE</v>
      </c>
      <c r="T3185" s="3" t="str">
        <f>IF(ISERROR(VLOOKUP(Base_Periodo1[[#This Row],[CONTA]],BaseContasDRE[#All],5,FALSE)),"Fora do DRE",VLOOKUP(Base_Periodo1[[#This Row],[CONTA]],BaseContasDRE[#All],6,FALSE))</f>
        <v>Fora do DRE</v>
      </c>
      <c r="U3185" s="3" t="str">
        <f>IF(ISERROR(VLOOKUP(Base_Periodo1[[#This Row],[CONTA]],BaseContasDRE[#All],7,FALSE)),"Fora do DRE",VLOOKUP(Base_Periodo1[[#This Row],[CONTA]],BaseContasDRE[#All],7,FALSE))</f>
        <v>Fora do DRE</v>
      </c>
      <c r="V3185" s="3" t="str">
        <f>IF(Base_Periodo1[[#This Row],[Tipo_Linha]]="Fora do DRE","Fora do DRE","( "&amp;Base_Periodo1[[#This Row],[Tipo_Linha]]&amp;" ) "&amp;Base_Periodo1[[#This Row],[Filtro]])</f>
        <v>Fora do DRE</v>
      </c>
      <c r="W3185" s="3" t="str">
        <f>LEFT(Base_Periodo1[[#This Row],[CLASS]],3)</f>
        <v>2.1</v>
      </c>
    </row>
    <row r="3186" spans="1:23" hidden="1">
      <c r="A3186" s="3" t="str">
        <f t="shared" si="49"/>
        <v>Período 1</v>
      </c>
      <c r="B3186">
        <v>45705</v>
      </c>
      <c r="C3186" t="s">
        <v>1745</v>
      </c>
      <c r="D3186" t="s">
        <v>6405</v>
      </c>
      <c r="E3186" s="3" t="str">
        <f>IF(LEN(Base_Periodo1[[#This Row],[CLASS]])&gt;=7,LEFT(Base_Periodo1[[#This Row],[CLASS]],7),"")</f>
        <v>2.1.2.1</v>
      </c>
      <c r="F3186" s="3" t="str">
        <f>VLOOKUP(Base_Periodo1[[#This Row],[Aux]],Base_Contas_Balanco[#All],2,FALSE)</f>
        <v>Fornecedores Cooperados</v>
      </c>
      <c r="G3186" s="1"/>
      <c r="H3186" s="225">
        <v>411.16</v>
      </c>
      <c r="I3186" s="225">
        <v>0</v>
      </c>
      <c r="J3186" s="225">
        <v>0</v>
      </c>
      <c r="K3186" s="225">
        <v>411.16</v>
      </c>
      <c r="L31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411.16</v>
      </c>
      <c r="M3186" s="225">
        <f>ROUND(IF(AND(Base_Periodo1[[#This Row],[Tipo_Linha]]="-",Base_Periodo1[[#This Row],[TIPOSALDO]]="D"),Base_Periodo1[[#This Row],[SALDO_ATUAL]]*-1,Base_Periodo1[[#This Row],[SALDO_ATUAL]]),4)</f>
        <v>411.16</v>
      </c>
      <c r="N3186" t="s">
        <v>116</v>
      </c>
      <c r="O3186" t="s">
        <v>459</v>
      </c>
      <c r="P3186" t="s">
        <v>459</v>
      </c>
      <c r="Q3186">
        <v>7</v>
      </c>
      <c r="R3186" s="225">
        <f>Base_Periodo1[[#This Row],[CREDITOS]]-Base_Periodo1[[#This Row],[DEBITOS]]</f>
        <v>0</v>
      </c>
      <c r="S3186" s="3" t="str">
        <f>IF(ISERROR(VLOOKUP(Base_Periodo1[[#This Row],[CONTA]],BaseContasDRE[#All],4,FALSE)),"Fora do DRE",VLOOKUP(Base_Periodo1[[#This Row],[CONTA]],BaseContasDRE[#All],4,FALSE))</f>
        <v>Fora do DRE</v>
      </c>
      <c r="T3186" s="3" t="str">
        <f>IF(ISERROR(VLOOKUP(Base_Periodo1[[#This Row],[CONTA]],BaseContasDRE[#All],5,FALSE)),"Fora do DRE",VLOOKUP(Base_Periodo1[[#This Row],[CONTA]],BaseContasDRE[#All],6,FALSE))</f>
        <v>Fora do DRE</v>
      </c>
      <c r="U3186" s="3" t="str">
        <f>IF(ISERROR(VLOOKUP(Base_Periodo1[[#This Row],[CONTA]],BaseContasDRE[#All],7,FALSE)),"Fora do DRE",VLOOKUP(Base_Periodo1[[#This Row],[CONTA]],BaseContasDRE[#All],7,FALSE))</f>
        <v>Fora do DRE</v>
      </c>
      <c r="V3186" s="3" t="str">
        <f>IF(Base_Periodo1[[#This Row],[Tipo_Linha]]="Fora do DRE","Fora do DRE","( "&amp;Base_Periodo1[[#This Row],[Tipo_Linha]]&amp;" ) "&amp;Base_Periodo1[[#This Row],[Filtro]])</f>
        <v>Fora do DRE</v>
      </c>
      <c r="W3186" s="3" t="str">
        <f>LEFT(Base_Periodo1[[#This Row],[CLASS]],3)</f>
        <v>2.1</v>
      </c>
    </row>
    <row r="3187" spans="1:23" hidden="1">
      <c r="A3187" s="3" t="str">
        <f t="shared" si="49"/>
        <v>Período 1</v>
      </c>
      <c r="B3187">
        <v>2254</v>
      </c>
      <c r="C3187" t="s">
        <v>1745</v>
      </c>
      <c r="D3187" t="s">
        <v>1990</v>
      </c>
      <c r="E3187" s="3" t="str">
        <f>IF(LEN(Base_Periodo1[[#This Row],[CLASS]])&gt;=7,LEFT(Base_Periodo1[[#This Row],[CLASS]],7),"")</f>
        <v>2.1.2.1</v>
      </c>
      <c r="F3187" s="3" t="str">
        <f>VLOOKUP(Base_Periodo1[[#This Row],[Aux]],Base_Contas_Balanco[#All],2,FALSE)</f>
        <v>Fornecedores Cooperados</v>
      </c>
      <c r="G3187" s="1">
        <v>42881</v>
      </c>
      <c r="H3187" s="225">
        <v>78977.110000000102</v>
      </c>
      <c r="I3187" s="225">
        <v>32225.16</v>
      </c>
      <c r="J3187" s="225">
        <v>7398.4</v>
      </c>
      <c r="K3187" s="225">
        <v>54150.3500000001</v>
      </c>
      <c r="L31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54150.35</v>
      </c>
      <c r="M3187" s="225">
        <f>ROUND(IF(AND(Base_Periodo1[[#This Row],[Tipo_Linha]]="-",Base_Periodo1[[#This Row],[TIPOSALDO]]="D"),Base_Periodo1[[#This Row],[SALDO_ATUAL]]*-1,Base_Periodo1[[#This Row],[SALDO_ATUAL]]),4)</f>
        <v>54150.35</v>
      </c>
      <c r="N3187" t="s">
        <v>116</v>
      </c>
      <c r="O3187" t="s">
        <v>459</v>
      </c>
      <c r="P3187" t="s">
        <v>459</v>
      </c>
      <c r="Q3187">
        <v>7</v>
      </c>
      <c r="R3187" s="225">
        <f>Base_Periodo1[[#This Row],[CREDITOS]]-Base_Periodo1[[#This Row],[DEBITOS]]</f>
        <v>-24826.760000000002</v>
      </c>
      <c r="S3187" s="3" t="str">
        <f>IF(ISERROR(VLOOKUP(Base_Periodo1[[#This Row],[CONTA]],BaseContasDRE[#All],4,FALSE)),"Fora do DRE",VLOOKUP(Base_Periodo1[[#This Row],[CONTA]],BaseContasDRE[#All],4,FALSE))</f>
        <v>Fora do DRE</v>
      </c>
      <c r="T3187" s="3" t="str">
        <f>IF(ISERROR(VLOOKUP(Base_Periodo1[[#This Row],[CONTA]],BaseContasDRE[#All],5,FALSE)),"Fora do DRE",VLOOKUP(Base_Periodo1[[#This Row],[CONTA]],BaseContasDRE[#All],6,FALSE))</f>
        <v>Fora do DRE</v>
      </c>
      <c r="U3187" s="3" t="str">
        <f>IF(ISERROR(VLOOKUP(Base_Periodo1[[#This Row],[CONTA]],BaseContasDRE[#All],7,FALSE)),"Fora do DRE",VLOOKUP(Base_Periodo1[[#This Row],[CONTA]],BaseContasDRE[#All],7,FALSE))</f>
        <v>Fora do DRE</v>
      </c>
      <c r="V3187" s="3" t="str">
        <f>IF(Base_Periodo1[[#This Row],[Tipo_Linha]]="Fora do DRE","Fora do DRE","( "&amp;Base_Periodo1[[#This Row],[Tipo_Linha]]&amp;" ) "&amp;Base_Periodo1[[#This Row],[Filtro]])</f>
        <v>Fora do DRE</v>
      </c>
      <c r="W3187" s="3" t="str">
        <f>LEFT(Base_Periodo1[[#This Row],[CLASS]],3)</f>
        <v>2.1</v>
      </c>
    </row>
    <row r="3188" spans="1:23" hidden="1">
      <c r="A3188" s="3" t="str">
        <f t="shared" si="49"/>
        <v>Período 1</v>
      </c>
      <c r="B3188">
        <v>47914</v>
      </c>
      <c r="C3188" t="s">
        <v>1745</v>
      </c>
      <c r="D3188" t="s">
        <v>5066</v>
      </c>
      <c r="E3188" s="3" t="str">
        <f>IF(LEN(Base_Periodo1[[#This Row],[CLASS]])&gt;=7,LEFT(Base_Periodo1[[#This Row],[CLASS]],7),"")</f>
        <v>2.1.2.1</v>
      </c>
      <c r="F3188" s="3" t="str">
        <f>VLOOKUP(Base_Periodo1[[#This Row],[Aux]],Base_Contas_Balanco[#All],2,FALSE)</f>
        <v>Fornecedores Cooperados</v>
      </c>
      <c r="G3188" s="1">
        <v>42863</v>
      </c>
      <c r="H3188" s="225">
        <v>523.509999999922</v>
      </c>
      <c r="I3188" s="225">
        <v>523.51</v>
      </c>
      <c r="J3188" s="225">
        <v>0</v>
      </c>
      <c r="K3188" s="225">
        <v>7.7989170677028596E-11</v>
      </c>
      <c r="L31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88" s="225">
        <f>ROUND(IF(AND(Base_Periodo1[[#This Row],[Tipo_Linha]]="-",Base_Periodo1[[#This Row],[TIPOSALDO]]="D"),Base_Periodo1[[#This Row],[SALDO_ATUAL]]*-1,Base_Periodo1[[#This Row],[SALDO_ATUAL]]),4)</f>
        <v>0</v>
      </c>
      <c r="N3188" t="s">
        <v>116</v>
      </c>
      <c r="O3188" t="s">
        <v>459</v>
      </c>
      <c r="P3188" t="s">
        <v>436</v>
      </c>
      <c r="Q3188">
        <v>7</v>
      </c>
      <c r="R3188" s="225">
        <f>Base_Periodo1[[#This Row],[CREDITOS]]-Base_Periodo1[[#This Row],[DEBITOS]]</f>
        <v>-523.51</v>
      </c>
      <c r="S3188" s="3" t="str">
        <f>IF(ISERROR(VLOOKUP(Base_Periodo1[[#This Row],[CONTA]],BaseContasDRE[#All],4,FALSE)),"Fora do DRE",VLOOKUP(Base_Periodo1[[#This Row],[CONTA]],BaseContasDRE[#All],4,FALSE))</f>
        <v>Fora do DRE</v>
      </c>
      <c r="T3188" s="3" t="str">
        <f>IF(ISERROR(VLOOKUP(Base_Periodo1[[#This Row],[CONTA]],BaseContasDRE[#All],5,FALSE)),"Fora do DRE",VLOOKUP(Base_Periodo1[[#This Row],[CONTA]],BaseContasDRE[#All],6,FALSE))</f>
        <v>Fora do DRE</v>
      </c>
      <c r="U3188" s="3" t="str">
        <f>IF(ISERROR(VLOOKUP(Base_Periodo1[[#This Row],[CONTA]],BaseContasDRE[#All],7,FALSE)),"Fora do DRE",VLOOKUP(Base_Periodo1[[#This Row],[CONTA]],BaseContasDRE[#All],7,FALSE))</f>
        <v>Fora do DRE</v>
      </c>
      <c r="V3188" s="3" t="str">
        <f>IF(Base_Periodo1[[#This Row],[Tipo_Linha]]="Fora do DRE","Fora do DRE","( "&amp;Base_Periodo1[[#This Row],[Tipo_Linha]]&amp;" ) "&amp;Base_Periodo1[[#This Row],[Filtro]])</f>
        <v>Fora do DRE</v>
      </c>
      <c r="W3188" s="3" t="str">
        <f>LEFT(Base_Periodo1[[#This Row],[CLASS]],3)</f>
        <v>2.1</v>
      </c>
    </row>
    <row r="3189" spans="1:23" hidden="1">
      <c r="A3189" s="3" t="str">
        <f t="shared" si="49"/>
        <v>Período 1</v>
      </c>
      <c r="B3189">
        <v>16677</v>
      </c>
      <c r="C3189" t="s">
        <v>1745</v>
      </c>
      <c r="D3189" t="s">
        <v>4949</v>
      </c>
      <c r="E3189" s="3" t="str">
        <f>IF(LEN(Base_Periodo1[[#This Row],[CLASS]])&gt;=7,LEFT(Base_Periodo1[[#This Row],[CLASS]],7),"")</f>
        <v>2.1.2.1</v>
      </c>
      <c r="F3189" s="3" t="str">
        <f>VLOOKUP(Base_Periodo1[[#This Row],[Aux]],Base_Contas_Balanco[#All],2,FALSE)</f>
        <v>Fornecedores Cooperados</v>
      </c>
      <c r="G3189" s="1">
        <v>42691</v>
      </c>
      <c r="H3189" s="225">
        <v>1.0000000002037268E-2</v>
      </c>
      <c r="I3189" s="225">
        <v>0</v>
      </c>
      <c r="J3189" s="225">
        <v>0</v>
      </c>
      <c r="K3189" s="225">
        <v>1.0000000002037268E-2</v>
      </c>
      <c r="L31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189" s="225">
        <f>ROUND(IF(AND(Base_Periodo1[[#This Row],[Tipo_Linha]]="-",Base_Periodo1[[#This Row],[TIPOSALDO]]="D"),Base_Periodo1[[#This Row],[SALDO_ATUAL]]*-1,Base_Periodo1[[#This Row],[SALDO_ATUAL]]),4)</f>
        <v>0.01</v>
      </c>
      <c r="N3189" t="s">
        <v>116</v>
      </c>
      <c r="O3189" t="s">
        <v>459</v>
      </c>
      <c r="P3189" t="s">
        <v>459</v>
      </c>
      <c r="Q3189">
        <v>7</v>
      </c>
      <c r="R3189" s="225">
        <f>Base_Periodo1[[#This Row],[CREDITOS]]-Base_Periodo1[[#This Row],[DEBITOS]]</f>
        <v>0</v>
      </c>
      <c r="S3189" s="3" t="str">
        <f>IF(ISERROR(VLOOKUP(Base_Periodo1[[#This Row],[CONTA]],BaseContasDRE[#All],4,FALSE)),"Fora do DRE",VLOOKUP(Base_Periodo1[[#This Row],[CONTA]],BaseContasDRE[#All],4,FALSE))</f>
        <v>Fora do DRE</v>
      </c>
      <c r="T3189" s="3" t="str">
        <f>IF(ISERROR(VLOOKUP(Base_Periodo1[[#This Row],[CONTA]],BaseContasDRE[#All],5,FALSE)),"Fora do DRE",VLOOKUP(Base_Periodo1[[#This Row],[CONTA]],BaseContasDRE[#All],6,FALSE))</f>
        <v>Fora do DRE</v>
      </c>
      <c r="U3189" s="3" t="str">
        <f>IF(ISERROR(VLOOKUP(Base_Periodo1[[#This Row],[CONTA]],BaseContasDRE[#All],7,FALSE)),"Fora do DRE",VLOOKUP(Base_Periodo1[[#This Row],[CONTA]],BaseContasDRE[#All],7,FALSE))</f>
        <v>Fora do DRE</v>
      </c>
      <c r="V3189" s="3" t="str">
        <f>IF(Base_Periodo1[[#This Row],[Tipo_Linha]]="Fora do DRE","Fora do DRE","( "&amp;Base_Periodo1[[#This Row],[Tipo_Linha]]&amp;" ) "&amp;Base_Periodo1[[#This Row],[Filtro]])</f>
        <v>Fora do DRE</v>
      </c>
      <c r="W3189" s="3" t="str">
        <f>LEFT(Base_Periodo1[[#This Row],[CLASS]],3)</f>
        <v>2.1</v>
      </c>
    </row>
    <row r="3190" spans="1:23" hidden="1">
      <c r="A3190" s="3" t="str">
        <f t="shared" si="49"/>
        <v>Período 1</v>
      </c>
      <c r="B3190">
        <v>38261</v>
      </c>
      <c r="C3190" t="s">
        <v>1745</v>
      </c>
      <c r="D3190" t="s">
        <v>4612</v>
      </c>
      <c r="E3190" s="3" t="str">
        <f>IF(LEN(Base_Periodo1[[#This Row],[CLASS]])&gt;=7,LEFT(Base_Periodo1[[#This Row],[CLASS]],7),"")</f>
        <v>2.1.2.1</v>
      </c>
      <c r="F3190" s="3" t="str">
        <f>VLOOKUP(Base_Periodo1[[#This Row],[Aux]],Base_Contas_Balanco[#All],2,FALSE)</f>
        <v>Fornecedores Cooperados</v>
      </c>
      <c r="G3190" s="1">
        <v>42881</v>
      </c>
      <c r="H3190" s="225">
        <v>1585</v>
      </c>
      <c r="I3190" s="225">
        <v>11640.26</v>
      </c>
      <c r="J3190" s="225">
        <v>19469.16</v>
      </c>
      <c r="K3190" s="225">
        <v>9413.9</v>
      </c>
      <c r="L31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9413.9</v>
      </c>
      <c r="M3190" s="225">
        <f>ROUND(IF(AND(Base_Periodo1[[#This Row],[Tipo_Linha]]="-",Base_Periodo1[[#This Row],[TIPOSALDO]]="D"),Base_Periodo1[[#This Row],[SALDO_ATUAL]]*-1,Base_Periodo1[[#This Row],[SALDO_ATUAL]]),4)</f>
        <v>9413.9</v>
      </c>
      <c r="N3190" t="s">
        <v>116</v>
      </c>
      <c r="O3190" t="s">
        <v>459</v>
      </c>
      <c r="P3190" t="s">
        <v>459</v>
      </c>
      <c r="Q3190">
        <v>7</v>
      </c>
      <c r="R3190" s="225">
        <f>Base_Periodo1[[#This Row],[CREDITOS]]-Base_Periodo1[[#This Row],[DEBITOS]]</f>
        <v>7828.9</v>
      </c>
      <c r="S3190" s="3" t="str">
        <f>IF(ISERROR(VLOOKUP(Base_Periodo1[[#This Row],[CONTA]],BaseContasDRE[#All],4,FALSE)),"Fora do DRE",VLOOKUP(Base_Periodo1[[#This Row],[CONTA]],BaseContasDRE[#All],4,FALSE))</f>
        <v>Fora do DRE</v>
      </c>
      <c r="T3190" s="3" t="str">
        <f>IF(ISERROR(VLOOKUP(Base_Periodo1[[#This Row],[CONTA]],BaseContasDRE[#All],5,FALSE)),"Fora do DRE",VLOOKUP(Base_Periodo1[[#This Row],[CONTA]],BaseContasDRE[#All],6,FALSE))</f>
        <v>Fora do DRE</v>
      </c>
      <c r="U3190" s="3" t="str">
        <f>IF(ISERROR(VLOOKUP(Base_Periodo1[[#This Row],[CONTA]],BaseContasDRE[#All],7,FALSE)),"Fora do DRE",VLOOKUP(Base_Periodo1[[#This Row],[CONTA]],BaseContasDRE[#All],7,FALSE))</f>
        <v>Fora do DRE</v>
      </c>
      <c r="V3190" s="3" t="str">
        <f>IF(Base_Periodo1[[#This Row],[Tipo_Linha]]="Fora do DRE","Fora do DRE","( "&amp;Base_Periodo1[[#This Row],[Tipo_Linha]]&amp;" ) "&amp;Base_Periodo1[[#This Row],[Filtro]])</f>
        <v>Fora do DRE</v>
      </c>
      <c r="W3190" s="3" t="str">
        <f>LEFT(Base_Periodo1[[#This Row],[CLASS]],3)</f>
        <v>2.1</v>
      </c>
    </row>
    <row r="3191" spans="1:23" hidden="1">
      <c r="A3191" s="3" t="str">
        <f t="shared" si="49"/>
        <v>Período 1</v>
      </c>
      <c r="B3191">
        <v>3966</v>
      </c>
      <c r="C3191" t="s">
        <v>1745</v>
      </c>
      <c r="D3191" t="s">
        <v>6406</v>
      </c>
      <c r="E3191" s="3" t="str">
        <f>IF(LEN(Base_Periodo1[[#This Row],[CLASS]])&gt;=7,LEFT(Base_Periodo1[[#This Row],[CLASS]],7),"")</f>
        <v>2.1.2.1</v>
      </c>
      <c r="F3191" s="3" t="str">
        <f>VLOOKUP(Base_Periodo1[[#This Row],[Aux]],Base_Contas_Balanco[#All],2,FALSE)</f>
        <v>Fornecedores Cooperados</v>
      </c>
      <c r="G3191" s="1">
        <v>42870</v>
      </c>
      <c r="H3191" s="225">
        <v>1673.9900000000198</v>
      </c>
      <c r="I3191" s="225">
        <v>3347.98</v>
      </c>
      <c r="J3191" s="225">
        <v>1673.99</v>
      </c>
      <c r="K3191" s="225">
        <v>-1.9781509763561189E-11</v>
      </c>
      <c r="L31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91" s="225">
        <f>ROUND(IF(AND(Base_Periodo1[[#This Row],[Tipo_Linha]]="-",Base_Periodo1[[#This Row],[TIPOSALDO]]="D"),Base_Periodo1[[#This Row],[SALDO_ATUAL]]*-1,Base_Periodo1[[#This Row],[SALDO_ATUAL]]),4)</f>
        <v>0</v>
      </c>
      <c r="N3191" t="s">
        <v>116</v>
      </c>
      <c r="O3191" t="s">
        <v>459</v>
      </c>
      <c r="P3191" t="s">
        <v>436</v>
      </c>
      <c r="Q3191">
        <v>7</v>
      </c>
      <c r="R3191" s="225">
        <f>Base_Periodo1[[#This Row],[CREDITOS]]-Base_Periodo1[[#This Row],[DEBITOS]]</f>
        <v>-1673.99</v>
      </c>
      <c r="S3191" s="3" t="str">
        <f>IF(ISERROR(VLOOKUP(Base_Periodo1[[#This Row],[CONTA]],BaseContasDRE[#All],4,FALSE)),"Fora do DRE",VLOOKUP(Base_Periodo1[[#This Row],[CONTA]],BaseContasDRE[#All],4,FALSE))</f>
        <v>Fora do DRE</v>
      </c>
      <c r="T3191" s="3" t="str">
        <f>IF(ISERROR(VLOOKUP(Base_Periodo1[[#This Row],[CONTA]],BaseContasDRE[#All],5,FALSE)),"Fora do DRE",VLOOKUP(Base_Periodo1[[#This Row],[CONTA]],BaseContasDRE[#All],6,FALSE))</f>
        <v>Fora do DRE</v>
      </c>
      <c r="U3191" s="3" t="str">
        <f>IF(ISERROR(VLOOKUP(Base_Periodo1[[#This Row],[CONTA]],BaseContasDRE[#All],7,FALSE)),"Fora do DRE",VLOOKUP(Base_Periodo1[[#This Row],[CONTA]],BaseContasDRE[#All],7,FALSE))</f>
        <v>Fora do DRE</v>
      </c>
      <c r="V3191" s="3" t="str">
        <f>IF(Base_Periodo1[[#This Row],[Tipo_Linha]]="Fora do DRE","Fora do DRE","( "&amp;Base_Periodo1[[#This Row],[Tipo_Linha]]&amp;" ) "&amp;Base_Periodo1[[#This Row],[Filtro]])</f>
        <v>Fora do DRE</v>
      </c>
      <c r="W3191" s="3" t="str">
        <f>LEFT(Base_Periodo1[[#This Row],[CLASS]],3)</f>
        <v>2.1</v>
      </c>
    </row>
    <row r="3192" spans="1:23" hidden="1">
      <c r="A3192" s="3" t="str">
        <f t="shared" si="49"/>
        <v>Período 1</v>
      </c>
      <c r="B3192">
        <v>12529</v>
      </c>
      <c r="C3192" t="s">
        <v>1745</v>
      </c>
      <c r="D3192" t="s">
        <v>1991</v>
      </c>
      <c r="E3192" s="3" t="str">
        <f>IF(LEN(Base_Periodo1[[#This Row],[CLASS]])&gt;=7,LEFT(Base_Periodo1[[#This Row],[CLASS]],7),"")</f>
        <v>2.1.2.1</v>
      </c>
      <c r="F3192" s="3" t="str">
        <f>VLOOKUP(Base_Periodo1[[#This Row],[Aux]],Base_Contas_Balanco[#All],2,FALSE)</f>
        <v>Fornecedores Cooperados</v>
      </c>
      <c r="G3192" s="1">
        <v>42795</v>
      </c>
      <c r="H3192" s="225">
        <v>9.9999999947613105E-3</v>
      </c>
      <c r="I3192" s="225">
        <v>0</v>
      </c>
      <c r="J3192" s="225">
        <v>0</v>
      </c>
      <c r="K3192" s="225">
        <v>9.9999999947613105E-3</v>
      </c>
      <c r="L31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192" s="225">
        <f>ROUND(IF(AND(Base_Periodo1[[#This Row],[Tipo_Linha]]="-",Base_Periodo1[[#This Row],[TIPOSALDO]]="D"),Base_Periodo1[[#This Row],[SALDO_ATUAL]]*-1,Base_Periodo1[[#This Row],[SALDO_ATUAL]]),4)</f>
        <v>0.01</v>
      </c>
      <c r="N3192" t="s">
        <v>116</v>
      </c>
      <c r="O3192" t="s">
        <v>459</v>
      </c>
      <c r="P3192" t="s">
        <v>459</v>
      </c>
      <c r="Q3192">
        <v>7</v>
      </c>
      <c r="R3192" s="225">
        <f>Base_Periodo1[[#This Row],[CREDITOS]]-Base_Periodo1[[#This Row],[DEBITOS]]</f>
        <v>0</v>
      </c>
      <c r="S3192" s="3" t="str">
        <f>IF(ISERROR(VLOOKUP(Base_Periodo1[[#This Row],[CONTA]],BaseContasDRE[#All],4,FALSE)),"Fora do DRE",VLOOKUP(Base_Periodo1[[#This Row],[CONTA]],BaseContasDRE[#All],4,FALSE))</f>
        <v>Fora do DRE</v>
      </c>
      <c r="T3192" s="3" t="str">
        <f>IF(ISERROR(VLOOKUP(Base_Periodo1[[#This Row],[CONTA]],BaseContasDRE[#All],5,FALSE)),"Fora do DRE",VLOOKUP(Base_Periodo1[[#This Row],[CONTA]],BaseContasDRE[#All],6,FALSE))</f>
        <v>Fora do DRE</v>
      </c>
      <c r="U3192" s="3" t="str">
        <f>IF(ISERROR(VLOOKUP(Base_Periodo1[[#This Row],[CONTA]],BaseContasDRE[#All],7,FALSE)),"Fora do DRE",VLOOKUP(Base_Periodo1[[#This Row],[CONTA]],BaseContasDRE[#All],7,FALSE))</f>
        <v>Fora do DRE</v>
      </c>
      <c r="V3192" s="3" t="str">
        <f>IF(Base_Periodo1[[#This Row],[Tipo_Linha]]="Fora do DRE","Fora do DRE","( "&amp;Base_Periodo1[[#This Row],[Tipo_Linha]]&amp;" ) "&amp;Base_Periodo1[[#This Row],[Filtro]])</f>
        <v>Fora do DRE</v>
      </c>
      <c r="W3192" s="3" t="str">
        <f>LEFT(Base_Periodo1[[#This Row],[CLASS]],3)</f>
        <v>2.1</v>
      </c>
    </row>
    <row r="3193" spans="1:23" hidden="1">
      <c r="A3193" s="3" t="str">
        <f t="shared" si="49"/>
        <v>Período 1</v>
      </c>
      <c r="B3193">
        <v>40107</v>
      </c>
      <c r="C3193" t="s">
        <v>1745</v>
      </c>
      <c r="D3193" t="s">
        <v>5067</v>
      </c>
      <c r="E3193" s="3" t="str">
        <f>IF(LEN(Base_Periodo1[[#This Row],[CLASS]])&gt;=7,LEFT(Base_Periodo1[[#This Row],[CLASS]],7),"")</f>
        <v>2.1.2.1</v>
      </c>
      <c r="F3193" s="3" t="str">
        <f>VLOOKUP(Base_Periodo1[[#This Row],[Aux]],Base_Contas_Balanco[#All],2,FALSE)</f>
        <v>Fornecedores Cooperados</v>
      </c>
      <c r="G3193" s="1">
        <v>42870</v>
      </c>
      <c r="H3193" s="225">
        <v>3053.6800000000039</v>
      </c>
      <c r="I3193" s="225">
        <v>0</v>
      </c>
      <c r="J3193" s="225">
        <v>828</v>
      </c>
      <c r="K3193" s="225">
        <v>3881.6800000000039</v>
      </c>
      <c r="L31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3881.68</v>
      </c>
      <c r="M3193" s="225">
        <f>ROUND(IF(AND(Base_Periodo1[[#This Row],[Tipo_Linha]]="-",Base_Periodo1[[#This Row],[TIPOSALDO]]="D"),Base_Periodo1[[#This Row],[SALDO_ATUAL]]*-1,Base_Periodo1[[#This Row],[SALDO_ATUAL]]),4)</f>
        <v>3881.68</v>
      </c>
      <c r="N3193" t="s">
        <v>116</v>
      </c>
      <c r="O3193" t="s">
        <v>459</v>
      </c>
      <c r="P3193" t="s">
        <v>459</v>
      </c>
      <c r="Q3193">
        <v>7</v>
      </c>
      <c r="R3193" s="225">
        <f>Base_Periodo1[[#This Row],[CREDITOS]]-Base_Periodo1[[#This Row],[DEBITOS]]</f>
        <v>828</v>
      </c>
      <c r="S3193" s="3" t="str">
        <f>IF(ISERROR(VLOOKUP(Base_Periodo1[[#This Row],[CONTA]],BaseContasDRE[#All],4,FALSE)),"Fora do DRE",VLOOKUP(Base_Periodo1[[#This Row],[CONTA]],BaseContasDRE[#All],4,FALSE))</f>
        <v>Fora do DRE</v>
      </c>
      <c r="T3193" s="3" t="str">
        <f>IF(ISERROR(VLOOKUP(Base_Periodo1[[#This Row],[CONTA]],BaseContasDRE[#All],5,FALSE)),"Fora do DRE",VLOOKUP(Base_Periodo1[[#This Row],[CONTA]],BaseContasDRE[#All],6,FALSE))</f>
        <v>Fora do DRE</v>
      </c>
      <c r="U3193" s="3" t="str">
        <f>IF(ISERROR(VLOOKUP(Base_Periodo1[[#This Row],[CONTA]],BaseContasDRE[#All],7,FALSE)),"Fora do DRE",VLOOKUP(Base_Periodo1[[#This Row],[CONTA]],BaseContasDRE[#All],7,FALSE))</f>
        <v>Fora do DRE</v>
      </c>
      <c r="V3193" s="3" t="str">
        <f>IF(Base_Periodo1[[#This Row],[Tipo_Linha]]="Fora do DRE","Fora do DRE","( "&amp;Base_Periodo1[[#This Row],[Tipo_Linha]]&amp;" ) "&amp;Base_Periodo1[[#This Row],[Filtro]])</f>
        <v>Fora do DRE</v>
      </c>
      <c r="W3193" s="3" t="str">
        <f>LEFT(Base_Periodo1[[#This Row],[CLASS]],3)</f>
        <v>2.1</v>
      </c>
    </row>
    <row r="3194" spans="1:23" hidden="1">
      <c r="A3194" s="3" t="str">
        <f t="shared" si="49"/>
        <v>Período 1</v>
      </c>
      <c r="B3194">
        <v>39286</v>
      </c>
      <c r="C3194" t="s">
        <v>1745</v>
      </c>
      <c r="D3194" t="s">
        <v>4769</v>
      </c>
      <c r="E3194" s="3" t="str">
        <f>IF(LEN(Base_Periodo1[[#This Row],[CLASS]])&gt;=7,LEFT(Base_Periodo1[[#This Row],[CLASS]],7),"")</f>
        <v>2.1.2.1</v>
      </c>
      <c r="F3194" s="3" t="str">
        <f>VLOOKUP(Base_Periodo1[[#This Row],[Aux]],Base_Contas_Balanco[#All],2,FALSE)</f>
        <v>Fornecedores Cooperados</v>
      </c>
      <c r="G3194" s="1">
        <v>42835</v>
      </c>
      <c r="H3194" s="225">
        <v>1623.6200000000099</v>
      </c>
      <c r="I3194" s="225">
        <v>0</v>
      </c>
      <c r="J3194" s="225">
        <v>0</v>
      </c>
      <c r="K3194" s="225">
        <v>1623.6200000000099</v>
      </c>
      <c r="L31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1623.62</v>
      </c>
      <c r="M3194" s="225">
        <f>ROUND(IF(AND(Base_Periodo1[[#This Row],[Tipo_Linha]]="-",Base_Periodo1[[#This Row],[TIPOSALDO]]="D"),Base_Periodo1[[#This Row],[SALDO_ATUAL]]*-1,Base_Periodo1[[#This Row],[SALDO_ATUAL]]),4)</f>
        <v>1623.62</v>
      </c>
      <c r="N3194" t="s">
        <v>116</v>
      </c>
      <c r="O3194" t="s">
        <v>459</v>
      </c>
      <c r="P3194" t="s">
        <v>459</v>
      </c>
      <c r="Q3194">
        <v>7</v>
      </c>
      <c r="R3194" s="225">
        <f>Base_Periodo1[[#This Row],[CREDITOS]]-Base_Periodo1[[#This Row],[DEBITOS]]</f>
        <v>0</v>
      </c>
      <c r="S3194" s="3" t="str">
        <f>IF(ISERROR(VLOOKUP(Base_Periodo1[[#This Row],[CONTA]],BaseContasDRE[#All],4,FALSE)),"Fora do DRE",VLOOKUP(Base_Periodo1[[#This Row],[CONTA]],BaseContasDRE[#All],4,FALSE))</f>
        <v>Fora do DRE</v>
      </c>
      <c r="T3194" s="3" t="str">
        <f>IF(ISERROR(VLOOKUP(Base_Periodo1[[#This Row],[CONTA]],BaseContasDRE[#All],5,FALSE)),"Fora do DRE",VLOOKUP(Base_Periodo1[[#This Row],[CONTA]],BaseContasDRE[#All],6,FALSE))</f>
        <v>Fora do DRE</v>
      </c>
      <c r="U3194" s="3" t="str">
        <f>IF(ISERROR(VLOOKUP(Base_Periodo1[[#This Row],[CONTA]],BaseContasDRE[#All],7,FALSE)),"Fora do DRE",VLOOKUP(Base_Periodo1[[#This Row],[CONTA]],BaseContasDRE[#All],7,FALSE))</f>
        <v>Fora do DRE</v>
      </c>
      <c r="V3194" s="3" t="str">
        <f>IF(Base_Periodo1[[#This Row],[Tipo_Linha]]="Fora do DRE","Fora do DRE","( "&amp;Base_Periodo1[[#This Row],[Tipo_Linha]]&amp;" ) "&amp;Base_Periodo1[[#This Row],[Filtro]])</f>
        <v>Fora do DRE</v>
      </c>
      <c r="W3194" s="3" t="str">
        <f>LEFT(Base_Periodo1[[#This Row],[CLASS]],3)</f>
        <v>2.1</v>
      </c>
    </row>
    <row r="3195" spans="1:23" hidden="1">
      <c r="A3195" s="3" t="str">
        <f t="shared" si="49"/>
        <v>Período 1</v>
      </c>
      <c r="B3195">
        <v>2562</v>
      </c>
      <c r="C3195" t="s">
        <v>1745</v>
      </c>
      <c r="D3195" t="s">
        <v>1992</v>
      </c>
      <c r="E3195" s="3" t="str">
        <f>IF(LEN(Base_Periodo1[[#This Row],[CLASS]])&gt;=7,LEFT(Base_Periodo1[[#This Row],[CLASS]],7),"")</f>
        <v>2.1.2.1</v>
      </c>
      <c r="F3195" s="3" t="str">
        <f>VLOOKUP(Base_Periodo1[[#This Row],[Aux]],Base_Contas_Balanco[#All],2,FALSE)</f>
        <v>Fornecedores Cooperados</v>
      </c>
      <c r="G3195" s="1">
        <v>42873</v>
      </c>
      <c r="H3195" s="225">
        <v>88597.969999999274</v>
      </c>
      <c r="I3195" s="225">
        <v>39952.959999999999</v>
      </c>
      <c r="J3195" s="225">
        <v>0</v>
      </c>
      <c r="K3195" s="225">
        <v>48645.009999999274</v>
      </c>
      <c r="L31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48645.01</v>
      </c>
      <c r="M3195" s="225">
        <f>ROUND(IF(AND(Base_Periodo1[[#This Row],[Tipo_Linha]]="-",Base_Periodo1[[#This Row],[TIPOSALDO]]="D"),Base_Periodo1[[#This Row],[SALDO_ATUAL]]*-1,Base_Periodo1[[#This Row],[SALDO_ATUAL]]),4)</f>
        <v>48645.01</v>
      </c>
      <c r="N3195" t="s">
        <v>116</v>
      </c>
      <c r="O3195" t="s">
        <v>459</v>
      </c>
      <c r="P3195" t="s">
        <v>459</v>
      </c>
      <c r="Q3195">
        <v>7</v>
      </c>
      <c r="R3195" s="225">
        <f>Base_Periodo1[[#This Row],[CREDITOS]]-Base_Periodo1[[#This Row],[DEBITOS]]</f>
        <v>-39952.959999999999</v>
      </c>
      <c r="S3195" s="3" t="str">
        <f>IF(ISERROR(VLOOKUP(Base_Periodo1[[#This Row],[CONTA]],BaseContasDRE[#All],4,FALSE)),"Fora do DRE",VLOOKUP(Base_Periodo1[[#This Row],[CONTA]],BaseContasDRE[#All],4,FALSE))</f>
        <v>Fora do DRE</v>
      </c>
      <c r="T3195" s="3" t="str">
        <f>IF(ISERROR(VLOOKUP(Base_Periodo1[[#This Row],[CONTA]],BaseContasDRE[#All],5,FALSE)),"Fora do DRE",VLOOKUP(Base_Periodo1[[#This Row],[CONTA]],BaseContasDRE[#All],6,FALSE))</f>
        <v>Fora do DRE</v>
      </c>
      <c r="U3195" s="3" t="str">
        <f>IF(ISERROR(VLOOKUP(Base_Periodo1[[#This Row],[CONTA]],BaseContasDRE[#All],7,FALSE)),"Fora do DRE",VLOOKUP(Base_Periodo1[[#This Row],[CONTA]],BaseContasDRE[#All],7,FALSE))</f>
        <v>Fora do DRE</v>
      </c>
      <c r="V3195" s="3" t="str">
        <f>IF(Base_Periodo1[[#This Row],[Tipo_Linha]]="Fora do DRE","Fora do DRE","( "&amp;Base_Periodo1[[#This Row],[Tipo_Linha]]&amp;" ) "&amp;Base_Periodo1[[#This Row],[Filtro]])</f>
        <v>Fora do DRE</v>
      </c>
      <c r="W3195" s="3" t="str">
        <f>LEFT(Base_Periodo1[[#This Row],[CLASS]],3)</f>
        <v>2.1</v>
      </c>
    </row>
    <row r="3196" spans="1:23" hidden="1">
      <c r="A3196" s="3" t="str">
        <f t="shared" si="49"/>
        <v>Período 1</v>
      </c>
      <c r="B3196">
        <v>7231</v>
      </c>
      <c r="C3196" t="s">
        <v>1745</v>
      </c>
      <c r="D3196" t="s">
        <v>6407</v>
      </c>
      <c r="E3196" s="3" t="str">
        <f>IF(LEN(Base_Periodo1[[#This Row],[CLASS]])&gt;=7,LEFT(Base_Periodo1[[#This Row],[CLASS]],7),"")</f>
        <v>2.1.2.1</v>
      </c>
      <c r="F3196" s="3" t="str">
        <f>VLOOKUP(Base_Periodo1[[#This Row],[Aux]],Base_Contas_Balanco[#All],2,FALSE)</f>
        <v>Fornecedores Cooperados</v>
      </c>
      <c r="G3196" s="1">
        <v>42885</v>
      </c>
      <c r="H3196" s="225">
        <v>3730.7500000000073</v>
      </c>
      <c r="I3196" s="225">
        <v>0</v>
      </c>
      <c r="J3196" s="225">
        <v>4100</v>
      </c>
      <c r="K3196" s="225">
        <v>7830.7500000000073</v>
      </c>
      <c r="L31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7830.75</v>
      </c>
      <c r="M3196" s="225">
        <f>ROUND(IF(AND(Base_Periodo1[[#This Row],[Tipo_Linha]]="-",Base_Periodo1[[#This Row],[TIPOSALDO]]="D"),Base_Periodo1[[#This Row],[SALDO_ATUAL]]*-1,Base_Periodo1[[#This Row],[SALDO_ATUAL]]),4)</f>
        <v>7830.75</v>
      </c>
      <c r="N3196" t="s">
        <v>116</v>
      </c>
      <c r="O3196" t="s">
        <v>459</v>
      </c>
      <c r="P3196" t="s">
        <v>459</v>
      </c>
      <c r="Q3196">
        <v>7</v>
      </c>
      <c r="R3196" s="225">
        <f>Base_Periodo1[[#This Row],[CREDITOS]]-Base_Periodo1[[#This Row],[DEBITOS]]</f>
        <v>4100</v>
      </c>
      <c r="S3196" s="3" t="str">
        <f>IF(ISERROR(VLOOKUP(Base_Periodo1[[#This Row],[CONTA]],BaseContasDRE[#All],4,FALSE)),"Fora do DRE",VLOOKUP(Base_Periodo1[[#This Row],[CONTA]],BaseContasDRE[#All],4,FALSE))</f>
        <v>Fora do DRE</v>
      </c>
      <c r="T3196" s="3" t="str">
        <f>IF(ISERROR(VLOOKUP(Base_Periodo1[[#This Row],[CONTA]],BaseContasDRE[#All],5,FALSE)),"Fora do DRE",VLOOKUP(Base_Periodo1[[#This Row],[CONTA]],BaseContasDRE[#All],6,FALSE))</f>
        <v>Fora do DRE</v>
      </c>
      <c r="U3196" s="3" t="str">
        <f>IF(ISERROR(VLOOKUP(Base_Periodo1[[#This Row],[CONTA]],BaseContasDRE[#All],7,FALSE)),"Fora do DRE",VLOOKUP(Base_Periodo1[[#This Row],[CONTA]],BaseContasDRE[#All],7,FALSE))</f>
        <v>Fora do DRE</v>
      </c>
      <c r="V3196" s="3" t="str">
        <f>IF(Base_Periodo1[[#This Row],[Tipo_Linha]]="Fora do DRE","Fora do DRE","( "&amp;Base_Periodo1[[#This Row],[Tipo_Linha]]&amp;" ) "&amp;Base_Periodo1[[#This Row],[Filtro]])</f>
        <v>Fora do DRE</v>
      </c>
      <c r="W3196" s="3" t="str">
        <f>LEFT(Base_Periodo1[[#This Row],[CLASS]],3)</f>
        <v>2.1</v>
      </c>
    </row>
    <row r="3197" spans="1:23" hidden="1">
      <c r="A3197" s="3" t="str">
        <f t="shared" si="49"/>
        <v>Período 1</v>
      </c>
      <c r="B3197">
        <v>13246</v>
      </c>
      <c r="C3197" t="s">
        <v>1745</v>
      </c>
      <c r="D3197" t="s">
        <v>6896</v>
      </c>
      <c r="E3197" s="3" t="str">
        <f>IF(LEN(Base_Periodo1[[#This Row],[CLASS]])&gt;=7,LEFT(Base_Periodo1[[#This Row],[CLASS]],7),"")</f>
        <v>2.1.2.1</v>
      </c>
      <c r="F3197" s="3" t="str">
        <f>VLOOKUP(Base_Periodo1[[#This Row],[Aux]],Base_Contas_Balanco[#All],2,FALSE)</f>
        <v>Fornecedores Cooperados</v>
      </c>
      <c r="G3197" s="1">
        <v>42885</v>
      </c>
      <c r="I3197" s="225">
        <v>10537.76</v>
      </c>
      <c r="J3197" s="225">
        <v>10537.76</v>
      </c>
      <c r="K3197" s="225">
        <v>-3.637978807091713E-12</v>
      </c>
      <c r="L31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197" s="225">
        <f>ROUND(IF(AND(Base_Periodo1[[#This Row],[Tipo_Linha]]="-",Base_Periodo1[[#This Row],[TIPOSALDO]]="D"),Base_Periodo1[[#This Row],[SALDO_ATUAL]]*-1,Base_Periodo1[[#This Row],[SALDO_ATUAL]]),4)</f>
        <v>0</v>
      </c>
      <c r="N3197" t="s">
        <v>116</v>
      </c>
      <c r="O3197" t="s">
        <v>436</v>
      </c>
      <c r="P3197" t="s">
        <v>436</v>
      </c>
      <c r="Q3197">
        <v>7</v>
      </c>
      <c r="R3197" s="225">
        <f>Base_Periodo1[[#This Row],[CREDITOS]]-Base_Periodo1[[#This Row],[DEBITOS]]</f>
        <v>0</v>
      </c>
      <c r="S3197" s="3" t="str">
        <f>IF(ISERROR(VLOOKUP(Base_Periodo1[[#This Row],[CONTA]],BaseContasDRE[#All],4,FALSE)),"Fora do DRE",VLOOKUP(Base_Periodo1[[#This Row],[CONTA]],BaseContasDRE[#All],4,FALSE))</f>
        <v>Fora do DRE</v>
      </c>
      <c r="T3197" s="3" t="str">
        <f>IF(ISERROR(VLOOKUP(Base_Periodo1[[#This Row],[CONTA]],BaseContasDRE[#All],5,FALSE)),"Fora do DRE",VLOOKUP(Base_Periodo1[[#This Row],[CONTA]],BaseContasDRE[#All],6,FALSE))</f>
        <v>Fora do DRE</v>
      </c>
      <c r="U3197" s="3" t="str">
        <f>IF(ISERROR(VLOOKUP(Base_Periodo1[[#This Row],[CONTA]],BaseContasDRE[#All],7,FALSE)),"Fora do DRE",VLOOKUP(Base_Periodo1[[#This Row],[CONTA]],BaseContasDRE[#All],7,FALSE))</f>
        <v>Fora do DRE</v>
      </c>
      <c r="V3197" s="3" t="str">
        <f>IF(Base_Periodo1[[#This Row],[Tipo_Linha]]="Fora do DRE","Fora do DRE","( "&amp;Base_Periodo1[[#This Row],[Tipo_Linha]]&amp;" ) "&amp;Base_Periodo1[[#This Row],[Filtro]])</f>
        <v>Fora do DRE</v>
      </c>
      <c r="W3197" s="3" t="str">
        <f>LEFT(Base_Periodo1[[#This Row],[CLASS]],3)</f>
        <v>2.1</v>
      </c>
    </row>
    <row r="3198" spans="1:23" hidden="1">
      <c r="A3198" s="3" t="str">
        <f t="shared" si="49"/>
        <v>Período 1</v>
      </c>
      <c r="B3198">
        <v>46922</v>
      </c>
      <c r="C3198" t="s">
        <v>1745</v>
      </c>
      <c r="D3198" t="s">
        <v>5227</v>
      </c>
      <c r="E3198" s="3" t="str">
        <f>IF(LEN(Base_Periodo1[[#This Row],[CLASS]])&gt;=7,LEFT(Base_Periodo1[[#This Row],[CLASS]],7),"")</f>
        <v>2.1.2.1</v>
      </c>
      <c r="F3198" s="3" t="str">
        <f>VLOOKUP(Base_Periodo1[[#This Row],[Aux]],Base_Contas_Balanco[#All],2,FALSE)</f>
        <v>Fornecedores Cooperados</v>
      </c>
      <c r="G3198" s="1">
        <v>42774</v>
      </c>
      <c r="H3198" s="225">
        <v>6047.1000000000058</v>
      </c>
      <c r="I3198" s="225">
        <v>0</v>
      </c>
      <c r="J3198" s="225">
        <v>0</v>
      </c>
      <c r="K3198" s="225">
        <v>6047.1000000000058</v>
      </c>
      <c r="L31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6047.1</v>
      </c>
      <c r="M3198" s="225">
        <f>ROUND(IF(AND(Base_Periodo1[[#This Row],[Tipo_Linha]]="-",Base_Periodo1[[#This Row],[TIPOSALDO]]="D"),Base_Periodo1[[#This Row],[SALDO_ATUAL]]*-1,Base_Periodo1[[#This Row],[SALDO_ATUAL]]),4)</f>
        <v>6047.1</v>
      </c>
      <c r="N3198" t="s">
        <v>116</v>
      </c>
      <c r="O3198" t="s">
        <v>459</v>
      </c>
      <c r="P3198" t="s">
        <v>459</v>
      </c>
      <c r="Q3198">
        <v>7</v>
      </c>
      <c r="R3198" s="225">
        <f>Base_Periodo1[[#This Row],[CREDITOS]]-Base_Periodo1[[#This Row],[DEBITOS]]</f>
        <v>0</v>
      </c>
      <c r="S3198" s="3" t="str">
        <f>IF(ISERROR(VLOOKUP(Base_Periodo1[[#This Row],[CONTA]],BaseContasDRE[#All],4,FALSE)),"Fora do DRE",VLOOKUP(Base_Periodo1[[#This Row],[CONTA]],BaseContasDRE[#All],4,FALSE))</f>
        <v>Fora do DRE</v>
      </c>
      <c r="T3198" s="3" t="str">
        <f>IF(ISERROR(VLOOKUP(Base_Periodo1[[#This Row],[CONTA]],BaseContasDRE[#All],5,FALSE)),"Fora do DRE",VLOOKUP(Base_Periodo1[[#This Row],[CONTA]],BaseContasDRE[#All],6,FALSE))</f>
        <v>Fora do DRE</v>
      </c>
      <c r="U3198" s="3" t="str">
        <f>IF(ISERROR(VLOOKUP(Base_Periodo1[[#This Row],[CONTA]],BaseContasDRE[#All],7,FALSE)),"Fora do DRE",VLOOKUP(Base_Periodo1[[#This Row],[CONTA]],BaseContasDRE[#All],7,FALSE))</f>
        <v>Fora do DRE</v>
      </c>
      <c r="V3198" s="3" t="str">
        <f>IF(Base_Periodo1[[#This Row],[Tipo_Linha]]="Fora do DRE","Fora do DRE","( "&amp;Base_Periodo1[[#This Row],[Tipo_Linha]]&amp;" ) "&amp;Base_Periodo1[[#This Row],[Filtro]])</f>
        <v>Fora do DRE</v>
      </c>
      <c r="W3198" s="3" t="str">
        <f>LEFT(Base_Periodo1[[#This Row],[CLASS]],3)</f>
        <v>2.1</v>
      </c>
    </row>
    <row r="3199" spans="1:23" hidden="1">
      <c r="A3199" s="3" t="str">
        <f t="shared" si="49"/>
        <v>Período 1</v>
      </c>
      <c r="B3199">
        <v>39134</v>
      </c>
      <c r="C3199" t="s">
        <v>1745</v>
      </c>
      <c r="D3199" t="s">
        <v>1993</v>
      </c>
      <c r="E3199" s="3" t="str">
        <f>IF(LEN(Base_Periodo1[[#This Row],[CLASS]])&gt;=7,LEFT(Base_Periodo1[[#This Row],[CLASS]],7),"")</f>
        <v>2.1.2.1</v>
      </c>
      <c r="F3199" s="3" t="str">
        <f>VLOOKUP(Base_Periodo1[[#This Row],[Aux]],Base_Contas_Balanco[#All],2,FALSE)</f>
        <v>Fornecedores Cooperados</v>
      </c>
      <c r="G3199" s="1">
        <v>42880</v>
      </c>
      <c r="H3199" s="225">
        <v>12715.999999999942</v>
      </c>
      <c r="I3199" s="225">
        <v>0</v>
      </c>
      <c r="J3199" s="225">
        <v>40501.910000000003</v>
      </c>
      <c r="K3199" s="225">
        <v>53217.909999999945</v>
      </c>
      <c r="L31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53217.91</v>
      </c>
      <c r="M3199" s="225">
        <f>ROUND(IF(AND(Base_Periodo1[[#This Row],[Tipo_Linha]]="-",Base_Periodo1[[#This Row],[TIPOSALDO]]="D"),Base_Periodo1[[#This Row],[SALDO_ATUAL]]*-1,Base_Periodo1[[#This Row],[SALDO_ATUAL]]),4)</f>
        <v>53217.91</v>
      </c>
      <c r="N3199" t="s">
        <v>116</v>
      </c>
      <c r="O3199" t="s">
        <v>459</v>
      </c>
      <c r="P3199" t="s">
        <v>459</v>
      </c>
      <c r="Q3199">
        <v>7</v>
      </c>
      <c r="R3199" s="225">
        <f>Base_Periodo1[[#This Row],[CREDITOS]]-Base_Periodo1[[#This Row],[DEBITOS]]</f>
        <v>40501.910000000003</v>
      </c>
      <c r="S3199" s="3" t="str">
        <f>IF(ISERROR(VLOOKUP(Base_Periodo1[[#This Row],[CONTA]],BaseContasDRE[#All],4,FALSE)),"Fora do DRE",VLOOKUP(Base_Periodo1[[#This Row],[CONTA]],BaseContasDRE[#All],4,FALSE))</f>
        <v>Fora do DRE</v>
      </c>
      <c r="T3199" s="3" t="str">
        <f>IF(ISERROR(VLOOKUP(Base_Periodo1[[#This Row],[CONTA]],BaseContasDRE[#All],5,FALSE)),"Fora do DRE",VLOOKUP(Base_Periodo1[[#This Row],[CONTA]],BaseContasDRE[#All],6,FALSE))</f>
        <v>Fora do DRE</v>
      </c>
      <c r="U3199" s="3" t="str">
        <f>IF(ISERROR(VLOOKUP(Base_Periodo1[[#This Row],[CONTA]],BaseContasDRE[#All],7,FALSE)),"Fora do DRE",VLOOKUP(Base_Periodo1[[#This Row],[CONTA]],BaseContasDRE[#All],7,FALSE))</f>
        <v>Fora do DRE</v>
      </c>
      <c r="V3199" s="3" t="str">
        <f>IF(Base_Periodo1[[#This Row],[Tipo_Linha]]="Fora do DRE","Fora do DRE","( "&amp;Base_Periodo1[[#This Row],[Tipo_Linha]]&amp;" ) "&amp;Base_Periodo1[[#This Row],[Filtro]])</f>
        <v>Fora do DRE</v>
      </c>
      <c r="W3199" s="3" t="str">
        <f>LEFT(Base_Periodo1[[#This Row],[CLASS]],3)</f>
        <v>2.1</v>
      </c>
    </row>
    <row r="3200" spans="1:23" hidden="1">
      <c r="A3200" s="3" t="str">
        <f t="shared" si="49"/>
        <v>Período 1</v>
      </c>
      <c r="B3200">
        <v>17982</v>
      </c>
      <c r="C3200" t="s">
        <v>1745</v>
      </c>
      <c r="D3200" t="s">
        <v>1994</v>
      </c>
      <c r="E3200" s="3" t="str">
        <f>IF(LEN(Base_Periodo1[[#This Row],[CLASS]])&gt;=7,LEFT(Base_Periodo1[[#This Row],[CLASS]],7),"")</f>
        <v>2.1.2.1</v>
      </c>
      <c r="F3200" s="3" t="str">
        <f>VLOOKUP(Base_Periodo1[[#This Row],[Aux]],Base_Contas_Balanco[#All],2,FALSE)</f>
        <v>Fornecedores Cooperados</v>
      </c>
      <c r="G3200" s="1">
        <v>42611</v>
      </c>
      <c r="H3200" s="225">
        <v>288.27999999999884</v>
      </c>
      <c r="I3200" s="225">
        <v>0</v>
      </c>
      <c r="J3200" s="225">
        <v>0</v>
      </c>
      <c r="K3200" s="225">
        <v>288.27999999999884</v>
      </c>
      <c r="L32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288.27999999999997</v>
      </c>
      <c r="M3200" s="225">
        <f>ROUND(IF(AND(Base_Periodo1[[#This Row],[Tipo_Linha]]="-",Base_Periodo1[[#This Row],[TIPOSALDO]]="D"),Base_Periodo1[[#This Row],[SALDO_ATUAL]]*-1,Base_Periodo1[[#This Row],[SALDO_ATUAL]]),4)</f>
        <v>288.27999999999997</v>
      </c>
      <c r="N3200" t="s">
        <v>116</v>
      </c>
      <c r="O3200" t="s">
        <v>459</v>
      </c>
      <c r="P3200" t="s">
        <v>459</v>
      </c>
      <c r="Q3200">
        <v>7</v>
      </c>
      <c r="R3200" s="225">
        <f>Base_Periodo1[[#This Row],[CREDITOS]]-Base_Periodo1[[#This Row],[DEBITOS]]</f>
        <v>0</v>
      </c>
      <c r="S3200" s="3" t="str">
        <f>IF(ISERROR(VLOOKUP(Base_Periodo1[[#This Row],[CONTA]],BaseContasDRE[#All],4,FALSE)),"Fora do DRE",VLOOKUP(Base_Periodo1[[#This Row],[CONTA]],BaseContasDRE[#All],4,FALSE))</f>
        <v>Fora do DRE</v>
      </c>
      <c r="T3200" s="3" t="str">
        <f>IF(ISERROR(VLOOKUP(Base_Periodo1[[#This Row],[CONTA]],BaseContasDRE[#All],5,FALSE)),"Fora do DRE",VLOOKUP(Base_Periodo1[[#This Row],[CONTA]],BaseContasDRE[#All],6,FALSE))</f>
        <v>Fora do DRE</v>
      </c>
      <c r="U3200" s="3" t="str">
        <f>IF(ISERROR(VLOOKUP(Base_Periodo1[[#This Row],[CONTA]],BaseContasDRE[#All],7,FALSE)),"Fora do DRE",VLOOKUP(Base_Periodo1[[#This Row],[CONTA]],BaseContasDRE[#All],7,FALSE))</f>
        <v>Fora do DRE</v>
      </c>
      <c r="V3200" s="3" t="str">
        <f>IF(Base_Periodo1[[#This Row],[Tipo_Linha]]="Fora do DRE","Fora do DRE","( "&amp;Base_Periodo1[[#This Row],[Tipo_Linha]]&amp;" ) "&amp;Base_Periodo1[[#This Row],[Filtro]])</f>
        <v>Fora do DRE</v>
      </c>
      <c r="W3200" s="3" t="str">
        <f>LEFT(Base_Periodo1[[#This Row],[CLASS]],3)</f>
        <v>2.1</v>
      </c>
    </row>
    <row r="3201" spans="1:23" hidden="1">
      <c r="A3201" s="3" t="str">
        <f t="shared" si="49"/>
        <v>Período 1</v>
      </c>
      <c r="B3201">
        <v>54252</v>
      </c>
      <c r="C3201" t="s">
        <v>1745</v>
      </c>
      <c r="D3201" t="s">
        <v>2214</v>
      </c>
      <c r="E3201" s="3" t="str">
        <f>IF(LEN(Base_Periodo1[[#This Row],[CLASS]])&gt;=7,LEFT(Base_Periodo1[[#This Row],[CLASS]],7),"")</f>
        <v>2.1.2.1</v>
      </c>
      <c r="F3201" s="3" t="str">
        <f>VLOOKUP(Base_Periodo1[[#This Row],[Aux]],Base_Contas_Balanco[#All],2,FALSE)</f>
        <v>Fornecedores Cooperados</v>
      </c>
      <c r="G3201" s="1">
        <v>42881</v>
      </c>
      <c r="H3201" s="225">
        <v>65224.310000000027</v>
      </c>
      <c r="I3201" s="225">
        <v>26833.300000000003</v>
      </c>
      <c r="J3201" s="225">
        <v>55744.22</v>
      </c>
      <c r="K3201" s="225">
        <v>94135.230000000025</v>
      </c>
      <c r="L32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94135.23</v>
      </c>
      <c r="M3201" s="225">
        <f>ROUND(IF(AND(Base_Periodo1[[#This Row],[Tipo_Linha]]="-",Base_Periodo1[[#This Row],[TIPOSALDO]]="D"),Base_Periodo1[[#This Row],[SALDO_ATUAL]]*-1,Base_Periodo1[[#This Row],[SALDO_ATUAL]]),4)</f>
        <v>94135.23</v>
      </c>
      <c r="N3201" t="s">
        <v>116</v>
      </c>
      <c r="O3201" t="s">
        <v>459</v>
      </c>
      <c r="P3201" t="s">
        <v>459</v>
      </c>
      <c r="Q3201">
        <v>7</v>
      </c>
      <c r="R3201" s="225">
        <f>Base_Periodo1[[#This Row],[CREDITOS]]-Base_Periodo1[[#This Row],[DEBITOS]]</f>
        <v>28910.92</v>
      </c>
      <c r="S3201" s="3" t="str">
        <f>IF(ISERROR(VLOOKUP(Base_Periodo1[[#This Row],[CONTA]],BaseContasDRE[#All],4,FALSE)),"Fora do DRE",VLOOKUP(Base_Periodo1[[#This Row],[CONTA]],BaseContasDRE[#All],4,FALSE))</f>
        <v>Fora do DRE</v>
      </c>
      <c r="T3201" s="3" t="str">
        <f>IF(ISERROR(VLOOKUP(Base_Periodo1[[#This Row],[CONTA]],BaseContasDRE[#All],5,FALSE)),"Fora do DRE",VLOOKUP(Base_Periodo1[[#This Row],[CONTA]],BaseContasDRE[#All],6,FALSE))</f>
        <v>Fora do DRE</v>
      </c>
      <c r="U3201" s="3" t="str">
        <f>IF(ISERROR(VLOOKUP(Base_Periodo1[[#This Row],[CONTA]],BaseContasDRE[#All],7,FALSE)),"Fora do DRE",VLOOKUP(Base_Periodo1[[#This Row],[CONTA]],BaseContasDRE[#All],7,FALSE))</f>
        <v>Fora do DRE</v>
      </c>
      <c r="V3201" s="3" t="str">
        <f>IF(Base_Periodo1[[#This Row],[Tipo_Linha]]="Fora do DRE","Fora do DRE","( "&amp;Base_Periodo1[[#This Row],[Tipo_Linha]]&amp;" ) "&amp;Base_Periodo1[[#This Row],[Filtro]])</f>
        <v>Fora do DRE</v>
      </c>
      <c r="W3201" s="3" t="str">
        <f>LEFT(Base_Periodo1[[#This Row],[CLASS]],3)</f>
        <v>2.1</v>
      </c>
    </row>
    <row r="3202" spans="1:23" hidden="1">
      <c r="A3202" s="3" t="str">
        <f t="shared" si="49"/>
        <v>Período 1</v>
      </c>
      <c r="B3202">
        <v>56482</v>
      </c>
      <c r="C3202" t="s">
        <v>1745</v>
      </c>
      <c r="D3202" t="s">
        <v>6408</v>
      </c>
      <c r="E3202" s="3" t="str">
        <f>IF(LEN(Base_Periodo1[[#This Row],[CLASS]])&gt;=7,LEFT(Base_Periodo1[[#This Row],[CLASS]],7),"")</f>
        <v>2.1.2.1</v>
      </c>
      <c r="F3202" s="3" t="str">
        <f>VLOOKUP(Base_Periodo1[[#This Row],[Aux]],Base_Contas_Balanco[#All],2,FALSE)</f>
        <v>Fornecedores Cooperados</v>
      </c>
      <c r="G3202" s="1">
        <v>42880</v>
      </c>
      <c r="H3202" s="225">
        <v>311703.39</v>
      </c>
      <c r="I3202" s="225">
        <v>51000</v>
      </c>
      <c r="J3202" s="225">
        <v>0</v>
      </c>
      <c r="K3202" s="225">
        <v>260703.39</v>
      </c>
      <c r="L32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260703.39</v>
      </c>
      <c r="M3202" s="225">
        <f>ROUND(IF(AND(Base_Periodo1[[#This Row],[Tipo_Linha]]="-",Base_Periodo1[[#This Row],[TIPOSALDO]]="D"),Base_Periodo1[[#This Row],[SALDO_ATUAL]]*-1,Base_Periodo1[[#This Row],[SALDO_ATUAL]]),4)</f>
        <v>260703.39</v>
      </c>
      <c r="N3202" t="s">
        <v>116</v>
      </c>
      <c r="O3202" t="s">
        <v>459</v>
      </c>
      <c r="P3202" t="s">
        <v>459</v>
      </c>
      <c r="Q3202">
        <v>7</v>
      </c>
      <c r="R3202" s="225">
        <f>Base_Periodo1[[#This Row],[CREDITOS]]-Base_Periodo1[[#This Row],[DEBITOS]]</f>
        <v>-51000</v>
      </c>
      <c r="S3202" s="3" t="str">
        <f>IF(ISERROR(VLOOKUP(Base_Periodo1[[#This Row],[CONTA]],BaseContasDRE[#All],4,FALSE)),"Fora do DRE",VLOOKUP(Base_Periodo1[[#This Row],[CONTA]],BaseContasDRE[#All],4,FALSE))</f>
        <v>Fora do DRE</v>
      </c>
      <c r="T3202" s="3" t="str">
        <f>IF(ISERROR(VLOOKUP(Base_Periodo1[[#This Row],[CONTA]],BaseContasDRE[#All],5,FALSE)),"Fora do DRE",VLOOKUP(Base_Periodo1[[#This Row],[CONTA]],BaseContasDRE[#All],6,FALSE))</f>
        <v>Fora do DRE</v>
      </c>
      <c r="U3202" s="3" t="str">
        <f>IF(ISERROR(VLOOKUP(Base_Periodo1[[#This Row],[CONTA]],BaseContasDRE[#All],7,FALSE)),"Fora do DRE",VLOOKUP(Base_Periodo1[[#This Row],[CONTA]],BaseContasDRE[#All],7,FALSE))</f>
        <v>Fora do DRE</v>
      </c>
      <c r="V3202" s="3" t="str">
        <f>IF(Base_Periodo1[[#This Row],[Tipo_Linha]]="Fora do DRE","Fora do DRE","( "&amp;Base_Periodo1[[#This Row],[Tipo_Linha]]&amp;" ) "&amp;Base_Periodo1[[#This Row],[Filtro]])</f>
        <v>Fora do DRE</v>
      </c>
      <c r="W3202" s="3" t="str">
        <f>LEFT(Base_Periodo1[[#This Row],[CLASS]],3)</f>
        <v>2.1</v>
      </c>
    </row>
    <row r="3203" spans="1:23" hidden="1">
      <c r="A3203" s="3" t="str">
        <f t="shared" si="49"/>
        <v>Período 1</v>
      </c>
      <c r="B3203">
        <v>2358</v>
      </c>
      <c r="C3203" t="s">
        <v>1745</v>
      </c>
      <c r="D3203" t="s">
        <v>1995</v>
      </c>
      <c r="E3203" s="3" t="str">
        <f>IF(LEN(Base_Periodo1[[#This Row],[CLASS]])&gt;=7,LEFT(Base_Periodo1[[#This Row],[CLASS]],7),"")</f>
        <v>2.1.2.1</v>
      </c>
      <c r="F3203" s="3" t="str">
        <f>VLOOKUP(Base_Periodo1[[#This Row],[Aux]],Base_Contas_Balanco[#All],2,FALSE)</f>
        <v>Fornecedores Cooperados</v>
      </c>
      <c r="G3203" s="1">
        <v>42873</v>
      </c>
      <c r="H3203" s="225">
        <v>6501.0800000001909</v>
      </c>
      <c r="I3203" s="225">
        <v>4420</v>
      </c>
      <c r="J3203" s="225">
        <v>110515.84</v>
      </c>
      <c r="K3203" s="225">
        <v>112596.92000000019</v>
      </c>
      <c r="L32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112596.92</v>
      </c>
      <c r="M3203" s="225">
        <f>ROUND(IF(AND(Base_Periodo1[[#This Row],[Tipo_Linha]]="-",Base_Periodo1[[#This Row],[TIPOSALDO]]="D"),Base_Periodo1[[#This Row],[SALDO_ATUAL]]*-1,Base_Periodo1[[#This Row],[SALDO_ATUAL]]),4)</f>
        <v>112596.92</v>
      </c>
      <c r="N3203" t="s">
        <v>116</v>
      </c>
      <c r="O3203" t="s">
        <v>459</v>
      </c>
      <c r="P3203" t="s">
        <v>459</v>
      </c>
      <c r="Q3203">
        <v>7</v>
      </c>
      <c r="R3203" s="225">
        <f>Base_Periodo1[[#This Row],[CREDITOS]]-Base_Periodo1[[#This Row],[DEBITOS]]</f>
        <v>106095.84</v>
      </c>
      <c r="S3203" s="3" t="str">
        <f>IF(ISERROR(VLOOKUP(Base_Periodo1[[#This Row],[CONTA]],BaseContasDRE[#All],4,FALSE)),"Fora do DRE",VLOOKUP(Base_Periodo1[[#This Row],[CONTA]],BaseContasDRE[#All],4,FALSE))</f>
        <v>Fora do DRE</v>
      </c>
      <c r="T3203" s="3" t="str">
        <f>IF(ISERROR(VLOOKUP(Base_Periodo1[[#This Row],[CONTA]],BaseContasDRE[#All],5,FALSE)),"Fora do DRE",VLOOKUP(Base_Periodo1[[#This Row],[CONTA]],BaseContasDRE[#All],6,FALSE))</f>
        <v>Fora do DRE</v>
      </c>
      <c r="U3203" s="3" t="str">
        <f>IF(ISERROR(VLOOKUP(Base_Periodo1[[#This Row],[CONTA]],BaseContasDRE[#All],7,FALSE)),"Fora do DRE",VLOOKUP(Base_Periodo1[[#This Row],[CONTA]],BaseContasDRE[#All],7,FALSE))</f>
        <v>Fora do DRE</v>
      </c>
      <c r="V3203" s="3" t="str">
        <f>IF(Base_Periodo1[[#This Row],[Tipo_Linha]]="Fora do DRE","Fora do DRE","( "&amp;Base_Periodo1[[#This Row],[Tipo_Linha]]&amp;" ) "&amp;Base_Periodo1[[#This Row],[Filtro]])</f>
        <v>Fora do DRE</v>
      </c>
      <c r="W3203" s="3" t="str">
        <f>LEFT(Base_Periodo1[[#This Row],[CLASS]],3)</f>
        <v>2.1</v>
      </c>
    </row>
    <row r="3204" spans="1:23" hidden="1">
      <c r="A3204" s="3" t="str">
        <f t="shared" si="49"/>
        <v>Período 1</v>
      </c>
      <c r="B3204">
        <v>3978</v>
      </c>
      <c r="C3204" t="s">
        <v>1745</v>
      </c>
      <c r="D3204" t="s">
        <v>1996</v>
      </c>
      <c r="E3204" s="3" t="str">
        <f>IF(LEN(Base_Periodo1[[#This Row],[CLASS]])&gt;=7,LEFT(Base_Periodo1[[#This Row],[CLASS]],7),"")</f>
        <v>2.1.2.1</v>
      </c>
      <c r="F3204" s="3" t="str">
        <f>VLOOKUP(Base_Periodo1[[#This Row],[Aux]],Base_Contas_Balanco[#All],2,FALSE)</f>
        <v>Fornecedores Cooperados</v>
      </c>
      <c r="G3204" s="1">
        <v>42884</v>
      </c>
      <c r="H3204" s="225">
        <v>16962.930000000168</v>
      </c>
      <c r="I3204" s="225">
        <v>0</v>
      </c>
      <c r="J3204" s="225">
        <v>104604.11</v>
      </c>
      <c r="K3204" s="225">
        <v>121567.04000000017</v>
      </c>
      <c r="L32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121567.03999999999</v>
      </c>
      <c r="M3204" s="225">
        <f>ROUND(IF(AND(Base_Periodo1[[#This Row],[Tipo_Linha]]="-",Base_Periodo1[[#This Row],[TIPOSALDO]]="D"),Base_Periodo1[[#This Row],[SALDO_ATUAL]]*-1,Base_Periodo1[[#This Row],[SALDO_ATUAL]]),4)</f>
        <v>121567.03999999999</v>
      </c>
      <c r="N3204" t="s">
        <v>116</v>
      </c>
      <c r="O3204" t="s">
        <v>459</v>
      </c>
      <c r="P3204" t="s">
        <v>459</v>
      </c>
      <c r="Q3204">
        <v>7</v>
      </c>
      <c r="R3204" s="225">
        <f>Base_Periodo1[[#This Row],[CREDITOS]]-Base_Periodo1[[#This Row],[DEBITOS]]</f>
        <v>104604.11</v>
      </c>
      <c r="S3204" s="3" t="str">
        <f>IF(ISERROR(VLOOKUP(Base_Periodo1[[#This Row],[CONTA]],BaseContasDRE[#All],4,FALSE)),"Fora do DRE",VLOOKUP(Base_Periodo1[[#This Row],[CONTA]],BaseContasDRE[#All],4,FALSE))</f>
        <v>Fora do DRE</v>
      </c>
      <c r="T3204" s="3" t="str">
        <f>IF(ISERROR(VLOOKUP(Base_Periodo1[[#This Row],[CONTA]],BaseContasDRE[#All],5,FALSE)),"Fora do DRE",VLOOKUP(Base_Periodo1[[#This Row],[CONTA]],BaseContasDRE[#All],6,FALSE))</f>
        <v>Fora do DRE</v>
      </c>
      <c r="U3204" s="3" t="str">
        <f>IF(ISERROR(VLOOKUP(Base_Periodo1[[#This Row],[CONTA]],BaseContasDRE[#All],7,FALSE)),"Fora do DRE",VLOOKUP(Base_Periodo1[[#This Row],[CONTA]],BaseContasDRE[#All],7,FALSE))</f>
        <v>Fora do DRE</v>
      </c>
      <c r="V3204" s="3" t="str">
        <f>IF(Base_Periodo1[[#This Row],[Tipo_Linha]]="Fora do DRE","Fora do DRE","( "&amp;Base_Periodo1[[#This Row],[Tipo_Linha]]&amp;" ) "&amp;Base_Periodo1[[#This Row],[Filtro]])</f>
        <v>Fora do DRE</v>
      </c>
      <c r="W3204" s="3" t="str">
        <f>LEFT(Base_Periodo1[[#This Row],[CLASS]],3)</f>
        <v>2.1</v>
      </c>
    </row>
    <row r="3205" spans="1:23" hidden="1">
      <c r="A3205" s="3" t="str">
        <f t="shared" si="49"/>
        <v>Período 1</v>
      </c>
      <c r="B3205">
        <v>2214</v>
      </c>
      <c r="C3205" t="s">
        <v>1745</v>
      </c>
      <c r="D3205" t="s">
        <v>1997</v>
      </c>
      <c r="E3205" s="3" t="str">
        <f>IF(LEN(Base_Periodo1[[#This Row],[CLASS]])&gt;=7,LEFT(Base_Periodo1[[#This Row],[CLASS]],7),"")</f>
        <v>2.1.2.1</v>
      </c>
      <c r="F3205" s="3" t="str">
        <f>VLOOKUP(Base_Periodo1[[#This Row],[Aux]],Base_Contas_Balanco[#All],2,FALSE)</f>
        <v>Fornecedores Cooperados</v>
      </c>
      <c r="G3205" s="1">
        <v>42046</v>
      </c>
      <c r="H3205" s="225">
        <v>9.9999999802093953E-3</v>
      </c>
      <c r="I3205" s="225">
        <v>0</v>
      </c>
      <c r="J3205" s="225">
        <v>0</v>
      </c>
      <c r="K3205" s="225">
        <v>9.9999999802093953E-3</v>
      </c>
      <c r="L32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205" s="225">
        <f>ROUND(IF(AND(Base_Periodo1[[#This Row],[Tipo_Linha]]="-",Base_Periodo1[[#This Row],[TIPOSALDO]]="D"),Base_Periodo1[[#This Row],[SALDO_ATUAL]]*-1,Base_Periodo1[[#This Row],[SALDO_ATUAL]]),4)</f>
        <v>0.01</v>
      </c>
      <c r="N3205" t="s">
        <v>116</v>
      </c>
      <c r="O3205" t="s">
        <v>459</v>
      </c>
      <c r="P3205" t="s">
        <v>459</v>
      </c>
      <c r="Q3205">
        <v>7</v>
      </c>
      <c r="R3205" s="225">
        <f>Base_Periodo1[[#This Row],[CREDITOS]]-Base_Periodo1[[#This Row],[DEBITOS]]</f>
        <v>0</v>
      </c>
      <c r="S3205" s="3" t="str">
        <f>IF(ISERROR(VLOOKUP(Base_Periodo1[[#This Row],[CONTA]],BaseContasDRE[#All],4,FALSE)),"Fora do DRE",VLOOKUP(Base_Periodo1[[#This Row],[CONTA]],BaseContasDRE[#All],4,FALSE))</f>
        <v>Fora do DRE</v>
      </c>
      <c r="T3205" s="3" t="str">
        <f>IF(ISERROR(VLOOKUP(Base_Periodo1[[#This Row],[CONTA]],BaseContasDRE[#All],5,FALSE)),"Fora do DRE",VLOOKUP(Base_Periodo1[[#This Row],[CONTA]],BaseContasDRE[#All],6,FALSE))</f>
        <v>Fora do DRE</v>
      </c>
      <c r="U3205" s="3" t="str">
        <f>IF(ISERROR(VLOOKUP(Base_Periodo1[[#This Row],[CONTA]],BaseContasDRE[#All],7,FALSE)),"Fora do DRE",VLOOKUP(Base_Periodo1[[#This Row],[CONTA]],BaseContasDRE[#All],7,FALSE))</f>
        <v>Fora do DRE</v>
      </c>
      <c r="V3205" s="3" t="str">
        <f>IF(Base_Periodo1[[#This Row],[Tipo_Linha]]="Fora do DRE","Fora do DRE","( "&amp;Base_Periodo1[[#This Row],[Tipo_Linha]]&amp;" ) "&amp;Base_Periodo1[[#This Row],[Filtro]])</f>
        <v>Fora do DRE</v>
      </c>
      <c r="W3205" s="3" t="str">
        <f>LEFT(Base_Periodo1[[#This Row],[CLASS]],3)</f>
        <v>2.1</v>
      </c>
    </row>
    <row r="3206" spans="1:23" hidden="1">
      <c r="A3206" s="3" t="str">
        <f t="shared" ref="A3206:A3269" si="50">"Período 1"</f>
        <v>Período 1</v>
      </c>
      <c r="B3206">
        <v>47286</v>
      </c>
      <c r="C3206" t="s">
        <v>1745</v>
      </c>
      <c r="D3206" t="s">
        <v>5068</v>
      </c>
      <c r="E3206" s="3" t="str">
        <f>IF(LEN(Base_Periodo1[[#This Row],[CLASS]])&gt;=7,LEFT(Base_Periodo1[[#This Row],[CLASS]],7),"")</f>
        <v>2.1.2.1</v>
      </c>
      <c r="F3206" s="3" t="str">
        <f>VLOOKUP(Base_Periodo1[[#This Row],[Aux]],Base_Contas_Balanco[#All],2,FALSE)</f>
        <v>Fornecedores Cooperados</v>
      </c>
      <c r="G3206" s="1">
        <v>42661</v>
      </c>
      <c r="H3206" s="225">
        <v>1.0000000000218279E-2</v>
      </c>
      <c r="I3206" s="225">
        <v>0</v>
      </c>
      <c r="J3206" s="225">
        <v>0</v>
      </c>
      <c r="K3206" s="225">
        <v>1.0000000000218279E-2</v>
      </c>
      <c r="L32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206" s="225">
        <f>ROUND(IF(AND(Base_Periodo1[[#This Row],[Tipo_Linha]]="-",Base_Periodo1[[#This Row],[TIPOSALDO]]="D"),Base_Periodo1[[#This Row],[SALDO_ATUAL]]*-1,Base_Periodo1[[#This Row],[SALDO_ATUAL]]),4)</f>
        <v>0.01</v>
      </c>
      <c r="N3206" t="s">
        <v>116</v>
      </c>
      <c r="O3206" t="s">
        <v>459</v>
      </c>
      <c r="P3206" t="s">
        <v>459</v>
      </c>
      <c r="Q3206">
        <v>7</v>
      </c>
      <c r="R3206" s="225">
        <f>Base_Periodo1[[#This Row],[CREDITOS]]-Base_Periodo1[[#This Row],[DEBITOS]]</f>
        <v>0</v>
      </c>
      <c r="S3206" s="3" t="str">
        <f>IF(ISERROR(VLOOKUP(Base_Periodo1[[#This Row],[CONTA]],BaseContasDRE[#All],4,FALSE)),"Fora do DRE",VLOOKUP(Base_Periodo1[[#This Row],[CONTA]],BaseContasDRE[#All],4,FALSE))</f>
        <v>Fora do DRE</v>
      </c>
      <c r="T3206" s="3" t="str">
        <f>IF(ISERROR(VLOOKUP(Base_Periodo1[[#This Row],[CONTA]],BaseContasDRE[#All],5,FALSE)),"Fora do DRE",VLOOKUP(Base_Periodo1[[#This Row],[CONTA]],BaseContasDRE[#All],6,FALSE))</f>
        <v>Fora do DRE</v>
      </c>
      <c r="U3206" s="3" t="str">
        <f>IF(ISERROR(VLOOKUP(Base_Periodo1[[#This Row],[CONTA]],BaseContasDRE[#All],7,FALSE)),"Fora do DRE",VLOOKUP(Base_Periodo1[[#This Row],[CONTA]],BaseContasDRE[#All],7,FALSE))</f>
        <v>Fora do DRE</v>
      </c>
      <c r="V3206" s="3" t="str">
        <f>IF(Base_Periodo1[[#This Row],[Tipo_Linha]]="Fora do DRE","Fora do DRE","( "&amp;Base_Periodo1[[#This Row],[Tipo_Linha]]&amp;" ) "&amp;Base_Periodo1[[#This Row],[Filtro]])</f>
        <v>Fora do DRE</v>
      </c>
      <c r="W3206" s="3" t="str">
        <f>LEFT(Base_Periodo1[[#This Row],[CLASS]],3)</f>
        <v>2.1</v>
      </c>
    </row>
    <row r="3207" spans="1:23" hidden="1">
      <c r="A3207" s="3" t="str">
        <f t="shared" si="50"/>
        <v>Período 1</v>
      </c>
      <c r="B3207">
        <v>2334</v>
      </c>
      <c r="C3207" t="s">
        <v>1745</v>
      </c>
      <c r="D3207" t="s">
        <v>1998</v>
      </c>
      <c r="E3207" s="3" t="str">
        <f>IF(LEN(Base_Periodo1[[#This Row],[CLASS]])&gt;=7,LEFT(Base_Periodo1[[#This Row],[CLASS]],7),"")</f>
        <v>2.1.2.1</v>
      </c>
      <c r="F3207" s="3" t="str">
        <f>VLOOKUP(Base_Periodo1[[#This Row],[Aux]],Base_Contas_Balanco[#All],2,FALSE)</f>
        <v>Fornecedores Cooperados</v>
      </c>
      <c r="G3207" s="1">
        <v>42871</v>
      </c>
      <c r="H3207" s="225">
        <v>2.6300000000046566</v>
      </c>
      <c r="I3207" s="225">
        <v>5166.87</v>
      </c>
      <c r="J3207" s="225">
        <v>136663.09</v>
      </c>
      <c r="K3207" s="225">
        <v>131498.85</v>
      </c>
      <c r="L32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131498.85</v>
      </c>
      <c r="M3207" s="225">
        <f>ROUND(IF(AND(Base_Periodo1[[#This Row],[Tipo_Linha]]="-",Base_Periodo1[[#This Row],[TIPOSALDO]]="D"),Base_Periodo1[[#This Row],[SALDO_ATUAL]]*-1,Base_Periodo1[[#This Row],[SALDO_ATUAL]]),4)</f>
        <v>131498.85</v>
      </c>
      <c r="N3207" t="s">
        <v>116</v>
      </c>
      <c r="O3207" t="s">
        <v>459</v>
      </c>
      <c r="P3207" t="s">
        <v>459</v>
      </c>
      <c r="Q3207">
        <v>7</v>
      </c>
      <c r="R3207" s="225">
        <f>Base_Periodo1[[#This Row],[CREDITOS]]-Base_Periodo1[[#This Row],[DEBITOS]]</f>
        <v>131496.22</v>
      </c>
      <c r="S3207" s="3" t="str">
        <f>IF(ISERROR(VLOOKUP(Base_Periodo1[[#This Row],[CONTA]],BaseContasDRE[#All],4,FALSE)),"Fora do DRE",VLOOKUP(Base_Periodo1[[#This Row],[CONTA]],BaseContasDRE[#All],4,FALSE))</f>
        <v>Fora do DRE</v>
      </c>
      <c r="T3207" s="3" t="str">
        <f>IF(ISERROR(VLOOKUP(Base_Periodo1[[#This Row],[CONTA]],BaseContasDRE[#All],5,FALSE)),"Fora do DRE",VLOOKUP(Base_Periodo1[[#This Row],[CONTA]],BaseContasDRE[#All],6,FALSE))</f>
        <v>Fora do DRE</v>
      </c>
      <c r="U3207" s="3" t="str">
        <f>IF(ISERROR(VLOOKUP(Base_Periodo1[[#This Row],[CONTA]],BaseContasDRE[#All],7,FALSE)),"Fora do DRE",VLOOKUP(Base_Periodo1[[#This Row],[CONTA]],BaseContasDRE[#All],7,FALSE))</f>
        <v>Fora do DRE</v>
      </c>
      <c r="V3207" s="3" t="str">
        <f>IF(Base_Periodo1[[#This Row],[Tipo_Linha]]="Fora do DRE","Fora do DRE","( "&amp;Base_Periodo1[[#This Row],[Tipo_Linha]]&amp;" ) "&amp;Base_Periodo1[[#This Row],[Filtro]])</f>
        <v>Fora do DRE</v>
      </c>
      <c r="W3207" s="3" t="str">
        <f>LEFT(Base_Periodo1[[#This Row],[CLASS]],3)</f>
        <v>2.1</v>
      </c>
    </row>
    <row r="3208" spans="1:23" hidden="1">
      <c r="A3208" s="3" t="str">
        <f t="shared" si="50"/>
        <v>Período 1</v>
      </c>
      <c r="B3208">
        <v>55191</v>
      </c>
      <c r="C3208" t="s">
        <v>1745</v>
      </c>
      <c r="D3208" t="s">
        <v>6409</v>
      </c>
      <c r="E3208" s="3" t="str">
        <f>IF(LEN(Base_Periodo1[[#This Row],[CLASS]])&gt;=7,LEFT(Base_Periodo1[[#This Row],[CLASS]],7),"")</f>
        <v>2.1.2.1</v>
      </c>
      <c r="F3208" s="3" t="str">
        <f>VLOOKUP(Base_Periodo1[[#This Row],[Aux]],Base_Contas_Balanco[#All],2,FALSE)</f>
        <v>Fornecedores Cooperados</v>
      </c>
      <c r="G3208" s="1"/>
      <c r="H3208" s="225">
        <v>21786.34</v>
      </c>
      <c r="I3208" s="225">
        <v>0</v>
      </c>
      <c r="J3208" s="225">
        <v>0</v>
      </c>
      <c r="K3208" s="225">
        <v>21786.34</v>
      </c>
      <c r="L32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21786.34</v>
      </c>
      <c r="M3208" s="225">
        <f>ROUND(IF(AND(Base_Periodo1[[#This Row],[Tipo_Linha]]="-",Base_Periodo1[[#This Row],[TIPOSALDO]]="D"),Base_Periodo1[[#This Row],[SALDO_ATUAL]]*-1,Base_Periodo1[[#This Row],[SALDO_ATUAL]]),4)</f>
        <v>21786.34</v>
      </c>
      <c r="N3208" t="s">
        <v>116</v>
      </c>
      <c r="O3208" t="s">
        <v>459</v>
      </c>
      <c r="P3208" t="s">
        <v>459</v>
      </c>
      <c r="Q3208">
        <v>7</v>
      </c>
      <c r="R3208" s="225">
        <f>Base_Periodo1[[#This Row],[CREDITOS]]-Base_Periodo1[[#This Row],[DEBITOS]]</f>
        <v>0</v>
      </c>
      <c r="S3208" s="3" t="str">
        <f>IF(ISERROR(VLOOKUP(Base_Periodo1[[#This Row],[CONTA]],BaseContasDRE[#All],4,FALSE)),"Fora do DRE",VLOOKUP(Base_Periodo1[[#This Row],[CONTA]],BaseContasDRE[#All],4,FALSE))</f>
        <v>Fora do DRE</v>
      </c>
      <c r="T3208" s="3" t="str">
        <f>IF(ISERROR(VLOOKUP(Base_Periodo1[[#This Row],[CONTA]],BaseContasDRE[#All],5,FALSE)),"Fora do DRE",VLOOKUP(Base_Periodo1[[#This Row],[CONTA]],BaseContasDRE[#All],6,FALSE))</f>
        <v>Fora do DRE</v>
      </c>
      <c r="U3208" s="3" t="str">
        <f>IF(ISERROR(VLOOKUP(Base_Periodo1[[#This Row],[CONTA]],BaseContasDRE[#All],7,FALSE)),"Fora do DRE",VLOOKUP(Base_Periodo1[[#This Row],[CONTA]],BaseContasDRE[#All],7,FALSE))</f>
        <v>Fora do DRE</v>
      </c>
      <c r="V3208" s="3" t="str">
        <f>IF(Base_Periodo1[[#This Row],[Tipo_Linha]]="Fora do DRE","Fora do DRE","( "&amp;Base_Periodo1[[#This Row],[Tipo_Linha]]&amp;" ) "&amp;Base_Periodo1[[#This Row],[Filtro]])</f>
        <v>Fora do DRE</v>
      </c>
      <c r="W3208" s="3" t="str">
        <f>LEFT(Base_Periodo1[[#This Row],[CLASS]],3)</f>
        <v>2.1</v>
      </c>
    </row>
    <row r="3209" spans="1:23" hidden="1">
      <c r="A3209" s="3" t="str">
        <f t="shared" si="50"/>
        <v>Período 1</v>
      </c>
      <c r="B3209">
        <v>46977</v>
      </c>
      <c r="C3209" t="s">
        <v>1745</v>
      </c>
      <c r="D3209" t="s">
        <v>4687</v>
      </c>
      <c r="E3209" s="3" t="str">
        <f>IF(LEN(Base_Periodo1[[#This Row],[CLASS]])&gt;=7,LEFT(Base_Periodo1[[#This Row],[CLASS]],7),"")</f>
        <v>2.1.2.1</v>
      </c>
      <c r="F3209" s="3" t="str">
        <f>VLOOKUP(Base_Periodo1[[#This Row],[Aux]],Base_Contas_Balanco[#All],2,FALSE)</f>
        <v>Fornecedores Cooperados</v>
      </c>
      <c r="G3209" s="1">
        <v>42853</v>
      </c>
      <c r="H3209" s="225">
        <v>8280.789999999979</v>
      </c>
      <c r="I3209" s="225">
        <v>0</v>
      </c>
      <c r="J3209" s="225">
        <v>0</v>
      </c>
      <c r="K3209" s="225">
        <v>8280.789999999979</v>
      </c>
      <c r="L32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8280.7900000000009</v>
      </c>
      <c r="M3209" s="225">
        <f>ROUND(IF(AND(Base_Periodo1[[#This Row],[Tipo_Linha]]="-",Base_Periodo1[[#This Row],[TIPOSALDO]]="D"),Base_Periodo1[[#This Row],[SALDO_ATUAL]]*-1,Base_Periodo1[[#This Row],[SALDO_ATUAL]]),4)</f>
        <v>8280.7900000000009</v>
      </c>
      <c r="N3209" t="s">
        <v>116</v>
      </c>
      <c r="O3209" t="s">
        <v>459</v>
      </c>
      <c r="P3209" t="s">
        <v>459</v>
      </c>
      <c r="Q3209">
        <v>7</v>
      </c>
      <c r="R3209" s="225">
        <f>Base_Periodo1[[#This Row],[CREDITOS]]-Base_Periodo1[[#This Row],[DEBITOS]]</f>
        <v>0</v>
      </c>
      <c r="S3209" s="3" t="str">
        <f>IF(ISERROR(VLOOKUP(Base_Periodo1[[#This Row],[CONTA]],BaseContasDRE[#All],4,FALSE)),"Fora do DRE",VLOOKUP(Base_Periodo1[[#This Row],[CONTA]],BaseContasDRE[#All],4,FALSE))</f>
        <v>Fora do DRE</v>
      </c>
      <c r="T3209" s="3" t="str">
        <f>IF(ISERROR(VLOOKUP(Base_Periodo1[[#This Row],[CONTA]],BaseContasDRE[#All],5,FALSE)),"Fora do DRE",VLOOKUP(Base_Periodo1[[#This Row],[CONTA]],BaseContasDRE[#All],6,FALSE))</f>
        <v>Fora do DRE</v>
      </c>
      <c r="U3209" s="3" t="str">
        <f>IF(ISERROR(VLOOKUP(Base_Periodo1[[#This Row],[CONTA]],BaseContasDRE[#All],7,FALSE)),"Fora do DRE",VLOOKUP(Base_Periodo1[[#This Row],[CONTA]],BaseContasDRE[#All],7,FALSE))</f>
        <v>Fora do DRE</v>
      </c>
      <c r="V3209" s="3" t="str">
        <f>IF(Base_Periodo1[[#This Row],[Tipo_Linha]]="Fora do DRE","Fora do DRE","( "&amp;Base_Periodo1[[#This Row],[Tipo_Linha]]&amp;" ) "&amp;Base_Periodo1[[#This Row],[Filtro]])</f>
        <v>Fora do DRE</v>
      </c>
      <c r="W3209" s="3" t="str">
        <f>LEFT(Base_Periodo1[[#This Row],[CLASS]],3)</f>
        <v>2.1</v>
      </c>
    </row>
    <row r="3210" spans="1:23" hidden="1">
      <c r="A3210" s="3" t="str">
        <f t="shared" si="50"/>
        <v>Período 1</v>
      </c>
      <c r="B3210">
        <v>33552</v>
      </c>
      <c r="C3210" t="s">
        <v>1745</v>
      </c>
      <c r="D3210" t="s">
        <v>1999</v>
      </c>
      <c r="E3210" s="3" t="str">
        <f>IF(LEN(Base_Periodo1[[#This Row],[CLASS]])&gt;=7,LEFT(Base_Periodo1[[#This Row],[CLASS]],7),"")</f>
        <v>2.1.2.1</v>
      </c>
      <c r="F3210" s="3" t="str">
        <f>VLOOKUP(Base_Periodo1[[#This Row],[Aux]],Base_Contas_Balanco[#All],2,FALSE)</f>
        <v>Fornecedores Cooperados</v>
      </c>
      <c r="G3210" s="1">
        <v>42861</v>
      </c>
      <c r="H3210" s="225">
        <v>10044.830000000016</v>
      </c>
      <c r="I3210" s="225">
        <v>3519.81</v>
      </c>
      <c r="J3210" s="225">
        <v>0</v>
      </c>
      <c r="K3210" s="225">
        <v>6525.0200000000168</v>
      </c>
      <c r="L32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6525.02</v>
      </c>
      <c r="M3210" s="225">
        <f>ROUND(IF(AND(Base_Periodo1[[#This Row],[Tipo_Linha]]="-",Base_Periodo1[[#This Row],[TIPOSALDO]]="D"),Base_Periodo1[[#This Row],[SALDO_ATUAL]]*-1,Base_Periodo1[[#This Row],[SALDO_ATUAL]]),4)</f>
        <v>6525.02</v>
      </c>
      <c r="N3210" t="s">
        <v>116</v>
      </c>
      <c r="O3210" t="s">
        <v>459</v>
      </c>
      <c r="P3210" t="s">
        <v>459</v>
      </c>
      <c r="Q3210">
        <v>7</v>
      </c>
      <c r="R3210" s="225">
        <f>Base_Periodo1[[#This Row],[CREDITOS]]-Base_Periodo1[[#This Row],[DEBITOS]]</f>
        <v>-3519.81</v>
      </c>
      <c r="S3210" s="3" t="str">
        <f>IF(ISERROR(VLOOKUP(Base_Periodo1[[#This Row],[CONTA]],BaseContasDRE[#All],4,FALSE)),"Fora do DRE",VLOOKUP(Base_Periodo1[[#This Row],[CONTA]],BaseContasDRE[#All],4,FALSE))</f>
        <v>Fora do DRE</v>
      </c>
      <c r="T3210" s="3" t="str">
        <f>IF(ISERROR(VLOOKUP(Base_Periodo1[[#This Row],[CONTA]],BaseContasDRE[#All],5,FALSE)),"Fora do DRE",VLOOKUP(Base_Periodo1[[#This Row],[CONTA]],BaseContasDRE[#All],6,FALSE))</f>
        <v>Fora do DRE</v>
      </c>
      <c r="U3210" s="3" t="str">
        <f>IF(ISERROR(VLOOKUP(Base_Periodo1[[#This Row],[CONTA]],BaseContasDRE[#All],7,FALSE)),"Fora do DRE",VLOOKUP(Base_Periodo1[[#This Row],[CONTA]],BaseContasDRE[#All],7,FALSE))</f>
        <v>Fora do DRE</v>
      </c>
      <c r="V3210" s="3" t="str">
        <f>IF(Base_Periodo1[[#This Row],[Tipo_Linha]]="Fora do DRE","Fora do DRE","( "&amp;Base_Periodo1[[#This Row],[Tipo_Linha]]&amp;" ) "&amp;Base_Periodo1[[#This Row],[Filtro]])</f>
        <v>Fora do DRE</v>
      </c>
      <c r="W3210" s="3" t="str">
        <f>LEFT(Base_Periodo1[[#This Row],[CLASS]],3)</f>
        <v>2.1</v>
      </c>
    </row>
    <row r="3211" spans="1:23" hidden="1">
      <c r="A3211" s="3" t="str">
        <f t="shared" si="50"/>
        <v>Período 1</v>
      </c>
      <c r="B3211">
        <v>51149</v>
      </c>
      <c r="C3211" t="s">
        <v>1745</v>
      </c>
      <c r="D3211" t="s">
        <v>6410</v>
      </c>
      <c r="E3211" s="3" t="str">
        <f>IF(LEN(Base_Periodo1[[#This Row],[CLASS]])&gt;=7,LEFT(Base_Periodo1[[#This Row],[CLASS]],7),"")</f>
        <v>2.1.2.1</v>
      </c>
      <c r="F3211" s="3" t="str">
        <f>VLOOKUP(Base_Periodo1[[#This Row],[Aux]],Base_Contas_Balanco[#All],2,FALSE)</f>
        <v>Fornecedores Cooperados</v>
      </c>
      <c r="G3211" s="1">
        <v>42845</v>
      </c>
      <c r="H3211" s="225">
        <v>5859.4600000000064</v>
      </c>
      <c r="I3211" s="225">
        <v>0</v>
      </c>
      <c r="J3211" s="225">
        <v>0</v>
      </c>
      <c r="K3211" s="225">
        <v>5859.4600000000064</v>
      </c>
      <c r="L32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5859.46</v>
      </c>
      <c r="M3211" s="225">
        <f>ROUND(IF(AND(Base_Periodo1[[#This Row],[Tipo_Linha]]="-",Base_Periodo1[[#This Row],[TIPOSALDO]]="D"),Base_Periodo1[[#This Row],[SALDO_ATUAL]]*-1,Base_Periodo1[[#This Row],[SALDO_ATUAL]]),4)</f>
        <v>5859.46</v>
      </c>
      <c r="N3211" t="s">
        <v>116</v>
      </c>
      <c r="O3211" t="s">
        <v>459</v>
      </c>
      <c r="P3211" t="s">
        <v>459</v>
      </c>
      <c r="Q3211">
        <v>7</v>
      </c>
      <c r="R3211" s="225">
        <f>Base_Periodo1[[#This Row],[CREDITOS]]-Base_Periodo1[[#This Row],[DEBITOS]]</f>
        <v>0</v>
      </c>
      <c r="S3211" s="3" t="str">
        <f>IF(ISERROR(VLOOKUP(Base_Periodo1[[#This Row],[CONTA]],BaseContasDRE[#All],4,FALSE)),"Fora do DRE",VLOOKUP(Base_Periodo1[[#This Row],[CONTA]],BaseContasDRE[#All],4,FALSE))</f>
        <v>Fora do DRE</v>
      </c>
      <c r="T3211" s="3" t="str">
        <f>IF(ISERROR(VLOOKUP(Base_Periodo1[[#This Row],[CONTA]],BaseContasDRE[#All],5,FALSE)),"Fora do DRE",VLOOKUP(Base_Periodo1[[#This Row],[CONTA]],BaseContasDRE[#All],6,FALSE))</f>
        <v>Fora do DRE</v>
      </c>
      <c r="U3211" s="3" t="str">
        <f>IF(ISERROR(VLOOKUP(Base_Periodo1[[#This Row],[CONTA]],BaseContasDRE[#All],7,FALSE)),"Fora do DRE",VLOOKUP(Base_Periodo1[[#This Row],[CONTA]],BaseContasDRE[#All],7,FALSE))</f>
        <v>Fora do DRE</v>
      </c>
      <c r="V3211" s="3" t="str">
        <f>IF(Base_Periodo1[[#This Row],[Tipo_Linha]]="Fora do DRE","Fora do DRE","( "&amp;Base_Periodo1[[#This Row],[Tipo_Linha]]&amp;" ) "&amp;Base_Periodo1[[#This Row],[Filtro]])</f>
        <v>Fora do DRE</v>
      </c>
      <c r="W3211" s="3" t="str">
        <f>LEFT(Base_Periodo1[[#This Row],[CLASS]],3)</f>
        <v>2.1</v>
      </c>
    </row>
    <row r="3212" spans="1:23" hidden="1">
      <c r="A3212" s="3" t="str">
        <f t="shared" si="50"/>
        <v>Período 1</v>
      </c>
      <c r="B3212">
        <v>3998</v>
      </c>
      <c r="C3212" t="s">
        <v>1745</v>
      </c>
      <c r="D3212" t="s">
        <v>2000</v>
      </c>
      <c r="E3212" s="3" t="str">
        <f>IF(LEN(Base_Periodo1[[#This Row],[CLASS]])&gt;=7,LEFT(Base_Periodo1[[#This Row],[CLASS]],7),"")</f>
        <v>2.1.2.1</v>
      </c>
      <c r="F3212" s="3" t="str">
        <f>VLOOKUP(Base_Periodo1[[#This Row],[Aux]],Base_Contas_Balanco[#All],2,FALSE)</f>
        <v>Fornecedores Cooperados</v>
      </c>
      <c r="G3212" s="1">
        <v>42845</v>
      </c>
      <c r="H3212" s="225">
        <v>25336.979999999749</v>
      </c>
      <c r="I3212" s="225">
        <v>0</v>
      </c>
      <c r="J3212" s="225">
        <v>0</v>
      </c>
      <c r="K3212" s="225">
        <v>25336.979999999749</v>
      </c>
      <c r="L32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25336.98</v>
      </c>
      <c r="M3212" s="225">
        <f>ROUND(IF(AND(Base_Periodo1[[#This Row],[Tipo_Linha]]="-",Base_Periodo1[[#This Row],[TIPOSALDO]]="D"),Base_Periodo1[[#This Row],[SALDO_ATUAL]]*-1,Base_Periodo1[[#This Row],[SALDO_ATUAL]]),4)</f>
        <v>25336.98</v>
      </c>
      <c r="N3212" t="s">
        <v>116</v>
      </c>
      <c r="O3212" t="s">
        <v>459</v>
      </c>
      <c r="P3212" t="s">
        <v>459</v>
      </c>
      <c r="Q3212">
        <v>7</v>
      </c>
      <c r="R3212" s="225">
        <f>Base_Periodo1[[#This Row],[CREDITOS]]-Base_Periodo1[[#This Row],[DEBITOS]]</f>
        <v>0</v>
      </c>
      <c r="S3212" s="3" t="str">
        <f>IF(ISERROR(VLOOKUP(Base_Periodo1[[#This Row],[CONTA]],BaseContasDRE[#All],4,FALSE)),"Fora do DRE",VLOOKUP(Base_Periodo1[[#This Row],[CONTA]],BaseContasDRE[#All],4,FALSE))</f>
        <v>Fora do DRE</v>
      </c>
      <c r="T3212" s="3" t="str">
        <f>IF(ISERROR(VLOOKUP(Base_Periodo1[[#This Row],[CONTA]],BaseContasDRE[#All],5,FALSE)),"Fora do DRE",VLOOKUP(Base_Periodo1[[#This Row],[CONTA]],BaseContasDRE[#All],6,FALSE))</f>
        <v>Fora do DRE</v>
      </c>
      <c r="U3212" s="3" t="str">
        <f>IF(ISERROR(VLOOKUP(Base_Periodo1[[#This Row],[CONTA]],BaseContasDRE[#All],7,FALSE)),"Fora do DRE",VLOOKUP(Base_Periodo1[[#This Row],[CONTA]],BaseContasDRE[#All],7,FALSE))</f>
        <v>Fora do DRE</v>
      </c>
      <c r="V3212" s="3" t="str">
        <f>IF(Base_Periodo1[[#This Row],[Tipo_Linha]]="Fora do DRE","Fora do DRE","( "&amp;Base_Periodo1[[#This Row],[Tipo_Linha]]&amp;" ) "&amp;Base_Periodo1[[#This Row],[Filtro]])</f>
        <v>Fora do DRE</v>
      </c>
      <c r="W3212" s="3" t="str">
        <f>LEFT(Base_Periodo1[[#This Row],[CLASS]],3)</f>
        <v>2.1</v>
      </c>
    </row>
    <row r="3213" spans="1:23" hidden="1">
      <c r="A3213" s="3" t="str">
        <f t="shared" si="50"/>
        <v>Período 1</v>
      </c>
      <c r="B3213">
        <v>48004</v>
      </c>
      <c r="C3213" t="s">
        <v>1745</v>
      </c>
      <c r="D3213" t="s">
        <v>5069</v>
      </c>
      <c r="E3213" s="3" t="str">
        <f>IF(LEN(Base_Periodo1[[#This Row],[CLASS]])&gt;=7,LEFT(Base_Periodo1[[#This Row],[CLASS]],7),"")</f>
        <v>2.1.2.1</v>
      </c>
      <c r="F3213" s="3" t="str">
        <f>VLOOKUP(Base_Periodo1[[#This Row],[Aux]],Base_Contas_Balanco[#All],2,FALSE)</f>
        <v>Fornecedores Cooperados</v>
      </c>
      <c r="G3213" s="1">
        <v>42747</v>
      </c>
      <c r="H3213" s="225">
        <v>2.0000000004074536E-2</v>
      </c>
      <c r="I3213" s="225">
        <v>0</v>
      </c>
      <c r="J3213" s="225">
        <v>0</v>
      </c>
      <c r="K3213" s="225">
        <v>2.0000000004074536E-2</v>
      </c>
      <c r="L32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3213" s="225">
        <f>ROUND(IF(AND(Base_Periodo1[[#This Row],[Tipo_Linha]]="-",Base_Periodo1[[#This Row],[TIPOSALDO]]="D"),Base_Periodo1[[#This Row],[SALDO_ATUAL]]*-1,Base_Periodo1[[#This Row],[SALDO_ATUAL]]),4)</f>
        <v>0.02</v>
      </c>
      <c r="N3213" t="s">
        <v>116</v>
      </c>
      <c r="O3213" t="s">
        <v>459</v>
      </c>
      <c r="P3213" t="s">
        <v>459</v>
      </c>
      <c r="Q3213">
        <v>7</v>
      </c>
      <c r="R3213" s="225">
        <f>Base_Periodo1[[#This Row],[CREDITOS]]-Base_Periodo1[[#This Row],[DEBITOS]]</f>
        <v>0</v>
      </c>
      <c r="S3213" s="3" t="str">
        <f>IF(ISERROR(VLOOKUP(Base_Periodo1[[#This Row],[CONTA]],BaseContasDRE[#All],4,FALSE)),"Fora do DRE",VLOOKUP(Base_Periodo1[[#This Row],[CONTA]],BaseContasDRE[#All],4,FALSE))</f>
        <v>Fora do DRE</v>
      </c>
      <c r="T3213" s="3" t="str">
        <f>IF(ISERROR(VLOOKUP(Base_Periodo1[[#This Row],[CONTA]],BaseContasDRE[#All],5,FALSE)),"Fora do DRE",VLOOKUP(Base_Periodo1[[#This Row],[CONTA]],BaseContasDRE[#All],6,FALSE))</f>
        <v>Fora do DRE</v>
      </c>
      <c r="U3213" s="3" t="str">
        <f>IF(ISERROR(VLOOKUP(Base_Periodo1[[#This Row],[CONTA]],BaseContasDRE[#All],7,FALSE)),"Fora do DRE",VLOOKUP(Base_Periodo1[[#This Row],[CONTA]],BaseContasDRE[#All],7,FALSE))</f>
        <v>Fora do DRE</v>
      </c>
      <c r="V3213" s="3" t="str">
        <f>IF(Base_Periodo1[[#This Row],[Tipo_Linha]]="Fora do DRE","Fora do DRE","( "&amp;Base_Periodo1[[#This Row],[Tipo_Linha]]&amp;" ) "&amp;Base_Periodo1[[#This Row],[Filtro]])</f>
        <v>Fora do DRE</v>
      </c>
      <c r="W3213" s="3" t="str">
        <f>LEFT(Base_Periodo1[[#This Row],[CLASS]],3)</f>
        <v>2.1</v>
      </c>
    </row>
    <row r="3214" spans="1:23" hidden="1">
      <c r="A3214" s="3" t="str">
        <f t="shared" si="50"/>
        <v>Período 1</v>
      </c>
      <c r="B3214">
        <v>7007</v>
      </c>
      <c r="C3214" t="s">
        <v>1745</v>
      </c>
      <c r="D3214" t="s">
        <v>2001</v>
      </c>
      <c r="E3214" s="3" t="str">
        <f>IF(LEN(Base_Periodo1[[#This Row],[CLASS]])&gt;=7,LEFT(Base_Periodo1[[#This Row],[CLASS]],7),"")</f>
        <v>2.1.2.1</v>
      </c>
      <c r="F3214" s="3" t="str">
        <f>VLOOKUP(Base_Periodo1[[#This Row],[Aux]],Base_Contas_Balanco[#All],2,FALSE)</f>
        <v>Fornecedores Cooperados</v>
      </c>
      <c r="G3214" s="1">
        <v>42775</v>
      </c>
      <c r="H3214" s="225">
        <v>107.45000000001164</v>
      </c>
      <c r="I3214" s="225">
        <v>0</v>
      </c>
      <c r="J3214" s="225">
        <v>0</v>
      </c>
      <c r="K3214" s="225">
        <v>107.45000000001164</v>
      </c>
      <c r="L32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107.45</v>
      </c>
      <c r="M3214" s="225">
        <f>ROUND(IF(AND(Base_Periodo1[[#This Row],[Tipo_Linha]]="-",Base_Periodo1[[#This Row],[TIPOSALDO]]="D"),Base_Periodo1[[#This Row],[SALDO_ATUAL]]*-1,Base_Periodo1[[#This Row],[SALDO_ATUAL]]),4)</f>
        <v>107.45</v>
      </c>
      <c r="N3214" t="s">
        <v>116</v>
      </c>
      <c r="O3214" t="s">
        <v>459</v>
      </c>
      <c r="P3214" t="s">
        <v>459</v>
      </c>
      <c r="Q3214">
        <v>7</v>
      </c>
      <c r="R3214" s="225">
        <f>Base_Periodo1[[#This Row],[CREDITOS]]-Base_Periodo1[[#This Row],[DEBITOS]]</f>
        <v>0</v>
      </c>
      <c r="S3214" s="3" t="str">
        <f>IF(ISERROR(VLOOKUP(Base_Periodo1[[#This Row],[CONTA]],BaseContasDRE[#All],4,FALSE)),"Fora do DRE",VLOOKUP(Base_Periodo1[[#This Row],[CONTA]],BaseContasDRE[#All],4,FALSE))</f>
        <v>Fora do DRE</v>
      </c>
      <c r="T3214" s="3" t="str">
        <f>IF(ISERROR(VLOOKUP(Base_Periodo1[[#This Row],[CONTA]],BaseContasDRE[#All],5,FALSE)),"Fora do DRE",VLOOKUP(Base_Periodo1[[#This Row],[CONTA]],BaseContasDRE[#All],6,FALSE))</f>
        <v>Fora do DRE</v>
      </c>
      <c r="U3214" s="3" t="str">
        <f>IF(ISERROR(VLOOKUP(Base_Periodo1[[#This Row],[CONTA]],BaseContasDRE[#All],7,FALSE)),"Fora do DRE",VLOOKUP(Base_Periodo1[[#This Row],[CONTA]],BaseContasDRE[#All],7,FALSE))</f>
        <v>Fora do DRE</v>
      </c>
      <c r="V3214" s="3" t="str">
        <f>IF(Base_Periodo1[[#This Row],[Tipo_Linha]]="Fora do DRE","Fora do DRE","( "&amp;Base_Periodo1[[#This Row],[Tipo_Linha]]&amp;" ) "&amp;Base_Periodo1[[#This Row],[Filtro]])</f>
        <v>Fora do DRE</v>
      </c>
      <c r="W3214" s="3" t="str">
        <f>LEFT(Base_Periodo1[[#This Row],[CLASS]],3)</f>
        <v>2.1</v>
      </c>
    </row>
    <row r="3215" spans="1:23" hidden="1">
      <c r="A3215" s="3" t="str">
        <f t="shared" si="50"/>
        <v>Período 1</v>
      </c>
      <c r="B3215">
        <v>3942</v>
      </c>
      <c r="C3215" t="s">
        <v>1745</v>
      </c>
      <c r="D3215" t="s">
        <v>2002</v>
      </c>
      <c r="E3215" s="3" t="str">
        <f>IF(LEN(Base_Periodo1[[#This Row],[CLASS]])&gt;=7,LEFT(Base_Periodo1[[#This Row],[CLASS]],7),"")</f>
        <v>2.1.2.1</v>
      </c>
      <c r="F3215" s="3" t="str">
        <f>VLOOKUP(Base_Periodo1[[#This Row],[Aux]],Base_Contas_Balanco[#All],2,FALSE)</f>
        <v>Fornecedores Cooperados</v>
      </c>
      <c r="G3215" s="1">
        <v>42836</v>
      </c>
      <c r="H3215" s="225">
        <v>1229.3800000000047</v>
      </c>
      <c r="I3215" s="225">
        <v>0</v>
      </c>
      <c r="J3215" s="225">
        <v>0</v>
      </c>
      <c r="K3215" s="225">
        <v>1229.3800000000047</v>
      </c>
      <c r="L32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1229.3800000000001</v>
      </c>
      <c r="M3215" s="225">
        <f>ROUND(IF(AND(Base_Periodo1[[#This Row],[Tipo_Linha]]="-",Base_Periodo1[[#This Row],[TIPOSALDO]]="D"),Base_Periodo1[[#This Row],[SALDO_ATUAL]]*-1,Base_Periodo1[[#This Row],[SALDO_ATUAL]]),4)</f>
        <v>1229.3800000000001</v>
      </c>
      <c r="N3215" t="s">
        <v>116</v>
      </c>
      <c r="O3215" t="s">
        <v>459</v>
      </c>
      <c r="P3215" t="s">
        <v>459</v>
      </c>
      <c r="Q3215">
        <v>7</v>
      </c>
      <c r="R3215" s="225">
        <f>Base_Periodo1[[#This Row],[CREDITOS]]-Base_Periodo1[[#This Row],[DEBITOS]]</f>
        <v>0</v>
      </c>
      <c r="S3215" s="3" t="str">
        <f>IF(ISERROR(VLOOKUP(Base_Periodo1[[#This Row],[CONTA]],BaseContasDRE[#All],4,FALSE)),"Fora do DRE",VLOOKUP(Base_Periodo1[[#This Row],[CONTA]],BaseContasDRE[#All],4,FALSE))</f>
        <v>Fora do DRE</v>
      </c>
      <c r="T3215" s="3" t="str">
        <f>IF(ISERROR(VLOOKUP(Base_Periodo1[[#This Row],[CONTA]],BaseContasDRE[#All],5,FALSE)),"Fora do DRE",VLOOKUP(Base_Periodo1[[#This Row],[CONTA]],BaseContasDRE[#All],6,FALSE))</f>
        <v>Fora do DRE</v>
      </c>
      <c r="U3215" s="3" t="str">
        <f>IF(ISERROR(VLOOKUP(Base_Periodo1[[#This Row],[CONTA]],BaseContasDRE[#All],7,FALSE)),"Fora do DRE",VLOOKUP(Base_Periodo1[[#This Row],[CONTA]],BaseContasDRE[#All],7,FALSE))</f>
        <v>Fora do DRE</v>
      </c>
      <c r="V3215" s="3" t="str">
        <f>IF(Base_Periodo1[[#This Row],[Tipo_Linha]]="Fora do DRE","Fora do DRE","( "&amp;Base_Periodo1[[#This Row],[Tipo_Linha]]&amp;" ) "&amp;Base_Periodo1[[#This Row],[Filtro]])</f>
        <v>Fora do DRE</v>
      </c>
      <c r="W3215" s="3" t="str">
        <f>LEFT(Base_Periodo1[[#This Row],[CLASS]],3)</f>
        <v>2.1</v>
      </c>
    </row>
    <row r="3216" spans="1:23" hidden="1">
      <c r="A3216" s="3" t="str">
        <f t="shared" si="50"/>
        <v>Período 1</v>
      </c>
      <c r="B3216">
        <v>12765</v>
      </c>
      <c r="C3216" t="s">
        <v>1745</v>
      </c>
      <c r="D3216" t="s">
        <v>2003</v>
      </c>
      <c r="E3216" s="3" t="str">
        <f>IF(LEN(Base_Periodo1[[#This Row],[CLASS]])&gt;=7,LEFT(Base_Periodo1[[#This Row],[CLASS]],7),"")</f>
        <v>2.1.2.1</v>
      </c>
      <c r="F3216" s="3" t="str">
        <f>VLOOKUP(Base_Periodo1[[#This Row],[Aux]],Base_Contas_Balanco[#All],2,FALSE)</f>
        <v>Fornecedores Cooperados</v>
      </c>
      <c r="G3216" s="1">
        <v>42805</v>
      </c>
      <c r="H3216" s="225">
        <v>9.9999999947613105E-3</v>
      </c>
      <c r="I3216" s="225">
        <v>0</v>
      </c>
      <c r="J3216" s="225">
        <v>0</v>
      </c>
      <c r="K3216" s="225">
        <v>9.9999999947613105E-3</v>
      </c>
      <c r="L32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216" s="225">
        <f>ROUND(IF(AND(Base_Periodo1[[#This Row],[Tipo_Linha]]="-",Base_Periodo1[[#This Row],[TIPOSALDO]]="D"),Base_Periodo1[[#This Row],[SALDO_ATUAL]]*-1,Base_Periodo1[[#This Row],[SALDO_ATUAL]]),4)</f>
        <v>0.01</v>
      </c>
      <c r="N3216" t="s">
        <v>116</v>
      </c>
      <c r="O3216" t="s">
        <v>459</v>
      </c>
      <c r="P3216" t="s">
        <v>459</v>
      </c>
      <c r="Q3216">
        <v>7</v>
      </c>
      <c r="R3216" s="225">
        <f>Base_Periodo1[[#This Row],[CREDITOS]]-Base_Periodo1[[#This Row],[DEBITOS]]</f>
        <v>0</v>
      </c>
      <c r="S3216" s="3" t="str">
        <f>IF(ISERROR(VLOOKUP(Base_Periodo1[[#This Row],[CONTA]],BaseContasDRE[#All],4,FALSE)),"Fora do DRE",VLOOKUP(Base_Periodo1[[#This Row],[CONTA]],BaseContasDRE[#All],4,FALSE))</f>
        <v>Fora do DRE</v>
      </c>
      <c r="T3216" s="3" t="str">
        <f>IF(ISERROR(VLOOKUP(Base_Periodo1[[#This Row],[CONTA]],BaseContasDRE[#All],5,FALSE)),"Fora do DRE",VLOOKUP(Base_Periodo1[[#This Row],[CONTA]],BaseContasDRE[#All],6,FALSE))</f>
        <v>Fora do DRE</v>
      </c>
      <c r="U3216" s="3" t="str">
        <f>IF(ISERROR(VLOOKUP(Base_Periodo1[[#This Row],[CONTA]],BaseContasDRE[#All],7,FALSE)),"Fora do DRE",VLOOKUP(Base_Periodo1[[#This Row],[CONTA]],BaseContasDRE[#All],7,FALSE))</f>
        <v>Fora do DRE</v>
      </c>
      <c r="V3216" s="3" t="str">
        <f>IF(Base_Periodo1[[#This Row],[Tipo_Linha]]="Fora do DRE","Fora do DRE","( "&amp;Base_Periodo1[[#This Row],[Tipo_Linha]]&amp;" ) "&amp;Base_Periodo1[[#This Row],[Filtro]])</f>
        <v>Fora do DRE</v>
      </c>
      <c r="W3216" s="3" t="str">
        <f>LEFT(Base_Periodo1[[#This Row],[CLASS]],3)</f>
        <v>2.1</v>
      </c>
    </row>
    <row r="3217" spans="1:23" hidden="1">
      <c r="A3217" s="3" t="str">
        <f t="shared" si="50"/>
        <v>Período 1</v>
      </c>
      <c r="B3217">
        <v>20111</v>
      </c>
      <c r="C3217" t="s">
        <v>1745</v>
      </c>
      <c r="D3217" t="s">
        <v>5070</v>
      </c>
      <c r="E3217" s="3" t="str">
        <f>IF(LEN(Base_Periodo1[[#This Row],[CLASS]])&gt;=7,LEFT(Base_Periodo1[[#This Row],[CLASS]],7),"")</f>
        <v>2.1.2.1</v>
      </c>
      <c r="F3217" s="3" t="str">
        <f>VLOOKUP(Base_Periodo1[[#This Row],[Aux]],Base_Contas_Balanco[#All],2,FALSE)</f>
        <v>Fornecedores Cooperados</v>
      </c>
      <c r="G3217" s="1">
        <v>42781</v>
      </c>
      <c r="H3217" s="225">
        <v>207.20999999999913</v>
      </c>
      <c r="I3217" s="225">
        <v>0</v>
      </c>
      <c r="J3217" s="225">
        <v>0</v>
      </c>
      <c r="K3217" s="225">
        <v>207.20999999999913</v>
      </c>
      <c r="L32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207.21</v>
      </c>
      <c r="M3217" s="225">
        <f>ROUND(IF(AND(Base_Periodo1[[#This Row],[Tipo_Linha]]="-",Base_Periodo1[[#This Row],[TIPOSALDO]]="D"),Base_Periodo1[[#This Row],[SALDO_ATUAL]]*-1,Base_Periodo1[[#This Row],[SALDO_ATUAL]]),4)</f>
        <v>207.21</v>
      </c>
      <c r="N3217" t="s">
        <v>116</v>
      </c>
      <c r="O3217" t="s">
        <v>459</v>
      </c>
      <c r="P3217" t="s">
        <v>459</v>
      </c>
      <c r="Q3217">
        <v>7</v>
      </c>
      <c r="R3217" s="225">
        <f>Base_Periodo1[[#This Row],[CREDITOS]]-Base_Periodo1[[#This Row],[DEBITOS]]</f>
        <v>0</v>
      </c>
      <c r="S3217" s="3" t="str">
        <f>IF(ISERROR(VLOOKUP(Base_Periodo1[[#This Row],[CONTA]],BaseContasDRE[#All],4,FALSE)),"Fora do DRE",VLOOKUP(Base_Periodo1[[#This Row],[CONTA]],BaseContasDRE[#All],4,FALSE))</f>
        <v>Fora do DRE</v>
      </c>
      <c r="T3217" s="3" t="str">
        <f>IF(ISERROR(VLOOKUP(Base_Periodo1[[#This Row],[CONTA]],BaseContasDRE[#All],5,FALSE)),"Fora do DRE",VLOOKUP(Base_Periodo1[[#This Row],[CONTA]],BaseContasDRE[#All],6,FALSE))</f>
        <v>Fora do DRE</v>
      </c>
      <c r="U3217" s="3" t="str">
        <f>IF(ISERROR(VLOOKUP(Base_Periodo1[[#This Row],[CONTA]],BaseContasDRE[#All],7,FALSE)),"Fora do DRE",VLOOKUP(Base_Periodo1[[#This Row],[CONTA]],BaseContasDRE[#All],7,FALSE))</f>
        <v>Fora do DRE</v>
      </c>
      <c r="V3217" s="3" t="str">
        <f>IF(Base_Periodo1[[#This Row],[Tipo_Linha]]="Fora do DRE","Fora do DRE","( "&amp;Base_Periodo1[[#This Row],[Tipo_Linha]]&amp;" ) "&amp;Base_Periodo1[[#This Row],[Filtro]])</f>
        <v>Fora do DRE</v>
      </c>
      <c r="W3217" s="3" t="str">
        <f>LEFT(Base_Periodo1[[#This Row],[CLASS]],3)</f>
        <v>2.1</v>
      </c>
    </row>
    <row r="3218" spans="1:23" hidden="1">
      <c r="A3218" s="3" t="str">
        <f t="shared" si="50"/>
        <v>Período 1</v>
      </c>
      <c r="B3218">
        <v>4462</v>
      </c>
      <c r="C3218" t="s">
        <v>1745</v>
      </c>
      <c r="D3218" t="s">
        <v>6411</v>
      </c>
      <c r="E3218" s="3" t="str">
        <f>IF(LEN(Base_Periodo1[[#This Row],[CLASS]])&gt;=7,LEFT(Base_Periodo1[[#This Row],[CLASS]],7),"")</f>
        <v>2.1.2.1</v>
      </c>
      <c r="F3218" s="3" t="str">
        <f>VLOOKUP(Base_Periodo1[[#This Row],[Aux]],Base_Contas_Balanco[#All],2,FALSE)</f>
        <v>Fornecedores Cooperados</v>
      </c>
      <c r="G3218" s="1">
        <v>42881</v>
      </c>
      <c r="H3218" s="225">
        <v>219099.99999999977</v>
      </c>
      <c r="I3218" s="225">
        <v>36720</v>
      </c>
      <c r="J3218" s="225">
        <v>0</v>
      </c>
      <c r="K3218" s="225">
        <v>182379.99999999977</v>
      </c>
      <c r="L32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182380</v>
      </c>
      <c r="M3218" s="225">
        <f>ROUND(IF(AND(Base_Periodo1[[#This Row],[Tipo_Linha]]="-",Base_Periodo1[[#This Row],[TIPOSALDO]]="D"),Base_Periodo1[[#This Row],[SALDO_ATUAL]]*-1,Base_Periodo1[[#This Row],[SALDO_ATUAL]]),4)</f>
        <v>182380</v>
      </c>
      <c r="N3218" t="s">
        <v>116</v>
      </c>
      <c r="O3218" t="s">
        <v>459</v>
      </c>
      <c r="P3218" t="s">
        <v>459</v>
      </c>
      <c r="Q3218">
        <v>7</v>
      </c>
      <c r="R3218" s="225">
        <f>Base_Periodo1[[#This Row],[CREDITOS]]-Base_Periodo1[[#This Row],[DEBITOS]]</f>
        <v>-36720</v>
      </c>
      <c r="S3218" s="3" t="str">
        <f>IF(ISERROR(VLOOKUP(Base_Periodo1[[#This Row],[CONTA]],BaseContasDRE[#All],4,FALSE)),"Fora do DRE",VLOOKUP(Base_Periodo1[[#This Row],[CONTA]],BaseContasDRE[#All],4,FALSE))</f>
        <v>Fora do DRE</v>
      </c>
      <c r="T3218" s="3" t="str">
        <f>IF(ISERROR(VLOOKUP(Base_Periodo1[[#This Row],[CONTA]],BaseContasDRE[#All],5,FALSE)),"Fora do DRE",VLOOKUP(Base_Periodo1[[#This Row],[CONTA]],BaseContasDRE[#All],6,FALSE))</f>
        <v>Fora do DRE</v>
      </c>
      <c r="U3218" s="3" t="str">
        <f>IF(ISERROR(VLOOKUP(Base_Periodo1[[#This Row],[CONTA]],BaseContasDRE[#All],7,FALSE)),"Fora do DRE",VLOOKUP(Base_Periodo1[[#This Row],[CONTA]],BaseContasDRE[#All],7,FALSE))</f>
        <v>Fora do DRE</v>
      </c>
      <c r="V3218" s="3" t="str">
        <f>IF(Base_Periodo1[[#This Row],[Tipo_Linha]]="Fora do DRE","Fora do DRE","( "&amp;Base_Periodo1[[#This Row],[Tipo_Linha]]&amp;" ) "&amp;Base_Periodo1[[#This Row],[Filtro]])</f>
        <v>Fora do DRE</v>
      </c>
      <c r="W3218" s="3" t="str">
        <f>LEFT(Base_Periodo1[[#This Row],[CLASS]],3)</f>
        <v>2.1</v>
      </c>
    </row>
    <row r="3219" spans="1:23" hidden="1">
      <c r="A3219" s="3" t="str">
        <f t="shared" si="50"/>
        <v>Período 1</v>
      </c>
      <c r="B3219">
        <v>4062</v>
      </c>
      <c r="C3219" t="s">
        <v>1745</v>
      </c>
      <c r="D3219" t="s">
        <v>2004</v>
      </c>
      <c r="E3219" s="3" t="str">
        <f>IF(LEN(Base_Periodo1[[#This Row],[CLASS]])&gt;=7,LEFT(Base_Periodo1[[#This Row],[CLASS]],7),"")</f>
        <v>2.1.2.1</v>
      </c>
      <c r="F3219" s="3" t="str">
        <f>VLOOKUP(Base_Periodo1[[#This Row],[Aux]],Base_Contas_Balanco[#All],2,FALSE)</f>
        <v>Fornecedores Cooperados</v>
      </c>
      <c r="G3219" s="1">
        <v>42746</v>
      </c>
      <c r="H3219" s="225">
        <v>6670.3699999996461</v>
      </c>
      <c r="I3219" s="225">
        <v>0</v>
      </c>
      <c r="J3219" s="225">
        <v>0</v>
      </c>
      <c r="K3219" s="225">
        <v>6670.3699999996461</v>
      </c>
      <c r="L32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6670.37</v>
      </c>
      <c r="M3219" s="225">
        <f>ROUND(IF(AND(Base_Periodo1[[#This Row],[Tipo_Linha]]="-",Base_Periodo1[[#This Row],[TIPOSALDO]]="D"),Base_Periodo1[[#This Row],[SALDO_ATUAL]]*-1,Base_Periodo1[[#This Row],[SALDO_ATUAL]]),4)</f>
        <v>6670.37</v>
      </c>
      <c r="N3219" t="s">
        <v>116</v>
      </c>
      <c r="O3219" t="s">
        <v>459</v>
      </c>
      <c r="P3219" t="s">
        <v>459</v>
      </c>
      <c r="Q3219">
        <v>7</v>
      </c>
      <c r="R3219" s="225">
        <f>Base_Periodo1[[#This Row],[CREDITOS]]-Base_Periodo1[[#This Row],[DEBITOS]]</f>
        <v>0</v>
      </c>
      <c r="S3219" s="3" t="str">
        <f>IF(ISERROR(VLOOKUP(Base_Periodo1[[#This Row],[CONTA]],BaseContasDRE[#All],4,FALSE)),"Fora do DRE",VLOOKUP(Base_Periodo1[[#This Row],[CONTA]],BaseContasDRE[#All],4,FALSE))</f>
        <v>Fora do DRE</v>
      </c>
      <c r="T3219" s="3" t="str">
        <f>IF(ISERROR(VLOOKUP(Base_Periodo1[[#This Row],[CONTA]],BaseContasDRE[#All],5,FALSE)),"Fora do DRE",VLOOKUP(Base_Periodo1[[#This Row],[CONTA]],BaseContasDRE[#All],6,FALSE))</f>
        <v>Fora do DRE</v>
      </c>
      <c r="U3219" s="3" t="str">
        <f>IF(ISERROR(VLOOKUP(Base_Periodo1[[#This Row],[CONTA]],BaseContasDRE[#All],7,FALSE)),"Fora do DRE",VLOOKUP(Base_Periodo1[[#This Row],[CONTA]],BaseContasDRE[#All],7,FALSE))</f>
        <v>Fora do DRE</v>
      </c>
      <c r="V3219" s="3" t="str">
        <f>IF(Base_Periodo1[[#This Row],[Tipo_Linha]]="Fora do DRE","Fora do DRE","( "&amp;Base_Periodo1[[#This Row],[Tipo_Linha]]&amp;" ) "&amp;Base_Periodo1[[#This Row],[Filtro]])</f>
        <v>Fora do DRE</v>
      </c>
      <c r="W3219" s="3" t="str">
        <f>LEFT(Base_Periodo1[[#This Row],[CLASS]],3)</f>
        <v>2.1</v>
      </c>
    </row>
    <row r="3220" spans="1:23" hidden="1">
      <c r="A3220" s="3" t="str">
        <f t="shared" si="50"/>
        <v>Período 1</v>
      </c>
      <c r="B3220">
        <v>47894</v>
      </c>
      <c r="C3220" t="s">
        <v>1745</v>
      </c>
      <c r="D3220" t="s">
        <v>4688</v>
      </c>
      <c r="E3220" s="3" t="str">
        <f>IF(LEN(Base_Periodo1[[#This Row],[CLASS]])&gt;=7,LEFT(Base_Periodo1[[#This Row],[CLASS]],7),"")</f>
        <v>2.1.2.1</v>
      </c>
      <c r="F3220" s="3" t="str">
        <f>VLOOKUP(Base_Periodo1[[#This Row],[Aux]],Base_Contas_Balanco[#All],2,FALSE)</f>
        <v>Fornecedores Cooperados</v>
      </c>
      <c r="G3220" s="1">
        <v>42737</v>
      </c>
      <c r="H3220" s="225">
        <v>1.0000000000218279E-2</v>
      </c>
      <c r="I3220" s="225">
        <v>0</v>
      </c>
      <c r="J3220" s="225">
        <v>0</v>
      </c>
      <c r="K3220" s="225">
        <v>1.0000000000218279E-2</v>
      </c>
      <c r="L32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220" s="225">
        <f>ROUND(IF(AND(Base_Periodo1[[#This Row],[Tipo_Linha]]="-",Base_Periodo1[[#This Row],[TIPOSALDO]]="D"),Base_Periodo1[[#This Row],[SALDO_ATUAL]]*-1,Base_Periodo1[[#This Row],[SALDO_ATUAL]]),4)</f>
        <v>0.01</v>
      </c>
      <c r="N3220" t="s">
        <v>116</v>
      </c>
      <c r="O3220" t="s">
        <v>459</v>
      </c>
      <c r="P3220" t="s">
        <v>459</v>
      </c>
      <c r="Q3220">
        <v>7</v>
      </c>
      <c r="R3220" s="225">
        <f>Base_Periodo1[[#This Row],[CREDITOS]]-Base_Periodo1[[#This Row],[DEBITOS]]</f>
        <v>0</v>
      </c>
      <c r="S3220" s="3" t="str">
        <f>IF(ISERROR(VLOOKUP(Base_Periodo1[[#This Row],[CONTA]],BaseContasDRE[#All],4,FALSE)),"Fora do DRE",VLOOKUP(Base_Periodo1[[#This Row],[CONTA]],BaseContasDRE[#All],4,FALSE))</f>
        <v>Fora do DRE</v>
      </c>
      <c r="T3220" s="3" t="str">
        <f>IF(ISERROR(VLOOKUP(Base_Periodo1[[#This Row],[CONTA]],BaseContasDRE[#All],5,FALSE)),"Fora do DRE",VLOOKUP(Base_Periodo1[[#This Row],[CONTA]],BaseContasDRE[#All],6,FALSE))</f>
        <v>Fora do DRE</v>
      </c>
      <c r="U3220" s="3" t="str">
        <f>IF(ISERROR(VLOOKUP(Base_Periodo1[[#This Row],[CONTA]],BaseContasDRE[#All],7,FALSE)),"Fora do DRE",VLOOKUP(Base_Periodo1[[#This Row],[CONTA]],BaseContasDRE[#All],7,FALSE))</f>
        <v>Fora do DRE</v>
      </c>
      <c r="V3220" s="3" t="str">
        <f>IF(Base_Periodo1[[#This Row],[Tipo_Linha]]="Fora do DRE","Fora do DRE","( "&amp;Base_Periodo1[[#This Row],[Tipo_Linha]]&amp;" ) "&amp;Base_Periodo1[[#This Row],[Filtro]])</f>
        <v>Fora do DRE</v>
      </c>
      <c r="W3220" s="3" t="str">
        <f>LEFT(Base_Periodo1[[#This Row],[CLASS]],3)</f>
        <v>2.1</v>
      </c>
    </row>
    <row r="3221" spans="1:23" hidden="1">
      <c r="A3221" s="3" t="str">
        <f t="shared" si="50"/>
        <v>Período 1</v>
      </c>
      <c r="B3221">
        <v>3710</v>
      </c>
      <c r="C3221" t="s">
        <v>1745</v>
      </c>
      <c r="D3221" t="s">
        <v>6897</v>
      </c>
      <c r="E3221" s="3" t="str">
        <f>IF(LEN(Base_Periodo1[[#This Row],[CLASS]])&gt;=7,LEFT(Base_Periodo1[[#This Row],[CLASS]],7),"")</f>
        <v>2.1.2.1</v>
      </c>
      <c r="F3221" s="3" t="str">
        <f>VLOOKUP(Base_Periodo1[[#This Row],[Aux]],Base_Contas_Balanco[#All],2,FALSE)</f>
        <v>Fornecedores Cooperados</v>
      </c>
      <c r="G3221" s="1"/>
      <c r="I3221" s="225">
        <v>0</v>
      </c>
      <c r="J3221" s="225">
        <v>77850.8</v>
      </c>
      <c r="K3221" s="225">
        <v>77850.8</v>
      </c>
      <c r="L32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77850.8</v>
      </c>
      <c r="M3221" s="225">
        <f>ROUND(IF(AND(Base_Periodo1[[#This Row],[Tipo_Linha]]="-",Base_Periodo1[[#This Row],[TIPOSALDO]]="D"),Base_Periodo1[[#This Row],[SALDO_ATUAL]]*-1,Base_Periodo1[[#This Row],[SALDO_ATUAL]]),4)</f>
        <v>77850.8</v>
      </c>
      <c r="N3221" t="s">
        <v>116</v>
      </c>
      <c r="O3221" t="s">
        <v>436</v>
      </c>
      <c r="P3221" t="s">
        <v>459</v>
      </c>
      <c r="Q3221">
        <v>7</v>
      </c>
      <c r="R3221" s="225">
        <f>Base_Periodo1[[#This Row],[CREDITOS]]-Base_Periodo1[[#This Row],[DEBITOS]]</f>
        <v>77850.8</v>
      </c>
      <c r="S3221" s="3" t="str">
        <f>IF(ISERROR(VLOOKUP(Base_Periodo1[[#This Row],[CONTA]],BaseContasDRE[#All],4,FALSE)),"Fora do DRE",VLOOKUP(Base_Periodo1[[#This Row],[CONTA]],BaseContasDRE[#All],4,FALSE))</f>
        <v>Fora do DRE</v>
      </c>
      <c r="T3221" s="3" t="str">
        <f>IF(ISERROR(VLOOKUP(Base_Periodo1[[#This Row],[CONTA]],BaseContasDRE[#All],5,FALSE)),"Fora do DRE",VLOOKUP(Base_Periodo1[[#This Row],[CONTA]],BaseContasDRE[#All],6,FALSE))</f>
        <v>Fora do DRE</v>
      </c>
      <c r="U3221" s="3" t="str">
        <f>IF(ISERROR(VLOOKUP(Base_Periodo1[[#This Row],[CONTA]],BaseContasDRE[#All],7,FALSE)),"Fora do DRE",VLOOKUP(Base_Periodo1[[#This Row],[CONTA]],BaseContasDRE[#All],7,FALSE))</f>
        <v>Fora do DRE</v>
      </c>
      <c r="V3221" s="3" t="str">
        <f>IF(Base_Periodo1[[#This Row],[Tipo_Linha]]="Fora do DRE","Fora do DRE","( "&amp;Base_Periodo1[[#This Row],[Tipo_Linha]]&amp;" ) "&amp;Base_Periodo1[[#This Row],[Filtro]])</f>
        <v>Fora do DRE</v>
      </c>
      <c r="W3221" s="3" t="str">
        <f>LEFT(Base_Periodo1[[#This Row],[CLASS]],3)</f>
        <v>2.1</v>
      </c>
    </row>
    <row r="3222" spans="1:23" hidden="1">
      <c r="A3222" s="3" t="str">
        <f t="shared" si="50"/>
        <v>Período 1</v>
      </c>
      <c r="B3222">
        <v>40151</v>
      </c>
      <c r="C3222" t="s">
        <v>1745</v>
      </c>
      <c r="D3222" t="s">
        <v>5715</v>
      </c>
      <c r="E3222" s="3" t="str">
        <f>IF(LEN(Base_Periodo1[[#This Row],[CLASS]])&gt;=7,LEFT(Base_Periodo1[[#This Row],[CLASS]],7),"")</f>
        <v>2.1.2.1</v>
      </c>
      <c r="F3222" s="3" t="str">
        <f>VLOOKUP(Base_Periodo1[[#This Row],[Aux]],Base_Contas_Balanco[#All],2,FALSE)</f>
        <v>Fornecedores Cooperados</v>
      </c>
      <c r="G3222" s="1">
        <v>42857</v>
      </c>
      <c r="H3222" s="225">
        <v>15032.599999999999</v>
      </c>
      <c r="I3222" s="225">
        <v>0</v>
      </c>
      <c r="J3222" s="225">
        <v>21265.41</v>
      </c>
      <c r="K3222" s="225">
        <v>36298.009999999995</v>
      </c>
      <c r="L32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36298.01</v>
      </c>
      <c r="M3222" s="225">
        <f>ROUND(IF(AND(Base_Periodo1[[#This Row],[Tipo_Linha]]="-",Base_Periodo1[[#This Row],[TIPOSALDO]]="D"),Base_Periodo1[[#This Row],[SALDO_ATUAL]]*-1,Base_Periodo1[[#This Row],[SALDO_ATUAL]]),4)</f>
        <v>36298.01</v>
      </c>
      <c r="N3222" t="s">
        <v>116</v>
      </c>
      <c r="O3222" t="s">
        <v>459</v>
      </c>
      <c r="P3222" t="s">
        <v>459</v>
      </c>
      <c r="Q3222">
        <v>7</v>
      </c>
      <c r="R3222" s="225">
        <f>Base_Periodo1[[#This Row],[CREDITOS]]-Base_Periodo1[[#This Row],[DEBITOS]]</f>
        <v>21265.41</v>
      </c>
      <c r="S3222" s="3" t="str">
        <f>IF(ISERROR(VLOOKUP(Base_Periodo1[[#This Row],[CONTA]],BaseContasDRE[#All],4,FALSE)),"Fora do DRE",VLOOKUP(Base_Periodo1[[#This Row],[CONTA]],BaseContasDRE[#All],4,FALSE))</f>
        <v>Fora do DRE</v>
      </c>
      <c r="T3222" s="3" t="str">
        <f>IF(ISERROR(VLOOKUP(Base_Periodo1[[#This Row],[CONTA]],BaseContasDRE[#All],5,FALSE)),"Fora do DRE",VLOOKUP(Base_Periodo1[[#This Row],[CONTA]],BaseContasDRE[#All],6,FALSE))</f>
        <v>Fora do DRE</v>
      </c>
      <c r="U3222" s="3" t="str">
        <f>IF(ISERROR(VLOOKUP(Base_Periodo1[[#This Row],[CONTA]],BaseContasDRE[#All],7,FALSE)),"Fora do DRE",VLOOKUP(Base_Periodo1[[#This Row],[CONTA]],BaseContasDRE[#All],7,FALSE))</f>
        <v>Fora do DRE</v>
      </c>
      <c r="V3222" s="3" t="str">
        <f>IF(Base_Periodo1[[#This Row],[Tipo_Linha]]="Fora do DRE","Fora do DRE","( "&amp;Base_Periodo1[[#This Row],[Tipo_Linha]]&amp;" ) "&amp;Base_Periodo1[[#This Row],[Filtro]])</f>
        <v>Fora do DRE</v>
      </c>
      <c r="W3222" s="3" t="str">
        <f>LEFT(Base_Periodo1[[#This Row],[CLASS]],3)</f>
        <v>2.1</v>
      </c>
    </row>
    <row r="3223" spans="1:23" hidden="1">
      <c r="A3223" s="3" t="str">
        <f t="shared" si="50"/>
        <v>Período 1</v>
      </c>
      <c r="B3223">
        <v>5050</v>
      </c>
      <c r="C3223" t="s">
        <v>1745</v>
      </c>
      <c r="D3223" t="s">
        <v>2005</v>
      </c>
      <c r="E3223" s="3" t="str">
        <f>IF(LEN(Base_Periodo1[[#This Row],[CLASS]])&gt;=7,LEFT(Base_Periodo1[[#This Row],[CLASS]],7),"")</f>
        <v>2.1.2.1</v>
      </c>
      <c r="F3223" s="3" t="str">
        <f>VLOOKUP(Base_Periodo1[[#This Row],[Aux]],Base_Contas_Balanco[#All],2,FALSE)</f>
        <v>Fornecedores Cooperados</v>
      </c>
      <c r="G3223" s="1">
        <v>42843</v>
      </c>
      <c r="H3223" s="225">
        <v>23632.700000000019</v>
      </c>
      <c r="I3223" s="225">
        <v>0</v>
      </c>
      <c r="J3223" s="225">
        <v>0</v>
      </c>
      <c r="K3223" s="225">
        <v>23632.700000000019</v>
      </c>
      <c r="L32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23632.7</v>
      </c>
      <c r="M3223" s="225">
        <f>ROUND(IF(AND(Base_Periodo1[[#This Row],[Tipo_Linha]]="-",Base_Periodo1[[#This Row],[TIPOSALDO]]="D"),Base_Periodo1[[#This Row],[SALDO_ATUAL]]*-1,Base_Periodo1[[#This Row],[SALDO_ATUAL]]),4)</f>
        <v>23632.7</v>
      </c>
      <c r="N3223" t="s">
        <v>116</v>
      </c>
      <c r="O3223" t="s">
        <v>459</v>
      </c>
      <c r="P3223" t="s">
        <v>459</v>
      </c>
      <c r="Q3223">
        <v>7</v>
      </c>
      <c r="R3223" s="225">
        <f>Base_Periodo1[[#This Row],[CREDITOS]]-Base_Periodo1[[#This Row],[DEBITOS]]</f>
        <v>0</v>
      </c>
      <c r="S3223" s="3" t="str">
        <f>IF(ISERROR(VLOOKUP(Base_Periodo1[[#This Row],[CONTA]],BaseContasDRE[#All],4,FALSE)),"Fora do DRE",VLOOKUP(Base_Periodo1[[#This Row],[CONTA]],BaseContasDRE[#All],4,FALSE))</f>
        <v>Fora do DRE</v>
      </c>
      <c r="T3223" s="3" t="str">
        <f>IF(ISERROR(VLOOKUP(Base_Periodo1[[#This Row],[CONTA]],BaseContasDRE[#All],5,FALSE)),"Fora do DRE",VLOOKUP(Base_Periodo1[[#This Row],[CONTA]],BaseContasDRE[#All],6,FALSE))</f>
        <v>Fora do DRE</v>
      </c>
      <c r="U3223" s="3" t="str">
        <f>IF(ISERROR(VLOOKUP(Base_Periodo1[[#This Row],[CONTA]],BaseContasDRE[#All],7,FALSE)),"Fora do DRE",VLOOKUP(Base_Periodo1[[#This Row],[CONTA]],BaseContasDRE[#All],7,FALSE))</f>
        <v>Fora do DRE</v>
      </c>
      <c r="V3223" s="3" t="str">
        <f>IF(Base_Periodo1[[#This Row],[Tipo_Linha]]="Fora do DRE","Fora do DRE","( "&amp;Base_Periodo1[[#This Row],[Tipo_Linha]]&amp;" ) "&amp;Base_Periodo1[[#This Row],[Filtro]])</f>
        <v>Fora do DRE</v>
      </c>
      <c r="W3223" s="3" t="str">
        <f>LEFT(Base_Periodo1[[#This Row],[CLASS]],3)</f>
        <v>2.1</v>
      </c>
    </row>
    <row r="3224" spans="1:23" hidden="1">
      <c r="A3224" s="3" t="str">
        <f t="shared" si="50"/>
        <v>Período 1</v>
      </c>
      <c r="B3224">
        <v>45817</v>
      </c>
      <c r="C3224" t="s">
        <v>1745</v>
      </c>
      <c r="D3224" t="s">
        <v>4950</v>
      </c>
      <c r="E3224" s="3" t="str">
        <f>IF(LEN(Base_Periodo1[[#This Row],[CLASS]])&gt;=7,LEFT(Base_Periodo1[[#This Row],[CLASS]],7),"")</f>
        <v>2.1.2.1</v>
      </c>
      <c r="F3224" s="3" t="str">
        <f>VLOOKUP(Base_Periodo1[[#This Row],[Aux]],Base_Contas_Balanco[#All],2,FALSE)</f>
        <v>Fornecedores Cooperados</v>
      </c>
      <c r="G3224" s="1">
        <v>42885</v>
      </c>
      <c r="H3224" s="225">
        <v>8329.7999999999993</v>
      </c>
      <c r="I3224" s="225">
        <v>8329.7999999999993</v>
      </c>
      <c r="J3224" s="225">
        <v>0</v>
      </c>
      <c r="K3224" s="225">
        <v>0</v>
      </c>
      <c r="L32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24" s="225">
        <f>ROUND(IF(AND(Base_Periodo1[[#This Row],[Tipo_Linha]]="-",Base_Periodo1[[#This Row],[TIPOSALDO]]="D"),Base_Periodo1[[#This Row],[SALDO_ATUAL]]*-1,Base_Periodo1[[#This Row],[SALDO_ATUAL]]),4)</f>
        <v>0</v>
      </c>
      <c r="N3224" t="s">
        <v>116</v>
      </c>
      <c r="O3224" t="s">
        <v>459</v>
      </c>
      <c r="P3224" t="s">
        <v>436</v>
      </c>
      <c r="Q3224">
        <v>7</v>
      </c>
      <c r="R3224" s="225">
        <f>Base_Periodo1[[#This Row],[CREDITOS]]-Base_Periodo1[[#This Row],[DEBITOS]]</f>
        <v>-8329.7999999999993</v>
      </c>
      <c r="S3224" s="3" t="str">
        <f>IF(ISERROR(VLOOKUP(Base_Periodo1[[#This Row],[CONTA]],BaseContasDRE[#All],4,FALSE)),"Fora do DRE",VLOOKUP(Base_Periodo1[[#This Row],[CONTA]],BaseContasDRE[#All],4,FALSE))</f>
        <v>Fora do DRE</v>
      </c>
      <c r="T3224" s="3" t="str">
        <f>IF(ISERROR(VLOOKUP(Base_Periodo1[[#This Row],[CONTA]],BaseContasDRE[#All],5,FALSE)),"Fora do DRE",VLOOKUP(Base_Periodo1[[#This Row],[CONTA]],BaseContasDRE[#All],6,FALSE))</f>
        <v>Fora do DRE</v>
      </c>
      <c r="U3224" s="3" t="str">
        <f>IF(ISERROR(VLOOKUP(Base_Periodo1[[#This Row],[CONTA]],BaseContasDRE[#All],7,FALSE)),"Fora do DRE",VLOOKUP(Base_Periodo1[[#This Row],[CONTA]],BaseContasDRE[#All],7,FALSE))</f>
        <v>Fora do DRE</v>
      </c>
      <c r="V3224" s="3" t="str">
        <f>IF(Base_Periodo1[[#This Row],[Tipo_Linha]]="Fora do DRE","Fora do DRE","( "&amp;Base_Periodo1[[#This Row],[Tipo_Linha]]&amp;" ) "&amp;Base_Periodo1[[#This Row],[Filtro]])</f>
        <v>Fora do DRE</v>
      </c>
      <c r="W3224" s="3" t="str">
        <f>LEFT(Base_Periodo1[[#This Row],[CLASS]],3)</f>
        <v>2.1</v>
      </c>
    </row>
    <row r="3225" spans="1:23" hidden="1">
      <c r="A3225" s="3" t="str">
        <f t="shared" si="50"/>
        <v>Período 1</v>
      </c>
      <c r="B3225">
        <v>39278</v>
      </c>
      <c r="C3225" t="s">
        <v>1745</v>
      </c>
      <c r="D3225" t="s">
        <v>5333</v>
      </c>
      <c r="E3225" s="3" t="str">
        <f>IF(LEN(Base_Periodo1[[#This Row],[CLASS]])&gt;=7,LEFT(Base_Periodo1[[#This Row],[CLASS]],7),"")</f>
        <v>2.1.2.1</v>
      </c>
      <c r="F3225" s="3" t="str">
        <f>VLOOKUP(Base_Periodo1[[#This Row],[Aux]],Base_Contas_Balanco[#All],2,FALSE)</f>
        <v>Fornecedores Cooperados</v>
      </c>
      <c r="G3225" s="1">
        <v>42657</v>
      </c>
      <c r="H3225" s="225">
        <v>23777.5</v>
      </c>
      <c r="I3225" s="225">
        <v>0</v>
      </c>
      <c r="J3225" s="225">
        <v>0</v>
      </c>
      <c r="K3225" s="225">
        <v>23777.5</v>
      </c>
      <c r="L32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23777.5</v>
      </c>
      <c r="M3225" s="225">
        <f>ROUND(IF(AND(Base_Periodo1[[#This Row],[Tipo_Linha]]="-",Base_Periodo1[[#This Row],[TIPOSALDO]]="D"),Base_Periodo1[[#This Row],[SALDO_ATUAL]]*-1,Base_Periodo1[[#This Row],[SALDO_ATUAL]]),4)</f>
        <v>23777.5</v>
      </c>
      <c r="N3225" t="s">
        <v>116</v>
      </c>
      <c r="O3225" t="s">
        <v>459</v>
      </c>
      <c r="P3225" t="s">
        <v>459</v>
      </c>
      <c r="Q3225">
        <v>7</v>
      </c>
      <c r="R3225" s="225">
        <f>Base_Periodo1[[#This Row],[CREDITOS]]-Base_Periodo1[[#This Row],[DEBITOS]]</f>
        <v>0</v>
      </c>
      <c r="S3225" s="3" t="str">
        <f>IF(ISERROR(VLOOKUP(Base_Periodo1[[#This Row],[CONTA]],BaseContasDRE[#All],4,FALSE)),"Fora do DRE",VLOOKUP(Base_Periodo1[[#This Row],[CONTA]],BaseContasDRE[#All],4,FALSE))</f>
        <v>Fora do DRE</v>
      </c>
      <c r="T3225" s="3" t="str">
        <f>IF(ISERROR(VLOOKUP(Base_Periodo1[[#This Row],[CONTA]],BaseContasDRE[#All],5,FALSE)),"Fora do DRE",VLOOKUP(Base_Periodo1[[#This Row],[CONTA]],BaseContasDRE[#All],6,FALSE))</f>
        <v>Fora do DRE</v>
      </c>
      <c r="U3225" s="3" t="str">
        <f>IF(ISERROR(VLOOKUP(Base_Periodo1[[#This Row],[CONTA]],BaseContasDRE[#All],7,FALSE)),"Fora do DRE",VLOOKUP(Base_Periodo1[[#This Row],[CONTA]],BaseContasDRE[#All],7,FALSE))</f>
        <v>Fora do DRE</v>
      </c>
      <c r="V3225" s="3" t="str">
        <f>IF(Base_Periodo1[[#This Row],[Tipo_Linha]]="Fora do DRE","Fora do DRE","( "&amp;Base_Periodo1[[#This Row],[Tipo_Linha]]&amp;" ) "&amp;Base_Periodo1[[#This Row],[Filtro]])</f>
        <v>Fora do DRE</v>
      </c>
      <c r="W3225" s="3" t="str">
        <f>LEFT(Base_Periodo1[[#This Row],[CLASS]],3)</f>
        <v>2.1</v>
      </c>
    </row>
    <row r="3226" spans="1:23" hidden="1">
      <c r="A3226" s="3" t="str">
        <f t="shared" si="50"/>
        <v>Período 1</v>
      </c>
      <c r="B3226">
        <v>4222</v>
      </c>
      <c r="C3226" t="s">
        <v>1745</v>
      </c>
      <c r="D3226" t="s">
        <v>2006</v>
      </c>
      <c r="E3226" s="3" t="str">
        <f>IF(LEN(Base_Periodo1[[#This Row],[CLASS]])&gt;=7,LEFT(Base_Periodo1[[#This Row],[CLASS]],7),"")</f>
        <v>2.1.2.1</v>
      </c>
      <c r="F3226" s="3" t="str">
        <f>VLOOKUP(Base_Periodo1[[#This Row],[Aux]],Base_Contas_Balanco[#All],2,FALSE)</f>
        <v>Fornecedores Cooperados</v>
      </c>
      <c r="G3226" s="1">
        <v>42635</v>
      </c>
      <c r="H3226" s="225">
        <v>1.0000000009313226E-2</v>
      </c>
      <c r="I3226" s="225">
        <v>0</v>
      </c>
      <c r="J3226" s="225">
        <v>0</v>
      </c>
      <c r="K3226" s="225">
        <v>1.0000000009313226E-2</v>
      </c>
      <c r="L32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226" s="225">
        <f>ROUND(IF(AND(Base_Periodo1[[#This Row],[Tipo_Linha]]="-",Base_Periodo1[[#This Row],[TIPOSALDO]]="D"),Base_Periodo1[[#This Row],[SALDO_ATUAL]]*-1,Base_Periodo1[[#This Row],[SALDO_ATUAL]]),4)</f>
        <v>0.01</v>
      </c>
      <c r="N3226" t="s">
        <v>116</v>
      </c>
      <c r="O3226" t="s">
        <v>459</v>
      </c>
      <c r="P3226" t="s">
        <v>459</v>
      </c>
      <c r="Q3226">
        <v>7</v>
      </c>
      <c r="R3226" s="225">
        <f>Base_Periodo1[[#This Row],[CREDITOS]]-Base_Periodo1[[#This Row],[DEBITOS]]</f>
        <v>0</v>
      </c>
      <c r="S3226" s="3" t="str">
        <f>IF(ISERROR(VLOOKUP(Base_Periodo1[[#This Row],[CONTA]],BaseContasDRE[#All],4,FALSE)),"Fora do DRE",VLOOKUP(Base_Periodo1[[#This Row],[CONTA]],BaseContasDRE[#All],4,FALSE))</f>
        <v>Fora do DRE</v>
      </c>
      <c r="T3226" s="3" t="str">
        <f>IF(ISERROR(VLOOKUP(Base_Periodo1[[#This Row],[CONTA]],BaseContasDRE[#All],5,FALSE)),"Fora do DRE",VLOOKUP(Base_Periodo1[[#This Row],[CONTA]],BaseContasDRE[#All],6,FALSE))</f>
        <v>Fora do DRE</v>
      </c>
      <c r="U3226" s="3" t="str">
        <f>IF(ISERROR(VLOOKUP(Base_Periodo1[[#This Row],[CONTA]],BaseContasDRE[#All],7,FALSE)),"Fora do DRE",VLOOKUP(Base_Periodo1[[#This Row],[CONTA]],BaseContasDRE[#All],7,FALSE))</f>
        <v>Fora do DRE</v>
      </c>
      <c r="V3226" s="3" t="str">
        <f>IF(Base_Periodo1[[#This Row],[Tipo_Linha]]="Fora do DRE","Fora do DRE","( "&amp;Base_Periodo1[[#This Row],[Tipo_Linha]]&amp;" ) "&amp;Base_Periodo1[[#This Row],[Filtro]])</f>
        <v>Fora do DRE</v>
      </c>
      <c r="W3226" s="3" t="str">
        <f>LEFT(Base_Periodo1[[#This Row],[CLASS]],3)</f>
        <v>2.1</v>
      </c>
    </row>
    <row r="3227" spans="1:23" hidden="1">
      <c r="A3227" s="3" t="str">
        <f t="shared" si="50"/>
        <v>Período 1</v>
      </c>
      <c r="B3227">
        <v>1534</v>
      </c>
      <c r="C3227" t="s">
        <v>5429</v>
      </c>
      <c r="D3227" t="s">
        <v>2145</v>
      </c>
      <c r="E3227" s="3" t="str">
        <f>IF(LEN(Base_Periodo1[[#This Row],[CLASS]])&gt;=7,LEFT(Base_Periodo1[[#This Row],[CLASS]],7),"")</f>
        <v>2.1.2.1</v>
      </c>
      <c r="F3227" s="3" t="str">
        <f>VLOOKUP(Base_Periodo1[[#This Row],[Aux]],Base_Contas_Balanco[#All],2,FALSE)</f>
        <v>Fornecedores Cooperados</v>
      </c>
      <c r="G3227" s="1"/>
      <c r="H3227" s="225">
        <v>13.090000000000003</v>
      </c>
      <c r="I3227" s="225">
        <v>0</v>
      </c>
      <c r="J3227" s="225">
        <v>0</v>
      </c>
      <c r="K3227" s="225">
        <v>13.090000000000003</v>
      </c>
      <c r="L32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13.09</v>
      </c>
      <c r="M3227" s="225">
        <f>ROUND(IF(AND(Base_Periodo1[[#This Row],[Tipo_Linha]]="-",Base_Periodo1[[#This Row],[TIPOSALDO]]="D"),Base_Periodo1[[#This Row],[SALDO_ATUAL]]*-1,Base_Periodo1[[#This Row],[SALDO_ATUAL]]),4)</f>
        <v>13.09</v>
      </c>
      <c r="N3227" t="s">
        <v>396</v>
      </c>
      <c r="O3227" t="s">
        <v>459</v>
      </c>
      <c r="P3227" t="s">
        <v>459</v>
      </c>
      <c r="Q3227">
        <v>5</v>
      </c>
      <c r="R3227" s="225">
        <f>Base_Periodo1[[#This Row],[CREDITOS]]-Base_Periodo1[[#This Row],[DEBITOS]]</f>
        <v>0</v>
      </c>
      <c r="S3227" s="3" t="str">
        <f>IF(ISERROR(VLOOKUP(Base_Periodo1[[#This Row],[CONTA]],BaseContasDRE[#All],4,FALSE)),"Fora do DRE",VLOOKUP(Base_Periodo1[[#This Row],[CONTA]],BaseContasDRE[#All],4,FALSE))</f>
        <v>Fora do DRE</v>
      </c>
      <c r="T3227" s="3" t="str">
        <f>IF(ISERROR(VLOOKUP(Base_Periodo1[[#This Row],[CONTA]],BaseContasDRE[#All],5,FALSE)),"Fora do DRE",VLOOKUP(Base_Periodo1[[#This Row],[CONTA]],BaseContasDRE[#All],6,FALSE))</f>
        <v>Fora do DRE</v>
      </c>
      <c r="U3227" s="3" t="str">
        <f>IF(ISERROR(VLOOKUP(Base_Periodo1[[#This Row],[CONTA]],BaseContasDRE[#All],7,FALSE)),"Fora do DRE",VLOOKUP(Base_Periodo1[[#This Row],[CONTA]],BaseContasDRE[#All],7,FALSE))</f>
        <v>Fora do DRE</v>
      </c>
      <c r="V3227" s="3" t="str">
        <f>IF(Base_Periodo1[[#This Row],[Tipo_Linha]]="Fora do DRE","Fora do DRE","( "&amp;Base_Periodo1[[#This Row],[Tipo_Linha]]&amp;" ) "&amp;Base_Periodo1[[#This Row],[Filtro]])</f>
        <v>Fora do DRE</v>
      </c>
      <c r="W3227" s="3" t="str">
        <f>LEFT(Base_Periodo1[[#This Row],[CLASS]],3)</f>
        <v>2.1</v>
      </c>
    </row>
    <row r="3228" spans="1:23" hidden="1">
      <c r="A3228" s="3" t="str">
        <f t="shared" si="50"/>
        <v>Período 1</v>
      </c>
      <c r="B3228">
        <v>1536</v>
      </c>
      <c r="C3228" t="s">
        <v>5430</v>
      </c>
      <c r="D3228" t="s">
        <v>5431</v>
      </c>
      <c r="E3228" s="3" t="str">
        <f>IF(LEN(Base_Periodo1[[#This Row],[CLASS]])&gt;=7,LEFT(Base_Periodo1[[#This Row],[CLASS]],7),"")</f>
        <v>2.1.2.1</v>
      </c>
      <c r="F3228" s="3" t="str">
        <f>VLOOKUP(Base_Periodo1[[#This Row],[Aux]],Base_Contas_Balanco[#All],2,FALSE)</f>
        <v>Fornecedores Cooperados</v>
      </c>
      <c r="G3228" s="1">
        <v>42776</v>
      </c>
      <c r="H3228" s="225">
        <v>13.090000000000003</v>
      </c>
      <c r="I3228" s="225">
        <v>0</v>
      </c>
      <c r="J3228" s="225">
        <v>0</v>
      </c>
      <c r="K3228" s="225">
        <v>13.090000000000003</v>
      </c>
      <c r="L32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13.09</v>
      </c>
      <c r="M3228" s="225">
        <f>ROUND(IF(AND(Base_Periodo1[[#This Row],[Tipo_Linha]]="-",Base_Periodo1[[#This Row],[TIPOSALDO]]="D"),Base_Periodo1[[#This Row],[SALDO_ATUAL]]*-1,Base_Periodo1[[#This Row],[SALDO_ATUAL]]),4)</f>
        <v>13.09</v>
      </c>
      <c r="N3228" t="s">
        <v>116</v>
      </c>
      <c r="O3228" t="s">
        <v>459</v>
      </c>
      <c r="P3228" t="s">
        <v>459</v>
      </c>
      <c r="Q3228">
        <v>6</v>
      </c>
      <c r="R3228" s="225">
        <f>Base_Periodo1[[#This Row],[CREDITOS]]-Base_Periodo1[[#This Row],[DEBITOS]]</f>
        <v>0</v>
      </c>
      <c r="S3228" s="3" t="str">
        <f>IF(ISERROR(VLOOKUP(Base_Periodo1[[#This Row],[CONTA]],BaseContasDRE[#All],4,FALSE)),"Fora do DRE",VLOOKUP(Base_Periodo1[[#This Row],[CONTA]],BaseContasDRE[#All],4,FALSE))</f>
        <v>Fora do DRE</v>
      </c>
      <c r="T3228" s="3" t="str">
        <f>IF(ISERROR(VLOOKUP(Base_Periodo1[[#This Row],[CONTA]],BaseContasDRE[#All],5,FALSE)),"Fora do DRE",VLOOKUP(Base_Periodo1[[#This Row],[CONTA]],BaseContasDRE[#All],6,FALSE))</f>
        <v>Fora do DRE</v>
      </c>
      <c r="U3228" s="3" t="str">
        <f>IF(ISERROR(VLOOKUP(Base_Periodo1[[#This Row],[CONTA]],BaseContasDRE[#All],7,FALSE)),"Fora do DRE",VLOOKUP(Base_Periodo1[[#This Row],[CONTA]],BaseContasDRE[#All],7,FALSE))</f>
        <v>Fora do DRE</v>
      </c>
      <c r="V3228" s="3" t="str">
        <f>IF(Base_Periodo1[[#This Row],[Tipo_Linha]]="Fora do DRE","Fora do DRE","( "&amp;Base_Periodo1[[#This Row],[Tipo_Linha]]&amp;" ) "&amp;Base_Periodo1[[#This Row],[Filtro]])</f>
        <v>Fora do DRE</v>
      </c>
      <c r="W3228" s="3" t="str">
        <f>LEFT(Base_Periodo1[[#This Row],[CLASS]],3)</f>
        <v>2.1</v>
      </c>
    </row>
    <row r="3229" spans="1:23" hidden="1">
      <c r="A3229" s="3" t="str">
        <f t="shared" si="50"/>
        <v>Período 1</v>
      </c>
      <c r="B3229">
        <v>1537</v>
      </c>
      <c r="C3229" t="s">
        <v>42</v>
      </c>
      <c r="D3229" t="s">
        <v>43</v>
      </c>
      <c r="E3229" s="3" t="str">
        <f>IF(LEN(Base_Periodo1[[#This Row],[CLASS]])&gt;=7,LEFT(Base_Periodo1[[#This Row],[CLASS]],7),"")</f>
        <v>2.1.2.2</v>
      </c>
      <c r="F3229" s="3" t="str">
        <f>VLOOKUP(Base_Periodo1[[#This Row],[Aux]],Base_Contas_Balanco[#All],2,FALSE)</f>
        <v>Fornecedores Não Cooperados</v>
      </c>
      <c r="G3229" s="1"/>
      <c r="H3229" s="225">
        <v>20939794.350100461</v>
      </c>
      <c r="I3229" s="225">
        <v>30909585.159999978</v>
      </c>
      <c r="J3229" s="225">
        <v>30846886.969999984</v>
      </c>
      <c r="K3229" s="225">
        <v>20877096.160100468</v>
      </c>
      <c r="L32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20877096.160100002</v>
      </c>
      <c r="M3229" s="225">
        <f>ROUND(IF(AND(Base_Periodo1[[#This Row],[Tipo_Linha]]="-",Base_Periodo1[[#This Row],[TIPOSALDO]]="D"),Base_Periodo1[[#This Row],[SALDO_ATUAL]]*-1,Base_Periodo1[[#This Row],[SALDO_ATUAL]]),4)</f>
        <v>20877096.160100002</v>
      </c>
      <c r="N3229" t="s">
        <v>396</v>
      </c>
      <c r="O3229" t="s">
        <v>459</v>
      </c>
      <c r="P3229" t="s">
        <v>459</v>
      </c>
      <c r="Q3229">
        <v>4</v>
      </c>
      <c r="R3229" s="225">
        <f>Base_Periodo1[[#This Row],[CREDITOS]]-Base_Periodo1[[#This Row],[DEBITOS]]</f>
        <v>-62698.189999993891</v>
      </c>
      <c r="S3229" s="3" t="str">
        <f>IF(ISERROR(VLOOKUP(Base_Periodo1[[#This Row],[CONTA]],BaseContasDRE[#All],4,FALSE)),"Fora do DRE",VLOOKUP(Base_Periodo1[[#This Row],[CONTA]],BaseContasDRE[#All],4,FALSE))</f>
        <v>Fora do DRE</v>
      </c>
      <c r="T3229" s="3" t="str">
        <f>IF(ISERROR(VLOOKUP(Base_Periodo1[[#This Row],[CONTA]],BaseContasDRE[#All],5,FALSE)),"Fora do DRE",VLOOKUP(Base_Periodo1[[#This Row],[CONTA]],BaseContasDRE[#All],6,FALSE))</f>
        <v>Fora do DRE</v>
      </c>
      <c r="U3229" s="3" t="str">
        <f>IF(ISERROR(VLOOKUP(Base_Periodo1[[#This Row],[CONTA]],BaseContasDRE[#All],7,FALSE)),"Fora do DRE",VLOOKUP(Base_Periodo1[[#This Row],[CONTA]],BaseContasDRE[#All],7,FALSE))</f>
        <v>Fora do DRE</v>
      </c>
      <c r="V3229" s="3" t="str">
        <f>IF(Base_Periodo1[[#This Row],[Tipo_Linha]]="Fora do DRE","Fora do DRE","( "&amp;Base_Periodo1[[#This Row],[Tipo_Linha]]&amp;" ) "&amp;Base_Periodo1[[#This Row],[Filtro]])</f>
        <v>Fora do DRE</v>
      </c>
      <c r="W3229" s="3" t="str">
        <f>LEFT(Base_Periodo1[[#This Row],[CLASS]],3)</f>
        <v>2.1</v>
      </c>
    </row>
    <row r="3230" spans="1:23" hidden="1">
      <c r="A3230" s="3" t="str">
        <f t="shared" si="50"/>
        <v>Período 1</v>
      </c>
      <c r="B3230">
        <v>1538</v>
      </c>
      <c r="C3230" t="s">
        <v>2007</v>
      </c>
      <c r="D3230" t="s">
        <v>2008</v>
      </c>
      <c r="E3230" s="3" t="str">
        <f>IF(LEN(Base_Periodo1[[#This Row],[CLASS]])&gt;=7,LEFT(Base_Periodo1[[#This Row],[CLASS]],7),"")</f>
        <v>2.1.2.2</v>
      </c>
      <c r="F3230" s="3" t="str">
        <f>VLOOKUP(Base_Periodo1[[#This Row],[Aux]],Base_Contas_Balanco[#All],2,FALSE)</f>
        <v>Fornecedores Não Cooperados</v>
      </c>
      <c r="G3230" s="1"/>
      <c r="H3230" s="225">
        <v>19273645.830100473</v>
      </c>
      <c r="I3230" s="225">
        <v>27876397.219999976</v>
      </c>
      <c r="J3230" s="225">
        <v>27750501.299999975</v>
      </c>
      <c r="K3230" s="225">
        <v>19147749.910100471</v>
      </c>
      <c r="L32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19147749.910100002</v>
      </c>
      <c r="M3230" s="225">
        <f>ROUND(IF(AND(Base_Periodo1[[#This Row],[Tipo_Linha]]="-",Base_Periodo1[[#This Row],[TIPOSALDO]]="D"),Base_Periodo1[[#This Row],[SALDO_ATUAL]]*-1,Base_Periodo1[[#This Row],[SALDO_ATUAL]]),4)</f>
        <v>19147749.910100002</v>
      </c>
      <c r="N3230" t="s">
        <v>396</v>
      </c>
      <c r="O3230" t="s">
        <v>459</v>
      </c>
      <c r="P3230" t="s">
        <v>459</v>
      </c>
      <c r="Q3230">
        <v>5</v>
      </c>
      <c r="R3230" s="225">
        <f>Base_Periodo1[[#This Row],[CREDITOS]]-Base_Periodo1[[#This Row],[DEBITOS]]</f>
        <v>-125895.92000000179</v>
      </c>
      <c r="S3230" s="3" t="str">
        <f>IF(ISERROR(VLOOKUP(Base_Periodo1[[#This Row],[CONTA]],BaseContasDRE[#All],4,FALSE)),"Fora do DRE",VLOOKUP(Base_Periodo1[[#This Row],[CONTA]],BaseContasDRE[#All],4,FALSE))</f>
        <v>Fora do DRE</v>
      </c>
      <c r="T3230" s="3" t="str">
        <f>IF(ISERROR(VLOOKUP(Base_Periodo1[[#This Row],[CONTA]],BaseContasDRE[#All],5,FALSE)),"Fora do DRE",VLOOKUP(Base_Periodo1[[#This Row],[CONTA]],BaseContasDRE[#All],6,FALSE))</f>
        <v>Fora do DRE</v>
      </c>
      <c r="U3230" s="3" t="str">
        <f>IF(ISERROR(VLOOKUP(Base_Periodo1[[#This Row],[CONTA]],BaseContasDRE[#All],7,FALSE)),"Fora do DRE",VLOOKUP(Base_Periodo1[[#This Row],[CONTA]],BaseContasDRE[#All],7,FALSE))</f>
        <v>Fora do DRE</v>
      </c>
      <c r="V3230" s="3" t="str">
        <f>IF(Base_Periodo1[[#This Row],[Tipo_Linha]]="Fora do DRE","Fora do DRE","( "&amp;Base_Periodo1[[#This Row],[Tipo_Linha]]&amp;" ) "&amp;Base_Periodo1[[#This Row],[Filtro]])</f>
        <v>Fora do DRE</v>
      </c>
      <c r="W3230" s="3" t="str">
        <f>LEFT(Base_Periodo1[[#This Row],[CLASS]],3)</f>
        <v>2.1</v>
      </c>
    </row>
    <row r="3231" spans="1:23" hidden="1">
      <c r="A3231" s="3" t="str">
        <f t="shared" si="50"/>
        <v>Período 1</v>
      </c>
      <c r="B3231">
        <v>1539</v>
      </c>
      <c r="C3231" t="s">
        <v>2009</v>
      </c>
      <c r="D3231" t="s">
        <v>1729</v>
      </c>
      <c r="E3231" s="3" t="str">
        <f>IF(LEN(Base_Periodo1[[#This Row],[CLASS]])&gt;=7,LEFT(Base_Periodo1[[#This Row],[CLASS]],7),"")</f>
        <v>2.1.2.2</v>
      </c>
      <c r="F3231" s="3" t="str">
        <f>VLOOKUP(Base_Periodo1[[#This Row],[Aux]],Base_Contas_Balanco[#All],2,FALSE)</f>
        <v>Fornecedores Não Cooperados</v>
      </c>
      <c r="G3231" s="1"/>
      <c r="H3231" s="225">
        <v>19273645.830100473</v>
      </c>
      <c r="I3231" s="225">
        <v>27876397.219999976</v>
      </c>
      <c r="J3231" s="225">
        <v>27750501.299999975</v>
      </c>
      <c r="K3231" s="225">
        <v>19147749.910100471</v>
      </c>
      <c r="L32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19147749.910100002</v>
      </c>
      <c r="M3231" s="225">
        <f>ROUND(IF(AND(Base_Periodo1[[#This Row],[Tipo_Linha]]="-",Base_Periodo1[[#This Row],[TIPOSALDO]]="D"),Base_Periodo1[[#This Row],[SALDO_ATUAL]]*-1,Base_Periodo1[[#This Row],[SALDO_ATUAL]]),4)</f>
        <v>19147749.910100002</v>
      </c>
      <c r="N3231" t="s">
        <v>396</v>
      </c>
      <c r="O3231" t="s">
        <v>459</v>
      </c>
      <c r="P3231" t="s">
        <v>459</v>
      </c>
      <c r="Q3231">
        <v>6</v>
      </c>
      <c r="R3231" s="225">
        <f>Base_Periodo1[[#This Row],[CREDITOS]]-Base_Periodo1[[#This Row],[DEBITOS]]</f>
        <v>-125895.92000000179</v>
      </c>
      <c r="S3231" s="3" t="str">
        <f>IF(ISERROR(VLOOKUP(Base_Periodo1[[#This Row],[CONTA]],BaseContasDRE[#All],4,FALSE)),"Fora do DRE",VLOOKUP(Base_Periodo1[[#This Row],[CONTA]],BaseContasDRE[#All],4,FALSE))</f>
        <v>Fora do DRE</v>
      </c>
      <c r="T3231" s="3" t="str">
        <f>IF(ISERROR(VLOOKUP(Base_Periodo1[[#This Row],[CONTA]],BaseContasDRE[#All],5,FALSE)),"Fora do DRE",VLOOKUP(Base_Periodo1[[#This Row],[CONTA]],BaseContasDRE[#All],6,FALSE))</f>
        <v>Fora do DRE</v>
      </c>
      <c r="U3231" s="3" t="str">
        <f>IF(ISERROR(VLOOKUP(Base_Periodo1[[#This Row],[CONTA]],BaseContasDRE[#All],7,FALSE)),"Fora do DRE",VLOOKUP(Base_Periodo1[[#This Row],[CONTA]],BaseContasDRE[#All],7,FALSE))</f>
        <v>Fora do DRE</v>
      </c>
      <c r="V3231" s="3" t="str">
        <f>IF(Base_Periodo1[[#This Row],[Tipo_Linha]]="Fora do DRE","Fora do DRE","( "&amp;Base_Periodo1[[#This Row],[Tipo_Linha]]&amp;" ) "&amp;Base_Periodo1[[#This Row],[Filtro]])</f>
        <v>Fora do DRE</v>
      </c>
      <c r="W3231" s="3" t="str">
        <f>LEFT(Base_Periodo1[[#This Row],[CLASS]],3)</f>
        <v>2.1</v>
      </c>
    </row>
    <row r="3232" spans="1:23" hidden="1">
      <c r="A3232" s="3" t="str">
        <f t="shared" si="50"/>
        <v>Período 1</v>
      </c>
      <c r="B3232">
        <v>32868</v>
      </c>
      <c r="C3232" t="s">
        <v>2010</v>
      </c>
      <c r="D3232" t="s">
        <v>6412</v>
      </c>
      <c r="E3232" s="3" t="str">
        <f>IF(LEN(Base_Periodo1[[#This Row],[CLASS]])&gt;=7,LEFT(Base_Periodo1[[#This Row],[CLASS]],7),"")</f>
        <v>2.1.2.2</v>
      </c>
      <c r="F3232" s="3" t="str">
        <f>VLOOKUP(Base_Periodo1[[#This Row],[Aux]],Base_Contas_Balanco[#All],2,FALSE)</f>
        <v>Fornecedores Não Cooperados</v>
      </c>
      <c r="G3232" s="1">
        <v>42885</v>
      </c>
      <c r="H3232" s="225">
        <v>400</v>
      </c>
      <c r="I3232" s="225">
        <v>400</v>
      </c>
      <c r="J3232" s="225">
        <v>0</v>
      </c>
      <c r="K3232" s="225">
        <v>0</v>
      </c>
      <c r="L32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32" s="225">
        <f>ROUND(IF(AND(Base_Periodo1[[#This Row],[Tipo_Linha]]="-",Base_Periodo1[[#This Row],[TIPOSALDO]]="D"),Base_Periodo1[[#This Row],[SALDO_ATUAL]]*-1,Base_Periodo1[[#This Row],[SALDO_ATUAL]]),4)</f>
        <v>0</v>
      </c>
      <c r="N3232" t="s">
        <v>116</v>
      </c>
      <c r="O3232" t="s">
        <v>459</v>
      </c>
      <c r="P3232" t="s">
        <v>436</v>
      </c>
      <c r="Q3232">
        <v>7</v>
      </c>
      <c r="R3232" s="225">
        <f>Base_Periodo1[[#This Row],[CREDITOS]]-Base_Periodo1[[#This Row],[DEBITOS]]</f>
        <v>-400</v>
      </c>
      <c r="S3232" s="3" t="str">
        <f>IF(ISERROR(VLOOKUP(Base_Periodo1[[#This Row],[CONTA]],BaseContasDRE[#All],4,FALSE)),"Fora do DRE",VLOOKUP(Base_Periodo1[[#This Row],[CONTA]],BaseContasDRE[#All],4,FALSE))</f>
        <v>Fora do DRE</v>
      </c>
      <c r="T3232" s="3" t="str">
        <f>IF(ISERROR(VLOOKUP(Base_Periodo1[[#This Row],[CONTA]],BaseContasDRE[#All],5,FALSE)),"Fora do DRE",VLOOKUP(Base_Periodo1[[#This Row],[CONTA]],BaseContasDRE[#All],6,FALSE))</f>
        <v>Fora do DRE</v>
      </c>
      <c r="U3232" s="3" t="str">
        <f>IF(ISERROR(VLOOKUP(Base_Periodo1[[#This Row],[CONTA]],BaseContasDRE[#All],7,FALSE)),"Fora do DRE",VLOOKUP(Base_Periodo1[[#This Row],[CONTA]],BaseContasDRE[#All],7,FALSE))</f>
        <v>Fora do DRE</v>
      </c>
      <c r="V3232" s="3" t="str">
        <f>IF(Base_Periodo1[[#This Row],[Tipo_Linha]]="Fora do DRE","Fora do DRE","( "&amp;Base_Periodo1[[#This Row],[Tipo_Linha]]&amp;" ) "&amp;Base_Periodo1[[#This Row],[Filtro]])</f>
        <v>Fora do DRE</v>
      </c>
      <c r="W3232" s="3" t="str">
        <f>LEFT(Base_Periodo1[[#This Row],[CLASS]],3)</f>
        <v>2.1</v>
      </c>
    </row>
    <row r="3233" spans="1:23" hidden="1">
      <c r="A3233" s="3" t="str">
        <f t="shared" si="50"/>
        <v>Período 1</v>
      </c>
      <c r="B3233">
        <v>37049</v>
      </c>
      <c r="C3233" t="s">
        <v>2010</v>
      </c>
      <c r="D3233" t="s">
        <v>6413</v>
      </c>
      <c r="E3233" s="3" t="str">
        <f>IF(LEN(Base_Periodo1[[#This Row],[CLASS]])&gt;=7,LEFT(Base_Periodo1[[#This Row],[CLASS]],7),"")</f>
        <v>2.1.2.2</v>
      </c>
      <c r="F3233" s="3" t="str">
        <f>VLOOKUP(Base_Periodo1[[#This Row],[Aux]],Base_Contas_Balanco[#All],2,FALSE)</f>
        <v>Fornecedores Não Cooperados</v>
      </c>
      <c r="G3233" s="1">
        <v>42886</v>
      </c>
      <c r="H3233" s="225">
        <v>7387.5000000000582</v>
      </c>
      <c r="I3233" s="225">
        <v>10181.25</v>
      </c>
      <c r="J3233" s="225">
        <v>5666.67</v>
      </c>
      <c r="K3233" s="225">
        <v>2872.9200000000583</v>
      </c>
      <c r="L32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2872.92</v>
      </c>
      <c r="M3233" s="225">
        <f>ROUND(IF(AND(Base_Periodo1[[#This Row],[Tipo_Linha]]="-",Base_Periodo1[[#This Row],[TIPOSALDO]]="D"),Base_Periodo1[[#This Row],[SALDO_ATUAL]]*-1,Base_Periodo1[[#This Row],[SALDO_ATUAL]]),4)</f>
        <v>2872.92</v>
      </c>
      <c r="N3233" t="s">
        <v>116</v>
      </c>
      <c r="O3233" t="s">
        <v>459</v>
      </c>
      <c r="P3233" t="s">
        <v>459</v>
      </c>
      <c r="Q3233">
        <v>7</v>
      </c>
      <c r="R3233" s="225">
        <f>Base_Periodo1[[#This Row],[CREDITOS]]-Base_Periodo1[[#This Row],[DEBITOS]]</f>
        <v>-4514.58</v>
      </c>
      <c r="S3233" s="3" t="str">
        <f>IF(ISERROR(VLOOKUP(Base_Periodo1[[#This Row],[CONTA]],BaseContasDRE[#All],4,FALSE)),"Fora do DRE",VLOOKUP(Base_Periodo1[[#This Row],[CONTA]],BaseContasDRE[#All],4,FALSE))</f>
        <v>Fora do DRE</v>
      </c>
      <c r="T3233" s="3" t="str">
        <f>IF(ISERROR(VLOOKUP(Base_Periodo1[[#This Row],[CONTA]],BaseContasDRE[#All],5,FALSE)),"Fora do DRE",VLOOKUP(Base_Periodo1[[#This Row],[CONTA]],BaseContasDRE[#All],6,FALSE))</f>
        <v>Fora do DRE</v>
      </c>
      <c r="U3233" s="3" t="str">
        <f>IF(ISERROR(VLOOKUP(Base_Periodo1[[#This Row],[CONTA]],BaseContasDRE[#All],7,FALSE)),"Fora do DRE",VLOOKUP(Base_Periodo1[[#This Row],[CONTA]],BaseContasDRE[#All],7,FALSE))</f>
        <v>Fora do DRE</v>
      </c>
      <c r="V3233" s="3" t="str">
        <f>IF(Base_Periodo1[[#This Row],[Tipo_Linha]]="Fora do DRE","Fora do DRE","( "&amp;Base_Periodo1[[#This Row],[Tipo_Linha]]&amp;" ) "&amp;Base_Periodo1[[#This Row],[Filtro]])</f>
        <v>Fora do DRE</v>
      </c>
      <c r="W3233" s="3" t="str">
        <f>LEFT(Base_Periodo1[[#This Row],[CLASS]],3)</f>
        <v>2.1</v>
      </c>
    </row>
    <row r="3234" spans="1:23" hidden="1">
      <c r="A3234" s="3" t="str">
        <f t="shared" si="50"/>
        <v>Período 1</v>
      </c>
      <c r="B3234">
        <v>15693</v>
      </c>
      <c r="C3234" t="s">
        <v>2010</v>
      </c>
      <c r="D3234" t="s">
        <v>2011</v>
      </c>
      <c r="E3234" s="3" t="str">
        <f>IF(LEN(Base_Periodo1[[#This Row],[CLASS]])&gt;=7,LEFT(Base_Periodo1[[#This Row],[CLASS]],7),"")</f>
        <v>2.1.2.2</v>
      </c>
      <c r="F3234" s="3" t="str">
        <f>VLOOKUP(Base_Periodo1[[#This Row],[Aux]],Base_Contas_Balanco[#All],2,FALSE)</f>
        <v>Fornecedores Não Cooperados</v>
      </c>
      <c r="G3234" s="1">
        <v>42865</v>
      </c>
      <c r="I3234" s="225">
        <v>200</v>
      </c>
      <c r="J3234" s="225">
        <v>200</v>
      </c>
      <c r="K3234" s="225">
        <v>0</v>
      </c>
      <c r="L32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34" s="225">
        <f>ROUND(IF(AND(Base_Periodo1[[#This Row],[Tipo_Linha]]="-",Base_Periodo1[[#This Row],[TIPOSALDO]]="D"),Base_Periodo1[[#This Row],[SALDO_ATUAL]]*-1,Base_Periodo1[[#This Row],[SALDO_ATUAL]]),4)</f>
        <v>0</v>
      </c>
      <c r="N3234" t="s">
        <v>116</v>
      </c>
      <c r="O3234" t="s">
        <v>436</v>
      </c>
      <c r="P3234" t="s">
        <v>436</v>
      </c>
      <c r="Q3234">
        <v>7</v>
      </c>
      <c r="R3234" s="225">
        <f>Base_Periodo1[[#This Row],[CREDITOS]]-Base_Periodo1[[#This Row],[DEBITOS]]</f>
        <v>0</v>
      </c>
      <c r="S3234" s="3" t="str">
        <f>IF(ISERROR(VLOOKUP(Base_Periodo1[[#This Row],[CONTA]],BaseContasDRE[#All],4,FALSE)),"Fora do DRE",VLOOKUP(Base_Periodo1[[#This Row],[CONTA]],BaseContasDRE[#All],4,FALSE))</f>
        <v>Fora do DRE</v>
      </c>
      <c r="T3234" s="3" t="str">
        <f>IF(ISERROR(VLOOKUP(Base_Periodo1[[#This Row],[CONTA]],BaseContasDRE[#All],5,FALSE)),"Fora do DRE",VLOOKUP(Base_Periodo1[[#This Row],[CONTA]],BaseContasDRE[#All],6,FALSE))</f>
        <v>Fora do DRE</v>
      </c>
      <c r="U3234" s="3" t="str">
        <f>IF(ISERROR(VLOOKUP(Base_Periodo1[[#This Row],[CONTA]],BaseContasDRE[#All],7,FALSE)),"Fora do DRE",VLOOKUP(Base_Periodo1[[#This Row],[CONTA]],BaseContasDRE[#All],7,FALSE))</f>
        <v>Fora do DRE</v>
      </c>
      <c r="V3234" s="3" t="str">
        <f>IF(Base_Periodo1[[#This Row],[Tipo_Linha]]="Fora do DRE","Fora do DRE","( "&amp;Base_Periodo1[[#This Row],[Tipo_Linha]]&amp;" ) "&amp;Base_Periodo1[[#This Row],[Filtro]])</f>
        <v>Fora do DRE</v>
      </c>
      <c r="W3234" s="3" t="str">
        <f>LEFT(Base_Periodo1[[#This Row],[CLASS]],3)</f>
        <v>2.1</v>
      </c>
    </row>
    <row r="3235" spans="1:23" hidden="1">
      <c r="A3235" s="3" t="str">
        <f t="shared" si="50"/>
        <v>Período 1</v>
      </c>
      <c r="B3235">
        <v>17240</v>
      </c>
      <c r="C3235" t="s">
        <v>2010</v>
      </c>
      <c r="D3235" t="s">
        <v>6414</v>
      </c>
      <c r="E3235" s="3" t="str">
        <f>IF(LEN(Base_Periodo1[[#This Row],[CLASS]])&gt;=7,LEFT(Base_Periodo1[[#This Row],[CLASS]],7),"")</f>
        <v>2.1.2.2</v>
      </c>
      <c r="F3235" s="3" t="str">
        <f>VLOOKUP(Base_Periodo1[[#This Row],[Aux]],Base_Contas_Balanco[#All],2,FALSE)</f>
        <v>Fornecedores Não Cooperados</v>
      </c>
      <c r="G3235" s="1">
        <v>42886</v>
      </c>
      <c r="I3235" s="225">
        <v>0</v>
      </c>
      <c r="J3235" s="225">
        <v>3286.6200000000003</v>
      </c>
      <c r="K3235" s="225">
        <v>3286.6200000000003</v>
      </c>
      <c r="L32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3286.62</v>
      </c>
      <c r="M3235" s="225">
        <f>ROUND(IF(AND(Base_Periodo1[[#This Row],[Tipo_Linha]]="-",Base_Periodo1[[#This Row],[TIPOSALDO]]="D"),Base_Periodo1[[#This Row],[SALDO_ATUAL]]*-1,Base_Periodo1[[#This Row],[SALDO_ATUAL]]),4)</f>
        <v>3286.62</v>
      </c>
      <c r="N3235" t="s">
        <v>116</v>
      </c>
      <c r="O3235" t="s">
        <v>436</v>
      </c>
      <c r="P3235" t="s">
        <v>459</v>
      </c>
      <c r="Q3235">
        <v>7</v>
      </c>
      <c r="R3235" s="225">
        <f>Base_Periodo1[[#This Row],[CREDITOS]]-Base_Periodo1[[#This Row],[DEBITOS]]</f>
        <v>3286.6200000000003</v>
      </c>
      <c r="S3235" s="3" t="str">
        <f>IF(ISERROR(VLOOKUP(Base_Periodo1[[#This Row],[CONTA]],BaseContasDRE[#All],4,FALSE)),"Fora do DRE",VLOOKUP(Base_Periodo1[[#This Row],[CONTA]],BaseContasDRE[#All],4,FALSE))</f>
        <v>Fora do DRE</v>
      </c>
      <c r="T3235" s="3" t="str">
        <f>IF(ISERROR(VLOOKUP(Base_Periodo1[[#This Row],[CONTA]],BaseContasDRE[#All],5,FALSE)),"Fora do DRE",VLOOKUP(Base_Periodo1[[#This Row],[CONTA]],BaseContasDRE[#All],6,FALSE))</f>
        <v>Fora do DRE</v>
      </c>
      <c r="U3235" s="3" t="str">
        <f>IF(ISERROR(VLOOKUP(Base_Periodo1[[#This Row],[CONTA]],BaseContasDRE[#All],7,FALSE)),"Fora do DRE",VLOOKUP(Base_Periodo1[[#This Row],[CONTA]],BaseContasDRE[#All],7,FALSE))</f>
        <v>Fora do DRE</v>
      </c>
      <c r="V3235" s="3" t="str">
        <f>IF(Base_Periodo1[[#This Row],[Tipo_Linha]]="Fora do DRE","Fora do DRE","( "&amp;Base_Periodo1[[#This Row],[Tipo_Linha]]&amp;" ) "&amp;Base_Periodo1[[#This Row],[Filtro]])</f>
        <v>Fora do DRE</v>
      </c>
      <c r="W3235" s="3" t="str">
        <f>LEFT(Base_Periodo1[[#This Row],[CLASS]],3)</f>
        <v>2.1</v>
      </c>
    </row>
    <row r="3236" spans="1:23" hidden="1">
      <c r="A3236" s="3" t="str">
        <f t="shared" si="50"/>
        <v>Período 1</v>
      </c>
      <c r="B3236">
        <v>58910</v>
      </c>
      <c r="C3236" t="s">
        <v>2010</v>
      </c>
      <c r="D3236" t="s">
        <v>6898</v>
      </c>
      <c r="E3236" s="3" t="str">
        <f>IF(LEN(Base_Periodo1[[#This Row],[CLASS]])&gt;=7,LEFT(Base_Periodo1[[#This Row],[CLASS]],7),"")</f>
        <v>2.1.2.2</v>
      </c>
      <c r="F3236" s="3" t="str">
        <f>VLOOKUP(Base_Periodo1[[#This Row],[Aux]],Base_Contas_Balanco[#All],2,FALSE)</f>
        <v>Fornecedores Não Cooperados</v>
      </c>
      <c r="G3236" s="1">
        <v>42866</v>
      </c>
      <c r="I3236" s="225">
        <v>270</v>
      </c>
      <c r="J3236" s="225">
        <v>270</v>
      </c>
      <c r="K3236" s="225">
        <v>0</v>
      </c>
      <c r="L32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36" s="225">
        <f>ROUND(IF(AND(Base_Periodo1[[#This Row],[Tipo_Linha]]="-",Base_Periodo1[[#This Row],[TIPOSALDO]]="D"),Base_Periodo1[[#This Row],[SALDO_ATUAL]]*-1,Base_Periodo1[[#This Row],[SALDO_ATUAL]]),4)</f>
        <v>0</v>
      </c>
      <c r="N3236" t="s">
        <v>116</v>
      </c>
      <c r="O3236" t="s">
        <v>436</v>
      </c>
      <c r="P3236" t="s">
        <v>436</v>
      </c>
      <c r="Q3236">
        <v>7</v>
      </c>
      <c r="R3236" s="225">
        <f>Base_Periodo1[[#This Row],[CREDITOS]]-Base_Periodo1[[#This Row],[DEBITOS]]</f>
        <v>0</v>
      </c>
      <c r="S3236" s="3" t="str">
        <f>IF(ISERROR(VLOOKUP(Base_Periodo1[[#This Row],[CONTA]],BaseContasDRE[#All],4,FALSE)),"Fora do DRE",VLOOKUP(Base_Periodo1[[#This Row],[CONTA]],BaseContasDRE[#All],4,FALSE))</f>
        <v>Fora do DRE</v>
      </c>
      <c r="T3236" s="3" t="str">
        <f>IF(ISERROR(VLOOKUP(Base_Periodo1[[#This Row],[CONTA]],BaseContasDRE[#All],5,FALSE)),"Fora do DRE",VLOOKUP(Base_Periodo1[[#This Row],[CONTA]],BaseContasDRE[#All],6,FALSE))</f>
        <v>Fora do DRE</v>
      </c>
      <c r="U3236" s="3" t="str">
        <f>IF(ISERROR(VLOOKUP(Base_Periodo1[[#This Row],[CONTA]],BaseContasDRE[#All],7,FALSE)),"Fora do DRE",VLOOKUP(Base_Periodo1[[#This Row],[CONTA]],BaseContasDRE[#All],7,FALSE))</f>
        <v>Fora do DRE</v>
      </c>
      <c r="V3236" s="3" t="str">
        <f>IF(Base_Periodo1[[#This Row],[Tipo_Linha]]="Fora do DRE","Fora do DRE","( "&amp;Base_Periodo1[[#This Row],[Tipo_Linha]]&amp;" ) "&amp;Base_Periodo1[[#This Row],[Filtro]])</f>
        <v>Fora do DRE</v>
      </c>
      <c r="W3236" s="3" t="str">
        <f>LEFT(Base_Periodo1[[#This Row],[CLASS]],3)</f>
        <v>2.1</v>
      </c>
    </row>
    <row r="3237" spans="1:23" hidden="1">
      <c r="A3237" s="3" t="str">
        <f t="shared" si="50"/>
        <v>Período 1</v>
      </c>
      <c r="B3237">
        <v>26611</v>
      </c>
      <c r="C3237" t="s">
        <v>2010</v>
      </c>
      <c r="D3237" t="s">
        <v>2013</v>
      </c>
      <c r="E3237" s="3" t="str">
        <f>IF(LEN(Base_Periodo1[[#This Row],[CLASS]])&gt;=7,LEFT(Base_Periodo1[[#This Row],[CLASS]],7),"")</f>
        <v>2.1.2.2</v>
      </c>
      <c r="F3237" s="3" t="str">
        <f>VLOOKUP(Base_Periodo1[[#This Row],[Aux]],Base_Contas_Balanco[#All],2,FALSE)</f>
        <v>Fornecedores Não Cooperados</v>
      </c>
      <c r="G3237" s="1">
        <v>42870</v>
      </c>
      <c r="I3237" s="225">
        <v>8216.7999999999993</v>
      </c>
      <c r="J3237" s="225">
        <v>8216.7999999999993</v>
      </c>
      <c r="K3237" s="225">
        <v>0</v>
      </c>
      <c r="L32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37" s="225">
        <f>ROUND(IF(AND(Base_Periodo1[[#This Row],[Tipo_Linha]]="-",Base_Periodo1[[#This Row],[TIPOSALDO]]="D"),Base_Periodo1[[#This Row],[SALDO_ATUAL]]*-1,Base_Periodo1[[#This Row],[SALDO_ATUAL]]),4)</f>
        <v>0</v>
      </c>
      <c r="N3237" t="s">
        <v>116</v>
      </c>
      <c r="O3237" t="s">
        <v>436</v>
      </c>
      <c r="P3237" t="s">
        <v>436</v>
      </c>
      <c r="Q3237">
        <v>7</v>
      </c>
      <c r="R3237" s="225">
        <f>Base_Periodo1[[#This Row],[CREDITOS]]-Base_Periodo1[[#This Row],[DEBITOS]]</f>
        <v>0</v>
      </c>
      <c r="S3237" s="3" t="str">
        <f>IF(ISERROR(VLOOKUP(Base_Periodo1[[#This Row],[CONTA]],BaseContasDRE[#All],4,FALSE)),"Fora do DRE",VLOOKUP(Base_Periodo1[[#This Row],[CONTA]],BaseContasDRE[#All],4,FALSE))</f>
        <v>Fora do DRE</v>
      </c>
      <c r="T3237" s="3" t="str">
        <f>IF(ISERROR(VLOOKUP(Base_Periodo1[[#This Row],[CONTA]],BaseContasDRE[#All],5,FALSE)),"Fora do DRE",VLOOKUP(Base_Periodo1[[#This Row],[CONTA]],BaseContasDRE[#All],6,FALSE))</f>
        <v>Fora do DRE</v>
      </c>
      <c r="U3237" s="3" t="str">
        <f>IF(ISERROR(VLOOKUP(Base_Periodo1[[#This Row],[CONTA]],BaseContasDRE[#All],7,FALSE)),"Fora do DRE",VLOOKUP(Base_Periodo1[[#This Row],[CONTA]],BaseContasDRE[#All],7,FALSE))</f>
        <v>Fora do DRE</v>
      </c>
      <c r="V3237" s="3" t="str">
        <f>IF(Base_Periodo1[[#This Row],[Tipo_Linha]]="Fora do DRE","Fora do DRE","( "&amp;Base_Periodo1[[#This Row],[Tipo_Linha]]&amp;" ) "&amp;Base_Periodo1[[#This Row],[Filtro]])</f>
        <v>Fora do DRE</v>
      </c>
      <c r="W3237" s="3" t="str">
        <f>LEFT(Base_Periodo1[[#This Row],[CLASS]],3)</f>
        <v>2.1</v>
      </c>
    </row>
    <row r="3238" spans="1:23" hidden="1">
      <c r="A3238" s="3" t="str">
        <f t="shared" si="50"/>
        <v>Período 1</v>
      </c>
      <c r="B3238">
        <v>25437</v>
      </c>
      <c r="C3238" t="s">
        <v>2010</v>
      </c>
      <c r="D3238" t="s">
        <v>4855</v>
      </c>
      <c r="E3238" s="3" t="str">
        <f>IF(LEN(Base_Periodo1[[#This Row],[CLASS]])&gt;=7,LEFT(Base_Periodo1[[#This Row],[CLASS]],7),"")</f>
        <v>2.1.2.2</v>
      </c>
      <c r="F3238" s="3" t="str">
        <f>VLOOKUP(Base_Periodo1[[#This Row],[Aux]],Base_Contas_Balanco[#All],2,FALSE)</f>
        <v>Fornecedores Não Cooperados</v>
      </c>
      <c r="G3238" s="1">
        <v>42884</v>
      </c>
      <c r="H3238" s="225">
        <v>1131</v>
      </c>
      <c r="I3238" s="225">
        <v>1291</v>
      </c>
      <c r="J3238" s="225">
        <v>4795</v>
      </c>
      <c r="K3238" s="225">
        <v>4635</v>
      </c>
      <c r="L32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4635</v>
      </c>
      <c r="M3238" s="225">
        <f>ROUND(IF(AND(Base_Periodo1[[#This Row],[Tipo_Linha]]="-",Base_Periodo1[[#This Row],[TIPOSALDO]]="D"),Base_Periodo1[[#This Row],[SALDO_ATUAL]]*-1,Base_Periodo1[[#This Row],[SALDO_ATUAL]]),4)</f>
        <v>4635</v>
      </c>
      <c r="N3238" t="s">
        <v>116</v>
      </c>
      <c r="O3238" t="s">
        <v>459</v>
      </c>
      <c r="P3238" t="s">
        <v>459</v>
      </c>
      <c r="Q3238">
        <v>7</v>
      </c>
      <c r="R3238" s="225">
        <f>Base_Periodo1[[#This Row],[CREDITOS]]-Base_Periodo1[[#This Row],[DEBITOS]]</f>
        <v>3504</v>
      </c>
      <c r="S3238" s="3" t="str">
        <f>IF(ISERROR(VLOOKUP(Base_Periodo1[[#This Row],[CONTA]],BaseContasDRE[#All],4,FALSE)),"Fora do DRE",VLOOKUP(Base_Periodo1[[#This Row],[CONTA]],BaseContasDRE[#All],4,FALSE))</f>
        <v>Fora do DRE</v>
      </c>
      <c r="T3238" s="3" t="str">
        <f>IF(ISERROR(VLOOKUP(Base_Periodo1[[#This Row],[CONTA]],BaseContasDRE[#All],5,FALSE)),"Fora do DRE",VLOOKUP(Base_Periodo1[[#This Row],[CONTA]],BaseContasDRE[#All],6,FALSE))</f>
        <v>Fora do DRE</v>
      </c>
      <c r="U3238" s="3" t="str">
        <f>IF(ISERROR(VLOOKUP(Base_Periodo1[[#This Row],[CONTA]],BaseContasDRE[#All],7,FALSE)),"Fora do DRE",VLOOKUP(Base_Periodo1[[#This Row],[CONTA]],BaseContasDRE[#All],7,FALSE))</f>
        <v>Fora do DRE</v>
      </c>
      <c r="V3238" s="3" t="str">
        <f>IF(Base_Periodo1[[#This Row],[Tipo_Linha]]="Fora do DRE","Fora do DRE","( "&amp;Base_Periodo1[[#This Row],[Tipo_Linha]]&amp;" ) "&amp;Base_Periodo1[[#This Row],[Filtro]])</f>
        <v>Fora do DRE</v>
      </c>
      <c r="W3238" s="3" t="str">
        <f>LEFT(Base_Periodo1[[#This Row],[CLASS]],3)</f>
        <v>2.1</v>
      </c>
    </row>
    <row r="3239" spans="1:23" hidden="1">
      <c r="A3239" s="3" t="str">
        <f t="shared" si="50"/>
        <v>Período 1</v>
      </c>
      <c r="B3239">
        <v>8046</v>
      </c>
      <c r="C3239" t="s">
        <v>2010</v>
      </c>
      <c r="D3239" t="s">
        <v>6899</v>
      </c>
      <c r="E3239" s="3" t="str">
        <f>IF(LEN(Base_Periodo1[[#This Row],[CLASS]])&gt;=7,LEFT(Base_Periodo1[[#This Row],[CLASS]],7),"")</f>
        <v>2.1.2.2</v>
      </c>
      <c r="F3239" s="3" t="str">
        <f>VLOOKUP(Base_Periodo1[[#This Row],[Aux]],Base_Contas_Balanco[#All],2,FALSE)</f>
        <v>Fornecedores Não Cooperados</v>
      </c>
      <c r="G3239" s="1">
        <v>42874</v>
      </c>
      <c r="I3239" s="225">
        <v>3829.14</v>
      </c>
      <c r="J3239" s="225">
        <v>3829.14</v>
      </c>
      <c r="K3239" s="225">
        <v>1.4551915228366852E-11</v>
      </c>
      <c r="L32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39" s="225">
        <f>ROUND(IF(AND(Base_Periodo1[[#This Row],[Tipo_Linha]]="-",Base_Periodo1[[#This Row],[TIPOSALDO]]="D"),Base_Periodo1[[#This Row],[SALDO_ATUAL]]*-1,Base_Periodo1[[#This Row],[SALDO_ATUAL]]),4)</f>
        <v>0</v>
      </c>
      <c r="N3239" t="s">
        <v>116</v>
      </c>
      <c r="O3239" t="s">
        <v>436</v>
      </c>
      <c r="P3239" t="s">
        <v>436</v>
      </c>
      <c r="Q3239">
        <v>7</v>
      </c>
      <c r="R3239" s="225">
        <f>Base_Periodo1[[#This Row],[CREDITOS]]-Base_Periodo1[[#This Row],[DEBITOS]]</f>
        <v>0</v>
      </c>
      <c r="S3239" s="3" t="str">
        <f>IF(ISERROR(VLOOKUP(Base_Periodo1[[#This Row],[CONTA]],BaseContasDRE[#All],4,FALSE)),"Fora do DRE",VLOOKUP(Base_Periodo1[[#This Row],[CONTA]],BaseContasDRE[#All],4,FALSE))</f>
        <v>Fora do DRE</v>
      </c>
      <c r="T3239" s="3" t="str">
        <f>IF(ISERROR(VLOOKUP(Base_Periodo1[[#This Row],[CONTA]],BaseContasDRE[#All],5,FALSE)),"Fora do DRE",VLOOKUP(Base_Periodo1[[#This Row],[CONTA]],BaseContasDRE[#All],6,FALSE))</f>
        <v>Fora do DRE</v>
      </c>
      <c r="U3239" s="3" t="str">
        <f>IF(ISERROR(VLOOKUP(Base_Periodo1[[#This Row],[CONTA]],BaseContasDRE[#All],7,FALSE)),"Fora do DRE",VLOOKUP(Base_Periodo1[[#This Row],[CONTA]],BaseContasDRE[#All],7,FALSE))</f>
        <v>Fora do DRE</v>
      </c>
      <c r="V3239" s="3" t="str">
        <f>IF(Base_Periodo1[[#This Row],[Tipo_Linha]]="Fora do DRE","Fora do DRE","( "&amp;Base_Periodo1[[#This Row],[Tipo_Linha]]&amp;" ) "&amp;Base_Periodo1[[#This Row],[Filtro]])</f>
        <v>Fora do DRE</v>
      </c>
      <c r="W3239" s="3" t="str">
        <f>LEFT(Base_Periodo1[[#This Row],[CLASS]],3)</f>
        <v>2.1</v>
      </c>
    </row>
    <row r="3240" spans="1:23" hidden="1">
      <c r="A3240" s="3" t="str">
        <f t="shared" si="50"/>
        <v>Período 1</v>
      </c>
      <c r="B3240">
        <v>58831</v>
      </c>
      <c r="C3240" t="s">
        <v>2010</v>
      </c>
      <c r="D3240" t="s">
        <v>6900</v>
      </c>
      <c r="E3240" s="3" t="str">
        <f>IF(LEN(Base_Periodo1[[#This Row],[CLASS]])&gt;=7,LEFT(Base_Periodo1[[#This Row],[CLASS]],7),"")</f>
        <v>2.1.2.2</v>
      </c>
      <c r="F3240" s="3" t="str">
        <f>VLOOKUP(Base_Periodo1[[#This Row],[Aux]],Base_Contas_Balanco[#All],2,FALSE)</f>
        <v>Fornecedores Não Cooperados</v>
      </c>
      <c r="G3240" s="1">
        <v>42884</v>
      </c>
      <c r="I3240" s="225">
        <v>1240.83</v>
      </c>
      <c r="J3240" s="225">
        <v>1240.83</v>
      </c>
      <c r="K3240" s="225">
        <v>0</v>
      </c>
      <c r="L32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40" s="225">
        <f>ROUND(IF(AND(Base_Periodo1[[#This Row],[Tipo_Linha]]="-",Base_Periodo1[[#This Row],[TIPOSALDO]]="D"),Base_Periodo1[[#This Row],[SALDO_ATUAL]]*-1,Base_Periodo1[[#This Row],[SALDO_ATUAL]]),4)</f>
        <v>0</v>
      </c>
      <c r="N3240" t="s">
        <v>116</v>
      </c>
      <c r="O3240" t="s">
        <v>436</v>
      </c>
      <c r="P3240" t="s">
        <v>436</v>
      </c>
      <c r="Q3240">
        <v>7</v>
      </c>
      <c r="R3240" s="225">
        <f>Base_Periodo1[[#This Row],[CREDITOS]]-Base_Periodo1[[#This Row],[DEBITOS]]</f>
        <v>0</v>
      </c>
      <c r="S3240" s="3" t="str">
        <f>IF(ISERROR(VLOOKUP(Base_Periodo1[[#This Row],[CONTA]],BaseContasDRE[#All],4,FALSE)),"Fora do DRE",VLOOKUP(Base_Periodo1[[#This Row],[CONTA]],BaseContasDRE[#All],4,FALSE))</f>
        <v>Fora do DRE</v>
      </c>
      <c r="T3240" s="3" t="str">
        <f>IF(ISERROR(VLOOKUP(Base_Periodo1[[#This Row],[CONTA]],BaseContasDRE[#All],5,FALSE)),"Fora do DRE",VLOOKUP(Base_Periodo1[[#This Row],[CONTA]],BaseContasDRE[#All],6,FALSE))</f>
        <v>Fora do DRE</v>
      </c>
      <c r="U3240" s="3" t="str">
        <f>IF(ISERROR(VLOOKUP(Base_Periodo1[[#This Row],[CONTA]],BaseContasDRE[#All],7,FALSE)),"Fora do DRE",VLOOKUP(Base_Periodo1[[#This Row],[CONTA]],BaseContasDRE[#All],7,FALSE))</f>
        <v>Fora do DRE</v>
      </c>
      <c r="V3240" s="3" t="str">
        <f>IF(Base_Periodo1[[#This Row],[Tipo_Linha]]="Fora do DRE","Fora do DRE","( "&amp;Base_Periodo1[[#This Row],[Tipo_Linha]]&amp;" ) "&amp;Base_Periodo1[[#This Row],[Filtro]])</f>
        <v>Fora do DRE</v>
      </c>
      <c r="W3240" s="3" t="str">
        <f>LEFT(Base_Periodo1[[#This Row],[CLASS]],3)</f>
        <v>2.1</v>
      </c>
    </row>
    <row r="3241" spans="1:23" hidden="1">
      <c r="A3241" s="3" t="str">
        <f t="shared" si="50"/>
        <v>Período 1</v>
      </c>
      <c r="B3241">
        <v>10926</v>
      </c>
      <c r="C3241" t="s">
        <v>2010</v>
      </c>
      <c r="D3241" t="s">
        <v>6901</v>
      </c>
      <c r="E3241" s="3" t="str">
        <f>IF(LEN(Base_Periodo1[[#This Row],[CLASS]])&gt;=7,LEFT(Base_Periodo1[[#This Row],[CLASS]],7),"")</f>
        <v>2.1.2.2</v>
      </c>
      <c r="F3241" s="3" t="str">
        <f>VLOOKUP(Base_Periodo1[[#This Row],[Aux]],Base_Contas_Balanco[#All],2,FALSE)</f>
        <v>Fornecedores Não Cooperados</v>
      </c>
      <c r="G3241" s="1">
        <v>42866</v>
      </c>
      <c r="I3241" s="225">
        <v>1000</v>
      </c>
      <c r="J3241" s="225">
        <v>1000</v>
      </c>
      <c r="K3241" s="225">
        <v>-1.8189894035458565E-12</v>
      </c>
      <c r="L32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41" s="225">
        <f>ROUND(IF(AND(Base_Periodo1[[#This Row],[Tipo_Linha]]="-",Base_Periodo1[[#This Row],[TIPOSALDO]]="D"),Base_Periodo1[[#This Row],[SALDO_ATUAL]]*-1,Base_Periodo1[[#This Row],[SALDO_ATUAL]]),4)</f>
        <v>0</v>
      </c>
      <c r="N3241" t="s">
        <v>116</v>
      </c>
      <c r="O3241" t="s">
        <v>436</v>
      </c>
      <c r="P3241" t="s">
        <v>436</v>
      </c>
      <c r="Q3241">
        <v>7</v>
      </c>
      <c r="R3241" s="225">
        <f>Base_Periodo1[[#This Row],[CREDITOS]]-Base_Periodo1[[#This Row],[DEBITOS]]</f>
        <v>0</v>
      </c>
      <c r="S3241" s="3" t="str">
        <f>IF(ISERROR(VLOOKUP(Base_Periodo1[[#This Row],[CONTA]],BaseContasDRE[#All],4,FALSE)),"Fora do DRE",VLOOKUP(Base_Periodo1[[#This Row],[CONTA]],BaseContasDRE[#All],4,FALSE))</f>
        <v>Fora do DRE</v>
      </c>
      <c r="T3241" s="3" t="str">
        <f>IF(ISERROR(VLOOKUP(Base_Periodo1[[#This Row],[CONTA]],BaseContasDRE[#All],5,FALSE)),"Fora do DRE",VLOOKUP(Base_Periodo1[[#This Row],[CONTA]],BaseContasDRE[#All],6,FALSE))</f>
        <v>Fora do DRE</v>
      </c>
      <c r="U3241" s="3" t="str">
        <f>IF(ISERROR(VLOOKUP(Base_Periodo1[[#This Row],[CONTA]],BaseContasDRE[#All],7,FALSE)),"Fora do DRE",VLOOKUP(Base_Periodo1[[#This Row],[CONTA]],BaseContasDRE[#All],7,FALSE))</f>
        <v>Fora do DRE</v>
      </c>
      <c r="V3241" s="3" t="str">
        <f>IF(Base_Periodo1[[#This Row],[Tipo_Linha]]="Fora do DRE","Fora do DRE","( "&amp;Base_Periodo1[[#This Row],[Tipo_Linha]]&amp;" ) "&amp;Base_Periodo1[[#This Row],[Filtro]])</f>
        <v>Fora do DRE</v>
      </c>
      <c r="W3241" s="3" t="str">
        <f>LEFT(Base_Periodo1[[#This Row],[CLASS]],3)</f>
        <v>2.1</v>
      </c>
    </row>
    <row r="3242" spans="1:23" hidden="1">
      <c r="A3242" s="3" t="str">
        <f t="shared" si="50"/>
        <v>Período 1</v>
      </c>
      <c r="B3242">
        <v>38356</v>
      </c>
      <c r="C3242" t="s">
        <v>2010</v>
      </c>
      <c r="D3242" t="s">
        <v>924</v>
      </c>
      <c r="E3242" s="3" t="str">
        <f>IF(LEN(Base_Periodo1[[#This Row],[CLASS]])&gt;=7,LEFT(Base_Periodo1[[#This Row],[CLASS]],7),"")</f>
        <v>2.1.2.2</v>
      </c>
      <c r="F3242" s="3" t="str">
        <f>VLOOKUP(Base_Periodo1[[#This Row],[Aux]],Base_Contas_Balanco[#All],2,FALSE)</f>
        <v>Fornecedores Não Cooperados</v>
      </c>
      <c r="G3242" s="1">
        <v>42860</v>
      </c>
      <c r="I3242" s="225">
        <v>3025</v>
      </c>
      <c r="J3242" s="225">
        <v>3025</v>
      </c>
      <c r="K3242" s="225">
        <v>0</v>
      </c>
      <c r="L32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42" s="225">
        <f>ROUND(IF(AND(Base_Periodo1[[#This Row],[Tipo_Linha]]="-",Base_Periodo1[[#This Row],[TIPOSALDO]]="D"),Base_Periodo1[[#This Row],[SALDO_ATUAL]]*-1,Base_Periodo1[[#This Row],[SALDO_ATUAL]]),4)</f>
        <v>0</v>
      </c>
      <c r="N3242" t="s">
        <v>116</v>
      </c>
      <c r="O3242" t="s">
        <v>436</v>
      </c>
      <c r="P3242" t="s">
        <v>436</v>
      </c>
      <c r="Q3242">
        <v>7</v>
      </c>
      <c r="R3242" s="225">
        <f>Base_Periodo1[[#This Row],[CREDITOS]]-Base_Periodo1[[#This Row],[DEBITOS]]</f>
        <v>0</v>
      </c>
      <c r="S3242" s="3" t="str">
        <f>IF(ISERROR(VLOOKUP(Base_Periodo1[[#This Row],[CONTA]],BaseContasDRE[#All],4,FALSE)),"Fora do DRE",VLOOKUP(Base_Periodo1[[#This Row],[CONTA]],BaseContasDRE[#All],4,FALSE))</f>
        <v>Fora do DRE</v>
      </c>
      <c r="T3242" s="3" t="str">
        <f>IF(ISERROR(VLOOKUP(Base_Periodo1[[#This Row],[CONTA]],BaseContasDRE[#All],5,FALSE)),"Fora do DRE",VLOOKUP(Base_Periodo1[[#This Row],[CONTA]],BaseContasDRE[#All],6,FALSE))</f>
        <v>Fora do DRE</v>
      </c>
      <c r="U3242" s="3" t="str">
        <f>IF(ISERROR(VLOOKUP(Base_Periodo1[[#This Row],[CONTA]],BaseContasDRE[#All],7,FALSE)),"Fora do DRE",VLOOKUP(Base_Periodo1[[#This Row],[CONTA]],BaseContasDRE[#All],7,FALSE))</f>
        <v>Fora do DRE</v>
      </c>
      <c r="V3242" s="3" t="str">
        <f>IF(Base_Periodo1[[#This Row],[Tipo_Linha]]="Fora do DRE","Fora do DRE","( "&amp;Base_Periodo1[[#This Row],[Tipo_Linha]]&amp;" ) "&amp;Base_Periodo1[[#This Row],[Filtro]])</f>
        <v>Fora do DRE</v>
      </c>
      <c r="W3242" s="3" t="str">
        <f>LEFT(Base_Periodo1[[#This Row],[CLASS]],3)</f>
        <v>2.1</v>
      </c>
    </row>
    <row r="3243" spans="1:23" hidden="1">
      <c r="A3243" s="3" t="str">
        <f t="shared" si="50"/>
        <v>Período 1</v>
      </c>
      <c r="B3243">
        <v>37696</v>
      </c>
      <c r="C3243" t="s">
        <v>2010</v>
      </c>
      <c r="D3243" t="s">
        <v>4459</v>
      </c>
      <c r="E3243" s="3" t="str">
        <f>IF(LEN(Base_Periodo1[[#This Row],[CLASS]])&gt;=7,LEFT(Base_Periodo1[[#This Row],[CLASS]],7),"")</f>
        <v>2.1.2.2</v>
      </c>
      <c r="F3243" s="3" t="str">
        <f>VLOOKUP(Base_Periodo1[[#This Row],[Aux]],Base_Contas_Balanco[#All],2,FALSE)</f>
        <v>Fornecedores Não Cooperados</v>
      </c>
      <c r="G3243" s="1">
        <v>42885</v>
      </c>
      <c r="H3243" s="225">
        <v>81000</v>
      </c>
      <c r="I3243" s="225">
        <v>484396.35</v>
      </c>
      <c r="J3243" s="225">
        <v>403396.35</v>
      </c>
      <c r="K3243" s="225">
        <v>0</v>
      </c>
      <c r="L32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43" s="225">
        <f>ROUND(IF(AND(Base_Periodo1[[#This Row],[Tipo_Linha]]="-",Base_Periodo1[[#This Row],[TIPOSALDO]]="D"),Base_Periodo1[[#This Row],[SALDO_ATUAL]]*-1,Base_Periodo1[[#This Row],[SALDO_ATUAL]]),4)</f>
        <v>0</v>
      </c>
      <c r="N3243" t="s">
        <v>116</v>
      </c>
      <c r="O3243" t="s">
        <v>459</v>
      </c>
      <c r="P3243" t="s">
        <v>436</v>
      </c>
      <c r="Q3243">
        <v>7</v>
      </c>
      <c r="R3243" s="225">
        <f>Base_Periodo1[[#This Row],[CREDITOS]]-Base_Periodo1[[#This Row],[DEBITOS]]</f>
        <v>-81000</v>
      </c>
      <c r="S3243" s="3" t="str">
        <f>IF(ISERROR(VLOOKUP(Base_Periodo1[[#This Row],[CONTA]],BaseContasDRE[#All],4,FALSE)),"Fora do DRE",VLOOKUP(Base_Periodo1[[#This Row],[CONTA]],BaseContasDRE[#All],4,FALSE))</f>
        <v>Fora do DRE</v>
      </c>
      <c r="T3243" s="3" t="str">
        <f>IF(ISERROR(VLOOKUP(Base_Periodo1[[#This Row],[CONTA]],BaseContasDRE[#All],5,FALSE)),"Fora do DRE",VLOOKUP(Base_Periodo1[[#This Row],[CONTA]],BaseContasDRE[#All],6,FALSE))</f>
        <v>Fora do DRE</v>
      </c>
      <c r="U3243" s="3" t="str">
        <f>IF(ISERROR(VLOOKUP(Base_Periodo1[[#This Row],[CONTA]],BaseContasDRE[#All],7,FALSE)),"Fora do DRE",VLOOKUP(Base_Periodo1[[#This Row],[CONTA]],BaseContasDRE[#All],7,FALSE))</f>
        <v>Fora do DRE</v>
      </c>
      <c r="V3243" s="3" t="str">
        <f>IF(Base_Periodo1[[#This Row],[Tipo_Linha]]="Fora do DRE","Fora do DRE","( "&amp;Base_Periodo1[[#This Row],[Tipo_Linha]]&amp;" ) "&amp;Base_Periodo1[[#This Row],[Filtro]])</f>
        <v>Fora do DRE</v>
      </c>
      <c r="W3243" s="3" t="str">
        <f>LEFT(Base_Periodo1[[#This Row],[CLASS]],3)</f>
        <v>2.1</v>
      </c>
    </row>
    <row r="3244" spans="1:23" hidden="1">
      <c r="A3244" s="3" t="str">
        <f t="shared" si="50"/>
        <v>Período 1</v>
      </c>
      <c r="B3244">
        <v>7862</v>
      </c>
      <c r="C3244" t="s">
        <v>2010</v>
      </c>
      <c r="D3244" t="s">
        <v>4459</v>
      </c>
      <c r="E3244" s="3" t="str">
        <f>IF(LEN(Base_Periodo1[[#This Row],[CLASS]])&gt;=7,LEFT(Base_Periodo1[[#This Row],[CLASS]],7),"")</f>
        <v>2.1.2.2</v>
      </c>
      <c r="F3244" s="3" t="str">
        <f>VLOOKUP(Base_Periodo1[[#This Row],[Aux]],Base_Contas_Balanco[#All],2,FALSE)</f>
        <v>Fornecedores Não Cooperados</v>
      </c>
      <c r="G3244" s="1">
        <v>42577</v>
      </c>
      <c r="H3244" s="225">
        <v>5000</v>
      </c>
      <c r="I3244" s="225">
        <v>0</v>
      </c>
      <c r="J3244" s="225">
        <v>0</v>
      </c>
      <c r="K3244" s="225">
        <v>5000</v>
      </c>
      <c r="L32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5000</v>
      </c>
      <c r="M3244" s="225">
        <f>ROUND(IF(AND(Base_Periodo1[[#This Row],[Tipo_Linha]]="-",Base_Periodo1[[#This Row],[TIPOSALDO]]="D"),Base_Periodo1[[#This Row],[SALDO_ATUAL]]*-1,Base_Periodo1[[#This Row],[SALDO_ATUAL]]),4)</f>
        <v>5000</v>
      </c>
      <c r="N3244" t="s">
        <v>116</v>
      </c>
      <c r="O3244" t="s">
        <v>459</v>
      </c>
      <c r="P3244" t="s">
        <v>459</v>
      </c>
      <c r="Q3244">
        <v>7</v>
      </c>
      <c r="R3244" s="225">
        <f>Base_Periodo1[[#This Row],[CREDITOS]]-Base_Periodo1[[#This Row],[DEBITOS]]</f>
        <v>0</v>
      </c>
      <c r="S3244" s="3" t="str">
        <f>IF(ISERROR(VLOOKUP(Base_Periodo1[[#This Row],[CONTA]],BaseContasDRE[#All],4,FALSE)),"Fora do DRE",VLOOKUP(Base_Periodo1[[#This Row],[CONTA]],BaseContasDRE[#All],4,FALSE))</f>
        <v>Fora do DRE</v>
      </c>
      <c r="T3244" s="3" t="str">
        <f>IF(ISERROR(VLOOKUP(Base_Periodo1[[#This Row],[CONTA]],BaseContasDRE[#All],5,FALSE)),"Fora do DRE",VLOOKUP(Base_Periodo1[[#This Row],[CONTA]],BaseContasDRE[#All],6,FALSE))</f>
        <v>Fora do DRE</v>
      </c>
      <c r="U3244" s="3" t="str">
        <f>IF(ISERROR(VLOOKUP(Base_Periodo1[[#This Row],[CONTA]],BaseContasDRE[#All],7,FALSE)),"Fora do DRE",VLOOKUP(Base_Periodo1[[#This Row],[CONTA]],BaseContasDRE[#All],7,FALSE))</f>
        <v>Fora do DRE</v>
      </c>
      <c r="V3244" s="3" t="str">
        <f>IF(Base_Periodo1[[#This Row],[Tipo_Linha]]="Fora do DRE","Fora do DRE","( "&amp;Base_Periodo1[[#This Row],[Tipo_Linha]]&amp;" ) "&amp;Base_Periodo1[[#This Row],[Filtro]])</f>
        <v>Fora do DRE</v>
      </c>
      <c r="W3244" s="3" t="str">
        <f>LEFT(Base_Periodo1[[#This Row],[CLASS]],3)</f>
        <v>2.1</v>
      </c>
    </row>
    <row r="3245" spans="1:23" hidden="1">
      <c r="A3245" s="3" t="str">
        <f t="shared" si="50"/>
        <v>Período 1</v>
      </c>
      <c r="B3245">
        <v>5121</v>
      </c>
      <c r="C3245" t="s">
        <v>2010</v>
      </c>
      <c r="D3245" t="s">
        <v>4856</v>
      </c>
      <c r="E3245" s="3" t="str">
        <f>IF(LEN(Base_Periodo1[[#This Row],[CLASS]])&gt;=7,LEFT(Base_Periodo1[[#This Row],[CLASS]],7),"")</f>
        <v>2.1.2.2</v>
      </c>
      <c r="F3245" s="3" t="str">
        <f>VLOOKUP(Base_Periodo1[[#This Row],[Aux]],Base_Contas_Balanco[#All],2,FALSE)</f>
        <v>Fornecedores Não Cooperados</v>
      </c>
      <c r="G3245" s="1"/>
      <c r="H3245" s="225">
        <v>1303.3800000000001</v>
      </c>
      <c r="I3245" s="225">
        <v>0</v>
      </c>
      <c r="J3245" s="225">
        <v>0</v>
      </c>
      <c r="K3245" s="225">
        <v>1303.3800000000001</v>
      </c>
      <c r="L32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1303.3800000000001</v>
      </c>
      <c r="M3245" s="225">
        <f>ROUND(IF(AND(Base_Periodo1[[#This Row],[Tipo_Linha]]="-",Base_Periodo1[[#This Row],[TIPOSALDO]]="D"),Base_Periodo1[[#This Row],[SALDO_ATUAL]]*-1,Base_Periodo1[[#This Row],[SALDO_ATUAL]]),4)</f>
        <v>1303.3800000000001</v>
      </c>
      <c r="N3245" t="s">
        <v>116</v>
      </c>
      <c r="O3245" t="s">
        <v>459</v>
      </c>
      <c r="P3245" t="s">
        <v>459</v>
      </c>
      <c r="Q3245">
        <v>7</v>
      </c>
      <c r="R3245" s="225">
        <f>Base_Periodo1[[#This Row],[CREDITOS]]-Base_Periodo1[[#This Row],[DEBITOS]]</f>
        <v>0</v>
      </c>
      <c r="S3245" s="3" t="str">
        <f>IF(ISERROR(VLOOKUP(Base_Periodo1[[#This Row],[CONTA]],BaseContasDRE[#All],4,FALSE)),"Fora do DRE",VLOOKUP(Base_Periodo1[[#This Row],[CONTA]],BaseContasDRE[#All],4,FALSE))</f>
        <v>Fora do DRE</v>
      </c>
      <c r="T3245" s="3" t="str">
        <f>IF(ISERROR(VLOOKUP(Base_Periodo1[[#This Row],[CONTA]],BaseContasDRE[#All],5,FALSE)),"Fora do DRE",VLOOKUP(Base_Periodo1[[#This Row],[CONTA]],BaseContasDRE[#All],6,FALSE))</f>
        <v>Fora do DRE</v>
      </c>
      <c r="U3245" s="3" t="str">
        <f>IF(ISERROR(VLOOKUP(Base_Periodo1[[#This Row],[CONTA]],BaseContasDRE[#All],7,FALSE)),"Fora do DRE",VLOOKUP(Base_Periodo1[[#This Row],[CONTA]],BaseContasDRE[#All],7,FALSE))</f>
        <v>Fora do DRE</v>
      </c>
      <c r="V3245" s="3" t="str">
        <f>IF(Base_Periodo1[[#This Row],[Tipo_Linha]]="Fora do DRE","Fora do DRE","( "&amp;Base_Periodo1[[#This Row],[Tipo_Linha]]&amp;" ) "&amp;Base_Periodo1[[#This Row],[Filtro]])</f>
        <v>Fora do DRE</v>
      </c>
      <c r="W3245" s="3" t="str">
        <f>LEFT(Base_Periodo1[[#This Row],[CLASS]],3)</f>
        <v>2.1</v>
      </c>
    </row>
    <row r="3246" spans="1:23" hidden="1">
      <c r="A3246" s="3" t="str">
        <f t="shared" si="50"/>
        <v>Período 1</v>
      </c>
      <c r="B3246">
        <v>51242</v>
      </c>
      <c r="C3246" t="s">
        <v>2010</v>
      </c>
      <c r="D3246" t="s">
        <v>6415</v>
      </c>
      <c r="E3246" s="3" t="str">
        <f>IF(LEN(Base_Periodo1[[#This Row],[CLASS]])&gt;=7,LEFT(Base_Periodo1[[#This Row],[CLASS]],7),"")</f>
        <v>2.1.2.2</v>
      </c>
      <c r="F3246" s="3" t="str">
        <f>VLOOKUP(Base_Periodo1[[#This Row],[Aux]],Base_Contas_Balanco[#All],2,FALSE)</f>
        <v>Fornecedores Não Cooperados</v>
      </c>
      <c r="G3246" s="1">
        <v>42881</v>
      </c>
      <c r="H3246" s="225">
        <v>5598.9300000000012</v>
      </c>
      <c r="I3246" s="225">
        <v>9222.93</v>
      </c>
      <c r="J3246" s="225">
        <v>3624</v>
      </c>
      <c r="K3246" s="225">
        <v>-9.0949470177292824E-13</v>
      </c>
      <c r="L32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46" s="225">
        <f>ROUND(IF(AND(Base_Periodo1[[#This Row],[Tipo_Linha]]="-",Base_Periodo1[[#This Row],[TIPOSALDO]]="D"),Base_Periodo1[[#This Row],[SALDO_ATUAL]]*-1,Base_Periodo1[[#This Row],[SALDO_ATUAL]]),4)</f>
        <v>0</v>
      </c>
      <c r="N3246" t="s">
        <v>116</v>
      </c>
      <c r="O3246" t="s">
        <v>459</v>
      </c>
      <c r="P3246" t="s">
        <v>436</v>
      </c>
      <c r="Q3246">
        <v>7</v>
      </c>
      <c r="R3246" s="225">
        <f>Base_Periodo1[[#This Row],[CREDITOS]]-Base_Periodo1[[#This Row],[DEBITOS]]</f>
        <v>-5598.93</v>
      </c>
      <c r="S3246" s="3" t="str">
        <f>IF(ISERROR(VLOOKUP(Base_Periodo1[[#This Row],[CONTA]],BaseContasDRE[#All],4,FALSE)),"Fora do DRE",VLOOKUP(Base_Periodo1[[#This Row],[CONTA]],BaseContasDRE[#All],4,FALSE))</f>
        <v>Fora do DRE</v>
      </c>
      <c r="T3246" s="3" t="str">
        <f>IF(ISERROR(VLOOKUP(Base_Periodo1[[#This Row],[CONTA]],BaseContasDRE[#All],5,FALSE)),"Fora do DRE",VLOOKUP(Base_Periodo1[[#This Row],[CONTA]],BaseContasDRE[#All],6,FALSE))</f>
        <v>Fora do DRE</v>
      </c>
      <c r="U3246" s="3" t="str">
        <f>IF(ISERROR(VLOOKUP(Base_Periodo1[[#This Row],[CONTA]],BaseContasDRE[#All],7,FALSE)),"Fora do DRE",VLOOKUP(Base_Periodo1[[#This Row],[CONTA]],BaseContasDRE[#All],7,FALSE))</f>
        <v>Fora do DRE</v>
      </c>
      <c r="V3246" s="3" t="str">
        <f>IF(Base_Periodo1[[#This Row],[Tipo_Linha]]="Fora do DRE","Fora do DRE","( "&amp;Base_Periodo1[[#This Row],[Tipo_Linha]]&amp;" ) "&amp;Base_Periodo1[[#This Row],[Filtro]])</f>
        <v>Fora do DRE</v>
      </c>
      <c r="W3246" s="3" t="str">
        <f>LEFT(Base_Periodo1[[#This Row],[CLASS]],3)</f>
        <v>2.1</v>
      </c>
    </row>
    <row r="3247" spans="1:23" hidden="1">
      <c r="A3247" s="3" t="str">
        <f t="shared" si="50"/>
        <v>Período 1</v>
      </c>
      <c r="B3247">
        <v>20490</v>
      </c>
      <c r="C3247" t="s">
        <v>2010</v>
      </c>
      <c r="D3247" t="s">
        <v>6902</v>
      </c>
      <c r="E3247" s="3" t="str">
        <f>IF(LEN(Base_Periodo1[[#This Row],[CLASS]])&gt;=7,LEFT(Base_Periodo1[[#This Row],[CLASS]],7),"")</f>
        <v>2.1.2.2</v>
      </c>
      <c r="F3247" s="3" t="str">
        <f>VLOOKUP(Base_Periodo1[[#This Row],[Aux]],Base_Contas_Balanco[#All],2,FALSE)</f>
        <v>Fornecedores Não Cooperados</v>
      </c>
      <c r="G3247" s="1">
        <v>42880</v>
      </c>
      <c r="I3247" s="225">
        <v>73.05</v>
      </c>
      <c r="J3247" s="225">
        <v>73.05</v>
      </c>
      <c r="K3247" s="225">
        <v>9.0949470177292824E-13</v>
      </c>
      <c r="L32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47" s="225">
        <f>ROUND(IF(AND(Base_Periodo1[[#This Row],[Tipo_Linha]]="-",Base_Periodo1[[#This Row],[TIPOSALDO]]="D"),Base_Periodo1[[#This Row],[SALDO_ATUAL]]*-1,Base_Periodo1[[#This Row],[SALDO_ATUAL]]),4)</f>
        <v>0</v>
      </c>
      <c r="N3247" t="s">
        <v>116</v>
      </c>
      <c r="O3247" t="s">
        <v>436</v>
      </c>
      <c r="P3247" t="s">
        <v>436</v>
      </c>
      <c r="Q3247">
        <v>7</v>
      </c>
      <c r="R3247" s="225">
        <f>Base_Periodo1[[#This Row],[CREDITOS]]-Base_Periodo1[[#This Row],[DEBITOS]]</f>
        <v>0</v>
      </c>
      <c r="S3247" s="3" t="str">
        <f>IF(ISERROR(VLOOKUP(Base_Periodo1[[#This Row],[CONTA]],BaseContasDRE[#All],4,FALSE)),"Fora do DRE",VLOOKUP(Base_Periodo1[[#This Row],[CONTA]],BaseContasDRE[#All],4,FALSE))</f>
        <v>Fora do DRE</v>
      </c>
      <c r="T3247" s="3" t="str">
        <f>IF(ISERROR(VLOOKUP(Base_Periodo1[[#This Row],[CONTA]],BaseContasDRE[#All],5,FALSE)),"Fora do DRE",VLOOKUP(Base_Periodo1[[#This Row],[CONTA]],BaseContasDRE[#All],6,FALSE))</f>
        <v>Fora do DRE</v>
      </c>
      <c r="U3247" s="3" t="str">
        <f>IF(ISERROR(VLOOKUP(Base_Periodo1[[#This Row],[CONTA]],BaseContasDRE[#All],7,FALSE)),"Fora do DRE",VLOOKUP(Base_Periodo1[[#This Row],[CONTA]],BaseContasDRE[#All],7,FALSE))</f>
        <v>Fora do DRE</v>
      </c>
      <c r="V3247" s="3" t="str">
        <f>IF(Base_Periodo1[[#This Row],[Tipo_Linha]]="Fora do DRE","Fora do DRE","( "&amp;Base_Periodo1[[#This Row],[Tipo_Linha]]&amp;" ) "&amp;Base_Periodo1[[#This Row],[Filtro]])</f>
        <v>Fora do DRE</v>
      </c>
      <c r="W3247" s="3" t="str">
        <f>LEFT(Base_Periodo1[[#This Row],[CLASS]],3)</f>
        <v>2.1</v>
      </c>
    </row>
    <row r="3248" spans="1:23" hidden="1">
      <c r="A3248" s="3" t="str">
        <f t="shared" si="50"/>
        <v>Período 1</v>
      </c>
      <c r="B3248">
        <v>41096</v>
      </c>
      <c r="C3248" t="s">
        <v>2010</v>
      </c>
      <c r="D3248" t="s">
        <v>2014</v>
      </c>
      <c r="E3248" s="3" t="str">
        <f>IF(LEN(Base_Periodo1[[#This Row],[CLASS]])&gt;=7,LEFT(Base_Periodo1[[#This Row],[CLASS]],7),"")</f>
        <v>2.1.2.2</v>
      </c>
      <c r="F3248" s="3" t="str">
        <f>VLOOKUP(Base_Periodo1[[#This Row],[Aux]],Base_Contas_Balanco[#All],2,FALSE)</f>
        <v>Fornecedores Não Cooperados</v>
      </c>
      <c r="G3248" s="1"/>
      <c r="H3248" s="225">
        <v>3014.87</v>
      </c>
      <c r="I3248" s="225">
        <v>0</v>
      </c>
      <c r="J3248" s="225">
        <v>0</v>
      </c>
      <c r="K3248" s="225">
        <v>3014.87</v>
      </c>
      <c r="L32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3014.87</v>
      </c>
      <c r="M3248" s="225">
        <f>ROUND(IF(AND(Base_Periodo1[[#This Row],[Tipo_Linha]]="-",Base_Periodo1[[#This Row],[TIPOSALDO]]="D"),Base_Periodo1[[#This Row],[SALDO_ATUAL]]*-1,Base_Periodo1[[#This Row],[SALDO_ATUAL]]),4)</f>
        <v>3014.87</v>
      </c>
      <c r="N3248" t="s">
        <v>116</v>
      </c>
      <c r="O3248" t="s">
        <v>459</v>
      </c>
      <c r="P3248" t="s">
        <v>459</v>
      </c>
      <c r="Q3248">
        <v>7</v>
      </c>
      <c r="R3248" s="225">
        <f>Base_Periodo1[[#This Row],[CREDITOS]]-Base_Periodo1[[#This Row],[DEBITOS]]</f>
        <v>0</v>
      </c>
      <c r="S3248" s="3" t="str">
        <f>IF(ISERROR(VLOOKUP(Base_Periodo1[[#This Row],[CONTA]],BaseContasDRE[#All],4,FALSE)),"Fora do DRE",VLOOKUP(Base_Periodo1[[#This Row],[CONTA]],BaseContasDRE[#All],4,FALSE))</f>
        <v>Fora do DRE</v>
      </c>
      <c r="T3248" s="3" t="str">
        <f>IF(ISERROR(VLOOKUP(Base_Periodo1[[#This Row],[CONTA]],BaseContasDRE[#All],5,FALSE)),"Fora do DRE",VLOOKUP(Base_Periodo1[[#This Row],[CONTA]],BaseContasDRE[#All],6,FALSE))</f>
        <v>Fora do DRE</v>
      </c>
      <c r="U3248" s="3" t="str">
        <f>IF(ISERROR(VLOOKUP(Base_Periodo1[[#This Row],[CONTA]],BaseContasDRE[#All],7,FALSE)),"Fora do DRE",VLOOKUP(Base_Periodo1[[#This Row],[CONTA]],BaseContasDRE[#All],7,FALSE))</f>
        <v>Fora do DRE</v>
      </c>
      <c r="V3248" s="3" t="str">
        <f>IF(Base_Periodo1[[#This Row],[Tipo_Linha]]="Fora do DRE","Fora do DRE","( "&amp;Base_Periodo1[[#This Row],[Tipo_Linha]]&amp;" ) "&amp;Base_Periodo1[[#This Row],[Filtro]])</f>
        <v>Fora do DRE</v>
      </c>
      <c r="W3248" s="3" t="str">
        <f>LEFT(Base_Periodo1[[#This Row],[CLASS]],3)</f>
        <v>2.1</v>
      </c>
    </row>
    <row r="3249" spans="1:23" hidden="1">
      <c r="A3249" s="3" t="str">
        <f t="shared" si="50"/>
        <v>Período 1</v>
      </c>
      <c r="B3249">
        <v>21865</v>
      </c>
      <c r="C3249" t="s">
        <v>2010</v>
      </c>
      <c r="D3249" t="s">
        <v>6903</v>
      </c>
      <c r="E3249" s="3" t="str">
        <f>IF(LEN(Base_Periodo1[[#This Row],[CLASS]])&gt;=7,LEFT(Base_Periodo1[[#This Row],[CLASS]],7),"")</f>
        <v>2.1.2.2</v>
      </c>
      <c r="F3249" s="3" t="str">
        <f>VLOOKUP(Base_Periodo1[[#This Row],[Aux]],Base_Contas_Balanco[#All],2,FALSE)</f>
        <v>Fornecedores Não Cooperados</v>
      </c>
      <c r="G3249" s="1">
        <v>42884</v>
      </c>
      <c r="I3249" s="225">
        <v>121846.39</v>
      </c>
      <c r="J3249" s="225">
        <v>121846.39</v>
      </c>
      <c r="K3249" s="225">
        <v>-1.1641532182693481E-10</v>
      </c>
      <c r="L32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49" s="225">
        <f>ROUND(IF(AND(Base_Periodo1[[#This Row],[Tipo_Linha]]="-",Base_Periodo1[[#This Row],[TIPOSALDO]]="D"),Base_Periodo1[[#This Row],[SALDO_ATUAL]]*-1,Base_Periodo1[[#This Row],[SALDO_ATUAL]]),4)</f>
        <v>0</v>
      </c>
      <c r="N3249" t="s">
        <v>116</v>
      </c>
      <c r="O3249" t="s">
        <v>436</v>
      </c>
      <c r="P3249" t="s">
        <v>436</v>
      </c>
      <c r="Q3249">
        <v>7</v>
      </c>
      <c r="R3249" s="225">
        <f>Base_Periodo1[[#This Row],[CREDITOS]]-Base_Periodo1[[#This Row],[DEBITOS]]</f>
        <v>0</v>
      </c>
      <c r="S3249" s="3" t="str">
        <f>IF(ISERROR(VLOOKUP(Base_Periodo1[[#This Row],[CONTA]],BaseContasDRE[#All],4,FALSE)),"Fora do DRE",VLOOKUP(Base_Periodo1[[#This Row],[CONTA]],BaseContasDRE[#All],4,FALSE))</f>
        <v>Fora do DRE</v>
      </c>
      <c r="T3249" s="3" t="str">
        <f>IF(ISERROR(VLOOKUP(Base_Periodo1[[#This Row],[CONTA]],BaseContasDRE[#All],5,FALSE)),"Fora do DRE",VLOOKUP(Base_Periodo1[[#This Row],[CONTA]],BaseContasDRE[#All],6,FALSE))</f>
        <v>Fora do DRE</v>
      </c>
      <c r="U3249" s="3" t="str">
        <f>IF(ISERROR(VLOOKUP(Base_Periodo1[[#This Row],[CONTA]],BaseContasDRE[#All],7,FALSE)),"Fora do DRE",VLOOKUP(Base_Periodo1[[#This Row],[CONTA]],BaseContasDRE[#All],7,FALSE))</f>
        <v>Fora do DRE</v>
      </c>
      <c r="V3249" s="3" t="str">
        <f>IF(Base_Periodo1[[#This Row],[Tipo_Linha]]="Fora do DRE","Fora do DRE","( "&amp;Base_Periodo1[[#This Row],[Tipo_Linha]]&amp;" ) "&amp;Base_Periodo1[[#This Row],[Filtro]])</f>
        <v>Fora do DRE</v>
      </c>
      <c r="W3249" s="3" t="str">
        <f>LEFT(Base_Periodo1[[#This Row],[CLASS]],3)</f>
        <v>2.1</v>
      </c>
    </row>
    <row r="3250" spans="1:23" hidden="1">
      <c r="A3250" s="3" t="str">
        <f t="shared" si="50"/>
        <v>Período 1</v>
      </c>
      <c r="B3250">
        <v>5065</v>
      </c>
      <c r="C3250" t="s">
        <v>2010</v>
      </c>
      <c r="D3250" t="s">
        <v>6904</v>
      </c>
      <c r="E3250" s="3" t="str">
        <f>IF(LEN(Base_Periodo1[[#This Row],[CLASS]])&gt;=7,LEFT(Base_Periodo1[[#This Row],[CLASS]],7),"")</f>
        <v>2.1.2.2</v>
      </c>
      <c r="F3250" s="3" t="str">
        <f>VLOOKUP(Base_Periodo1[[#This Row],[Aux]],Base_Contas_Balanco[#All],2,FALSE)</f>
        <v>Fornecedores Não Cooperados</v>
      </c>
      <c r="G3250" s="1">
        <v>42879</v>
      </c>
      <c r="I3250" s="225">
        <v>52.39</v>
      </c>
      <c r="J3250" s="225">
        <v>52.39</v>
      </c>
      <c r="K3250" s="225">
        <v>9.0949470177292824E-13</v>
      </c>
      <c r="L32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50" s="225">
        <f>ROUND(IF(AND(Base_Periodo1[[#This Row],[Tipo_Linha]]="-",Base_Periodo1[[#This Row],[TIPOSALDO]]="D"),Base_Periodo1[[#This Row],[SALDO_ATUAL]]*-1,Base_Periodo1[[#This Row],[SALDO_ATUAL]]),4)</f>
        <v>0</v>
      </c>
      <c r="N3250" t="s">
        <v>116</v>
      </c>
      <c r="O3250" t="s">
        <v>436</v>
      </c>
      <c r="P3250" t="s">
        <v>436</v>
      </c>
      <c r="Q3250">
        <v>7</v>
      </c>
      <c r="R3250" s="225">
        <f>Base_Periodo1[[#This Row],[CREDITOS]]-Base_Periodo1[[#This Row],[DEBITOS]]</f>
        <v>0</v>
      </c>
      <c r="S3250" s="3" t="str">
        <f>IF(ISERROR(VLOOKUP(Base_Periodo1[[#This Row],[CONTA]],BaseContasDRE[#All],4,FALSE)),"Fora do DRE",VLOOKUP(Base_Periodo1[[#This Row],[CONTA]],BaseContasDRE[#All],4,FALSE))</f>
        <v>Fora do DRE</v>
      </c>
      <c r="T3250" s="3" t="str">
        <f>IF(ISERROR(VLOOKUP(Base_Periodo1[[#This Row],[CONTA]],BaseContasDRE[#All],5,FALSE)),"Fora do DRE",VLOOKUP(Base_Periodo1[[#This Row],[CONTA]],BaseContasDRE[#All],6,FALSE))</f>
        <v>Fora do DRE</v>
      </c>
      <c r="U3250" s="3" t="str">
        <f>IF(ISERROR(VLOOKUP(Base_Periodo1[[#This Row],[CONTA]],BaseContasDRE[#All],7,FALSE)),"Fora do DRE",VLOOKUP(Base_Periodo1[[#This Row],[CONTA]],BaseContasDRE[#All],7,FALSE))</f>
        <v>Fora do DRE</v>
      </c>
      <c r="V3250" s="3" t="str">
        <f>IF(Base_Periodo1[[#This Row],[Tipo_Linha]]="Fora do DRE","Fora do DRE","( "&amp;Base_Periodo1[[#This Row],[Tipo_Linha]]&amp;" ) "&amp;Base_Periodo1[[#This Row],[Filtro]])</f>
        <v>Fora do DRE</v>
      </c>
      <c r="W3250" s="3" t="str">
        <f>LEFT(Base_Periodo1[[#This Row],[CLASS]],3)</f>
        <v>2.1</v>
      </c>
    </row>
    <row r="3251" spans="1:23" hidden="1">
      <c r="A3251" s="3" t="str">
        <f t="shared" si="50"/>
        <v>Período 1</v>
      </c>
      <c r="B3251">
        <v>50306</v>
      </c>
      <c r="C3251" t="s">
        <v>2010</v>
      </c>
      <c r="D3251" t="s">
        <v>6416</v>
      </c>
      <c r="E3251" s="3" t="str">
        <f>IF(LEN(Base_Periodo1[[#This Row],[CLASS]])&gt;=7,LEFT(Base_Periodo1[[#This Row],[CLASS]],7),"")</f>
        <v>2.1.2.2</v>
      </c>
      <c r="F3251" s="3" t="str">
        <f>VLOOKUP(Base_Periodo1[[#This Row],[Aux]],Base_Contas_Balanco[#All],2,FALSE)</f>
        <v>Fornecedores Não Cooperados</v>
      </c>
      <c r="G3251" s="1">
        <v>42880</v>
      </c>
      <c r="H3251" s="225">
        <v>218848</v>
      </c>
      <c r="I3251" s="225">
        <v>338848</v>
      </c>
      <c r="J3251" s="225">
        <v>120000</v>
      </c>
      <c r="K3251" s="225">
        <v>0</v>
      </c>
      <c r="L32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51" s="225">
        <f>ROUND(IF(AND(Base_Periodo1[[#This Row],[Tipo_Linha]]="-",Base_Periodo1[[#This Row],[TIPOSALDO]]="D"),Base_Periodo1[[#This Row],[SALDO_ATUAL]]*-1,Base_Periodo1[[#This Row],[SALDO_ATUAL]]),4)</f>
        <v>0</v>
      </c>
      <c r="N3251" t="s">
        <v>116</v>
      </c>
      <c r="O3251" t="s">
        <v>459</v>
      </c>
      <c r="P3251" t="s">
        <v>436</v>
      </c>
      <c r="Q3251">
        <v>7</v>
      </c>
      <c r="R3251" s="225">
        <f>Base_Periodo1[[#This Row],[CREDITOS]]-Base_Periodo1[[#This Row],[DEBITOS]]</f>
        <v>-218848</v>
      </c>
      <c r="S3251" s="3" t="str">
        <f>IF(ISERROR(VLOOKUP(Base_Periodo1[[#This Row],[CONTA]],BaseContasDRE[#All],4,FALSE)),"Fora do DRE",VLOOKUP(Base_Periodo1[[#This Row],[CONTA]],BaseContasDRE[#All],4,FALSE))</f>
        <v>Fora do DRE</v>
      </c>
      <c r="T3251" s="3" t="str">
        <f>IF(ISERROR(VLOOKUP(Base_Periodo1[[#This Row],[CONTA]],BaseContasDRE[#All],5,FALSE)),"Fora do DRE",VLOOKUP(Base_Periodo1[[#This Row],[CONTA]],BaseContasDRE[#All],6,FALSE))</f>
        <v>Fora do DRE</v>
      </c>
      <c r="U3251" s="3" t="str">
        <f>IF(ISERROR(VLOOKUP(Base_Periodo1[[#This Row],[CONTA]],BaseContasDRE[#All],7,FALSE)),"Fora do DRE",VLOOKUP(Base_Periodo1[[#This Row],[CONTA]],BaseContasDRE[#All],7,FALSE))</f>
        <v>Fora do DRE</v>
      </c>
      <c r="V3251" s="3" t="str">
        <f>IF(Base_Periodo1[[#This Row],[Tipo_Linha]]="Fora do DRE","Fora do DRE","( "&amp;Base_Periodo1[[#This Row],[Tipo_Linha]]&amp;" ) "&amp;Base_Periodo1[[#This Row],[Filtro]])</f>
        <v>Fora do DRE</v>
      </c>
      <c r="W3251" s="3" t="str">
        <f>LEFT(Base_Periodo1[[#This Row],[CLASS]],3)</f>
        <v>2.1</v>
      </c>
    </row>
    <row r="3252" spans="1:23" hidden="1">
      <c r="A3252" s="3" t="str">
        <f t="shared" si="50"/>
        <v>Período 1</v>
      </c>
      <c r="B3252">
        <v>49053</v>
      </c>
      <c r="C3252" t="s">
        <v>2010</v>
      </c>
      <c r="D3252" t="s">
        <v>4207</v>
      </c>
      <c r="E3252" s="3" t="str">
        <f>IF(LEN(Base_Periodo1[[#This Row],[CLASS]])&gt;=7,LEFT(Base_Periodo1[[#This Row],[CLASS]],7),"")</f>
        <v>2.1.2.2</v>
      </c>
      <c r="F3252" s="3" t="str">
        <f>VLOOKUP(Base_Periodo1[[#This Row],[Aux]],Base_Contas_Balanco[#All],2,FALSE)</f>
        <v>Fornecedores Não Cooperados</v>
      </c>
      <c r="G3252" s="1">
        <v>42858</v>
      </c>
      <c r="H3252" s="225">
        <v>45000</v>
      </c>
      <c r="I3252" s="225">
        <v>5000</v>
      </c>
      <c r="J3252" s="225">
        <v>0</v>
      </c>
      <c r="K3252" s="225">
        <v>40000</v>
      </c>
      <c r="L32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40000</v>
      </c>
      <c r="M3252" s="225">
        <f>ROUND(IF(AND(Base_Periodo1[[#This Row],[Tipo_Linha]]="-",Base_Periodo1[[#This Row],[TIPOSALDO]]="D"),Base_Periodo1[[#This Row],[SALDO_ATUAL]]*-1,Base_Periodo1[[#This Row],[SALDO_ATUAL]]),4)</f>
        <v>40000</v>
      </c>
      <c r="N3252" t="s">
        <v>116</v>
      </c>
      <c r="O3252" t="s">
        <v>459</v>
      </c>
      <c r="P3252" t="s">
        <v>459</v>
      </c>
      <c r="Q3252">
        <v>7</v>
      </c>
      <c r="R3252" s="225">
        <f>Base_Periodo1[[#This Row],[CREDITOS]]-Base_Periodo1[[#This Row],[DEBITOS]]</f>
        <v>-5000</v>
      </c>
      <c r="S3252" s="3" t="str">
        <f>IF(ISERROR(VLOOKUP(Base_Periodo1[[#This Row],[CONTA]],BaseContasDRE[#All],4,FALSE)),"Fora do DRE",VLOOKUP(Base_Periodo1[[#This Row],[CONTA]],BaseContasDRE[#All],4,FALSE))</f>
        <v>Fora do DRE</v>
      </c>
      <c r="T3252" s="3" t="str">
        <f>IF(ISERROR(VLOOKUP(Base_Periodo1[[#This Row],[CONTA]],BaseContasDRE[#All],5,FALSE)),"Fora do DRE",VLOOKUP(Base_Periodo1[[#This Row],[CONTA]],BaseContasDRE[#All],6,FALSE))</f>
        <v>Fora do DRE</v>
      </c>
      <c r="U3252" s="3" t="str">
        <f>IF(ISERROR(VLOOKUP(Base_Periodo1[[#This Row],[CONTA]],BaseContasDRE[#All],7,FALSE)),"Fora do DRE",VLOOKUP(Base_Periodo1[[#This Row],[CONTA]],BaseContasDRE[#All],7,FALSE))</f>
        <v>Fora do DRE</v>
      </c>
      <c r="V3252" s="3" t="str">
        <f>IF(Base_Periodo1[[#This Row],[Tipo_Linha]]="Fora do DRE","Fora do DRE","( "&amp;Base_Periodo1[[#This Row],[Tipo_Linha]]&amp;" ) "&amp;Base_Periodo1[[#This Row],[Filtro]])</f>
        <v>Fora do DRE</v>
      </c>
      <c r="W3252" s="3" t="str">
        <f>LEFT(Base_Periodo1[[#This Row],[CLASS]],3)</f>
        <v>2.1</v>
      </c>
    </row>
    <row r="3253" spans="1:23" hidden="1">
      <c r="A3253" s="3" t="str">
        <f t="shared" si="50"/>
        <v>Período 1</v>
      </c>
      <c r="B3253">
        <v>58367</v>
      </c>
      <c r="C3253" t="s">
        <v>2010</v>
      </c>
      <c r="D3253" t="s">
        <v>6417</v>
      </c>
      <c r="E3253" s="3" t="str">
        <f>IF(LEN(Base_Periodo1[[#This Row],[CLASS]])&gt;=7,LEFT(Base_Periodo1[[#This Row],[CLASS]],7),"")</f>
        <v>2.1.2.2</v>
      </c>
      <c r="F3253" s="3" t="str">
        <f>VLOOKUP(Base_Periodo1[[#This Row],[Aux]],Base_Contas_Balanco[#All],2,FALSE)</f>
        <v>Fornecedores Não Cooperados</v>
      </c>
      <c r="G3253" s="1">
        <v>42859</v>
      </c>
      <c r="I3253" s="225">
        <v>7017.33</v>
      </c>
      <c r="J3253" s="225">
        <v>7017.33</v>
      </c>
      <c r="K3253" s="225">
        <v>-3.637978807091713E-12</v>
      </c>
      <c r="L32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53" s="225">
        <f>ROUND(IF(AND(Base_Periodo1[[#This Row],[Tipo_Linha]]="-",Base_Periodo1[[#This Row],[TIPOSALDO]]="D"),Base_Periodo1[[#This Row],[SALDO_ATUAL]]*-1,Base_Periodo1[[#This Row],[SALDO_ATUAL]]),4)</f>
        <v>0</v>
      </c>
      <c r="N3253" t="s">
        <v>116</v>
      </c>
      <c r="O3253" t="s">
        <v>436</v>
      </c>
      <c r="P3253" t="s">
        <v>436</v>
      </c>
      <c r="Q3253">
        <v>7</v>
      </c>
      <c r="R3253" s="225">
        <f>Base_Periodo1[[#This Row],[CREDITOS]]-Base_Periodo1[[#This Row],[DEBITOS]]</f>
        <v>0</v>
      </c>
      <c r="S3253" s="3" t="str">
        <f>IF(ISERROR(VLOOKUP(Base_Periodo1[[#This Row],[CONTA]],BaseContasDRE[#All],4,FALSE)),"Fora do DRE",VLOOKUP(Base_Periodo1[[#This Row],[CONTA]],BaseContasDRE[#All],4,FALSE))</f>
        <v>Fora do DRE</v>
      </c>
      <c r="T3253" s="3" t="str">
        <f>IF(ISERROR(VLOOKUP(Base_Periodo1[[#This Row],[CONTA]],BaseContasDRE[#All],5,FALSE)),"Fora do DRE",VLOOKUP(Base_Periodo1[[#This Row],[CONTA]],BaseContasDRE[#All],6,FALSE))</f>
        <v>Fora do DRE</v>
      </c>
      <c r="U3253" s="3" t="str">
        <f>IF(ISERROR(VLOOKUP(Base_Periodo1[[#This Row],[CONTA]],BaseContasDRE[#All],7,FALSE)),"Fora do DRE",VLOOKUP(Base_Periodo1[[#This Row],[CONTA]],BaseContasDRE[#All],7,FALSE))</f>
        <v>Fora do DRE</v>
      </c>
      <c r="V3253" s="3" t="str">
        <f>IF(Base_Periodo1[[#This Row],[Tipo_Linha]]="Fora do DRE","Fora do DRE","( "&amp;Base_Periodo1[[#This Row],[Tipo_Linha]]&amp;" ) "&amp;Base_Periodo1[[#This Row],[Filtro]])</f>
        <v>Fora do DRE</v>
      </c>
      <c r="W3253" s="3" t="str">
        <f>LEFT(Base_Periodo1[[#This Row],[CLASS]],3)</f>
        <v>2.1</v>
      </c>
    </row>
    <row r="3254" spans="1:23" hidden="1">
      <c r="A3254" s="3" t="str">
        <f t="shared" si="50"/>
        <v>Período 1</v>
      </c>
      <c r="B3254">
        <v>59271</v>
      </c>
      <c r="C3254" t="s">
        <v>2010</v>
      </c>
      <c r="D3254" t="s">
        <v>6905</v>
      </c>
      <c r="E3254" s="3" t="str">
        <f>IF(LEN(Base_Periodo1[[#This Row],[CLASS]])&gt;=7,LEFT(Base_Periodo1[[#This Row],[CLASS]],7),"")</f>
        <v>2.1.2.2</v>
      </c>
      <c r="F3254" s="3" t="str">
        <f>VLOOKUP(Base_Periodo1[[#This Row],[Aux]],Base_Contas_Balanco[#All],2,FALSE)</f>
        <v>Fornecedores Não Cooperados</v>
      </c>
      <c r="G3254" s="1">
        <v>42884</v>
      </c>
      <c r="I3254" s="225">
        <v>450</v>
      </c>
      <c r="J3254" s="225">
        <v>450</v>
      </c>
      <c r="K3254" s="225">
        <v>0</v>
      </c>
      <c r="L32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54" s="225">
        <f>ROUND(IF(AND(Base_Periodo1[[#This Row],[Tipo_Linha]]="-",Base_Periodo1[[#This Row],[TIPOSALDO]]="D"),Base_Periodo1[[#This Row],[SALDO_ATUAL]]*-1,Base_Periodo1[[#This Row],[SALDO_ATUAL]]),4)</f>
        <v>0</v>
      </c>
      <c r="N3254" t="s">
        <v>116</v>
      </c>
      <c r="O3254" t="s">
        <v>436</v>
      </c>
      <c r="P3254" t="s">
        <v>436</v>
      </c>
      <c r="Q3254">
        <v>7</v>
      </c>
      <c r="R3254" s="225">
        <f>Base_Periodo1[[#This Row],[CREDITOS]]-Base_Periodo1[[#This Row],[DEBITOS]]</f>
        <v>0</v>
      </c>
      <c r="S3254" s="3" t="str">
        <f>IF(ISERROR(VLOOKUP(Base_Periodo1[[#This Row],[CONTA]],BaseContasDRE[#All],4,FALSE)),"Fora do DRE",VLOOKUP(Base_Periodo1[[#This Row],[CONTA]],BaseContasDRE[#All],4,FALSE))</f>
        <v>Fora do DRE</v>
      </c>
      <c r="T3254" s="3" t="str">
        <f>IF(ISERROR(VLOOKUP(Base_Periodo1[[#This Row],[CONTA]],BaseContasDRE[#All],5,FALSE)),"Fora do DRE",VLOOKUP(Base_Periodo1[[#This Row],[CONTA]],BaseContasDRE[#All],6,FALSE))</f>
        <v>Fora do DRE</v>
      </c>
      <c r="U3254" s="3" t="str">
        <f>IF(ISERROR(VLOOKUP(Base_Periodo1[[#This Row],[CONTA]],BaseContasDRE[#All],7,FALSE)),"Fora do DRE",VLOOKUP(Base_Periodo1[[#This Row],[CONTA]],BaseContasDRE[#All],7,FALSE))</f>
        <v>Fora do DRE</v>
      </c>
      <c r="V3254" s="3" t="str">
        <f>IF(Base_Periodo1[[#This Row],[Tipo_Linha]]="Fora do DRE","Fora do DRE","( "&amp;Base_Periodo1[[#This Row],[Tipo_Linha]]&amp;" ) "&amp;Base_Periodo1[[#This Row],[Filtro]])</f>
        <v>Fora do DRE</v>
      </c>
      <c r="W3254" s="3" t="str">
        <f>LEFT(Base_Periodo1[[#This Row],[CLASS]],3)</f>
        <v>2.1</v>
      </c>
    </row>
    <row r="3255" spans="1:23" hidden="1">
      <c r="A3255" s="3" t="str">
        <f t="shared" si="50"/>
        <v>Período 1</v>
      </c>
      <c r="B3255">
        <v>33896</v>
      </c>
      <c r="C3255" t="s">
        <v>2010</v>
      </c>
      <c r="D3255" t="s">
        <v>5171</v>
      </c>
      <c r="E3255" s="3" t="str">
        <f>IF(LEN(Base_Periodo1[[#This Row],[CLASS]])&gt;=7,LEFT(Base_Periodo1[[#This Row],[CLASS]],7),"")</f>
        <v>2.1.2.2</v>
      </c>
      <c r="F3255" s="3" t="str">
        <f>VLOOKUP(Base_Periodo1[[#This Row],[Aux]],Base_Contas_Balanco[#All],2,FALSE)</f>
        <v>Fornecedores Não Cooperados</v>
      </c>
      <c r="G3255" s="1">
        <v>42885</v>
      </c>
      <c r="H3255" s="225">
        <v>36637.49</v>
      </c>
      <c r="I3255" s="225">
        <v>36637.49</v>
      </c>
      <c r="J3255" s="225">
        <v>0</v>
      </c>
      <c r="K3255" s="225">
        <v>0</v>
      </c>
      <c r="L32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55" s="225">
        <f>ROUND(IF(AND(Base_Periodo1[[#This Row],[Tipo_Linha]]="-",Base_Periodo1[[#This Row],[TIPOSALDO]]="D"),Base_Periodo1[[#This Row],[SALDO_ATUAL]]*-1,Base_Periodo1[[#This Row],[SALDO_ATUAL]]),4)</f>
        <v>0</v>
      </c>
      <c r="N3255" t="s">
        <v>116</v>
      </c>
      <c r="O3255" t="s">
        <v>459</v>
      </c>
      <c r="P3255" t="s">
        <v>436</v>
      </c>
      <c r="Q3255">
        <v>7</v>
      </c>
      <c r="R3255" s="225">
        <f>Base_Periodo1[[#This Row],[CREDITOS]]-Base_Periodo1[[#This Row],[DEBITOS]]</f>
        <v>-36637.49</v>
      </c>
      <c r="S3255" s="3" t="str">
        <f>IF(ISERROR(VLOOKUP(Base_Periodo1[[#This Row],[CONTA]],BaseContasDRE[#All],4,FALSE)),"Fora do DRE",VLOOKUP(Base_Periodo1[[#This Row],[CONTA]],BaseContasDRE[#All],4,FALSE))</f>
        <v>Fora do DRE</v>
      </c>
      <c r="T3255" s="3" t="str">
        <f>IF(ISERROR(VLOOKUP(Base_Periodo1[[#This Row],[CONTA]],BaseContasDRE[#All],5,FALSE)),"Fora do DRE",VLOOKUP(Base_Periodo1[[#This Row],[CONTA]],BaseContasDRE[#All],6,FALSE))</f>
        <v>Fora do DRE</v>
      </c>
      <c r="U3255" s="3" t="str">
        <f>IF(ISERROR(VLOOKUP(Base_Periodo1[[#This Row],[CONTA]],BaseContasDRE[#All],7,FALSE)),"Fora do DRE",VLOOKUP(Base_Periodo1[[#This Row],[CONTA]],BaseContasDRE[#All],7,FALSE))</f>
        <v>Fora do DRE</v>
      </c>
      <c r="V3255" s="3" t="str">
        <f>IF(Base_Periodo1[[#This Row],[Tipo_Linha]]="Fora do DRE","Fora do DRE","( "&amp;Base_Periodo1[[#This Row],[Tipo_Linha]]&amp;" ) "&amp;Base_Periodo1[[#This Row],[Filtro]])</f>
        <v>Fora do DRE</v>
      </c>
      <c r="W3255" s="3" t="str">
        <f>LEFT(Base_Periodo1[[#This Row],[CLASS]],3)</f>
        <v>2.1</v>
      </c>
    </row>
    <row r="3256" spans="1:23" hidden="1">
      <c r="A3256" s="3" t="str">
        <f t="shared" si="50"/>
        <v>Período 1</v>
      </c>
      <c r="B3256">
        <v>10708</v>
      </c>
      <c r="C3256" t="s">
        <v>2010</v>
      </c>
      <c r="D3256" t="s">
        <v>5716</v>
      </c>
      <c r="E3256" s="3" t="str">
        <f>IF(LEN(Base_Periodo1[[#This Row],[CLASS]])&gt;=7,LEFT(Base_Periodo1[[#This Row],[CLASS]],7),"")</f>
        <v>2.1.2.2</v>
      </c>
      <c r="F3256" s="3" t="str">
        <f>VLOOKUP(Base_Periodo1[[#This Row],[Aux]],Base_Contas_Balanco[#All],2,FALSE)</f>
        <v>Fornecedores Não Cooperados</v>
      </c>
      <c r="G3256" s="1">
        <v>42886</v>
      </c>
      <c r="H3256" s="225">
        <v>165</v>
      </c>
      <c r="I3256" s="225">
        <v>945</v>
      </c>
      <c r="J3256" s="225">
        <v>780</v>
      </c>
      <c r="K3256" s="225">
        <v>0</v>
      </c>
      <c r="L32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56" s="225">
        <f>ROUND(IF(AND(Base_Periodo1[[#This Row],[Tipo_Linha]]="-",Base_Periodo1[[#This Row],[TIPOSALDO]]="D"),Base_Periodo1[[#This Row],[SALDO_ATUAL]]*-1,Base_Periodo1[[#This Row],[SALDO_ATUAL]]),4)</f>
        <v>0</v>
      </c>
      <c r="N3256" t="s">
        <v>116</v>
      </c>
      <c r="O3256" t="s">
        <v>459</v>
      </c>
      <c r="P3256" t="s">
        <v>436</v>
      </c>
      <c r="Q3256">
        <v>7</v>
      </c>
      <c r="R3256" s="225">
        <f>Base_Periodo1[[#This Row],[CREDITOS]]-Base_Periodo1[[#This Row],[DEBITOS]]</f>
        <v>-165</v>
      </c>
      <c r="S3256" s="3" t="str">
        <f>IF(ISERROR(VLOOKUP(Base_Periodo1[[#This Row],[CONTA]],BaseContasDRE[#All],4,FALSE)),"Fora do DRE",VLOOKUP(Base_Periodo1[[#This Row],[CONTA]],BaseContasDRE[#All],4,FALSE))</f>
        <v>Fora do DRE</v>
      </c>
      <c r="T3256" s="3" t="str">
        <f>IF(ISERROR(VLOOKUP(Base_Periodo1[[#This Row],[CONTA]],BaseContasDRE[#All],5,FALSE)),"Fora do DRE",VLOOKUP(Base_Periodo1[[#This Row],[CONTA]],BaseContasDRE[#All],6,FALSE))</f>
        <v>Fora do DRE</v>
      </c>
      <c r="U3256" s="3" t="str">
        <f>IF(ISERROR(VLOOKUP(Base_Periodo1[[#This Row],[CONTA]],BaseContasDRE[#All],7,FALSE)),"Fora do DRE",VLOOKUP(Base_Periodo1[[#This Row],[CONTA]],BaseContasDRE[#All],7,FALSE))</f>
        <v>Fora do DRE</v>
      </c>
      <c r="V3256" s="3" t="str">
        <f>IF(Base_Periodo1[[#This Row],[Tipo_Linha]]="Fora do DRE","Fora do DRE","( "&amp;Base_Periodo1[[#This Row],[Tipo_Linha]]&amp;" ) "&amp;Base_Periodo1[[#This Row],[Filtro]])</f>
        <v>Fora do DRE</v>
      </c>
      <c r="W3256" s="3" t="str">
        <f>LEFT(Base_Periodo1[[#This Row],[CLASS]],3)</f>
        <v>2.1</v>
      </c>
    </row>
    <row r="3257" spans="1:23" hidden="1">
      <c r="A3257" s="3" t="str">
        <f t="shared" si="50"/>
        <v>Período 1</v>
      </c>
      <c r="B3257">
        <v>7834</v>
      </c>
      <c r="C3257" t="s">
        <v>2010</v>
      </c>
      <c r="D3257" t="s">
        <v>4288</v>
      </c>
      <c r="E3257" s="3" t="str">
        <f>IF(LEN(Base_Periodo1[[#This Row],[CLASS]])&gt;=7,LEFT(Base_Periodo1[[#This Row],[CLASS]],7),"")</f>
        <v>2.1.2.2</v>
      </c>
      <c r="F3257" s="3" t="str">
        <f>VLOOKUP(Base_Periodo1[[#This Row],[Aux]],Base_Contas_Balanco[#All],2,FALSE)</f>
        <v>Fornecedores Não Cooperados</v>
      </c>
      <c r="G3257" s="1">
        <v>42881</v>
      </c>
      <c r="H3257" s="225">
        <v>1835282.52999999</v>
      </c>
      <c r="I3257" s="225">
        <v>54960.1</v>
      </c>
      <c r="J3257" s="225">
        <v>102397.1</v>
      </c>
      <c r="K3257" s="225">
        <v>1882719.52999999</v>
      </c>
      <c r="L32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1882719.53</v>
      </c>
      <c r="M3257" s="225">
        <f>ROUND(IF(AND(Base_Periodo1[[#This Row],[Tipo_Linha]]="-",Base_Periodo1[[#This Row],[TIPOSALDO]]="D"),Base_Periodo1[[#This Row],[SALDO_ATUAL]]*-1,Base_Periodo1[[#This Row],[SALDO_ATUAL]]),4)</f>
        <v>1882719.53</v>
      </c>
      <c r="N3257" t="s">
        <v>116</v>
      </c>
      <c r="O3257" t="s">
        <v>459</v>
      </c>
      <c r="P3257" t="s">
        <v>459</v>
      </c>
      <c r="Q3257">
        <v>7</v>
      </c>
      <c r="R3257" s="225">
        <f>Base_Periodo1[[#This Row],[CREDITOS]]-Base_Periodo1[[#This Row],[DEBITOS]]</f>
        <v>47437.000000000007</v>
      </c>
      <c r="S3257" s="3" t="str">
        <f>IF(ISERROR(VLOOKUP(Base_Periodo1[[#This Row],[CONTA]],BaseContasDRE[#All],4,FALSE)),"Fora do DRE",VLOOKUP(Base_Periodo1[[#This Row],[CONTA]],BaseContasDRE[#All],4,FALSE))</f>
        <v>Fora do DRE</v>
      </c>
      <c r="T3257" s="3" t="str">
        <f>IF(ISERROR(VLOOKUP(Base_Periodo1[[#This Row],[CONTA]],BaseContasDRE[#All],5,FALSE)),"Fora do DRE",VLOOKUP(Base_Periodo1[[#This Row],[CONTA]],BaseContasDRE[#All],6,FALSE))</f>
        <v>Fora do DRE</v>
      </c>
      <c r="U3257" s="3" t="str">
        <f>IF(ISERROR(VLOOKUP(Base_Periodo1[[#This Row],[CONTA]],BaseContasDRE[#All],7,FALSE)),"Fora do DRE",VLOOKUP(Base_Periodo1[[#This Row],[CONTA]],BaseContasDRE[#All],7,FALSE))</f>
        <v>Fora do DRE</v>
      </c>
      <c r="V3257" s="3" t="str">
        <f>IF(Base_Periodo1[[#This Row],[Tipo_Linha]]="Fora do DRE","Fora do DRE","( "&amp;Base_Periodo1[[#This Row],[Tipo_Linha]]&amp;" ) "&amp;Base_Periodo1[[#This Row],[Filtro]])</f>
        <v>Fora do DRE</v>
      </c>
      <c r="W3257" s="3" t="str">
        <f>LEFT(Base_Periodo1[[#This Row],[CLASS]],3)</f>
        <v>2.1</v>
      </c>
    </row>
    <row r="3258" spans="1:23" hidden="1">
      <c r="A3258" s="3" t="str">
        <f t="shared" si="50"/>
        <v>Período 1</v>
      </c>
      <c r="B3258">
        <v>57613</v>
      </c>
      <c r="C3258" t="s">
        <v>2010</v>
      </c>
      <c r="D3258" t="s">
        <v>6740</v>
      </c>
      <c r="E3258" s="3" t="str">
        <f>IF(LEN(Base_Periodo1[[#This Row],[CLASS]])&gt;=7,LEFT(Base_Periodo1[[#This Row],[CLASS]],7),"")</f>
        <v>2.1.2.2</v>
      </c>
      <c r="F3258" s="3" t="str">
        <f>VLOOKUP(Base_Periodo1[[#This Row],[Aux]],Base_Contas_Balanco[#All],2,FALSE)</f>
        <v>Fornecedores Não Cooperados</v>
      </c>
      <c r="G3258" s="1"/>
      <c r="I3258" s="225">
        <v>0</v>
      </c>
      <c r="J3258" s="225">
        <v>40254.800000000003</v>
      </c>
      <c r="K3258" s="225">
        <v>40254.800000000003</v>
      </c>
      <c r="L32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40254.800000000003</v>
      </c>
      <c r="M3258" s="225">
        <f>ROUND(IF(AND(Base_Periodo1[[#This Row],[Tipo_Linha]]="-",Base_Periodo1[[#This Row],[TIPOSALDO]]="D"),Base_Periodo1[[#This Row],[SALDO_ATUAL]]*-1,Base_Periodo1[[#This Row],[SALDO_ATUAL]]),4)</f>
        <v>40254.800000000003</v>
      </c>
      <c r="N3258" t="s">
        <v>116</v>
      </c>
      <c r="O3258" t="s">
        <v>436</v>
      </c>
      <c r="P3258" t="s">
        <v>459</v>
      </c>
      <c r="Q3258">
        <v>7</v>
      </c>
      <c r="R3258" s="225">
        <f>Base_Periodo1[[#This Row],[CREDITOS]]-Base_Periodo1[[#This Row],[DEBITOS]]</f>
        <v>40254.800000000003</v>
      </c>
      <c r="S3258" s="3" t="str">
        <f>IF(ISERROR(VLOOKUP(Base_Periodo1[[#This Row],[CONTA]],BaseContasDRE[#All],4,FALSE)),"Fora do DRE",VLOOKUP(Base_Periodo1[[#This Row],[CONTA]],BaseContasDRE[#All],4,FALSE))</f>
        <v>Fora do DRE</v>
      </c>
      <c r="T3258" s="3" t="str">
        <f>IF(ISERROR(VLOOKUP(Base_Periodo1[[#This Row],[CONTA]],BaseContasDRE[#All],5,FALSE)),"Fora do DRE",VLOOKUP(Base_Periodo1[[#This Row],[CONTA]],BaseContasDRE[#All],6,FALSE))</f>
        <v>Fora do DRE</v>
      </c>
      <c r="U3258" s="3" t="str">
        <f>IF(ISERROR(VLOOKUP(Base_Periodo1[[#This Row],[CONTA]],BaseContasDRE[#All],7,FALSE)),"Fora do DRE",VLOOKUP(Base_Periodo1[[#This Row],[CONTA]],BaseContasDRE[#All],7,FALSE))</f>
        <v>Fora do DRE</v>
      </c>
      <c r="V3258" s="3" t="str">
        <f>IF(Base_Periodo1[[#This Row],[Tipo_Linha]]="Fora do DRE","Fora do DRE","( "&amp;Base_Periodo1[[#This Row],[Tipo_Linha]]&amp;" ) "&amp;Base_Periodo1[[#This Row],[Filtro]])</f>
        <v>Fora do DRE</v>
      </c>
      <c r="W3258" s="3" t="str">
        <f>LEFT(Base_Periodo1[[#This Row],[CLASS]],3)</f>
        <v>2.1</v>
      </c>
    </row>
    <row r="3259" spans="1:23" hidden="1">
      <c r="A3259" s="3" t="str">
        <f t="shared" si="50"/>
        <v>Período 1</v>
      </c>
      <c r="B3259">
        <v>29890</v>
      </c>
      <c r="C3259" t="s">
        <v>2010</v>
      </c>
      <c r="D3259" t="s">
        <v>926</v>
      </c>
      <c r="E3259" s="3" t="str">
        <f>IF(LEN(Base_Periodo1[[#This Row],[CLASS]])&gt;=7,LEFT(Base_Periodo1[[#This Row],[CLASS]],7),"")</f>
        <v>2.1.2.2</v>
      </c>
      <c r="F3259" s="3" t="str">
        <f>VLOOKUP(Base_Periodo1[[#This Row],[Aux]],Base_Contas_Balanco[#All],2,FALSE)</f>
        <v>Fornecedores Não Cooperados</v>
      </c>
      <c r="G3259" s="1">
        <v>42852</v>
      </c>
      <c r="H3259" s="225">
        <v>498722.5</v>
      </c>
      <c r="I3259" s="225">
        <v>0</v>
      </c>
      <c r="J3259" s="225">
        <v>0</v>
      </c>
      <c r="K3259" s="225">
        <v>498722.5</v>
      </c>
      <c r="L32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498722.5</v>
      </c>
      <c r="M3259" s="225">
        <f>ROUND(IF(AND(Base_Periodo1[[#This Row],[Tipo_Linha]]="-",Base_Periodo1[[#This Row],[TIPOSALDO]]="D"),Base_Periodo1[[#This Row],[SALDO_ATUAL]]*-1,Base_Periodo1[[#This Row],[SALDO_ATUAL]]),4)</f>
        <v>498722.5</v>
      </c>
      <c r="N3259" t="s">
        <v>116</v>
      </c>
      <c r="O3259" t="s">
        <v>459</v>
      </c>
      <c r="P3259" t="s">
        <v>459</v>
      </c>
      <c r="Q3259">
        <v>7</v>
      </c>
      <c r="R3259" s="225">
        <f>Base_Periodo1[[#This Row],[CREDITOS]]-Base_Periodo1[[#This Row],[DEBITOS]]</f>
        <v>0</v>
      </c>
      <c r="S3259" s="3" t="str">
        <f>IF(ISERROR(VLOOKUP(Base_Periodo1[[#This Row],[CONTA]],BaseContasDRE[#All],4,FALSE)),"Fora do DRE",VLOOKUP(Base_Periodo1[[#This Row],[CONTA]],BaseContasDRE[#All],4,FALSE))</f>
        <v>Fora do DRE</v>
      </c>
      <c r="T3259" s="3" t="str">
        <f>IF(ISERROR(VLOOKUP(Base_Periodo1[[#This Row],[CONTA]],BaseContasDRE[#All],5,FALSE)),"Fora do DRE",VLOOKUP(Base_Periodo1[[#This Row],[CONTA]],BaseContasDRE[#All],6,FALSE))</f>
        <v>Fora do DRE</v>
      </c>
      <c r="U3259" s="3" t="str">
        <f>IF(ISERROR(VLOOKUP(Base_Periodo1[[#This Row],[CONTA]],BaseContasDRE[#All],7,FALSE)),"Fora do DRE",VLOOKUP(Base_Periodo1[[#This Row],[CONTA]],BaseContasDRE[#All],7,FALSE))</f>
        <v>Fora do DRE</v>
      </c>
      <c r="V3259" s="3" t="str">
        <f>IF(Base_Periodo1[[#This Row],[Tipo_Linha]]="Fora do DRE","Fora do DRE","( "&amp;Base_Periodo1[[#This Row],[Tipo_Linha]]&amp;" ) "&amp;Base_Periodo1[[#This Row],[Filtro]])</f>
        <v>Fora do DRE</v>
      </c>
      <c r="W3259" s="3" t="str">
        <f>LEFT(Base_Periodo1[[#This Row],[CLASS]],3)</f>
        <v>2.1</v>
      </c>
    </row>
    <row r="3260" spans="1:23" hidden="1">
      <c r="A3260" s="3" t="str">
        <f t="shared" si="50"/>
        <v>Período 1</v>
      </c>
      <c r="B3260">
        <v>38872</v>
      </c>
      <c r="C3260" t="s">
        <v>2010</v>
      </c>
      <c r="D3260" t="s">
        <v>5172</v>
      </c>
      <c r="E3260" s="3" t="str">
        <f>IF(LEN(Base_Periodo1[[#This Row],[CLASS]])&gt;=7,LEFT(Base_Periodo1[[#This Row],[CLASS]],7),"")</f>
        <v>2.1.2.2</v>
      </c>
      <c r="F3260" s="3" t="str">
        <f>VLOOKUP(Base_Periodo1[[#This Row],[Aux]],Base_Contas_Balanco[#All],2,FALSE)</f>
        <v>Fornecedores Não Cooperados</v>
      </c>
      <c r="G3260" s="1">
        <v>42858</v>
      </c>
      <c r="I3260" s="225">
        <v>22713.69</v>
      </c>
      <c r="J3260" s="225">
        <v>22713.69</v>
      </c>
      <c r="K3260" s="225">
        <v>0</v>
      </c>
      <c r="L32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60" s="225">
        <f>ROUND(IF(AND(Base_Periodo1[[#This Row],[Tipo_Linha]]="-",Base_Periodo1[[#This Row],[TIPOSALDO]]="D"),Base_Periodo1[[#This Row],[SALDO_ATUAL]]*-1,Base_Periodo1[[#This Row],[SALDO_ATUAL]]),4)</f>
        <v>0</v>
      </c>
      <c r="N3260" t="s">
        <v>116</v>
      </c>
      <c r="O3260" t="s">
        <v>436</v>
      </c>
      <c r="P3260" t="s">
        <v>436</v>
      </c>
      <c r="Q3260">
        <v>7</v>
      </c>
      <c r="R3260" s="225">
        <f>Base_Periodo1[[#This Row],[CREDITOS]]-Base_Periodo1[[#This Row],[DEBITOS]]</f>
        <v>0</v>
      </c>
      <c r="S3260" s="3" t="str">
        <f>IF(ISERROR(VLOOKUP(Base_Periodo1[[#This Row],[CONTA]],BaseContasDRE[#All],4,FALSE)),"Fora do DRE",VLOOKUP(Base_Periodo1[[#This Row],[CONTA]],BaseContasDRE[#All],4,FALSE))</f>
        <v>Fora do DRE</v>
      </c>
      <c r="T3260" s="3" t="str">
        <f>IF(ISERROR(VLOOKUP(Base_Periodo1[[#This Row],[CONTA]],BaseContasDRE[#All],5,FALSE)),"Fora do DRE",VLOOKUP(Base_Periodo1[[#This Row],[CONTA]],BaseContasDRE[#All],6,FALSE))</f>
        <v>Fora do DRE</v>
      </c>
      <c r="U3260" s="3" t="str">
        <f>IF(ISERROR(VLOOKUP(Base_Periodo1[[#This Row],[CONTA]],BaseContasDRE[#All],7,FALSE)),"Fora do DRE",VLOOKUP(Base_Periodo1[[#This Row],[CONTA]],BaseContasDRE[#All],7,FALSE))</f>
        <v>Fora do DRE</v>
      </c>
      <c r="V3260" s="3" t="str">
        <f>IF(Base_Periodo1[[#This Row],[Tipo_Linha]]="Fora do DRE","Fora do DRE","( "&amp;Base_Periodo1[[#This Row],[Tipo_Linha]]&amp;" ) "&amp;Base_Periodo1[[#This Row],[Filtro]])</f>
        <v>Fora do DRE</v>
      </c>
      <c r="W3260" s="3" t="str">
        <f>LEFT(Base_Periodo1[[#This Row],[CLASS]],3)</f>
        <v>2.1</v>
      </c>
    </row>
    <row r="3261" spans="1:23" hidden="1">
      <c r="A3261" s="3" t="str">
        <f t="shared" si="50"/>
        <v>Período 1</v>
      </c>
      <c r="B3261">
        <v>57197</v>
      </c>
      <c r="C3261" t="s">
        <v>2010</v>
      </c>
      <c r="D3261" t="s">
        <v>6418</v>
      </c>
      <c r="E3261" s="3" t="str">
        <f>IF(LEN(Base_Periodo1[[#This Row],[CLASS]])&gt;=7,LEFT(Base_Periodo1[[#This Row],[CLASS]],7),"")</f>
        <v>2.1.2.2</v>
      </c>
      <c r="F3261" s="3" t="str">
        <f>VLOOKUP(Base_Periodo1[[#This Row],[Aux]],Base_Contas_Balanco[#All],2,FALSE)</f>
        <v>Fornecedores Não Cooperados</v>
      </c>
      <c r="G3261" s="1">
        <v>42865</v>
      </c>
      <c r="I3261" s="225">
        <v>6100</v>
      </c>
      <c r="J3261" s="225">
        <v>6100</v>
      </c>
      <c r="K3261" s="225">
        <v>0</v>
      </c>
      <c r="L32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61" s="225">
        <f>ROUND(IF(AND(Base_Periodo1[[#This Row],[Tipo_Linha]]="-",Base_Periodo1[[#This Row],[TIPOSALDO]]="D"),Base_Periodo1[[#This Row],[SALDO_ATUAL]]*-1,Base_Periodo1[[#This Row],[SALDO_ATUAL]]),4)</f>
        <v>0</v>
      </c>
      <c r="N3261" t="s">
        <v>116</v>
      </c>
      <c r="O3261" t="s">
        <v>436</v>
      </c>
      <c r="P3261" t="s">
        <v>436</v>
      </c>
      <c r="Q3261">
        <v>7</v>
      </c>
      <c r="R3261" s="225">
        <f>Base_Periodo1[[#This Row],[CREDITOS]]-Base_Periodo1[[#This Row],[DEBITOS]]</f>
        <v>0</v>
      </c>
      <c r="S3261" s="3" t="str">
        <f>IF(ISERROR(VLOOKUP(Base_Periodo1[[#This Row],[CONTA]],BaseContasDRE[#All],4,FALSE)),"Fora do DRE",VLOOKUP(Base_Periodo1[[#This Row],[CONTA]],BaseContasDRE[#All],4,FALSE))</f>
        <v>Fora do DRE</v>
      </c>
      <c r="T3261" s="3" t="str">
        <f>IF(ISERROR(VLOOKUP(Base_Periodo1[[#This Row],[CONTA]],BaseContasDRE[#All],5,FALSE)),"Fora do DRE",VLOOKUP(Base_Periodo1[[#This Row],[CONTA]],BaseContasDRE[#All],6,FALSE))</f>
        <v>Fora do DRE</v>
      </c>
      <c r="U3261" s="3" t="str">
        <f>IF(ISERROR(VLOOKUP(Base_Periodo1[[#This Row],[CONTA]],BaseContasDRE[#All],7,FALSE)),"Fora do DRE",VLOOKUP(Base_Periodo1[[#This Row],[CONTA]],BaseContasDRE[#All],7,FALSE))</f>
        <v>Fora do DRE</v>
      </c>
      <c r="V3261" s="3" t="str">
        <f>IF(Base_Periodo1[[#This Row],[Tipo_Linha]]="Fora do DRE","Fora do DRE","( "&amp;Base_Periodo1[[#This Row],[Tipo_Linha]]&amp;" ) "&amp;Base_Periodo1[[#This Row],[Filtro]])</f>
        <v>Fora do DRE</v>
      </c>
      <c r="W3261" s="3" t="str">
        <f>LEFT(Base_Periodo1[[#This Row],[CLASS]],3)</f>
        <v>2.1</v>
      </c>
    </row>
    <row r="3262" spans="1:23" hidden="1">
      <c r="A3262" s="3" t="str">
        <f t="shared" si="50"/>
        <v>Período 1</v>
      </c>
      <c r="B3262">
        <v>31615</v>
      </c>
      <c r="C3262" t="s">
        <v>2010</v>
      </c>
      <c r="D3262" t="s">
        <v>6906</v>
      </c>
      <c r="E3262" s="3" t="str">
        <f>IF(LEN(Base_Periodo1[[#This Row],[CLASS]])&gt;=7,LEFT(Base_Periodo1[[#This Row],[CLASS]],7),"")</f>
        <v>2.1.2.2</v>
      </c>
      <c r="F3262" s="3" t="str">
        <f>VLOOKUP(Base_Periodo1[[#This Row],[Aux]],Base_Contas_Balanco[#All],2,FALSE)</f>
        <v>Fornecedores Não Cooperados</v>
      </c>
      <c r="G3262" s="1">
        <v>42877</v>
      </c>
      <c r="I3262" s="225">
        <v>780</v>
      </c>
      <c r="J3262" s="225">
        <v>780</v>
      </c>
      <c r="K3262" s="225">
        <v>0</v>
      </c>
      <c r="L32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62" s="225">
        <f>ROUND(IF(AND(Base_Periodo1[[#This Row],[Tipo_Linha]]="-",Base_Periodo1[[#This Row],[TIPOSALDO]]="D"),Base_Periodo1[[#This Row],[SALDO_ATUAL]]*-1,Base_Periodo1[[#This Row],[SALDO_ATUAL]]),4)</f>
        <v>0</v>
      </c>
      <c r="N3262" t="s">
        <v>116</v>
      </c>
      <c r="O3262" t="s">
        <v>436</v>
      </c>
      <c r="P3262" t="s">
        <v>436</v>
      </c>
      <c r="Q3262">
        <v>7</v>
      </c>
      <c r="R3262" s="225">
        <f>Base_Periodo1[[#This Row],[CREDITOS]]-Base_Periodo1[[#This Row],[DEBITOS]]</f>
        <v>0</v>
      </c>
      <c r="S3262" s="3" t="str">
        <f>IF(ISERROR(VLOOKUP(Base_Periodo1[[#This Row],[CONTA]],BaseContasDRE[#All],4,FALSE)),"Fora do DRE",VLOOKUP(Base_Periodo1[[#This Row],[CONTA]],BaseContasDRE[#All],4,FALSE))</f>
        <v>Fora do DRE</v>
      </c>
      <c r="T3262" s="3" t="str">
        <f>IF(ISERROR(VLOOKUP(Base_Periodo1[[#This Row],[CONTA]],BaseContasDRE[#All],5,FALSE)),"Fora do DRE",VLOOKUP(Base_Periodo1[[#This Row],[CONTA]],BaseContasDRE[#All],6,FALSE))</f>
        <v>Fora do DRE</v>
      </c>
      <c r="U3262" s="3" t="str">
        <f>IF(ISERROR(VLOOKUP(Base_Periodo1[[#This Row],[CONTA]],BaseContasDRE[#All],7,FALSE)),"Fora do DRE",VLOOKUP(Base_Periodo1[[#This Row],[CONTA]],BaseContasDRE[#All],7,FALSE))</f>
        <v>Fora do DRE</v>
      </c>
      <c r="V3262" s="3" t="str">
        <f>IF(Base_Periodo1[[#This Row],[Tipo_Linha]]="Fora do DRE","Fora do DRE","( "&amp;Base_Periodo1[[#This Row],[Tipo_Linha]]&amp;" ) "&amp;Base_Periodo1[[#This Row],[Filtro]])</f>
        <v>Fora do DRE</v>
      </c>
      <c r="W3262" s="3" t="str">
        <f>LEFT(Base_Periodo1[[#This Row],[CLASS]],3)</f>
        <v>2.1</v>
      </c>
    </row>
    <row r="3263" spans="1:23" hidden="1">
      <c r="A3263" s="3" t="str">
        <f t="shared" si="50"/>
        <v>Período 1</v>
      </c>
      <c r="B3263">
        <v>35377</v>
      </c>
      <c r="C3263" t="s">
        <v>2010</v>
      </c>
      <c r="D3263" t="s">
        <v>6419</v>
      </c>
      <c r="E3263" s="3" t="str">
        <f>IF(LEN(Base_Periodo1[[#This Row],[CLASS]])&gt;=7,LEFT(Base_Periodo1[[#This Row],[CLASS]],7),"")</f>
        <v>2.1.2.2</v>
      </c>
      <c r="F3263" s="3" t="str">
        <f>VLOOKUP(Base_Periodo1[[#This Row],[Aux]],Base_Contas_Balanco[#All],2,FALSE)</f>
        <v>Fornecedores Não Cooperados</v>
      </c>
      <c r="G3263" s="1">
        <v>42880</v>
      </c>
      <c r="H3263" s="225">
        <v>564000</v>
      </c>
      <c r="I3263" s="225">
        <v>812000</v>
      </c>
      <c r="J3263" s="225">
        <v>248000</v>
      </c>
      <c r="K3263" s="225">
        <v>0</v>
      </c>
      <c r="L32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63" s="225">
        <f>ROUND(IF(AND(Base_Periodo1[[#This Row],[Tipo_Linha]]="-",Base_Periodo1[[#This Row],[TIPOSALDO]]="D"),Base_Periodo1[[#This Row],[SALDO_ATUAL]]*-1,Base_Periodo1[[#This Row],[SALDO_ATUAL]]),4)</f>
        <v>0</v>
      </c>
      <c r="N3263" t="s">
        <v>116</v>
      </c>
      <c r="O3263" t="s">
        <v>459</v>
      </c>
      <c r="P3263" t="s">
        <v>436</v>
      </c>
      <c r="Q3263">
        <v>7</v>
      </c>
      <c r="R3263" s="225">
        <f>Base_Periodo1[[#This Row],[CREDITOS]]-Base_Periodo1[[#This Row],[DEBITOS]]</f>
        <v>-564000</v>
      </c>
      <c r="S3263" s="3" t="str">
        <f>IF(ISERROR(VLOOKUP(Base_Periodo1[[#This Row],[CONTA]],BaseContasDRE[#All],4,FALSE)),"Fora do DRE",VLOOKUP(Base_Periodo1[[#This Row],[CONTA]],BaseContasDRE[#All],4,FALSE))</f>
        <v>Fora do DRE</v>
      </c>
      <c r="T3263" s="3" t="str">
        <f>IF(ISERROR(VLOOKUP(Base_Periodo1[[#This Row],[CONTA]],BaseContasDRE[#All],5,FALSE)),"Fora do DRE",VLOOKUP(Base_Periodo1[[#This Row],[CONTA]],BaseContasDRE[#All],6,FALSE))</f>
        <v>Fora do DRE</v>
      </c>
      <c r="U3263" s="3" t="str">
        <f>IF(ISERROR(VLOOKUP(Base_Periodo1[[#This Row],[CONTA]],BaseContasDRE[#All],7,FALSE)),"Fora do DRE",VLOOKUP(Base_Periodo1[[#This Row],[CONTA]],BaseContasDRE[#All],7,FALSE))</f>
        <v>Fora do DRE</v>
      </c>
      <c r="V3263" s="3" t="str">
        <f>IF(Base_Periodo1[[#This Row],[Tipo_Linha]]="Fora do DRE","Fora do DRE","( "&amp;Base_Periodo1[[#This Row],[Tipo_Linha]]&amp;" ) "&amp;Base_Periodo1[[#This Row],[Filtro]])</f>
        <v>Fora do DRE</v>
      </c>
      <c r="W3263" s="3" t="str">
        <f>LEFT(Base_Periodo1[[#This Row],[CLASS]],3)</f>
        <v>2.1</v>
      </c>
    </row>
    <row r="3264" spans="1:23" hidden="1">
      <c r="A3264" s="3" t="str">
        <f t="shared" si="50"/>
        <v>Período 1</v>
      </c>
      <c r="B3264">
        <v>54195</v>
      </c>
      <c r="C3264" t="s">
        <v>2010</v>
      </c>
      <c r="D3264" t="s">
        <v>6907</v>
      </c>
      <c r="E3264" s="3" t="str">
        <f>IF(LEN(Base_Periodo1[[#This Row],[CLASS]])&gt;=7,LEFT(Base_Periodo1[[#This Row],[CLASS]],7),"")</f>
        <v>2.1.2.2</v>
      </c>
      <c r="F3264" s="3" t="str">
        <f>VLOOKUP(Base_Periodo1[[#This Row],[Aux]],Base_Contas_Balanco[#All],2,FALSE)</f>
        <v>Fornecedores Não Cooperados</v>
      </c>
      <c r="G3264" s="1">
        <v>42872</v>
      </c>
      <c r="I3264" s="225">
        <v>840</v>
      </c>
      <c r="J3264" s="225">
        <v>840</v>
      </c>
      <c r="K3264" s="225">
        <v>0</v>
      </c>
      <c r="L32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64" s="225">
        <f>ROUND(IF(AND(Base_Periodo1[[#This Row],[Tipo_Linha]]="-",Base_Periodo1[[#This Row],[TIPOSALDO]]="D"),Base_Periodo1[[#This Row],[SALDO_ATUAL]]*-1,Base_Periodo1[[#This Row],[SALDO_ATUAL]]),4)</f>
        <v>0</v>
      </c>
      <c r="N3264" t="s">
        <v>116</v>
      </c>
      <c r="O3264" t="s">
        <v>436</v>
      </c>
      <c r="P3264" t="s">
        <v>436</v>
      </c>
      <c r="Q3264">
        <v>7</v>
      </c>
      <c r="R3264" s="225">
        <f>Base_Periodo1[[#This Row],[CREDITOS]]-Base_Periodo1[[#This Row],[DEBITOS]]</f>
        <v>0</v>
      </c>
      <c r="S3264" s="3" t="str">
        <f>IF(ISERROR(VLOOKUP(Base_Periodo1[[#This Row],[CONTA]],BaseContasDRE[#All],4,FALSE)),"Fora do DRE",VLOOKUP(Base_Periodo1[[#This Row],[CONTA]],BaseContasDRE[#All],4,FALSE))</f>
        <v>Fora do DRE</v>
      </c>
      <c r="T3264" s="3" t="str">
        <f>IF(ISERROR(VLOOKUP(Base_Periodo1[[#This Row],[CONTA]],BaseContasDRE[#All],5,FALSE)),"Fora do DRE",VLOOKUP(Base_Periodo1[[#This Row],[CONTA]],BaseContasDRE[#All],6,FALSE))</f>
        <v>Fora do DRE</v>
      </c>
      <c r="U3264" s="3" t="str">
        <f>IF(ISERROR(VLOOKUP(Base_Periodo1[[#This Row],[CONTA]],BaseContasDRE[#All],7,FALSE)),"Fora do DRE",VLOOKUP(Base_Periodo1[[#This Row],[CONTA]],BaseContasDRE[#All],7,FALSE))</f>
        <v>Fora do DRE</v>
      </c>
      <c r="V3264" s="3" t="str">
        <f>IF(Base_Periodo1[[#This Row],[Tipo_Linha]]="Fora do DRE","Fora do DRE","( "&amp;Base_Periodo1[[#This Row],[Tipo_Linha]]&amp;" ) "&amp;Base_Periodo1[[#This Row],[Filtro]])</f>
        <v>Fora do DRE</v>
      </c>
      <c r="W3264" s="3" t="str">
        <f>LEFT(Base_Periodo1[[#This Row],[CLASS]],3)</f>
        <v>2.1</v>
      </c>
    </row>
    <row r="3265" spans="1:23" hidden="1">
      <c r="A3265" s="3" t="str">
        <f t="shared" si="50"/>
        <v>Período 1</v>
      </c>
      <c r="B3265">
        <v>53923</v>
      </c>
      <c r="C3265" t="s">
        <v>2010</v>
      </c>
      <c r="D3265" t="s">
        <v>6908</v>
      </c>
      <c r="E3265" s="3" t="str">
        <f>IF(LEN(Base_Periodo1[[#This Row],[CLASS]])&gt;=7,LEFT(Base_Periodo1[[#This Row],[CLASS]],7),"")</f>
        <v>2.1.2.2</v>
      </c>
      <c r="F3265" s="3" t="str">
        <f>VLOOKUP(Base_Periodo1[[#This Row],[Aux]],Base_Contas_Balanco[#All],2,FALSE)</f>
        <v>Fornecedores Não Cooperados</v>
      </c>
      <c r="G3265" s="1">
        <v>42872</v>
      </c>
      <c r="I3265" s="225">
        <v>38666.67</v>
      </c>
      <c r="J3265" s="225">
        <v>38666.67</v>
      </c>
      <c r="K3265" s="225">
        <v>0</v>
      </c>
      <c r="L32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65" s="225">
        <f>ROUND(IF(AND(Base_Periodo1[[#This Row],[Tipo_Linha]]="-",Base_Periodo1[[#This Row],[TIPOSALDO]]="D"),Base_Periodo1[[#This Row],[SALDO_ATUAL]]*-1,Base_Periodo1[[#This Row],[SALDO_ATUAL]]),4)</f>
        <v>0</v>
      </c>
      <c r="N3265" t="s">
        <v>116</v>
      </c>
      <c r="O3265" t="s">
        <v>436</v>
      </c>
      <c r="P3265" t="s">
        <v>436</v>
      </c>
      <c r="Q3265">
        <v>7</v>
      </c>
      <c r="R3265" s="225">
        <f>Base_Periodo1[[#This Row],[CREDITOS]]-Base_Periodo1[[#This Row],[DEBITOS]]</f>
        <v>0</v>
      </c>
      <c r="S3265" s="3" t="str">
        <f>IF(ISERROR(VLOOKUP(Base_Periodo1[[#This Row],[CONTA]],BaseContasDRE[#All],4,FALSE)),"Fora do DRE",VLOOKUP(Base_Periodo1[[#This Row],[CONTA]],BaseContasDRE[#All],4,FALSE))</f>
        <v>Fora do DRE</v>
      </c>
      <c r="T3265" s="3" t="str">
        <f>IF(ISERROR(VLOOKUP(Base_Periodo1[[#This Row],[CONTA]],BaseContasDRE[#All],5,FALSE)),"Fora do DRE",VLOOKUP(Base_Periodo1[[#This Row],[CONTA]],BaseContasDRE[#All],6,FALSE))</f>
        <v>Fora do DRE</v>
      </c>
      <c r="U3265" s="3" t="str">
        <f>IF(ISERROR(VLOOKUP(Base_Periodo1[[#This Row],[CONTA]],BaseContasDRE[#All],7,FALSE)),"Fora do DRE",VLOOKUP(Base_Periodo1[[#This Row],[CONTA]],BaseContasDRE[#All],7,FALSE))</f>
        <v>Fora do DRE</v>
      </c>
      <c r="V3265" s="3" t="str">
        <f>IF(Base_Periodo1[[#This Row],[Tipo_Linha]]="Fora do DRE","Fora do DRE","( "&amp;Base_Periodo1[[#This Row],[Tipo_Linha]]&amp;" ) "&amp;Base_Periodo1[[#This Row],[Filtro]])</f>
        <v>Fora do DRE</v>
      </c>
      <c r="W3265" s="3" t="str">
        <f>LEFT(Base_Periodo1[[#This Row],[CLASS]],3)</f>
        <v>2.1</v>
      </c>
    </row>
    <row r="3266" spans="1:23" hidden="1">
      <c r="A3266" s="3" t="str">
        <f t="shared" si="50"/>
        <v>Período 1</v>
      </c>
      <c r="B3266">
        <v>59113</v>
      </c>
      <c r="C3266" t="s">
        <v>2010</v>
      </c>
      <c r="D3266" t="s">
        <v>6909</v>
      </c>
      <c r="E3266" s="3" t="str">
        <f>IF(LEN(Base_Periodo1[[#This Row],[CLASS]])&gt;=7,LEFT(Base_Periodo1[[#This Row],[CLASS]],7),"")</f>
        <v>2.1.2.2</v>
      </c>
      <c r="F3266" s="3" t="str">
        <f>VLOOKUP(Base_Periodo1[[#This Row],[Aux]],Base_Contas_Balanco[#All],2,FALSE)</f>
        <v>Fornecedores Não Cooperados</v>
      </c>
      <c r="G3266" s="1">
        <v>42885</v>
      </c>
      <c r="I3266" s="225">
        <v>5850</v>
      </c>
      <c r="J3266" s="225">
        <v>5850</v>
      </c>
      <c r="K3266" s="225">
        <v>0</v>
      </c>
      <c r="L32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66" s="225">
        <f>ROUND(IF(AND(Base_Periodo1[[#This Row],[Tipo_Linha]]="-",Base_Periodo1[[#This Row],[TIPOSALDO]]="D"),Base_Periodo1[[#This Row],[SALDO_ATUAL]]*-1,Base_Periodo1[[#This Row],[SALDO_ATUAL]]),4)</f>
        <v>0</v>
      </c>
      <c r="N3266" t="s">
        <v>116</v>
      </c>
      <c r="O3266" t="s">
        <v>436</v>
      </c>
      <c r="P3266" t="s">
        <v>436</v>
      </c>
      <c r="Q3266">
        <v>7</v>
      </c>
      <c r="R3266" s="225">
        <f>Base_Periodo1[[#This Row],[CREDITOS]]-Base_Periodo1[[#This Row],[DEBITOS]]</f>
        <v>0</v>
      </c>
      <c r="S3266" s="3" t="str">
        <f>IF(ISERROR(VLOOKUP(Base_Periodo1[[#This Row],[CONTA]],BaseContasDRE[#All],4,FALSE)),"Fora do DRE",VLOOKUP(Base_Periodo1[[#This Row],[CONTA]],BaseContasDRE[#All],4,FALSE))</f>
        <v>Fora do DRE</v>
      </c>
      <c r="T3266" s="3" t="str">
        <f>IF(ISERROR(VLOOKUP(Base_Periodo1[[#This Row],[CONTA]],BaseContasDRE[#All],5,FALSE)),"Fora do DRE",VLOOKUP(Base_Periodo1[[#This Row],[CONTA]],BaseContasDRE[#All],6,FALSE))</f>
        <v>Fora do DRE</v>
      </c>
      <c r="U3266" s="3" t="str">
        <f>IF(ISERROR(VLOOKUP(Base_Periodo1[[#This Row],[CONTA]],BaseContasDRE[#All],7,FALSE)),"Fora do DRE",VLOOKUP(Base_Periodo1[[#This Row],[CONTA]],BaseContasDRE[#All],7,FALSE))</f>
        <v>Fora do DRE</v>
      </c>
      <c r="V3266" s="3" t="str">
        <f>IF(Base_Periodo1[[#This Row],[Tipo_Linha]]="Fora do DRE","Fora do DRE","( "&amp;Base_Periodo1[[#This Row],[Tipo_Linha]]&amp;" ) "&amp;Base_Periodo1[[#This Row],[Filtro]])</f>
        <v>Fora do DRE</v>
      </c>
      <c r="W3266" s="3" t="str">
        <f>LEFT(Base_Periodo1[[#This Row],[CLASS]],3)</f>
        <v>2.1</v>
      </c>
    </row>
    <row r="3267" spans="1:23" hidden="1">
      <c r="A3267" s="3" t="str">
        <f t="shared" si="50"/>
        <v>Período 1</v>
      </c>
      <c r="B3267">
        <v>51834</v>
      </c>
      <c r="C3267" t="s">
        <v>2010</v>
      </c>
      <c r="D3267" t="s">
        <v>6910</v>
      </c>
      <c r="E3267" s="3" t="str">
        <f>IF(LEN(Base_Periodo1[[#This Row],[CLASS]])&gt;=7,LEFT(Base_Periodo1[[#This Row],[CLASS]],7),"")</f>
        <v>2.1.2.2</v>
      </c>
      <c r="F3267" s="3" t="str">
        <f>VLOOKUP(Base_Periodo1[[#This Row],[Aux]],Base_Contas_Balanco[#All],2,FALSE)</f>
        <v>Fornecedores Não Cooperados</v>
      </c>
      <c r="G3267" s="1">
        <v>42878</v>
      </c>
      <c r="I3267" s="225">
        <v>3020</v>
      </c>
      <c r="J3267" s="225">
        <v>3020</v>
      </c>
      <c r="K3267" s="225">
        <v>0</v>
      </c>
      <c r="L32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67" s="225">
        <f>ROUND(IF(AND(Base_Periodo1[[#This Row],[Tipo_Linha]]="-",Base_Periodo1[[#This Row],[TIPOSALDO]]="D"),Base_Periodo1[[#This Row],[SALDO_ATUAL]]*-1,Base_Periodo1[[#This Row],[SALDO_ATUAL]]),4)</f>
        <v>0</v>
      </c>
      <c r="N3267" t="s">
        <v>116</v>
      </c>
      <c r="O3267" t="s">
        <v>436</v>
      </c>
      <c r="P3267" t="s">
        <v>436</v>
      </c>
      <c r="Q3267">
        <v>7</v>
      </c>
      <c r="R3267" s="225">
        <f>Base_Periodo1[[#This Row],[CREDITOS]]-Base_Periodo1[[#This Row],[DEBITOS]]</f>
        <v>0</v>
      </c>
      <c r="S3267" s="3" t="str">
        <f>IF(ISERROR(VLOOKUP(Base_Periodo1[[#This Row],[CONTA]],BaseContasDRE[#All],4,FALSE)),"Fora do DRE",VLOOKUP(Base_Periodo1[[#This Row],[CONTA]],BaseContasDRE[#All],4,FALSE))</f>
        <v>Fora do DRE</v>
      </c>
      <c r="T3267" s="3" t="str">
        <f>IF(ISERROR(VLOOKUP(Base_Periodo1[[#This Row],[CONTA]],BaseContasDRE[#All],5,FALSE)),"Fora do DRE",VLOOKUP(Base_Periodo1[[#This Row],[CONTA]],BaseContasDRE[#All],6,FALSE))</f>
        <v>Fora do DRE</v>
      </c>
      <c r="U3267" s="3" t="str">
        <f>IF(ISERROR(VLOOKUP(Base_Periodo1[[#This Row],[CONTA]],BaseContasDRE[#All],7,FALSE)),"Fora do DRE",VLOOKUP(Base_Periodo1[[#This Row],[CONTA]],BaseContasDRE[#All],7,FALSE))</f>
        <v>Fora do DRE</v>
      </c>
      <c r="V3267" s="3" t="str">
        <f>IF(Base_Periodo1[[#This Row],[Tipo_Linha]]="Fora do DRE","Fora do DRE","( "&amp;Base_Periodo1[[#This Row],[Tipo_Linha]]&amp;" ) "&amp;Base_Periodo1[[#This Row],[Filtro]])</f>
        <v>Fora do DRE</v>
      </c>
      <c r="W3267" s="3" t="str">
        <f>LEFT(Base_Periodo1[[#This Row],[CLASS]],3)</f>
        <v>2.1</v>
      </c>
    </row>
    <row r="3268" spans="1:23" hidden="1">
      <c r="A3268" s="3" t="str">
        <f t="shared" si="50"/>
        <v>Período 1</v>
      </c>
      <c r="B3268">
        <v>57984</v>
      </c>
      <c r="C3268" t="s">
        <v>2010</v>
      </c>
      <c r="D3268" t="s">
        <v>6911</v>
      </c>
      <c r="E3268" s="3" t="str">
        <f>IF(LEN(Base_Periodo1[[#This Row],[CLASS]])&gt;=7,LEFT(Base_Periodo1[[#This Row],[CLASS]],7),"")</f>
        <v>2.1.2.2</v>
      </c>
      <c r="F3268" s="3" t="str">
        <f>VLOOKUP(Base_Periodo1[[#This Row],[Aux]],Base_Contas_Balanco[#All],2,FALSE)</f>
        <v>Fornecedores Não Cooperados</v>
      </c>
      <c r="G3268" s="1">
        <v>42880</v>
      </c>
      <c r="I3268" s="225">
        <v>5691.51</v>
      </c>
      <c r="J3268" s="225">
        <v>5691.51</v>
      </c>
      <c r="K3268" s="225">
        <v>0</v>
      </c>
      <c r="L32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68" s="225">
        <f>ROUND(IF(AND(Base_Periodo1[[#This Row],[Tipo_Linha]]="-",Base_Periodo1[[#This Row],[TIPOSALDO]]="D"),Base_Periodo1[[#This Row],[SALDO_ATUAL]]*-1,Base_Periodo1[[#This Row],[SALDO_ATUAL]]),4)</f>
        <v>0</v>
      </c>
      <c r="N3268" t="s">
        <v>116</v>
      </c>
      <c r="O3268" t="s">
        <v>436</v>
      </c>
      <c r="P3268" t="s">
        <v>436</v>
      </c>
      <c r="Q3268">
        <v>7</v>
      </c>
      <c r="R3268" s="225">
        <f>Base_Periodo1[[#This Row],[CREDITOS]]-Base_Periodo1[[#This Row],[DEBITOS]]</f>
        <v>0</v>
      </c>
      <c r="S3268" s="3" t="str">
        <f>IF(ISERROR(VLOOKUP(Base_Periodo1[[#This Row],[CONTA]],BaseContasDRE[#All],4,FALSE)),"Fora do DRE",VLOOKUP(Base_Periodo1[[#This Row],[CONTA]],BaseContasDRE[#All],4,FALSE))</f>
        <v>Fora do DRE</v>
      </c>
      <c r="T3268" s="3" t="str">
        <f>IF(ISERROR(VLOOKUP(Base_Periodo1[[#This Row],[CONTA]],BaseContasDRE[#All],5,FALSE)),"Fora do DRE",VLOOKUP(Base_Periodo1[[#This Row],[CONTA]],BaseContasDRE[#All],6,FALSE))</f>
        <v>Fora do DRE</v>
      </c>
      <c r="U3268" s="3" t="str">
        <f>IF(ISERROR(VLOOKUP(Base_Periodo1[[#This Row],[CONTA]],BaseContasDRE[#All],7,FALSE)),"Fora do DRE",VLOOKUP(Base_Periodo1[[#This Row],[CONTA]],BaseContasDRE[#All],7,FALSE))</f>
        <v>Fora do DRE</v>
      </c>
      <c r="V3268" s="3" t="str">
        <f>IF(Base_Periodo1[[#This Row],[Tipo_Linha]]="Fora do DRE","Fora do DRE","( "&amp;Base_Periodo1[[#This Row],[Tipo_Linha]]&amp;" ) "&amp;Base_Periodo1[[#This Row],[Filtro]])</f>
        <v>Fora do DRE</v>
      </c>
      <c r="W3268" s="3" t="str">
        <f>LEFT(Base_Periodo1[[#This Row],[CLASS]],3)</f>
        <v>2.1</v>
      </c>
    </row>
    <row r="3269" spans="1:23" hidden="1">
      <c r="A3269" s="3" t="str">
        <f t="shared" si="50"/>
        <v>Período 1</v>
      </c>
      <c r="B3269">
        <v>11671</v>
      </c>
      <c r="C3269" t="s">
        <v>2010</v>
      </c>
      <c r="D3269" t="s">
        <v>6420</v>
      </c>
      <c r="E3269" s="3" t="str">
        <f>IF(LEN(Base_Periodo1[[#This Row],[CLASS]])&gt;=7,LEFT(Base_Periodo1[[#This Row],[CLASS]],7),"")</f>
        <v>2.1.2.2</v>
      </c>
      <c r="F3269" s="3" t="str">
        <f>VLOOKUP(Base_Periodo1[[#This Row],[Aux]],Base_Contas_Balanco[#All],2,FALSE)</f>
        <v>Fornecedores Não Cooperados</v>
      </c>
      <c r="G3269" s="1">
        <v>42863</v>
      </c>
      <c r="I3269" s="225">
        <v>1728</v>
      </c>
      <c r="J3269" s="225">
        <v>1728</v>
      </c>
      <c r="K3269" s="225">
        <v>0</v>
      </c>
      <c r="L32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69" s="225">
        <f>ROUND(IF(AND(Base_Periodo1[[#This Row],[Tipo_Linha]]="-",Base_Periodo1[[#This Row],[TIPOSALDO]]="D"),Base_Periodo1[[#This Row],[SALDO_ATUAL]]*-1,Base_Periodo1[[#This Row],[SALDO_ATUAL]]),4)</f>
        <v>0</v>
      </c>
      <c r="N3269" t="s">
        <v>116</v>
      </c>
      <c r="O3269" t="s">
        <v>436</v>
      </c>
      <c r="P3269" t="s">
        <v>436</v>
      </c>
      <c r="Q3269">
        <v>7</v>
      </c>
      <c r="R3269" s="225">
        <f>Base_Periodo1[[#This Row],[CREDITOS]]-Base_Periodo1[[#This Row],[DEBITOS]]</f>
        <v>0</v>
      </c>
      <c r="S3269" s="3" t="str">
        <f>IF(ISERROR(VLOOKUP(Base_Periodo1[[#This Row],[CONTA]],BaseContasDRE[#All],4,FALSE)),"Fora do DRE",VLOOKUP(Base_Periodo1[[#This Row],[CONTA]],BaseContasDRE[#All],4,FALSE))</f>
        <v>Fora do DRE</v>
      </c>
      <c r="T3269" s="3" t="str">
        <f>IF(ISERROR(VLOOKUP(Base_Periodo1[[#This Row],[CONTA]],BaseContasDRE[#All],5,FALSE)),"Fora do DRE",VLOOKUP(Base_Periodo1[[#This Row],[CONTA]],BaseContasDRE[#All],6,FALSE))</f>
        <v>Fora do DRE</v>
      </c>
      <c r="U3269" s="3" t="str">
        <f>IF(ISERROR(VLOOKUP(Base_Periodo1[[#This Row],[CONTA]],BaseContasDRE[#All],7,FALSE)),"Fora do DRE",VLOOKUP(Base_Periodo1[[#This Row],[CONTA]],BaseContasDRE[#All],7,FALSE))</f>
        <v>Fora do DRE</v>
      </c>
      <c r="V3269" s="3" t="str">
        <f>IF(Base_Periodo1[[#This Row],[Tipo_Linha]]="Fora do DRE","Fora do DRE","( "&amp;Base_Periodo1[[#This Row],[Tipo_Linha]]&amp;" ) "&amp;Base_Periodo1[[#This Row],[Filtro]])</f>
        <v>Fora do DRE</v>
      </c>
      <c r="W3269" s="3" t="str">
        <f>LEFT(Base_Periodo1[[#This Row],[CLASS]],3)</f>
        <v>2.1</v>
      </c>
    </row>
    <row r="3270" spans="1:23" hidden="1">
      <c r="A3270" s="3" t="str">
        <f t="shared" ref="A3270:A3333" si="51">"Período 1"</f>
        <v>Período 1</v>
      </c>
      <c r="B3270">
        <v>59259</v>
      </c>
      <c r="C3270" t="s">
        <v>2010</v>
      </c>
      <c r="D3270" t="s">
        <v>6912</v>
      </c>
      <c r="E3270" s="3" t="str">
        <f>IF(LEN(Base_Periodo1[[#This Row],[CLASS]])&gt;=7,LEFT(Base_Periodo1[[#This Row],[CLASS]],7),"")</f>
        <v>2.1.2.2</v>
      </c>
      <c r="F3270" s="3" t="str">
        <f>VLOOKUP(Base_Periodo1[[#This Row],[Aux]],Base_Contas_Balanco[#All],2,FALSE)</f>
        <v>Fornecedores Não Cooperados</v>
      </c>
      <c r="G3270" s="1">
        <v>42886</v>
      </c>
      <c r="I3270" s="225">
        <v>2817.9</v>
      </c>
      <c r="J3270" s="225">
        <v>2817.9</v>
      </c>
      <c r="K3270" s="225">
        <v>0</v>
      </c>
      <c r="L32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70" s="225">
        <f>ROUND(IF(AND(Base_Periodo1[[#This Row],[Tipo_Linha]]="-",Base_Periodo1[[#This Row],[TIPOSALDO]]="D"),Base_Periodo1[[#This Row],[SALDO_ATUAL]]*-1,Base_Periodo1[[#This Row],[SALDO_ATUAL]]),4)</f>
        <v>0</v>
      </c>
      <c r="N3270" t="s">
        <v>116</v>
      </c>
      <c r="O3270" t="s">
        <v>436</v>
      </c>
      <c r="P3270" t="s">
        <v>436</v>
      </c>
      <c r="Q3270">
        <v>7</v>
      </c>
      <c r="R3270" s="225">
        <f>Base_Periodo1[[#This Row],[CREDITOS]]-Base_Periodo1[[#This Row],[DEBITOS]]</f>
        <v>0</v>
      </c>
      <c r="S3270" s="3" t="str">
        <f>IF(ISERROR(VLOOKUP(Base_Periodo1[[#This Row],[CONTA]],BaseContasDRE[#All],4,FALSE)),"Fora do DRE",VLOOKUP(Base_Periodo1[[#This Row],[CONTA]],BaseContasDRE[#All],4,FALSE))</f>
        <v>Fora do DRE</v>
      </c>
      <c r="T3270" s="3" t="str">
        <f>IF(ISERROR(VLOOKUP(Base_Periodo1[[#This Row],[CONTA]],BaseContasDRE[#All],5,FALSE)),"Fora do DRE",VLOOKUP(Base_Periodo1[[#This Row],[CONTA]],BaseContasDRE[#All],6,FALSE))</f>
        <v>Fora do DRE</v>
      </c>
      <c r="U3270" s="3" t="str">
        <f>IF(ISERROR(VLOOKUP(Base_Periodo1[[#This Row],[CONTA]],BaseContasDRE[#All],7,FALSE)),"Fora do DRE",VLOOKUP(Base_Periodo1[[#This Row],[CONTA]],BaseContasDRE[#All],7,FALSE))</f>
        <v>Fora do DRE</v>
      </c>
      <c r="V3270" s="3" t="str">
        <f>IF(Base_Periodo1[[#This Row],[Tipo_Linha]]="Fora do DRE","Fora do DRE","( "&amp;Base_Periodo1[[#This Row],[Tipo_Linha]]&amp;" ) "&amp;Base_Periodo1[[#This Row],[Filtro]])</f>
        <v>Fora do DRE</v>
      </c>
      <c r="W3270" s="3" t="str">
        <f>LEFT(Base_Periodo1[[#This Row],[CLASS]],3)</f>
        <v>2.1</v>
      </c>
    </row>
    <row r="3271" spans="1:23" hidden="1">
      <c r="A3271" s="3" t="str">
        <f t="shared" si="51"/>
        <v>Período 1</v>
      </c>
      <c r="B3271">
        <v>44948</v>
      </c>
      <c r="C3271" t="s">
        <v>2010</v>
      </c>
      <c r="D3271" t="s">
        <v>529</v>
      </c>
      <c r="E3271" s="3" t="str">
        <f>IF(LEN(Base_Periodo1[[#This Row],[CLASS]])&gt;=7,LEFT(Base_Periodo1[[#This Row],[CLASS]],7),"")</f>
        <v>2.1.2.2</v>
      </c>
      <c r="F3271" s="3" t="str">
        <f>VLOOKUP(Base_Periodo1[[#This Row],[Aux]],Base_Contas_Balanco[#All],2,FALSE)</f>
        <v>Fornecedores Não Cooperados</v>
      </c>
      <c r="G3271" s="1">
        <v>42641</v>
      </c>
      <c r="H3271" s="225">
        <v>927.54000000000087</v>
      </c>
      <c r="I3271" s="225">
        <v>0</v>
      </c>
      <c r="J3271" s="225">
        <v>0</v>
      </c>
      <c r="K3271" s="225">
        <v>927.54000000000087</v>
      </c>
      <c r="L32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927.54</v>
      </c>
      <c r="M3271" s="225">
        <f>ROUND(IF(AND(Base_Periodo1[[#This Row],[Tipo_Linha]]="-",Base_Periodo1[[#This Row],[TIPOSALDO]]="D"),Base_Periodo1[[#This Row],[SALDO_ATUAL]]*-1,Base_Periodo1[[#This Row],[SALDO_ATUAL]]),4)</f>
        <v>927.54</v>
      </c>
      <c r="N3271" t="s">
        <v>116</v>
      </c>
      <c r="O3271" t="s">
        <v>459</v>
      </c>
      <c r="P3271" t="s">
        <v>459</v>
      </c>
      <c r="Q3271">
        <v>7</v>
      </c>
      <c r="R3271" s="225">
        <f>Base_Periodo1[[#This Row],[CREDITOS]]-Base_Periodo1[[#This Row],[DEBITOS]]</f>
        <v>0</v>
      </c>
      <c r="S3271" s="3" t="str">
        <f>IF(ISERROR(VLOOKUP(Base_Periodo1[[#This Row],[CONTA]],BaseContasDRE[#All],4,FALSE)),"Fora do DRE",VLOOKUP(Base_Periodo1[[#This Row],[CONTA]],BaseContasDRE[#All],4,FALSE))</f>
        <v>Fora do DRE</v>
      </c>
      <c r="T3271" s="3" t="str">
        <f>IF(ISERROR(VLOOKUP(Base_Periodo1[[#This Row],[CONTA]],BaseContasDRE[#All],5,FALSE)),"Fora do DRE",VLOOKUP(Base_Periodo1[[#This Row],[CONTA]],BaseContasDRE[#All],6,FALSE))</f>
        <v>Fora do DRE</v>
      </c>
      <c r="U3271" s="3" t="str">
        <f>IF(ISERROR(VLOOKUP(Base_Periodo1[[#This Row],[CONTA]],BaseContasDRE[#All],7,FALSE)),"Fora do DRE",VLOOKUP(Base_Periodo1[[#This Row],[CONTA]],BaseContasDRE[#All],7,FALSE))</f>
        <v>Fora do DRE</v>
      </c>
      <c r="V3271" s="3" t="str">
        <f>IF(Base_Periodo1[[#This Row],[Tipo_Linha]]="Fora do DRE","Fora do DRE","( "&amp;Base_Periodo1[[#This Row],[Tipo_Linha]]&amp;" ) "&amp;Base_Periodo1[[#This Row],[Filtro]])</f>
        <v>Fora do DRE</v>
      </c>
      <c r="W3271" s="3" t="str">
        <f>LEFT(Base_Periodo1[[#This Row],[CLASS]],3)</f>
        <v>2.1</v>
      </c>
    </row>
    <row r="3272" spans="1:23" hidden="1">
      <c r="A3272" s="3" t="str">
        <f t="shared" si="51"/>
        <v>Período 1</v>
      </c>
      <c r="B3272">
        <v>58441</v>
      </c>
      <c r="C3272" t="s">
        <v>2010</v>
      </c>
      <c r="D3272" t="s">
        <v>6421</v>
      </c>
      <c r="E3272" s="3" t="str">
        <f>IF(LEN(Base_Periodo1[[#This Row],[CLASS]])&gt;=7,LEFT(Base_Periodo1[[#This Row],[CLASS]],7),"")</f>
        <v>2.1.2.2</v>
      </c>
      <c r="F3272" s="3" t="str">
        <f>VLOOKUP(Base_Periodo1[[#This Row],[Aux]],Base_Contas_Balanco[#All],2,FALSE)</f>
        <v>Fornecedores Não Cooperados</v>
      </c>
      <c r="G3272" s="1">
        <v>42879</v>
      </c>
      <c r="I3272" s="225">
        <v>3179.8</v>
      </c>
      <c r="J3272" s="225">
        <v>3179.8</v>
      </c>
      <c r="K3272" s="225">
        <v>9.0949470177292824E-13</v>
      </c>
      <c r="L32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72" s="225">
        <f>ROUND(IF(AND(Base_Periodo1[[#This Row],[Tipo_Linha]]="-",Base_Periodo1[[#This Row],[TIPOSALDO]]="D"),Base_Periodo1[[#This Row],[SALDO_ATUAL]]*-1,Base_Periodo1[[#This Row],[SALDO_ATUAL]]),4)</f>
        <v>0</v>
      </c>
      <c r="N3272" t="s">
        <v>116</v>
      </c>
      <c r="O3272" t="s">
        <v>436</v>
      </c>
      <c r="P3272" t="s">
        <v>436</v>
      </c>
      <c r="Q3272">
        <v>7</v>
      </c>
      <c r="R3272" s="225">
        <f>Base_Periodo1[[#This Row],[CREDITOS]]-Base_Periodo1[[#This Row],[DEBITOS]]</f>
        <v>0</v>
      </c>
      <c r="S3272" s="3" t="str">
        <f>IF(ISERROR(VLOOKUP(Base_Periodo1[[#This Row],[CONTA]],BaseContasDRE[#All],4,FALSE)),"Fora do DRE",VLOOKUP(Base_Periodo1[[#This Row],[CONTA]],BaseContasDRE[#All],4,FALSE))</f>
        <v>Fora do DRE</v>
      </c>
      <c r="T3272" s="3" t="str">
        <f>IF(ISERROR(VLOOKUP(Base_Periodo1[[#This Row],[CONTA]],BaseContasDRE[#All],5,FALSE)),"Fora do DRE",VLOOKUP(Base_Periodo1[[#This Row],[CONTA]],BaseContasDRE[#All],6,FALSE))</f>
        <v>Fora do DRE</v>
      </c>
      <c r="U3272" s="3" t="str">
        <f>IF(ISERROR(VLOOKUP(Base_Periodo1[[#This Row],[CONTA]],BaseContasDRE[#All],7,FALSE)),"Fora do DRE",VLOOKUP(Base_Periodo1[[#This Row],[CONTA]],BaseContasDRE[#All],7,FALSE))</f>
        <v>Fora do DRE</v>
      </c>
      <c r="V3272" s="3" t="str">
        <f>IF(Base_Periodo1[[#This Row],[Tipo_Linha]]="Fora do DRE","Fora do DRE","( "&amp;Base_Periodo1[[#This Row],[Tipo_Linha]]&amp;" ) "&amp;Base_Periodo1[[#This Row],[Filtro]])</f>
        <v>Fora do DRE</v>
      </c>
      <c r="W3272" s="3" t="str">
        <f>LEFT(Base_Periodo1[[#This Row],[CLASS]],3)</f>
        <v>2.1</v>
      </c>
    </row>
    <row r="3273" spans="1:23" hidden="1">
      <c r="A3273" s="3" t="str">
        <f t="shared" si="51"/>
        <v>Período 1</v>
      </c>
      <c r="B3273">
        <v>56678</v>
      </c>
      <c r="C3273" t="s">
        <v>2010</v>
      </c>
      <c r="D3273" t="s">
        <v>6422</v>
      </c>
      <c r="E3273" s="3" t="str">
        <f>IF(LEN(Base_Periodo1[[#This Row],[CLASS]])&gt;=7,LEFT(Base_Periodo1[[#This Row],[CLASS]],7),"")</f>
        <v>2.1.2.2</v>
      </c>
      <c r="F3273" s="3" t="str">
        <f>VLOOKUP(Base_Periodo1[[#This Row],[Aux]],Base_Contas_Balanco[#All],2,FALSE)</f>
        <v>Fornecedores Não Cooperados</v>
      </c>
      <c r="G3273" s="1">
        <v>42858</v>
      </c>
      <c r="H3273" s="225">
        <v>72149.039999999994</v>
      </c>
      <c r="I3273" s="225">
        <v>72149.040000000008</v>
      </c>
      <c r="J3273" s="225">
        <v>0</v>
      </c>
      <c r="K3273" s="225">
        <v>1.4551915228366852E-11</v>
      </c>
      <c r="L32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73" s="225">
        <f>ROUND(IF(AND(Base_Periodo1[[#This Row],[Tipo_Linha]]="-",Base_Periodo1[[#This Row],[TIPOSALDO]]="D"),Base_Periodo1[[#This Row],[SALDO_ATUAL]]*-1,Base_Periodo1[[#This Row],[SALDO_ATUAL]]),4)</f>
        <v>0</v>
      </c>
      <c r="N3273" t="s">
        <v>116</v>
      </c>
      <c r="O3273" t="s">
        <v>459</v>
      </c>
      <c r="P3273" t="s">
        <v>436</v>
      </c>
      <c r="Q3273">
        <v>7</v>
      </c>
      <c r="R3273" s="225">
        <f>Base_Periodo1[[#This Row],[CREDITOS]]-Base_Periodo1[[#This Row],[DEBITOS]]</f>
        <v>-72149.040000000008</v>
      </c>
      <c r="S3273" s="3" t="str">
        <f>IF(ISERROR(VLOOKUP(Base_Periodo1[[#This Row],[CONTA]],BaseContasDRE[#All],4,FALSE)),"Fora do DRE",VLOOKUP(Base_Periodo1[[#This Row],[CONTA]],BaseContasDRE[#All],4,FALSE))</f>
        <v>Fora do DRE</v>
      </c>
      <c r="T3273" s="3" t="str">
        <f>IF(ISERROR(VLOOKUP(Base_Periodo1[[#This Row],[CONTA]],BaseContasDRE[#All],5,FALSE)),"Fora do DRE",VLOOKUP(Base_Periodo1[[#This Row],[CONTA]],BaseContasDRE[#All],6,FALSE))</f>
        <v>Fora do DRE</v>
      </c>
      <c r="U3273" s="3" t="str">
        <f>IF(ISERROR(VLOOKUP(Base_Periodo1[[#This Row],[CONTA]],BaseContasDRE[#All],7,FALSE)),"Fora do DRE",VLOOKUP(Base_Periodo1[[#This Row],[CONTA]],BaseContasDRE[#All],7,FALSE))</f>
        <v>Fora do DRE</v>
      </c>
      <c r="V3273" s="3" t="str">
        <f>IF(Base_Periodo1[[#This Row],[Tipo_Linha]]="Fora do DRE","Fora do DRE","( "&amp;Base_Periodo1[[#This Row],[Tipo_Linha]]&amp;" ) "&amp;Base_Periodo1[[#This Row],[Filtro]])</f>
        <v>Fora do DRE</v>
      </c>
      <c r="W3273" s="3" t="str">
        <f>LEFT(Base_Periodo1[[#This Row],[CLASS]],3)</f>
        <v>2.1</v>
      </c>
    </row>
    <row r="3274" spans="1:23" hidden="1">
      <c r="A3274" s="3" t="str">
        <f t="shared" si="51"/>
        <v>Período 1</v>
      </c>
      <c r="B3274">
        <v>27277</v>
      </c>
      <c r="C3274" t="s">
        <v>2010</v>
      </c>
      <c r="D3274" t="s">
        <v>6423</v>
      </c>
      <c r="E3274" s="3" t="str">
        <f>IF(LEN(Base_Periodo1[[#This Row],[CLASS]])&gt;=7,LEFT(Base_Periodo1[[#This Row],[CLASS]],7),"")</f>
        <v>2.1.2.2</v>
      </c>
      <c r="F3274" s="3" t="str">
        <f>VLOOKUP(Base_Periodo1[[#This Row],[Aux]],Base_Contas_Balanco[#All],2,FALSE)</f>
        <v>Fornecedores Não Cooperados</v>
      </c>
      <c r="G3274" s="1">
        <v>42860</v>
      </c>
      <c r="I3274" s="225">
        <v>38147.649999999994</v>
      </c>
      <c r="J3274" s="225">
        <v>38147.65</v>
      </c>
      <c r="K3274" s="225">
        <v>-7.2759576141834259E-12</v>
      </c>
      <c r="L32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74" s="225">
        <f>ROUND(IF(AND(Base_Periodo1[[#This Row],[Tipo_Linha]]="-",Base_Periodo1[[#This Row],[TIPOSALDO]]="D"),Base_Periodo1[[#This Row],[SALDO_ATUAL]]*-1,Base_Periodo1[[#This Row],[SALDO_ATUAL]]),4)</f>
        <v>0</v>
      </c>
      <c r="N3274" t="s">
        <v>116</v>
      </c>
      <c r="O3274" t="s">
        <v>436</v>
      </c>
      <c r="P3274" t="s">
        <v>436</v>
      </c>
      <c r="Q3274">
        <v>7</v>
      </c>
      <c r="R3274" s="225">
        <f>Base_Periodo1[[#This Row],[CREDITOS]]-Base_Periodo1[[#This Row],[DEBITOS]]</f>
        <v>0</v>
      </c>
      <c r="S3274" s="3" t="str">
        <f>IF(ISERROR(VLOOKUP(Base_Periodo1[[#This Row],[CONTA]],BaseContasDRE[#All],4,FALSE)),"Fora do DRE",VLOOKUP(Base_Periodo1[[#This Row],[CONTA]],BaseContasDRE[#All],4,FALSE))</f>
        <v>Fora do DRE</v>
      </c>
      <c r="T3274" s="3" t="str">
        <f>IF(ISERROR(VLOOKUP(Base_Periodo1[[#This Row],[CONTA]],BaseContasDRE[#All],5,FALSE)),"Fora do DRE",VLOOKUP(Base_Periodo1[[#This Row],[CONTA]],BaseContasDRE[#All],6,FALSE))</f>
        <v>Fora do DRE</v>
      </c>
      <c r="U3274" s="3" t="str">
        <f>IF(ISERROR(VLOOKUP(Base_Periodo1[[#This Row],[CONTA]],BaseContasDRE[#All],7,FALSE)),"Fora do DRE",VLOOKUP(Base_Periodo1[[#This Row],[CONTA]],BaseContasDRE[#All],7,FALSE))</f>
        <v>Fora do DRE</v>
      </c>
      <c r="V3274" s="3" t="str">
        <f>IF(Base_Periodo1[[#This Row],[Tipo_Linha]]="Fora do DRE","Fora do DRE","( "&amp;Base_Periodo1[[#This Row],[Tipo_Linha]]&amp;" ) "&amp;Base_Periodo1[[#This Row],[Filtro]])</f>
        <v>Fora do DRE</v>
      </c>
      <c r="W3274" s="3" t="str">
        <f>LEFT(Base_Periodo1[[#This Row],[CLASS]],3)</f>
        <v>2.1</v>
      </c>
    </row>
    <row r="3275" spans="1:23" hidden="1">
      <c r="A3275" s="3" t="str">
        <f t="shared" si="51"/>
        <v>Período 1</v>
      </c>
      <c r="B3275">
        <v>8285</v>
      </c>
      <c r="C3275" t="s">
        <v>2010</v>
      </c>
      <c r="D3275" t="s">
        <v>2015</v>
      </c>
      <c r="E3275" s="3" t="str">
        <f>IF(LEN(Base_Periodo1[[#This Row],[CLASS]])&gt;=7,LEFT(Base_Periodo1[[#This Row],[CLASS]],7),"")</f>
        <v>2.1.2.2</v>
      </c>
      <c r="F3275" s="3" t="str">
        <f>VLOOKUP(Base_Periodo1[[#This Row],[Aux]],Base_Contas_Balanco[#All],2,FALSE)</f>
        <v>Fornecedores Não Cooperados</v>
      </c>
      <c r="G3275" s="1">
        <v>42885</v>
      </c>
      <c r="H3275" s="225">
        <v>64322.709999999963</v>
      </c>
      <c r="I3275" s="225">
        <v>13404.94</v>
      </c>
      <c r="J3275" s="225">
        <v>14817.400000000001</v>
      </c>
      <c r="K3275" s="225">
        <v>65735.169999999955</v>
      </c>
      <c r="L32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65735.17</v>
      </c>
      <c r="M3275" s="225">
        <f>ROUND(IF(AND(Base_Periodo1[[#This Row],[Tipo_Linha]]="-",Base_Periodo1[[#This Row],[TIPOSALDO]]="D"),Base_Periodo1[[#This Row],[SALDO_ATUAL]]*-1,Base_Periodo1[[#This Row],[SALDO_ATUAL]]),4)</f>
        <v>65735.17</v>
      </c>
      <c r="N3275" t="s">
        <v>116</v>
      </c>
      <c r="O3275" t="s">
        <v>459</v>
      </c>
      <c r="P3275" t="s">
        <v>459</v>
      </c>
      <c r="Q3275">
        <v>7</v>
      </c>
      <c r="R3275" s="225">
        <f>Base_Periodo1[[#This Row],[CREDITOS]]-Base_Periodo1[[#This Row],[DEBITOS]]</f>
        <v>1412.4600000000009</v>
      </c>
      <c r="S3275" s="3" t="str">
        <f>IF(ISERROR(VLOOKUP(Base_Periodo1[[#This Row],[CONTA]],BaseContasDRE[#All],4,FALSE)),"Fora do DRE",VLOOKUP(Base_Periodo1[[#This Row],[CONTA]],BaseContasDRE[#All],4,FALSE))</f>
        <v>Fora do DRE</v>
      </c>
      <c r="T3275" s="3" t="str">
        <f>IF(ISERROR(VLOOKUP(Base_Periodo1[[#This Row],[CONTA]],BaseContasDRE[#All],5,FALSE)),"Fora do DRE",VLOOKUP(Base_Periodo1[[#This Row],[CONTA]],BaseContasDRE[#All],6,FALSE))</f>
        <v>Fora do DRE</v>
      </c>
      <c r="U3275" s="3" t="str">
        <f>IF(ISERROR(VLOOKUP(Base_Periodo1[[#This Row],[CONTA]],BaseContasDRE[#All],7,FALSE)),"Fora do DRE",VLOOKUP(Base_Periodo1[[#This Row],[CONTA]],BaseContasDRE[#All],7,FALSE))</f>
        <v>Fora do DRE</v>
      </c>
      <c r="V3275" s="3" t="str">
        <f>IF(Base_Periodo1[[#This Row],[Tipo_Linha]]="Fora do DRE","Fora do DRE","( "&amp;Base_Periodo1[[#This Row],[Tipo_Linha]]&amp;" ) "&amp;Base_Periodo1[[#This Row],[Filtro]])</f>
        <v>Fora do DRE</v>
      </c>
      <c r="W3275" s="3" t="str">
        <f>LEFT(Base_Periodo1[[#This Row],[CLASS]],3)</f>
        <v>2.1</v>
      </c>
    </row>
    <row r="3276" spans="1:23" hidden="1">
      <c r="A3276" s="3" t="str">
        <f t="shared" si="51"/>
        <v>Período 1</v>
      </c>
      <c r="B3276">
        <v>9617</v>
      </c>
      <c r="C3276" t="s">
        <v>2010</v>
      </c>
      <c r="D3276" t="s">
        <v>6913</v>
      </c>
      <c r="E3276" s="3" t="str">
        <f>IF(LEN(Base_Periodo1[[#This Row],[CLASS]])&gt;=7,LEFT(Base_Periodo1[[#This Row],[CLASS]],7),"")</f>
        <v>2.1.2.2</v>
      </c>
      <c r="F3276" s="3" t="str">
        <f>VLOOKUP(Base_Periodo1[[#This Row],[Aux]],Base_Contas_Balanco[#All],2,FALSE)</f>
        <v>Fornecedores Não Cooperados</v>
      </c>
      <c r="G3276" s="1">
        <v>42859</v>
      </c>
      <c r="I3276" s="225">
        <v>6000</v>
      </c>
      <c r="J3276" s="225">
        <v>6000</v>
      </c>
      <c r="K3276" s="225">
        <v>-1.1641532182693481E-10</v>
      </c>
      <c r="L32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76" s="225">
        <f>ROUND(IF(AND(Base_Periodo1[[#This Row],[Tipo_Linha]]="-",Base_Periodo1[[#This Row],[TIPOSALDO]]="D"),Base_Periodo1[[#This Row],[SALDO_ATUAL]]*-1,Base_Periodo1[[#This Row],[SALDO_ATUAL]]),4)</f>
        <v>0</v>
      </c>
      <c r="N3276" t="s">
        <v>116</v>
      </c>
      <c r="O3276" t="s">
        <v>436</v>
      </c>
      <c r="P3276" t="s">
        <v>436</v>
      </c>
      <c r="Q3276">
        <v>7</v>
      </c>
      <c r="R3276" s="225">
        <f>Base_Periodo1[[#This Row],[CREDITOS]]-Base_Periodo1[[#This Row],[DEBITOS]]</f>
        <v>0</v>
      </c>
      <c r="S3276" s="3" t="str">
        <f>IF(ISERROR(VLOOKUP(Base_Periodo1[[#This Row],[CONTA]],BaseContasDRE[#All],4,FALSE)),"Fora do DRE",VLOOKUP(Base_Periodo1[[#This Row],[CONTA]],BaseContasDRE[#All],4,FALSE))</f>
        <v>Fora do DRE</v>
      </c>
      <c r="T3276" s="3" t="str">
        <f>IF(ISERROR(VLOOKUP(Base_Periodo1[[#This Row],[CONTA]],BaseContasDRE[#All],5,FALSE)),"Fora do DRE",VLOOKUP(Base_Periodo1[[#This Row],[CONTA]],BaseContasDRE[#All],6,FALSE))</f>
        <v>Fora do DRE</v>
      </c>
      <c r="U3276" s="3" t="str">
        <f>IF(ISERROR(VLOOKUP(Base_Periodo1[[#This Row],[CONTA]],BaseContasDRE[#All],7,FALSE)),"Fora do DRE",VLOOKUP(Base_Periodo1[[#This Row],[CONTA]],BaseContasDRE[#All],7,FALSE))</f>
        <v>Fora do DRE</v>
      </c>
      <c r="V3276" s="3" t="str">
        <f>IF(Base_Periodo1[[#This Row],[Tipo_Linha]]="Fora do DRE","Fora do DRE","( "&amp;Base_Periodo1[[#This Row],[Tipo_Linha]]&amp;" ) "&amp;Base_Periodo1[[#This Row],[Filtro]])</f>
        <v>Fora do DRE</v>
      </c>
      <c r="W3276" s="3" t="str">
        <f>LEFT(Base_Periodo1[[#This Row],[CLASS]],3)</f>
        <v>2.1</v>
      </c>
    </row>
    <row r="3277" spans="1:23" hidden="1">
      <c r="A3277" s="3" t="str">
        <f t="shared" si="51"/>
        <v>Período 1</v>
      </c>
      <c r="B3277">
        <v>33237</v>
      </c>
      <c r="C3277" t="s">
        <v>2010</v>
      </c>
      <c r="D3277" t="s">
        <v>5228</v>
      </c>
      <c r="E3277" s="3" t="str">
        <f>IF(LEN(Base_Periodo1[[#This Row],[CLASS]])&gt;=7,LEFT(Base_Periodo1[[#This Row],[CLASS]],7),"")</f>
        <v>2.1.2.2</v>
      </c>
      <c r="F3277" s="3" t="str">
        <f>VLOOKUP(Base_Periodo1[[#This Row],[Aux]],Base_Contas_Balanco[#All],2,FALSE)</f>
        <v>Fornecedores Não Cooperados</v>
      </c>
      <c r="G3277" s="1">
        <v>42872</v>
      </c>
      <c r="I3277" s="225">
        <v>275</v>
      </c>
      <c r="J3277" s="225">
        <v>275</v>
      </c>
      <c r="K3277" s="225">
        <v>0</v>
      </c>
      <c r="L32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77" s="225">
        <f>ROUND(IF(AND(Base_Periodo1[[#This Row],[Tipo_Linha]]="-",Base_Periodo1[[#This Row],[TIPOSALDO]]="D"),Base_Periodo1[[#This Row],[SALDO_ATUAL]]*-1,Base_Periodo1[[#This Row],[SALDO_ATUAL]]),4)</f>
        <v>0</v>
      </c>
      <c r="N3277" t="s">
        <v>116</v>
      </c>
      <c r="O3277" t="s">
        <v>436</v>
      </c>
      <c r="P3277" t="s">
        <v>436</v>
      </c>
      <c r="Q3277">
        <v>7</v>
      </c>
      <c r="R3277" s="225">
        <f>Base_Periodo1[[#This Row],[CREDITOS]]-Base_Periodo1[[#This Row],[DEBITOS]]</f>
        <v>0</v>
      </c>
      <c r="S3277" s="3" t="str">
        <f>IF(ISERROR(VLOOKUP(Base_Periodo1[[#This Row],[CONTA]],BaseContasDRE[#All],4,FALSE)),"Fora do DRE",VLOOKUP(Base_Periodo1[[#This Row],[CONTA]],BaseContasDRE[#All],4,FALSE))</f>
        <v>Fora do DRE</v>
      </c>
      <c r="T3277" s="3" t="str">
        <f>IF(ISERROR(VLOOKUP(Base_Periodo1[[#This Row],[CONTA]],BaseContasDRE[#All],5,FALSE)),"Fora do DRE",VLOOKUP(Base_Periodo1[[#This Row],[CONTA]],BaseContasDRE[#All],6,FALSE))</f>
        <v>Fora do DRE</v>
      </c>
      <c r="U3277" s="3" t="str">
        <f>IF(ISERROR(VLOOKUP(Base_Periodo1[[#This Row],[CONTA]],BaseContasDRE[#All],7,FALSE)),"Fora do DRE",VLOOKUP(Base_Periodo1[[#This Row],[CONTA]],BaseContasDRE[#All],7,FALSE))</f>
        <v>Fora do DRE</v>
      </c>
      <c r="V3277" s="3" t="str">
        <f>IF(Base_Periodo1[[#This Row],[Tipo_Linha]]="Fora do DRE","Fora do DRE","( "&amp;Base_Periodo1[[#This Row],[Tipo_Linha]]&amp;" ) "&amp;Base_Periodo1[[#This Row],[Filtro]])</f>
        <v>Fora do DRE</v>
      </c>
      <c r="W3277" s="3" t="str">
        <f>LEFT(Base_Periodo1[[#This Row],[CLASS]],3)</f>
        <v>2.1</v>
      </c>
    </row>
    <row r="3278" spans="1:23" hidden="1">
      <c r="A3278" s="3" t="str">
        <f t="shared" si="51"/>
        <v>Período 1</v>
      </c>
      <c r="B3278">
        <v>43516</v>
      </c>
      <c r="C3278" t="s">
        <v>2010</v>
      </c>
      <c r="D3278" t="s">
        <v>4689</v>
      </c>
      <c r="E3278" s="3" t="str">
        <f>IF(LEN(Base_Periodo1[[#This Row],[CLASS]])&gt;=7,LEFT(Base_Periodo1[[#This Row],[CLASS]],7),"")</f>
        <v>2.1.2.2</v>
      </c>
      <c r="F3278" s="3" t="str">
        <f>VLOOKUP(Base_Periodo1[[#This Row],[Aux]],Base_Contas_Balanco[#All],2,FALSE)</f>
        <v>Fornecedores Não Cooperados</v>
      </c>
      <c r="G3278" s="1"/>
      <c r="H3278" s="225">
        <v>50</v>
      </c>
      <c r="I3278" s="225">
        <v>0</v>
      </c>
      <c r="J3278" s="225">
        <v>0</v>
      </c>
      <c r="K3278" s="225">
        <v>50</v>
      </c>
      <c r="L32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3278" s="225">
        <f>ROUND(IF(AND(Base_Periodo1[[#This Row],[Tipo_Linha]]="-",Base_Periodo1[[#This Row],[TIPOSALDO]]="D"),Base_Periodo1[[#This Row],[SALDO_ATUAL]]*-1,Base_Periodo1[[#This Row],[SALDO_ATUAL]]),4)</f>
        <v>50</v>
      </c>
      <c r="N3278" t="s">
        <v>116</v>
      </c>
      <c r="O3278" t="s">
        <v>459</v>
      </c>
      <c r="P3278" t="s">
        <v>459</v>
      </c>
      <c r="Q3278">
        <v>7</v>
      </c>
      <c r="R3278" s="225">
        <f>Base_Periodo1[[#This Row],[CREDITOS]]-Base_Periodo1[[#This Row],[DEBITOS]]</f>
        <v>0</v>
      </c>
      <c r="S3278" s="3" t="str">
        <f>IF(ISERROR(VLOOKUP(Base_Periodo1[[#This Row],[CONTA]],BaseContasDRE[#All],4,FALSE)),"Fora do DRE",VLOOKUP(Base_Periodo1[[#This Row],[CONTA]],BaseContasDRE[#All],4,FALSE))</f>
        <v>Fora do DRE</v>
      </c>
      <c r="T3278" s="3" t="str">
        <f>IF(ISERROR(VLOOKUP(Base_Periodo1[[#This Row],[CONTA]],BaseContasDRE[#All],5,FALSE)),"Fora do DRE",VLOOKUP(Base_Periodo1[[#This Row],[CONTA]],BaseContasDRE[#All],6,FALSE))</f>
        <v>Fora do DRE</v>
      </c>
      <c r="U3278" s="3" t="str">
        <f>IF(ISERROR(VLOOKUP(Base_Periodo1[[#This Row],[CONTA]],BaseContasDRE[#All],7,FALSE)),"Fora do DRE",VLOOKUP(Base_Periodo1[[#This Row],[CONTA]],BaseContasDRE[#All],7,FALSE))</f>
        <v>Fora do DRE</v>
      </c>
      <c r="V3278" s="3" t="str">
        <f>IF(Base_Periodo1[[#This Row],[Tipo_Linha]]="Fora do DRE","Fora do DRE","( "&amp;Base_Periodo1[[#This Row],[Tipo_Linha]]&amp;" ) "&amp;Base_Periodo1[[#This Row],[Filtro]])</f>
        <v>Fora do DRE</v>
      </c>
      <c r="W3278" s="3" t="str">
        <f>LEFT(Base_Periodo1[[#This Row],[CLASS]],3)</f>
        <v>2.1</v>
      </c>
    </row>
    <row r="3279" spans="1:23" hidden="1">
      <c r="A3279" s="3" t="str">
        <f t="shared" si="51"/>
        <v>Período 1</v>
      </c>
      <c r="B3279">
        <v>55989</v>
      </c>
      <c r="C3279" t="s">
        <v>2010</v>
      </c>
      <c r="D3279" t="s">
        <v>5961</v>
      </c>
      <c r="E3279" s="3" t="str">
        <f>IF(LEN(Base_Periodo1[[#This Row],[CLASS]])&gt;=7,LEFT(Base_Periodo1[[#This Row],[CLASS]],7),"")</f>
        <v>2.1.2.2</v>
      </c>
      <c r="F3279" s="3" t="str">
        <f>VLOOKUP(Base_Periodo1[[#This Row],[Aux]],Base_Contas_Balanco[#All],2,FALSE)</f>
        <v>Fornecedores Não Cooperados</v>
      </c>
      <c r="G3279" s="1">
        <v>42884</v>
      </c>
      <c r="I3279" s="225">
        <v>0</v>
      </c>
      <c r="J3279" s="225">
        <v>1650</v>
      </c>
      <c r="K3279" s="225">
        <v>1650</v>
      </c>
      <c r="L32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1650</v>
      </c>
      <c r="M3279" s="225">
        <f>ROUND(IF(AND(Base_Periodo1[[#This Row],[Tipo_Linha]]="-",Base_Periodo1[[#This Row],[TIPOSALDO]]="D"),Base_Periodo1[[#This Row],[SALDO_ATUAL]]*-1,Base_Periodo1[[#This Row],[SALDO_ATUAL]]),4)</f>
        <v>1650</v>
      </c>
      <c r="N3279" t="s">
        <v>116</v>
      </c>
      <c r="O3279" t="s">
        <v>436</v>
      </c>
      <c r="P3279" t="s">
        <v>459</v>
      </c>
      <c r="Q3279">
        <v>7</v>
      </c>
      <c r="R3279" s="225">
        <f>Base_Periodo1[[#This Row],[CREDITOS]]-Base_Periodo1[[#This Row],[DEBITOS]]</f>
        <v>1650</v>
      </c>
      <c r="S3279" s="3" t="str">
        <f>IF(ISERROR(VLOOKUP(Base_Periodo1[[#This Row],[CONTA]],BaseContasDRE[#All],4,FALSE)),"Fora do DRE",VLOOKUP(Base_Periodo1[[#This Row],[CONTA]],BaseContasDRE[#All],4,FALSE))</f>
        <v>Fora do DRE</v>
      </c>
      <c r="T3279" s="3" t="str">
        <f>IF(ISERROR(VLOOKUP(Base_Periodo1[[#This Row],[CONTA]],BaseContasDRE[#All],5,FALSE)),"Fora do DRE",VLOOKUP(Base_Periodo1[[#This Row],[CONTA]],BaseContasDRE[#All],6,FALSE))</f>
        <v>Fora do DRE</v>
      </c>
      <c r="U3279" s="3" t="str">
        <f>IF(ISERROR(VLOOKUP(Base_Periodo1[[#This Row],[CONTA]],BaseContasDRE[#All],7,FALSE)),"Fora do DRE",VLOOKUP(Base_Periodo1[[#This Row],[CONTA]],BaseContasDRE[#All],7,FALSE))</f>
        <v>Fora do DRE</v>
      </c>
      <c r="V3279" s="3" t="str">
        <f>IF(Base_Periodo1[[#This Row],[Tipo_Linha]]="Fora do DRE","Fora do DRE","( "&amp;Base_Periodo1[[#This Row],[Tipo_Linha]]&amp;" ) "&amp;Base_Periodo1[[#This Row],[Filtro]])</f>
        <v>Fora do DRE</v>
      </c>
      <c r="W3279" s="3" t="str">
        <f>LEFT(Base_Periodo1[[#This Row],[CLASS]],3)</f>
        <v>2.1</v>
      </c>
    </row>
    <row r="3280" spans="1:23" hidden="1">
      <c r="A3280" s="3" t="str">
        <f t="shared" si="51"/>
        <v>Período 1</v>
      </c>
      <c r="B3280">
        <v>4185</v>
      </c>
      <c r="C3280" t="s">
        <v>2010</v>
      </c>
      <c r="D3280" t="s">
        <v>2017</v>
      </c>
      <c r="E3280" s="3" t="str">
        <f>IF(LEN(Base_Periodo1[[#This Row],[CLASS]])&gt;=7,LEFT(Base_Periodo1[[#This Row],[CLASS]],7),"")</f>
        <v>2.1.2.2</v>
      </c>
      <c r="F3280" s="3" t="str">
        <f>VLOOKUP(Base_Periodo1[[#This Row],[Aux]],Base_Contas_Balanco[#All],2,FALSE)</f>
        <v>Fornecedores Não Cooperados</v>
      </c>
      <c r="G3280" s="1">
        <v>42073</v>
      </c>
      <c r="H3280" s="225">
        <v>92.399999999906868</v>
      </c>
      <c r="I3280" s="225">
        <v>0</v>
      </c>
      <c r="J3280" s="225">
        <v>0</v>
      </c>
      <c r="K3280" s="225">
        <v>92.399999999906868</v>
      </c>
      <c r="L32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92.4</v>
      </c>
      <c r="M3280" s="225">
        <f>ROUND(IF(AND(Base_Periodo1[[#This Row],[Tipo_Linha]]="-",Base_Periodo1[[#This Row],[TIPOSALDO]]="D"),Base_Periodo1[[#This Row],[SALDO_ATUAL]]*-1,Base_Periodo1[[#This Row],[SALDO_ATUAL]]),4)</f>
        <v>92.4</v>
      </c>
      <c r="N3280" t="s">
        <v>116</v>
      </c>
      <c r="O3280" t="s">
        <v>459</v>
      </c>
      <c r="P3280" t="s">
        <v>459</v>
      </c>
      <c r="Q3280">
        <v>7</v>
      </c>
      <c r="R3280" s="225">
        <f>Base_Periodo1[[#This Row],[CREDITOS]]-Base_Periodo1[[#This Row],[DEBITOS]]</f>
        <v>0</v>
      </c>
      <c r="S3280" s="3" t="str">
        <f>IF(ISERROR(VLOOKUP(Base_Periodo1[[#This Row],[CONTA]],BaseContasDRE[#All],4,FALSE)),"Fora do DRE",VLOOKUP(Base_Periodo1[[#This Row],[CONTA]],BaseContasDRE[#All],4,FALSE))</f>
        <v>Fora do DRE</v>
      </c>
      <c r="T3280" s="3" t="str">
        <f>IF(ISERROR(VLOOKUP(Base_Periodo1[[#This Row],[CONTA]],BaseContasDRE[#All],5,FALSE)),"Fora do DRE",VLOOKUP(Base_Periodo1[[#This Row],[CONTA]],BaseContasDRE[#All],6,FALSE))</f>
        <v>Fora do DRE</v>
      </c>
      <c r="U3280" s="3" t="str">
        <f>IF(ISERROR(VLOOKUP(Base_Periodo1[[#This Row],[CONTA]],BaseContasDRE[#All],7,FALSE)),"Fora do DRE",VLOOKUP(Base_Periodo1[[#This Row],[CONTA]],BaseContasDRE[#All],7,FALSE))</f>
        <v>Fora do DRE</v>
      </c>
      <c r="V3280" s="3" t="str">
        <f>IF(Base_Periodo1[[#This Row],[Tipo_Linha]]="Fora do DRE","Fora do DRE","( "&amp;Base_Periodo1[[#This Row],[Tipo_Linha]]&amp;" ) "&amp;Base_Periodo1[[#This Row],[Filtro]])</f>
        <v>Fora do DRE</v>
      </c>
      <c r="W3280" s="3" t="str">
        <f>LEFT(Base_Periodo1[[#This Row],[CLASS]],3)</f>
        <v>2.1</v>
      </c>
    </row>
    <row r="3281" spans="1:23" hidden="1">
      <c r="A3281" s="3" t="str">
        <f t="shared" si="51"/>
        <v>Período 1</v>
      </c>
      <c r="B3281">
        <v>38654</v>
      </c>
      <c r="C3281" t="s">
        <v>2010</v>
      </c>
      <c r="D3281" t="s">
        <v>6914</v>
      </c>
      <c r="E3281" s="3" t="str">
        <f>IF(LEN(Base_Periodo1[[#This Row],[CLASS]])&gt;=7,LEFT(Base_Periodo1[[#This Row],[CLASS]],7),"")</f>
        <v>2.1.2.2</v>
      </c>
      <c r="F3281" s="3" t="str">
        <f>VLOOKUP(Base_Periodo1[[#This Row],[Aux]],Base_Contas_Balanco[#All],2,FALSE)</f>
        <v>Fornecedores Não Cooperados</v>
      </c>
      <c r="G3281" s="1">
        <v>42884</v>
      </c>
      <c r="I3281" s="225">
        <v>84742.190000000017</v>
      </c>
      <c r="J3281" s="225">
        <v>84742.19</v>
      </c>
      <c r="K3281" s="225">
        <v>-2.1827872842550278E-10</v>
      </c>
      <c r="L32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81" s="225">
        <f>ROUND(IF(AND(Base_Periodo1[[#This Row],[Tipo_Linha]]="-",Base_Periodo1[[#This Row],[TIPOSALDO]]="D"),Base_Periodo1[[#This Row],[SALDO_ATUAL]]*-1,Base_Periodo1[[#This Row],[SALDO_ATUAL]]),4)</f>
        <v>0</v>
      </c>
      <c r="N3281" t="s">
        <v>116</v>
      </c>
      <c r="O3281" t="s">
        <v>436</v>
      </c>
      <c r="P3281" t="s">
        <v>436</v>
      </c>
      <c r="Q3281">
        <v>7</v>
      </c>
      <c r="R3281" s="225">
        <f>Base_Periodo1[[#This Row],[CREDITOS]]-Base_Periodo1[[#This Row],[DEBITOS]]</f>
        <v>0</v>
      </c>
      <c r="S3281" s="3" t="str">
        <f>IF(ISERROR(VLOOKUP(Base_Periodo1[[#This Row],[CONTA]],BaseContasDRE[#All],4,FALSE)),"Fora do DRE",VLOOKUP(Base_Periodo1[[#This Row],[CONTA]],BaseContasDRE[#All],4,FALSE))</f>
        <v>Fora do DRE</v>
      </c>
      <c r="T3281" s="3" t="str">
        <f>IF(ISERROR(VLOOKUP(Base_Periodo1[[#This Row],[CONTA]],BaseContasDRE[#All],5,FALSE)),"Fora do DRE",VLOOKUP(Base_Periodo1[[#This Row],[CONTA]],BaseContasDRE[#All],6,FALSE))</f>
        <v>Fora do DRE</v>
      </c>
      <c r="U3281" s="3" t="str">
        <f>IF(ISERROR(VLOOKUP(Base_Periodo1[[#This Row],[CONTA]],BaseContasDRE[#All],7,FALSE)),"Fora do DRE",VLOOKUP(Base_Periodo1[[#This Row],[CONTA]],BaseContasDRE[#All],7,FALSE))</f>
        <v>Fora do DRE</v>
      </c>
      <c r="V3281" s="3" t="str">
        <f>IF(Base_Periodo1[[#This Row],[Tipo_Linha]]="Fora do DRE","Fora do DRE","( "&amp;Base_Periodo1[[#This Row],[Tipo_Linha]]&amp;" ) "&amp;Base_Periodo1[[#This Row],[Filtro]])</f>
        <v>Fora do DRE</v>
      </c>
      <c r="W3281" s="3" t="str">
        <f>LEFT(Base_Periodo1[[#This Row],[CLASS]],3)</f>
        <v>2.1</v>
      </c>
    </row>
    <row r="3282" spans="1:23" hidden="1">
      <c r="A3282" s="3" t="str">
        <f t="shared" si="51"/>
        <v>Período 1</v>
      </c>
      <c r="B3282">
        <v>53458</v>
      </c>
      <c r="C3282" t="s">
        <v>2010</v>
      </c>
      <c r="D3282" t="s">
        <v>6915</v>
      </c>
      <c r="E3282" s="3" t="str">
        <f>IF(LEN(Base_Periodo1[[#This Row],[CLASS]])&gt;=7,LEFT(Base_Periodo1[[#This Row],[CLASS]],7),"")</f>
        <v>2.1.2.2</v>
      </c>
      <c r="F3282" s="3" t="str">
        <f>VLOOKUP(Base_Periodo1[[#This Row],[Aux]],Base_Contas_Balanco[#All],2,FALSE)</f>
        <v>Fornecedores Não Cooperados</v>
      </c>
      <c r="G3282" s="1">
        <v>42885</v>
      </c>
      <c r="I3282" s="225">
        <v>5899.5</v>
      </c>
      <c r="J3282" s="225">
        <v>5899.5</v>
      </c>
      <c r="K3282" s="225">
        <v>0</v>
      </c>
      <c r="L32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82" s="225">
        <f>ROUND(IF(AND(Base_Periodo1[[#This Row],[Tipo_Linha]]="-",Base_Periodo1[[#This Row],[TIPOSALDO]]="D"),Base_Periodo1[[#This Row],[SALDO_ATUAL]]*-1,Base_Periodo1[[#This Row],[SALDO_ATUAL]]),4)</f>
        <v>0</v>
      </c>
      <c r="N3282" t="s">
        <v>116</v>
      </c>
      <c r="O3282" t="s">
        <v>436</v>
      </c>
      <c r="P3282" t="s">
        <v>436</v>
      </c>
      <c r="Q3282">
        <v>7</v>
      </c>
      <c r="R3282" s="225">
        <f>Base_Periodo1[[#This Row],[CREDITOS]]-Base_Periodo1[[#This Row],[DEBITOS]]</f>
        <v>0</v>
      </c>
      <c r="S3282" s="3" t="str">
        <f>IF(ISERROR(VLOOKUP(Base_Periodo1[[#This Row],[CONTA]],BaseContasDRE[#All],4,FALSE)),"Fora do DRE",VLOOKUP(Base_Periodo1[[#This Row],[CONTA]],BaseContasDRE[#All],4,FALSE))</f>
        <v>Fora do DRE</v>
      </c>
      <c r="T3282" s="3" t="str">
        <f>IF(ISERROR(VLOOKUP(Base_Periodo1[[#This Row],[CONTA]],BaseContasDRE[#All],5,FALSE)),"Fora do DRE",VLOOKUP(Base_Periodo1[[#This Row],[CONTA]],BaseContasDRE[#All],6,FALSE))</f>
        <v>Fora do DRE</v>
      </c>
      <c r="U3282" s="3" t="str">
        <f>IF(ISERROR(VLOOKUP(Base_Periodo1[[#This Row],[CONTA]],BaseContasDRE[#All],7,FALSE)),"Fora do DRE",VLOOKUP(Base_Periodo1[[#This Row],[CONTA]],BaseContasDRE[#All],7,FALSE))</f>
        <v>Fora do DRE</v>
      </c>
      <c r="V3282" s="3" t="str">
        <f>IF(Base_Periodo1[[#This Row],[Tipo_Linha]]="Fora do DRE","Fora do DRE","( "&amp;Base_Periodo1[[#This Row],[Tipo_Linha]]&amp;" ) "&amp;Base_Periodo1[[#This Row],[Filtro]])</f>
        <v>Fora do DRE</v>
      </c>
      <c r="W3282" s="3" t="str">
        <f>LEFT(Base_Periodo1[[#This Row],[CLASS]],3)</f>
        <v>2.1</v>
      </c>
    </row>
    <row r="3283" spans="1:23" hidden="1">
      <c r="A3283" s="3" t="str">
        <f t="shared" si="51"/>
        <v>Período 1</v>
      </c>
      <c r="B3283">
        <v>39649</v>
      </c>
      <c r="C3283" t="s">
        <v>2010</v>
      </c>
      <c r="D3283" t="s">
        <v>2018</v>
      </c>
      <c r="E3283" s="3" t="str">
        <f>IF(LEN(Base_Periodo1[[#This Row],[CLASS]])&gt;=7,LEFT(Base_Periodo1[[#This Row],[CLASS]],7),"")</f>
        <v>2.1.2.2</v>
      </c>
      <c r="F3283" s="3" t="str">
        <f>VLOOKUP(Base_Periodo1[[#This Row],[Aux]],Base_Contas_Balanco[#All],2,FALSE)</f>
        <v>Fornecedores Não Cooperados</v>
      </c>
      <c r="G3283" s="1">
        <v>42870</v>
      </c>
      <c r="I3283" s="225">
        <v>588</v>
      </c>
      <c r="J3283" s="225">
        <v>588</v>
      </c>
      <c r="K3283" s="225">
        <v>-9.0949470177292824E-13</v>
      </c>
      <c r="L32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83" s="225">
        <f>ROUND(IF(AND(Base_Periodo1[[#This Row],[Tipo_Linha]]="-",Base_Periodo1[[#This Row],[TIPOSALDO]]="D"),Base_Periodo1[[#This Row],[SALDO_ATUAL]]*-1,Base_Periodo1[[#This Row],[SALDO_ATUAL]]),4)</f>
        <v>0</v>
      </c>
      <c r="N3283" t="s">
        <v>116</v>
      </c>
      <c r="O3283" t="s">
        <v>436</v>
      </c>
      <c r="P3283" t="s">
        <v>436</v>
      </c>
      <c r="Q3283">
        <v>7</v>
      </c>
      <c r="R3283" s="225">
        <f>Base_Periodo1[[#This Row],[CREDITOS]]-Base_Periodo1[[#This Row],[DEBITOS]]</f>
        <v>0</v>
      </c>
      <c r="S3283" s="3" t="str">
        <f>IF(ISERROR(VLOOKUP(Base_Periodo1[[#This Row],[CONTA]],BaseContasDRE[#All],4,FALSE)),"Fora do DRE",VLOOKUP(Base_Periodo1[[#This Row],[CONTA]],BaseContasDRE[#All],4,FALSE))</f>
        <v>Fora do DRE</v>
      </c>
      <c r="T3283" s="3" t="str">
        <f>IF(ISERROR(VLOOKUP(Base_Periodo1[[#This Row],[CONTA]],BaseContasDRE[#All],5,FALSE)),"Fora do DRE",VLOOKUP(Base_Periodo1[[#This Row],[CONTA]],BaseContasDRE[#All],6,FALSE))</f>
        <v>Fora do DRE</v>
      </c>
      <c r="U3283" s="3" t="str">
        <f>IF(ISERROR(VLOOKUP(Base_Periodo1[[#This Row],[CONTA]],BaseContasDRE[#All],7,FALSE)),"Fora do DRE",VLOOKUP(Base_Periodo1[[#This Row],[CONTA]],BaseContasDRE[#All],7,FALSE))</f>
        <v>Fora do DRE</v>
      </c>
      <c r="V3283" s="3" t="str">
        <f>IF(Base_Periodo1[[#This Row],[Tipo_Linha]]="Fora do DRE","Fora do DRE","( "&amp;Base_Periodo1[[#This Row],[Tipo_Linha]]&amp;" ) "&amp;Base_Periodo1[[#This Row],[Filtro]])</f>
        <v>Fora do DRE</v>
      </c>
      <c r="W3283" s="3" t="str">
        <f>LEFT(Base_Periodo1[[#This Row],[CLASS]],3)</f>
        <v>2.1</v>
      </c>
    </row>
    <row r="3284" spans="1:23" hidden="1">
      <c r="A3284" s="3" t="str">
        <f t="shared" si="51"/>
        <v>Período 1</v>
      </c>
      <c r="B3284">
        <v>2193</v>
      </c>
      <c r="C3284" t="s">
        <v>2010</v>
      </c>
      <c r="D3284" t="s">
        <v>2019</v>
      </c>
      <c r="E3284" s="3" t="str">
        <f>IF(LEN(Base_Periodo1[[#This Row],[CLASS]])&gt;=7,LEFT(Base_Periodo1[[#This Row],[CLASS]],7),"")</f>
        <v>2.1.2.2</v>
      </c>
      <c r="F3284" s="3" t="str">
        <f>VLOOKUP(Base_Periodo1[[#This Row],[Aux]],Base_Contas_Balanco[#All],2,FALSE)</f>
        <v>Fornecedores Não Cooperados</v>
      </c>
      <c r="G3284" s="1">
        <v>42871</v>
      </c>
      <c r="I3284" s="225">
        <v>94.5</v>
      </c>
      <c r="J3284" s="225">
        <v>94.5</v>
      </c>
      <c r="K3284" s="225">
        <v>0</v>
      </c>
      <c r="L32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84" s="225">
        <f>ROUND(IF(AND(Base_Periodo1[[#This Row],[Tipo_Linha]]="-",Base_Periodo1[[#This Row],[TIPOSALDO]]="D"),Base_Periodo1[[#This Row],[SALDO_ATUAL]]*-1,Base_Periodo1[[#This Row],[SALDO_ATUAL]]),4)</f>
        <v>0</v>
      </c>
      <c r="N3284" t="s">
        <v>116</v>
      </c>
      <c r="O3284" t="s">
        <v>436</v>
      </c>
      <c r="P3284" t="s">
        <v>436</v>
      </c>
      <c r="Q3284">
        <v>7</v>
      </c>
      <c r="R3284" s="225">
        <f>Base_Periodo1[[#This Row],[CREDITOS]]-Base_Periodo1[[#This Row],[DEBITOS]]</f>
        <v>0</v>
      </c>
      <c r="S3284" s="3" t="str">
        <f>IF(ISERROR(VLOOKUP(Base_Periodo1[[#This Row],[CONTA]],BaseContasDRE[#All],4,FALSE)),"Fora do DRE",VLOOKUP(Base_Periodo1[[#This Row],[CONTA]],BaseContasDRE[#All],4,FALSE))</f>
        <v>Fora do DRE</v>
      </c>
      <c r="T3284" s="3" t="str">
        <f>IF(ISERROR(VLOOKUP(Base_Periodo1[[#This Row],[CONTA]],BaseContasDRE[#All],5,FALSE)),"Fora do DRE",VLOOKUP(Base_Periodo1[[#This Row],[CONTA]],BaseContasDRE[#All],6,FALSE))</f>
        <v>Fora do DRE</v>
      </c>
      <c r="U3284" s="3" t="str">
        <f>IF(ISERROR(VLOOKUP(Base_Periodo1[[#This Row],[CONTA]],BaseContasDRE[#All],7,FALSE)),"Fora do DRE",VLOOKUP(Base_Periodo1[[#This Row],[CONTA]],BaseContasDRE[#All],7,FALSE))</f>
        <v>Fora do DRE</v>
      </c>
      <c r="V3284" s="3" t="str">
        <f>IF(Base_Periodo1[[#This Row],[Tipo_Linha]]="Fora do DRE","Fora do DRE","( "&amp;Base_Periodo1[[#This Row],[Tipo_Linha]]&amp;" ) "&amp;Base_Periodo1[[#This Row],[Filtro]])</f>
        <v>Fora do DRE</v>
      </c>
      <c r="W3284" s="3" t="str">
        <f>LEFT(Base_Periodo1[[#This Row],[CLASS]],3)</f>
        <v>2.1</v>
      </c>
    </row>
    <row r="3285" spans="1:23" hidden="1">
      <c r="A3285" s="3" t="str">
        <f t="shared" si="51"/>
        <v>Período 1</v>
      </c>
      <c r="B3285">
        <v>58562</v>
      </c>
      <c r="C3285" t="s">
        <v>2010</v>
      </c>
      <c r="D3285" t="s">
        <v>6916</v>
      </c>
      <c r="E3285" s="3" t="str">
        <f>IF(LEN(Base_Periodo1[[#This Row],[CLASS]])&gt;=7,LEFT(Base_Periodo1[[#This Row],[CLASS]],7),"")</f>
        <v>2.1.2.2</v>
      </c>
      <c r="F3285" s="3" t="str">
        <f>VLOOKUP(Base_Periodo1[[#This Row],[Aux]],Base_Contas_Balanco[#All],2,FALSE)</f>
        <v>Fornecedores Não Cooperados</v>
      </c>
      <c r="G3285" s="1">
        <v>42871</v>
      </c>
      <c r="I3285" s="225">
        <v>58.5</v>
      </c>
      <c r="J3285" s="225">
        <v>58.5</v>
      </c>
      <c r="K3285" s="225">
        <v>0</v>
      </c>
      <c r="L32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85" s="225">
        <f>ROUND(IF(AND(Base_Periodo1[[#This Row],[Tipo_Linha]]="-",Base_Periodo1[[#This Row],[TIPOSALDO]]="D"),Base_Periodo1[[#This Row],[SALDO_ATUAL]]*-1,Base_Periodo1[[#This Row],[SALDO_ATUAL]]),4)</f>
        <v>0</v>
      </c>
      <c r="N3285" t="s">
        <v>116</v>
      </c>
      <c r="O3285" t="s">
        <v>436</v>
      </c>
      <c r="P3285" t="s">
        <v>436</v>
      </c>
      <c r="Q3285">
        <v>7</v>
      </c>
      <c r="R3285" s="225">
        <f>Base_Periodo1[[#This Row],[CREDITOS]]-Base_Periodo1[[#This Row],[DEBITOS]]</f>
        <v>0</v>
      </c>
      <c r="S3285" s="3" t="str">
        <f>IF(ISERROR(VLOOKUP(Base_Periodo1[[#This Row],[CONTA]],BaseContasDRE[#All],4,FALSE)),"Fora do DRE",VLOOKUP(Base_Periodo1[[#This Row],[CONTA]],BaseContasDRE[#All],4,FALSE))</f>
        <v>Fora do DRE</v>
      </c>
      <c r="T3285" s="3" t="str">
        <f>IF(ISERROR(VLOOKUP(Base_Periodo1[[#This Row],[CONTA]],BaseContasDRE[#All],5,FALSE)),"Fora do DRE",VLOOKUP(Base_Periodo1[[#This Row],[CONTA]],BaseContasDRE[#All],6,FALSE))</f>
        <v>Fora do DRE</v>
      </c>
      <c r="U3285" s="3" t="str">
        <f>IF(ISERROR(VLOOKUP(Base_Periodo1[[#This Row],[CONTA]],BaseContasDRE[#All],7,FALSE)),"Fora do DRE",VLOOKUP(Base_Periodo1[[#This Row],[CONTA]],BaseContasDRE[#All],7,FALSE))</f>
        <v>Fora do DRE</v>
      </c>
      <c r="V3285" s="3" t="str">
        <f>IF(Base_Periodo1[[#This Row],[Tipo_Linha]]="Fora do DRE","Fora do DRE","( "&amp;Base_Periodo1[[#This Row],[Tipo_Linha]]&amp;" ) "&amp;Base_Periodo1[[#This Row],[Filtro]])</f>
        <v>Fora do DRE</v>
      </c>
      <c r="W3285" s="3" t="str">
        <f>LEFT(Base_Periodo1[[#This Row],[CLASS]],3)</f>
        <v>2.1</v>
      </c>
    </row>
    <row r="3286" spans="1:23" hidden="1">
      <c r="A3286" s="3" t="str">
        <f t="shared" si="51"/>
        <v>Período 1</v>
      </c>
      <c r="B3286">
        <v>43888</v>
      </c>
      <c r="C3286" t="s">
        <v>2010</v>
      </c>
      <c r="D3286" t="s">
        <v>4289</v>
      </c>
      <c r="E3286" s="3" t="str">
        <f>IF(LEN(Base_Periodo1[[#This Row],[CLASS]])&gt;=7,LEFT(Base_Periodo1[[#This Row],[CLASS]],7),"")</f>
        <v>2.1.2.2</v>
      </c>
      <c r="F3286" s="3" t="str">
        <f>VLOOKUP(Base_Periodo1[[#This Row],[Aux]],Base_Contas_Balanco[#All],2,FALSE)</f>
        <v>Fornecedores Não Cooperados</v>
      </c>
      <c r="G3286" s="1"/>
      <c r="H3286" s="225">
        <v>50</v>
      </c>
      <c r="I3286" s="225">
        <v>0</v>
      </c>
      <c r="J3286" s="225">
        <v>0</v>
      </c>
      <c r="K3286" s="225">
        <v>50</v>
      </c>
      <c r="L32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3286" s="225">
        <f>ROUND(IF(AND(Base_Periodo1[[#This Row],[Tipo_Linha]]="-",Base_Periodo1[[#This Row],[TIPOSALDO]]="D"),Base_Periodo1[[#This Row],[SALDO_ATUAL]]*-1,Base_Periodo1[[#This Row],[SALDO_ATUAL]]),4)</f>
        <v>50</v>
      </c>
      <c r="N3286" t="s">
        <v>116</v>
      </c>
      <c r="O3286" t="s">
        <v>459</v>
      </c>
      <c r="P3286" t="s">
        <v>459</v>
      </c>
      <c r="Q3286">
        <v>7</v>
      </c>
      <c r="R3286" s="225">
        <f>Base_Periodo1[[#This Row],[CREDITOS]]-Base_Periodo1[[#This Row],[DEBITOS]]</f>
        <v>0</v>
      </c>
      <c r="S3286" s="3" t="str">
        <f>IF(ISERROR(VLOOKUP(Base_Periodo1[[#This Row],[CONTA]],BaseContasDRE[#All],4,FALSE)),"Fora do DRE",VLOOKUP(Base_Periodo1[[#This Row],[CONTA]],BaseContasDRE[#All],4,FALSE))</f>
        <v>Fora do DRE</v>
      </c>
      <c r="T3286" s="3" t="str">
        <f>IF(ISERROR(VLOOKUP(Base_Periodo1[[#This Row],[CONTA]],BaseContasDRE[#All],5,FALSE)),"Fora do DRE",VLOOKUP(Base_Periodo1[[#This Row],[CONTA]],BaseContasDRE[#All],6,FALSE))</f>
        <v>Fora do DRE</v>
      </c>
      <c r="U3286" s="3" t="str">
        <f>IF(ISERROR(VLOOKUP(Base_Periodo1[[#This Row],[CONTA]],BaseContasDRE[#All],7,FALSE)),"Fora do DRE",VLOOKUP(Base_Periodo1[[#This Row],[CONTA]],BaseContasDRE[#All],7,FALSE))</f>
        <v>Fora do DRE</v>
      </c>
      <c r="V3286" s="3" t="str">
        <f>IF(Base_Periodo1[[#This Row],[Tipo_Linha]]="Fora do DRE","Fora do DRE","( "&amp;Base_Periodo1[[#This Row],[Tipo_Linha]]&amp;" ) "&amp;Base_Periodo1[[#This Row],[Filtro]])</f>
        <v>Fora do DRE</v>
      </c>
      <c r="W3286" s="3" t="str">
        <f>LEFT(Base_Periodo1[[#This Row],[CLASS]],3)</f>
        <v>2.1</v>
      </c>
    </row>
    <row r="3287" spans="1:23" hidden="1">
      <c r="A3287" s="3" t="str">
        <f t="shared" si="51"/>
        <v>Período 1</v>
      </c>
      <c r="B3287">
        <v>57133</v>
      </c>
      <c r="C3287" t="s">
        <v>2010</v>
      </c>
      <c r="D3287" t="s">
        <v>6116</v>
      </c>
      <c r="E3287" s="3" t="str">
        <f>IF(LEN(Base_Periodo1[[#This Row],[CLASS]])&gt;=7,LEFT(Base_Periodo1[[#This Row],[CLASS]],7),"")</f>
        <v>2.1.2.2</v>
      </c>
      <c r="F3287" s="3" t="str">
        <f>VLOOKUP(Base_Periodo1[[#This Row],[Aux]],Base_Contas_Balanco[#All],2,FALSE)</f>
        <v>Fornecedores Não Cooperados</v>
      </c>
      <c r="G3287" s="1">
        <v>42825</v>
      </c>
      <c r="H3287" s="225">
        <v>50</v>
      </c>
      <c r="I3287" s="225">
        <v>0</v>
      </c>
      <c r="J3287" s="225">
        <v>0</v>
      </c>
      <c r="K3287" s="225">
        <v>50</v>
      </c>
      <c r="L32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</v>
      </c>
      <c r="M3287" s="225">
        <f>ROUND(IF(AND(Base_Periodo1[[#This Row],[Tipo_Linha]]="-",Base_Periodo1[[#This Row],[TIPOSALDO]]="D"),Base_Periodo1[[#This Row],[SALDO_ATUAL]]*-1,Base_Periodo1[[#This Row],[SALDO_ATUAL]]),4)</f>
        <v>50</v>
      </c>
      <c r="N3287" t="s">
        <v>116</v>
      </c>
      <c r="O3287" t="s">
        <v>397</v>
      </c>
      <c r="P3287" t="s">
        <v>397</v>
      </c>
      <c r="Q3287">
        <v>7</v>
      </c>
      <c r="R3287" s="225">
        <f>Base_Periodo1[[#This Row],[CREDITOS]]-Base_Periodo1[[#This Row],[DEBITOS]]</f>
        <v>0</v>
      </c>
      <c r="S3287" s="3" t="str">
        <f>IF(ISERROR(VLOOKUP(Base_Periodo1[[#This Row],[CONTA]],BaseContasDRE[#All],4,FALSE)),"Fora do DRE",VLOOKUP(Base_Periodo1[[#This Row],[CONTA]],BaseContasDRE[#All],4,FALSE))</f>
        <v>Fora do DRE</v>
      </c>
      <c r="T3287" s="3" t="str">
        <f>IF(ISERROR(VLOOKUP(Base_Periodo1[[#This Row],[CONTA]],BaseContasDRE[#All],5,FALSE)),"Fora do DRE",VLOOKUP(Base_Periodo1[[#This Row],[CONTA]],BaseContasDRE[#All],6,FALSE))</f>
        <v>Fora do DRE</v>
      </c>
      <c r="U3287" s="3" t="str">
        <f>IF(ISERROR(VLOOKUP(Base_Periodo1[[#This Row],[CONTA]],BaseContasDRE[#All],7,FALSE)),"Fora do DRE",VLOOKUP(Base_Periodo1[[#This Row],[CONTA]],BaseContasDRE[#All],7,FALSE))</f>
        <v>Fora do DRE</v>
      </c>
      <c r="V3287" s="3" t="str">
        <f>IF(Base_Periodo1[[#This Row],[Tipo_Linha]]="Fora do DRE","Fora do DRE","( "&amp;Base_Periodo1[[#This Row],[Tipo_Linha]]&amp;" ) "&amp;Base_Periodo1[[#This Row],[Filtro]])</f>
        <v>Fora do DRE</v>
      </c>
      <c r="W3287" s="3" t="str">
        <f>LEFT(Base_Periodo1[[#This Row],[CLASS]],3)</f>
        <v>2.1</v>
      </c>
    </row>
    <row r="3288" spans="1:23" hidden="1">
      <c r="A3288" s="3" t="str">
        <f t="shared" si="51"/>
        <v>Período 1</v>
      </c>
      <c r="B3288">
        <v>57775</v>
      </c>
      <c r="C3288" t="s">
        <v>2010</v>
      </c>
      <c r="D3288" t="s">
        <v>6917</v>
      </c>
      <c r="E3288" s="3" t="str">
        <f>IF(LEN(Base_Periodo1[[#This Row],[CLASS]])&gt;=7,LEFT(Base_Periodo1[[#This Row],[CLASS]],7),"")</f>
        <v>2.1.2.2</v>
      </c>
      <c r="F3288" s="3" t="str">
        <f>VLOOKUP(Base_Periodo1[[#This Row],[Aux]],Base_Contas_Balanco[#All],2,FALSE)</f>
        <v>Fornecedores Não Cooperados</v>
      </c>
      <c r="G3288" s="1">
        <v>42873</v>
      </c>
      <c r="I3288" s="225">
        <v>928.5</v>
      </c>
      <c r="J3288" s="225">
        <v>928.5</v>
      </c>
      <c r="K3288" s="225">
        <v>0</v>
      </c>
      <c r="L32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88" s="225">
        <f>ROUND(IF(AND(Base_Periodo1[[#This Row],[Tipo_Linha]]="-",Base_Periodo1[[#This Row],[TIPOSALDO]]="D"),Base_Periodo1[[#This Row],[SALDO_ATUAL]]*-1,Base_Periodo1[[#This Row],[SALDO_ATUAL]]),4)</f>
        <v>0</v>
      </c>
      <c r="N3288" t="s">
        <v>116</v>
      </c>
      <c r="O3288" t="s">
        <v>436</v>
      </c>
      <c r="P3288" t="s">
        <v>436</v>
      </c>
      <c r="Q3288">
        <v>7</v>
      </c>
      <c r="R3288" s="225">
        <f>Base_Periodo1[[#This Row],[CREDITOS]]-Base_Periodo1[[#This Row],[DEBITOS]]</f>
        <v>0</v>
      </c>
      <c r="S3288" s="3" t="str">
        <f>IF(ISERROR(VLOOKUP(Base_Periodo1[[#This Row],[CONTA]],BaseContasDRE[#All],4,FALSE)),"Fora do DRE",VLOOKUP(Base_Periodo1[[#This Row],[CONTA]],BaseContasDRE[#All],4,FALSE))</f>
        <v>Fora do DRE</v>
      </c>
      <c r="T3288" s="3" t="str">
        <f>IF(ISERROR(VLOOKUP(Base_Periodo1[[#This Row],[CONTA]],BaseContasDRE[#All],5,FALSE)),"Fora do DRE",VLOOKUP(Base_Periodo1[[#This Row],[CONTA]],BaseContasDRE[#All],6,FALSE))</f>
        <v>Fora do DRE</v>
      </c>
      <c r="U3288" s="3" t="str">
        <f>IF(ISERROR(VLOOKUP(Base_Periodo1[[#This Row],[CONTA]],BaseContasDRE[#All],7,FALSE)),"Fora do DRE",VLOOKUP(Base_Periodo1[[#This Row],[CONTA]],BaseContasDRE[#All],7,FALSE))</f>
        <v>Fora do DRE</v>
      </c>
      <c r="V3288" s="3" t="str">
        <f>IF(Base_Periodo1[[#This Row],[Tipo_Linha]]="Fora do DRE","Fora do DRE","( "&amp;Base_Periodo1[[#This Row],[Tipo_Linha]]&amp;" ) "&amp;Base_Periodo1[[#This Row],[Filtro]])</f>
        <v>Fora do DRE</v>
      </c>
      <c r="W3288" s="3" t="str">
        <f>LEFT(Base_Periodo1[[#This Row],[CLASS]],3)</f>
        <v>2.1</v>
      </c>
    </row>
    <row r="3289" spans="1:23" hidden="1">
      <c r="A3289" s="3" t="str">
        <f t="shared" si="51"/>
        <v>Período 1</v>
      </c>
      <c r="B3289">
        <v>36423</v>
      </c>
      <c r="C3289" t="s">
        <v>2010</v>
      </c>
      <c r="D3289" t="s">
        <v>6918</v>
      </c>
      <c r="E3289" s="3" t="str">
        <f>IF(LEN(Base_Periodo1[[#This Row],[CLASS]])&gt;=7,LEFT(Base_Periodo1[[#This Row],[CLASS]],7),"")</f>
        <v>2.1.2.2</v>
      </c>
      <c r="F3289" s="3" t="str">
        <f>VLOOKUP(Base_Periodo1[[#This Row],[Aux]],Base_Contas_Balanco[#All],2,FALSE)</f>
        <v>Fornecedores Não Cooperados</v>
      </c>
      <c r="G3289" s="1">
        <v>42886</v>
      </c>
      <c r="I3289" s="225">
        <v>100</v>
      </c>
      <c r="J3289" s="225">
        <v>100</v>
      </c>
      <c r="K3289" s="225">
        <v>0</v>
      </c>
      <c r="L32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89" s="225">
        <f>ROUND(IF(AND(Base_Periodo1[[#This Row],[Tipo_Linha]]="-",Base_Periodo1[[#This Row],[TIPOSALDO]]="D"),Base_Periodo1[[#This Row],[SALDO_ATUAL]]*-1,Base_Periodo1[[#This Row],[SALDO_ATUAL]]),4)</f>
        <v>0</v>
      </c>
      <c r="N3289" t="s">
        <v>116</v>
      </c>
      <c r="O3289" t="s">
        <v>436</v>
      </c>
      <c r="P3289" t="s">
        <v>436</v>
      </c>
      <c r="Q3289">
        <v>7</v>
      </c>
      <c r="R3289" s="225">
        <f>Base_Periodo1[[#This Row],[CREDITOS]]-Base_Periodo1[[#This Row],[DEBITOS]]</f>
        <v>0</v>
      </c>
      <c r="S3289" s="3" t="str">
        <f>IF(ISERROR(VLOOKUP(Base_Periodo1[[#This Row],[CONTA]],BaseContasDRE[#All],4,FALSE)),"Fora do DRE",VLOOKUP(Base_Periodo1[[#This Row],[CONTA]],BaseContasDRE[#All],4,FALSE))</f>
        <v>Fora do DRE</v>
      </c>
      <c r="T3289" s="3" t="str">
        <f>IF(ISERROR(VLOOKUP(Base_Periodo1[[#This Row],[CONTA]],BaseContasDRE[#All],5,FALSE)),"Fora do DRE",VLOOKUP(Base_Periodo1[[#This Row],[CONTA]],BaseContasDRE[#All],6,FALSE))</f>
        <v>Fora do DRE</v>
      </c>
      <c r="U3289" s="3" t="str">
        <f>IF(ISERROR(VLOOKUP(Base_Periodo1[[#This Row],[CONTA]],BaseContasDRE[#All],7,FALSE)),"Fora do DRE",VLOOKUP(Base_Periodo1[[#This Row],[CONTA]],BaseContasDRE[#All],7,FALSE))</f>
        <v>Fora do DRE</v>
      </c>
      <c r="V3289" s="3" t="str">
        <f>IF(Base_Periodo1[[#This Row],[Tipo_Linha]]="Fora do DRE","Fora do DRE","( "&amp;Base_Periodo1[[#This Row],[Tipo_Linha]]&amp;" ) "&amp;Base_Periodo1[[#This Row],[Filtro]])</f>
        <v>Fora do DRE</v>
      </c>
      <c r="W3289" s="3" t="str">
        <f>LEFT(Base_Periodo1[[#This Row],[CLASS]],3)</f>
        <v>2.1</v>
      </c>
    </row>
    <row r="3290" spans="1:23" hidden="1">
      <c r="A3290" s="3" t="str">
        <f t="shared" si="51"/>
        <v>Período 1</v>
      </c>
      <c r="B3290">
        <v>41104</v>
      </c>
      <c r="C3290" t="s">
        <v>2010</v>
      </c>
      <c r="D3290" t="s">
        <v>4268</v>
      </c>
      <c r="E3290" s="3" t="str">
        <f>IF(LEN(Base_Periodo1[[#This Row],[CLASS]])&gt;=7,LEFT(Base_Periodo1[[#This Row],[CLASS]],7),"")</f>
        <v>2.1.2.2</v>
      </c>
      <c r="F3290" s="3" t="str">
        <f>VLOOKUP(Base_Periodo1[[#This Row],[Aux]],Base_Contas_Balanco[#All],2,FALSE)</f>
        <v>Fornecedores Não Cooperados</v>
      </c>
      <c r="G3290" s="1"/>
      <c r="H3290" s="225">
        <v>324.79000000000002</v>
      </c>
      <c r="I3290" s="225">
        <v>0</v>
      </c>
      <c r="J3290" s="225">
        <v>0</v>
      </c>
      <c r="K3290" s="225">
        <v>324.79000000000002</v>
      </c>
      <c r="L32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324.79000000000002</v>
      </c>
      <c r="M3290" s="225">
        <f>ROUND(IF(AND(Base_Periodo1[[#This Row],[Tipo_Linha]]="-",Base_Periodo1[[#This Row],[TIPOSALDO]]="D"),Base_Periodo1[[#This Row],[SALDO_ATUAL]]*-1,Base_Periodo1[[#This Row],[SALDO_ATUAL]]),4)</f>
        <v>324.79000000000002</v>
      </c>
      <c r="N3290" t="s">
        <v>116</v>
      </c>
      <c r="O3290" t="s">
        <v>459</v>
      </c>
      <c r="P3290" t="s">
        <v>459</v>
      </c>
      <c r="Q3290">
        <v>7</v>
      </c>
      <c r="R3290" s="225">
        <f>Base_Periodo1[[#This Row],[CREDITOS]]-Base_Periodo1[[#This Row],[DEBITOS]]</f>
        <v>0</v>
      </c>
      <c r="S3290" s="3" t="str">
        <f>IF(ISERROR(VLOOKUP(Base_Periodo1[[#This Row],[CONTA]],BaseContasDRE[#All],4,FALSE)),"Fora do DRE",VLOOKUP(Base_Periodo1[[#This Row],[CONTA]],BaseContasDRE[#All],4,FALSE))</f>
        <v>Fora do DRE</v>
      </c>
      <c r="T3290" s="3" t="str">
        <f>IF(ISERROR(VLOOKUP(Base_Periodo1[[#This Row],[CONTA]],BaseContasDRE[#All],5,FALSE)),"Fora do DRE",VLOOKUP(Base_Periodo1[[#This Row],[CONTA]],BaseContasDRE[#All],6,FALSE))</f>
        <v>Fora do DRE</v>
      </c>
      <c r="U3290" s="3" t="str">
        <f>IF(ISERROR(VLOOKUP(Base_Periodo1[[#This Row],[CONTA]],BaseContasDRE[#All],7,FALSE)),"Fora do DRE",VLOOKUP(Base_Periodo1[[#This Row],[CONTA]],BaseContasDRE[#All],7,FALSE))</f>
        <v>Fora do DRE</v>
      </c>
      <c r="V3290" s="3" t="str">
        <f>IF(Base_Periodo1[[#This Row],[Tipo_Linha]]="Fora do DRE","Fora do DRE","( "&amp;Base_Periodo1[[#This Row],[Tipo_Linha]]&amp;" ) "&amp;Base_Periodo1[[#This Row],[Filtro]])</f>
        <v>Fora do DRE</v>
      </c>
      <c r="W3290" s="3" t="str">
        <f>LEFT(Base_Periodo1[[#This Row],[CLASS]],3)</f>
        <v>2.1</v>
      </c>
    </row>
    <row r="3291" spans="1:23" hidden="1">
      <c r="A3291" s="3" t="str">
        <f t="shared" si="51"/>
        <v>Período 1</v>
      </c>
      <c r="B3291">
        <v>58638</v>
      </c>
      <c r="C3291" t="s">
        <v>2010</v>
      </c>
      <c r="D3291" t="s">
        <v>6919</v>
      </c>
      <c r="E3291" s="3" t="str">
        <f>IF(LEN(Base_Periodo1[[#This Row],[CLASS]])&gt;=7,LEFT(Base_Periodo1[[#This Row],[CLASS]],7),"")</f>
        <v>2.1.2.2</v>
      </c>
      <c r="F3291" s="3" t="str">
        <f>VLOOKUP(Base_Periodo1[[#This Row],[Aux]],Base_Contas_Balanco[#All],2,FALSE)</f>
        <v>Fornecedores Não Cooperados</v>
      </c>
      <c r="G3291" s="1">
        <v>42878</v>
      </c>
      <c r="I3291" s="225">
        <v>5479.9800000000005</v>
      </c>
      <c r="J3291" s="225">
        <v>5479.98</v>
      </c>
      <c r="K3291" s="225">
        <v>9.0949470177292824E-13</v>
      </c>
      <c r="L32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91" s="225">
        <f>ROUND(IF(AND(Base_Periodo1[[#This Row],[Tipo_Linha]]="-",Base_Periodo1[[#This Row],[TIPOSALDO]]="D"),Base_Periodo1[[#This Row],[SALDO_ATUAL]]*-1,Base_Periodo1[[#This Row],[SALDO_ATUAL]]),4)</f>
        <v>0</v>
      </c>
      <c r="N3291" t="s">
        <v>116</v>
      </c>
      <c r="O3291" t="s">
        <v>436</v>
      </c>
      <c r="P3291" t="s">
        <v>436</v>
      </c>
      <c r="Q3291">
        <v>7</v>
      </c>
      <c r="R3291" s="225">
        <f>Base_Periodo1[[#This Row],[CREDITOS]]-Base_Periodo1[[#This Row],[DEBITOS]]</f>
        <v>0</v>
      </c>
      <c r="S3291" s="3" t="str">
        <f>IF(ISERROR(VLOOKUP(Base_Periodo1[[#This Row],[CONTA]],BaseContasDRE[#All],4,FALSE)),"Fora do DRE",VLOOKUP(Base_Periodo1[[#This Row],[CONTA]],BaseContasDRE[#All],4,FALSE))</f>
        <v>Fora do DRE</v>
      </c>
      <c r="T3291" s="3" t="str">
        <f>IF(ISERROR(VLOOKUP(Base_Periodo1[[#This Row],[CONTA]],BaseContasDRE[#All],5,FALSE)),"Fora do DRE",VLOOKUP(Base_Periodo1[[#This Row],[CONTA]],BaseContasDRE[#All],6,FALSE))</f>
        <v>Fora do DRE</v>
      </c>
      <c r="U3291" s="3" t="str">
        <f>IF(ISERROR(VLOOKUP(Base_Periodo1[[#This Row],[CONTA]],BaseContasDRE[#All],7,FALSE)),"Fora do DRE",VLOOKUP(Base_Periodo1[[#This Row],[CONTA]],BaseContasDRE[#All],7,FALSE))</f>
        <v>Fora do DRE</v>
      </c>
      <c r="V3291" s="3" t="str">
        <f>IF(Base_Periodo1[[#This Row],[Tipo_Linha]]="Fora do DRE","Fora do DRE","( "&amp;Base_Periodo1[[#This Row],[Tipo_Linha]]&amp;" ) "&amp;Base_Periodo1[[#This Row],[Filtro]])</f>
        <v>Fora do DRE</v>
      </c>
      <c r="W3291" s="3" t="str">
        <f>LEFT(Base_Periodo1[[#This Row],[CLASS]],3)</f>
        <v>2.1</v>
      </c>
    </row>
    <row r="3292" spans="1:23" hidden="1">
      <c r="A3292" s="3" t="str">
        <f t="shared" si="51"/>
        <v>Período 1</v>
      </c>
      <c r="B3292">
        <v>58742</v>
      </c>
      <c r="C3292" t="s">
        <v>2010</v>
      </c>
      <c r="D3292" t="s">
        <v>6920</v>
      </c>
      <c r="E3292" s="3" t="str">
        <f>IF(LEN(Base_Periodo1[[#This Row],[CLASS]])&gt;=7,LEFT(Base_Periodo1[[#This Row],[CLASS]],7),"")</f>
        <v>2.1.2.2</v>
      </c>
      <c r="F3292" s="3" t="str">
        <f>VLOOKUP(Base_Periodo1[[#This Row],[Aux]],Base_Contas_Balanco[#All],2,FALSE)</f>
        <v>Fornecedores Não Cooperados</v>
      </c>
      <c r="G3292" s="1">
        <v>42877</v>
      </c>
      <c r="I3292" s="225">
        <v>308.47000000000003</v>
      </c>
      <c r="J3292" s="225">
        <v>308.47000000000003</v>
      </c>
      <c r="K3292" s="225">
        <v>0</v>
      </c>
      <c r="L32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92" s="225">
        <f>ROUND(IF(AND(Base_Periodo1[[#This Row],[Tipo_Linha]]="-",Base_Periodo1[[#This Row],[TIPOSALDO]]="D"),Base_Periodo1[[#This Row],[SALDO_ATUAL]]*-1,Base_Periodo1[[#This Row],[SALDO_ATUAL]]),4)</f>
        <v>0</v>
      </c>
      <c r="N3292" t="s">
        <v>116</v>
      </c>
      <c r="O3292" t="s">
        <v>436</v>
      </c>
      <c r="P3292" t="s">
        <v>436</v>
      </c>
      <c r="Q3292">
        <v>7</v>
      </c>
      <c r="R3292" s="225">
        <f>Base_Periodo1[[#This Row],[CREDITOS]]-Base_Periodo1[[#This Row],[DEBITOS]]</f>
        <v>0</v>
      </c>
      <c r="S3292" s="3" t="str">
        <f>IF(ISERROR(VLOOKUP(Base_Periodo1[[#This Row],[CONTA]],BaseContasDRE[#All],4,FALSE)),"Fora do DRE",VLOOKUP(Base_Periodo1[[#This Row],[CONTA]],BaseContasDRE[#All],4,FALSE))</f>
        <v>Fora do DRE</v>
      </c>
      <c r="T3292" s="3" t="str">
        <f>IF(ISERROR(VLOOKUP(Base_Periodo1[[#This Row],[CONTA]],BaseContasDRE[#All],5,FALSE)),"Fora do DRE",VLOOKUP(Base_Periodo1[[#This Row],[CONTA]],BaseContasDRE[#All],6,FALSE))</f>
        <v>Fora do DRE</v>
      </c>
      <c r="U3292" s="3" t="str">
        <f>IF(ISERROR(VLOOKUP(Base_Periodo1[[#This Row],[CONTA]],BaseContasDRE[#All],7,FALSE)),"Fora do DRE",VLOOKUP(Base_Periodo1[[#This Row],[CONTA]],BaseContasDRE[#All],7,FALSE))</f>
        <v>Fora do DRE</v>
      </c>
      <c r="V3292" s="3" t="str">
        <f>IF(Base_Periodo1[[#This Row],[Tipo_Linha]]="Fora do DRE","Fora do DRE","( "&amp;Base_Periodo1[[#This Row],[Tipo_Linha]]&amp;" ) "&amp;Base_Periodo1[[#This Row],[Filtro]])</f>
        <v>Fora do DRE</v>
      </c>
      <c r="W3292" s="3" t="str">
        <f>LEFT(Base_Periodo1[[#This Row],[CLASS]],3)</f>
        <v>2.1</v>
      </c>
    </row>
    <row r="3293" spans="1:23" hidden="1">
      <c r="A3293" s="3" t="str">
        <f t="shared" si="51"/>
        <v>Período 1</v>
      </c>
      <c r="B3293">
        <v>58341</v>
      </c>
      <c r="C3293" t="s">
        <v>2010</v>
      </c>
      <c r="D3293" t="s">
        <v>6921</v>
      </c>
      <c r="E3293" s="3" t="str">
        <f>IF(LEN(Base_Periodo1[[#This Row],[CLASS]])&gt;=7,LEFT(Base_Periodo1[[#This Row],[CLASS]],7),"")</f>
        <v>2.1.2.2</v>
      </c>
      <c r="F3293" s="3" t="str">
        <f>VLOOKUP(Base_Periodo1[[#This Row],[Aux]],Base_Contas_Balanco[#All],2,FALSE)</f>
        <v>Fornecedores Não Cooperados</v>
      </c>
      <c r="G3293" s="1">
        <v>42857</v>
      </c>
      <c r="I3293" s="225">
        <v>594</v>
      </c>
      <c r="J3293" s="225">
        <v>594</v>
      </c>
      <c r="K3293" s="225">
        <v>0</v>
      </c>
      <c r="L32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93" s="225">
        <f>ROUND(IF(AND(Base_Periodo1[[#This Row],[Tipo_Linha]]="-",Base_Periodo1[[#This Row],[TIPOSALDO]]="D"),Base_Periodo1[[#This Row],[SALDO_ATUAL]]*-1,Base_Periodo1[[#This Row],[SALDO_ATUAL]]),4)</f>
        <v>0</v>
      </c>
      <c r="N3293" t="s">
        <v>116</v>
      </c>
      <c r="O3293" t="s">
        <v>436</v>
      </c>
      <c r="P3293" t="s">
        <v>436</v>
      </c>
      <c r="Q3293">
        <v>7</v>
      </c>
      <c r="R3293" s="225">
        <f>Base_Periodo1[[#This Row],[CREDITOS]]-Base_Periodo1[[#This Row],[DEBITOS]]</f>
        <v>0</v>
      </c>
      <c r="S3293" s="3" t="str">
        <f>IF(ISERROR(VLOOKUP(Base_Periodo1[[#This Row],[CONTA]],BaseContasDRE[#All],4,FALSE)),"Fora do DRE",VLOOKUP(Base_Periodo1[[#This Row],[CONTA]],BaseContasDRE[#All],4,FALSE))</f>
        <v>Fora do DRE</v>
      </c>
      <c r="T3293" s="3" t="str">
        <f>IF(ISERROR(VLOOKUP(Base_Periodo1[[#This Row],[CONTA]],BaseContasDRE[#All],5,FALSE)),"Fora do DRE",VLOOKUP(Base_Periodo1[[#This Row],[CONTA]],BaseContasDRE[#All],6,FALSE))</f>
        <v>Fora do DRE</v>
      </c>
      <c r="U3293" s="3" t="str">
        <f>IF(ISERROR(VLOOKUP(Base_Periodo1[[#This Row],[CONTA]],BaseContasDRE[#All],7,FALSE)),"Fora do DRE",VLOOKUP(Base_Periodo1[[#This Row],[CONTA]],BaseContasDRE[#All],7,FALSE))</f>
        <v>Fora do DRE</v>
      </c>
      <c r="V3293" s="3" t="str">
        <f>IF(Base_Periodo1[[#This Row],[Tipo_Linha]]="Fora do DRE","Fora do DRE","( "&amp;Base_Periodo1[[#This Row],[Tipo_Linha]]&amp;" ) "&amp;Base_Periodo1[[#This Row],[Filtro]])</f>
        <v>Fora do DRE</v>
      </c>
      <c r="W3293" s="3" t="str">
        <f>LEFT(Base_Periodo1[[#This Row],[CLASS]],3)</f>
        <v>2.1</v>
      </c>
    </row>
    <row r="3294" spans="1:23" hidden="1">
      <c r="A3294" s="3" t="str">
        <f t="shared" si="51"/>
        <v>Período 1</v>
      </c>
      <c r="B3294">
        <v>51210</v>
      </c>
      <c r="C3294" t="s">
        <v>2010</v>
      </c>
      <c r="D3294" t="s">
        <v>6922</v>
      </c>
      <c r="E3294" s="3" t="str">
        <f>IF(LEN(Base_Periodo1[[#This Row],[CLASS]])&gt;=7,LEFT(Base_Periodo1[[#This Row],[CLASS]],7),"")</f>
        <v>2.1.2.2</v>
      </c>
      <c r="F3294" s="3" t="str">
        <f>VLOOKUP(Base_Periodo1[[#This Row],[Aux]],Base_Contas_Balanco[#All],2,FALSE)</f>
        <v>Fornecedores Não Cooperados</v>
      </c>
      <c r="G3294" s="1">
        <v>42871</v>
      </c>
      <c r="I3294" s="225">
        <v>838.57999999999993</v>
      </c>
      <c r="J3294" s="225">
        <v>838.58</v>
      </c>
      <c r="K3294" s="225">
        <v>-1.1368683772161603E-13</v>
      </c>
      <c r="L32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94" s="225">
        <f>ROUND(IF(AND(Base_Periodo1[[#This Row],[Tipo_Linha]]="-",Base_Periodo1[[#This Row],[TIPOSALDO]]="D"),Base_Periodo1[[#This Row],[SALDO_ATUAL]]*-1,Base_Periodo1[[#This Row],[SALDO_ATUAL]]),4)</f>
        <v>0</v>
      </c>
      <c r="N3294" t="s">
        <v>116</v>
      </c>
      <c r="O3294" t="s">
        <v>436</v>
      </c>
      <c r="P3294" t="s">
        <v>436</v>
      </c>
      <c r="Q3294">
        <v>7</v>
      </c>
      <c r="R3294" s="225">
        <f>Base_Periodo1[[#This Row],[CREDITOS]]-Base_Periodo1[[#This Row],[DEBITOS]]</f>
        <v>0</v>
      </c>
      <c r="S3294" s="3" t="str">
        <f>IF(ISERROR(VLOOKUP(Base_Periodo1[[#This Row],[CONTA]],BaseContasDRE[#All],4,FALSE)),"Fora do DRE",VLOOKUP(Base_Periodo1[[#This Row],[CONTA]],BaseContasDRE[#All],4,FALSE))</f>
        <v>Fora do DRE</v>
      </c>
      <c r="T3294" s="3" t="str">
        <f>IF(ISERROR(VLOOKUP(Base_Periodo1[[#This Row],[CONTA]],BaseContasDRE[#All],5,FALSE)),"Fora do DRE",VLOOKUP(Base_Periodo1[[#This Row],[CONTA]],BaseContasDRE[#All],6,FALSE))</f>
        <v>Fora do DRE</v>
      </c>
      <c r="U3294" s="3" t="str">
        <f>IF(ISERROR(VLOOKUP(Base_Periodo1[[#This Row],[CONTA]],BaseContasDRE[#All],7,FALSE)),"Fora do DRE",VLOOKUP(Base_Periodo1[[#This Row],[CONTA]],BaseContasDRE[#All],7,FALSE))</f>
        <v>Fora do DRE</v>
      </c>
      <c r="V3294" s="3" t="str">
        <f>IF(Base_Periodo1[[#This Row],[Tipo_Linha]]="Fora do DRE","Fora do DRE","( "&amp;Base_Periodo1[[#This Row],[Tipo_Linha]]&amp;" ) "&amp;Base_Periodo1[[#This Row],[Filtro]])</f>
        <v>Fora do DRE</v>
      </c>
      <c r="W3294" s="3" t="str">
        <f>LEFT(Base_Periodo1[[#This Row],[CLASS]],3)</f>
        <v>2.1</v>
      </c>
    </row>
    <row r="3295" spans="1:23" hidden="1">
      <c r="A3295" s="3" t="str">
        <f t="shared" si="51"/>
        <v>Período 1</v>
      </c>
      <c r="B3295">
        <v>52797</v>
      </c>
      <c r="C3295" t="s">
        <v>2010</v>
      </c>
      <c r="D3295" t="s">
        <v>6923</v>
      </c>
      <c r="E3295" s="3" t="str">
        <f>IF(LEN(Base_Periodo1[[#This Row],[CLASS]])&gt;=7,LEFT(Base_Periodo1[[#This Row],[CLASS]],7),"")</f>
        <v>2.1.2.2</v>
      </c>
      <c r="F3295" s="3" t="str">
        <f>VLOOKUP(Base_Periodo1[[#This Row],[Aux]],Base_Contas_Balanco[#All],2,FALSE)</f>
        <v>Fornecedores Não Cooperados</v>
      </c>
      <c r="G3295" s="1">
        <v>42879</v>
      </c>
      <c r="I3295" s="225">
        <v>1577.4199999999998</v>
      </c>
      <c r="J3295" s="225">
        <v>1577.42</v>
      </c>
      <c r="K3295" s="225">
        <v>-2.2737367544323206E-13</v>
      </c>
      <c r="L32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95" s="225">
        <f>ROUND(IF(AND(Base_Periodo1[[#This Row],[Tipo_Linha]]="-",Base_Periodo1[[#This Row],[TIPOSALDO]]="D"),Base_Periodo1[[#This Row],[SALDO_ATUAL]]*-1,Base_Periodo1[[#This Row],[SALDO_ATUAL]]),4)</f>
        <v>0</v>
      </c>
      <c r="N3295" t="s">
        <v>116</v>
      </c>
      <c r="O3295" t="s">
        <v>436</v>
      </c>
      <c r="P3295" t="s">
        <v>436</v>
      </c>
      <c r="Q3295">
        <v>7</v>
      </c>
      <c r="R3295" s="225">
        <f>Base_Periodo1[[#This Row],[CREDITOS]]-Base_Periodo1[[#This Row],[DEBITOS]]</f>
        <v>0</v>
      </c>
      <c r="S3295" s="3" t="str">
        <f>IF(ISERROR(VLOOKUP(Base_Periodo1[[#This Row],[CONTA]],BaseContasDRE[#All],4,FALSE)),"Fora do DRE",VLOOKUP(Base_Periodo1[[#This Row],[CONTA]],BaseContasDRE[#All],4,FALSE))</f>
        <v>Fora do DRE</v>
      </c>
      <c r="T3295" s="3" t="str">
        <f>IF(ISERROR(VLOOKUP(Base_Periodo1[[#This Row],[CONTA]],BaseContasDRE[#All],5,FALSE)),"Fora do DRE",VLOOKUP(Base_Periodo1[[#This Row],[CONTA]],BaseContasDRE[#All],6,FALSE))</f>
        <v>Fora do DRE</v>
      </c>
      <c r="U3295" s="3" t="str">
        <f>IF(ISERROR(VLOOKUP(Base_Periodo1[[#This Row],[CONTA]],BaseContasDRE[#All],7,FALSE)),"Fora do DRE",VLOOKUP(Base_Periodo1[[#This Row],[CONTA]],BaseContasDRE[#All],7,FALSE))</f>
        <v>Fora do DRE</v>
      </c>
      <c r="V3295" s="3" t="str">
        <f>IF(Base_Periodo1[[#This Row],[Tipo_Linha]]="Fora do DRE","Fora do DRE","( "&amp;Base_Periodo1[[#This Row],[Tipo_Linha]]&amp;" ) "&amp;Base_Periodo1[[#This Row],[Filtro]])</f>
        <v>Fora do DRE</v>
      </c>
      <c r="W3295" s="3" t="str">
        <f>LEFT(Base_Periodo1[[#This Row],[CLASS]],3)</f>
        <v>2.1</v>
      </c>
    </row>
    <row r="3296" spans="1:23" hidden="1">
      <c r="A3296" s="3" t="str">
        <f t="shared" si="51"/>
        <v>Período 1</v>
      </c>
      <c r="B3296">
        <v>22259</v>
      </c>
      <c r="C3296" t="s">
        <v>2010</v>
      </c>
      <c r="D3296" t="s">
        <v>5229</v>
      </c>
      <c r="E3296" s="3" t="str">
        <f>IF(LEN(Base_Periodo1[[#This Row],[CLASS]])&gt;=7,LEFT(Base_Periodo1[[#This Row],[CLASS]],7),"")</f>
        <v>2.1.2.2</v>
      </c>
      <c r="F3296" s="3" t="str">
        <f>VLOOKUP(Base_Periodo1[[#This Row],[Aux]],Base_Contas_Balanco[#All],2,FALSE)</f>
        <v>Fornecedores Não Cooperados</v>
      </c>
      <c r="G3296" s="1">
        <v>42886</v>
      </c>
      <c r="I3296" s="225">
        <v>660</v>
      </c>
      <c r="J3296" s="225">
        <v>940</v>
      </c>
      <c r="K3296" s="225">
        <v>280</v>
      </c>
      <c r="L32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280</v>
      </c>
      <c r="M3296" s="225">
        <f>ROUND(IF(AND(Base_Periodo1[[#This Row],[Tipo_Linha]]="-",Base_Periodo1[[#This Row],[TIPOSALDO]]="D"),Base_Periodo1[[#This Row],[SALDO_ATUAL]]*-1,Base_Periodo1[[#This Row],[SALDO_ATUAL]]),4)</f>
        <v>280</v>
      </c>
      <c r="N3296" t="s">
        <v>116</v>
      </c>
      <c r="O3296" t="s">
        <v>436</v>
      </c>
      <c r="P3296" t="s">
        <v>459</v>
      </c>
      <c r="Q3296">
        <v>7</v>
      </c>
      <c r="R3296" s="225">
        <f>Base_Periodo1[[#This Row],[CREDITOS]]-Base_Periodo1[[#This Row],[DEBITOS]]</f>
        <v>280</v>
      </c>
      <c r="S3296" s="3" t="str">
        <f>IF(ISERROR(VLOOKUP(Base_Periodo1[[#This Row],[CONTA]],BaseContasDRE[#All],4,FALSE)),"Fora do DRE",VLOOKUP(Base_Periodo1[[#This Row],[CONTA]],BaseContasDRE[#All],4,FALSE))</f>
        <v>Fora do DRE</v>
      </c>
      <c r="T3296" s="3" t="str">
        <f>IF(ISERROR(VLOOKUP(Base_Periodo1[[#This Row],[CONTA]],BaseContasDRE[#All],5,FALSE)),"Fora do DRE",VLOOKUP(Base_Periodo1[[#This Row],[CONTA]],BaseContasDRE[#All],6,FALSE))</f>
        <v>Fora do DRE</v>
      </c>
      <c r="U3296" s="3" t="str">
        <f>IF(ISERROR(VLOOKUP(Base_Periodo1[[#This Row],[CONTA]],BaseContasDRE[#All],7,FALSE)),"Fora do DRE",VLOOKUP(Base_Periodo1[[#This Row],[CONTA]],BaseContasDRE[#All],7,FALSE))</f>
        <v>Fora do DRE</v>
      </c>
      <c r="V3296" s="3" t="str">
        <f>IF(Base_Periodo1[[#This Row],[Tipo_Linha]]="Fora do DRE","Fora do DRE","( "&amp;Base_Periodo1[[#This Row],[Tipo_Linha]]&amp;" ) "&amp;Base_Periodo1[[#This Row],[Filtro]])</f>
        <v>Fora do DRE</v>
      </c>
      <c r="W3296" s="3" t="str">
        <f>LEFT(Base_Periodo1[[#This Row],[CLASS]],3)</f>
        <v>2.1</v>
      </c>
    </row>
    <row r="3297" spans="1:23" hidden="1">
      <c r="A3297" s="3" t="str">
        <f t="shared" si="51"/>
        <v>Período 1</v>
      </c>
      <c r="B3297">
        <v>57565</v>
      </c>
      <c r="C3297" t="s">
        <v>2010</v>
      </c>
      <c r="D3297" t="s">
        <v>6924</v>
      </c>
      <c r="E3297" s="3" t="str">
        <f>IF(LEN(Base_Periodo1[[#This Row],[CLASS]])&gt;=7,LEFT(Base_Periodo1[[#This Row],[CLASS]],7),"")</f>
        <v>2.1.2.2</v>
      </c>
      <c r="F3297" s="3" t="str">
        <f>VLOOKUP(Base_Periodo1[[#This Row],[Aux]],Base_Contas_Balanco[#All],2,FALSE)</f>
        <v>Fornecedores Não Cooperados</v>
      </c>
      <c r="G3297" s="1">
        <v>42885</v>
      </c>
      <c r="I3297" s="225">
        <v>192.72</v>
      </c>
      <c r="J3297" s="225">
        <v>5840</v>
      </c>
      <c r="K3297" s="225">
        <v>5647.28</v>
      </c>
      <c r="L32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5647.28</v>
      </c>
      <c r="M3297" s="225">
        <f>ROUND(IF(AND(Base_Periodo1[[#This Row],[Tipo_Linha]]="-",Base_Periodo1[[#This Row],[TIPOSALDO]]="D"),Base_Periodo1[[#This Row],[SALDO_ATUAL]]*-1,Base_Periodo1[[#This Row],[SALDO_ATUAL]]),4)</f>
        <v>5647.28</v>
      </c>
      <c r="N3297" t="s">
        <v>116</v>
      </c>
      <c r="O3297" t="s">
        <v>436</v>
      </c>
      <c r="P3297" t="s">
        <v>459</v>
      </c>
      <c r="Q3297">
        <v>7</v>
      </c>
      <c r="R3297" s="225">
        <f>Base_Periodo1[[#This Row],[CREDITOS]]-Base_Periodo1[[#This Row],[DEBITOS]]</f>
        <v>5647.28</v>
      </c>
      <c r="S3297" s="3" t="str">
        <f>IF(ISERROR(VLOOKUP(Base_Periodo1[[#This Row],[CONTA]],BaseContasDRE[#All],4,FALSE)),"Fora do DRE",VLOOKUP(Base_Periodo1[[#This Row],[CONTA]],BaseContasDRE[#All],4,FALSE))</f>
        <v>Fora do DRE</v>
      </c>
      <c r="T3297" s="3" t="str">
        <f>IF(ISERROR(VLOOKUP(Base_Periodo1[[#This Row],[CONTA]],BaseContasDRE[#All],5,FALSE)),"Fora do DRE",VLOOKUP(Base_Periodo1[[#This Row],[CONTA]],BaseContasDRE[#All],6,FALSE))</f>
        <v>Fora do DRE</v>
      </c>
      <c r="U3297" s="3" t="str">
        <f>IF(ISERROR(VLOOKUP(Base_Periodo1[[#This Row],[CONTA]],BaseContasDRE[#All],7,FALSE)),"Fora do DRE",VLOOKUP(Base_Periodo1[[#This Row],[CONTA]],BaseContasDRE[#All],7,FALSE))</f>
        <v>Fora do DRE</v>
      </c>
      <c r="V3297" s="3" t="str">
        <f>IF(Base_Periodo1[[#This Row],[Tipo_Linha]]="Fora do DRE","Fora do DRE","( "&amp;Base_Periodo1[[#This Row],[Tipo_Linha]]&amp;" ) "&amp;Base_Periodo1[[#This Row],[Filtro]])</f>
        <v>Fora do DRE</v>
      </c>
      <c r="W3297" s="3" t="str">
        <f>LEFT(Base_Periodo1[[#This Row],[CLASS]],3)</f>
        <v>2.1</v>
      </c>
    </row>
    <row r="3298" spans="1:23" hidden="1">
      <c r="A3298" s="3" t="str">
        <f t="shared" si="51"/>
        <v>Período 1</v>
      </c>
      <c r="B3298">
        <v>55293</v>
      </c>
      <c r="C3298" t="s">
        <v>2010</v>
      </c>
      <c r="D3298" t="s">
        <v>5334</v>
      </c>
      <c r="E3298" s="3" t="str">
        <f>IF(LEN(Base_Periodo1[[#This Row],[CLASS]])&gt;=7,LEFT(Base_Periodo1[[#This Row],[CLASS]],7),"")</f>
        <v>2.1.2.2</v>
      </c>
      <c r="F3298" s="3" t="str">
        <f>VLOOKUP(Base_Periodo1[[#This Row],[Aux]],Base_Contas_Balanco[#All],2,FALSE)</f>
        <v>Fornecedores Não Cooperados</v>
      </c>
      <c r="G3298" s="1">
        <v>42886</v>
      </c>
      <c r="I3298" s="225">
        <v>1284</v>
      </c>
      <c r="J3298" s="225">
        <v>1284</v>
      </c>
      <c r="K3298" s="225">
        <v>0</v>
      </c>
      <c r="L32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98" s="225">
        <f>ROUND(IF(AND(Base_Periodo1[[#This Row],[Tipo_Linha]]="-",Base_Periodo1[[#This Row],[TIPOSALDO]]="D"),Base_Periodo1[[#This Row],[SALDO_ATUAL]]*-1,Base_Periodo1[[#This Row],[SALDO_ATUAL]]),4)</f>
        <v>0</v>
      </c>
      <c r="N3298" t="s">
        <v>116</v>
      </c>
      <c r="O3298" t="s">
        <v>436</v>
      </c>
      <c r="P3298" t="s">
        <v>436</v>
      </c>
      <c r="Q3298">
        <v>7</v>
      </c>
      <c r="R3298" s="225">
        <f>Base_Periodo1[[#This Row],[CREDITOS]]-Base_Periodo1[[#This Row],[DEBITOS]]</f>
        <v>0</v>
      </c>
      <c r="S3298" s="3" t="str">
        <f>IF(ISERROR(VLOOKUP(Base_Periodo1[[#This Row],[CONTA]],BaseContasDRE[#All],4,FALSE)),"Fora do DRE",VLOOKUP(Base_Periodo1[[#This Row],[CONTA]],BaseContasDRE[#All],4,FALSE))</f>
        <v>Fora do DRE</v>
      </c>
      <c r="T3298" s="3" t="str">
        <f>IF(ISERROR(VLOOKUP(Base_Periodo1[[#This Row],[CONTA]],BaseContasDRE[#All],5,FALSE)),"Fora do DRE",VLOOKUP(Base_Periodo1[[#This Row],[CONTA]],BaseContasDRE[#All],6,FALSE))</f>
        <v>Fora do DRE</v>
      </c>
      <c r="U3298" s="3" t="str">
        <f>IF(ISERROR(VLOOKUP(Base_Periodo1[[#This Row],[CONTA]],BaseContasDRE[#All],7,FALSE)),"Fora do DRE",VLOOKUP(Base_Periodo1[[#This Row],[CONTA]],BaseContasDRE[#All],7,FALSE))</f>
        <v>Fora do DRE</v>
      </c>
      <c r="V3298" s="3" t="str">
        <f>IF(Base_Periodo1[[#This Row],[Tipo_Linha]]="Fora do DRE","Fora do DRE","( "&amp;Base_Periodo1[[#This Row],[Tipo_Linha]]&amp;" ) "&amp;Base_Periodo1[[#This Row],[Filtro]])</f>
        <v>Fora do DRE</v>
      </c>
      <c r="W3298" s="3" t="str">
        <f>LEFT(Base_Periodo1[[#This Row],[CLASS]],3)</f>
        <v>2.1</v>
      </c>
    </row>
    <row r="3299" spans="1:23" hidden="1">
      <c r="A3299" s="3" t="str">
        <f t="shared" si="51"/>
        <v>Período 1</v>
      </c>
      <c r="B3299">
        <v>59361</v>
      </c>
      <c r="C3299" t="s">
        <v>2010</v>
      </c>
      <c r="D3299" t="s">
        <v>6925</v>
      </c>
      <c r="E3299" s="3" t="str">
        <f>IF(LEN(Base_Periodo1[[#This Row],[CLASS]])&gt;=7,LEFT(Base_Periodo1[[#This Row],[CLASS]],7),"")</f>
        <v>2.1.2.2</v>
      </c>
      <c r="F3299" s="3" t="str">
        <f>VLOOKUP(Base_Periodo1[[#This Row],[Aux]],Base_Contas_Balanco[#All],2,FALSE)</f>
        <v>Fornecedores Não Cooperados</v>
      </c>
      <c r="G3299" s="1">
        <v>42886</v>
      </c>
      <c r="I3299" s="225">
        <v>100</v>
      </c>
      <c r="J3299" s="225">
        <v>100</v>
      </c>
      <c r="K3299" s="225">
        <v>0</v>
      </c>
      <c r="L32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299" s="225">
        <f>ROUND(IF(AND(Base_Periodo1[[#This Row],[Tipo_Linha]]="-",Base_Periodo1[[#This Row],[TIPOSALDO]]="D"),Base_Periodo1[[#This Row],[SALDO_ATUAL]]*-1,Base_Periodo1[[#This Row],[SALDO_ATUAL]]),4)</f>
        <v>0</v>
      </c>
      <c r="N3299" t="s">
        <v>116</v>
      </c>
      <c r="O3299" t="s">
        <v>436</v>
      </c>
      <c r="P3299" t="s">
        <v>436</v>
      </c>
      <c r="Q3299">
        <v>7</v>
      </c>
      <c r="R3299" s="225">
        <f>Base_Periodo1[[#This Row],[CREDITOS]]-Base_Periodo1[[#This Row],[DEBITOS]]</f>
        <v>0</v>
      </c>
      <c r="S3299" s="3" t="str">
        <f>IF(ISERROR(VLOOKUP(Base_Periodo1[[#This Row],[CONTA]],BaseContasDRE[#All],4,FALSE)),"Fora do DRE",VLOOKUP(Base_Periodo1[[#This Row],[CONTA]],BaseContasDRE[#All],4,FALSE))</f>
        <v>Fora do DRE</v>
      </c>
      <c r="T3299" s="3" t="str">
        <f>IF(ISERROR(VLOOKUP(Base_Periodo1[[#This Row],[CONTA]],BaseContasDRE[#All],5,FALSE)),"Fora do DRE",VLOOKUP(Base_Periodo1[[#This Row],[CONTA]],BaseContasDRE[#All],6,FALSE))</f>
        <v>Fora do DRE</v>
      </c>
      <c r="U3299" s="3" t="str">
        <f>IF(ISERROR(VLOOKUP(Base_Periodo1[[#This Row],[CONTA]],BaseContasDRE[#All],7,FALSE)),"Fora do DRE",VLOOKUP(Base_Periodo1[[#This Row],[CONTA]],BaseContasDRE[#All],7,FALSE))</f>
        <v>Fora do DRE</v>
      </c>
      <c r="V3299" s="3" t="str">
        <f>IF(Base_Periodo1[[#This Row],[Tipo_Linha]]="Fora do DRE","Fora do DRE","( "&amp;Base_Periodo1[[#This Row],[Tipo_Linha]]&amp;" ) "&amp;Base_Periodo1[[#This Row],[Filtro]])</f>
        <v>Fora do DRE</v>
      </c>
      <c r="W3299" s="3" t="str">
        <f>LEFT(Base_Periodo1[[#This Row],[CLASS]],3)</f>
        <v>2.1</v>
      </c>
    </row>
    <row r="3300" spans="1:23" hidden="1">
      <c r="A3300" s="3" t="str">
        <f t="shared" si="51"/>
        <v>Período 1</v>
      </c>
      <c r="B3300">
        <v>12640</v>
      </c>
      <c r="C3300" t="s">
        <v>2010</v>
      </c>
      <c r="D3300" t="s">
        <v>6745</v>
      </c>
      <c r="E3300" s="3" t="str">
        <f>IF(LEN(Base_Periodo1[[#This Row],[CLASS]])&gt;=7,LEFT(Base_Periodo1[[#This Row],[CLASS]],7),"")</f>
        <v>2.1.2.2</v>
      </c>
      <c r="F3300" s="3" t="str">
        <f>VLOOKUP(Base_Periodo1[[#This Row],[Aux]],Base_Contas_Balanco[#All],2,FALSE)</f>
        <v>Fornecedores Não Cooperados</v>
      </c>
      <c r="G3300" s="1">
        <v>42879</v>
      </c>
      <c r="I3300" s="225">
        <v>2539.8000000000002</v>
      </c>
      <c r="J3300" s="225">
        <v>2539.8000000000002</v>
      </c>
      <c r="K3300" s="225">
        <v>0</v>
      </c>
      <c r="L33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00" s="225">
        <f>ROUND(IF(AND(Base_Periodo1[[#This Row],[Tipo_Linha]]="-",Base_Periodo1[[#This Row],[TIPOSALDO]]="D"),Base_Periodo1[[#This Row],[SALDO_ATUAL]]*-1,Base_Periodo1[[#This Row],[SALDO_ATUAL]]),4)</f>
        <v>0</v>
      </c>
      <c r="N3300" t="s">
        <v>116</v>
      </c>
      <c r="O3300" t="s">
        <v>436</v>
      </c>
      <c r="P3300" t="s">
        <v>436</v>
      </c>
      <c r="Q3300">
        <v>7</v>
      </c>
      <c r="R3300" s="225">
        <f>Base_Periodo1[[#This Row],[CREDITOS]]-Base_Periodo1[[#This Row],[DEBITOS]]</f>
        <v>0</v>
      </c>
      <c r="S3300" s="3" t="str">
        <f>IF(ISERROR(VLOOKUP(Base_Periodo1[[#This Row],[CONTA]],BaseContasDRE[#All],4,FALSE)),"Fora do DRE",VLOOKUP(Base_Periodo1[[#This Row],[CONTA]],BaseContasDRE[#All],4,FALSE))</f>
        <v>Fora do DRE</v>
      </c>
      <c r="T3300" s="3" t="str">
        <f>IF(ISERROR(VLOOKUP(Base_Periodo1[[#This Row],[CONTA]],BaseContasDRE[#All],5,FALSE)),"Fora do DRE",VLOOKUP(Base_Periodo1[[#This Row],[CONTA]],BaseContasDRE[#All],6,FALSE))</f>
        <v>Fora do DRE</v>
      </c>
      <c r="U3300" s="3" t="str">
        <f>IF(ISERROR(VLOOKUP(Base_Periodo1[[#This Row],[CONTA]],BaseContasDRE[#All],7,FALSE)),"Fora do DRE",VLOOKUP(Base_Periodo1[[#This Row],[CONTA]],BaseContasDRE[#All],7,FALSE))</f>
        <v>Fora do DRE</v>
      </c>
      <c r="V3300" s="3" t="str">
        <f>IF(Base_Periodo1[[#This Row],[Tipo_Linha]]="Fora do DRE","Fora do DRE","( "&amp;Base_Periodo1[[#This Row],[Tipo_Linha]]&amp;" ) "&amp;Base_Periodo1[[#This Row],[Filtro]])</f>
        <v>Fora do DRE</v>
      </c>
      <c r="W3300" s="3" t="str">
        <f>LEFT(Base_Periodo1[[#This Row],[CLASS]],3)</f>
        <v>2.1</v>
      </c>
    </row>
    <row r="3301" spans="1:23" hidden="1">
      <c r="A3301" s="3" t="str">
        <f t="shared" si="51"/>
        <v>Período 1</v>
      </c>
      <c r="B3301">
        <v>38100</v>
      </c>
      <c r="C3301" t="s">
        <v>2010</v>
      </c>
      <c r="D3301" t="s">
        <v>6926</v>
      </c>
      <c r="E3301" s="3" t="str">
        <f>IF(LEN(Base_Periodo1[[#This Row],[CLASS]])&gt;=7,LEFT(Base_Periodo1[[#This Row],[CLASS]],7),"")</f>
        <v>2.1.2.2</v>
      </c>
      <c r="F3301" s="3" t="str">
        <f>VLOOKUP(Base_Periodo1[[#This Row],[Aux]],Base_Contas_Balanco[#All],2,FALSE)</f>
        <v>Fornecedores Não Cooperados</v>
      </c>
      <c r="G3301" s="1">
        <v>42881</v>
      </c>
      <c r="I3301" s="225">
        <v>5091.5</v>
      </c>
      <c r="J3301" s="225">
        <v>5091.5</v>
      </c>
      <c r="K3301" s="225">
        <v>0</v>
      </c>
      <c r="L33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01" s="225">
        <f>ROUND(IF(AND(Base_Periodo1[[#This Row],[Tipo_Linha]]="-",Base_Periodo1[[#This Row],[TIPOSALDO]]="D"),Base_Periodo1[[#This Row],[SALDO_ATUAL]]*-1,Base_Periodo1[[#This Row],[SALDO_ATUAL]]),4)</f>
        <v>0</v>
      </c>
      <c r="N3301" t="s">
        <v>116</v>
      </c>
      <c r="O3301" t="s">
        <v>436</v>
      </c>
      <c r="P3301" t="s">
        <v>436</v>
      </c>
      <c r="Q3301">
        <v>7</v>
      </c>
      <c r="R3301" s="225">
        <f>Base_Periodo1[[#This Row],[CREDITOS]]-Base_Periodo1[[#This Row],[DEBITOS]]</f>
        <v>0</v>
      </c>
      <c r="S3301" s="3" t="str">
        <f>IF(ISERROR(VLOOKUP(Base_Periodo1[[#This Row],[CONTA]],BaseContasDRE[#All],4,FALSE)),"Fora do DRE",VLOOKUP(Base_Periodo1[[#This Row],[CONTA]],BaseContasDRE[#All],4,FALSE))</f>
        <v>Fora do DRE</v>
      </c>
      <c r="T3301" s="3" t="str">
        <f>IF(ISERROR(VLOOKUP(Base_Periodo1[[#This Row],[CONTA]],BaseContasDRE[#All],5,FALSE)),"Fora do DRE",VLOOKUP(Base_Periodo1[[#This Row],[CONTA]],BaseContasDRE[#All],6,FALSE))</f>
        <v>Fora do DRE</v>
      </c>
      <c r="U3301" s="3" t="str">
        <f>IF(ISERROR(VLOOKUP(Base_Periodo1[[#This Row],[CONTA]],BaseContasDRE[#All],7,FALSE)),"Fora do DRE",VLOOKUP(Base_Periodo1[[#This Row],[CONTA]],BaseContasDRE[#All],7,FALSE))</f>
        <v>Fora do DRE</v>
      </c>
      <c r="V3301" s="3" t="str">
        <f>IF(Base_Periodo1[[#This Row],[Tipo_Linha]]="Fora do DRE","Fora do DRE","( "&amp;Base_Periodo1[[#This Row],[Tipo_Linha]]&amp;" ) "&amp;Base_Periodo1[[#This Row],[Filtro]])</f>
        <v>Fora do DRE</v>
      </c>
      <c r="W3301" s="3" t="str">
        <f>LEFT(Base_Periodo1[[#This Row],[CLASS]],3)</f>
        <v>2.1</v>
      </c>
    </row>
    <row r="3302" spans="1:23" hidden="1">
      <c r="A3302" s="3" t="str">
        <f t="shared" si="51"/>
        <v>Período 1</v>
      </c>
      <c r="B3302">
        <v>38435</v>
      </c>
      <c r="C3302" t="s">
        <v>2010</v>
      </c>
      <c r="D3302" t="s">
        <v>6424</v>
      </c>
      <c r="E3302" s="3" t="str">
        <f>IF(LEN(Base_Periodo1[[#This Row],[CLASS]])&gt;=7,LEFT(Base_Periodo1[[#This Row],[CLASS]],7),"")</f>
        <v>2.1.2.2</v>
      </c>
      <c r="F3302" s="3" t="str">
        <f>VLOOKUP(Base_Periodo1[[#This Row],[Aux]],Base_Contas_Balanco[#All],2,FALSE)</f>
        <v>Fornecedores Não Cooperados</v>
      </c>
      <c r="G3302" s="1">
        <v>42884</v>
      </c>
      <c r="H3302" s="225">
        <v>1371.7999999999956</v>
      </c>
      <c r="I3302" s="225">
        <v>8676.3900000000012</v>
      </c>
      <c r="J3302" s="225">
        <v>7304.59</v>
      </c>
      <c r="K3302" s="225">
        <v>5.4569682106375694E-12</v>
      </c>
      <c r="L33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02" s="225">
        <f>ROUND(IF(AND(Base_Periodo1[[#This Row],[Tipo_Linha]]="-",Base_Periodo1[[#This Row],[TIPOSALDO]]="D"),Base_Periodo1[[#This Row],[SALDO_ATUAL]]*-1,Base_Periodo1[[#This Row],[SALDO_ATUAL]]),4)</f>
        <v>0</v>
      </c>
      <c r="N3302" t="s">
        <v>116</v>
      </c>
      <c r="O3302" t="s">
        <v>459</v>
      </c>
      <c r="P3302" t="s">
        <v>436</v>
      </c>
      <c r="Q3302">
        <v>7</v>
      </c>
      <c r="R3302" s="225">
        <f>Base_Periodo1[[#This Row],[CREDITOS]]-Base_Periodo1[[#This Row],[DEBITOS]]</f>
        <v>-1371.8000000000011</v>
      </c>
      <c r="S3302" s="3" t="str">
        <f>IF(ISERROR(VLOOKUP(Base_Periodo1[[#This Row],[CONTA]],BaseContasDRE[#All],4,FALSE)),"Fora do DRE",VLOOKUP(Base_Periodo1[[#This Row],[CONTA]],BaseContasDRE[#All],4,FALSE))</f>
        <v>Fora do DRE</v>
      </c>
      <c r="T3302" s="3" t="str">
        <f>IF(ISERROR(VLOOKUP(Base_Periodo1[[#This Row],[CONTA]],BaseContasDRE[#All],5,FALSE)),"Fora do DRE",VLOOKUP(Base_Periodo1[[#This Row],[CONTA]],BaseContasDRE[#All],6,FALSE))</f>
        <v>Fora do DRE</v>
      </c>
      <c r="U3302" s="3" t="str">
        <f>IF(ISERROR(VLOOKUP(Base_Periodo1[[#This Row],[CONTA]],BaseContasDRE[#All],7,FALSE)),"Fora do DRE",VLOOKUP(Base_Periodo1[[#This Row],[CONTA]],BaseContasDRE[#All],7,FALSE))</f>
        <v>Fora do DRE</v>
      </c>
      <c r="V3302" s="3" t="str">
        <f>IF(Base_Periodo1[[#This Row],[Tipo_Linha]]="Fora do DRE","Fora do DRE","( "&amp;Base_Periodo1[[#This Row],[Tipo_Linha]]&amp;" ) "&amp;Base_Periodo1[[#This Row],[Filtro]])</f>
        <v>Fora do DRE</v>
      </c>
      <c r="W3302" s="3" t="str">
        <f>LEFT(Base_Periodo1[[#This Row],[CLASS]],3)</f>
        <v>2.1</v>
      </c>
    </row>
    <row r="3303" spans="1:23" hidden="1">
      <c r="A3303" s="3" t="str">
        <f t="shared" si="51"/>
        <v>Período 1</v>
      </c>
      <c r="B3303">
        <v>11177</v>
      </c>
      <c r="C3303" t="s">
        <v>2010</v>
      </c>
      <c r="D3303" t="s">
        <v>2020</v>
      </c>
      <c r="E3303" s="3" t="str">
        <f>IF(LEN(Base_Periodo1[[#This Row],[CLASS]])&gt;=7,LEFT(Base_Periodo1[[#This Row],[CLASS]],7),"")</f>
        <v>2.1.2.2</v>
      </c>
      <c r="F3303" s="3" t="str">
        <f>VLOOKUP(Base_Periodo1[[#This Row],[Aux]],Base_Contas_Balanco[#All],2,FALSE)</f>
        <v>Fornecedores Não Cooperados</v>
      </c>
      <c r="G3303" s="1">
        <v>42877</v>
      </c>
      <c r="H3303" s="225">
        <v>135.38000000000466</v>
      </c>
      <c r="I3303" s="225">
        <v>3085.9300000000003</v>
      </c>
      <c r="J3303" s="225">
        <v>2950.55</v>
      </c>
      <c r="K3303" s="225">
        <v>-4.5474735088646412E-12</v>
      </c>
      <c r="L33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03" s="225">
        <f>ROUND(IF(AND(Base_Periodo1[[#This Row],[Tipo_Linha]]="-",Base_Periodo1[[#This Row],[TIPOSALDO]]="D"),Base_Periodo1[[#This Row],[SALDO_ATUAL]]*-1,Base_Periodo1[[#This Row],[SALDO_ATUAL]]),4)</f>
        <v>0</v>
      </c>
      <c r="N3303" t="s">
        <v>116</v>
      </c>
      <c r="O3303" t="s">
        <v>459</v>
      </c>
      <c r="P3303" t="s">
        <v>436</v>
      </c>
      <c r="Q3303">
        <v>7</v>
      </c>
      <c r="R3303" s="225">
        <f>Base_Periodo1[[#This Row],[CREDITOS]]-Base_Periodo1[[#This Row],[DEBITOS]]</f>
        <v>-135.38000000000011</v>
      </c>
      <c r="S3303" s="3" t="str">
        <f>IF(ISERROR(VLOOKUP(Base_Periodo1[[#This Row],[CONTA]],BaseContasDRE[#All],4,FALSE)),"Fora do DRE",VLOOKUP(Base_Periodo1[[#This Row],[CONTA]],BaseContasDRE[#All],4,FALSE))</f>
        <v>Fora do DRE</v>
      </c>
      <c r="T3303" s="3" t="str">
        <f>IF(ISERROR(VLOOKUP(Base_Periodo1[[#This Row],[CONTA]],BaseContasDRE[#All],5,FALSE)),"Fora do DRE",VLOOKUP(Base_Periodo1[[#This Row],[CONTA]],BaseContasDRE[#All],6,FALSE))</f>
        <v>Fora do DRE</v>
      </c>
      <c r="U3303" s="3" t="str">
        <f>IF(ISERROR(VLOOKUP(Base_Periodo1[[#This Row],[CONTA]],BaseContasDRE[#All],7,FALSE)),"Fora do DRE",VLOOKUP(Base_Periodo1[[#This Row],[CONTA]],BaseContasDRE[#All],7,FALSE))</f>
        <v>Fora do DRE</v>
      </c>
      <c r="V3303" s="3" t="str">
        <f>IF(Base_Periodo1[[#This Row],[Tipo_Linha]]="Fora do DRE","Fora do DRE","( "&amp;Base_Periodo1[[#This Row],[Tipo_Linha]]&amp;" ) "&amp;Base_Periodo1[[#This Row],[Filtro]])</f>
        <v>Fora do DRE</v>
      </c>
      <c r="W3303" s="3" t="str">
        <f>LEFT(Base_Periodo1[[#This Row],[CLASS]],3)</f>
        <v>2.1</v>
      </c>
    </row>
    <row r="3304" spans="1:23" hidden="1">
      <c r="A3304" s="3" t="str">
        <f t="shared" si="51"/>
        <v>Período 1</v>
      </c>
      <c r="B3304">
        <v>58981</v>
      </c>
      <c r="C3304" t="s">
        <v>2010</v>
      </c>
      <c r="D3304" t="s">
        <v>6927</v>
      </c>
      <c r="E3304" s="3" t="str">
        <f>IF(LEN(Base_Periodo1[[#This Row],[CLASS]])&gt;=7,LEFT(Base_Periodo1[[#This Row],[CLASS]],7),"")</f>
        <v>2.1.2.2</v>
      </c>
      <c r="F3304" s="3" t="str">
        <f>VLOOKUP(Base_Periodo1[[#This Row],[Aux]],Base_Contas_Balanco[#All],2,FALSE)</f>
        <v>Fornecedores Não Cooperados</v>
      </c>
      <c r="G3304" s="1">
        <v>42870</v>
      </c>
      <c r="I3304" s="225">
        <v>85.04</v>
      </c>
      <c r="J3304" s="225">
        <v>85.04</v>
      </c>
      <c r="K3304" s="225">
        <v>0</v>
      </c>
      <c r="L33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04" s="225">
        <f>ROUND(IF(AND(Base_Periodo1[[#This Row],[Tipo_Linha]]="-",Base_Periodo1[[#This Row],[TIPOSALDO]]="D"),Base_Periodo1[[#This Row],[SALDO_ATUAL]]*-1,Base_Periodo1[[#This Row],[SALDO_ATUAL]]),4)</f>
        <v>0</v>
      </c>
      <c r="N3304" t="s">
        <v>116</v>
      </c>
      <c r="O3304" t="s">
        <v>436</v>
      </c>
      <c r="P3304" t="s">
        <v>436</v>
      </c>
      <c r="Q3304">
        <v>7</v>
      </c>
      <c r="R3304" s="225">
        <f>Base_Periodo1[[#This Row],[CREDITOS]]-Base_Periodo1[[#This Row],[DEBITOS]]</f>
        <v>0</v>
      </c>
      <c r="S3304" s="3" t="str">
        <f>IF(ISERROR(VLOOKUP(Base_Periodo1[[#This Row],[CONTA]],BaseContasDRE[#All],4,FALSE)),"Fora do DRE",VLOOKUP(Base_Periodo1[[#This Row],[CONTA]],BaseContasDRE[#All],4,FALSE))</f>
        <v>Fora do DRE</v>
      </c>
      <c r="T3304" s="3" t="str">
        <f>IF(ISERROR(VLOOKUP(Base_Periodo1[[#This Row],[CONTA]],BaseContasDRE[#All],5,FALSE)),"Fora do DRE",VLOOKUP(Base_Periodo1[[#This Row],[CONTA]],BaseContasDRE[#All],6,FALSE))</f>
        <v>Fora do DRE</v>
      </c>
      <c r="U3304" s="3" t="str">
        <f>IF(ISERROR(VLOOKUP(Base_Periodo1[[#This Row],[CONTA]],BaseContasDRE[#All],7,FALSE)),"Fora do DRE",VLOOKUP(Base_Periodo1[[#This Row],[CONTA]],BaseContasDRE[#All],7,FALSE))</f>
        <v>Fora do DRE</v>
      </c>
      <c r="V3304" s="3" t="str">
        <f>IF(Base_Periodo1[[#This Row],[Tipo_Linha]]="Fora do DRE","Fora do DRE","( "&amp;Base_Periodo1[[#This Row],[Tipo_Linha]]&amp;" ) "&amp;Base_Periodo1[[#This Row],[Filtro]])</f>
        <v>Fora do DRE</v>
      </c>
      <c r="W3304" s="3" t="str">
        <f>LEFT(Base_Periodo1[[#This Row],[CLASS]],3)</f>
        <v>2.1</v>
      </c>
    </row>
    <row r="3305" spans="1:23" hidden="1">
      <c r="A3305" s="3" t="str">
        <f t="shared" si="51"/>
        <v>Período 1</v>
      </c>
      <c r="B3305">
        <v>44348</v>
      </c>
      <c r="C3305" t="s">
        <v>2010</v>
      </c>
      <c r="D3305" t="s">
        <v>5072</v>
      </c>
      <c r="E3305" s="3" t="str">
        <f>IF(LEN(Base_Periodo1[[#This Row],[CLASS]])&gt;=7,LEFT(Base_Periodo1[[#This Row],[CLASS]],7),"")</f>
        <v>2.1.2.2</v>
      </c>
      <c r="F3305" s="3" t="str">
        <f>VLOOKUP(Base_Periodo1[[#This Row],[Aux]],Base_Contas_Balanco[#All],2,FALSE)</f>
        <v>Fornecedores Não Cooperados</v>
      </c>
      <c r="G3305" s="1">
        <v>42885</v>
      </c>
      <c r="H3305" s="225">
        <v>82.18</v>
      </c>
      <c r="I3305" s="225">
        <v>82.18</v>
      </c>
      <c r="J3305" s="225">
        <v>0</v>
      </c>
      <c r="K3305" s="225">
        <v>0</v>
      </c>
      <c r="L33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05" s="225">
        <f>ROUND(IF(AND(Base_Periodo1[[#This Row],[Tipo_Linha]]="-",Base_Periodo1[[#This Row],[TIPOSALDO]]="D"),Base_Periodo1[[#This Row],[SALDO_ATUAL]]*-1,Base_Periodo1[[#This Row],[SALDO_ATUAL]]),4)</f>
        <v>0</v>
      </c>
      <c r="N3305" t="s">
        <v>116</v>
      </c>
      <c r="O3305" t="s">
        <v>459</v>
      </c>
      <c r="P3305" t="s">
        <v>436</v>
      </c>
      <c r="Q3305">
        <v>7</v>
      </c>
      <c r="R3305" s="225">
        <f>Base_Periodo1[[#This Row],[CREDITOS]]-Base_Periodo1[[#This Row],[DEBITOS]]</f>
        <v>-82.18</v>
      </c>
      <c r="S3305" s="3" t="str">
        <f>IF(ISERROR(VLOOKUP(Base_Periodo1[[#This Row],[CONTA]],BaseContasDRE[#All],4,FALSE)),"Fora do DRE",VLOOKUP(Base_Periodo1[[#This Row],[CONTA]],BaseContasDRE[#All],4,FALSE))</f>
        <v>Fora do DRE</v>
      </c>
      <c r="T3305" s="3" t="str">
        <f>IF(ISERROR(VLOOKUP(Base_Periodo1[[#This Row],[CONTA]],BaseContasDRE[#All],5,FALSE)),"Fora do DRE",VLOOKUP(Base_Periodo1[[#This Row],[CONTA]],BaseContasDRE[#All],6,FALSE))</f>
        <v>Fora do DRE</v>
      </c>
      <c r="U3305" s="3" t="str">
        <f>IF(ISERROR(VLOOKUP(Base_Periodo1[[#This Row],[CONTA]],BaseContasDRE[#All],7,FALSE)),"Fora do DRE",VLOOKUP(Base_Periodo1[[#This Row],[CONTA]],BaseContasDRE[#All],7,FALSE))</f>
        <v>Fora do DRE</v>
      </c>
      <c r="V3305" s="3" t="str">
        <f>IF(Base_Periodo1[[#This Row],[Tipo_Linha]]="Fora do DRE","Fora do DRE","( "&amp;Base_Periodo1[[#This Row],[Tipo_Linha]]&amp;" ) "&amp;Base_Periodo1[[#This Row],[Filtro]])</f>
        <v>Fora do DRE</v>
      </c>
      <c r="W3305" s="3" t="str">
        <f>LEFT(Base_Periodo1[[#This Row],[CLASS]],3)</f>
        <v>2.1</v>
      </c>
    </row>
    <row r="3306" spans="1:23" hidden="1">
      <c r="A3306" s="3" t="str">
        <f t="shared" si="51"/>
        <v>Período 1</v>
      </c>
      <c r="B3306">
        <v>12620</v>
      </c>
      <c r="C3306" t="s">
        <v>2010</v>
      </c>
      <c r="D3306" t="s">
        <v>6105</v>
      </c>
      <c r="E3306" s="3" t="str">
        <f>IF(LEN(Base_Periodo1[[#This Row],[CLASS]])&gt;=7,LEFT(Base_Periodo1[[#This Row],[CLASS]],7),"")</f>
        <v>2.1.2.2</v>
      </c>
      <c r="F3306" s="3" t="str">
        <f>VLOOKUP(Base_Periodo1[[#This Row],[Aux]],Base_Contas_Balanco[#All],2,FALSE)</f>
        <v>Fornecedores Não Cooperados</v>
      </c>
      <c r="G3306" s="1">
        <v>42885</v>
      </c>
      <c r="I3306" s="225">
        <v>180</v>
      </c>
      <c r="J3306" s="225">
        <v>180</v>
      </c>
      <c r="K3306" s="225">
        <v>0</v>
      </c>
      <c r="L33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06" s="225">
        <f>ROUND(IF(AND(Base_Periodo1[[#This Row],[Tipo_Linha]]="-",Base_Periodo1[[#This Row],[TIPOSALDO]]="D"),Base_Periodo1[[#This Row],[SALDO_ATUAL]]*-1,Base_Periodo1[[#This Row],[SALDO_ATUAL]]),4)</f>
        <v>0</v>
      </c>
      <c r="N3306" t="s">
        <v>116</v>
      </c>
      <c r="O3306" t="s">
        <v>436</v>
      </c>
      <c r="P3306" t="s">
        <v>436</v>
      </c>
      <c r="Q3306">
        <v>7</v>
      </c>
      <c r="R3306" s="225">
        <f>Base_Periodo1[[#This Row],[CREDITOS]]-Base_Periodo1[[#This Row],[DEBITOS]]</f>
        <v>0</v>
      </c>
      <c r="S3306" s="3" t="str">
        <f>IF(ISERROR(VLOOKUP(Base_Periodo1[[#This Row],[CONTA]],BaseContasDRE[#All],4,FALSE)),"Fora do DRE",VLOOKUP(Base_Periodo1[[#This Row],[CONTA]],BaseContasDRE[#All],4,FALSE))</f>
        <v>Fora do DRE</v>
      </c>
      <c r="T3306" s="3" t="str">
        <f>IF(ISERROR(VLOOKUP(Base_Periodo1[[#This Row],[CONTA]],BaseContasDRE[#All],5,FALSE)),"Fora do DRE",VLOOKUP(Base_Periodo1[[#This Row],[CONTA]],BaseContasDRE[#All],6,FALSE))</f>
        <v>Fora do DRE</v>
      </c>
      <c r="U3306" s="3" t="str">
        <f>IF(ISERROR(VLOOKUP(Base_Periodo1[[#This Row],[CONTA]],BaseContasDRE[#All],7,FALSE)),"Fora do DRE",VLOOKUP(Base_Periodo1[[#This Row],[CONTA]],BaseContasDRE[#All],7,FALSE))</f>
        <v>Fora do DRE</v>
      </c>
      <c r="V3306" s="3" t="str">
        <f>IF(Base_Periodo1[[#This Row],[Tipo_Linha]]="Fora do DRE","Fora do DRE","( "&amp;Base_Periodo1[[#This Row],[Tipo_Linha]]&amp;" ) "&amp;Base_Periodo1[[#This Row],[Filtro]])</f>
        <v>Fora do DRE</v>
      </c>
      <c r="W3306" s="3" t="str">
        <f>LEFT(Base_Periodo1[[#This Row],[CLASS]],3)</f>
        <v>2.1</v>
      </c>
    </row>
    <row r="3307" spans="1:23" hidden="1">
      <c r="A3307" s="3" t="str">
        <f t="shared" si="51"/>
        <v>Período 1</v>
      </c>
      <c r="B3307">
        <v>10525</v>
      </c>
      <c r="C3307" t="s">
        <v>2010</v>
      </c>
      <c r="D3307" t="s">
        <v>6425</v>
      </c>
      <c r="E3307" s="3" t="str">
        <f>IF(LEN(Base_Periodo1[[#This Row],[CLASS]])&gt;=7,LEFT(Base_Periodo1[[#This Row],[CLASS]],7),"")</f>
        <v>2.1.2.2</v>
      </c>
      <c r="F3307" s="3" t="str">
        <f>VLOOKUP(Base_Periodo1[[#This Row],[Aux]],Base_Contas_Balanco[#All],2,FALSE)</f>
        <v>Fornecedores Não Cooperados</v>
      </c>
      <c r="G3307" s="1">
        <v>42860</v>
      </c>
      <c r="I3307" s="225">
        <v>50</v>
      </c>
      <c r="J3307" s="225">
        <v>50</v>
      </c>
      <c r="K3307" s="225">
        <v>0</v>
      </c>
      <c r="L33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07" s="225">
        <f>ROUND(IF(AND(Base_Periodo1[[#This Row],[Tipo_Linha]]="-",Base_Periodo1[[#This Row],[TIPOSALDO]]="D"),Base_Periodo1[[#This Row],[SALDO_ATUAL]]*-1,Base_Periodo1[[#This Row],[SALDO_ATUAL]]),4)</f>
        <v>0</v>
      </c>
      <c r="N3307" t="s">
        <v>116</v>
      </c>
      <c r="O3307" t="s">
        <v>436</v>
      </c>
      <c r="P3307" t="s">
        <v>436</v>
      </c>
      <c r="Q3307">
        <v>7</v>
      </c>
      <c r="R3307" s="225">
        <f>Base_Periodo1[[#This Row],[CREDITOS]]-Base_Periodo1[[#This Row],[DEBITOS]]</f>
        <v>0</v>
      </c>
      <c r="S3307" s="3" t="str">
        <f>IF(ISERROR(VLOOKUP(Base_Periodo1[[#This Row],[CONTA]],BaseContasDRE[#All],4,FALSE)),"Fora do DRE",VLOOKUP(Base_Periodo1[[#This Row],[CONTA]],BaseContasDRE[#All],4,FALSE))</f>
        <v>Fora do DRE</v>
      </c>
      <c r="T3307" s="3" t="str">
        <f>IF(ISERROR(VLOOKUP(Base_Periodo1[[#This Row],[CONTA]],BaseContasDRE[#All],5,FALSE)),"Fora do DRE",VLOOKUP(Base_Periodo1[[#This Row],[CONTA]],BaseContasDRE[#All],6,FALSE))</f>
        <v>Fora do DRE</v>
      </c>
      <c r="U3307" s="3" t="str">
        <f>IF(ISERROR(VLOOKUP(Base_Periodo1[[#This Row],[CONTA]],BaseContasDRE[#All],7,FALSE)),"Fora do DRE",VLOOKUP(Base_Periodo1[[#This Row],[CONTA]],BaseContasDRE[#All],7,FALSE))</f>
        <v>Fora do DRE</v>
      </c>
      <c r="V3307" s="3" t="str">
        <f>IF(Base_Periodo1[[#This Row],[Tipo_Linha]]="Fora do DRE","Fora do DRE","( "&amp;Base_Periodo1[[#This Row],[Tipo_Linha]]&amp;" ) "&amp;Base_Periodo1[[#This Row],[Filtro]])</f>
        <v>Fora do DRE</v>
      </c>
      <c r="W3307" s="3" t="str">
        <f>LEFT(Base_Periodo1[[#This Row],[CLASS]],3)</f>
        <v>2.1</v>
      </c>
    </row>
    <row r="3308" spans="1:23" hidden="1">
      <c r="A3308" s="3" t="str">
        <f t="shared" si="51"/>
        <v>Período 1</v>
      </c>
      <c r="B3308">
        <v>59227</v>
      </c>
      <c r="C3308" t="s">
        <v>2010</v>
      </c>
      <c r="D3308" t="s">
        <v>6928</v>
      </c>
      <c r="E3308" s="3" t="str">
        <f>IF(LEN(Base_Periodo1[[#This Row],[CLASS]])&gt;=7,LEFT(Base_Periodo1[[#This Row],[CLASS]],7),"")</f>
        <v>2.1.2.2</v>
      </c>
      <c r="F3308" s="3" t="str">
        <f>VLOOKUP(Base_Periodo1[[#This Row],[Aux]],Base_Contas_Balanco[#All],2,FALSE)</f>
        <v>Fornecedores Não Cooperados</v>
      </c>
      <c r="G3308" s="1">
        <v>42881</v>
      </c>
      <c r="I3308" s="225">
        <v>1800</v>
      </c>
      <c r="J3308" s="225">
        <v>1800</v>
      </c>
      <c r="K3308" s="225">
        <v>0</v>
      </c>
      <c r="L33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08" s="225">
        <f>ROUND(IF(AND(Base_Periodo1[[#This Row],[Tipo_Linha]]="-",Base_Periodo1[[#This Row],[TIPOSALDO]]="D"),Base_Periodo1[[#This Row],[SALDO_ATUAL]]*-1,Base_Periodo1[[#This Row],[SALDO_ATUAL]]),4)</f>
        <v>0</v>
      </c>
      <c r="N3308" t="s">
        <v>116</v>
      </c>
      <c r="O3308" t="s">
        <v>436</v>
      </c>
      <c r="P3308" t="s">
        <v>436</v>
      </c>
      <c r="Q3308">
        <v>7</v>
      </c>
      <c r="R3308" s="225">
        <f>Base_Periodo1[[#This Row],[CREDITOS]]-Base_Periodo1[[#This Row],[DEBITOS]]</f>
        <v>0</v>
      </c>
      <c r="S3308" s="3" t="str">
        <f>IF(ISERROR(VLOOKUP(Base_Periodo1[[#This Row],[CONTA]],BaseContasDRE[#All],4,FALSE)),"Fora do DRE",VLOOKUP(Base_Periodo1[[#This Row],[CONTA]],BaseContasDRE[#All],4,FALSE))</f>
        <v>Fora do DRE</v>
      </c>
      <c r="T3308" s="3" t="str">
        <f>IF(ISERROR(VLOOKUP(Base_Periodo1[[#This Row],[CONTA]],BaseContasDRE[#All],5,FALSE)),"Fora do DRE",VLOOKUP(Base_Periodo1[[#This Row],[CONTA]],BaseContasDRE[#All],6,FALSE))</f>
        <v>Fora do DRE</v>
      </c>
      <c r="U3308" s="3" t="str">
        <f>IF(ISERROR(VLOOKUP(Base_Periodo1[[#This Row],[CONTA]],BaseContasDRE[#All],7,FALSE)),"Fora do DRE",VLOOKUP(Base_Periodo1[[#This Row],[CONTA]],BaseContasDRE[#All],7,FALSE))</f>
        <v>Fora do DRE</v>
      </c>
      <c r="V3308" s="3" t="str">
        <f>IF(Base_Periodo1[[#This Row],[Tipo_Linha]]="Fora do DRE","Fora do DRE","( "&amp;Base_Periodo1[[#This Row],[Tipo_Linha]]&amp;" ) "&amp;Base_Periodo1[[#This Row],[Filtro]])</f>
        <v>Fora do DRE</v>
      </c>
      <c r="W3308" s="3" t="str">
        <f>LEFT(Base_Periodo1[[#This Row],[CLASS]],3)</f>
        <v>2.1</v>
      </c>
    </row>
    <row r="3309" spans="1:23" hidden="1">
      <c r="A3309" s="3" t="str">
        <f t="shared" si="51"/>
        <v>Período 1</v>
      </c>
      <c r="B3309">
        <v>13529</v>
      </c>
      <c r="C3309" t="s">
        <v>2010</v>
      </c>
      <c r="D3309" t="s">
        <v>6929</v>
      </c>
      <c r="E3309" s="3" t="str">
        <f>IF(LEN(Base_Periodo1[[#This Row],[CLASS]])&gt;=7,LEFT(Base_Periodo1[[#This Row],[CLASS]],7),"")</f>
        <v>2.1.2.2</v>
      </c>
      <c r="F3309" s="3" t="str">
        <f>VLOOKUP(Base_Periodo1[[#This Row],[Aux]],Base_Contas_Balanco[#All],2,FALSE)</f>
        <v>Fornecedores Não Cooperados</v>
      </c>
      <c r="G3309" s="1">
        <v>42881</v>
      </c>
      <c r="I3309" s="225">
        <v>0</v>
      </c>
      <c r="J3309" s="225">
        <v>8082.6</v>
      </c>
      <c r="K3309" s="225">
        <v>8082.6</v>
      </c>
      <c r="L33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8082.6</v>
      </c>
      <c r="M3309" s="225">
        <f>ROUND(IF(AND(Base_Periodo1[[#This Row],[Tipo_Linha]]="-",Base_Periodo1[[#This Row],[TIPOSALDO]]="D"),Base_Periodo1[[#This Row],[SALDO_ATUAL]]*-1,Base_Periodo1[[#This Row],[SALDO_ATUAL]]),4)</f>
        <v>8082.6</v>
      </c>
      <c r="N3309" t="s">
        <v>116</v>
      </c>
      <c r="O3309" t="s">
        <v>436</v>
      </c>
      <c r="P3309" t="s">
        <v>459</v>
      </c>
      <c r="Q3309">
        <v>7</v>
      </c>
      <c r="R3309" s="225">
        <f>Base_Periodo1[[#This Row],[CREDITOS]]-Base_Periodo1[[#This Row],[DEBITOS]]</f>
        <v>8082.6</v>
      </c>
      <c r="S3309" s="3" t="str">
        <f>IF(ISERROR(VLOOKUP(Base_Periodo1[[#This Row],[CONTA]],BaseContasDRE[#All],4,FALSE)),"Fora do DRE",VLOOKUP(Base_Periodo1[[#This Row],[CONTA]],BaseContasDRE[#All],4,FALSE))</f>
        <v>Fora do DRE</v>
      </c>
      <c r="T3309" s="3" t="str">
        <f>IF(ISERROR(VLOOKUP(Base_Periodo1[[#This Row],[CONTA]],BaseContasDRE[#All],5,FALSE)),"Fora do DRE",VLOOKUP(Base_Periodo1[[#This Row],[CONTA]],BaseContasDRE[#All],6,FALSE))</f>
        <v>Fora do DRE</v>
      </c>
      <c r="U3309" s="3" t="str">
        <f>IF(ISERROR(VLOOKUP(Base_Periodo1[[#This Row],[CONTA]],BaseContasDRE[#All],7,FALSE)),"Fora do DRE",VLOOKUP(Base_Periodo1[[#This Row],[CONTA]],BaseContasDRE[#All],7,FALSE))</f>
        <v>Fora do DRE</v>
      </c>
      <c r="V3309" s="3" t="str">
        <f>IF(Base_Periodo1[[#This Row],[Tipo_Linha]]="Fora do DRE","Fora do DRE","( "&amp;Base_Periodo1[[#This Row],[Tipo_Linha]]&amp;" ) "&amp;Base_Periodo1[[#This Row],[Filtro]])</f>
        <v>Fora do DRE</v>
      </c>
      <c r="W3309" s="3" t="str">
        <f>LEFT(Base_Periodo1[[#This Row],[CLASS]],3)</f>
        <v>2.1</v>
      </c>
    </row>
    <row r="3310" spans="1:23" hidden="1">
      <c r="A3310" s="3" t="str">
        <f t="shared" si="51"/>
        <v>Período 1</v>
      </c>
      <c r="B3310">
        <v>48949</v>
      </c>
      <c r="C3310" t="s">
        <v>2010</v>
      </c>
      <c r="D3310" t="s">
        <v>6930</v>
      </c>
      <c r="E3310" s="3" t="str">
        <f>IF(LEN(Base_Periodo1[[#This Row],[CLASS]])&gt;=7,LEFT(Base_Periodo1[[#This Row],[CLASS]],7),"")</f>
        <v>2.1.2.2</v>
      </c>
      <c r="F3310" s="3" t="str">
        <f>VLOOKUP(Base_Periodo1[[#This Row],[Aux]],Base_Contas_Balanco[#All],2,FALSE)</f>
        <v>Fornecedores Não Cooperados</v>
      </c>
      <c r="G3310" s="1">
        <v>42884</v>
      </c>
      <c r="I3310" s="225">
        <v>524</v>
      </c>
      <c r="J3310" s="225">
        <v>859</v>
      </c>
      <c r="K3310" s="225">
        <v>335</v>
      </c>
      <c r="L33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335</v>
      </c>
      <c r="M3310" s="225">
        <f>ROUND(IF(AND(Base_Periodo1[[#This Row],[Tipo_Linha]]="-",Base_Periodo1[[#This Row],[TIPOSALDO]]="D"),Base_Periodo1[[#This Row],[SALDO_ATUAL]]*-1,Base_Periodo1[[#This Row],[SALDO_ATUAL]]),4)</f>
        <v>335</v>
      </c>
      <c r="N3310" t="s">
        <v>116</v>
      </c>
      <c r="O3310" t="s">
        <v>436</v>
      </c>
      <c r="P3310" t="s">
        <v>459</v>
      </c>
      <c r="Q3310">
        <v>7</v>
      </c>
      <c r="R3310" s="225">
        <f>Base_Periodo1[[#This Row],[CREDITOS]]-Base_Periodo1[[#This Row],[DEBITOS]]</f>
        <v>335</v>
      </c>
      <c r="S3310" s="3" t="str">
        <f>IF(ISERROR(VLOOKUP(Base_Periodo1[[#This Row],[CONTA]],BaseContasDRE[#All],4,FALSE)),"Fora do DRE",VLOOKUP(Base_Periodo1[[#This Row],[CONTA]],BaseContasDRE[#All],4,FALSE))</f>
        <v>Fora do DRE</v>
      </c>
      <c r="T3310" s="3" t="str">
        <f>IF(ISERROR(VLOOKUP(Base_Periodo1[[#This Row],[CONTA]],BaseContasDRE[#All],5,FALSE)),"Fora do DRE",VLOOKUP(Base_Periodo1[[#This Row],[CONTA]],BaseContasDRE[#All],6,FALSE))</f>
        <v>Fora do DRE</v>
      </c>
      <c r="U3310" s="3" t="str">
        <f>IF(ISERROR(VLOOKUP(Base_Periodo1[[#This Row],[CONTA]],BaseContasDRE[#All],7,FALSE)),"Fora do DRE",VLOOKUP(Base_Periodo1[[#This Row],[CONTA]],BaseContasDRE[#All],7,FALSE))</f>
        <v>Fora do DRE</v>
      </c>
      <c r="V3310" s="3" t="str">
        <f>IF(Base_Periodo1[[#This Row],[Tipo_Linha]]="Fora do DRE","Fora do DRE","( "&amp;Base_Periodo1[[#This Row],[Tipo_Linha]]&amp;" ) "&amp;Base_Periodo1[[#This Row],[Filtro]])</f>
        <v>Fora do DRE</v>
      </c>
      <c r="W3310" s="3" t="str">
        <f>LEFT(Base_Periodo1[[#This Row],[CLASS]],3)</f>
        <v>2.1</v>
      </c>
    </row>
    <row r="3311" spans="1:23" hidden="1">
      <c r="A3311" s="3" t="str">
        <f t="shared" si="51"/>
        <v>Período 1</v>
      </c>
      <c r="B3311">
        <v>56126</v>
      </c>
      <c r="C3311" t="s">
        <v>2010</v>
      </c>
      <c r="D3311" t="s">
        <v>6931</v>
      </c>
      <c r="E3311" s="3" t="str">
        <f>IF(LEN(Base_Periodo1[[#This Row],[CLASS]])&gt;=7,LEFT(Base_Periodo1[[#This Row],[CLASS]],7),"")</f>
        <v>2.1.2.2</v>
      </c>
      <c r="F3311" s="3" t="str">
        <f>VLOOKUP(Base_Periodo1[[#This Row],[Aux]],Base_Contas_Balanco[#All],2,FALSE)</f>
        <v>Fornecedores Não Cooperados</v>
      </c>
      <c r="G3311" s="1">
        <v>42870</v>
      </c>
      <c r="I3311" s="225">
        <v>2934.5</v>
      </c>
      <c r="J3311" s="225">
        <v>2934.5</v>
      </c>
      <c r="K3311" s="225">
        <v>0</v>
      </c>
      <c r="L33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11" s="225">
        <f>ROUND(IF(AND(Base_Periodo1[[#This Row],[Tipo_Linha]]="-",Base_Periodo1[[#This Row],[TIPOSALDO]]="D"),Base_Periodo1[[#This Row],[SALDO_ATUAL]]*-1,Base_Periodo1[[#This Row],[SALDO_ATUAL]]),4)</f>
        <v>0</v>
      </c>
      <c r="N3311" t="s">
        <v>116</v>
      </c>
      <c r="O3311" t="s">
        <v>436</v>
      </c>
      <c r="P3311" t="s">
        <v>436</v>
      </c>
      <c r="Q3311">
        <v>7</v>
      </c>
      <c r="R3311" s="225">
        <f>Base_Periodo1[[#This Row],[CREDITOS]]-Base_Periodo1[[#This Row],[DEBITOS]]</f>
        <v>0</v>
      </c>
      <c r="S3311" s="3" t="str">
        <f>IF(ISERROR(VLOOKUP(Base_Periodo1[[#This Row],[CONTA]],BaseContasDRE[#All],4,FALSE)),"Fora do DRE",VLOOKUP(Base_Periodo1[[#This Row],[CONTA]],BaseContasDRE[#All],4,FALSE))</f>
        <v>Fora do DRE</v>
      </c>
      <c r="T3311" s="3" t="str">
        <f>IF(ISERROR(VLOOKUP(Base_Periodo1[[#This Row],[CONTA]],BaseContasDRE[#All],5,FALSE)),"Fora do DRE",VLOOKUP(Base_Periodo1[[#This Row],[CONTA]],BaseContasDRE[#All],6,FALSE))</f>
        <v>Fora do DRE</v>
      </c>
      <c r="U3311" s="3" t="str">
        <f>IF(ISERROR(VLOOKUP(Base_Periodo1[[#This Row],[CONTA]],BaseContasDRE[#All],7,FALSE)),"Fora do DRE",VLOOKUP(Base_Periodo1[[#This Row],[CONTA]],BaseContasDRE[#All],7,FALSE))</f>
        <v>Fora do DRE</v>
      </c>
      <c r="V3311" s="3" t="str">
        <f>IF(Base_Periodo1[[#This Row],[Tipo_Linha]]="Fora do DRE","Fora do DRE","( "&amp;Base_Periodo1[[#This Row],[Tipo_Linha]]&amp;" ) "&amp;Base_Periodo1[[#This Row],[Filtro]])</f>
        <v>Fora do DRE</v>
      </c>
      <c r="W3311" s="3" t="str">
        <f>LEFT(Base_Periodo1[[#This Row],[CLASS]],3)</f>
        <v>2.1</v>
      </c>
    </row>
    <row r="3312" spans="1:23" hidden="1">
      <c r="A3312" s="3" t="str">
        <f t="shared" si="51"/>
        <v>Período 1</v>
      </c>
      <c r="B3312">
        <v>58084</v>
      </c>
      <c r="C3312" t="s">
        <v>2010</v>
      </c>
      <c r="D3312" t="s">
        <v>6426</v>
      </c>
      <c r="E3312" s="3" t="str">
        <f>IF(LEN(Base_Periodo1[[#This Row],[CLASS]])&gt;=7,LEFT(Base_Periodo1[[#This Row],[CLASS]],7),"")</f>
        <v>2.1.2.2</v>
      </c>
      <c r="F3312" s="3" t="str">
        <f>VLOOKUP(Base_Periodo1[[#This Row],[Aux]],Base_Contas_Balanco[#All],2,FALSE)</f>
        <v>Fornecedores Não Cooperados</v>
      </c>
      <c r="G3312" s="1">
        <v>42859</v>
      </c>
      <c r="I3312" s="225">
        <v>15977</v>
      </c>
      <c r="J3312" s="225">
        <v>15977</v>
      </c>
      <c r="K3312" s="225">
        <v>0</v>
      </c>
      <c r="L33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12" s="225">
        <f>ROUND(IF(AND(Base_Periodo1[[#This Row],[Tipo_Linha]]="-",Base_Periodo1[[#This Row],[TIPOSALDO]]="D"),Base_Periodo1[[#This Row],[SALDO_ATUAL]]*-1,Base_Periodo1[[#This Row],[SALDO_ATUAL]]),4)</f>
        <v>0</v>
      </c>
      <c r="N3312" t="s">
        <v>116</v>
      </c>
      <c r="O3312" t="s">
        <v>436</v>
      </c>
      <c r="P3312" t="s">
        <v>436</v>
      </c>
      <c r="Q3312">
        <v>7</v>
      </c>
      <c r="R3312" s="225">
        <f>Base_Periodo1[[#This Row],[CREDITOS]]-Base_Periodo1[[#This Row],[DEBITOS]]</f>
        <v>0</v>
      </c>
      <c r="S3312" s="3" t="str">
        <f>IF(ISERROR(VLOOKUP(Base_Periodo1[[#This Row],[CONTA]],BaseContasDRE[#All],4,FALSE)),"Fora do DRE",VLOOKUP(Base_Periodo1[[#This Row],[CONTA]],BaseContasDRE[#All],4,FALSE))</f>
        <v>Fora do DRE</v>
      </c>
      <c r="T3312" s="3" t="str">
        <f>IF(ISERROR(VLOOKUP(Base_Periodo1[[#This Row],[CONTA]],BaseContasDRE[#All],5,FALSE)),"Fora do DRE",VLOOKUP(Base_Periodo1[[#This Row],[CONTA]],BaseContasDRE[#All],6,FALSE))</f>
        <v>Fora do DRE</v>
      </c>
      <c r="U3312" s="3" t="str">
        <f>IF(ISERROR(VLOOKUP(Base_Periodo1[[#This Row],[CONTA]],BaseContasDRE[#All],7,FALSE)),"Fora do DRE",VLOOKUP(Base_Periodo1[[#This Row],[CONTA]],BaseContasDRE[#All],7,FALSE))</f>
        <v>Fora do DRE</v>
      </c>
      <c r="V3312" s="3" t="str">
        <f>IF(Base_Periodo1[[#This Row],[Tipo_Linha]]="Fora do DRE","Fora do DRE","( "&amp;Base_Periodo1[[#This Row],[Tipo_Linha]]&amp;" ) "&amp;Base_Periodo1[[#This Row],[Filtro]])</f>
        <v>Fora do DRE</v>
      </c>
      <c r="W3312" s="3" t="str">
        <f>LEFT(Base_Periodo1[[#This Row],[CLASS]],3)</f>
        <v>2.1</v>
      </c>
    </row>
    <row r="3313" spans="1:23" hidden="1">
      <c r="A3313" s="3" t="str">
        <f t="shared" si="51"/>
        <v>Período 1</v>
      </c>
      <c r="B3313">
        <v>16800</v>
      </c>
      <c r="C3313" t="s">
        <v>2010</v>
      </c>
      <c r="D3313" t="s">
        <v>4247</v>
      </c>
      <c r="E3313" s="3" t="str">
        <f>IF(LEN(Base_Periodo1[[#This Row],[CLASS]])&gt;=7,LEFT(Base_Periodo1[[#This Row],[CLASS]],7),"")</f>
        <v>2.1.2.2</v>
      </c>
      <c r="F3313" s="3" t="str">
        <f>VLOOKUP(Base_Periodo1[[#This Row],[Aux]],Base_Contas_Balanco[#All],2,FALSE)</f>
        <v>Fornecedores Não Cooperados</v>
      </c>
      <c r="G3313" s="1">
        <v>42859</v>
      </c>
      <c r="I3313" s="225">
        <v>2052186.88</v>
      </c>
      <c r="J3313" s="225">
        <v>2052186.88</v>
      </c>
      <c r="K3313" s="225">
        <v>0</v>
      </c>
      <c r="L33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13" s="225">
        <f>ROUND(IF(AND(Base_Periodo1[[#This Row],[Tipo_Linha]]="-",Base_Periodo1[[#This Row],[TIPOSALDO]]="D"),Base_Periodo1[[#This Row],[SALDO_ATUAL]]*-1,Base_Periodo1[[#This Row],[SALDO_ATUAL]]),4)</f>
        <v>0</v>
      </c>
      <c r="N3313" t="s">
        <v>116</v>
      </c>
      <c r="O3313" t="s">
        <v>436</v>
      </c>
      <c r="P3313" t="s">
        <v>436</v>
      </c>
      <c r="Q3313">
        <v>7</v>
      </c>
      <c r="R3313" s="225">
        <f>Base_Periodo1[[#This Row],[CREDITOS]]-Base_Periodo1[[#This Row],[DEBITOS]]</f>
        <v>0</v>
      </c>
      <c r="S3313" s="3" t="str">
        <f>IF(ISERROR(VLOOKUP(Base_Periodo1[[#This Row],[CONTA]],BaseContasDRE[#All],4,FALSE)),"Fora do DRE",VLOOKUP(Base_Periodo1[[#This Row],[CONTA]],BaseContasDRE[#All],4,FALSE))</f>
        <v>Fora do DRE</v>
      </c>
      <c r="T3313" s="3" t="str">
        <f>IF(ISERROR(VLOOKUP(Base_Periodo1[[#This Row],[CONTA]],BaseContasDRE[#All],5,FALSE)),"Fora do DRE",VLOOKUP(Base_Periodo1[[#This Row],[CONTA]],BaseContasDRE[#All],6,FALSE))</f>
        <v>Fora do DRE</v>
      </c>
      <c r="U3313" s="3" t="str">
        <f>IF(ISERROR(VLOOKUP(Base_Periodo1[[#This Row],[CONTA]],BaseContasDRE[#All],7,FALSE)),"Fora do DRE",VLOOKUP(Base_Periodo1[[#This Row],[CONTA]],BaseContasDRE[#All],7,FALSE))</f>
        <v>Fora do DRE</v>
      </c>
      <c r="V3313" s="3" t="str">
        <f>IF(Base_Periodo1[[#This Row],[Tipo_Linha]]="Fora do DRE","Fora do DRE","( "&amp;Base_Periodo1[[#This Row],[Tipo_Linha]]&amp;" ) "&amp;Base_Periodo1[[#This Row],[Filtro]])</f>
        <v>Fora do DRE</v>
      </c>
      <c r="W3313" s="3" t="str">
        <f>LEFT(Base_Periodo1[[#This Row],[CLASS]],3)</f>
        <v>2.1</v>
      </c>
    </row>
    <row r="3314" spans="1:23" hidden="1">
      <c r="A3314" s="3" t="str">
        <f t="shared" si="51"/>
        <v>Período 1</v>
      </c>
      <c r="B3314">
        <v>47324</v>
      </c>
      <c r="C3314" t="s">
        <v>2010</v>
      </c>
      <c r="D3314" t="s">
        <v>5962</v>
      </c>
      <c r="E3314" s="3" t="str">
        <f>IF(LEN(Base_Periodo1[[#This Row],[CLASS]])&gt;=7,LEFT(Base_Periodo1[[#This Row],[CLASS]],7),"")</f>
        <v>2.1.2.2</v>
      </c>
      <c r="F3314" s="3" t="str">
        <f>VLOOKUP(Base_Periodo1[[#This Row],[Aux]],Base_Contas_Balanco[#All],2,FALSE)</f>
        <v>Fornecedores Não Cooperados</v>
      </c>
      <c r="G3314" s="1">
        <v>42878</v>
      </c>
      <c r="H3314" s="225">
        <v>80</v>
      </c>
      <c r="I3314" s="225">
        <v>80</v>
      </c>
      <c r="J3314" s="225">
        <v>1287</v>
      </c>
      <c r="K3314" s="225">
        <v>1287</v>
      </c>
      <c r="L33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1287</v>
      </c>
      <c r="M3314" s="225">
        <f>ROUND(IF(AND(Base_Periodo1[[#This Row],[Tipo_Linha]]="-",Base_Periodo1[[#This Row],[TIPOSALDO]]="D"),Base_Periodo1[[#This Row],[SALDO_ATUAL]]*-1,Base_Periodo1[[#This Row],[SALDO_ATUAL]]),4)</f>
        <v>1287</v>
      </c>
      <c r="N3314" t="s">
        <v>116</v>
      </c>
      <c r="O3314" t="s">
        <v>459</v>
      </c>
      <c r="P3314" t="s">
        <v>459</v>
      </c>
      <c r="Q3314">
        <v>7</v>
      </c>
      <c r="R3314" s="225">
        <f>Base_Periodo1[[#This Row],[CREDITOS]]-Base_Periodo1[[#This Row],[DEBITOS]]</f>
        <v>1207</v>
      </c>
      <c r="S3314" s="3" t="str">
        <f>IF(ISERROR(VLOOKUP(Base_Periodo1[[#This Row],[CONTA]],BaseContasDRE[#All],4,FALSE)),"Fora do DRE",VLOOKUP(Base_Periodo1[[#This Row],[CONTA]],BaseContasDRE[#All],4,FALSE))</f>
        <v>Fora do DRE</v>
      </c>
      <c r="T3314" s="3" t="str">
        <f>IF(ISERROR(VLOOKUP(Base_Periodo1[[#This Row],[CONTA]],BaseContasDRE[#All],5,FALSE)),"Fora do DRE",VLOOKUP(Base_Periodo1[[#This Row],[CONTA]],BaseContasDRE[#All],6,FALSE))</f>
        <v>Fora do DRE</v>
      </c>
      <c r="U3314" s="3" t="str">
        <f>IF(ISERROR(VLOOKUP(Base_Periodo1[[#This Row],[CONTA]],BaseContasDRE[#All],7,FALSE)),"Fora do DRE",VLOOKUP(Base_Periodo1[[#This Row],[CONTA]],BaseContasDRE[#All],7,FALSE))</f>
        <v>Fora do DRE</v>
      </c>
      <c r="V3314" s="3" t="str">
        <f>IF(Base_Periodo1[[#This Row],[Tipo_Linha]]="Fora do DRE","Fora do DRE","( "&amp;Base_Periodo1[[#This Row],[Tipo_Linha]]&amp;" ) "&amp;Base_Periodo1[[#This Row],[Filtro]])</f>
        <v>Fora do DRE</v>
      </c>
      <c r="W3314" s="3" t="str">
        <f>LEFT(Base_Periodo1[[#This Row],[CLASS]],3)</f>
        <v>2.1</v>
      </c>
    </row>
    <row r="3315" spans="1:23" hidden="1">
      <c r="A3315" s="3" t="str">
        <f t="shared" si="51"/>
        <v>Período 1</v>
      </c>
      <c r="B3315">
        <v>49149</v>
      </c>
      <c r="C3315" t="s">
        <v>2010</v>
      </c>
      <c r="D3315" t="s">
        <v>6932</v>
      </c>
      <c r="E3315" s="3" t="str">
        <f>IF(LEN(Base_Periodo1[[#This Row],[CLASS]])&gt;=7,LEFT(Base_Periodo1[[#This Row],[CLASS]],7),"")</f>
        <v>2.1.2.2</v>
      </c>
      <c r="F3315" s="3" t="str">
        <f>VLOOKUP(Base_Periodo1[[#This Row],[Aux]],Base_Contas_Balanco[#All],2,FALSE)</f>
        <v>Fornecedores Não Cooperados</v>
      </c>
      <c r="G3315" s="1">
        <v>42872</v>
      </c>
      <c r="I3315" s="225">
        <v>365</v>
      </c>
      <c r="J3315" s="225">
        <v>365</v>
      </c>
      <c r="K3315" s="225">
        <v>0</v>
      </c>
      <c r="L33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15" s="225">
        <f>ROUND(IF(AND(Base_Periodo1[[#This Row],[Tipo_Linha]]="-",Base_Periodo1[[#This Row],[TIPOSALDO]]="D"),Base_Periodo1[[#This Row],[SALDO_ATUAL]]*-1,Base_Periodo1[[#This Row],[SALDO_ATUAL]]),4)</f>
        <v>0</v>
      </c>
      <c r="N3315" t="s">
        <v>116</v>
      </c>
      <c r="O3315" t="s">
        <v>436</v>
      </c>
      <c r="P3315" t="s">
        <v>436</v>
      </c>
      <c r="Q3315">
        <v>7</v>
      </c>
      <c r="R3315" s="225">
        <f>Base_Periodo1[[#This Row],[CREDITOS]]-Base_Periodo1[[#This Row],[DEBITOS]]</f>
        <v>0</v>
      </c>
      <c r="S3315" s="3" t="str">
        <f>IF(ISERROR(VLOOKUP(Base_Periodo1[[#This Row],[CONTA]],BaseContasDRE[#All],4,FALSE)),"Fora do DRE",VLOOKUP(Base_Periodo1[[#This Row],[CONTA]],BaseContasDRE[#All],4,FALSE))</f>
        <v>Fora do DRE</v>
      </c>
      <c r="T3315" s="3" t="str">
        <f>IF(ISERROR(VLOOKUP(Base_Periodo1[[#This Row],[CONTA]],BaseContasDRE[#All],5,FALSE)),"Fora do DRE",VLOOKUP(Base_Periodo1[[#This Row],[CONTA]],BaseContasDRE[#All],6,FALSE))</f>
        <v>Fora do DRE</v>
      </c>
      <c r="U3315" s="3" t="str">
        <f>IF(ISERROR(VLOOKUP(Base_Periodo1[[#This Row],[CONTA]],BaseContasDRE[#All],7,FALSE)),"Fora do DRE",VLOOKUP(Base_Periodo1[[#This Row],[CONTA]],BaseContasDRE[#All],7,FALSE))</f>
        <v>Fora do DRE</v>
      </c>
      <c r="V3315" s="3" t="str">
        <f>IF(Base_Periodo1[[#This Row],[Tipo_Linha]]="Fora do DRE","Fora do DRE","( "&amp;Base_Periodo1[[#This Row],[Tipo_Linha]]&amp;" ) "&amp;Base_Periodo1[[#This Row],[Filtro]])</f>
        <v>Fora do DRE</v>
      </c>
      <c r="W3315" s="3" t="str">
        <f>LEFT(Base_Periodo1[[#This Row],[CLASS]],3)</f>
        <v>2.1</v>
      </c>
    </row>
    <row r="3316" spans="1:23" hidden="1">
      <c r="A3316" s="3" t="str">
        <f t="shared" si="51"/>
        <v>Período 1</v>
      </c>
      <c r="B3316">
        <v>39840</v>
      </c>
      <c r="C3316" t="s">
        <v>2010</v>
      </c>
      <c r="D3316" t="s">
        <v>2021</v>
      </c>
      <c r="E3316" s="3" t="str">
        <f>IF(LEN(Base_Periodo1[[#This Row],[CLASS]])&gt;=7,LEFT(Base_Periodo1[[#This Row],[CLASS]],7),"")</f>
        <v>2.1.2.2</v>
      </c>
      <c r="F3316" s="3" t="str">
        <f>VLOOKUP(Base_Periodo1[[#This Row],[Aux]],Base_Contas_Balanco[#All],2,FALSE)</f>
        <v>Fornecedores Não Cooperados</v>
      </c>
      <c r="G3316" s="1">
        <v>42886</v>
      </c>
      <c r="H3316" s="225">
        <v>2983.6800000001094</v>
      </c>
      <c r="I3316" s="225">
        <v>7660.0000000000018</v>
      </c>
      <c r="J3316" s="225">
        <v>4676.32</v>
      </c>
      <c r="K3316" s="225">
        <v>-1.0732037480920553E-10</v>
      </c>
      <c r="L33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16" s="225">
        <f>ROUND(IF(AND(Base_Periodo1[[#This Row],[Tipo_Linha]]="-",Base_Periodo1[[#This Row],[TIPOSALDO]]="D"),Base_Periodo1[[#This Row],[SALDO_ATUAL]]*-1,Base_Periodo1[[#This Row],[SALDO_ATUAL]]),4)</f>
        <v>0</v>
      </c>
      <c r="N3316" t="s">
        <v>116</v>
      </c>
      <c r="O3316" t="s">
        <v>459</v>
      </c>
      <c r="P3316" t="s">
        <v>436</v>
      </c>
      <c r="Q3316">
        <v>7</v>
      </c>
      <c r="R3316" s="225">
        <f>Base_Periodo1[[#This Row],[CREDITOS]]-Base_Periodo1[[#This Row],[DEBITOS]]</f>
        <v>-2983.6800000000021</v>
      </c>
      <c r="S3316" s="3" t="str">
        <f>IF(ISERROR(VLOOKUP(Base_Periodo1[[#This Row],[CONTA]],BaseContasDRE[#All],4,FALSE)),"Fora do DRE",VLOOKUP(Base_Periodo1[[#This Row],[CONTA]],BaseContasDRE[#All],4,FALSE))</f>
        <v>Fora do DRE</v>
      </c>
      <c r="T3316" s="3" t="str">
        <f>IF(ISERROR(VLOOKUP(Base_Periodo1[[#This Row],[CONTA]],BaseContasDRE[#All],5,FALSE)),"Fora do DRE",VLOOKUP(Base_Periodo1[[#This Row],[CONTA]],BaseContasDRE[#All],6,FALSE))</f>
        <v>Fora do DRE</v>
      </c>
      <c r="U3316" s="3" t="str">
        <f>IF(ISERROR(VLOOKUP(Base_Periodo1[[#This Row],[CONTA]],BaseContasDRE[#All],7,FALSE)),"Fora do DRE",VLOOKUP(Base_Periodo1[[#This Row],[CONTA]],BaseContasDRE[#All],7,FALSE))</f>
        <v>Fora do DRE</v>
      </c>
      <c r="V3316" s="3" t="str">
        <f>IF(Base_Periodo1[[#This Row],[Tipo_Linha]]="Fora do DRE","Fora do DRE","( "&amp;Base_Periodo1[[#This Row],[Tipo_Linha]]&amp;" ) "&amp;Base_Periodo1[[#This Row],[Filtro]])</f>
        <v>Fora do DRE</v>
      </c>
      <c r="W3316" s="3" t="str">
        <f>LEFT(Base_Periodo1[[#This Row],[CLASS]],3)</f>
        <v>2.1</v>
      </c>
    </row>
    <row r="3317" spans="1:23" hidden="1">
      <c r="A3317" s="3" t="str">
        <f t="shared" si="51"/>
        <v>Período 1</v>
      </c>
      <c r="B3317">
        <v>57980</v>
      </c>
      <c r="C3317" t="s">
        <v>2010</v>
      </c>
      <c r="D3317" t="s">
        <v>6933</v>
      </c>
      <c r="E3317" s="3" t="str">
        <f>IF(LEN(Base_Periodo1[[#This Row],[CLASS]])&gt;=7,LEFT(Base_Periodo1[[#This Row],[CLASS]],7),"")</f>
        <v>2.1.2.2</v>
      </c>
      <c r="F3317" s="3" t="str">
        <f>VLOOKUP(Base_Periodo1[[#This Row],[Aux]],Base_Contas_Balanco[#All],2,FALSE)</f>
        <v>Fornecedores Não Cooperados</v>
      </c>
      <c r="G3317" s="1">
        <v>42878</v>
      </c>
      <c r="I3317" s="225">
        <v>2093</v>
      </c>
      <c r="J3317" s="225">
        <v>2093</v>
      </c>
      <c r="K3317" s="225">
        <v>0</v>
      </c>
      <c r="L33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17" s="225">
        <f>ROUND(IF(AND(Base_Periodo1[[#This Row],[Tipo_Linha]]="-",Base_Periodo1[[#This Row],[TIPOSALDO]]="D"),Base_Periodo1[[#This Row],[SALDO_ATUAL]]*-1,Base_Periodo1[[#This Row],[SALDO_ATUAL]]),4)</f>
        <v>0</v>
      </c>
      <c r="N3317" t="s">
        <v>116</v>
      </c>
      <c r="O3317" t="s">
        <v>436</v>
      </c>
      <c r="P3317" t="s">
        <v>436</v>
      </c>
      <c r="Q3317">
        <v>7</v>
      </c>
      <c r="R3317" s="225">
        <f>Base_Periodo1[[#This Row],[CREDITOS]]-Base_Periodo1[[#This Row],[DEBITOS]]</f>
        <v>0</v>
      </c>
      <c r="S3317" s="3" t="str">
        <f>IF(ISERROR(VLOOKUP(Base_Periodo1[[#This Row],[CONTA]],BaseContasDRE[#All],4,FALSE)),"Fora do DRE",VLOOKUP(Base_Periodo1[[#This Row],[CONTA]],BaseContasDRE[#All],4,FALSE))</f>
        <v>Fora do DRE</v>
      </c>
      <c r="T3317" s="3" t="str">
        <f>IF(ISERROR(VLOOKUP(Base_Periodo1[[#This Row],[CONTA]],BaseContasDRE[#All],5,FALSE)),"Fora do DRE",VLOOKUP(Base_Periodo1[[#This Row],[CONTA]],BaseContasDRE[#All],6,FALSE))</f>
        <v>Fora do DRE</v>
      </c>
      <c r="U3317" s="3" t="str">
        <f>IF(ISERROR(VLOOKUP(Base_Periodo1[[#This Row],[CONTA]],BaseContasDRE[#All],7,FALSE)),"Fora do DRE",VLOOKUP(Base_Periodo1[[#This Row],[CONTA]],BaseContasDRE[#All],7,FALSE))</f>
        <v>Fora do DRE</v>
      </c>
      <c r="V3317" s="3" t="str">
        <f>IF(Base_Periodo1[[#This Row],[Tipo_Linha]]="Fora do DRE","Fora do DRE","( "&amp;Base_Periodo1[[#This Row],[Tipo_Linha]]&amp;" ) "&amp;Base_Periodo1[[#This Row],[Filtro]])</f>
        <v>Fora do DRE</v>
      </c>
      <c r="W3317" s="3" t="str">
        <f>LEFT(Base_Periodo1[[#This Row],[CLASS]],3)</f>
        <v>2.1</v>
      </c>
    </row>
    <row r="3318" spans="1:23" hidden="1">
      <c r="A3318" s="3" t="str">
        <f t="shared" si="51"/>
        <v>Período 1</v>
      </c>
      <c r="B3318">
        <v>30099</v>
      </c>
      <c r="C3318" t="s">
        <v>2010</v>
      </c>
      <c r="D3318" t="s">
        <v>2022</v>
      </c>
      <c r="E3318" s="3" t="str">
        <f>IF(LEN(Base_Periodo1[[#This Row],[CLASS]])&gt;=7,LEFT(Base_Periodo1[[#This Row],[CLASS]],7),"")</f>
        <v>2.1.2.2</v>
      </c>
      <c r="F3318" s="3" t="str">
        <f>VLOOKUP(Base_Periodo1[[#This Row],[Aux]],Base_Contas_Balanco[#All],2,FALSE)</f>
        <v>Fornecedores Não Cooperados</v>
      </c>
      <c r="G3318" s="1">
        <v>42884</v>
      </c>
      <c r="H3318" s="225">
        <v>17072.829999999376</v>
      </c>
      <c r="I3318" s="225">
        <v>57638.080000000009</v>
      </c>
      <c r="J3318" s="225">
        <v>40565.25</v>
      </c>
      <c r="K3318" s="225">
        <v>6.3300831243395805E-10</v>
      </c>
      <c r="L33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18" s="225">
        <f>ROUND(IF(AND(Base_Periodo1[[#This Row],[Tipo_Linha]]="-",Base_Periodo1[[#This Row],[TIPOSALDO]]="D"),Base_Periodo1[[#This Row],[SALDO_ATUAL]]*-1,Base_Periodo1[[#This Row],[SALDO_ATUAL]]),4)</f>
        <v>0</v>
      </c>
      <c r="N3318" t="s">
        <v>116</v>
      </c>
      <c r="O3318" t="s">
        <v>459</v>
      </c>
      <c r="P3318" t="s">
        <v>436</v>
      </c>
      <c r="Q3318">
        <v>7</v>
      </c>
      <c r="R3318" s="225">
        <f>Base_Periodo1[[#This Row],[CREDITOS]]-Base_Periodo1[[#This Row],[DEBITOS]]</f>
        <v>-17072.830000000009</v>
      </c>
      <c r="S3318" s="3" t="str">
        <f>IF(ISERROR(VLOOKUP(Base_Periodo1[[#This Row],[CONTA]],BaseContasDRE[#All],4,FALSE)),"Fora do DRE",VLOOKUP(Base_Periodo1[[#This Row],[CONTA]],BaseContasDRE[#All],4,FALSE))</f>
        <v>Fora do DRE</v>
      </c>
      <c r="T3318" s="3" t="str">
        <f>IF(ISERROR(VLOOKUP(Base_Periodo1[[#This Row],[CONTA]],BaseContasDRE[#All],5,FALSE)),"Fora do DRE",VLOOKUP(Base_Periodo1[[#This Row],[CONTA]],BaseContasDRE[#All],6,FALSE))</f>
        <v>Fora do DRE</v>
      </c>
      <c r="U3318" s="3" t="str">
        <f>IF(ISERROR(VLOOKUP(Base_Periodo1[[#This Row],[CONTA]],BaseContasDRE[#All],7,FALSE)),"Fora do DRE",VLOOKUP(Base_Periodo1[[#This Row],[CONTA]],BaseContasDRE[#All],7,FALSE))</f>
        <v>Fora do DRE</v>
      </c>
      <c r="V3318" s="3" t="str">
        <f>IF(Base_Periodo1[[#This Row],[Tipo_Linha]]="Fora do DRE","Fora do DRE","( "&amp;Base_Periodo1[[#This Row],[Tipo_Linha]]&amp;" ) "&amp;Base_Periodo1[[#This Row],[Filtro]])</f>
        <v>Fora do DRE</v>
      </c>
      <c r="W3318" s="3" t="str">
        <f>LEFT(Base_Periodo1[[#This Row],[CLASS]],3)</f>
        <v>2.1</v>
      </c>
    </row>
    <row r="3319" spans="1:23" hidden="1">
      <c r="A3319" s="3" t="str">
        <f t="shared" si="51"/>
        <v>Período 1</v>
      </c>
      <c r="B3319">
        <v>28702</v>
      </c>
      <c r="C3319" t="s">
        <v>2010</v>
      </c>
      <c r="D3319" t="s">
        <v>2023</v>
      </c>
      <c r="E3319" s="3" t="str">
        <f>IF(LEN(Base_Periodo1[[#This Row],[CLASS]])&gt;=7,LEFT(Base_Periodo1[[#This Row],[CLASS]],7),"")</f>
        <v>2.1.2.2</v>
      </c>
      <c r="F3319" s="3" t="str">
        <f>VLOOKUP(Base_Periodo1[[#This Row],[Aux]],Base_Contas_Balanco[#All],2,FALSE)</f>
        <v>Fornecedores Não Cooperados</v>
      </c>
      <c r="G3319" s="1">
        <v>42886</v>
      </c>
      <c r="H3319" s="225">
        <v>3153.4800000009127</v>
      </c>
      <c r="I3319" s="225">
        <v>47927.86</v>
      </c>
      <c r="J3319" s="225">
        <v>44774.38</v>
      </c>
      <c r="K3319" s="225">
        <v>-9.0949470177292824E-10</v>
      </c>
      <c r="L33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19" s="225">
        <f>ROUND(IF(AND(Base_Periodo1[[#This Row],[Tipo_Linha]]="-",Base_Periodo1[[#This Row],[TIPOSALDO]]="D"),Base_Periodo1[[#This Row],[SALDO_ATUAL]]*-1,Base_Periodo1[[#This Row],[SALDO_ATUAL]]),4)</f>
        <v>0</v>
      </c>
      <c r="N3319" t="s">
        <v>116</v>
      </c>
      <c r="O3319" t="s">
        <v>459</v>
      </c>
      <c r="P3319" t="s">
        <v>436</v>
      </c>
      <c r="Q3319">
        <v>7</v>
      </c>
      <c r="R3319" s="225">
        <f>Base_Periodo1[[#This Row],[CREDITOS]]-Base_Periodo1[[#This Row],[DEBITOS]]</f>
        <v>-3153.4800000000032</v>
      </c>
      <c r="S3319" s="3" t="str">
        <f>IF(ISERROR(VLOOKUP(Base_Periodo1[[#This Row],[CONTA]],BaseContasDRE[#All],4,FALSE)),"Fora do DRE",VLOOKUP(Base_Periodo1[[#This Row],[CONTA]],BaseContasDRE[#All],4,FALSE))</f>
        <v>Fora do DRE</v>
      </c>
      <c r="T3319" s="3" t="str">
        <f>IF(ISERROR(VLOOKUP(Base_Periodo1[[#This Row],[CONTA]],BaseContasDRE[#All],5,FALSE)),"Fora do DRE",VLOOKUP(Base_Periodo1[[#This Row],[CONTA]],BaseContasDRE[#All],6,FALSE))</f>
        <v>Fora do DRE</v>
      </c>
      <c r="U3319" s="3" t="str">
        <f>IF(ISERROR(VLOOKUP(Base_Periodo1[[#This Row],[CONTA]],BaseContasDRE[#All],7,FALSE)),"Fora do DRE",VLOOKUP(Base_Periodo1[[#This Row],[CONTA]],BaseContasDRE[#All],7,FALSE))</f>
        <v>Fora do DRE</v>
      </c>
      <c r="V3319" s="3" t="str">
        <f>IF(Base_Periodo1[[#This Row],[Tipo_Linha]]="Fora do DRE","Fora do DRE","( "&amp;Base_Periodo1[[#This Row],[Tipo_Linha]]&amp;" ) "&amp;Base_Periodo1[[#This Row],[Filtro]])</f>
        <v>Fora do DRE</v>
      </c>
      <c r="W3319" s="3" t="str">
        <f>LEFT(Base_Periodo1[[#This Row],[CLASS]],3)</f>
        <v>2.1</v>
      </c>
    </row>
    <row r="3320" spans="1:23" hidden="1">
      <c r="A3320" s="3" t="str">
        <f t="shared" si="51"/>
        <v>Período 1</v>
      </c>
      <c r="B3320">
        <v>33722</v>
      </c>
      <c r="C3320" t="s">
        <v>2010</v>
      </c>
      <c r="D3320" t="s">
        <v>6427</v>
      </c>
      <c r="E3320" s="3" t="str">
        <f>IF(LEN(Base_Periodo1[[#This Row],[CLASS]])&gt;=7,LEFT(Base_Periodo1[[#This Row],[CLASS]],7),"")</f>
        <v>2.1.2.2</v>
      </c>
      <c r="F3320" s="3" t="str">
        <f>VLOOKUP(Base_Periodo1[[#This Row],[Aux]],Base_Contas_Balanco[#All],2,FALSE)</f>
        <v>Fornecedores Não Cooperados</v>
      </c>
      <c r="G3320" s="1">
        <v>42886</v>
      </c>
      <c r="H3320" s="225">
        <v>7475.8000000000029</v>
      </c>
      <c r="I3320" s="225">
        <v>12192.019999999997</v>
      </c>
      <c r="J3320" s="225">
        <v>4716.22</v>
      </c>
      <c r="K3320" s="225">
        <v>-6.3664629124104977E-12</v>
      </c>
      <c r="L33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20" s="225">
        <f>ROUND(IF(AND(Base_Periodo1[[#This Row],[Tipo_Linha]]="-",Base_Periodo1[[#This Row],[TIPOSALDO]]="D"),Base_Periodo1[[#This Row],[SALDO_ATUAL]]*-1,Base_Periodo1[[#This Row],[SALDO_ATUAL]]),4)</f>
        <v>0</v>
      </c>
      <c r="N3320" t="s">
        <v>116</v>
      </c>
      <c r="O3320" t="s">
        <v>459</v>
      </c>
      <c r="P3320" t="s">
        <v>436</v>
      </c>
      <c r="Q3320">
        <v>7</v>
      </c>
      <c r="R3320" s="225">
        <f>Base_Periodo1[[#This Row],[CREDITOS]]-Base_Periodo1[[#This Row],[DEBITOS]]</f>
        <v>-7475.7999999999965</v>
      </c>
      <c r="S3320" s="3" t="str">
        <f>IF(ISERROR(VLOOKUP(Base_Periodo1[[#This Row],[CONTA]],BaseContasDRE[#All],4,FALSE)),"Fora do DRE",VLOOKUP(Base_Periodo1[[#This Row],[CONTA]],BaseContasDRE[#All],4,FALSE))</f>
        <v>Fora do DRE</v>
      </c>
      <c r="T3320" s="3" t="str">
        <f>IF(ISERROR(VLOOKUP(Base_Periodo1[[#This Row],[CONTA]],BaseContasDRE[#All],5,FALSE)),"Fora do DRE",VLOOKUP(Base_Periodo1[[#This Row],[CONTA]],BaseContasDRE[#All],6,FALSE))</f>
        <v>Fora do DRE</v>
      </c>
      <c r="U3320" s="3" t="str">
        <f>IF(ISERROR(VLOOKUP(Base_Periodo1[[#This Row],[CONTA]],BaseContasDRE[#All],7,FALSE)),"Fora do DRE",VLOOKUP(Base_Periodo1[[#This Row],[CONTA]],BaseContasDRE[#All],7,FALSE))</f>
        <v>Fora do DRE</v>
      </c>
      <c r="V3320" s="3" t="str">
        <f>IF(Base_Periodo1[[#This Row],[Tipo_Linha]]="Fora do DRE","Fora do DRE","( "&amp;Base_Periodo1[[#This Row],[Tipo_Linha]]&amp;" ) "&amp;Base_Periodo1[[#This Row],[Filtro]])</f>
        <v>Fora do DRE</v>
      </c>
      <c r="W3320" s="3" t="str">
        <f>LEFT(Base_Periodo1[[#This Row],[CLASS]],3)</f>
        <v>2.1</v>
      </c>
    </row>
    <row r="3321" spans="1:23" hidden="1">
      <c r="A3321" s="3" t="str">
        <f t="shared" si="51"/>
        <v>Período 1</v>
      </c>
      <c r="B3321">
        <v>28770</v>
      </c>
      <c r="C3321" t="s">
        <v>2010</v>
      </c>
      <c r="D3321" t="s">
        <v>2024</v>
      </c>
      <c r="E3321" s="3" t="str">
        <f>IF(LEN(Base_Periodo1[[#This Row],[CLASS]])&gt;=7,LEFT(Base_Periodo1[[#This Row],[CLASS]],7),"")</f>
        <v>2.1.2.2</v>
      </c>
      <c r="F3321" s="3" t="str">
        <f>VLOOKUP(Base_Periodo1[[#This Row],[Aux]],Base_Contas_Balanco[#All],2,FALSE)</f>
        <v>Fornecedores Não Cooperados</v>
      </c>
      <c r="G3321" s="1">
        <v>42884</v>
      </c>
      <c r="I3321" s="225">
        <v>7665.49</v>
      </c>
      <c r="J3321" s="225">
        <v>12519.029999999999</v>
      </c>
      <c r="K3321" s="225">
        <v>4853.5399999999991</v>
      </c>
      <c r="L33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4853.54</v>
      </c>
      <c r="M3321" s="225">
        <f>ROUND(IF(AND(Base_Periodo1[[#This Row],[Tipo_Linha]]="-",Base_Periodo1[[#This Row],[TIPOSALDO]]="D"),Base_Periodo1[[#This Row],[SALDO_ATUAL]]*-1,Base_Periodo1[[#This Row],[SALDO_ATUAL]]),4)</f>
        <v>4853.54</v>
      </c>
      <c r="N3321" t="s">
        <v>116</v>
      </c>
      <c r="O3321" t="s">
        <v>436</v>
      </c>
      <c r="P3321" t="s">
        <v>459</v>
      </c>
      <c r="Q3321">
        <v>7</v>
      </c>
      <c r="R3321" s="225">
        <f>Base_Periodo1[[#This Row],[CREDITOS]]-Base_Periodo1[[#This Row],[DEBITOS]]</f>
        <v>4853.5399999999991</v>
      </c>
      <c r="S3321" s="3" t="str">
        <f>IF(ISERROR(VLOOKUP(Base_Periodo1[[#This Row],[CONTA]],BaseContasDRE[#All],4,FALSE)),"Fora do DRE",VLOOKUP(Base_Periodo1[[#This Row],[CONTA]],BaseContasDRE[#All],4,FALSE))</f>
        <v>Fora do DRE</v>
      </c>
      <c r="T3321" s="3" t="str">
        <f>IF(ISERROR(VLOOKUP(Base_Periodo1[[#This Row],[CONTA]],BaseContasDRE[#All],5,FALSE)),"Fora do DRE",VLOOKUP(Base_Periodo1[[#This Row],[CONTA]],BaseContasDRE[#All],6,FALSE))</f>
        <v>Fora do DRE</v>
      </c>
      <c r="U3321" s="3" t="str">
        <f>IF(ISERROR(VLOOKUP(Base_Periodo1[[#This Row],[CONTA]],BaseContasDRE[#All],7,FALSE)),"Fora do DRE",VLOOKUP(Base_Periodo1[[#This Row],[CONTA]],BaseContasDRE[#All],7,FALSE))</f>
        <v>Fora do DRE</v>
      </c>
      <c r="V3321" s="3" t="str">
        <f>IF(Base_Periodo1[[#This Row],[Tipo_Linha]]="Fora do DRE","Fora do DRE","( "&amp;Base_Periodo1[[#This Row],[Tipo_Linha]]&amp;" ) "&amp;Base_Periodo1[[#This Row],[Filtro]])</f>
        <v>Fora do DRE</v>
      </c>
      <c r="W3321" s="3" t="str">
        <f>LEFT(Base_Periodo1[[#This Row],[CLASS]],3)</f>
        <v>2.1</v>
      </c>
    </row>
    <row r="3322" spans="1:23" hidden="1">
      <c r="A3322" s="3" t="str">
        <f t="shared" si="51"/>
        <v>Período 1</v>
      </c>
      <c r="B3322">
        <v>35429</v>
      </c>
      <c r="C3322" t="s">
        <v>2010</v>
      </c>
      <c r="D3322" t="s">
        <v>6934</v>
      </c>
      <c r="E3322" s="3" t="str">
        <f>IF(LEN(Base_Periodo1[[#This Row],[CLASS]])&gt;=7,LEFT(Base_Periodo1[[#This Row],[CLASS]],7),"")</f>
        <v>2.1.2.2</v>
      </c>
      <c r="F3322" s="3" t="str">
        <f>VLOOKUP(Base_Periodo1[[#This Row],[Aux]],Base_Contas_Balanco[#All],2,FALSE)</f>
        <v>Fornecedores Não Cooperados</v>
      </c>
      <c r="G3322" s="1">
        <v>42880</v>
      </c>
      <c r="I3322" s="225">
        <v>0</v>
      </c>
      <c r="J3322" s="225">
        <v>1225.9000000000001</v>
      </c>
      <c r="K3322" s="225">
        <v>1225.9000000000001</v>
      </c>
      <c r="L33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1225.9000000000001</v>
      </c>
      <c r="M3322" s="225">
        <f>ROUND(IF(AND(Base_Periodo1[[#This Row],[Tipo_Linha]]="-",Base_Periodo1[[#This Row],[TIPOSALDO]]="D"),Base_Periodo1[[#This Row],[SALDO_ATUAL]]*-1,Base_Periodo1[[#This Row],[SALDO_ATUAL]]),4)</f>
        <v>1225.9000000000001</v>
      </c>
      <c r="N3322" t="s">
        <v>116</v>
      </c>
      <c r="O3322" t="s">
        <v>436</v>
      </c>
      <c r="P3322" t="s">
        <v>459</v>
      </c>
      <c r="Q3322">
        <v>7</v>
      </c>
      <c r="R3322" s="225">
        <f>Base_Periodo1[[#This Row],[CREDITOS]]-Base_Periodo1[[#This Row],[DEBITOS]]</f>
        <v>1225.9000000000001</v>
      </c>
      <c r="S3322" s="3" t="str">
        <f>IF(ISERROR(VLOOKUP(Base_Periodo1[[#This Row],[CONTA]],BaseContasDRE[#All],4,FALSE)),"Fora do DRE",VLOOKUP(Base_Periodo1[[#This Row],[CONTA]],BaseContasDRE[#All],4,FALSE))</f>
        <v>Fora do DRE</v>
      </c>
      <c r="T3322" s="3" t="str">
        <f>IF(ISERROR(VLOOKUP(Base_Periodo1[[#This Row],[CONTA]],BaseContasDRE[#All],5,FALSE)),"Fora do DRE",VLOOKUP(Base_Periodo1[[#This Row],[CONTA]],BaseContasDRE[#All],6,FALSE))</f>
        <v>Fora do DRE</v>
      </c>
      <c r="U3322" s="3" t="str">
        <f>IF(ISERROR(VLOOKUP(Base_Periodo1[[#This Row],[CONTA]],BaseContasDRE[#All],7,FALSE)),"Fora do DRE",VLOOKUP(Base_Periodo1[[#This Row],[CONTA]],BaseContasDRE[#All],7,FALSE))</f>
        <v>Fora do DRE</v>
      </c>
      <c r="V3322" s="3" t="str">
        <f>IF(Base_Periodo1[[#This Row],[Tipo_Linha]]="Fora do DRE","Fora do DRE","( "&amp;Base_Periodo1[[#This Row],[Tipo_Linha]]&amp;" ) "&amp;Base_Periodo1[[#This Row],[Filtro]])</f>
        <v>Fora do DRE</v>
      </c>
      <c r="W3322" s="3" t="str">
        <f>LEFT(Base_Periodo1[[#This Row],[CLASS]],3)</f>
        <v>2.1</v>
      </c>
    </row>
    <row r="3323" spans="1:23" hidden="1">
      <c r="A3323" s="3" t="str">
        <f t="shared" si="51"/>
        <v>Período 1</v>
      </c>
      <c r="B3323">
        <v>41064</v>
      </c>
      <c r="C3323" t="s">
        <v>2010</v>
      </c>
      <c r="D3323" t="s">
        <v>2025</v>
      </c>
      <c r="E3323" s="3" t="str">
        <f>IF(LEN(Base_Periodo1[[#This Row],[CLASS]])&gt;=7,LEFT(Base_Periodo1[[#This Row],[CLASS]],7),"")</f>
        <v>2.1.2.2</v>
      </c>
      <c r="F3323" s="3" t="str">
        <f>VLOOKUP(Base_Periodo1[[#This Row],[Aux]],Base_Contas_Balanco[#All],2,FALSE)</f>
        <v>Fornecedores Não Cooperados</v>
      </c>
      <c r="G3323" s="1"/>
      <c r="H3323" s="225">
        <v>510.79</v>
      </c>
      <c r="I3323" s="225">
        <v>0</v>
      </c>
      <c r="J3323" s="225">
        <v>0</v>
      </c>
      <c r="K3323" s="225">
        <v>510.79</v>
      </c>
      <c r="L33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510.79</v>
      </c>
      <c r="M3323" s="225">
        <f>ROUND(IF(AND(Base_Periodo1[[#This Row],[Tipo_Linha]]="-",Base_Periodo1[[#This Row],[TIPOSALDO]]="D"),Base_Periodo1[[#This Row],[SALDO_ATUAL]]*-1,Base_Periodo1[[#This Row],[SALDO_ATUAL]]),4)</f>
        <v>510.79</v>
      </c>
      <c r="N3323" t="s">
        <v>116</v>
      </c>
      <c r="O3323" t="s">
        <v>459</v>
      </c>
      <c r="P3323" t="s">
        <v>459</v>
      </c>
      <c r="Q3323">
        <v>7</v>
      </c>
      <c r="R3323" s="225">
        <f>Base_Periodo1[[#This Row],[CREDITOS]]-Base_Periodo1[[#This Row],[DEBITOS]]</f>
        <v>0</v>
      </c>
      <c r="S3323" s="3" t="str">
        <f>IF(ISERROR(VLOOKUP(Base_Periodo1[[#This Row],[CONTA]],BaseContasDRE[#All],4,FALSE)),"Fora do DRE",VLOOKUP(Base_Periodo1[[#This Row],[CONTA]],BaseContasDRE[#All],4,FALSE))</f>
        <v>Fora do DRE</v>
      </c>
      <c r="T3323" s="3" t="str">
        <f>IF(ISERROR(VLOOKUP(Base_Periodo1[[#This Row],[CONTA]],BaseContasDRE[#All],5,FALSE)),"Fora do DRE",VLOOKUP(Base_Periodo1[[#This Row],[CONTA]],BaseContasDRE[#All],6,FALSE))</f>
        <v>Fora do DRE</v>
      </c>
      <c r="U3323" s="3" t="str">
        <f>IF(ISERROR(VLOOKUP(Base_Periodo1[[#This Row],[CONTA]],BaseContasDRE[#All],7,FALSE)),"Fora do DRE",VLOOKUP(Base_Periodo1[[#This Row],[CONTA]],BaseContasDRE[#All],7,FALSE))</f>
        <v>Fora do DRE</v>
      </c>
      <c r="V3323" s="3" t="str">
        <f>IF(Base_Periodo1[[#This Row],[Tipo_Linha]]="Fora do DRE","Fora do DRE","( "&amp;Base_Periodo1[[#This Row],[Tipo_Linha]]&amp;" ) "&amp;Base_Periodo1[[#This Row],[Filtro]])</f>
        <v>Fora do DRE</v>
      </c>
      <c r="W3323" s="3" t="str">
        <f>LEFT(Base_Periodo1[[#This Row],[CLASS]],3)</f>
        <v>2.1</v>
      </c>
    </row>
    <row r="3324" spans="1:23" hidden="1">
      <c r="A3324" s="3" t="str">
        <f t="shared" si="51"/>
        <v>Período 1</v>
      </c>
      <c r="B3324">
        <v>17770</v>
      </c>
      <c r="C3324" t="s">
        <v>2010</v>
      </c>
      <c r="D3324" t="s">
        <v>6428</v>
      </c>
      <c r="E3324" s="3" t="str">
        <f>IF(LEN(Base_Periodo1[[#This Row],[CLASS]])&gt;=7,LEFT(Base_Periodo1[[#This Row],[CLASS]],7),"")</f>
        <v>2.1.2.2</v>
      </c>
      <c r="F3324" s="3" t="str">
        <f>VLOOKUP(Base_Periodo1[[#This Row],[Aux]],Base_Contas_Balanco[#All],2,FALSE)</f>
        <v>Fornecedores Não Cooperados</v>
      </c>
      <c r="G3324" s="1">
        <v>42886</v>
      </c>
      <c r="I3324" s="225">
        <v>184.61</v>
      </c>
      <c r="J3324" s="225">
        <v>184.61</v>
      </c>
      <c r="K3324" s="225">
        <v>0</v>
      </c>
      <c r="L33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24" s="225">
        <f>ROUND(IF(AND(Base_Periodo1[[#This Row],[Tipo_Linha]]="-",Base_Periodo1[[#This Row],[TIPOSALDO]]="D"),Base_Periodo1[[#This Row],[SALDO_ATUAL]]*-1,Base_Periodo1[[#This Row],[SALDO_ATUAL]]),4)</f>
        <v>0</v>
      </c>
      <c r="N3324" t="s">
        <v>116</v>
      </c>
      <c r="O3324" t="s">
        <v>436</v>
      </c>
      <c r="P3324" t="s">
        <v>436</v>
      </c>
      <c r="Q3324">
        <v>7</v>
      </c>
      <c r="R3324" s="225">
        <f>Base_Periodo1[[#This Row],[CREDITOS]]-Base_Periodo1[[#This Row],[DEBITOS]]</f>
        <v>0</v>
      </c>
      <c r="S3324" s="3" t="str">
        <f>IF(ISERROR(VLOOKUP(Base_Periodo1[[#This Row],[CONTA]],BaseContasDRE[#All],4,FALSE)),"Fora do DRE",VLOOKUP(Base_Periodo1[[#This Row],[CONTA]],BaseContasDRE[#All],4,FALSE))</f>
        <v>Fora do DRE</v>
      </c>
      <c r="T3324" s="3" t="str">
        <f>IF(ISERROR(VLOOKUP(Base_Periodo1[[#This Row],[CONTA]],BaseContasDRE[#All],5,FALSE)),"Fora do DRE",VLOOKUP(Base_Periodo1[[#This Row],[CONTA]],BaseContasDRE[#All],6,FALSE))</f>
        <v>Fora do DRE</v>
      </c>
      <c r="U3324" s="3" t="str">
        <f>IF(ISERROR(VLOOKUP(Base_Periodo1[[#This Row],[CONTA]],BaseContasDRE[#All],7,FALSE)),"Fora do DRE",VLOOKUP(Base_Periodo1[[#This Row],[CONTA]],BaseContasDRE[#All],7,FALSE))</f>
        <v>Fora do DRE</v>
      </c>
      <c r="V3324" s="3" t="str">
        <f>IF(Base_Periodo1[[#This Row],[Tipo_Linha]]="Fora do DRE","Fora do DRE","( "&amp;Base_Periodo1[[#This Row],[Tipo_Linha]]&amp;" ) "&amp;Base_Periodo1[[#This Row],[Filtro]])</f>
        <v>Fora do DRE</v>
      </c>
      <c r="W3324" s="3" t="str">
        <f>LEFT(Base_Periodo1[[#This Row],[CLASS]],3)</f>
        <v>2.1</v>
      </c>
    </row>
    <row r="3325" spans="1:23" hidden="1">
      <c r="A3325" s="3" t="str">
        <f t="shared" si="51"/>
        <v>Período 1</v>
      </c>
      <c r="B3325">
        <v>51360</v>
      </c>
      <c r="C3325" t="s">
        <v>2010</v>
      </c>
      <c r="D3325" t="s">
        <v>6428</v>
      </c>
      <c r="E3325" s="3" t="str">
        <f>IF(LEN(Base_Periodo1[[#This Row],[CLASS]])&gt;=7,LEFT(Base_Periodo1[[#This Row],[CLASS]],7),"")</f>
        <v>2.1.2.2</v>
      </c>
      <c r="F3325" s="3" t="str">
        <f>VLOOKUP(Base_Periodo1[[#This Row],[Aux]],Base_Contas_Balanco[#All],2,FALSE)</f>
        <v>Fornecedores Não Cooperados</v>
      </c>
      <c r="G3325" s="1">
        <v>42886</v>
      </c>
      <c r="I3325" s="225">
        <v>204.8</v>
      </c>
      <c r="J3325" s="225">
        <v>0</v>
      </c>
      <c r="K3325" s="225">
        <v>204.7999999999999</v>
      </c>
      <c r="L33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-204.8</v>
      </c>
      <c r="M3325" s="225">
        <f>ROUND(IF(AND(Base_Periodo1[[#This Row],[Tipo_Linha]]="-",Base_Periodo1[[#This Row],[TIPOSALDO]]="D"),Base_Periodo1[[#This Row],[SALDO_ATUAL]]*-1,Base_Periodo1[[#This Row],[SALDO_ATUAL]]),4)</f>
        <v>204.8</v>
      </c>
      <c r="N3325" t="s">
        <v>116</v>
      </c>
      <c r="O3325" t="s">
        <v>436</v>
      </c>
      <c r="P3325" t="s">
        <v>397</v>
      </c>
      <c r="Q3325">
        <v>7</v>
      </c>
      <c r="R3325" s="225">
        <f>Base_Periodo1[[#This Row],[CREDITOS]]-Base_Periodo1[[#This Row],[DEBITOS]]</f>
        <v>-204.8</v>
      </c>
      <c r="S3325" s="3" t="str">
        <f>IF(ISERROR(VLOOKUP(Base_Periodo1[[#This Row],[CONTA]],BaseContasDRE[#All],4,FALSE)),"Fora do DRE",VLOOKUP(Base_Periodo1[[#This Row],[CONTA]],BaseContasDRE[#All],4,FALSE))</f>
        <v>Fora do DRE</v>
      </c>
      <c r="T3325" s="3" t="str">
        <f>IF(ISERROR(VLOOKUP(Base_Periodo1[[#This Row],[CONTA]],BaseContasDRE[#All],5,FALSE)),"Fora do DRE",VLOOKUP(Base_Periodo1[[#This Row],[CONTA]],BaseContasDRE[#All],6,FALSE))</f>
        <v>Fora do DRE</v>
      </c>
      <c r="U3325" s="3" t="str">
        <f>IF(ISERROR(VLOOKUP(Base_Periodo1[[#This Row],[CONTA]],BaseContasDRE[#All],7,FALSE)),"Fora do DRE",VLOOKUP(Base_Periodo1[[#This Row],[CONTA]],BaseContasDRE[#All],7,FALSE))</f>
        <v>Fora do DRE</v>
      </c>
      <c r="V3325" s="3" t="str">
        <f>IF(Base_Periodo1[[#This Row],[Tipo_Linha]]="Fora do DRE","Fora do DRE","( "&amp;Base_Periodo1[[#This Row],[Tipo_Linha]]&amp;" ) "&amp;Base_Periodo1[[#This Row],[Filtro]])</f>
        <v>Fora do DRE</v>
      </c>
      <c r="W3325" s="3" t="str">
        <f>LEFT(Base_Periodo1[[#This Row],[CLASS]],3)</f>
        <v>2.1</v>
      </c>
    </row>
    <row r="3326" spans="1:23" hidden="1">
      <c r="A3326" s="3" t="str">
        <f t="shared" si="51"/>
        <v>Período 1</v>
      </c>
      <c r="B3326">
        <v>56301</v>
      </c>
      <c r="C3326" t="s">
        <v>2010</v>
      </c>
      <c r="D3326" t="s">
        <v>5717</v>
      </c>
      <c r="E3326" s="3" t="str">
        <f>IF(LEN(Base_Periodo1[[#This Row],[CLASS]])&gt;=7,LEFT(Base_Periodo1[[#This Row],[CLASS]],7),"")</f>
        <v>2.1.2.2</v>
      </c>
      <c r="F3326" s="3" t="str">
        <f>VLOOKUP(Base_Periodo1[[#This Row],[Aux]],Base_Contas_Balanco[#All],2,FALSE)</f>
        <v>Fornecedores Não Cooperados</v>
      </c>
      <c r="G3326" s="1">
        <v>42859</v>
      </c>
      <c r="H3326" s="225">
        <v>49673</v>
      </c>
      <c r="I3326" s="225">
        <v>49673</v>
      </c>
      <c r="J3326" s="225">
        <v>0</v>
      </c>
      <c r="K3326" s="225">
        <v>0</v>
      </c>
      <c r="L33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26" s="225">
        <f>ROUND(IF(AND(Base_Periodo1[[#This Row],[Tipo_Linha]]="-",Base_Periodo1[[#This Row],[TIPOSALDO]]="D"),Base_Periodo1[[#This Row],[SALDO_ATUAL]]*-1,Base_Periodo1[[#This Row],[SALDO_ATUAL]]),4)</f>
        <v>0</v>
      </c>
      <c r="N3326" t="s">
        <v>116</v>
      </c>
      <c r="O3326" t="s">
        <v>459</v>
      </c>
      <c r="P3326" t="s">
        <v>436</v>
      </c>
      <c r="Q3326">
        <v>7</v>
      </c>
      <c r="R3326" s="225">
        <f>Base_Periodo1[[#This Row],[CREDITOS]]-Base_Periodo1[[#This Row],[DEBITOS]]</f>
        <v>-49673</v>
      </c>
      <c r="S3326" s="3" t="str">
        <f>IF(ISERROR(VLOOKUP(Base_Periodo1[[#This Row],[CONTA]],BaseContasDRE[#All],4,FALSE)),"Fora do DRE",VLOOKUP(Base_Periodo1[[#This Row],[CONTA]],BaseContasDRE[#All],4,FALSE))</f>
        <v>Fora do DRE</v>
      </c>
      <c r="T3326" s="3" t="str">
        <f>IF(ISERROR(VLOOKUP(Base_Periodo1[[#This Row],[CONTA]],BaseContasDRE[#All],5,FALSE)),"Fora do DRE",VLOOKUP(Base_Periodo1[[#This Row],[CONTA]],BaseContasDRE[#All],6,FALSE))</f>
        <v>Fora do DRE</v>
      </c>
      <c r="U3326" s="3" t="str">
        <f>IF(ISERROR(VLOOKUP(Base_Periodo1[[#This Row],[CONTA]],BaseContasDRE[#All],7,FALSE)),"Fora do DRE",VLOOKUP(Base_Periodo1[[#This Row],[CONTA]],BaseContasDRE[#All],7,FALSE))</f>
        <v>Fora do DRE</v>
      </c>
      <c r="V3326" s="3" t="str">
        <f>IF(Base_Periodo1[[#This Row],[Tipo_Linha]]="Fora do DRE","Fora do DRE","( "&amp;Base_Periodo1[[#This Row],[Tipo_Linha]]&amp;" ) "&amp;Base_Periodo1[[#This Row],[Filtro]])</f>
        <v>Fora do DRE</v>
      </c>
      <c r="W3326" s="3" t="str">
        <f>LEFT(Base_Periodo1[[#This Row],[CLASS]],3)</f>
        <v>2.1</v>
      </c>
    </row>
    <row r="3327" spans="1:23" hidden="1">
      <c r="A3327" s="3" t="str">
        <f t="shared" si="51"/>
        <v>Período 1</v>
      </c>
      <c r="B3327">
        <v>10456</v>
      </c>
      <c r="C3327" t="s">
        <v>2010</v>
      </c>
      <c r="D3327" t="s">
        <v>6429</v>
      </c>
      <c r="E3327" s="3" t="str">
        <f>IF(LEN(Base_Periodo1[[#This Row],[CLASS]])&gt;=7,LEFT(Base_Periodo1[[#This Row],[CLASS]],7),"")</f>
        <v>2.1.2.2</v>
      </c>
      <c r="F3327" s="3" t="str">
        <f>VLOOKUP(Base_Periodo1[[#This Row],[Aux]],Base_Contas_Balanco[#All],2,FALSE)</f>
        <v>Fornecedores Não Cooperados</v>
      </c>
      <c r="G3327" s="1">
        <v>42860</v>
      </c>
      <c r="I3327" s="225">
        <v>247.5</v>
      </c>
      <c r="J3327" s="225">
        <v>247.5</v>
      </c>
      <c r="K3327" s="225">
        <v>3.637978807091713E-12</v>
      </c>
      <c r="L33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27" s="225">
        <f>ROUND(IF(AND(Base_Periodo1[[#This Row],[Tipo_Linha]]="-",Base_Periodo1[[#This Row],[TIPOSALDO]]="D"),Base_Periodo1[[#This Row],[SALDO_ATUAL]]*-1,Base_Periodo1[[#This Row],[SALDO_ATUAL]]),4)</f>
        <v>0</v>
      </c>
      <c r="N3327" t="s">
        <v>116</v>
      </c>
      <c r="O3327" t="s">
        <v>436</v>
      </c>
      <c r="P3327" t="s">
        <v>436</v>
      </c>
      <c r="Q3327">
        <v>7</v>
      </c>
      <c r="R3327" s="225">
        <f>Base_Periodo1[[#This Row],[CREDITOS]]-Base_Periodo1[[#This Row],[DEBITOS]]</f>
        <v>0</v>
      </c>
      <c r="S3327" s="3" t="str">
        <f>IF(ISERROR(VLOOKUP(Base_Periodo1[[#This Row],[CONTA]],BaseContasDRE[#All],4,FALSE)),"Fora do DRE",VLOOKUP(Base_Periodo1[[#This Row],[CONTA]],BaseContasDRE[#All],4,FALSE))</f>
        <v>Fora do DRE</v>
      </c>
      <c r="T3327" s="3" t="str">
        <f>IF(ISERROR(VLOOKUP(Base_Periodo1[[#This Row],[CONTA]],BaseContasDRE[#All],5,FALSE)),"Fora do DRE",VLOOKUP(Base_Periodo1[[#This Row],[CONTA]],BaseContasDRE[#All],6,FALSE))</f>
        <v>Fora do DRE</v>
      </c>
      <c r="U3327" s="3" t="str">
        <f>IF(ISERROR(VLOOKUP(Base_Periodo1[[#This Row],[CONTA]],BaseContasDRE[#All],7,FALSE)),"Fora do DRE",VLOOKUP(Base_Periodo1[[#This Row],[CONTA]],BaseContasDRE[#All],7,FALSE))</f>
        <v>Fora do DRE</v>
      </c>
      <c r="V3327" s="3" t="str">
        <f>IF(Base_Periodo1[[#This Row],[Tipo_Linha]]="Fora do DRE","Fora do DRE","( "&amp;Base_Periodo1[[#This Row],[Tipo_Linha]]&amp;" ) "&amp;Base_Periodo1[[#This Row],[Filtro]])</f>
        <v>Fora do DRE</v>
      </c>
      <c r="W3327" s="3" t="str">
        <f>LEFT(Base_Periodo1[[#This Row],[CLASS]],3)</f>
        <v>2.1</v>
      </c>
    </row>
    <row r="3328" spans="1:23" hidden="1">
      <c r="A3328" s="3" t="str">
        <f t="shared" si="51"/>
        <v>Período 1</v>
      </c>
      <c r="B3328">
        <v>7778</v>
      </c>
      <c r="C3328" t="s">
        <v>2010</v>
      </c>
      <c r="D3328" t="s">
        <v>5647</v>
      </c>
      <c r="E3328" s="3" t="str">
        <f>IF(LEN(Base_Periodo1[[#This Row],[CLASS]])&gt;=7,LEFT(Base_Periodo1[[#This Row],[CLASS]],7),"")</f>
        <v>2.1.2.2</v>
      </c>
      <c r="F3328" s="3" t="str">
        <f>VLOOKUP(Base_Periodo1[[#This Row],[Aux]],Base_Contas_Balanco[#All],2,FALSE)</f>
        <v>Fornecedores Não Cooperados</v>
      </c>
      <c r="G3328" s="1">
        <v>42865</v>
      </c>
      <c r="I3328" s="225">
        <v>5873.1</v>
      </c>
      <c r="J3328" s="225">
        <v>5873.1</v>
      </c>
      <c r="K3328" s="225">
        <v>0</v>
      </c>
      <c r="L33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28" s="225">
        <f>ROUND(IF(AND(Base_Periodo1[[#This Row],[Tipo_Linha]]="-",Base_Periodo1[[#This Row],[TIPOSALDO]]="D"),Base_Periodo1[[#This Row],[SALDO_ATUAL]]*-1,Base_Periodo1[[#This Row],[SALDO_ATUAL]]),4)</f>
        <v>0</v>
      </c>
      <c r="N3328" t="s">
        <v>116</v>
      </c>
      <c r="O3328" t="s">
        <v>436</v>
      </c>
      <c r="P3328" t="s">
        <v>436</v>
      </c>
      <c r="Q3328">
        <v>7</v>
      </c>
      <c r="R3328" s="225">
        <f>Base_Periodo1[[#This Row],[CREDITOS]]-Base_Periodo1[[#This Row],[DEBITOS]]</f>
        <v>0</v>
      </c>
      <c r="S3328" s="3" t="str">
        <f>IF(ISERROR(VLOOKUP(Base_Periodo1[[#This Row],[CONTA]],BaseContasDRE[#All],4,FALSE)),"Fora do DRE",VLOOKUP(Base_Periodo1[[#This Row],[CONTA]],BaseContasDRE[#All],4,FALSE))</f>
        <v>Fora do DRE</v>
      </c>
      <c r="T3328" s="3" t="str">
        <f>IF(ISERROR(VLOOKUP(Base_Periodo1[[#This Row],[CONTA]],BaseContasDRE[#All],5,FALSE)),"Fora do DRE",VLOOKUP(Base_Periodo1[[#This Row],[CONTA]],BaseContasDRE[#All],6,FALSE))</f>
        <v>Fora do DRE</v>
      </c>
      <c r="U3328" s="3" t="str">
        <f>IF(ISERROR(VLOOKUP(Base_Periodo1[[#This Row],[CONTA]],BaseContasDRE[#All],7,FALSE)),"Fora do DRE",VLOOKUP(Base_Periodo1[[#This Row],[CONTA]],BaseContasDRE[#All],7,FALSE))</f>
        <v>Fora do DRE</v>
      </c>
      <c r="V3328" s="3" t="str">
        <f>IF(Base_Periodo1[[#This Row],[Tipo_Linha]]="Fora do DRE","Fora do DRE","( "&amp;Base_Periodo1[[#This Row],[Tipo_Linha]]&amp;" ) "&amp;Base_Periodo1[[#This Row],[Filtro]])</f>
        <v>Fora do DRE</v>
      </c>
      <c r="W3328" s="3" t="str">
        <f>LEFT(Base_Periodo1[[#This Row],[CLASS]],3)</f>
        <v>2.1</v>
      </c>
    </row>
    <row r="3329" spans="1:23" hidden="1">
      <c r="A3329" s="3" t="str">
        <f t="shared" si="51"/>
        <v>Período 1</v>
      </c>
      <c r="B3329">
        <v>50640</v>
      </c>
      <c r="C3329" t="s">
        <v>2010</v>
      </c>
      <c r="D3329" t="s">
        <v>4424</v>
      </c>
      <c r="E3329" s="3" t="str">
        <f>IF(LEN(Base_Periodo1[[#This Row],[CLASS]])&gt;=7,LEFT(Base_Periodo1[[#This Row],[CLASS]],7),"")</f>
        <v>2.1.2.2</v>
      </c>
      <c r="F3329" s="3" t="str">
        <f>VLOOKUP(Base_Periodo1[[#This Row],[Aux]],Base_Contas_Balanco[#All],2,FALSE)</f>
        <v>Fornecedores Não Cooperados</v>
      </c>
      <c r="G3329" s="1">
        <v>42871</v>
      </c>
      <c r="I3329" s="225">
        <v>14824</v>
      </c>
      <c r="J3329" s="225">
        <v>14824</v>
      </c>
      <c r="K3329" s="225">
        <v>0</v>
      </c>
      <c r="L33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29" s="225">
        <f>ROUND(IF(AND(Base_Periodo1[[#This Row],[Tipo_Linha]]="-",Base_Periodo1[[#This Row],[TIPOSALDO]]="D"),Base_Periodo1[[#This Row],[SALDO_ATUAL]]*-1,Base_Periodo1[[#This Row],[SALDO_ATUAL]]),4)</f>
        <v>0</v>
      </c>
      <c r="N3329" t="s">
        <v>116</v>
      </c>
      <c r="O3329" t="s">
        <v>436</v>
      </c>
      <c r="P3329" t="s">
        <v>436</v>
      </c>
      <c r="Q3329">
        <v>7</v>
      </c>
      <c r="R3329" s="225">
        <f>Base_Periodo1[[#This Row],[CREDITOS]]-Base_Periodo1[[#This Row],[DEBITOS]]</f>
        <v>0</v>
      </c>
      <c r="S3329" s="3" t="str">
        <f>IF(ISERROR(VLOOKUP(Base_Periodo1[[#This Row],[CONTA]],BaseContasDRE[#All],4,FALSE)),"Fora do DRE",VLOOKUP(Base_Periodo1[[#This Row],[CONTA]],BaseContasDRE[#All],4,FALSE))</f>
        <v>Fora do DRE</v>
      </c>
      <c r="T3329" s="3" t="str">
        <f>IF(ISERROR(VLOOKUP(Base_Periodo1[[#This Row],[CONTA]],BaseContasDRE[#All],5,FALSE)),"Fora do DRE",VLOOKUP(Base_Periodo1[[#This Row],[CONTA]],BaseContasDRE[#All],6,FALSE))</f>
        <v>Fora do DRE</v>
      </c>
      <c r="U3329" s="3" t="str">
        <f>IF(ISERROR(VLOOKUP(Base_Periodo1[[#This Row],[CONTA]],BaseContasDRE[#All],7,FALSE)),"Fora do DRE",VLOOKUP(Base_Periodo1[[#This Row],[CONTA]],BaseContasDRE[#All],7,FALSE))</f>
        <v>Fora do DRE</v>
      </c>
      <c r="V3329" s="3" t="str">
        <f>IF(Base_Periodo1[[#This Row],[Tipo_Linha]]="Fora do DRE","Fora do DRE","( "&amp;Base_Periodo1[[#This Row],[Tipo_Linha]]&amp;" ) "&amp;Base_Periodo1[[#This Row],[Filtro]])</f>
        <v>Fora do DRE</v>
      </c>
      <c r="W3329" s="3" t="str">
        <f>LEFT(Base_Periodo1[[#This Row],[CLASS]],3)</f>
        <v>2.1</v>
      </c>
    </row>
    <row r="3330" spans="1:23" hidden="1">
      <c r="A3330" s="3" t="str">
        <f t="shared" si="51"/>
        <v>Período 1</v>
      </c>
      <c r="B3330">
        <v>59211</v>
      </c>
      <c r="C3330" t="s">
        <v>2010</v>
      </c>
      <c r="D3330" t="s">
        <v>6935</v>
      </c>
      <c r="E3330" s="3" t="str">
        <f>IF(LEN(Base_Periodo1[[#This Row],[CLASS]])&gt;=7,LEFT(Base_Periodo1[[#This Row],[CLASS]],7),"")</f>
        <v>2.1.2.2</v>
      </c>
      <c r="F3330" s="3" t="str">
        <f>VLOOKUP(Base_Periodo1[[#This Row],[Aux]],Base_Contas_Balanco[#All],2,FALSE)</f>
        <v>Fornecedores Não Cooperados</v>
      </c>
      <c r="G3330" s="1">
        <v>42881</v>
      </c>
      <c r="I3330" s="225">
        <v>60</v>
      </c>
      <c r="J3330" s="225">
        <v>60</v>
      </c>
      <c r="K3330" s="225">
        <v>0</v>
      </c>
      <c r="L33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30" s="225">
        <f>ROUND(IF(AND(Base_Periodo1[[#This Row],[Tipo_Linha]]="-",Base_Periodo1[[#This Row],[TIPOSALDO]]="D"),Base_Periodo1[[#This Row],[SALDO_ATUAL]]*-1,Base_Periodo1[[#This Row],[SALDO_ATUAL]]),4)</f>
        <v>0</v>
      </c>
      <c r="N3330" t="s">
        <v>116</v>
      </c>
      <c r="O3330" t="s">
        <v>436</v>
      </c>
      <c r="P3330" t="s">
        <v>436</v>
      </c>
      <c r="Q3330">
        <v>7</v>
      </c>
      <c r="R3330" s="225">
        <f>Base_Periodo1[[#This Row],[CREDITOS]]-Base_Periodo1[[#This Row],[DEBITOS]]</f>
        <v>0</v>
      </c>
      <c r="S3330" s="3" t="str">
        <f>IF(ISERROR(VLOOKUP(Base_Periodo1[[#This Row],[CONTA]],BaseContasDRE[#All],4,FALSE)),"Fora do DRE",VLOOKUP(Base_Periodo1[[#This Row],[CONTA]],BaseContasDRE[#All],4,FALSE))</f>
        <v>Fora do DRE</v>
      </c>
      <c r="T3330" s="3" t="str">
        <f>IF(ISERROR(VLOOKUP(Base_Periodo1[[#This Row],[CONTA]],BaseContasDRE[#All],5,FALSE)),"Fora do DRE",VLOOKUP(Base_Periodo1[[#This Row],[CONTA]],BaseContasDRE[#All],6,FALSE))</f>
        <v>Fora do DRE</v>
      </c>
      <c r="U3330" s="3" t="str">
        <f>IF(ISERROR(VLOOKUP(Base_Periodo1[[#This Row],[CONTA]],BaseContasDRE[#All],7,FALSE)),"Fora do DRE",VLOOKUP(Base_Periodo1[[#This Row],[CONTA]],BaseContasDRE[#All],7,FALSE))</f>
        <v>Fora do DRE</v>
      </c>
      <c r="V3330" s="3" t="str">
        <f>IF(Base_Periodo1[[#This Row],[Tipo_Linha]]="Fora do DRE","Fora do DRE","( "&amp;Base_Periodo1[[#This Row],[Tipo_Linha]]&amp;" ) "&amp;Base_Periodo1[[#This Row],[Filtro]])</f>
        <v>Fora do DRE</v>
      </c>
      <c r="W3330" s="3" t="str">
        <f>LEFT(Base_Periodo1[[#This Row],[CLASS]],3)</f>
        <v>2.1</v>
      </c>
    </row>
    <row r="3331" spans="1:23" hidden="1">
      <c r="A3331" s="3" t="str">
        <f t="shared" si="51"/>
        <v>Período 1</v>
      </c>
      <c r="B3331">
        <v>7822</v>
      </c>
      <c r="C3331" t="s">
        <v>2010</v>
      </c>
      <c r="D3331" t="s">
        <v>931</v>
      </c>
      <c r="E3331" s="3" t="str">
        <f>IF(LEN(Base_Periodo1[[#This Row],[CLASS]])&gt;=7,LEFT(Base_Periodo1[[#This Row],[CLASS]],7),"")</f>
        <v>2.1.2.2</v>
      </c>
      <c r="F3331" s="3" t="str">
        <f>VLOOKUP(Base_Periodo1[[#This Row],[Aux]],Base_Contas_Balanco[#All],2,FALSE)</f>
        <v>Fornecedores Não Cooperados</v>
      </c>
      <c r="G3331" s="1">
        <v>42836</v>
      </c>
      <c r="H3331" s="225">
        <v>4386.7199999988079</v>
      </c>
      <c r="I3331" s="225">
        <v>0</v>
      </c>
      <c r="J3331" s="225">
        <v>0</v>
      </c>
      <c r="K3331" s="225">
        <v>4386.7199999988079</v>
      </c>
      <c r="L33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4386.72</v>
      </c>
      <c r="M3331" s="225">
        <f>ROUND(IF(AND(Base_Periodo1[[#This Row],[Tipo_Linha]]="-",Base_Periodo1[[#This Row],[TIPOSALDO]]="D"),Base_Periodo1[[#This Row],[SALDO_ATUAL]]*-1,Base_Periodo1[[#This Row],[SALDO_ATUAL]]),4)</f>
        <v>4386.72</v>
      </c>
      <c r="N3331" t="s">
        <v>116</v>
      </c>
      <c r="O3331" t="s">
        <v>459</v>
      </c>
      <c r="P3331" t="s">
        <v>459</v>
      </c>
      <c r="Q3331">
        <v>7</v>
      </c>
      <c r="R3331" s="225">
        <f>Base_Periodo1[[#This Row],[CREDITOS]]-Base_Periodo1[[#This Row],[DEBITOS]]</f>
        <v>0</v>
      </c>
      <c r="S3331" s="3" t="str">
        <f>IF(ISERROR(VLOOKUP(Base_Periodo1[[#This Row],[CONTA]],BaseContasDRE[#All],4,FALSE)),"Fora do DRE",VLOOKUP(Base_Periodo1[[#This Row],[CONTA]],BaseContasDRE[#All],4,FALSE))</f>
        <v>Fora do DRE</v>
      </c>
      <c r="T3331" s="3" t="str">
        <f>IF(ISERROR(VLOOKUP(Base_Periodo1[[#This Row],[CONTA]],BaseContasDRE[#All],5,FALSE)),"Fora do DRE",VLOOKUP(Base_Periodo1[[#This Row],[CONTA]],BaseContasDRE[#All],6,FALSE))</f>
        <v>Fora do DRE</v>
      </c>
      <c r="U3331" s="3" t="str">
        <f>IF(ISERROR(VLOOKUP(Base_Periodo1[[#This Row],[CONTA]],BaseContasDRE[#All],7,FALSE)),"Fora do DRE",VLOOKUP(Base_Periodo1[[#This Row],[CONTA]],BaseContasDRE[#All],7,FALSE))</f>
        <v>Fora do DRE</v>
      </c>
      <c r="V3331" s="3" t="str">
        <f>IF(Base_Periodo1[[#This Row],[Tipo_Linha]]="Fora do DRE","Fora do DRE","( "&amp;Base_Periodo1[[#This Row],[Tipo_Linha]]&amp;" ) "&amp;Base_Periodo1[[#This Row],[Filtro]])</f>
        <v>Fora do DRE</v>
      </c>
      <c r="W3331" s="3" t="str">
        <f>LEFT(Base_Periodo1[[#This Row],[CLASS]],3)</f>
        <v>2.1</v>
      </c>
    </row>
    <row r="3332" spans="1:23" hidden="1">
      <c r="A3332" s="3" t="str">
        <f t="shared" si="51"/>
        <v>Período 1</v>
      </c>
      <c r="B3332">
        <v>54323</v>
      </c>
      <c r="C3332" t="s">
        <v>2010</v>
      </c>
      <c r="D3332" t="s">
        <v>5020</v>
      </c>
      <c r="E3332" s="3" t="str">
        <f>IF(LEN(Base_Periodo1[[#This Row],[CLASS]])&gt;=7,LEFT(Base_Periodo1[[#This Row],[CLASS]],7),"")</f>
        <v>2.1.2.2</v>
      </c>
      <c r="F3332" s="3" t="str">
        <f>VLOOKUP(Base_Periodo1[[#This Row],[Aux]],Base_Contas_Balanco[#All],2,FALSE)</f>
        <v>Fornecedores Não Cooperados</v>
      </c>
      <c r="G3332" s="1">
        <v>42885</v>
      </c>
      <c r="H3332" s="225">
        <v>481659.19999999995</v>
      </c>
      <c r="I3332" s="225">
        <v>342243.03</v>
      </c>
      <c r="J3332" s="225">
        <v>342243.03</v>
      </c>
      <c r="K3332" s="225">
        <v>481659.19999999995</v>
      </c>
      <c r="L33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481659.2</v>
      </c>
      <c r="M3332" s="225">
        <f>ROUND(IF(AND(Base_Periodo1[[#This Row],[Tipo_Linha]]="-",Base_Periodo1[[#This Row],[TIPOSALDO]]="D"),Base_Periodo1[[#This Row],[SALDO_ATUAL]]*-1,Base_Periodo1[[#This Row],[SALDO_ATUAL]]),4)</f>
        <v>481659.2</v>
      </c>
      <c r="N3332" t="s">
        <v>116</v>
      </c>
      <c r="O3332" t="s">
        <v>459</v>
      </c>
      <c r="P3332" t="s">
        <v>459</v>
      </c>
      <c r="Q3332">
        <v>7</v>
      </c>
      <c r="R3332" s="225">
        <f>Base_Periodo1[[#This Row],[CREDITOS]]-Base_Periodo1[[#This Row],[DEBITOS]]</f>
        <v>0</v>
      </c>
      <c r="S3332" s="3" t="str">
        <f>IF(ISERROR(VLOOKUP(Base_Periodo1[[#This Row],[CONTA]],BaseContasDRE[#All],4,FALSE)),"Fora do DRE",VLOOKUP(Base_Periodo1[[#This Row],[CONTA]],BaseContasDRE[#All],4,FALSE))</f>
        <v>Fora do DRE</v>
      </c>
      <c r="T3332" s="3" t="str">
        <f>IF(ISERROR(VLOOKUP(Base_Periodo1[[#This Row],[CONTA]],BaseContasDRE[#All],5,FALSE)),"Fora do DRE",VLOOKUP(Base_Periodo1[[#This Row],[CONTA]],BaseContasDRE[#All],6,FALSE))</f>
        <v>Fora do DRE</v>
      </c>
      <c r="U3332" s="3" t="str">
        <f>IF(ISERROR(VLOOKUP(Base_Periodo1[[#This Row],[CONTA]],BaseContasDRE[#All],7,FALSE)),"Fora do DRE",VLOOKUP(Base_Periodo1[[#This Row],[CONTA]],BaseContasDRE[#All],7,FALSE))</f>
        <v>Fora do DRE</v>
      </c>
      <c r="V3332" s="3" t="str">
        <f>IF(Base_Periodo1[[#This Row],[Tipo_Linha]]="Fora do DRE","Fora do DRE","( "&amp;Base_Periodo1[[#This Row],[Tipo_Linha]]&amp;" ) "&amp;Base_Periodo1[[#This Row],[Filtro]])</f>
        <v>Fora do DRE</v>
      </c>
      <c r="W3332" s="3" t="str">
        <f>LEFT(Base_Periodo1[[#This Row],[CLASS]],3)</f>
        <v>2.1</v>
      </c>
    </row>
    <row r="3333" spans="1:23" hidden="1">
      <c r="A3333" s="3" t="str">
        <f t="shared" si="51"/>
        <v>Período 1</v>
      </c>
      <c r="B3333">
        <v>59373</v>
      </c>
      <c r="C3333" t="s">
        <v>2010</v>
      </c>
      <c r="D3333" t="s">
        <v>6936</v>
      </c>
      <c r="E3333" s="3" t="str">
        <f>IF(LEN(Base_Periodo1[[#This Row],[CLASS]])&gt;=7,LEFT(Base_Periodo1[[#This Row],[CLASS]],7),"")</f>
        <v>2.1.2.2</v>
      </c>
      <c r="F3333" s="3" t="str">
        <f>VLOOKUP(Base_Periodo1[[#This Row],[Aux]],Base_Contas_Balanco[#All],2,FALSE)</f>
        <v>Fornecedores Não Cooperados</v>
      </c>
      <c r="G3333" s="1">
        <v>42886</v>
      </c>
      <c r="I3333" s="225">
        <v>5872.5</v>
      </c>
      <c r="J3333" s="225">
        <v>19575</v>
      </c>
      <c r="K3333" s="225">
        <v>13702.5</v>
      </c>
      <c r="L33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13702.5</v>
      </c>
      <c r="M3333" s="225">
        <f>ROUND(IF(AND(Base_Periodo1[[#This Row],[Tipo_Linha]]="-",Base_Periodo1[[#This Row],[TIPOSALDO]]="D"),Base_Periodo1[[#This Row],[SALDO_ATUAL]]*-1,Base_Periodo1[[#This Row],[SALDO_ATUAL]]),4)</f>
        <v>13702.5</v>
      </c>
      <c r="N3333" t="s">
        <v>116</v>
      </c>
      <c r="O3333" t="s">
        <v>436</v>
      </c>
      <c r="P3333" t="s">
        <v>459</v>
      </c>
      <c r="Q3333">
        <v>7</v>
      </c>
      <c r="R3333" s="225">
        <f>Base_Periodo1[[#This Row],[CREDITOS]]-Base_Periodo1[[#This Row],[DEBITOS]]</f>
        <v>13702.5</v>
      </c>
      <c r="S3333" s="3" t="str">
        <f>IF(ISERROR(VLOOKUP(Base_Periodo1[[#This Row],[CONTA]],BaseContasDRE[#All],4,FALSE)),"Fora do DRE",VLOOKUP(Base_Periodo1[[#This Row],[CONTA]],BaseContasDRE[#All],4,FALSE))</f>
        <v>Fora do DRE</v>
      </c>
      <c r="T3333" s="3" t="str">
        <f>IF(ISERROR(VLOOKUP(Base_Periodo1[[#This Row],[CONTA]],BaseContasDRE[#All],5,FALSE)),"Fora do DRE",VLOOKUP(Base_Periodo1[[#This Row],[CONTA]],BaseContasDRE[#All],6,FALSE))</f>
        <v>Fora do DRE</v>
      </c>
      <c r="U3333" s="3" t="str">
        <f>IF(ISERROR(VLOOKUP(Base_Periodo1[[#This Row],[CONTA]],BaseContasDRE[#All],7,FALSE)),"Fora do DRE",VLOOKUP(Base_Periodo1[[#This Row],[CONTA]],BaseContasDRE[#All],7,FALSE))</f>
        <v>Fora do DRE</v>
      </c>
      <c r="V3333" s="3" t="str">
        <f>IF(Base_Periodo1[[#This Row],[Tipo_Linha]]="Fora do DRE","Fora do DRE","( "&amp;Base_Periodo1[[#This Row],[Tipo_Linha]]&amp;" ) "&amp;Base_Periodo1[[#This Row],[Filtro]])</f>
        <v>Fora do DRE</v>
      </c>
      <c r="W3333" s="3" t="str">
        <f>LEFT(Base_Periodo1[[#This Row],[CLASS]],3)</f>
        <v>2.1</v>
      </c>
    </row>
    <row r="3334" spans="1:23" hidden="1">
      <c r="A3334" s="3" t="str">
        <f t="shared" ref="A3334:A3397" si="52">"Período 1"</f>
        <v>Período 1</v>
      </c>
      <c r="B3334">
        <v>18771</v>
      </c>
      <c r="C3334" t="s">
        <v>2010</v>
      </c>
      <c r="D3334" t="s">
        <v>5432</v>
      </c>
      <c r="E3334" s="3" t="str">
        <f>IF(LEN(Base_Periodo1[[#This Row],[CLASS]])&gt;=7,LEFT(Base_Periodo1[[#This Row],[CLASS]],7),"")</f>
        <v>2.1.2.2</v>
      </c>
      <c r="F3334" s="3" t="str">
        <f>VLOOKUP(Base_Periodo1[[#This Row],[Aux]],Base_Contas_Balanco[#All],2,FALSE)</f>
        <v>Fornecedores Não Cooperados</v>
      </c>
      <c r="G3334" s="1">
        <v>42886</v>
      </c>
      <c r="I3334" s="225">
        <v>0</v>
      </c>
      <c r="J3334" s="225">
        <v>1499.68</v>
      </c>
      <c r="K3334" s="225">
        <v>1499.68</v>
      </c>
      <c r="L33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1499.68</v>
      </c>
      <c r="M3334" s="225">
        <f>ROUND(IF(AND(Base_Periodo1[[#This Row],[Tipo_Linha]]="-",Base_Periodo1[[#This Row],[TIPOSALDO]]="D"),Base_Periodo1[[#This Row],[SALDO_ATUAL]]*-1,Base_Periodo1[[#This Row],[SALDO_ATUAL]]),4)</f>
        <v>1499.68</v>
      </c>
      <c r="N3334" t="s">
        <v>116</v>
      </c>
      <c r="O3334" t="s">
        <v>436</v>
      </c>
      <c r="P3334" t="s">
        <v>459</v>
      </c>
      <c r="Q3334">
        <v>7</v>
      </c>
      <c r="R3334" s="225">
        <f>Base_Periodo1[[#This Row],[CREDITOS]]-Base_Periodo1[[#This Row],[DEBITOS]]</f>
        <v>1499.68</v>
      </c>
      <c r="S3334" s="3" t="str">
        <f>IF(ISERROR(VLOOKUP(Base_Periodo1[[#This Row],[CONTA]],BaseContasDRE[#All],4,FALSE)),"Fora do DRE",VLOOKUP(Base_Periodo1[[#This Row],[CONTA]],BaseContasDRE[#All],4,FALSE))</f>
        <v>Fora do DRE</v>
      </c>
      <c r="T3334" s="3" t="str">
        <f>IF(ISERROR(VLOOKUP(Base_Periodo1[[#This Row],[CONTA]],BaseContasDRE[#All],5,FALSE)),"Fora do DRE",VLOOKUP(Base_Periodo1[[#This Row],[CONTA]],BaseContasDRE[#All],6,FALSE))</f>
        <v>Fora do DRE</v>
      </c>
      <c r="U3334" s="3" t="str">
        <f>IF(ISERROR(VLOOKUP(Base_Periodo1[[#This Row],[CONTA]],BaseContasDRE[#All],7,FALSE)),"Fora do DRE",VLOOKUP(Base_Periodo1[[#This Row],[CONTA]],BaseContasDRE[#All],7,FALSE))</f>
        <v>Fora do DRE</v>
      </c>
      <c r="V3334" s="3" t="str">
        <f>IF(Base_Periodo1[[#This Row],[Tipo_Linha]]="Fora do DRE","Fora do DRE","( "&amp;Base_Periodo1[[#This Row],[Tipo_Linha]]&amp;" ) "&amp;Base_Periodo1[[#This Row],[Filtro]])</f>
        <v>Fora do DRE</v>
      </c>
      <c r="W3334" s="3" t="str">
        <f>LEFT(Base_Periodo1[[#This Row],[CLASS]],3)</f>
        <v>2.1</v>
      </c>
    </row>
    <row r="3335" spans="1:23" hidden="1">
      <c r="A3335" s="3" t="str">
        <f t="shared" si="52"/>
        <v>Período 1</v>
      </c>
      <c r="B3335">
        <v>11262</v>
      </c>
      <c r="C3335" t="s">
        <v>2010</v>
      </c>
      <c r="D3335" t="s">
        <v>4363</v>
      </c>
      <c r="E3335" s="3" t="str">
        <f>IF(LEN(Base_Periodo1[[#This Row],[CLASS]])&gt;=7,LEFT(Base_Periodo1[[#This Row],[CLASS]],7),"")</f>
        <v>2.1.2.2</v>
      </c>
      <c r="F3335" s="3" t="str">
        <f>VLOOKUP(Base_Periodo1[[#This Row],[Aux]],Base_Contas_Balanco[#All],2,FALSE)</f>
        <v>Fornecedores Não Cooperados</v>
      </c>
      <c r="G3335" s="1">
        <v>42880</v>
      </c>
      <c r="I3335" s="225">
        <v>355</v>
      </c>
      <c r="J3335" s="225">
        <v>355</v>
      </c>
      <c r="K3335" s="225">
        <v>0</v>
      </c>
      <c r="L33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35" s="225">
        <f>ROUND(IF(AND(Base_Periodo1[[#This Row],[Tipo_Linha]]="-",Base_Periodo1[[#This Row],[TIPOSALDO]]="D"),Base_Periodo1[[#This Row],[SALDO_ATUAL]]*-1,Base_Periodo1[[#This Row],[SALDO_ATUAL]]),4)</f>
        <v>0</v>
      </c>
      <c r="N3335" t="s">
        <v>116</v>
      </c>
      <c r="O3335" t="s">
        <v>436</v>
      </c>
      <c r="P3335" t="s">
        <v>436</v>
      </c>
      <c r="Q3335">
        <v>7</v>
      </c>
      <c r="R3335" s="225">
        <f>Base_Periodo1[[#This Row],[CREDITOS]]-Base_Periodo1[[#This Row],[DEBITOS]]</f>
        <v>0</v>
      </c>
      <c r="S3335" s="3" t="str">
        <f>IF(ISERROR(VLOOKUP(Base_Periodo1[[#This Row],[CONTA]],BaseContasDRE[#All],4,FALSE)),"Fora do DRE",VLOOKUP(Base_Periodo1[[#This Row],[CONTA]],BaseContasDRE[#All],4,FALSE))</f>
        <v>Fora do DRE</v>
      </c>
      <c r="T3335" s="3" t="str">
        <f>IF(ISERROR(VLOOKUP(Base_Periodo1[[#This Row],[CONTA]],BaseContasDRE[#All],5,FALSE)),"Fora do DRE",VLOOKUP(Base_Periodo1[[#This Row],[CONTA]],BaseContasDRE[#All],6,FALSE))</f>
        <v>Fora do DRE</v>
      </c>
      <c r="U3335" s="3" t="str">
        <f>IF(ISERROR(VLOOKUP(Base_Periodo1[[#This Row],[CONTA]],BaseContasDRE[#All],7,FALSE)),"Fora do DRE",VLOOKUP(Base_Periodo1[[#This Row],[CONTA]],BaseContasDRE[#All],7,FALSE))</f>
        <v>Fora do DRE</v>
      </c>
      <c r="V3335" s="3" t="str">
        <f>IF(Base_Periodo1[[#This Row],[Tipo_Linha]]="Fora do DRE","Fora do DRE","( "&amp;Base_Periodo1[[#This Row],[Tipo_Linha]]&amp;" ) "&amp;Base_Periodo1[[#This Row],[Filtro]])</f>
        <v>Fora do DRE</v>
      </c>
      <c r="W3335" s="3" t="str">
        <f>LEFT(Base_Periodo1[[#This Row],[CLASS]],3)</f>
        <v>2.1</v>
      </c>
    </row>
    <row r="3336" spans="1:23" hidden="1">
      <c r="A3336" s="3" t="str">
        <f t="shared" si="52"/>
        <v>Período 1</v>
      </c>
      <c r="B3336">
        <v>29785</v>
      </c>
      <c r="C3336" t="s">
        <v>2010</v>
      </c>
      <c r="D3336" t="s">
        <v>4951</v>
      </c>
      <c r="E3336" s="3" t="str">
        <f>IF(LEN(Base_Periodo1[[#This Row],[CLASS]])&gt;=7,LEFT(Base_Periodo1[[#This Row],[CLASS]],7),"")</f>
        <v>2.1.2.2</v>
      </c>
      <c r="F3336" s="3" t="str">
        <f>VLOOKUP(Base_Periodo1[[#This Row],[Aux]],Base_Contas_Balanco[#All],2,FALSE)</f>
        <v>Fornecedores Não Cooperados</v>
      </c>
      <c r="G3336" s="1">
        <v>42858</v>
      </c>
      <c r="H3336" s="225">
        <v>6800</v>
      </c>
      <c r="I3336" s="225">
        <v>6800</v>
      </c>
      <c r="J3336" s="225">
        <v>0</v>
      </c>
      <c r="K3336" s="225">
        <v>0</v>
      </c>
      <c r="L33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36" s="225">
        <f>ROUND(IF(AND(Base_Periodo1[[#This Row],[Tipo_Linha]]="-",Base_Periodo1[[#This Row],[TIPOSALDO]]="D"),Base_Periodo1[[#This Row],[SALDO_ATUAL]]*-1,Base_Periodo1[[#This Row],[SALDO_ATUAL]]),4)</f>
        <v>0</v>
      </c>
      <c r="N3336" t="s">
        <v>116</v>
      </c>
      <c r="O3336" t="s">
        <v>459</v>
      </c>
      <c r="P3336" t="s">
        <v>436</v>
      </c>
      <c r="Q3336">
        <v>7</v>
      </c>
      <c r="R3336" s="225">
        <f>Base_Periodo1[[#This Row],[CREDITOS]]-Base_Periodo1[[#This Row],[DEBITOS]]</f>
        <v>-6800</v>
      </c>
      <c r="S3336" s="3" t="str">
        <f>IF(ISERROR(VLOOKUP(Base_Periodo1[[#This Row],[CONTA]],BaseContasDRE[#All],4,FALSE)),"Fora do DRE",VLOOKUP(Base_Periodo1[[#This Row],[CONTA]],BaseContasDRE[#All],4,FALSE))</f>
        <v>Fora do DRE</v>
      </c>
      <c r="T3336" s="3" t="str">
        <f>IF(ISERROR(VLOOKUP(Base_Periodo1[[#This Row],[CONTA]],BaseContasDRE[#All],5,FALSE)),"Fora do DRE",VLOOKUP(Base_Periodo1[[#This Row],[CONTA]],BaseContasDRE[#All],6,FALSE))</f>
        <v>Fora do DRE</v>
      </c>
      <c r="U3336" s="3" t="str">
        <f>IF(ISERROR(VLOOKUP(Base_Periodo1[[#This Row],[CONTA]],BaseContasDRE[#All],7,FALSE)),"Fora do DRE",VLOOKUP(Base_Periodo1[[#This Row],[CONTA]],BaseContasDRE[#All],7,FALSE))</f>
        <v>Fora do DRE</v>
      </c>
      <c r="V3336" s="3" t="str">
        <f>IF(Base_Periodo1[[#This Row],[Tipo_Linha]]="Fora do DRE","Fora do DRE","( "&amp;Base_Periodo1[[#This Row],[Tipo_Linha]]&amp;" ) "&amp;Base_Periodo1[[#This Row],[Filtro]])</f>
        <v>Fora do DRE</v>
      </c>
      <c r="W3336" s="3" t="str">
        <f>LEFT(Base_Periodo1[[#This Row],[CLASS]],3)</f>
        <v>2.1</v>
      </c>
    </row>
    <row r="3337" spans="1:23" hidden="1">
      <c r="A3337" s="3" t="str">
        <f t="shared" si="52"/>
        <v>Período 1</v>
      </c>
      <c r="B3337">
        <v>32520</v>
      </c>
      <c r="C3337" t="s">
        <v>2010</v>
      </c>
      <c r="D3337" t="s">
        <v>6430</v>
      </c>
      <c r="E3337" s="3" t="str">
        <f>IF(LEN(Base_Periodo1[[#This Row],[CLASS]])&gt;=7,LEFT(Base_Periodo1[[#This Row],[CLASS]],7),"")</f>
        <v>2.1.2.2</v>
      </c>
      <c r="F3337" s="3" t="str">
        <f>VLOOKUP(Base_Periodo1[[#This Row],[Aux]],Base_Contas_Balanco[#All],2,FALSE)</f>
        <v>Fornecedores Não Cooperados</v>
      </c>
      <c r="G3337" s="1">
        <v>42880</v>
      </c>
      <c r="I3337" s="225">
        <v>0</v>
      </c>
      <c r="J3337" s="225">
        <v>21650</v>
      </c>
      <c r="K3337" s="225">
        <v>21650</v>
      </c>
      <c r="L33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21650</v>
      </c>
      <c r="M3337" s="225">
        <f>ROUND(IF(AND(Base_Periodo1[[#This Row],[Tipo_Linha]]="-",Base_Periodo1[[#This Row],[TIPOSALDO]]="D"),Base_Periodo1[[#This Row],[SALDO_ATUAL]]*-1,Base_Periodo1[[#This Row],[SALDO_ATUAL]]),4)</f>
        <v>21650</v>
      </c>
      <c r="N3337" t="s">
        <v>116</v>
      </c>
      <c r="O3337" t="s">
        <v>436</v>
      </c>
      <c r="P3337" t="s">
        <v>459</v>
      </c>
      <c r="Q3337">
        <v>7</v>
      </c>
      <c r="R3337" s="225">
        <f>Base_Periodo1[[#This Row],[CREDITOS]]-Base_Periodo1[[#This Row],[DEBITOS]]</f>
        <v>21650</v>
      </c>
      <c r="S3337" s="3" t="str">
        <f>IF(ISERROR(VLOOKUP(Base_Periodo1[[#This Row],[CONTA]],BaseContasDRE[#All],4,FALSE)),"Fora do DRE",VLOOKUP(Base_Periodo1[[#This Row],[CONTA]],BaseContasDRE[#All],4,FALSE))</f>
        <v>Fora do DRE</v>
      </c>
      <c r="T3337" s="3" t="str">
        <f>IF(ISERROR(VLOOKUP(Base_Periodo1[[#This Row],[CONTA]],BaseContasDRE[#All],5,FALSE)),"Fora do DRE",VLOOKUP(Base_Periodo1[[#This Row],[CONTA]],BaseContasDRE[#All],6,FALSE))</f>
        <v>Fora do DRE</v>
      </c>
      <c r="U3337" s="3" t="str">
        <f>IF(ISERROR(VLOOKUP(Base_Periodo1[[#This Row],[CONTA]],BaseContasDRE[#All],7,FALSE)),"Fora do DRE",VLOOKUP(Base_Periodo1[[#This Row],[CONTA]],BaseContasDRE[#All],7,FALSE))</f>
        <v>Fora do DRE</v>
      </c>
      <c r="V3337" s="3" t="str">
        <f>IF(Base_Periodo1[[#This Row],[Tipo_Linha]]="Fora do DRE","Fora do DRE","( "&amp;Base_Periodo1[[#This Row],[Tipo_Linha]]&amp;" ) "&amp;Base_Periodo1[[#This Row],[Filtro]])</f>
        <v>Fora do DRE</v>
      </c>
      <c r="W3337" s="3" t="str">
        <f>LEFT(Base_Periodo1[[#This Row],[CLASS]],3)</f>
        <v>2.1</v>
      </c>
    </row>
    <row r="3338" spans="1:23" hidden="1">
      <c r="A3338" s="3" t="str">
        <f t="shared" si="52"/>
        <v>Período 1</v>
      </c>
      <c r="B3338">
        <v>8054</v>
      </c>
      <c r="C3338" t="s">
        <v>2010</v>
      </c>
      <c r="D3338" t="s">
        <v>6150</v>
      </c>
      <c r="E3338" s="3" t="str">
        <f>IF(LEN(Base_Periodo1[[#This Row],[CLASS]])&gt;=7,LEFT(Base_Periodo1[[#This Row],[CLASS]],7),"")</f>
        <v>2.1.2.2</v>
      </c>
      <c r="F3338" s="3" t="str">
        <f>VLOOKUP(Base_Periodo1[[#This Row],[Aux]],Base_Contas_Balanco[#All],2,FALSE)</f>
        <v>Fornecedores Não Cooperados</v>
      </c>
      <c r="G3338" s="1">
        <v>42886</v>
      </c>
      <c r="H3338" s="225">
        <v>34835.200000000012</v>
      </c>
      <c r="I3338" s="225">
        <v>3168</v>
      </c>
      <c r="J3338" s="225">
        <v>12960</v>
      </c>
      <c r="K3338" s="225">
        <v>44627.200000000012</v>
      </c>
      <c r="L33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44627.199999999997</v>
      </c>
      <c r="M3338" s="225">
        <f>ROUND(IF(AND(Base_Periodo1[[#This Row],[Tipo_Linha]]="-",Base_Periodo1[[#This Row],[TIPOSALDO]]="D"),Base_Periodo1[[#This Row],[SALDO_ATUAL]]*-1,Base_Periodo1[[#This Row],[SALDO_ATUAL]]),4)</f>
        <v>44627.199999999997</v>
      </c>
      <c r="N3338" t="s">
        <v>116</v>
      </c>
      <c r="O3338" t="s">
        <v>459</v>
      </c>
      <c r="P3338" t="s">
        <v>459</v>
      </c>
      <c r="Q3338">
        <v>7</v>
      </c>
      <c r="R3338" s="225">
        <f>Base_Periodo1[[#This Row],[CREDITOS]]-Base_Periodo1[[#This Row],[DEBITOS]]</f>
        <v>9792</v>
      </c>
      <c r="S3338" s="3" t="str">
        <f>IF(ISERROR(VLOOKUP(Base_Periodo1[[#This Row],[CONTA]],BaseContasDRE[#All],4,FALSE)),"Fora do DRE",VLOOKUP(Base_Periodo1[[#This Row],[CONTA]],BaseContasDRE[#All],4,FALSE))</f>
        <v>Fora do DRE</v>
      </c>
      <c r="T3338" s="3" t="str">
        <f>IF(ISERROR(VLOOKUP(Base_Periodo1[[#This Row],[CONTA]],BaseContasDRE[#All],5,FALSE)),"Fora do DRE",VLOOKUP(Base_Periodo1[[#This Row],[CONTA]],BaseContasDRE[#All],6,FALSE))</f>
        <v>Fora do DRE</v>
      </c>
      <c r="U3338" s="3" t="str">
        <f>IF(ISERROR(VLOOKUP(Base_Periodo1[[#This Row],[CONTA]],BaseContasDRE[#All],7,FALSE)),"Fora do DRE",VLOOKUP(Base_Periodo1[[#This Row],[CONTA]],BaseContasDRE[#All],7,FALSE))</f>
        <v>Fora do DRE</v>
      </c>
      <c r="V3338" s="3" t="str">
        <f>IF(Base_Periodo1[[#This Row],[Tipo_Linha]]="Fora do DRE","Fora do DRE","( "&amp;Base_Periodo1[[#This Row],[Tipo_Linha]]&amp;" ) "&amp;Base_Periodo1[[#This Row],[Filtro]])</f>
        <v>Fora do DRE</v>
      </c>
      <c r="W3338" s="3" t="str">
        <f>LEFT(Base_Periodo1[[#This Row],[CLASS]],3)</f>
        <v>2.1</v>
      </c>
    </row>
    <row r="3339" spans="1:23" hidden="1">
      <c r="A3339" s="3" t="str">
        <f t="shared" si="52"/>
        <v>Período 1</v>
      </c>
      <c r="B3339">
        <v>20725</v>
      </c>
      <c r="C3339" t="s">
        <v>2010</v>
      </c>
      <c r="D3339" t="s">
        <v>5073</v>
      </c>
      <c r="E3339" s="3" t="str">
        <f>IF(LEN(Base_Periodo1[[#This Row],[CLASS]])&gt;=7,LEFT(Base_Periodo1[[#This Row],[CLASS]],7),"")</f>
        <v>2.1.2.2</v>
      </c>
      <c r="F3339" s="3" t="str">
        <f>VLOOKUP(Base_Periodo1[[#This Row],[Aux]],Base_Contas_Balanco[#All],2,FALSE)</f>
        <v>Fornecedores Não Cooperados</v>
      </c>
      <c r="G3339" s="1">
        <v>42885</v>
      </c>
      <c r="H3339" s="225">
        <v>1877.1000000000131</v>
      </c>
      <c r="I3339" s="225">
        <v>1581.8</v>
      </c>
      <c r="J3339" s="225">
        <v>345</v>
      </c>
      <c r="K3339" s="225">
        <v>640.30000000001314</v>
      </c>
      <c r="L33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640.29999999999995</v>
      </c>
      <c r="M3339" s="225">
        <f>ROUND(IF(AND(Base_Periodo1[[#This Row],[Tipo_Linha]]="-",Base_Periodo1[[#This Row],[TIPOSALDO]]="D"),Base_Periodo1[[#This Row],[SALDO_ATUAL]]*-1,Base_Periodo1[[#This Row],[SALDO_ATUAL]]),4)</f>
        <v>640.29999999999995</v>
      </c>
      <c r="N3339" t="s">
        <v>116</v>
      </c>
      <c r="O3339" t="s">
        <v>459</v>
      </c>
      <c r="P3339" t="s">
        <v>459</v>
      </c>
      <c r="Q3339">
        <v>7</v>
      </c>
      <c r="R3339" s="225">
        <f>Base_Periodo1[[#This Row],[CREDITOS]]-Base_Periodo1[[#This Row],[DEBITOS]]</f>
        <v>-1236.8</v>
      </c>
      <c r="S3339" s="3" t="str">
        <f>IF(ISERROR(VLOOKUP(Base_Periodo1[[#This Row],[CONTA]],BaseContasDRE[#All],4,FALSE)),"Fora do DRE",VLOOKUP(Base_Periodo1[[#This Row],[CONTA]],BaseContasDRE[#All],4,FALSE))</f>
        <v>Fora do DRE</v>
      </c>
      <c r="T3339" s="3" t="str">
        <f>IF(ISERROR(VLOOKUP(Base_Periodo1[[#This Row],[CONTA]],BaseContasDRE[#All],5,FALSE)),"Fora do DRE",VLOOKUP(Base_Periodo1[[#This Row],[CONTA]],BaseContasDRE[#All],6,FALSE))</f>
        <v>Fora do DRE</v>
      </c>
      <c r="U3339" s="3" t="str">
        <f>IF(ISERROR(VLOOKUP(Base_Periodo1[[#This Row],[CONTA]],BaseContasDRE[#All],7,FALSE)),"Fora do DRE",VLOOKUP(Base_Periodo1[[#This Row],[CONTA]],BaseContasDRE[#All],7,FALSE))</f>
        <v>Fora do DRE</v>
      </c>
      <c r="V3339" s="3" t="str">
        <f>IF(Base_Periodo1[[#This Row],[Tipo_Linha]]="Fora do DRE","Fora do DRE","( "&amp;Base_Periodo1[[#This Row],[Tipo_Linha]]&amp;" ) "&amp;Base_Periodo1[[#This Row],[Filtro]])</f>
        <v>Fora do DRE</v>
      </c>
      <c r="W3339" s="3" t="str">
        <f>LEFT(Base_Periodo1[[#This Row],[CLASS]],3)</f>
        <v>2.1</v>
      </c>
    </row>
    <row r="3340" spans="1:23" hidden="1">
      <c r="A3340" s="3" t="str">
        <f t="shared" si="52"/>
        <v>Período 1</v>
      </c>
      <c r="B3340">
        <v>56590</v>
      </c>
      <c r="C3340" t="s">
        <v>2010</v>
      </c>
      <c r="D3340" t="s">
        <v>5963</v>
      </c>
      <c r="E3340" s="3" t="str">
        <f>IF(LEN(Base_Periodo1[[#This Row],[CLASS]])&gt;=7,LEFT(Base_Periodo1[[#This Row],[CLASS]],7),"")</f>
        <v>2.1.2.2</v>
      </c>
      <c r="F3340" s="3" t="str">
        <f>VLOOKUP(Base_Periodo1[[#This Row],[Aux]],Base_Contas_Balanco[#All],2,FALSE)</f>
        <v>Fornecedores Não Cooperados</v>
      </c>
      <c r="G3340" s="1">
        <v>42870</v>
      </c>
      <c r="H3340" s="225">
        <v>11536.400000000001</v>
      </c>
      <c r="I3340" s="225">
        <v>11536.4</v>
      </c>
      <c r="J3340" s="225">
        <v>0</v>
      </c>
      <c r="K3340" s="225">
        <v>-1.8189894035458565E-12</v>
      </c>
      <c r="L33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40" s="225">
        <f>ROUND(IF(AND(Base_Periodo1[[#This Row],[Tipo_Linha]]="-",Base_Periodo1[[#This Row],[TIPOSALDO]]="D"),Base_Periodo1[[#This Row],[SALDO_ATUAL]]*-1,Base_Periodo1[[#This Row],[SALDO_ATUAL]]),4)</f>
        <v>0</v>
      </c>
      <c r="N3340" t="s">
        <v>116</v>
      </c>
      <c r="O3340" t="s">
        <v>459</v>
      </c>
      <c r="P3340" t="s">
        <v>436</v>
      </c>
      <c r="Q3340">
        <v>7</v>
      </c>
      <c r="R3340" s="225">
        <f>Base_Periodo1[[#This Row],[CREDITOS]]-Base_Periodo1[[#This Row],[DEBITOS]]</f>
        <v>-11536.4</v>
      </c>
      <c r="S3340" s="3" t="str">
        <f>IF(ISERROR(VLOOKUP(Base_Periodo1[[#This Row],[CONTA]],BaseContasDRE[#All],4,FALSE)),"Fora do DRE",VLOOKUP(Base_Periodo1[[#This Row],[CONTA]],BaseContasDRE[#All],4,FALSE))</f>
        <v>Fora do DRE</v>
      </c>
      <c r="T3340" s="3" t="str">
        <f>IF(ISERROR(VLOOKUP(Base_Periodo1[[#This Row],[CONTA]],BaseContasDRE[#All],5,FALSE)),"Fora do DRE",VLOOKUP(Base_Periodo1[[#This Row],[CONTA]],BaseContasDRE[#All],6,FALSE))</f>
        <v>Fora do DRE</v>
      </c>
      <c r="U3340" s="3" t="str">
        <f>IF(ISERROR(VLOOKUP(Base_Periodo1[[#This Row],[CONTA]],BaseContasDRE[#All],7,FALSE)),"Fora do DRE",VLOOKUP(Base_Periodo1[[#This Row],[CONTA]],BaseContasDRE[#All],7,FALSE))</f>
        <v>Fora do DRE</v>
      </c>
      <c r="V3340" s="3" t="str">
        <f>IF(Base_Periodo1[[#This Row],[Tipo_Linha]]="Fora do DRE","Fora do DRE","( "&amp;Base_Periodo1[[#This Row],[Tipo_Linha]]&amp;" ) "&amp;Base_Periodo1[[#This Row],[Filtro]])</f>
        <v>Fora do DRE</v>
      </c>
      <c r="W3340" s="3" t="str">
        <f>LEFT(Base_Periodo1[[#This Row],[CLASS]],3)</f>
        <v>2.1</v>
      </c>
    </row>
    <row r="3341" spans="1:23" hidden="1">
      <c r="A3341" s="3" t="str">
        <f t="shared" si="52"/>
        <v>Período 1</v>
      </c>
      <c r="B3341">
        <v>28694</v>
      </c>
      <c r="C3341" t="s">
        <v>2010</v>
      </c>
      <c r="D3341" t="s">
        <v>2026</v>
      </c>
      <c r="E3341" s="3" t="str">
        <f>IF(LEN(Base_Periodo1[[#This Row],[CLASS]])&gt;=7,LEFT(Base_Periodo1[[#This Row],[CLASS]],7),"")</f>
        <v>2.1.2.2</v>
      </c>
      <c r="F3341" s="3" t="str">
        <f>VLOOKUP(Base_Periodo1[[#This Row],[Aux]],Base_Contas_Balanco[#All],2,FALSE)</f>
        <v>Fornecedores Não Cooperados</v>
      </c>
      <c r="G3341" s="1">
        <v>42884</v>
      </c>
      <c r="H3341" s="225">
        <v>264.59000000000378</v>
      </c>
      <c r="I3341" s="225">
        <v>264.58999999999997</v>
      </c>
      <c r="J3341" s="225">
        <v>273.49</v>
      </c>
      <c r="K3341" s="225">
        <v>273.49000000000382</v>
      </c>
      <c r="L33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273.49</v>
      </c>
      <c r="M3341" s="225">
        <f>ROUND(IF(AND(Base_Periodo1[[#This Row],[Tipo_Linha]]="-",Base_Periodo1[[#This Row],[TIPOSALDO]]="D"),Base_Periodo1[[#This Row],[SALDO_ATUAL]]*-1,Base_Periodo1[[#This Row],[SALDO_ATUAL]]),4)</f>
        <v>273.49</v>
      </c>
      <c r="N3341" t="s">
        <v>116</v>
      </c>
      <c r="O3341" t="s">
        <v>459</v>
      </c>
      <c r="P3341" t="s">
        <v>459</v>
      </c>
      <c r="Q3341">
        <v>7</v>
      </c>
      <c r="R3341" s="225">
        <f>Base_Periodo1[[#This Row],[CREDITOS]]-Base_Periodo1[[#This Row],[DEBITOS]]</f>
        <v>8.9000000000000341</v>
      </c>
      <c r="S3341" s="3" t="str">
        <f>IF(ISERROR(VLOOKUP(Base_Periodo1[[#This Row],[CONTA]],BaseContasDRE[#All],4,FALSE)),"Fora do DRE",VLOOKUP(Base_Periodo1[[#This Row],[CONTA]],BaseContasDRE[#All],4,FALSE))</f>
        <v>Fora do DRE</v>
      </c>
      <c r="T3341" s="3" t="str">
        <f>IF(ISERROR(VLOOKUP(Base_Periodo1[[#This Row],[CONTA]],BaseContasDRE[#All],5,FALSE)),"Fora do DRE",VLOOKUP(Base_Periodo1[[#This Row],[CONTA]],BaseContasDRE[#All],6,FALSE))</f>
        <v>Fora do DRE</v>
      </c>
      <c r="U3341" s="3" t="str">
        <f>IF(ISERROR(VLOOKUP(Base_Periodo1[[#This Row],[CONTA]],BaseContasDRE[#All],7,FALSE)),"Fora do DRE",VLOOKUP(Base_Periodo1[[#This Row],[CONTA]],BaseContasDRE[#All],7,FALSE))</f>
        <v>Fora do DRE</v>
      </c>
      <c r="V3341" s="3" t="str">
        <f>IF(Base_Periodo1[[#This Row],[Tipo_Linha]]="Fora do DRE","Fora do DRE","( "&amp;Base_Periodo1[[#This Row],[Tipo_Linha]]&amp;" ) "&amp;Base_Periodo1[[#This Row],[Filtro]])</f>
        <v>Fora do DRE</v>
      </c>
      <c r="W3341" s="3" t="str">
        <f>LEFT(Base_Periodo1[[#This Row],[CLASS]],3)</f>
        <v>2.1</v>
      </c>
    </row>
    <row r="3342" spans="1:23" hidden="1">
      <c r="A3342" s="3" t="str">
        <f t="shared" si="52"/>
        <v>Período 1</v>
      </c>
      <c r="B3342">
        <v>49124</v>
      </c>
      <c r="C3342" t="s">
        <v>2010</v>
      </c>
      <c r="D3342" t="s">
        <v>4952</v>
      </c>
      <c r="E3342" s="3" t="str">
        <f>IF(LEN(Base_Periodo1[[#This Row],[CLASS]])&gt;=7,LEFT(Base_Periodo1[[#This Row],[CLASS]],7),"")</f>
        <v>2.1.2.2</v>
      </c>
      <c r="F3342" s="3" t="str">
        <f>VLOOKUP(Base_Periodo1[[#This Row],[Aux]],Base_Contas_Balanco[#All],2,FALSE)</f>
        <v>Fornecedores Não Cooperados</v>
      </c>
      <c r="G3342" s="1">
        <v>42885</v>
      </c>
      <c r="H3342" s="225">
        <v>5231</v>
      </c>
      <c r="I3342" s="225">
        <v>5354.08</v>
      </c>
      <c r="J3342" s="225">
        <v>3966.75</v>
      </c>
      <c r="K3342" s="225">
        <v>3843.67</v>
      </c>
      <c r="L33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3843.67</v>
      </c>
      <c r="M3342" s="225">
        <f>ROUND(IF(AND(Base_Periodo1[[#This Row],[Tipo_Linha]]="-",Base_Periodo1[[#This Row],[TIPOSALDO]]="D"),Base_Periodo1[[#This Row],[SALDO_ATUAL]]*-1,Base_Periodo1[[#This Row],[SALDO_ATUAL]]),4)</f>
        <v>3843.67</v>
      </c>
      <c r="N3342" t="s">
        <v>116</v>
      </c>
      <c r="O3342" t="s">
        <v>459</v>
      </c>
      <c r="P3342" t="s">
        <v>459</v>
      </c>
      <c r="Q3342">
        <v>7</v>
      </c>
      <c r="R3342" s="225">
        <f>Base_Periodo1[[#This Row],[CREDITOS]]-Base_Periodo1[[#This Row],[DEBITOS]]</f>
        <v>-1387.33</v>
      </c>
      <c r="S3342" s="3" t="str">
        <f>IF(ISERROR(VLOOKUP(Base_Periodo1[[#This Row],[CONTA]],BaseContasDRE[#All],4,FALSE)),"Fora do DRE",VLOOKUP(Base_Periodo1[[#This Row],[CONTA]],BaseContasDRE[#All],4,FALSE))</f>
        <v>Fora do DRE</v>
      </c>
      <c r="T3342" s="3" t="str">
        <f>IF(ISERROR(VLOOKUP(Base_Periodo1[[#This Row],[CONTA]],BaseContasDRE[#All],5,FALSE)),"Fora do DRE",VLOOKUP(Base_Periodo1[[#This Row],[CONTA]],BaseContasDRE[#All],6,FALSE))</f>
        <v>Fora do DRE</v>
      </c>
      <c r="U3342" s="3" t="str">
        <f>IF(ISERROR(VLOOKUP(Base_Periodo1[[#This Row],[CONTA]],BaseContasDRE[#All],7,FALSE)),"Fora do DRE",VLOOKUP(Base_Periodo1[[#This Row],[CONTA]],BaseContasDRE[#All],7,FALSE))</f>
        <v>Fora do DRE</v>
      </c>
      <c r="V3342" s="3" t="str">
        <f>IF(Base_Periodo1[[#This Row],[Tipo_Linha]]="Fora do DRE","Fora do DRE","( "&amp;Base_Periodo1[[#This Row],[Tipo_Linha]]&amp;" ) "&amp;Base_Periodo1[[#This Row],[Filtro]])</f>
        <v>Fora do DRE</v>
      </c>
      <c r="W3342" s="3" t="str">
        <f>LEFT(Base_Periodo1[[#This Row],[CLASS]],3)</f>
        <v>2.1</v>
      </c>
    </row>
    <row r="3343" spans="1:23" hidden="1">
      <c r="A3343" s="3" t="str">
        <f t="shared" si="52"/>
        <v>Período 1</v>
      </c>
      <c r="B3343">
        <v>47678</v>
      </c>
      <c r="C3343" t="s">
        <v>2010</v>
      </c>
      <c r="D3343" t="s">
        <v>6431</v>
      </c>
      <c r="E3343" s="3" t="str">
        <f>IF(LEN(Base_Periodo1[[#This Row],[CLASS]])&gt;=7,LEFT(Base_Periodo1[[#This Row],[CLASS]],7),"")</f>
        <v>2.1.2.2</v>
      </c>
      <c r="F3343" s="3" t="str">
        <f>VLOOKUP(Base_Periodo1[[#This Row],[Aux]],Base_Contas_Balanco[#All],2,FALSE)</f>
        <v>Fornecedores Não Cooperados</v>
      </c>
      <c r="G3343" s="1">
        <v>42877</v>
      </c>
      <c r="H3343" s="225">
        <v>7400.0000000000018</v>
      </c>
      <c r="I3343" s="225">
        <v>7400</v>
      </c>
      <c r="J3343" s="225">
        <v>0</v>
      </c>
      <c r="K3343" s="225">
        <v>-1.8189894035458565E-12</v>
      </c>
      <c r="L33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43" s="225">
        <f>ROUND(IF(AND(Base_Periodo1[[#This Row],[Tipo_Linha]]="-",Base_Periodo1[[#This Row],[TIPOSALDO]]="D"),Base_Periodo1[[#This Row],[SALDO_ATUAL]]*-1,Base_Periodo1[[#This Row],[SALDO_ATUAL]]),4)</f>
        <v>0</v>
      </c>
      <c r="N3343" t="s">
        <v>116</v>
      </c>
      <c r="O3343" t="s">
        <v>459</v>
      </c>
      <c r="P3343" t="s">
        <v>436</v>
      </c>
      <c r="Q3343">
        <v>7</v>
      </c>
      <c r="R3343" s="225">
        <f>Base_Periodo1[[#This Row],[CREDITOS]]-Base_Periodo1[[#This Row],[DEBITOS]]</f>
        <v>-7400</v>
      </c>
      <c r="S3343" s="3" t="str">
        <f>IF(ISERROR(VLOOKUP(Base_Periodo1[[#This Row],[CONTA]],BaseContasDRE[#All],4,FALSE)),"Fora do DRE",VLOOKUP(Base_Periodo1[[#This Row],[CONTA]],BaseContasDRE[#All],4,FALSE))</f>
        <v>Fora do DRE</v>
      </c>
      <c r="T3343" s="3" t="str">
        <f>IF(ISERROR(VLOOKUP(Base_Periodo1[[#This Row],[CONTA]],BaseContasDRE[#All],5,FALSE)),"Fora do DRE",VLOOKUP(Base_Periodo1[[#This Row],[CONTA]],BaseContasDRE[#All],6,FALSE))</f>
        <v>Fora do DRE</v>
      </c>
      <c r="U3343" s="3" t="str">
        <f>IF(ISERROR(VLOOKUP(Base_Periodo1[[#This Row],[CONTA]],BaseContasDRE[#All],7,FALSE)),"Fora do DRE",VLOOKUP(Base_Periodo1[[#This Row],[CONTA]],BaseContasDRE[#All],7,FALSE))</f>
        <v>Fora do DRE</v>
      </c>
      <c r="V3343" s="3" t="str">
        <f>IF(Base_Periodo1[[#This Row],[Tipo_Linha]]="Fora do DRE","Fora do DRE","( "&amp;Base_Periodo1[[#This Row],[Tipo_Linha]]&amp;" ) "&amp;Base_Periodo1[[#This Row],[Filtro]])</f>
        <v>Fora do DRE</v>
      </c>
      <c r="W3343" s="3" t="str">
        <f>LEFT(Base_Periodo1[[#This Row],[CLASS]],3)</f>
        <v>2.1</v>
      </c>
    </row>
    <row r="3344" spans="1:23" hidden="1">
      <c r="A3344" s="3" t="str">
        <f t="shared" si="52"/>
        <v>Período 1</v>
      </c>
      <c r="B3344">
        <v>57811</v>
      </c>
      <c r="C3344" t="s">
        <v>2010</v>
      </c>
      <c r="D3344" t="s">
        <v>6432</v>
      </c>
      <c r="E3344" s="3" t="str">
        <f>IF(LEN(Base_Periodo1[[#This Row],[CLASS]])&gt;=7,LEFT(Base_Periodo1[[#This Row],[CLASS]],7),"")</f>
        <v>2.1.2.2</v>
      </c>
      <c r="F3344" s="3" t="str">
        <f>VLOOKUP(Base_Periodo1[[#This Row],[Aux]],Base_Contas_Balanco[#All],2,FALSE)</f>
        <v>Fornecedores Não Cooperados</v>
      </c>
      <c r="G3344" s="1">
        <v>42842</v>
      </c>
      <c r="H3344" s="225">
        <v>3600000</v>
      </c>
      <c r="I3344" s="225">
        <v>0</v>
      </c>
      <c r="J3344" s="225">
        <v>0</v>
      </c>
      <c r="K3344" s="225">
        <v>3600000</v>
      </c>
      <c r="L33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3600000</v>
      </c>
      <c r="M3344" s="225">
        <f>ROUND(IF(AND(Base_Periodo1[[#This Row],[Tipo_Linha]]="-",Base_Periodo1[[#This Row],[TIPOSALDO]]="D"),Base_Periodo1[[#This Row],[SALDO_ATUAL]]*-1,Base_Periodo1[[#This Row],[SALDO_ATUAL]]),4)</f>
        <v>3600000</v>
      </c>
      <c r="N3344" t="s">
        <v>116</v>
      </c>
      <c r="O3344" t="s">
        <v>459</v>
      </c>
      <c r="P3344" t="s">
        <v>459</v>
      </c>
      <c r="Q3344">
        <v>7</v>
      </c>
      <c r="R3344" s="225">
        <f>Base_Periodo1[[#This Row],[CREDITOS]]-Base_Periodo1[[#This Row],[DEBITOS]]</f>
        <v>0</v>
      </c>
      <c r="S3344" s="3" t="str">
        <f>IF(ISERROR(VLOOKUP(Base_Periodo1[[#This Row],[CONTA]],BaseContasDRE[#All],4,FALSE)),"Fora do DRE",VLOOKUP(Base_Periodo1[[#This Row],[CONTA]],BaseContasDRE[#All],4,FALSE))</f>
        <v>Fora do DRE</v>
      </c>
      <c r="T3344" s="3" t="str">
        <f>IF(ISERROR(VLOOKUP(Base_Periodo1[[#This Row],[CONTA]],BaseContasDRE[#All],5,FALSE)),"Fora do DRE",VLOOKUP(Base_Periodo1[[#This Row],[CONTA]],BaseContasDRE[#All],6,FALSE))</f>
        <v>Fora do DRE</v>
      </c>
      <c r="U3344" s="3" t="str">
        <f>IF(ISERROR(VLOOKUP(Base_Periodo1[[#This Row],[CONTA]],BaseContasDRE[#All],7,FALSE)),"Fora do DRE",VLOOKUP(Base_Periodo1[[#This Row],[CONTA]],BaseContasDRE[#All],7,FALSE))</f>
        <v>Fora do DRE</v>
      </c>
      <c r="V3344" s="3" t="str">
        <f>IF(Base_Periodo1[[#This Row],[Tipo_Linha]]="Fora do DRE","Fora do DRE","( "&amp;Base_Periodo1[[#This Row],[Tipo_Linha]]&amp;" ) "&amp;Base_Periodo1[[#This Row],[Filtro]])</f>
        <v>Fora do DRE</v>
      </c>
      <c r="W3344" s="3" t="str">
        <f>LEFT(Base_Periodo1[[#This Row],[CLASS]],3)</f>
        <v>2.1</v>
      </c>
    </row>
    <row r="3345" spans="1:23" hidden="1">
      <c r="A3345" s="3" t="str">
        <f t="shared" si="52"/>
        <v>Período 1</v>
      </c>
      <c r="B3345">
        <v>26155</v>
      </c>
      <c r="C3345" t="s">
        <v>2010</v>
      </c>
      <c r="D3345" t="s">
        <v>5177</v>
      </c>
      <c r="E3345" s="3" t="str">
        <f>IF(LEN(Base_Periodo1[[#This Row],[CLASS]])&gt;=7,LEFT(Base_Periodo1[[#This Row],[CLASS]],7),"")</f>
        <v>2.1.2.2</v>
      </c>
      <c r="F3345" s="3" t="str">
        <f>VLOOKUP(Base_Periodo1[[#This Row],[Aux]],Base_Contas_Balanco[#All],2,FALSE)</f>
        <v>Fornecedores Não Cooperados</v>
      </c>
      <c r="G3345" s="1">
        <v>42817</v>
      </c>
      <c r="H3345" s="225">
        <v>1464.2100000000028</v>
      </c>
      <c r="I3345" s="225">
        <v>0</v>
      </c>
      <c r="J3345" s="225">
        <v>0</v>
      </c>
      <c r="K3345" s="225">
        <v>1464.2100000000028</v>
      </c>
      <c r="L33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1464.21</v>
      </c>
      <c r="M3345" s="225">
        <f>ROUND(IF(AND(Base_Periodo1[[#This Row],[Tipo_Linha]]="-",Base_Periodo1[[#This Row],[TIPOSALDO]]="D"),Base_Periodo1[[#This Row],[SALDO_ATUAL]]*-1,Base_Periodo1[[#This Row],[SALDO_ATUAL]]),4)</f>
        <v>1464.21</v>
      </c>
      <c r="N3345" t="s">
        <v>116</v>
      </c>
      <c r="O3345" t="s">
        <v>459</v>
      </c>
      <c r="P3345" t="s">
        <v>459</v>
      </c>
      <c r="Q3345">
        <v>7</v>
      </c>
      <c r="R3345" s="225">
        <f>Base_Periodo1[[#This Row],[CREDITOS]]-Base_Periodo1[[#This Row],[DEBITOS]]</f>
        <v>0</v>
      </c>
      <c r="S3345" s="3" t="str">
        <f>IF(ISERROR(VLOOKUP(Base_Periodo1[[#This Row],[CONTA]],BaseContasDRE[#All],4,FALSE)),"Fora do DRE",VLOOKUP(Base_Periodo1[[#This Row],[CONTA]],BaseContasDRE[#All],4,FALSE))</f>
        <v>Fora do DRE</v>
      </c>
      <c r="T3345" s="3" t="str">
        <f>IF(ISERROR(VLOOKUP(Base_Periodo1[[#This Row],[CONTA]],BaseContasDRE[#All],5,FALSE)),"Fora do DRE",VLOOKUP(Base_Periodo1[[#This Row],[CONTA]],BaseContasDRE[#All],6,FALSE))</f>
        <v>Fora do DRE</v>
      </c>
      <c r="U3345" s="3" t="str">
        <f>IF(ISERROR(VLOOKUP(Base_Periodo1[[#This Row],[CONTA]],BaseContasDRE[#All],7,FALSE)),"Fora do DRE",VLOOKUP(Base_Periodo1[[#This Row],[CONTA]],BaseContasDRE[#All],7,FALSE))</f>
        <v>Fora do DRE</v>
      </c>
      <c r="V3345" s="3" t="str">
        <f>IF(Base_Periodo1[[#This Row],[Tipo_Linha]]="Fora do DRE","Fora do DRE","( "&amp;Base_Periodo1[[#This Row],[Tipo_Linha]]&amp;" ) "&amp;Base_Periodo1[[#This Row],[Filtro]])</f>
        <v>Fora do DRE</v>
      </c>
      <c r="W3345" s="3" t="str">
        <f>LEFT(Base_Periodo1[[#This Row],[CLASS]],3)</f>
        <v>2.1</v>
      </c>
    </row>
    <row r="3346" spans="1:23" hidden="1">
      <c r="A3346" s="3" t="str">
        <f t="shared" si="52"/>
        <v>Período 1</v>
      </c>
      <c r="B3346">
        <v>13061</v>
      </c>
      <c r="C3346" t="s">
        <v>2010</v>
      </c>
      <c r="D3346" t="s">
        <v>6433</v>
      </c>
      <c r="E3346" s="3" t="str">
        <f>IF(LEN(Base_Periodo1[[#This Row],[CLASS]])&gt;=7,LEFT(Base_Periodo1[[#This Row],[CLASS]],7),"")</f>
        <v>2.1.2.2</v>
      </c>
      <c r="F3346" s="3" t="str">
        <f>VLOOKUP(Base_Periodo1[[#This Row],[Aux]],Base_Contas_Balanco[#All],2,FALSE)</f>
        <v>Fornecedores Não Cooperados</v>
      </c>
      <c r="G3346" s="1">
        <v>42884</v>
      </c>
      <c r="H3346" s="225">
        <v>980.00000000005821</v>
      </c>
      <c r="I3346" s="225">
        <v>18888.800000000003</v>
      </c>
      <c r="J3346" s="225">
        <v>17908.800000000003</v>
      </c>
      <c r="K3346" s="225">
        <v>-5.8207660913467407E-11</v>
      </c>
      <c r="L33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46" s="225">
        <f>ROUND(IF(AND(Base_Periodo1[[#This Row],[Tipo_Linha]]="-",Base_Periodo1[[#This Row],[TIPOSALDO]]="D"),Base_Periodo1[[#This Row],[SALDO_ATUAL]]*-1,Base_Periodo1[[#This Row],[SALDO_ATUAL]]),4)</f>
        <v>0</v>
      </c>
      <c r="N3346" t="s">
        <v>116</v>
      </c>
      <c r="O3346" t="s">
        <v>459</v>
      </c>
      <c r="P3346" t="s">
        <v>436</v>
      </c>
      <c r="Q3346">
        <v>7</v>
      </c>
      <c r="R3346" s="225">
        <f>Base_Periodo1[[#This Row],[CREDITOS]]-Base_Periodo1[[#This Row],[DEBITOS]]</f>
        <v>-980</v>
      </c>
      <c r="S3346" s="3" t="str">
        <f>IF(ISERROR(VLOOKUP(Base_Periodo1[[#This Row],[CONTA]],BaseContasDRE[#All],4,FALSE)),"Fora do DRE",VLOOKUP(Base_Periodo1[[#This Row],[CONTA]],BaseContasDRE[#All],4,FALSE))</f>
        <v>Fora do DRE</v>
      </c>
      <c r="T3346" s="3" t="str">
        <f>IF(ISERROR(VLOOKUP(Base_Periodo1[[#This Row],[CONTA]],BaseContasDRE[#All],5,FALSE)),"Fora do DRE",VLOOKUP(Base_Periodo1[[#This Row],[CONTA]],BaseContasDRE[#All],6,FALSE))</f>
        <v>Fora do DRE</v>
      </c>
      <c r="U3346" s="3" t="str">
        <f>IF(ISERROR(VLOOKUP(Base_Periodo1[[#This Row],[CONTA]],BaseContasDRE[#All],7,FALSE)),"Fora do DRE",VLOOKUP(Base_Periodo1[[#This Row],[CONTA]],BaseContasDRE[#All],7,FALSE))</f>
        <v>Fora do DRE</v>
      </c>
      <c r="V3346" s="3" t="str">
        <f>IF(Base_Periodo1[[#This Row],[Tipo_Linha]]="Fora do DRE","Fora do DRE","( "&amp;Base_Periodo1[[#This Row],[Tipo_Linha]]&amp;" ) "&amp;Base_Periodo1[[#This Row],[Filtro]])</f>
        <v>Fora do DRE</v>
      </c>
      <c r="W3346" s="3" t="str">
        <f>LEFT(Base_Periodo1[[#This Row],[CLASS]],3)</f>
        <v>2.1</v>
      </c>
    </row>
    <row r="3347" spans="1:23" hidden="1">
      <c r="A3347" s="3" t="str">
        <f t="shared" si="52"/>
        <v>Período 1</v>
      </c>
      <c r="B3347">
        <v>48647</v>
      </c>
      <c r="C3347" t="s">
        <v>2010</v>
      </c>
      <c r="D3347" t="s">
        <v>4208</v>
      </c>
      <c r="E3347" s="3" t="str">
        <f>IF(LEN(Base_Periodo1[[#This Row],[CLASS]])&gt;=7,LEFT(Base_Periodo1[[#This Row],[CLASS]],7),"")</f>
        <v>2.1.2.2</v>
      </c>
      <c r="F3347" s="3" t="str">
        <f>VLOOKUP(Base_Periodo1[[#This Row],[Aux]],Base_Contas_Balanco[#All],2,FALSE)</f>
        <v>Fornecedores Não Cooperados</v>
      </c>
      <c r="G3347" s="1">
        <v>42865</v>
      </c>
      <c r="I3347" s="225">
        <v>61</v>
      </c>
      <c r="J3347" s="225">
        <v>61</v>
      </c>
      <c r="K3347" s="225">
        <v>0</v>
      </c>
      <c r="L33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47" s="225">
        <f>ROUND(IF(AND(Base_Periodo1[[#This Row],[Tipo_Linha]]="-",Base_Periodo1[[#This Row],[TIPOSALDO]]="D"),Base_Periodo1[[#This Row],[SALDO_ATUAL]]*-1,Base_Periodo1[[#This Row],[SALDO_ATUAL]]),4)</f>
        <v>0</v>
      </c>
      <c r="N3347" t="s">
        <v>116</v>
      </c>
      <c r="O3347" t="s">
        <v>436</v>
      </c>
      <c r="P3347" t="s">
        <v>436</v>
      </c>
      <c r="Q3347">
        <v>7</v>
      </c>
      <c r="R3347" s="225">
        <f>Base_Periodo1[[#This Row],[CREDITOS]]-Base_Periodo1[[#This Row],[DEBITOS]]</f>
        <v>0</v>
      </c>
      <c r="S3347" s="3" t="str">
        <f>IF(ISERROR(VLOOKUP(Base_Periodo1[[#This Row],[CONTA]],BaseContasDRE[#All],4,FALSE)),"Fora do DRE",VLOOKUP(Base_Periodo1[[#This Row],[CONTA]],BaseContasDRE[#All],4,FALSE))</f>
        <v>Fora do DRE</v>
      </c>
      <c r="T3347" s="3" t="str">
        <f>IF(ISERROR(VLOOKUP(Base_Periodo1[[#This Row],[CONTA]],BaseContasDRE[#All],5,FALSE)),"Fora do DRE",VLOOKUP(Base_Periodo1[[#This Row],[CONTA]],BaseContasDRE[#All],6,FALSE))</f>
        <v>Fora do DRE</v>
      </c>
      <c r="U3347" s="3" t="str">
        <f>IF(ISERROR(VLOOKUP(Base_Periodo1[[#This Row],[CONTA]],BaseContasDRE[#All],7,FALSE)),"Fora do DRE",VLOOKUP(Base_Periodo1[[#This Row],[CONTA]],BaseContasDRE[#All],7,FALSE))</f>
        <v>Fora do DRE</v>
      </c>
      <c r="V3347" s="3" t="str">
        <f>IF(Base_Periodo1[[#This Row],[Tipo_Linha]]="Fora do DRE","Fora do DRE","( "&amp;Base_Periodo1[[#This Row],[Tipo_Linha]]&amp;" ) "&amp;Base_Periodo1[[#This Row],[Filtro]])</f>
        <v>Fora do DRE</v>
      </c>
      <c r="W3347" s="3" t="str">
        <f>LEFT(Base_Periodo1[[#This Row],[CLASS]],3)</f>
        <v>2.1</v>
      </c>
    </row>
    <row r="3348" spans="1:23" hidden="1">
      <c r="A3348" s="3" t="str">
        <f t="shared" si="52"/>
        <v>Período 1</v>
      </c>
      <c r="B3348">
        <v>10154</v>
      </c>
      <c r="C3348" t="s">
        <v>2010</v>
      </c>
      <c r="D3348" t="s">
        <v>2027</v>
      </c>
      <c r="E3348" s="3" t="str">
        <f>IF(LEN(Base_Periodo1[[#This Row],[CLASS]])&gt;=7,LEFT(Base_Periodo1[[#This Row],[CLASS]],7),"")</f>
        <v>2.1.2.2</v>
      </c>
      <c r="F3348" s="3" t="str">
        <f>VLOOKUP(Base_Periodo1[[#This Row],[Aux]],Base_Contas_Balanco[#All],2,FALSE)</f>
        <v>Fornecedores Não Cooperados</v>
      </c>
      <c r="G3348" s="1">
        <v>42867</v>
      </c>
      <c r="H3348" s="225">
        <v>1401.7099999999919</v>
      </c>
      <c r="I3348" s="225">
        <v>1401.71</v>
      </c>
      <c r="J3348" s="225">
        <v>1421.6</v>
      </c>
      <c r="K3348" s="225">
        <v>1421.5999999999917</v>
      </c>
      <c r="L33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1421.6</v>
      </c>
      <c r="M3348" s="225">
        <f>ROUND(IF(AND(Base_Periodo1[[#This Row],[Tipo_Linha]]="-",Base_Periodo1[[#This Row],[TIPOSALDO]]="D"),Base_Periodo1[[#This Row],[SALDO_ATUAL]]*-1,Base_Periodo1[[#This Row],[SALDO_ATUAL]]),4)</f>
        <v>1421.6</v>
      </c>
      <c r="N3348" t="s">
        <v>116</v>
      </c>
      <c r="O3348" t="s">
        <v>459</v>
      </c>
      <c r="P3348" t="s">
        <v>459</v>
      </c>
      <c r="Q3348">
        <v>7</v>
      </c>
      <c r="R3348" s="225">
        <f>Base_Periodo1[[#This Row],[CREDITOS]]-Base_Periodo1[[#This Row],[DEBITOS]]</f>
        <v>19.889999999999873</v>
      </c>
      <c r="S3348" s="3" t="str">
        <f>IF(ISERROR(VLOOKUP(Base_Periodo1[[#This Row],[CONTA]],BaseContasDRE[#All],4,FALSE)),"Fora do DRE",VLOOKUP(Base_Periodo1[[#This Row],[CONTA]],BaseContasDRE[#All],4,FALSE))</f>
        <v>Fora do DRE</v>
      </c>
      <c r="T3348" s="3" t="str">
        <f>IF(ISERROR(VLOOKUP(Base_Periodo1[[#This Row],[CONTA]],BaseContasDRE[#All],5,FALSE)),"Fora do DRE",VLOOKUP(Base_Periodo1[[#This Row],[CONTA]],BaseContasDRE[#All],6,FALSE))</f>
        <v>Fora do DRE</v>
      </c>
      <c r="U3348" s="3" t="str">
        <f>IF(ISERROR(VLOOKUP(Base_Periodo1[[#This Row],[CONTA]],BaseContasDRE[#All],7,FALSE)),"Fora do DRE",VLOOKUP(Base_Periodo1[[#This Row],[CONTA]],BaseContasDRE[#All],7,FALSE))</f>
        <v>Fora do DRE</v>
      </c>
      <c r="V3348" s="3" t="str">
        <f>IF(Base_Periodo1[[#This Row],[Tipo_Linha]]="Fora do DRE","Fora do DRE","( "&amp;Base_Periodo1[[#This Row],[Tipo_Linha]]&amp;" ) "&amp;Base_Periodo1[[#This Row],[Filtro]])</f>
        <v>Fora do DRE</v>
      </c>
      <c r="W3348" s="3" t="str">
        <f>LEFT(Base_Periodo1[[#This Row],[CLASS]],3)</f>
        <v>2.1</v>
      </c>
    </row>
    <row r="3349" spans="1:23" hidden="1">
      <c r="A3349" s="3" t="str">
        <f t="shared" si="52"/>
        <v>Período 1</v>
      </c>
      <c r="B3349">
        <v>53862</v>
      </c>
      <c r="C3349" t="s">
        <v>2010</v>
      </c>
      <c r="D3349" t="s">
        <v>6152</v>
      </c>
      <c r="E3349" s="3" t="str">
        <f>IF(LEN(Base_Periodo1[[#This Row],[CLASS]])&gt;=7,LEFT(Base_Periodo1[[#This Row],[CLASS]],7),"")</f>
        <v>2.1.2.2</v>
      </c>
      <c r="F3349" s="3" t="str">
        <f>VLOOKUP(Base_Periodo1[[#This Row],[Aux]],Base_Contas_Balanco[#All],2,FALSE)</f>
        <v>Fornecedores Não Cooperados</v>
      </c>
      <c r="G3349" s="1">
        <v>42879</v>
      </c>
      <c r="I3349" s="225">
        <v>1768</v>
      </c>
      <c r="J3349" s="225">
        <v>1768</v>
      </c>
      <c r="K3349" s="225">
        <v>0</v>
      </c>
      <c r="L33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49" s="225">
        <f>ROUND(IF(AND(Base_Periodo1[[#This Row],[Tipo_Linha]]="-",Base_Periodo1[[#This Row],[TIPOSALDO]]="D"),Base_Periodo1[[#This Row],[SALDO_ATUAL]]*-1,Base_Periodo1[[#This Row],[SALDO_ATUAL]]),4)</f>
        <v>0</v>
      </c>
      <c r="N3349" t="s">
        <v>116</v>
      </c>
      <c r="O3349" t="s">
        <v>436</v>
      </c>
      <c r="P3349" t="s">
        <v>436</v>
      </c>
      <c r="Q3349">
        <v>7</v>
      </c>
      <c r="R3349" s="225">
        <f>Base_Periodo1[[#This Row],[CREDITOS]]-Base_Periodo1[[#This Row],[DEBITOS]]</f>
        <v>0</v>
      </c>
      <c r="S3349" s="3" t="str">
        <f>IF(ISERROR(VLOOKUP(Base_Periodo1[[#This Row],[CONTA]],BaseContasDRE[#All],4,FALSE)),"Fora do DRE",VLOOKUP(Base_Periodo1[[#This Row],[CONTA]],BaseContasDRE[#All],4,FALSE))</f>
        <v>Fora do DRE</v>
      </c>
      <c r="T3349" s="3" t="str">
        <f>IF(ISERROR(VLOOKUP(Base_Periodo1[[#This Row],[CONTA]],BaseContasDRE[#All],5,FALSE)),"Fora do DRE",VLOOKUP(Base_Periodo1[[#This Row],[CONTA]],BaseContasDRE[#All],6,FALSE))</f>
        <v>Fora do DRE</v>
      </c>
      <c r="U3349" s="3" t="str">
        <f>IF(ISERROR(VLOOKUP(Base_Periodo1[[#This Row],[CONTA]],BaseContasDRE[#All],7,FALSE)),"Fora do DRE",VLOOKUP(Base_Periodo1[[#This Row],[CONTA]],BaseContasDRE[#All],7,FALSE))</f>
        <v>Fora do DRE</v>
      </c>
      <c r="V3349" s="3" t="str">
        <f>IF(Base_Periodo1[[#This Row],[Tipo_Linha]]="Fora do DRE","Fora do DRE","( "&amp;Base_Periodo1[[#This Row],[Tipo_Linha]]&amp;" ) "&amp;Base_Periodo1[[#This Row],[Filtro]])</f>
        <v>Fora do DRE</v>
      </c>
      <c r="W3349" s="3" t="str">
        <f>LEFT(Base_Periodo1[[#This Row],[CLASS]],3)</f>
        <v>2.1</v>
      </c>
    </row>
    <row r="3350" spans="1:23" hidden="1">
      <c r="A3350" s="3" t="str">
        <f t="shared" si="52"/>
        <v>Período 1</v>
      </c>
      <c r="B3350">
        <v>10489</v>
      </c>
      <c r="C3350" t="s">
        <v>2010</v>
      </c>
      <c r="D3350" t="s">
        <v>2028</v>
      </c>
      <c r="E3350" s="3" t="str">
        <f>IF(LEN(Base_Periodo1[[#This Row],[CLASS]])&gt;=7,LEFT(Base_Periodo1[[#This Row],[CLASS]],7),"")</f>
        <v>2.1.2.2</v>
      </c>
      <c r="F3350" s="3" t="str">
        <f>VLOOKUP(Base_Periodo1[[#This Row],[Aux]],Base_Contas_Balanco[#All],2,FALSE)</f>
        <v>Fornecedores Não Cooperados</v>
      </c>
      <c r="G3350" s="1">
        <v>42884</v>
      </c>
      <c r="H3350" s="225">
        <v>4314.980000003241</v>
      </c>
      <c r="I3350" s="225">
        <v>112001.64</v>
      </c>
      <c r="J3350" s="225">
        <v>108581.08</v>
      </c>
      <c r="K3350" s="225">
        <v>894.42000000324333</v>
      </c>
      <c r="L33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894.42</v>
      </c>
      <c r="M3350" s="225">
        <f>ROUND(IF(AND(Base_Periodo1[[#This Row],[Tipo_Linha]]="-",Base_Periodo1[[#This Row],[TIPOSALDO]]="D"),Base_Periodo1[[#This Row],[SALDO_ATUAL]]*-1,Base_Periodo1[[#This Row],[SALDO_ATUAL]]),4)</f>
        <v>894.42</v>
      </c>
      <c r="N3350" t="s">
        <v>116</v>
      </c>
      <c r="O3350" t="s">
        <v>459</v>
      </c>
      <c r="P3350" t="s">
        <v>459</v>
      </c>
      <c r="Q3350">
        <v>7</v>
      </c>
      <c r="R3350" s="225">
        <f>Base_Periodo1[[#This Row],[CREDITOS]]-Base_Periodo1[[#This Row],[DEBITOS]]</f>
        <v>-3420.5599999999977</v>
      </c>
      <c r="S3350" s="3" t="str">
        <f>IF(ISERROR(VLOOKUP(Base_Periodo1[[#This Row],[CONTA]],BaseContasDRE[#All],4,FALSE)),"Fora do DRE",VLOOKUP(Base_Periodo1[[#This Row],[CONTA]],BaseContasDRE[#All],4,FALSE))</f>
        <v>Fora do DRE</v>
      </c>
      <c r="T3350" s="3" t="str">
        <f>IF(ISERROR(VLOOKUP(Base_Periodo1[[#This Row],[CONTA]],BaseContasDRE[#All],5,FALSE)),"Fora do DRE",VLOOKUP(Base_Periodo1[[#This Row],[CONTA]],BaseContasDRE[#All],6,FALSE))</f>
        <v>Fora do DRE</v>
      </c>
      <c r="U3350" s="3" t="str">
        <f>IF(ISERROR(VLOOKUP(Base_Periodo1[[#This Row],[CONTA]],BaseContasDRE[#All],7,FALSE)),"Fora do DRE",VLOOKUP(Base_Periodo1[[#This Row],[CONTA]],BaseContasDRE[#All],7,FALSE))</f>
        <v>Fora do DRE</v>
      </c>
      <c r="V3350" s="3" t="str">
        <f>IF(Base_Periodo1[[#This Row],[Tipo_Linha]]="Fora do DRE","Fora do DRE","( "&amp;Base_Periodo1[[#This Row],[Tipo_Linha]]&amp;" ) "&amp;Base_Periodo1[[#This Row],[Filtro]])</f>
        <v>Fora do DRE</v>
      </c>
      <c r="W3350" s="3" t="str">
        <f>LEFT(Base_Periodo1[[#This Row],[CLASS]],3)</f>
        <v>2.1</v>
      </c>
    </row>
    <row r="3351" spans="1:23" hidden="1">
      <c r="A3351" s="3" t="str">
        <f t="shared" si="52"/>
        <v>Período 1</v>
      </c>
      <c r="B3351">
        <v>9131</v>
      </c>
      <c r="C3351" t="s">
        <v>2010</v>
      </c>
      <c r="D3351" t="s">
        <v>2029</v>
      </c>
      <c r="E3351" s="3" t="str">
        <f>IF(LEN(Base_Periodo1[[#This Row],[CLASS]])&gt;=7,LEFT(Base_Periodo1[[#This Row],[CLASS]],7),"")</f>
        <v>2.1.2.2</v>
      </c>
      <c r="F3351" s="3" t="str">
        <f>VLOOKUP(Base_Periodo1[[#This Row],[Aux]],Base_Contas_Balanco[#All],2,FALSE)</f>
        <v>Fornecedores Não Cooperados</v>
      </c>
      <c r="G3351" s="1">
        <v>42858</v>
      </c>
      <c r="H3351" s="225">
        <v>159999.99999999814</v>
      </c>
      <c r="I3351" s="225">
        <v>208591.12</v>
      </c>
      <c r="J3351" s="225">
        <v>208591.12</v>
      </c>
      <c r="K3351" s="225">
        <v>159999.99999999814</v>
      </c>
      <c r="L33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160000</v>
      </c>
      <c r="M3351" s="225">
        <f>ROUND(IF(AND(Base_Periodo1[[#This Row],[Tipo_Linha]]="-",Base_Periodo1[[#This Row],[TIPOSALDO]]="D"),Base_Periodo1[[#This Row],[SALDO_ATUAL]]*-1,Base_Periodo1[[#This Row],[SALDO_ATUAL]]),4)</f>
        <v>160000</v>
      </c>
      <c r="N3351" t="s">
        <v>116</v>
      </c>
      <c r="O3351" t="s">
        <v>459</v>
      </c>
      <c r="P3351" t="s">
        <v>459</v>
      </c>
      <c r="Q3351">
        <v>7</v>
      </c>
      <c r="R3351" s="225">
        <f>Base_Periodo1[[#This Row],[CREDITOS]]-Base_Periodo1[[#This Row],[DEBITOS]]</f>
        <v>0</v>
      </c>
      <c r="S3351" s="3" t="str">
        <f>IF(ISERROR(VLOOKUP(Base_Periodo1[[#This Row],[CONTA]],BaseContasDRE[#All],4,FALSE)),"Fora do DRE",VLOOKUP(Base_Periodo1[[#This Row],[CONTA]],BaseContasDRE[#All],4,FALSE))</f>
        <v>Fora do DRE</v>
      </c>
      <c r="T3351" s="3" t="str">
        <f>IF(ISERROR(VLOOKUP(Base_Periodo1[[#This Row],[CONTA]],BaseContasDRE[#All],5,FALSE)),"Fora do DRE",VLOOKUP(Base_Periodo1[[#This Row],[CONTA]],BaseContasDRE[#All],6,FALSE))</f>
        <v>Fora do DRE</v>
      </c>
      <c r="U3351" s="3" t="str">
        <f>IF(ISERROR(VLOOKUP(Base_Periodo1[[#This Row],[CONTA]],BaseContasDRE[#All],7,FALSE)),"Fora do DRE",VLOOKUP(Base_Periodo1[[#This Row],[CONTA]],BaseContasDRE[#All],7,FALSE))</f>
        <v>Fora do DRE</v>
      </c>
      <c r="V3351" s="3" t="str">
        <f>IF(Base_Periodo1[[#This Row],[Tipo_Linha]]="Fora do DRE","Fora do DRE","( "&amp;Base_Periodo1[[#This Row],[Tipo_Linha]]&amp;" ) "&amp;Base_Periodo1[[#This Row],[Filtro]])</f>
        <v>Fora do DRE</v>
      </c>
      <c r="W3351" s="3" t="str">
        <f>LEFT(Base_Periodo1[[#This Row],[CLASS]],3)</f>
        <v>2.1</v>
      </c>
    </row>
    <row r="3352" spans="1:23" hidden="1">
      <c r="A3352" s="3" t="str">
        <f t="shared" si="52"/>
        <v>Período 1</v>
      </c>
      <c r="B3352">
        <v>10946</v>
      </c>
      <c r="C3352" t="s">
        <v>2010</v>
      </c>
      <c r="D3352" t="s">
        <v>6434</v>
      </c>
      <c r="E3352" s="3" t="str">
        <f>IF(LEN(Base_Periodo1[[#This Row],[CLASS]])&gt;=7,LEFT(Base_Periodo1[[#This Row],[CLASS]],7),"")</f>
        <v>2.1.2.2</v>
      </c>
      <c r="F3352" s="3" t="str">
        <f>VLOOKUP(Base_Periodo1[[#This Row],[Aux]],Base_Contas_Balanco[#All],2,FALSE)</f>
        <v>Fornecedores Não Cooperados</v>
      </c>
      <c r="G3352" s="1">
        <v>42874</v>
      </c>
      <c r="I3352" s="225">
        <v>4270</v>
      </c>
      <c r="J3352" s="225">
        <v>4270</v>
      </c>
      <c r="K3352" s="225">
        <v>0</v>
      </c>
      <c r="L33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52" s="225">
        <f>ROUND(IF(AND(Base_Periodo1[[#This Row],[Tipo_Linha]]="-",Base_Periodo1[[#This Row],[TIPOSALDO]]="D"),Base_Periodo1[[#This Row],[SALDO_ATUAL]]*-1,Base_Periodo1[[#This Row],[SALDO_ATUAL]]),4)</f>
        <v>0</v>
      </c>
      <c r="N3352" t="s">
        <v>116</v>
      </c>
      <c r="O3352" t="s">
        <v>436</v>
      </c>
      <c r="P3352" t="s">
        <v>436</v>
      </c>
      <c r="Q3352">
        <v>7</v>
      </c>
      <c r="R3352" s="225">
        <f>Base_Periodo1[[#This Row],[CREDITOS]]-Base_Periodo1[[#This Row],[DEBITOS]]</f>
        <v>0</v>
      </c>
      <c r="S3352" s="3" t="str">
        <f>IF(ISERROR(VLOOKUP(Base_Periodo1[[#This Row],[CONTA]],BaseContasDRE[#All],4,FALSE)),"Fora do DRE",VLOOKUP(Base_Periodo1[[#This Row],[CONTA]],BaseContasDRE[#All],4,FALSE))</f>
        <v>Fora do DRE</v>
      </c>
      <c r="T3352" s="3" t="str">
        <f>IF(ISERROR(VLOOKUP(Base_Periodo1[[#This Row],[CONTA]],BaseContasDRE[#All],5,FALSE)),"Fora do DRE",VLOOKUP(Base_Periodo1[[#This Row],[CONTA]],BaseContasDRE[#All],6,FALSE))</f>
        <v>Fora do DRE</v>
      </c>
      <c r="U3352" s="3" t="str">
        <f>IF(ISERROR(VLOOKUP(Base_Periodo1[[#This Row],[CONTA]],BaseContasDRE[#All],7,FALSE)),"Fora do DRE",VLOOKUP(Base_Periodo1[[#This Row],[CONTA]],BaseContasDRE[#All],7,FALSE))</f>
        <v>Fora do DRE</v>
      </c>
      <c r="V3352" s="3" t="str">
        <f>IF(Base_Periodo1[[#This Row],[Tipo_Linha]]="Fora do DRE","Fora do DRE","( "&amp;Base_Periodo1[[#This Row],[Tipo_Linha]]&amp;" ) "&amp;Base_Periodo1[[#This Row],[Filtro]])</f>
        <v>Fora do DRE</v>
      </c>
      <c r="W3352" s="3" t="str">
        <f>LEFT(Base_Periodo1[[#This Row],[CLASS]],3)</f>
        <v>2.1</v>
      </c>
    </row>
    <row r="3353" spans="1:23" hidden="1">
      <c r="A3353" s="3" t="str">
        <f t="shared" si="52"/>
        <v>Período 1</v>
      </c>
      <c r="B3353">
        <v>58582</v>
      </c>
      <c r="C3353" t="s">
        <v>2010</v>
      </c>
      <c r="D3353" t="s">
        <v>6435</v>
      </c>
      <c r="E3353" s="3" t="str">
        <f>IF(LEN(Base_Periodo1[[#This Row],[CLASS]])&gt;=7,LEFT(Base_Periodo1[[#This Row],[CLASS]],7),"")</f>
        <v>2.1.2.2</v>
      </c>
      <c r="F3353" s="3" t="str">
        <f>VLOOKUP(Base_Periodo1[[#This Row],[Aux]],Base_Contas_Balanco[#All],2,FALSE)</f>
        <v>Fornecedores Não Cooperados</v>
      </c>
      <c r="G3353" s="1">
        <v>42880</v>
      </c>
      <c r="I3353" s="225">
        <v>22189.029999999995</v>
      </c>
      <c r="J3353" s="225">
        <v>22189.03</v>
      </c>
      <c r="K3353" s="225">
        <v>-3.637978807091713E-12</v>
      </c>
      <c r="L33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53" s="225">
        <f>ROUND(IF(AND(Base_Periodo1[[#This Row],[Tipo_Linha]]="-",Base_Periodo1[[#This Row],[TIPOSALDO]]="D"),Base_Periodo1[[#This Row],[SALDO_ATUAL]]*-1,Base_Periodo1[[#This Row],[SALDO_ATUAL]]),4)</f>
        <v>0</v>
      </c>
      <c r="N3353" t="s">
        <v>116</v>
      </c>
      <c r="O3353" t="s">
        <v>436</v>
      </c>
      <c r="P3353" t="s">
        <v>436</v>
      </c>
      <c r="Q3353">
        <v>7</v>
      </c>
      <c r="R3353" s="225">
        <f>Base_Periodo1[[#This Row],[CREDITOS]]-Base_Periodo1[[#This Row],[DEBITOS]]</f>
        <v>0</v>
      </c>
      <c r="S3353" s="3" t="str">
        <f>IF(ISERROR(VLOOKUP(Base_Periodo1[[#This Row],[CONTA]],BaseContasDRE[#All],4,FALSE)),"Fora do DRE",VLOOKUP(Base_Periodo1[[#This Row],[CONTA]],BaseContasDRE[#All],4,FALSE))</f>
        <v>Fora do DRE</v>
      </c>
      <c r="T3353" s="3" t="str">
        <f>IF(ISERROR(VLOOKUP(Base_Periodo1[[#This Row],[CONTA]],BaseContasDRE[#All],5,FALSE)),"Fora do DRE",VLOOKUP(Base_Periodo1[[#This Row],[CONTA]],BaseContasDRE[#All],6,FALSE))</f>
        <v>Fora do DRE</v>
      </c>
      <c r="U3353" s="3" t="str">
        <f>IF(ISERROR(VLOOKUP(Base_Periodo1[[#This Row],[CONTA]],BaseContasDRE[#All],7,FALSE)),"Fora do DRE",VLOOKUP(Base_Periodo1[[#This Row],[CONTA]],BaseContasDRE[#All],7,FALSE))</f>
        <v>Fora do DRE</v>
      </c>
      <c r="V3353" s="3" t="str">
        <f>IF(Base_Periodo1[[#This Row],[Tipo_Linha]]="Fora do DRE","Fora do DRE","( "&amp;Base_Periodo1[[#This Row],[Tipo_Linha]]&amp;" ) "&amp;Base_Periodo1[[#This Row],[Filtro]])</f>
        <v>Fora do DRE</v>
      </c>
      <c r="W3353" s="3" t="str">
        <f>LEFT(Base_Periodo1[[#This Row],[CLASS]],3)</f>
        <v>2.1</v>
      </c>
    </row>
    <row r="3354" spans="1:23" hidden="1">
      <c r="A3354" s="3" t="str">
        <f t="shared" si="52"/>
        <v>Período 1</v>
      </c>
      <c r="B3354">
        <v>11378</v>
      </c>
      <c r="C3354" t="s">
        <v>2010</v>
      </c>
      <c r="D3354" t="s">
        <v>5964</v>
      </c>
      <c r="E3354" s="3" t="str">
        <f>IF(LEN(Base_Periodo1[[#This Row],[CLASS]])&gt;=7,LEFT(Base_Periodo1[[#This Row],[CLASS]],7),"")</f>
        <v>2.1.2.2</v>
      </c>
      <c r="F3354" s="3" t="str">
        <f>VLOOKUP(Base_Periodo1[[#This Row],[Aux]],Base_Contas_Balanco[#All],2,FALSE)</f>
        <v>Fornecedores Não Cooperados</v>
      </c>
      <c r="G3354" s="1">
        <v>42881</v>
      </c>
      <c r="H3354" s="225">
        <v>336</v>
      </c>
      <c r="I3354" s="225">
        <v>336</v>
      </c>
      <c r="J3354" s="225">
        <v>272</v>
      </c>
      <c r="K3354" s="225">
        <v>272</v>
      </c>
      <c r="L33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272</v>
      </c>
      <c r="M3354" s="225">
        <f>ROUND(IF(AND(Base_Periodo1[[#This Row],[Tipo_Linha]]="-",Base_Periodo1[[#This Row],[TIPOSALDO]]="D"),Base_Periodo1[[#This Row],[SALDO_ATUAL]]*-1,Base_Periodo1[[#This Row],[SALDO_ATUAL]]),4)</f>
        <v>272</v>
      </c>
      <c r="N3354" t="s">
        <v>116</v>
      </c>
      <c r="O3354" t="s">
        <v>459</v>
      </c>
      <c r="P3354" t="s">
        <v>459</v>
      </c>
      <c r="Q3354">
        <v>7</v>
      </c>
      <c r="R3354" s="225">
        <f>Base_Periodo1[[#This Row],[CREDITOS]]-Base_Periodo1[[#This Row],[DEBITOS]]</f>
        <v>-64</v>
      </c>
      <c r="S3354" s="3" t="str">
        <f>IF(ISERROR(VLOOKUP(Base_Periodo1[[#This Row],[CONTA]],BaseContasDRE[#All],4,FALSE)),"Fora do DRE",VLOOKUP(Base_Periodo1[[#This Row],[CONTA]],BaseContasDRE[#All],4,FALSE))</f>
        <v>Fora do DRE</v>
      </c>
      <c r="T3354" s="3" t="str">
        <f>IF(ISERROR(VLOOKUP(Base_Periodo1[[#This Row],[CONTA]],BaseContasDRE[#All],5,FALSE)),"Fora do DRE",VLOOKUP(Base_Periodo1[[#This Row],[CONTA]],BaseContasDRE[#All],6,FALSE))</f>
        <v>Fora do DRE</v>
      </c>
      <c r="U3354" s="3" t="str">
        <f>IF(ISERROR(VLOOKUP(Base_Periodo1[[#This Row],[CONTA]],BaseContasDRE[#All],7,FALSE)),"Fora do DRE",VLOOKUP(Base_Periodo1[[#This Row],[CONTA]],BaseContasDRE[#All],7,FALSE))</f>
        <v>Fora do DRE</v>
      </c>
      <c r="V3354" s="3" t="str">
        <f>IF(Base_Periodo1[[#This Row],[Tipo_Linha]]="Fora do DRE","Fora do DRE","( "&amp;Base_Periodo1[[#This Row],[Tipo_Linha]]&amp;" ) "&amp;Base_Periodo1[[#This Row],[Filtro]])</f>
        <v>Fora do DRE</v>
      </c>
      <c r="W3354" s="3" t="str">
        <f>LEFT(Base_Periodo1[[#This Row],[CLASS]],3)</f>
        <v>2.1</v>
      </c>
    </row>
    <row r="3355" spans="1:23" hidden="1">
      <c r="A3355" s="3" t="str">
        <f t="shared" si="52"/>
        <v>Período 1</v>
      </c>
      <c r="B3355">
        <v>52086</v>
      </c>
      <c r="C3355" t="s">
        <v>2010</v>
      </c>
      <c r="D3355" t="s">
        <v>4644</v>
      </c>
      <c r="E3355" s="3" t="str">
        <f>IF(LEN(Base_Periodo1[[#This Row],[CLASS]])&gt;=7,LEFT(Base_Periodo1[[#This Row],[CLASS]],7),"")</f>
        <v>2.1.2.2</v>
      </c>
      <c r="F3355" s="3" t="str">
        <f>VLOOKUP(Base_Periodo1[[#This Row],[Aux]],Base_Contas_Balanco[#All],2,FALSE)</f>
        <v>Fornecedores Não Cooperados</v>
      </c>
      <c r="G3355" s="1">
        <v>42612</v>
      </c>
      <c r="H3355" s="225">
        <v>1353.9500000000007</v>
      </c>
      <c r="I3355" s="225">
        <v>0</v>
      </c>
      <c r="J3355" s="225">
        <v>0</v>
      </c>
      <c r="K3355" s="225">
        <v>1353.9500000000007</v>
      </c>
      <c r="L33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1353.95</v>
      </c>
      <c r="M3355" s="225">
        <f>ROUND(IF(AND(Base_Periodo1[[#This Row],[Tipo_Linha]]="-",Base_Periodo1[[#This Row],[TIPOSALDO]]="D"),Base_Periodo1[[#This Row],[SALDO_ATUAL]]*-1,Base_Periodo1[[#This Row],[SALDO_ATUAL]]),4)</f>
        <v>1353.95</v>
      </c>
      <c r="N3355" t="s">
        <v>116</v>
      </c>
      <c r="O3355" t="s">
        <v>459</v>
      </c>
      <c r="P3355" t="s">
        <v>459</v>
      </c>
      <c r="Q3355">
        <v>7</v>
      </c>
      <c r="R3355" s="225">
        <f>Base_Periodo1[[#This Row],[CREDITOS]]-Base_Periodo1[[#This Row],[DEBITOS]]</f>
        <v>0</v>
      </c>
      <c r="S3355" s="3" t="str">
        <f>IF(ISERROR(VLOOKUP(Base_Periodo1[[#This Row],[CONTA]],BaseContasDRE[#All],4,FALSE)),"Fora do DRE",VLOOKUP(Base_Periodo1[[#This Row],[CONTA]],BaseContasDRE[#All],4,FALSE))</f>
        <v>Fora do DRE</v>
      </c>
      <c r="T3355" s="3" t="str">
        <f>IF(ISERROR(VLOOKUP(Base_Periodo1[[#This Row],[CONTA]],BaseContasDRE[#All],5,FALSE)),"Fora do DRE",VLOOKUP(Base_Periodo1[[#This Row],[CONTA]],BaseContasDRE[#All],6,FALSE))</f>
        <v>Fora do DRE</v>
      </c>
      <c r="U3355" s="3" t="str">
        <f>IF(ISERROR(VLOOKUP(Base_Periodo1[[#This Row],[CONTA]],BaseContasDRE[#All],7,FALSE)),"Fora do DRE",VLOOKUP(Base_Periodo1[[#This Row],[CONTA]],BaseContasDRE[#All],7,FALSE))</f>
        <v>Fora do DRE</v>
      </c>
      <c r="V3355" s="3" t="str">
        <f>IF(Base_Periodo1[[#This Row],[Tipo_Linha]]="Fora do DRE","Fora do DRE","( "&amp;Base_Periodo1[[#This Row],[Tipo_Linha]]&amp;" ) "&amp;Base_Periodo1[[#This Row],[Filtro]])</f>
        <v>Fora do DRE</v>
      </c>
      <c r="W3355" s="3" t="str">
        <f>LEFT(Base_Periodo1[[#This Row],[CLASS]],3)</f>
        <v>2.1</v>
      </c>
    </row>
    <row r="3356" spans="1:23" hidden="1">
      <c r="A3356" s="3" t="str">
        <f t="shared" si="52"/>
        <v>Período 1</v>
      </c>
      <c r="B3356">
        <v>33085</v>
      </c>
      <c r="C3356" t="s">
        <v>2010</v>
      </c>
      <c r="D3356" t="s">
        <v>6155</v>
      </c>
      <c r="E3356" s="3" t="str">
        <f>IF(LEN(Base_Periodo1[[#This Row],[CLASS]])&gt;=7,LEFT(Base_Periodo1[[#This Row],[CLASS]],7),"")</f>
        <v>2.1.2.2</v>
      </c>
      <c r="F3356" s="3" t="str">
        <f>VLOOKUP(Base_Periodo1[[#This Row],[Aux]],Base_Contas_Balanco[#All],2,FALSE)</f>
        <v>Fornecedores Não Cooperados</v>
      </c>
      <c r="G3356" s="1">
        <v>42864</v>
      </c>
      <c r="H3356" s="225">
        <v>10720</v>
      </c>
      <c r="I3356" s="225">
        <v>10720</v>
      </c>
      <c r="J3356" s="225">
        <v>0</v>
      </c>
      <c r="K3356" s="225">
        <v>0</v>
      </c>
      <c r="L33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56" s="225">
        <f>ROUND(IF(AND(Base_Periodo1[[#This Row],[Tipo_Linha]]="-",Base_Periodo1[[#This Row],[TIPOSALDO]]="D"),Base_Periodo1[[#This Row],[SALDO_ATUAL]]*-1,Base_Periodo1[[#This Row],[SALDO_ATUAL]]),4)</f>
        <v>0</v>
      </c>
      <c r="N3356" t="s">
        <v>116</v>
      </c>
      <c r="O3356" t="s">
        <v>459</v>
      </c>
      <c r="P3356" t="s">
        <v>436</v>
      </c>
      <c r="Q3356">
        <v>7</v>
      </c>
      <c r="R3356" s="225">
        <f>Base_Periodo1[[#This Row],[CREDITOS]]-Base_Periodo1[[#This Row],[DEBITOS]]</f>
        <v>-10720</v>
      </c>
      <c r="S3356" s="3" t="str">
        <f>IF(ISERROR(VLOOKUP(Base_Periodo1[[#This Row],[CONTA]],BaseContasDRE[#All],4,FALSE)),"Fora do DRE",VLOOKUP(Base_Periodo1[[#This Row],[CONTA]],BaseContasDRE[#All],4,FALSE))</f>
        <v>Fora do DRE</v>
      </c>
      <c r="T3356" s="3" t="str">
        <f>IF(ISERROR(VLOOKUP(Base_Periodo1[[#This Row],[CONTA]],BaseContasDRE[#All],5,FALSE)),"Fora do DRE",VLOOKUP(Base_Periodo1[[#This Row],[CONTA]],BaseContasDRE[#All],6,FALSE))</f>
        <v>Fora do DRE</v>
      </c>
      <c r="U3356" s="3" t="str">
        <f>IF(ISERROR(VLOOKUP(Base_Periodo1[[#This Row],[CONTA]],BaseContasDRE[#All],7,FALSE)),"Fora do DRE",VLOOKUP(Base_Periodo1[[#This Row],[CONTA]],BaseContasDRE[#All],7,FALSE))</f>
        <v>Fora do DRE</v>
      </c>
      <c r="V3356" s="3" t="str">
        <f>IF(Base_Periodo1[[#This Row],[Tipo_Linha]]="Fora do DRE","Fora do DRE","( "&amp;Base_Periodo1[[#This Row],[Tipo_Linha]]&amp;" ) "&amp;Base_Periodo1[[#This Row],[Filtro]])</f>
        <v>Fora do DRE</v>
      </c>
      <c r="W3356" s="3" t="str">
        <f>LEFT(Base_Periodo1[[#This Row],[CLASS]],3)</f>
        <v>2.1</v>
      </c>
    </row>
    <row r="3357" spans="1:23" hidden="1">
      <c r="A3357" s="3" t="str">
        <f t="shared" si="52"/>
        <v>Período 1</v>
      </c>
      <c r="B3357">
        <v>24975</v>
      </c>
      <c r="C3357" t="s">
        <v>2010</v>
      </c>
      <c r="D3357" t="s">
        <v>6937</v>
      </c>
      <c r="E3357" s="3" t="str">
        <f>IF(LEN(Base_Periodo1[[#This Row],[CLASS]])&gt;=7,LEFT(Base_Periodo1[[#This Row],[CLASS]],7),"")</f>
        <v>2.1.2.2</v>
      </c>
      <c r="F3357" s="3" t="str">
        <f>VLOOKUP(Base_Periodo1[[#This Row],[Aux]],Base_Contas_Balanco[#All],2,FALSE)</f>
        <v>Fornecedores Não Cooperados</v>
      </c>
      <c r="G3357" s="1">
        <v>42873</v>
      </c>
      <c r="I3357" s="225">
        <v>0</v>
      </c>
      <c r="J3357" s="225">
        <v>4594.8</v>
      </c>
      <c r="K3357" s="225">
        <v>4594.8</v>
      </c>
      <c r="L33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4594.8</v>
      </c>
      <c r="M3357" s="225">
        <f>ROUND(IF(AND(Base_Periodo1[[#This Row],[Tipo_Linha]]="-",Base_Periodo1[[#This Row],[TIPOSALDO]]="D"),Base_Periodo1[[#This Row],[SALDO_ATUAL]]*-1,Base_Periodo1[[#This Row],[SALDO_ATUAL]]),4)</f>
        <v>4594.8</v>
      </c>
      <c r="N3357" t="s">
        <v>116</v>
      </c>
      <c r="O3357" t="s">
        <v>436</v>
      </c>
      <c r="P3357" t="s">
        <v>459</v>
      </c>
      <c r="Q3357">
        <v>7</v>
      </c>
      <c r="R3357" s="225">
        <f>Base_Periodo1[[#This Row],[CREDITOS]]-Base_Periodo1[[#This Row],[DEBITOS]]</f>
        <v>4594.8</v>
      </c>
      <c r="S3357" s="3" t="str">
        <f>IF(ISERROR(VLOOKUP(Base_Periodo1[[#This Row],[CONTA]],BaseContasDRE[#All],4,FALSE)),"Fora do DRE",VLOOKUP(Base_Periodo1[[#This Row],[CONTA]],BaseContasDRE[#All],4,FALSE))</f>
        <v>Fora do DRE</v>
      </c>
      <c r="T3357" s="3" t="str">
        <f>IF(ISERROR(VLOOKUP(Base_Periodo1[[#This Row],[CONTA]],BaseContasDRE[#All],5,FALSE)),"Fora do DRE",VLOOKUP(Base_Periodo1[[#This Row],[CONTA]],BaseContasDRE[#All],6,FALSE))</f>
        <v>Fora do DRE</v>
      </c>
      <c r="U3357" s="3" t="str">
        <f>IF(ISERROR(VLOOKUP(Base_Periodo1[[#This Row],[CONTA]],BaseContasDRE[#All],7,FALSE)),"Fora do DRE",VLOOKUP(Base_Periodo1[[#This Row],[CONTA]],BaseContasDRE[#All],7,FALSE))</f>
        <v>Fora do DRE</v>
      </c>
      <c r="V3357" s="3" t="str">
        <f>IF(Base_Periodo1[[#This Row],[Tipo_Linha]]="Fora do DRE","Fora do DRE","( "&amp;Base_Periodo1[[#This Row],[Tipo_Linha]]&amp;" ) "&amp;Base_Periodo1[[#This Row],[Filtro]])</f>
        <v>Fora do DRE</v>
      </c>
      <c r="W3357" s="3" t="str">
        <f>LEFT(Base_Periodo1[[#This Row],[CLASS]],3)</f>
        <v>2.1</v>
      </c>
    </row>
    <row r="3358" spans="1:23" hidden="1">
      <c r="A3358" s="3" t="str">
        <f t="shared" si="52"/>
        <v>Período 1</v>
      </c>
      <c r="B3358">
        <v>7242</v>
      </c>
      <c r="C3358" t="s">
        <v>2010</v>
      </c>
      <c r="D3358" t="s">
        <v>6938</v>
      </c>
      <c r="E3358" s="3" t="str">
        <f>IF(LEN(Base_Periodo1[[#This Row],[CLASS]])&gt;=7,LEFT(Base_Periodo1[[#This Row],[CLASS]],7),"")</f>
        <v>2.1.2.2</v>
      </c>
      <c r="F3358" s="3" t="str">
        <f>VLOOKUP(Base_Periodo1[[#This Row],[Aux]],Base_Contas_Balanco[#All],2,FALSE)</f>
        <v>Fornecedores Não Cooperados</v>
      </c>
      <c r="G3358" s="1">
        <v>42871</v>
      </c>
      <c r="I3358" s="225">
        <v>152.44999999999999</v>
      </c>
      <c r="J3358" s="225">
        <v>152.44999999999999</v>
      </c>
      <c r="K3358" s="225">
        <v>5.8207660913467407E-11</v>
      </c>
      <c r="L33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58" s="225">
        <f>ROUND(IF(AND(Base_Periodo1[[#This Row],[Tipo_Linha]]="-",Base_Periodo1[[#This Row],[TIPOSALDO]]="D"),Base_Periodo1[[#This Row],[SALDO_ATUAL]]*-1,Base_Periodo1[[#This Row],[SALDO_ATUAL]]),4)</f>
        <v>0</v>
      </c>
      <c r="N3358" t="s">
        <v>116</v>
      </c>
      <c r="O3358" t="s">
        <v>436</v>
      </c>
      <c r="P3358" t="s">
        <v>436</v>
      </c>
      <c r="Q3358">
        <v>7</v>
      </c>
      <c r="R3358" s="225">
        <f>Base_Periodo1[[#This Row],[CREDITOS]]-Base_Periodo1[[#This Row],[DEBITOS]]</f>
        <v>0</v>
      </c>
      <c r="S3358" s="3" t="str">
        <f>IF(ISERROR(VLOOKUP(Base_Periodo1[[#This Row],[CONTA]],BaseContasDRE[#All],4,FALSE)),"Fora do DRE",VLOOKUP(Base_Periodo1[[#This Row],[CONTA]],BaseContasDRE[#All],4,FALSE))</f>
        <v>Fora do DRE</v>
      </c>
      <c r="T3358" s="3" t="str">
        <f>IF(ISERROR(VLOOKUP(Base_Periodo1[[#This Row],[CONTA]],BaseContasDRE[#All],5,FALSE)),"Fora do DRE",VLOOKUP(Base_Periodo1[[#This Row],[CONTA]],BaseContasDRE[#All],6,FALSE))</f>
        <v>Fora do DRE</v>
      </c>
      <c r="U3358" s="3" t="str">
        <f>IF(ISERROR(VLOOKUP(Base_Periodo1[[#This Row],[CONTA]],BaseContasDRE[#All],7,FALSE)),"Fora do DRE",VLOOKUP(Base_Periodo1[[#This Row],[CONTA]],BaseContasDRE[#All],7,FALSE))</f>
        <v>Fora do DRE</v>
      </c>
      <c r="V3358" s="3" t="str">
        <f>IF(Base_Periodo1[[#This Row],[Tipo_Linha]]="Fora do DRE","Fora do DRE","( "&amp;Base_Periodo1[[#This Row],[Tipo_Linha]]&amp;" ) "&amp;Base_Periodo1[[#This Row],[Filtro]])</f>
        <v>Fora do DRE</v>
      </c>
      <c r="W3358" s="3" t="str">
        <f>LEFT(Base_Periodo1[[#This Row],[CLASS]],3)</f>
        <v>2.1</v>
      </c>
    </row>
    <row r="3359" spans="1:23" hidden="1">
      <c r="A3359" s="3" t="str">
        <f t="shared" si="52"/>
        <v>Período 1</v>
      </c>
      <c r="B3359">
        <v>10990</v>
      </c>
      <c r="C3359" t="s">
        <v>2010</v>
      </c>
      <c r="D3359" t="s">
        <v>6939</v>
      </c>
      <c r="E3359" s="3" t="str">
        <f>IF(LEN(Base_Periodo1[[#This Row],[CLASS]])&gt;=7,LEFT(Base_Periodo1[[#This Row],[CLASS]],7),"")</f>
        <v>2.1.2.2</v>
      </c>
      <c r="F3359" s="3" t="str">
        <f>VLOOKUP(Base_Periodo1[[#This Row],[Aux]],Base_Contas_Balanco[#All],2,FALSE)</f>
        <v>Fornecedores Não Cooperados</v>
      </c>
      <c r="G3359" s="1">
        <v>42880</v>
      </c>
      <c r="I3359" s="225">
        <v>2950.54</v>
      </c>
      <c r="J3359" s="225">
        <v>2950.54</v>
      </c>
      <c r="K3359" s="225">
        <v>-2.9103830456733704E-11</v>
      </c>
      <c r="L33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59" s="225">
        <f>ROUND(IF(AND(Base_Periodo1[[#This Row],[Tipo_Linha]]="-",Base_Periodo1[[#This Row],[TIPOSALDO]]="D"),Base_Periodo1[[#This Row],[SALDO_ATUAL]]*-1,Base_Periodo1[[#This Row],[SALDO_ATUAL]]),4)</f>
        <v>0</v>
      </c>
      <c r="N3359" t="s">
        <v>116</v>
      </c>
      <c r="O3359" t="s">
        <v>436</v>
      </c>
      <c r="P3359" t="s">
        <v>436</v>
      </c>
      <c r="Q3359">
        <v>7</v>
      </c>
      <c r="R3359" s="225">
        <f>Base_Periodo1[[#This Row],[CREDITOS]]-Base_Periodo1[[#This Row],[DEBITOS]]</f>
        <v>0</v>
      </c>
      <c r="S3359" s="3" t="str">
        <f>IF(ISERROR(VLOOKUP(Base_Periodo1[[#This Row],[CONTA]],BaseContasDRE[#All],4,FALSE)),"Fora do DRE",VLOOKUP(Base_Periodo1[[#This Row],[CONTA]],BaseContasDRE[#All],4,FALSE))</f>
        <v>Fora do DRE</v>
      </c>
      <c r="T3359" s="3" t="str">
        <f>IF(ISERROR(VLOOKUP(Base_Periodo1[[#This Row],[CONTA]],BaseContasDRE[#All],5,FALSE)),"Fora do DRE",VLOOKUP(Base_Periodo1[[#This Row],[CONTA]],BaseContasDRE[#All],6,FALSE))</f>
        <v>Fora do DRE</v>
      </c>
      <c r="U3359" s="3" t="str">
        <f>IF(ISERROR(VLOOKUP(Base_Periodo1[[#This Row],[CONTA]],BaseContasDRE[#All],7,FALSE)),"Fora do DRE",VLOOKUP(Base_Periodo1[[#This Row],[CONTA]],BaseContasDRE[#All],7,FALSE))</f>
        <v>Fora do DRE</v>
      </c>
      <c r="V3359" s="3" t="str">
        <f>IF(Base_Periodo1[[#This Row],[Tipo_Linha]]="Fora do DRE","Fora do DRE","( "&amp;Base_Periodo1[[#This Row],[Tipo_Linha]]&amp;" ) "&amp;Base_Periodo1[[#This Row],[Filtro]])</f>
        <v>Fora do DRE</v>
      </c>
      <c r="W3359" s="3" t="str">
        <f>LEFT(Base_Periodo1[[#This Row],[CLASS]],3)</f>
        <v>2.1</v>
      </c>
    </row>
    <row r="3360" spans="1:23" hidden="1">
      <c r="A3360" s="3" t="str">
        <f t="shared" si="52"/>
        <v>Período 1</v>
      </c>
      <c r="B3360">
        <v>29626</v>
      </c>
      <c r="C3360" t="s">
        <v>2010</v>
      </c>
      <c r="D3360" t="s">
        <v>6940</v>
      </c>
      <c r="E3360" s="3" t="str">
        <f>IF(LEN(Base_Periodo1[[#This Row],[CLASS]])&gt;=7,LEFT(Base_Periodo1[[#This Row],[CLASS]],7),"")</f>
        <v>2.1.2.2</v>
      </c>
      <c r="F3360" s="3" t="str">
        <f>VLOOKUP(Base_Periodo1[[#This Row],[Aux]],Base_Contas_Balanco[#All],2,FALSE)</f>
        <v>Fornecedores Não Cooperados</v>
      </c>
      <c r="G3360" s="1">
        <v>42886</v>
      </c>
      <c r="I3360" s="225">
        <v>2281.4899999999998</v>
      </c>
      <c r="J3360" s="225">
        <v>2281.4899999999998</v>
      </c>
      <c r="K3360" s="225">
        <v>1.4551915228366852E-11</v>
      </c>
      <c r="L33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60" s="225">
        <f>ROUND(IF(AND(Base_Periodo1[[#This Row],[Tipo_Linha]]="-",Base_Periodo1[[#This Row],[TIPOSALDO]]="D"),Base_Periodo1[[#This Row],[SALDO_ATUAL]]*-1,Base_Periodo1[[#This Row],[SALDO_ATUAL]]),4)</f>
        <v>0</v>
      </c>
      <c r="N3360" t="s">
        <v>116</v>
      </c>
      <c r="O3360" t="s">
        <v>436</v>
      </c>
      <c r="P3360" t="s">
        <v>436</v>
      </c>
      <c r="Q3360">
        <v>7</v>
      </c>
      <c r="R3360" s="225">
        <f>Base_Periodo1[[#This Row],[CREDITOS]]-Base_Periodo1[[#This Row],[DEBITOS]]</f>
        <v>0</v>
      </c>
      <c r="S3360" s="3" t="str">
        <f>IF(ISERROR(VLOOKUP(Base_Periodo1[[#This Row],[CONTA]],BaseContasDRE[#All],4,FALSE)),"Fora do DRE",VLOOKUP(Base_Periodo1[[#This Row],[CONTA]],BaseContasDRE[#All],4,FALSE))</f>
        <v>Fora do DRE</v>
      </c>
      <c r="T3360" s="3" t="str">
        <f>IF(ISERROR(VLOOKUP(Base_Periodo1[[#This Row],[CONTA]],BaseContasDRE[#All],5,FALSE)),"Fora do DRE",VLOOKUP(Base_Periodo1[[#This Row],[CONTA]],BaseContasDRE[#All],6,FALSE))</f>
        <v>Fora do DRE</v>
      </c>
      <c r="U3360" s="3" t="str">
        <f>IF(ISERROR(VLOOKUP(Base_Periodo1[[#This Row],[CONTA]],BaseContasDRE[#All],7,FALSE)),"Fora do DRE",VLOOKUP(Base_Periodo1[[#This Row],[CONTA]],BaseContasDRE[#All],7,FALSE))</f>
        <v>Fora do DRE</v>
      </c>
      <c r="V3360" s="3" t="str">
        <f>IF(Base_Periodo1[[#This Row],[Tipo_Linha]]="Fora do DRE","Fora do DRE","( "&amp;Base_Periodo1[[#This Row],[Tipo_Linha]]&amp;" ) "&amp;Base_Periodo1[[#This Row],[Filtro]])</f>
        <v>Fora do DRE</v>
      </c>
      <c r="W3360" s="3" t="str">
        <f>LEFT(Base_Periodo1[[#This Row],[CLASS]],3)</f>
        <v>2.1</v>
      </c>
    </row>
    <row r="3361" spans="1:23" hidden="1">
      <c r="A3361" s="3" t="str">
        <f t="shared" si="52"/>
        <v>Período 1</v>
      </c>
      <c r="B3361">
        <v>32540</v>
      </c>
      <c r="C3361" t="s">
        <v>2010</v>
      </c>
      <c r="D3361" t="s">
        <v>6941</v>
      </c>
      <c r="E3361" s="3" t="str">
        <f>IF(LEN(Base_Periodo1[[#This Row],[CLASS]])&gt;=7,LEFT(Base_Periodo1[[#This Row],[CLASS]],7),"")</f>
        <v>2.1.2.2</v>
      </c>
      <c r="F3361" s="3" t="str">
        <f>VLOOKUP(Base_Periodo1[[#This Row],[Aux]],Base_Contas_Balanco[#All],2,FALSE)</f>
        <v>Fornecedores Não Cooperados</v>
      </c>
      <c r="G3361" s="1">
        <v>42871</v>
      </c>
      <c r="I3361" s="225">
        <v>164360.98000000001</v>
      </c>
      <c r="J3361" s="225">
        <v>164360.98000000001</v>
      </c>
      <c r="K3361" s="225">
        <v>5.8207660913467407E-11</v>
      </c>
      <c r="L33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61" s="225">
        <f>ROUND(IF(AND(Base_Periodo1[[#This Row],[Tipo_Linha]]="-",Base_Periodo1[[#This Row],[TIPOSALDO]]="D"),Base_Periodo1[[#This Row],[SALDO_ATUAL]]*-1,Base_Periodo1[[#This Row],[SALDO_ATUAL]]),4)</f>
        <v>0</v>
      </c>
      <c r="N3361" t="s">
        <v>116</v>
      </c>
      <c r="O3361" t="s">
        <v>436</v>
      </c>
      <c r="P3361" t="s">
        <v>436</v>
      </c>
      <c r="Q3361">
        <v>7</v>
      </c>
      <c r="R3361" s="225">
        <f>Base_Periodo1[[#This Row],[CREDITOS]]-Base_Periodo1[[#This Row],[DEBITOS]]</f>
        <v>0</v>
      </c>
      <c r="S3361" s="3" t="str">
        <f>IF(ISERROR(VLOOKUP(Base_Periodo1[[#This Row],[CONTA]],BaseContasDRE[#All],4,FALSE)),"Fora do DRE",VLOOKUP(Base_Periodo1[[#This Row],[CONTA]],BaseContasDRE[#All],4,FALSE))</f>
        <v>Fora do DRE</v>
      </c>
      <c r="T3361" s="3" t="str">
        <f>IF(ISERROR(VLOOKUP(Base_Periodo1[[#This Row],[CONTA]],BaseContasDRE[#All],5,FALSE)),"Fora do DRE",VLOOKUP(Base_Periodo1[[#This Row],[CONTA]],BaseContasDRE[#All],6,FALSE))</f>
        <v>Fora do DRE</v>
      </c>
      <c r="U3361" s="3" t="str">
        <f>IF(ISERROR(VLOOKUP(Base_Periodo1[[#This Row],[CONTA]],BaseContasDRE[#All],7,FALSE)),"Fora do DRE",VLOOKUP(Base_Periodo1[[#This Row],[CONTA]],BaseContasDRE[#All],7,FALSE))</f>
        <v>Fora do DRE</v>
      </c>
      <c r="V3361" s="3" t="str">
        <f>IF(Base_Periodo1[[#This Row],[Tipo_Linha]]="Fora do DRE","Fora do DRE","( "&amp;Base_Periodo1[[#This Row],[Tipo_Linha]]&amp;" ) "&amp;Base_Periodo1[[#This Row],[Filtro]])</f>
        <v>Fora do DRE</v>
      </c>
      <c r="W3361" s="3" t="str">
        <f>LEFT(Base_Periodo1[[#This Row],[CLASS]],3)</f>
        <v>2.1</v>
      </c>
    </row>
    <row r="3362" spans="1:23" hidden="1">
      <c r="A3362" s="3" t="str">
        <f t="shared" si="52"/>
        <v>Período 1</v>
      </c>
      <c r="B3362">
        <v>16603</v>
      </c>
      <c r="C3362" t="s">
        <v>2010</v>
      </c>
      <c r="D3362" t="s">
        <v>934</v>
      </c>
      <c r="E3362" s="3" t="str">
        <f>IF(LEN(Base_Periodo1[[#This Row],[CLASS]])&gt;=7,LEFT(Base_Periodo1[[#This Row],[CLASS]],7),"")</f>
        <v>2.1.2.2</v>
      </c>
      <c r="F3362" s="3" t="str">
        <f>VLOOKUP(Base_Periodo1[[#This Row],[Aux]],Base_Contas_Balanco[#All],2,FALSE)</f>
        <v>Fornecedores Não Cooperados</v>
      </c>
      <c r="G3362" s="1">
        <v>42859</v>
      </c>
      <c r="I3362" s="225">
        <v>70350</v>
      </c>
      <c r="J3362" s="225">
        <v>70350</v>
      </c>
      <c r="K3362" s="225">
        <v>0</v>
      </c>
      <c r="L33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62" s="225">
        <f>ROUND(IF(AND(Base_Periodo1[[#This Row],[Tipo_Linha]]="-",Base_Periodo1[[#This Row],[TIPOSALDO]]="D"),Base_Periodo1[[#This Row],[SALDO_ATUAL]]*-1,Base_Periodo1[[#This Row],[SALDO_ATUAL]]),4)</f>
        <v>0</v>
      </c>
      <c r="N3362" t="s">
        <v>116</v>
      </c>
      <c r="O3362" t="s">
        <v>436</v>
      </c>
      <c r="P3362" t="s">
        <v>436</v>
      </c>
      <c r="Q3362">
        <v>7</v>
      </c>
      <c r="R3362" s="225">
        <f>Base_Periodo1[[#This Row],[CREDITOS]]-Base_Periodo1[[#This Row],[DEBITOS]]</f>
        <v>0</v>
      </c>
      <c r="S3362" s="3" t="str">
        <f>IF(ISERROR(VLOOKUP(Base_Periodo1[[#This Row],[CONTA]],BaseContasDRE[#All],4,FALSE)),"Fora do DRE",VLOOKUP(Base_Periodo1[[#This Row],[CONTA]],BaseContasDRE[#All],4,FALSE))</f>
        <v>Fora do DRE</v>
      </c>
      <c r="T3362" s="3" t="str">
        <f>IF(ISERROR(VLOOKUP(Base_Periodo1[[#This Row],[CONTA]],BaseContasDRE[#All],5,FALSE)),"Fora do DRE",VLOOKUP(Base_Periodo1[[#This Row],[CONTA]],BaseContasDRE[#All],6,FALSE))</f>
        <v>Fora do DRE</v>
      </c>
      <c r="U3362" s="3" t="str">
        <f>IF(ISERROR(VLOOKUP(Base_Periodo1[[#This Row],[CONTA]],BaseContasDRE[#All],7,FALSE)),"Fora do DRE",VLOOKUP(Base_Periodo1[[#This Row],[CONTA]],BaseContasDRE[#All],7,FALSE))</f>
        <v>Fora do DRE</v>
      </c>
      <c r="V3362" s="3" t="str">
        <f>IF(Base_Periodo1[[#This Row],[Tipo_Linha]]="Fora do DRE","Fora do DRE","( "&amp;Base_Periodo1[[#This Row],[Tipo_Linha]]&amp;" ) "&amp;Base_Periodo1[[#This Row],[Filtro]])</f>
        <v>Fora do DRE</v>
      </c>
      <c r="W3362" s="3" t="str">
        <f>LEFT(Base_Periodo1[[#This Row],[CLASS]],3)</f>
        <v>2.1</v>
      </c>
    </row>
    <row r="3363" spans="1:23" hidden="1">
      <c r="A3363" s="3" t="str">
        <f t="shared" si="52"/>
        <v>Período 1</v>
      </c>
      <c r="B3363">
        <v>11121</v>
      </c>
      <c r="C3363" t="s">
        <v>2010</v>
      </c>
      <c r="D3363" t="s">
        <v>2030</v>
      </c>
      <c r="E3363" s="3" t="str">
        <f>IF(LEN(Base_Periodo1[[#This Row],[CLASS]])&gt;=7,LEFT(Base_Periodo1[[#This Row],[CLASS]],7),"")</f>
        <v>2.1.2.2</v>
      </c>
      <c r="F3363" s="3" t="str">
        <f>VLOOKUP(Base_Periodo1[[#This Row],[Aux]],Base_Contas_Balanco[#All],2,FALSE)</f>
        <v>Fornecedores Não Cooperados</v>
      </c>
      <c r="G3363" s="1">
        <v>42877</v>
      </c>
      <c r="I3363" s="225">
        <v>850</v>
      </c>
      <c r="J3363" s="225">
        <v>850</v>
      </c>
      <c r="K3363" s="225">
        <v>0</v>
      </c>
      <c r="L33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63" s="225">
        <f>ROUND(IF(AND(Base_Periodo1[[#This Row],[Tipo_Linha]]="-",Base_Periodo1[[#This Row],[TIPOSALDO]]="D"),Base_Periodo1[[#This Row],[SALDO_ATUAL]]*-1,Base_Periodo1[[#This Row],[SALDO_ATUAL]]),4)</f>
        <v>0</v>
      </c>
      <c r="N3363" t="s">
        <v>116</v>
      </c>
      <c r="O3363" t="s">
        <v>436</v>
      </c>
      <c r="P3363" t="s">
        <v>436</v>
      </c>
      <c r="Q3363">
        <v>7</v>
      </c>
      <c r="R3363" s="225">
        <f>Base_Periodo1[[#This Row],[CREDITOS]]-Base_Periodo1[[#This Row],[DEBITOS]]</f>
        <v>0</v>
      </c>
      <c r="S3363" s="3" t="str">
        <f>IF(ISERROR(VLOOKUP(Base_Periodo1[[#This Row],[CONTA]],BaseContasDRE[#All],4,FALSE)),"Fora do DRE",VLOOKUP(Base_Periodo1[[#This Row],[CONTA]],BaseContasDRE[#All],4,FALSE))</f>
        <v>Fora do DRE</v>
      </c>
      <c r="T3363" s="3" t="str">
        <f>IF(ISERROR(VLOOKUP(Base_Periodo1[[#This Row],[CONTA]],BaseContasDRE[#All],5,FALSE)),"Fora do DRE",VLOOKUP(Base_Periodo1[[#This Row],[CONTA]],BaseContasDRE[#All],6,FALSE))</f>
        <v>Fora do DRE</v>
      </c>
      <c r="U3363" s="3" t="str">
        <f>IF(ISERROR(VLOOKUP(Base_Periodo1[[#This Row],[CONTA]],BaseContasDRE[#All],7,FALSE)),"Fora do DRE",VLOOKUP(Base_Periodo1[[#This Row],[CONTA]],BaseContasDRE[#All],7,FALSE))</f>
        <v>Fora do DRE</v>
      </c>
      <c r="V3363" s="3" t="str">
        <f>IF(Base_Periodo1[[#This Row],[Tipo_Linha]]="Fora do DRE","Fora do DRE","( "&amp;Base_Periodo1[[#This Row],[Tipo_Linha]]&amp;" ) "&amp;Base_Periodo1[[#This Row],[Filtro]])</f>
        <v>Fora do DRE</v>
      </c>
      <c r="W3363" s="3" t="str">
        <f>LEFT(Base_Periodo1[[#This Row],[CLASS]],3)</f>
        <v>2.1</v>
      </c>
    </row>
    <row r="3364" spans="1:23" hidden="1">
      <c r="A3364" s="3" t="str">
        <f t="shared" si="52"/>
        <v>Período 1</v>
      </c>
      <c r="B3364">
        <v>14794</v>
      </c>
      <c r="C3364" t="s">
        <v>2010</v>
      </c>
      <c r="D3364" t="s">
        <v>4857</v>
      </c>
      <c r="E3364" s="3" t="str">
        <f>IF(LEN(Base_Periodo1[[#This Row],[CLASS]])&gt;=7,LEFT(Base_Periodo1[[#This Row],[CLASS]],7),"")</f>
        <v>2.1.2.2</v>
      </c>
      <c r="F3364" s="3" t="str">
        <f>VLOOKUP(Base_Periodo1[[#This Row],[Aux]],Base_Contas_Balanco[#All],2,FALSE)</f>
        <v>Fornecedores Não Cooperados</v>
      </c>
      <c r="G3364" s="1">
        <v>42879</v>
      </c>
      <c r="I3364" s="225">
        <v>582</v>
      </c>
      <c r="J3364" s="225">
        <v>582</v>
      </c>
      <c r="K3364" s="225">
        <v>0</v>
      </c>
      <c r="L33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64" s="225">
        <f>ROUND(IF(AND(Base_Periodo1[[#This Row],[Tipo_Linha]]="-",Base_Periodo1[[#This Row],[TIPOSALDO]]="D"),Base_Periodo1[[#This Row],[SALDO_ATUAL]]*-1,Base_Periodo1[[#This Row],[SALDO_ATUAL]]),4)</f>
        <v>0</v>
      </c>
      <c r="N3364" t="s">
        <v>116</v>
      </c>
      <c r="O3364" t="s">
        <v>436</v>
      </c>
      <c r="P3364" t="s">
        <v>436</v>
      </c>
      <c r="Q3364">
        <v>7</v>
      </c>
      <c r="R3364" s="225">
        <f>Base_Periodo1[[#This Row],[CREDITOS]]-Base_Periodo1[[#This Row],[DEBITOS]]</f>
        <v>0</v>
      </c>
      <c r="S3364" s="3" t="str">
        <f>IF(ISERROR(VLOOKUP(Base_Periodo1[[#This Row],[CONTA]],BaseContasDRE[#All],4,FALSE)),"Fora do DRE",VLOOKUP(Base_Periodo1[[#This Row],[CONTA]],BaseContasDRE[#All],4,FALSE))</f>
        <v>Fora do DRE</v>
      </c>
      <c r="T3364" s="3" t="str">
        <f>IF(ISERROR(VLOOKUP(Base_Periodo1[[#This Row],[CONTA]],BaseContasDRE[#All],5,FALSE)),"Fora do DRE",VLOOKUP(Base_Periodo1[[#This Row],[CONTA]],BaseContasDRE[#All],6,FALSE))</f>
        <v>Fora do DRE</v>
      </c>
      <c r="U3364" s="3" t="str">
        <f>IF(ISERROR(VLOOKUP(Base_Periodo1[[#This Row],[CONTA]],BaseContasDRE[#All],7,FALSE)),"Fora do DRE",VLOOKUP(Base_Periodo1[[#This Row],[CONTA]],BaseContasDRE[#All],7,FALSE))</f>
        <v>Fora do DRE</v>
      </c>
      <c r="V3364" s="3" t="str">
        <f>IF(Base_Periodo1[[#This Row],[Tipo_Linha]]="Fora do DRE","Fora do DRE","( "&amp;Base_Periodo1[[#This Row],[Tipo_Linha]]&amp;" ) "&amp;Base_Periodo1[[#This Row],[Filtro]])</f>
        <v>Fora do DRE</v>
      </c>
      <c r="W3364" s="3" t="str">
        <f>LEFT(Base_Periodo1[[#This Row],[CLASS]],3)</f>
        <v>2.1</v>
      </c>
    </row>
    <row r="3365" spans="1:23" hidden="1">
      <c r="A3365" s="3" t="str">
        <f t="shared" si="52"/>
        <v>Período 1</v>
      </c>
      <c r="B3365">
        <v>29606</v>
      </c>
      <c r="C3365" t="s">
        <v>2010</v>
      </c>
      <c r="D3365" t="s">
        <v>5230</v>
      </c>
      <c r="E3365" s="3" t="str">
        <f>IF(LEN(Base_Periodo1[[#This Row],[CLASS]])&gt;=7,LEFT(Base_Periodo1[[#This Row],[CLASS]],7),"")</f>
        <v>2.1.2.2</v>
      </c>
      <c r="F3365" s="3" t="str">
        <f>VLOOKUP(Base_Periodo1[[#This Row],[Aux]],Base_Contas_Balanco[#All],2,FALSE)</f>
        <v>Fornecedores Não Cooperados</v>
      </c>
      <c r="G3365" s="1">
        <v>42880</v>
      </c>
      <c r="H3365" s="225">
        <v>1050</v>
      </c>
      <c r="I3365" s="225">
        <v>1430</v>
      </c>
      <c r="J3365" s="225">
        <v>380</v>
      </c>
      <c r="K3365" s="225">
        <v>0</v>
      </c>
      <c r="L33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65" s="225">
        <f>ROUND(IF(AND(Base_Periodo1[[#This Row],[Tipo_Linha]]="-",Base_Periodo1[[#This Row],[TIPOSALDO]]="D"),Base_Periodo1[[#This Row],[SALDO_ATUAL]]*-1,Base_Periodo1[[#This Row],[SALDO_ATUAL]]),4)</f>
        <v>0</v>
      </c>
      <c r="N3365" t="s">
        <v>116</v>
      </c>
      <c r="O3365" t="s">
        <v>459</v>
      </c>
      <c r="P3365" t="s">
        <v>436</v>
      </c>
      <c r="Q3365">
        <v>7</v>
      </c>
      <c r="R3365" s="225">
        <f>Base_Periodo1[[#This Row],[CREDITOS]]-Base_Periodo1[[#This Row],[DEBITOS]]</f>
        <v>-1050</v>
      </c>
      <c r="S3365" s="3" t="str">
        <f>IF(ISERROR(VLOOKUP(Base_Periodo1[[#This Row],[CONTA]],BaseContasDRE[#All],4,FALSE)),"Fora do DRE",VLOOKUP(Base_Periodo1[[#This Row],[CONTA]],BaseContasDRE[#All],4,FALSE))</f>
        <v>Fora do DRE</v>
      </c>
      <c r="T3365" s="3" t="str">
        <f>IF(ISERROR(VLOOKUP(Base_Periodo1[[#This Row],[CONTA]],BaseContasDRE[#All],5,FALSE)),"Fora do DRE",VLOOKUP(Base_Periodo1[[#This Row],[CONTA]],BaseContasDRE[#All],6,FALSE))</f>
        <v>Fora do DRE</v>
      </c>
      <c r="U3365" s="3" t="str">
        <f>IF(ISERROR(VLOOKUP(Base_Periodo1[[#This Row],[CONTA]],BaseContasDRE[#All],7,FALSE)),"Fora do DRE",VLOOKUP(Base_Periodo1[[#This Row],[CONTA]],BaseContasDRE[#All],7,FALSE))</f>
        <v>Fora do DRE</v>
      </c>
      <c r="V3365" s="3" t="str">
        <f>IF(Base_Periodo1[[#This Row],[Tipo_Linha]]="Fora do DRE","Fora do DRE","( "&amp;Base_Periodo1[[#This Row],[Tipo_Linha]]&amp;" ) "&amp;Base_Periodo1[[#This Row],[Filtro]])</f>
        <v>Fora do DRE</v>
      </c>
      <c r="W3365" s="3" t="str">
        <f>LEFT(Base_Periodo1[[#This Row],[CLASS]],3)</f>
        <v>2.1</v>
      </c>
    </row>
    <row r="3366" spans="1:23" hidden="1">
      <c r="A3366" s="3" t="str">
        <f t="shared" si="52"/>
        <v>Período 1</v>
      </c>
      <c r="B3366">
        <v>10038</v>
      </c>
      <c r="C3366" t="s">
        <v>2010</v>
      </c>
      <c r="D3366" t="s">
        <v>2031</v>
      </c>
      <c r="E3366" s="3" t="str">
        <f>IF(LEN(Base_Periodo1[[#This Row],[CLASS]])&gt;=7,LEFT(Base_Periodo1[[#This Row],[CLASS]],7),"")</f>
        <v>2.1.2.2</v>
      </c>
      <c r="F3366" s="3" t="str">
        <f>VLOOKUP(Base_Periodo1[[#This Row],[Aux]],Base_Contas_Balanco[#All],2,FALSE)</f>
        <v>Fornecedores Não Cooperados</v>
      </c>
      <c r="G3366" s="1">
        <v>42865</v>
      </c>
      <c r="I3366" s="225">
        <v>419.11</v>
      </c>
      <c r="J3366" s="225">
        <v>419.11</v>
      </c>
      <c r="K3366" s="225">
        <v>7.2759576141834259E-12</v>
      </c>
      <c r="L33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66" s="225">
        <f>ROUND(IF(AND(Base_Periodo1[[#This Row],[Tipo_Linha]]="-",Base_Periodo1[[#This Row],[TIPOSALDO]]="D"),Base_Periodo1[[#This Row],[SALDO_ATUAL]]*-1,Base_Periodo1[[#This Row],[SALDO_ATUAL]]),4)</f>
        <v>0</v>
      </c>
      <c r="N3366" t="s">
        <v>116</v>
      </c>
      <c r="O3366" t="s">
        <v>436</v>
      </c>
      <c r="P3366" t="s">
        <v>436</v>
      </c>
      <c r="Q3366">
        <v>7</v>
      </c>
      <c r="R3366" s="225">
        <f>Base_Periodo1[[#This Row],[CREDITOS]]-Base_Periodo1[[#This Row],[DEBITOS]]</f>
        <v>0</v>
      </c>
      <c r="S3366" s="3" t="str">
        <f>IF(ISERROR(VLOOKUP(Base_Periodo1[[#This Row],[CONTA]],BaseContasDRE[#All],4,FALSE)),"Fora do DRE",VLOOKUP(Base_Periodo1[[#This Row],[CONTA]],BaseContasDRE[#All],4,FALSE))</f>
        <v>Fora do DRE</v>
      </c>
      <c r="T3366" s="3" t="str">
        <f>IF(ISERROR(VLOOKUP(Base_Periodo1[[#This Row],[CONTA]],BaseContasDRE[#All],5,FALSE)),"Fora do DRE",VLOOKUP(Base_Periodo1[[#This Row],[CONTA]],BaseContasDRE[#All],6,FALSE))</f>
        <v>Fora do DRE</v>
      </c>
      <c r="U3366" s="3" t="str">
        <f>IF(ISERROR(VLOOKUP(Base_Periodo1[[#This Row],[CONTA]],BaseContasDRE[#All],7,FALSE)),"Fora do DRE",VLOOKUP(Base_Periodo1[[#This Row],[CONTA]],BaseContasDRE[#All],7,FALSE))</f>
        <v>Fora do DRE</v>
      </c>
      <c r="V3366" s="3" t="str">
        <f>IF(Base_Periodo1[[#This Row],[Tipo_Linha]]="Fora do DRE","Fora do DRE","( "&amp;Base_Periodo1[[#This Row],[Tipo_Linha]]&amp;" ) "&amp;Base_Periodo1[[#This Row],[Filtro]])</f>
        <v>Fora do DRE</v>
      </c>
      <c r="W3366" s="3" t="str">
        <f>LEFT(Base_Periodo1[[#This Row],[CLASS]],3)</f>
        <v>2.1</v>
      </c>
    </row>
    <row r="3367" spans="1:23" hidden="1">
      <c r="A3367" s="3" t="str">
        <f t="shared" si="52"/>
        <v>Período 1</v>
      </c>
      <c r="B3367">
        <v>18735</v>
      </c>
      <c r="C3367" t="s">
        <v>2010</v>
      </c>
      <c r="D3367" t="s">
        <v>6436</v>
      </c>
      <c r="E3367" s="3" t="str">
        <f>IF(LEN(Base_Periodo1[[#This Row],[CLASS]])&gt;=7,LEFT(Base_Periodo1[[#This Row],[CLASS]],7),"")</f>
        <v>2.1.2.2</v>
      </c>
      <c r="F3367" s="3" t="str">
        <f>VLOOKUP(Base_Periodo1[[#This Row],[Aux]],Base_Contas_Balanco[#All],2,FALSE)</f>
        <v>Fornecedores Não Cooperados</v>
      </c>
      <c r="G3367" s="1">
        <v>42879</v>
      </c>
      <c r="I3367" s="225">
        <v>7000</v>
      </c>
      <c r="J3367" s="225">
        <v>7000</v>
      </c>
      <c r="K3367" s="225">
        <v>0</v>
      </c>
      <c r="L33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67" s="225">
        <f>ROUND(IF(AND(Base_Periodo1[[#This Row],[Tipo_Linha]]="-",Base_Periodo1[[#This Row],[TIPOSALDO]]="D"),Base_Periodo1[[#This Row],[SALDO_ATUAL]]*-1,Base_Periodo1[[#This Row],[SALDO_ATUAL]]),4)</f>
        <v>0</v>
      </c>
      <c r="N3367" t="s">
        <v>116</v>
      </c>
      <c r="O3367" t="s">
        <v>436</v>
      </c>
      <c r="P3367" t="s">
        <v>436</v>
      </c>
      <c r="Q3367">
        <v>7</v>
      </c>
      <c r="R3367" s="225">
        <f>Base_Periodo1[[#This Row],[CREDITOS]]-Base_Periodo1[[#This Row],[DEBITOS]]</f>
        <v>0</v>
      </c>
      <c r="S3367" s="3" t="str">
        <f>IF(ISERROR(VLOOKUP(Base_Periodo1[[#This Row],[CONTA]],BaseContasDRE[#All],4,FALSE)),"Fora do DRE",VLOOKUP(Base_Periodo1[[#This Row],[CONTA]],BaseContasDRE[#All],4,FALSE))</f>
        <v>Fora do DRE</v>
      </c>
      <c r="T3367" s="3" t="str">
        <f>IF(ISERROR(VLOOKUP(Base_Periodo1[[#This Row],[CONTA]],BaseContasDRE[#All],5,FALSE)),"Fora do DRE",VLOOKUP(Base_Periodo1[[#This Row],[CONTA]],BaseContasDRE[#All],6,FALSE))</f>
        <v>Fora do DRE</v>
      </c>
      <c r="U3367" s="3" t="str">
        <f>IF(ISERROR(VLOOKUP(Base_Periodo1[[#This Row],[CONTA]],BaseContasDRE[#All],7,FALSE)),"Fora do DRE",VLOOKUP(Base_Periodo1[[#This Row],[CONTA]],BaseContasDRE[#All],7,FALSE))</f>
        <v>Fora do DRE</v>
      </c>
      <c r="V3367" s="3" t="str">
        <f>IF(Base_Periodo1[[#This Row],[Tipo_Linha]]="Fora do DRE","Fora do DRE","( "&amp;Base_Periodo1[[#This Row],[Tipo_Linha]]&amp;" ) "&amp;Base_Periodo1[[#This Row],[Filtro]])</f>
        <v>Fora do DRE</v>
      </c>
      <c r="W3367" s="3" t="str">
        <f>LEFT(Base_Periodo1[[#This Row],[CLASS]],3)</f>
        <v>2.1</v>
      </c>
    </row>
    <row r="3368" spans="1:23" hidden="1">
      <c r="A3368" s="3" t="str">
        <f t="shared" si="52"/>
        <v>Período 1</v>
      </c>
      <c r="B3368">
        <v>17989</v>
      </c>
      <c r="C3368" t="s">
        <v>2010</v>
      </c>
      <c r="D3368" t="s">
        <v>2032</v>
      </c>
      <c r="E3368" s="3" t="str">
        <f>IF(LEN(Base_Periodo1[[#This Row],[CLASS]])&gt;=7,LEFT(Base_Periodo1[[#This Row],[CLASS]],7),"")</f>
        <v>2.1.2.2</v>
      </c>
      <c r="F3368" s="3" t="str">
        <f>VLOOKUP(Base_Periodo1[[#This Row],[Aux]],Base_Contas_Balanco[#All],2,FALSE)</f>
        <v>Fornecedores Não Cooperados</v>
      </c>
      <c r="G3368" s="1">
        <v>42881</v>
      </c>
      <c r="H3368" s="225">
        <v>3465</v>
      </c>
      <c r="I3368" s="225">
        <v>4835</v>
      </c>
      <c r="J3368" s="225">
        <v>2428</v>
      </c>
      <c r="K3368" s="225">
        <v>1058</v>
      </c>
      <c r="L33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1058</v>
      </c>
      <c r="M3368" s="225">
        <f>ROUND(IF(AND(Base_Periodo1[[#This Row],[Tipo_Linha]]="-",Base_Periodo1[[#This Row],[TIPOSALDO]]="D"),Base_Periodo1[[#This Row],[SALDO_ATUAL]]*-1,Base_Periodo1[[#This Row],[SALDO_ATUAL]]),4)</f>
        <v>1058</v>
      </c>
      <c r="N3368" t="s">
        <v>116</v>
      </c>
      <c r="O3368" t="s">
        <v>459</v>
      </c>
      <c r="P3368" t="s">
        <v>459</v>
      </c>
      <c r="Q3368">
        <v>7</v>
      </c>
      <c r="R3368" s="225">
        <f>Base_Periodo1[[#This Row],[CREDITOS]]-Base_Periodo1[[#This Row],[DEBITOS]]</f>
        <v>-2407</v>
      </c>
      <c r="S3368" s="3" t="str">
        <f>IF(ISERROR(VLOOKUP(Base_Periodo1[[#This Row],[CONTA]],BaseContasDRE[#All],4,FALSE)),"Fora do DRE",VLOOKUP(Base_Periodo1[[#This Row],[CONTA]],BaseContasDRE[#All],4,FALSE))</f>
        <v>Fora do DRE</v>
      </c>
      <c r="T3368" s="3" t="str">
        <f>IF(ISERROR(VLOOKUP(Base_Periodo1[[#This Row],[CONTA]],BaseContasDRE[#All],5,FALSE)),"Fora do DRE",VLOOKUP(Base_Periodo1[[#This Row],[CONTA]],BaseContasDRE[#All],6,FALSE))</f>
        <v>Fora do DRE</v>
      </c>
      <c r="U3368" s="3" t="str">
        <f>IF(ISERROR(VLOOKUP(Base_Periodo1[[#This Row],[CONTA]],BaseContasDRE[#All],7,FALSE)),"Fora do DRE",VLOOKUP(Base_Periodo1[[#This Row],[CONTA]],BaseContasDRE[#All],7,FALSE))</f>
        <v>Fora do DRE</v>
      </c>
      <c r="V3368" s="3" t="str">
        <f>IF(Base_Periodo1[[#This Row],[Tipo_Linha]]="Fora do DRE","Fora do DRE","( "&amp;Base_Periodo1[[#This Row],[Tipo_Linha]]&amp;" ) "&amp;Base_Periodo1[[#This Row],[Filtro]])</f>
        <v>Fora do DRE</v>
      </c>
      <c r="W3368" s="3" t="str">
        <f>LEFT(Base_Periodo1[[#This Row],[CLASS]],3)</f>
        <v>2.1</v>
      </c>
    </row>
    <row r="3369" spans="1:23" hidden="1">
      <c r="A3369" s="3" t="str">
        <f t="shared" si="52"/>
        <v>Período 1</v>
      </c>
      <c r="B3369">
        <v>54606</v>
      </c>
      <c r="C3369" t="s">
        <v>2010</v>
      </c>
      <c r="D3369" t="s">
        <v>5231</v>
      </c>
      <c r="E3369" s="3" t="str">
        <f>IF(LEN(Base_Periodo1[[#This Row],[CLASS]])&gt;=7,LEFT(Base_Periodo1[[#This Row],[CLASS]],7),"")</f>
        <v>2.1.2.2</v>
      </c>
      <c r="F3369" s="3" t="str">
        <f>VLOOKUP(Base_Periodo1[[#This Row],[Aux]],Base_Contas_Balanco[#All],2,FALSE)</f>
        <v>Fornecedores Não Cooperados</v>
      </c>
      <c r="G3369" s="1">
        <v>42880</v>
      </c>
      <c r="I3369" s="225">
        <v>6264</v>
      </c>
      <c r="J3369" s="225">
        <v>6264</v>
      </c>
      <c r="K3369" s="225">
        <v>0</v>
      </c>
      <c r="L33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69" s="225">
        <f>ROUND(IF(AND(Base_Periodo1[[#This Row],[Tipo_Linha]]="-",Base_Periodo1[[#This Row],[TIPOSALDO]]="D"),Base_Periodo1[[#This Row],[SALDO_ATUAL]]*-1,Base_Periodo1[[#This Row],[SALDO_ATUAL]]),4)</f>
        <v>0</v>
      </c>
      <c r="N3369" t="s">
        <v>116</v>
      </c>
      <c r="O3369" t="s">
        <v>436</v>
      </c>
      <c r="P3369" t="s">
        <v>436</v>
      </c>
      <c r="Q3369">
        <v>7</v>
      </c>
      <c r="R3369" s="225">
        <f>Base_Periodo1[[#This Row],[CREDITOS]]-Base_Periodo1[[#This Row],[DEBITOS]]</f>
        <v>0</v>
      </c>
      <c r="S3369" s="3" t="str">
        <f>IF(ISERROR(VLOOKUP(Base_Periodo1[[#This Row],[CONTA]],BaseContasDRE[#All],4,FALSE)),"Fora do DRE",VLOOKUP(Base_Periodo1[[#This Row],[CONTA]],BaseContasDRE[#All],4,FALSE))</f>
        <v>Fora do DRE</v>
      </c>
      <c r="T3369" s="3" t="str">
        <f>IF(ISERROR(VLOOKUP(Base_Periodo1[[#This Row],[CONTA]],BaseContasDRE[#All],5,FALSE)),"Fora do DRE",VLOOKUP(Base_Periodo1[[#This Row],[CONTA]],BaseContasDRE[#All],6,FALSE))</f>
        <v>Fora do DRE</v>
      </c>
      <c r="U3369" s="3" t="str">
        <f>IF(ISERROR(VLOOKUP(Base_Periodo1[[#This Row],[CONTA]],BaseContasDRE[#All],7,FALSE)),"Fora do DRE",VLOOKUP(Base_Periodo1[[#This Row],[CONTA]],BaseContasDRE[#All],7,FALSE))</f>
        <v>Fora do DRE</v>
      </c>
      <c r="V3369" s="3" t="str">
        <f>IF(Base_Periodo1[[#This Row],[Tipo_Linha]]="Fora do DRE","Fora do DRE","( "&amp;Base_Periodo1[[#This Row],[Tipo_Linha]]&amp;" ) "&amp;Base_Periodo1[[#This Row],[Filtro]])</f>
        <v>Fora do DRE</v>
      </c>
      <c r="W3369" s="3" t="str">
        <f>LEFT(Base_Periodo1[[#This Row],[CLASS]],3)</f>
        <v>2.1</v>
      </c>
    </row>
    <row r="3370" spans="1:23" hidden="1">
      <c r="A3370" s="3" t="str">
        <f t="shared" si="52"/>
        <v>Período 1</v>
      </c>
      <c r="B3370">
        <v>9877</v>
      </c>
      <c r="C3370" t="s">
        <v>2010</v>
      </c>
      <c r="D3370" t="s">
        <v>2033</v>
      </c>
      <c r="E3370" s="3" t="str">
        <f>IF(LEN(Base_Periodo1[[#This Row],[CLASS]])&gt;=7,LEFT(Base_Periodo1[[#This Row],[CLASS]],7),"")</f>
        <v>2.1.2.2</v>
      </c>
      <c r="F3370" s="3" t="str">
        <f>VLOOKUP(Base_Periodo1[[#This Row],[Aux]],Base_Contas_Balanco[#All],2,FALSE)</f>
        <v>Fornecedores Não Cooperados</v>
      </c>
      <c r="G3370" s="1">
        <v>42879</v>
      </c>
      <c r="I3370" s="225">
        <v>20431.05</v>
      </c>
      <c r="J3370" s="225">
        <v>20431.05</v>
      </c>
      <c r="K3370" s="225">
        <v>1.1641532182693481E-10</v>
      </c>
      <c r="L33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70" s="225">
        <f>ROUND(IF(AND(Base_Periodo1[[#This Row],[Tipo_Linha]]="-",Base_Periodo1[[#This Row],[TIPOSALDO]]="D"),Base_Periodo1[[#This Row],[SALDO_ATUAL]]*-1,Base_Periodo1[[#This Row],[SALDO_ATUAL]]),4)</f>
        <v>0</v>
      </c>
      <c r="N3370" t="s">
        <v>116</v>
      </c>
      <c r="O3370" t="s">
        <v>436</v>
      </c>
      <c r="P3370" t="s">
        <v>436</v>
      </c>
      <c r="Q3370">
        <v>7</v>
      </c>
      <c r="R3370" s="225">
        <f>Base_Periodo1[[#This Row],[CREDITOS]]-Base_Periodo1[[#This Row],[DEBITOS]]</f>
        <v>0</v>
      </c>
      <c r="S3370" s="3" t="str">
        <f>IF(ISERROR(VLOOKUP(Base_Periodo1[[#This Row],[CONTA]],BaseContasDRE[#All],4,FALSE)),"Fora do DRE",VLOOKUP(Base_Periodo1[[#This Row],[CONTA]],BaseContasDRE[#All],4,FALSE))</f>
        <v>Fora do DRE</v>
      </c>
      <c r="T3370" s="3" t="str">
        <f>IF(ISERROR(VLOOKUP(Base_Periodo1[[#This Row],[CONTA]],BaseContasDRE[#All],5,FALSE)),"Fora do DRE",VLOOKUP(Base_Periodo1[[#This Row],[CONTA]],BaseContasDRE[#All],6,FALSE))</f>
        <v>Fora do DRE</v>
      </c>
      <c r="U3370" s="3" t="str">
        <f>IF(ISERROR(VLOOKUP(Base_Periodo1[[#This Row],[CONTA]],BaseContasDRE[#All],7,FALSE)),"Fora do DRE",VLOOKUP(Base_Periodo1[[#This Row],[CONTA]],BaseContasDRE[#All],7,FALSE))</f>
        <v>Fora do DRE</v>
      </c>
      <c r="V3370" s="3" t="str">
        <f>IF(Base_Periodo1[[#This Row],[Tipo_Linha]]="Fora do DRE","Fora do DRE","( "&amp;Base_Periodo1[[#This Row],[Tipo_Linha]]&amp;" ) "&amp;Base_Periodo1[[#This Row],[Filtro]])</f>
        <v>Fora do DRE</v>
      </c>
      <c r="W3370" s="3" t="str">
        <f>LEFT(Base_Periodo1[[#This Row],[CLASS]],3)</f>
        <v>2.1</v>
      </c>
    </row>
    <row r="3371" spans="1:23" hidden="1">
      <c r="A3371" s="3" t="str">
        <f t="shared" si="52"/>
        <v>Período 1</v>
      </c>
      <c r="B3371">
        <v>43308</v>
      </c>
      <c r="C3371" t="s">
        <v>2010</v>
      </c>
      <c r="D3371" t="s">
        <v>581</v>
      </c>
      <c r="E3371" s="3" t="str">
        <f>IF(LEN(Base_Periodo1[[#This Row],[CLASS]])&gt;=7,LEFT(Base_Periodo1[[#This Row],[CLASS]],7),"")</f>
        <v>2.1.2.2</v>
      </c>
      <c r="F3371" s="3" t="str">
        <f>VLOOKUP(Base_Periodo1[[#This Row],[Aux]],Base_Contas_Balanco[#All],2,FALSE)</f>
        <v>Fornecedores Não Cooperados</v>
      </c>
      <c r="G3371" s="1"/>
      <c r="I3371" s="225">
        <v>0</v>
      </c>
      <c r="J3371" s="225">
        <v>308.08999999999997</v>
      </c>
      <c r="K3371" s="225">
        <v>308.08999999999997</v>
      </c>
      <c r="L33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308.08999999999997</v>
      </c>
      <c r="M3371" s="225">
        <f>ROUND(IF(AND(Base_Periodo1[[#This Row],[Tipo_Linha]]="-",Base_Periodo1[[#This Row],[TIPOSALDO]]="D"),Base_Periodo1[[#This Row],[SALDO_ATUAL]]*-1,Base_Periodo1[[#This Row],[SALDO_ATUAL]]),4)</f>
        <v>308.08999999999997</v>
      </c>
      <c r="N3371" t="s">
        <v>116</v>
      </c>
      <c r="O3371" t="s">
        <v>436</v>
      </c>
      <c r="P3371" t="s">
        <v>459</v>
      </c>
      <c r="Q3371">
        <v>7</v>
      </c>
      <c r="R3371" s="225">
        <f>Base_Periodo1[[#This Row],[CREDITOS]]-Base_Periodo1[[#This Row],[DEBITOS]]</f>
        <v>308.08999999999997</v>
      </c>
      <c r="S3371" s="3" t="str">
        <f>IF(ISERROR(VLOOKUP(Base_Periodo1[[#This Row],[CONTA]],BaseContasDRE[#All],4,FALSE)),"Fora do DRE",VLOOKUP(Base_Periodo1[[#This Row],[CONTA]],BaseContasDRE[#All],4,FALSE))</f>
        <v>Fora do DRE</v>
      </c>
      <c r="T3371" s="3" t="str">
        <f>IF(ISERROR(VLOOKUP(Base_Periodo1[[#This Row],[CONTA]],BaseContasDRE[#All],5,FALSE)),"Fora do DRE",VLOOKUP(Base_Periodo1[[#This Row],[CONTA]],BaseContasDRE[#All],6,FALSE))</f>
        <v>Fora do DRE</v>
      </c>
      <c r="U3371" s="3" t="str">
        <f>IF(ISERROR(VLOOKUP(Base_Periodo1[[#This Row],[CONTA]],BaseContasDRE[#All],7,FALSE)),"Fora do DRE",VLOOKUP(Base_Periodo1[[#This Row],[CONTA]],BaseContasDRE[#All],7,FALSE))</f>
        <v>Fora do DRE</v>
      </c>
      <c r="V3371" s="3" t="str">
        <f>IF(Base_Periodo1[[#This Row],[Tipo_Linha]]="Fora do DRE","Fora do DRE","( "&amp;Base_Periodo1[[#This Row],[Tipo_Linha]]&amp;" ) "&amp;Base_Periodo1[[#This Row],[Filtro]])</f>
        <v>Fora do DRE</v>
      </c>
      <c r="W3371" s="3" t="str">
        <f>LEFT(Base_Periodo1[[#This Row],[CLASS]],3)</f>
        <v>2.1</v>
      </c>
    </row>
    <row r="3372" spans="1:23" hidden="1">
      <c r="A3372" s="3" t="str">
        <f t="shared" si="52"/>
        <v>Período 1</v>
      </c>
      <c r="B3372">
        <v>58337</v>
      </c>
      <c r="C3372" t="s">
        <v>2010</v>
      </c>
      <c r="D3372" t="s">
        <v>6942</v>
      </c>
      <c r="E3372" s="3" t="str">
        <f>IF(LEN(Base_Periodo1[[#This Row],[CLASS]])&gt;=7,LEFT(Base_Periodo1[[#This Row],[CLASS]],7),"")</f>
        <v>2.1.2.2</v>
      </c>
      <c r="F3372" s="3" t="str">
        <f>VLOOKUP(Base_Periodo1[[#This Row],[Aux]],Base_Contas_Balanco[#All],2,FALSE)</f>
        <v>Fornecedores Não Cooperados</v>
      </c>
      <c r="G3372" s="1">
        <v>42860</v>
      </c>
      <c r="I3372" s="225">
        <v>49789.15</v>
      </c>
      <c r="J3372" s="225">
        <v>49789.15</v>
      </c>
      <c r="K3372" s="225">
        <v>0</v>
      </c>
      <c r="L33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72" s="225">
        <f>ROUND(IF(AND(Base_Periodo1[[#This Row],[Tipo_Linha]]="-",Base_Periodo1[[#This Row],[TIPOSALDO]]="D"),Base_Periodo1[[#This Row],[SALDO_ATUAL]]*-1,Base_Periodo1[[#This Row],[SALDO_ATUAL]]),4)</f>
        <v>0</v>
      </c>
      <c r="N3372" t="s">
        <v>116</v>
      </c>
      <c r="O3372" t="s">
        <v>436</v>
      </c>
      <c r="P3372" t="s">
        <v>436</v>
      </c>
      <c r="Q3372">
        <v>7</v>
      </c>
      <c r="R3372" s="225">
        <f>Base_Periodo1[[#This Row],[CREDITOS]]-Base_Periodo1[[#This Row],[DEBITOS]]</f>
        <v>0</v>
      </c>
      <c r="S3372" s="3" t="str">
        <f>IF(ISERROR(VLOOKUP(Base_Periodo1[[#This Row],[CONTA]],BaseContasDRE[#All],4,FALSE)),"Fora do DRE",VLOOKUP(Base_Periodo1[[#This Row],[CONTA]],BaseContasDRE[#All],4,FALSE))</f>
        <v>Fora do DRE</v>
      </c>
      <c r="T3372" s="3" t="str">
        <f>IF(ISERROR(VLOOKUP(Base_Periodo1[[#This Row],[CONTA]],BaseContasDRE[#All],5,FALSE)),"Fora do DRE",VLOOKUP(Base_Periodo1[[#This Row],[CONTA]],BaseContasDRE[#All],6,FALSE))</f>
        <v>Fora do DRE</v>
      </c>
      <c r="U3372" s="3" t="str">
        <f>IF(ISERROR(VLOOKUP(Base_Periodo1[[#This Row],[CONTA]],BaseContasDRE[#All],7,FALSE)),"Fora do DRE",VLOOKUP(Base_Periodo1[[#This Row],[CONTA]],BaseContasDRE[#All],7,FALSE))</f>
        <v>Fora do DRE</v>
      </c>
      <c r="V3372" s="3" t="str">
        <f>IF(Base_Periodo1[[#This Row],[Tipo_Linha]]="Fora do DRE","Fora do DRE","( "&amp;Base_Periodo1[[#This Row],[Tipo_Linha]]&amp;" ) "&amp;Base_Periodo1[[#This Row],[Filtro]])</f>
        <v>Fora do DRE</v>
      </c>
      <c r="W3372" s="3" t="str">
        <f>LEFT(Base_Periodo1[[#This Row],[CLASS]],3)</f>
        <v>2.1</v>
      </c>
    </row>
    <row r="3373" spans="1:23" hidden="1">
      <c r="A3373" s="3" t="str">
        <f t="shared" si="52"/>
        <v>Período 1</v>
      </c>
      <c r="B3373">
        <v>8417</v>
      </c>
      <c r="C3373" t="s">
        <v>2010</v>
      </c>
      <c r="D3373" t="s">
        <v>6943</v>
      </c>
      <c r="E3373" s="3" t="str">
        <f>IF(LEN(Base_Periodo1[[#This Row],[CLASS]])&gt;=7,LEFT(Base_Periodo1[[#This Row],[CLASS]],7),"")</f>
        <v>2.1.2.2</v>
      </c>
      <c r="F3373" s="3" t="str">
        <f>VLOOKUP(Base_Periodo1[[#This Row],[Aux]],Base_Contas_Balanco[#All],2,FALSE)</f>
        <v>Fornecedores Não Cooperados</v>
      </c>
      <c r="G3373" s="1">
        <v>42880</v>
      </c>
      <c r="I3373" s="225">
        <v>5107.67</v>
      </c>
      <c r="J3373" s="225">
        <v>5107.67</v>
      </c>
      <c r="K3373" s="225">
        <v>-1.8189894035458565E-12</v>
      </c>
      <c r="L33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73" s="225">
        <f>ROUND(IF(AND(Base_Periodo1[[#This Row],[Tipo_Linha]]="-",Base_Periodo1[[#This Row],[TIPOSALDO]]="D"),Base_Periodo1[[#This Row],[SALDO_ATUAL]]*-1,Base_Periodo1[[#This Row],[SALDO_ATUAL]]),4)</f>
        <v>0</v>
      </c>
      <c r="N3373" t="s">
        <v>116</v>
      </c>
      <c r="O3373" t="s">
        <v>436</v>
      </c>
      <c r="P3373" t="s">
        <v>436</v>
      </c>
      <c r="Q3373">
        <v>7</v>
      </c>
      <c r="R3373" s="225">
        <f>Base_Periodo1[[#This Row],[CREDITOS]]-Base_Periodo1[[#This Row],[DEBITOS]]</f>
        <v>0</v>
      </c>
      <c r="S3373" s="3" t="str">
        <f>IF(ISERROR(VLOOKUP(Base_Periodo1[[#This Row],[CONTA]],BaseContasDRE[#All],4,FALSE)),"Fora do DRE",VLOOKUP(Base_Periodo1[[#This Row],[CONTA]],BaseContasDRE[#All],4,FALSE))</f>
        <v>Fora do DRE</v>
      </c>
      <c r="T3373" s="3" t="str">
        <f>IF(ISERROR(VLOOKUP(Base_Periodo1[[#This Row],[CONTA]],BaseContasDRE[#All],5,FALSE)),"Fora do DRE",VLOOKUP(Base_Periodo1[[#This Row],[CONTA]],BaseContasDRE[#All],6,FALSE))</f>
        <v>Fora do DRE</v>
      </c>
      <c r="U3373" s="3" t="str">
        <f>IF(ISERROR(VLOOKUP(Base_Periodo1[[#This Row],[CONTA]],BaseContasDRE[#All],7,FALSE)),"Fora do DRE",VLOOKUP(Base_Periodo1[[#This Row],[CONTA]],BaseContasDRE[#All],7,FALSE))</f>
        <v>Fora do DRE</v>
      </c>
      <c r="V3373" s="3" t="str">
        <f>IF(Base_Periodo1[[#This Row],[Tipo_Linha]]="Fora do DRE","Fora do DRE","( "&amp;Base_Periodo1[[#This Row],[Tipo_Linha]]&amp;" ) "&amp;Base_Periodo1[[#This Row],[Filtro]])</f>
        <v>Fora do DRE</v>
      </c>
      <c r="W3373" s="3" t="str">
        <f>LEFT(Base_Periodo1[[#This Row],[CLASS]],3)</f>
        <v>2.1</v>
      </c>
    </row>
    <row r="3374" spans="1:23" hidden="1">
      <c r="A3374" s="3" t="str">
        <f t="shared" si="52"/>
        <v>Período 1</v>
      </c>
      <c r="B3374">
        <v>41432</v>
      </c>
      <c r="C3374" t="s">
        <v>2010</v>
      </c>
      <c r="D3374" t="s">
        <v>935</v>
      </c>
      <c r="E3374" s="3" t="str">
        <f>IF(LEN(Base_Periodo1[[#This Row],[CLASS]])&gt;=7,LEFT(Base_Periodo1[[#This Row],[CLASS]],7),"")</f>
        <v>2.1.2.2</v>
      </c>
      <c r="F3374" s="3" t="str">
        <f>VLOOKUP(Base_Periodo1[[#This Row],[Aux]],Base_Contas_Balanco[#All],2,FALSE)</f>
        <v>Fornecedores Não Cooperados</v>
      </c>
      <c r="G3374" s="1">
        <v>42242</v>
      </c>
      <c r="H3374" s="225">
        <v>1374.95</v>
      </c>
      <c r="I3374" s="225">
        <v>0</v>
      </c>
      <c r="J3374" s="225">
        <v>0</v>
      </c>
      <c r="K3374" s="225">
        <v>1374.95</v>
      </c>
      <c r="L33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1374.95</v>
      </c>
      <c r="M3374" s="225">
        <f>ROUND(IF(AND(Base_Periodo1[[#This Row],[Tipo_Linha]]="-",Base_Periodo1[[#This Row],[TIPOSALDO]]="D"),Base_Periodo1[[#This Row],[SALDO_ATUAL]]*-1,Base_Periodo1[[#This Row],[SALDO_ATUAL]]),4)</f>
        <v>1374.95</v>
      </c>
      <c r="N3374" t="s">
        <v>116</v>
      </c>
      <c r="O3374" t="s">
        <v>459</v>
      </c>
      <c r="P3374" t="s">
        <v>459</v>
      </c>
      <c r="Q3374">
        <v>7</v>
      </c>
      <c r="R3374" s="225">
        <f>Base_Periodo1[[#This Row],[CREDITOS]]-Base_Periodo1[[#This Row],[DEBITOS]]</f>
        <v>0</v>
      </c>
      <c r="S3374" s="3" t="str">
        <f>IF(ISERROR(VLOOKUP(Base_Periodo1[[#This Row],[CONTA]],BaseContasDRE[#All],4,FALSE)),"Fora do DRE",VLOOKUP(Base_Periodo1[[#This Row],[CONTA]],BaseContasDRE[#All],4,FALSE))</f>
        <v>Fora do DRE</v>
      </c>
      <c r="T3374" s="3" t="str">
        <f>IF(ISERROR(VLOOKUP(Base_Periodo1[[#This Row],[CONTA]],BaseContasDRE[#All],5,FALSE)),"Fora do DRE",VLOOKUP(Base_Periodo1[[#This Row],[CONTA]],BaseContasDRE[#All],6,FALSE))</f>
        <v>Fora do DRE</v>
      </c>
      <c r="U3374" s="3" t="str">
        <f>IF(ISERROR(VLOOKUP(Base_Periodo1[[#This Row],[CONTA]],BaseContasDRE[#All],7,FALSE)),"Fora do DRE",VLOOKUP(Base_Periodo1[[#This Row],[CONTA]],BaseContasDRE[#All],7,FALSE))</f>
        <v>Fora do DRE</v>
      </c>
      <c r="V3374" s="3" t="str">
        <f>IF(Base_Periodo1[[#This Row],[Tipo_Linha]]="Fora do DRE","Fora do DRE","( "&amp;Base_Periodo1[[#This Row],[Tipo_Linha]]&amp;" ) "&amp;Base_Periodo1[[#This Row],[Filtro]])</f>
        <v>Fora do DRE</v>
      </c>
      <c r="W3374" s="3" t="str">
        <f>LEFT(Base_Periodo1[[#This Row],[CLASS]],3)</f>
        <v>2.1</v>
      </c>
    </row>
    <row r="3375" spans="1:23" hidden="1">
      <c r="A3375" s="3" t="str">
        <f t="shared" si="52"/>
        <v>Período 1</v>
      </c>
      <c r="B3375">
        <v>10355</v>
      </c>
      <c r="C3375" t="s">
        <v>2010</v>
      </c>
      <c r="D3375" t="s">
        <v>6944</v>
      </c>
      <c r="E3375" s="3" t="str">
        <f>IF(LEN(Base_Periodo1[[#This Row],[CLASS]])&gt;=7,LEFT(Base_Periodo1[[#This Row],[CLASS]],7),"")</f>
        <v>2.1.2.2</v>
      </c>
      <c r="F3375" s="3" t="str">
        <f>VLOOKUP(Base_Periodo1[[#This Row],[Aux]],Base_Contas_Balanco[#All],2,FALSE)</f>
        <v>Fornecedores Não Cooperados</v>
      </c>
      <c r="G3375" s="1">
        <v>42871</v>
      </c>
      <c r="I3375" s="225">
        <v>628.91</v>
      </c>
      <c r="J3375" s="225">
        <v>628.91</v>
      </c>
      <c r="K3375" s="225">
        <v>0</v>
      </c>
      <c r="L33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75" s="225">
        <f>ROUND(IF(AND(Base_Periodo1[[#This Row],[Tipo_Linha]]="-",Base_Periodo1[[#This Row],[TIPOSALDO]]="D"),Base_Periodo1[[#This Row],[SALDO_ATUAL]]*-1,Base_Periodo1[[#This Row],[SALDO_ATUAL]]),4)</f>
        <v>0</v>
      </c>
      <c r="N3375" t="s">
        <v>116</v>
      </c>
      <c r="O3375" t="s">
        <v>436</v>
      </c>
      <c r="P3375" t="s">
        <v>436</v>
      </c>
      <c r="Q3375">
        <v>7</v>
      </c>
      <c r="R3375" s="225">
        <f>Base_Periodo1[[#This Row],[CREDITOS]]-Base_Periodo1[[#This Row],[DEBITOS]]</f>
        <v>0</v>
      </c>
      <c r="S3375" s="3" t="str">
        <f>IF(ISERROR(VLOOKUP(Base_Periodo1[[#This Row],[CONTA]],BaseContasDRE[#All],4,FALSE)),"Fora do DRE",VLOOKUP(Base_Periodo1[[#This Row],[CONTA]],BaseContasDRE[#All],4,FALSE))</f>
        <v>Fora do DRE</v>
      </c>
      <c r="T3375" s="3" t="str">
        <f>IF(ISERROR(VLOOKUP(Base_Periodo1[[#This Row],[CONTA]],BaseContasDRE[#All],5,FALSE)),"Fora do DRE",VLOOKUP(Base_Periodo1[[#This Row],[CONTA]],BaseContasDRE[#All],6,FALSE))</f>
        <v>Fora do DRE</v>
      </c>
      <c r="U3375" s="3" t="str">
        <f>IF(ISERROR(VLOOKUP(Base_Periodo1[[#This Row],[CONTA]],BaseContasDRE[#All],7,FALSE)),"Fora do DRE",VLOOKUP(Base_Periodo1[[#This Row],[CONTA]],BaseContasDRE[#All],7,FALSE))</f>
        <v>Fora do DRE</v>
      </c>
      <c r="V3375" s="3" t="str">
        <f>IF(Base_Periodo1[[#This Row],[Tipo_Linha]]="Fora do DRE","Fora do DRE","( "&amp;Base_Periodo1[[#This Row],[Tipo_Linha]]&amp;" ) "&amp;Base_Periodo1[[#This Row],[Filtro]])</f>
        <v>Fora do DRE</v>
      </c>
      <c r="W3375" s="3" t="str">
        <f>LEFT(Base_Periodo1[[#This Row],[CLASS]],3)</f>
        <v>2.1</v>
      </c>
    </row>
    <row r="3376" spans="1:23" hidden="1">
      <c r="A3376" s="3" t="str">
        <f t="shared" si="52"/>
        <v>Período 1</v>
      </c>
      <c r="B3376">
        <v>22079</v>
      </c>
      <c r="C3376" t="s">
        <v>2010</v>
      </c>
      <c r="D3376" t="s">
        <v>6437</v>
      </c>
      <c r="E3376" s="3" t="str">
        <f>IF(LEN(Base_Periodo1[[#This Row],[CLASS]])&gt;=7,LEFT(Base_Periodo1[[#This Row],[CLASS]],7),"")</f>
        <v>2.1.2.2</v>
      </c>
      <c r="F3376" s="3" t="str">
        <f>VLOOKUP(Base_Periodo1[[#This Row],[Aux]],Base_Contas_Balanco[#All],2,FALSE)</f>
        <v>Fornecedores Não Cooperados</v>
      </c>
      <c r="G3376" s="1">
        <v>42865</v>
      </c>
      <c r="H3376" s="225">
        <v>80000</v>
      </c>
      <c r="I3376" s="225">
        <v>10000</v>
      </c>
      <c r="J3376" s="225">
        <v>0</v>
      </c>
      <c r="K3376" s="225">
        <v>70000</v>
      </c>
      <c r="L33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70000</v>
      </c>
      <c r="M3376" s="225">
        <f>ROUND(IF(AND(Base_Periodo1[[#This Row],[Tipo_Linha]]="-",Base_Periodo1[[#This Row],[TIPOSALDO]]="D"),Base_Periodo1[[#This Row],[SALDO_ATUAL]]*-1,Base_Periodo1[[#This Row],[SALDO_ATUAL]]),4)</f>
        <v>70000</v>
      </c>
      <c r="N3376" t="s">
        <v>116</v>
      </c>
      <c r="O3376" t="s">
        <v>459</v>
      </c>
      <c r="P3376" t="s">
        <v>459</v>
      </c>
      <c r="Q3376">
        <v>7</v>
      </c>
      <c r="R3376" s="225">
        <f>Base_Periodo1[[#This Row],[CREDITOS]]-Base_Periodo1[[#This Row],[DEBITOS]]</f>
        <v>-10000</v>
      </c>
      <c r="S3376" s="3" t="str">
        <f>IF(ISERROR(VLOOKUP(Base_Periodo1[[#This Row],[CONTA]],BaseContasDRE[#All],4,FALSE)),"Fora do DRE",VLOOKUP(Base_Periodo1[[#This Row],[CONTA]],BaseContasDRE[#All],4,FALSE))</f>
        <v>Fora do DRE</v>
      </c>
      <c r="T3376" s="3" t="str">
        <f>IF(ISERROR(VLOOKUP(Base_Periodo1[[#This Row],[CONTA]],BaseContasDRE[#All],5,FALSE)),"Fora do DRE",VLOOKUP(Base_Periodo1[[#This Row],[CONTA]],BaseContasDRE[#All],6,FALSE))</f>
        <v>Fora do DRE</v>
      </c>
      <c r="U3376" s="3" t="str">
        <f>IF(ISERROR(VLOOKUP(Base_Periodo1[[#This Row],[CONTA]],BaseContasDRE[#All],7,FALSE)),"Fora do DRE",VLOOKUP(Base_Periodo1[[#This Row],[CONTA]],BaseContasDRE[#All],7,FALSE))</f>
        <v>Fora do DRE</v>
      </c>
      <c r="V3376" s="3" t="str">
        <f>IF(Base_Periodo1[[#This Row],[Tipo_Linha]]="Fora do DRE","Fora do DRE","( "&amp;Base_Periodo1[[#This Row],[Tipo_Linha]]&amp;" ) "&amp;Base_Periodo1[[#This Row],[Filtro]])</f>
        <v>Fora do DRE</v>
      </c>
      <c r="W3376" s="3" t="str">
        <f>LEFT(Base_Periodo1[[#This Row],[CLASS]],3)</f>
        <v>2.1</v>
      </c>
    </row>
    <row r="3377" spans="1:23" hidden="1">
      <c r="A3377" s="3" t="str">
        <f t="shared" si="52"/>
        <v>Período 1</v>
      </c>
      <c r="B3377">
        <v>19110</v>
      </c>
      <c r="C3377" t="s">
        <v>2010</v>
      </c>
      <c r="D3377" t="s">
        <v>2034</v>
      </c>
      <c r="E3377" s="3" t="str">
        <f>IF(LEN(Base_Periodo1[[#This Row],[CLASS]])&gt;=7,LEFT(Base_Periodo1[[#This Row],[CLASS]],7),"")</f>
        <v>2.1.2.2</v>
      </c>
      <c r="F3377" s="3" t="str">
        <f>VLOOKUP(Base_Periodo1[[#This Row],[Aux]],Base_Contas_Balanco[#All],2,FALSE)</f>
        <v>Fornecedores Não Cooperados</v>
      </c>
      <c r="G3377" s="1">
        <v>42871</v>
      </c>
      <c r="I3377" s="225">
        <v>20131.939999999999</v>
      </c>
      <c r="J3377" s="225">
        <v>20131.939999999999</v>
      </c>
      <c r="K3377" s="225">
        <v>-1.1641532182693481E-10</v>
      </c>
      <c r="L33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77" s="225">
        <f>ROUND(IF(AND(Base_Periodo1[[#This Row],[Tipo_Linha]]="-",Base_Periodo1[[#This Row],[TIPOSALDO]]="D"),Base_Periodo1[[#This Row],[SALDO_ATUAL]]*-1,Base_Periodo1[[#This Row],[SALDO_ATUAL]]),4)</f>
        <v>0</v>
      </c>
      <c r="N3377" t="s">
        <v>116</v>
      </c>
      <c r="O3377" t="s">
        <v>436</v>
      </c>
      <c r="P3377" t="s">
        <v>436</v>
      </c>
      <c r="Q3377">
        <v>7</v>
      </c>
      <c r="R3377" s="225">
        <f>Base_Periodo1[[#This Row],[CREDITOS]]-Base_Periodo1[[#This Row],[DEBITOS]]</f>
        <v>0</v>
      </c>
      <c r="S3377" s="3" t="str">
        <f>IF(ISERROR(VLOOKUP(Base_Periodo1[[#This Row],[CONTA]],BaseContasDRE[#All],4,FALSE)),"Fora do DRE",VLOOKUP(Base_Periodo1[[#This Row],[CONTA]],BaseContasDRE[#All],4,FALSE))</f>
        <v>Fora do DRE</v>
      </c>
      <c r="T3377" s="3" t="str">
        <f>IF(ISERROR(VLOOKUP(Base_Periodo1[[#This Row],[CONTA]],BaseContasDRE[#All],5,FALSE)),"Fora do DRE",VLOOKUP(Base_Periodo1[[#This Row],[CONTA]],BaseContasDRE[#All],6,FALSE))</f>
        <v>Fora do DRE</v>
      </c>
      <c r="U3377" s="3" t="str">
        <f>IF(ISERROR(VLOOKUP(Base_Periodo1[[#This Row],[CONTA]],BaseContasDRE[#All],7,FALSE)),"Fora do DRE",VLOOKUP(Base_Periodo1[[#This Row],[CONTA]],BaseContasDRE[#All],7,FALSE))</f>
        <v>Fora do DRE</v>
      </c>
      <c r="V3377" s="3" t="str">
        <f>IF(Base_Periodo1[[#This Row],[Tipo_Linha]]="Fora do DRE","Fora do DRE","( "&amp;Base_Periodo1[[#This Row],[Tipo_Linha]]&amp;" ) "&amp;Base_Periodo1[[#This Row],[Filtro]])</f>
        <v>Fora do DRE</v>
      </c>
      <c r="W3377" s="3" t="str">
        <f>LEFT(Base_Periodo1[[#This Row],[CLASS]],3)</f>
        <v>2.1</v>
      </c>
    </row>
    <row r="3378" spans="1:23" hidden="1">
      <c r="A3378" s="3" t="str">
        <f t="shared" si="52"/>
        <v>Período 1</v>
      </c>
      <c r="B3378">
        <v>12660</v>
      </c>
      <c r="C3378" t="s">
        <v>2010</v>
      </c>
      <c r="D3378" t="s">
        <v>6945</v>
      </c>
      <c r="E3378" s="3" t="str">
        <f>IF(LEN(Base_Periodo1[[#This Row],[CLASS]])&gt;=7,LEFT(Base_Periodo1[[#This Row],[CLASS]],7),"")</f>
        <v>2.1.2.2</v>
      </c>
      <c r="F3378" s="3" t="str">
        <f>VLOOKUP(Base_Periodo1[[#This Row],[Aux]],Base_Contas_Balanco[#All],2,FALSE)</f>
        <v>Fornecedores Não Cooperados</v>
      </c>
      <c r="G3378" s="1">
        <v>42872</v>
      </c>
      <c r="I3378" s="225">
        <v>1069.5999999999999</v>
      </c>
      <c r="J3378" s="225">
        <v>1069.5999999999999</v>
      </c>
      <c r="K3378" s="225">
        <v>0</v>
      </c>
      <c r="L33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78" s="225">
        <f>ROUND(IF(AND(Base_Periodo1[[#This Row],[Tipo_Linha]]="-",Base_Periodo1[[#This Row],[TIPOSALDO]]="D"),Base_Periodo1[[#This Row],[SALDO_ATUAL]]*-1,Base_Periodo1[[#This Row],[SALDO_ATUAL]]),4)</f>
        <v>0</v>
      </c>
      <c r="N3378" t="s">
        <v>116</v>
      </c>
      <c r="O3378" t="s">
        <v>436</v>
      </c>
      <c r="P3378" t="s">
        <v>436</v>
      </c>
      <c r="Q3378">
        <v>7</v>
      </c>
      <c r="R3378" s="225">
        <f>Base_Periodo1[[#This Row],[CREDITOS]]-Base_Periodo1[[#This Row],[DEBITOS]]</f>
        <v>0</v>
      </c>
      <c r="S3378" s="3" t="str">
        <f>IF(ISERROR(VLOOKUP(Base_Periodo1[[#This Row],[CONTA]],BaseContasDRE[#All],4,FALSE)),"Fora do DRE",VLOOKUP(Base_Periodo1[[#This Row],[CONTA]],BaseContasDRE[#All],4,FALSE))</f>
        <v>Fora do DRE</v>
      </c>
      <c r="T3378" s="3" t="str">
        <f>IF(ISERROR(VLOOKUP(Base_Periodo1[[#This Row],[CONTA]],BaseContasDRE[#All],5,FALSE)),"Fora do DRE",VLOOKUP(Base_Periodo1[[#This Row],[CONTA]],BaseContasDRE[#All],6,FALSE))</f>
        <v>Fora do DRE</v>
      </c>
      <c r="U3378" s="3" t="str">
        <f>IF(ISERROR(VLOOKUP(Base_Periodo1[[#This Row],[CONTA]],BaseContasDRE[#All],7,FALSE)),"Fora do DRE",VLOOKUP(Base_Periodo1[[#This Row],[CONTA]],BaseContasDRE[#All],7,FALSE))</f>
        <v>Fora do DRE</v>
      </c>
      <c r="V3378" s="3" t="str">
        <f>IF(Base_Periodo1[[#This Row],[Tipo_Linha]]="Fora do DRE","Fora do DRE","( "&amp;Base_Periodo1[[#This Row],[Tipo_Linha]]&amp;" ) "&amp;Base_Periodo1[[#This Row],[Filtro]])</f>
        <v>Fora do DRE</v>
      </c>
      <c r="W3378" s="3" t="str">
        <f>LEFT(Base_Periodo1[[#This Row],[CLASS]],3)</f>
        <v>2.1</v>
      </c>
    </row>
    <row r="3379" spans="1:23" hidden="1">
      <c r="A3379" s="3" t="str">
        <f t="shared" si="52"/>
        <v>Período 1</v>
      </c>
      <c r="B3379">
        <v>15785</v>
      </c>
      <c r="C3379" t="s">
        <v>2010</v>
      </c>
      <c r="D3379" t="s">
        <v>6946</v>
      </c>
      <c r="E3379" s="3" t="str">
        <f>IF(LEN(Base_Periodo1[[#This Row],[CLASS]])&gt;=7,LEFT(Base_Periodo1[[#This Row],[CLASS]],7),"")</f>
        <v>2.1.2.2</v>
      </c>
      <c r="F3379" s="3" t="str">
        <f>VLOOKUP(Base_Periodo1[[#This Row],[Aux]],Base_Contas_Balanco[#All],2,FALSE)</f>
        <v>Fornecedores Não Cooperados</v>
      </c>
      <c r="G3379" s="1">
        <v>42884</v>
      </c>
      <c r="I3379" s="225">
        <v>7252.42</v>
      </c>
      <c r="J3379" s="225">
        <v>7252.42</v>
      </c>
      <c r="K3379" s="225">
        <v>2.9103830456733704E-11</v>
      </c>
      <c r="L33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79" s="225">
        <f>ROUND(IF(AND(Base_Periodo1[[#This Row],[Tipo_Linha]]="-",Base_Periodo1[[#This Row],[TIPOSALDO]]="D"),Base_Periodo1[[#This Row],[SALDO_ATUAL]]*-1,Base_Periodo1[[#This Row],[SALDO_ATUAL]]),4)</f>
        <v>0</v>
      </c>
      <c r="N3379" t="s">
        <v>116</v>
      </c>
      <c r="O3379" t="s">
        <v>436</v>
      </c>
      <c r="P3379" t="s">
        <v>436</v>
      </c>
      <c r="Q3379">
        <v>7</v>
      </c>
      <c r="R3379" s="225">
        <f>Base_Periodo1[[#This Row],[CREDITOS]]-Base_Periodo1[[#This Row],[DEBITOS]]</f>
        <v>0</v>
      </c>
      <c r="S3379" s="3" t="str">
        <f>IF(ISERROR(VLOOKUP(Base_Periodo1[[#This Row],[CONTA]],BaseContasDRE[#All],4,FALSE)),"Fora do DRE",VLOOKUP(Base_Periodo1[[#This Row],[CONTA]],BaseContasDRE[#All],4,FALSE))</f>
        <v>Fora do DRE</v>
      </c>
      <c r="T3379" s="3" t="str">
        <f>IF(ISERROR(VLOOKUP(Base_Periodo1[[#This Row],[CONTA]],BaseContasDRE[#All],5,FALSE)),"Fora do DRE",VLOOKUP(Base_Periodo1[[#This Row],[CONTA]],BaseContasDRE[#All],6,FALSE))</f>
        <v>Fora do DRE</v>
      </c>
      <c r="U3379" s="3" t="str">
        <f>IF(ISERROR(VLOOKUP(Base_Periodo1[[#This Row],[CONTA]],BaseContasDRE[#All],7,FALSE)),"Fora do DRE",VLOOKUP(Base_Periodo1[[#This Row],[CONTA]],BaseContasDRE[#All],7,FALSE))</f>
        <v>Fora do DRE</v>
      </c>
      <c r="V3379" s="3" t="str">
        <f>IF(Base_Periodo1[[#This Row],[Tipo_Linha]]="Fora do DRE","Fora do DRE","( "&amp;Base_Periodo1[[#This Row],[Tipo_Linha]]&amp;" ) "&amp;Base_Periodo1[[#This Row],[Filtro]])</f>
        <v>Fora do DRE</v>
      </c>
      <c r="W3379" s="3" t="str">
        <f>LEFT(Base_Periodo1[[#This Row],[CLASS]],3)</f>
        <v>2.1</v>
      </c>
    </row>
    <row r="3380" spans="1:23" hidden="1">
      <c r="A3380" s="3" t="str">
        <f t="shared" si="52"/>
        <v>Período 1</v>
      </c>
      <c r="B3380">
        <v>52906</v>
      </c>
      <c r="C3380" t="s">
        <v>2010</v>
      </c>
      <c r="D3380" t="s">
        <v>6438</v>
      </c>
      <c r="E3380" s="3" t="str">
        <f>IF(LEN(Base_Periodo1[[#This Row],[CLASS]])&gt;=7,LEFT(Base_Periodo1[[#This Row],[CLASS]],7),"")</f>
        <v>2.1.2.2</v>
      </c>
      <c r="F3380" s="3" t="str">
        <f>VLOOKUP(Base_Periodo1[[#This Row],[Aux]],Base_Contas_Balanco[#All],2,FALSE)</f>
        <v>Fornecedores Não Cooperados</v>
      </c>
      <c r="G3380" s="1">
        <v>42886</v>
      </c>
      <c r="H3380" s="225">
        <v>3285.5</v>
      </c>
      <c r="I3380" s="225">
        <v>3285.5</v>
      </c>
      <c r="J3380" s="225">
        <v>3832.5</v>
      </c>
      <c r="K3380" s="225">
        <v>3832.5</v>
      </c>
      <c r="L33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3832.5</v>
      </c>
      <c r="M3380" s="225">
        <f>ROUND(IF(AND(Base_Periodo1[[#This Row],[Tipo_Linha]]="-",Base_Periodo1[[#This Row],[TIPOSALDO]]="D"),Base_Periodo1[[#This Row],[SALDO_ATUAL]]*-1,Base_Periodo1[[#This Row],[SALDO_ATUAL]]),4)</f>
        <v>3832.5</v>
      </c>
      <c r="N3380" t="s">
        <v>116</v>
      </c>
      <c r="O3380" t="s">
        <v>459</v>
      </c>
      <c r="P3380" t="s">
        <v>459</v>
      </c>
      <c r="Q3380">
        <v>7</v>
      </c>
      <c r="R3380" s="225">
        <f>Base_Periodo1[[#This Row],[CREDITOS]]-Base_Periodo1[[#This Row],[DEBITOS]]</f>
        <v>547</v>
      </c>
      <c r="S3380" s="3" t="str">
        <f>IF(ISERROR(VLOOKUP(Base_Periodo1[[#This Row],[CONTA]],BaseContasDRE[#All],4,FALSE)),"Fora do DRE",VLOOKUP(Base_Periodo1[[#This Row],[CONTA]],BaseContasDRE[#All],4,FALSE))</f>
        <v>Fora do DRE</v>
      </c>
      <c r="T3380" s="3" t="str">
        <f>IF(ISERROR(VLOOKUP(Base_Periodo1[[#This Row],[CONTA]],BaseContasDRE[#All],5,FALSE)),"Fora do DRE",VLOOKUP(Base_Periodo1[[#This Row],[CONTA]],BaseContasDRE[#All],6,FALSE))</f>
        <v>Fora do DRE</v>
      </c>
      <c r="U3380" s="3" t="str">
        <f>IF(ISERROR(VLOOKUP(Base_Periodo1[[#This Row],[CONTA]],BaseContasDRE[#All],7,FALSE)),"Fora do DRE",VLOOKUP(Base_Periodo1[[#This Row],[CONTA]],BaseContasDRE[#All],7,FALSE))</f>
        <v>Fora do DRE</v>
      </c>
      <c r="V3380" s="3" t="str">
        <f>IF(Base_Periodo1[[#This Row],[Tipo_Linha]]="Fora do DRE","Fora do DRE","( "&amp;Base_Periodo1[[#This Row],[Tipo_Linha]]&amp;" ) "&amp;Base_Periodo1[[#This Row],[Filtro]])</f>
        <v>Fora do DRE</v>
      </c>
      <c r="W3380" s="3" t="str">
        <f>LEFT(Base_Periodo1[[#This Row],[CLASS]],3)</f>
        <v>2.1</v>
      </c>
    </row>
    <row r="3381" spans="1:23" hidden="1">
      <c r="A3381" s="3" t="str">
        <f t="shared" si="52"/>
        <v>Período 1</v>
      </c>
      <c r="B3381">
        <v>36620</v>
      </c>
      <c r="C3381" t="s">
        <v>2010</v>
      </c>
      <c r="D3381" t="s">
        <v>6439</v>
      </c>
      <c r="E3381" s="3" t="str">
        <f>IF(LEN(Base_Periodo1[[#This Row],[CLASS]])&gt;=7,LEFT(Base_Periodo1[[#This Row],[CLASS]],7),"")</f>
        <v>2.1.2.2</v>
      </c>
      <c r="F3381" s="3" t="str">
        <f>VLOOKUP(Base_Periodo1[[#This Row],[Aux]],Base_Contas_Balanco[#All],2,FALSE)</f>
        <v>Fornecedores Não Cooperados</v>
      </c>
      <c r="G3381" s="1">
        <v>42885</v>
      </c>
      <c r="H3381" s="225">
        <v>171</v>
      </c>
      <c r="I3381" s="225">
        <v>237.5</v>
      </c>
      <c r="J3381" s="225">
        <v>88.5</v>
      </c>
      <c r="K3381" s="225">
        <v>22</v>
      </c>
      <c r="L33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</v>
      </c>
      <c r="M3381" s="225">
        <f>ROUND(IF(AND(Base_Periodo1[[#This Row],[Tipo_Linha]]="-",Base_Periodo1[[#This Row],[TIPOSALDO]]="D"),Base_Periodo1[[#This Row],[SALDO_ATUAL]]*-1,Base_Periodo1[[#This Row],[SALDO_ATUAL]]),4)</f>
        <v>22</v>
      </c>
      <c r="N3381" t="s">
        <v>116</v>
      </c>
      <c r="O3381" t="s">
        <v>459</v>
      </c>
      <c r="P3381" t="s">
        <v>459</v>
      </c>
      <c r="Q3381">
        <v>7</v>
      </c>
      <c r="R3381" s="225">
        <f>Base_Periodo1[[#This Row],[CREDITOS]]-Base_Periodo1[[#This Row],[DEBITOS]]</f>
        <v>-149</v>
      </c>
      <c r="S3381" s="3" t="str">
        <f>IF(ISERROR(VLOOKUP(Base_Periodo1[[#This Row],[CONTA]],BaseContasDRE[#All],4,FALSE)),"Fora do DRE",VLOOKUP(Base_Periodo1[[#This Row],[CONTA]],BaseContasDRE[#All],4,FALSE))</f>
        <v>Fora do DRE</v>
      </c>
      <c r="T3381" s="3" t="str">
        <f>IF(ISERROR(VLOOKUP(Base_Periodo1[[#This Row],[CONTA]],BaseContasDRE[#All],5,FALSE)),"Fora do DRE",VLOOKUP(Base_Periodo1[[#This Row],[CONTA]],BaseContasDRE[#All],6,FALSE))</f>
        <v>Fora do DRE</v>
      </c>
      <c r="U3381" s="3" t="str">
        <f>IF(ISERROR(VLOOKUP(Base_Periodo1[[#This Row],[CONTA]],BaseContasDRE[#All],7,FALSE)),"Fora do DRE",VLOOKUP(Base_Periodo1[[#This Row],[CONTA]],BaseContasDRE[#All],7,FALSE))</f>
        <v>Fora do DRE</v>
      </c>
      <c r="V3381" s="3" t="str">
        <f>IF(Base_Periodo1[[#This Row],[Tipo_Linha]]="Fora do DRE","Fora do DRE","( "&amp;Base_Periodo1[[#This Row],[Tipo_Linha]]&amp;" ) "&amp;Base_Periodo1[[#This Row],[Filtro]])</f>
        <v>Fora do DRE</v>
      </c>
      <c r="W3381" s="3" t="str">
        <f>LEFT(Base_Periodo1[[#This Row],[CLASS]],3)</f>
        <v>2.1</v>
      </c>
    </row>
    <row r="3382" spans="1:23" hidden="1">
      <c r="A3382" s="3" t="str">
        <f t="shared" si="52"/>
        <v>Período 1</v>
      </c>
      <c r="B3382">
        <v>54496</v>
      </c>
      <c r="C3382" t="s">
        <v>2010</v>
      </c>
      <c r="D3382" t="s">
        <v>5965</v>
      </c>
      <c r="E3382" s="3" t="str">
        <f>IF(LEN(Base_Periodo1[[#This Row],[CLASS]])&gt;=7,LEFT(Base_Periodo1[[#This Row],[CLASS]],7),"")</f>
        <v>2.1.2.2</v>
      </c>
      <c r="F3382" s="3" t="str">
        <f>VLOOKUP(Base_Periodo1[[#This Row],[Aux]],Base_Contas_Balanco[#All],2,FALSE)</f>
        <v>Fornecedores Não Cooperados</v>
      </c>
      <c r="G3382" s="1">
        <v>42863</v>
      </c>
      <c r="I3382" s="225">
        <v>25</v>
      </c>
      <c r="J3382" s="225">
        <v>25</v>
      </c>
      <c r="K3382" s="225">
        <v>0</v>
      </c>
      <c r="L33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82" s="225">
        <f>ROUND(IF(AND(Base_Periodo1[[#This Row],[Tipo_Linha]]="-",Base_Periodo1[[#This Row],[TIPOSALDO]]="D"),Base_Periodo1[[#This Row],[SALDO_ATUAL]]*-1,Base_Periodo1[[#This Row],[SALDO_ATUAL]]),4)</f>
        <v>0</v>
      </c>
      <c r="N3382" t="s">
        <v>116</v>
      </c>
      <c r="O3382" t="s">
        <v>436</v>
      </c>
      <c r="P3382" t="s">
        <v>436</v>
      </c>
      <c r="Q3382">
        <v>7</v>
      </c>
      <c r="R3382" s="225">
        <f>Base_Periodo1[[#This Row],[CREDITOS]]-Base_Periodo1[[#This Row],[DEBITOS]]</f>
        <v>0</v>
      </c>
      <c r="S3382" s="3" t="str">
        <f>IF(ISERROR(VLOOKUP(Base_Periodo1[[#This Row],[CONTA]],BaseContasDRE[#All],4,FALSE)),"Fora do DRE",VLOOKUP(Base_Periodo1[[#This Row],[CONTA]],BaseContasDRE[#All],4,FALSE))</f>
        <v>Fora do DRE</v>
      </c>
      <c r="T3382" s="3" t="str">
        <f>IF(ISERROR(VLOOKUP(Base_Periodo1[[#This Row],[CONTA]],BaseContasDRE[#All],5,FALSE)),"Fora do DRE",VLOOKUP(Base_Periodo1[[#This Row],[CONTA]],BaseContasDRE[#All],6,FALSE))</f>
        <v>Fora do DRE</v>
      </c>
      <c r="U3382" s="3" t="str">
        <f>IF(ISERROR(VLOOKUP(Base_Periodo1[[#This Row],[CONTA]],BaseContasDRE[#All],7,FALSE)),"Fora do DRE",VLOOKUP(Base_Periodo1[[#This Row],[CONTA]],BaseContasDRE[#All],7,FALSE))</f>
        <v>Fora do DRE</v>
      </c>
      <c r="V3382" s="3" t="str">
        <f>IF(Base_Periodo1[[#This Row],[Tipo_Linha]]="Fora do DRE","Fora do DRE","( "&amp;Base_Periodo1[[#This Row],[Tipo_Linha]]&amp;" ) "&amp;Base_Periodo1[[#This Row],[Filtro]])</f>
        <v>Fora do DRE</v>
      </c>
      <c r="W3382" s="3" t="str">
        <f>LEFT(Base_Periodo1[[#This Row],[CLASS]],3)</f>
        <v>2.1</v>
      </c>
    </row>
    <row r="3383" spans="1:23" hidden="1">
      <c r="A3383" s="3" t="str">
        <f t="shared" si="52"/>
        <v>Período 1</v>
      </c>
      <c r="B3383">
        <v>25404</v>
      </c>
      <c r="C3383" t="s">
        <v>2010</v>
      </c>
      <c r="D3383" t="s">
        <v>6752</v>
      </c>
      <c r="E3383" s="3" t="str">
        <f>IF(LEN(Base_Periodo1[[#This Row],[CLASS]])&gt;=7,LEFT(Base_Periodo1[[#This Row],[CLASS]],7),"")</f>
        <v>2.1.2.2</v>
      </c>
      <c r="F3383" s="3" t="str">
        <f>VLOOKUP(Base_Periodo1[[#This Row],[Aux]],Base_Contas_Balanco[#All],2,FALSE)</f>
        <v>Fornecedores Não Cooperados</v>
      </c>
      <c r="G3383" s="1">
        <v>42874</v>
      </c>
      <c r="I3383" s="225">
        <v>77.349999999999994</v>
      </c>
      <c r="J3383" s="225">
        <v>77.349999999999994</v>
      </c>
      <c r="K3383" s="225">
        <v>0</v>
      </c>
      <c r="L33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83" s="225">
        <f>ROUND(IF(AND(Base_Periodo1[[#This Row],[Tipo_Linha]]="-",Base_Periodo1[[#This Row],[TIPOSALDO]]="D"),Base_Periodo1[[#This Row],[SALDO_ATUAL]]*-1,Base_Periodo1[[#This Row],[SALDO_ATUAL]]),4)</f>
        <v>0</v>
      </c>
      <c r="N3383" t="s">
        <v>116</v>
      </c>
      <c r="O3383" t="s">
        <v>436</v>
      </c>
      <c r="P3383" t="s">
        <v>436</v>
      </c>
      <c r="Q3383">
        <v>7</v>
      </c>
      <c r="R3383" s="225">
        <f>Base_Periodo1[[#This Row],[CREDITOS]]-Base_Periodo1[[#This Row],[DEBITOS]]</f>
        <v>0</v>
      </c>
      <c r="S3383" s="3" t="str">
        <f>IF(ISERROR(VLOOKUP(Base_Periodo1[[#This Row],[CONTA]],BaseContasDRE[#All],4,FALSE)),"Fora do DRE",VLOOKUP(Base_Periodo1[[#This Row],[CONTA]],BaseContasDRE[#All],4,FALSE))</f>
        <v>Fora do DRE</v>
      </c>
      <c r="T3383" s="3" t="str">
        <f>IF(ISERROR(VLOOKUP(Base_Periodo1[[#This Row],[CONTA]],BaseContasDRE[#All],5,FALSE)),"Fora do DRE",VLOOKUP(Base_Periodo1[[#This Row],[CONTA]],BaseContasDRE[#All],6,FALSE))</f>
        <v>Fora do DRE</v>
      </c>
      <c r="U3383" s="3" t="str">
        <f>IF(ISERROR(VLOOKUP(Base_Periodo1[[#This Row],[CONTA]],BaseContasDRE[#All],7,FALSE)),"Fora do DRE",VLOOKUP(Base_Periodo1[[#This Row],[CONTA]],BaseContasDRE[#All],7,FALSE))</f>
        <v>Fora do DRE</v>
      </c>
      <c r="V3383" s="3" t="str">
        <f>IF(Base_Periodo1[[#This Row],[Tipo_Linha]]="Fora do DRE","Fora do DRE","( "&amp;Base_Periodo1[[#This Row],[Tipo_Linha]]&amp;" ) "&amp;Base_Periodo1[[#This Row],[Filtro]])</f>
        <v>Fora do DRE</v>
      </c>
      <c r="W3383" s="3" t="str">
        <f>LEFT(Base_Periodo1[[#This Row],[CLASS]],3)</f>
        <v>2.1</v>
      </c>
    </row>
    <row r="3384" spans="1:23" hidden="1">
      <c r="A3384" s="3" t="str">
        <f t="shared" si="52"/>
        <v>Período 1</v>
      </c>
      <c r="B3384">
        <v>15455</v>
      </c>
      <c r="C3384" t="s">
        <v>2010</v>
      </c>
      <c r="D3384" t="s">
        <v>4460</v>
      </c>
      <c r="E3384" s="3" t="str">
        <f>IF(LEN(Base_Periodo1[[#This Row],[CLASS]])&gt;=7,LEFT(Base_Periodo1[[#This Row],[CLASS]],7),"")</f>
        <v>2.1.2.2</v>
      </c>
      <c r="F3384" s="3" t="str">
        <f>VLOOKUP(Base_Periodo1[[#This Row],[Aux]],Base_Contas_Balanco[#All],2,FALSE)</f>
        <v>Fornecedores Não Cooperados</v>
      </c>
      <c r="G3384" s="1">
        <v>42879</v>
      </c>
      <c r="I3384" s="225">
        <v>630</v>
      </c>
      <c r="J3384" s="225">
        <v>630</v>
      </c>
      <c r="K3384" s="225">
        <v>0</v>
      </c>
      <c r="L33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84" s="225">
        <f>ROUND(IF(AND(Base_Periodo1[[#This Row],[Tipo_Linha]]="-",Base_Periodo1[[#This Row],[TIPOSALDO]]="D"),Base_Periodo1[[#This Row],[SALDO_ATUAL]]*-1,Base_Periodo1[[#This Row],[SALDO_ATUAL]]),4)</f>
        <v>0</v>
      </c>
      <c r="N3384" t="s">
        <v>116</v>
      </c>
      <c r="O3384" t="s">
        <v>436</v>
      </c>
      <c r="P3384" t="s">
        <v>436</v>
      </c>
      <c r="Q3384">
        <v>7</v>
      </c>
      <c r="R3384" s="225">
        <f>Base_Periodo1[[#This Row],[CREDITOS]]-Base_Periodo1[[#This Row],[DEBITOS]]</f>
        <v>0</v>
      </c>
      <c r="S3384" s="3" t="str">
        <f>IF(ISERROR(VLOOKUP(Base_Periodo1[[#This Row],[CONTA]],BaseContasDRE[#All],4,FALSE)),"Fora do DRE",VLOOKUP(Base_Periodo1[[#This Row],[CONTA]],BaseContasDRE[#All],4,FALSE))</f>
        <v>Fora do DRE</v>
      </c>
      <c r="T3384" s="3" t="str">
        <f>IF(ISERROR(VLOOKUP(Base_Periodo1[[#This Row],[CONTA]],BaseContasDRE[#All],5,FALSE)),"Fora do DRE",VLOOKUP(Base_Periodo1[[#This Row],[CONTA]],BaseContasDRE[#All],6,FALSE))</f>
        <v>Fora do DRE</v>
      </c>
      <c r="U3384" s="3" t="str">
        <f>IF(ISERROR(VLOOKUP(Base_Periodo1[[#This Row],[CONTA]],BaseContasDRE[#All],7,FALSE)),"Fora do DRE",VLOOKUP(Base_Periodo1[[#This Row],[CONTA]],BaseContasDRE[#All],7,FALSE))</f>
        <v>Fora do DRE</v>
      </c>
      <c r="V3384" s="3" t="str">
        <f>IF(Base_Periodo1[[#This Row],[Tipo_Linha]]="Fora do DRE","Fora do DRE","( "&amp;Base_Periodo1[[#This Row],[Tipo_Linha]]&amp;" ) "&amp;Base_Periodo1[[#This Row],[Filtro]])</f>
        <v>Fora do DRE</v>
      </c>
      <c r="W3384" s="3" t="str">
        <f>LEFT(Base_Periodo1[[#This Row],[CLASS]],3)</f>
        <v>2.1</v>
      </c>
    </row>
    <row r="3385" spans="1:23" hidden="1">
      <c r="A3385" s="3" t="str">
        <f t="shared" si="52"/>
        <v>Período 1</v>
      </c>
      <c r="B3385">
        <v>26978</v>
      </c>
      <c r="C3385" t="s">
        <v>2010</v>
      </c>
      <c r="D3385" t="s">
        <v>2035</v>
      </c>
      <c r="E3385" s="3" t="str">
        <f>IF(LEN(Base_Periodo1[[#This Row],[CLASS]])&gt;=7,LEFT(Base_Periodo1[[#This Row],[CLASS]],7),"")</f>
        <v>2.1.2.2</v>
      </c>
      <c r="F3385" s="3" t="str">
        <f>VLOOKUP(Base_Periodo1[[#This Row],[Aux]],Base_Contas_Balanco[#All],2,FALSE)</f>
        <v>Fornecedores Não Cooperados</v>
      </c>
      <c r="G3385" s="1">
        <v>42886</v>
      </c>
      <c r="H3385" s="225">
        <v>3484.0499999996973</v>
      </c>
      <c r="I3385" s="225">
        <v>24162.02</v>
      </c>
      <c r="J3385" s="225">
        <v>24994.06</v>
      </c>
      <c r="K3385" s="225">
        <v>4316.0899999996982</v>
      </c>
      <c r="L33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4316.09</v>
      </c>
      <c r="M3385" s="225">
        <f>ROUND(IF(AND(Base_Periodo1[[#This Row],[Tipo_Linha]]="-",Base_Periodo1[[#This Row],[TIPOSALDO]]="D"),Base_Periodo1[[#This Row],[SALDO_ATUAL]]*-1,Base_Periodo1[[#This Row],[SALDO_ATUAL]]),4)</f>
        <v>4316.09</v>
      </c>
      <c r="N3385" t="s">
        <v>116</v>
      </c>
      <c r="O3385" t="s">
        <v>459</v>
      </c>
      <c r="P3385" t="s">
        <v>459</v>
      </c>
      <c r="Q3385">
        <v>7</v>
      </c>
      <c r="R3385" s="225">
        <f>Base_Periodo1[[#This Row],[CREDITOS]]-Base_Periodo1[[#This Row],[DEBITOS]]</f>
        <v>832.04000000000087</v>
      </c>
      <c r="S3385" s="3" t="str">
        <f>IF(ISERROR(VLOOKUP(Base_Periodo1[[#This Row],[CONTA]],BaseContasDRE[#All],4,FALSE)),"Fora do DRE",VLOOKUP(Base_Periodo1[[#This Row],[CONTA]],BaseContasDRE[#All],4,FALSE))</f>
        <v>Fora do DRE</v>
      </c>
      <c r="T3385" s="3" t="str">
        <f>IF(ISERROR(VLOOKUP(Base_Periodo1[[#This Row],[CONTA]],BaseContasDRE[#All],5,FALSE)),"Fora do DRE",VLOOKUP(Base_Periodo1[[#This Row],[CONTA]],BaseContasDRE[#All],6,FALSE))</f>
        <v>Fora do DRE</v>
      </c>
      <c r="U3385" s="3" t="str">
        <f>IF(ISERROR(VLOOKUP(Base_Periodo1[[#This Row],[CONTA]],BaseContasDRE[#All],7,FALSE)),"Fora do DRE",VLOOKUP(Base_Periodo1[[#This Row],[CONTA]],BaseContasDRE[#All],7,FALSE))</f>
        <v>Fora do DRE</v>
      </c>
      <c r="V3385" s="3" t="str">
        <f>IF(Base_Periodo1[[#This Row],[Tipo_Linha]]="Fora do DRE","Fora do DRE","( "&amp;Base_Periodo1[[#This Row],[Tipo_Linha]]&amp;" ) "&amp;Base_Periodo1[[#This Row],[Filtro]])</f>
        <v>Fora do DRE</v>
      </c>
      <c r="W3385" s="3" t="str">
        <f>LEFT(Base_Periodo1[[#This Row],[CLASS]],3)</f>
        <v>2.1</v>
      </c>
    </row>
    <row r="3386" spans="1:23" hidden="1">
      <c r="A3386" s="3" t="str">
        <f t="shared" si="52"/>
        <v>Período 1</v>
      </c>
      <c r="B3386">
        <v>59109</v>
      </c>
      <c r="C3386" t="s">
        <v>2010</v>
      </c>
      <c r="D3386" t="s">
        <v>6947</v>
      </c>
      <c r="E3386" s="3" t="str">
        <f>IF(LEN(Base_Periodo1[[#This Row],[CLASS]])&gt;=7,LEFT(Base_Periodo1[[#This Row],[CLASS]],7),"")</f>
        <v>2.1.2.2</v>
      </c>
      <c r="F3386" s="3" t="str">
        <f>VLOOKUP(Base_Periodo1[[#This Row],[Aux]],Base_Contas_Balanco[#All],2,FALSE)</f>
        <v>Fornecedores Não Cooperados</v>
      </c>
      <c r="G3386" s="1">
        <v>42879</v>
      </c>
      <c r="I3386" s="225">
        <v>3500</v>
      </c>
      <c r="J3386" s="225">
        <v>3500</v>
      </c>
      <c r="K3386" s="225">
        <v>0</v>
      </c>
      <c r="L33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86" s="225">
        <f>ROUND(IF(AND(Base_Periodo1[[#This Row],[Tipo_Linha]]="-",Base_Periodo1[[#This Row],[TIPOSALDO]]="D"),Base_Periodo1[[#This Row],[SALDO_ATUAL]]*-1,Base_Periodo1[[#This Row],[SALDO_ATUAL]]),4)</f>
        <v>0</v>
      </c>
      <c r="N3386" t="s">
        <v>116</v>
      </c>
      <c r="O3386" t="s">
        <v>436</v>
      </c>
      <c r="P3386" t="s">
        <v>436</v>
      </c>
      <c r="Q3386">
        <v>7</v>
      </c>
      <c r="R3386" s="225">
        <f>Base_Periodo1[[#This Row],[CREDITOS]]-Base_Periodo1[[#This Row],[DEBITOS]]</f>
        <v>0</v>
      </c>
      <c r="S3386" s="3" t="str">
        <f>IF(ISERROR(VLOOKUP(Base_Periodo1[[#This Row],[CONTA]],BaseContasDRE[#All],4,FALSE)),"Fora do DRE",VLOOKUP(Base_Periodo1[[#This Row],[CONTA]],BaseContasDRE[#All],4,FALSE))</f>
        <v>Fora do DRE</v>
      </c>
      <c r="T3386" s="3" t="str">
        <f>IF(ISERROR(VLOOKUP(Base_Periodo1[[#This Row],[CONTA]],BaseContasDRE[#All],5,FALSE)),"Fora do DRE",VLOOKUP(Base_Periodo1[[#This Row],[CONTA]],BaseContasDRE[#All],6,FALSE))</f>
        <v>Fora do DRE</v>
      </c>
      <c r="U3386" s="3" t="str">
        <f>IF(ISERROR(VLOOKUP(Base_Periodo1[[#This Row],[CONTA]],BaseContasDRE[#All],7,FALSE)),"Fora do DRE",VLOOKUP(Base_Periodo1[[#This Row],[CONTA]],BaseContasDRE[#All],7,FALSE))</f>
        <v>Fora do DRE</v>
      </c>
      <c r="V3386" s="3" t="str">
        <f>IF(Base_Periodo1[[#This Row],[Tipo_Linha]]="Fora do DRE","Fora do DRE","( "&amp;Base_Periodo1[[#This Row],[Tipo_Linha]]&amp;" ) "&amp;Base_Periodo1[[#This Row],[Filtro]])</f>
        <v>Fora do DRE</v>
      </c>
      <c r="W3386" s="3" t="str">
        <f>LEFT(Base_Periodo1[[#This Row],[CLASS]],3)</f>
        <v>2.1</v>
      </c>
    </row>
    <row r="3387" spans="1:23" hidden="1">
      <c r="A3387" s="3" t="str">
        <f t="shared" si="52"/>
        <v>Período 1</v>
      </c>
      <c r="B3387">
        <v>13969</v>
      </c>
      <c r="C3387" t="s">
        <v>2010</v>
      </c>
      <c r="D3387" t="s">
        <v>2036</v>
      </c>
      <c r="E3387" s="3" t="str">
        <f>IF(LEN(Base_Periodo1[[#This Row],[CLASS]])&gt;=7,LEFT(Base_Periodo1[[#This Row],[CLASS]],7),"")</f>
        <v>2.1.2.2</v>
      </c>
      <c r="F3387" s="3" t="str">
        <f>VLOOKUP(Base_Periodo1[[#This Row],[Aux]],Base_Contas_Balanco[#All],2,FALSE)</f>
        <v>Fornecedores Não Cooperados</v>
      </c>
      <c r="G3387" s="1">
        <v>42885</v>
      </c>
      <c r="H3387" s="225">
        <v>3087.4300000000148</v>
      </c>
      <c r="I3387" s="225">
        <v>3087.43</v>
      </c>
      <c r="J3387" s="225">
        <v>7186.4800000000005</v>
      </c>
      <c r="K3387" s="225">
        <v>7186.4800000000159</v>
      </c>
      <c r="L33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7186.48</v>
      </c>
      <c r="M3387" s="225">
        <f>ROUND(IF(AND(Base_Periodo1[[#This Row],[Tipo_Linha]]="-",Base_Periodo1[[#This Row],[TIPOSALDO]]="D"),Base_Periodo1[[#This Row],[SALDO_ATUAL]]*-1,Base_Periodo1[[#This Row],[SALDO_ATUAL]]),4)</f>
        <v>7186.48</v>
      </c>
      <c r="N3387" t="s">
        <v>116</v>
      </c>
      <c r="O3387" t="s">
        <v>459</v>
      </c>
      <c r="P3387" t="s">
        <v>459</v>
      </c>
      <c r="Q3387">
        <v>7</v>
      </c>
      <c r="R3387" s="225">
        <f>Base_Periodo1[[#This Row],[CREDITOS]]-Base_Periodo1[[#This Row],[DEBITOS]]</f>
        <v>4099.0500000000011</v>
      </c>
      <c r="S3387" s="3" t="str">
        <f>IF(ISERROR(VLOOKUP(Base_Periodo1[[#This Row],[CONTA]],BaseContasDRE[#All],4,FALSE)),"Fora do DRE",VLOOKUP(Base_Periodo1[[#This Row],[CONTA]],BaseContasDRE[#All],4,FALSE))</f>
        <v>Fora do DRE</v>
      </c>
      <c r="T3387" s="3" t="str">
        <f>IF(ISERROR(VLOOKUP(Base_Periodo1[[#This Row],[CONTA]],BaseContasDRE[#All],5,FALSE)),"Fora do DRE",VLOOKUP(Base_Periodo1[[#This Row],[CONTA]],BaseContasDRE[#All],6,FALSE))</f>
        <v>Fora do DRE</v>
      </c>
      <c r="U3387" s="3" t="str">
        <f>IF(ISERROR(VLOOKUP(Base_Periodo1[[#This Row],[CONTA]],BaseContasDRE[#All],7,FALSE)),"Fora do DRE",VLOOKUP(Base_Periodo1[[#This Row],[CONTA]],BaseContasDRE[#All],7,FALSE))</f>
        <v>Fora do DRE</v>
      </c>
      <c r="V3387" s="3" t="str">
        <f>IF(Base_Periodo1[[#This Row],[Tipo_Linha]]="Fora do DRE","Fora do DRE","( "&amp;Base_Periodo1[[#This Row],[Tipo_Linha]]&amp;" ) "&amp;Base_Periodo1[[#This Row],[Filtro]])</f>
        <v>Fora do DRE</v>
      </c>
      <c r="W3387" s="3" t="str">
        <f>LEFT(Base_Periodo1[[#This Row],[CLASS]],3)</f>
        <v>2.1</v>
      </c>
    </row>
    <row r="3388" spans="1:23" hidden="1">
      <c r="A3388" s="3" t="str">
        <f t="shared" si="52"/>
        <v>Período 1</v>
      </c>
      <c r="B3388">
        <v>58906</v>
      </c>
      <c r="C3388" t="s">
        <v>2010</v>
      </c>
      <c r="D3388" t="s">
        <v>6948</v>
      </c>
      <c r="E3388" s="3" t="str">
        <f>IF(LEN(Base_Periodo1[[#This Row],[CLASS]])&gt;=7,LEFT(Base_Periodo1[[#This Row],[CLASS]],7),"")</f>
        <v>2.1.2.2</v>
      </c>
      <c r="F3388" s="3" t="str">
        <f>VLOOKUP(Base_Periodo1[[#This Row],[Aux]],Base_Contas_Balanco[#All],2,FALSE)</f>
        <v>Fornecedores Não Cooperados</v>
      </c>
      <c r="G3388" s="1">
        <v>42886</v>
      </c>
      <c r="I3388" s="225">
        <v>578.74</v>
      </c>
      <c r="J3388" s="225">
        <v>8688</v>
      </c>
      <c r="K3388" s="225">
        <v>8109.26</v>
      </c>
      <c r="L33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8109.26</v>
      </c>
      <c r="M3388" s="225">
        <f>ROUND(IF(AND(Base_Periodo1[[#This Row],[Tipo_Linha]]="-",Base_Periodo1[[#This Row],[TIPOSALDO]]="D"),Base_Periodo1[[#This Row],[SALDO_ATUAL]]*-1,Base_Periodo1[[#This Row],[SALDO_ATUAL]]),4)</f>
        <v>8109.26</v>
      </c>
      <c r="N3388" t="s">
        <v>116</v>
      </c>
      <c r="O3388" t="s">
        <v>436</v>
      </c>
      <c r="P3388" t="s">
        <v>459</v>
      </c>
      <c r="Q3388">
        <v>7</v>
      </c>
      <c r="R3388" s="225">
        <f>Base_Periodo1[[#This Row],[CREDITOS]]-Base_Periodo1[[#This Row],[DEBITOS]]</f>
        <v>8109.26</v>
      </c>
      <c r="S3388" s="3" t="str">
        <f>IF(ISERROR(VLOOKUP(Base_Periodo1[[#This Row],[CONTA]],BaseContasDRE[#All],4,FALSE)),"Fora do DRE",VLOOKUP(Base_Periodo1[[#This Row],[CONTA]],BaseContasDRE[#All],4,FALSE))</f>
        <v>Fora do DRE</v>
      </c>
      <c r="T3388" s="3" t="str">
        <f>IF(ISERROR(VLOOKUP(Base_Periodo1[[#This Row],[CONTA]],BaseContasDRE[#All],5,FALSE)),"Fora do DRE",VLOOKUP(Base_Periodo1[[#This Row],[CONTA]],BaseContasDRE[#All],6,FALSE))</f>
        <v>Fora do DRE</v>
      </c>
      <c r="U3388" s="3" t="str">
        <f>IF(ISERROR(VLOOKUP(Base_Periodo1[[#This Row],[CONTA]],BaseContasDRE[#All],7,FALSE)),"Fora do DRE",VLOOKUP(Base_Periodo1[[#This Row],[CONTA]],BaseContasDRE[#All],7,FALSE))</f>
        <v>Fora do DRE</v>
      </c>
      <c r="V3388" s="3" t="str">
        <f>IF(Base_Periodo1[[#This Row],[Tipo_Linha]]="Fora do DRE","Fora do DRE","( "&amp;Base_Periodo1[[#This Row],[Tipo_Linha]]&amp;" ) "&amp;Base_Periodo1[[#This Row],[Filtro]])</f>
        <v>Fora do DRE</v>
      </c>
      <c r="W3388" s="3" t="str">
        <f>LEFT(Base_Periodo1[[#This Row],[CLASS]],3)</f>
        <v>2.1</v>
      </c>
    </row>
    <row r="3389" spans="1:23" hidden="1">
      <c r="A3389" s="3" t="str">
        <f t="shared" si="52"/>
        <v>Período 1</v>
      </c>
      <c r="B3389">
        <v>57683</v>
      </c>
      <c r="C3389" t="s">
        <v>2010</v>
      </c>
      <c r="D3389" t="s">
        <v>6440</v>
      </c>
      <c r="E3389" s="3" t="str">
        <f>IF(LEN(Base_Periodo1[[#This Row],[CLASS]])&gt;=7,LEFT(Base_Periodo1[[#This Row],[CLASS]],7),"")</f>
        <v>2.1.2.2</v>
      </c>
      <c r="F3389" s="3" t="str">
        <f>VLOOKUP(Base_Periodo1[[#This Row],[Aux]],Base_Contas_Balanco[#All],2,FALSE)</f>
        <v>Fornecedores Não Cooperados</v>
      </c>
      <c r="G3389" s="1">
        <v>42879</v>
      </c>
      <c r="I3389" s="225">
        <v>172530.02000000002</v>
      </c>
      <c r="J3389" s="225">
        <v>172530.02</v>
      </c>
      <c r="K3389" s="225">
        <v>2.9103830456733704E-11</v>
      </c>
      <c r="L33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89" s="225">
        <f>ROUND(IF(AND(Base_Periodo1[[#This Row],[Tipo_Linha]]="-",Base_Periodo1[[#This Row],[TIPOSALDO]]="D"),Base_Periodo1[[#This Row],[SALDO_ATUAL]]*-1,Base_Periodo1[[#This Row],[SALDO_ATUAL]]),4)</f>
        <v>0</v>
      </c>
      <c r="N3389" t="s">
        <v>116</v>
      </c>
      <c r="O3389" t="s">
        <v>436</v>
      </c>
      <c r="P3389" t="s">
        <v>436</v>
      </c>
      <c r="Q3389">
        <v>7</v>
      </c>
      <c r="R3389" s="225">
        <f>Base_Periodo1[[#This Row],[CREDITOS]]-Base_Periodo1[[#This Row],[DEBITOS]]</f>
        <v>0</v>
      </c>
      <c r="S3389" s="3" t="str">
        <f>IF(ISERROR(VLOOKUP(Base_Periodo1[[#This Row],[CONTA]],BaseContasDRE[#All],4,FALSE)),"Fora do DRE",VLOOKUP(Base_Periodo1[[#This Row],[CONTA]],BaseContasDRE[#All],4,FALSE))</f>
        <v>Fora do DRE</v>
      </c>
      <c r="T3389" s="3" t="str">
        <f>IF(ISERROR(VLOOKUP(Base_Periodo1[[#This Row],[CONTA]],BaseContasDRE[#All],5,FALSE)),"Fora do DRE",VLOOKUP(Base_Periodo1[[#This Row],[CONTA]],BaseContasDRE[#All],6,FALSE))</f>
        <v>Fora do DRE</v>
      </c>
      <c r="U3389" s="3" t="str">
        <f>IF(ISERROR(VLOOKUP(Base_Periodo1[[#This Row],[CONTA]],BaseContasDRE[#All],7,FALSE)),"Fora do DRE",VLOOKUP(Base_Periodo1[[#This Row],[CONTA]],BaseContasDRE[#All],7,FALSE))</f>
        <v>Fora do DRE</v>
      </c>
      <c r="V3389" s="3" t="str">
        <f>IF(Base_Periodo1[[#This Row],[Tipo_Linha]]="Fora do DRE","Fora do DRE","( "&amp;Base_Periodo1[[#This Row],[Tipo_Linha]]&amp;" ) "&amp;Base_Periodo1[[#This Row],[Filtro]])</f>
        <v>Fora do DRE</v>
      </c>
      <c r="W3389" s="3" t="str">
        <f>LEFT(Base_Periodo1[[#This Row],[CLASS]],3)</f>
        <v>2.1</v>
      </c>
    </row>
    <row r="3390" spans="1:23" hidden="1">
      <c r="A3390" s="3" t="str">
        <f t="shared" si="52"/>
        <v>Período 1</v>
      </c>
      <c r="B3390">
        <v>26297</v>
      </c>
      <c r="C3390" t="s">
        <v>2010</v>
      </c>
      <c r="D3390" t="s">
        <v>6441</v>
      </c>
      <c r="E3390" s="3" t="str">
        <f>IF(LEN(Base_Periodo1[[#This Row],[CLASS]])&gt;=7,LEFT(Base_Periodo1[[#This Row],[CLASS]],7),"")</f>
        <v>2.1.2.2</v>
      </c>
      <c r="F3390" s="3" t="str">
        <f>VLOOKUP(Base_Periodo1[[#This Row],[Aux]],Base_Contas_Balanco[#All],2,FALSE)</f>
        <v>Fornecedores Não Cooperados</v>
      </c>
      <c r="G3390" s="1">
        <v>42884</v>
      </c>
      <c r="H3390" s="225">
        <v>5478</v>
      </c>
      <c r="I3390" s="225">
        <v>10374</v>
      </c>
      <c r="J3390" s="225">
        <v>6306</v>
      </c>
      <c r="K3390" s="225">
        <v>1410</v>
      </c>
      <c r="L33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1410</v>
      </c>
      <c r="M3390" s="225">
        <f>ROUND(IF(AND(Base_Periodo1[[#This Row],[Tipo_Linha]]="-",Base_Periodo1[[#This Row],[TIPOSALDO]]="D"),Base_Periodo1[[#This Row],[SALDO_ATUAL]]*-1,Base_Periodo1[[#This Row],[SALDO_ATUAL]]),4)</f>
        <v>1410</v>
      </c>
      <c r="N3390" t="s">
        <v>116</v>
      </c>
      <c r="O3390" t="s">
        <v>459</v>
      </c>
      <c r="P3390" t="s">
        <v>459</v>
      </c>
      <c r="Q3390">
        <v>7</v>
      </c>
      <c r="R3390" s="225">
        <f>Base_Periodo1[[#This Row],[CREDITOS]]-Base_Periodo1[[#This Row],[DEBITOS]]</f>
        <v>-4068</v>
      </c>
      <c r="S3390" s="3" t="str">
        <f>IF(ISERROR(VLOOKUP(Base_Periodo1[[#This Row],[CONTA]],BaseContasDRE[#All],4,FALSE)),"Fora do DRE",VLOOKUP(Base_Periodo1[[#This Row],[CONTA]],BaseContasDRE[#All],4,FALSE))</f>
        <v>Fora do DRE</v>
      </c>
      <c r="T3390" s="3" t="str">
        <f>IF(ISERROR(VLOOKUP(Base_Periodo1[[#This Row],[CONTA]],BaseContasDRE[#All],5,FALSE)),"Fora do DRE",VLOOKUP(Base_Periodo1[[#This Row],[CONTA]],BaseContasDRE[#All],6,FALSE))</f>
        <v>Fora do DRE</v>
      </c>
      <c r="U3390" s="3" t="str">
        <f>IF(ISERROR(VLOOKUP(Base_Periodo1[[#This Row],[CONTA]],BaseContasDRE[#All],7,FALSE)),"Fora do DRE",VLOOKUP(Base_Periodo1[[#This Row],[CONTA]],BaseContasDRE[#All],7,FALSE))</f>
        <v>Fora do DRE</v>
      </c>
      <c r="V3390" s="3" t="str">
        <f>IF(Base_Periodo1[[#This Row],[Tipo_Linha]]="Fora do DRE","Fora do DRE","( "&amp;Base_Periodo1[[#This Row],[Tipo_Linha]]&amp;" ) "&amp;Base_Periodo1[[#This Row],[Filtro]])</f>
        <v>Fora do DRE</v>
      </c>
      <c r="W3390" s="3" t="str">
        <f>LEFT(Base_Periodo1[[#This Row],[CLASS]],3)</f>
        <v>2.1</v>
      </c>
    </row>
    <row r="3391" spans="1:23" hidden="1">
      <c r="A3391" s="3" t="str">
        <f t="shared" si="52"/>
        <v>Período 1</v>
      </c>
      <c r="B3391">
        <v>29570</v>
      </c>
      <c r="C3391" t="s">
        <v>2010</v>
      </c>
      <c r="D3391" t="s">
        <v>5179</v>
      </c>
      <c r="E3391" s="3" t="str">
        <f>IF(LEN(Base_Periodo1[[#This Row],[CLASS]])&gt;=7,LEFT(Base_Periodo1[[#This Row],[CLASS]],7),"")</f>
        <v>2.1.2.2</v>
      </c>
      <c r="F3391" s="3" t="str">
        <f>VLOOKUP(Base_Periodo1[[#This Row],[Aux]],Base_Contas_Balanco[#All],2,FALSE)</f>
        <v>Fornecedores Não Cooperados</v>
      </c>
      <c r="G3391" s="1">
        <v>42850</v>
      </c>
      <c r="H3391" s="225">
        <v>0.31000000000494765</v>
      </c>
      <c r="I3391" s="225">
        <v>0</v>
      </c>
      <c r="J3391" s="225">
        <v>0</v>
      </c>
      <c r="K3391" s="225">
        <v>0.31000000000494765</v>
      </c>
      <c r="L33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0.31</v>
      </c>
      <c r="M3391" s="225">
        <f>ROUND(IF(AND(Base_Periodo1[[#This Row],[Tipo_Linha]]="-",Base_Periodo1[[#This Row],[TIPOSALDO]]="D"),Base_Periodo1[[#This Row],[SALDO_ATUAL]]*-1,Base_Periodo1[[#This Row],[SALDO_ATUAL]]),4)</f>
        <v>0.31</v>
      </c>
      <c r="N3391" t="s">
        <v>116</v>
      </c>
      <c r="O3391" t="s">
        <v>459</v>
      </c>
      <c r="P3391" t="s">
        <v>459</v>
      </c>
      <c r="Q3391">
        <v>7</v>
      </c>
      <c r="R3391" s="225">
        <f>Base_Periodo1[[#This Row],[CREDITOS]]-Base_Periodo1[[#This Row],[DEBITOS]]</f>
        <v>0</v>
      </c>
      <c r="S3391" s="3" t="str">
        <f>IF(ISERROR(VLOOKUP(Base_Periodo1[[#This Row],[CONTA]],BaseContasDRE[#All],4,FALSE)),"Fora do DRE",VLOOKUP(Base_Periodo1[[#This Row],[CONTA]],BaseContasDRE[#All],4,FALSE))</f>
        <v>Fora do DRE</v>
      </c>
      <c r="T3391" s="3" t="str">
        <f>IF(ISERROR(VLOOKUP(Base_Periodo1[[#This Row],[CONTA]],BaseContasDRE[#All],5,FALSE)),"Fora do DRE",VLOOKUP(Base_Periodo1[[#This Row],[CONTA]],BaseContasDRE[#All],6,FALSE))</f>
        <v>Fora do DRE</v>
      </c>
      <c r="U3391" s="3" t="str">
        <f>IF(ISERROR(VLOOKUP(Base_Periodo1[[#This Row],[CONTA]],BaseContasDRE[#All],7,FALSE)),"Fora do DRE",VLOOKUP(Base_Periodo1[[#This Row],[CONTA]],BaseContasDRE[#All],7,FALSE))</f>
        <v>Fora do DRE</v>
      </c>
      <c r="V3391" s="3" t="str">
        <f>IF(Base_Periodo1[[#This Row],[Tipo_Linha]]="Fora do DRE","Fora do DRE","( "&amp;Base_Periodo1[[#This Row],[Tipo_Linha]]&amp;" ) "&amp;Base_Periodo1[[#This Row],[Filtro]])</f>
        <v>Fora do DRE</v>
      </c>
      <c r="W3391" s="3" t="str">
        <f>LEFT(Base_Periodo1[[#This Row],[CLASS]],3)</f>
        <v>2.1</v>
      </c>
    </row>
    <row r="3392" spans="1:23" hidden="1">
      <c r="A3392" s="3" t="str">
        <f t="shared" si="52"/>
        <v>Período 1</v>
      </c>
      <c r="B3392">
        <v>50021</v>
      </c>
      <c r="C3392" t="s">
        <v>2010</v>
      </c>
      <c r="D3392" t="s">
        <v>6949</v>
      </c>
      <c r="E3392" s="3" t="str">
        <f>IF(LEN(Base_Periodo1[[#This Row],[CLASS]])&gt;=7,LEFT(Base_Periodo1[[#This Row],[CLASS]],7),"")</f>
        <v>2.1.2.2</v>
      </c>
      <c r="F3392" s="3" t="str">
        <f>VLOOKUP(Base_Periodo1[[#This Row],[Aux]],Base_Contas_Balanco[#All],2,FALSE)</f>
        <v>Fornecedores Não Cooperados</v>
      </c>
      <c r="G3392" s="1">
        <v>42885</v>
      </c>
      <c r="I3392" s="225">
        <v>2353.2199999999998</v>
      </c>
      <c r="J3392" s="225">
        <v>2353.2199999999998</v>
      </c>
      <c r="K3392" s="225">
        <v>0</v>
      </c>
      <c r="L33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92" s="225">
        <f>ROUND(IF(AND(Base_Periodo1[[#This Row],[Tipo_Linha]]="-",Base_Periodo1[[#This Row],[TIPOSALDO]]="D"),Base_Periodo1[[#This Row],[SALDO_ATUAL]]*-1,Base_Periodo1[[#This Row],[SALDO_ATUAL]]),4)</f>
        <v>0</v>
      </c>
      <c r="N3392" t="s">
        <v>116</v>
      </c>
      <c r="O3392" t="s">
        <v>436</v>
      </c>
      <c r="P3392" t="s">
        <v>436</v>
      </c>
      <c r="Q3392">
        <v>7</v>
      </c>
      <c r="R3392" s="225">
        <f>Base_Periodo1[[#This Row],[CREDITOS]]-Base_Periodo1[[#This Row],[DEBITOS]]</f>
        <v>0</v>
      </c>
      <c r="S3392" s="3" t="str">
        <f>IF(ISERROR(VLOOKUP(Base_Periodo1[[#This Row],[CONTA]],BaseContasDRE[#All],4,FALSE)),"Fora do DRE",VLOOKUP(Base_Periodo1[[#This Row],[CONTA]],BaseContasDRE[#All],4,FALSE))</f>
        <v>Fora do DRE</v>
      </c>
      <c r="T3392" s="3" t="str">
        <f>IF(ISERROR(VLOOKUP(Base_Periodo1[[#This Row],[CONTA]],BaseContasDRE[#All],5,FALSE)),"Fora do DRE",VLOOKUP(Base_Periodo1[[#This Row],[CONTA]],BaseContasDRE[#All],6,FALSE))</f>
        <v>Fora do DRE</v>
      </c>
      <c r="U3392" s="3" t="str">
        <f>IF(ISERROR(VLOOKUP(Base_Periodo1[[#This Row],[CONTA]],BaseContasDRE[#All],7,FALSE)),"Fora do DRE",VLOOKUP(Base_Periodo1[[#This Row],[CONTA]],BaseContasDRE[#All],7,FALSE))</f>
        <v>Fora do DRE</v>
      </c>
      <c r="V3392" s="3" t="str">
        <f>IF(Base_Periodo1[[#This Row],[Tipo_Linha]]="Fora do DRE","Fora do DRE","( "&amp;Base_Periodo1[[#This Row],[Tipo_Linha]]&amp;" ) "&amp;Base_Periodo1[[#This Row],[Filtro]])</f>
        <v>Fora do DRE</v>
      </c>
      <c r="W3392" s="3" t="str">
        <f>LEFT(Base_Periodo1[[#This Row],[CLASS]],3)</f>
        <v>2.1</v>
      </c>
    </row>
    <row r="3393" spans="1:23" hidden="1">
      <c r="A3393" s="3" t="str">
        <f t="shared" si="52"/>
        <v>Período 1</v>
      </c>
      <c r="B3393">
        <v>58359</v>
      </c>
      <c r="C3393" t="s">
        <v>2010</v>
      </c>
      <c r="D3393" t="s">
        <v>6442</v>
      </c>
      <c r="E3393" s="3" t="str">
        <f>IF(LEN(Base_Periodo1[[#This Row],[CLASS]])&gt;=7,LEFT(Base_Periodo1[[#This Row],[CLASS]],7),"")</f>
        <v>2.1.2.2</v>
      </c>
      <c r="F3393" s="3" t="str">
        <f>VLOOKUP(Base_Periodo1[[#This Row],[Aux]],Base_Contas_Balanco[#All],2,FALSE)</f>
        <v>Fornecedores Não Cooperados</v>
      </c>
      <c r="G3393" s="1">
        <v>42859</v>
      </c>
      <c r="H3393" s="225">
        <v>6052.4000000000005</v>
      </c>
      <c r="I3393" s="225">
        <v>10690.640000000001</v>
      </c>
      <c r="J3393" s="225">
        <v>4638.24</v>
      </c>
      <c r="K3393" s="225">
        <v>9.0949470177292824E-13</v>
      </c>
      <c r="L33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93" s="225">
        <f>ROUND(IF(AND(Base_Periodo1[[#This Row],[Tipo_Linha]]="-",Base_Periodo1[[#This Row],[TIPOSALDO]]="D"),Base_Periodo1[[#This Row],[SALDO_ATUAL]]*-1,Base_Periodo1[[#This Row],[SALDO_ATUAL]]),4)</f>
        <v>0</v>
      </c>
      <c r="N3393" t="s">
        <v>116</v>
      </c>
      <c r="O3393" t="s">
        <v>459</v>
      </c>
      <c r="P3393" t="s">
        <v>436</v>
      </c>
      <c r="Q3393">
        <v>7</v>
      </c>
      <c r="R3393" s="225">
        <f>Base_Periodo1[[#This Row],[CREDITOS]]-Base_Periodo1[[#This Row],[DEBITOS]]</f>
        <v>-6052.4000000000015</v>
      </c>
      <c r="S3393" s="3" t="str">
        <f>IF(ISERROR(VLOOKUP(Base_Periodo1[[#This Row],[CONTA]],BaseContasDRE[#All],4,FALSE)),"Fora do DRE",VLOOKUP(Base_Periodo1[[#This Row],[CONTA]],BaseContasDRE[#All],4,FALSE))</f>
        <v>Fora do DRE</v>
      </c>
      <c r="T3393" s="3" t="str">
        <f>IF(ISERROR(VLOOKUP(Base_Periodo1[[#This Row],[CONTA]],BaseContasDRE[#All],5,FALSE)),"Fora do DRE",VLOOKUP(Base_Periodo1[[#This Row],[CONTA]],BaseContasDRE[#All],6,FALSE))</f>
        <v>Fora do DRE</v>
      </c>
      <c r="U3393" s="3" t="str">
        <f>IF(ISERROR(VLOOKUP(Base_Periodo1[[#This Row],[CONTA]],BaseContasDRE[#All],7,FALSE)),"Fora do DRE",VLOOKUP(Base_Periodo1[[#This Row],[CONTA]],BaseContasDRE[#All],7,FALSE))</f>
        <v>Fora do DRE</v>
      </c>
      <c r="V3393" s="3" t="str">
        <f>IF(Base_Periodo1[[#This Row],[Tipo_Linha]]="Fora do DRE","Fora do DRE","( "&amp;Base_Periodo1[[#This Row],[Tipo_Linha]]&amp;" ) "&amp;Base_Periodo1[[#This Row],[Filtro]])</f>
        <v>Fora do DRE</v>
      </c>
      <c r="W3393" s="3" t="str">
        <f>LEFT(Base_Periodo1[[#This Row],[CLASS]],3)</f>
        <v>2.1</v>
      </c>
    </row>
    <row r="3394" spans="1:23" hidden="1">
      <c r="A3394" s="3" t="str">
        <f t="shared" si="52"/>
        <v>Período 1</v>
      </c>
      <c r="B3394">
        <v>43300</v>
      </c>
      <c r="C3394" t="s">
        <v>2010</v>
      </c>
      <c r="D3394" t="s">
        <v>2037</v>
      </c>
      <c r="E3394" s="3" t="str">
        <f>IF(LEN(Base_Periodo1[[#This Row],[CLASS]])&gt;=7,LEFT(Base_Periodo1[[#This Row],[CLASS]],7),"")</f>
        <v>2.1.2.2</v>
      </c>
      <c r="F3394" s="3" t="str">
        <f>VLOOKUP(Base_Periodo1[[#This Row],[Aux]],Base_Contas_Balanco[#All],2,FALSE)</f>
        <v>Fornecedores Não Cooperados</v>
      </c>
      <c r="G3394" s="1"/>
      <c r="H3394" s="225">
        <v>1887.48</v>
      </c>
      <c r="I3394" s="225">
        <v>0</v>
      </c>
      <c r="J3394" s="225">
        <v>0</v>
      </c>
      <c r="K3394" s="225">
        <v>1887.48</v>
      </c>
      <c r="L33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1887.48</v>
      </c>
      <c r="M3394" s="225">
        <f>ROUND(IF(AND(Base_Periodo1[[#This Row],[Tipo_Linha]]="-",Base_Periodo1[[#This Row],[TIPOSALDO]]="D"),Base_Periodo1[[#This Row],[SALDO_ATUAL]]*-1,Base_Periodo1[[#This Row],[SALDO_ATUAL]]),4)</f>
        <v>1887.48</v>
      </c>
      <c r="N3394" t="s">
        <v>116</v>
      </c>
      <c r="O3394" t="s">
        <v>459</v>
      </c>
      <c r="P3394" t="s">
        <v>459</v>
      </c>
      <c r="Q3394">
        <v>7</v>
      </c>
      <c r="R3394" s="225">
        <f>Base_Periodo1[[#This Row],[CREDITOS]]-Base_Periodo1[[#This Row],[DEBITOS]]</f>
        <v>0</v>
      </c>
      <c r="S3394" s="3" t="str">
        <f>IF(ISERROR(VLOOKUP(Base_Periodo1[[#This Row],[CONTA]],BaseContasDRE[#All],4,FALSE)),"Fora do DRE",VLOOKUP(Base_Periodo1[[#This Row],[CONTA]],BaseContasDRE[#All],4,FALSE))</f>
        <v>Fora do DRE</v>
      </c>
      <c r="T3394" s="3" t="str">
        <f>IF(ISERROR(VLOOKUP(Base_Periodo1[[#This Row],[CONTA]],BaseContasDRE[#All],5,FALSE)),"Fora do DRE",VLOOKUP(Base_Periodo1[[#This Row],[CONTA]],BaseContasDRE[#All],6,FALSE))</f>
        <v>Fora do DRE</v>
      </c>
      <c r="U3394" s="3" t="str">
        <f>IF(ISERROR(VLOOKUP(Base_Periodo1[[#This Row],[CONTA]],BaseContasDRE[#All],7,FALSE)),"Fora do DRE",VLOOKUP(Base_Periodo1[[#This Row],[CONTA]],BaseContasDRE[#All],7,FALSE))</f>
        <v>Fora do DRE</v>
      </c>
      <c r="V3394" s="3" t="str">
        <f>IF(Base_Periodo1[[#This Row],[Tipo_Linha]]="Fora do DRE","Fora do DRE","( "&amp;Base_Periodo1[[#This Row],[Tipo_Linha]]&amp;" ) "&amp;Base_Periodo1[[#This Row],[Filtro]])</f>
        <v>Fora do DRE</v>
      </c>
      <c r="W3394" s="3" t="str">
        <f>LEFT(Base_Periodo1[[#This Row],[CLASS]],3)</f>
        <v>2.1</v>
      </c>
    </row>
    <row r="3395" spans="1:23" hidden="1">
      <c r="A3395" s="3" t="str">
        <f t="shared" si="52"/>
        <v>Período 1</v>
      </c>
      <c r="B3395">
        <v>31917</v>
      </c>
      <c r="C3395" t="s">
        <v>2010</v>
      </c>
      <c r="D3395" t="s">
        <v>6950</v>
      </c>
      <c r="E3395" s="3" t="str">
        <f>IF(LEN(Base_Periodo1[[#This Row],[CLASS]])&gt;=7,LEFT(Base_Periodo1[[#This Row],[CLASS]],7),"")</f>
        <v>2.1.2.2</v>
      </c>
      <c r="F3395" s="3" t="str">
        <f>VLOOKUP(Base_Periodo1[[#This Row],[Aux]],Base_Contas_Balanco[#All],2,FALSE)</f>
        <v>Fornecedores Não Cooperados</v>
      </c>
      <c r="G3395" s="1">
        <v>42885</v>
      </c>
      <c r="I3395" s="225">
        <v>65.099999999999994</v>
      </c>
      <c r="J3395" s="225">
        <v>65.099999999999994</v>
      </c>
      <c r="K3395" s="225">
        <v>0</v>
      </c>
      <c r="L33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95" s="225">
        <f>ROUND(IF(AND(Base_Periodo1[[#This Row],[Tipo_Linha]]="-",Base_Periodo1[[#This Row],[TIPOSALDO]]="D"),Base_Periodo1[[#This Row],[SALDO_ATUAL]]*-1,Base_Periodo1[[#This Row],[SALDO_ATUAL]]),4)</f>
        <v>0</v>
      </c>
      <c r="N3395" t="s">
        <v>116</v>
      </c>
      <c r="O3395" t="s">
        <v>436</v>
      </c>
      <c r="P3395" t="s">
        <v>436</v>
      </c>
      <c r="Q3395">
        <v>7</v>
      </c>
      <c r="R3395" s="225">
        <f>Base_Periodo1[[#This Row],[CREDITOS]]-Base_Periodo1[[#This Row],[DEBITOS]]</f>
        <v>0</v>
      </c>
      <c r="S3395" s="3" t="str">
        <f>IF(ISERROR(VLOOKUP(Base_Periodo1[[#This Row],[CONTA]],BaseContasDRE[#All],4,FALSE)),"Fora do DRE",VLOOKUP(Base_Periodo1[[#This Row],[CONTA]],BaseContasDRE[#All],4,FALSE))</f>
        <v>Fora do DRE</v>
      </c>
      <c r="T3395" s="3" t="str">
        <f>IF(ISERROR(VLOOKUP(Base_Periodo1[[#This Row],[CONTA]],BaseContasDRE[#All],5,FALSE)),"Fora do DRE",VLOOKUP(Base_Periodo1[[#This Row],[CONTA]],BaseContasDRE[#All],6,FALSE))</f>
        <v>Fora do DRE</v>
      </c>
      <c r="U3395" s="3" t="str">
        <f>IF(ISERROR(VLOOKUP(Base_Periodo1[[#This Row],[CONTA]],BaseContasDRE[#All],7,FALSE)),"Fora do DRE",VLOOKUP(Base_Periodo1[[#This Row],[CONTA]],BaseContasDRE[#All],7,FALSE))</f>
        <v>Fora do DRE</v>
      </c>
      <c r="V3395" s="3" t="str">
        <f>IF(Base_Periodo1[[#This Row],[Tipo_Linha]]="Fora do DRE","Fora do DRE","( "&amp;Base_Periodo1[[#This Row],[Tipo_Linha]]&amp;" ) "&amp;Base_Periodo1[[#This Row],[Filtro]])</f>
        <v>Fora do DRE</v>
      </c>
      <c r="W3395" s="3" t="str">
        <f>LEFT(Base_Periodo1[[#This Row],[CLASS]],3)</f>
        <v>2.1</v>
      </c>
    </row>
    <row r="3396" spans="1:23" hidden="1">
      <c r="A3396" s="3" t="str">
        <f t="shared" si="52"/>
        <v>Período 1</v>
      </c>
      <c r="B3396">
        <v>27769</v>
      </c>
      <c r="C3396" t="s">
        <v>2010</v>
      </c>
      <c r="D3396" t="s">
        <v>6951</v>
      </c>
      <c r="E3396" s="3" t="str">
        <f>IF(LEN(Base_Periodo1[[#This Row],[CLASS]])&gt;=7,LEFT(Base_Periodo1[[#This Row],[CLASS]],7),"")</f>
        <v>2.1.2.2</v>
      </c>
      <c r="F3396" s="3" t="str">
        <f>VLOOKUP(Base_Periodo1[[#This Row],[Aux]],Base_Contas_Balanco[#All],2,FALSE)</f>
        <v>Fornecedores Não Cooperados</v>
      </c>
      <c r="G3396" s="1">
        <v>42870</v>
      </c>
      <c r="I3396" s="225">
        <v>2190</v>
      </c>
      <c r="J3396" s="225">
        <v>2190</v>
      </c>
      <c r="K3396" s="225">
        <v>0</v>
      </c>
      <c r="L33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96" s="225">
        <f>ROUND(IF(AND(Base_Periodo1[[#This Row],[Tipo_Linha]]="-",Base_Periodo1[[#This Row],[TIPOSALDO]]="D"),Base_Periodo1[[#This Row],[SALDO_ATUAL]]*-1,Base_Periodo1[[#This Row],[SALDO_ATUAL]]),4)</f>
        <v>0</v>
      </c>
      <c r="N3396" t="s">
        <v>116</v>
      </c>
      <c r="O3396" t="s">
        <v>436</v>
      </c>
      <c r="P3396" t="s">
        <v>436</v>
      </c>
      <c r="Q3396">
        <v>7</v>
      </c>
      <c r="R3396" s="225">
        <f>Base_Periodo1[[#This Row],[CREDITOS]]-Base_Periodo1[[#This Row],[DEBITOS]]</f>
        <v>0</v>
      </c>
      <c r="S3396" s="3" t="str">
        <f>IF(ISERROR(VLOOKUP(Base_Periodo1[[#This Row],[CONTA]],BaseContasDRE[#All],4,FALSE)),"Fora do DRE",VLOOKUP(Base_Periodo1[[#This Row],[CONTA]],BaseContasDRE[#All],4,FALSE))</f>
        <v>Fora do DRE</v>
      </c>
      <c r="T3396" s="3" t="str">
        <f>IF(ISERROR(VLOOKUP(Base_Periodo1[[#This Row],[CONTA]],BaseContasDRE[#All],5,FALSE)),"Fora do DRE",VLOOKUP(Base_Periodo1[[#This Row],[CONTA]],BaseContasDRE[#All],6,FALSE))</f>
        <v>Fora do DRE</v>
      </c>
      <c r="U3396" s="3" t="str">
        <f>IF(ISERROR(VLOOKUP(Base_Periodo1[[#This Row],[CONTA]],BaseContasDRE[#All],7,FALSE)),"Fora do DRE",VLOOKUP(Base_Periodo1[[#This Row],[CONTA]],BaseContasDRE[#All],7,FALSE))</f>
        <v>Fora do DRE</v>
      </c>
      <c r="V3396" s="3" t="str">
        <f>IF(Base_Periodo1[[#This Row],[Tipo_Linha]]="Fora do DRE","Fora do DRE","( "&amp;Base_Periodo1[[#This Row],[Tipo_Linha]]&amp;" ) "&amp;Base_Periodo1[[#This Row],[Filtro]])</f>
        <v>Fora do DRE</v>
      </c>
      <c r="W3396" s="3" t="str">
        <f>LEFT(Base_Periodo1[[#This Row],[CLASS]],3)</f>
        <v>2.1</v>
      </c>
    </row>
    <row r="3397" spans="1:23" hidden="1">
      <c r="A3397" s="3" t="str">
        <f t="shared" si="52"/>
        <v>Período 1</v>
      </c>
      <c r="B3397">
        <v>58807</v>
      </c>
      <c r="C3397" t="s">
        <v>2010</v>
      </c>
      <c r="D3397" t="s">
        <v>6952</v>
      </c>
      <c r="E3397" s="3" t="str">
        <f>IF(LEN(Base_Periodo1[[#This Row],[CLASS]])&gt;=7,LEFT(Base_Periodo1[[#This Row],[CLASS]],7),"")</f>
        <v>2.1.2.2</v>
      </c>
      <c r="F3397" s="3" t="str">
        <f>VLOOKUP(Base_Periodo1[[#This Row],[Aux]],Base_Contas_Balanco[#All],2,FALSE)</f>
        <v>Fornecedores Não Cooperados</v>
      </c>
      <c r="G3397" s="1">
        <v>42860</v>
      </c>
      <c r="I3397" s="225">
        <v>100</v>
      </c>
      <c r="J3397" s="225">
        <v>100</v>
      </c>
      <c r="K3397" s="225">
        <v>0</v>
      </c>
      <c r="L33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397" s="225">
        <f>ROUND(IF(AND(Base_Periodo1[[#This Row],[Tipo_Linha]]="-",Base_Periodo1[[#This Row],[TIPOSALDO]]="D"),Base_Periodo1[[#This Row],[SALDO_ATUAL]]*-1,Base_Periodo1[[#This Row],[SALDO_ATUAL]]),4)</f>
        <v>0</v>
      </c>
      <c r="N3397" t="s">
        <v>116</v>
      </c>
      <c r="O3397" t="s">
        <v>436</v>
      </c>
      <c r="P3397" t="s">
        <v>436</v>
      </c>
      <c r="Q3397">
        <v>7</v>
      </c>
      <c r="R3397" s="225">
        <f>Base_Periodo1[[#This Row],[CREDITOS]]-Base_Periodo1[[#This Row],[DEBITOS]]</f>
        <v>0</v>
      </c>
      <c r="S3397" s="3" t="str">
        <f>IF(ISERROR(VLOOKUP(Base_Periodo1[[#This Row],[CONTA]],BaseContasDRE[#All],4,FALSE)),"Fora do DRE",VLOOKUP(Base_Periodo1[[#This Row],[CONTA]],BaseContasDRE[#All],4,FALSE))</f>
        <v>Fora do DRE</v>
      </c>
      <c r="T3397" s="3" t="str">
        <f>IF(ISERROR(VLOOKUP(Base_Periodo1[[#This Row],[CONTA]],BaseContasDRE[#All],5,FALSE)),"Fora do DRE",VLOOKUP(Base_Periodo1[[#This Row],[CONTA]],BaseContasDRE[#All],6,FALSE))</f>
        <v>Fora do DRE</v>
      </c>
      <c r="U3397" s="3" t="str">
        <f>IF(ISERROR(VLOOKUP(Base_Periodo1[[#This Row],[CONTA]],BaseContasDRE[#All],7,FALSE)),"Fora do DRE",VLOOKUP(Base_Periodo1[[#This Row],[CONTA]],BaseContasDRE[#All],7,FALSE))</f>
        <v>Fora do DRE</v>
      </c>
      <c r="V3397" s="3" t="str">
        <f>IF(Base_Periodo1[[#This Row],[Tipo_Linha]]="Fora do DRE","Fora do DRE","( "&amp;Base_Periodo1[[#This Row],[Tipo_Linha]]&amp;" ) "&amp;Base_Periodo1[[#This Row],[Filtro]])</f>
        <v>Fora do DRE</v>
      </c>
      <c r="W3397" s="3" t="str">
        <f>LEFT(Base_Periodo1[[#This Row],[CLASS]],3)</f>
        <v>2.1</v>
      </c>
    </row>
    <row r="3398" spans="1:23" hidden="1">
      <c r="A3398" s="3" t="str">
        <f t="shared" ref="A3398:A3461" si="53">"Período 1"</f>
        <v>Período 1</v>
      </c>
      <c r="B3398">
        <v>3717</v>
      </c>
      <c r="C3398" t="s">
        <v>2010</v>
      </c>
      <c r="D3398" t="s">
        <v>6443</v>
      </c>
      <c r="E3398" s="3" t="str">
        <f>IF(LEN(Base_Periodo1[[#This Row],[CLASS]])&gt;=7,LEFT(Base_Periodo1[[#This Row],[CLASS]],7),"")</f>
        <v>2.1.2.2</v>
      </c>
      <c r="F3398" s="3" t="str">
        <f>VLOOKUP(Base_Periodo1[[#This Row],[Aux]],Base_Contas_Balanco[#All],2,FALSE)</f>
        <v>Fornecedores Não Cooperados</v>
      </c>
      <c r="G3398" s="1">
        <v>42830</v>
      </c>
      <c r="H3398" s="225">
        <v>419.16000000000349</v>
      </c>
      <c r="I3398" s="225">
        <v>0</v>
      </c>
      <c r="J3398" s="225">
        <v>0</v>
      </c>
      <c r="K3398" s="225">
        <v>419.16000000000349</v>
      </c>
      <c r="L33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419.16</v>
      </c>
      <c r="M3398" s="225">
        <f>ROUND(IF(AND(Base_Periodo1[[#This Row],[Tipo_Linha]]="-",Base_Periodo1[[#This Row],[TIPOSALDO]]="D"),Base_Periodo1[[#This Row],[SALDO_ATUAL]]*-1,Base_Periodo1[[#This Row],[SALDO_ATUAL]]),4)</f>
        <v>419.16</v>
      </c>
      <c r="N3398" t="s">
        <v>116</v>
      </c>
      <c r="O3398" t="s">
        <v>459</v>
      </c>
      <c r="P3398" t="s">
        <v>459</v>
      </c>
      <c r="Q3398">
        <v>7</v>
      </c>
      <c r="R3398" s="225">
        <f>Base_Periodo1[[#This Row],[CREDITOS]]-Base_Periodo1[[#This Row],[DEBITOS]]</f>
        <v>0</v>
      </c>
      <c r="S3398" s="3" t="str">
        <f>IF(ISERROR(VLOOKUP(Base_Periodo1[[#This Row],[CONTA]],BaseContasDRE[#All],4,FALSE)),"Fora do DRE",VLOOKUP(Base_Periodo1[[#This Row],[CONTA]],BaseContasDRE[#All],4,FALSE))</f>
        <v>Fora do DRE</v>
      </c>
      <c r="T3398" s="3" t="str">
        <f>IF(ISERROR(VLOOKUP(Base_Periodo1[[#This Row],[CONTA]],BaseContasDRE[#All],5,FALSE)),"Fora do DRE",VLOOKUP(Base_Periodo1[[#This Row],[CONTA]],BaseContasDRE[#All],6,FALSE))</f>
        <v>Fora do DRE</v>
      </c>
      <c r="U3398" s="3" t="str">
        <f>IF(ISERROR(VLOOKUP(Base_Periodo1[[#This Row],[CONTA]],BaseContasDRE[#All],7,FALSE)),"Fora do DRE",VLOOKUP(Base_Periodo1[[#This Row],[CONTA]],BaseContasDRE[#All],7,FALSE))</f>
        <v>Fora do DRE</v>
      </c>
      <c r="V3398" s="3" t="str">
        <f>IF(Base_Periodo1[[#This Row],[Tipo_Linha]]="Fora do DRE","Fora do DRE","( "&amp;Base_Periodo1[[#This Row],[Tipo_Linha]]&amp;" ) "&amp;Base_Periodo1[[#This Row],[Filtro]])</f>
        <v>Fora do DRE</v>
      </c>
      <c r="W3398" s="3" t="str">
        <f>LEFT(Base_Periodo1[[#This Row],[CLASS]],3)</f>
        <v>2.1</v>
      </c>
    </row>
    <row r="3399" spans="1:23" hidden="1">
      <c r="A3399" s="3" t="str">
        <f t="shared" si="53"/>
        <v>Período 1</v>
      </c>
      <c r="B3399">
        <v>59001</v>
      </c>
      <c r="C3399" t="s">
        <v>2010</v>
      </c>
      <c r="D3399" t="s">
        <v>6843</v>
      </c>
      <c r="E3399" s="3" t="str">
        <f>IF(LEN(Base_Periodo1[[#This Row],[CLASS]])&gt;=7,LEFT(Base_Periodo1[[#This Row],[CLASS]],7),"")</f>
        <v>2.1.2.2</v>
      </c>
      <c r="F3399" s="3" t="str">
        <f>VLOOKUP(Base_Periodo1[[#This Row],[Aux]],Base_Contas_Balanco[#All],2,FALSE)</f>
        <v>Fornecedores Não Cooperados</v>
      </c>
      <c r="G3399" s="1">
        <v>42885</v>
      </c>
      <c r="I3399" s="225">
        <v>100</v>
      </c>
      <c r="J3399" s="225">
        <v>50</v>
      </c>
      <c r="K3399" s="225">
        <v>50</v>
      </c>
      <c r="L33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</v>
      </c>
      <c r="M3399" s="225">
        <f>ROUND(IF(AND(Base_Periodo1[[#This Row],[Tipo_Linha]]="-",Base_Periodo1[[#This Row],[TIPOSALDO]]="D"),Base_Periodo1[[#This Row],[SALDO_ATUAL]]*-1,Base_Periodo1[[#This Row],[SALDO_ATUAL]]),4)</f>
        <v>50</v>
      </c>
      <c r="N3399" t="s">
        <v>116</v>
      </c>
      <c r="O3399" t="s">
        <v>436</v>
      </c>
      <c r="P3399" t="s">
        <v>397</v>
      </c>
      <c r="Q3399">
        <v>7</v>
      </c>
      <c r="R3399" s="225">
        <f>Base_Periodo1[[#This Row],[CREDITOS]]-Base_Periodo1[[#This Row],[DEBITOS]]</f>
        <v>-50</v>
      </c>
      <c r="S3399" s="3" t="str">
        <f>IF(ISERROR(VLOOKUP(Base_Periodo1[[#This Row],[CONTA]],BaseContasDRE[#All],4,FALSE)),"Fora do DRE",VLOOKUP(Base_Periodo1[[#This Row],[CONTA]],BaseContasDRE[#All],4,FALSE))</f>
        <v>Fora do DRE</v>
      </c>
      <c r="T3399" s="3" t="str">
        <f>IF(ISERROR(VLOOKUP(Base_Periodo1[[#This Row],[CONTA]],BaseContasDRE[#All],5,FALSE)),"Fora do DRE",VLOOKUP(Base_Periodo1[[#This Row],[CONTA]],BaseContasDRE[#All],6,FALSE))</f>
        <v>Fora do DRE</v>
      </c>
      <c r="U3399" s="3" t="str">
        <f>IF(ISERROR(VLOOKUP(Base_Periodo1[[#This Row],[CONTA]],BaseContasDRE[#All],7,FALSE)),"Fora do DRE",VLOOKUP(Base_Periodo1[[#This Row],[CONTA]],BaseContasDRE[#All],7,FALSE))</f>
        <v>Fora do DRE</v>
      </c>
      <c r="V3399" s="3" t="str">
        <f>IF(Base_Periodo1[[#This Row],[Tipo_Linha]]="Fora do DRE","Fora do DRE","( "&amp;Base_Periodo1[[#This Row],[Tipo_Linha]]&amp;" ) "&amp;Base_Periodo1[[#This Row],[Filtro]])</f>
        <v>Fora do DRE</v>
      </c>
      <c r="W3399" s="3" t="str">
        <f>LEFT(Base_Periodo1[[#This Row],[CLASS]],3)</f>
        <v>2.1</v>
      </c>
    </row>
    <row r="3400" spans="1:23" hidden="1">
      <c r="A3400" s="3" t="str">
        <f t="shared" si="53"/>
        <v>Período 1</v>
      </c>
      <c r="B3400">
        <v>4573</v>
      </c>
      <c r="C3400" t="s">
        <v>2010</v>
      </c>
      <c r="D3400" t="s">
        <v>5718</v>
      </c>
      <c r="E3400" s="3" t="str">
        <f>IF(LEN(Base_Periodo1[[#This Row],[CLASS]])&gt;=7,LEFT(Base_Periodo1[[#This Row],[CLASS]],7),"")</f>
        <v>2.1.2.2</v>
      </c>
      <c r="F3400" s="3" t="str">
        <f>VLOOKUP(Base_Periodo1[[#This Row],[Aux]],Base_Contas_Balanco[#All],2,FALSE)</f>
        <v>Fornecedores Não Cooperados</v>
      </c>
      <c r="G3400" s="1">
        <v>42867</v>
      </c>
      <c r="H3400" s="225">
        <v>12456</v>
      </c>
      <c r="I3400" s="225">
        <v>11680</v>
      </c>
      <c r="J3400" s="225">
        <v>0</v>
      </c>
      <c r="K3400" s="225">
        <v>776</v>
      </c>
      <c r="L34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776</v>
      </c>
      <c r="M3400" s="225">
        <f>ROUND(IF(AND(Base_Periodo1[[#This Row],[Tipo_Linha]]="-",Base_Periodo1[[#This Row],[TIPOSALDO]]="D"),Base_Periodo1[[#This Row],[SALDO_ATUAL]]*-1,Base_Periodo1[[#This Row],[SALDO_ATUAL]]),4)</f>
        <v>776</v>
      </c>
      <c r="N3400" t="s">
        <v>116</v>
      </c>
      <c r="O3400" t="s">
        <v>459</v>
      </c>
      <c r="P3400" t="s">
        <v>459</v>
      </c>
      <c r="Q3400">
        <v>7</v>
      </c>
      <c r="R3400" s="225">
        <f>Base_Periodo1[[#This Row],[CREDITOS]]-Base_Periodo1[[#This Row],[DEBITOS]]</f>
        <v>-11680</v>
      </c>
      <c r="S3400" s="3" t="str">
        <f>IF(ISERROR(VLOOKUP(Base_Periodo1[[#This Row],[CONTA]],BaseContasDRE[#All],4,FALSE)),"Fora do DRE",VLOOKUP(Base_Periodo1[[#This Row],[CONTA]],BaseContasDRE[#All],4,FALSE))</f>
        <v>Fora do DRE</v>
      </c>
      <c r="T3400" s="3" t="str">
        <f>IF(ISERROR(VLOOKUP(Base_Periodo1[[#This Row],[CONTA]],BaseContasDRE[#All],5,FALSE)),"Fora do DRE",VLOOKUP(Base_Periodo1[[#This Row],[CONTA]],BaseContasDRE[#All],6,FALSE))</f>
        <v>Fora do DRE</v>
      </c>
      <c r="U3400" s="3" t="str">
        <f>IF(ISERROR(VLOOKUP(Base_Periodo1[[#This Row],[CONTA]],BaseContasDRE[#All],7,FALSE)),"Fora do DRE",VLOOKUP(Base_Periodo1[[#This Row],[CONTA]],BaseContasDRE[#All],7,FALSE))</f>
        <v>Fora do DRE</v>
      </c>
      <c r="V3400" s="3" t="str">
        <f>IF(Base_Periodo1[[#This Row],[Tipo_Linha]]="Fora do DRE","Fora do DRE","( "&amp;Base_Periodo1[[#This Row],[Tipo_Linha]]&amp;" ) "&amp;Base_Periodo1[[#This Row],[Filtro]])</f>
        <v>Fora do DRE</v>
      </c>
      <c r="W3400" s="3" t="str">
        <f>LEFT(Base_Periodo1[[#This Row],[CLASS]],3)</f>
        <v>2.1</v>
      </c>
    </row>
    <row r="3401" spans="1:23" hidden="1">
      <c r="A3401" s="3" t="str">
        <f t="shared" si="53"/>
        <v>Período 1</v>
      </c>
      <c r="B3401">
        <v>32309</v>
      </c>
      <c r="C3401" t="s">
        <v>2010</v>
      </c>
      <c r="D3401" t="s">
        <v>6953</v>
      </c>
      <c r="E3401" s="3" t="str">
        <f>IF(LEN(Base_Periodo1[[#This Row],[CLASS]])&gt;=7,LEFT(Base_Periodo1[[#This Row],[CLASS]],7),"")</f>
        <v>2.1.2.2</v>
      </c>
      <c r="F3401" s="3" t="str">
        <f>VLOOKUP(Base_Periodo1[[#This Row],[Aux]],Base_Contas_Balanco[#All],2,FALSE)</f>
        <v>Fornecedores Não Cooperados</v>
      </c>
      <c r="G3401" s="1">
        <v>42863</v>
      </c>
      <c r="I3401" s="225">
        <v>64000</v>
      </c>
      <c r="J3401" s="225">
        <v>64000</v>
      </c>
      <c r="K3401" s="225">
        <v>0</v>
      </c>
      <c r="L34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01" s="225">
        <f>ROUND(IF(AND(Base_Periodo1[[#This Row],[Tipo_Linha]]="-",Base_Periodo1[[#This Row],[TIPOSALDO]]="D"),Base_Periodo1[[#This Row],[SALDO_ATUAL]]*-1,Base_Periodo1[[#This Row],[SALDO_ATUAL]]),4)</f>
        <v>0</v>
      </c>
      <c r="N3401" t="s">
        <v>116</v>
      </c>
      <c r="O3401" t="s">
        <v>436</v>
      </c>
      <c r="P3401" t="s">
        <v>436</v>
      </c>
      <c r="Q3401">
        <v>7</v>
      </c>
      <c r="R3401" s="225">
        <f>Base_Periodo1[[#This Row],[CREDITOS]]-Base_Periodo1[[#This Row],[DEBITOS]]</f>
        <v>0</v>
      </c>
      <c r="S3401" s="3" t="str">
        <f>IF(ISERROR(VLOOKUP(Base_Periodo1[[#This Row],[CONTA]],BaseContasDRE[#All],4,FALSE)),"Fora do DRE",VLOOKUP(Base_Periodo1[[#This Row],[CONTA]],BaseContasDRE[#All],4,FALSE))</f>
        <v>Fora do DRE</v>
      </c>
      <c r="T3401" s="3" t="str">
        <f>IF(ISERROR(VLOOKUP(Base_Periodo1[[#This Row],[CONTA]],BaseContasDRE[#All],5,FALSE)),"Fora do DRE",VLOOKUP(Base_Periodo1[[#This Row],[CONTA]],BaseContasDRE[#All],6,FALSE))</f>
        <v>Fora do DRE</v>
      </c>
      <c r="U3401" s="3" t="str">
        <f>IF(ISERROR(VLOOKUP(Base_Periodo1[[#This Row],[CONTA]],BaseContasDRE[#All],7,FALSE)),"Fora do DRE",VLOOKUP(Base_Periodo1[[#This Row],[CONTA]],BaseContasDRE[#All],7,FALSE))</f>
        <v>Fora do DRE</v>
      </c>
      <c r="V3401" s="3" t="str">
        <f>IF(Base_Periodo1[[#This Row],[Tipo_Linha]]="Fora do DRE","Fora do DRE","( "&amp;Base_Periodo1[[#This Row],[Tipo_Linha]]&amp;" ) "&amp;Base_Periodo1[[#This Row],[Filtro]])</f>
        <v>Fora do DRE</v>
      </c>
      <c r="W3401" s="3" t="str">
        <f>LEFT(Base_Periodo1[[#This Row],[CLASS]],3)</f>
        <v>2.1</v>
      </c>
    </row>
    <row r="3402" spans="1:23" hidden="1">
      <c r="A3402" s="3" t="str">
        <f t="shared" si="53"/>
        <v>Período 1</v>
      </c>
      <c r="B3402">
        <v>59365</v>
      </c>
      <c r="C3402" t="s">
        <v>2010</v>
      </c>
      <c r="D3402" t="s">
        <v>6954</v>
      </c>
      <c r="E3402" s="3" t="str">
        <f>IF(LEN(Base_Periodo1[[#This Row],[CLASS]])&gt;=7,LEFT(Base_Periodo1[[#This Row],[CLASS]],7),"")</f>
        <v>2.1.2.2</v>
      </c>
      <c r="F3402" s="3" t="str">
        <f>VLOOKUP(Base_Periodo1[[#This Row],[Aux]],Base_Contas_Balanco[#All],2,FALSE)</f>
        <v>Fornecedores Não Cooperados</v>
      </c>
      <c r="G3402" s="1">
        <v>42886</v>
      </c>
      <c r="I3402" s="225">
        <v>27.3</v>
      </c>
      <c r="J3402" s="225">
        <v>27.3</v>
      </c>
      <c r="K3402" s="225">
        <v>0</v>
      </c>
      <c r="L34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02" s="225">
        <f>ROUND(IF(AND(Base_Periodo1[[#This Row],[Tipo_Linha]]="-",Base_Periodo1[[#This Row],[TIPOSALDO]]="D"),Base_Periodo1[[#This Row],[SALDO_ATUAL]]*-1,Base_Periodo1[[#This Row],[SALDO_ATUAL]]),4)</f>
        <v>0</v>
      </c>
      <c r="N3402" t="s">
        <v>116</v>
      </c>
      <c r="O3402" t="s">
        <v>436</v>
      </c>
      <c r="P3402" t="s">
        <v>436</v>
      </c>
      <c r="Q3402">
        <v>7</v>
      </c>
      <c r="R3402" s="225">
        <f>Base_Periodo1[[#This Row],[CREDITOS]]-Base_Periodo1[[#This Row],[DEBITOS]]</f>
        <v>0</v>
      </c>
      <c r="S3402" s="3" t="str">
        <f>IF(ISERROR(VLOOKUP(Base_Periodo1[[#This Row],[CONTA]],BaseContasDRE[#All],4,FALSE)),"Fora do DRE",VLOOKUP(Base_Periodo1[[#This Row],[CONTA]],BaseContasDRE[#All],4,FALSE))</f>
        <v>Fora do DRE</v>
      </c>
      <c r="T3402" s="3" t="str">
        <f>IF(ISERROR(VLOOKUP(Base_Periodo1[[#This Row],[CONTA]],BaseContasDRE[#All],5,FALSE)),"Fora do DRE",VLOOKUP(Base_Periodo1[[#This Row],[CONTA]],BaseContasDRE[#All],6,FALSE))</f>
        <v>Fora do DRE</v>
      </c>
      <c r="U3402" s="3" t="str">
        <f>IF(ISERROR(VLOOKUP(Base_Periodo1[[#This Row],[CONTA]],BaseContasDRE[#All],7,FALSE)),"Fora do DRE",VLOOKUP(Base_Periodo1[[#This Row],[CONTA]],BaseContasDRE[#All],7,FALSE))</f>
        <v>Fora do DRE</v>
      </c>
      <c r="V3402" s="3" t="str">
        <f>IF(Base_Periodo1[[#This Row],[Tipo_Linha]]="Fora do DRE","Fora do DRE","( "&amp;Base_Periodo1[[#This Row],[Tipo_Linha]]&amp;" ) "&amp;Base_Periodo1[[#This Row],[Filtro]])</f>
        <v>Fora do DRE</v>
      </c>
      <c r="W3402" s="3" t="str">
        <f>LEFT(Base_Periodo1[[#This Row],[CLASS]],3)</f>
        <v>2.1</v>
      </c>
    </row>
    <row r="3403" spans="1:23" hidden="1">
      <c r="A3403" s="3" t="str">
        <f t="shared" si="53"/>
        <v>Período 1</v>
      </c>
      <c r="B3403">
        <v>56935</v>
      </c>
      <c r="C3403" t="s">
        <v>2010</v>
      </c>
      <c r="D3403" t="s">
        <v>6955</v>
      </c>
      <c r="E3403" s="3" t="str">
        <f>IF(LEN(Base_Periodo1[[#This Row],[CLASS]])&gt;=7,LEFT(Base_Periodo1[[#This Row],[CLASS]],7),"")</f>
        <v>2.1.2.2</v>
      </c>
      <c r="F3403" s="3" t="str">
        <f>VLOOKUP(Base_Periodo1[[#This Row],[Aux]],Base_Contas_Balanco[#All],2,FALSE)</f>
        <v>Fornecedores Não Cooperados</v>
      </c>
      <c r="G3403" s="1">
        <v>42885</v>
      </c>
      <c r="I3403" s="225">
        <v>1550.26</v>
      </c>
      <c r="J3403" s="225">
        <v>1550.26</v>
      </c>
      <c r="K3403" s="225">
        <v>0</v>
      </c>
      <c r="L34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03" s="225">
        <f>ROUND(IF(AND(Base_Periodo1[[#This Row],[Tipo_Linha]]="-",Base_Periodo1[[#This Row],[TIPOSALDO]]="D"),Base_Periodo1[[#This Row],[SALDO_ATUAL]]*-1,Base_Periodo1[[#This Row],[SALDO_ATUAL]]),4)</f>
        <v>0</v>
      </c>
      <c r="N3403" t="s">
        <v>116</v>
      </c>
      <c r="O3403" t="s">
        <v>436</v>
      </c>
      <c r="P3403" t="s">
        <v>436</v>
      </c>
      <c r="Q3403">
        <v>7</v>
      </c>
      <c r="R3403" s="225">
        <f>Base_Periodo1[[#This Row],[CREDITOS]]-Base_Periodo1[[#This Row],[DEBITOS]]</f>
        <v>0</v>
      </c>
      <c r="S3403" s="3" t="str">
        <f>IF(ISERROR(VLOOKUP(Base_Periodo1[[#This Row],[CONTA]],BaseContasDRE[#All],4,FALSE)),"Fora do DRE",VLOOKUP(Base_Periodo1[[#This Row],[CONTA]],BaseContasDRE[#All],4,FALSE))</f>
        <v>Fora do DRE</v>
      </c>
      <c r="T3403" s="3" t="str">
        <f>IF(ISERROR(VLOOKUP(Base_Periodo1[[#This Row],[CONTA]],BaseContasDRE[#All],5,FALSE)),"Fora do DRE",VLOOKUP(Base_Periodo1[[#This Row],[CONTA]],BaseContasDRE[#All],6,FALSE))</f>
        <v>Fora do DRE</v>
      </c>
      <c r="U3403" s="3" t="str">
        <f>IF(ISERROR(VLOOKUP(Base_Periodo1[[#This Row],[CONTA]],BaseContasDRE[#All],7,FALSE)),"Fora do DRE",VLOOKUP(Base_Periodo1[[#This Row],[CONTA]],BaseContasDRE[#All],7,FALSE))</f>
        <v>Fora do DRE</v>
      </c>
      <c r="V3403" s="3" t="str">
        <f>IF(Base_Periodo1[[#This Row],[Tipo_Linha]]="Fora do DRE","Fora do DRE","( "&amp;Base_Periodo1[[#This Row],[Tipo_Linha]]&amp;" ) "&amp;Base_Periodo1[[#This Row],[Filtro]])</f>
        <v>Fora do DRE</v>
      </c>
      <c r="W3403" s="3" t="str">
        <f>LEFT(Base_Periodo1[[#This Row],[CLASS]],3)</f>
        <v>2.1</v>
      </c>
    </row>
    <row r="3404" spans="1:23" hidden="1">
      <c r="A3404" s="3" t="str">
        <f t="shared" si="53"/>
        <v>Período 1</v>
      </c>
      <c r="B3404">
        <v>57807</v>
      </c>
      <c r="C3404" t="s">
        <v>2010</v>
      </c>
      <c r="D3404" t="s">
        <v>6444</v>
      </c>
      <c r="E3404" s="3" t="str">
        <f>IF(LEN(Base_Periodo1[[#This Row],[CLASS]])&gt;=7,LEFT(Base_Periodo1[[#This Row],[CLASS]],7),"")</f>
        <v>2.1.2.2</v>
      </c>
      <c r="F3404" s="3" t="str">
        <f>VLOOKUP(Base_Periodo1[[#This Row],[Aux]],Base_Contas_Balanco[#All],2,FALSE)</f>
        <v>Fornecedores Não Cooperados</v>
      </c>
      <c r="G3404" s="1">
        <v>42842</v>
      </c>
      <c r="H3404" s="225">
        <v>1350000</v>
      </c>
      <c r="I3404" s="225">
        <v>0</v>
      </c>
      <c r="J3404" s="225">
        <v>0</v>
      </c>
      <c r="K3404" s="225">
        <v>1350000</v>
      </c>
      <c r="L34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1350000</v>
      </c>
      <c r="M3404" s="225">
        <f>ROUND(IF(AND(Base_Periodo1[[#This Row],[Tipo_Linha]]="-",Base_Periodo1[[#This Row],[TIPOSALDO]]="D"),Base_Periodo1[[#This Row],[SALDO_ATUAL]]*-1,Base_Periodo1[[#This Row],[SALDO_ATUAL]]),4)</f>
        <v>1350000</v>
      </c>
      <c r="N3404" t="s">
        <v>116</v>
      </c>
      <c r="O3404" t="s">
        <v>459</v>
      </c>
      <c r="P3404" t="s">
        <v>459</v>
      </c>
      <c r="Q3404">
        <v>7</v>
      </c>
      <c r="R3404" s="225">
        <f>Base_Periodo1[[#This Row],[CREDITOS]]-Base_Periodo1[[#This Row],[DEBITOS]]</f>
        <v>0</v>
      </c>
      <c r="S3404" s="3" t="str">
        <f>IF(ISERROR(VLOOKUP(Base_Periodo1[[#This Row],[CONTA]],BaseContasDRE[#All],4,FALSE)),"Fora do DRE",VLOOKUP(Base_Periodo1[[#This Row],[CONTA]],BaseContasDRE[#All],4,FALSE))</f>
        <v>Fora do DRE</v>
      </c>
      <c r="T3404" s="3" t="str">
        <f>IF(ISERROR(VLOOKUP(Base_Periodo1[[#This Row],[CONTA]],BaseContasDRE[#All],5,FALSE)),"Fora do DRE",VLOOKUP(Base_Periodo1[[#This Row],[CONTA]],BaseContasDRE[#All],6,FALSE))</f>
        <v>Fora do DRE</v>
      </c>
      <c r="U3404" s="3" t="str">
        <f>IF(ISERROR(VLOOKUP(Base_Periodo1[[#This Row],[CONTA]],BaseContasDRE[#All],7,FALSE)),"Fora do DRE",VLOOKUP(Base_Periodo1[[#This Row],[CONTA]],BaseContasDRE[#All],7,FALSE))</f>
        <v>Fora do DRE</v>
      </c>
      <c r="V3404" s="3" t="str">
        <f>IF(Base_Periodo1[[#This Row],[Tipo_Linha]]="Fora do DRE","Fora do DRE","( "&amp;Base_Periodo1[[#This Row],[Tipo_Linha]]&amp;" ) "&amp;Base_Periodo1[[#This Row],[Filtro]])</f>
        <v>Fora do DRE</v>
      </c>
      <c r="W3404" s="3" t="str">
        <f>LEFT(Base_Periodo1[[#This Row],[CLASS]],3)</f>
        <v>2.1</v>
      </c>
    </row>
    <row r="3405" spans="1:23" hidden="1">
      <c r="A3405" s="3" t="str">
        <f t="shared" si="53"/>
        <v>Período 1</v>
      </c>
      <c r="B3405">
        <v>10980</v>
      </c>
      <c r="C3405" t="s">
        <v>2010</v>
      </c>
      <c r="D3405" t="s">
        <v>5966</v>
      </c>
      <c r="E3405" s="3" t="str">
        <f>IF(LEN(Base_Periodo1[[#This Row],[CLASS]])&gt;=7,LEFT(Base_Periodo1[[#This Row],[CLASS]],7),"")</f>
        <v>2.1.2.2</v>
      </c>
      <c r="F3405" s="3" t="str">
        <f>VLOOKUP(Base_Periodo1[[#This Row],[Aux]],Base_Contas_Balanco[#All],2,FALSE)</f>
        <v>Fornecedores Não Cooperados</v>
      </c>
      <c r="G3405" s="1">
        <v>42858</v>
      </c>
      <c r="I3405" s="225">
        <v>1371.55</v>
      </c>
      <c r="J3405" s="225">
        <v>1371.55</v>
      </c>
      <c r="K3405" s="225">
        <v>0</v>
      </c>
      <c r="L34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05" s="225">
        <f>ROUND(IF(AND(Base_Periodo1[[#This Row],[Tipo_Linha]]="-",Base_Periodo1[[#This Row],[TIPOSALDO]]="D"),Base_Periodo1[[#This Row],[SALDO_ATUAL]]*-1,Base_Periodo1[[#This Row],[SALDO_ATUAL]]),4)</f>
        <v>0</v>
      </c>
      <c r="N3405" t="s">
        <v>116</v>
      </c>
      <c r="O3405" t="s">
        <v>436</v>
      </c>
      <c r="P3405" t="s">
        <v>436</v>
      </c>
      <c r="Q3405">
        <v>7</v>
      </c>
      <c r="R3405" s="225">
        <f>Base_Periodo1[[#This Row],[CREDITOS]]-Base_Periodo1[[#This Row],[DEBITOS]]</f>
        <v>0</v>
      </c>
      <c r="S3405" s="3" t="str">
        <f>IF(ISERROR(VLOOKUP(Base_Periodo1[[#This Row],[CONTA]],BaseContasDRE[#All],4,FALSE)),"Fora do DRE",VLOOKUP(Base_Periodo1[[#This Row],[CONTA]],BaseContasDRE[#All],4,FALSE))</f>
        <v>Fora do DRE</v>
      </c>
      <c r="T3405" s="3" t="str">
        <f>IF(ISERROR(VLOOKUP(Base_Periodo1[[#This Row],[CONTA]],BaseContasDRE[#All],5,FALSE)),"Fora do DRE",VLOOKUP(Base_Periodo1[[#This Row],[CONTA]],BaseContasDRE[#All],6,FALSE))</f>
        <v>Fora do DRE</v>
      </c>
      <c r="U3405" s="3" t="str">
        <f>IF(ISERROR(VLOOKUP(Base_Periodo1[[#This Row],[CONTA]],BaseContasDRE[#All],7,FALSE)),"Fora do DRE",VLOOKUP(Base_Periodo1[[#This Row],[CONTA]],BaseContasDRE[#All],7,FALSE))</f>
        <v>Fora do DRE</v>
      </c>
      <c r="V3405" s="3" t="str">
        <f>IF(Base_Periodo1[[#This Row],[Tipo_Linha]]="Fora do DRE","Fora do DRE","( "&amp;Base_Periodo1[[#This Row],[Tipo_Linha]]&amp;" ) "&amp;Base_Periodo1[[#This Row],[Filtro]])</f>
        <v>Fora do DRE</v>
      </c>
      <c r="W3405" s="3" t="str">
        <f>LEFT(Base_Periodo1[[#This Row],[CLASS]],3)</f>
        <v>2.1</v>
      </c>
    </row>
    <row r="3406" spans="1:23" hidden="1">
      <c r="A3406" s="3" t="str">
        <f t="shared" si="53"/>
        <v>Período 1</v>
      </c>
      <c r="B3406">
        <v>47934</v>
      </c>
      <c r="C3406" t="s">
        <v>2010</v>
      </c>
      <c r="D3406" t="s">
        <v>4858</v>
      </c>
      <c r="E3406" s="3" t="str">
        <f>IF(LEN(Base_Periodo1[[#This Row],[CLASS]])&gt;=7,LEFT(Base_Periodo1[[#This Row],[CLASS]],7),"")</f>
        <v>2.1.2.2</v>
      </c>
      <c r="F3406" s="3" t="str">
        <f>VLOOKUP(Base_Periodo1[[#This Row],[Aux]],Base_Contas_Balanco[#All],2,FALSE)</f>
        <v>Fornecedores Não Cooperados</v>
      </c>
      <c r="G3406" s="1">
        <v>42870</v>
      </c>
      <c r="I3406" s="225">
        <v>1086.5899999999999</v>
      </c>
      <c r="J3406" s="225">
        <v>1086.5899999999999</v>
      </c>
      <c r="K3406" s="225">
        <v>-7.2759576141834259E-12</v>
      </c>
      <c r="L34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06" s="225">
        <f>ROUND(IF(AND(Base_Periodo1[[#This Row],[Tipo_Linha]]="-",Base_Periodo1[[#This Row],[TIPOSALDO]]="D"),Base_Periodo1[[#This Row],[SALDO_ATUAL]]*-1,Base_Periodo1[[#This Row],[SALDO_ATUAL]]),4)</f>
        <v>0</v>
      </c>
      <c r="N3406" t="s">
        <v>116</v>
      </c>
      <c r="O3406" t="s">
        <v>436</v>
      </c>
      <c r="P3406" t="s">
        <v>436</v>
      </c>
      <c r="Q3406">
        <v>7</v>
      </c>
      <c r="R3406" s="225">
        <f>Base_Periodo1[[#This Row],[CREDITOS]]-Base_Periodo1[[#This Row],[DEBITOS]]</f>
        <v>0</v>
      </c>
      <c r="S3406" s="3" t="str">
        <f>IF(ISERROR(VLOOKUP(Base_Periodo1[[#This Row],[CONTA]],BaseContasDRE[#All],4,FALSE)),"Fora do DRE",VLOOKUP(Base_Periodo1[[#This Row],[CONTA]],BaseContasDRE[#All],4,FALSE))</f>
        <v>Fora do DRE</v>
      </c>
      <c r="T3406" s="3" t="str">
        <f>IF(ISERROR(VLOOKUP(Base_Periodo1[[#This Row],[CONTA]],BaseContasDRE[#All],5,FALSE)),"Fora do DRE",VLOOKUP(Base_Periodo1[[#This Row],[CONTA]],BaseContasDRE[#All],6,FALSE))</f>
        <v>Fora do DRE</v>
      </c>
      <c r="U3406" s="3" t="str">
        <f>IF(ISERROR(VLOOKUP(Base_Periodo1[[#This Row],[CONTA]],BaseContasDRE[#All],7,FALSE)),"Fora do DRE",VLOOKUP(Base_Periodo1[[#This Row],[CONTA]],BaseContasDRE[#All],7,FALSE))</f>
        <v>Fora do DRE</v>
      </c>
      <c r="V3406" s="3" t="str">
        <f>IF(Base_Periodo1[[#This Row],[Tipo_Linha]]="Fora do DRE","Fora do DRE","( "&amp;Base_Periodo1[[#This Row],[Tipo_Linha]]&amp;" ) "&amp;Base_Periodo1[[#This Row],[Filtro]])</f>
        <v>Fora do DRE</v>
      </c>
      <c r="W3406" s="3" t="str">
        <f>LEFT(Base_Periodo1[[#This Row],[CLASS]],3)</f>
        <v>2.1</v>
      </c>
    </row>
    <row r="3407" spans="1:23" hidden="1">
      <c r="A3407" s="3" t="str">
        <f t="shared" si="53"/>
        <v>Período 1</v>
      </c>
      <c r="B3407">
        <v>10950</v>
      </c>
      <c r="C3407" t="s">
        <v>2010</v>
      </c>
      <c r="D3407" t="s">
        <v>4859</v>
      </c>
      <c r="E3407" s="3" t="str">
        <f>IF(LEN(Base_Periodo1[[#This Row],[CLASS]])&gt;=7,LEFT(Base_Periodo1[[#This Row],[CLASS]],7),"")</f>
        <v>2.1.2.2</v>
      </c>
      <c r="F3407" s="3" t="str">
        <f>VLOOKUP(Base_Periodo1[[#This Row],[Aux]],Base_Contas_Balanco[#All],2,FALSE)</f>
        <v>Fornecedores Não Cooperados</v>
      </c>
      <c r="G3407" s="1">
        <v>42835</v>
      </c>
      <c r="H3407" s="225">
        <v>2936.1600000000326</v>
      </c>
      <c r="I3407" s="225">
        <v>0</v>
      </c>
      <c r="J3407" s="225">
        <v>0</v>
      </c>
      <c r="K3407" s="225">
        <v>2936.1600000000326</v>
      </c>
      <c r="L34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2936.16</v>
      </c>
      <c r="M3407" s="225">
        <f>ROUND(IF(AND(Base_Periodo1[[#This Row],[Tipo_Linha]]="-",Base_Periodo1[[#This Row],[TIPOSALDO]]="D"),Base_Periodo1[[#This Row],[SALDO_ATUAL]]*-1,Base_Periodo1[[#This Row],[SALDO_ATUAL]]),4)</f>
        <v>2936.16</v>
      </c>
      <c r="N3407" t="s">
        <v>116</v>
      </c>
      <c r="O3407" t="s">
        <v>459</v>
      </c>
      <c r="P3407" t="s">
        <v>459</v>
      </c>
      <c r="Q3407">
        <v>7</v>
      </c>
      <c r="R3407" s="225">
        <f>Base_Periodo1[[#This Row],[CREDITOS]]-Base_Periodo1[[#This Row],[DEBITOS]]</f>
        <v>0</v>
      </c>
      <c r="S3407" s="3" t="str">
        <f>IF(ISERROR(VLOOKUP(Base_Periodo1[[#This Row],[CONTA]],BaseContasDRE[#All],4,FALSE)),"Fora do DRE",VLOOKUP(Base_Periodo1[[#This Row],[CONTA]],BaseContasDRE[#All],4,FALSE))</f>
        <v>Fora do DRE</v>
      </c>
      <c r="T3407" s="3" t="str">
        <f>IF(ISERROR(VLOOKUP(Base_Periodo1[[#This Row],[CONTA]],BaseContasDRE[#All],5,FALSE)),"Fora do DRE",VLOOKUP(Base_Periodo1[[#This Row],[CONTA]],BaseContasDRE[#All],6,FALSE))</f>
        <v>Fora do DRE</v>
      </c>
      <c r="U3407" s="3" t="str">
        <f>IF(ISERROR(VLOOKUP(Base_Periodo1[[#This Row],[CONTA]],BaseContasDRE[#All],7,FALSE)),"Fora do DRE",VLOOKUP(Base_Periodo1[[#This Row],[CONTA]],BaseContasDRE[#All],7,FALSE))</f>
        <v>Fora do DRE</v>
      </c>
      <c r="V3407" s="3" t="str">
        <f>IF(Base_Periodo1[[#This Row],[Tipo_Linha]]="Fora do DRE","Fora do DRE","( "&amp;Base_Periodo1[[#This Row],[Tipo_Linha]]&amp;" ) "&amp;Base_Periodo1[[#This Row],[Filtro]])</f>
        <v>Fora do DRE</v>
      </c>
      <c r="W3407" s="3" t="str">
        <f>LEFT(Base_Periodo1[[#This Row],[CLASS]],3)</f>
        <v>2.1</v>
      </c>
    </row>
    <row r="3408" spans="1:23" hidden="1">
      <c r="A3408" s="3" t="str">
        <f t="shared" si="53"/>
        <v>Período 1</v>
      </c>
      <c r="B3408">
        <v>58718</v>
      </c>
      <c r="C3408" t="s">
        <v>2010</v>
      </c>
      <c r="D3408" t="s">
        <v>6956</v>
      </c>
      <c r="E3408" s="3" t="str">
        <f>IF(LEN(Base_Periodo1[[#This Row],[CLASS]])&gt;=7,LEFT(Base_Periodo1[[#This Row],[CLASS]],7),"")</f>
        <v>2.1.2.2</v>
      </c>
      <c r="F3408" s="3" t="str">
        <f>VLOOKUP(Base_Periodo1[[#This Row],[Aux]],Base_Contas_Balanco[#All],2,FALSE)</f>
        <v>Fornecedores Não Cooperados</v>
      </c>
      <c r="G3408" s="1">
        <v>42870</v>
      </c>
      <c r="I3408" s="225">
        <v>616.98</v>
      </c>
      <c r="J3408" s="225">
        <v>616.98</v>
      </c>
      <c r="K3408" s="225">
        <v>0</v>
      </c>
      <c r="L34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08" s="225">
        <f>ROUND(IF(AND(Base_Periodo1[[#This Row],[Tipo_Linha]]="-",Base_Periodo1[[#This Row],[TIPOSALDO]]="D"),Base_Periodo1[[#This Row],[SALDO_ATUAL]]*-1,Base_Periodo1[[#This Row],[SALDO_ATUAL]]),4)</f>
        <v>0</v>
      </c>
      <c r="N3408" t="s">
        <v>116</v>
      </c>
      <c r="O3408" t="s">
        <v>436</v>
      </c>
      <c r="P3408" t="s">
        <v>436</v>
      </c>
      <c r="Q3408">
        <v>7</v>
      </c>
      <c r="R3408" s="225">
        <f>Base_Periodo1[[#This Row],[CREDITOS]]-Base_Periodo1[[#This Row],[DEBITOS]]</f>
        <v>0</v>
      </c>
      <c r="S3408" s="3" t="str">
        <f>IF(ISERROR(VLOOKUP(Base_Periodo1[[#This Row],[CONTA]],BaseContasDRE[#All],4,FALSE)),"Fora do DRE",VLOOKUP(Base_Periodo1[[#This Row],[CONTA]],BaseContasDRE[#All],4,FALSE))</f>
        <v>Fora do DRE</v>
      </c>
      <c r="T3408" s="3" t="str">
        <f>IF(ISERROR(VLOOKUP(Base_Periodo1[[#This Row],[CONTA]],BaseContasDRE[#All],5,FALSE)),"Fora do DRE",VLOOKUP(Base_Periodo1[[#This Row],[CONTA]],BaseContasDRE[#All],6,FALSE))</f>
        <v>Fora do DRE</v>
      </c>
      <c r="U3408" s="3" t="str">
        <f>IF(ISERROR(VLOOKUP(Base_Periodo1[[#This Row],[CONTA]],BaseContasDRE[#All],7,FALSE)),"Fora do DRE",VLOOKUP(Base_Periodo1[[#This Row],[CONTA]],BaseContasDRE[#All],7,FALSE))</f>
        <v>Fora do DRE</v>
      </c>
      <c r="V3408" s="3" t="str">
        <f>IF(Base_Periodo1[[#This Row],[Tipo_Linha]]="Fora do DRE","Fora do DRE","( "&amp;Base_Periodo1[[#This Row],[Tipo_Linha]]&amp;" ) "&amp;Base_Periodo1[[#This Row],[Filtro]])</f>
        <v>Fora do DRE</v>
      </c>
      <c r="W3408" s="3" t="str">
        <f>LEFT(Base_Periodo1[[#This Row],[CLASS]],3)</f>
        <v>2.1</v>
      </c>
    </row>
    <row r="3409" spans="1:23" hidden="1">
      <c r="A3409" s="3" t="str">
        <f t="shared" si="53"/>
        <v>Período 1</v>
      </c>
      <c r="B3409">
        <v>12251</v>
      </c>
      <c r="C3409" t="s">
        <v>2010</v>
      </c>
      <c r="D3409" t="s">
        <v>6445</v>
      </c>
      <c r="E3409" s="3" t="str">
        <f>IF(LEN(Base_Periodo1[[#This Row],[CLASS]])&gt;=7,LEFT(Base_Periodo1[[#This Row],[CLASS]],7),"")</f>
        <v>2.1.2.2</v>
      </c>
      <c r="F3409" s="3" t="str">
        <f>VLOOKUP(Base_Periodo1[[#This Row],[Aux]],Base_Contas_Balanco[#All],2,FALSE)</f>
        <v>Fornecedores Não Cooperados</v>
      </c>
      <c r="G3409" s="1">
        <v>42877</v>
      </c>
      <c r="H3409" s="225">
        <v>640</v>
      </c>
      <c r="I3409" s="225">
        <v>3940</v>
      </c>
      <c r="J3409" s="225">
        <v>3300</v>
      </c>
      <c r="K3409" s="225">
        <v>0</v>
      </c>
      <c r="L34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09" s="225">
        <f>ROUND(IF(AND(Base_Periodo1[[#This Row],[Tipo_Linha]]="-",Base_Periodo1[[#This Row],[TIPOSALDO]]="D"),Base_Periodo1[[#This Row],[SALDO_ATUAL]]*-1,Base_Periodo1[[#This Row],[SALDO_ATUAL]]),4)</f>
        <v>0</v>
      </c>
      <c r="N3409" t="s">
        <v>116</v>
      </c>
      <c r="O3409" t="s">
        <v>459</v>
      </c>
      <c r="P3409" t="s">
        <v>436</v>
      </c>
      <c r="Q3409">
        <v>7</v>
      </c>
      <c r="R3409" s="225">
        <f>Base_Periodo1[[#This Row],[CREDITOS]]-Base_Periodo1[[#This Row],[DEBITOS]]</f>
        <v>-640</v>
      </c>
      <c r="S3409" s="3" t="str">
        <f>IF(ISERROR(VLOOKUP(Base_Periodo1[[#This Row],[CONTA]],BaseContasDRE[#All],4,FALSE)),"Fora do DRE",VLOOKUP(Base_Periodo1[[#This Row],[CONTA]],BaseContasDRE[#All],4,FALSE))</f>
        <v>Fora do DRE</v>
      </c>
      <c r="T3409" s="3" t="str">
        <f>IF(ISERROR(VLOOKUP(Base_Periodo1[[#This Row],[CONTA]],BaseContasDRE[#All],5,FALSE)),"Fora do DRE",VLOOKUP(Base_Periodo1[[#This Row],[CONTA]],BaseContasDRE[#All],6,FALSE))</f>
        <v>Fora do DRE</v>
      </c>
      <c r="U3409" s="3" t="str">
        <f>IF(ISERROR(VLOOKUP(Base_Periodo1[[#This Row],[CONTA]],BaseContasDRE[#All],7,FALSE)),"Fora do DRE",VLOOKUP(Base_Periodo1[[#This Row],[CONTA]],BaseContasDRE[#All],7,FALSE))</f>
        <v>Fora do DRE</v>
      </c>
      <c r="V3409" s="3" t="str">
        <f>IF(Base_Periodo1[[#This Row],[Tipo_Linha]]="Fora do DRE","Fora do DRE","( "&amp;Base_Periodo1[[#This Row],[Tipo_Linha]]&amp;" ) "&amp;Base_Periodo1[[#This Row],[Filtro]])</f>
        <v>Fora do DRE</v>
      </c>
      <c r="W3409" s="3" t="str">
        <f>LEFT(Base_Periodo1[[#This Row],[CLASS]],3)</f>
        <v>2.1</v>
      </c>
    </row>
    <row r="3410" spans="1:23" hidden="1">
      <c r="A3410" s="3" t="str">
        <f t="shared" si="53"/>
        <v>Período 1</v>
      </c>
      <c r="B3410">
        <v>16943</v>
      </c>
      <c r="C3410" t="s">
        <v>2010</v>
      </c>
      <c r="D3410" t="s">
        <v>2038</v>
      </c>
      <c r="E3410" s="3" t="str">
        <f>IF(LEN(Base_Periodo1[[#This Row],[CLASS]])&gt;=7,LEFT(Base_Periodo1[[#This Row],[CLASS]],7),"")</f>
        <v>2.1.2.2</v>
      </c>
      <c r="F3410" s="3" t="str">
        <f>VLOOKUP(Base_Periodo1[[#This Row],[Aux]],Base_Contas_Balanco[#All],2,FALSE)</f>
        <v>Fornecedores Não Cooperados</v>
      </c>
      <c r="G3410" s="1">
        <v>42886</v>
      </c>
      <c r="H3410" s="225">
        <v>59232.999999993481</v>
      </c>
      <c r="I3410" s="225">
        <v>919330.37999999989</v>
      </c>
      <c r="J3410" s="225">
        <v>990119.28</v>
      </c>
      <c r="K3410" s="225">
        <v>130021.89999999362</v>
      </c>
      <c r="L34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130021.9</v>
      </c>
      <c r="M3410" s="225">
        <f>ROUND(IF(AND(Base_Periodo1[[#This Row],[Tipo_Linha]]="-",Base_Periodo1[[#This Row],[TIPOSALDO]]="D"),Base_Periodo1[[#This Row],[SALDO_ATUAL]]*-1,Base_Periodo1[[#This Row],[SALDO_ATUAL]]),4)</f>
        <v>130021.9</v>
      </c>
      <c r="N3410" t="s">
        <v>116</v>
      </c>
      <c r="O3410" t="s">
        <v>459</v>
      </c>
      <c r="P3410" t="s">
        <v>459</v>
      </c>
      <c r="Q3410">
        <v>7</v>
      </c>
      <c r="R3410" s="225">
        <f>Base_Periodo1[[#This Row],[CREDITOS]]-Base_Periodo1[[#This Row],[DEBITOS]]</f>
        <v>70788.90000000014</v>
      </c>
      <c r="S3410" s="3" t="str">
        <f>IF(ISERROR(VLOOKUP(Base_Periodo1[[#This Row],[CONTA]],BaseContasDRE[#All],4,FALSE)),"Fora do DRE",VLOOKUP(Base_Periodo1[[#This Row],[CONTA]],BaseContasDRE[#All],4,FALSE))</f>
        <v>Fora do DRE</v>
      </c>
      <c r="T3410" s="3" t="str">
        <f>IF(ISERROR(VLOOKUP(Base_Periodo1[[#This Row],[CONTA]],BaseContasDRE[#All],5,FALSE)),"Fora do DRE",VLOOKUP(Base_Periodo1[[#This Row],[CONTA]],BaseContasDRE[#All],6,FALSE))</f>
        <v>Fora do DRE</v>
      </c>
      <c r="U3410" s="3" t="str">
        <f>IF(ISERROR(VLOOKUP(Base_Periodo1[[#This Row],[CONTA]],BaseContasDRE[#All],7,FALSE)),"Fora do DRE",VLOOKUP(Base_Periodo1[[#This Row],[CONTA]],BaseContasDRE[#All],7,FALSE))</f>
        <v>Fora do DRE</v>
      </c>
      <c r="V3410" s="3" t="str">
        <f>IF(Base_Periodo1[[#This Row],[Tipo_Linha]]="Fora do DRE","Fora do DRE","( "&amp;Base_Periodo1[[#This Row],[Tipo_Linha]]&amp;" ) "&amp;Base_Periodo1[[#This Row],[Filtro]])</f>
        <v>Fora do DRE</v>
      </c>
      <c r="W3410" s="3" t="str">
        <f>LEFT(Base_Periodo1[[#This Row],[CLASS]],3)</f>
        <v>2.1</v>
      </c>
    </row>
    <row r="3411" spans="1:23" hidden="1">
      <c r="A3411" s="3" t="str">
        <f t="shared" si="53"/>
        <v>Período 1</v>
      </c>
      <c r="B3411">
        <v>39590</v>
      </c>
      <c r="C3411" t="s">
        <v>2010</v>
      </c>
      <c r="D3411" t="s">
        <v>6446</v>
      </c>
      <c r="E3411" s="3" t="str">
        <f>IF(LEN(Base_Periodo1[[#This Row],[CLASS]])&gt;=7,LEFT(Base_Periodo1[[#This Row],[CLASS]],7),"")</f>
        <v>2.1.2.2</v>
      </c>
      <c r="F3411" s="3" t="str">
        <f>VLOOKUP(Base_Periodo1[[#This Row],[Aux]],Base_Contas_Balanco[#All],2,FALSE)</f>
        <v>Fornecedores Não Cooperados</v>
      </c>
      <c r="G3411" s="1">
        <v>42860</v>
      </c>
      <c r="H3411" s="225">
        <v>951.90999999999622</v>
      </c>
      <c r="I3411" s="225">
        <v>951.91</v>
      </c>
      <c r="J3411" s="225">
        <v>0</v>
      </c>
      <c r="K3411" s="225">
        <v>3.751665644813329E-12</v>
      </c>
      <c r="L34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11" s="225">
        <f>ROUND(IF(AND(Base_Periodo1[[#This Row],[Tipo_Linha]]="-",Base_Periodo1[[#This Row],[TIPOSALDO]]="D"),Base_Periodo1[[#This Row],[SALDO_ATUAL]]*-1,Base_Periodo1[[#This Row],[SALDO_ATUAL]]),4)</f>
        <v>0</v>
      </c>
      <c r="N3411" t="s">
        <v>116</v>
      </c>
      <c r="O3411" t="s">
        <v>459</v>
      </c>
      <c r="P3411" t="s">
        <v>436</v>
      </c>
      <c r="Q3411">
        <v>7</v>
      </c>
      <c r="R3411" s="225">
        <f>Base_Periodo1[[#This Row],[CREDITOS]]-Base_Periodo1[[#This Row],[DEBITOS]]</f>
        <v>-951.91</v>
      </c>
      <c r="S3411" s="3" t="str">
        <f>IF(ISERROR(VLOOKUP(Base_Periodo1[[#This Row],[CONTA]],BaseContasDRE[#All],4,FALSE)),"Fora do DRE",VLOOKUP(Base_Periodo1[[#This Row],[CONTA]],BaseContasDRE[#All],4,FALSE))</f>
        <v>Fora do DRE</v>
      </c>
      <c r="T3411" s="3" t="str">
        <f>IF(ISERROR(VLOOKUP(Base_Periodo1[[#This Row],[CONTA]],BaseContasDRE[#All],5,FALSE)),"Fora do DRE",VLOOKUP(Base_Periodo1[[#This Row],[CONTA]],BaseContasDRE[#All],6,FALSE))</f>
        <v>Fora do DRE</v>
      </c>
      <c r="U3411" s="3" t="str">
        <f>IF(ISERROR(VLOOKUP(Base_Periodo1[[#This Row],[CONTA]],BaseContasDRE[#All],7,FALSE)),"Fora do DRE",VLOOKUP(Base_Periodo1[[#This Row],[CONTA]],BaseContasDRE[#All],7,FALSE))</f>
        <v>Fora do DRE</v>
      </c>
      <c r="V3411" s="3" t="str">
        <f>IF(Base_Periodo1[[#This Row],[Tipo_Linha]]="Fora do DRE","Fora do DRE","( "&amp;Base_Periodo1[[#This Row],[Tipo_Linha]]&amp;" ) "&amp;Base_Periodo1[[#This Row],[Filtro]])</f>
        <v>Fora do DRE</v>
      </c>
      <c r="W3411" s="3" t="str">
        <f>LEFT(Base_Periodo1[[#This Row],[CLASS]],3)</f>
        <v>2.1</v>
      </c>
    </row>
    <row r="3412" spans="1:23" hidden="1">
      <c r="A3412" s="3" t="str">
        <f t="shared" si="53"/>
        <v>Período 1</v>
      </c>
      <c r="B3412">
        <v>27983</v>
      </c>
      <c r="C3412" t="s">
        <v>2010</v>
      </c>
      <c r="D3412" t="s">
        <v>2039</v>
      </c>
      <c r="E3412" s="3" t="str">
        <f>IF(LEN(Base_Periodo1[[#This Row],[CLASS]])&gt;=7,LEFT(Base_Periodo1[[#This Row],[CLASS]],7),"")</f>
        <v>2.1.2.2</v>
      </c>
      <c r="F3412" s="3" t="str">
        <f>VLOOKUP(Base_Periodo1[[#This Row],[Aux]],Base_Contas_Balanco[#All],2,FALSE)</f>
        <v>Fornecedores Não Cooperados</v>
      </c>
      <c r="G3412" s="1">
        <v>42877</v>
      </c>
      <c r="I3412" s="225">
        <v>270</v>
      </c>
      <c r="J3412" s="225">
        <v>270</v>
      </c>
      <c r="K3412" s="225">
        <v>7.2759576141834259E-12</v>
      </c>
      <c r="L34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12" s="225">
        <f>ROUND(IF(AND(Base_Periodo1[[#This Row],[Tipo_Linha]]="-",Base_Periodo1[[#This Row],[TIPOSALDO]]="D"),Base_Periodo1[[#This Row],[SALDO_ATUAL]]*-1,Base_Periodo1[[#This Row],[SALDO_ATUAL]]),4)</f>
        <v>0</v>
      </c>
      <c r="N3412" t="s">
        <v>116</v>
      </c>
      <c r="O3412" t="s">
        <v>436</v>
      </c>
      <c r="P3412" t="s">
        <v>436</v>
      </c>
      <c r="Q3412">
        <v>7</v>
      </c>
      <c r="R3412" s="225">
        <f>Base_Periodo1[[#This Row],[CREDITOS]]-Base_Periodo1[[#This Row],[DEBITOS]]</f>
        <v>0</v>
      </c>
      <c r="S3412" s="3" t="str">
        <f>IF(ISERROR(VLOOKUP(Base_Periodo1[[#This Row],[CONTA]],BaseContasDRE[#All],4,FALSE)),"Fora do DRE",VLOOKUP(Base_Periodo1[[#This Row],[CONTA]],BaseContasDRE[#All],4,FALSE))</f>
        <v>Fora do DRE</v>
      </c>
      <c r="T3412" s="3" t="str">
        <f>IF(ISERROR(VLOOKUP(Base_Periodo1[[#This Row],[CONTA]],BaseContasDRE[#All],5,FALSE)),"Fora do DRE",VLOOKUP(Base_Periodo1[[#This Row],[CONTA]],BaseContasDRE[#All],6,FALSE))</f>
        <v>Fora do DRE</v>
      </c>
      <c r="U3412" s="3" t="str">
        <f>IF(ISERROR(VLOOKUP(Base_Periodo1[[#This Row],[CONTA]],BaseContasDRE[#All],7,FALSE)),"Fora do DRE",VLOOKUP(Base_Periodo1[[#This Row],[CONTA]],BaseContasDRE[#All],7,FALSE))</f>
        <v>Fora do DRE</v>
      </c>
      <c r="V3412" s="3" t="str">
        <f>IF(Base_Periodo1[[#This Row],[Tipo_Linha]]="Fora do DRE","Fora do DRE","( "&amp;Base_Periodo1[[#This Row],[Tipo_Linha]]&amp;" ) "&amp;Base_Periodo1[[#This Row],[Filtro]])</f>
        <v>Fora do DRE</v>
      </c>
      <c r="W3412" s="3" t="str">
        <f>LEFT(Base_Periodo1[[#This Row],[CLASS]],3)</f>
        <v>2.1</v>
      </c>
    </row>
    <row r="3413" spans="1:23" hidden="1">
      <c r="A3413" s="3" t="str">
        <f t="shared" si="53"/>
        <v>Período 1</v>
      </c>
      <c r="B3413">
        <v>28459</v>
      </c>
      <c r="C3413" t="s">
        <v>2010</v>
      </c>
      <c r="D3413" t="s">
        <v>2039</v>
      </c>
      <c r="E3413" s="3" t="str">
        <f>IF(LEN(Base_Periodo1[[#This Row],[CLASS]])&gt;=7,LEFT(Base_Periodo1[[#This Row],[CLASS]],7),"")</f>
        <v>2.1.2.2</v>
      </c>
      <c r="F3413" s="3" t="str">
        <f>VLOOKUP(Base_Periodo1[[#This Row],[Aux]],Base_Contas_Balanco[#All],2,FALSE)</f>
        <v>Fornecedores Não Cooperados</v>
      </c>
      <c r="G3413" s="1">
        <v>42879</v>
      </c>
      <c r="H3413" s="225">
        <v>5809.429999999993</v>
      </c>
      <c r="I3413" s="225">
        <v>9996.58</v>
      </c>
      <c r="J3413" s="225">
        <v>6005.23</v>
      </c>
      <c r="K3413" s="225">
        <v>1818.0799999999927</v>
      </c>
      <c r="L34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1818.08</v>
      </c>
      <c r="M3413" s="225">
        <f>ROUND(IF(AND(Base_Periodo1[[#This Row],[Tipo_Linha]]="-",Base_Periodo1[[#This Row],[TIPOSALDO]]="D"),Base_Periodo1[[#This Row],[SALDO_ATUAL]]*-1,Base_Periodo1[[#This Row],[SALDO_ATUAL]]),4)</f>
        <v>1818.08</v>
      </c>
      <c r="N3413" t="s">
        <v>116</v>
      </c>
      <c r="O3413" t="s">
        <v>459</v>
      </c>
      <c r="P3413" t="s">
        <v>459</v>
      </c>
      <c r="Q3413">
        <v>7</v>
      </c>
      <c r="R3413" s="225">
        <f>Base_Periodo1[[#This Row],[CREDITOS]]-Base_Periodo1[[#This Row],[DEBITOS]]</f>
        <v>-3991.3500000000004</v>
      </c>
      <c r="S3413" s="3" t="str">
        <f>IF(ISERROR(VLOOKUP(Base_Periodo1[[#This Row],[CONTA]],BaseContasDRE[#All],4,FALSE)),"Fora do DRE",VLOOKUP(Base_Periodo1[[#This Row],[CONTA]],BaseContasDRE[#All],4,FALSE))</f>
        <v>Fora do DRE</v>
      </c>
      <c r="T3413" s="3" t="str">
        <f>IF(ISERROR(VLOOKUP(Base_Periodo1[[#This Row],[CONTA]],BaseContasDRE[#All],5,FALSE)),"Fora do DRE",VLOOKUP(Base_Periodo1[[#This Row],[CONTA]],BaseContasDRE[#All],6,FALSE))</f>
        <v>Fora do DRE</v>
      </c>
      <c r="U3413" s="3" t="str">
        <f>IF(ISERROR(VLOOKUP(Base_Periodo1[[#This Row],[CONTA]],BaseContasDRE[#All],7,FALSE)),"Fora do DRE",VLOOKUP(Base_Periodo1[[#This Row],[CONTA]],BaseContasDRE[#All],7,FALSE))</f>
        <v>Fora do DRE</v>
      </c>
      <c r="V3413" s="3" t="str">
        <f>IF(Base_Periodo1[[#This Row],[Tipo_Linha]]="Fora do DRE","Fora do DRE","( "&amp;Base_Periodo1[[#This Row],[Tipo_Linha]]&amp;" ) "&amp;Base_Periodo1[[#This Row],[Filtro]])</f>
        <v>Fora do DRE</v>
      </c>
      <c r="W3413" s="3" t="str">
        <f>LEFT(Base_Periodo1[[#This Row],[CLASS]],3)</f>
        <v>2.1</v>
      </c>
    </row>
    <row r="3414" spans="1:23" hidden="1">
      <c r="A3414" s="3" t="str">
        <f t="shared" si="53"/>
        <v>Período 1</v>
      </c>
      <c r="B3414">
        <v>31550</v>
      </c>
      <c r="C3414" t="s">
        <v>2010</v>
      </c>
      <c r="D3414" t="s">
        <v>2039</v>
      </c>
      <c r="E3414" s="3" t="str">
        <f>IF(LEN(Base_Periodo1[[#This Row],[CLASS]])&gt;=7,LEFT(Base_Periodo1[[#This Row],[CLASS]],7),"")</f>
        <v>2.1.2.2</v>
      </c>
      <c r="F3414" s="3" t="str">
        <f>VLOOKUP(Base_Periodo1[[#This Row],[Aux]],Base_Contas_Balanco[#All],2,FALSE)</f>
        <v>Fornecedores Não Cooperados</v>
      </c>
      <c r="G3414" s="1">
        <v>42860</v>
      </c>
      <c r="H3414" s="225">
        <v>2318.8000000000011</v>
      </c>
      <c r="I3414" s="225">
        <v>2318.8000000000002</v>
      </c>
      <c r="J3414" s="225">
        <v>0</v>
      </c>
      <c r="K3414" s="225">
        <v>-9.0949470177292824E-13</v>
      </c>
      <c r="L34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14" s="225">
        <f>ROUND(IF(AND(Base_Periodo1[[#This Row],[Tipo_Linha]]="-",Base_Periodo1[[#This Row],[TIPOSALDO]]="D"),Base_Periodo1[[#This Row],[SALDO_ATUAL]]*-1,Base_Periodo1[[#This Row],[SALDO_ATUAL]]),4)</f>
        <v>0</v>
      </c>
      <c r="N3414" t="s">
        <v>116</v>
      </c>
      <c r="O3414" t="s">
        <v>459</v>
      </c>
      <c r="P3414" t="s">
        <v>436</v>
      </c>
      <c r="Q3414">
        <v>7</v>
      </c>
      <c r="R3414" s="225">
        <f>Base_Periodo1[[#This Row],[CREDITOS]]-Base_Periodo1[[#This Row],[DEBITOS]]</f>
        <v>-2318.8000000000002</v>
      </c>
      <c r="S3414" s="3" t="str">
        <f>IF(ISERROR(VLOOKUP(Base_Periodo1[[#This Row],[CONTA]],BaseContasDRE[#All],4,FALSE)),"Fora do DRE",VLOOKUP(Base_Periodo1[[#This Row],[CONTA]],BaseContasDRE[#All],4,FALSE))</f>
        <v>Fora do DRE</v>
      </c>
      <c r="T3414" s="3" t="str">
        <f>IF(ISERROR(VLOOKUP(Base_Periodo1[[#This Row],[CONTA]],BaseContasDRE[#All],5,FALSE)),"Fora do DRE",VLOOKUP(Base_Periodo1[[#This Row],[CONTA]],BaseContasDRE[#All],6,FALSE))</f>
        <v>Fora do DRE</v>
      </c>
      <c r="U3414" s="3" t="str">
        <f>IF(ISERROR(VLOOKUP(Base_Periodo1[[#This Row],[CONTA]],BaseContasDRE[#All],7,FALSE)),"Fora do DRE",VLOOKUP(Base_Periodo1[[#This Row],[CONTA]],BaseContasDRE[#All],7,FALSE))</f>
        <v>Fora do DRE</v>
      </c>
      <c r="V3414" s="3" t="str">
        <f>IF(Base_Periodo1[[#This Row],[Tipo_Linha]]="Fora do DRE","Fora do DRE","( "&amp;Base_Periodo1[[#This Row],[Tipo_Linha]]&amp;" ) "&amp;Base_Periodo1[[#This Row],[Filtro]])</f>
        <v>Fora do DRE</v>
      </c>
      <c r="W3414" s="3" t="str">
        <f>LEFT(Base_Periodo1[[#This Row],[CLASS]],3)</f>
        <v>2.1</v>
      </c>
    </row>
    <row r="3415" spans="1:23" hidden="1">
      <c r="A3415" s="3" t="str">
        <f t="shared" si="53"/>
        <v>Período 1</v>
      </c>
      <c r="B3415">
        <v>10170</v>
      </c>
      <c r="C3415" t="s">
        <v>2010</v>
      </c>
      <c r="D3415" t="s">
        <v>2039</v>
      </c>
      <c r="E3415" s="3" t="str">
        <f>IF(LEN(Base_Periodo1[[#This Row],[CLASS]])&gt;=7,LEFT(Base_Periodo1[[#This Row],[CLASS]],7),"")</f>
        <v>2.1.2.2</v>
      </c>
      <c r="F3415" s="3" t="str">
        <f>VLOOKUP(Base_Periodo1[[#This Row],[Aux]],Base_Contas_Balanco[#All],2,FALSE)</f>
        <v>Fornecedores Não Cooperados</v>
      </c>
      <c r="G3415" s="1">
        <v>42877</v>
      </c>
      <c r="H3415" s="225">
        <v>1686.2599999999802</v>
      </c>
      <c r="I3415" s="225">
        <v>2018.26</v>
      </c>
      <c r="J3415" s="225">
        <v>332</v>
      </c>
      <c r="K3415" s="225">
        <v>1.9781509763561189E-11</v>
      </c>
      <c r="L34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15" s="225">
        <f>ROUND(IF(AND(Base_Periodo1[[#This Row],[Tipo_Linha]]="-",Base_Periodo1[[#This Row],[TIPOSALDO]]="D"),Base_Periodo1[[#This Row],[SALDO_ATUAL]]*-1,Base_Periodo1[[#This Row],[SALDO_ATUAL]]),4)</f>
        <v>0</v>
      </c>
      <c r="N3415" t="s">
        <v>116</v>
      </c>
      <c r="O3415" t="s">
        <v>459</v>
      </c>
      <c r="P3415" t="s">
        <v>436</v>
      </c>
      <c r="Q3415">
        <v>7</v>
      </c>
      <c r="R3415" s="225">
        <f>Base_Periodo1[[#This Row],[CREDITOS]]-Base_Periodo1[[#This Row],[DEBITOS]]</f>
        <v>-1686.26</v>
      </c>
      <c r="S3415" s="3" t="str">
        <f>IF(ISERROR(VLOOKUP(Base_Periodo1[[#This Row],[CONTA]],BaseContasDRE[#All],4,FALSE)),"Fora do DRE",VLOOKUP(Base_Periodo1[[#This Row],[CONTA]],BaseContasDRE[#All],4,FALSE))</f>
        <v>Fora do DRE</v>
      </c>
      <c r="T3415" s="3" t="str">
        <f>IF(ISERROR(VLOOKUP(Base_Periodo1[[#This Row],[CONTA]],BaseContasDRE[#All],5,FALSE)),"Fora do DRE",VLOOKUP(Base_Periodo1[[#This Row],[CONTA]],BaseContasDRE[#All],6,FALSE))</f>
        <v>Fora do DRE</v>
      </c>
      <c r="U3415" s="3" t="str">
        <f>IF(ISERROR(VLOOKUP(Base_Periodo1[[#This Row],[CONTA]],BaseContasDRE[#All],7,FALSE)),"Fora do DRE",VLOOKUP(Base_Periodo1[[#This Row],[CONTA]],BaseContasDRE[#All],7,FALSE))</f>
        <v>Fora do DRE</v>
      </c>
      <c r="V3415" s="3" t="str">
        <f>IF(Base_Periodo1[[#This Row],[Tipo_Linha]]="Fora do DRE","Fora do DRE","( "&amp;Base_Periodo1[[#This Row],[Tipo_Linha]]&amp;" ) "&amp;Base_Periodo1[[#This Row],[Filtro]])</f>
        <v>Fora do DRE</v>
      </c>
      <c r="W3415" s="3" t="str">
        <f>LEFT(Base_Periodo1[[#This Row],[CLASS]],3)</f>
        <v>2.1</v>
      </c>
    </row>
    <row r="3416" spans="1:23" hidden="1">
      <c r="A3416" s="3" t="str">
        <f t="shared" si="53"/>
        <v>Período 1</v>
      </c>
      <c r="B3416">
        <v>10174</v>
      </c>
      <c r="C3416" t="s">
        <v>2010</v>
      </c>
      <c r="D3416" t="s">
        <v>2039</v>
      </c>
      <c r="E3416" s="3" t="str">
        <f>IF(LEN(Base_Periodo1[[#This Row],[CLASS]])&gt;=7,LEFT(Base_Periodo1[[#This Row],[CLASS]],7),"")</f>
        <v>2.1.2.2</v>
      </c>
      <c r="F3416" s="3" t="str">
        <f>VLOOKUP(Base_Periodo1[[#This Row],[Aux]],Base_Contas_Balanco[#All],2,FALSE)</f>
        <v>Fornecedores Não Cooperados</v>
      </c>
      <c r="G3416" s="1">
        <v>42879</v>
      </c>
      <c r="H3416" s="225">
        <v>83.999999999970896</v>
      </c>
      <c r="I3416" s="225">
        <v>199.86</v>
      </c>
      <c r="J3416" s="225">
        <v>261.86</v>
      </c>
      <c r="K3416" s="225">
        <v>145.9999999999709</v>
      </c>
      <c r="L34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</v>
      </c>
      <c r="M3416" s="225">
        <f>ROUND(IF(AND(Base_Periodo1[[#This Row],[Tipo_Linha]]="-",Base_Periodo1[[#This Row],[TIPOSALDO]]="D"),Base_Periodo1[[#This Row],[SALDO_ATUAL]]*-1,Base_Periodo1[[#This Row],[SALDO_ATUAL]]),4)</f>
        <v>146</v>
      </c>
      <c r="N3416" t="s">
        <v>116</v>
      </c>
      <c r="O3416" t="s">
        <v>459</v>
      </c>
      <c r="P3416" t="s">
        <v>459</v>
      </c>
      <c r="Q3416">
        <v>7</v>
      </c>
      <c r="R3416" s="225">
        <f>Base_Periodo1[[#This Row],[CREDITOS]]-Base_Periodo1[[#This Row],[DEBITOS]]</f>
        <v>62</v>
      </c>
      <c r="S3416" s="3" t="str">
        <f>IF(ISERROR(VLOOKUP(Base_Periodo1[[#This Row],[CONTA]],BaseContasDRE[#All],4,FALSE)),"Fora do DRE",VLOOKUP(Base_Periodo1[[#This Row],[CONTA]],BaseContasDRE[#All],4,FALSE))</f>
        <v>Fora do DRE</v>
      </c>
      <c r="T3416" s="3" t="str">
        <f>IF(ISERROR(VLOOKUP(Base_Periodo1[[#This Row],[CONTA]],BaseContasDRE[#All],5,FALSE)),"Fora do DRE",VLOOKUP(Base_Periodo1[[#This Row],[CONTA]],BaseContasDRE[#All],6,FALSE))</f>
        <v>Fora do DRE</v>
      </c>
      <c r="U3416" s="3" t="str">
        <f>IF(ISERROR(VLOOKUP(Base_Periodo1[[#This Row],[CONTA]],BaseContasDRE[#All],7,FALSE)),"Fora do DRE",VLOOKUP(Base_Periodo1[[#This Row],[CONTA]],BaseContasDRE[#All],7,FALSE))</f>
        <v>Fora do DRE</v>
      </c>
      <c r="V3416" s="3" t="str">
        <f>IF(Base_Periodo1[[#This Row],[Tipo_Linha]]="Fora do DRE","Fora do DRE","( "&amp;Base_Periodo1[[#This Row],[Tipo_Linha]]&amp;" ) "&amp;Base_Periodo1[[#This Row],[Filtro]])</f>
        <v>Fora do DRE</v>
      </c>
      <c r="W3416" s="3" t="str">
        <f>LEFT(Base_Periodo1[[#This Row],[CLASS]],3)</f>
        <v>2.1</v>
      </c>
    </row>
    <row r="3417" spans="1:23" hidden="1">
      <c r="A3417" s="3" t="str">
        <f t="shared" si="53"/>
        <v>Período 1</v>
      </c>
      <c r="B3417">
        <v>10178</v>
      </c>
      <c r="C3417" t="s">
        <v>2010</v>
      </c>
      <c r="D3417" t="s">
        <v>2039</v>
      </c>
      <c r="E3417" s="3" t="str">
        <f>IF(LEN(Base_Periodo1[[#This Row],[CLASS]])&gt;=7,LEFT(Base_Periodo1[[#This Row],[CLASS]],7),"")</f>
        <v>2.1.2.2</v>
      </c>
      <c r="F3417" s="3" t="str">
        <f>VLOOKUP(Base_Periodo1[[#This Row],[Aux]],Base_Contas_Balanco[#All],2,FALSE)</f>
        <v>Fornecedores Não Cooperados</v>
      </c>
      <c r="G3417" s="1">
        <v>42877</v>
      </c>
      <c r="H3417" s="225">
        <v>6632.4600000001956</v>
      </c>
      <c r="I3417" s="225">
        <v>14220.970000000001</v>
      </c>
      <c r="J3417" s="225">
        <v>15127.09</v>
      </c>
      <c r="K3417" s="225">
        <v>7538.5800000001946</v>
      </c>
      <c r="L34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7538.58</v>
      </c>
      <c r="M3417" s="225">
        <f>ROUND(IF(AND(Base_Periodo1[[#This Row],[Tipo_Linha]]="-",Base_Periodo1[[#This Row],[TIPOSALDO]]="D"),Base_Periodo1[[#This Row],[SALDO_ATUAL]]*-1,Base_Periodo1[[#This Row],[SALDO_ATUAL]]),4)</f>
        <v>7538.58</v>
      </c>
      <c r="N3417" t="s">
        <v>116</v>
      </c>
      <c r="O3417" t="s">
        <v>459</v>
      </c>
      <c r="P3417" t="s">
        <v>459</v>
      </c>
      <c r="Q3417">
        <v>7</v>
      </c>
      <c r="R3417" s="225">
        <f>Base_Periodo1[[#This Row],[CREDITOS]]-Base_Periodo1[[#This Row],[DEBITOS]]</f>
        <v>906.11999999999898</v>
      </c>
      <c r="S3417" s="3" t="str">
        <f>IF(ISERROR(VLOOKUP(Base_Periodo1[[#This Row],[CONTA]],BaseContasDRE[#All],4,FALSE)),"Fora do DRE",VLOOKUP(Base_Periodo1[[#This Row],[CONTA]],BaseContasDRE[#All],4,FALSE))</f>
        <v>Fora do DRE</v>
      </c>
      <c r="T3417" s="3" t="str">
        <f>IF(ISERROR(VLOOKUP(Base_Periodo1[[#This Row],[CONTA]],BaseContasDRE[#All],5,FALSE)),"Fora do DRE",VLOOKUP(Base_Periodo1[[#This Row],[CONTA]],BaseContasDRE[#All],6,FALSE))</f>
        <v>Fora do DRE</v>
      </c>
      <c r="U3417" s="3" t="str">
        <f>IF(ISERROR(VLOOKUP(Base_Periodo1[[#This Row],[CONTA]],BaseContasDRE[#All],7,FALSE)),"Fora do DRE",VLOOKUP(Base_Periodo1[[#This Row],[CONTA]],BaseContasDRE[#All],7,FALSE))</f>
        <v>Fora do DRE</v>
      </c>
      <c r="V3417" s="3" t="str">
        <f>IF(Base_Periodo1[[#This Row],[Tipo_Linha]]="Fora do DRE","Fora do DRE","( "&amp;Base_Periodo1[[#This Row],[Tipo_Linha]]&amp;" ) "&amp;Base_Periodo1[[#This Row],[Filtro]])</f>
        <v>Fora do DRE</v>
      </c>
      <c r="W3417" s="3" t="str">
        <f>LEFT(Base_Periodo1[[#This Row],[CLASS]],3)</f>
        <v>2.1</v>
      </c>
    </row>
    <row r="3418" spans="1:23" hidden="1">
      <c r="A3418" s="3" t="str">
        <f t="shared" si="53"/>
        <v>Período 1</v>
      </c>
      <c r="B3418">
        <v>30634</v>
      </c>
      <c r="C3418" t="s">
        <v>2010</v>
      </c>
      <c r="D3418" t="s">
        <v>5433</v>
      </c>
      <c r="E3418" s="3" t="str">
        <f>IF(LEN(Base_Periodo1[[#This Row],[CLASS]])&gt;=7,LEFT(Base_Periodo1[[#This Row],[CLASS]],7),"")</f>
        <v>2.1.2.2</v>
      </c>
      <c r="F3418" s="3" t="str">
        <f>VLOOKUP(Base_Periodo1[[#This Row],[Aux]],Base_Contas_Balanco[#All],2,FALSE)</f>
        <v>Fornecedores Não Cooperados</v>
      </c>
      <c r="G3418" s="1">
        <v>42877</v>
      </c>
      <c r="I3418" s="225">
        <v>1719.35</v>
      </c>
      <c r="J3418" s="225">
        <v>1719.35</v>
      </c>
      <c r="K3418" s="225">
        <v>0</v>
      </c>
      <c r="L34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18" s="225">
        <f>ROUND(IF(AND(Base_Periodo1[[#This Row],[Tipo_Linha]]="-",Base_Periodo1[[#This Row],[TIPOSALDO]]="D"),Base_Periodo1[[#This Row],[SALDO_ATUAL]]*-1,Base_Periodo1[[#This Row],[SALDO_ATUAL]]),4)</f>
        <v>0</v>
      </c>
      <c r="N3418" t="s">
        <v>116</v>
      </c>
      <c r="O3418" t="s">
        <v>436</v>
      </c>
      <c r="P3418" t="s">
        <v>436</v>
      </c>
      <c r="Q3418">
        <v>7</v>
      </c>
      <c r="R3418" s="225">
        <f>Base_Periodo1[[#This Row],[CREDITOS]]-Base_Periodo1[[#This Row],[DEBITOS]]</f>
        <v>0</v>
      </c>
      <c r="S3418" s="3" t="str">
        <f>IF(ISERROR(VLOOKUP(Base_Periodo1[[#This Row],[CONTA]],BaseContasDRE[#All],4,FALSE)),"Fora do DRE",VLOOKUP(Base_Periodo1[[#This Row],[CONTA]],BaseContasDRE[#All],4,FALSE))</f>
        <v>Fora do DRE</v>
      </c>
      <c r="T3418" s="3" t="str">
        <f>IF(ISERROR(VLOOKUP(Base_Periodo1[[#This Row],[CONTA]],BaseContasDRE[#All],5,FALSE)),"Fora do DRE",VLOOKUP(Base_Periodo1[[#This Row],[CONTA]],BaseContasDRE[#All],6,FALSE))</f>
        <v>Fora do DRE</v>
      </c>
      <c r="U3418" s="3" t="str">
        <f>IF(ISERROR(VLOOKUP(Base_Periodo1[[#This Row],[CONTA]],BaseContasDRE[#All],7,FALSE)),"Fora do DRE",VLOOKUP(Base_Periodo1[[#This Row],[CONTA]],BaseContasDRE[#All],7,FALSE))</f>
        <v>Fora do DRE</v>
      </c>
      <c r="V3418" s="3" t="str">
        <f>IF(Base_Periodo1[[#This Row],[Tipo_Linha]]="Fora do DRE","Fora do DRE","( "&amp;Base_Periodo1[[#This Row],[Tipo_Linha]]&amp;" ) "&amp;Base_Periodo1[[#This Row],[Filtro]])</f>
        <v>Fora do DRE</v>
      </c>
      <c r="W3418" s="3" t="str">
        <f>LEFT(Base_Periodo1[[#This Row],[CLASS]],3)</f>
        <v>2.1</v>
      </c>
    </row>
    <row r="3419" spans="1:23" hidden="1">
      <c r="A3419" s="3" t="str">
        <f t="shared" si="53"/>
        <v>Período 1</v>
      </c>
      <c r="B3419">
        <v>33335</v>
      </c>
      <c r="C3419" t="s">
        <v>2010</v>
      </c>
      <c r="D3419" t="s">
        <v>6957</v>
      </c>
      <c r="E3419" s="3" t="str">
        <f>IF(LEN(Base_Periodo1[[#This Row],[CLASS]])&gt;=7,LEFT(Base_Periodo1[[#This Row],[CLASS]],7),"")</f>
        <v>2.1.2.2</v>
      </c>
      <c r="F3419" s="3" t="str">
        <f>VLOOKUP(Base_Periodo1[[#This Row],[Aux]],Base_Contas_Balanco[#All],2,FALSE)</f>
        <v>Fornecedores Não Cooperados</v>
      </c>
      <c r="G3419" s="1">
        <v>42866</v>
      </c>
      <c r="I3419" s="225">
        <v>1325.77</v>
      </c>
      <c r="J3419" s="225">
        <v>1325.77</v>
      </c>
      <c r="K3419" s="225">
        <v>9.0949470177292824E-13</v>
      </c>
      <c r="L34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19" s="225">
        <f>ROUND(IF(AND(Base_Periodo1[[#This Row],[Tipo_Linha]]="-",Base_Periodo1[[#This Row],[TIPOSALDO]]="D"),Base_Periodo1[[#This Row],[SALDO_ATUAL]]*-1,Base_Periodo1[[#This Row],[SALDO_ATUAL]]),4)</f>
        <v>0</v>
      </c>
      <c r="N3419" t="s">
        <v>116</v>
      </c>
      <c r="O3419" t="s">
        <v>436</v>
      </c>
      <c r="P3419" t="s">
        <v>436</v>
      </c>
      <c r="Q3419">
        <v>7</v>
      </c>
      <c r="R3419" s="225">
        <f>Base_Periodo1[[#This Row],[CREDITOS]]-Base_Periodo1[[#This Row],[DEBITOS]]</f>
        <v>0</v>
      </c>
      <c r="S3419" s="3" t="str">
        <f>IF(ISERROR(VLOOKUP(Base_Periodo1[[#This Row],[CONTA]],BaseContasDRE[#All],4,FALSE)),"Fora do DRE",VLOOKUP(Base_Periodo1[[#This Row],[CONTA]],BaseContasDRE[#All],4,FALSE))</f>
        <v>Fora do DRE</v>
      </c>
      <c r="T3419" s="3" t="str">
        <f>IF(ISERROR(VLOOKUP(Base_Periodo1[[#This Row],[CONTA]],BaseContasDRE[#All],5,FALSE)),"Fora do DRE",VLOOKUP(Base_Periodo1[[#This Row],[CONTA]],BaseContasDRE[#All],6,FALSE))</f>
        <v>Fora do DRE</v>
      </c>
      <c r="U3419" s="3" t="str">
        <f>IF(ISERROR(VLOOKUP(Base_Periodo1[[#This Row],[CONTA]],BaseContasDRE[#All],7,FALSE)),"Fora do DRE",VLOOKUP(Base_Periodo1[[#This Row],[CONTA]],BaseContasDRE[#All],7,FALSE))</f>
        <v>Fora do DRE</v>
      </c>
      <c r="V3419" s="3" t="str">
        <f>IF(Base_Periodo1[[#This Row],[Tipo_Linha]]="Fora do DRE","Fora do DRE","( "&amp;Base_Periodo1[[#This Row],[Tipo_Linha]]&amp;" ) "&amp;Base_Periodo1[[#This Row],[Filtro]])</f>
        <v>Fora do DRE</v>
      </c>
      <c r="W3419" s="3" t="str">
        <f>LEFT(Base_Periodo1[[#This Row],[CLASS]],3)</f>
        <v>2.1</v>
      </c>
    </row>
    <row r="3420" spans="1:23" hidden="1">
      <c r="A3420" s="3" t="str">
        <f t="shared" si="53"/>
        <v>Período 1</v>
      </c>
      <c r="B3420">
        <v>49084</v>
      </c>
      <c r="C3420" t="s">
        <v>2010</v>
      </c>
      <c r="D3420" t="s">
        <v>6447</v>
      </c>
      <c r="E3420" s="3" t="str">
        <f>IF(LEN(Base_Periodo1[[#This Row],[CLASS]])&gt;=7,LEFT(Base_Periodo1[[#This Row],[CLASS]],7),"")</f>
        <v>2.1.2.2</v>
      </c>
      <c r="F3420" s="3" t="str">
        <f>VLOOKUP(Base_Periodo1[[#This Row],[Aux]],Base_Contas_Balanco[#All],2,FALSE)</f>
        <v>Fornecedores Não Cooperados</v>
      </c>
      <c r="G3420" s="1">
        <v>42865</v>
      </c>
      <c r="I3420" s="225">
        <v>3416.5999999999995</v>
      </c>
      <c r="J3420" s="225">
        <v>3416.5999999999995</v>
      </c>
      <c r="K3420" s="225">
        <v>0</v>
      </c>
      <c r="L34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20" s="225">
        <f>ROUND(IF(AND(Base_Periodo1[[#This Row],[Tipo_Linha]]="-",Base_Periodo1[[#This Row],[TIPOSALDO]]="D"),Base_Periodo1[[#This Row],[SALDO_ATUAL]]*-1,Base_Periodo1[[#This Row],[SALDO_ATUAL]]),4)</f>
        <v>0</v>
      </c>
      <c r="N3420" t="s">
        <v>116</v>
      </c>
      <c r="O3420" t="s">
        <v>436</v>
      </c>
      <c r="P3420" t="s">
        <v>436</v>
      </c>
      <c r="Q3420">
        <v>7</v>
      </c>
      <c r="R3420" s="225">
        <f>Base_Periodo1[[#This Row],[CREDITOS]]-Base_Periodo1[[#This Row],[DEBITOS]]</f>
        <v>0</v>
      </c>
      <c r="S3420" s="3" t="str">
        <f>IF(ISERROR(VLOOKUP(Base_Periodo1[[#This Row],[CONTA]],BaseContasDRE[#All],4,FALSE)),"Fora do DRE",VLOOKUP(Base_Periodo1[[#This Row],[CONTA]],BaseContasDRE[#All],4,FALSE))</f>
        <v>Fora do DRE</v>
      </c>
      <c r="T3420" s="3" t="str">
        <f>IF(ISERROR(VLOOKUP(Base_Periodo1[[#This Row],[CONTA]],BaseContasDRE[#All],5,FALSE)),"Fora do DRE",VLOOKUP(Base_Periodo1[[#This Row],[CONTA]],BaseContasDRE[#All],6,FALSE))</f>
        <v>Fora do DRE</v>
      </c>
      <c r="U3420" s="3" t="str">
        <f>IF(ISERROR(VLOOKUP(Base_Periodo1[[#This Row],[CONTA]],BaseContasDRE[#All],7,FALSE)),"Fora do DRE",VLOOKUP(Base_Periodo1[[#This Row],[CONTA]],BaseContasDRE[#All],7,FALSE))</f>
        <v>Fora do DRE</v>
      </c>
      <c r="V3420" s="3" t="str">
        <f>IF(Base_Periodo1[[#This Row],[Tipo_Linha]]="Fora do DRE","Fora do DRE","( "&amp;Base_Periodo1[[#This Row],[Tipo_Linha]]&amp;" ) "&amp;Base_Periodo1[[#This Row],[Filtro]])</f>
        <v>Fora do DRE</v>
      </c>
      <c r="W3420" s="3" t="str">
        <f>LEFT(Base_Periodo1[[#This Row],[CLASS]],3)</f>
        <v>2.1</v>
      </c>
    </row>
    <row r="3421" spans="1:23" hidden="1">
      <c r="A3421" s="3" t="str">
        <f t="shared" si="53"/>
        <v>Período 1</v>
      </c>
      <c r="B3421">
        <v>10222</v>
      </c>
      <c r="C3421" t="s">
        <v>2010</v>
      </c>
      <c r="D3421" t="s">
        <v>5434</v>
      </c>
      <c r="E3421" s="3" t="str">
        <f>IF(LEN(Base_Periodo1[[#This Row],[CLASS]])&gt;=7,LEFT(Base_Periodo1[[#This Row],[CLASS]],7),"")</f>
        <v>2.1.2.2</v>
      </c>
      <c r="F3421" s="3" t="str">
        <f>VLOOKUP(Base_Periodo1[[#This Row],[Aux]],Base_Contas_Balanco[#All],2,FALSE)</f>
        <v>Fornecedores Não Cooperados</v>
      </c>
      <c r="G3421" s="1">
        <v>42886</v>
      </c>
      <c r="H3421" s="225">
        <v>477.6800000000112</v>
      </c>
      <c r="I3421" s="225">
        <v>477.67999999999995</v>
      </c>
      <c r="J3421" s="225">
        <v>583.09</v>
      </c>
      <c r="K3421" s="225">
        <v>583.09000000001129</v>
      </c>
      <c r="L34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583.09</v>
      </c>
      <c r="M3421" s="225">
        <f>ROUND(IF(AND(Base_Periodo1[[#This Row],[Tipo_Linha]]="-",Base_Periodo1[[#This Row],[TIPOSALDO]]="D"),Base_Periodo1[[#This Row],[SALDO_ATUAL]]*-1,Base_Periodo1[[#This Row],[SALDO_ATUAL]]),4)</f>
        <v>583.09</v>
      </c>
      <c r="N3421" t="s">
        <v>116</v>
      </c>
      <c r="O3421" t="s">
        <v>459</v>
      </c>
      <c r="P3421" t="s">
        <v>459</v>
      </c>
      <c r="Q3421">
        <v>7</v>
      </c>
      <c r="R3421" s="225">
        <f>Base_Periodo1[[#This Row],[CREDITOS]]-Base_Periodo1[[#This Row],[DEBITOS]]</f>
        <v>105.41000000000008</v>
      </c>
      <c r="S3421" s="3" t="str">
        <f>IF(ISERROR(VLOOKUP(Base_Periodo1[[#This Row],[CONTA]],BaseContasDRE[#All],4,FALSE)),"Fora do DRE",VLOOKUP(Base_Periodo1[[#This Row],[CONTA]],BaseContasDRE[#All],4,FALSE))</f>
        <v>Fora do DRE</v>
      </c>
      <c r="T3421" s="3" t="str">
        <f>IF(ISERROR(VLOOKUP(Base_Periodo1[[#This Row],[CONTA]],BaseContasDRE[#All],5,FALSE)),"Fora do DRE",VLOOKUP(Base_Periodo1[[#This Row],[CONTA]],BaseContasDRE[#All],6,FALSE))</f>
        <v>Fora do DRE</v>
      </c>
      <c r="U3421" s="3" t="str">
        <f>IF(ISERROR(VLOOKUP(Base_Periodo1[[#This Row],[CONTA]],BaseContasDRE[#All],7,FALSE)),"Fora do DRE",VLOOKUP(Base_Periodo1[[#This Row],[CONTA]],BaseContasDRE[#All],7,FALSE))</f>
        <v>Fora do DRE</v>
      </c>
      <c r="V3421" s="3" t="str">
        <f>IF(Base_Periodo1[[#This Row],[Tipo_Linha]]="Fora do DRE","Fora do DRE","( "&amp;Base_Periodo1[[#This Row],[Tipo_Linha]]&amp;" ) "&amp;Base_Periodo1[[#This Row],[Filtro]])</f>
        <v>Fora do DRE</v>
      </c>
      <c r="W3421" s="3" t="str">
        <f>LEFT(Base_Periodo1[[#This Row],[CLASS]],3)</f>
        <v>2.1</v>
      </c>
    </row>
    <row r="3422" spans="1:23" hidden="1">
      <c r="A3422" s="3" t="str">
        <f t="shared" si="53"/>
        <v>Período 1</v>
      </c>
      <c r="B3422">
        <v>24884</v>
      </c>
      <c r="C3422" t="s">
        <v>2010</v>
      </c>
      <c r="D3422" t="s">
        <v>5719</v>
      </c>
      <c r="E3422" s="3" t="str">
        <f>IF(LEN(Base_Periodo1[[#This Row],[CLASS]])&gt;=7,LEFT(Base_Periodo1[[#This Row],[CLASS]],7),"")</f>
        <v>2.1.2.2</v>
      </c>
      <c r="F3422" s="3" t="str">
        <f>VLOOKUP(Base_Periodo1[[#This Row],[Aux]],Base_Contas_Balanco[#All],2,FALSE)</f>
        <v>Fornecedores Não Cooperados</v>
      </c>
      <c r="G3422" s="1">
        <v>42886</v>
      </c>
      <c r="I3422" s="225">
        <v>4090</v>
      </c>
      <c r="J3422" s="225">
        <v>4090</v>
      </c>
      <c r="K3422" s="225">
        <v>0</v>
      </c>
      <c r="L34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22" s="225">
        <f>ROUND(IF(AND(Base_Periodo1[[#This Row],[Tipo_Linha]]="-",Base_Periodo1[[#This Row],[TIPOSALDO]]="D"),Base_Periodo1[[#This Row],[SALDO_ATUAL]]*-1,Base_Periodo1[[#This Row],[SALDO_ATUAL]]),4)</f>
        <v>0</v>
      </c>
      <c r="N3422" t="s">
        <v>116</v>
      </c>
      <c r="O3422" t="s">
        <v>436</v>
      </c>
      <c r="P3422" t="s">
        <v>436</v>
      </c>
      <c r="Q3422">
        <v>7</v>
      </c>
      <c r="R3422" s="225">
        <f>Base_Periodo1[[#This Row],[CREDITOS]]-Base_Periodo1[[#This Row],[DEBITOS]]</f>
        <v>0</v>
      </c>
      <c r="S3422" s="3" t="str">
        <f>IF(ISERROR(VLOOKUP(Base_Periodo1[[#This Row],[CONTA]],BaseContasDRE[#All],4,FALSE)),"Fora do DRE",VLOOKUP(Base_Periodo1[[#This Row],[CONTA]],BaseContasDRE[#All],4,FALSE))</f>
        <v>Fora do DRE</v>
      </c>
      <c r="T3422" s="3" t="str">
        <f>IF(ISERROR(VLOOKUP(Base_Periodo1[[#This Row],[CONTA]],BaseContasDRE[#All],5,FALSE)),"Fora do DRE",VLOOKUP(Base_Periodo1[[#This Row],[CONTA]],BaseContasDRE[#All],6,FALSE))</f>
        <v>Fora do DRE</v>
      </c>
      <c r="U3422" s="3" t="str">
        <f>IF(ISERROR(VLOOKUP(Base_Periodo1[[#This Row],[CONTA]],BaseContasDRE[#All],7,FALSE)),"Fora do DRE",VLOOKUP(Base_Periodo1[[#This Row],[CONTA]],BaseContasDRE[#All],7,FALSE))</f>
        <v>Fora do DRE</v>
      </c>
      <c r="V3422" s="3" t="str">
        <f>IF(Base_Periodo1[[#This Row],[Tipo_Linha]]="Fora do DRE","Fora do DRE","( "&amp;Base_Periodo1[[#This Row],[Tipo_Linha]]&amp;" ) "&amp;Base_Periodo1[[#This Row],[Filtro]])</f>
        <v>Fora do DRE</v>
      </c>
      <c r="W3422" s="3" t="str">
        <f>LEFT(Base_Periodo1[[#This Row],[CLASS]],3)</f>
        <v>2.1</v>
      </c>
    </row>
    <row r="3423" spans="1:23" hidden="1">
      <c r="A3423" s="3" t="str">
        <f t="shared" si="53"/>
        <v>Período 1</v>
      </c>
      <c r="B3423">
        <v>14910</v>
      </c>
      <c r="C3423" t="s">
        <v>2010</v>
      </c>
      <c r="D3423" t="s">
        <v>6448</v>
      </c>
      <c r="E3423" s="3" t="str">
        <f>IF(LEN(Base_Periodo1[[#This Row],[CLASS]])&gt;=7,LEFT(Base_Periodo1[[#This Row],[CLASS]],7),"")</f>
        <v>2.1.2.2</v>
      </c>
      <c r="F3423" s="3" t="str">
        <f>VLOOKUP(Base_Periodo1[[#This Row],[Aux]],Base_Contas_Balanco[#All],2,FALSE)</f>
        <v>Fornecedores Não Cooperados</v>
      </c>
      <c r="G3423" s="1">
        <v>42879</v>
      </c>
      <c r="H3423" s="225">
        <v>199.40000000000146</v>
      </c>
      <c r="I3423" s="225">
        <v>335.95000000000005</v>
      </c>
      <c r="J3423" s="225">
        <v>136.55000000000001</v>
      </c>
      <c r="K3423" s="225">
        <v>-1.4210854715202004E-12</v>
      </c>
      <c r="L34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23" s="225">
        <f>ROUND(IF(AND(Base_Periodo1[[#This Row],[Tipo_Linha]]="-",Base_Periodo1[[#This Row],[TIPOSALDO]]="D"),Base_Periodo1[[#This Row],[SALDO_ATUAL]]*-1,Base_Periodo1[[#This Row],[SALDO_ATUAL]]),4)</f>
        <v>0</v>
      </c>
      <c r="N3423" t="s">
        <v>116</v>
      </c>
      <c r="O3423" t="s">
        <v>459</v>
      </c>
      <c r="P3423" t="s">
        <v>436</v>
      </c>
      <c r="Q3423">
        <v>7</v>
      </c>
      <c r="R3423" s="225">
        <f>Base_Periodo1[[#This Row],[CREDITOS]]-Base_Periodo1[[#This Row],[DEBITOS]]</f>
        <v>-199.40000000000003</v>
      </c>
      <c r="S3423" s="3" t="str">
        <f>IF(ISERROR(VLOOKUP(Base_Periodo1[[#This Row],[CONTA]],BaseContasDRE[#All],4,FALSE)),"Fora do DRE",VLOOKUP(Base_Periodo1[[#This Row],[CONTA]],BaseContasDRE[#All],4,FALSE))</f>
        <v>Fora do DRE</v>
      </c>
      <c r="T3423" s="3" t="str">
        <f>IF(ISERROR(VLOOKUP(Base_Periodo1[[#This Row],[CONTA]],BaseContasDRE[#All],5,FALSE)),"Fora do DRE",VLOOKUP(Base_Periodo1[[#This Row],[CONTA]],BaseContasDRE[#All],6,FALSE))</f>
        <v>Fora do DRE</v>
      </c>
      <c r="U3423" s="3" t="str">
        <f>IF(ISERROR(VLOOKUP(Base_Periodo1[[#This Row],[CONTA]],BaseContasDRE[#All],7,FALSE)),"Fora do DRE",VLOOKUP(Base_Periodo1[[#This Row],[CONTA]],BaseContasDRE[#All],7,FALSE))</f>
        <v>Fora do DRE</v>
      </c>
      <c r="V3423" s="3" t="str">
        <f>IF(Base_Periodo1[[#This Row],[Tipo_Linha]]="Fora do DRE","Fora do DRE","( "&amp;Base_Periodo1[[#This Row],[Tipo_Linha]]&amp;" ) "&amp;Base_Periodo1[[#This Row],[Filtro]])</f>
        <v>Fora do DRE</v>
      </c>
      <c r="W3423" s="3" t="str">
        <f>LEFT(Base_Periodo1[[#This Row],[CLASS]],3)</f>
        <v>2.1</v>
      </c>
    </row>
    <row r="3424" spans="1:23" hidden="1">
      <c r="A3424" s="3" t="str">
        <f t="shared" si="53"/>
        <v>Período 1</v>
      </c>
      <c r="B3424">
        <v>12131</v>
      </c>
      <c r="C3424" t="s">
        <v>2010</v>
      </c>
      <c r="D3424" t="s">
        <v>5967</v>
      </c>
      <c r="E3424" s="3" t="str">
        <f>IF(LEN(Base_Periodo1[[#This Row],[CLASS]])&gt;=7,LEFT(Base_Periodo1[[#This Row],[CLASS]],7),"")</f>
        <v>2.1.2.2</v>
      </c>
      <c r="F3424" s="3" t="str">
        <f>VLOOKUP(Base_Periodo1[[#This Row],[Aux]],Base_Contas_Balanco[#All],2,FALSE)</f>
        <v>Fornecedores Não Cooperados</v>
      </c>
      <c r="G3424" s="1">
        <v>42886</v>
      </c>
      <c r="I3424" s="225">
        <v>964.5</v>
      </c>
      <c r="J3424" s="225">
        <v>964.5</v>
      </c>
      <c r="K3424" s="225">
        <v>0</v>
      </c>
      <c r="L34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24" s="225">
        <f>ROUND(IF(AND(Base_Periodo1[[#This Row],[Tipo_Linha]]="-",Base_Periodo1[[#This Row],[TIPOSALDO]]="D"),Base_Periodo1[[#This Row],[SALDO_ATUAL]]*-1,Base_Periodo1[[#This Row],[SALDO_ATUAL]]),4)</f>
        <v>0</v>
      </c>
      <c r="N3424" t="s">
        <v>116</v>
      </c>
      <c r="O3424" t="s">
        <v>436</v>
      </c>
      <c r="P3424" t="s">
        <v>436</v>
      </c>
      <c r="Q3424">
        <v>7</v>
      </c>
      <c r="R3424" s="225">
        <f>Base_Periodo1[[#This Row],[CREDITOS]]-Base_Periodo1[[#This Row],[DEBITOS]]</f>
        <v>0</v>
      </c>
      <c r="S3424" s="3" t="str">
        <f>IF(ISERROR(VLOOKUP(Base_Periodo1[[#This Row],[CONTA]],BaseContasDRE[#All],4,FALSE)),"Fora do DRE",VLOOKUP(Base_Periodo1[[#This Row],[CONTA]],BaseContasDRE[#All],4,FALSE))</f>
        <v>Fora do DRE</v>
      </c>
      <c r="T3424" s="3" t="str">
        <f>IF(ISERROR(VLOOKUP(Base_Periodo1[[#This Row],[CONTA]],BaseContasDRE[#All],5,FALSE)),"Fora do DRE",VLOOKUP(Base_Periodo1[[#This Row],[CONTA]],BaseContasDRE[#All],6,FALSE))</f>
        <v>Fora do DRE</v>
      </c>
      <c r="U3424" s="3" t="str">
        <f>IF(ISERROR(VLOOKUP(Base_Periodo1[[#This Row],[CONTA]],BaseContasDRE[#All],7,FALSE)),"Fora do DRE",VLOOKUP(Base_Periodo1[[#This Row],[CONTA]],BaseContasDRE[#All],7,FALSE))</f>
        <v>Fora do DRE</v>
      </c>
      <c r="V3424" s="3" t="str">
        <f>IF(Base_Periodo1[[#This Row],[Tipo_Linha]]="Fora do DRE","Fora do DRE","( "&amp;Base_Periodo1[[#This Row],[Tipo_Linha]]&amp;" ) "&amp;Base_Periodo1[[#This Row],[Filtro]])</f>
        <v>Fora do DRE</v>
      </c>
      <c r="W3424" s="3" t="str">
        <f>LEFT(Base_Periodo1[[#This Row],[CLASS]],3)</f>
        <v>2.1</v>
      </c>
    </row>
    <row r="3425" spans="1:23" hidden="1">
      <c r="A3425" s="3" t="str">
        <f t="shared" si="53"/>
        <v>Período 1</v>
      </c>
      <c r="B3425">
        <v>11057</v>
      </c>
      <c r="C3425" t="s">
        <v>2010</v>
      </c>
      <c r="D3425" t="s">
        <v>2040</v>
      </c>
      <c r="E3425" s="3" t="str">
        <f>IF(LEN(Base_Periodo1[[#This Row],[CLASS]])&gt;=7,LEFT(Base_Periodo1[[#This Row],[CLASS]],7),"")</f>
        <v>2.1.2.2</v>
      </c>
      <c r="F3425" s="3" t="str">
        <f>VLOOKUP(Base_Periodo1[[#This Row],[Aux]],Base_Contas_Balanco[#All],2,FALSE)</f>
        <v>Fornecedores Não Cooperados</v>
      </c>
      <c r="G3425" s="1">
        <v>42886</v>
      </c>
      <c r="H3425" s="225">
        <v>138.99999999998545</v>
      </c>
      <c r="I3425" s="225">
        <v>322</v>
      </c>
      <c r="J3425" s="225">
        <v>2904</v>
      </c>
      <c r="K3425" s="225">
        <v>2720.9999999999854</v>
      </c>
      <c r="L34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2721</v>
      </c>
      <c r="M3425" s="225">
        <f>ROUND(IF(AND(Base_Periodo1[[#This Row],[Tipo_Linha]]="-",Base_Periodo1[[#This Row],[TIPOSALDO]]="D"),Base_Periodo1[[#This Row],[SALDO_ATUAL]]*-1,Base_Periodo1[[#This Row],[SALDO_ATUAL]]),4)</f>
        <v>2721</v>
      </c>
      <c r="N3425" t="s">
        <v>116</v>
      </c>
      <c r="O3425" t="s">
        <v>459</v>
      </c>
      <c r="P3425" t="s">
        <v>459</v>
      </c>
      <c r="Q3425">
        <v>7</v>
      </c>
      <c r="R3425" s="225">
        <f>Base_Periodo1[[#This Row],[CREDITOS]]-Base_Periodo1[[#This Row],[DEBITOS]]</f>
        <v>2582</v>
      </c>
      <c r="S3425" s="3" t="str">
        <f>IF(ISERROR(VLOOKUP(Base_Periodo1[[#This Row],[CONTA]],BaseContasDRE[#All],4,FALSE)),"Fora do DRE",VLOOKUP(Base_Periodo1[[#This Row],[CONTA]],BaseContasDRE[#All],4,FALSE))</f>
        <v>Fora do DRE</v>
      </c>
      <c r="T3425" s="3" t="str">
        <f>IF(ISERROR(VLOOKUP(Base_Periodo1[[#This Row],[CONTA]],BaseContasDRE[#All],5,FALSE)),"Fora do DRE",VLOOKUP(Base_Periodo1[[#This Row],[CONTA]],BaseContasDRE[#All],6,FALSE))</f>
        <v>Fora do DRE</v>
      </c>
      <c r="U3425" s="3" t="str">
        <f>IF(ISERROR(VLOOKUP(Base_Periodo1[[#This Row],[CONTA]],BaseContasDRE[#All],7,FALSE)),"Fora do DRE",VLOOKUP(Base_Periodo1[[#This Row],[CONTA]],BaseContasDRE[#All],7,FALSE))</f>
        <v>Fora do DRE</v>
      </c>
      <c r="V3425" s="3" t="str">
        <f>IF(Base_Periodo1[[#This Row],[Tipo_Linha]]="Fora do DRE","Fora do DRE","( "&amp;Base_Periodo1[[#This Row],[Tipo_Linha]]&amp;" ) "&amp;Base_Periodo1[[#This Row],[Filtro]])</f>
        <v>Fora do DRE</v>
      </c>
      <c r="W3425" s="3" t="str">
        <f>LEFT(Base_Periodo1[[#This Row],[CLASS]],3)</f>
        <v>2.1</v>
      </c>
    </row>
    <row r="3426" spans="1:23" hidden="1">
      <c r="A3426" s="3" t="str">
        <f t="shared" si="53"/>
        <v>Período 1</v>
      </c>
      <c r="B3426">
        <v>49439</v>
      </c>
      <c r="C3426" t="s">
        <v>2010</v>
      </c>
      <c r="D3426" t="s">
        <v>6449</v>
      </c>
      <c r="E3426" s="3" t="str">
        <f>IF(LEN(Base_Periodo1[[#This Row],[CLASS]])&gt;=7,LEFT(Base_Periodo1[[#This Row],[CLASS]],7),"")</f>
        <v>2.1.2.2</v>
      </c>
      <c r="F3426" s="3" t="str">
        <f>VLOOKUP(Base_Periodo1[[#This Row],[Aux]],Base_Contas_Balanco[#All],2,FALSE)</f>
        <v>Fornecedores Não Cooperados</v>
      </c>
      <c r="G3426" s="1">
        <v>42859</v>
      </c>
      <c r="H3426" s="225">
        <v>345</v>
      </c>
      <c r="I3426" s="225">
        <v>345</v>
      </c>
      <c r="J3426" s="225">
        <v>0</v>
      </c>
      <c r="K3426" s="225">
        <v>0</v>
      </c>
      <c r="L34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26" s="225">
        <f>ROUND(IF(AND(Base_Periodo1[[#This Row],[Tipo_Linha]]="-",Base_Periodo1[[#This Row],[TIPOSALDO]]="D"),Base_Periodo1[[#This Row],[SALDO_ATUAL]]*-1,Base_Periodo1[[#This Row],[SALDO_ATUAL]]),4)</f>
        <v>0</v>
      </c>
      <c r="N3426" t="s">
        <v>116</v>
      </c>
      <c r="O3426" t="s">
        <v>459</v>
      </c>
      <c r="P3426" t="s">
        <v>436</v>
      </c>
      <c r="Q3426">
        <v>7</v>
      </c>
      <c r="R3426" s="225">
        <f>Base_Periodo1[[#This Row],[CREDITOS]]-Base_Periodo1[[#This Row],[DEBITOS]]</f>
        <v>-345</v>
      </c>
      <c r="S3426" s="3" t="str">
        <f>IF(ISERROR(VLOOKUP(Base_Periodo1[[#This Row],[CONTA]],BaseContasDRE[#All],4,FALSE)),"Fora do DRE",VLOOKUP(Base_Periodo1[[#This Row],[CONTA]],BaseContasDRE[#All],4,FALSE))</f>
        <v>Fora do DRE</v>
      </c>
      <c r="T3426" s="3" t="str">
        <f>IF(ISERROR(VLOOKUP(Base_Periodo1[[#This Row],[CONTA]],BaseContasDRE[#All],5,FALSE)),"Fora do DRE",VLOOKUP(Base_Periodo1[[#This Row],[CONTA]],BaseContasDRE[#All],6,FALSE))</f>
        <v>Fora do DRE</v>
      </c>
      <c r="U3426" s="3" t="str">
        <f>IF(ISERROR(VLOOKUP(Base_Periodo1[[#This Row],[CONTA]],BaseContasDRE[#All],7,FALSE)),"Fora do DRE",VLOOKUP(Base_Periodo1[[#This Row],[CONTA]],BaseContasDRE[#All],7,FALSE))</f>
        <v>Fora do DRE</v>
      </c>
      <c r="V3426" s="3" t="str">
        <f>IF(Base_Periodo1[[#This Row],[Tipo_Linha]]="Fora do DRE","Fora do DRE","( "&amp;Base_Periodo1[[#This Row],[Tipo_Linha]]&amp;" ) "&amp;Base_Periodo1[[#This Row],[Filtro]])</f>
        <v>Fora do DRE</v>
      </c>
      <c r="W3426" s="3" t="str">
        <f>LEFT(Base_Periodo1[[#This Row],[CLASS]],3)</f>
        <v>2.1</v>
      </c>
    </row>
    <row r="3427" spans="1:23" hidden="1">
      <c r="A3427" s="3" t="str">
        <f t="shared" si="53"/>
        <v>Período 1</v>
      </c>
      <c r="B3427">
        <v>55531</v>
      </c>
      <c r="C3427" t="s">
        <v>2010</v>
      </c>
      <c r="D3427" t="s">
        <v>5435</v>
      </c>
      <c r="E3427" s="3" t="str">
        <f>IF(LEN(Base_Periodo1[[#This Row],[CLASS]])&gt;=7,LEFT(Base_Periodo1[[#This Row],[CLASS]],7),"")</f>
        <v>2.1.2.2</v>
      </c>
      <c r="F3427" s="3" t="str">
        <f>VLOOKUP(Base_Periodo1[[#This Row],[Aux]],Base_Contas_Balanco[#All],2,FALSE)</f>
        <v>Fornecedores Não Cooperados</v>
      </c>
      <c r="G3427" s="1"/>
      <c r="H3427" s="225">
        <v>3105</v>
      </c>
      <c r="I3427" s="225">
        <v>0</v>
      </c>
      <c r="J3427" s="225">
        <v>0</v>
      </c>
      <c r="K3427" s="225">
        <v>3105</v>
      </c>
      <c r="L34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3105</v>
      </c>
      <c r="M3427" s="225">
        <f>ROUND(IF(AND(Base_Periodo1[[#This Row],[Tipo_Linha]]="-",Base_Periodo1[[#This Row],[TIPOSALDO]]="D"),Base_Periodo1[[#This Row],[SALDO_ATUAL]]*-1,Base_Periodo1[[#This Row],[SALDO_ATUAL]]),4)</f>
        <v>3105</v>
      </c>
      <c r="N3427" t="s">
        <v>116</v>
      </c>
      <c r="O3427" t="s">
        <v>459</v>
      </c>
      <c r="P3427" t="s">
        <v>459</v>
      </c>
      <c r="Q3427">
        <v>7</v>
      </c>
      <c r="R3427" s="225">
        <f>Base_Periodo1[[#This Row],[CREDITOS]]-Base_Periodo1[[#This Row],[DEBITOS]]</f>
        <v>0</v>
      </c>
      <c r="S3427" s="3" t="str">
        <f>IF(ISERROR(VLOOKUP(Base_Periodo1[[#This Row],[CONTA]],BaseContasDRE[#All],4,FALSE)),"Fora do DRE",VLOOKUP(Base_Periodo1[[#This Row],[CONTA]],BaseContasDRE[#All],4,FALSE))</f>
        <v>Fora do DRE</v>
      </c>
      <c r="T3427" s="3" t="str">
        <f>IF(ISERROR(VLOOKUP(Base_Periodo1[[#This Row],[CONTA]],BaseContasDRE[#All],5,FALSE)),"Fora do DRE",VLOOKUP(Base_Periodo1[[#This Row],[CONTA]],BaseContasDRE[#All],6,FALSE))</f>
        <v>Fora do DRE</v>
      </c>
      <c r="U3427" s="3" t="str">
        <f>IF(ISERROR(VLOOKUP(Base_Periodo1[[#This Row],[CONTA]],BaseContasDRE[#All],7,FALSE)),"Fora do DRE",VLOOKUP(Base_Periodo1[[#This Row],[CONTA]],BaseContasDRE[#All],7,FALSE))</f>
        <v>Fora do DRE</v>
      </c>
      <c r="V3427" s="3" t="str">
        <f>IF(Base_Periodo1[[#This Row],[Tipo_Linha]]="Fora do DRE","Fora do DRE","( "&amp;Base_Periodo1[[#This Row],[Tipo_Linha]]&amp;" ) "&amp;Base_Periodo1[[#This Row],[Filtro]])</f>
        <v>Fora do DRE</v>
      </c>
      <c r="W3427" s="3" t="str">
        <f>LEFT(Base_Periodo1[[#This Row],[CLASS]],3)</f>
        <v>2.1</v>
      </c>
    </row>
    <row r="3428" spans="1:23" hidden="1">
      <c r="A3428" s="3" t="str">
        <f t="shared" si="53"/>
        <v>Período 1</v>
      </c>
      <c r="B3428">
        <v>11073</v>
      </c>
      <c r="C3428" t="s">
        <v>2010</v>
      </c>
      <c r="D3428" t="s">
        <v>2041</v>
      </c>
      <c r="E3428" s="3" t="str">
        <f>IF(LEN(Base_Periodo1[[#This Row],[CLASS]])&gt;=7,LEFT(Base_Periodo1[[#This Row],[CLASS]],7),"")</f>
        <v>2.1.2.2</v>
      </c>
      <c r="F3428" s="3" t="str">
        <f>VLOOKUP(Base_Periodo1[[#This Row],[Aux]],Base_Contas_Balanco[#All],2,FALSE)</f>
        <v>Fornecedores Não Cooperados</v>
      </c>
      <c r="G3428" s="1">
        <v>42884</v>
      </c>
      <c r="I3428" s="225">
        <v>1982.2799999999997</v>
      </c>
      <c r="J3428" s="225">
        <v>1982.2799999999997</v>
      </c>
      <c r="K3428" s="225">
        <v>1.7462298274040222E-10</v>
      </c>
      <c r="L34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28" s="225">
        <f>ROUND(IF(AND(Base_Periodo1[[#This Row],[Tipo_Linha]]="-",Base_Periodo1[[#This Row],[TIPOSALDO]]="D"),Base_Periodo1[[#This Row],[SALDO_ATUAL]]*-1,Base_Periodo1[[#This Row],[SALDO_ATUAL]]),4)</f>
        <v>0</v>
      </c>
      <c r="N3428" t="s">
        <v>116</v>
      </c>
      <c r="O3428" t="s">
        <v>436</v>
      </c>
      <c r="P3428" t="s">
        <v>436</v>
      </c>
      <c r="Q3428">
        <v>7</v>
      </c>
      <c r="R3428" s="225">
        <f>Base_Periodo1[[#This Row],[CREDITOS]]-Base_Periodo1[[#This Row],[DEBITOS]]</f>
        <v>0</v>
      </c>
      <c r="S3428" s="3" t="str">
        <f>IF(ISERROR(VLOOKUP(Base_Periodo1[[#This Row],[CONTA]],BaseContasDRE[#All],4,FALSE)),"Fora do DRE",VLOOKUP(Base_Periodo1[[#This Row],[CONTA]],BaseContasDRE[#All],4,FALSE))</f>
        <v>Fora do DRE</v>
      </c>
      <c r="T3428" s="3" t="str">
        <f>IF(ISERROR(VLOOKUP(Base_Periodo1[[#This Row],[CONTA]],BaseContasDRE[#All],5,FALSE)),"Fora do DRE",VLOOKUP(Base_Periodo1[[#This Row],[CONTA]],BaseContasDRE[#All],6,FALSE))</f>
        <v>Fora do DRE</v>
      </c>
      <c r="U3428" s="3" t="str">
        <f>IF(ISERROR(VLOOKUP(Base_Periodo1[[#This Row],[CONTA]],BaseContasDRE[#All],7,FALSE)),"Fora do DRE",VLOOKUP(Base_Periodo1[[#This Row],[CONTA]],BaseContasDRE[#All],7,FALSE))</f>
        <v>Fora do DRE</v>
      </c>
      <c r="V3428" s="3" t="str">
        <f>IF(Base_Periodo1[[#This Row],[Tipo_Linha]]="Fora do DRE","Fora do DRE","( "&amp;Base_Periodo1[[#This Row],[Tipo_Linha]]&amp;" ) "&amp;Base_Periodo1[[#This Row],[Filtro]])</f>
        <v>Fora do DRE</v>
      </c>
      <c r="W3428" s="3" t="str">
        <f>LEFT(Base_Periodo1[[#This Row],[CLASS]],3)</f>
        <v>2.1</v>
      </c>
    </row>
    <row r="3429" spans="1:23" hidden="1">
      <c r="A3429" s="3" t="str">
        <f t="shared" si="53"/>
        <v>Período 1</v>
      </c>
      <c r="B3429">
        <v>10777</v>
      </c>
      <c r="C3429" t="s">
        <v>2010</v>
      </c>
      <c r="D3429" t="s">
        <v>4860</v>
      </c>
      <c r="E3429" s="3" t="str">
        <f>IF(LEN(Base_Periodo1[[#This Row],[CLASS]])&gt;=7,LEFT(Base_Periodo1[[#This Row],[CLASS]],7),"")</f>
        <v>2.1.2.2</v>
      </c>
      <c r="F3429" s="3" t="str">
        <f>VLOOKUP(Base_Periodo1[[#This Row],[Aux]],Base_Contas_Balanco[#All],2,FALSE)</f>
        <v>Fornecedores Não Cooperados</v>
      </c>
      <c r="G3429" s="1">
        <v>42872</v>
      </c>
      <c r="I3429" s="225">
        <v>214.82</v>
      </c>
      <c r="J3429" s="225">
        <v>214.82</v>
      </c>
      <c r="K3429" s="225">
        <v>-3.637978807091713E-12</v>
      </c>
      <c r="L34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29" s="225">
        <f>ROUND(IF(AND(Base_Periodo1[[#This Row],[Tipo_Linha]]="-",Base_Periodo1[[#This Row],[TIPOSALDO]]="D"),Base_Periodo1[[#This Row],[SALDO_ATUAL]]*-1,Base_Periodo1[[#This Row],[SALDO_ATUAL]]),4)</f>
        <v>0</v>
      </c>
      <c r="N3429" t="s">
        <v>116</v>
      </c>
      <c r="O3429" t="s">
        <v>436</v>
      </c>
      <c r="P3429" t="s">
        <v>436</v>
      </c>
      <c r="Q3429">
        <v>7</v>
      </c>
      <c r="R3429" s="225">
        <f>Base_Periodo1[[#This Row],[CREDITOS]]-Base_Periodo1[[#This Row],[DEBITOS]]</f>
        <v>0</v>
      </c>
      <c r="S3429" s="3" t="str">
        <f>IF(ISERROR(VLOOKUP(Base_Periodo1[[#This Row],[CONTA]],BaseContasDRE[#All],4,FALSE)),"Fora do DRE",VLOOKUP(Base_Periodo1[[#This Row],[CONTA]],BaseContasDRE[#All],4,FALSE))</f>
        <v>Fora do DRE</v>
      </c>
      <c r="T3429" s="3" t="str">
        <f>IF(ISERROR(VLOOKUP(Base_Periodo1[[#This Row],[CONTA]],BaseContasDRE[#All],5,FALSE)),"Fora do DRE",VLOOKUP(Base_Periodo1[[#This Row],[CONTA]],BaseContasDRE[#All],6,FALSE))</f>
        <v>Fora do DRE</v>
      </c>
      <c r="U3429" s="3" t="str">
        <f>IF(ISERROR(VLOOKUP(Base_Periodo1[[#This Row],[CONTA]],BaseContasDRE[#All],7,FALSE)),"Fora do DRE",VLOOKUP(Base_Periodo1[[#This Row],[CONTA]],BaseContasDRE[#All],7,FALSE))</f>
        <v>Fora do DRE</v>
      </c>
      <c r="V3429" s="3" t="str">
        <f>IF(Base_Periodo1[[#This Row],[Tipo_Linha]]="Fora do DRE","Fora do DRE","( "&amp;Base_Periodo1[[#This Row],[Tipo_Linha]]&amp;" ) "&amp;Base_Periodo1[[#This Row],[Filtro]])</f>
        <v>Fora do DRE</v>
      </c>
      <c r="W3429" s="3" t="str">
        <f>LEFT(Base_Periodo1[[#This Row],[CLASS]],3)</f>
        <v>2.1</v>
      </c>
    </row>
    <row r="3430" spans="1:23" hidden="1">
      <c r="A3430" s="3" t="str">
        <f t="shared" si="53"/>
        <v>Período 1</v>
      </c>
      <c r="B3430">
        <v>4865</v>
      </c>
      <c r="C3430" t="s">
        <v>2010</v>
      </c>
      <c r="D3430" t="s">
        <v>5650</v>
      </c>
      <c r="E3430" s="3" t="str">
        <f>IF(LEN(Base_Periodo1[[#This Row],[CLASS]])&gt;=7,LEFT(Base_Periodo1[[#This Row],[CLASS]],7),"")</f>
        <v>2.1.2.2</v>
      </c>
      <c r="F3430" s="3" t="str">
        <f>VLOOKUP(Base_Periodo1[[#This Row],[Aux]],Base_Contas_Balanco[#All],2,FALSE)</f>
        <v>Fornecedores Não Cooperados</v>
      </c>
      <c r="G3430" s="1">
        <v>42866</v>
      </c>
      <c r="I3430" s="225">
        <v>4000</v>
      </c>
      <c r="J3430" s="225">
        <v>4000</v>
      </c>
      <c r="K3430" s="225">
        <v>0</v>
      </c>
      <c r="L34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30" s="225">
        <f>ROUND(IF(AND(Base_Periodo1[[#This Row],[Tipo_Linha]]="-",Base_Periodo1[[#This Row],[TIPOSALDO]]="D"),Base_Periodo1[[#This Row],[SALDO_ATUAL]]*-1,Base_Periodo1[[#This Row],[SALDO_ATUAL]]),4)</f>
        <v>0</v>
      </c>
      <c r="N3430" t="s">
        <v>116</v>
      </c>
      <c r="O3430" t="s">
        <v>436</v>
      </c>
      <c r="P3430" t="s">
        <v>436</v>
      </c>
      <c r="Q3430">
        <v>7</v>
      </c>
      <c r="R3430" s="225">
        <f>Base_Periodo1[[#This Row],[CREDITOS]]-Base_Periodo1[[#This Row],[DEBITOS]]</f>
        <v>0</v>
      </c>
      <c r="S3430" s="3" t="str">
        <f>IF(ISERROR(VLOOKUP(Base_Periodo1[[#This Row],[CONTA]],BaseContasDRE[#All],4,FALSE)),"Fora do DRE",VLOOKUP(Base_Periodo1[[#This Row],[CONTA]],BaseContasDRE[#All],4,FALSE))</f>
        <v>Fora do DRE</v>
      </c>
      <c r="T3430" s="3" t="str">
        <f>IF(ISERROR(VLOOKUP(Base_Periodo1[[#This Row],[CONTA]],BaseContasDRE[#All],5,FALSE)),"Fora do DRE",VLOOKUP(Base_Periodo1[[#This Row],[CONTA]],BaseContasDRE[#All],6,FALSE))</f>
        <v>Fora do DRE</v>
      </c>
      <c r="U3430" s="3" t="str">
        <f>IF(ISERROR(VLOOKUP(Base_Periodo1[[#This Row],[CONTA]],BaseContasDRE[#All],7,FALSE)),"Fora do DRE",VLOOKUP(Base_Periodo1[[#This Row],[CONTA]],BaseContasDRE[#All],7,FALSE))</f>
        <v>Fora do DRE</v>
      </c>
      <c r="V3430" s="3" t="str">
        <f>IF(Base_Periodo1[[#This Row],[Tipo_Linha]]="Fora do DRE","Fora do DRE","( "&amp;Base_Periodo1[[#This Row],[Tipo_Linha]]&amp;" ) "&amp;Base_Periodo1[[#This Row],[Filtro]])</f>
        <v>Fora do DRE</v>
      </c>
      <c r="W3430" s="3" t="str">
        <f>LEFT(Base_Periodo1[[#This Row],[CLASS]],3)</f>
        <v>2.1</v>
      </c>
    </row>
    <row r="3431" spans="1:23" hidden="1">
      <c r="A3431" s="3" t="str">
        <f t="shared" si="53"/>
        <v>Período 1</v>
      </c>
      <c r="B3431">
        <v>35457</v>
      </c>
      <c r="C3431" t="s">
        <v>2010</v>
      </c>
      <c r="D3431" t="s">
        <v>6160</v>
      </c>
      <c r="E3431" s="3" t="str">
        <f>IF(LEN(Base_Periodo1[[#This Row],[CLASS]])&gt;=7,LEFT(Base_Periodo1[[#This Row],[CLASS]],7),"")</f>
        <v>2.1.2.2</v>
      </c>
      <c r="F3431" s="3" t="str">
        <f>VLOOKUP(Base_Periodo1[[#This Row],[Aux]],Base_Contas_Balanco[#All],2,FALSE)</f>
        <v>Fornecedores Não Cooperados</v>
      </c>
      <c r="G3431" s="1">
        <v>42851</v>
      </c>
      <c r="H3431" s="225">
        <v>48980</v>
      </c>
      <c r="I3431" s="225">
        <v>0</v>
      </c>
      <c r="J3431" s="225">
        <v>0</v>
      </c>
      <c r="K3431" s="225">
        <v>48980</v>
      </c>
      <c r="L34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48980</v>
      </c>
      <c r="M3431" s="225">
        <f>ROUND(IF(AND(Base_Periodo1[[#This Row],[Tipo_Linha]]="-",Base_Periodo1[[#This Row],[TIPOSALDO]]="D"),Base_Periodo1[[#This Row],[SALDO_ATUAL]]*-1,Base_Periodo1[[#This Row],[SALDO_ATUAL]]),4)</f>
        <v>48980</v>
      </c>
      <c r="N3431" t="s">
        <v>116</v>
      </c>
      <c r="O3431" t="s">
        <v>459</v>
      </c>
      <c r="P3431" t="s">
        <v>459</v>
      </c>
      <c r="Q3431">
        <v>7</v>
      </c>
      <c r="R3431" s="225">
        <f>Base_Periodo1[[#This Row],[CREDITOS]]-Base_Periodo1[[#This Row],[DEBITOS]]</f>
        <v>0</v>
      </c>
      <c r="S3431" s="3" t="str">
        <f>IF(ISERROR(VLOOKUP(Base_Periodo1[[#This Row],[CONTA]],BaseContasDRE[#All],4,FALSE)),"Fora do DRE",VLOOKUP(Base_Periodo1[[#This Row],[CONTA]],BaseContasDRE[#All],4,FALSE))</f>
        <v>Fora do DRE</v>
      </c>
      <c r="T3431" s="3" t="str">
        <f>IF(ISERROR(VLOOKUP(Base_Periodo1[[#This Row],[CONTA]],BaseContasDRE[#All],5,FALSE)),"Fora do DRE",VLOOKUP(Base_Periodo1[[#This Row],[CONTA]],BaseContasDRE[#All],6,FALSE))</f>
        <v>Fora do DRE</v>
      </c>
      <c r="U3431" s="3" t="str">
        <f>IF(ISERROR(VLOOKUP(Base_Periodo1[[#This Row],[CONTA]],BaseContasDRE[#All],7,FALSE)),"Fora do DRE",VLOOKUP(Base_Periodo1[[#This Row],[CONTA]],BaseContasDRE[#All],7,FALSE))</f>
        <v>Fora do DRE</v>
      </c>
      <c r="V3431" s="3" t="str">
        <f>IF(Base_Periodo1[[#This Row],[Tipo_Linha]]="Fora do DRE","Fora do DRE","( "&amp;Base_Periodo1[[#This Row],[Tipo_Linha]]&amp;" ) "&amp;Base_Periodo1[[#This Row],[Filtro]])</f>
        <v>Fora do DRE</v>
      </c>
      <c r="W3431" s="3" t="str">
        <f>LEFT(Base_Periodo1[[#This Row],[CLASS]],3)</f>
        <v>2.1</v>
      </c>
    </row>
    <row r="3432" spans="1:23" hidden="1">
      <c r="A3432" s="3" t="str">
        <f t="shared" si="53"/>
        <v>Período 1</v>
      </c>
      <c r="B3432">
        <v>33371</v>
      </c>
      <c r="C3432" t="s">
        <v>2010</v>
      </c>
      <c r="D3432" t="s">
        <v>5021</v>
      </c>
      <c r="E3432" s="3" t="str">
        <f>IF(LEN(Base_Periodo1[[#This Row],[CLASS]])&gt;=7,LEFT(Base_Periodo1[[#This Row],[CLASS]],7),"")</f>
        <v>2.1.2.2</v>
      </c>
      <c r="F3432" s="3" t="str">
        <f>VLOOKUP(Base_Periodo1[[#This Row],[Aux]],Base_Contas_Balanco[#All],2,FALSE)</f>
        <v>Fornecedores Não Cooperados</v>
      </c>
      <c r="G3432" s="1">
        <v>42858</v>
      </c>
      <c r="I3432" s="225">
        <v>51420.65</v>
      </c>
      <c r="J3432" s="225">
        <v>51420.65</v>
      </c>
      <c r="K3432" s="225">
        <v>0</v>
      </c>
      <c r="L34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32" s="225">
        <f>ROUND(IF(AND(Base_Periodo1[[#This Row],[Tipo_Linha]]="-",Base_Periodo1[[#This Row],[TIPOSALDO]]="D"),Base_Periodo1[[#This Row],[SALDO_ATUAL]]*-1,Base_Periodo1[[#This Row],[SALDO_ATUAL]]),4)</f>
        <v>0</v>
      </c>
      <c r="N3432" t="s">
        <v>116</v>
      </c>
      <c r="O3432" t="s">
        <v>436</v>
      </c>
      <c r="P3432" t="s">
        <v>436</v>
      </c>
      <c r="Q3432">
        <v>7</v>
      </c>
      <c r="R3432" s="225">
        <f>Base_Periodo1[[#This Row],[CREDITOS]]-Base_Periodo1[[#This Row],[DEBITOS]]</f>
        <v>0</v>
      </c>
      <c r="S3432" s="3" t="str">
        <f>IF(ISERROR(VLOOKUP(Base_Periodo1[[#This Row],[CONTA]],BaseContasDRE[#All],4,FALSE)),"Fora do DRE",VLOOKUP(Base_Periodo1[[#This Row],[CONTA]],BaseContasDRE[#All],4,FALSE))</f>
        <v>Fora do DRE</v>
      </c>
      <c r="T3432" s="3" t="str">
        <f>IF(ISERROR(VLOOKUP(Base_Periodo1[[#This Row],[CONTA]],BaseContasDRE[#All],5,FALSE)),"Fora do DRE",VLOOKUP(Base_Periodo1[[#This Row],[CONTA]],BaseContasDRE[#All],6,FALSE))</f>
        <v>Fora do DRE</v>
      </c>
      <c r="U3432" s="3" t="str">
        <f>IF(ISERROR(VLOOKUP(Base_Periodo1[[#This Row],[CONTA]],BaseContasDRE[#All],7,FALSE)),"Fora do DRE",VLOOKUP(Base_Periodo1[[#This Row],[CONTA]],BaseContasDRE[#All],7,FALSE))</f>
        <v>Fora do DRE</v>
      </c>
      <c r="V3432" s="3" t="str">
        <f>IF(Base_Periodo1[[#This Row],[Tipo_Linha]]="Fora do DRE","Fora do DRE","( "&amp;Base_Periodo1[[#This Row],[Tipo_Linha]]&amp;" ) "&amp;Base_Periodo1[[#This Row],[Filtro]])</f>
        <v>Fora do DRE</v>
      </c>
      <c r="W3432" s="3" t="str">
        <f>LEFT(Base_Periodo1[[#This Row],[CLASS]],3)</f>
        <v>2.1</v>
      </c>
    </row>
    <row r="3433" spans="1:23" hidden="1">
      <c r="A3433" s="3" t="str">
        <f t="shared" si="53"/>
        <v>Período 1</v>
      </c>
      <c r="B3433">
        <v>47019</v>
      </c>
      <c r="C3433" t="s">
        <v>2010</v>
      </c>
      <c r="D3433" t="s">
        <v>6958</v>
      </c>
      <c r="E3433" s="3" t="str">
        <f>IF(LEN(Base_Periodo1[[#This Row],[CLASS]])&gt;=7,LEFT(Base_Periodo1[[#This Row],[CLASS]],7),"")</f>
        <v>2.1.2.2</v>
      </c>
      <c r="F3433" s="3" t="str">
        <f>VLOOKUP(Base_Periodo1[[#This Row],[Aux]],Base_Contas_Balanco[#All],2,FALSE)</f>
        <v>Fornecedores Não Cooperados</v>
      </c>
      <c r="G3433" s="1">
        <v>42886</v>
      </c>
      <c r="I3433" s="225">
        <v>25.11</v>
      </c>
      <c r="J3433" s="225">
        <v>25.11</v>
      </c>
      <c r="K3433" s="225">
        <v>0</v>
      </c>
      <c r="L34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33" s="225">
        <f>ROUND(IF(AND(Base_Periodo1[[#This Row],[Tipo_Linha]]="-",Base_Periodo1[[#This Row],[TIPOSALDO]]="D"),Base_Periodo1[[#This Row],[SALDO_ATUAL]]*-1,Base_Periodo1[[#This Row],[SALDO_ATUAL]]),4)</f>
        <v>0</v>
      </c>
      <c r="N3433" t="s">
        <v>116</v>
      </c>
      <c r="O3433" t="s">
        <v>436</v>
      </c>
      <c r="P3433" t="s">
        <v>436</v>
      </c>
      <c r="Q3433">
        <v>7</v>
      </c>
      <c r="R3433" s="225">
        <f>Base_Periodo1[[#This Row],[CREDITOS]]-Base_Periodo1[[#This Row],[DEBITOS]]</f>
        <v>0</v>
      </c>
      <c r="S3433" s="3" t="str">
        <f>IF(ISERROR(VLOOKUP(Base_Periodo1[[#This Row],[CONTA]],BaseContasDRE[#All],4,FALSE)),"Fora do DRE",VLOOKUP(Base_Periodo1[[#This Row],[CONTA]],BaseContasDRE[#All],4,FALSE))</f>
        <v>Fora do DRE</v>
      </c>
      <c r="T3433" s="3" t="str">
        <f>IF(ISERROR(VLOOKUP(Base_Periodo1[[#This Row],[CONTA]],BaseContasDRE[#All],5,FALSE)),"Fora do DRE",VLOOKUP(Base_Periodo1[[#This Row],[CONTA]],BaseContasDRE[#All],6,FALSE))</f>
        <v>Fora do DRE</v>
      </c>
      <c r="U3433" s="3" t="str">
        <f>IF(ISERROR(VLOOKUP(Base_Periodo1[[#This Row],[CONTA]],BaseContasDRE[#All],7,FALSE)),"Fora do DRE",VLOOKUP(Base_Periodo1[[#This Row],[CONTA]],BaseContasDRE[#All],7,FALSE))</f>
        <v>Fora do DRE</v>
      </c>
      <c r="V3433" s="3" t="str">
        <f>IF(Base_Periodo1[[#This Row],[Tipo_Linha]]="Fora do DRE","Fora do DRE","( "&amp;Base_Periodo1[[#This Row],[Tipo_Linha]]&amp;" ) "&amp;Base_Periodo1[[#This Row],[Filtro]])</f>
        <v>Fora do DRE</v>
      </c>
      <c r="W3433" s="3" t="str">
        <f>LEFT(Base_Periodo1[[#This Row],[CLASS]],3)</f>
        <v>2.1</v>
      </c>
    </row>
    <row r="3434" spans="1:23" hidden="1">
      <c r="A3434" s="3" t="str">
        <f t="shared" si="53"/>
        <v>Período 1</v>
      </c>
      <c r="B3434">
        <v>30287</v>
      </c>
      <c r="C3434" t="s">
        <v>2010</v>
      </c>
      <c r="D3434" t="s">
        <v>4194</v>
      </c>
      <c r="E3434" s="3" t="str">
        <f>IF(LEN(Base_Periodo1[[#This Row],[CLASS]])&gt;=7,LEFT(Base_Periodo1[[#This Row],[CLASS]],7),"")</f>
        <v>2.1.2.2</v>
      </c>
      <c r="F3434" s="3" t="str">
        <f>VLOOKUP(Base_Periodo1[[#This Row],[Aux]],Base_Contas_Balanco[#All],2,FALSE)</f>
        <v>Fornecedores Não Cooperados</v>
      </c>
      <c r="G3434" s="1">
        <v>42482</v>
      </c>
      <c r="H3434" s="225">
        <v>38.699999999953434</v>
      </c>
      <c r="I3434" s="225">
        <v>0</v>
      </c>
      <c r="J3434" s="225">
        <v>0</v>
      </c>
      <c r="K3434" s="225">
        <v>38.699999999953434</v>
      </c>
      <c r="L34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38.700000000000003</v>
      </c>
      <c r="M3434" s="225">
        <f>ROUND(IF(AND(Base_Periodo1[[#This Row],[Tipo_Linha]]="-",Base_Periodo1[[#This Row],[TIPOSALDO]]="D"),Base_Periodo1[[#This Row],[SALDO_ATUAL]]*-1,Base_Periodo1[[#This Row],[SALDO_ATUAL]]),4)</f>
        <v>38.700000000000003</v>
      </c>
      <c r="N3434" t="s">
        <v>116</v>
      </c>
      <c r="O3434" t="s">
        <v>459</v>
      </c>
      <c r="P3434" t="s">
        <v>459</v>
      </c>
      <c r="Q3434">
        <v>7</v>
      </c>
      <c r="R3434" s="225">
        <f>Base_Periodo1[[#This Row],[CREDITOS]]-Base_Periodo1[[#This Row],[DEBITOS]]</f>
        <v>0</v>
      </c>
      <c r="S3434" s="3" t="str">
        <f>IF(ISERROR(VLOOKUP(Base_Periodo1[[#This Row],[CONTA]],BaseContasDRE[#All],4,FALSE)),"Fora do DRE",VLOOKUP(Base_Periodo1[[#This Row],[CONTA]],BaseContasDRE[#All],4,FALSE))</f>
        <v>Fora do DRE</v>
      </c>
      <c r="T3434" s="3" t="str">
        <f>IF(ISERROR(VLOOKUP(Base_Periodo1[[#This Row],[CONTA]],BaseContasDRE[#All],5,FALSE)),"Fora do DRE",VLOOKUP(Base_Periodo1[[#This Row],[CONTA]],BaseContasDRE[#All],6,FALSE))</f>
        <v>Fora do DRE</v>
      </c>
      <c r="U3434" s="3" t="str">
        <f>IF(ISERROR(VLOOKUP(Base_Periodo1[[#This Row],[CONTA]],BaseContasDRE[#All],7,FALSE)),"Fora do DRE",VLOOKUP(Base_Periodo1[[#This Row],[CONTA]],BaseContasDRE[#All],7,FALSE))</f>
        <v>Fora do DRE</v>
      </c>
      <c r="V3434" s="3" t="str">
        <f>IF(Base_Periodo1[[#This Row],[Tipo_Linha]]="Fora do DRE","Fora do DRE","( "&amp;Base_Periodo1[[#This Row],[Tipo_Linha]]&amp;" ) "&amp;Base_Periodo1[[#This Row],[Filtro]])</f>
        <v>Fora do DRE</v>
      </c>
      <c r="W3434" s="3" t="str">
        <f>LEFT(Base_Periodo1[[#This Row],[CLASS]],3)</f>
        <v>2.1</v>
      </c>
    </row>
    <row r="3435" spans="1:23" hidden="1">
      <c r="A3435" s="3" t="str">
        <f t="shared" si="53"/>
        <v>Período 1</v>
      </c>
      <c r="B3435">
        <v>15066</v>
      </c>
      <c r="C3435" t="s">
        <v>2010</v>
      </c>
      <c r="D3435" t="s">
        <v>2042</v>
      </c>
      <c r="E3435" s="3" t="str">
        <f>IF(LEN(Base_Periodo1[[#This Row],[CLASS]])&gt;=7,LEFT(Base_Periodo1[[#This Row],[CLASS]],7),"")</f>
        <v>2.1.2.2</v>
      </c>
      <c r="F3435" s="3" t="str">
        <f>VLOOKUP(Base_Periodo1[[#This Row],[Aux]],Base_Contas_Balanco[#All],2,FALSE)</f>
        <v>Fornecedores Não Cooperados</v>
      </c>
      <c r="G3435" s="1">
        <v>42842</v>
      </c>
      <c r="H3435" s="225">
        <v>140000</v>
      </c>
      <c r="I3435" s="225">
        <v>0</v>
      </c>
      <c r="J3435" s="225">
        <v>0</v>
      </c>
      <c r="K3435" s="225">
        <v>140000</v>
      </c>
      <c r="L34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-140000</v>
      </c>
      <c r="M3435" s="225">
        <f>ROUND(IF(AND(Base_Periodo1[[#This Row],[Tipo_Linha]]="-",Base_Periodo1[[#This Row],[TIPOSALDO]]="D"),Base_Periodo1[[#This Row],[SALDO_ATUAL]]*-1,Base_Periodo1[[#This Row],[SALDO_ATUAL]]),4)</f>
        <v>140000</v>
      </c>
      <c r="N3435" t="s">
        <v>116</v>
      </c>
      <c r="O3435" t="s">
        <v>397</v>
      </c>
      <c r="P3435" t="s">
        <v>397</v>
      </c>
      <c r="Q3435">
        <v>7</v>
      </c>
      <c r="R3435" s="225">
        <f>Base_Periodo1[[#This Row],[CREDITOS]]-Base_Periodo1[[#This Row],[DEBITOS]]</f>
        <v>0</v>
      </c>
      <c r="S3435" s="3" t="str">
        <f>IF(ISERROR(VLOOKUP(Base_Periodo1[[#This Row],[CONTA]],BaseContasDRE[#All],4,FALSE)),"Fora do DRE",VLOOKUP(Base_Periodo1[[#This Row],[CONTA]],BaseContasDRE[#All],4,FALSE))</f>
        <v>Fora do DRE</v>
      </c>
      <c r="T3435" s="3" t="str">
        <f>IF(ISERROR(VLOOKUP(Base_Periodo1[[#This Row],[CONTA]],BaseContasDRE[#All],5,FALSE)),"Fora do DRE",VLOOKUP(Base_Periodo1[[#This Row],[CONTA]],BaseContasDRE[#All],6,FALSE))</f>
        <v>Fora do DRE</v>
      </c>
      <c r="U3435" s="3" t="str">
        <f>IF(ISERROR(VLOOKUP(Base_Periodo1[[#This Row],[CONTA]],BaseContasDRE[#All],7,FALSE)),"Fora do DRE",VLOOKUP(Base_Periodo1[[#This Row],[CONTA]],BaseContasDRE[#All],7,FALSE))</f>
        <v>Fora do DRE</v>
      </c>
      <c r="V3435" s="3" t="str">
        <f>IF(Base_Periodo1[[#This Row],[Tipo_Linha]]="Fora do DRE","Fora do DRE","( "&amp;Base_Periodo1[[#This Row],[Tipo_Linha]]&amp;" ) "&amp;Base_Periodo1[[#This Row],[Filtro]])</f>
        <v>Fora do DRE</v>
      </c>
      <c r="W3435" s="3" t="str">
        <f>LEFT(Base_Periodo1[[#This Row],[CLASS]],3)</f>
        <v>2.1</v>
      </c>
    </row>
    <row r="3436" spans="1:23" hidden="1">
      <c r="A3436" s="3" t="str">
        <f t="shared" si="53"/>
        <v>Período 1</v>
      </c>
      <c r="B3436">
        <v>2177</v>
      </c>
      <c r="C3436" t="s">
        <v>2010</v>
      </c>
      <c r="D3436" t="s">
        <v>5436</v>
      </c>
      <c r="E3436" s="3" t="str">
        <f>IF(LEN(Base_Periodo1[[#This Row],[CLASS]])&gt;=7,LEFT(Base_Periodo1[[#This Row],[CLASS]],7),"")</f>
        <v>2.1.2.2</v>
      </c>
      <c r="F3436" s="3" t="str">
        <f>VLOOKUP(Base_Periodo1[[#This Row],[Aux]],Base_Contas_Balanco[#All],2,FALSE)</f>
        <v>Fornecedores Não Cooperados</v>
      </c>
      <c r="G3436" s="1">
        <v>42881</v>
      </c>
      <c r="H3436" s="225">
        <v>472997.5</v>
      </c>
      <c r="I3436" s="225">
        <v>183550</v>
      </c>
      <c r="J3436" s="225">
        <v>150015.02000000002</v>
      </c>
      <c r="K3436" s="225">
        <v>439462.52</v>
      </c>
      <c r="L34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439462.52</v>
      </c>
      <c r="M3436" s="225">
        <f>ROUND(IF(AND(Base_Periodo1[[#This Row],[Tipo_Linha]]="-",Base_Periodo1[[#This Row],[TIPOSALDO]]="D"),Base_Periodo1[[#This Row],[SALDO_ATUAL]]*-1,Base_Periodo1[[#This Row],[SALDO_ATUAL]]),4)</f>
        <v>439462.52</v>
      </c>
      <c r="N3436" t="s">
        <v>116</v>
      </c>
      <c r="O3436" t="s">
        <v>459</v>
      </c>
      <c r="P3436" t="s">
        <v>459</v>
      </c>
      <c r="Q3436">
        <v>7</v>
      </c>
      <c r="R3436" s="225">
        <f>Base_Periodo1[[#This Row],[CREDITOS]]-Base_Periodo1[[#This Row],[DEBITOS]]</f>
        <v>-33534.979999999981</v>
      </c>
      <c r="S3436" s="3" t="str">
        <f>IF(ISERROR(VLOOKUP(Base_Periodo1[[#This Row],[CONTA]],BaseContasDRE[#All],4,FALSE)),"Fora do DRE",VLOOKUP(Base_Periodo1[[#This Row],[CONTA]],BaseContasDRE[#All],4,FALSE))</f>
        <v>Fora do DRE</v>
      </c>
      <c r="T3436" s="3" t="str">
        <f>IF(ISERROR(VLOOKUP(Base_Periodo1[[#This Row],[CONTA]],BaseContasDRE[#All],5,FALSE)),"Fora do DRE",VLOOKUP(Base_Periodo1[[#This Row],[CONTA]],BaseContasDRE[#All],6,FALSE))</f>
        <v>Fora do DRE</v>
      </c>
      <c r="U3436" s="3" t="str">
        <f>IF(ISERROR(VLOOKUP(Base_Periodo1[[#This Row],[CONTA]],BaseContasDRE[#All],7,FALSE)),"Fora do DRE",VLOOKUP(Base_Periodo1[[#This Row],[CONTA]],BaseContasDRE[#All],7,FALSE))</f>
        <v>Fora do DRE</v>
      </c>
      <c r="V3436" s="3" t="str">
        <f>IF(Base_Periodo1[[#This Row],[Tipo_Linha]]="Fora do DRE","Fora do DRE","( "&amp;Base_Periodo1[[#This Row],[Tipo_Linha]]&amp;" ) "&amp;Base_Periodo1[[#This Row],[Filtro]])</f>
        <v>Fora do DRE</v>
      </c>
      <c r="W3436" s="3" t="str">
        <f>LEFT(Base_Periodo1[[#This Row],[CLASS]],3)</f>
        <v>2.1</v>
      </c>
    </row>
    <row r="3437" spans="1:23" hidden="1">
      <c r="A3437" s="3" t="str">
        <f t="shared" si="53"/>
        <v>Período 1</v>
      </c>
      <c r="B3437">
        <v>19589</v>
      </c>
      <c r="C3437" t="s">
        <v>2010</v>
      </c>
      <c r="D3437" t="s">
        <v>6164</v>
      </c>
      <c r="E3437" s="3" t="str">
        <f>IF(LEN(Base_Periodo1[[#This Row],[CLASS]])&gt;=7,LEFT(Base_Periodo1[[#This Row],[CLASS]],7),"")</f>
        <v>2.1.2.2</v>
      </c>
      <c r="F3437" s="3" t="str">
        <f>VLOOKUP(Base_Periodo1[[#This Row],[Aux]],Base_Contas_Balanco[#All],2,FALSE)</f>
        <v>Fornecedores Não Cooperados</v>
      </c>
      <c r="G3437" s="1"/>
      <c r="H3437" s="225">
        <v>1021.33</v>
      </c>
      <c r="I3437" s="225">
        <v>0</v>
      </c>
      <c r="J3437" s="225">
        <v>0</v>
      </c>
      <c r="K3437" s="225">
        <v>1021.33</v>
      </c>
      <c r="L34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1021.33</v>
      </c>
      <c r="M3437" s="225">
        <f>ROUND(IF(AND(Base_Periodo1[[#This Row],[Tipo_Linha]]="-",Base_Periodo1[[#This Row],[TIPOSALDO]]="D"),Base_Periodo1[[#This Row],[SALDO_ATUAL]]*-1,Base_Periodo1[[#This Row],[SALDO_ATUAL]]),4)</f>
        <v>1021.33</v>
      </c>
      <c r="N3437" t="s">
        <v>116</v>
      </c>
      <c r="O3437" t="s">
        <v>459</v>
      </c>
      <c r="P3437" t="s">
        <v>459</v>
      </c>
      <c r="Q3437">
        <v>7</v>
      </c>
      <c r="R3437" s="225">
        <f>Base_Periodo1[[#This Row],[CREDITOS]]-Base_Periodo1[[#This Row],[DEBITOS]]</f>
        <v>0</v>
      </c>
      <c r="S3437" s="3" t="str">
        <f>IF(ISERROR(VLOOKUP(Base_Periodo1[[#This Row],[CONTA]],BaseContasDRE[#All],4,FALSE)),"Fora do DRE",VLOOKUP(Base_Periodo1[[#This Row],[CONTA]],BaseContasDRE[#All],4,FALSE))</f>
        <v>Fora do DRE</v>
      </c>
      <c r="T3437" s="3" t="str">
        <f>IF(ISERROR(VLOOKUP(Base_Periodo1[[#This Row],[CONTA]],BaseContasDRE[#All],5,FALSE)),"Fora do DRE",VLOOKUP(Base_Periodo1[[#This Row],[CONTA]],BaseContasDRE[#All],6,FALSE))</f>
        <v>Fora do DRE</v>
      </c>
      <c r="U3437" s="3" t="str">
        <f>IF(ISERROR(VLOOKUP(Base_Periodo1[[#This Row],[CONTA]],BaseContasDRE[#All],7,FALSE)),"Fora do DRE",VLOOKUP(Base_Periodo1[[#This Row],[CONTA]],BaseContasDRE[#All],7,FALSE))</f>
        <v>Fora do DRE</v>
      </c>
      <c r="V3437" s="3" t="str">
        <f>IF(Base_Periodo1[[#This Row],[Tipo_Linha]]="Fora do DRE","Fora do DRE","( "&amp;Base_Periodo1[[#This Row],[Tipo_Linha]]&amp;" ) "&amp;Base_Periodo1[[#This Row],[Filtro]])</f>
        <v>Fora do DRE</v>
      </c>
      <c r="W3437" s="3" t="str">
        <f>LEFT(Base_Periodo1[[#This Row],[CLASS]],3)</f>
        <v>2.1</v>
      </c>
    </row>
    <row r="3438" spans="1:23" hidden="1">
      <c r="A3438" s="3" t="str">
        <f t="shared" si="53"/>
        <v>Período 1</v>
      </c>
      <c r="B3438">
        <v>26661</v>
      </c>
      <c r="C3438" t="s">
        <v>2010</v>
      </c>
      <c r="D3438" t="s">
        <v>943</v>
      </c>
      <c r="E3438" s="3" t="str">
        <f>IF(LEN(Base_Periodo1[[#This Row],[CLASS]])&gt;=7,LEFT(Base_Periodo1[[#This Row],[CLASS]],7),"")</f>
        <v>2.1.2.2</v>
      </c>
      <c r="F3438" s="3" t="str">
        <f>VLOOKUP(Base_Periodo1[[#This Row],[Aux]],Base_Contas_Balanco[#All],2,FALSE)</f>
        <v>Fornecedores Não Cooperados</v>
      </c>
      <c r="G3438" s="1">
        <v>42886</v>
      </c>
      <c r="H3438" s="225">
        <v>881855.78000000305</v>
      </c>
      <c r="I3438" s="225">
        <v>965968.63999999932</v>
      </c>
      <c r="J3438" s="225">
        <v>286566.56999999989</v>
      </c>
      <c r="K3438" s="225">
        <v>202453.71000000363</v>
      </c>
      <c r="L34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202453.71</v>
      </c>
      <c r="M3438" s="225">
        <f>ROUND(IF(AND(Base_Periodo1[[#This Row],[Tipo_Linha]]="-",Base_Periodo1[[#This Row],[TIPOSALDO]]="D"),Base_Periodo1[[#This Row],[SALDO_ATUAL]]*-1,Base_Periodo1[[#This Row],[SALDO_ATUAL]]),4)</f>
        <v>202453.71</v>
      </c>
      <c r="N3438" t="s">
        <v>116</v>
      </c>
      <c r="O3438" t="s">
        <v>459</v>
      </c>
      <c r="P3438" t="s">
        <v>459</v>
      </c>
      <c r="Q3438">
        <v>7</v>
      </c>
      <c r="R3438" s="225">
        <f>Base_Periodo1[[#This Row],[CREDITOS]]-Base_Periodo1[[#This Row],[DEBITOS]]</f>
        <v>-679402.06999999937</v>
      </c>
      <c r="S3438" s="3" t="str">
        <f>IF(ISERROR(VLOOKUP(Base_Periodo1[[#This Row],[CONTA]],BaseContasDRE[#All],4,FALSE)),"Fora do DRE",VLOOKUP(Base_Periodo1[[#This Row],[CONTA]],BaseContasDRE[#All],4,FALSE))</f>
        <v>Fora do DRE</v>
      </c>
      <c r="T3438" s="3" t="str">
        <f>IF(ISERROR(VLOOKUP(Base_Periodo1[[#This Row],[CONTA]],BaseContasDRE[#All],5,FALSE)),"Fora do DRE",VLOOKUP(Base_Periodo1[[#This Row],[CONTA]],BaseContasDRE[#All],6,FALSE))</f>
        <v>Fora do DRE</v>
      </c>
      <c r="U3438" s="3" t="str">
        <f>IF(ISERROR(VLOOKUP(Base_Periodo1[[#This Row],[CONTA]],BaseContasDRE[#All],7,FALSE)),"Fora do DRE",VLOOKUP(Base_Periodo1[[#This Row],[CONTA]],BaseContasDRE[#All],7,FALSE))</f>
        <v>Fora do DRE</v>
      </c>
      <c r="V3438" s="3" t="str">
        <f>IF(Base_Periodo1[[#This Row],[Tipo_Linha]]="Fora do DRE","Fora do DRE","( "&amp;Base_Periodo1[[#This Row],[Tipo_Linha]]&amp;" ) "&amp;Base_Periodo1[[#This Row],[Filtro]])</f>
        <v>Fora do DRE</v>
      </c>
      <c r="W3438" s="3" t="str">
        <f>LEFT(Base_Periodo1[[#This Row],[CLASS]],3)</f>
        <v>2.1</v>
      </c>
    </row>
    <row r="3439" spans="1:23" hidden="1">
      <c r="A3439" s="3" t="str">
        <f t="shared" si="53"/>
        <v>Período 1</v>
      </c>
      <c r="B3439">
        <v>11350</v>
      </c>
      <c r="C3439" t="s">
        <v>2010</v>
      </c>
      <c r="D3439" t="s">
        <v>6165</v>
      </c>
      <c r="E3439" s="3" t="str">
        <f>IF(LEN(Base_Periodo1[[#This Row],[CLASS]])&gt;=7,LEFT(Base_Periodo1[[#This Row],[CLASS]],7),"")</f>
        <v>2.1.2.2</v>
      </c>
      <c r="F3439" s="3" t="str">
        <f>VLOOKUP(Base_Periodo1[[#This Row],[Aux]],Base_Contas_Balanco[#All],2,FALSE)</f>
        <v>Fornecedores Não Cooperados</v>
      </c>
      <c r="G3439" s="1">
        <v>42858</v>
      </c>
      <c r="I3439" s="225">
        <v>93307.28</v>
      </c>
      <c r="J3439" s="225">
        <v>93307.28</v>
      </c>
      <c r="K3439" s="225">
        <v>0</v>
      </c>
      <c r="L34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39" s="225">
        <f>ROUND(IF(AND(Base_Periodo1[[#This Row],[Tipo_Linha]]="-",Base_Periodo1[[#This Row],[TIPOSALDO]]="D"),Base_Periodo1[[#This Row],[SALDO_ATUAL]]*-1,Base_Periodo1[[#This Row],[SALDO_ATUAL]]),4)</f>
        <v>0</v>
      </c>
      <c r="N3439" t="s">
        <v>116</v>
      </c>
      <c r="O3439" t="s">
        <v>436</v>
      </c>
      <c r="P3439" t="s">
        <v>436</v>
      </c>
      <c r="Q3439">
        <v>7</v>
      </c>
      <c r="R3439" s="225">
        <f>Base_Periodo1[[#This Row],[CREDITOS]]-Base_Periodo1[[#This Row],[DEBITOS]]</f>
        <v>0</v>
      </c>
      <c r="S3439" s="3" t="str">
        <f>IF(ISERROR(VLOOKUP(Base_Periodo1[[#This Row],[CONTA]],BaseContasDRE[#All],4,FALSE)),"Fora do DRE",VLOOKUP(Base_Periodo1[[#This Row],[CONTA]],BaseContasDRE[#All],4,FALSE))</f>
        <v>Fora do DRE</v>
      </c>
      <c r="T3439" s="3" t="str">
        <f>IF(ISERROR(VLOOKUP(Base_Periodo1[[#This Row],[CONTA]],BaseContasDRE[#All],5,FALSE)),"Fora do DRE",VLOOKUP(Base_Periodo1[[#This Row],[CONTA]],BaseContasDRE[#All],6,FALSE))</f>
        <v>Fora do DRE</v>
      </c>
      <c r="U3439" s="3" t="str">
        <f>IF(ISERROR(VLOOKUP(Base_Periodo1[[#This Row],[CONTA]],BaseContasDRE[#All],7,FALSE)),"Fora do DRE",VLOOKUP(Base_Periodo1[[#This Row],[CONTA]],BaseContasDRE[#All],7,FALSE))</f>
        <v>Fora do DRE</v>
      </c>
      <c r="V3439" s="3" t="str">
        <f>IF(Base_Periodo1[[#This Row],[Tipo_Linha]]="Fora do DRE","Fora do DRE","( "&amp;Base_Periodo1[[#This Row],[Tipo_Linha]]&amp;" ) "&amp;Base_Periodo1[[#This Row],[Filtro]])</f>
        <v>Fora do DRE</v>
      </c>
      <c r="W3439" s="3" t="str">
        <f>LEFT(Base_Periodo1[[#This Row],[CLASS]],3)</f>
        <v>2.1</v>
      </c>
    </row>
    <row r="3440" spans="1:23" hidden="1">
      <c r="A3440" s="3" t="str">
        <f t="shared" si="53"/>
        <v>Período 1</v>
      </c>
      <c r="B3440">
        <v>50885</v>
      </c>
      <c r="C3440" t="s">
        <v>2010</v>
      </c>
      <c r="D3440" t="s">
        <v>6166</v>
      </c>
      <c r="E3440" s="3" t="str">
        <f>IF(LEN(Base_Periodo1[[#This Row],[CLASS]])&gt;=7,LEFT(Base_Periodo1[[#This Row],[CLASS]],7),"")</f>
        <v>2.1.2.2</v>
      </c>
      <c r="F3440" s="3" t="str">
        <f>VLOOKUP(Base_Periodo1[[#This Row],[Aux]],Base_Contas_Balanco[#All],2,FALSE)</f>
        <v>Fornecedores Não Cooperados</v>
      </c>
      <c r="G3440" s="1">
        <v>42885</v>
      </c>
      <c r="I3440" s="225">
        <v>15268</v>
      </c>
      <c r="J3440" s="225">
        <v>15268</v>
      </c>
      <c r="K3440" s="225">
        <v>0</v>
      </c>
      <c r="L34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40" s="225">
        <f>ROUND(IF(AND(Base_Periodo1[[#This Row],[Tipo_Linha]]="-",Base_Periodo1[[#This Row],[TIPOSALDO]]="D"),Base_Periodo1[[#This Row],[SALDO_ATUAL]]*-1,Base_Periodo1[[#This Row],[SALDO_ATUAL]]),4)</f>
        <v>0</v>
      </c>
      <c r="N3440" t="s">
        <v>116</v>
      </c>
      <c r="O3440" t="s">
        <v>436</v>
      </c>
      <c r="P3440" t="s">
        <v>436</v>
      </c>
      <c r="Q3440">
        <v>7</v>
      </c>
      <c r="R3440" s="225">
        <f>Base_Periodo1[[#This Row],[CREDITOS]]-Base_Periodo1[[#This Row],[DEBITOS]]</f>
        <v>0</v>
      </c>
      <c r="S3440" s="3" t="str">
        <f>IF(ISERROR(VLOOKUP(Base_Periodo1[[#This Row],[CONTA]],BaseContasDRE[#All],4,FALSE)),"Fora do DRE",VLOOKUP(Base_Periodo1[[#This Row],[CONTA]],BaseContasDRE[#All],4,FALSE))</f>
        <v>Fora do DRE</v>
      </c>
      <c r="T3440" s="3" t="str">
        <f>IF(ISERROR(VLOOKUP(Base_Periodo1[[#This Row],[CONTA]],BaseContasDRE[#All],5,FALSE)),"Fora do DRE",VLOOKUP(Base_Periodo1[[#This Row],[CONTA]],BaseContasDRE[#All],6,FALSE))</f>
        <v>Fora do DRE</v>
      </c>
      <c r="U3440" s="3" t="str">
        <f>IF(ISERROR(VLOOKUP(Base_Periodo1[[#This Row],[CONTA]],BaseContasDRE[#All],7,FALSE)),"Fora do DRE",VLOOKUP(Base_Periodo1[[#This Row],[CONTA]],BaseContasDRE[#All],7,FALSE))</f>
        <v>Fora do DRE</v>
      </c>
      <c r="V3440" s="3" t="str">
        <f>IF(Base_Periodo1[[#This Row],[Tipo_Linha]]="Fora do DRE","Fora do DRE","( "&amp;Base_Periodo1[[#This Row],[Tipo_Linha]]&amp;" ) "&amp;Base_Periodo1[[#This Row],[Filtro]])</f>
        <v>Fora do DRE</v>
      </c>
      <c r="W3440" s="3" t="str">
        <f>LEFT(Base_Periodo1[[#This Row],[CLASS]],3)</f>
        <v>2.1</v>
      </c>
    </row>
    <row r="3441" spans="1:23" hidden="1">
      <c r="A3441" s="3" t="str">
        <f t="shared" si="53"/>
        <v>Período 1</v>
      </c>
      <c r="B3441">
        <v>23203</v>
      </c>
      <c r="C3441" t="s">
        <v>2010</v>
      </c>
      <c r="D3441" t="s">
        <v>944</v>
      </c>
      <c r="E3441" s="3" t="str">
        <f>IF(LEN(Base_Periodo1[[#This Row],[CLASS]])&gt;=7,LEFT(Base_Periodo1[[#This Row],[CLASS]],7),"")</f>
        <v>2.1.2.2</v>
      </c>
      <c r="F3441" s="3" t="str">
        <f>VLOOKUP(Base_Periodo1[[#This Row],[Aux]],Base_Contas_Balanco[#All],2,FALSE)</f>
        <v>Fornecedores Não Cooperados</v>
      </c>
      <c r="G3441" s="1">
        <v>42886</v>
      </c>
      <c r="H3441" s="225">
        <v>890319.13000060618</v>
      </c>
      <c r="I3441" s="225">
        <v>963643.01000000036</v>
      </c>
      <c r="J3441" s="225">
        <v>2123339.4299999983</v>
      </c>
      <c r="K3441" s="225">
        <v>2050015.5500006042</v>
      </c>
      <c r="L34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2050015.55</v>
      </c>
      <c r="M3441" s="225">
        <f>ROUND(IF(AND(Base_Periodo1[[#This Row],[Tipo_Linha]]="-",Base_Periodo1[[#This Row],[TIPOSALDO]]="D"),Base_Periodo1[[#This Row],[SALDO_ATUAL]]*-1,Base_Periodo1[[#This Row],[SALDO_ATUAL]]),4)</f>
        <v>2050015.55</v>
      </c>
      <c r="N3441" t="s">
        <v>116</v>
      </c>
      <c r="O3441" t="s">
        <v>459</v>
      </c>
      <c r="P3441" t="s">
        <v>459</v>
      </c>
      <c r="Q3441">
        <v>7</v>
      </c>
      <c r="R3441" s="225">
        <f>Base_Periodo1[[#This Row],[CREDITOS]]-Base_Periodo1[[#This Row],[DEBITOS]]</f>
        <v>1159696.4199999981</v>
      </c>
      <c r="S3441" s="3" t="str">
        <f>IF(ISERROR(VLOOKUP(Base_Periodo1[[#This Row],[CONTA]],BaseContasDRE[#All],4,FALSE)),"Fora do DRE",VLOOKUP(Base_Periodo1[[#This Row],[CONTA]],BaseContasDRE[#All],4,FALSE))</f>
        <v>Fora do DRE</v>
      </c>
      <c r="T3441" s="3" t="str">
        <f>IF(ISERROR(VLOOKUP(Base_Periodo1[[#This Row],[CONTA]],BaseContasDRE[#All],5,FALSE)),"Fora do DRE",VLOOKUP(Base_Periodo1[[#This Row],[CONTA]],BaseContasDRE[#All],6,FALSE))</f>
        <v>Fora do DRE</v>
      </c>
      <c r="U3441" s="3" t="str">
        <f>IF(ISERROR(VLOOKUP(Base_Periodo1[[#This Row],[CONTA]],BaseContasDRE[#All],7,FALSE)),"Fora do DRE",VLOOKUP(Base_Periodo1[[#This Row],[CONTA]],BaseContasDRE[#All],7,FALSE))</f>
        <v>Fora do DRE</v>
      </c>
      <c r="V3441" s="3" t="str">
        <f>IF(Base_Periodo1[[#This Row],[Tipo_Linha]]="Fora do DRE","Fora do DRE","( "&amp;Base_Periodo1[[#This Row],[Tipo_Linha]]&amp;" ) "&amp;Base_Periodo1[[#This Row],[Filtro]])</f>
        <v>Fora do DRE</v>
      </c>
      <c r="W3441" s="3" t="str">
        <f>LEFT(Base_Periodo1[[#This Row],[CLASS]],3)</f>
        <v>2.1</v>
      </c>
    </row>
    <row r="3442" spans="1:23" hidden="1">
      <c r="A3442" s="3" t="str">
        <f t="shared" si="53"/>
        <v>Período 1</v>
      </c>
      <c r="B3442">
        <v>32279</v>
      </c>
      <c r="C3442" t="s">
        <v>2010</v>
      </c>
      <c r="D3442" t="s">
        <v>5074</v>
      </c>
      <c r="E3442" s="3" t="str">
        <f>IF(LEN(Base_Periodo1[[#This Row],[CLASS]])&gt;=7,LEFT(Base_Periodo1[[#This Row],[CLASS]],7),"")</f>
        <v>2.1.2.2</v>
      </c>
      <c r="F3442" s="3" t="str">
        <f>VLOOKUP(Base_Periodo1[[#This Row],[Aux]],Base_Contas_Balanco[#All],2,FALSE)</f>
        <v>Fornecedores Não Cooperados</v>
      </c>
      <c r="G3442" s="1">
        <v>42866</v>
      </c>
      <c r="H3442" s="225">
        <v>90000</v>
      </c>
      <c r="I3442" s="225">
        <v>90000</v>
      </c>
      <c r="J3442" s="225">
        <v>0</v>
      </c>
      <c r="K3442" s="225">
        <v>0</v>
      </c>
      <c r="L34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42" s="225">
        <f>ROUND(IF(AND(Base_Periodo1[[#This Row],[Tipo_Linha]]="-",Base_Periodo1[[#This Row],[TIPOSALDO]]="D"),Base_Periodo1[[#This Row],[SALDO_ATUAL]]*-1,Base_Periodo1[[#This Row],[SALDO_ATUAL]]),4)</f>
        <v>0</v>
      </c>
      <c r="N3442" t="s">
        <v>116</v>
      </c>
      <c r="O3442" t="s">
        <v>459</v>
      </c>
      <c r="P3442" t="s">
        <v>436</v>
      </c>
      <c r="Q3442">
        <v>7</v>
      </c>
      <c r="R3442" s="225">
        <f>Base_Periodo1[[#This Row],[CREDITOS]]-Base_Periodo1[[#This Row],[DEBITOS]]</f>
        <v>-90000</v>
      </c>
      <c r="S3442" s="3" t="str">
        <f>IF(ISERROR(VLOOKUP(Base_Periodo1[[#This Row],[CONTA]],BaseContasDRE[#All],4,FALSE)),"Fora do DRE",VLOOKUP(Base_Periodo1[[#This Row],[CONTA]],BaseContasDRE[#All],4,FALSE))</f>
        <v>Fora do DRE</v>
      </c>
      <c r="T3442" s="3" t="str">
        <f>IF(ISERROR(VLOOKUP(Base_Periodo1[[#This Row],[CONTA]],BaseContasDRE[#All],5,FALSE)),"Fora do DRE",VLOOKUP(Base_Periodo1[[#This Row],[CONTA]],BaseContasDRE[#All],6,FALSE))</f>
        <v>Fora do DRE</v>
      </c>
      <c r="U3442" s="3" t="str">
        <f>IF(ISERROR(VLOOKUP(Base_Periodo1[[#This Row],[CONTA]],BaseContasDRE[#All],7,FALSE)),"Fora do DRE",VLOOKUP(Base_Periodo1[[#This Row],[CONTA]],BaseContasDRE[#All],7,FALSE))</f>
        <v>Fora do DRE</v>
      </c>
      <c r="V3442" s="3" t="str">
        <f>IF(Base_Periodo1[[#This Row],[Tipo_Linha]]="Fora do DRE","Fora do DRE","( "&amp;Base_Periodo1[[#This Row],[Tipo_Linha]]&amp;" ) "&amp;Base_Periodo1[[#This Row],[Filtro]])</f>
        <v>Fora do DRE</v>
      </c>
      <c r="W3442" s="3" t="str">
        <f>LEFT(Base_Periodo1[[#This Row],[CLASS]],3)</f>
        <v>2.1</v>
      </c>
    </row>
    <row r="3443" spans="1:23" hidden="1">
      <c r="A3443" s="3" t="str">
        <f t="shared" si="53"/>
        <v>Período 1</v>
      </c>
      <c r="B3443">
        <v>8369</v>
      </c>
      <c r="C3443" t="s">
        <v>2010</v>
      </c>
      <c r="D3443" t="s">
        <v>2043</v>
      </c>
      <c r="E3443" s="3" t="str">
        <f>IF(LEN(Base_Periodo1[[#This Row],[CLASS]])&gt;=7,LEFT(Base_Periodo1[[#This Row],[CLASS]],7),"")</f>
        <v>2.1.2.2</v>
      </c>
      <c r="F3443" s="3" t="str">
        <f>VLOOKUP(Base_Periodo1[[#This Row],[Aux]],Base_Contas_Balanco[#All],2,FALSE)</f>
        <v>Fornecedores Não Cooperados</v>
      </c>
      <c r="G3443" s="1">
        <v>42886</v>
      </c>
      <c r="H3443" s="225">
        <v>69613.610000000335</v>
      </c>
      <c r="I3443" s="225">
        <v>301184.58</v>
      </c>
      <c r="J3443" s="225">
        <v>325312.17999999993</v>
      </c>
      <c r="K3443" s="225">
        <v>93741.210000000254</v>
      </c>
      <c r="L34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93741.21</v>
      </c>
      <c r="M3443" s="225">
        <f>ROUND(IF(AND(Base_Periodo1[[#This Row],[Tipo_Linha]]="-",Base_Periodo1[[#This Row],[TIPOSALDO]]="D"),Base_Periodo1[[#This Row],[SALDO_ATUAL]]*-1,Base_Periodo1[[#This Row],[SALDO_ATUAL]]),4)</f>
        <v>93741.21</v>
      </c>
      <c r="N3443" t="s">
        <v>116</v>
      </c>
      <c r="O3443" t="s">
        <v>459</v>
      </c>
      <c r="P3443" t="s">
        <v>459</v>
      </c>
      <c r="Q3443">
        <v>7</v>
      </c>
      <c r="R3443" s="225">
        <f>Base_Periodo1[[#This Row],[CREDITOS]]-Base_Periodo1[[#This Row],[DEBITOS]]</f>
        <v>24127.599999999919</v>
      </c>
      <c r="S3443" s="3" t="str">
        <f>IF(ISERROR(VLOOKUP(Base_Periodo1[[#This Row],[CONTA]],BaseContasDRE[#All],4,FALSE)),"Fora do DRE",VLOOKUP(Base_Periodo1[[#This Row],[CONTA]],BaseContasDRE[#All],4,FALSE))</f>
        <v>Fora do DRE</v>
      </c>
      <c r="T3443" s="3" t="str">
        <f>IF(ISERROR(VLOOKUP(Base_Periodo1[[#This Row],[CONTA]],BaseContasDRE[#All],5,FALSE)),"Fora do DRE",VLOOKUP(Base_Periodo1[[#This Row],[CONTA]],BaseContasDRE[#All],6,FALSE))</f>
        <v>Fora do DRE</v>
      </c>
      <c r="U3443" s="3" t="str">
        <f>IF(ISERROR(VLOOKUP(Base_Periodo1[[#This Row],[CONTA]],BaseContasDRE[#All],7,FALSE)),"Fora do DRE",VLOOKUP(Base_Periodo1[[#This Row],[CONTA]],BaseContasDRE[#All],7,FALSE))</f>
        <v>Fora do DRE</v>
      </c>
      <c r="V3443" s="3" t="str">
        <f>IF(Base_Periodo1[[#This Row],[Tipo_Linha]]="Fora do DRE","Fora do DRE","( "&amp;Base_Periodo1[[#This Row],[Tipo_Linha]]&amp;" ) "&amp;Base_Periodo1[[#This Row],[Filtro]])</f>
        <v>Fora do DRE</v>
      </c>
      <c r="W3443" s="3" t="str">
        <f>LEFT(Base_Periodo1[[#This Row],[CLASS]],3)</f>
        <v>2.1</v>
      </c>
    </row>
    <row r="3444" spans="1:23" hidden="1">
      <c r="A3444" s="3" t="str">
        <f t="shared" si="53"/>
        <v>Período 1</v>
      </c>
      <c r="B3444">
        <v>10683</v>
      </c>
      <c r="C3444" t="s">
        <v>2010</v>
      </c>
      <c r="D3444" t="s">
        <v>2044</v>
      </c>
      <c r="E3444" s="3" t="str">
        <f>IF(LEN(Base_Periodo1[[#This Row],[CLASS]])&gt;=7,LEFT(Base_Periodo1[[#This Row],[CLASS]],7),"")</f>
        <v>2.1.2.2</v>
      </c>
      <c r="F3444" s="3" t="str">
        <f>VLOOKUP(Base_Periodo1[[#This Row],[Aux]],Base_Contas_Balanco[#All],2,FALSE)</f>
        <v>Fornecedores Não Cooperados</v>
      </c>
      <c r="G3444" s="1">
        <v>42865</v>
      </c>
      <c r="I3444" s="225">
        <v>12729.1</v>
      </c>
      <c r="J3444" s="225">
        <v>12729.1</v>
      </c>
      <c r="K3444" s="225">
        <v>-4.0745362639427185E-10</v>
      </c>
      <c r="L34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44" s="225">
        <f>ROUND(IF(AND(Base_Periodo1[[#This Row],[Tipo_Linha]]="-",Base_Periodo1[[#This Row],[TIPOSALDO]]="D"),Base_Periodo1[[#This Row],[SALDO_ATUAL]]*-1,Base_Periodo1[[#This Row],[SALDO_ATUAL]]),4)</f>
        <v>0</v>
      </c>
      <c r="N3444" t="s">
        <v>116</v>
      </c>
      <c r="O3444" t="s">
        <v>436</v>
      </c>
      <c r="P3444" t="s">
        <v>436</v>
      </c>
      <c r="Q3444">
        <v>7</v>
      </c>
      <c r="R3444" s="225">
        <f>Base_Periodo1[[#This Row],[CREDITOS]]-Base_Periodo1[[#This Row],[DEBITOS]]</f>
        <v>0</v>
      </c>
      <c r="S3444" s="3" t="str">
        <f>IF(ISERROR(VLOOKUP(Base_Periodo1[[#This Row],[CONTA]],BaseContasDRE[#All],4,FALSE)),"Fora do DRE",VLOOKUP(Base_Periodo1[[#This Row],[CONTA]],BaseContasDRE[#All],4,FALSE))</f>
        <v>Fora do DRE</v>
      </c>
      <c r="T3444" s="3" t="str">
        <f>IF(ISERROR(VLOOKUP(Base_Periodo1[[#This Row],[CONTA]],BaseContasDRE[#All],5,FALSE)),"Fora do DRE",VLOOKUP(Base_Periodo1[[#This Row],[CONTA]],BaseContasDRE[#All],6,FALSE))</f>
        <v>Fora do DRE</v>
      </c>
      <c r="U3444" s="3" t="str">
        <f>IF(ISERROR(VLOOKUP(Base_Periodo1[[#This Row],[CONTA]],BaseContasDRE[#All],7,FALSE)),"Fora do DRE",VLOOKUP(Base_Periodo1[[#This Row],[CONTA]],BaseContasDRE[#All],7,FALSE))</f>
        <v>Fora do DRE</v>
      </c>
      <c r="V3444" s="3" t="str">
        <f>IF(Base_Periodo1[[#This Row],[Tipo_Linha]]="Fora do DRE","Fora do DRE","( "&amp;Base_Periodo1[[#This Row],[Tipo_Linha]]&amp;" ) "&amp;Base_Periodo1[[#This Row],[Filtro]])</f>
        <v>Fora do DRE</v>
      </c>
      <c r="W3444" s="3" t="str">
        <f>LEFT(Base_Periodo1[[#This Row],[CLASS]],3)</f>
        <v>2.1</v>
      </c>
    </row>
    <row r="3445" spans="1:23" hidden="1">
      <c r="A3445" s="3" t="str">
        <f t="shared" si="53"/>
        <v>Período 1</v>
      </c>
      <c r="B3445">
        <v>48032</v>
      </c>
      <c r="C3445" t="s">
        <v>2010</v>
      </c>
      <c r="D3445" t="s">
        <v>6450</v>
      </c>
      <c r="E3445" s="3" t="str">
        <f>IF(LEN(Base_Periodo1[[#This Row],[CLASS]])&gt;=7,LEFT(Base_Periodo1[[#This Row],[CLASS]],7),"")</f>
        <v>2.1.2.2</v>
      </c>
      <c r="F3445" s="3" t="str">
        <f>VLOOKUP(Base_Periodo1[[#This Row],[Aux]],Base_Contas_Balanco[#All],2,FALSE)</f>
        <v>Fornecedores Não Cooperados</v>
      </c>
      <c r="G3445" s="1">
        <v>42858</v>
      </c>
      <c r="H3445" s="225">
        <v>80</v>
      </c>
      <c r="I3445" s="225">
        <v>80</v>
      </c>
      <c r="J3445" s="225">
        <v>0</v>
      </c>
      <c r="K3445" s="225">
        <v>0</v>
      </c>
      <c r="L34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45" s="225">
        <f>ROUND(IF(AND(Base_Periodo1[[#This Row],[Tipo_Linha]]="-",Base_Periodo1[[#This Row],[TIPOSALDO]]="D"),Base_Periodo1[[#This Row],[SALDO_ATUAL]]*-1,Base_Periodo1[[#This Row],[SALDO_ATUAL]]),4)</f>
        <v>0</v>
      </c>
      <c r="N3445" t="s">
        <v>116</v>
      </c>
      <c r="O3445" t="s">
        <v>459</v>
      </c>
      <c r="P3445" t="s">
        <v>436</v>
      </c>
      <c r="Q3445">
        <v>7</v>
      </c>
      <c r="R3445" s="225">
        <f>Base_Periodo1[[#This Row],[CREDITOS]]-Base_Periodo1[[#This Row],[DEBITOS]]</f>
        <v>-80</v>
      </c>
      <c r="S3445" s="3" t="str">
        <f>IF(ISERROR(VLOOKUP(Base_Periodo1[[#This Row],[CONTA]],BaseContasDRE[#All],4,FALSE)),"Fora do DRE",VLOOKUP(Base_Periodo1[[#This Row],[CONTA]],BaseContasDRE[#All],4,FALSE))</f>
        <v>Fora do DRE</v>
      </c>
      <c r="T3445" s="3" t="str">
        <f>IF(ISERROR(VLOOKUP(Base_Periodo1[[#This Row],[CONTA]],BaseContasDRE[#All],5,FALSE)),"Fora do DRE",VLOOKUP(Base_Periodo1[[#This Row],[CONTA]],BaseContasDRE[#All],6,FALSE))</f>
        <v>Fora do DRE</v>
      </c>
      <c r="U3445" s="3" t="str">
        <f>IF(ISERROR(VLOOKUP(Base_Periodo1[[#This Row],[CONTA]],BaseContasDRE[#All],7,FALSE)),"Fora do DRE",VLOOKUP(Base_Periodo1[[#This Row],[CONTA]],BaseContasDRE[#All],7,FALSE))</f>
        <v>Fora do DRE</v>
      </c>
      <c r="V3445" s="3" t="str">
        <f>IF(Base_Periodo1[[#This Row],[Tipo_Linha]]="Fora do DRE","Fora do DRE","( "&amp;Base_Periodo1[[#This Row],[Tipo_Linha]]&amp;" ) "&amp;Base_Periodo1[[#This Row],[Filtro]])</f>
        <v>Fora do DRE</v>
      </c>
      <c r="W3445" s="3" t="str">
        <f>LEFT(Base_Periodo1[[#This Row],[CLASS]],3)</f>
        <v>2.1</v>
      </c>
    </row>
    <row r="3446" spans="1:23" hidden="1">
      <c r="A3446" s="3" t="str">
        <f t="shared" si="53"/>
        <v>Período 1</v>
      </c>
      <c r="B3446">
        <v>57173</v>
      </c>
      <c r="C3446" t="s">
        <v>2010</v>
      </c>
      <c r="D3446" t="s">
        <v>6451</v>
      </c>
      <c r="E3446" s="3" t="str">
        <f>IF(LEN(Base_Periodo1[[#This Row],[CLASS]])&gt;=7,LEFT(Base_Periodo1[[#This Row],[CLASS]],7),"")</f>
        <v>2.1.2.2</v>
      </c>
      <c r="F3446" s="3" t="str">
        <f>VLOOKUP(Base_Periodo1[[#This Row],[Aux]],Base_Contas_Balanco[#All],2,FALSE)</f>
        <v>Fornecedores Não Cooperados</v>
      </c>
      <c r="G3446" s="1">
        <v>42859</v>
      </c>
      <c r="H3446" s="225">
        <v>1058.4399999999996</v>
      </c>
      <c r="I3446" s="225">
        <v>1058.44</v>
      </c>
      <c r="J3446" s="225">
        <v>0</v>
      </c>
      <c r="K3446" s="225">
        <v>4.5474735088646412E-13</v>
      </c>
      <c r="L34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46" s="225">
        <f>ROUND(IF(AND(Base_Periodo1[[#This Row],[Tipo_Linha]]="-",Base_Periodo1[[#This Row],[TIPOSALDO]]="D"),Base_Periodo1[[#This Row],[SALDO_ATUAL]]*-1,Base_Periodo1[[#This Row],[SALDO_ATUAL]]),4)</f>
        <v>0</v>
      </c>
      <c r="N3446" t="s">
        <v>116</v>
      </c>
      <c r="O3446" t="s">
        <v>459</v>
      </c>
      <c r="P3446" t="s">
        <v>436</v>
      </c>
      <c r="Q3446">
        <v>7</v>
      </c>
      <c r="R3446" s="225">
        <f>Base_Periodo1[[#This Row],[CREDITOS]]-Base_Periodo1[[#This Row],[DEBITOS]]</f>
        <v>-1058.44</v>
      </c>
      <c r="S3446" s="3" t="str">
        <f>IF(ISERROR(VLOOKUP(Base_Periodo1[[#This Row],[CONTA]],BaseContasDRE[#All],4,FALSE)),"Fora do DRE",VLOOKUP(Base_Periodo1[[#This Row],[CONTA]],BaseContasDRE[#All],4,FALSE))</f>
        <v>Fora do DRE</v>
      </c>
      <c r="T3446" s="3" t="str">
        <f>IF(ISERROR(VLOOKUP(Base_Periodo1[[#This Row],[CONTA]],BaseContasDRE[#All],5,FALSE)),"Fora do DRE",VLOOKUP(Base_Periodo1[[#This Row],[CONTA]],BaseContasDRE[#All],6,FALSE))</f>
        <v>Fora do DRE</v>
      </c>
      <c r="U3446" s="3" t="str">
        <f>IF(ISERROR(VLOOKUP(Base_Periodo1[[#This Row],[CONTA]],BaseContasDRE[#All],7,FALSE)),"Fora do DRE",VLOOKUP(Base_Periodo1[[#This Row],[CONTA]],BaseContasDRE[#All],7,FALSE))</f>
        <v>Fora do DRE</v>
      </c>
      <c r="V3446" s="3" t="str">
        <f>IF(Base_Periodo1[[#This Row],[Tipo_Linha]]="Fora do DRE","Fora do DRE","( "&amp;Base_Periodo1[[#This Row],[Tipo_Linha]]&amp;" ) "&amp;Base_Periodo1[[#This Row],[Filtro]])</f>
        <v>Fora do DRE</v>
      </c>
      <c r="W3446" s="3" t="str">
        <f>LEFT(Base_Periodo1[[#This Row],[CLASS]],3)</f>
        <v>2.1</v>
      </c>
    </row>
    <row r="3447" spans="1:23" hidden="1">
      <c r="A3447" s="3" t="str">
        <f t="shared" si="53"/>
        <v>Período 1</v>
      </c>
      <c r="B3447">
        <v>58937</v>
      </c>
      <c r="C3447" t="s">
        <v>2010</v>
      </c>
      <c r="D3447" t="s">
        <v>6959</v>
      </c>
      <c r="E3447" s="3" t="str">
        <f>IF(LEN(Base_Periodo1[[#This Row],[CLASS]])&gt;=7,LEFT(Base_Periodo1[[#This Row],[CLASS]],7),"")</f>
        <v>2.1.2.2</v>
      </c>
      <c r="F3447" s="3" t="str">
        <f>VLOOKUP(Base_Periodo1[[#This Row],[Aux]],Base_Contas_Balanco[#All],2,FALSE)</f>
        <v>Fornecedores Não Cooperados</v>
      </c>
      <c r="G3447" s="1">
        <v>42878</v>
      </c>
      <c r="I3447" s="225">
        <v>1530</v>
      </c>
      <c r="J3447" s="225">
        <v>1530</v>
      </c>
      <c r="K3447" s="225">
        <v>0</v>
      </c>
      <c r="L34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47" s="225">
        <f>ROUND(IF(AND(Base_Periodo1[[#This Row],[Tipo_Linha]]="-",Base_Periodo1[[#This Row],[TIPOSALDO]]="D"),Base_Periodo1[[#This Row],[SALDO_ATUAL]]*-1,Base_Periodo1[[#This Row],[SALDO_ATUAL]]),4)</f>
        <v>0</v>
      </c>
      <c r="N3447" t="s">
        <v>116</v>
      </c>
      <c r="O3447" t="s">
        <v>436</v>
      </c>
      <c r="P3447" t="s">
        <v>436</v>
      </c>
      <c r="Q3447">
        <v>7</v>
      </c>
      <c r="R3447" s="225">
        <f>Base_Periodo1[[#This Row],[CREDITOS]]-Base_Periodo1[[#This Row],[DEBITOS]]</f>
        <v>0</v>
      </c>
      <c r="S3447" s="3" t="str">
        <f>IF(ISERROR(VLOOKUP(Base_Periodo1[[#This Row],[CONTA]],BaseContasDRE[#All],4,FALSE)),"Fora do DRE",VLOOKUP(Base_Periodo1[[#This Row],[CONTA]],BaseContasDRE[#All],4,FALSE))</f>
        <v>Fora do DRE</v>
      </c>
      <c r="T3447" s="3" t="str">
        <f>IF(ISERROR(VLOOKUP(Base_Periodo1[[#This Row],[CONTA]],BaseContasDRE[#All],5,FALSE)),"Fora do DRE",VLOOKUP(Base_Periodo1[[#This Row],[CONTA]],BaseContasDRE[#All],6,FALSE))</f>
        <v>Fora do DRE</v>
      </c>
      <c r="U3447" s="3" t="str">
        <f>IF(ISERROR(VLOOKUP(Base_Periodo1[[#This Row],[CONTA]],BaseContasDRE[#All],7,FALSE)),"Fora do DRE",VLOOKUP(Base_Periodo1[[#This Row],[CONTA]],BaseContasDRE[#All],7,FALSE))</f>
        <v>Fora do DRE</v>
      </c>
      <c r="V3447" s="3" t="str">
        <f>IF(Base_Periodo1[[#This Row],[Tipo_Linha]]="Fora do DRE","Fora do DRE","( "&amp;Base_Periodo1[[#This Row],[Tipo_Linha]]&amp;" ) "&amp;Base_Periodo1[[#This Row],[Filtro]])</f>
        <v>Fora do DRE</v>
      </c>
      <c r="W3447" s="3" t="str">
        <f>LEFT(Base_Periodo1[[#This Row],[CLASS]],3)</f>
        <v>2.1</v>
      </c>
    </row>
    <row r="3448" spans="1:23" hidden="1">
      <c r="A3448" s="3" t="str">
        <f t="shared" si="53"/>
        <v>Período 1</v>
      </c>
      <c r="B3448">
        <v>27716</v>
      </c>
      <c r="C3448" t="s">
        <v>2010</v>
      </c>
      <c r="D3448" t="s">
        <v>4690</v>
      </c>
      <c r="E3448" s="3" t="str">
        <f>IF(LEN(Base_Periodo1[[#This Row],[CLASS]])&gt;=7,LEFT(Base_Periodo1[[#This Row],[CLASS]],7),"")</f>
        <v>2.1.2.2</v>
      </c>
      <c r="F3448" s="3" t="str">
        <f>VLOOKUP(Base_Periodo1[[#This Row],[Aux]],Base_Contas_Balanco[#All],2,FALSE)</f>
        <v>Fornecedores Não Cooperados</v>
      </c>
      <c r="G3448" s="1">
        <v>42886</v>
      </c>
      <c r="I3448" s="225">
        <v>640</v>
      </c>
      <c r="J3448" s="225">
        <v>1664</v>
      </c>
      <c r="K3448" s="225">
        <v>1024</v>
      </c>
      <c r="L34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1024</v>
      </c>
      <c r="M3448" s="225">
        <f>ROUND(IF(AND(Base_Periodo1[[#This Row],[Tipo_Linha]]="-",Base_Periodo1[[#This Row],[TIPOSALDO]]="D"),Base_Periodo1[[#This Row],[SALDO_ATUAL]]*-1,Base_Periodo1[[#This Row],[SALDO_ATUAL]]),4)</f>
        <v>1024</v>
      </c>
      <c r="N3448" t="s">
        <v>116</v>
      </c>
      <c r="O3448" t="s">
        <v>436</v>
      </c>
      <c r="P3448" t="s">
        <v>459</v>
      </c>
      <c r="Q3448">
        <v>7</v>
      </c>
      <c r="R3448" s="225">
        <f>Base_Periodo1[[#This Row],[CREDITOS]]-Base_Periodo1[[#This Row],[DEBITOS]]</f>
        <v>1024</v>
      </c>
      <c r="S3448" s="3" t="str">
        <f>IF(ISERROR(VLOOKUP(Base_Periodo1[[#This Row],[CONTA]],BaseContasDRE[#All],4,FALSE)),"Fora do DRE",VLOOKUP(Base_Periodo1[[#This Row],[CONTA]],BaseContasDRE[#All],4,FALSE))</f>
        <v>Fora do DRE</v>
      </c>
      <c r="T3448" s="3" t="str">
        <f>IF(ISERROR(VLOOKUP(Base_Periodo1[[#This Row],[CONTA]],BaseContasDRE[#All],5,FALSE)),"Fora do DRE",VLOOKUP(Base_Periodo1[[#This Row],[CONTA]],BaseContasDRE[#All],6,FALSE))</f>
        <v>Fora do DRE</v>
      </c>
      <c r="U3448" s="3" t="str">
        <f>IF(ISERROR(VLOOKUP(Base_Periodo1[[#This Row],[CONTA]],BaseContasDRE[#All],7,FALSE)),"Fora do DRE",VLOOKUP(Base_Periodo1[[#This Row],[CONTA]],BaseContasDRE[#All],7,FALSE))</f>
        <v>Fora do DRE</v>
      </c>
      <c r="V3448" s="3" t="str">
        <f>IF(Base_Periodo1[[#This Row],[Tipo_Linha]]="Fora do DRE","Fora do DRE","( "&amp;Base_Periodo1[[#This Row],[Tipo_Linha]]&amp;" ) "&amp;Base_Periodo1[[#This Row],[Filtro]])</f>
        <v>Fora do DRE</v>
      </c>
      <c r="W3448" s="3" t="str">
        <f>LEFT(Base_Periodo1[[#This Row],[CLASS]],3)</f>
        <v>2.1</v>
      </c>
    </row>
    <row r="3449" spans="1:23" hidden="1">
      <c r="A3449" s="3" t="str">
        <f t="shared" si="53"/>
        <v>Período 1</v>
      </c>
      <c r="B3449">
        <v>13981</v>
      </c>
      <c r="C3449" t="s">
        <v>2010</v>
      </c>
      <c r="D3449" t="s">
        <v>6960</v>
      </c>
      <c r="E3449" s="3" t="str">
        <f>IF(LEN(Base_Periodo1[[#This Row],[CLASS]])&gt;=7,LEFT(Base_Periodo1[[#This Row],[CLASS]],7),"")</f>
        <v>2.1.2.2</v>
      </c>
      <c r="F3449" s="3" t="str">
        <f>VLOOKUP(Base_Periodo1[[#This Row],[Aux]],Base_Contas_Balanco[#All],2,FALSE)</f>
        <v>Fornecedores Não Cooperados</v>
      </c>
      <c r="G3449" s="1">
        <v>42879</v>
      </c>
      <c r="I3449" s="225">
        <v>55.76</v>
      </c>
      <c r="J3449" s="225">
        <v>55.76</v>
      </c>
      <c r="K3449" s="225">
        <v>0</v>
      </c>
      <c r="L34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49" s="225">
        <f>ROUND(IF(AND(Base_Periodo1[[#This Row],[Tipo_Linha]]="-",Base_Periodo1[[#This Row],[TIPOSALDO]]="D"),Base_Periodo1[[#This Row],[SALDO_ATUAL]]*-1,Base_Periodo1[[#This Row],[SALDO_ATUAL]]),4)</f>
        <v>0</v>
      </c>
      <c r="N3449" t="s">
        <v>116</v>
      </c>
      <c r="O3449" t="s">
        <v>436</v>
      </c>
      <c r="P3449" t="s">
        <v>436</v>
      </c>
      <c r="Q3449">
        <v>7</v>
      </c>
      <c r="R3449" s="225">
        <f>Base_Periodo1[[#This Row],[CREDITOS]]-Base_Periodo1[[#This Row],[DEBITOS]]</f>
        <v>0</v>
      </c>
      <c r="S3449" s="3" t="str">
        <f>IF(ISERROR(VLOOKUP(Base_Periodo1[[#This Row],[CONTA]],BaseContasDRE[#All],4,FALSE)),"Fora do DRE",VLOOKUP(Base_Periodo1[[#This Row],[CONTA]],BaseContasDRE[#All],4,FALSE))</f>
        <v>Fora do DRE</v>
      </c>
      <c r="T3449" s="3" t="str">
        <f>IF(ISERROR(VLOOKUP(Base_Periodo1[[#This Row],[CONTA]],BaseContasDRE[#All],5,FALSE)),"Fora do DRE",VLOOKUP(Base_Periodo1[[#This Row],[CONTA]],BaseContasDRE[#All],6,FALSE))</f>
        <v>Fora do DRE</v>
      </c>
      <c r="U3449" s="3" t="str">
        <f>IF(ISERROR(VLOOKUP(Base_Periodo1[[#This Row],[CONTA]],BaseContasDRE[#All],7,FALSE)),"Fora do DRE",VLOOKUP(Base_Periodo1[[#This Row],[CONTA]],BaseContasDRE[#All],7,FALSE))</f>
        <v>Fora do DRE</v>
      </c>
      <c r="V3449" s="3" t="str">
        <f>IF(Base_Periodo1[[#This Row],[Tipo_Linha]]="Fora do DRE","Fora do DRE","( "&amp;Base_Periodo1[[#This Row],[Tipo_Linha]]&amp;" ) "&amp;Base_Periodo1[[#This Row],[Filtro]])</f>
        <v>Fora do DRE</v>
      </c>
      <c r="W3449" s="3" t="str">
        <f>LEFT(Base_Periodo1[[#This Row],[CLASS]],3)</f>
        <v>2.1</v>
      </c>
    </row>
    <row r="3450" spans="1:23" hidden="1">
      <c r="A3450" s="3" t="str">
        <f t="shared" si="53"/>
        <v>Período 1</v>
      </c>
      <c r="B3450">
        <v>11555</v>
      </c>
      <c r="C3450" t="s">
        <v>2010</v>
      </c>
      <c r="D3450" t="s">
        <v>5654</v>
      </c>
      <c r="E3450" s="3" t="str">
        <f>IF(LEN(Base_Periodo1[[#This Row],[CLASS]])&gt;=7,LEFT(Base_Periodo1[[#This Row],[CLASS]],7),"")</f>
        <v>2.1.2.2</v>
      </c>
      <c r="F3450" s="3" t="str">
        <f>VLOOKUP(Base_Periodo1[[#This Row],[Aux]],Base_Contas_Balanco[#All],2,FALSE)</f>
        <v>Fornecedores Não Cooperados</v>
      </c>
      <c r="G3450" s="1">
        <v>42859</v>
      </c>
      <c r="I3450" s="225">
        <v>39883.75</v>
      </c>
      <c r="J3450" s="225">
        <v>39883.75</v>
      </c>
      <c r="K3450" s="225">
        <v>1.4551915228366852E-11</v>
      </c>
      <c r="L34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50" s="225">
        <f>ROUND(IF(AND(Base_Periodo1[[#This Row],[Tipo_Linha]]="-",Base_Periodo1[[#This Row],[TIPOSALDO]]="D"),Base_Periodo1[[#This Row],[SALDO_ATUAL]]*-1,Base_Periodo1[[#This Row],[SALDO_ATUAL]]),4)</f>
        <v>0</v>
      </c>
      <c r="N3450" t="s">
        <v>116</v>
      </c>
      <c r="O3450" t="s">
        <v>436</v>
      </c>
      <c r="P3450" t="s">
        <v>436</v>
      </c>
      <c r="Q3450">
        <v>7</v>
      </c>
      <c r="R3450" s="225">
        <f>Base_Periodo1[[#This Row],[CREDITOS]]-Base_Periodo1[[#This Row],[DEBITOS]]</f>
        <v>0</v>
      </c>
      <c r="S3450" s="3" t="str">
        <f>IF(ISERROR(VLOOKUP(Base_Periodo1[[#This Row],[CONTA]],BaseContasDRE[#All],4,FALSE)),"Fora do DRE",VLOOKUP(Base_Periodo1[[#This Row],[CONTA]],BaseContasDRE[#All],4,FALSE))</f>
        <v>Fora do DRE</v>
      </c>
      <c r="T3450" s="3" t="str">
        <f>IF(ISERROR(VLOOKUP(Base_Periodo1[[#This Row],[CONTA]],BaseContasDRE[#All],5,FALSE)),"Fora do DRE",VLOOKUP(Base_Periodo1[[#This Row],[CONTA]],BaseContasDRE[#All],6,FALSE))</f>
        <v>Fora do DRE</v>
      </c>
      <c r="U3450" s="3" t="str">
        <f>IF(ISERROR(VLOOKUP(Base_Periodo1[[#This Row],[CONTA]],BaseContasDRE[#All],7,FALSE)),"Fora do DRE",VLOOKUP(Base_Periodo1[[#This Row],[CONTA]],BaseContasDRE[#All],7,FALSE))</f>
        <v>Fora do DRE</v>
      </c>
      <c r="V3450" s="3" t="str">
        <f>IF(Base_Periodo1[[#This Row],[Tipo_Linha]]="Fora do DRE","Fora do DRE","( "&amp;Base_Periodo1[[#This Row],[Tipo_Linha]]&amp;" ) "&amp;Base_Periodo1[[#This Row],[Filtro]])</f>
        <v>Fora do DRE</v>
      </c>
      <c r="W3450" s="3" t="str">
        <f>LEFT(Base_Periodo1[[#This Row],[CLASS]],3)</f>
        <v>2.1</v>
      </c>
    </row>
    <row r="3451" spans="1:23" hidden="1">
      <c r="A3451" s="3" t="str">
        <f t="shared" si="53"/>
        <v>Período 1</v>
      </c>
      <c r="B3451">
        <v>58823</v>
      </c>
      <c r="C3451" t="s">
        <v>2010</v>
      </c>
      <c r="D3451" t="s">
        <v>6756</v>
      </c>
      <c r="E3451" s="3" t="str">
        <f>IF(LEN(Base_Periodo1[[#This Row],[CLASS]])&gt;=7,LEFT(Base_Periodo1[[#This Row],[CLASS]],7),"")</f>
        <v>2.1.2.2</v>
      </c>
      <c r="F3451" s="3" t="str">
        <f>VLOOKUP(Base_Periodo1[[#This Row],[Aux]],Base_Contas_Balanco[#All],2,FALSE)</f>
        <v>Fornecedores Não Cooperados</v>
      </c>
      <c r="G3451" s="1">
        <v>42877</v>
      </c>
      <c r="I3451" s="225">
        <v>140</v>
      </c>
      <c r="J3451" s="225">
        <v>140</v>
      </c>
      <c r="K3451" s="225">
        <v>0</v>
      </c>
      <c r="L34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51" s="225">
        <f>ROUND(IF(AND(Base_Periodo1[[#This Row],[Tipo_Linha]]="-",Base_Periodo1[[#This Row],[TIPOSALDO]]="D"),Base_Periodo1[[#This Row],[SALDO_ATUAL]]*-1,Base_Periodo1[[#This Row],[SALDO_ATUAL]]),4)</f>
        <v>0</v>
      </c>
      <c r="N3451" t="s">
        <v>116</v>
      </c>
      <c r="O3451" t="s">
        <v>436</v>
      </c>
      <c r="P3451" t="s">
        <v>436</v>
      </c>
      <c r="Q3451">
        <v>7</v>
      </c>
      <c r="R3451" s="225">
        <f>Base_Periodo1[[#This Row],[CREDITOS]]-Base_Periodo1[[#This Row],[DEBITOS]]</f>
        <v>0</v>
      </c>
      <c r="S3451" s="3" t="str">
        <f>IF(ISERROR(VLOOKUP(Base_Periodo1[[#This Row],[CONTA]],BaseContasDRE[#All],4,FALSE)),"Fora do DRE",VLOOKUP(Base_Periodo1[[#This Row],[CONTA]],BaseContasDRE[#All],4,FALSE))</f>
        <v>Fora do DRE</v>
      </c>
      <c r="T3451" s="3" t="str">
        <f>IF(ISERROR(VLOOKUP(Base_Periodo1[[#This Row],[CONTA]],BaseContasDRE[#All],5,FALSE)),"Fora do DRE",VLOOKUP(Base_Periodo1[[#This Row],[CONTA]],BaseContasDRE[#All],6,FALSE))</f>
        <v>Fora do DRE</v>
      </c>
      <c r="U3451" s="3" t="str">
        <f>IF(ISERROR(VLOOKUP(Base_Periodo1[[#This Row],[CONTA]],BaseContasDRE[#All],7,FALSE)),"Fora do DRE",VLOOKUP(Base_Periodo1[[#This Row],[CONTA]],BaseContasDRE[#All],7,FALSE))</f>
        <v>Fora do DRE</v>
      </c>
      <c r="V3451" s="3" t="str">
        <f>IF(Base_Periodo1[[#This Row],[Tipo_Linha]]="Fora do DRE","Fora do DRE","( "&amp;Base_Periodo1[[#This Row],[Tipo_Linha]]&amp;" ) "&amp;Base_Periodo1[[#This Row],[Filtro]])</f>
        <v>Fora do DRE</v>
      </c>
      <c r="W3451" s="3" t="str">
        <f>LEFT(Base_Periodo1[[#This Row],[CLASS]],3)</f>
        <v>2.1</v>
      </c>
    </row>
    <row r="3452" spans="1:23" hidden="1">
      <c r="A3452" s="3" t="str">
        <f t="shared" si="53"/>
        <v>Período 1</v>
      </c>
      <c r="B3452">
        <v>12588</v>
      </c>
      <c r="C3452" t="s">
        <v>2010</v>
      </c>
      <c r="D3452" t="s">
        <v>5968</v>
      </c>
      <c r="E3452" s="3" t="str">
        <f>IF(LEN(Base_Periodo1[[#This Row],[CLASS]])&gt;=7,LEFT(Base_Periodo1[[#This Row],[CLASS]],7),"")</f>
        <v>2.1.2.2</v>
      </c>
      <c r="F3452" s="3" t="str">
        <f>VLOOKUP(Base_Periodo1[[#This Row],[Aux]],Base_Contas_Balanco[#All],2,FALSE)</f>
        <v>Fornecedores Não Cooperados</v>
      </c>
      <c r="G3452" s="1">
        <v>42881</v>
      </c>
      <c r="H3452" s="225">
        <v>52.699999999993452</v>
      </c>
      <c r="I3452" s="225">
        <v>326.7</v>
      </c>
      <c r="J3452" s="225">
        <v>274</v>
      </c>
      <c r="K3452" s="225">
        <v>6.5369931689929217E-12</v>
      </c>
      <c r="L34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52" s="225">
        <f>ROUND(IF(AND(Base_Periodo1[[#This Row],[Tipo_Linha]]="-",Base_Periodo1[[#This Row],[TIPOSALDO]]="D"),Base_Periodo1[[#This Row],[SALDO_ATUAL]]*-1,Base_Periodo1[[#This Row],[SALDO_ATUAL]]),4)</f>
        <v>0</v>
      </c>
      <c r="N3452" t="s">
        <v>116</v>
      </c>
      <c r="O3452" t="s">
        <v>459</v>
      </c>
      <c r="P3452" t="s">
        <v>436</v>
      </c>
      <c r="Q3452">
        <v>7</v>
      </c>
      <c r="R3452" s="225">
        <f>Base_Periodo1[[#This Row],[CREDITOS]]-Base_Periodo1[[#This Row],[DEBITOS]]</f>
        <v>-52.699999999999989</v>
      </c>
      <c r="S3452" s="3" t="str">
        <f>IF(ISERROR(VLOOKUP(Base_Periodo1[[#This Row],[CONTA]],BaseContasDRE[#All],4,FALSE)),"Fora do DRE",VLOOKUP(Base_Periodo1[[#This Row],[CONTA]],BaseContasDRE[#All],4,FALSE))</f>
        <v>Fora do DRE</v>
      </c>
      <c r="T3452" s="3" t="str">
        <f>IF(ISERROR(VLOOKUP(Base_Periodo1[[#This Row],[CONTA]],BaseContasDRE[#All],5,FALSE)),"Fora do DRE",VLOOKUP(Base_Periodo1[[#This Row],[CONTA]],BaseContasDRE[#All],6,FALSE))</f>
        <v>Fora do DRE</v>
      </c>
      <c r="U3452" s="3" t="str">
        <f>IF(ISERROR(VLOOKUP(Base_Periodo1[[#This Row],[CONTA]],BaseContasDRE[#All],7,FALSE)),"Fora do DRE",VLOOKUP(Base_Periodo1[[#This Row],[CONTA]],BaseContasDRE[#All],7,FALSE))</f>
        <v>Fora do DRE</v>
      </c>
      <c r="V3452" s="3" t="str">
        <f>IF(Base_Periodo1[[#This Row],[Tipo_Linha]]="Fora do DRE","Fora do DRE","( "&amp;Base_Periodo1[[#This Row],[Tipo_Linha]]&amp;" ) "&amp;Base_Periodo1[[#This Row],[Filtro]])</f>
        <v>Fora do DRE</v>
      </c>
      <c r="W3452" s="3" t="str">
        <f>LEFT(Base_Periodo1[[#This Row],[CLASS]],3)</f>
        <v>2.1</v>
      </c>
    </row>
    <row r="3453" spans="1:23" hidden="1">
      <c r="A3453" s="3" t="str">
        <f t="shared" si="53"/>
        <v>Período 1</v>
      </c>
      <c r="B3453">
        <v>11041</v>
      </c>
      <c r="C3453" t="s">
        <v>2010</v>
      </c>
      <c r="D3453" t="s">
        <v>2045</v>
      </c>
      <c r="E3453" s="3" t="str">
        <f>IF(LEN(Base_Periodo1[[#This Row],[CLASS]])&gt;=7,LEFT(Base_Periodo1[[#This Row],[CLASS]],7),"")</f>
        <v>2.1.2.2</v>
      </c>
      <c r="F3453" s="3" t="str">
        <f>VLOOKUP(Base_Periodo1[[#This Row],[Aux]],Base_Contas_Balanco[#All],2,FALSE)</f>
        <v>Fornecedores Não Cooperados</v>
      </c>
      <c r="G3453" s="1">
        <v>42865</v>
      </c>
      <c r="I3453" s="225">
        <v>1132.9000000000001</v>
      </c>
      <c r="J3453" s="225">
        <v>1132.9000000000001</v>
      </c>
      <c r="K3453" s="225">
        <v>-1.4551915228366852E-11</v>
      </c>
      <c r="L34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53" s="225">
        <f>ROUND(IF(AND(Base_Periodo1[[#This Row],[Tipo_Linha]]="-",Base_Periodo1[[#This Row],[TIPOSALDO]]="D"),Base_Periodo1[[#This Row],[SALDO_ATUAL]]*-1,Base_Periodo1[[#This Row],[SALDO_ATUAL]]),4)</f>
        <v>0</v>
      </c>
      <c r="N3453" t="s">
        <v>116</v>
      </c>
      <c r="O3453" t="s">
        <v>436</v>
      </c>
      <c r="P3453" t="s">
        <v>436</v>
      </c>
      <c r="Q3453">
        <v>7</v>
      </c>
      <c r="R3453" s="225">
        <f>Base_Periodo1[[#This Row],[CREDITOS]]-Base_Periodo1[[#This Row],[DEBITOS]]</f>
        <v>0</v>
      </c>
      <c r="S3453" s="3" t="str">
        <f>IF(ISERROR(VLOOKUP(Base_Periodo1[[#This Row],[CONTA]],BaseContasDRE[#All],4,FALSE)),"Fora do DRE",VLOOKUP(Base_Periodo1[[#This Row],[CONTA]],BaseContasDRE[#All],4,FALSE))</f>
        <v>Fora do DRE</v>
      </c>
      <c r="T3453" s="3" t="str">
        <f>IF(ISERROR(VLOOKUP(Base_Periodo1[[#This Row],[CONTA]],BaseContasDRE[#All],5,FALSE)),"Fora do DRE",VLOOKUP(Base_Periodo1[[#This Row],[CONTA]],BaseContasDRE[#All],6,FALSE))</f>
        <v>Fora do DRE</v>
      </c>
      <c r="U3453" s="3" t="str">
        <f>IF(ISERROR(VLOOKUP(Base_Periodo1[[#This Row],[CONTA]],BaseContasDRE[#All],7,FALSE)),"Fora do DRE",VLOOKUP(Base_Periodo1[[#This Row],[CONTA]],BaseContasDRE[#All],7,FALSE))</f>
        <v>Fora do DRE</v>
      </c>
      <c r="V3453" s="3" t="str">
        <f>IF(Base_Periodo1[[#This Row],[Tipo_Linha]]="Fora do DRE","Fora do DRE","( "&amp;Base_Periodo1[[#This Row],[Tipo_Linha]]&amp;" ) "&amp;Base_Periodo1[[#This Row],[Filtro]])</f>
        <v>Fora do DRE</v>
      </c>
      <c r="W3453" s="3" t="str">
        <f>LEFT(Base_Periodo1[[#This Row],[CLASS]],3)</f>
        <v>2.1</v>
      </c>
    </row>
    <row r="3454" spans="1:23" hidden="1">
      <c r="A3454" s="3" t="str">
        <f t="shared" si="53"/>
        <v>Período 1</v>
      </c>
      <c r="B3454">
        <v>18767</v>
      </c>
      <c r="C3454" t="s">
        <v>2010</v>
      </c>
      <c r="D3454" t="s">
        <v>2046</v>
      </c>
      <c r="E3454" s="3" t="str">
        <f>IF(LEN(Base_Periodo1[[#This Row],[CLASS]])&gt;=7,LEFT(Base_Periodo1[[#This Row],[CLASS]],7),"")</f>
        <v>2.1.2.2</v>
      </c>
      <c r="F3454" s="3" t="str">
        <f>VLOOKUP(Base_Periodo1[[#This Row],[Aux]],Base_Contas_Balanco[#All],2,FALSE)</f>
        <v>Fornecedores Não Cooperados</v>
      </c>
      <c r="G3454" s="1">
        <v>42242</v>
      </c>
      <c r="H3454" s="225">
        <v>73.369999999998981</v>
      </c>
      <c r="I3454" s="225">
        <v>0</v>
      </c>
      <c r="J3454" s="225">
        <v>0</v>
      </c>
      <c r="K3454" s="225">
        <v>73.369999999998981</v>
      </c>
      <c r="L34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73.37</v>
      </c>
      <c r="M3454" s="225">
        <f>ROUND(IF(AND(Base_Periodo1[[#This Row],[Tipo_Linha]]="-",Base_Periodo1[[#This Row],[TIPOSALDO]]="D"),Base_Periodo1[[#This Row],[SALDO_ATUAL]]*-1,Base_Periodo1[[#This Row],[SALDO_ATUAL]]),4)</f>
        <v>73.37</v>
      </c>
      <c r="N3454" t="s">
        <v>116</v>
      </c>
      <c r="O3454" t="s">
        <v>459</v>
      </c>
      <c r="P3454" t="s">
        <v>459</v>
      </c>
      <c r="Q3454">
        <v>7</v>
      </c>
      <c r="R3454" s="225">
        <f>Base_Periodo1[[#This Row],[CREDITOS]]-Base_Periodo1[[#This Row],[DEBITOS]]</f>
        <v>0</v>
      </c>
      <c r="S3454" s="3" t="str">
        <f>IF(ISERROR(VLOOKUP(Base_Periodo1[[#This Row],[CONTA]],BaseContasDRE[#All],4,FALSE)),"Fora do DRE",VLOOKUP(Base_Periodo1[[#This Row],[CONTA]],BaseContasDRE[#All],4,FALSE))</f>
        <v>Fora do DRE</v>
      </c>
      <c r="T3454" s="3" t="str">
        <f>IF(ISERROR(VLOOKUP(Base_Periodo1[[#This Row],[CONTA]],BaseContasDRE[#All],5,FALSE)),"Fora do DRE",VLOOKUP(Base_Periodo1[[#This Row],[CONTA]],BaseContasDRE[#All],6,FALSE))</f>
        <v>Fora do DRE</v>
      </c>
      <c r="U3454" s="3" t="str">
        <f>IF(ISERROR(VLOOKUP(Base_Periodo1[[#This Row],[CONTA]],BaseContasDRE[#All],7,FALSE)),"Fora do DRE",VLOOKUP(Base_Periodo1[[#This Row],[CONTA]],BaseContasDRE[#All],7,FALSE))</f>
        <v>Fora do DRE</v>
      </c>
      <c r="V3454" s="3" t="str">
        <f>IF(Base_Periodo1[[#This Row],[Tipo_Linha]]="Fora do DRE","Fora do DRE","( "&amp;Base_Periodo1[[#This Row],[Tipo_Linha]]&amp;" ) "&amp;Base_Periodo1[[#This Row],[Filtro]])</f>
        <v>Fora do DRE</v>
      </c>
      <c r="W3454" s="3" t="str">
        <f>LEFT(Base_Periodo1[[#This Row],[CLASS]],3)</f>
        <v>2.1</v>
      </c>
    </row>
    <row r="3455" spans="1:23" hidden="1">
      <c r="A3455" s="3" t="str">
        <f t="shared" si="53"/>
        <v>Período 1</v>
      </c>
      <c r="B3455">
        <v>36074</v>
      </c>
      <c r="C3455" t="s">
        <v>2010</v>
      </c>
      <c r="D3455" t="s">
        <v>6961</v>
      </c>
      <c r="E3455" s="3" t="str">
        <f>IF(LEN(Base_Periodo1[[#This Row],[CLASS]])&gt;=7,LEFT(Base_Periodo1[[#This Row],[CLASS]],7),"")</f>
        <v>2.1.2.2</v>
      </c>
      <c r="F3455" s="3" t="str">
        <f>VLOOKUP(Base_Periodo1[[#This Row],[Aux]],Base_Contas_Balanco[#All],2,FALSE)</f>
        <v>Fornecedores Não Cooperados</v>
      </c>
      <c r="G3455" s="1">
        <v>42885</v>
      </c>
      <c r="I3455" s="225">
        <v>3415.16</v>
      </c>
      <c r="J3455" s="225">
        <v>3415.16</v>
      </c>
      <c r="K3455" s="225">
        <v>-3.637978807091713E-12</v>
      </c>
      <c r="L34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55" s="225">
        <f>ROUND(IF(AND(Base_Periodo1[[#This Row],[Tipo_Linha]]="-",Base_Periodo1[[#This Row],[TIPOSALDO]]="D"),Base_Periodo1[[#This Row],[SALDO_ATUAL]]*-1,Base_Periodo1[[#This Row],[SALDO_ATUAL]]),4)</f>
        <v>0</v>
      </c>
      <c r="N3455" t="s">
        <v>116</v>
      </c>
      <c r="O3455" t="s">
        <v>436</v>
      </c>
      <c r="P3455" t="s">
        <v>436</v>
      </c>
      <c r="Q3455">
        <v>7</v>
      </c>
      <c r="R3455" s="225">
        <f>Base_Periodo1[[#This Row],[CREDITOS]]-Base_Periodo1[[#This Row],[DEBITOS]]</f>
        <v>0</v>
      </c>
      <c r="S3455" s="3" t="str">
        <f>IF(ISERROR(VLOOKUP(Base_Periodo1[[#This Row],[CONTA]],BaseContasDRE[#All],4,FALSE)),"Fora do DRE",VLOOKUP(Base_Periodo1[[#This Row],[CONTA]],BaseContasDRE[#All],4,FALSE))</f>
        <v>Fora do DRE</v>
      </c>
      <c r="T3455" s="3" t="str">
        <f>IF(ISERROR(VLOOKUP(Base_Periodo1[[#This Row],[CONTA]],BaseContasDRE[#All],5,FALSE)),"Fora do DRE",VLOOKUP(Base_Periodo1[[#This Row],[CONTA]],BaseContasDRE[#All],6,FALSE))</f>
        <v>Fora do DRE</v>
      </c>
      <c r="U3455" s="3" t="str">
        <f>IF(ISERROR(VLOOKUP(Base_Periodo1[[#This Row],[CONTA]],BaseContasDRE[#All],7,FALSE)),"Fora do DRE",VLOOKUP(Base_Periodo1[[#This Row],[CONTA]],BaseContasDRE[#All],7,FALSE))</f>
        <v>Fora do DRE</v>
      </c>
      <c r="V3455" s="3" t="str">
        <f>IF(Base_Periodo1[[#This Row],[Tipo_Linha]]="Fora do DRE","Fora do DRE","( "&amp;Base_Periodo1[[#This Row],[Tipo_Linha]]&amp;" ) "&amp;Base_Periodo1[[#This Row],[Filtro]])</f>
        <v>Fora do DRE</v>
      </c>
      <c r="W3455" s="3" t="str">
        <f>LEFT(Base_Periodo1[[#This Row],[CLASS]],3)</f>
        <v>2.1</v>
      </c>
    </row>
    <row r="3456" spans="1:23" hidden="1">
      <c r="A3456" s="3" t="str">
        <f t="shared" si="53"/>
        <v>Período 1</v>
      </c>
      <c r="B3456">
        <v>32410</v>
      </c>
      <c r="C3456" t="s">
        <v>2010</v>
      </c>
      <c r="D3456" t="s">
        <v>5181</v>
      </c>
      <c r="E3456" s="3" t="str">
        <f>IF(LEN(Base_Periodo1[[#This Row],[CLASS]])&gt;=7,LEFT(Base_Periodo1[[#This Row],[CLASS]],7),"")</f>
        <v>2.1.2.2</v>
      </c>
      <c r="F3456" s="3" t="str">
        <f>VLOOKUP(Base_Periodo1[[#This Row],[Aux]],Base_Contas_Balanco[#All],2,FALSE)</f>
        <v>Fornecedores Não Cooperados</v>
      </c>
      <c r="G3456" s="1">
        <v>42857</v>
      </c>
      <c r="H3456" s="225">
        <v>4012.2199999999721</v>
      </c>
      <c r="I3456" s="225">
        <v>4012.22</v>
      </c>
      <c r="J3456" s="225">
        <v>0</v>
      </c>
      <c r="K3456" s="225">
        <v>2.7739588404074311E-11</v>
      </c>
      <c r="L34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56" s="225">
        <f>ROUND(IF(AND(Base_Periodo1[[#This Row],[Tipo_Linha]]="-",Base_Periodo1[[#This Row],[TIPOSALDO]]="D"),Base_Periodo1[[#This Row],[SALDO_ATUAL]]*-1,Base_Periodo1[[#This Row],[SALDO_ATUAL]]),4)</f>
        <v>0</v>
      </c>
      <c r="N3456" t="s">
        <v>116</v>
      </c>
      <c r="O3456" t="s">
        <v>459</v>
      </c>
      <c r="P3456" t="s">
        <v>436</v>
      </c>
      <c r="Q3456">
        <v>7</v>
      </c>
      <c r="R3456" s="225">
        <f>Base_Periodo1[[#This Row],[CREDITOS]]-Base_Periodo1[[#This Row],[DEBITOS]]</f>
        <v>-4012.22</v>
      </c>
      <c r="S3456" s="3" t="str">
        <f>IF(ISERROR(VLOOKUP(Base_Periodo1[[#This Row],[CONTA]],BaseContasDRE[#All],4,FALSE)),"Fora do DRE",VLOOKUP(Base_Periodo1[[#This Row],[CONTA]],BaseContasDRE[#All],4,FALSE))</f>
        <v>Fora do DRE</v>
      </c>
      <c r="T3456" s="3" t="str">
        <f>IF(ISERROR(VLOOKUP(Base_Periodo1[[#This Row],[CONTA]],BaseContasDRE[#All],5,FALSE)),"Fora do DRE",VLOOKUP(Base_Periodo1[[#This Row],[CONTA]],BaseContasDRE[#All],6,FALSE))</f>
        <v>Fora do DRE</v>
      </c>
      <c r="U3456" s="3" t="str">
        <f>IF(ISERROR(VLOOKUP(Base_Periodo1[[#This Row],[CONTA]],BaseContasDRE[#All],7,FALSE)),"Fora do DRE",VLOOKUP(Base_Periodo1[[#This Row],[CONTA]],BaseContasDRE[#All],7,FALSE))</f>
        <v>Fora do DRE</v>
      </c>
      <c r="V3456" s="3" t="str">
        <f>IF(Base_Periodo1[[#This Row],[Tipo_Linha]]="Fora do DRE","Fora do DRE","( "&amp;Base_Periodo1[[#This Row],[Tipo_Linha]]&amp;" ) "&amp;Base_Periodo1[[#This Row],[Filtro]])</f>
        <v>Fora do DRE</v>
      </c>
      <c r="W3456" s="3" t="str">
        <f>LEFT(Base_Periodo1[[#This Row],[CLASS]],3)</f>
        <v>2.1</v>
      </c>
    </row>
    <row r="3457" spans="1:23" hidden="1">
      <c r="A3457" s="3" t="str">
        <f t="shared" si="53"/>
        <v>Período 1</v>
      </c>
      <c r="B3457">
        <v>53806</v>
      </c>
      <c r="C3457" t="s">
        <v>2010</v>
      </c>
      <c r="D3457" t="s">
        <v>5721</v>
      </c>
      <c r="E3457" s="3" t="str">
        <f>IF(LEN(Base_Periodo1[[#This Row],[CLASS]])&gt;=7,LEFT(Base_Periodo1[[#This Row],[CLASS]],7),"")</f>
        <v>2.1.2.2</v>
      </c>
      <c r="F3457" s="3" t="str">
        <f>VLOOKUP(Base_Periodo1[[#This Row],[Aux]],Base_Contas_Balanco[#All],2,FALSE)</f>
        <v>Fornecedores Não Cooperados</v>
      </c>
      <c r="G3457" s="1">
        <v>42857</v>
      </c>
      <c r="I3457" s="225">
        <v>2319</v>
      </c>
      <c r="J3457" s="225">
        <v>2319</v>
      </c>
      <c r="K3457" s="225">
        <v>0</v>
      </c>
      <c r="L34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57" s="225">
        <f>ROUND(IF(AND(Base_Periodo1[[#This Row],[Tipo_Linha]]="-",Base_Periodo1[[#This Row],[TIPOSALDO]]="D"),Base_Periodo1[[#This Row],[SALDO_ATUAL]]*-1,Base_Periodo1[[#This Row],[SALDO_ATUAL]]),4)</f>
        <v>0</v>
      </c>
      <c r="N3457" t="s">
        <v>116</v>
      </c>
      <c r="O3457" t="s">
        <v>436</v>
      </c>
      <c r="P3457" t="s">
        <v>436</v>
      </c>
      <c r="Q3457">
        <v>7</v>
      </c>
      <c r="R3457" s="225">
        <f>Base_Periodo1[[#This Row],[CREDITOS]]-Base_Periodo1[[#This Row],[DEBITOS]]</f>
        <v>0</v>
      </c>
      <c r="S3457" s="3" t="str">
        <f>IF(ISERROR(VLOOKUP(Base_Periodo1[[#This Row],[CONTA]],BaseContasDRE[#All],4,FALSE)),"Fora do DRE",VLOOKUP(Base_Periodo1[[#This Row],[CONTA]],BaseContasDRE[#All],4,FALSE))</f>
        <v>Fora do DRE</v>
      </c>
      <c r="T3457" s="3" t="str">
        <f>IF(ISERROR(VLOOKUP(Base_Periodo1[[#This Row],[CONTA]],BaseContasDRE[#All],5,FALSE)),"Fora do DRE",VLOOKUP(Base_Periodo1[[#This Row],[CONTA]],BaseContasDRE[#All],6,FALSE))</f>
        <v>Fora do DRE</v>
      </c>
      <c r="U3457" s="3" t="str">
        <f>IF(ISERROR(VLOOKUP(Base_Periodo1[[#This Row],[CONTA]],BaseContasDRE[#All],7,FALSE)),"Fora do DRE",VLOOKUP(Base_Periodo1[[#This Row],[CONTA]],BaseContasDRE[#All],7,FALSE))</f>
        <v>Fora do DRE</v>
      </c>
      <c r="V3457" s="3" t="str">
        <f>IF(Base_Periodo1[[#This Row],[Tipo_Linha]]="Fora do DRE","Fora do DRE","( "&amp;Base_Periodo1[[#This Row],[Tipo_Linha]]&amp;" ) "&amp;Base_Periodo1[[#This Row],[Filtro]])</f>
        <v>Fora do DRE</v>
      </c>
      <c r="W3457" s="3" t="str">
        <f>LEFT(Base_Periodo1[[#This Row],[CLASS]],3)</f>
        <v>2.1</v>
      </c>
    </row>
    <row r="3458" spans="1:23" hidden="1">
      <c r="A3458" s="3" t="str">
        <f t="shared" si="53"/>
        <v>Período 1</v>
      </c>
      <c r="B3458">
        <v>59021</v>
      </c>
      <c r="C3458" t="s">
        <v>2010</v>
      </c>
      <c r="D3458" t="s">
        <v>6962</v>
      </c>
      <c r="E3458" s="3" t="str">
        <f>IF(LEN(Base_Periodo1[[#This Row],[CLASS]])&gt;=7,LEFT(Base_Periodo1[[#This Row],[CLASS]],7),"")</f>
        <v>2.1.2.2</v>
      </c>
      <c r="F3458" s="3" t="str">
        <f>VLOOKUP(Base_Periodo1[[#This Row],[Aux]],Base_Contas_Balanco[#All],2,FALSE)</f>
        <v>Fornecedores Não Cooperados</v>
      </c>
      <c r="G3458" s="1">
        <v>42874</v>
      </c>
      <c r="I3458" s="225">
        <v>1611.67</v>
      </c>
      <c r="J3458" s="225">
        <v>1611.67</v>
      </c>
      <c r="K3458" s="225">
        <v>0</v>
      </c>
      <c r="L34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58" s="225">
        <f>ROUND(IF(AND(Base_Periodo1[[#This Row],[Tipo_Linha]]="-",Base_Periodo1[[#This Row],[TIPOSALDO]]="D"),Base_Periodo1[[#This Row],[SALDO_ATUAL]]*-1,Base_Periodo1[[#This Row],[SALDO_ATUAL]]),4)</f>
        <v>0</v>
      </c>
      <c r="N3458" t="s">
        <v>116</v>
      </c>
      <c r="O3458" t="s">
        <v>436</v>
      </c>
      <c r="P3458" t="s">
        <v>436</v>
      </c>
      <c r="Q3458">
        <v>7</v>
      </c>
      <c r="R3458" s="225">
        <f>Base_Periodo1[[#This Row],[CREDITOS]]-Base_Periodo1[[#This Row],[DEBITOS]]</f>
        <v>0</v>
      </c>
      <c r="S3458" s="3" t="str">
        <f>IF(ISERROR(VLOOKUP(Base_Periodo1[[#This Row],[CONTA]],BaseContasDRE[#All],4,FALSE)),"Fora do DRE",VLOOKUP(Base_Periodo1[[#This Row],[CONTA]],BaseContasDRE[#All],4,FALSE))</f>
        <v>Fora do DRE</v>
      </c>
      <c r="T3458" s="3" t="str">
        <f>IF(ISERROR(VLOOKUP(Base_Periodo1[[#This Row],[CONTA]],BaseContasDRE[#All],5,FALSE)),"Fora do DRE",VLOOKUP(Base_Periodo1[[#This Row],[CONTA]],BaseContasDRE[#All],6,FALSE))</f>
        <v>Fora do DRE</v>
      </c>
      <c r="U3458" s="3" t="str">
        <f>IF(ISERROR(VLOOKUP(Base_Periodo1[[#This Row],[CONTA]],BaseContasDRE[#All],7,FALSE)),"Fora do DRE",VLOOKUP(Base_Periodo1[[#This Row],[CONTA]],BaseContasDRE[#All],7,FALSE))</f>
        <v>Fora do DRE</v>
      </c>
      <c r="V3458" s="3" t="str">
        <f>IF(Base_Periodo1[[#This Row],[Tipo_Linha]]="Fora do DRE","Fora do DRE","( "&amp;Base_Periodo1[[#This Row],[Tipo_Linha]]&amp;" ) "&amp;Base_Periodo1[[#This Row],[Filtro]])</f>
        <v>Fora do DRE</v>
      </c>
      <c r="W3458" s="3" t="str">
        <f>LEFT(Base_Periodo1[[#This Row],[CLASS]],3)</f>
        <v>2.1</v>
      </c>
    </row>
    <row r="3459" spans="1:23" hidden="1">
      <c r="A3459" s="3" t="str">
        <f t="shared" si="53"/>
        <v>Período 1</v>
      </c>
      <c r="B3459">
        <v>9589</v>
      </c>
      <c r="C3459" t="s">
        <v>2010</v>
      </c>
      <c r="D3459" t="s">
        <v>2047</v>
      </c>
      <c r="E3459" s="3" t="str">
        <f>IF(LEN(Base_Periodo1[[#This Row],[CLASS]])&gt;=7,LEFT(Base_Periodo1[[#This Row],[CLASS]],7),"")</f>
        <v>2.1.2.2</v>
      </c>
      <c r="F3459" s="3" t="str">
        <f>VLOOKUP(Base_Periodo1[[#This Row],[Aux]],Base_Contas_Balanco[#All],2,FALSE)</f>
        <v>Fornecedores Não Cooperados</v>
      </c>
      <c r="G3459" s="1">
        <v>42060</v>
      </c>
      <c r="H3459" s="225">
        <v>390.83000000000175</v>
      </c>
      <c r="I3459" s="225">
        <v>0</v>
      </c>
      <c r="J3459" s="225">
        <v>0</v>
      </c>
      <c r="K3459" s="225">
        <v>390.83000000000175</v>
      </c>
      <c r="L34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390.83</v>
      </c>
      <c r="M3459" s="225">
        <f>ROUND(IF(AND(Base_Periodo1[[#This Row],[Tipo_Linha]]="-",Base_Periodo1[[#This Row],[TIPOSALDO]]="D"),Base_Periodo1[[#This Row],[SALDO_ATUAL]]*-1,Base_Periodo1[[#This Row],[SALDO_ATUAL]]),4)</f>
        <v>390.83</v>
      </c>
      <c r="N3459" t="s">
        <v>116</v>
      </c>
      <c r="O3459" t="s">
        <v>459</v>
      </c>
      <c r="P3459" t="s">
        <v>459</v>
      </c>
      <c r="Q3459">
        <v>7</v>
      </c>
      <c r="R3459" s="225">
        <f>Base_Periodo1[[#This Row],[CREDITOS]]-Base_Periodo1[[#This Row],[DEBITOS]]</f>
        <v>0</v>
      </c>
      <c r="S3459" s="3" t="str">
        <f>IF(ISERROR(VLOOKUP(Base_Periodo1[[#This Row],[CONTA]],BaseContasDRE[#All],4,FALSE)),"Fora do DRE",VLOOKUP(Base_Periodo1[[#This Row],[CONTA]],BaseContasDRE[#All],4,FALSE))</f>
        <v>Fora do DRE</v>
      </c>
      <c r="T3459" s="3" t="str">
        <f>IF(ISERROR(VLOOKUP(Base_Periodo1[[#This Row],[CONTA]],BaseContasDRE[#All],5,FALSE)),"Fora do DRE",VLOOKUP(Base_Periodo1[[#This Row],[CONTA]],BaseContasDRE[#All],6,FALSE))</f>
        <v>Fora do DRE</v>
      </c>
      <c r="U3459" s="3" t="str">
        <f>IF(ISERROR(VLOOKUP(Base_Periodo1[[#This Row],[CONTA]],BaseContasDRE[#All],7,FALSE)),"Fora do DRE",VLOOKUP(Base_Periodo1[[#This Row],[CONTA]],BaseContasDRE[#All],7,FALSE))</f>
        <v>Fora do DRE</v>
      </c>
      <c r="V3459" s="3" t="str">
        <f>IF(Base_Periodo1[[#This Row],[Tipo_Linha]]="Fora do DRE","Fora do DRE","( "&amp;Base_Periodo1[[#This Row],[Tipo_Linha]]&amp;" ) "&amp;Base_Periodo1[[#This Row],[Filtro]])</f>
        <v>Fora do DRE</v>
      </c>
      <c r="W3459" s="3" t="str">
        <f>LEFT(Base_Periodo1[[#This Row],[CLASS]],3)</f>
        <v>2.1</v>
      </c>
    </row>
    <row r="3460" spans="1:23" hidden="1">
      <c r="A3460" s="3" t="str">
        <f t="shared" si="53"/>
        <v>Período 1</v>
      </c>
      <c r="B3460">
        <v>41168</v>
      </c>
      <c r="C3460" t="s">
        <v>2010</v>
      </c>
      <c r="D3460" t="s">
        <v>613</v>
      </c>
      <c r="E3460" s="3" t="str">
        <f>IF(LEN(Base_Periodo1[[#This Row],[CLASS]])&gt;=7,LEFT(Base_Periodo1[[#This Row],[CLASS]],7),"")</f>
        <v>2.1.2.2</v>
      </c>
      <c r="F3460" s="3" t="str">
        <f>VLOOKUP(Base_Periodo1[[#This Row],[Aux]],Base_Contas_Balanco[#All],2,FALSE)</f>
        <v>Fornecedores Não Cooperados</v>
      </c>
      <c r="G3460" s="1">
        <v>42871</v>
      </c>
      <c r="H3460" s="225">
        <v>5037.92</v>
      </c>
      <c r="I3460" s="225">
        <v>5037.92</v>
      </c>
      <c r="J3460" s="225">
        <v>0</v>
      </c>
      <c r="K3460" s="225">
        <v>0</v>
      </c>
      <c r="L34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60" s="225">
        <f>ROUND(IF(AND(Base_Periodo1[[#This Row],[Tipo_Linha]]="-",Base_Periodo1[[#This Row],[TIPOSALDO]]="D"),Base_Periodo1[[#This Row],[SALDO_ATUAL]]*-1,Base_Periodo1[[#This Row],[SALDO_ATUAL]]),4)</f>
        <v>0</v>
      </c>
      <c r="N3460" t="s">
        <v>116</v>
      </c>
      <c r="O3460" t="s">
        <v>459</v>
      </c>
      <c r="P3460" t="s">
        <v>436</v>
      </c>
      <c r="Q3460">
        <v>7</v>
      </c>
      <c r="R3460" s="225">
        <f>Base_Periodo1[[#This Row],[CREDITOS]]-Base_Periodo1[[#This Row],[DEBITOS]]</f>
        <v>-5037.92</v>
      </c>
      <c r="S3460" s="3" t="str">
        <f>IF(ISERROR(VLOOKUP(Base_Periodo1[[#This Row],[CONTA]],BaseContasDRE[#All],4,FALSE)),"Fora do DRE",VLOOKUP(Base_Periodo1[[#This Row],[CONTA]],BaseContasDRE[#All],4,FALSE))</f>
        <v>Fora do DRE</v>
      </c>
      <c r="T3460" s="3" t="str">
        <f>IF(ISERROR(VLOOKUP(Base_Periodo1[[#This Row],[CONTA]],BaseContasDRE[#All],5,FALSE)),"Fora do DRE",VLOOKUP(Base_Periodo1[[#This Row],[CONTA]],BaseContasDRE[#All],6,FALSE))</f>
        <v>Fora do DRE</v>
      </c>
      <c r="U3460" s="3" t="str">
        <f>IF(ISERROR(VLOOKUP(Base_Periodo1[[#This Row],[CONTA]],BaseContasDRE[#All],7,FALSE)),"Fora do DRE",VLOOKUP(Base_Periodo1[[#This Row],[CONTA]],BaseContasDRE[#All],7,FALSE))</f>
        <v>Fora do DRE</v>
      </c>
      <c r="V3460" s="3" t="str">
        <f>IF(Base_Periodo1[[#This Row],[Tipo_Linha]]="Fora do DRE","Fora do DRE","( "&amp;Base_Periodo1[[#This Row],[Tipo_Linha]]&amp;" ) "&amp;Base_Periodo1[[#This Row],[Filtro]])</f>
        <v>Fora do DRE</v>
      </c>
      <c r="W3460" s="3" t="str">
        <f>LEFT(Base_Periodo1[[#This Row],[CLASS]],3)</f>
        <v>2.1</v>
      </c>
    </row>
    <row r="3461" spans="1:23" hidden="1">
      <c r="A3461" s="3" t="str">
        <f t="shared" si="53"/>
        <v>Período 1</v>
      </c>
      <c r="B3461">
        <v>10549</v>
      </c>
      <c r="C3461" t="s">
        <v>2010</v>
      </c>
      <c r="D3461" t="s">
        <v>6757</v>
      </c>
      <c r="E3461" s="3" t="str">
        <f>IF(LEN(Base_Periodo1[[#This Row],[CLASS]])&gt;=7,LEFT(Base_Periodo1[[#This Row],[CLASS]],7),"")</f>
        <v>2.1.2.2</v>
      </c>
      <c r="F3461" s="3" t="str">
        <f>VLOOKUP(Base_Periodo1[[#This Row],[Aux]],Base_Contas_Balanco[#All],2,FALSE)</f>
        <v>Fornecedores Não Cooperados</v>
      </c>
      <c r="G3461" s="1">
        <v>42885</v>
      </c>
      <c r="I3461" s="225">
        <v>6586.03</v>
      </c>
      <c r="J3461" s="225">
        <v>6586.03</v>
      </c>
      <c r="K3461" s="225">
        <v>1.4551915228366852E-11</v>
      </c>
      <c r="L34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61" s="225">
        <f>ROUND(IF(AND(Base_Periodo1[[#This Row],[Tipo_Linha]]="-",Base_Periodo1[[#This Row],[TIPOSALDO]]="D"),Base_Periodo1[[#This Row],[SALDO_ATUAL]]*-1,Base_Periodo1[[#This Row],[SALDO_ATUAL]]),4)</f>
        <v>0</v>
      </c>
      <c r="N3461" t="s">
        <v>116</v>
      </c>
      <c r="O3461" t="s">
        <v>436</v>
      </c>
      <c r="P3461" t="s">
        <v>436</v>
      </c>
      <c r="Q3461">
        <v>7</v>
      </c>
      <c r="R3461" s="225">
        <f>Base_Periodo1[[#This Row],[CREDITOS]]-Base_Periodo1[[#This Row],[DEBITOS]]</f>
        <v>0</v>
      </c>
      <c r="S3461" s="3" t="str">
        <f>IF(ISERROR(VLOOKUP(Base_Periodo1[[#This Row],[CONTA]],BaseContasDRE[#All],4,FALSE)),"Fora do DRE",VLOOKUP(Base_Periodo1[[#This Row],[CONTA]],BaseContasDRE[#All],4,FALSE))</f>
        <v>Fora do DRE</v>
      </c>
      <c r="T3461" s="3" t="str">
        <f>IF(ISERROR(VLOOKUP(Base_Periodo1[[#This Row],[CONTA]],BaseContasDRE[#All],5,FALSE)),"Fora do DRE",VLOOKUP(Base_Periodo1[[#This Row],[CONTA]],BaseContasDRE[#All],6,FALSE))</f>
        <v>Fora do DRE</v>
      </c>
      <c r="U3461" s="3" t="str">
        <f>IF(ISERROR(VLOOKUP(Base_Periodo1[[#This Row],[CONTA]],BaseContasDRE[#All],7,FALSE)),"Fora do DRE",VLOOKUP(Base_Periodo1[[#This Row],[CONTA]],BaseContasDRE[#All],7,FALSE))</f>
        <v>Fora do DRE</v>
      </c>
      <c r="V3461" s="3" t="str">
        <f>IF(Base_Periodo1[[#This Row],[Tipo_Linha]]="Fora do DRE","Fora do DRE","( "&amp;Base_Periodo1[[#This Row],[Tipo_Linha]]&amp;" ) "&amp;Base_Periodo1[[#This Row],[Filtro]])</f>
        <v>Fora do DRE</v>
      </c>
      <c r="W3461" s="3" t="str">
        <f>LEFT(Base_Periodo1[[#This Row],[CLASS]],3)</f>
        <v>2.1</v>
      </c>
    </row>
    <row r="3462" spans="1:23" hidden="1">
      <c r="A3462" s="3" t="str">
        <f t="shared" ref="A3462:A3525" si="54">"Período 1"</f>
        <v>Período 1</v>
      </c>
      <c r="B3462">
        <v>21681</v>
      </c>
      <c r="C3462" t="s">
        <v>2010</v>
      </c>
      <c r="D3462" t="s">
        <v>6963</v>
      </c>
      <c r="E3462" s="3" t="str">
        <f>IF(LEN(Base_Periodo1[[#This Row],[CLASS]])&gt;=7,LEFT(Base_Periodo1[[#This Row],[CLASS]],7),"")</f>
        <v>2.1.2.2</v>
      </c>
      <c r="F3462" s="3" t="str">
        <f>VLOOKUP(Base_Periodo1[[#This Row],[Aux]],Base_Contas_Balanco[#All],2,FALSE)</f>
        <v>Fornecedores Não Cooperados</v>
      </c>
      <c r="G3462" s="1">
        <v>42866</v>
      </c>
      <c r="I3462" s="225">
        <v>2410</v>
      </c>
      <c r="J3462" s="225">
        <v>2410</v>
      </c>
      <c r="K3462" s="225">
        <v>-3.637978807091713E-12</v>
      </c>
      <c r="L34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62" s="225">
        <f>ROUND(IF(AND(Base_Periodo1[[#This Row],[Tipo_Linha]]="-",Base_Periodo1[[#This Row],[TIPOSALDO]]="D"),Base_Periodo1[[#This Row],[SALDO_ATUAL]]*-1,Base_Periodo1[[#This Row],[SALDO_ATUAL]]),4)</f>
        <v>0</v>
      </c>
      <c r="N3462" t="s">
        <v>116</v>
      </c>
      <c r="O3462" t="s">
        <v>436</v>
      </c>
      <c r="P3462" t="s">
        <v>436</v>
      </c>
      <c r="Q3462">
        <v>7</v>
      </c>
      <c r="R3462" s="225">
        <f>Base_Periodo1[[#This Row],[CREDITOS]]-Base_Periodo1[[#This Row],[DEBITOS]]</f>
        <v>0</v>
      </c>
      <c r="S3462" s="3" t="str">
        <f>IF(ISERROR(VLOOKUP(Base_Periodo1[[#This Row],[CONTA]],BaseContasDRE[#All],4,FALSE)),"Fora do DRE",VLOOKUP(Base_Periodo1[[#This Row],[CONTA]],BaseContasDRE[#All],4,FALSE))</f>
        <v>Fora do DRE</v>
      </c>
      <c r="T3462" s="3" t="str">
        <f>IF(ISERROR(VLOOKUP(Base_Periodo1[[#This Row],[CONTA]],BaseContasDRE[#All],5,FALSE)),"Fora do DRE",VLOOKUP(Base_Periodo1[[#This Row],[CONTA]],BaseContasDRE[#All],6,FALSE))</f>
        <v>Fora do DRE</v>
      </c>
      <c r="U3462" s="3" t="str">
        <f>IF(ISERROR(VLOOKUP(Base_Periodo1[[#This Row],[CONTA]],BaseContasDRE[#All],7,FALSE)),"Fora do DRE",VLOOKUP(Base_Periodo1[[#This Row],[CONTA]],BaseContasDRE[#All],7,FALSE))</f>
        <v>Fora do DRE</v>
      </c>
      <c r="V3462" s="3" t="str">
        <f>IF(Base_Periodo1[[#This Row],[Tipo_Linha]]="Fora do DRE","Fora do DRE","( "&amp;Base_Periodo1[[#This Row],[Tipo_Linha]]&amp;" ) "&amp;Base_Periodo1[[#This Row],[Filtro]])</f>
        <v>Fora do DRE</v>
      </c>
      <c r="W3462" s="3" t="str">
        <f>LEFT(Base_Periodo1[[#This Row],[CLASS]],3)</f>
        <v>2.1</v>
      </c>
    </row>
    <row r="3463" spans="1:23" hidden="1">
      <c r="A3463" s="3" t="str">
        <f t="shared" si="54"/>
        <v>Período 1</v>
      </c>
      <c r="B3463">
        <v>10122</v>
      </c>
      <c r="C3463" t="s">
        <v>2010</v>
      </c>
      <c r="D3463" t="s">
        <v>6452</v>
      </c>
      <c r="E3463" s="3" t="str">
        <f>IF(LEN(Base_Periodo1[[#This Row],[CLASS]])&gt;=7,LEFT(Base_Periodo1[[#This Row],[CLASS]],7),"")</f>
        <v>2.1.2.2</v>
      </c>
      <c r="F3463" s="3" t="str">
        <f>VLOOKUP(Base_Periodo1[[#This Row],[Aux]],Base_Contas_Balanco[#All],2,FALSE)</f>
        <v>Fornecedores Não Cooperados</v>
      </c>
      <c r="G3463" s="1">
        <v>42881</v>
      </c>
      <c r="I3463" s="225">
        <v>216</v>
      </c>
      <c r="J3463" s="225">
        <v>216</v>
      </c>
      <c r="K3463" s="225">
        <v>0</v>
      </c>
      <c r="L34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63" s="225">
        <f>ROUND(IF(AND(Base_Periodo1[[#This Row],[Tipo_Linha]]="-",Base_Periodo1[[#This Row],[TIPOSALDO]]="D"),Base_Periodo1[[#This Row],[SALDO_ATUAL]]*-1,Base_Periodo1[[#This Row],[SALDO_ATUAL]]),4)</f>
        <v>0</v>
      </c>
      <c r="N3463" t="s">
        <v>116</v>
      </c>
      <c r="O3463" t="s">
        <v>436</v>
      </c>
      <c r="P3463" t="s">
        <v>436</v>
      </c>
      <c r="Q3463">
        <v>7</v>
      </c>
      <c r="R3463" s="225">
        <f>Base_Periodo1[[#This Row],[CREDITOS]]-Base_Periodo1[[#This Row],[DEBITOS]]</f>
        <v>0</v>
      </c>
      <c r="S3463" s="3" t="str">
        <f>IF(ISERROR(VLOOKUP(Base_Periodo1[[#This Row],[CONTA]],BaseContasDRE[#All],4,FALSE)),"Fora do DRE",VLOOKUP(Base_Periodo1[[#This Row],[CONTA]],BaseContasDRE[#All],4,FALSE))</f>
        <v>Fora do DRE</v>
      </c>
      <c r="T3463" s="3" t="str">
        <f>IF(ISERROR(VLOOKUP(Base_Periodo1[[#This Row],[CONTA]],BaseContasDRE[#All],5,FALSE)),"Fora do DRE",VLOOKUP(Base_Periodo1[[#This Row],[CONTA]],BaseContasDRE[#All],6,FALSE))</f>
        <v>Fora do DRE</v>
      </c>
      <c r="U3463" s="3" t="str">
        <f>IF(ISERROR(VLOOKUP(Base_Periodo1[[#This Row],[CONTA]],BaseContasDRE[#All],7,FALSE)),"Fora do DRE",VLOOKUP(Base_Periodo1[[#This Row],[CONTA]],BaseContasDRE[#All],7,FALSE))</f>
        <v>Fora do DRE</v>
      </c>
      <c r="V3463" s="3" t="str">
        <f>IF(Base_Periodo1[[#This Row],[Tipo_Linha]]="Fora do DRE","Fora do DRE","( "&amp;Base_Periodo1[[#This Row],[Tipo_Linha]]&amp;" ) "&amp;Base_Periodo1[[#This Row],[Filtro]])</f>
        <v>Fora do DRE</v>
      </c>
      <c r="W3463" s="3" t="str">
        <f>LEFT(Base_Periodo1[[#This Row],[CLASS]],3)</f>
        <v>2.1</v>
      </c>
    </row>
    <row r="3464" spans="1:23" hidden="1">
      <c r="A3464" s="3" t="str">
        <f t="shared" si="54"/>
        <v>Período 1</v>
      </c>
      <c r="B3464">
        <v>16772</v>
      </c>
      <c r="C3464" t="s">
        <v>2010</v>
      </c>
      <c r="D3464" t="s">
        <v>4209</v>
      </c>
      <c r="E3464" s="3" t="str">
        <f>IF(LEN(Base_Periodo1[[#This Row],[CLASS]])&gt;=7,LEFT(Base_Periodo1[[#This Row],[CLASS]],7),"")</f>
        <v>2.1.2.2</v>
      </c>
      <c r="F3464" s="3" t="str">
        <f>VLOOKUP(Base_Periodo1[[#This Row],[Aux]],Base_Contas_Balanco[#All],2,FALSE)</f>
        <v>Fornecedores Não Cooperados</v>
      </c>
      <c r="G3464" s="1">
        <v>42885</v>
      </c>
      <c r="I3464" s="225">
        <v>1274.5100000000002</v>
      </c>
      <c r="J3464" s="225">
        <v>1274.51</v>
      </c>
      <c r="K3464" s="225">
        <v>2.6216184778604656E-10</v>
      </c>
      <c r="L34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64" s="225">
        <f>ROUND(IF(AND(Base_Periodo1[[#This Row],[Tipo_Linha]]="-",Base_Periodo1[[#This Row],[TIPOSALDO]]="D"),Base_Periodo1[[#This Row],[SALDO_ATUAL]]*-1,Base_Periodo1[[#This Row],[SALDO_ATUAL]]),4)</f>
        <v>0</v>
      </c>
      <c r="N3464" t="s">
        <v>116</v>
      </c>
      <c r="O3464" t="s">
        <v>436</v>
      </c>
      <c r="P3464" t="s">
        <v>436</v>
      </c>
      <c r="Q3464">
        <v>7</v>
      </c>
      <c r="R3464" s="225">
        <f>Base_Periodo1[[#This Row],[CREDITOS]]-Base_Periodo1[[#This Row],[DEBITOS]]</f>
        <v>0</v>
      </c>
      <c r="S3464" s="3" t="str">
        <f>IF(ISERROR(VLOOKUP(Base_Periodo1[[#This Row],[CONTA]],BaseContasDRE[#All],4,FALSE)),"Fora do DRE",VLOOKUP(Base_Periodo1[[#This Row],[CONTA]],BaseContasDRE[#All],4,FALSE))</f>
        <v>Fora do DRE</v>
      </c>
      <c r="T3464" s="3" t="str">
        <f>IF(ISERROR(VLOOKUP(Base_Periodo1[[#This Row],[CONTA]],BaseContasDRE[#All],5,FALSE)),"Fora do DRE",VLOOKUP(Base_Periodo1[[#This Row],[CONTA]],BaseContasDRE[#All],6,FALSE))</f>
        <v>Fora do DRE</v>
      </c>
      <c r="U3464" s="3" t="str">
        <f>IF(ISERROR(VLOOKUP(Base_Periodo1[[#This Row],[CONTA]],BaseContasDRE[#All],7,FALSE)),"Fora do DRE",VLOOKUP(Base_Periodo1[[#This Row],[CONTA]],BaseContasDRE[#All],7,FALSE))</f>
        <v>Fora do DRE</v>
      </c>
      <c r="V3464" s="3" t="str">
        <f>IF(Base_Periodo1[[#This Row],[Tipo_Linha]]="Fora do DRE","Fora do DRE","( "&amp;Base_Periodo1[[#This Row],[Tipo_Linha]]&amp;" ) "&amp;Base_Periodo1[[#This Row],[Filtro]])</f>
        <v>Fora do DRE</v>
      </c>
      <c r="W3464" s="3" t="str">
        <f>LEFT(Base_Periodo1[[#This Row],[CLASS]],3)</f>
        <v>2.1</v>
      </c>
    </row>
    <row r="3465" spans="1:23" hidden="1">
      <c r="A3465" s="3" t="str">
        <f t="shared" si="54"/>
        <v>Período 1</v>
      </c>
      <c r="B3465">
        <v>8381</v>
      </c>
      <c r="C3465" t="s">
        <v>2010</v>
      </c>
      <c r="D3465" t="s">
        <v>6453</v>
      </c>
      <c r="E3465" s="3" t="str">
        <f>IF(LEN(Base_Periodo1[[#This Row],[CLASS]])&gt;=7,LEFT(Base_Periodo1[[#This Row],[CLASS]],7),"")</f>
        <v>2.1.2.2</v>
      </c>
      <c r="F3465" s="3" t="str">
        <f>VLOOKUP(Base_Periodo1[[#This Row],[Aux]],Base_Contas_Balanco[#All],2,FALSE)</f>
        <v>Fornecedores Não Cooperados</v>
      </c>
      <c r="G3465" s="1">
        <v>42870</v>
      </c>
      <c r="I3465" s="225">
        <v>0</v>
      </c>
      <c r="J3465" s="225">
        <v>1770</v>
      </c>
      <c r="K3465" s="225">
        <v>1769.9999999962747</v>
      </c>
      <c r="L34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1770</v>
      </c>
      <c r="M3465" s="225">
        <f>ROUND(IF(AND(Base_Periodo1[[#This Row],[Tipo_Linha]]="-",Base_Periodo1[[#This Row],[TIPOSALDO]]="D"),Base_Periodo1[[#This Row],[SALDO_ATUAL]]*-1,Base_Periodo1[[#This Row],[SALDO_ATUAL]]),4)</f>
        <v>1770</v>
      </c>
      <c r="N3465" t="s">
        <v>116</v>
      </c>
      <c r="O3465" t="s">
        <v>436</v>
      </c>
      <c r="P3465" t="s">
        <v>459</v>
      </c>
      <c r="Q3465">
        <v>7</v>
      </c>
      <c r="R3465" s="225">
        <f>Base_Periodo1[[#This Row],[CREDITOS]]-Base_Periodo1[[#This Row],[DEBITOS]]</f>
        <v>1770</v>
      </c>
      <c r="S3465" s="3" t="str">
        <f>IF(ISERROR(VLOOKUP(Base_Periodo1[[#This Row],[CONTA]],BaseContasDRE[#All],4,FALSE)),"Fora do DRE",VLOOKUP(Base_Periodo1[[#This Row],[CONTA]],BaseContasDRE[#All],4,FALSE))</f>
        <v>Fora do DRE</v>
      </c>
      <c r="T3465" s="3" t="str">
        <f>IF(ISERROR(VLOOKUP(Base_Periodo1[[#This Row],[CONTA]],BaseContasDRE[#All],5,FALSE)),"Fora do DRE",VLOOKUP(Base_Periodo1[[#This Row],[CONTA]],BaseContasDRE[#All],6,FALSE))</f>
        <v>Fora do DRE</v>
      </c>
      <c r="U3465" s="3" t="str">
        <f>IF(ISERROR(VLOOKUP(Base_Periodo1[[#This Row],[CONTA]],BaseContasDRE[#All],7,FALSE)),"Fora do DRE",VLOOKUP(Base_Periodo1[[#This Row],[CONTA]],BaseContasDRE[#All],7,FALSE))</f>
        <v>Fora do DRE</v>
      </c>
      <c r="V3465" s="3" t="str">
        <f>IF(Base_Periodo1[[#This Row],[Tipo_Linha]]="Fora do DRE","Fora do DRE","( "&amp;Base_Periodo1[[#This Row],[Tipo_Linha]]&amp;" ) "&amp;Base_Periodo1[[#This Row],[Filtro]])</f>
        <v>Fora do DRE</v>
      </c>
      <c r="W3465" s="3" t="str">
        <f>LEFT(Base_Periodo1[[#This Row],[CLASS]],3)</f>
        <v>2.1</v>
      </c>
    </row>
    <row r="3466" spans="1:23" hidden="1">
      <c r="A3466" s="3" t="str">
        <f t="shared" si="54"/>
        <v>Período 1</v>
      </c>
      <c r="B3466">
        <v>13105</v>
      </c>
      <c r="C3466" t="s">
        <v>2010</v>
      </c>
      <c r="D3466" t="s">
        <v>6964</v>
      </c>
      <c r="E3466" s="3" t="str">
        <f>IF(LEN(Base_Periodo1[[#This Row],[CLASS]])&gt;=7,LEFT(Base_Periodo1[[#This Row],[CLASS]],7),"")</f>
        <v>2.1.2.2</v>
      </c>
      <c r="F3466" s="3" t="str">
        <f>VLOOKUP(Base_Periodo1[[#This Row],[Aux]],Base_Contas_Balanco[#All],2,FALSE)</f>
        <v>Fornecedores Não Cooperados</v>
      </c>
      <c r="G3466" s="1">
        <v>42871</v>
      </c>
      <c r="I3466" s="225">
        <v>63439</v>
      </c>
      <c r="J3466" s="225">
        <v>63439</v>
      </c>
      <c r="K3466" s="225">
        <v>0</v>
      </c>
      <c r="L34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66" s="225">
        <f>ROUND(IF(AND(Base_Periodo1[[#This Row],[Tipo_Linha]]="-",Base_Periodo1[[#This Row],[TIPOSALDO]]="D"),Base_Periodo1[[#This Row],[SALDO_ATUAL]]*-1,Base_Periodo1[[#This Row],[SALDO_ATUAL]]),4)</f>
        <v>0</v>
      </c>
      <c r="N3466" t="s">
        <v>116</v>
      </c>
      <c r="O3466" t="s">
        <v>436</v>
      </c>
      <c r="P3466" t="s">
        <v>436</v>
      </c>
      <c r="Q3466">
        <v>7</v>
      </c>
      <c r="R3466" s="225">
        <f>Base_Periodo1[[#This Row],[CREDITOS]]-Base_Periodo1[[#This Row],[DEBITOS]]</f>
        <v>0</v>
      </c>
      <c r="S3466" s="3" t="str">
        <f>IF(ISERROR(VLOOKUP(Base_Periodo1[[#This Row],[CONTA]],BaseContasDRE[#All],4,FALSE)),"Fora do DRE",VLOOKUP(Base_Periodo1[[#This Row],[CONTA]],BaseContasDRE[#All],4,FALSE))</f>
        <v>Fora do DRE</v>
      </c>
      <c r="T3466" s="3" t="str">
        <f>IF(ISERROR(VLOOKUP(Base_Periodo1[[#This Row],[CONTA]],BaseContasDRE[#All],5,FALSE)),"Fora do DRE",VLOOKUP(Base_Periodo1[[#This Row],[CONTA]],BaseContasDRE[#All],6,FALSE))</f>
        <v>Fora do DRE</v>
      </c>
      <c r="U3466" s="3" t="str">
        <f>IF(ISERROR(VLOOKUP(Base_Periodo1[[#This Row],[CONTA]],BaseContasDRE[#All],7,FALSE)),"Fora do DRE",VLOOKUP(Base_Periodo1[[#This Row],[CONTA]],BaseContasDRE[#All],7,FALSE))</f>
        <v>Fora do DRE</v>
      </c>
      <c r="V3466" s="3" t="str">
        <f>IF(Base_Periodo1[[#This Row],[Tipo_Linha]]="Fora do DRE","Fora do DRE","( "&amp;Base_Periodo1[[#This Row],[Tipo_Linha]]&amp;" ) "&amp;Base_Periodo1[[#This Row],[Filtro]])</f>
        <v>Fora do DRE</v>
      </c>
      <c r="W3466" s="3" t="str">
        <f>LEFT(Base_Periodo1[[#This Row],[CLASS]],3)</f>
        <v>2.1</v>
      </c>
    </row>
    <row r="3467" spans="1:23" hidden="1">
      <c r="A3467" s="3" t="str">
        <f t="shared" si="54"/>
        <v>Período 1</v>
      </c>
      <c r="B3467">
        <v>37981</v>
      </c>
      <c r="C3467" t="s">
        <v>2010</v>
      </c>
      <c r="D3467" t="s">
        <v>6965</v>
      </c>
      <c r="E3467" s="3" t="str">
        <f>IF(LEN(Base_Periodo1[[#This Row],[CLASS]])&gt;=7,LEFT(Base_Periodo1[[#This Row],[CLASS]],7),"")</f>
        <v>2.1.2.2</v>
      </c>
      <c r="F3467" s="3" t="str">
        <f>VLOOKUP(Base_Periodo1[[#This Row],[Aux]],Base_Contas_Balanco[#All],2,FALSE)</f>
        <v>Fornecedores Não Cooperados</v>
      </c>
      <c r="G3467" s="1">
        <v>42885</v>
      </c>
      <c r="I3467" s="225">
        <v>1102.3499999999999</v>
      </c>
      <c r="J3467" s="225">
        <v>1102.3499999999999</v>
      </c>
      <c r="K3467" s="225">
        <v>0</v>
      </c>
      <c r="L34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67" s="225">
        <f>ROUND(IF(AND(Base_Periodo1[[#This Row],[Tipo_Linha]]="-",Base_Periodo1[[#This Row],[TIPOSALDO]]="D"),Base_Periodo1[[#This Row],[SALDO_ATUAL]]*-1,Base_Periodo1[[#This Row],[SALDO_ATUAL]]),4)</f>
        <v>0</v>
      </c>
      <c r="N3467" t="s">
        <v>116</v>
      </c>
      <c r="O3467" t="s">
        <v>436</v>
      </c>
      <c r="P3467" t="s">
        <v>436</v>
      </c>
      <c r="Q3467">
        <v>7</v>
      </c>
      <c r="R3467" s="225">
        <f>Base_Periodo1[[#This Row],[CREDITOS]]-Base_Periodo1[[#This Row],[DEBITOS]]</f>
        <v>0</v>
      </c>
      <c r="S3467" s="3" t="str">
        <f>IF(ISERROR(VLOOKUP(Base_Periodo1[[#This Row],[CONTA]],BaseContasDRE[#All],4,FALSE)),"Fora do DRE",VLOOKUP(Base_Periodo1[[#This Row],[CONTA]],BaseContasDRE[#All],4,FALSE))</f>
        <v>Fora do DRE</v>
      </c>
      <c r="T3467" s="3" t="str">
        <f>IF(ISERROR(VLOOKUP(Base_Periodo1[[#This Row],[CONTA]],BaseContasDRE[#All],5,FALSE)),"Fora do DRE",VLOOKUP(Base_Periodo1[[#This Row],[CONTA]],BaseContasDRE[#All],6,FALSE))</f>
        <v>Fora do DRE</v>
      </c>
      <c r="U3467" s="3" t="str">
        <f>IF(ISERROR(VLOOKUP(Base_Periodo1[[#This Row],[CONTA]],BaseContasDRE[#All],7,FALSE)),"Fora do DRE",VLOOKUP(Base_Periodo1[[#This Row],[CONTA]],BaseContasDRE[#All],7,FALSE))</f>
        <v>Fora do DRE</v>
      </c>
      <c r="V3467" s="3" t="str">
        <f>IF(Base_Periodo1[[#This Row],[Tipo_Linha]]="Fora do DRE","Fora do DRE","( "&amp;Base_Periodo1[[#This Row],[Tipo_Linha]]&amp;" ) "&amp;Base_Periodo1[[#This Row],[Filtro]])</f>
        <v>Fora do DRE</v>
      </c>
      <c r="W3467" s="3" t="str">
        <f>LEFT(Base_Periodo1[[#This Row],[CLASS]],3)</f>
        <v>2.1</v>
      </c>
    </row>
    <row r="3468" spans="1:23" hidden="1">
      <c r="A3468" s="3" t="str">
        <f t="shared" si="54"/>
        <v>Período 1</v>
      </c>
      <c r="B3468">
        <v>18013</v>
      </c>
      <c r="C3468" t="s">
        <v>2010</v>
      </c>
      <c r="D3468" t="s">
        <v>6168</v>
      </c>
      <c r="E3468" s="3" t="str">
        <f>IF(LEN(Base_Periodo1[[#This Row],[CLASS]])&gt;=7,LEFT(Base_Periodo1[[#This Row],[CLASS]],7),"")</f>
        <v>2.1.2.2</v>
      </c>
      <c r="F3468" s="3" t="str">
        <f>VLOOKUP(Base_Periodo1[[#This Row],[Aux]],Base_Contas_Balanco[#All],2,FALSE)</f>
        <v>Fornecedores Não Cooperados</v>
      </c>
      <c r="G3468" s="1">
        <v>42886</v>
      </c>
      <c r="H3468" s="225">
        <v>19000</v>
      </c>
      <c r="I3468" s="225">
        <v>19000</v>
      </c>
      <c r="J3468" s="225">
        <v>0</v>
      </c>
      <c r="K3468" s="225">
        <v>0</v>
      </c>
      <c r="L34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68" s="225">
        <f>ROUND(IF(AND(Base_Periodo1[[#This Row],[Tipo_Linha]]="-",Base_Periodo1[[#This Row],[TIPOSALDO]]="D"),Base_Periodo1[[#This Row],[SALDO_ATUAL]]*-1,Base_Periodo1[[#This Row],[SALDO_ATUAL]]),4)</f>
        <v>0</v>
      </c>
      <c r="N3468" t="s">
        <v>116</v>
      </c>
      <c r="O3468" t="s">
        <v>459</v>
      </c>
      <c r="P3468" t="s">
        <v>436</v>
      </c>
      <c r="Q3468">
        <v>7</v>
      </c>
      <c r="R3468" s="225">
        <f>Base_Periodo1[[#This Row],[CREDITOS]]-Base_Periodo1[[#This Row],[DEBITOS]]</f>
        <v>-19000</v>
      </c>
      <c r="S3468" s="3" t="str">
        <f>IF(ISERROR(VLOOKUP(Base_Periodo1[[#This Row],[CONTA]],BaseContasDRE[#All],4,FALSE)),"Fora do DRE",VLOOKUP(Base_Periodo1[[#This Row],[CONTA]],BaseContasDRE[#All],4,FALSE))</f>
        <v>Fora do DRE</v>
      </c>
      <c r="T3468" s="3" t="str">
        <f>IF(ISERROR(VLOOKUP(Base_Periodo1[[#This Row],[CONTA]],BaseContasDRE[#All],5,FALSE)),"Fora do DRE",VLOOKUP(Base_Periodo1[[#This Row],[CONTA]],BaseContasDRE[#All],6,FALSE))</f>
        <v>Fora do DRE</v>
      </c>
      <c r="U3468" s="3" t="str">
        <f>IF(ISERROR(VLOOKUP(Base_Periodo1[[#This Row],[CONTA]],BaseContasDRE[#All],7,FALSE)),"Fora do DRE",VLOOKUP(Base_Periodo1[[#This Row],[CONTA]],BaseContasDRE[#All],7,FALSE))</f>
        <v>Fora do DRE</v>
      </c>
      <c r="V3468" s="3" t="str">
        <f>IF(Base_Periodo1[[#This Row],[Tipo_Linha]]="Fora do DRE","Fora do DRE","( "&amp;Base_Periodo1[[#This Row],[Tipo_Linha]]&amp;" ) "&amp;Base_Periodo1[[#This Row],[Filtro]])</f>
        <v>Fora do DRE</v>
      </c>
      <c r="W3468" s="3" t="str">
        <f>LEFT(Base_Periodo1[[#This Row],[CLASS]],3)</f>
        <v>2.1</v>
      </c>
    </row>
    <row r="3469" spans="1:23" hidden="1">
      <c r="A3469" s="3" t="str">
        <f t="shared" si="54"/>
        <v>Período 1</v>
      </c>
      <c r="B3469">
        <v>42524</v>
      </c>
      <c r="C3469" t="s">
        <v>2010</v>
      </c>
      <c r="D3469" t="s">
        <v>2048</v>
      </c>
      <c r="E3469" s="3" t="str">
        <f>IF(LEN(Base_Periodo1[[#This Row],[CLASS]])&gt;=7,LEFT(Base_Periodo1[[#This Row],[CLASS]],7),"")</f>
        <v>2.1.2.2</v>
      </c>
      <c r="F3469" s="3" t="str">
        <f>VLOOKUP(Base_Periodo1[[#This Row],[Aux]],Base_Contas_Balanco[#All],2,FALSE)</f>
        <v>Fornecedores Não Cooperados</v>
      </c>
      <c r="G3469" s="1"/>
      <c r="H3469" s="225">
        <v>265.83</v>
      </c>
      <c r="I3469" s="225">
        <v>0</v>
      </c>
      <c r="J3469" s="225">
        <v>0</v>
      </c>
      <c r="K3469" s="225">
        <v>265.83</v>
      </c>
      <c r="L34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265.83</v>
      </c>
      <c r="M3469" s="225">
        <f>ROUND(IF(AND(Base_Periodo1[[#This Row],[Tipo_Linha]]="-",Base_Periodo1[[#This Row],[TIPOSALDO]]="D"),Base_Periodo1[[#This Row],[SALDO_ATUAL]]*-1,Base_Periodo1[[#This Row],[SALDO_ATUAL]]),4)</f>
        <v>265.83</v>
      </c>
      <c r="N3469" t="s">
        <v>116</v>
      </c>
      <c r="O3469" t="s">
        <v>459</v>
      </c>
      <c r="P3469" t="s">
        <v>459</v>
      </c>
      <c r="Q3469">
        <v>7</v>
      </c>
      <c r="R3469" s="225">
        <f>Base_Periodo1[[#This Row],[CREDITOS]]-Base_Periodo1[[#This Row],[DEBITOS]]</f>
        <v>0</v>
      </c>
      <c r="S3469" s="3" t="str">
        <f>IF(ISERROR(VLOOKUP(Base_Periodo1[[#This Row],[CONTA]],BaseContasDRE[#All],4,FALSE)),"Fora do DRE",VLOOKUP(Base_Periodo1[[#This Row],[CONTA]],BaseContasDRE[#All],4,FALSE))</f>
        <v>Fora do DRE</v>
      </c>
      <c r="T3469" s="3" t="str">
        <f>IF(ISERROR(VLOOKUP(Base_Periodo1[[#This Row],[CONTA]],BaseContasDRE[#All],5,FALSE)),"Fora do DRE",VLOOKUP(Base_Periodo1[[#This Row],[CONTA]],BaseContasDRE[#All],6,FALSE))</f>
        <v>Fora do DRE</v>
      </c>
      <c r="U3469" s="3" t="str">
        <f>IF(ISERROR(VLOOKUP(Base_Periodo1[[#This Row],[CONTA]],BaseContasDRE[#All],7,FALSE)),"Fora do DRE",VLOOKUP(Base_Periodo1[[#This Row],[CONTA]],BaseContasDRE[#All],7,FALSE))</f>
        <v>Fora do DRE</v>
      </c>
      <c r="V3469" s="3" t="str">
        <f>IF(Base_Periodo1[[#This Row],[Tipo_Linha]]="Fora do DRE","Fora do DRE","( "&amp;Base_Periodo1[[#This Row],[Tipo_Linha]]&amp;" ) "&amp;Base_Periodo1[[#This Row],[Filtro]])</f>
        <v>Fora do DRE</v>
      </c>
      <c r="W3469" s="3" t="str">
        <f>LEFT(Base_Periodo1[[#This Row],[CLASS]],3)</f>
        <v>2.1</v>
      </c>
    </row>
    <row r="3470" spans="1:23" hidden="1">
      <c r="A3470" s="3" t="str">
        <f t="shared" si="54"/>
        <v>Período 1</v>
      </c>
      <c r="B3470">
        <v>42120</v>
      </c>
      <c r="C3470" t="s">
        <v>2010</v>
      </c>
      <c r="D3470" t="s">
        <v>4691</v>
      </c>
      <c r="E3470" s="3" t="str">
        <f>IF(LEN(Base_Periodo1[[#This Row],[CLASS]])&gt;=7,LEFT(Base_Periodo1[[#This Row],[CLASS]],7),"")</f>
        <v>2.1.2.2</v>
      </c>
      <c r="F3470" s="3" t="str">
        <f>VLOOKUP(Base_Periodo1[[#This Row],[Aux]],Base_Contas_Balanco[#All],2,FALSE)</f>
        <v>Fornecedores Não Cooperados</v>
      </c>
      <c r="G3470" s="1"/>
      <c r="H3470" s="225">
        <v>153.51</v>
      </c>
      <c r="I3470" s="225">
        <v>0</v>
      </c>
      <c r="J3470" s="225">
        <v>0</v>
      </c>
      <c r="K3470" s="225">
        <v>153.51</v>
      </c>
      <c r="L34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153.51</v>
      </c>
      <c r="M3470" s="225">
        <f>ROUND(IF(AND(Base_Periodo1[[#This Row],[Tipo_Linha]]="-",Base_Periodo1[[#This Row],[TIPOSALDO]]="D"),Base_Periodo1[[#This Row],[SALDO_ATUAL]]*-1,Base_Periodo1[[#This Row],[SALDO_ATUAL]]),4)</f>
        <v>153.51</v>
      </c>
      <c r="N3470" t="s">
        <v>116</v>
      </c>
      <c r="O3470" t="s">
        <v>459</v>
      </c>
      <c r="P3470" t="s">
        <v>459</v>
      </c>
      <c r="Q3470">
        <v>7</v>
      </c>
      <c r="R3470" s="225">
        <f>Base_Periodo1[[#This Row],[CREDITOS]]-Base_Periodo1[[#This Row],[DEBITOS]]</f>
        <v>0</v>
      </c>
      <c r="S3470" s="3" t="str">
        <f>IF(ISERROR(VLOOKUP(Base_Periodo1[[#This Row],[CONTA]],BaseContasDRE[#All],4,FALSE)),"Fora do DRE",VLOOKUP(Base_Periodo1[[#This Row],[CONTA]],BaseContasDRE[#All],4,FALSE))</f>
        <v>Fora do DRE</v>
      </c>
      <c r="T3470" s="3" t="str">
        <f>IF(ISERROR(VLOOKUP(Base_Periodo1[[#This Row],[CONTA]],BaseContasDRE[#All],5,FALSE)),"Fora do DRE",VLOOKUP(Base_Periodo1[[#This Row],[CONTA]],BaseContasDRE[#All],6,FALSE))</f>
        <v>Fora do DRE</v>
      </c>
      <c r="U3470" s="3" t="str">
        <f>IF(ISERROR(VLOOKUP(Base_Periodo1[[#This Row],[CONTA]],BaseContasDRE[#All],7,FALSE)),"Fora do DRE",VLOOKUP(Base_Periodo1[[#This Row],[CONTA]],BaseContasDRE[#All],7,FALSE))</f>
        <v>Fora do DRE</v>
      </c>
      <c r="V3470" s="3" t="str">
        <f>IF(Base_Periodo1[[#This Row],[Tipo_Linha]]="Fora do DRE","Fora do DRE","( "&amp;Base_Periodo1[[#This Row],[Tipo_Linha]]&amp;" ) "&amp;Base_Periodo1[[#This Row],[Filtro]])</f>
        <v>Fora do DRE</v>
      </c>
      <c r="W3470" s="3" t="str">
        <f>LEFT(Base_Periodo1[[#This Row],[CLASS]],3)</f>
        <v>2.1</v>
      </c>
    </row>
    <row r="3471" spans="1:23" hidden="1">
      <c r="A3471" s="3" t="str">
        <f t="shared" si="54"/>
        <v>Período 1</v>
      </c>
      <c r="B3471">
        <v>28710</v>
      </c>
      <c r="C3471" t="s">
        <v>2010</v>
      </c>
      <c r="D3471" t="s">
        <v>6759</v>
      </c>
      <c r="E3471" s="3" t="str">
        <f>IF(LEN(Base_Periodo1[[#This Row],[CLASS]])&gt;=7,LEFT(Base_Periodo1[[#This Row],[CLASS]],7),"")</f>
        <v>2.1.2.2</v>
      </c>
      <c r="F3471" s="3" t="str">
        <f>VLOOKUP(Base_Periodo1[[#This Row],[Aux]],Base_Contas_Balanco[#All],2,FALSE)</f>
        <v>Fornecedores Não Cooperados</v>
      </c>
      <c r="G3471" s="1">
        <v>42880</v>
      </c>
      <c r="I3471" s="225">
        <v>80</v>
      </c>
      <c r="J3471" s="225">
        <v>80</v>
      </c>
      <c r="K3471" s="225">
        <v>0</v>
      </c>
      <c r="L34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71" s="225">
        <f>ROUND(IF(AND(Base_Periodo1[[#This Row],[Tipo_Linha]]="-",Base_Periodo1[[#This Row],[TIPOSALDO]]="D"),Base_Periodo1[[#This Row],[SALDO_ATUAL]]*-1,Base_Periodo1[[#This Row],[SALDO_ATUAL]]),4)</f>
        <v>0</v>
      </c>
      <c r="N3471" t="s">
        <v>116</v>
      </c>
      <c r="O3471" t="s">
        <v>436</v>
      </c>
      <c r="P3471" t="s">
        <v>436</v>
      </c>
      <c r="Q3471">
        <v>7</v>
      </c>
      <c r="R3471" s="225">
        <f>Base_Periodo1[[#This Row],[CREDITOS]]-Base_Periodo1[[#This Row],[DEBITOS]]</f>
        <v>0</v>
      </c>
      <c r="S3471" s="3" t="str">
        <f>IF(ISERROR(VLOOKUP(Base_Periodo1[[#This Row],[CONTA]],BaseContasDRE[#All],4,FALSE)),"Fora do DRE",VLOOKUP(Base_Periodo1[[#This Row],[CONTA]],BaseContasDRE[#All],4,FALSE))</f>
        <v>Fora do DRE</v>
      </c>
      <c r="T3471" s="3" t="str">
        <f>IF(ISERROR(VLOOKUP(Base_Periodo1[[#This Row],[CONTA]],BaseContasDRE[#All],5,FALSE)),"Fora do DRE",VLOOKUP(Base_Periodo1[[#This Row],[CONTA]],BaseContasDRE[#All],6,FALSE))</f>
        <v>Fora do DRE</v>
      </c>
      <c r="U3471" s="3" t="str">
        <f>IF(ISERROR(VLOOKUP(Base_Periodo1[[#This Row],[CONTA]],BaseContasDRE[#All],7,FALSE)),"Fora do DRE",VLOOKUP(Base_Periodo1[[#This Row],[CONTA]],BaseContasDRE[#All],7,FALSE))</f>
        <v>Fora do DRE</v>
      </c>
      <c r="V3471" s="3" t="str">
        <f>IF(Base_Periodo1[[#This Row],[Tipo_Linha]]="Fora do DRE","Fora do DRE","( "&amp;Base_Periodo1[[#This Row],[Tipo_Linha]]&amp;" ) "&amp;Base_Periodo1[[#This Row],[Filtro]])</f>
        <v>Fora do DRE</v>
      </c>
      <c r="W3471" s="3" t="str">
        <f>LEFT(Base_Periodo1[[#This Row],[CLASS]],3)</f>
        <v>2.1</v>
      </c>
    </row>
    <row r="3472" spans="1:23" hidden="1">
      <c r="A3472" s="3" t="str">
        <f t="shared" si="54"/>
        <v>Período 1</v>
      </c>
      <c r="B3472">
        <v>7898</v>
      </c>
      <c r="C3472" t="s">
        <v>2010</v>
      </c>
      <c r="D3472" t="s">
        <v>6454</v>
      </c>
      <c r="E3472" s="3" t="str">
        <f>IF(LEN(Base_Periodo1[[#This Row],[CLASS]])&gt;=7,LEFT(Base_Periodo1[[#This Row],[CLASS]],7),"")</f>
        <v>2.1.2.2</v>
      </c>
      <c r="F3472" s="3" t="str">
        <f>VLOOKUP(Base_Periodo1[[#This Row],[Aux]],Base_Contas_Balanco[#All],2,FALSE)</f>
        <v>Fornecedores Não Cooperados</v>
      </c>
      <c r="G3472" s="1">
        <v>42877</v>
      </c>
      <c r="I3472" s="225">
        <v>0</v>
      </c>
      <c r="J3472" s="225">
        <v>902.56</v>
      </c>
      <c r="K3472" s="225">
        <v>902.56000000093127</v>
      </c>
      <c r="L34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902.56</v>
      </c>
      <c r="M3472" s="225">
        <f>ROUND(IF(AND(Base_Periodo1[[#This Row],[Tipo_Linha]]="-",Base_Periodo1[[#This Row],[TIPOSALDO]]="D"),Base_Periodo1[[#This Row],[SALDO_ATUAL]]*-1,Base_Periodo1[[#This Row],[SALDO_ATUAL]]),4)</f>
        <v>902.56</v>
      </c>
      <c r="N3472" t="s">
        <v>116</v>
      </c>
      <c r="O3472" t="s">
        <v>436</v>
      </c>
      <c r="P3472" t="s">
        <v>459</v>
      </c>
      <c r="Q3472">
        <v>7</v>
      </c>
      <c r="R3472" s="225">
        <f>Base_Periodo1[[#This Row],[CREDITOS]]-Base_Periodo1[[#This Row],[DEBITOS]]</f>
        <v>902.56</v>
      </c>
      <c r="S3472" s="3" t="str">
        <f>IF(ISERROR(VLOOKUP(Base_Periodo1[[#This Row],[CONTA]],BaseContasDRE[#All],4,FALSE)),"Fora do DRE",VLOOKUP(Base_Periodo1[[#This Row],[CONTA]],BaseContasDRE[#All],4,FALSE))</f>
        <v>Fora do DRE</v>
      </c>
      <c r="T3472" s="3" t="str">
        <f>IF(ISERROR(VLOOKUP(Base_Periodo1[[#This Row],[CONTA]],BaseContasDRE[#All],5,FALSE)),"Fora do DRE",VLOOKUP(Base_Periodo1[[#This Row],[CONTA]],BaseContasDRE[#All],6,FALSE))</f>
        <v>Fora do DRE</v>
      </c>
      <c r="U3472" s="3" t="str">
        <f>IF(ISERROR(VLOOKUP(Base_Periodo1[[#This Row],[CONTA]],BaseContasDRE[#All],7,FALSE)),"Fora do DRE",VLOOKUP(Base_Periodo1[[#This Row],[CONTA]],BaseContasDRE[#All],7,FALSE))</f>
        <v>Fora do DRE</v>
      </c>
      <c r="V3472" s="3" t="str">
        <f>IF(Base_Periodo1[[#This Row],[Tipo_Linha]]="Fora do DRE","Fora do DRE","( "&amp;Base_Periodo1[[#This Row],[Tipo_Linha]]&amp;" ) "&amp;Base_Periodo1[[#This Row],[Filtro]])</f>
        <v>Fora do DRE</v>
      </c>
      <c r="W3472" s="3" t="str">
        <f>LEFT(Base_Periodo1[[#This Row],[CLASS]],3)</f>
        <v>2.1</v>
      </c>
    </row>
    <row r="3473" spans="1:23" hidden="1">
      <c r="A3473" s="3" t="str">
        <f t="shared" si="54"/>
        <v>Período 1</v>
      </c>
      <c r="B3473">
        <v>54456</v>
      </c>
      <c r="C3473" t="s">
        <v>2010</v>
      </c>
      <c r="D3473" t="s">
        <v>5232</v>
      </c>
      <c r="E3473" s="3" t="str">
        <f>IF(LEN(Base_Periodo1[[#This Row],[CLASS]])&gt;=7,LEFT(Base_Periodo1[[#This Row],[CLASS]],7),"")</f>
        <v>2.1.2.2</v>
      </c>
      <c r="F3473" s="3" t="str">
        <f>VLOOKUP(Base_Periodo1[[#This Row],[Aux]],Base_Contas_Balanco[#All],2,FALSE)</f>
        <v>Fornecedores Não Cooperados</v>
      </c>
      <c r="G3473" s="1">
        <v>42878</v>
      </c>
      <c r="H3473" s="225">
        <v>2907.7599999999948</v>
      </c>
      <c r="I3473" s="225">
        <v>4305.2900000000009</v>
      </c>
      <c r="J3473" s="225">
        <v>4134.3000000000011</v>
      </c>
      <c r="K3473" s="225">
        <v>2736.769999999995</v>
      </c>
      <c r="L34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2736.77</v>
      </c>
      <c r="M3473" s="225">
        <f>ROUND(IF(AND(Base_Periodo1[[#This Row],[Tipo_Linha]]="-",Base_Periodo1[[#This Row],[TIPOSALDO]]="D"),Base_Periodo1[[#This Row],[SALDO_ATUAL]]*-1,Base_Periodo1[[#This Row],[SALDO_ATUAL]]),4)</f>
        <v>2736.77</v>
      </c>
      <c r="N3473" t="s">
        <v>116</v>
      </c>
      <c r="O3473" t="s">
        <v>459</v>
      </c>
      <c r="P3473" t="s">
        <v>459</v>
      </c>
      <c r="Q3473">
        <v>7</v>
      </c>
      <c r="R3473" s="225">
        <f>Base_Periodo1[[#This Row],[CREDITOS]]-Base_Periodo1[[#This Row],[DEBITOS]]</f>
        <v>-170.98999999999978</v>
      </c>
      <c r="S3473" s="3" t="str">
        <f>IF(ISERROR(VLOOKUP(Base_Periodo1[[#This Row],[CONTA]],BaseContasDRE[#All],4,FALSE)),"Fora do DRE",VLOOKUP(Base_Periodo1[[#This Row],[CONTA]],BaseContasDRE[#All],4,FALSE))</f>
        <v>Fora do DRE</v>
      </c>
      <c r="T3473" s="3" t="str">
        <f>IF(ISERROR(VLOOKUP(Base_Periodo1[[#This Row],[CONTA]],BaseContasDRE[#All],5,FALSE)),"Fora do DRE",VLOOKUP(Base_Periodo1[[#This Row],[CONTA]],BaseContasDRE[#All],6,FALSE))</f>
        <v>Fora do DRE</v>
      </c>
      <c r="U3473" s="3" t="str">
        <f>IF(ISERROR(VLOOKUP(Base_Periodo1[[#This Row],[CONTA]],BaseContasDRE[#All],7,FALSE)),"Fora do DRE",VLOOKUP(Base_Periodo1[[#This Row],[CONTA]],BaseContasDRE[#All],7,FALSE))</f>
        <v>Fora do DRE</v>
      </c>
      <c r="V3473" s="3" t="str">
        <f>IF(Base_Periodo1[[#This Row],[Tipo_Linha]]="Fora do DRE","Fora do DRE","( "&amp;Base_Periodo1[[#This Row],[Tipo_Linha]]&amp;" ) "&amp;Base_Periodo1[[#This Row],[Filtro]])</f>
        <v>Fora do DRE</v>
      </c>
      <c r="W3473" s="3" t="str">
        <f>LEFT(Base_Periodo1[[#This Row],[CLASS]],3)</f>
        <v>2.1</v>
      </c>
    </row>
    <row r="3474" spans="1:23" hidden="1">
      <c r="A3474" s="3" t="str">
        <f t="shared" si="54"/>
        <v>Período 1</v>
      </c>
      <c r="B3474">
        <v>55285</v>
      </c>
      <c r="C3474" t="s">
        <v>2010</v>
      </c>
      <c r="D3474" t="s">
        <v>5335</v>
      </c>
      <c r="E3474" s="3" t="str">
        <f>IF(LEN(Base_Periodo1[[#This Row],[CLASS]])&gt;=7,LEFT(Base_Periodo1[[#This Row],[CLASS]],7),"")</f>
        <v>2.1.2.2</v>
      </c>
      <c r="F3474" s="3" t="str">
        <f>VLOOKUP(Base_Periodo1[[#This Row],[Aux]],Base_Contas_Balanco[#All],2,FALSE)</f>
        <v>Fornecedores Não Cooperados</v>
      </c>
      <c r="G3474" s="1">
        <v>42886</v>
      </c>
      <c r="I3474" s="225">
        <v>3283.9</v>
      </c>
      <c r="J3474" s="225">
        <v>3283.9</v>
      </c>
      <c r="K3474" s="225">
        <v>0</v>
      </c>
      <c r="L34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74" s="225">
        <f>ROUND(IF(AND(Base_Periodo1[[#This Row],[Tipo_Linha]]="-",Base_Periodo1[[#This Row],[TIPOSALDO]]="D"),Base_Periodo1[[#This Row],[SALDO_ATUAL]]*-1,Base_Periodo1[[#This Row],[SALDO_ATUAL]]),4)</f>
        <v>0</v>
      </c>
      <c r="N3474" t="s">
        <v>116</v>
      </c>
      <c r="O3474" t="s">
        <v>436</v>
      </c>
      <c r="P3474" t="s">
        <v>436</v>
      </c>
      <c r="Q3474">
        <v>7</v>
      </c>
      <c r="R3474" s="225">
        <f>Base_Periodo1[[#This Row],[CREDITOS]]-Base_Periodo1[[#This Row],[DEBITOS]]</f>
        <v>0</v>
      </c>
      <c r="S3474" s="3" t="str">
        <f>IF(ISERROR(VLOOKUP(Base_Periodo1[[#This Row],[CONTA]],BaseContasDRE[#All],4,FALSE)),"Fora do DRE",VLOOKUP(Base_Periodo1[[#This Row],[CONTA]],BaseContasDRE[#All],4,FALSE))</f>
        <v>Fora do DRE</v>
      </c>
      <c r="T3474" s="3" t="str">
        <f>IF(ISERROR(VLOOKUP(Base_Periodo1[[#This Row],[CONTA]],BaseContasDRE[#All],5,FALSE)),"Fora do DRE",VLOOKUP(Base_Periodo1[[#This Row],[CONTA]],BaseContasDRE[#All],6,FALSE))</f>
        <v>Fora do DRE</v>
      </c>
      <c r="U3474" s="3" t="str">
        <f>IF(ISERROR(VLOOKUP(Base_Periodo1[[#This Row],[CONTA]],BaseContasDRE[#All],7,FALSE)),"Fora do DRE",VLOOKUP(Base_Periodo1[[#This Row],[CONTA]],BaseContasDRE[#All],7,FALSE))</f>
        <v>Fora do DRE</v>
      </c>
      <c r="V3474" s="3" t="str">
        <f>IF(Base_Periodo1[[#This Row],[Tipo_Linha]]="Fora do DRE","Fora do DRE","( "&amp;Base_Periodo1[[#This Row],[Tipo_Linha]]&amp;" ) "&amp;Base_Periodo1[[#This Row],[Filtro]])</f>
        <v>Fora do DRE</v>
      </c>
      <c r="W3474" s="3" t="str">
        <f>LEFT(Base_Periodo1[[#This Row],[CLASS]],3)</f>
        <v>2.1</v>
      </c>
    </row>
    <row r="3475" spans="1:23" hidden="1">
      <c r="A3475" s="3" t="str">
        <f t="shared" si="54"/>
        <v>Período 1</v>
      </c>
      <c r="B3475">
        <v>55544</v>
      </c>
      <c r="C3475" t="s">
        <v>2010</v>
      </c>
      <c r="D3475" t="s">
        <v>6966</v>
      </c>
      <c r="E3475" s="3" t="str">
        <f>IF(LEN(Base_Periodo1[[#This Row],[CLASS]])&gt;=7,LEFT(Base_Periodo1[[#This Row],[CLASS]],7),"")</f>
        <v>2.1.2.2</v>
      </c>
      <c r="F3475" s="3" t="str">
        <f>VLOOKUP(Base_Periodo1[[#This Row],[Aux]],Base_Contas_Balanco[#All],2,FALSE)</f>
        <v>Fornecedores Não Cooperados</v>
      </c>
      <c r="G3475" s="1">
        <v>42880</v>
      </c>
      <c r="I3475" s="225">
        <v>1868.2</v>
      </c>
      <c r="J3475" s="225">
        <v>1868.2</v>
      </c>
      <c r="K3475" s="225">
        <v>0</v>
      </c>
      <c r="L34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75" s="225">
        <f>ROUND(IF(AND(Base_Periodo1[[#This Row],[Tipo_Linha]]="-",Base_Periodo1[[#This Row],[TIPOSALDO]]="D"),Base_Periodo1[[#This Row],[SALDO_ATUAL]]*-1,Base_Periodo1[[#This Row],[SALDO_ATUAL]]),4)</f>
        <v>0</v>
      </c>
      <c r="N3475" t="s">
        <v>116</v>
      </c>
      <c r="O3475" t="s">
        <v>436</v>
      </c>
      <c r="P3475" t="s">
        <v>436</v>
      </c>
      <c r="Q3475">
        <v>7</v>
      </c>
      <c r="R3475" s="225">
        <f>Base_Periodo1[[#This Row],[CREDITOS]]-Base_Periodo1[[#This Row],[DEBITOS]]</f>
        <v>0</v>
      </c>
      <c r="S3475" s="3" t="str">
        <f>IF(ISERROR(VLOOKUP(Base_Periodo1[[#This Row],[CONTA]],BaseContasDRE[#All],4,FALSE)),"Fora do DRE",VLOOKUP(Base_Periodo1[[#This Row],[CONTA]],BaseContasDRE[#All],4,FALSE))</f>
        <v>Fora do DRE</v>
      </c>
      <c r="T3475" s="3" t="str">
        <f>IF(ISERROR(VLOOKUP(Base_Periodo1[[#This Row],[CONTA]],BaseContasDRE[#All],5,FALSE)),"Fora do DRE",VLOOKUP(Base_Periodo1[[#This Row],[CONTA]],BaseContasDRE[#All],6,FALSE))</f>
        <v>Fora do DRE</v>
      </c>
      <c r="U3475" s="3" t="str">
        <f>IF(ISERROR(VLOOKUP(Base_Periodo1[[#This Row],[CONTA]],BaseContasDRE[#All],7,FALSE)),"Fora do DRE",VLOOKUP(Base_Periodo1[[#This Row],[CONTA]],BaseContasDRE[#All],7,FALSE))</f>
        <v>Fora do DRE</v>
      </c>
      <c r="V3475" s="3" t="str">
        <f>IF(Base_Periodo1[[#This Row],[Tipo_Linha]]="Fora do DRE","Fora do DRE","( "&amp;Base_Periodo1[[#This Row],[Tipo_Linha]]&amp;" ) "&amp;Base_Periodo1[[#This Row],[Filtro]])</f>
        <v>Fora do DRE</v>
      </c>
      <c r="W3475" s="3" t="str">
        <f>LEFT(Base_Periodo1[[#This Row],[CLASS]],3)</f>
        <v>2.1</v>
      </c>
    </row>
    <row r="3476" spans="1:23" hidden="1">
      <c r="A3476" s="3" t="str">
        <f t="shared" si="54"/>
        <v>Período 1</v>
      </c>
      <c r="B3476">
        <v>58148</v>
      </c>
      <c r="C3476" t="s">
        <v>2010</v>
      </c>
      <c r="D3476" t="s">
        <v>6455</v>
      </c>
      <c r="E3476" s="3" t="str">
        <f>IF(LEN(Base_Periodo1[[#This Row],[CLASS]])&gt;=7,LEFT(Base_Periodo1[[#This Row],[CLASS]],7),"")</f>
        <v>2.1.2.2</v>
      </c>
      <c r="F3476" s="3" t="str">
        <f>VLOOKUP(Base_Periodo1[[#This Row],[Aux]],Base_Contas_Balanco[#All],2,FALSE)</f>
        <v>Fornecedores Não Cooperados</v>
      </c>
      <c r="G3476" s="1">
        <v>42873</v>
      </c>
      <c r="H3476" s="225">
        <v>6350.4</v>
      </c>
      <c r="I3476" s="225">
        <v>4254.76</v>
      </c>
      <c r="J3476" s="225">
        <v>0</v>
      </c>
      <c r="K3476" s="225">
        <v>2095.6399999999994</v>
      </c>
      <c r="L34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2095.64</v>
      </c>
      <c r="M3476" s="225">
        <f>ROUND(IF(AND(Base_Periodo1[[#This Row],[Tipo_Linha]]="-",Base_Periodo1[[#This Row],[TIPOSALDO]]="D"),Base_Periodo1[[#This Row],[SALDO_ATUAL]]*-1,Base_Periodo1[[#This Row],[SALDO_ATUAL]]),4)</f>
        <v>2095.64</v>
      </c>
      <c r="N3476" t="s">
        <v>116</v>
      </c>
      <c r="O3476" t="s">
        <v>459</v>
      </c>
      <c r="P3476" t="s">
        <v>459</v>
      </c>
      <c r="Q3476">
        <v>7</v>
      </c>
      <c r="R3476" s="225">
        <f>Base_Periodo1[[#This Row],[CREDITOS]]-Base_Periodo1[[#This Row],[DEBITOS]]</f>
        <v>-4254.76</v>
      </c>
      <c r="S3476" s="3" t="str">
        <f>IF(ISERROR(VLOOKUP(Base_Periodo1[[#This Row],[CONTA]],BaseContasDRE[#All],4,FALSE)),"Fora do DRE",VLOOKUP(Base_Periodo1[[#This Row],[CONTA]],BaseContasDRE[#All],4,FALSE))</f>
        <v>Fora do DRE</v>
      </c>
      <c r="T3476" s="3" t="str">
        <f>IF(ISERROR(VLOOKUP(Base_Periodo1[[#This Row],[CONTA]],BaseContasDRE[#All],5,FALSE)),"Fora do DRE",VLOOKUP(Base_Periodo1[[#This Row],[CONTA]],BaseContasDRE[#All],6,FALSE))</f>
        <v>Fora do DRE</v>
      </c>
      <c r="U3476" s="3" t="str">
        <f>IF(ISERROR(VLOOKUP(Base_Periodo1[[#This Row],[CONTA]],BaseContasDRE[#All],7,FALSE)),"Fora do DRE",VLOOKUP(Base_Periodo1[[#This Row],[CONTA]],BaseContasDRE[#All],7,FALSE))</f>
        <v>Fora do DRE</v>
      </c>
      <c r="V3476" s="3" t="str">
        <f>IF(Base_Periodo1[[#This Row],[Tipo_Linha]]="Fora do DRE","Fora do DRE","( "&amp;Base_Periodo1[[#This Row],[Tipo_Linha]]&amp;" ) "&amp;Base_Periodo1[[#This Row],[Filtro]])</f>
        <v>Fora do DRE</v>
      </c>
      <c r="W3476" s="3" t="str">
        <f>LEFT(Base_Periodo1[[#This Row],[CLASS]],3)</f>
        <v>2.1</v>
      </c>
    </row>
    <row r="3477" spans="1:23" hidden="1">
      <c r="A3477" s="3" t="str">
        <f t="shared" si="54"/>
        <v>Período 1</v>
      </c>
      <c r="B3477">
        <v>51638</v>
      </c>
      <c r="C3477" t="s">
        <v>2010</v>
      </c>
      <c r="D3477" t="s">
        <v>4578</v>
      </c>
      <c r="E3477" s="3" t="str">
        <f>IF(LEN(Base_Periodo1[[#This Row],[CLASS]])&gt;=7,LEFT(Base_Periodo1[[#This Row],[CLASS]],7),"")</f>
        <v>2.1.2.2</v>
      </c>
      <c r="F3477" s="3" t="str">
        <f>VLOOKUP(Base_Periodo1[[#This Row],[Aux]],Base_Contas_Balanco[#All],2,FALSE)</f>
        <v>Fornecedores Não Cooperados</v>
      </c>
      <c r="G3477" s="1">
        <v>42884</v>
      </c>
      <c r="I3477" s="225">
        <v>252</v>
      </c>
      <c r="J3477" s="225">
        <v>252</v>
      </c>
      <c r="K3477" s="225">
        <v>0</v>
      </c>
      <c r="L34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77" s="225">
        <f>ROUND(IF(AND(Base_Periodo1[[#This Row],[Tipo_Linha]]="-",Base_Periodo1[[#This Row],[TIPOSALDO]]="D"),Base_Periodo1[[#This Row],[SALDO_ATUAL]]*-1,Base_Periodo1[[#This Row],[SALDO_ATUAL]]),4)</f>
        <v>0</v>
      </c>
      <c r="N3477" t="s">
        <v>116</v>
      </c>
      <c r="O3477" t="s">
        <v>436</v>
      </c>
      <c r="P3477" t="s">
        <v>436</v>
      </c>
      <c r="Q3477">
        <v>7</v>
      </c>
      <c r="R3477" s="225">
        <f>Base_Periodo1[[#This Row],[CREDITOS]]-Base_Periodo1[[#This Row],[DEBITOS]]</f>
        <v>0</v>
      </c>
      <c r="S3477" s="3" t="str">
        <f>IF(ISERROR(VLOOKUP(Base_Periodo1[[#This Row],[CONTA]],BaseContasDRE[#All],4,FALSE)),"Fora do DRE",VLOOKUP(Base_Periodo1[[#This Row],[CONTA]],BaseContasDRE[#All],4,FALSE))</f>
        <v>Fora do DRE</v>
      </c>
      <c r="T3477" s="3" t="str">
        <f>IF(ISERROR(VLOOKUP(Base_Periodo1[[#This Row],[CONTA]],BaseContasDRE[#All],5,FALSE)),"Fora do DRE",VLOOKUP(Base_Periodo1[[#This Row],[CONTA]],BaseContasDRE[#All],6,FALSE))</f>
        <v>Fora do DRE</v>
      </c>
      <c r="U3477" s="3" t="str">
        <f>IF(ISERROR(VLOOKUP(Base_Periodo1[[#This Row],[CONTA]],BaseContasDRE[#All],7,FALSE)),"Fora do DRE",VLOOKUP(Base_Periodo1[[#This Row],[CONTA]],BaseContasDRE[#All],7,FALSE))</f>
        <v>Fora do DRE</v>
      </c>
      <c r="V3477" s="3" t="str">
        <f>IF(Base_Periodo1[[#This Row],[Tipo_Linha]]="Fora do DRE","Fora do DRE","( "&amp;Base_Periodo1[[#This Row],[Tipo_Linha]]&amp;" ) "&amp;Base_Periodo1[[#This Row],[Filtro]])</f>
        <v>Fora do DRE</v>
      </c>
      <c r="W3477" s="3" t="str">
        <f>LEFT(Base_Periodo1[[#This Row],[CLASS]],3)</f>
        <v>2.1</v>
      </c>
    </row>
    <row r="3478" spans="1:23" hidden="1">
      <c r="A3478" s="3" t="str">
        <f t="shared" si="54"/>
        <v>Período 1</v>
      </c>
      <c r="B3478">
        <v>9885</v>
      </c>
      <c r="C3478" t="s">
        <v>2010</v>
      </c>
      <c r="D3478" t="s">
        <v>2049</v>
      </c>
      <c r="E3478" s="3" t="str">
        <f>IF(LEN(Base_Periodo1[[#This Row],[CLASS]])&gt;=7,LEFT(Base_Periodo1[[#This Row],[CLASS]],7),"")</f>
        <v>2.1.2.2</v>
      </c>
      <c r="F3478" s="3" t="str">
        <f>VLOOKUP(Base_Periodo1[[#This Row],[Aux]],Base_Contas_Balanco[#All],2,FALSE)</f>
        <v>Fornecedores Não Cooperados</v>
      </c>
      <c r="G3478" s="1">
        <v>42864</v>
      </c>
      <c r="I3478" s="225">
        <v>29776.9</v>
      </c>
      <c r="J3478" s="225">
        <v>29776.9</v>
      </c>
      <c r="K3478" s="225">
        <v>0</v>
      </c>
      <c r="L34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78" s="225">
        <f>ROUND(IF(AND(Base_Periodo1[[#This Row],[Tipo_Linha]]="-",Base_Periodo1[[#This Row],[TIPOSALDO]]="D"),Base_Periodo1[[#This Row],[SALDO_ATUAL]]*-1,Base_Periodo1[[#This Row],[SALDO_ATUAL]]),4)</f>
        <v>0</v>
      </c>
      <c r="N3478" t="s">
        <v>116</v>
      </c>
      <c r="O3478" t="s">
        <v>436</v>
      </c>
      <c r="P3478" t="s">
        <v>436</v>
      </c>
      <c r="Q3478">
        <v>7</v>
      </c>
      <c r="R3478" s="225">
        <f>Base_Periodo1[[#This Row],[CREDITOS]]-Base_Periodo1[[#This Row],[DEBITOS]]</f>
        <v>0</v>
      </c>
      <c r="S3478" s="3" t="str">
        <f>IF(ISERROR(VLOOKUP(Base_Periodo1[[#This Row],[CONTA]],BaseContasDRE[#All],4,FALSE)),"Fora do DRE",VLOOKUP(Base_Periodo1[[#This Row],[CONTA]],BaseContasDRE[#All],4,FALSE))</f>
        <v>Fora do DRE</v>
      </c>
      <c r="T3478" s="3" t="str">
        <f>IF(ISERROR(VLOOKUP(Base_Periodo1[[#This Row],[CONTA]],BaseContasDRE[#All],5,FALSE)),"Fora do DRE",VLOOKUP(Base_Periodo1[[#This Row],[CONTA]],BaseContasDRE[#All],6,FALSE))</f>
        <v>Fora do DRE</v>
      </c>
      <c r="U3478" s="3" t="str">
        <f>IF(ISERROR(VLOOKUP(Base_Periodo1[[#This Row],[CONTA]],BaseContasDRE[#All],7,FALSE)),"Fora do DRE",VLOOKUP(Base_Periodo1[[#This Row],[CONTA]],BaseContasDRE[#All],7,FALSE))</f>
        <v>Fora do DRE</v>
      </c>
      <c r="V3478" s="3" t="str">
        <f>IF(Base_Periodo1[[#This Row],[Tipo_Linha]]="Fora do DRE","Fora do DRE","( "&amp;Base_Periodo1[[#This Row],[Tipo_Linha]]&amp;" ) "&amp;Base_Periodo1[[#This Row],[Filtro]])</f>
        <v>Fora do DRE</v>
      </c>
      <c r="W3478" s="3" t="str">
        <f>LEFT(Base_Periodo1[[#This Row],[CLASS]],3)</f>
        <v>2.1</v>
      </c>
    </row>
    <row r="3479" spans="1:23" hidden="1">
      <c r="A3479" s="3" t="str">
        <f t="shared" si="54"/>
        <v>Período 1</v>
      </c>
      <c r="B3479">
        <v>58839</v>
      </c>
      <c r="C3479" t="s">
        <v>2010</v>
      </c>
      <c r="D3479" t="s">
        <v>6967</v>
      </c>
      <c r="E3479" s="3" t="str">
        <f>IF(LEN(Base_Periodo1[[#This Row],[CLASS]])&gt;=7,LEFT(Base_Periodo1[[#This Row],[CLASS]],7),"")</f>
        <v>2.1.2.2</v>
      </c>
      <c r="F3479" s="3" t="str">
        <f>VLOOKUP(Base_Periodo1[[#This Row],[Aux]],Base_Contas_Balanco[#All],2,FALSE)</f>
        <v>Fornecedores Não Cooperados</v>
      </c>
      <c r="G3479" s="1">
        <v>42872</v>
      </c>
      <c r="I3479" s="225">
        <v>25457.5</v>
      </c>
      <c r="J3479" s="225">
        <v>25457.5</v>
      </c>
      <c r="K3479" s="225">
        <v>0</v>
      </c>
      <c r="L34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79" s="225">
        <f>ROUND(IF(AND(Base_Periodo1[[#This Row],[Tipo_Linha]]="-",Base_Periodo1[[#This Row],[TIPOSALDO]]="D"),Base_Periodo1[[#This Row],[SALDO_ATUAL]]*-1,Base_Periodo1[[#This Row],[SALDO_ATUAL]]),4)</f>
        <v>0</v>
      </c>
      <c r="N3479" t="s">
        <v>116</v>
      </c>
      <c r="O3479" t="s">
        <v>436</v>
      </c>
      <c r="P3479" t="s">
        <v>436</v>
      </c>
      <c r="Q3479">
        <v>7</v>
      </c>
      <c r="R3479" s="225">
        <f>Base_Periodo1[[#This Row],[CREDITOS]]-Base_Periodo1[[#This Row],[DEBITOS]]</f>
        <v>0</v>
      </c>
      <c r="S3479" s="3" t="str">
        <f>IF(ISERROR(VLOOKUP(Base_Periodo1[[#This Row],[CONTA]],BaseContasDRE[#All],4,FALSE)),"Fora do DRE",VLOOKUP(Base_Periodo1[[#This Row],[CONTA]],BaseContasDRE[#All],4,FALSE))</f>
        <v>Fora do DRE</v>
      </c>
      <c r="T3479" s="3" t="str">
        <f>IF(ISERROR(VLOOKUP(Base_Periodo1[[#This Row],[CONTA]],BaseContasDRE[#All],5,FALSE)),"Fora do DRE",VLOOKUP(Base_Periodo1[[#This Row],[CONTA]],BaseContasDRE[#All],6,FALSE))</f>
        <v>Fora do DRE</v>
      </c>
      <c r="U3479" s="3" t="str">
        <f>IF(ISERROR(VLOOKUP(Base_Periodo1[[#This Row],[CONTA]],BaseContasDRE[#All],7,FALSE)),"Fora do DRE",VLOOKUP(Base_Periodo1[[#This Row],[CONTA]],BaseContasDRE[#All],7,FALSE))</f>
        <v>Fora do DRE</v>
      </c>
      <c r="V3479" s="3" t="str">
        <f>IF(Base_Periodo1[[#This Row],[Tipo_Linha]]="Fora do DRE","Fora do DRE","( "&amp;Base_Periodo1[[#This Row],[Tipo_Linha]]&amp;" ) "&amp;Base_Periodo1[[#This Row],[Filtro]])</f>
        <v>Fora do DRE</v>
      </c>
      <c r="W3479" s="3" t="str">
        <f>LEFT(Base_Periodo1[[#This Row],[CLASS]],3)</f>
        <v>2.1</v>
      </c>
    </row>
    <row r="3480" spans="1:23" hidden="1">
      <c r="A3480" s="3" t="str">
        <f t="shared" si="54"/>
        <v>Período 1</v>
      </c>
      <c r="B3480">
        <v>8449</v>
      </c>
      <c r="C3480" t="s">
        <v>2010</v>
      </c>
      <c r="D3480" t="s">
        <v>4364</v>
      </c>
      <c r="E3480" s="3" t="str">
        <f>IF(LEN(Base_Periodo1[[#This Row],[CLASS]])&gt;=7,LEFT(Base_Periodo1[[#This Row],[CLASS]],7),"")</f>
        <v>2.1.2.2</v>
      </c>
      <c r="F3480" s="3" t="str">
        <f>VLOOKUP(Base_Periodo1[[#This Row],[Aux]],Base_Contas_Balanco[#All],2,FALSE)</f>
        <v>Fornecedores Não Cooperados</v>
      </c>
      <c r="G3480" s="1">
        <v>42884</v>
      </c>
      <c r="I3480" s="225">
        <v>265</v>
      </c>
      <c r="J3480" s="225">
        <v>608</v>
      </c>
      <c r="K3480" s="225">
        <v>343</v>
      </c>
      <c r="L34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343</v>
      </c>
      <c r="M3480" s="225">
        <f>ROUND(IF(AND(Base_Periodo1[[#This Row],[Tipo_Linha]]="-",Base_Periodo1[[#This Row],[TIPOSALDO]]="D"),Base_Periodo1[[#This Row],[SALDO_ATUAL]]*-1,Base_Periodo1[[#This Row],[SALDO_ATUAL]]),4)</f>
        <v>343</v>
      </c>
      <c r="N3480" t="s">
        <v>116</v>
      </c>
      <c r="O3480" t="s">
        <v>436</v>
      </c>
      <c r="P3480" t="s">
        <v>459</v>
      </c>
      <c r="Q3480">
        <v>7</v>
      </c>
      <c r="R3480" s="225">
        <f>Base_Periodo1[[#This Row],[CREDITOS]]-Base_Periodo1[[#This Row],[DEBITOS]]</f>
        <v>343</v>
      </c>
      <c r="S3480" s="3" t="str">
        <f>IF(ISERROR(VLOOKUP(Base_Periodo1[[#This Row],[CONTA]],BaseContasDRE[#All],4,FALSE)),"Fora do DRE",VLOOKUP(Base_Periodo1[[#This Row],[CONTA]],BaseContasDRE[#All],4,FALSE))</f>
        <v>Fora do DRE</v>
      </c>
      <c r="T3480" s="3" t="str">
        <f>IF(ISERROR(VLOOKUP(Base_Periodo1[[#This Row],[CONTA]],BaseContasDRE[#All],5,FALSE)),"Fora do DRE",VLOOKUP(Base_Periodo1[[#This Row],[CONTA]],BaseContasDRE[#All],6,FALSE))</f>
        <v>Fora do DRE</v>
      </c>
      <c r="U3480" s="3" t="str">
        <f>IF(ISERROR(VLOOKUP(Base_Periodo1[[#This Row],[CONTA]],BaseContasDRE[#All],7,FALSE)),"Fora do DRE",VLOOKUP(Base_Periodo1[[#This Row],[CONTA]],BaseContasDRE[#All],7,FALSE))</f>
        <v>Fora do DRE</v>
      </c>
      <c r="V3480" s="3" t="str">
        <f>IF(Base_Periodo1[[#This Row],[Tipo_Linha]]="Fora do DRE","Fora do DRE","( "&amp;Base_Periodo1[[#This Row],[Tipo_Linha]]&amp;" ) "&amp;Base_Periodo1[[#This Row],[Filtro]])</f>
        <v>Fora do DRE</v>
      </c>
      <c r="W3480" s="3" t="str">
        <f>LEFT(Base_Periodo1[[#This Row],[CLASS]],3)</f>
        <v>2.1</v>
      </c>
    </row>
    <row r="3481" spans="1:23" hidden="1">
      <c r="A3481" s="3" t="str">
        <f t="shared" si="54"/>
        <v>Período 1</v>
      </c>
      <c r="B3481">
        <v>57011</v>
      </c>
      <c r="C3481" t="s">
        <v>2010</v>
      </c>
      <c r="D3481" t="s">
        <v>6968</v>
      </c>
      <c r="E3481" s="3" t="str">
        <f>IF(LEN(Base_Periodo1[[#This Row],[CLASS]])&gt;=7,LEFT(Base_Periodo1[[#This Row],[CLASS]],7),"")</f>
        <v>2.1.2.2</v>
      </c>
      <c r="F3481" s="3" t="str">
        <f>VLOOKUP(Base_Periodo1[[#This Row],[Aux]],Base_Contas_Balanco[#All],2,FALSE)</f>
        <v>Fornecedores Não Cooperados</v>
      </c>
      <c r="G3481" s="1">
        <v>42870</v>
      </c>
      <c r="I3481" s="225">
        <v>8086.32</v>
      </c>
      <c r="J3481" s="225">
        <v>8086.32</v>
      </c>
      <c r="K3481" s="225">
        <v>0</v>
      </c>
      <c r="L34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81" s="225">
        <f>ROUND(IF(AND(Base_Periodo1[[#This Row],[Tipo_Linha]]="-",Base_Periodo1[[#This Row],[TIPOSALDO]]="D"),Base_Periodo1[[#This Row],[SALDO_ATUAL]]*-1,Base_Periodo1[[#This Row],[SALDO_ATUAL]]),4)</f>
        <v>0</v>
      </c>
      <c r="N3481" t="s">
        <v>116</v>
      </c>
      <c r="O3481" t="s">
        <v>436</v>
      </c>
      <c r="P3481" t="s">
        <v>436</v>
      </c>
      <c r="Q3481">
        <v>7</v>
      </c>
      <c r="R3481" s="225">
        <f>Base_Periodo1[[#This Row],[CREDITOS]]-Base_Periodo1[[#This Row],[DEBITOS]]</f>
        <v>0</v>
      </c>
      <c r="S3481" s="3" t="str">
        <f>IF(ISERROR(VLOOKUP(Base_Periodo1[[#This Row],[CONTA]],BaseContasDRE[#All],4,FALSE)),"Fora do DRE",VLOOKUP(Base_Periodo1[[#This Row],[CONTA]],BaseContasDRE[#All],4,FALSE))</f>
        <v>Fora do DRE</v>
      </c>
      <c r="T3481" s="3" t="str">
        <f>IF(ISERROR(VLOOKUP(Base_Periodo1[[#This Row],[CONTA]],BaseContasDRE[#All],5,FALSE)),"Fora do DRE",VLOOKUP(Base_Periodo1[[#This Row],[CONTA]],BaseContasDRE[#All],6,FALSE))</f>
        <v>Fora do DRE</v>
      </c>
      <c r="U3481" s="3" t="str">
        <f>IF(ISERROR(VLOOKUP(Base_Periodo1[[#This Row],[CONTA]],BaseContasDRE[#All],7,FALSE)),"Fora do DRE",VLOOKUP(Base_Periodo1[[#This Row],[CONTA]],BaseContasDRE[#All],7,FALSE))</f>
        <v>Fora do DRE</v>
      </c>
      <c r="V3481" s="3" t="str">
        <f>IF(Base_Periodo1[[#This Row],[Tipo_Linha]]="Fora do DRE","Fora do DRE","( "&amp;Base_Periodo1[[#This Row],[Tipo_Linha]]&amp;" ) "&amp;Base_Periodo1[[#This Row],[Filtro]])</f>
        <v>Fora do DRE</v>
      </c>
      <c r="W3481" s="3" t="str">
        <f>LEFT(Base_Periodo1[[#This Row],[CLASS]],3)</f>
        <v>2.1</v>
      </c>
    </row>
    <row r="3482" spans="1:23" hidden="1">
      <c r="A3482" s="3" t="str">
        <f t="shared" si="54"/>
        <v>Período 1</v>
      </c>
      <c r="B3482">
        <v>9965</v>
      </c>
      <c r="C3482" t="s">
        <v>2010</v>
      </c>
      <c r="D3482" t="s">
        <v>2050</v>
      </c>
      <c r="E3482" s="3" t="str">
        <f>IF(LEN(Base_Periodo1[[#This Row],[CLASS]])&gt;=7,LEFT(Base_Periodo1[[#This Row],[CLASS]],7),"")</f>
        <v>2.1.2.2</v>
      </c>
      <c r="F3482" s="3" t="str">
        <f>VLOOKUP(Base_Periodo1[[#This Row],[Aux]],Base_Contas_Balanco[#All],2,FALSE)</f>
        <v>Fornecedores Não Cooperados</v>
      </c>
      <c r="G3482" s="1">
        <v>42880</v>
      </c>
      <c r="H3482" s="225">
        <v>4220</v>
      </c>
      <c r="I3482" s="225">
        <v>4220</v>
      </c>
      <c r="J3482" s="225">
        <v>4220</v>
      </c>
      <c r="K3482" s="225">
        <v>4220</v>
      </c>
      <c r="L34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4220</v>
      </c>
      <c r="M3482" s="225">
        <f>ROUND(IF(AND(Base_Periodo1[[#This Row],[Tipo_Linha]]="-",Base_Periodo1[[#This Row],[TIPOSALDO]]="D"),Base_Periodo1[[#This Row],[SALDO_ATUAL]]*-1,Base_Periodo1[[#This Row],[SALDO_ATUAL]]),4)</f>
        <v>4220</v>
      </c>
      <c r="N3482" t="s">
        <v>116</v>
      </c>
      <c r="O3482" t="s">
        <v>459</v>
      </c>
      <c r="P3482" t="s">
        <v>459</v>
      </c>
      <c r="Q3482">
        <v>7</v>
      </c>
      <c r="R3482" s="225">
        <f>Base_Periodo1[[#This Row],[CREDITOS]]-Base_Periodo1[[#This Row],[DEBITOS]]</f>
        <v>0</v>
      </c>
      <c r="S3482" s="3" t="str">
        <f>IF(ISERROR(VLOOKUP(Base_Periodo1[[#This Row],[CONTA]],BaseContasDRE[#All],4,FALSE)),"Fora do DRE",VLOOKUP(Base_Periodo1[[#This Row],[CONTA]],BaseContasDRE[#All],4,FALSE))</f>
        <v>Fora do DRE</v>
      </c>
      <c r="T3482" s="3" t="str">
        <f>IF(ISERROR(VLOOKUP(Base_Periodo1[[#This Row],[CONTA]],BaseContasDRE[#All],5,FALSE)),"Fora do DRE",VLOOKUP(Base_Periodo1[[#This Row],[CONTA]],BaseContasDRE[#All],6,FALSE))</f>
        <v>Fora do DRE</v>
      </c>
      <c r="U3482" s="3" t="str">
        <f>IF(ISERROR(VLOOKUP(Base_Periodo1[[#This Row],[CONTA]],BaseContasDRE[#All],7,FALSE)),"Fora do DRE",VLOOKUP(Base_Periodo1[[#This Row],[CONTA]],BaseContasDRE[#All],7,FALSE))</f>
        <v>Fora do DRE</v>
      </c>
      <c r="V3482" s="3" t="str">
        <f>IF(Base_Periodo1[[#This Row],[Tipo_Linha]]="Fora do DRE","Fora do DRE","( "&amp;Base_Periodo1[[#This Row],[Tipo_Linha]]&amp;" ) "&amp;Base_Periodo1[[#This Row],[Filtro]])</f>
        <v>Fora do DRE</v>
      </c>
      <c r="W3482" s="3" t="str">
        <f>LEFT(Base_Periodo1[[#This Row],[CLASS]],3)</f>
        <v>2.1</v>
      </c>
    </row>
    <row r="3483" spans="1:23" hidden="1">
      <c r="A3483" s="3" t="str">
        <f t="shared" si="54"/>
        <v>Período 1</v>
      </c>
      <c r="B3483">
        <v>10825</v>
      </c>
      <c r="C3483" t="s">
        <v>2010</v>
      </c>
      <c r="D3483" t="s">
        <v>6969</v>
      </c>
      <c r="E3483" s="3" t="str">
        <f>IF(LEN(Base_Periodo1[[#This Row],[CLASS]])&gt;=7,LEFT(Base_Periodo1[[#This Row],[CLASS]],7),"")</f>
        <v>2.1.2.2</v>
      </c>
      <c r="F3483" s="3" t="str">
        <f>VLOOKUP(Base_Periodo1[[#This Row],[Aux]],Base_Contas_Balanco[#All],2,FALSE)</f>
        <v>Fornecedores Não Cooperados</v>
      </c>
      <c r="G3483" s="1">
        <v>42872</v>
      </c>
      <c r="I3483" s="225">
        <v>5090</v>
      </c>
      <c r="J3483" s="225">
        <v>5090</v>
      </c>
      <c r="K3483" s="225">
        <v>-3.637978807091713E-12</v>
      </c>
      <c r="L34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83" s="225">
        <f>ROUND(IF(AND(Base_Periodo1[[#This Row],[Tipo_Linha]]="-",Base_Periodo1[[#This Row],[TIPOSALDO]]="D"),Base_Periodo1[[#This Row],[SALDO_ATUAL]]*-1,Base_Periodo1[[#This Row],[SALDO_ATUAL]]),4)</f>
        <v>0</v>
      </c>
      <c r="N3483" t="s">
        <v>116</v>
      </c>
      <c r="O3483" t="s">
        <v>436</v>
      </c>
      <c r="P3483" t="s">
        <v>436</v>
      </c>
      <c r="Q3483">
        <v>7</v>
      </c>
      <c r="R3483" s="225">
        <f>Base_Periodo1[[#This Row],[CREDITOS]]-Base_Periodo1[[#This Row],[DEBITOS]]</f>
        <v>0</v>
      </c>
      <c r="S3483" s="3" t="str">
        <f>IF(ISERROR(VLOOKUP(Base_Periodo1[[#This Row],[CONTA]],BaseContasDRE[#All],4,FALSE)),"Fora do DRE",VLOOKUP(Base_Periodo1[[#This Row],[CONTA]],BaseContasDRE[#All],4,FALSE))</f>
        <v>Fora do DRE</v>
      </c>
      <c r="T3483" s="3" t="str">
        <f>IF(ISERROR(VLOOKUP(Base_Periodo1[[#This Row],[CONTA]],BaseContasDRE[#All],5,FALSE)),"Fora do DRE",VLOOKUP(Base_Periodo1[[#This Row],[CONTA]],BaseContasDRE[#All],6,FALSE))</f>
        <v>Fora do DRE</v>
      </c>
      <c r="U3483" s="3" t="str">
        <f>IF(ISERROR(VLOOKUP(Base_Periodo1[[#This Row],[CONTA]],BaseContasDRE[#All],7,FALSE)),"Fora do DRE",VLOOKUP(Base_Periodo1[[#This Row],[CONTA]],BaseContasDRE[#All],7,FALSE))</f>
        <v>Fora do DRE</v>
      </c>
      <c r="V3483" s="3" t="str">
        <f>IF(Base_Periodo1[[#This Row],[Tipo_Linha]]="Fora do DRE","Fora do DRE","( "&amp;Base_Periodo1[[#This Row],[Tipo_Linha]]&amp;" ) "&amp;Base_Periodo1[[#This Row],[Filtro]])</f>
        <v>Fora do DRE</v>
      </c>
      <c r="W3483" s="3" t="str">
        <f>LEFT(Base_Periodo1[[#This Row],[CLASS]],3)</f>
        <v>2.1</v>
      </c>
    </row>
    <row r="3484" spans="1:23" hidden="1">
      <c r="A3484" s="3" t="str">
        <f t="shared" si="54"/>
        <v>Período 1</v>
      </c>
      <c r="B3484">
        <v>11342</v>
      </c>
      <c r="C3484" t="s">
        <v>2010</v>
      </c>
      <c r="D3484" t="s">
        <v>6456</v>
      </c>
      <c r="E3484" s="3" t="str">
        <f>IF(LEN(Base_Periodo1[[#This Row],[CLASS]])&gt;=7,LEFT(Base_Periodo1[[#This Row],[CLASS]],7),"")</f>
        <v>2.1.2.2</v>
      </c>
      <c r="F3484" s="3" t="str">
        <f>VLOOKUP(Base_Periodo1[[#This Row],[Aux]],Base_Contas_Balanco[#All],2,FALSE)</f>
        <v>Fornecedores Não Cooperados</v>
      </c>
      <c r="G3484" s="1">
        <v>42857</v>
      </c>
      <c r="H3484" s="225">
        <v>30</v>
      </c>
      <c r="I3484" s="225">
        <v>30</v>
      </c>
      <c r="J3484" s="225">
        <v>0</v>
      </c>
      <c r="K3484" s="225">
        <v>0</v>
      </c>
      <c r="L34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84" s="225">
        <f>ROUND(IF(AND(Base_Periodo1[[#This Row],[Tipo_Linha]]="-",Base_Periodo1[[#This Row],[TIPOSALDO]]="D"),Base_Periodo1[[#This Row],[SALDO_ATUAL]]*-1,Base_Periodo1[[#This Row],[SALDO_ATUAL]]),4)</f>
        <v>0</v>
      </c>
      <c r="N3484" t="s">
        <v>116</v>
      </c>
      <c r="O3484" t="s">
        <v>459</v>
      </c>
      <c r="P3484" t="s">
        <v>436</v>
      </c>
      <c r="Q3484">
        <v>7</v>
      </c>
      <c r="R3484" s="225">
        <f>Base_Periodo1[[#This Row],[CREDITOS]]-Base_Periodo1[[#This Row],[DEBITOS]]</f>
        <v>-30</v>
      </c>
      <c r="S3484" s="3" t="str">
        <f>IF(ISERROR(VLOOKUP(Base_Periodo1[[#This Row],[CONTA]],BaseContasDRE[#All],4,FALSE)),"Fora do DRE",VLOOKUP(Base_Periodo1[[#This Row],[CONTA]],BaseContasDRE[#All],4,FALSE))</f>
        <v>Fora do DRE</v>
      </c>
      <c r="T3484" s="3" t="str">
        <f>IF(ISERROR(VLOOKUP(Base_Periodo1[[#This Row],[CONTA]],BaseContasDRE[#All],5,FALSE)),"Fora do DRE",VLOOKUP(Base_Periodo1[[#This Row],[CONTA]],BaseContasDRE[#All],6,FALSE))</f>
        <v>Fora do DRE</v>
      </c>
      <c r="U3484" s="3" t="str">
        <f>IF(ISERROR(VLOOKUP(Base_Periodo1[[#This Row],[CONTA]],BaseContasDRE[#All],7,FALSE)),"Fora do DRE",VLOOKUP(Base_Periodo1[[#This Row],[CONTA]],BaseContasDRE[#All],7,FALSE))</f>
        <v>Fora do DRE</v>
      </c>
      <c r="V3484" s="3" t="str">
        <f>IF(Base_Periodo1[[#This Row],[Tipo_Linha]]="Fora do DRE","Fora do DRE","( "&amp;Base_Periodo1[[#This Row],[Tipo_Linha]]&amp;" ) "&amp;Base_Periodo1[[#This Row],[Filtro]])</f>
        <v>Fora do DRE</v>
      </c>
      <c r="W3484" s="3" t="str">
        <f>LEFT(Base_Periodo1[[#This Row],[CLASS]],3)</f>
        <v>2.1</v>
      </c>
    </row>
    <row r="3485" spans="1:23" hidden="1">
      <c r="A3485" s="3" t="str">
        <f t="shared" si="54"/>
        <v>Período 1</v>
      </c>
      <c r="B3485">
        <v>19731</v>
      </c>
      <c r="C3485" t="s">
        <v>2010</v>
      </c>
      <c r="D3485" t="s">
        <v>2051</v>
      </c>
      <c r="E3485" s="3" t="str">
        <f>IF(LEN(Base_Periodo1[[#This Row],[CLASS]])&gt;=7,LEFT(Base_Periodo1[[#This Row],[CLASS]],7),"")</f>
        <v>2.1.2.2</v>
      </c>
      <c r="F3485" s="3" t="str">
        <f>VLOOKUP(Base_Periodo1[[#This Row],[Aux]],Base_Contas_Balanco[#All],2,FALSE)</f>
        <v>Fornecedores Não Cooperados</v>
      </c>
      <c r="G3485" s="1">
        <v>42242</v>
      </c>
      <c r="H3485" s="225">
        <v>182.58000000000538</v>
      </c>
      <c r="I3485" s="225">
        <v>0</v>
      </c>
      <c r="J3485" s="225">
        <v>0</v>
      </c>
      <c r="K3485" s="225">
        <v>182.58000000000538</v>
      </c>
      <c r="L34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182.58</v>
      </c>
      <c r="M3485" s="225">
        <f>ROUND(IF(AND(Base_Periodo1[[#This Row],[Tipo_Linha]]="-",Base_Periodo1[[#This Row],[TIPOSALDO]]="D"),Base_Periodo1[[#This Row],[SALDO_ATUAL]]*-1,Base_Periodo1[[#This Row],[SALDO_ATUAL]]),4)</f>
        <v>182.58</v>
      </c>
      <c r="N3485" t="s">
        <v>116</v>
      </c>
      <c r="O3485" t="s">
        <v>459</v>
      </c>
      <c r="P3485" t="s">
        <v>459</v>
      </c>
      <c r="Q3485">
        <v>7</v>
      </c>
      <c r="R3485" s="225">
        <f>Base_Periodo1[[#This Row],[CREDITOS]]-Base_Periodo1[[#This Row],[DEBITOS]]</f>
        <v>0</v>
      </c>
      <c r="S3485" s="3" t="str">
        <f>IF(ISERROR(VLOOKUP(Base_Periodo1[[#This Row],[CONTA]],BaseContasDRE[#All],4,FALSE)),"Fora do DRE",VLOOKUP(Base_Periodo1[[#This Row],[CONTA]],BaseContasDRE[#All],4,FALSE))</f>
        <v>Fora do DRE</v>
      </c>
      <c r="T3485" s="3" t="str">
        <f>IF(ISERROR(VLOOKUP(Base_Periodo1[[#This Row],[CONTA]],BaseContasDRE[#All],5,FALSE)),"Fora do DRE",VLOOKUP(Base_Periodo1[[#This Row],[CONTA]],BaseContasDRE[#All],6,FALSE))</f>
        <v>Fora do DRE</v>
      </c>
      <c r="U3485" s="3" t="str">
        <f>IF(ISERROR(VLOOKUP(Base_Periodo1[[#This Row],[CONTA]],BaseContasDRE[#All],7,FALSE)),"Fora do DRE",VLOOKUP(Base_Periodo1[[#This Row],[CONTA]],BaseContasDRE[#All],7,FALSE))</f>
        <v>Fora do DRE</v>
      </c>
      <c r="V3485" s="3" t="str">
        <f>IF(Base_Periodo1[[#This Row],[Tipo_Linha]]="Fora do DRE","Fora do DRE","( "&amp;Base_Periodo1[[#This Row],[Tipo_Linha]]&amp;" ) "&amp;Base_Periodo1[[#This Row],[Filtro]])</f>
        <v>Fora do DRE</v>
      </c>
      <c r="W3485" s="3" t="str">
        <f>LEFT(Base_Periodo1[[#This Row],[CLASS]],3)</f>
        <v>2.1</v>
      </c>
    </row>
    <row r="3486" spans="1:23" hidden="1">
      <c r="A3486" s="3" t="str">
        <f t="shared" si="54"/>
        <v>Período 1</v>
      </c>
      <c r="B3486">
        <v>38272</v>
      </c>
      <c r="C3486" t="s">
        <v>2010</v>
      </c>
      <c r="D3486" t="s">
        <v>5865</v>
      </c>
      <c r="E3486" s="3" t="str">
        <f>IF(LEN(Base_Periodo1[[#This Row],[CLASS]])&gt;=7,LEFT(Base_Periodo1[[#This Row],[CLASS]],7),"")</f>
        <v>2.1.2.2</v>
      </c>
      <c r="F3486" s="3" t="str">
        <f>VLOOKUP(Base_Periodo1[[#This Row],[Aux]],Base_Contas_Balanco[#All],2,FALSE)</f>
        <v>Fornecedores Não Cooperados</v>
      </c>
      <c r="G3486" s="1">
        <v>42881</v>
      </c>
      <c r="I3486" s="225">
        <v>204582</v>
      </c>
      <c r="J3486" s="225">
        <v>204582</v>
      </c>
      <c r="K3486" s="225">
        <v>-2.9103830456733704E-11</v>
      </c>
      <c r="L34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86" s="225">
        <f>ROUND(IF(AND(Base_Periodo1[[#This Row],[Tipo_Linha]]="-",Base_Periodo1[[#This Row],[TIPOSALDO]]="D"),Base_Periodo1[[#This Row],[SALDO_ATUAL]]*-1,Base_Periodo1[[#This Row],[SALDO_ATUAL]]),4)</f>
        <v>0</v>
      </c>
      <c r="N3486" t="s">
        <v>116</v>
      </c>
      <c r="O3486" t="s">
        <v>436</v>
      </c>
      <c r="P3486" t="s">
        <v>436</v>
      </c>
      <c r="Q3486">
        <v>7</v>
      </c>
      <c r="R3486" s="225">
        <f>Base_Periodo1[[#This Row],[CREDITOS]]-Base_Periodo1[[#This Row],[DEBITOS]]</f>
        <v>0</v>
      </c>
      <c r="S3486" s="3" t="str">
        <f>IF(ISERROR(VLOOKUP(Base_Periodo1[[#This Row],[CONTA]],BaseContasDRE[#All],4,FALSE)),"Fora do DRE",VLOOKUP(Base_Periodo1[[#This Row],[CONTA]],BaseContasDRE[#All],4,FALSE))</f>
        <v>Fora do DRE</v>
      </c>
      <c r="T3486" s="3" t="str">
        <f>IF(ISERROR(VLOOKUP(Base_Periodo1[[#This Row],[CONTA]],BaseContasDRE[#All],5,FALSE)),"Fora do DRE",VLOOKUP(Base_Periodo1[[#This Row],[CONTA]],BaseContasDRE[#All],6,FALSE))</f>
        <v>Fora do DRE</v>
      </c>
      <c r="U3486" s="3" t="str">
        <f>IF(ISERROR(VLOOKUP(Base_Periodo1[[#This Row],[CONTA]],BaseContasDRE[#All],7,FALSE)),"Fora do DRE",VLOOKUP(Base_Periodo1[[#This Row],[CONTA]],BaseContasDRE[#All],7,FALSE))</f>
        <v>Fora do DRE</v>
      </c>
      <c r="V3486" s="3" t="str">
        <f>IF(Base_Periodo1[[#This Row],[Tipo_Linha]]="Fora do DRE","Fora do DRE","( "&amp;Base_Periodo1[[#This Row],[Tipo_Linha]]&amp;" ) "&amp;Base_Periodo1[[#This Row],[Filtro]])</f>
        <v>Fora do DRE</v>
      </c>
      <c r="W3486" s="3" t="str">
        <f>LEFT(Base_Periodo1[[#This Row],[CLASS]],3)</f>
        <v>2.1</v>
      </c>
    </row>
    <row r="3487" spans="1:23" hidden="1">
      <c r="A3487" s="3" t="str">
        <f t="shared" si="54"/>
        <v>Período 1</v>
      </c>
      <c r="B3487">
        <v>34000</v>
      </c>
      <c r="C3487" t="s">
        <v>2010</v>
      </c>
      <c r="D3487" t="s">
        <v>2052</v>
      </c>
      <c r="E3487" s="3" t="str">
        <f>IF(LEN(Base_Periodo1[[#This Row],[CLASS]])&gt;=7,LEFT(Base_Periodo1[[#This Row],[CLASS]],7),"")</f>
        <v>2.1.2.2</v>
      </c>
      <c r="F3487" s="3" t="str">
        <f>VLOOKUP(Base_Periodo1[[#This Row],[Aux]],Base_Contas_Balanco[#All],2,FALSE)</f>
        <v>Fornecedores Não Cooperados</v>
      </c>
      <c r="G3487" s="1">
        <v>42871</v>
      </c>
      <c r="I3487" s="225">
        <v>2727.61</v>
      </c>
      <c r="J3487" s="225">
        <v>2727.61</v>
      </c>
      <c r="K3487" s="225">
        <v>-1.4551915228366852E-11</v>
      </c>
      <c r="L34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87" s="225">
        <f>ROUND(IF(AND(Base_Periodo1[[#This Row],[Tipo_Linha]]="-",Base_Periodo1[[#This Row],[TIPOSALDO]]="D"),Base_Periodo1[[#This Row],[SALDO_ATUAL]]*-1,Base_Periodo1[[#This Row],[SALDO_ATUAL]]),4)</f>
        <v>0</v>
      </c>
      <c r="N3487" t="s">
        <v>116</v>
      </c>
      <c r="O3487" t="s">
        <v>436</v>
      </c>
      <c r="P3487" t="s">
        <v>436</v>
      </c>
      <c r="Q3487">
        <v>7</v>
      </c>
      <c r="R3487" s="225">
        <f>Base_Periodo1[[#This Row],[CREDITOS]]-Base_Periodo1[[#This Row],[DEBITOS]]</f>
        <v>0</v>
      </c>
      <c r="S3487" s="3" t="str">
        <f>IF(ISERROR(VLOOKUP(Base_Periodo1[[#This Row],[CONTA]],BaseContasDRE[#All],4,FALSE)),"Fora do DRE",VLOOKUP(Base_Periodo1[[#This Row],[CONTA]],BaseContasDRE[#All],4,FALSE))</f>
        <v>Fora do DRE</v>
      </c>
      <c r="T3487" s="3" t="str">
        <f>IF(ISERROR(VLOOKUP(Base_Periodo1[[#This Row],[CONTA]],BaseContasDRE[#All],5,FALSE)),"Fora do DRE",VLOOKUP(Base_Periodo1[[#This Row],[CONTA]],BaseContasDRE[#All],6,FALSE))</f>
        <v>Fora do DRE</v>
      </c>
      <c r="U3487" s="3" t="str">
        <f>IF(ISERROR(VLOOKUP(Base_Periodo1[[#This Row],[CONTA]],BaseContasDRE[#All],7,FALSE)),"Fora do DRE",VLOOKUP(Base_Periodo1[[#This Row],[CONTA]],BaseContasDRE[#All],7,FALSE))</f>
        <v>Fora do DRE</v>
      </c>
      <c r="V3487" s="3" t="str">
        <f>IF(Base_Periodo1[[#This Row],[Tipo_Linha]]="Fora do DRE","Fora do DRE","( "&amp;Base_Periodo1[[#This Row],[Tipo_Linha]]&amp;" ) "&amp;Base_Periodo1[[#This Row],[Filtro]])</f>
        <v>Fora do DRE</v>
      </c>
      <c r="W3487" s="3" t="str">
        <f>LEFT(Base_Periodo1[[#This Row],[CLASS]],3)</f>
        <v>2.1</v>
      </c>
    </row>
    <row r="3488" spans="1:23" hidden="1">
      <c r="A3488" s="3" t="str">
        <f t="shared" si="54"/>
        <v>Período 1</v>
      </c>
      <c r="B3488">
        <v>12119</v>
      </c>
      <c r="C3488" t="s">
        <v>2010</v>
      </c>
      <c r="D3488" t="s">
        <v>6970</v>
      </c>
      <c r="E3488" s="3" t="str">
        <f>IF(LEN(Base_Periodo1[[#This Row],[CLASS]])&gt;=7,LEFT(Base_Periodo1[[#This Row],[CLASS]],7),"")</f>
        <v>2.1.2.2</v>
      </c>
      <c r="F3488" s="3" t="str">
        <f>VLOOKUP(Base_Periodo1[[#This Row],[Aux]],Base_Contas_Balanco[#All],2,FALSE)</f>
        <v>Fornecedores Não Cooperados</v>
      </c>
      <c r="G3488" s="1">
        <v>42885</v>
      </c>
      <c r="I3488" s="225">
        <v>0</v>
      </c>
      <c r="J3488" s="225">
        <v>75</v>
      </c>
      <c r="K3488" s="225">
        <v>75</v>
      </c>
      <c r="L34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</v>
      </c>
      <c r="M3488" s="225">
        <f>ROUND(IF(AND(Base_Periodo1[[#This Row],[Tipo_Linha]]="-",Base_Periodo1[[#This Row],[TIPOSALDO]]="D"),Base_Periodo1[[#This Row],[SALDO_ATUAL]]*-1,Base_Periodo1[[#This Row],[SALDO_ATUAL]]),4)</f>
        <v>75</v>
      </c>
      <c r="N3488" t="s">
        <v>116</v>
      </c>
      <c r="O3488" t="s">
        <v>436</v>
      </c>
      <c r="P3488" t="s">
        <v>459</v>
      </c>
      <c r="Q3488">
        <v>7</v>
      </c>
      <c r="R3488" s="225">
        <f>Base_Periodo1[[#This Row],[CREDITOS]]-Base_Periodo1[[#This Row],[DEBITOS]]</f>
        <v>75</v>
      </c>
      <c r="S3488" s="3" t="str">
        <f>IF(ISERROR(VLOOKUP(Base_Periodo1[[#This Row],[CONTA]],BaseContasDRE[#All],4,FALSE)),"Fora do DRE",VLOOKUP(Base_Periodo1[[#This Row],[CONTA]],BaseContasDRE[#All],4,FALSE))</f>
        <v>Fora do DRE</v>
      </c>
      <c r="T3488" s="3" t="str">
        <f>IF(ISERROR(VLOOKUP(Base_Periodo1[[#This Row],[CONTA]],BaseContasDRE[#All],5,FALSE)),"Fora do DRE",VLOOKUP(Base_Periodo1[[#This Row],[CONTA]],BaseContasDRE[#All],6,FALSE))</f>
        <v>Fora do DRE</v>
      </c>
      <c r="U3488" s="3" t="str">
        <f>IF(ISERROR(VLOOKUP(Base_Periodo1[[#This Row],[CONTA]],BaseContasDRE[#All],7,FALSE)),"Fora do DRE",VLOOKUP(Base_Periodo1[[#This Row],[CONTA]],BaseContasDRE[#All],7,FALSE))</f>
        <v>Fora do DRE</v>
      </c>
      <c r="V3488" s="3" t="str">
        <f>IF(Base_Periodo1[[#This Row],[Tipo_Linha]]="Fora do DRE","Fora do DRE","( "&amp;Base_Periodo1[[#This Row],[Tipo_Linha]]&amp;" ) "&amp;Base_Periodo1[[#This Row],[Filtro]])</f>
        <v>Fora do DRE</v>
      </c>
      <c r="W3488" s="3" t="str">
        <f>LEFT(Base_Periodo1[[#This Row],[CLASS]],3)</f>
        <v>2.1</v>
      </c>
    </row>
    <row r="3489" spans="1:23" hidden="1">
      <c r="A3489" s="3" t="str">
        <f t="shared" si="54"/>
        <v>Período 1</v>
      </c>
      <c r="B3489">
        <v>55682</v>
      </c>
      <c r="C3489" t="s">
        <v>2010</v>
      </c>
      <c r="D3489" t="s">
        <v>5399</v>
      </c>
      <c r="E3489" s="3" t="str">
        <f>IF(LEN(Base_Periodo1[[#This Row],[CLASS]])&gt;=7,LEFT(Base_Periodo1[[#This Row],[CLASS]],7),"")</f>
        <v>2.1.2.2</v>
      </c>
      <c r="F3489" s="3" t="str">
        <f>VLOOKUP(Base_Periodo1[[#This Row],[Aux]],Base_Contas_Balanco[#All],2,FALSE)</f>
        <v>Fornecedores Não Cooperados</v>
      </c>
      <c r="G3489" s="1">
        <v>42873</v>
      </c>
      <c r="I3489" s="225">
        <v>209158.12</v>
      </c>
      <c r="J3489" s="225">
        <v>209158.12</v>
      </c>
      <c r="K3489" s="225">
        <v>0</v>
      </c>
      <c r="L34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89" s="225">
        <f>ROUND(IF(AND(Base_Periodo1[[#This Row],[Tipo_Linha]]="-",Base_Periodo1[[#This Row],[TIPOSALDO]]="D"),Base_Periodo1[[#This Row],[SALDO_ATUAL]]*-1,Base_Periodo1[[#This Row],[SALDO_ATUAL]]),4)</f>
        <v>0</v>
      </c>
      <c r="N3489" t="s">
        <v>116</v>
      </c>
      <c r="O3489" t="s">
        <v>436</v>
      </c>
      <c r="P3489" t="s">
        <v>436</v>
      </c>
      <c r="Q3489">
        <v>7</v>
      </c>
      <c r="R3489" s="225">
        <f>Base_Periodo1[[#This Row],[CREDITOS]]-Base_Periodo1[[#This Row],[DEBITOS]]</f>
        <v>0</v>
      </c>
      <c r="S3489" s="3" t="str">
        <f>IF(ISERROR(VLOOKUP(Base_Periodo1[[#This Row],[CONTA]],BaseContasDRE[#All],4,FALSE)),"Fora do DRE",VLOOKUP(Base_Periodo1[[#This Row],[CONTA]],BaseContasDRE[#All],4,FALSE))</f>
        <v>Fora do DRE</v>
      </c>
      <c r="T3489" s="3" t="str">
        <f>IF(ISERROR(VLOOKUP(Base_Periodo1[[#This Row],[CONTA]],BaseContasDRE[#All],5,FALSE)),"Fora do DRE",VLOOKUP(Base_Periodo1[[#This Row],[CONTA]],BaseContasDRE[#All],6,FALSE))</f>
        <v>Fora do DRE</v>
      </c>
      <c r="U3489" s="3" t="str">
        <f>IF(ISERROR(VLOOKUP(Base_Periodo1[[#This Row],[CONTA]],BaseContasDRE[#All],7,FALSE)),"Fora do DRE",VLOOKUP(Base_Periodo1[[#This Row],[CONTA]],BaseContasDRE[#All],7,FALSE))</f>
        <v>Fora do DRE</v>
      </c>
      <c r="V3489" s="3" t="str">
        <f>IF(Base_Periodo1[[#This Row],[Tipo_Linha]]="Fora do DRE","Fora do DRE","( "&amp;Base_Periodo1[[#This Row],[Tipo_Linha]]&amp;" ) "&amp;Base_Periodo1[[#This Row],[Filtro]])</f>
        <v>Fora do DRE</v>
      </c>
      <c r="W3489" s="3" t="str">
        <f>LEFT(Base_Periodo1[[#This Row],[CLASS]],3)</f>
        <v>2.1</v>
      </c>
    </row>
    <row r="3490" spans="1:23" hidden="1">
      <c r="A3490" s="3" t="str">
        <f t="shared" si="54"/>
        <v>Período 1</v>
      </c>
      <c r="B3490">
        <v>11226</v>
      </c>
      <c r="C3490" t="s">
        <v>2010</v>
      </c>
      <c r="D3490" t="s">
        <v>6457</v>
      </c>
      <c r="E3490" s="3" t="str">
        <f>IF(LEN(Base_Periodo1[[#This Row],[CLASS]])&gt;=7,LEFT(Base_Periodo1[[#This Row],[CLASS]],7),"")</f>
        <v>2.1.2.2</v>
      </c>
      <c r="F3490" s="3" t="str">
        <f>VLOOKUP(Base_Periodo1[[#This Row],[Aux]],Base_Contas_Balanco[#All],2,FALSE)</f>
        <v>Fornecedores Não Cooperados</v>
      </c>
      <c r="G3490" s="1">
        <v>42865</v>
      </c>
      <c r="H3490" s="225">
        <v>74.850000000000364</v>
      </c>
      <c r="I3490" s="225">
        <v>74.849999999999994</v>
      </c>
      <c r="J3490" s="225">
        <v>0</v>
      </c>
      <c r="K3490" s="225">
        <v>-3.694822225952521E-13</v>
      </c>
      <c r="L34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90" s="225">
        <f>ROUND(IF(AND(Base_Periodo1[[#This Row],[Tipo_Linha]]="-",Base_Periodo1[[#This Row],[TIPOSALDO]]="D"),Base_Periodo1[[#This Row],[SALDO_ATUAL]]*-1,Base_Periodo1[[#This Row],[SALDO_ATUAL]]),4)</f>
        <v>0</v>
      </c>
      <c r="N3490" t="s">
        <v>116</v>
      </c>
      <c r="O3490" t="s">
        <v>459</v>
      </c>
      <c r="P3490" t="s">
        <v>436</v>
      </c>
      <c r="Q3490">
        <v>7</v>
      </c>
      <c r="R3490" s="225">
        <f>Base_Periodo1[[#This Row],[CREDITOS]]-Base_Periodo1[[#This Row],[DEBITOS]]</f>
        <v>-74.849999999999994</v>
      </c>
      <c r="S3490" s="3" t="str">
        <f>IF(ISERROR(VLOOKUP(Base_Periodo1[[#This Row],[CONTA]],BaseContasDRE[#All],4,FALSE)),"Fora do DRE",VLOOKUP(Base_Periodo1[[#This Row],[CONTA]],BaseContasDRE[#All],4,FALSE))</f>
        <v>Fora do DRE</v>
      </c>
      <c r="T3490" s="3" t="str">
        <f>IF(ISERROR(VLOOKUP(Base_Periodo1[[#This Row],[CONTA]],BaseContasDRE[#All],5,FALSE)),"Fora do DRE",VLOOKUP(Base_Periodo1[[#This Row],[CONTA]],BaseContasDRE[#All],6,FALSE))</f>
        <v>Fora do DRE</v>
      </c>
      <c r="U3490" s="3" t="str">
        <f>IF(ISERROR(VLOOKUP(Base_Periodo1[[#This Row],[CONTA]],BaseContasDRE[#All],7,FALSE)),"Fora do DRE",VLOOKUP(Base_Periodo1[[#This Row],[CONTA]],BaseContasDRE[#All],7,FALSE))</f>
        <v>Fora do DRE</v>
      </c>
      <c r="V3490" s="3" t="str">
        <f>IF(Base_Periodo1[[#This Row],[Tipo_Linha]]="Fora do DRE","Fora do DRE","( "&amp;Base_Periodo1[[#This Row],[Tipo_Linha]]&amp;" ) "&amp;Base_Periodo1[[#This Row],[Filtro]])</f>
        <v>Fora do DRE</v>
      </c>
      <c r="W3490" s="3" t="str">
        <f>LEFT(Base_Periodo1[[#This Row],[CLASS]],3)</f>
        <v>2.1</v>
      </c>
    </row>
    <row r="3491" spans="1:23" hidden="1">
      <c r="A3491" s="3" t="str">
        <f t="shared" si="54"/>
        <v>Período 1</v>
      </c>
      <c r="B3491">
        <v>55479</v>
      </c>
      <c r="C3491" t="s">
        <v>2010</v>
      </c>
      <c r="D3491" t="s">
        <v>6971</v>
      </c>
      <c r="E3491" s="3" t="str">
        <f>IF(LEN(Base_Periodo1[[#This Row],[CLASS]])&gt;=7,LEFT(Base_Periodo1[[#This Row],[CLASS]],7),"")</f>
        <v>2.1.2.2</v>
      </c>
      <c r="F3491" s="3" t="str">
        <f>VLOOKUP(Base_Periodo1[[#This Row],[Aux]],Base_Contas_Balanco[#All],2,FALSE)</f>
        <v>Fornecedores Não Cooperados</v>
      </c>
      <c r="G3491" s="1">
        <v>42886</v>
      </c>
      <c r="I3491" s="225">
        <v>0</v>
      </c>
      <c r="J3491" s="225">
        <v>398481.93</v>
      </c>
      <c r="K3491" s="225">
        <v>398481.93</v>
      </c>
      <c r="L34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398481.93</v>
      </c>
      <c r="M3491" s="225">
        <f>ROUND(IF(AND(Base_Periodo1[[#This Row],[Tipo_Linha]]="-",Base_Periodo1[[#This Row],[TIPOSALDO]]="D"),Base_Periodo1[[#This Row],[SALDO_ATUAL]]*-1,Base_Periodo1[[#This Row],[SALDO_ATUAL]]),4)</f>
        <v>398481.93</v>
      </c>
      <c r="N3491" t="s">
        <v>116</v>
      </c>
      <c r="O3491" t="s">
        <v>436</v>
      </c>
      <c r="P3491" t="s">
        <v>459</v>
      </c>
      <c r="Q3491">
        <v>7</v>
      </c>
      <c r="R3491" s="225">
        <f>Base_Periodo1[[#This Row],[CREDITOS]]-Base_Periodo1[[#This Row],[DEBITOS]]</f>
        <v>398481.93</v>
      </c>
      <c r="S3491" s="3" t="str">
        <f>IF(ISERROR(VLOOKUP(Base_Periodo1[[#This Row],[CONTA]],BaseContasDRE[#All],4,FALSE)),"Fora do DRE",VLOOKUP(Base_Periodo1[[#This Row],[CONTA]],BaseContasDRE[#All],4,FALSE))</f>
        <v>Fora do DRE</v>
      </c>
      <c r="T3491" s="3" t="str">
        <f>IF(ISERROR(VLOOKUP(Base_Periodo1[[#This Row],[CONTA]],BaseContasDRE[#All],5,FALSE)),"Fora do DRE",VLOOKUP(Base_Periodo1[[#This Row],[CONTA]],BaseContasDRE[#All],6,FALSE))</f>
        <v>Fora do DRE</v>
      </c>
      <c r="U3491" s="3" t="str">
        <f>IF(ISERROR(VLOOKUP(Base_Periodo1[[#This Row],[CONTA]],BaseContasDRE[#All],7,FALSE)),"Fora do DRE",VLOOKUP(Base_Periodo1[[#This Row],[CONTA]],BaseContasDRE[#All],7,FALSE))</f>
        <v>Fora do DRE</v>
      </c>
      <c r="V3491" s="3" t="str">
        <f>IF(Base_Periodo1[[#This Row],[Tipo_Linha]]="Fora do DRE","Fora do DRE","( "&amp;Base_Periodo1[[#This Row],[Tipo_Linha]]&amp;" ) "&amp;Base_Periodo1[[#This Row],[Filtro]])</f>
        <v>Fora do DRE</v>
      </c>
      <c r="W3491" s="3" t="str">
        <f>LEFT(Base_Periodo1[[#This Row],[CLASS]],3)</f>
        <v>2.1</v>
      </c>
    </row>
    <row r="3492" spans="1:23" hidden="1">
      <c r="A3492" s="3" t="str">
        <f t="shared" si="54"/>
        <v>Período 1</v>
      </c>
      <c r="B3492">
        <v>59207</v>
      </c>
      <c r="C3492" t="s">
        <v>2010</v>
      </c>
      <c r="D3492" t="s">
        <v>6972</v>
      </c>
      <c r="E3492" s="3" t="str">
        <f>IF(LEN(Base_Periodo1[[#This Row],[CLASS]])&gt;=7,LEFT(Base_Periodo1[[#This Row],[CLASS]],7),"")</f>
        <v>2.1.2.2</v>
      </c>
      <c r="F3492" s="3" t="str">
        <f>VLOOKUP(Base_Periodo1[[#This Row],[Aux]],Base_Contas_Balanco[#All],2,FALSE)</f>
        <v>Fornecedores Não Cooperados</v>
      </c>
      <c r="G3492" s="1">
        <v>42885</v>
      </c>
      <c r="I3492" s="225">
        <v>5000</v>
      </c>
      <c r="J3492" s="225">
        <v>5000</v>
      </c>
      <c r="K3492" s="225">
        <v>0</v>
      </c>
      <c r="L34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92" s="225">
        <f>ROUND(IF(AND(Base_Periodo1[[#This Row],[Tipo_Linha]]="-",Base_Periodo1[[#This Row],[TIPOSALDO]]="D"),Base_Periodo1[[#This Row],[SALDO_ATUAL]]*-1,Base_Periodo1[[#This Row],[SALDO_ATUAL]]),4)</f>
        <v>0</v>
      </c>
      <c r="N3492" t="s">
        <v>116</v>
      </c>
      <c r="O3492" t="s">
        <v>436</v>
      </c>
      <c r="P3492" t="s">
        <v>436</v>
      </c>
      <c r="Q3492">
        <v>7</v>
      </c>
      <c r="R3492" s="225">
        <f>Base_Periodo1[[#This Row],[CREDITOS]]-Base_Periodo1[[#This Row],[DEBITOS]]</f>
        <v>0</v>
      </c>
      <c r="S3492" s="3" t="str">
        <f>IF(ISERROR(VLOOKUP(Base_Periodo1[[#This Row],[CONTA]],BaseContasDRE[#All],4,FALSE)),"Fora do DRE",VLOOKUP(Base_Periodo1[[#This Row],[CONTA]],BaseContasDRE[#All],4,FALSE))</f>
        <v>Fora do DRE</v>
      </c>
      <c r="T3492" s="3" t="str">
        <f>IF(ISERROR(VLOOKUP(Base_Periodo1[[#This Row],[CONTA]],BaseContasDRE[#All],5,FALSE)),"Fora do DRE",VLOOKUP(Base_Periodo1[[#This Row],[CONTA]],BaseContasDRE[#All],6,FALSE))</f>
        <v>Fora do DRE</v>
      </c>
      <c r="U3492" s="3" t="str">
        <f>IF(ISERROR(VLOOKUP(Base_Periodo1[[#This Row],[CONTA]],BaseContasDRE[#All],7,FALSE)),"Fora do DRE",VLOOKUP(Base_Periodo1[[#This Row],[CONTA]],BaseContasDRE[#All],7,FALSE))</f>
        <v>Fora do DRE</v>
      </c>
      <c r="V3492" s="3" t="str">
        <f>IF(Base_Periodo1[[#This Row],[Tipo_Linha]]="Fora do DRE","Fora do DRE","( "&amp;Base_Periodo1[[#This Row],[Tipo_Linha]]&amp;" ) "&amp;Base_Periodo1[[#This Row],[Filtro]])</f>
        <v>Fora do DRE</v>
      </c>
      <c r="W3492" s="3" t="str">
        <f>LEFT(Base_Periodo1[[#This Row],[CLASS]],3)</f>
        <v>2.1</v>
      </c>
    </row>
    <row r="3493" spans="1:23" hidden="1">
      <c r="A3493" s="3" t="str">
        <f t="shared" si="54"/>
        <v>Período 1</v>
      </c>
      <c r="B3493">
        <v>33048</v>
      </c>
      <c r="C3493" t="s">
        <v>2010</v>
      </c>
      <c r="D3493" t="s">
        <v>2053</v>
      </c>
      <c r="E3493" s="3" t="str">
        <f>IF(LEN(Base_Periodo1[[#This Row],[CLASS]])&gt;=7,LEFT(Base_Periodo1[[#This Row],[CLASS]],7),"")</f>
        <v>2.1.2.2</v>
      </c>
      <c r="F3493" s="3" t="str">
        <f>VLOOKUP(Base_Periodo1[[#This Row],[Aux]],Base_Contas_Balanco[#All],2,FALSE)</f>
        <v>Fornecedores Não Cooperados</v>
      </c>
      <c r="G3493" s="1">
        <v>42866</v>
      </c>
      <c r="I3493" s="225">
        <v>1109.07</v>
      </c>
      <c r="J3493" s="225">
        <v>1109.07</v>
      </c>
      <c r="K3493" s="225">
        <v>3.637978807091713E-12</v>
      </c>
      <c r="L34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93" s="225">
        <f>ROUND(IF(AND(Base_Periodo1[[#This Row],[Tipo_Linha]]="-",Base_Periodo1[[#This Row],[TIPOSALDO]]="D"),Base_Periodo1[[#This Row],[SALDO_ATUAL]]*-1,Base_Periodo1[[#This Row],[SALDO_ATUAL]]),4)</f>
        <v>0</v>
      </c>
      <c r="N3493" t="s">
        <v>116</v>
      </c>
      <c r="O3493" t="s">
        <v>436</v>
      </c>
      <c r="P3493" t="s">
        <v>436</v>
      </c>
      <c r="Q3493">
        <v>7</v>
      </c>
      <c r="R3493" s="225">
        <f>Base_Periodo1[[#This Row],[CREDITOS]]-Base_Periodo1[[#This Row],[DEBITOS]]</f>
        <v>0</v>
      </c>
      <c r="S3493" s="3" t="str">
        <f>IF(ISERROR(VLOOKUP(Base_Periodo1[[#This Row],[CONTA]],BaseContasDRE[#All],4,FALSE)),"Fora do DRE",VLOOKUP(Base_Periodo1[[#This Row],[CONTA]],BaseContasDRE[#All],4,FALSE))</f>
        <v>Fora do DRE</v>
      </c>
      <c r="T3493" s="3" t="str">
        <f>IF(ISERROR(VLOOKUP(Base_Periodo1[[#This Row],[CONTA]],BaseContasDRE[#All],5,FALSE)),"Fora do DRE",VLOOKUP(Base_Periodo1[[#This Row],[CONTA]],BaseContasDRE[#All],6,FALSE))</f>
        <v>Fora do DRE</v>
      </c>
      <c r="U3493" s="3" t="str">
        <f>IF(ISERROR(VLOOKUP(Base_Periodo1[[#This Row],[CONTA]],BaseContasDRE[#All],7,FALSE)),"Fora do DRE",VLOOKUP(Base_Periodo1[[#This Row],[CONTA]],BaseContasDRE[#All],7,FALSE))</f>
        <v>Fora do DRE</v>
      </c>
      <c r="V3493" s="3" t="str">
        <f>IF(Base_Periodo1[[#This Row],[Tipo_Linha]]="Fora do DRE","Fora do DRE","( "&amp;Base_Periodo1[[#This Row],[Tipo_Linha]]&amp;" ) "&amp;Base_Periodo1[[#This Row],[Filtro]])</f>
        <v>Fora do DRE</v>
      </c>
      <c r="W3493" s="3" t="str">
        <f>LEFT(Base_Periodo1[[#This Row],[CLASS]],3)</f>
        <v>2.1</v>
      </c>
    </row>
    <row r="3494" spans="1:23" hidden="1">
      <c r="A3494" s="3" t="str">
        <f t="shared" si="54"/>
        <v>Período 1</v>
      </c>
      <c r="B3494">
        <v>33842</v>
      </c>
      <c r="C3494" t="s">
        <v>2010</v>
      </c>
      <c r="D3494" t="s">
        <v>6458</v>
      </c>
      <c r="E3494" s="3" t="str">
        <f>IF(LEN(Base_Periodo1[[#This Row],[CLASS]])&gt;=7,LEFT(Base_Periodo1[[#This Row],[CLASS]],7),"")</f>
        <v>2.1.2.2</v>
      </c>
      <c r="F3494" s="3" t="str">
        <f>VLOOKUP(Base_Periodo1[[#This Row],[Aux]],Base_Contas_Balanco[#All],2,FALSE)</f>
        <v>Fornecedores Não Cooperados</v>
      </c>
      <c r="G3494" s="1">
        <v>42864</v>
      </c>
      <c r="I3494" s="225">
        <v>84.8</v>
      </c>
      <c r="J3494" s="225">
        <v>84.8</v>
      </c>
      <c r="K3494" s="225">
        <v>0</v>
      </c>
      <c r="L34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94" s="225">
        <f>ROUND(IF(AND(Base_Periodo1[[#This Row],[Tipo_Linha]]="-",Base_Periodo1[[#This Row],[TIPOSALDO]]="D"),Base_Periodo1[[#This Row],[SALDO_ATUAL]]*-1,Base_Periodo1[[#This Row],[SALDO_ATUAL]]),4)</f>
        <v>0</v>
      </c>
      <c r="N3494" t="s">
        <v>116</v>
      </c>
      <c r="O3494" t="s">
        <v>436</v>
      </c>
      <c r="P3494" t="s">
        <v>436</v>
      </c>
      <c r="Q3494">
        <v>7</v>
      </c>
      <c r="R3494" s="225">
        <f>Base_Periodo1[[#This Row],[CREDITOS]]-Base_Periodo1[[#This Row],[DEBITOS]]</f>
        <v>0</v>
      </c>
      <c r="S3494" s="3" t="str">
        <f>IF(ISERROR(VLOOKUP(Base_Periodo1[[#This Row],[CONTA]],BaseContasDRE[#All],4,FALSE)),"Fora do DRE",VLOOKUP(Base_Periodo1[[#This Row],[CONTA]],BaseContasDRE[#All],4,FALSE))</f>
        <v>Fora do DRE</v>
      </c>
      <c r="T3494" s="3" t="str">
        <f>IF(ISERROR(VLOOKUP(Base_Periodo1[[#This Row],[CONTA]],BaseContasDRE[#All],5,FALSE)),"Fora do DRE",VLOOKUP(Base_Periodo1[[#This Row],[CONTA]],BaseContasDRE[#All],6,FALSE))</f>
        <v>Fora do DRE</v>
      </c>
      <c r="U3494" s="3" t="str">
        <f>IF(ISERROR(VLOOKUP(Base_Periodo1[[#This Row],[CONTA]],BaseContasDRE[#All],7,FALSE)),"Fora do DRE",VLOOKUP(Base_Periodo1[[#This Row],[CONTA]],BaseContasDRE[#All],7,FALSE))</f>
        <v>Fora do DRE</v>
      </c>
      <c r="V3494" s="3" t="str">
        <f>IF(Base_Periodo1[[#This Row],[Tipo_Linha]]="Fora do DRE","Fora do DRE","( "&amp;Base_Periodo1[[#This Row],[Tipo_Linha]]&amp;" ) "&amp;Base_Periodo1[[#This Row],[Filtro]])</f>
        <v>Fora do DRE</v>
      </c>
      <c r="W3494" s="3" t="str">
        <f>LEFT(Base_Periodo1[[#This Row],[CLASS]],3)</f>
        <v>2.1</v>
      </c>
    </row>
    <row r="3495" spans="1:23" hidden="1">
      <c r="A3495" s="3" t="str">
        <f t="shared" si="54"/>
        <v>Período 1</v>
      </c>
      <c r="B3495">
        <v>54279</v>
      </c>
      <c r="C3495" t="s">
        <v>2010</v>
      </c>
      <c r="D3495" t="s">
        <v>6459</v>
      </c>
      <c r="E3495" s="3" t="str">
        <f>IF(LEN(Base_Periodo1[[#This Row],[CLASS]])&gt;=7,LEFT(Base_Periodo1[[#This Row],[CLASS]],7),"")</f>
        <v>2.1.2.2</v>
      </c>
      <c r="F3495" s="3" t="str">
        <f>VLOOKUP(Base_Periodo1[[#This Row],[Aux]],Base_Contas_Balanco[#All],2,FALSE)</f>
        <v>Fornecedores Não Cooperados</v>
      </c>
      <c r="G3495" s="1">
        <v>42881</v>
      </c>
      <c r="I3495" s="225">
        <v>1273.94</v>
      </c>
      <c r="J3495" s="225">
        <v>1273.94</v>
      </c>
      <c r="K3495" s="225">
        <v>0</v>
      </c>
      <c r="L34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95" s="225">
        <f>ROUND(IF(AND(Base_Periodo1[[#This Row],[Tipo_Linha]]="-",Base_Periodo1[[#This Row],[TIPOSALDO]]="D"),Base_Periodo1[[#This Row],[SALDO_ATUAL]]*-1,Base_Periodo1[[#This Row],[SALDO_ATUAL]]),4)</f>
        <v>0</v>
      </c>
      <c r="N3495" t="s">
        <v>116</v>
      </c>
      <c r="O3495" t="s">
        <v>436</v>
      </c>
      <c r="P3495" t="s">
        <v>436</v>
      </c>
      <c r="Q3495">
        <v>7</v>
      </c>
      <c r="R3495" s="225">
        <f>Base_Periodo1[[#This Row],[CREDITOS]]-Base_Periodo1[[#This Row],[DEBITOS]]</f>
        <v>0</v>
      </c>
      <c r="S3495" s="3" t="str">
        <f>IF(ISERROR(VLOOKUP(Base_Periodo1[[#This Row],[CONTA]],BaseContasDRE[#All],4,FALSE)),"Fora do DRE",VLOOKUP(Base_Periodo1[[#This Row],[CONTA]],BaseContasDRE[#All],4,FALSE))</f>
        <v>Fora do DRE</v>
      </c>
      <c r="T3495" s="3" t="str">
        <f>IF(ISERROR(VLOOKUP(Base_Periodo1[[#This Row],[CONTA]],BaseContasDRE[#All],5,FALSE)),"Fora do DRE",VLOOKUP(Base_Periodo1[[#This Row],[CONTA]],BaseContasDRE[#All],6,FALSE))</f>
        <v>Fora do DRE</v>
      </c>
      <c r="U3495" s="3" t="str">
        <f>IF(ISERROR(VLOOKUP(Base_Periodo1[[#This Row],[CONTA]],BaseContasDRE[#All],7,FALSE)),"Fora do DRE",VLOOKUP(Base_Periodo1[[#This Row],[CONTA]],BaseContasDRE[#All],7,FALSE))</f>
        <v>Fora do DRE</v>
      </c>
      <c r="V3495" s="3" t="str">
        <f>IF(Base_Periodo1[[#This Row],[Tipo_Linha]]="Fora do DRE","Fora do DRE","( "&amp;Base_Periodo1[[#This Row],[Tipo_Linha]]&amp;" ) "&amp;Base_Periodo1[[#This Row],[Filtro]])</f>
        <v>Fora do DRE</v>
      </c>
      <c r="W3495" s="3" t="str">
        <f>LEFT(Base_Periodo1[[#This Row],[CLASS]],3)</f>
        <v>2.1</v>
      </c>
    </row>
    <row r="3496" spans="1:23" hidden="1">
      <c r="A3496" s="3" t="str">
        <f t="shared" si="54"/>
        <v>Período 1</v>
      </c>
      <c r="B3496">
        <v>2169</v>
      </c>
      <c r="C3496" t="s">
        <v>2010</v>
      </c>
      <c r="D3496" t="s">
        <v>951</v>
      </c>
      <c r="E3496" s="3" t="str">
        <f>IF(LEN(Base_Periodo1[[#This Row],[CLASS]])&gt;=7,LEFT(Base_Periodo1[[#This Row],[CLASS]],7),"")</f>
        <v>2.1.2.2</v>
      </c>
      <c r="F3496" s="3" t="str">
        <f>VLOOKUP(Base_Periodo1[[#This Row],[Aux]],Base_Contas_Balanco[#All],2,FALSE)</f>
        <v>Fornecedores Não Cooperados</v>
      </c>
      <c r="G3496" s="1">
        <v>42871</v>
      </c>
      <c r="I3496" s="225">
        <v>581.70000000000005</v>
      </c>
      <c r="J3496" s="225">
        <v>581.70000000000005</v>
      </c>
      <c r="K3496" s="225">
        <v>2.3283064365386963E-10</v>
      </c>
      <c r="L34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96" s="225">
        <f>ROUND(IF(AND(Base_Periodo1[[#This Row],[Tipo_Linha]]="-",Base_Periodo1[[#This Row],[TIPOSALDO]]="D"),Base_Periodo1[[#This Row],[SALDO_ATUAL]]*-1,Base_Periodo1[[#This Row],[SALDO_ATUAL]]),4)</f>
        <v>0</v>
      </c>
      <c r="N3496" t="s">
        <v>116</v>
      </c>
      <c r="O3496" t="s">
        <v>436</v>
      </c>
      <c r="P3496" t="s">
        <v>436</v>
      </c>
      <c r="Q3496">
        <v>7</v>
      </c>
      <c r="R3496" s="225">
        <f>Base_Periodo1[[#This Row],[CREDITOS]]-Base_Periodo1[[#This Row],[DEBITOS]]</f>
        <v>0</v>
      </c>
      <c r="S3496" s="3" t="str">
        <f>IF(ISERROR(VLOOKUP(Base_Periodo1[[#This Row],[CONTA]],BaseContasDRE[#All],4,FALSE)),"Fora do DRE",VLOOKUP(Base_Periodo1[[#This Row],[CONTA]],BaseContasDRE[#All],4,FALSE))</f>
        <v>Fora do DRE</v>
      </c>
      <c r="T3496" s="3" t="str">
        <f>IF(ISERROR(VLOOKUP(Base_Periodo1[[#This Row],[CONTA]],BaseContasDRE[#All],5,FALSE)),"Fora do DRE",VLOOKUP(Base_Periodo1[[#This Row],[CONTA]],BaseContasDRE[#All],6,FALSE))</f>
        <v>Fora do DRE</v>
      </c>
      <c r="U3496" s="3" t="str">
        <f>IF(ISERROR(VLOOKUP(Base_Periodo1[[#This Row],[CONTA]],BaseContasDRE[#All],7,FALSE)),"Fora do DRE",VLOOKUP(Base_Periodo1[[#This Row],[CONTA]],BaseContasDRE[#All],7,FALSE))</f>
        <v>Fora do DRE</v>
      </c>
      <c r="V3496" s="3" t="str">
        <f>IF(Base_Periodo1[[#This Row],[Tipo_Linha]]="Fora do DRE","Fora do DRE","( "&amp;Base_Periodo1[[#This Row],[Tipo_Linha]]&amp;" ) "&amp;Base_Periodo1[[#This Row],[Filtro]])</f>
        <v>Fora do DRE</v>
      </c>
      <c r="W3496" s="3" t="str">
        <f>LEFT(Base_Periodo1[[#This Row],[CLASS]],3)</f>
        <v>2.1</v>
      </c>
    </row>
    <row r="3497" spans="1:23" hidden="1">
      <c r="A3497" s="3" t="str">
        <f t="shared" si="54"/>
        <v>Período 1</v>
      </c>
      <c r="B3497">
        <v>7270</v>
      </c>
      <c r="C3497" t="s">
        <v>2010</v>
      </c>
      <c r="D3497" t="s">
        <v>6460</v>
      </c>
      <c r="E3497" s="3" t="str">
        <f>IF(LEN(Base_Periodo1[[#This Row],[CLASS]])&gt;=7,LEFT(Base_Periodo1[[#This Row],[CLASS]],7),"")</f>
        <v>2.1.2.2</v>
      </c>
      <c r="F3497" s="3" t="str">
        <f>VLOOKUP(Base_Periodo1[[#This Row],[Aux]],Base_Contas_Balanco[#All],2,FALSE)</f>
        <v>Fornecedores Não Cooperados</v>
      </c>
      <c r="G3497" s="1">
        <v>42870</v>
      </c>
      <c r="I3497" s="225">
        <v>358.4</v>
      </c>
      <c r="J3497" s="225">
        <v>358.4</v>
      </c>
      <c r="K3497" s="225">
        <v>2.9103830456733704E-11</v>
      </c>
      <c r="L34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97" s="225">
        <f>ROUND(IF(AND(Base_Periodo1[[#This Row],[Tipo_Linha]]="-",Base_Periodo1[[#This Row],[TIPOSALDO]]="D"),Base_Periodo1[[#This Row],[SALDO_ATUAL]]*-1,Base_Periodo1[[#This Row],[SALDO_ATUAL]]),4)</f>
        <v>0</v>
      </c>
      <c r="N3497" t="s">
        <v>116</v>
      </c>
      <c r="O3497" t="s">
        <v>436</v>
      </c>
      <c r="P3497" t="s">
        <v>436</v>
      </c>
      <c r="Q3497">
        <v>7</v>
      </c>
      <c r="R3497" s="225">
        <f>Base_Periodo1[[#This Row],[CREDITOS]]-Base_Periodo1[[#This Row],[DEBITOS]]</f>
        <v>0</v>
      </c>
      <c r="S3497" s="3" t="str">
        <f>IF(ISERROR(VLOOKUP(Base_Periodo1[[#This Row],[CONTA]],BaseContasDRE[#All],4,FALSE)),"Fora do DRE",VLOOKUP(Base_Periodo1[[#This Row],[CONTA]],BaseContasDRE[#All],4,FALSE))</f>
        <v>Fora do DRE</v>
      </c>
      <c r="T3497" s="3" t="str">
        <f>IF(ISERROR(VLOOKUP(Base_Periodo1[[#This Row],[CONTA]],BaseContasDRE[#All],5,FALSE)),"Fora do DRE",VLOOKUP(Base_Periodo1[[#This Row],[CONTA]],BaseContasDRE[#All],6,FALSE))</f>
        <v>Fora do DRE</v>
      </c>
      <c r="U3497" s="3" t="str">
        <f>IF(ISERROR(VLOOKUP(Base_Periodo1[[#This Row],[CONTA]],BaseContasDRE[#All],7,FALSE)),"Fora do DRE",VLOOKUP(Base_Periodo1[[#This Row],[CONTA]],BaseContasDRE[#All],7,FALSE))</f>
        <v>Fora do DRE</v>
      </c>
      <c r="V3497" s="3" t="str">
        <f>IF(Base_Periodo1[[#This Row],[Tipo_Linha]]="Fora do DRE","Fora do DRE","( "&amp;Base_Periodo1[[#This Row],[Tipo_Linha]]&amp;" ) "&amp;Base_Periodo1[[#This Row],[Filtro]])</f>
        <v>Fora do DRE</v>
      </c>
      <c r="W3497" s="3" t="str">
        <f>LEFT(Base_Periodo1[[#This Row],[CLASS]],3)</f>
        <v>2.1</v>
      </c>
    </row>
    <row r="3498" spans="1:23" hidden="1">
      <c r="A3498" s="3" t="str">
        <f t="shared" si="54"/>
        <v>Período 1</v>
      </c>
      <c r="B3498">
        <v>4309</v>
      </c>
      <c r="C3498" t="s">
        <v>2010</v>
      </c>
      <c r="D3498" t="s">
        <v>6973</v>
      </c>
      <c r="E3498" s="3" t="str">
        <f>IF(LEN(Base_Periodo1[[#This Row],[CLASS]])&gt;=7,LEFT(Base_Periodo1[[#This Row],[CLASS]],7),"")</f>
        <v>2.1.2.2</v>
      </c>
      <c r="F3498" s="3" t="str">
        <f>VLOOKUP(Base_Periodo1[[#This Row],[Aux]],Base_Contas_Balanco[#All],2,FALSE)</f>
        <v>Fornecedores Não Cooperados</v>
      </c>
      <c r="G3498" s="1">
        <v>42885</v>
      </c>
      <c r="I3498" s="225">
        <v>73304.39</v>
      </c>
      <c r="J3498" s="225">
        <v>73304.39</v>
      </c>
      <c r="K3498" s="225">
        <v>0</v>
      </c>
      <c r="L34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98" s="225">
        <f>ROUND(IF(AND(Base_Periodo1[[#This Row],[Tipo_Linha]]="-",Base_Periodo1[[#This Row],[TIPOSALDO]]="D"),Base_Periodo1[[#This Row],[SALDO_ATUAL]]*-1,Base_Periodo1[[#This Row],[SALDO_ATUAL]]),4)</f>
        <v>0</v>
      </c>
      <c r="N3498" t="s">
        <v>116</v>
      </c>
      <c r="O3498" t="s">
        <v>436</v>
      </c>
      <c r="P3498" t="s">
        <v>436</v>
      </c>
      <c r="Q3498">
        <v>7</v>
      </c>
      <c r="R3498" s="225">
        <f>Base_Periodo1[[#This Row],[CREDITOS]]-Base_Periodo1[[#This Row],[DEBITOS]]</f>
        <v>0</v>
      </c>
      <c r="S3498" s="3" t="str">
        <f>IF(ISERROR(VLOOKUP(Base_Periodo1[[#This Row],[CONTA]],BaseContasDRE[#All],4,FALSE)),"Fora do DRE",VLOOKUP(Base_Periodo1[[#This Row],[CONTA]],BaseContasDRE[#All],4,FALSE))</f>
        <v>Fora do DRE</v>
      </c>
      <c r="T3498" s="3" t="str">
        <f>IF(ISERROR(VLOOKUP(Base_Periodo1[[#This Row],[CONTA]],BaseContasDRE[#All],5,FALSE)),"Fora do DRE",VLOOKUP(Base_Periodo1[[#This Row],[CONTA]],BaseContasDRE[#All],6,FALSE))</f>
        <v>Fora do DRE</v>
      </c>
      <c r="U3498" s="3" t="str">
        <f>IF(ISERROR(VLOOKUP(Base_Periodo1[[#This Row],[CONTA]],BaseContasDRE[#All],7,FALSE)),"Fora do DRE",VLOOKUP(Base_Periodo1[[#This Row],[CONTA]],BaseContasDRE[#All],7,FALSE))</f>
        <v>Fora do DRE</v>
      </c>
      <c r="V3498" s="3" t="str">
        <f>IF(Base_Periodo1[[#This Row],[Tipo_Linha]]="Fora do DRE","Fora do DRE","( "&amp;Base_Periodo1[[#This Row],[Tipo_Linha]]&amp;" ) "&amp;Base_Periodo1[[#This Row],[Filtro]])</f>
        <v>Fora do DRE</v>
      </c>
      <c r="W3498" s="3" t="str">
        <f>LEFT(Base_Periodo1[[#This Row],[CLASS]],3)</f>
        <v>2.1</v>
      </c>
    </row>
    <row r="3499" spans="1:23" hidden="1">
      <c r="A3499" s="3" t="str">
        <f t="shared" si="54"/>
        <v>Período 1</v>
      </c>
      <c r="B3499">
        <v>18316</v>
      </c>
      <c r="C3499" t="s">
        <v>2010</v>
      </c>
      <c r="D3499" t="s">
        <v>6974</v>
      </c>
      <c r="E3499" s="3" t="str">
        <f>IF(LEN(Base_Periodo1[[#This Row],[CLASS]])&gt;=7,LEFT(Base_Periodo1[[#This Row],[CLASS]],7),"")</f>
        <v>2.1.2.2</v>
      </c>
      <c r="F3499" s="3" t="str">
        <f>VLOOKUP(Base_Periodo1[[#This Row],[Aux]],Base_Contas_Balanco[#All],2,FALSE)</f>
        <v>Fornecedores Não Cooperados</v>
      </c>
      <c r="G3499" s="1">
        <v>42874</v>
      </c>
      <c r="I3499" s="225">
        <v>207144</v>
      </c>
      <c r="J3499" s="225">
        <v>207144</v>
      </c>
      <c r="K3499" s="225">
        <v>-2.3283064365386963E-10</v>
      </c>
      <c r="L34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499" s="225">
        <f>ROUND(IF(AND(Base_Periodo1[[#This Row],[Tipo_Linha]]="-",Base_Periodo1[[#This Row],[TIPOSALDO]]="D"),Base_Periodo1[[#This Row],[SALDO_ATUAL]]*-1,Base_Periodo1[[#This Row],[SALDO_ATUAL]]),4)</f>
        <v>0</v>
      </c>
      <c r="N3499" t="s">
        <v>116</v>
      </c>
      <c r="O3499" t="s">
        <v>436</v>
      </c>
      <c r="P3499" t="s">
        <v>436</v>
      </c>
      <c r="Q3499">
        <v>7</v>
      </c>
      <c r="R3499" s="225">
        <f>Base_Periodo1[[#This Row],[CREDITOS]]-Base_Periodo1[[#This Row],[DEBITOS]]</f>
        <v>0</v>
      </c>
      <c r="S3499" s="3" t="str">
        <f>IF(ISERROR(VLOOKUP(Base_Periodo1[[#This Row],[CONTA]],BaseContasDRE[#All],4,FALSE)),"Fora do DRE",VLOOKUP(Base_Periodo1[[#This Row],[CONTA]],BaseContasDRE[#All],4,FALSE))</f>
        <v>Fora do DRE</v>
      </c>
      <c r="T3499" s="3" t="str">
        <f>IF(ISERROR(VLOOKUP(Base_Periodo1[[#This Row],[CONTA]],BaseContasDRE[#All],5,FALSE)),"Fora do DRE",VLOOKUP(Base_Periodo1[[#This Row],[CONTA]],BaseContasDRE[#All],6,FALSE))</f>
        <v>Fora do DRE</v>
      </c>
      <c r="U3499" s="3" t="str">
        <f>IF(ISERROR(VLOOKUP(Base_Periodo1[[#This Row],[CONTA]],BaseContasDRE[#All],7,FALSE)),"Fora do DRE",VLOOKUP(Base_Periodo1[[#This Row],[CONTA]],BaseContasDRE[#All],7,FALSE))</f>
        <v>Fora do DRE</v>
      </c>
      <c r="V3499" s="3" t="str">
        <f>IF(Base_Periodo1[[#This Row],[Tipo_Linha]]="Fora do DRE","Fora do DRE","( "&amp;Base_Periodo1[[#This Row],[Tipo_Linha]]&amp;" ) "&amp;Base_Periodo1[[#This Row],[Filtro]])</f>
        <v>Fora do DRE</v>
      </c>
      <c r="W3499" s="3" t="str">
        <f>LEFT(Base_Periodo1[[#This Row],[CLASS]],3)</f>
        <v>2.1</v>
      </c>
    </row>
    <row r="3500" spans="1:23" hidden="1">
      <c r="A3500" s="3" t="str">
        <f t="shared" si="54"/>
        <v>Período 1</v>
      </c>
      <c r="B3500">
        <v>58945</v>
      </c>
      <c r="C3500" t="s">
        <v>2010</v>
      </c>
      <c r="D3500" t="s">
        <v>6975</v>
      </c>
      <c r="E3500" s="3" t="str">
        <f>IF(LEN(Base_Periodo1[[#This Row],[CLASS]])&gt;=7,LEFT(Base_Periodo1[[#This Row],[CLASS]],7),"")</f>
        <v>2.1.2.2</v>
      </c>
      <c r="F3500" s="3" t="str">
        <f>VLOOKUP(Base_Periodo1[[#This Row],[Aux]],Base_Contas_Balanco[#All],2,FALSE)</f>
        <v>Fornecedores Não Cooperados</v>
      </c>
      <c r="G3500" s="1">
        <v>42867</v>
      </c>
      <c r="I3500" s="225">
        <v>200</v>
      </c>
      <c r="J3500" s="225">
        <v>200</v>
      </c>
      <c r="K3500" s="225">
        <v>0</v>
      </c>
      <c r="L35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00" s="225">
        <f>ROUND(IF(AND(Base_Periodo1[[#This Row],[Tipo_Linha]]="-",Base_Periodo1[[#This Row],[TIPOSALDO]]="D"),Base_Periodo1[[#This Row],[SALDO_ATUAL]]*-1,Base_Periodo1[[#This Row],[SALDO_ATUAL]]),4)</f>
        <v>0</v>
      </c>
      <c r="N3500" t="s">
        <v>116</v>
      </c>
      <c r="O3500" t="s">
        <v>436</v>
      </c>
      <c r="P3500" t="s">
        <v>436</v>
      </c>
      <c r="Q3500">
        <v>7</v>
      </c>
      <c r="R3500" s="225">
        <f>Base_Periodo1[[#This Row],[CREDITOS]]-Base_Periodo1[[#This Row],[DEBITOS]]</f>
        <v>0</v>
      </c>
      <c r="S3500" s="3" t="str">
        <f>IF(ISERROR(VLOOKUP(Base_Periodo1[[#This Row],[CONTA]],BaseContasDRE[#All],4,FALSE)),"Fora do DRE",VLOOKUP(Base_Periodo1[[#This Row],[CONTA]],BaseContasDRE[#All],4,FALSE))</f>
        <v>Fora do DRE</v>
      </c>
      <c r="T3500" s="3" t="str">
        <f>IF(ISERROR(VLOOKUP(Base_Periodo1[[#This Row],[CONTA]],BaseContasDRE[#All],5,FALSE)),"Fora do DRE",VLOOKUP(Base_Periodo1[[#This Row],[CONTA]],BaseContasDRE[#All],6,FALSE))</f>
        <v>Fora do DRE</v>
      </c>
      <c r="U3500" s="3" t="str">
        <f>IF(ISERROR(VLOOKUP(Base_Periodo1[[#This Row],[CONTA]],BaseContasDRE[#All],7,FALSE)),"Fora do DRE",VLOOKUP(Base_Periodo1[[#This Row],[CONTA]],BaseContasDRE[#All],7,FALSE))</f>
        <v>Fora do DRE</v>
      </c>
      <c r="V3500" s="3" t="str">
        <f>IF(Base_Periodo1[[#This Row],[Tipo_Linha]]="Fora do DRE","Fora do DRE","( "&amp;Base_Periodo1[[#This Row],[Tipo_Linha]]&amp;" ) "&amp;Base_Periodo1[[#This Row],[Filtro]])</f>
        <v>Fora do DRE</v>
      </c>
      <c r="W3500" s="3" t="str">
        <f>LEFT(Base_Periodo1[[#This Row],[CLASS]],3)</f>
        <v>2.1</v>
      </c>
    </row>
    <row r="3501" spans="1:23" hidden="1">
      <c r="A3501" s="3" t="str">
        <f t="shared" si="54"/>
        <v>Período 1</v>
      </c>
      <c r="B3501">
        <v>23610</v>
      </c>
      <c r="C3501" t="s">
        <v>2010</v>
      </c>
      <c r="D3501" t="s">
        <v>6976</v>
      </c>
      <c r="E3501" s="3" t="str">
        <f>IF(LEN(Base_Periodo1[[#This Row],[CLASS]])&gt;=7,LEFT(Base_Periodo1[[#This Row],[CLASS]],7),"")</f>
        <v>2.1.2.2</v>
      </c>
      <c r="F3501" s="3" t="str">
        <f>VLOOKUP(Base_Periodo1[[#This Row],[Aux]],Base_Contas_Balanco[#All],2,FALSE)</f>
        <v>Fornecedores Não Cooperados</v>
      </c>
      <c r="G3501" s="1">
        <v>42886</v>
      </c>
      <c r="I3501" s="225">
        <v>25929.83</v>
      </c>
      <c r="J3501" s="225">
        <v>25929.83</v>
      </c>
      <c r="K3501" s="225">
        <v>0</v>
      </c>
      <c r="L35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01" s="225">
        <f>ROUND(IF(AND(Base_Periodo1[[#This Row],[Tipo_Linha]]="-",Base_Periodo1[[#This Row],[TIPOSALDO]]="D"),Base_Periodo1[[#This Row],[SALDO_ATUAL]]*-1,Base_Periodo1[[#This Row],[SALDO_ATUAL]]),4)</f>
        <v>0</v>
      </c>
      <c r="N3501" t="s">
        <v>116</v>
      </c>
      <c r="O3501" t="s">
        <v>436</v>
      </c>
      <c r="P3501" t="s">
        <v>436</v>
      </c>
      <c r="Q3501">
        <v>7</v>
      </c>
      <c r="R3501" s="225">
        <f>Base_Periodo1[[#This Row],[CREDITOS]]-Base_Periodo1[[#This Row],[DEBITOS]]</f>
        <v>0</v>
      </c>
      <c r="S3501" s="3" t="str">
        <f>IF(ISERROR(VLOOKUP(Base_Periodo1[[#This Row],[CONTA]],BaseContasDRE[#All],4,FALSE)),"Fora do DRE",VLOOKUP(Base_Periodo1[[#This Row],[CONTA]],BaseContasDRE[#All],4,FALSE))</f>
        <v>Fora do DRE</v>
      </c>
      <c r="T3501" s="3" t="str">
        <f>IF(ISERROR(VLOOKUP(Base_Periodo1[[#This Row],[CONTA]],BaseContasDRE[#All],5,FALSE)),"Fora do DRE",VLOOKUP(Base_Periodo1[[#This Row],[CONTA]],BaseContasDRE[#All],6,FALSE))</f>
        <v>Fora do DRE</v>
      </c>
      <c r="U3501" s="3" t="str">
        <f>IF(ISERROR(VLOOKUP(Base_Periodo1[[#This Row],[CONTA]],BaseContasDRE[#All],7,FALSE)),"Fora do DRE",VLOOKUP(Base_Periodo1[[#This Row],[CONTA]],BaseContasDRE[#All],7,FALSE))</f>
        <v>Fora do DRE</v>
      </c>
      <c r="V3501" s="3" t="str">
        <f>IF(Base_Periodo1[[#This Row],[Tipo_Linha]]="Fora do DRE","Fora do DRE","( "&amp;Base_Periodo1[[#This Row],[Tipo_Linha]]&amp;" ) "&amp;Base_Periodo1[[#This Row],[Filtro]])</f>
        <v>Fora do DRE</v>
      </c>
      <c r="W3501" s="3" t="str">
        <f>LEFT(Base_Periodo1[[#This Row],[CLASS]],3)</f>
        <v>2.1</v>
      </c>
    </row>
    <row r="3502" spans="1:23" hidden="1">
      <c r="A3502" s="3" t="str">
        <f t="shared" si="54"/>
        <v>Período 1</v>
      </c>
      <c r="B3502">
        <v>49778</v>
      </c>
      <c r="C3502" t="s">
        <v>2010</v>
      </c>
      <c r="D3502" t="s">
        <v>4290</v>
      </c>
      <c r="E3502" s="3" t="str">
        <f>IF(LEN(Base_Periodo1[[#This Row],[CLASS]])&gt;=7,LEFT(Base_Periodo1[[#This Row],[CLASS]],7),"")</f>
        <v>2.1.2.2</v>
      </c>
      <c r="F3502" s="3" t="str">
        <f>VLOOKUP(Base_Periodo1[[#This Row],[Aux]],Base_Contas_Balanco[#All],2,FALSE)</f>
        <v>Fornecedores Não Cooperados</v>
      </c>
      <c r="G3502" s="1"/>
      <c r="H3502" s="225">
        <v>50</v>
      </c>
      <c r="I3502" s="225">
        <v>0</v>
      </c>
      <c r="J3502" s="225">
        <v>0</v>
      </c>
      <c r="K3502" s="225">
        <v>50</v>
      </c>
      <c r="L35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3502" s="225">
        <f>ROUND(IF(AND(Base_Periodo1[[#This Row],[Tipo_Linha]]="-",Base_Periodo1[[#This Row],[TIPOSALDO]]="D"),Base_Periodo1[[#This Row],[SALDO_ATUAL]]*-1,Base_Periodo1[[#This Row],[SALDO_ATUAL]]),4)</f>
        <v>50</v>
      </c>
      <c r="N3502" t="s">
        <v>116</v>
      </c>
      <c r="O3502" t="s">
        <v>459</v>
      </c>
      <c r="P3502" t="s">
        <v>459</v>
      </c>
      <c r="Q3502">
        <v>7</v>
      </c>
      <c r="R3502" s="225">
        <f>Base_Periodo1[[#This Row],[CREDITOS]]-Base_Periodo1[[#This Row],[DEBITOS]]</f>
        <v>0</v>
      </c>
      <c r="S3502" s="3" t="str">
        <f>IF(ISERROR(VLOOKUP(Base_Periodo1[[#This Row],[CONTA]],BaseContasDRE[#All],4,FALSE)),"Fora do DRE",VLOOKUP(Base_Periodo1[[#This Row],[CONTA]],BaseContasDRE[#All],4,FALSE))</f>
        <v>Fora do DRE</v>
      </c>
      <c r="T3502" s="3" t="str">
        <f>IF(ISERROR(VLOOKUP(Base_Periodo1[[#This Row],[CONTA]],BaseContasDRE[#All],5,FALSE)),"Fora do DRE",VLOOKUP(Base_Periodo1[[#This Row],[CONTA]],BaseContasDRE[#All],6,FALSE))</f>
        <v>Fora do DRE</v>
      </c>
      <c r="U3502" s="3" t="str">
        <f>IF(ISERROR(VLOOKUP(Base_Periodo1[[#This Row],[CONTA]],BaseContasDRE[#All],7,FALSE)),"Fora do DRE",VLOOKUP(Base_Periodo1[[#This Row],[CONTA]],BaseContasDRE[#All],7,FALSE))</f>
        <v>Fora do DRE</v>
      </c>
      <c r="V3502" s="3" t="str">
        <f>IF(Base_Periodo1[[#This Row],[Tipo_Linha]]="Fora do DRE","Fora do DRE","( "&amp;Base_Periodo1[[#This Row],[Tipo_Linha]]&amp;" ) "&amp;Base_Periodo1[[#This Row],[Filtro]])</f>
        <v>Fora do DRE</v>
      </c>
      <c r="W3502" s="3" t="str">
        <f>LEFT(Base_Periodo1[[#This Row],[CLASS]],3)</f>
        <v>2.1</v>
      </c>
    </row>
    <row r="3503" spans="1:23" hidden="1">
      <c r="A3503" s="3" t="str">
        <f t="shared" si="54"/>
        <v>Período 1</v>
      </c>
      <c r="B3503">
        <v>12928</v>
      </c>
      <c r="C3503" t="s">
        <v>2010</v>
      </c>
      <c r="D3503" t="s">
        <v>6977</v>
      </c>
      <c r="E3503" s="3" t="str">
        <f>IF(LEN(Base_Periodo1[[#This Row],[CLASS]])&gt;=7,LEFT(Base_Periodo1[[#This Row],[CLASS]],7),"")</f>
        <v>2.1.2.2</v>
      </c>
      <c r="F3503" s="3" t="str">
        <f>VLOOKUP(Base_Periodo1[[#This Row],[Aux]],Base_Contas_Balanco[#All],2,FALSE)</f>
        <v>Fornecedores Não Cooperados</v>
      </c>
      <c r="G3503" s="1">
        <v>42880</v>
      </c>
      <c r="I3503" s="225">
        <v>22250.33</v>
      </c>
      <c r="J3503" s="225">
        <v>22250.33</v>
      </c>
      <c r="K3503" s="225">
        <v>0</v>
      </c>
      <c r="L35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03" s="225">
        <f>ROUND(IF(AND(Base_Periodo1[[#This Row],[Tipo_Linha]]="-",Base_Periodo1[[#This Row],[TIPOSALDO]]="D"),Base_Periodo1[[#This Row],[SALDO_ATUAL]]*-1,Base_Periodo1[[#This Row],[SALDO_ATUAL]]),4)</f>
        <v>0</v>
      </c>
      <c r="N3503" t="s">
        <v>116</v>
      </c>
      <c r="O3503" t="s">
        <v>436</v>
      </c>
      <c r="P3503" t="s">
        <v>436</v>
      </c>
      <c r="Q3503">
        <v>7</v>
      </c>
      <c r="R3503" s="225">
        <f>Base_Periodo1[[#This Row],[CREDITOS]]-Base_Periodo1[[#This Row],[DEBITOS]]</f>
        <v>0</v>
      </c>
      <c r="S3503" s="3" t="str">
        <f>IF(ISERROR(VLOOKUP(Base_Periodo1[[#This Row],[CONTA]],BaseContasDRE[#All],4,FALSE)),"Fora do DRE",VLOOKUP(Base_Periodo1[[#This Row],[CONTA]],BaseContasDRE[#All],4,FALSE))</f>
        <v>Fora do DRE</v>
      </c>
      <c r="T3503" s="3" t="str">
        <f>IF(ISERROR(VLOOKUP(Base_Periodo1[[#This Row],[CONTA]],BaseContasDRE[#All],5,FALSE)),"Fora do DRE",VLOOKUP(Base_Periodo1[[#This Row],[CONTA]],BaseContasDRE[#All],6,FALSE))</f>
        <v>Fora do DRE</v>
      </c>
      <c r="U3503" s="3" t="str">
        <f>IF(ISERROR(VLOOKUP(Base_Periodo1[[#This Row],[CONTA]],BaseContasDRE[#All],7,FALSE)),"Fora do DRE",VLOOKUP(Base_Periodo1[[#This Row],[CONTA]],BaseContasDRE[#All],7,FALSE))</f>
        <v>Fora do DRE</v>
      </c>
      <c r="V3503" s="3" t="str">
        <f>IF(Base_Periodo1[[#This Row],[Tipo_Linha]]="Fora do DRE","Fora do DRE","( "&amp;Base_Periodo1[[#This Row],[Tipo_Linha]]&amp;" ) "&amp;Base_Periodo1[[#This Row],[Filtro]])</f>
        <v>Fora do DRE</v>
      </c>
      <c r="W3503" s="3" t="str">
        <f>LEFT(Base_Periodo1[[#This Row],[CLASS]],3)</f>
        <v>2.1</v>
      </c>
    </row>
    <row r="3504" spans="1:23" hidden="1">
      <c r="A3504" s="3" t="str">
        <f t="shared" si="54"/>
        <v>Período 1</v>
      </c>
      <c r="B3504">
        <v>11403</v>
      </c>
      <c r="C3504" t="s">
        <v>2010</v>
      </c>
      <c r="D3504" t="s">
        <v>5524</v>
      </c>
      <c r="E3504" s="3" t="str">
        <f>IF(LEN(Base_Periodo1[[#This Row],[CLASS]])&gt;=7,LEFT(Base_Periodo1[[#This Row],[CLASS]],7),"")</f>
        <v>2.1.2.2</v>
      </c>
      <c r="F3504" s="3" t="str">
        <f>VLOOKUP(Base_Periodo1[[#This Row],[Aux]],Base_Contas_Balanco[#All],2,FALSE)</f>
        <v>Fornecedores Não Cooperados</v>
      </c>
      <c r="G3504" s="1">
        <v>42866</v>
      </c>
      <c r="I3504" s="225">
        <v>105</v>
      </c>
      <c r="J3504" s="225">
        <v>105</v>
      </c>
      <c r="K3504" s="225">
        <v>0</v>
      </c>
      <c r="L35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04" s="225">
        <f>ROUND(IF(AND(Base_Periodo1[[#This Row],[Tipo_Linha]]="-",Base_Periodo1[[#This Row],[TIPOSALDO]]="D"),Base_Periodo1[[#This Row],[SALDO_ATUAL]]*-1,Base_Periodo1[[#This Row],[SALDO_ATUAL]]),4)</f>
        <v>0</v>
      </c>
      <c r="N3504" t="s">
        <v>116</v>
      </c>
      <c r="O3504" t="s">
        <v>436</v>
      </c>
      <c r="P3504" t="s">
        <v>436</v>
      </c>
      <c r="Q3504">
        <v>7</v>
      </c>
      <c r="R3504" s="225">
        <f>Base_Periodo1[[#This Row],[CREDITOS]]-Base_Periodo1[[#This Row],[DEBITOS]]</f>
        <v>0</v>
      </c>
      <c r="S3504" s="3" t="str">
        <f>IF(ISERROR(VLOOKUP(Base_Periodo1[[#This Row],[CONTA]],BaseContasDRE[#All],4,FALSE)),"Fora do DRE",VLOOKUP(Base_Periodo1[[#This Row],[CONTA]],BaseContasDRE[#All],4,FALSE))</f>
        <v>Fora do DRE</v>
      </c>
      <c r="T3504" s="3" t="str">
        <f>IF(ISERROR(VLOOKUP(Base_Periodo1[[#This Row],[CONTA]],BaseContasDRE[#All],5,FALSE)),"Fora do DRE",VLOOKUP(Base_Periodo1[[#This Row],[CONTA]],BaseContasDRE[#All],6,FALSE))</f>
        <v>Fora do DRE</v>
      </c>
      <c r="U3504" s="3" t="str">
        <f>IF(ISERROR(VLOOKUP(Base_Periodo1[[#This Row],[CONTA]],BaseContasDRE[#All],7,FALSE)),"Fora do DRE",VLOOKUP(Base_Periodo1[[#This Row],[CONTA]],BaseContasDRE[#All],7,FALSE))</f>
        <v>Fora do DRE</v>
      </c>
      <c r="V3504" s="3" t="str">
        <f>IF(Base_Periodo1[[#This Row],[Tipo_Linha]]="Fora do DRE","Fora do DRE","( "&amp;Base_Periodo1[[#This Row],[Tipo_Linha]]&amp;" ) "&amp;Base_Periodo1[[#This Row],[Filtro]])</f>
        <v>Fora do DRE</v>
      </c>
      <c r="W3504" s="3" t="str">
        <f>LEFT(Base_Periodo1[[#This Row],[CLASS]],3)</f>
        <v>2.1</v>
      </c>
    </row>
    <row r="3505" spans="1:23" hidden="1">
      <c r="A3505" s="3" t="str">
        <f t="shared" si="54"/>
        <v>Período 1</v>
      </c>
      <c r="B3505">
        <v>26868</v>
      </c>
      <c r="C3505" t="s">
        <v>2010</v>
      </c>
      <c r="D3505" t="s">
        <v>6978</v>
      </c>
      <c r="E3505" s="3" t="str">
        <f>IF(LEN(Base_Periodo1[[#This Row],[CLASS]])&gt;=7,LEFT(Base_Periodo1[[#This Row],[CLASS]],7),"")</f>
        <v>2.1.2.2</v>
      </c>
      <c r="F3505" s="3" t="str">
        <f>VLOOKUP(Base_Periodo1[[#This Row],[Aux]],Base_Contas_Balanco[#All],2,FALSE)</f>
        <v>Fornecedores Não Cooperados</v>
      </c>
      <c r="G3505" s="1">
        <v>42866</v>
      </c>
      <c r="I3505" s="225">
        <v>2557</v>
      </c>
      <c r="J3505" s="225">
        <v>2557</v>
      </c>
      <c r="K3505" s="225">
        <v>0</v>
      </c>
      <c r="L35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05" s="225">
        <f>ROUND(IF(AND(Base_Periodo1[[#This Row],[Tipo_Linha]]="-",Base_Periodo1[[#This Row],[TIPOSALDO]]="D"),Base_Periodo1[[#This Row],[SALDO_ATUAL]]*-1,Base_Periodo1[[#This Row],[SALDO_ATUAL]]),4)</f>
        <v>0</v>
      </c>
      <c r="N3505" t="s">
        <v>116</v>
      </c>
      <c r="O3505" t="s">
        <v>436</v>
      </c>
      <c r="P3505" t="s">
        <v>436</v>
      </c>
      <c r="Q3505">
        <v>7</v>
      </c>
      <c r="R3505" s="225">
        <f>Base_Periodo1[[#This Row],[CREDITOS]]-Base_Periodo1[[#This Row],[DEBITOS]]</f>
        <v>0</v>
      </c>
      <c r="S3505" s="3" t="str">
        <f>IF(ISERROR(VLOOKUP(Base_Periodo1[[#This Row],[CONTA]],BaseContasDRE[#All],4,FALSE)),"Fora do DRE",VLOOKUP(Base_Periodo1[[#This Row],[CONTA]],BaseContasDRE[#All],4,FALSE))</f>
        <v>Fora do DRE</v>
      </c>
      <c r="T3505" s="3" t="str">
        <f>IF(ISERROR(VLOOKUP(Base_Periodo1[[#This Row],[CONTA]],BaseContasDRE[#All],5,FALSE)),"Fora do DRE",VLOOKUP(Base_Periodo1[[#This Row],[CONTA]],BaseContasDRE[#All],6,FALSE))</f>
        <v>Fora do DRE</v>
      </c>
      <c r="U3505" s="3" t="str">
        <f>IF(ISERROR(VLOOKUP(Base_Periodo1[[#This Row],[CONTA]],BaseContasDRE[#All],7,FALSE)),"Fora do DRE",VLOOKUP(Base_Periodo1[[#This Row],[CONTA]],BaseContasDRE[#All],7,FALSE))</f>
        <v>Fora do DRE</v>
      </c>
      <c r="V3505" s="3" t="str">
        <f>IF(Base_Periodo1[[#This Row],[Tipo_Linha]]="Fora do DRE","Fora do DRE","( "&amp;Base_Periodo1[[#This Row],[Tipo_Linha]]&amp;" ) "&amp;Base_Periodo1[[#This Row],[Filtro]])</f>
        <v>Fora do DRE</v>
      </c>
      <c r="W3505" s="3" t="str">
        <f>LEFT(Base_Periodo1[[#This Row],[CLASS]],3)</f>
        <v>2.1</v>
      </c>
    </row>
    <row r="3506" spans="1:23" hidden="1">
      <c r="A3506" s="3" t="str">
        <f t="shared" si="54"/>
        <v>Período 1</v>
      </c>
      <c r="B3506">
        <v>3893</v>
      </c>
      <c r="C3506" t="s">
        <v>2010</v>
      </c>
      <c r="D3506" t="s">
        <v>952</v>
      </c>
      <c r="E3506" s="3" t="str">
        <f>IF(LEN(Base_Periodo1[[#This Row],[CLASS]])&gt;=7,LEFT(Base_Periodo1[[#This Row],[CLASS]],7),"")</f>
        <v>2.1.2.2</v>
      </c>
      <c r="F3506" s="3" t="str">
        <f>VLOOKUP(Base_Periodo1[[#This Row],[Aux]],Base_Contas_Balanco[#All],2,FALSE)</f>
        <v>Fornecedores Não Cooperados</v>
      </c>
      <c r="G3506" s="1">
        <v>42796</v>
      </c>
      <c r="H3506" s="225">
        <v>117250.5900000002</v>
      </c>
      <c r="I3506" s="225">
        <v>0</v>
      </c>
      <c r="J3506" s="225">
        <v>0</v>
      </c>
      <c r="K3506" s="225">
        <v>117250.5900000002</v>
      </c>
      <c r="L35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117250.59</v>
      </c>
      <c r="M3506" s="225">
        <f>ROUND(IF(AND(Base_Periodo1[[#This Row],[Tipo_Linha]]="-",Base_Periodo1[[#This Row],[TIPOSALDO]]="D"),Base_Periodo1[[#This Row],[SALDO_ATUAL]]*-1,Base_Periodo1[[#This Row],[SALDO_ATUAL]]),4)</f>
        <v>117250.59</v>
      </c>
      <c r="N3506" t="s">
        <v>116</v>
      </c>
      <c r="O3506" t="s">
        <v>459</v>
      </c>
      <c r="P3506" t="s">
        <v>459</v>
      </c>
      <c r="Q3506">
        <v>7</v>
      </c>
      <c r="R3506" s="225">
        <f>Base_Periodo1[[#This Row],[CREDITOS]]-Base_Periodo1[[#This Row],[DEBITOS]]</f>
        <v>0</v>
      </c>
      <c r="S3506" s="3" t="str">
        <f>IF(ISERROR(VLOOKUP(Base_Periodo1[[#This Row],[CONTA]],BaseContasDRE[#All],4,FALSE)),"Fora do DRE",VLOOKUP(Base_Periodo1[[#This Row],[CONTA]],BaseContasDRE[#All],4,FALSE))</f>
        <v>Fora do DRE</v>
      </c>
      <c r="T3506" s="3" t="str">
        <f>IF(ISERROR(VLOOKUP(Base_Periodo1[[#This Row],[CONTA]],BaseContasDRE[#All],5,FALSE)),"Fora do DRE",VLOOKUP(Base_Periodo1[[#This Row],[CONTA]],BaseContasDRE[#All],6,FALSE))</f>
        <v>Fora do DRE</v>
      </c>
      <c r="U3506" s="3" t="str">
        <f>IF(ISERROR(VLOOKUP(Base_Periodo1[[#This Row],[CONTA]],BaseContasDRE[#All],7,FALSE)),"Fora do DRE",VLOOKUP(Base_Periodo1[[#This Row],[CONTA]],BaseContasDRE[#All],7,FALSE))</f>
        <v>Fora do DRE</v>
      </c>
      <c r="V3506" s="3" t="str">
        <f>IF(Base_Periodo1[[#This Row],[Tipo_Linha]]="Fora do DRE","Fora do DRE","( "&amp;Base_Periodo1[[#This Row],[Tipo_Linha]]&amp;" ) "&amp;Base_Periodo1[[#This Row],[Filtro]])</f>
        <v>Fora do DRE</v>
      </c>
      <c r="W3506" s="3" t="str">
        <f>LEFT(Base_Periodo1[[#This Row],[CLASS]],3)</f>
        <v>2.1</v>
      </c>
    </row>
    <row r="3507" spans="1:23" hidden="1">
      <c r="A3507" s="3" t="str">
        <f t="shared" si="54"/>
        <v>Período 1</v>
      </c>
      <c r="B3507">
        <v>56855</v>
      </c>
      <c r="C3507" t="s">
        <v>2010</v>
      </c>
      <c r="D3507" t="s">
        <v>6461</v>
      </c>
      <c r="E3507" s="3" t="str">
        <f>IF(LEN(Base_Periodo1[[#This Row],[CLASS]])&gt;=7,LEFT(Base_Periodo1[[#This Row],[CLASS]],7),"")</f>
        <v>2.1.2.2</v>
      </c>
      <c r="F3507" s="3" t="str">
        <f>VLOOKUP(Base_Periodo1[[#This Row],[Aux]],Base_Contas_Balanco[#All],2,FALSE)</f>
        <v>Fornecedores Não Cooperados</v>
      </c>
      <c r="G3507" s="1">
        <v>42858</v>
      </c>
      <c r="H3507" s="225">
        <v>49584.86</v>
      </c>
      <c r="I3507" s="225">
        <v>49584.86</v>
      </c>
      <c r="J3507" s="225">
        <v>0</v>
      </c>
      <c r="K3507" s="225">
        <v>0</v>
      </c>
      <c r="L35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07" s="225">
        <f>ROUND(IF(AND(Base_Periodo1[[#This Row],[Tipo_Linha]]="-",Base_Periodo1[[#This Row],[TIPOSALDO]]="D"),Base_Periodo1[[#This Row],[SALDO_ATUAL]]*-1,Base_Periodo1[[#This Row],[SALDO_ATUAL]]),4)</f>
        <v>0</v>
      </c>
      <c r="N3507" t="s">
        <v>116</v>
      </c>
      <c r="O3507" t="s">
        <v>459</v>
      </c>
      <c r="P3507" t="s">
        <v>436</v>
      </c>
      <c r="Q3507">
        <v>7</v>
      </c>
      <c r="R3507" s="225">
        <f>Base_Periodo1[[#This Row],[CREDITOS]]-Base_Periodo1[[#This Row],[DEBITOS]]</f>
        <v>-49584.86</v>
      </c>
      <c r="S3507" s="3" t="str">
        <f>IF(ISERROR(VLOOKUP(Base_Periodo1[[#This Row],[CONTA]],BaseContasDRE[#All],4,FALSE)),"Fora do DRE",VLOOKUP(Base_Periodo1[[#This Row],[CONTA]],BaseContasDRE[#All],4,FALSE))</f>
        <v>Fora do DRE</v>
      </c>
      <c r="T3507" s="3" t="str">
        <f>IF(ISERROR(VLOOKUP(Base_Periodo1[[#This Row],[CONTA]],BaseContasDRE[#All],5,FALSE)),"Fora do DRE",VLOOKUP(Base_Periodo1[[#This Row],[CONTA]],BaseContasDRE[#All],6,FALSE))</f>
        <v>Fora do DRE</v>
      </c>
      <c r="U3507" s="3" t="str">
        <f>IF(ISERROR(VLOOKUP(Base_Periodo1[[#This Row],[CONTA]],BaseContasDRE[#All],7,FALSE)),"Fora do DRE",VLOOKUP(Base_Periodo1[[#This Row],[CONTA]],BaseContasDRE[#All],7,FALSE))</f>
        <v>Fora do DRE</v>
      </c>
      <c r="V3507" s="3" t="str">
        <f>IF(Base_Periodo1[[#This Row],[Tipo_Linha]]="Fora do DRE","Fora do DRE","( "&amp;Base_Periodo1[[#This Row],[Tipo_Linha]]&amp;" ) "&amp;Base_Periodo1[[#This Row],[Filtro]])</f>
        <v>Fora do DRE</v>
      </c>
      <c r="W3507" s="3" t="str">
        <f>LEFT(Base_Periodo1[[#This Row],[CLASS]],3)</f>
        <v>2.1</v>
      </c>
    </row>
    <row r="3508" spans="1:23" hidden="1">
      <c r="A3508" s="3" t="str">
        <f t="shared" si="54"/>
        <v>Período 1</v>
      </c>
      <c r="B3508">
        <v>37081</v>
      </c>
      <c r="C3508" t="s">
        <v>2010</v>
      </c>
      <c r="D3508" t="s">
        <v>6979</v>
      </c>
      <c r="E3508" s="3" t="str">
        <f>IF(LEN(Base_Periodo1[[#This Row],[CLASS]])&gt;=7,LEFT(Base_Periodo1[[#This Row],[CLASS]],7),"")</f>
        <v>2.1.2.2</v>
      </c>
      <c r="F3508" s="3" t="str">
        <f>VLOOKUP(Base_Periodo1[[#This Row],[Aux]],Base_Contas_Balanco[#All],2,FALSE)</f>
        <v>Fornecedores Não Cooperados</v>
      </c>
      <c r="G3508" s="1">
        <v>42874</v>
      </c>
      <c r="I3508" s="225">
        <v>6000</v>
      </c>
      <c r="J3508" s="225">
        <v>6000</v>
      </c>
      <c r="K3508" s="225">
        <v>0</v>
      </c>
      <c r="L35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08" s="225">
        <f>ROUND(IF(AND(Base_Periodo1[[#This Row],[Tipo_Linha]]="-",Base_Periodo1[[#This Row],[TIPOSALDO]]="D"),Base_Periodo1[[#This Row],[SALDO_ATUAL]]*-1,Base_Periodo1[[#This Row],[SALDO_ATUAL]]),4)</f>
        <v>0</v>
      </c>
      <c r="N3508" t="s">
        <v>116</v>
      </c>
      <c r="O3508" t="s">
        <v>436</v>
      </c>
      <c r="P3508" t="s">
        <v>436</v>
      </c>
      <c r="Q3508">
        <v>7</v>
      </c>
      <c r="R3508" s="225">
        <f>Base_Periodo1[[#This Row],[CREDITOS]]-Base_Periodo1[[#This Row],[DEBITOS]]</f>
        <v>0</v>
      </c>
      <c r="S3508" s="3" t="str">
        <f>IF(ISERROR(VLOOKUP(Base_Periodo1[[#This Row],[CONTA]],BaseContasDRE[#All],4,FALSE)),"Fora do DRE",VLOOKUP(Base_Periodo1[[#This Row],[CONTA]],BaseContasDRE[#All],4,FALSE))</f>
        <v>Fora do DRE</v>
      </c>
      <c r="T3508" s="3" t="str">
        <f>IF(ISERROR(VLOOKUP(Base_Periodo1[[#This Row],[CONTA]],BaseContasDRE[#All],5,FALSE)),"Fora do DRE",VLOOKUP(Base_Periodo1[[#This Row],[CONTA]],BaseContasDRE[#All],6,FALSE))</f>
        <v>Fora do DRE</v>
      </c>
      <c r="U3508" s="3" t="str">
        <f>IF(ISERROR(VLOOKUP(Base_Periodo1[[#This Row],[CONTA]],BaseContasDRE[#All],7,FALSE)),"Fora do DRE",VLOOKUP(Base_Periodo1[[#This Row],[CONTA]],BaseContasDRE[#All],7,FALSE))</f>
        <v>Fora do DRE</v>
      </c>
      <c r="V3508" s="3" t="str">
        <f>IF(Base_Periodo1[[#This Row],[Tipo_Linha]]="Fora do DRE","Fora do DRE","( "&amp;Base_Periodo1[[#This Row],[Tipo_Linha]]&amp;" ) "&amp;Base_Periodo1[[#This Row],[Filtro]])</f>
        <v>Fora do DRE</v>
      </c>
      <c r="W3508" s="3" t="str">
        <f>LEFT(Base_Periodo1[[#This Row],[CLASS]],3)</f>
        <v>2.1</v>
      </c>
    </row>
    <row r="3509" spans="1:23" hidden="1">
      <c r="A3509" s="3" t="str">
        <f t="shared" si="54"/>
        <v>Período 1</v>
      </c>
      <c r="B3509">
        <v>15235</v>
      </c>
      <c r="C3509" t="s">
        <v>2010</v>
      </c>
      <c r="D3509" t="s">
        <v>5437</v>
      </c>
      <c r="E3509" s="3" t="str">
        <f>IF(LEN(Base_Periodo1[[#This Row],[CLASS]])&gt;=7,LEFT(Base_Periodo1[[#This Row],[CLASS]],7),"")</f>
        <v>2.1.2.2</v>
      </c>
      <c r="F3509" s="3" t="str">
        <f>VLOOKUP(Base_Periodo1[[#This Row],[Aux]],Base_Contas_Balanco[#All],2,FALSE)</f>
        <v>Fornecedores Não Cooperados</v>
      </c>
      <c r="G3509" s="1">
        <v>42885</v>
      </c>
      <c r="I3509" s="225">
        <v>298.52999999999997</v>
      </c>
      <c r="J3509" s="225">
        <v>298.52999999999997</v>
      </c>
      <c r="K3509" s="225">
        <v>-4.5474735088646412E-13</v>
      </c>
      <c r="L35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09" s="225">
        <f>ROUND(IF(AND(Base_Periodo1[[#This Row],[Tipo_Linha]]="-",Base_Periodo1[[#This Row],[TIPOSALDO]]="D"),Base_Periodo1[[#This Row],[SALDO_ATUAL]]*-1,Base_Periodo1[[#This Row],[SALDO_ATUAL]]),4)</f>
        <v>0</v>
      </c>
      <c r="N3509" t="s">
        <v>116</v>
      </c>
      <c r="O3509" t="s">
        <v>436</v>
      </c>
      <c r="P3509" t="s">
        <v>436</v>
      </c>
      <c r="Q3509">
        <v>7</v>
      </c>
      <c r="R3509" s="225">
        <f>Base_Periodo1[[#This Row],[CREDITOS]]-Base_Periodo1[[#This Row],[DEBITOS]]</f>
        <v>0</v>
      </c>
      <c r="S3509" s="3" t="str">
        <f>IF(ISERROR(VLOOKUP(Base_Periodo1[[#This Row],[CONTA]],BaseContasDRE[#All],4,FALSE)),"Fora do DRE",VLOOKUP(Base_Periodo1[[#This Row],[CONTA]],BaseContasDRE[#All],4,FALSE))</f>
        <v>Fora do DRE</v>
      </c>
      <c r="T3509" s="3" t="str">
        <f>IF(ISERROR(VLOOKUP(Base_Periodo1[[#This Row],[CONTA]],BaseContasDRE[#All],5,FALSE)),"Fora do DRE",VLOOKUP(Base_Periodo1[[#This Row],[CONTA]],BaseContasDRE[#All],6,FALSE))</f>
        <v>Fora do DRE</v>
      </c>
      <c r="U3509" s="3" t="str">
        <f>IF(ISERROR(VLOOKUP(Base_Periodo1[[#This Row],[CONTA]],BaseContasDRE[#All],7,FALSE)),"Fora do DRE",VLOOKUP(Base_Periodo1[[#This Row],[CONTA]],BaseContasDRE[#All],7,FALSE))</f>
        <v>Fora do DRE</v>
      </c>
      <c r="V3509" s="3" t="str">
        <f>IF(Base_Periodo1[[#This Row],[Tipo_Linha]]="Fora do DRE","Fora do DRE","( "&amp;Base_Periodo1[[#This Row],[Tipo_Linha]]&amp;" ) "&amp;Base_Periodo1[[#This Row],[Filtro]])</f>
        <v>Fora do DRE</v>
      </c>
      <c r="W3509" s="3" t="str">
        <f>LEFT(Base_Periodo1[[#This Row],[CLASS]],3)</f>
        <v>2.1</v>
      </c>
    </row>
    <row r="3510" spans="1:23" hidden="1">
      <c r="A3510" s="3" t="str">
        <f t="shared" si="54"/>
        <v>Período 1</v>
      </c>
      <c r="B3510">
        <v>10331</v>
      </c>
      <c r="C3510" t="s">
        <v>2010</v>
      </c>
      <c r="D3510" t="s">
        <v>5437</v>
      </c>
      <c r="E3510" s="3" t="str">
        <f>IF(LEN(Base_Periodo1[[#This Row],[CLASS]])&gt;=7,LEFT(Base_Periodo1[[#This Row],[CLASS]],7),"")</f>
        <v>2.1.2.2</v>
      </c>
      <c r="F3510" s="3" t="str">
        <f>VLOOKUP(Base_Periodo1[[#This Row],[Aux]],Base_Contas_Balanco[#All],2,FALSE)</f>
        <v>Fornecedores Não Cooperados</v>
      </c>
      <c r="G3510" s="1">
        <v>42871</v>
      </c>
      <c r="I3510" s="225">
        <v>443.36</v>
      </c>
      <c r="J3510" s="225">
        <v>493.36</v>
      </c>
      <c r="K3510" s="225">
        <v>50.000000000001819</v>
      </c>
      <c r="L35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3510" s="225">
        <f>ROUND(IF(AND(Base_Periodo1[[#This Row],[Tipo_Linha]]="-",Base_Periodo1[[#This Row],[TIPOSALDO]]="D"),Base_Periodo1[[#This Row],[SALDO_ATUAL]]*-1,Base_Periodo1[[#This Row],[SALDO_ATUAL]]),4)</f>
        <v>50</v>
      </c>
      <c r="N3510" t="s">
        <v>116</v>
      </c>
      <c r="O3510" t="s">
        <v>436</v>
      </c>
      <c r="P3510" t="s">
        <v>459</v>
      </c>
      <c r="Q3510">
        <v>7</v>
      </c>
      <c r="R3510" s="225">
        <f>Base_Periodo1[[#This Row],[CREDITOS]]-Base_Periodo1[[#This Row],[DEBITOS]]</f>
        <v>50</v>
      </c>
      <c r="S3510" s="3" t="str">
        <f>IF(ISERROR(VLOOKUP(Base_Periodo1[[#This Row],[CONTA]],BaseContasDRE[#All],4,FALSE)),"Fora do DRE",VLOOKUP(Base_Periodo1[[#This Row],[CONTA]],BaseContasDRE[#All],4,FALSE))</f>
        <v>Fora do DRE</v>
      </c>
      <c r="T3510" s="3" t="str">
        <f>IF(ISERROR(VLOOKUP(Base_Periodo1[[#This Row],[CONTA]],BaseContasDRE[#All],5,FALSE)),"Fora do DRE",VLOOKUP(Base_Periodo1[[#This Row],[CONTA]],BaseContasDRE[#All],6,FALSE))</f>
        <v>Fora do DRE</v>
      </c>
      <c r="U3510" s="3" t="str">
        <f>IF(ISERROR(VLOOKUP(Base_Periodo1[[#This Row],[CONTA]],BaseContasDRE[#All],7,FALSE)),"Fora do DRE",VLOOKUP(Base_Periodo1[[#This Row],[CONTA]],BaseContasDRE[#All],7,FALSE))</f>
        <v>Fora do DRE</v>
      </c>
      <c r="V3510" s="3" t="str">
        <f>IF(Base_Periodo1[[#This Row],[Tipo_Linha]]="Fora do DRE","Fora do DRE","( "&amp;Base_Periodo1[[#This Row],[Tipo_Linha]]&amp;" ) "&amp;Base_Periodo1[[#This Row],[Filtro]])</f>
        <v>Fora do DRE</v>
      </c>
      <c r="W3510" s="3" t="str">
        <f>LEFT(Base_Periodo1[[#This Row],[CLASS]],3)</f>
        <v>2.1</v>
      </c>
    </row>
    <row r="3511" spans="1:23" hidden="1">
      <c r="A3511" s="3" t="str">
        <f t="shared" si="54"/>
        <v>Período 1</v>
      </c>
      <c r="B3511">
        <v>15497</v>
      </c>
      <c r="C3511" t="s">
        <v>2010</v>
      </c>
      <c r="D3511" t="s">
        <v>4692</v>
      </c>
      <c r="E3511" s="3" t="str">
        <f>IF(LEN(Base_Periodo1[[#This Row],[CLASS]])&gt;=7,LEFT(Base_Periodo1[[#This Row],[CLASS]],7),"")</f>
        <v>2.1.2.2</v>
      </c>
      <c r="F3511" s="3" t="str">
        <f>VLOOKUP(Base_Periodo1[[#This Row],[Aux]],Base_Contas_Balanco[#All],2,FALSE)</f>
        <v>Fornecedores Não Cooperados</v>
      </c>
      <c r="G3511" s="1">
        <v>42874</v>
      </c>
      <c r="I3511" s="225">
        <v>571.5</v>
      </c>
      <c r="J3511" s="225">
        <v>703.5</v>
      </c>
      <c r="K3511" s="225">
        <v>131.99999999999909</v>
      </c>
      <c r="L35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132</v>
      </c>
      <c r="M3511" s="225">
        <f>ROUND(IF(AND(Base_Periodo1[[#This Row],[Tipo_Linha]]="-",Base_Periodo1[[#This Row],[TIPOSALDO]]="D"),Base_Periodo1[[#This Row],[SALDO_ATUAL]]*-1,Base_Periodo1[[#This Row],[SALDO_ATUAL]]),4)</f>
        <v>132</v>
      </c>
      <c r="N3511" t="s">
        <v>116</v>
      </c>
      <c r="O3511" t="s">
        <v>436</v>
      </c>
      <c r="P3511" t="s">
        <v>459</v>
      </c>
      <c r="Q3511">
        <v>7</v>
      </c>
      <c r="R3511" s="225">
        <f>Base_Periodo1[[#This Row],[CREDITOS]]-Base_Periodo1[[#This Row],[DEBITOS]]</f>
        <v>132</v>
      </c>
      <c r="S3511" s="3" t="str">
        <f>IF(ISERROR(VLOOKUP(Base_Periodo1[[#This Row],[CONTA]],BaseContasDRE[#All],4,FALSE)),"Fora do DRE",VLOOKUP(Base_Periodo1[[#This Row],[CONTA]],BaseContasDRE[#All],4,FALSE))</f>
        <v>Fora do DRE</v>
      </c>
      <c r="T3511" s="3" t="str">
        <f>IF(ISERROR(VLOOKUP(Base_Periodo1[[#This Row],[CONTA]],BaseContasDRE[#All],5,FALSE)),"Fora do DRE",VLOOKUP(Base_Periodo1[[#This Row],[CONTA]],BaseContasDRE[#All],6,FALSE))</f>
        <v>Fora do DRE</v>
      </c>
      <c r="U3511" s="3" t="str">
        <f>IF(ISERROR(VLOOKUP(Base_Periodo1[[#This Row],[CONTA]],BaseContasDRE[#All],7,FALSE)),"Fora do DRE",VLOOKUP(Base_Periodo1[[#This Row],[CONTA]],BaseContasDRE[#All],7,FALSE))</f>
        <v>Fora do DRE</v>
      </c>
      <c r="V3511" s="3" t="str">
        <f>IF(Base_Periodo1[[#This Row],[Tipo_Linha]]="Fora do DRE","Fora do DRE","( "&amp;Base_Periodo1[[#This Row],[Tipo_Linha]]&amp;" ) "&amp;Base_Periodo1[[#This Row],[Filtro]])</f>
        <v>Fora do DRE</v>
      </c>
      <c r="W3511" s="3" t="str">
        <f>LEFT(Base_Periodo1[[#This Row],[CLASS]],3)</f>
        <v>2.1</v>
      </c>
    </row>
    <row r="3512" spans="1:23" hidden="1">
      <c r="A3512" s="3" t="str">
        <f t="shared" si="54"/>
        <v>Período 1</v>
      </c>
      <c r="B3512">
        <v>56276</v>
      </c>
      <c r="C3512" t="s">
        <v>2010</v>
      </c>
      <c r="D3512" t="s">
        <v>4692</v>
      </c>
      <c r="E3512" s="3" t="str">
        <f>IF(LEN(Base_Periodo1[[#This Row],[CLASS]])&gt;=7,LEFT(Base_Periodo1[[#This Row],[CLASS]],7),"")</f>
        <v>2.1.2.2</v>
      </c>
      <c r="F3512" s="3" t="str">
        <f>VLOOKUP(Base_Periodo1[[#This Row],[Aux]],Base_Contas_Balanco[#All],2,FALSE)</f>
        <v>Fornecedores Não Cooperados</v>
      </c>
      <c r="G3512" s="1">
        <v>42859</v>
      </c>
      <c r="I3512" s="225">
        <v>52.5</v>
      </c>
      <c r="J3512" s="225">
        <v>52.5</v>
      </c>
      <c r="K3512" s="225">
        <v>0</v>
      </c>
      <c r="L35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12" s="225">
        <f>ROUND(IF(AND(Base_Periodo1[[#This Row],[Tipo_Linha]]="-",Base_Periodo1[[#This Row],[TIPOSALDO]]="D"),Base_Periodo1[[#This Row],[SALDO_ATUAL]]*-1,Base_Periodo1[[#This Row],[SALDO_ATUAL]]),4)</f>
        <v>0</v>
      </c>
      <c r="N3512" t="s">
        <v>116</v>
      </c>
      <c r="O3512" t="s">
        <v>436</v>
      </c>
      <c r="P3512" t="s">
        <v>436</v>
      </c>
      <c r="Q3512">
        <v>7</v>
      </c>
      <c r="R3512" s="225">
        <f>Base_Periodo1[[#This Row],[CREDITOS]]-Base_Periodo1[[#This Row],[DEBITOS]]</f>
        <v>0</v>
      </c>
      <c r="S3512" s="3" t="str">
        <f>IF(ISERROR(VLOOKUP(Base_Periodo1[[#This Row],[CONTA]],BaseContasDRE[#All],4,FALSE)),"Fora do DRE",VLOOKUP(Base_Periodo1[[#This Row],[CONTA]],BaseContasDRE[#All],4,FALSE))</f>
        <v>Fora do DRE</v>
      </c>
      <c r="T3512" s="3" t="str">
        <f>IF(ISERROR(VLOOKUP(Base_Periodo1[[#This Row],[CONTA]],BaseContasDRE[#All],5,FALSE)),"Fora do DRE",VLOOKUP(Base_Periodo1[[#This Row],[CONTA]],BaseContasDRE[#All],6,FALSE))</f>
        <v>Fora do DRE</v>
      </c>
      <c r="U3512" s="3" t="str">
        <f>IF(ISERROR(VLOOKUP(Base_Periodo1[[#This Row],[CONTA]],BaseContasDRE[#All],7,FALSE)),"Fora do DRE",VLOOKUP(Base_Periodo1[[#This Row],[CONTA]],BaseContasDRE[#All],7,FALSE))</f>
        <v>Fora do DRE</v>
      </c>
      <c r="V3512" s="3" t="str">
        <f>IF(Base_Periodo1[[#This Row],[Tipo_Linha]]="Fora do DRE","Fora do DRE","( "&amp;Base_Periodo1[[#This Row],[Tipo_Linha]]&amp;" ) "&amp;Base_Periodo1[[#This Row],[Filtro]])</f>
        <v>Fora do DRE</v>
      </c>
      <c r="W3512" s="3" t="str">
        <f>LEFT(Base_Periodo1[[#This Row],[CLASS]],3)</f>
        <v>2.1</v>
      </c>
    </row>
    <row r="3513" spans="1:23" hidden="1">
      <c r="A3513" s="3" t="str">
        <f t="shared" si="54"/>
        <v>Período 1</v>
      </c>
      <c r="B3513">
        <v>21285</v>
      </c>
      <c r="C3513" t="s">
        <v>2010</v>
      </c>
      <c r="D3513" t="s">
        <v>5525</v>
      </c>
      <c r="E3513" s="3" t="str">
        <f>IF(LEN(Base_Periodo1[[#This Row],[CLASS]])&gt;=7,LEFT(Base_Periodo1[[#This Row],[CLASS]],7),"")</f>
        <v>2.1.2.2</v>
      </c>
      <c r="F3513" s="3" t="str">
        <f>VLOOKUP(Base_Periodo1[[#This Row],[Aux]],Base_Contas_Balanco[#All],2,FALSE)</f>
        <v>Fornecedores Não Cooperados</v>
      </c>
      <c r="G3513" s="1">
        <v>42881</v>
      </c>
      <c r="H3513" s="225">
        <v>329.00000000001455</v>
      </c>
      <c r="I3513" s="225">
        <v>2427</v>
      </c>
      <c r="J3513" s="225">
        <v>3245</v>
      </c>
      <c r="K3513" s="225">
        <v>1147.0000000000146</v>
      </c>
      <c r="L35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1147</v>
      </c>
      <c r="M3513" s="225">
        <f>ROUND(IF(AND(Base_Periodo1[[#This Row],[Tipo_Linha]]="-",Base_Periodo1[[#This Row],[TIPOSALDO]]="D"),Base_Periodo1[[#This Row],[SALDO_ATUAL]]*-1,Base_Periodo1[[#This Row],[SALDO_ATUAL]]),4)</f>
        <v>1147</v>
      </c>
      <c r="N3513" t="s">
        <v>116</v>
      </c>
      <c r="O3513" t="s">
        <v>459</v>
      </c>
      <c r="P3513" t="s">
        <v>459</v>
      </c>
      <c r="Q3513">
        <v>7</v>
      </c>
      <c r="R3513" s="225">
        <f>Base_Periodo1[[#This Row],[CREDITOS]]-Base_Periodo1[[#This Row],[DEBITOS]]</f>
        <v>818</v>
      </c>
      <c r="S3513" s="3" t="str">
        <f>IF(ISERROR(VLOOKUP(Base_Periodo1[[#This Row],[CONTA]],BaseContasDRE[#All],4,FALSE)),"Fora do DRE",VLOOKUP(Base_Periodo1[[#This Row],[CONTA]],BaseContasDRE[#All],4,FALSE))</f>
        <v>Fora do DRE</v>
      </c>
      <c r="T3513" s="3" t="str">
        <f>IF(ISERROR(VLOOKUP(Base_Periodo1[[#This Row],[CONTA]],BaseContasDRE[#All],5,FALSE)),"Fora do DRE",VLOOKUP(Base_Periodo1[[#This Row],[CONTA]],BaseContasDRE[#All],6,FALSE))</f>
        <v>Fora do DRE</v>
      </c>
      <c r="U3513" s="3" t="str">
        <f>IF(ISERROR(VLOOKUP(Base_Periodo1[[#This Row],[CONTA]],BaseContasDRE[#All],7,FALSE)),"Fora do DRE",VLOOKUP(Base_Periodo1[[#This Row],[CONTA]],BaseContasDRE[#All],7,FALSE))</f>
        <v>Fora do DRE</v>
      </c>
      <c r="V3513" s="3" t="str">
        <f>IF(Base_Periodo1[[#This Row],[Tipo_Linha]]="Fora do DRE","Fora do DRE","( "&amp;Base_Periodo1[[#This Row],[Tipo_Linha]]&amp;" ) "&amp;Base_Periodo1[[#This Row],[Filtro]])</f>
        <v>Fora do DRE</v>
      </c>
      <c r="W3513" s="3" t="str">
        <f>LEFT(Base_Periodo1[[#This Row],[CLASS]],3)</f>
        <v>2.1</v>
      </c>
    </row>
    <row r="3514" spans="1:23" hidden="1">
      <c r="A3514" s="3" t="str">
        <f t="shared" si="54"/>
        <v>Período 1</v>
      </c>
      <c r="B3514">
        <v>56174</v>
      </c>
      <c r="C3514" t="s">
        <v>2010</v>
      </c>
      <c r="D3514" t="s">
        <v>6980</v>
      </c>
      <c r="E3514" s="3" t="str">
        <f>IF(LEN(Base_Periodo1[[#This Row],[CLASS]])&gt;=7,LEFT(Base_Periodo1[[#This Row],[CLASS]],7),"")</f>
        <v>2.1.2.2</v>
      </c>
      <c r="F3514" s="3" t="str">
        <f>VLOOKUP(Base_Periodo1[[#This Row],[Aux]],Base_Contas_Balanco[#All],2,FALSE)</f>
        <v>Fornecedores Não Cooperados</v>
      </c>
      <c r="G3514" s="1">
        <v>42867</v>
      </c>
      <c r="I3514" s="225">
        <v>145000</v>
      </c>
      <c r="J3514" s="225">
        <v>145000</v>
      </c>
      <c r="K3514" s="225">
        <v>0</v>
      </c>
      <c r="L35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14" s="225">
        <f>ROUND(IF(AND(Base_Periodo1[[#This Row],[Tipo_Linha]]="-",Base_Periodo1[[#This Row],[TIPOSALDO]]="D"),Base_Periodo1[[#This Row],[SALDO_ATUAL]]*-1,Base_Periodo1[[#This Row],[SALDO_ATUAL]]),4)</f>
        <v>0</v>
      </c>
      <c r="N3514" t="s">
        <v>116</v>
      </c>
      <c r="O3514" t="s">
        <v>436</v>
      </c>
      <c r="P3514" t="s">
        <v>436</v>
      </c>
      <c r="Q3514">
        <v>7</v>
      </c>
      <c r="R3514" s="225">
        <f>Base_Periodo1[[#This Row],[CREDITOS]]-Base_Periodo1[[#This Row],[DEBITOS]]</f>
        <v>0</v>
      </c>
      <c r="S3514" s="3" t="str">
        <f>IF(ISERROR(VLOOKUP(Base_Periodo1[[#This Row],[CONTA]],BaseContasDRE[#All],4,FALSE)),"Fora do DRE",VLOOKUP(Base_Periodo1[[#This Row],[CONTA]],BaseContasDRE[#All],4,FALSE))</f>
        <v>Fora do DRE</v>
      </c>
      <c r="T3514" s="3" t="str">
        <f>IF(ISERROR(VLOOKUP(Base_Periodo1[[#This Row],[CONTA]],BaseContasDRE[#All],5,FALSE)),"Fora do DRE",VLOOKUP(Base_Periodo1[[#This Row],[CONTA]],BaseContasDRE[#All],6,FALSE))</f>
        <v>Fora do DRE</v>
      </c>
      <c r="U3514" s="3" t="str">
        <f>IF(ISERROR(VLOOKUP(Base_Periodo1[[#This Row],[CONTA]],BaseContasDRE[#All],7,FALSE)),"Fora do DRE",VLOOKUP(Base_Periodo1[[#This Row],[CONTA]],BaseContasDRE[#All],7,FALSE))</f>
        <v>Fora do DRE</v>
      </c>
      <c r="V3514" s="3" t="str">
        <f>IF(Base_Periodo1[[#This Row],[Tipo_Linha]]="Fora do DRE","Fora do DRE","( "&amp;Base_Periodo1[[#This Row],[Tipo_Linha]]&amp;" ) "&amp;Base_Periodo1[[#This Row],[Filtro]])</f>
        <v>Fora do DRE</v>
      </c>
      <c r="W3514" s="3" t="str">
        <f>LEFT(Base_Periodo1[[#This Row],[CLASS]],3)</f>
        <v>2.1</v>
      </c>
    </row>
    <row r="3515" spans="1:23" hidden="1">
      <c r="A3515" s="3" t="str">
        <f t="shared" si="54"/>
        <v>Período 1</v>
      </c>
      <c r="B3515">
        <v>36300</v>
      </c>
      <c r="C3515" t="s">
        <v>2010</v>
      </c>
      <c r="D3515" t="s">
        <v>5526</v>
      </c>
      <c r="E3515" s="3" t="str">
        <f>IF(LEN(Base_Periodo1[[#This Row],[CLASS]])&gt;=7,LEFT(Base_Periodo1[[#This Row],[CLASS]],7),"")</f>
        <v>2.1.2.2</v>
      </c>
      <c r="F3515" s="3" t="str">
        <f>VLOOKUP(Base_Periodo1[[#This Row],[Aux]],Base_Contas_Balanco[#All],2,FALSE)</f>
        <v>Fornecedores Não Cooperados</v>
      </c>
      <c r="G3515" s="1">
        <v>42884</v>
      </c>
      <c r="H3515" s="225">
        <v>692446.61</v>
      </c>
      <c r="I3515" s="225">
        <v>1035</v>
      </c>
      <c r="J3515" s="225">
        <v>15251.4</v>
      </c>
      <c r="K3515" s="225">
        <v>706663.01</v>
      </c>
      <c r="L35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706663.01</v>
      </c>
      <c r="M3515" s="225">
        <f>ROUND(IF(AND(Base_Periodo1[[#This Row],[Tipo_Linha]]="-",Base_Periodo1[[#This Row],[TIPOSALDO]]="D"),Base_Periodo1[[#This Row],[SALDO_ATUAL]]*-1,Base_Periodo1[[#This Row],[SALDO_ATUAL]]),4)</f>
        <v>706663.01</v>
      </c>
      <c r="N3515" t="s">
        <v>116</v>
      </c>
      <c r="O3515" t="s">
        <v>459</v>
      </c>
      <c r="P3515" t="s">
        <v>459</v>
      </c>
      <c r="Q3515">
        <v>7</v>
      </c>
      <c r="R3515" s="225">
        <f>Base_Periodo1[[#This Row],[CREDITOS]]-Base_Periodo1[[#This Row],[DEBITOS]]</f>
        <v>14216.4</v>
      </c>
      <c r="S3515" s="3" t="str">
        <f>IF(ISERROR(VLOOKUP(Base_Periodo1[[#This Row],[CONTA]],BaseContasDRE[#All],4,FALSE)),"Fora do DRE",VLOOKUP(Base_Periodo1[[#This Row],[CONTA]],BaseContasDRE[#All],4,FALSE))</f>
        <v>Fora do DRE</v>
      </c>
      <c r="T3515" s="3" t="str">
        <f>IF(ISERROR(VLOOKUP(Base_Periodo1[[#This Row],[CONTA]],BaseContasDRE[#All],5,FALSE)),"Fora do DRE",VLOOKUP(Base_Periodo1[[#This Row],[CONTA]],BaseContasDRE[#All],6,FALSE))</f>
        <v>Fora do DRE</v>
      </c>
      <c r="U3515" s="3" t="str">
        <f>IF(ISERROR(VLOOKUP(Base_Periodo1[[#This Row],[CONTA]],BaseContasDRE[#All],7,FALSE)),"Fora do DRE",VLOOKUP(Base_Periodo1[[#This Row],[CONTA]],BaseContasDRE[#All],7,FALSE))</f>
        <v>Fora do DRE</v>
      </c>
      <c r="V3515" s="3" t="str">
        <f>IF(Base_Periodo1[[#This Row],[Tipo_Linha]]="Fora do DRE","Fora do DRE","( "&amp;Base_Periodo1[[#This Row],[Tipo_Linha]]&amp;" ) "&amp;Base_Periodo1[[#This Row],[Filtro]])</f>
        <v>Fora do DRE</v>
      </c>
      <c r="W3515" s="3" t="str">
        <f>LEFT(Base_Periodo1[[#This Row],[CLASS]],3)</f>
        <v>2.1</v>
      </c>
    </row>
    <row r="3516" spans="1:23" hidden="1">
      <c r="A3516" s="3" t="str">
        <f t="shared" si="54"/>
        <v>Período 1</v>
      </c>
      <c r="B3516">
        <v>12015</v>
      </c>
      <c r="C3516" t="s">
        <v>2010</v>
      </c>
      <c r="D3516" t="s">
        <v>4827</v>
      </c>
      <c r="E3516" s="3" t="str">
        <f>IF(LEN(Base_Periodo1[[#This Row],[CLASS]])&gt;=7,LEFT(Base_Periodo1[[#This Row],[CLASS]],7),"")</f>
        <v>2.1.2.2</v>
      </c>
      <c r="F3516" s="3" t="str">
        <f>VLOOKUP(Base_Periodo1[[#This Row],[Aux]],Base_Contas_Balanco[#All],2,FALSE)</f>
        <v>Fornecedores Não Cooperados</v>
      </c>
      <c r="G3516" s="1">
        <v>42886</v>
      </c>
      <c r="H3516" s="225">
        <v>53768.88000000047</v>
      </c>
      <c r="I3516" s="225">
        <v>58859.05999999999</v>
      </c>
      <c r="J3516" s="225">
        <v>35899</v>
      </c>
      <c r="K3516" s="225">
        <v>30808.82000000048</v>
      </c>
      <c r="L35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30808.82</v>
      </c>
      <c r="M3516" s="225">
        <f>ROUND(IF(AND(Base_Periodo1[[#This Row],[Tipo_Linha]]="-",Base_Periodo1[[#This Row],[TIPOSALDO]]="D"),Base_Periodo1[[#This Row],[SALDO_ATUAL]]*-1,Base_Periodo1[[#This Row],[SALDO_ATUAL]]),4)</f>
        <v>30808.82</v>
      </c>
      <c r="N3516" t="s">
        <v>116</v>
      </c>
      <c r="O3516" t="s">
        <v>459</v>
      </c>
      <c r="P3516" t="s">
        <v>459</v>
      </c>
      <c r="Q3516">
        <v>7</v>
      </c>
      <c r="R3516" s="225">
        <f>Base_Periodo1[[#This Row],[CREDITOS]]-Base_Periodo1[[#This Row],[DEBITOS]]</f>
        <v>-22960.05999999999</v>
      </c>
      <c r="S3516" s="3" t="str">
        <f>IF(ISERROR(VLOOKUP(Base_Periodo1[[#This Row],[CONTA]],BaseContasDRE[#All],4,FALSE)),"Fora do DRE",VLOOKUP(Base_Periodo1[[#This Row],[CONTA]],BaseContasDRE[#All],4,FALSE))</f>
        <v>Fora do DRE</v>
      </c>
      <c r="T3516" s="3" t="str">
        <f>IF(ISERROR(VLOOKUP(Base_Periodo1[[#This Row],[CONTA]],BaseContasDRE[#All],5,FALSE)),"Fora do DRE",VLOOKUP(Base_Periodo1[[#This Row],[CONTA]],BaseContasDRE[#All],6,FALSE))</f>
        <v>Fora do DRE</v>
      </c>
      <c r="U3516" s="3" t="str">
        <f>IF(ISERROR(VLOOKUP(Base_Periodo1[[#This Row],[CONTA]],BaseContasDRE[#All],7,FALSE)),"Fora do DRE",VLOOKUP(Base_Periodo1[[#This Row],[CONTA]],BaseContasDRE[#All],7,FALSE))</f>
        <v>Fora do DRE</v>
      </c>
      <c r="V3516" s="3" t="str">
        <f>IF(Base_Periodo1[[#This Row],[Tipo_Linha]]="Fora do DRE","Fora do DRE","( "&amp;Base_Periodo1[[#This Row],[Tipo_Linha]]&amp;" ) "&amp;Base_Periodo1[[#This Row],[Filtro]])</f>
        <v>Fora do DRE</v>
      </c>
      <c r="W3516" s="3" t="str">
        <f>LEFT(Base_Periodo1[[#This Row],[CLASS]],3)</f>
        <v>2.1</v>
      </c>
    </row>
    <row r="3517" spans="1:23" hidden="1">
      <c r="A3517" s="3" t="str">
        <f t="shared" si="54"/>
        <v>Período 1</v>
      </c>
      <c r="B3517">
        <v>29323</v>
      </c>
      <c r="C3517" t="s">
        <v>2010</v>
      </c>
      <c r="D3517" t="s">
        <v>6981</v>
      </c>
      <c r="E3517" s="3" t="str">
        <f>IF(LEN(Base_Periodo1[[#This Row],[CLASS]])&gt;=7,LEFT(Base_Periodo1[[#This Row],[CLASS]],7),"")</f>
        <v>2.1.2.2</v>
      </c>
      <c r="F3517" s="3" t="str">
        <f>VLOOKUP(Base_Periodo1[[#This Row],[Aux]],Base_Contas_Balanco[#All],2,FALSE)</f>
        <v>Fornecedores Não Cooperados</v>
      </c>
      <c r="G3517" s="1">
        <v>42879</v>
      </c>
      <c r="I3517" s="225">
        <v>660</v>
      </c>
      <c r="J3517" s="225">
        <v>660</v>
      </c>
      <c r="K3517" s="225">
        <v>0</v>
      </c>
      <c r="L35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17" s="225">
        <f>ROUND(IF(AND(Base_Periodo1[[#This Row],[Tipo_Linha]]="-",Base_Periodo1[[#This Row],[TIPOSALDO]]="D"),Base_Periodo1[[#This Row],[SALDO_ATUAL]]*-1,Base_Periodo1[[#This Row],[SALDO_ATUAL]]),4)</f>
        <v>0</v>
      </c>
      <c r="N3517" t="s">
        <v>116</v>
      </c>
      <c r="O3517" t="s">
        <v>436</v>
      </c>
      <c r="P3517" t="s">
        <v>436</v>
      </c>
      <c r="Q3517">
        <v>7</v>
      </c>
      <c r="R3517" s="225">
        <f>Base_Periodo1[[#This Row],[CREDITOS]]-Base_Periodo1[[#This Row],[DEBITOS]]</f>
        <v>0</v>
      </c>
      <c r="S3517" s="3" t="str">
        <f>IF(ISERROR(VLOOKUP(Base_Periodo1[[#This Row],[CONTA]],BaseContasDRE[#All],4,FALSE)),"Fora do DRE",VLOOKUP(Base_Periodo1[[#This Row],[CONTA]],BaseContasDRE[#All],4,FALSE))</f>
        <v>Fora do DRE</v>
      </c>
      <c r="T3517" s="3" t="str">
        <f>IF(ISERROR(VLOOKUP(Base_Periodo1[[#This Row],[CONTA]],BaseContasDRE[#All],5,FALSE)),"Fora do DRE",VLOOKUP(Base_Periodo1[[#This Row],[CONTA]],BaseContasDRE[#All],6,FALSE))</f>
        <v>Fora do DRE</v>
      </c>
      <c r="U3517" s="3" t="str">
        <f>IF(ISERROR(VLOOKUP(Base_Periodo1[[#This Row],[CONTA]],BaseContasDRE[#All],7,FALSE)),"Fora do DRE",VLOOKUP(Base_Periodo1[[#This Row],[CONTA]],BaseContasDRE[#All],7,FALSE))</f>
        <v>Fora do DRE</v>
      </c>
      <c r="V3517" s="3" t="str">
        <f>IF(Base_Periodo1[[#This Row],[Tipo_Linha]]="Fora do DRE","Fora do DRE","( "&amp;Base_Periodo1[[#This Row],[Tipo_Linha]]&amp;" ) "&amp;Base_Periodo1[[#This Row],[Filtro]])</f>
        <v>Fora do DRE</v>
      </c>
      <c r="W3517" s="3" t="str">
        <f>LEFT(Base_Periodo1[[#This Row],[CLASS]],3)</f>
        <v>2.1</v>
      </c>
    </row>
    <row r="3518" spans="1:23" hidden="1">
      <c r="A3518" s="3" t="str">
        <f t="shared" si="54"/>
        <v>Período 1</v>
      </c>
      <c r="B3518">
        <v>52046</v>
      </c>
      <c r="C3518" t="s">
        <v>2010</v>
      </c>
      <c r="D3518" t="s">
        <v>4645</v>
      </c>
      <c r="E3518" s="3" t="str">
        <f>IF(LEN(Base_Periodo1[[#This Row],[CLASS]])&gt;=7,LEFT(Base_Periodo1[[#This Row],[CLASS]],7),"")</f>
        <v>2.1.2.2</v>
      </c>
      <c r="F3518" s="3" t="str">
        <f>VLOOKUP(Base_Periodo1[[#This Row],[Aux]],Base_Contas_Balanco[#All],2,FALSE)</f>
        <v>Fornecedores Não Cooperados</v>
      </c>
      <c r="G3518" s="1">
        <v>42865</v>
      </c>
      <c r="I3518" s="225">
        <v>3500</v>
      </c>
      <c r="J3518" s="225">
        <v>3500</v>
      </c>
      <c r="K3518" s="225">
        <v>7.2759576141834259E-12</v>
      </c>
      <c r="L35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18" s="225">
        <f>ROUND(IF(AND(Base_Periodo1[[#This Row],[Tipo_Linha]]="-",Base_Periodo1[[#This Row],[TIPOSALDO]]="D"),Base_Periodo1[[#This Row],[SALDO_ATUAL]]*-1,Base_Periodo1[[#This Row],[SALDO_ATUAL]]),4)</f>
        <v>0</v>
      </c>
      <c r="N3518" t="s">
        <v>116</v>
      </c>
      <c r="O3518" t="s">
        <v>436</v>
      </c>
      <c r="P3518" t="s">
        <v>436</v>
      </c>
      <c r="Q3518">
        <v>7</v>
      </c>
      <c r="R3518" s="225">
        <f>Base_Periodo1[[#This Row],[CREDITOS]]-Base_Periodo1[[#This Row],[DEBITOS]]</f>
        <v>0</v>
      </c>
      <c r="S3518" s="3" t="str">
        <f>IF(ISERROR(VLOOKUP(Base_Periodo1[[#This Row],[CONTA]],BaseContasDRE[#All],4,FALSE)),"Fora do DRE",VLOOKUP(Base_Periodo1[[#This Row],[CONTA]],BaseContasDRE[#All],4,FALSE))</f>
        <v>Fora do DRE</v>
      </c>
      <c r="T3518" s="3" t="str">
        <f>IF(ISERROR(VLOOKUP(Base_Periodo1[[#This Row],[CONTA]],BaseContasDRE[#All],5,FALSE)),"Fora do DRE",VLOOKUP(Base_Periodo1[[#This Row],[CONTA]],BaseContasDRE[#All],6,FALSE))</f>
        <v>Fora do DRE</v>
      </c>
      <c r="U3518" s="3" t="str">
        <f>IF(ISERROR(VLOOKUP(Base_Periodo1[[#This Row],[CONTA]],BaseContasDRE[#All],7,FALSE)),"Fora do DRE",VLOOKUP(Base_Periodo1[[#This Row],[CONTA]],BaseContasDRE[#All],7,FALSE))</f>
        <v>Fora do DRE</v>
      </c>
      <c r="V3518" s="3" t="str">
        <f>IF(Base_Periodo1[[#This Row],[Tipo_Linha]]="Fora do DRE","Fora do DRE","( "&amp;Base_Periodo1[[#This Row],[Tipo_Linha]]&amp;" ) "&amp;Base_Periodo1[[#This Row],[Filtro]])</f>
        <v>Fora do DRE</v>
      </c>
      <c r="W3518" s="3" t="str">
        <f>LEFT(Base_Periodo1[[#This Row],[CLASS]],3)</f>
        <v>2.1</v>
      </c>
    </row>
    <row r="3519" spans="1:23" hidden="1">
      <c r="A3519" s="3" t="str">
        <f t="shared" si="54"/>
        <v>Período 1</v>
      </c>
      <c r="B3519">
        <v>15171</v>
      </c>
      <c r="C3519" t="s">
        <v>2010</v>
      </c>
      <c r="D3519" t="s">
        <v>4693</v>
      </c>
      <c r="E3519" s="3" t="str">
        <f>IF(LEN(Base_Periodo1[[#This Row],[CLASS]])&gt;=7,LEFT(Base_Periodo1[[#This Row],[CLASS]],7),"")</f>
        <v>2.1.2.2</v>
      </c>
      <c r="F3519" s="3" t="str">
        <f>VLOOKUP(Base_Periodo1[[#This Row],[Aux]],Base_Contas_Balanco[#All],2,FALSE)</f>
        <v>Fornecedores Não Cooperados</v>
      </c>
      <c r="G3519" s="1">
        <v>42780</v>
      </c>
      <c r="H3519" s="225">
        <v>4628.9900000000198</v>
      </c>
      <c r="I3519" s="225">
        <v>0</v>
      </c>
      <c r="J3519" s="225">
        <v>0</v>
      </c>
      <c r="K3519" s="225">
        <v>4628.9900000000198</v>
      </c>
      <c r="L35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4628.99</v>
      </c>
      <c r="M3519" s="225">
        <f>ROUND(IF(AND(Base_Periodo1[[#This Row],[Tipo_Linha]]="-",Base_Periodo1[[#This Row],[TIPOSALDO]]="D"),Base_Periodo1[[#This Row],[SALDO_ATUAL]]*-1,Base_Periodo1[[#This Row],[SALDO_ATUAL]]),4)</f>
        <v>4628.99</v>
      </c>
      <c r="N3519" t="s">
        <v>116</v>
      </c>
      <c r="O3519" t="s">
        <v>459</v>
      </c>
      <c r="P3519" t="s">
        <v>459</v>
      </c>
      <c r="Q3519">
        <v>7</v>
      </c>
      <c r="R3519" s="225">
        <f>Base_Periodo1[[#This Row],[CREDITOS]]-Base_Periodo1[[#This Row],[DEBITOS]]</f>
        <v>0</v>
      </c>
      <c r="S3519" s="3" t="str">
        <f>IF(ISERROR(VLOOKUP(Base_Periodo1[[#This Row],[CONTA]],BaseContasDRE[#All],4,FALSE)),"Fora do DRE",VLOOKUP(Base_Periodo1[[#This Row],[CONTA]],BaseContasDRE[#All],4,FALSE))</f>
        <v>Fora do DRE</v>
      </c>
      <c r="T3519" s="3" t="str">
        <f>IF(ISERROR(VLOOKUP(Base_Periodo1[[#This Row],[CONTA]],BaseContasDRE[#All],5,FALSE)),"Fora do DRE",VLOOKUP(Base_Periodo1[[#This Row],[CONTA]],BaseContasDRE[#All],6,FALSE))</f>
        <v>Fora do DRE</v>
      </c>
      <c r="U3519" s="3" t="str">
        <f>IF(ISERROR(VLOOKUP(Base_Periodo1[[#This Row],[CONTA]],BaseContasDRE[#All],7,FALSE)),"Fora do DRE",VLOOKUP(Base_Periodo1[[#This Row],[CONTA]],BaseContasDRE[#All],7,FALSE))</f>
        <v>Fora do DRE</v>
      </c>
      <c r="V3519" s="3" t="str">
        <f>IF(Base_Periodo1[[#This Row],[Tipo_Linha]]="Fora do DRE","Fora do DRE","( "&amp;Base_Periodo1[[#This Row],[Tipo_Linha]]&amp;" ) "&amp;Base_Periodo1[[#This Row],[Filtro]])</f>
        <v>Fora do DRE</v>
      </c>
      <c r="W3519" s="3" t="str">
        <f>LEFT(Base_Periodo1[[#This Row],[CLASS]],3)</f>
        <v>2.1</v>
      </c>
    </row>
    <row r="3520" spans="1:23" hidden="1">
      <c r="A3520" s="3" t="str">
        <f t="shared" si="54"/>
        <v>Período 1</v>
      </c>
      <c r="B3520">
        <v>29956</v>
      </c>
      <c r="C3520" t="s">
        <v>2010</v>
      </c>
      <c r="D3520" t="s">
        <v>5969</v>
      </c>
      <c r="E3520" s="3" t="str">
        <f>IF(LEN(Base_Periodo1[[#This Row],[CLASS]])&gt;=7,LEFT(Base_Periodo1[[#This Row],[CLASS]],7),"")</f>
        <v>2.1.2.2</v>
      </c>
      <c r="F3520" s="3" t="str">
        <f>VLOOKUP(Base_Periodo1[[#This Row],[Aux]],Base_Contas_Balanco[#All],2,FALSE)</f>
        <v>Fornecedores Não Cooperados</v>
      </c>
      <c r="G3520" s="1">
        <v>42858</v>
      </c>
      <c r="H3520" s="225">
        <v>100</v>
      </c>
      <c r="I3520" s="225">
        <v>100</v>
      </c>
      <c r="J3520" s="225">
        <v>0</v>
      </c>
      <c r="K3520" s="225">
        <v>0</v>
      </c>
      <c r="L35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20" s="225">
        <f>ROUND(IF(AND(Base_Periodo1[[#This Row],[Tipo_Linha]]="-",Base_Periodo1[[#This Row],[TIPOSALDO]]="D"),Base_Periodo1[[#This Row],[SALDO_ATUAL]]*-1,Base_Periodo1[[#This Row],[SALDO_ATUAL]]),4)</f>
        <v>0</v>
      </c>
      <c r="N3520" t="s">
        <v>116</v>
      </c>
      <c r="O3520" t="s">
        <v>459</v>
      </c>
      <c r="P3520" t="s">
        <v>436</v>
      </c>
      <c r="Q3520">
        <v>7</v>
      </c>
      <c r="R3520" s="225">
        <f>Base_Periodo1[[#This Row],[CREDITOS]]-Base_Periodo1[[#This Row],[DEBITOS]]</f>
        <v>-100</v>
      </c>
      <c r="S3520" s="3" t="str">
        <f>IF(ISERROR(VLOOKUP(Base_Periodo1[[#This Row],[CONTA]],BaseContasDRE[#All],4,FALSE)),"Fora do DRE",VLOOKUP(Base_Periodo1[[#This Row],[CONTA]],BaseContasDRE[#All],4,FALSE))</f>
        <v>Fora do DRE</v>
      </c>
      <c r="T3520" s="3" t="str">
        <f>IF(ISERROR(VLOOKUP(Base_Periodo1[[#This Row],[CONTA]],BaseContasDRE[#All],5,FALSE)),"Fora do DRE",VLOOKUP(Base_Periodo1[[#This Row],[CONTA]],BaseContasDRE[#All],6,FALSE))</f>
        <v>Fora do DRE</v>
      </c>
      <c r="U3520" s="3" t="str">
        <f>IF(ISERROR(VLOOKUP(Base_Periodo1[[#This Row],[CONTA]],BaseContasDRE[#All],7,FALSE)),"Fora do DRE",VLOOKUP(Base_Periodo1[[#This Row],[CONTA]],BaseContasDRE[#All],7,FALSE))</f>
        <v>Fora do DRE</v>
      </c>
      <c r="V3520" s="3" t="str">
        <f>IF(Base_Periodo1[[#This Row],[Tipo_Linha]]="Fora do DRE","Fora do DRE","( "&amp;Base_Periodo1[[#This Row],[Tipo_Linha]]&amp;" ) "&amp;Base_Periodo1[[#This Row],[Filtro]])</f>
        <v>Fora do DRE</v>
      </c>
      <c r="W3520" s="3" t="str">
        <f>LEFT(Base_Periodo1[[#This Row],[CLASS]],3)</f>
        <v>2.1</v>
      </c>
    </row>
    <row r="3521" spans="1:23" hidden="1">
      <c r="A3521" s="3" t="str">
        <f t="shared" si="54"/>
        <v>Período 1</v>
      </c>
      <c r="B3521">
        <v>59287</v>
      </c>
      <c r="C3521" t="s">
        <v>2010</v>
      </c>
      <c r="D3521" t="s">
        <v>6982</v>
      </c>
      <c r="E3521" s="3" t="str">
        <f>IF(LEN(Base_Periodo1[[#This Row],[CLASS]])&gt;=7,LEFT(Base_Periodo1[[#This Row],[CLASS]],7),"")</f>
        <v>2.1.2.2</v>
      </c>
      <c r="F3521" s="3" t="str">
        <f>VLOOKUP(Base_Periodo1[[#This Row],[Aux]],Base_Contas_Balanco[#All],2,FALSE)</f>
        <v>Fornecedores Não Cooperados</v>
      </c>
      <c r="G3521" s="1">
        <v>42884</v>
      </c>
      <c r="I3521" s="225">
        <v>79.38</v>
      </c>
      <c r="J3521" s="225">
        <v>79.38</v>
      </c>
      <c r="K3521" s="225">
        <v>0</v>
      </c>
      <c r="L35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21" s="225">
        <f>ROUND(IF(AND(Base_Periodo1[[#This Row],[Tipo_Linha]]="-",Base_Periodo1[[#This Row],[TIPOSALDO]]="D"),Base_Periodo1[[#This Row],[SALDO_ATUAL]]*-1,Base_Periodo1[[#This Row],[SALDO_ATUAL]]),4)</f>
        <v>0</v>
      </c>
      <c r="N3521" t="s">
        <v>116</v>
      </c>
      <c r="O3521" t="s">
        <v>436</v>
      </c>
      <c r="P3521" t="s">
        <v>436</v>
      </c>
      <c r="Q3521">
        <v>7</v>
      </c>
      <c r="R3521" s="225">
        <f>Base_Periodo1[[#This Row],[CREDITOS]]-Base_Periodo1[[#This Row],[DEBITOS]]</f>
        <v>0</v>
      </c>
      <c r="S3521" s="3" t="str">
        <f>IF(ISERROR(VLOOKUP(Base_Periodo1[[#This Row],[CONTA]],BaseContasDRE[#All],4,FALSE)),"Fora do DRE",VLOOKUP(Base_Periodo1[[#This Row],[CONTA]],BaseContasDRE[#All],4,FALSE))</f>
        <v>Fora do DRE</v>
      </c>
      <c r="T3521" s="3" t="str">
        <f>IF(ISERROR(VLOOKUP(Base_Periodo1[[#This Row],[CONTA]],BaseContasDRE[#All],5,FALSE)),"Fora do DRE",VLOOKUP(Base_Periodo1[[#This Row],[CONTA]],BaseContasDRE[#All],6,FALSE))</f>
        <v>Fora do DRE</v>
      </c>
      <c r="U3521" s="3" t="str">
        <f>IF(ISERROR(VLOOKUP(Base_Periodo1[[#This Row],[CONTA]],BaseContasDRE[#All],7,FALSE)),"Fora do DRE",VLOOKUP(Base_Periodo1[[#This Row],[CONTA]],BaseContasDRE[#All],7,FALSE))</f>
        <v>Fora do DRE</v>
      </c>
      <c r="V3521" s="3" t="str">
        <f>IF(Base_Periodo1[[#This Row],[Tipo_Linha]]="Fora do DRE","Fora do DRE","( "&amp;Base_Periodo1[[#This Row],[Tipo_Linha]]&amp;" ) "&amp;Base_Periodo1[[#This Row],[Filtro]])</f>
        <v>Fora do DRE</v>
      </c>
      <c r="W3521" s="3" t="str">
        <f>LEFT(Base_Periodo1[[#This Row],[CLASS]],3)</f>
        <v>2.1</v>
      </c>
    </row>
    <row r="3522" spans="1:23" hidden="1">
      <c r="A3522" s="3" t="str">
        <f t="shared" si="54"/>
        <v>Período 1</v>
      </c>
      <c r="B3522">
        <v>20813</v>
      </c>
      <c r="C3522" t="s">
        <v>2010</v>
      </c>
      <c r="D3522" t="s">
        <v>6983</v>
      </c>
      <c r="E3522" s="3" t="str">
        <f>IF(LEN(Base_Periodo1[[#This Row],[CLASS]])&gt;=7,LEFT(Base_Periodo1[[#This Row],[CLASS]],7),"")</f>
        <v>2.1.2.2</v>
      </c>
      <c r="F3522" s="3" t="str">
        <f>VLOOKUP(Base_Periodo1[[#This Row],[Aux]],Base_Contas_Balanco[#All],2,FALSE)</f>
        <v>Fornecedores Não Cooperados</v>
      </c>
      <c r="G3522" s="1">
        <v>42879</v>
      </c>
      <c r="I3522" s="225">
        <v>133042.47</v>
      </c>
      <c r="J3522" s="225">
        <v>133042.47</v>
      </c>
      <c r="K3522" s="225">
        <v>1.1641532182693481E-10</v>
      </c>
      <c r="L35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22" s="225">
        <f>ROUND(IF(AND(Base_Periodo1[[#This Row],[Tipo_Linha]]="-",Base_Periodo1[[#This Row],[TIPOSALDO]]="D"),Base_Periodo1[[#This Row],[SALDO_ATUAL]]*-1,Base_Periodo1[[#This Row],[SALDO_ATUAL]]),4)</f>
        <v>0</v>
      </c>
      <c r="N3522" t="s">
        <v>116</v>
      </c>
      <c r="O3522" t="s">
        <v>436</v>
      </c>
      <c r="P3522" t="s">
        <v>436</v>
      </c>
      <c r="Q3522">
        <v>7</v>
      </c>
      <c r="R3522" s="225">
        <f>Base_Periodo1[[#This Row],[CREDITOS]]-Base_Periodo1[[#This Row],[DEBITOS]]</f>
        <v>0</v>
      </c>
      <c r="S3522" s="3" t="str">
        <f>IF(ISERROR(VLOOKUP(Base_Periodo1[[#This Row],[CONTA]],BaseContasDRE[#All],4,FALSE)),"Fora do DRE",VLOOKUP(Base_Periodo1[[#This Row],[CONTA]],BaseContasDRE[#All],4,FALSE))</f>
        <v>Fora do DRE</v>
      </c>
      <c r="T3522" s="3" t="str">
        <f>IF(ISERROR(VLOOKUP(Base_Periodo1[[#This Row],[CONTA]],BaseContasDRE[#All],5,FALSE)),"Fora do DRE",VLOOKUP(Base_Periodo1[[#This Row],[CONTA]],BaseContasDRE[#All],6,FALSE))</f>
        <v>Fora do DRE</v>
      </c>
      <c r="U3522" s="3" t="str">
        <f>IF(ISERROR(VLOOKUP(Base_Periodo1[[#This Row],[CONTA]],BaseContasDRE[#All],7,FALSE)),"Fora do DRE",VLOOKUP(Base_Periodo1[[#This Row],[CONTA]],BaseContasDRE[#All],7,FALSE))</f>
        <v>Fora do DRE</v>
      </c>
      <c r="V3522" s="3" t="str">
        <f>IF(Base_Periodo1[[#This Row],[Tipo_Linha]]="Fora do DRE","Fora do DRE","( "&amp;Base_Periodo1[[#This Row],[Tipo_Linha]]&amp;" ) "&amp;Base_Periodo1[[#This Row],[Filtro]])</f>
        <v>Fora do DRE</v>
      </c>
      <c r="W3522" s="3" t="str">
        <f>LEFT(Base_Periodo1[[#This Row],[CLASS]],3)</f>
        <v>2.1</v>
      </c>
    </row>
    <row r="3523" spans="1:23" hidden="1">
      <c r="A3523" s="3" t="str">
        <f t="shared" si="54"/>
        <v>Período 1</v>
      </c>
      <c r="B3523">
        <v>30529</v>
      </c>
      <c r="C3523" t="s">
        <v>2010</v>
      </c>
      <c r="D3523" t="s">
        <v>5075</v>
      </c>
      <c r="E3523" s="3" t="str">
        <f>IF(LEN(Base_Periodo1[[#This Row],[CLASS]])&gt;=7,LEFT(Base_Periodo1[[#This Row],[CLASS]],7),"")</f>
        <v>2.1.2.2</v>
      </c>
      <c r="F3523" s="3" t="str">
        <f>VLOOKUP(Base_Periodo1[[#This Row],[Aux]],Base_Contas_Balanco[#All],2,FALSE)</f>
        <v>Fornecedores Não Cooperados</v>
      </c>
      <c r="G3523" s="1">
        <v>42870</v>
      </c>
      <c r="I3523" s="225">
        <v>643.16</v>
      </c>
      <c r="J3523" s="225">
        <v>643.16</v>
      </c>
      <c r="K3523" s="225">
        <v>-1.8189894035458565E-12</v>
      </c>
      <c r="L35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23" s="225">
        <f>ROUND(IF(AND(Base_Periodo1[[#This Row],[Tipo_Linha]]="-",Base_Periodo1[[#This Row],[TIPOSALDO]]="D"),Base_Periodo1[[#This Row],[SALDO_ATUAL]]*-1,Base_Periodo1[[#This Row],[SALDO_ATUAL]]),4)</f>
        <v>0</v>
      </c>
      <c r="N3523" t="s">
        <v>116</v>
      </c>
      <c r="O3523" t="s">
        <v>436</v>
      </c>
      <c r="P3523" t="s">
        <v>436</v>
      </c>
      <c r="Q3523">
        <v>7</v>
      </c>
      <c r="R3523" s="225">
        <f>Base_Periodo1[[#This Row],[CREDITOS]]-Base_Periodo1[[#This Row],[DEBITOS]]</f>
        <v>0</v>
      </c>
      <c r="S3523" s="3" t="str">
        <f>IF(ISERROR(VLOOKUP(Base_Periodo1[[#This Row],[CONTA]],BaseContasDRE[#All],4,FALSE)),"Fora do DRE",VLOOKUP(Base_Periodo1[[#This Row],[CONTA]],BaseContasDRE[#All],4,FALSE))</f>
        <v>Fora do DRE</v>
      </c>
      <c r="T3523" s="3" t="str">
        <f>IF(ISERROR(VLOOKUP(Base_Periodo1[[#This Row],[CONTA]],BaseContasDRE[#All],5,FALSE)),"Fora do DRE",VLOOKUP(Base_Periodo1[[#This Row],[CONTA]],BaseContasDRE[#All],6,FALSE))</f>
        <v>Fora do DRE</v>
      </c>
      <c r="U3523" s="3" t="str">
        <f>IF(ISERROR(VLOOKUP(Base_Periodo1[[#This Row],[CONTA]],BaseContasDRE[#All],7,FALSE)),"Fora do DRE",VLOOKUP(Base_Periodo1[[#This Row],[CONTA]],BaseContasDRE[#All],7,FALSE))</f>
        <v>Fora do DRE</v>
      </c>
      <c r="V3523" s="3" t="str">
        <f>IF(Base_Periodo1[[#This Row],[Tipo_Linha]]="Fora do DRE","Fora do DRE","( "&amp;Base_Periodo1[[#This Row],[Tipo_Linha]]&amp;" ) "&amp;Base_Periodo1[[#This Row],[Filtro]])</f>
        <v>Fora do DRE</v>
      </c>
      <c r="W3523" s="3" t="str">
        <f>LEFT(Base_Periodo1[[#This Row],[CLASS]],3)</f>
        <v>2.1</v>
      </c>
    </row>
    <row r="3524" spans="1:23" hidden="1">
      <c r="A3524" s="3" t="str">
        <f t="shared" si="54"/>
        <v>Período 1</v>
      </c>
      <c r="B3524">
        <v>34924</v>
      </c>
      <c r="C3524" t="s">
        <v>2010</v>
      </c>
      <c r="D3524" t="s">
        <v>2054</v>
      </c>
      <c r="E3524" s="3" t="str">
        <f>IF(LEN(Base_Periodo1[[#This Row],[CLASS]])&gt;=7,LEFT(Base_Periodo1[[#This Row],[CLASS]],7),"")</f>
        <v>2.1.2.2</v>
      </c>
      <c r="F3524" s="3" t="str">
        <f>VLOOKUP(Base_Periodo1[[#This Row],[Aux]],Base_Contas_Balanco[#All],2,FALSE)</f>
        <v>Fornecedores Não Cooperados</v>
      </c>
      <c r="G3524" s="1">
        <v>42863</v>
      </c>
      <c r="I3524" s="225">
        <v>1473.1999999999998</v>
      </c>
      <c r="J3524" s="225">
        <v>1473.1999999999998</v>
      </c>
      <c r="K3524" s="225">
        <v>0</v>
      </c>
      <c r="L35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24" s="225">
        <f>ROUND(IF(AND(Base_Periodo1[[#This Row],[Tipo_Linha]]="-",Base_Periodo1[[#This Row],[TIPOSALDO]]="D"),Base_Periodo1[[#This Row],[SALDO_ATUAL]]*-1,Base_Periodo1[[#This Row],[SALDO_ATUAL]]),4)</f>
        <v>0</v>
      </c>
      <c r="N3524" t="s">
        <v>116</v>
      </c>
      <c r="O3524" t="s">
        <v>436</v>
      </c>
      <c r="P3524" t="s">
        <v>436</v>
      </c>
      <c r="Q3524">
        <v>7</v>
      </c>
      <c r="R3524" s="225">
        <f>Base_Periodo1[[#This Row],[CREDITOS]]-Base_Periodo1[[#This Row],[DEBITOS]]</f>
        <v>0</v>
      </c>
      <c r="S3524" s="3" t="str">
        <f>IF(ISERROR(VLOOKUP(Base_Periodo1[[#This Row],[CONTA]],BaseContasDRE[#All],4,FALSE)),"Fora do DRE",VLOOKUP(Base_Periodo1[[#This Row],[CONTA]],BaseContasDRE[#All],4,FALSE))</f>
        <v>Fora do DRE</v>
      </c>
      <c r="T3524" s="3" t="str">
        <f>IF(ISERROR(VLOOKUP(Base_Periodo1[[#This Row],[CONTA]],BaseContasDRE[#All],5,FALSE)),"Fora do DRE",VLOOKUP(Base_Periodo1[[#This Row],[CONTA]],BaseContasDRE[#All],6,FALSE))</f>
        <v>Fora do DRE</v>
      </c>
      <c r="U3524" s="3" t="str">
        <f>IF(ISERROR(VLOOKUP(Base_Periodo1[[#This Row],[CONTA]],BaseContasDRE[#All],7,FALSE)),"Fora do DRE",VLOOKUP(Base_Periodo1[[#This Row],[CONTA]],BaseContasDRE[#All],7,FALSE))</f>
        <v>Fora do DRE</v>
      </c>
      <c r="V3524" s="3" t="str">
        <f>IF(Base_Periodo1[[#This Row],[Tipo_Linha]]="Fora do DRE","Fora do DRE","( "&amp;Base_Periodo1[[#This Row],[Tipo_Linha]]&amp;" ) "&amp;Base_Periodo1[[#This Row],[Filtro]])</f>
        <v>Fora do DRE</v>
      </c>
      <c r="W3524" s="3" t="str">
        <f>LEFT(Base_Periodo1[[#This Row],[CLASS]],3)</f>
        <v>2.1</v>
      </c>
    </row>
    <row r="3525" spans="1:23" hidden="1">
      <c r="A3525" s="3" t="str">
        <f t="shared" si="54"/>
        <v>Período 1</v>
      </c>
      <c r="B3525">
        <v>5181</v>
      </c>
      <c r="C3525" t="s">
        <v>2010</v>
      </c>
      <c r="D3525" t="s">
        <v>6984</v>
      </c>
      <c r="E3525" s="3" t="str">
        <f>IF(LEN(Base_Periodo1[[#This Row],[CLASS]])&gt;=7,LEFT(Base_Periodo1[[#This Row],[CLASS]],7),"")</f>
        <v>2.1.2.2</v>
      </c>
      <c r="F3525" s="3" t="str">
        <f>VLOOKUP(Base_Periodo1[[#This Row],[Aux]],Base_Contas_Balanco[#All],2,FALSE)</f>
        <v>Fornecedores Não Cooperados</v>
      </c>
      <c r="G3525" s="1">
        <v>42886</v>
      </c>
      <c r="I3525" s="225">
        <v>2570.9</v>
      </c>
      <c r="J3525" s="225">
        <v>2570.9</v>
      </c>
      <c r="K3525" s="225">
        <v>-1.8189894035458565E-12</v>
      </c>
      <c r="L35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25" s="225">
        <f>ROUND(IF(AND(Base_Periodo1[[#This Row],[Tipo_Linha]]="-",Base_Periodo1[[#This Row],[TIPOSALDO]]="D"),Base_Periodo1[[#This Row],[SALDO_ATUAL]]*-1,Base_Periodo1[[#This Row],[SALDO_ATUAL]]),4)</f>
        <v>0</v>
      </c>
      <c r="N3525" t="s">
        <v>116</v>
      </c>
      <c r="O3525" t="s">
        <v>436</v>
      </c>
      <c r="P3525" t="s">
        <v>436</v>
      </c>
      <c r="Q3525">
        <v>7</v>
      </c>
      <c r="R3525" s="225">
        <f>Base_Periodo1[[#This Row],[CREDITOS]]-Base_Periodo1[[#This Row],[DEBITOS]]</f>
        <v>0</v>
      </c>
      <c r="S3525" s="3" t="str">
        <f>IF(ISERROR(VLOOKUP(Base_Periodo1[[#This Row],[CONTA]],BaseContasDRE[#All],4,FALSE)),"Fora do DRE",VLOOKUP(Base_Periodo1[[#This Row],[CONTA]],BaseContasDRE[#All],4,FALSE))</f>
        <v>Fora do DRE</v>
      </c>
      <c r="T3525" s="3" t="str">
        <f>IF(ISERROR(VLOOKUP(Base_Periodo1[[#This Row],[CONTA]],BaseContasDRE[#All],5,FALSE)),"Fora do DRE",VLOOKUP(Base_Periodo1[[#This Row],[CONTA]],BaseContasDRE[#All],6,FALSE))</f>
        <v>Fora do DRE</v>
      </c>
      <c r="U3525" s="3" t="str">
        <f>IF(ISERROR(VLOOKUP(Base_Periodo1[[#This Row],[CONTA]],BaseContasDRE[#All],7,FALSE)),"Fora do DRE",VLOOKUP(Base_Periodo1[[#This Row],[CONTA]],BaseContasDRE[#All],7,FALSE))</f>
        <v>Fora do DRE</v>
      </c>
      <c r="V3525" s="3" t="str">
        <f>IF(Base_Periodo1[[#This Row],[Tipo_Linha]]="Fora do DRE","Fora do DRE","( "&amp;Base_Periodo1[[#This Row],[Tipo_Linha]]&amp;" ) "&amp;Base_Periodo1[[#This Row],[Filtro]])</f>
        <v>Fora do DRE</v>
      </c>
      <c r="W3525" s="3" t="str">
        <f>LEFT(Base_Periodo1[[#This Row],[CLASS]],3)</f>
        <v>2.1</v>
      </c>
    </row>
    <row r="3526" spans="1:23" hidden="1">
      <c r="A3526" s="3" t="str">
        <f t="shared" ref="A3526:A3589" si="55">"Período 1"</f>
        <v>Período 1</v>
      </c>
      <c r="B3526">
        <v>59235</v>
      </c>
      <c r="C3526" t="s">
        <v>2010</v>
      </c>
      <c r="D3526" t="s">
        <v>6985</v>
      </c>
      <c r="E3526" s="3" t="str">
        <f>IF(LEN(Base_Periodo1[[#This Row],[CLASS]])&gt;=7,LEFT(Base_Periodo1[[#This Row],[CLASS]],7),"")</f>
        <v>2.1.2.2</v>
      </c>
      <c r="F3526" s="3" t="str">
        <f>VLOOKUP(Base_Periodo1[[#This Row],[Aux]],Base_Contas_Balanco[#All],2,FALSE)</f>
        <v>Fornecedores Não Cooperados</v>
      </c>
      <c r="G3526" s="1">
        <v>42886</v>
      </c>
      <c r="I3526" s="225">
        <v>699.98</v>
      </c>
      <c r="J3526" s="225">
        <v>699.98</v>
      </c>
      <c r="K3526" s="225">
        <v>0</v>
      </c>
      <c r="L35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26" s="225">
        <f>ROUND(IF(AND(Base_Periodo1[[#This Row],[Tipo_Linha]]="-",Base_Periodo1[[#This Row],[TIPOSALDO]]="D"),Base_Periodo1[[#This Row],[SALDO_ATUAL]]*-1,Base_Periodo1[[#This Row],[SALDO_ATUAL]]),4)</f>
        <v>0</v>
      </c>
      <c r="N3526" t="s">
        <v>116</v>
      </c>
      <c r="O3526" t="s">
        <v>436</v>
      </c>
      <c r="P3526" t="s">
        <v>436</v>
      </c>
      <c r="Q3526">
        <v>7</v>
      </c>
      <c r="R3526" s="225">
        <f>Base_Periodo1[[#This Row],[CREDITOS]]-Base_Periodo1[[#This Row],[DEBITOS]]</f>
        <v>0</v>
      </c>
      <c r="S3526" s="3" t="str">
        <f>IF(ISERROR(VLOOKUP(Base_Periodo1[[#This Row],[CONTA]],BaseContasDRE[#All],4,FALSE)),"Fora do DRE",VLOOKUP(Base_Periodo1[[#This Row],[CONTA]],BaseContasDRE[#All],4,FALSE))</f>
        <v>Fora do DRE</v>
      </c>
      <c r="T3526" s="3" t="str">
        <f>IF(ISERROR(VLOOKUP(Base_Periodo1[[#This Row],[CONTA]],BaseContasDRE[#All],5,FALSE)),"Fora do DRE",VLOOKUP(Base_Periodo1[[#This Row],[CONTA]],BaseContasDRE[#All],6,FALSE))</f>
        <v>Fora do DRE</v>
      </c>
      <c r="U3526" s="3" t="str">
        <f>IF(ISERROR(VLOOKUP(Base_Periodo1[[#This Row],[CONTA]],BaseContasDRE[#All],7,FALSE)),"Fora do DRE",VLOOKUP(Base_Periodo1[[#This Row],[CONTA]],BaseContasDRE[#All],7,FALSE))</f>
        <v>Fora do DRE</v>
      </c>
      <c r="V3526" s="3" t="str">
        <f>IF(Base_Periodo1[[#This Row],[Tipo_Linha]]="Fora do DRE","Fora do DRE","( "&amp;Base_Periodo1[[#This Row],[Tipo_Linha]]&amp;" ) "&amp;Base_Periodo1[[#This Row],[Filtro]])</f>
        <v>Fora do DRE</v>
      </c>
      <c r="W3526" s="3" t="str">
        <f>LEFT(Base_Periodo1[[#This Row],[CLASS]],3)</f>
        <v>2.1</v>
      </c>
    </row>
    <row r="3527" spans="1:23" hidden="1">
      <c r="A3527" s="3" t="str">
        <f t="shared" si="55"/>
        <v>Período 1</v>
      </c>
      <c r="B3527">
        <v>53079</v>
      </c>
      <c r="C3527" t="s">
        <v>2010</v>
      </c>
      <c r="D3527" t="s">
        <v>5076</v>
      </c>
      <c r="E3527" s="3" t="str">
        <f>IF(LEN(Base_Periodo1[[#This Row],[CLASS]])&gt;=7,LEFT(Base_Periodo1[[#This Row],[CLASS]],7),"")</f>
        <v>2.1.2.2</v>
      </c>
      <c r="F3527" s="3" t="str">
        <f>VLOOKUP(Base_Periodo1[[#This Row],[Aux]],Base_Contas_Balanco[#All],2,FALSE)</f>
        <v>Fornecedores Não Cooperados</v>
      </c>
      <c r="G3527" s="1">
        <v>42871</v>
      </c>
      <c r="I3527" s="225">
        <v>351</v>
      </c>
      <c r="J3527" s="225">
        <v>351</v>
      </c>
      <c r="K3527" s="225">
        <v>4.5474735088646412E-13</v>
      </c>
      <c r="L35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27" s="225">
        <f>ROUND(IF(AND(Base_Periodo1[[#This Row],[Tipo_Linha]]="-",Base_Periodo1[[#This Row],[TIPOSALDO]]="D"),Base_Periodo1[[#This Row],[SALDO_ATUAL]]*-1,Base_Periodo1[[#This Row],[SALDO_ATUAL]]),4)</f>
        <v>0</v>
      </c>
      <c r="N3527" t="s">
        <v>116</v>
      </c>
      <c r="O3527" t="s">
        <v>436</v>
      </c>
      <c r="P3527" t="s">
        <v>436</v>
      </c>
      <c r="Q3527">
        <v>7</v>
      </c>
      <c r="R3527" s="225">
        <f>Base_Periodo1[[#This Row],[CREDITOS]]-Base_Periodo1[[#This Row],[DEBITOS]]</f>
        <v>0</v>
      </c>
      <c r="S3527" s="3" t="str">
        <f>IF(ISERROR(VLOOKUP(Base_Periodo1[[#This Row],[CONTA]],BaseContasDRE[#All],4,FALSE)),"Fora do DRE",VLOOKUP(Base_Periodo1[[#This Row],[CONTA]],BaseContasDRE[#All],4,FALSE))</f>
        <v>Fora do DRE</v>
      </c>
      <c r="T3527" s="3" t="str">
        <f>IF(ISERROR(VLOOKUP(Base_Periodo1[[#This Row],[CONTA]],BaseContasDRE[#All],5,FALSE)),"Fora do DRE",VLOOKUP(Base_Periodo1[[#This Row],[CONTA]],BaseContasDRE[#All],6,FALSE))</f>
        <v>Fora do DRE</v>
      </c>
      <c r="U3527" s="3" t="str">
        <f>IF(ISERROR(VLOOKUP(Base_Periodo1[[#This Row],[CONTA]],BaseContasDRE[#All],7,FALSE)),"Fora do DRE",VLOOKUP(Base_Periodo1[[#This Row],[CONTA]],BaseContasDRE[#All],7,FALSE))</f>
        <v>Fora do DRE</v>
      </c>
      <c r="V3527" s="3" t="str">
        <f>IF(Base_Periodo1[[#This Row],[Tipo_Linha]]="Fora do DRE","Fora do DRE","( "&amp;Base_Periodo1[[#This Row],[Tipo_Linha]]&amp;" ) "&amp;Base_Periodo1[[#This Row],[Filtro]])</f>
        <v>Fora do DRE</v>
      </c>
      <c r="W3527" s="3" t="str">
        <f>LEFT(Base_Periodo1[[#This Row],[CLASS]],3)</f>
        <v>2.1</v>
      </c>
    </row>
    <row r="3528" spans="1:23" hidden="1">
      <c r="A3528" s="3" t="str">
        <f t="shared" si="55"/>
        <v>Período 1</v>
      </c>
      <c r="B3528">
        <v>51654</v>
      </c>
      <c r="C3528" t="s">
        <v>2010</v>
      </c>
      <c r="D3528" t="s">
        <v>4828</v>
      </c>
      <c r="E3528" s="3" t="str">
        <f>IF(LEN(Base_Periodo1[[#This Row],[CLASS]])&gt;=7,LEFT(Base_Periodo1[[#This Row],[CLASS]],7),"")</f>
        <v>2.1.2.2</v>
      </c>
      <c r="F3528" s="3" t="str">
        <f>VLOOKUP(Base_Periodo1[[#This Row],[Aux]],Base_Contas_Balanco[#All],2,FALSE)</f>
        <v>Fornecedores Não Cooperados</v>
      </c>
      <c r="G3528" s="1">
        <v>42871</v>
      </c>
      <c r="I3528" s="225">
        <v>1818.69</v>
      </c>
      <c r="J3528" s="225">
        <v>1818.69</v>
      </c>
      <c r="K3528" s="225">
        <v>0</v>
      </c>
      <c r="L35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28" s="225">
        <f>ROUND(IF(AND(Base_Periodo1[[#This Row],[Tipo_Linha]]="-",Base_Periodo1[[#This Row],[TIPOSALDO]]="D"),Base_Periodo1[[#This Row],[SALDO_ATUAL]]*-1,Base_Periodo1[[#This Row],[SALDO_ATUAL]]),4)</f>
        <v>0</v>
      </c>
      <c r="N3528" t="s">
        <v>116</v>
      </c>
      <c r="O3528" t="s">
        <v>436</v>
      </c>
      <c r="P3528" t="s">
        <v>436</v>
      </c>
      <c r="Q3528">
        <v>7</v>
      </c>
      <c r="R3528" s="225">
        <f>Base_Periodo1[[#This Row],[CREDITOS]]-Base_Periodo1[[#This Row],[DEBITOS]]</f>
        <v>0</v>
      </c>
      <c r="S3528" s="3" t="str">
        <f>IF(ISERROR(VLOOKUP(Base_Periodo1[[#This Row],[CONTA]],BaseContasDRE[#All],4,FALSE)),"Fora do DRE",VLOOKUP(Base_Periodo1[[#This Row],[CONTA]],BaseContasDRE[#All],4,FALSE))</f>
        <v>Fora do DRE</v>
      </c>
      <c r="T3528" s="3" t="str">
        <f>IF(ISERROR(VLOOKUP(Base_Periodo1[[#This Row],[CONTA]],BaseContasDRE[#All],5,FALSE)),"Fora do DRE",VLOOKUP(Base_Periodo1[[#This Row],[CONTA]],BaseContasDRE[#All],6,FALSE))</f>
        <v>Fora do DRE</v>
      </c>
      <c r="U3528" s="3" t="str">
        <f>IF(ISERROR(VLOOKUP(Base_Periodo1[[#This Row],[CONTA]],BaseContasDRE[#All],7,FALSE)),"Fora do DRE",VLOOKUP(Base_Periodo1[[#This Row],[CONTA]],BaseContasDRE[#All],7,FALSE))</f>
        <v>Fora do DRE</v>
      </c>
      <c r="V3528" s="3" t="str">
        <f>IF(Base_Periodo1[[#This Row],[Tipo_Linha]]="Fora do DRE","Fora do DRE","( "&amp;Base_Periodo1[[#This Row],[Tipo_Linha]]&amp;" ) "&amp;Base_Periodo1[[#This Row],[Filtro]])</f>
        <v>Fora do DRE</v>
      </c>
      <c r="W3528" s="3" t="str">
        <f>LEFT(Base_Periodo1[[#This Row],[CLASS]],3)</f>
        <v>2.1</v>
      </c>
    </row>
    <row r="3529" spans="1:23" hidden="1">
      <c r="A3529" s="3" t="str">
        <f t="shared" si="55"/>
        <v>Período 1</v>
      </c>
      <c r="B3529">
        <v>36062</v>
      </c>
      <c r="C3529" t="s">
        <v>2010</v>
      </c>
      <c r="D3529" t="s">
        <v>6986</v>
      </c>
      <c r="E3529" s="3" t="str">
        <f>IF(LEN(Base_Periodo1[[#This Row],[CLASS]])&gt;=7,LEFT(Base_Periodo1[[#This Row],[CLASS]],7),"")</f>
        <v>2.1.2.2</v>
      </c>
      <c r="F3529" s="3" t="str">
        <f>VLOOKUP(Base_Periodo1[[#This Row],[Aux]],Base_Contas_Balanco[#All],2,FALSE)</f>
        <v>Fornecedores Não Cooperados</v>
      </c>
      <c r="G3529" s="1">
        <v>42877</v>
      </c>
      <c r="I3529" s="225">
        <v>3102.94</v>
      </c>
      <c r="J3529" s="225">
        <v>3102.94</v>
      </c>
      <c r="K3529" s="225">
        <v>0</v>
      </c>
      <c r="L35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29" s="225">
        <f>ROUND(IF(AND(Base_Periodo1[[#This Row],[Tipo_Linha]]="-",Base_Periodo1[[#This Row],[TIPOSALDO]]="D"),Base_Periodo1[[#This Row],[SALDO_ATUAL]]*-1,Base_Periodo1[[#This Row],[SALDO_ATUAL]]),4)</f>
        <v>0</v>
      </c>
      <c r="N3529" t="s">
        <v>116</v>
      </c>
      <c r="O3529" t="s">
        <v>436</v>
      </c>
      <c r="P3529" t="s">
        <v>436</v>
      </c>
      <c r="Q3529">
        <v>7</v>
      </c>
      <c r="R3529" s="225">
        <f>Base_Periodo1[[#This Row],[CREDITOS]]-Base_Periodo1[[#This Row],[DEBITOS]]</f>
        <v>0</v>
      </c>
      <c r="S3529" s="3" t="str">
        <f>IF(ISERROR(VLOOKUP(Base_Periodo1[[#This Row],[CONTA]],BaseContasDRE[#All],4,FALSE)),"Fora do DRE",VLOOKUP(Base_Periodo1[[#This Row],[CONTA]],BaseContasDRE[#All],4,FALSE))</f>
        <v>Fora do DRE</v>
      </c>
      <c r="T3529" s="3" t="str">
        <f>IF(ISERROR(VLOOKUP(Base_Periodo1[[#This Row],[CONTA]],BaseContasDRE[#All],5,FALSE)),"Fora do DRE",VLOOKUP(Base_Periodo1[[#This Row],[CONTA]],BaseContasDRE[#All],6,FALSE))</f>
        <v>Fora do DRE</v>
      </c>
      <c r="U3529" s="3" t="str">
        <f>IF(ISERROR(VLOOKUP(Base_Periodo1[[#This Row],[CONTA]],BaseContasDRE[#All],7,FALSE)),"Fora do DRE",VLOOKUP(Base_Periodo1[[#This Row],[CONTA]],BaseContasDRE[#All],7,FALSE))</f>
        <v>Fora do DRE</v>
      </c>
      <c r="V3529" s="3" t="str">
        <f>IF(Base_Periodo1[[#This Row],[Tipo_Linha]]="Fora do DRE","Fora do DRE","( "&amp;Base_Periodo1[[#This Row],[Tipo_Linha]]&amp;" ) "&amp;Base_Periodo1[[#This Row],[Filtro]])</f>
        <v>Fora do DRE</v>
      </c>
      <c r="W3529" s="3" t="str">
        <f>LEFT(Base_Periodo1[[#This Row],[CLASS]],3)</f>
        <v>2.1</v>
      </c>
    </row>
    <row r="3530" spans="1:23" hidden="1">
      <c r="A3530" s="3" t="str">
        <f t="shared" si="55"/>
        <v>Período 1</v>
      </c>
      <c r="B3530">
        <v>4637</v>
      </c>
      <c r="C3530" t="s">
        <v>2010</v>
      </c>
      <c r="D3530" t="s">
        <v>6462</v>
      </c>
      <c r="E3530" s="3" t="str">
        <f>IF(LEN(Base_Periodo1[[#This Row],[CLASS]])&gt;=7,LEFT(Base_Periodo1[[#This Row],[CLASS]],7),"")</f>
        <v>2.1.2.2</v>
      </c>
      <c r="F3530" s="3" t="str">
        <f>VLOOKUP(Base_Periodo1[[#This Row],[Aux]],Base_Contas_Balanco[#All],2,FALSE)</f>
        <v>Fornecedores Não Cooperados</v>
      </c>
      <c r="G3530" s="1">
        <v>42857</v>
      </c>
      <c r="H3530" s="225">
        <v>98150.49</v>
      </c>
      <c r="I3530" s="225">
        <v>98150.49</v>
      </c>
      <c r="J3530" s="225">
        <v>0</v>
      </c>
      <c r="K3530" s="225">
        <v>0</v>
      </c>
      <c r="L35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30" s="225">
        <f>ROUND(IF(AND(Base_Periodo1[[#This Row],[Tipo_Linha]]="-",Base_Periodo1[[#This Row],[TIPOSALDO]]="D"),Base_Periodo1[[#This Row],[SALDO_ATUAL]]*-1,Base_Periodo1[[#This Row],[SALDO_ATUAL]]),4)</f>
        <v>0</v>
      </c>
      <c r="N3530" t="s">
        <v>116</v>
      </c>
      <c r="O3530" t="s">
        <v>459</v>
      </c>
      <c r="P3530" t="s">
        <v>436</v>
      </c>
      <c r="Q3530">
        <v>7</v>
      </c>
      <c r="R3530" s="225">
        <f>Base_Periodo1[[#This Row],[CREDITOS]]-Base_Periodo1[[#This Row],[DEBITOS]]</f>
        <v>-98150.49</v>
      </c>
      <c r="S3530" s="3" t="str">
        <f>IF(ISERROR(VLOOKUP(Base_Periodo1[[#This Row],[CONTA]],BaseContasDRE[#All],4,FALSE)),"Fora do DRE",VLOOKUP(Base_Periodo1[[#This Row],[CONTA]],BaseContasDRE[#All],4,FALSE))</f>
        <v>Fora do DRE</v>
      </c>
      <c r="T3530" s="3" t="str">
        <f>IF(ISERROR(VLOOKUP(Base_Periodo1[[#This Row],[CONTA]],BaseContasDRE[#All],5,FALSE)),"Fora do DRE",VLOOKUP(Base_Periodo1[[#This Row],[CONTA]],BaseContasDRE[#All],6,FALSE))</f>
        <v>Fora do DRE</v>
      </c>
      <c r="U3530" s="3" t="str">
        <f>IF(ISERROR(VLOOKUP(Base_Periodo1[[#This Row],[CONTA]],BaseContasDRE[#All],7,FALSE)),"Fora do DRE",VLOOKUP(Base_Periodo1[[#This Row],[CONTA]],BaseContasDRE[#All],7,FALSE))</f>
        <v>Fora do DRE</v>
      </c>
      <c r="V3530" s="3" t="str">
        <f>IF(Base_Periodo1[[#This Row],[Tipo_Linha]]="Fora do DRE","Fora do DRE","( "&amp;Base_Periodo1[[#This Row],[Tipo_Linha]]&amp;" ) "&amp;Base_Periodo1[[#This Row],[Filtro]])</f>
        <v>Fora do DRE</v>
      </c>
      <c r="W3530" s="3" t="str">
        <f>LEFT(Base_Periodo1[[#This Row],[CLASS]],3)</f>
        <v>2.1</v>
      </c>
    </row>
    <row r="3531" spans="1:23" hidden="1">
      <c r="A3531" s="3" t="str">
        <f t="shared" si="55"/>
        <v>Período 1</v>
      </c>
      <c r="B3531">
        <v>22538</v>
      </c>
      <c r="C3531" t="s">
        <v>2010</v>
      </c>
      <c r="D3531" t="s">
        <v>2055</v>
      </c>
      <c r="E3531" s="3" t="str">
        <f>IF(LEN(Base_Periodo1[[#This Row],[CLASS]])&gt;=7,LEFT(Base_Periodo1[[#This Row],[CLASS]],7),"")</f>
        <v>2.1.2.2</v>
      </c>
      <c r="F3531" s="3" t="str">
        <f>VLOOKUP(Base_Periodo1[[#This Row],[Aux]],Base_Contas_Balanco[#All],2,FALSE)</f>
        <v>Fornecedores Não Cooperados</v>
      </c>
      <c r="G3531" s="1"/>
      <c r="H3531" s="225">
        <v>71.38</v>
      </c>
      <c r="I3531" s="225">
        <v>0</v>
      </c>
      <c r="J3531" s="225">
        <v>0</v>
      </c>
      <c r="K3531" s="225">
        <v>71.38</v>
      </c>
      <c r="L35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71.38</v>
      </c>
      <c r="M3531" s="225">
        <f>ROUND(IF(AND(Base_Periodo1[[#This Row],[Tipo_Linha]]="-",Base_Periodo1[[#This Row],[TIPOSALDO]]="D"),Base_Periodo1[[#This Row],[SALDO_ATUAL]]*-1,Base_Periodo1[[#This Row],[SALDO_ATUAL]]),4)</f>
        <v>71.38</v>
      </c>
      <c r="N3531" t="s">
        <v>116</v>
      </c>
      <c r="O3531" t="s">
        <v>459</v>
      </c>
      <c r="P3531" t="s">
        <v>459</v>
      </c>
      <c r="Q3531">
        <v>7</v>
      </c>
      <c r="R3531" s="225">
        <f>Base_Periodo1[[#This Row],[CREDITOS]]-Base_Periodo1[[#This Row],[DEBITOS]]</f>
        <v>0</v>
      </c>
      <c r="S3531" s="3" t="str">
        <f>IF(ISERROR(VLOOKUP(Base_Periodo1[[#This Row],[CONTA]],BaseContasDRE[#All],4,FALSE)),"Fora do DRE",VLOOKUP(Base_Periodo1[[#This Row],[CONTA]],BaseContasDRE[#All],4,FALSE))</f>
        <v>Fora do DRE</v>
      </c>
      <c r="T3531" s="3" t="str">
        <f>IF(ISERROR(VLOOKUP(Base_Periodo1[[#This Row],[CONTA]],BaseContasDRE[#All],5,FALSE)),"Fora do DRE",VLOOKUP(Base_Periodo1[[#This Row],[CONTA]],BaseContasDRE[#All],6,FALSE))</f>
        <v>Fora do DRE</v>
      </c>
      <c r="U3531" s="3" t="str">
        <f>IF(ISERROR(VLOOKUP(Base_Periodo1[[#This Row],[CONTA]],BaseContasDRE[#All],7,FALSE)),"Fora do DRE",VLOOKUP(Base_Periodo1[[#This Row],[CONTA]],BaseContasDRE[#All],7,FALSE))</f>
        <v>Fora do DRE</v>
      </c>
      <c r="V3531" s="3" t="str">
        <f>IF(Base_Periodo1[[#This Row],[Tipo_Linha]]="Fora do DRE","Fora do DRE","( "&amp;Base_Periodo1[[#This Row],[Tipo_Linha]]&amp;" ) "&amp;Base_Periodo1[[#This Row],[Filtro]])</f>
        <v>Fora do DRE</v>
      </c>
      <c r="W3531" s="3" t="str">
        <f>LEFT(Base_Periodo1[[#This Row],[CLASS]],3)</f>
        <v>2.1</v>
      </c>
    </row>
    <row r="3532" spans="1:23" hidden="1">
      <c r="A3532" s="3" t="str">
        <f t="shared" si="55"/>
        <v>Período 1</v>
      </c>
      <c r="B3532">
        <v>36447</v>
      </c>
      <c r="C3532" t="s">
        <v>2010</v>
      </c>
      <c r="D3532" t="s">
        <v>2056</v>
      </c>
      <c r="E3532" s="3" t="str">
        <f>IF(LEN(Base_Periodo1[[#This Row],[CLASS]])&gt;=7,LEFT(Base_Periodo1[[#This Row],[CLASS]],7),"")</f>
        <v>2.1.2.2</v>
      </c>
      <c r="F3532" s="3" t="str">
        <f>VLOOKUP(Base_Periodo1[[#This Row],[Aux]],Base_Contas_Balanco[#All],2,FALSE)</f>
        <v>Fornecedores Não Cooperados</v>
      </c>
      <c r="G3532" s="1">
        <v>42870</v>
      </c>
      <c r="I3532" s="225">
        <v>600</v>
      </c>
      <c r="J3532" s="225">
        <v>600</v>
      </c>
      <c r="K3532" s="225">
        <v>0</v>
      </c>
      <c r="L35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32" s="225">
        <f>ROUND(IF(AND(Base_Periodo1[[#This Row],[Tipo_Linha]]="-",Base_Periodo1[[#This Row],[TIPOSALDO]]="D"),Base_Periodo1[[#This Row],[SALDO_ATUAL]]*-1,Base_Periodo1[[#This Row],[SALDO_ATUAL]]),4)</f>
        <v>0</v>
      </c>
      <c r="N3532" t="s">
        <v>116</v>
      </c>
      <c r="O3532" t="s">
        <v>436</v>
      </c>
      <c r="P3532" t="s">
        <v>436</v>
      </c>
      <c r="Q3532">
        <v>7</v>
      </c>
      <c r="R3532" s="225">
        <f>Base_Periodo1[[#This Row],[CREDITOS]]-Base_Periodo1[[#This Row],[DEBITOS]]</f>
        <v>0</v>
      </c>
      <c r="S3532" s="3" t="str">
        <f>IF(ISERROR(VLOOKUP(Base_Periodo1[[#This Row],[CONTA]],BaseContasDRE[#All],4,FALSE)),"Fora do DRE",VLOOKUP(Base_Periodo1[[#This Row],[CONTA]],BaseContasDRE[#All],4,FALSE))</f>
        <v>Fora do DRE</v>
      </c>
      <c r="T3532" s="3" t="str">
        <f>IF(ISERROR(VLOOKUP(Base_Periodo1[[#This Row],[CONTA]],BaseContasDRE[#All],5,FALSE)),"Fora do DRE",VLOOKUP(Base_Periodo1[[#This Row],[CONTA]],BaseContasDRE[#All],6,FALSE))</f>
        <v>Fora do DRE</v>
      </c>
      <c r="U3532" s="3" t="str">
        <f>IF(ISERROR(VLOOKUP(Base_Periodo1[[#This Row],[CONTA]],BaseContasDRE[#All],7,FALSE)),"Fora do DRE",VLOOKUP(Base_Periodo1[[#This Row],[CONTA]],BaseContasDRE[#All],7,FALSE))</f>
        <v>Fora do DRE</v>
      </c>
      <c r="V3532" s="3" t="str">
        <f>IF(Base_Periodo1[[#This Row],[Tipo_Linha]]="Fora do DRE","Fora do DRE","( "&amp;Base_Periodo1[[#This Row],[Tipo_Linha]]&amp;" ) "&amp;Base_Periodo1[[#This Row],[Filtro]])</f>
        <v>Fora do DRE</v>
      </c>
      <c r="W3532" s="3" t="str">
        <f>LEFT(Base_Periodo1[[#This Row],[CLASS]],3)</f>
        <v>2.1</v>
      </c>
    </row>
    <row r="3533" spans="1:23" hidden="1">
      <c r="A3533" s="3" t="str">
        <f t="shared" si="55"/>
        <v>Período 1</v>
      </c>
      <c r="B3533">
        <v>7870</v>
      </c>
      <c r="C3533" t="s">
        <v>2010</v>
      </c>
      <c r="D3533" t="s">
        <v>2057</v>
      </c>
      <c r="E3533" s="3" t="str">
        <f>IF(LEN(Base_Periodo1[[#This Row],[CLASS]])&gt;=7,LEFT(Base_Periodo1[[#This Row],[CLASS]],7),"")</f>
        <v>2.1.2.2</v>
      </c>
      <c r="F3533" s="3" t="str">
        <f>VLOOKUP(Base_Periodo1[[#This Row],[Aux]],Base_Contas_Balanco[#All],2,FALSE)</f>
        <v>Fornecedores Não Cooperados</v>
      </c>
      <c r="G3533" s="1">
        <v>42886</v>
      </c>
      <c r="H3533" s="225">
        <v>75036</v>
      </c>
      <c r="I3533" s="225">
        <v>4870239.2500000009</v>
      </c>
      <c r="J3533" s="225">
        <v>4850083.2500000009</v>
      </c>
      <c r="K3533" s="225">
        <v>54880</v>
      </c>
      <c r="L35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54880</v>
      </c>
      <c r="M3533" s="225">
        <f>ROUND(IF(AND(Base_Periodo1[[#This Row],[Tipo_Linha]]="-",Base_Periodo1[[#This Row],[TIPOSALDO]]="D"),Base_Periodo1[[#This Row],[SALDO_ATUAL]]*-1,Base_Periodo1[[#This Row],[SALDO_ATUAL]]),4)</f>
        <v>54880</v>
      </c>
      <c r="N3533" t="s">
        <v>116</v>
      </c>
      <c r="O3533" t="s">
        <v>459</v>
      </c>
      <c r="P3533" t="s">
        <v>459</v>
      </c>
      <c r="Q3533">
        <v>7</v>
      </c>
      <c r="R3533" s="225">
        <f>Base_Periodo1[[#This Row],[CREDITOS]]-Base_Periodo1[[#This Row],[DEBITOS]]</f>
        <v>-20156</v>
      </c>
      <c r="S3533" s="3" t="str">
        <f>IF(ISERROR(VLOOKUP(Base_Periodo1[[#This Row],[CONTA]],BaseContasDRE[#All],4,FALSE)),"Fora do DRE",VLOOKUP(Base_Periodo1[[#This Row],[CONTA]],BaseContasDRE[#All],4,FALSE))</f>
        <v>Fora do DRE</v>
      </c>
      <c r="T3533" s="3" t="str">
        <f>IF(ISERROR(VLOOKUP(Base_Periodo1[[#This Row],[CONTA]],BaseContasDRE[#All],5,FALSE)),"Fora do DRE",VLOOKUP(Base_Periodo1[[#This Row],[CONTA]],BaseContasDRE[#All],6,FALSE))</f>
        <v>Fora do DRE</v>
      </c>
      <c r="U3533" s="3" t="str">
        <f>IF(ISERROR(VLOOKUP(Base_Periodo1[[#This Row],[CONTA]],BaseContasDRE[#All],7,FALSE)),"Fora do DRE",VLOOKUP(Base_Periodo1[[#This Row],[CONTA]],BaseContasDRE[#All],7,FALSE))</f>
        <v>Fora do DRE</v>
      </c>
      <c r="V3533" s="3" t="str">
        <f>IF(Base_Periodo1[[#This Row],[Tipo_Linha]]="Fora do DRE","Fora do DRE","( "&amp;Base_Periodo1[[#This Row],[Tipo_Linha]]&amp;" ) "&amp;Base_Periodo1[[#This Row],[Filtro]])</f>
        <v>Fora do DRE</v>
      </c>
      <c r="W3533" s="3" t="str">
        <f>LEFT(Base_Periodo1[[#This Row],[CLASS]],3)</f>
        <v>2.1</v>
      </c>
    </row>
    <row r="3534" spans="1:23" hidden="1">
      <c r="A3534" s="3" t="str">
        <f t="shared" si="55"/>
        <v>Período 1</v>
      </c>
      <c r="B3534">
        <v>56435</v>
      </c>
      <c r="C3534" t="s">
        <v>2010</v>
      </c>
      <c r="D3534" t="s">
        <v>6987</v>
      </c>
      <c r="E3534" s="3" t="str">
        <f>IF(LEN(Base_Periodo1[[#This Row],[CLASS]])&gt;=7,LEFT(Base_Periodo1[[#This Row],[CLASS]],7),"")</f>
        <v>2.1.2.2</v>
      </c>
      <c r="F3534" s="3" t="str">
        <f>VLOOKUP(Base_Periodo1[[#This Row],[Aux]],Base_Contas_Balanco[#All],2,FALSE)</f>
        <v>Fornecedores Não Cooperados</v>
      </c>
      <c r="G3534" s="1">
        <v>42877</v>
      </c>
      <c r="I3534" s="225">
        <v>533.32999999999993</v>
      </c>
      <c r="J3534" s="225">
        <v>533.33000000000004</v>
      </c>
      <c r="K3534" s="225">
        <v>-1.1368683772161603E-13</v>
      </c>
      <c r="L35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34" s="225">
        <f>ROUND(IF(AND(Base_Periodo1[[#This Row],[Tipo_Linha]]="-",Base_Periodo1[[#This Row],[TIPOSALDO]]="D"),Base_Periodo1[[#This Row],[SALDO_ATUAL]]*-1,Base_Periodo1[[#This Row],[SALDO_ATUAL]]),4)</f>
        <v>0</v>
      </c>
      <c r="N3534" t="s">
        <v>116</v>
      </c>
      <c r="O3534" t="s">
        <v>436</v>
      </c>
      <c r="P3534" t="s">
        <v>436</v>
      </c>
      <c r="Q3534">
        <v>7</v>
      </c>
      <c r="R3534" s="225">
        <f>Base_Periodo1[[#This Row],[CREDITOS]]-Base_Periodo1[[#This Row],[DEBITOS]]</f>
        <v>0</v>
      </c>
      <c r="S3534" s="3" t="str">
        <f>IF(ISERROR(VLOOKUP(Base_Periodo1[[#This Row],[CONTA]],BaseContasDRE[#All],4,FALSE)),"Fora do DRE",VLOOKUP(Base_Periodo1[[#This Row],[CONTA]],BaseContasDRE[#All],4,FALSE))</f>
        <v>Fora do DRE</v>
      </c>
      <c r="T3534" s="3" t="str">
        <f>IF(ISERROR(VLOOKUP(Base_Periodo1[[#This Row],[CONTA]],BaseContasDRE[#All],5,FALSE)),"Fora do DRE",VLOOKUP(Base_Periodo1[[#This Row],[CONTA]],BaseContasDRE[#All],6,FALSE))</f>
        <v>Fora do DRE</v>
      </c>
      <c r="U3534" s="3" t="str">
        <f>IF(ISERROR(VLOOKUP(Base_Periodo1[[#This Row],[CONTA]],BaseContasDRE[#All],7,FALSE)),"Fora do DRE",VLOOKUP(Base_Periodo1[[#This Row],[CONTA]],BaseContasDRE[#All],7,FALSE))</f>
        <v>Fora do DRE</v>
      </c>
      <c r="V3534" s="3" t="str">
        <f>IF(Base_Periodo1[[#This Row],[Tipo_Linha]]="Fora do DRE","Fora do DRE","( "&amp;Base_Periodo1[[#This Row],[Tipo_Linha]]&amp;" ) "&amp;Base_Periodo1[[#This Row],[Filtro]])</f>
        <v>Fora do DRE</v>
      </c>
      <c r="W3534" s="3" t="str">
        <f>LEFT(Base_Periodo1[[#This Row],[CLASS]],3)</f>
        <v>2.1</v>
      </c>
    </row>
    <row r="3535" spans="1:23" hidden="1">
      <c r="A3535" s="3" t="str">
        <f t="shared" si="55"/>
        <v>Período 1</v>
      </c>
      <c r="B3535">
        <v>11899</v>
      </c>
      <c r="C3535" t="s">
        <v>2010</v>
      </c>
      <c r="D3535" t="s">
        <v>4579</v>
      </c>
      <c r="E3535" s="3" t="str">
        <f>IF(LEN(Base_Periodo1[[#This Row],[CLASS]])&gt;=7,LEFT(Base_Periodo1[[#This Row],[CLASS]],7),"")</f>
        <v>2.1.2.2</v>
      </c>
      <c r="F3535" s="3" t="str">
        <f>VLOOKUP(Base_Periodo1[[#This Row],[Aux]],Base_Contas_Balanco[#All],2,FALSE)</f>
        <v>Fornecedores Não Cooperados</v>
      </c>
      <c r="G3535" s="1">
        <v>42886</v>
      </c>
      <c r="H3535" s="225">
        <v>354.26000000000931</v>
      </c>
      <c r="I3535" s="225">
        <v>602.43999999999994</v>
      </c>
      <c r="J3535" s="225">
        <v>3676.51</v>
      </c>
      <c r="K3535" s="225">
        <v>3428.3300000000095</v>
      </c>
      <c r="L35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3428.33</v>
      </c>
      <c r="M3535" s="225">
        <f>ROUND(IF(AND(Base_Periodo1[[#This Row],[Tipo_Linha]]="-",Base_Periodo1[[#This Row],[TIPOSALDO]]="D"),Base_Periodo1[[#This Row],[SALDO_ATUAL]]*-1,Base_Periodo1[[#This Row],[SALDO_ATUAL]]),4)</f>
        <v>3428.33</v>
      </c>
      <c r="N3535" t="s">
        <v>116</v>
      </c>
      <c r="O3535" t="s">
        <v>459</v>
      </c>
      <c r="P3535" t="s">
        <v>459</v>
      </c>
      <c r="Q3535">
        <v>7</v>
      </c>
      <c r="R3535" s="225">
        <f>Base_Periodo1[[#This Row],[CREDITOS]]-Base_Periodo1[[#This Row],[DEBITOS]]</f>
        <v>3074.07</v>
      </c>
      <c r="S3535" s="3" t="str">
        <f>IF(ISERROR(VLOOKUP(Base_Periodo1[[#This Row],[CONTA]],BaseContasDRE[#All],4,FALSE)),"Fora do DRE",VLOOKUP(Base_Periodo1[[#This Row],[CONTA]],BaseContasDRE[#All],4,FALSE))</f>
        <v>Fora do DRE</v>
      </c>
      <c r="T3535" s="3" t="str">
        <f>IF(ISERROR(VLOOKUP(Base_Periodo1[[#This Row],[CONTA]],BaseContasDRE[#All],5,FALSE)),"Fora do DRE",VLOOKUP(Base_Periodo1[[#This Row],[CONTA]],BaseContasDRE[#All],6,FALSE))</f>
        <v>Fora do DRE</v>
      </c>
      <c r="U3535" s="3" t="str">
        <f>IF(ISERROR(VLOOKUP(Base_Periodo1[[#This Row],[CONTA]],BaseContasDRE[#All],7,FALSE)),"Fora do DRE",VLOOKUP(Base_Periodo1[[#This Row],[CONTA]],BaseContasDRE[#All],7,FALSE))</f>
        <v>Fora do DRE</v>
      </c>
      <c r="V3535" s="3" t="str">
        <f>IF(Base_Periodo1[[#This Row],[Tipo_Linha]]="Fora do DRE","Fora do DRE","( "&amp;Base_Periodo1[[#This Row],[Tipo_Linha]]&amp;" ) "&amp;Base_Periodo1[[#This Row],[Filtro]])</f>
        <v>Fora do DRE</v>
      </c>
      <c r="W3535" s="3" t="str">
        <f>LEFT(Base_Periodo1[[#This Row],[CLASS]],3)</f>
        <v>2.1</v>
      </c>
    </row>
    <row r="3536" spans="1:23" hidden="1">
      <c r="A3536" s="3" t="str">
        <f t="shared" si="55"/>
        <v>Período 1</v>
      </c>
      <c r="B3536">
        <v>49288</v>
      </c>
      <c r="C3536" t="s">
        <v>2010</v>
      </c>
      <c r="D3536" t="s">
        <v>6463</v>
      </c>
      <c r="E3536" s="3" t="str">
        <f>IF(LEN(Base_Periodo1[[#This Row],[CLASS]])&gt;=7,LEFT(Base_Periodo1[[#This Row],[CLASS]],7),"")</f>
        <v>2.1.2.2</v>
      </c>
      <c r="F3536" s="3" t="str">
        <f>VLOOKUP(Base_Periodo1[[#This Row],[Aux]],Base_Contas_Balanco[#All],2,FALSE)</f>
        <v>Fornecedores Não Cooperados</v>
      </c>
      <c r="G3536" s="1">
        <v>42884</v>
      </c>
      <c r="H3536" s="225">
        <v>195.60000000000036</v>
      </c>
      <c r="I3536" s="225">
        <v>5846.6900000000005</v>
      </c>
      <c r="J3536" s="225">
        <v>10419.08</v>
      </c>
      <c r="K3536" s="225">
        <v>4767.99</v>
      </c>
      <c r="L35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4767.99</v>
      </c>
      <c r="M3536" s="225">
        <f>ROUND(IF(AND(Base_Periodo1[[#This Row],[Tipo_Linha]]="-",Base_Periodo1[[#This Row],[TIPOSALDO]]="D"),Base_Periodo1[[#This Row],[SALDO_ATUAL]]*-1,Base_Periodo1[[#This Row],[SALDO_ATUAL]]),4)</f>
        <v>4767.99</v>
      </c>
      <c r="N3536" t="s">
        <v>116</v>
      </c>
      <c r="O3536" t="s">
        <v>459</v>
      </c>
      <c r="P3536" t="s">
        <v>459</v>
      </c>
      <c r="Q3536">
        <v>7</v>
      </c>
      <c r="R3536" s="225">
        <f>Base_Periodo1[[#This Row],[CREDITOS]]-Base_Periodo1[[#This Row],[DEBITOS]]</f>
        <v>4572.3899999999994</v>
      </c>
      <c r="S3536" s="3" t="str">
        <f>IF(ISERROR(VLOOKUP(Base_Periodo1[[#This Row],[CONTA]],BaseContasDRE[#All],4,FALSE)),"Fora do DRE",VLOOKUP(Base_Periodo1[[#This Row],[CONTA]],BaseContasDRE[#All],4,FALSE))</f>
        <v>Fora do DRE</v>
      </c>
      <c r="T3536" s="3" t="str">
        <f>IF(ISERROR(VLOOKUP(Base_Periodo1[[#This Row],[CONTA]],BaseContasDRE[#All],5,FALSE)),"Fora do DRE",VLOOKUP(Base_Periodo1[[#This Row],[CONTA]],BaseContasDRE[#All],6,FALSE))</f>
        <v>Fora do DRE</v>
      </c>
      <c r="U3536" s="3" t="str">
        <f>IF(ISERROR(VLOOKUP(Base_Periodo1[[#This Row],[CONTA]],BaseContasDRE[#All],7,FALSE)),"Fora do DRE",VLOOKUP(Base_Periodo1[[#This Row],[CONTA]],BaseContasDRE[#All],7,FALSE))</f>
        <v>Fora do DRE</v>
      </c>
      <c r="V3536" s="3" t="str">
        <f>IF(Base_Periodo1[[#This Row],[Tipo_Linha]]="Fora do DRE","Fora do DRE","( "&amp;Base_Periodo1[[#This Row],[Tipo_Linha]]&amp;" ) "&amp;Base_Periodo1[[#This Row],[Filtro]])</f>
        <v>Fora do DRE</v>
      </c>
      <c r="W3536" s="3" t="str">
        <f>LEFT(Base_Periodo1[[#This Row],[CLASS]],3)</f>
        <v>2.1</v>
      </c>
    </row>
    <row r="3537" spans="1:23" hidden="1">
      <c r="A3537" s="3" t="str">
        <f t="shared" si="55"/>
        <v>Período 1</v>
      </c>
      <c r="B3537">
        <v>29423</v>
      </c>
      <c r="C3537" t="s">
        <v>2010</v>
      </c>
      <c r="D3537" t="s">
        <v>2058</v>
      </c>
      <c r="E3537" s="3" t="str">
        <f>IF(LEN(Base_Periodo1[[#This Row],[CLASS]])&gt;=7,LEFT(Base_Periodo1[[#This Row],[CLASS]],7),"")</f>
        <v>2.1.2.2</v>
      </c>
      <c r="F3537" s="3" t="str">
        <f>VLOOKUP(Base_Periodo1[[#This Row],[Aux]],Base_Contas_Balanco[#All],2,FALSE)</f>
        <v>Fornecedores Não Cooperados</v>
      </c>
      <c r="G3537" s="1">
        <v>42871</v>
      </c>
      <c r="I3537" s="225">
        <v>1540.2</v>
      </c>
      <c r="J3537" s="225">
        <v>1540.2</v>
      </c>
      <c r="K3537" s="225">
        <v>5.8207660913467407E-11</v>
      </c>
      <c r="L35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37" s="225">
        <f>ROUND(IF(AND(Base_Periodo1[[#This Row],[Tipo_Linha]]="-",Base_Periodo1[[#This Row],[TIPOSALDO]]="D"),Base_Periodo1[[#This Row],[SALDO_ATUAL]]*-1,Base_Periodo1[[#This Row],[SALDO_ATUAL]]),4)</f>
        <v>0</v>
      </c>
      <c r="N3537" t="s">
        <v>116</v>
      </c>
      <c r="O3537" t="s">
        <v>436</v>
      </c>
      <c r="P3537" t="s">
        <v>436</v>
      </c>
      <c r="Q3537">
        <v>7</v>
      </c>
      <c r="R3537" s="225">
        <f>Base_Periodo1[[#This Row],[CREDITOS]]-Base_Periodo1[[#This Row],[DEBITOS]]</f>
        <v>0</v>
      </c>
      <c r="S3537" s="3" t="str">
        <f>IF(ISERROR(VLOOKUP(Base_Periodo1[[#This Row],[CONTA]],BaseContasDRE[#All],4,FALSE)),"Fora do DRE",VLOOKUP(Base_Periodo1[[#This Row],[CONTA]],BaseContasDRE[#All],4,FALSE))</f>
        <v>Fora do DRE</v>
      </c>
      <c r="T3537" s="3" t="str">
        <f>IF(ISERROR(VLOOKUP(Base_Periodo1[[#This Row],[CONTA]],BaseContasDRE[#All],5,FALSE)),"Fora do DRE",VLOOKUP(Base_Periodo1[[#This Row],[CONTA]],BaseContasDRE[#All],6,FALSE))</f>
        <v>Fora do DRE</v>
      </c>
      <c r="U3537" s="3" t="str">
        <f>IF(ISERROR(VLOOKUP(Base_Periodo1[[#This Row],[CONTA]],BaseContasDRE[#All],7,FALSE)),"Fora do DRE",VLOOKUP(Base_Periodo1[[#This Row],[CONTA]],BaseContasDRE[#All],7,FALSE))</f>
        <v>Fora do DRE</v>
      </c>
      <c r="V3537" s="3" t="str">
        <f>IF(Base_Periodo1[[#This Row],[Tipo_Linha]]="Fora do DRE","Fora do DRE","( "&amp;Base_Periodo1[[#This Row],[Tipo_Linha]]&amp;" ) "&amp;Base_Periodo1[[#This Row],[Filtro]])</f>
        <v>Fora do DRE</v>
      </c>
      <c r="W3537" s="3" t="str">
        <f>LEFT(Base_Periodo1[[#This Row],[CLASS]],3)</f>
        <v>2.1</v>
      </c>
    </row>
    <row r="3538" spans="1:23" hidden="1">
      <c r="A3538" s="3" t="str">
        <f t="shared" si="55"/>
        <v>Período 1</v>
      </c>
      <c r="B3538">
        <v>36773</v>
      </c>
      <c r="C3538" t="s">
        <v>2010</v>
      </c>
      <c r="D3538" t="s">
        <v>6464</v>
      </c>
      <c r="E3538" s="3" t="str">
        <f>IF(LEN(Base_Periodo1[[#This Row],[CLASS]])&gt;=7,LEFT(Base_Periodo1[[#This Row],[CLASS]],7),"")</f>
        <v>2.1.2.2</v>
      </c>
      <c r="F3538" s="3" t="str">
        <f>VLOOKUP(Base_Periodo1[[#This Row],[Aux]],Base_Contas_Balanco[#All],2,FALSE)</f>
        <v>Fornecedores Não Cooperados</v>
      </c>
      <c r="G3538" s="1">
        <v>42886</v>
      </c>
      <c r="I3538" s="225">
        <v>0</v>
      </c>
      <c r="J3538" s="225">
        <v>49240</v>
      </c>
      <c r="K3538" s="225">
        <v>49240</v>
      </c>
      <c r="L35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49240</v>
      </c>
      <c r="M3538" s="225">
        <f>ROUND(IF(AND(Base_Periodo1[[#This Row],[Tipo_Linha]]="-",Base_Periodo1[[#This Row],[TIPOSALDO]]="D"),Base_Periodo1[[#This Row],[SALDO_ATUAL]]*-1,Base_Periodo1[[#This Row],[SALDO_ATUAL]]),4)</f>
        <v>49240</v>
      </c>
      <c r="N3538" t="s">
        <v>116</v>
      </c>
      <c r="O3538" t="s">
        <v>436</v>
      </c>
      <c r="P3538" t="s">
        <v>459</v>
      </c>
      <c r="Q3538">
        <v>7</v>
      </c>
      <c r="R3538" s="225">
        <f>Base_Periodo1[[#This Row],[CREDITOS]]-Base_Periodo1[[#This Row],[DEBITOS]]</f>
        <v>49240</v>
      </c>
      <c r="S3538" s="3" t="str">
        <f>IF(ISERROR(VLOOKUP(Base_Periodo1[[#This Row],[CONTA]],BaseContasDRE[#All],4,FALSE)),"Fora do DRE",VLOOKUP(Base_Periodo1[[#This Row],[CONTA]],BaseContasDRE[#All],4,FALSE))</f>
        <v>Fora do DRE</v>
      </c>
      <c r="T3538" s="3" t="str">
        <f>IF(ISERROR(VLOOKUP(Base_Periodo1[[#This Row],[CONTA]],BaseContasDRE[#All],5,FALSE)),"Fora do DRE",VLOOKUP(Base_Periodo1[[#This Row],[CONTA]],BaseContasDRE[#All],6,FALSE))</f>
        <v>Fora do DRE</v>
      </c>
      <c r="U3538" s="3" t="str">
        <f>IF(ISERROR(VLOOKUP(Base_Periodo1[[#This Row],[CONTA]],BaseContasDRE[#All],7,FALSE)),"Fora do DRE",VLOOKUP(Base_Periodo1[[#This Row],[CONTA]],BaseContasDRE[#All],7,FALSE))</f>
        <v>Fora do DRE</v>
      </c>
      <c r="V3538" s="3" t="str">
        <f>IF(Base_Periodo1[[#This Row],[Tipo_Linha]]="Fora do DRE","Fora do DRE","( "&amp;Base_Periodo1[[#This Row],[Tipo_Linha]]&amp;" ) "&amp;Base_Periodo1[[#This Row],[Filtro]])</f>
        <v>Fora do DRE</v>
      </c>
      <c r="W3538" s="3" t="str">
        <f>LEFT(Base_Periodo1[[#This Row],[CLASS]],3)</f>
        <v>2.1</v>
      </c>
    </row>
    <row r="3539" spans="1:23" hidden="1">
      <c r="A3539" s="3" t="str">
        <f t="shared" si="55"/>
        <v>Período 1</v>
      </c>
      <c r="B3539">
        <v>47175</v>
      </c>
      <c r="C3539" t="s">
        <v>2010</v>
      </c>
      <c r="D3539" t="s">
        <v>2059</v>
      </c>
      <c r="E3539" s="3" t="str">
        <f>IF(LEN(Base_Periodo1[[#This Row],[CLASS]])&gt;=7,LEFT(Base_Periodo1[[#This Row],[CLASS]],7),"")</f>
        <v>2.1.2.2</v>
      </c>
      <c r="F3539" s="3" t="str">
        <f>VLOOKUP(Base_Periodo1[[#This Row],[Aux]],Base_Contas_Balanco[#All],2,FALSE)</f>
        <v>Fornecedores Não Cooperados</v>
      </c>
      <c r="G3539" s="1">
        <v>42863</v>
      </c>
      <c r="I3539" s="225">
        <v>12098.63</v>
      </c>
      <c r="J3539" s="225">
        <v>12098.63</v>
      </c>
      <c r="K3539" s="225">
        <v>-2.9103830456733704E-11</v>
      </c>
      <c r="L35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39" s="225">
        <f>ROUND(IF(AND(Base_Periodo1[[#This Row],[Tipo_Linha]]="-",Base_Periodo1[[#This Row],[TIPOSALDO]]="D"),Base_Periodo1[[#This Row],[SALDO_ATUAL]]*-1,Base_Periodo1[[#This Row],[SALDO_ATUAL]]),4)</f>
        <v>0</v>
      </c>
      <c r="N3539" t="s">
        <v>116</v>
      </c>
      <c r="O3539" t="s">
        <v>436</v>
      </c>
      <c r="P3539" t="s">
        <v>436</v>
      </c>
      <c r="Q3539">
        <v>7</v>
      </c>
      <c r="R3539" s="225">
        <f>Base_Periodo1[[#This Row],[CREDITOS]]-Base_Periodo1[[#This Row],[DEBITOS]]</f>
        <v>0</v>
      </c>
      <c r="S3539" s="3" t="str">
        <f>IF(ISERROR(VLOOKUP(Base_Periodo1[[#This Row],[CONTA]],BaseContasDRE[#All],4,FALSE)),"Fora do DRE",VLOOKUP(Base_Periodo1[[#This Row],[CONTA]],BaseContasDRE[#All],4,FALSE))</f>
        <v>Fora do DRE</v>
      </c>
      <c r="T3539" s="3" t="str">
        <f>IF(ISERROR(VLOOKUP(Base_Periodo1[[#This Row],[CONTA]],BaseContasDRE[#All],5,FALSE)),"Fora do DRE",VLOOKUP(Base_Periodo1[[#This Row],[CONTA]],BaseContasDRE[#All],6,FALSE))</f>
        <v>Fora do DRE</v>
      </c>
      <c r="U3539" s="3" t="str">
        <f>IF(ISERROR(VLOOKUP(Base_Periodo1[[#This Row],[CONTA]],BaseContasDRE[#All],7,FALSE)),"Fora do DRE",VLOOKUP(Base_Periodo1[[#This Row],[CONTA]],BaseContasDRE[#All],7,FALSE))</f>
        <v>Fora do DRE</v>
      </c>
      <c r="V3539" s="3" t="str">
        <f>IF(Base_Periodo1[[#This Row],[Tipo_Linha]]="Fora do DRE","Fora do DRE","( "&amp;Base_Periodo1[[#This Row],[Tipo_Linha]]&amp;" ) "&amp;Base_Periodo1[[#This Row],[Filtro]])</f>
        <v>Fora do DRE</v>
      </c>
      <c r="W3539" s="3" t="str">
        <f>LEFT(Base_Periodo1[[#This Row],[CLASS]],3)</f>
        <v>2.1</v>
      </c>
    </row>
    <row r="3540" spans="1:23" hidden="1">
      <c r="A3540" s="3" t="str">
        <f t="shared" si="55"/>
        <v>Período 1</v>
      </c>
      <c r="B3540">
        <v>58606</v>
      </c>
      <c r="C3540" t="s">
        <v>2010</v>
      </c>
      <c r="D3540" t="s">
        <v>6465</v>
      </c>
      <c r="E3540" s="3" t="str">
        <f>IF(LEN(Base_Periodo1[[#This Row],[CLASS]])&gt;=7,LEFT(Base_Periodo1[[#This Row],[CLASS]],7),"")</f>
        <v>2.1.2.2</v>
      </c>
      <c r="F3540" s="3" t="str">
        <f>VLOOKUP(Base_Periodo1[[#This Row],[Aux]],Base_Contas_Balanco[#All],2,FALSE)</f>
        <v>Fornecedores Não Cooperados</v>
      </c>
      <c r="G3540" s="1"/>
      <c r="H3540" s="225">
        <v>68700</v>
      </c>
      <c r="I3540" s="225">
        <v>0</v>
      </c>
      <c r="J3540" s="225">
        <v>22900</v>
      </c>
      <c r="K3540" s="225">
        <v>91600</v>
      </c>
      <c r="L35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91600</v>
      </c>
      <c r="M3540" s="225">
        <f>ROUND(IF(AND(Base_Periodo1[[#This Row],[Tipo_Linha]]="-",Base_Periodo1[[#This Row],[TIPOSALDO]]="D"),Base_Periodo1[[#This Row],[SALDO_ATUAL]]*-1,Base_Periodo1[[#This Row],[SALDO_ATUAL]]),4)</f>
        <v>91600</v>
      </c>
      <c r="N3540" t="s">
        <v>116</v>
      </c>
      <c r="O3540" t="s">
        <v>459</v>
      </c>
      <c r="P3540" t="s">
        <v>459</v>
      </c>
      <c r="Q3540">
        <v>7</v>
      </c>
      <c r="R3540" s="225">
        <f>Base_Periodo1[[#This Row],[CREDITOS]]-Base_Periodo1[[#This Row],[DEBITOS]]</f>
        <v>22900</v>
      </c>
      <c r="S3540" s="3" t="str">
        <f>IF(ISERROR(VLOOKUP(Base_Periodo1[[#This Row],[CONTA]],BaseContasDRE[#All],4,FALSE)),"Fora do DRE",VLOOKUP(Base_Periodo1[[#This Row],[CONTA]],BaseContasDRE[#All],4,FALSE))</f>
        <v>Fora do DRE</v>
      </c>
      <c r="T3540" s="3" t="str">
        <f>IF(ISERROR(VLOOKUP(Base_Periodo1[[#This Row],[CONTA]],BaseContasDRE[#All],5,FALSE)),"Fora do DRE",VLOOKUP(Base_Periodo1[[#This Row],[CONTA]],BaseContasDRE[#All],6,FALSE))</f>
        <v>Fora do DRE</v>
      </c>
      <c r="U3540" s="3" t="str">
        <f>IF(ISERROR(VLOOKUP(Base_Periodo1[[#This Row],[CONTA]],BaseContasDRE[#All],7,FALSE)),"Fora do DRE",VLOOKUP(Base_Periodo1[[#This Row],[CONTA]],BaseContasDRE[#All],7,FALSE))</f>
        <v>Fora do DRE</v>
      </c>
      <c r="V3540" s="3" t="str">
        <f>IF(Base_Periodo1[[#This Row],[Tipo_Linha]]="Fora do DRE","Fora do DRE","( "&amp;Base_Periodo1[[#This Row],[Tipo_Linha]]&amp;" ) "&amp;Base_Periodo1[[#This Row],[Filtro]])</f>
        <v>Fora do DRE</v>
      </c>
      <c r="W3540" s="3" t="str">
        <f>LEFT(Base_Periodo1[[#This Row],[CLASS]],3)</f>
        <v>2.1</v>
      </c>
    </row>
    <row r="3541" spans="1:23" hidden="1">
      <c r="A3541" s="3" t="str">
        <f t="shared" si="55"/>
        <v>Período 1</v>
      </c>
      <c r="B3541">
        <v>38803</v>
      </c>
      <c r="C3541" t="s">
        <v>2010</v>
      </c>
      <c r="D3541" t="s">
        <v>956</v>
      </c>
      <c r="E3541" s="3" t="str">
        <f>IF(LEN(Base_Periodo1[[#This Row],[CLASS]])&gt;=7,LEFT(Base_Periodo1[[#This Row],[CLASS]],7),"")</f>
        <v>2.1.2.2</v>
      </c>
      <c r="F3541" s="3" t="str">
        <f>VLOOKUP(Base_Periodo1[[#This Row],[Aux]],Base_Contas_Balanco[#All],2,FALSE)</f>
        <v>Fornecedores Não Cooperados</v>
      </c>
      <c r="G3541" s="1">
        <v>42885</v>
      </c>
      <c r="H3541" s="225">
        <v>504.29000000000815</v>
      </c>
      <c r="I3541" s="225">
        <v>504.29</v>
      </c>
      <c r="J3541" s="225">
        <v>0</v>
      </c>
      <c r="K3541" s="225">
        <v>-8.1286088970955461E-12</v>
      </c>
      <c r="L35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41" s="225">
        <f>ROUND(IF(AND(Base_Periodo1[[#This Row],[Tipo_Linha]]="-",Base_Periodo1[[#This Row],[TIPOSALDO]]="D"),Base_Periodo1[[#This Row],[SALDO_ATUAL]]*-1,Base_Periodo1[[#This Row],[SALDO_ATUAL]]),4)</f>
        <v>0</v>
      </c>
      <c r="N3541" t="s">
        <v>116</v>
      </c>
      <c r="O3541" t="s">
        <v>459</v>
      </c>
      <c r="P3541" t="s">
        <v>436</v>
      </c>
      <c r="Q3541">
        <v>7</v>
      </c>
      <c r="R3541" s="225">
        <f>Base_Periodo1[[#This Row],[CREDITOS]]-Base_Periodo1[[#This Row],[DEBITOS]]</f>
        <v>-504.29</v>
      </c>
      <c r="S3541" s="3" t="str">
        <f>IF(ISERROR(VLOOKUP(Base_Periodo1[[#This Row],[CONTA]],BaseContasDRE[#All],4,FALSE)),"Fora do DRE",VLOOKUP(Base_Periodo1[[#This Row],[CONTA]],BaseContasDRE[#All],4,FALSE))</f>
        <v>Fora do DRE</v>
      </c>
      <c r="T3541" s="3" t="str">
        <f>IF(ISERROR(VLOOKUP(Base_Periodo1[[#This Row],[CONTA]],BaseContasDRE[#All],5,FALSE)),"Fora do DRE",VLOOKUP(Base_Periodo1[[#This Row],[CONTA]],BaseContasDRE[#All],6,FALSE))</f>
        <v>Fora do DRE</v>
      </c>
      <c r="U3541" s="3" t="str">
        <f>IF(ISERROR(VLOOKUP(Base_Periodo1[[#This Row],[CONTA]],BaseContasDRE[#All],7,FALSE)),"Fora do DRE",VLOOKUP(Base_Periodo1[[#This Row],[CONTA]],BaseContasDRE[#All],7,FALSE))</f>
        <v>Fora do DRE</v>
      </c>
      <c r="V3541" s="3" t="str">
        <f>IF(Base_Periodo1[[#This Row],[Tipo_Linha]]="Fora do DRE","Fora do DRE","( "&amp;Base_Periodo1[[#This Row],[Tipo_Linha]]&amp;" ) "&amp;Base_Periodo1[[#This Row],[Filtro]])</f>
        <v>Fora do DRE</v>
      </c>
      <c r="W3541" s="3" t="str">
        <f>LEFT(Base_Periodo1[[#This Row],[CLASS]],3)</f>
        <v>2.1</v>
      </c>
    </row>
    <row r="3542" spans="1:23" hidden="1">
      <c r="A3542" s="3" t="str">
        <f t="shared" si="55"/>
        <v>Período 1</v>
      </c>
      <c r="B3542">
        <v>14433</v>
      </c>
      <c r="C3542" t="s">
        <v>2010</v>
      </c>
      <c r="D3542" t="s">
        <v>4291</v>
      </c>
      <c r="E3542" s="3" t="str">
        <f>IF(LEN(Base_Periodo1[[#This Row],[CLASS]])&gt;=7,LEFT(Base_Periodo1[[#This Row],[CLASS]],7),"")</f>
        <v>2.1.2.2</v>
      </c>
      <c r="F3542" s="3" t="str">
        <f>VLOOKUP(Base_Periodo1[[#This Row],[Aux]],Base_Contas_Balanco[#All],2,FALSE)</f>
        <v>Fornecedores Não Cooperados</v>
      </c>
      <c r="G3542" s="1">
        <v>42880</v>
      </c>
      <c r="H3542" s="225">
        <v>4286.6200000000099</v>
      </c>
      <c r="I3542" s="225">
        <v>5683.5</v>
      </c>
      <c r="J3542" s="225">
        <v>3968.38</v>
      </c>
      <c r="K3542" s="225">
        <v>2571.50000000001</v>
      </c>
      <c r="L35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2571.5</v>
      </c>
      <c r="M3542" s="225">
        <f>ROUND(IF(AND(Base_Periodo1[[#This Row],[Tipo_Linha]]="-",Base_Periodo1[[#This Row],[TIPOSALDO]]="D"),Base_Periodo1[[#This Row],[SALDO_ATUAL]]*-1,Base_Periodo1[[#This Row],[SALDO_ATUAL]]),4)</f>
        <v>2571.5</v>
      </c>
      <c r="N3542" t="s">
        <v>116</v>
      </c>
      <c r="O3542" t="s">
        <v>459</v>
      </c>
      <c r="P3542" t="s">
        <v>459</v>
      </c>
      <c r="Q3542">
        <v>7</v>
      </c>
      <c r="R3542" s="225">
        <f>Base_Periodo1[[#This Row],[CREDITOS]]-Base_Periodo1[[#This Row],[DEBITOS]]</f>
        <v>-1715.12</v>
      </c>
      <c r="S3542" s="3" t="str">
        <f>IF(ISERROR(VLOOKUP(Base_Periodo1[[#This Row],[CONTA]],BaseContasDRE[#All],4,FALSE)),"Fora do DRE",VLOOKUP(Base_Periodo1[[#This Row],[CONTA]],BaseContasDRE[#All],4,FALSE))</f>
        <v>Fora do DRE</v>
      </c>
      <c r="T3542" s="3" t="str">
        <f>IF(ISERROR(VLOOKUP(Base_Periodo1[[#This Row],[CONTA]],BaseContasDRE[#All],5,FALSE)),"Fora do DRE",VLOOKUP(Base_Periodo1[[#This Row],[CONTA]],BaseContasDRE[#All],6,FALSE))</f>
        <v>Fora do DRE</v>
      </c>
      <c r="U3542" s="3" t="str">
        <f>IF(ISERROR(VLOOKUP(Base_Periodo1[[#This Row],[CONTA]],BaseContasDRE[#All],7,FALSE)),"Fora do DRE",VLOOKUP(Base_Periodo1[[#This Row],[CONTA]],BaseContasDRE[#All],7,FALSE))</f>
        <v>Fora do DRE</v>
      </c>
      <c r="V3542" s="3" t="str">
        <f>IF(Base_Periodo1[[#This Row],[Tipo_Linha]]="Fora do DRE","Fora do DRE","( "&amp;Base_Periodo1[[#This Row],[Tipo_Linha]]&amp;" ) "&amp;Base_Periodo1[[#This Row],[Filtro]])</f>
        <v>Fora do DRE</v>
      </c>
      <c r="W3542" s="3" t="str">
        <f>LEFT(Base_Periodo1[[#This Row],[CLASS]],3)</f>
        <v>2.1</v>
      </c>
    </row>
    <row r="3543" spans="1:23" hidden="1">
      <c r="A3543" s="3" t="str">
        <f t="shared" si="55"/>
        <v>Período 1</v>
      </c>
      <c r="B3543">
        <v>58409</v>
      </c>
      <c r="C3543" t="s">
        <v>2010</v>
      </c>
      <c r="D3543" t="s">
        <v>6988</v>
      </c>
      <c r="E3543" s="3" t="str">
        <f>IF(LEN(Base_Periodo1[[#This Row],[CLASS]])&gt;=7,LEFT(Base_Periodo1[[#This Row],[CLASS]],7),"")</f>
        <v>2.1.2.2</v>
      </c>
      <c r="F3543" s="3" t="str">
        <f>VLOOKUP(Base_Periodo1[[#This Row],[Aux]],Base_Contas_Balanco[#All],2,FALSE)</f>
        <v>Fornecedores Não Cooperados</v>
      </c>
      <c r="G3543" s="1">
        <v>42872</v>
      </c>
      <c r="I3543" s="225">
        <v>1800</v>
      </c>
      <c r="J3543" s="225">
        <v>1800</v>
      </c>
      <c r="K3543" s="225">
        <v>0</v>
      </c>
      <c r="L35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43" s="225">
        <f>ROUND(IF(AND(Base_Periodo1[[#This Row],[Tipo_Linha]]="-",Base_Periodo1[[#This Row],[TIPOSALDO]]="D"),Base_Periodo1[[#This Row],[SALDO_ATUAL]]*-1,Base_Periodo1[[#This Row],[SALDO_ATUAL]]),4)</f>
        <v>0</v>
      </c>
      <c r="N3543" t="s">
        <v>116</v>
      </c>
      <c r="O3543" t="s">
        <v>436</v>
      </c>
      <c r="P3543" t="s">
        <v>436</v>
      </c>
      <c r="Q3543">
        <v>7</v>
      </c>
      <c r="R3543" s="225">
        <f>Base_Periodo1[[#This Row],[CREDITOS]]-Base_Periodo1[[#This Row],[DEBITOS]]</f>
        <v>0</v>
      </c>
      <c r="S3543" s="3" t="str">
        <f>IF(ISERROR(VLOOKUP(Base_Periodo1[[#This Row],[CONTA]],BaseContasDRE[#All],4,FALSE)),"Fora do DRE",VLOOKUP(Base_Periodo1[[#This Row],[CONTA]],BaseContasDRE[#All],4,FALSE))</f>
        <v>Fora do DRE</v>
      </c>
      <c r="T3543" s="3" t="str">
        <f>IF(ISERROR(VLOOKUP(Base_Periodo1[[#This Row],[CONTA]],BaseContasDRE[#All],5,FALSE)),"Fora do DRE",VLOOKUP(Base_Periodo1[[#This Row],[CONTA]],BaseContasDRE[#All],6,FALSE))</f>
        <v>Fora do DRE</v>
      </c>
      <c r="U3543" s="3" t="str">
        <f>IF(ISERROR(VLOOKUP(Base_Periodo1[[#This Row],[CONTA]],BaseContasDRE[#All],7,FALSE)),"Fora do DRE",VLOOKUP(Base_Periodo1[[#This Row],[CONTA]],BaseContasDRE[#All],7,FALSE))</f>
        <v>Fora do DRE</v>
      </c>
      <c r="V3543" s="3" t="str">
        <f>IF(Base_Periodo1[[#This Row],[Tipo_Linha]]="Fora do DRE","Fora do DRE","( "&amp;Base_Periodo1[[#This Row],[Tipo_Linha]]&amp;" ) "&amp;Base_Periodo1[[#This Row],[Filtro]])</f>
        <v>Fora do DRE</v>
      </c>
      <c r="W3543" s="3" t="str">
        <f>LEFT(Base_Periodo1[[#This Row],[CLASS]],3)</f>
        <v>2.1</v>
      </c>
    </row>
    <row r="3544" spans="1:23" hidden="1">
      <c r="A3544" s="3" t="str">
        <f t="shared" si="55"/>
        <v>Período 1</v>
      </c>
      <c r="B3544">
        <v>8903</v>
      </c>
      <c r="C3544" t="s">
        <v>2010</v>
      </c>
      <c r="D3544" t="s">
        <v>6989</v>
      </c>
      <c r="E3544" s="3" t="str">
        <f>IF(LEN(Base_Periodo1[[#This Row],[CLASS]])&gt;=7,LEFT(Base_Periodo1[[#This Row],[CLASS]],7),"")</f>
        <v>2.1.2.2</v>
      </c>
      <c r="F3544" s="3" t="str">
        <f>VLOOKUP(Base_Periodo1[[#This Row],[Aux]],Base_Contas_Balanco[#All],2,FALSE)</f>
        <v>Fornecedores Não Cooperados</v>
      </c>
      <c r="G3544" s="1">
        <v>42880</v>
      </c>
      <c r="I3544" s="225">
        <v>0</v>
      </c>
      <c r="J3544" s="225">
        <v>14175</v>
      </c>
      <c r="K3544" s="225">
        <v>14175</v>
      </c>
      <c r="L35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14175</v>
      </c>
      <c r="M3544" s="225">
        <f>ROUND(IF(AND(Base_Periodo1[[#This Row],[Tipo_Linha]]="-",Base_Periodo1[[#This Row],[TIPOSALDO]]="D"),Base_Periodo1[[#This Row],[SALDO_ATUAL]]*-1,Base_Periodo1[[#This Row],[SALDO_ATUAL]]),4)</f>
        <v>14175</v>
      </c>
      <c r="N3544" t="s">
        <v>116</v>
      </c>
      <c r="O3544" t="s">
        <v>436</v>
      </c>
      <c r="P3544" t="s">
        <v>459</v>
      </c>
      <c r="Q3544">
        <v>7</v>
      </c>
      <c r="R3544" s="225">
        <f>Base_Periodo1[[#This Row],[CREDITOS]]-Base_Periodo1[[#This Row],[DEBITOS]]</f>
        <v>14175</v>
      </c>
      <c r="S3544" s="3" t="str">
        <f>IF(ISERROR(VLOOKUP(Base_Periodo1[[#This Row],[CONTA]],BaseContasDRE[#All],4,FALSE)),"Fora do DRE",VLOOKUP(Base_Periodo1[[#This Row],[CONTA]],BaseContasDRE[#All],4,FALSE))</f>
        <v>Fora do DRE</v>
      </c>
      <c r="T3544" s="3" t="str">
        <f>IF(ISERROR(VLOOKUP(Base_Periodo1[[#This Row],[CONTA]],BaseContasDRE[#All],5,FALSE)),"Fora do DRE",VLOOKUP(Base_Periodo1[[#This Row],[CONTA]],BaseContasDRE[#All],6,FALSE))</f>
        <v>Fora do DRE</v>
      </c>
      <c r="U3544" s="3" t="str">
        <f>IF(ISERROR(VLOOKUP(Base_Periodo1[[#This Row],[CONTA]],BaseContasDRE[#All],7,FALSE)),"Fora do DRE",VLOOKUP(Base_Periodo1[[#This Row],[CONTA]],BaseContasDRE[#All],7,FALSE))</f>
        <v>Fora do DRE</v>
      </c>
      <c r="V3544" s="3" t="str">
        <f>IF(Base_Periodo1[[#This Row],[Tipo_Linha]]="Fora do DRE","Fora do DRE","( "&amp;Base_Periodo1[[#This Row],[Tipo_Linha]]&amp;" ) "&amp;Base_Periodo1[[#This Row],[Filtro]])</f>
        <v>Fora do DRE</v>
      </c>
      <c r="W3544" s="3" t="str">
        <f>LEFT(Base_Periodo1[[#This Row],[CLASS]],3)</f>
        <v>2.1</v>
      </c>
    </row>
    <row r="3545" spans="1:23" hidden="1">
      <c r="A3545" s="3" t="str">
        <f t="shared" si="55"/>
        <v>Período 1</v>
      </c>
      <c r="B3545">
        <v>9889</v>
      </c>
      <c r="C3545" t="s">
        <v>2010</v>
      </c>
      <c r="D3545" t="s">
        <v>2060</v>
      </c>
      <c r="E3545" s="3" t="str">
        <f>IF(LEN(Base_Periodo1[[#This Row],[CLASS]])&gt;=7,LEFT(Base_Periodo1[[#This Row],[CLASS]],7),"")</f>
        <v>2.1.2.2</v>
      </c>
      <c r="F3545" s="3" t="str">
        <f>VLOOKUP(Base_Periodo1[[#This Row],[Aux]],Base_Contas_Balanco[#All],2,FALSE)</f>
        <v>Fornecedores Não Cooperados</v>
      </c>
      <c r="G3545" s="1">
        <v>42880</v>
      </c>
      <c r="H3545" s="225">
        <v>2400</v>
      </c>
      <c r="I3545" s="225">
        <v>300</v>
      </c>
      <c r="J3545" s="225">
        <v>0</v>
      </c>
      <c r="K3545" s="225">
        <v>2100</v>
      </c>
      <c r="L35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2100</v>
      </c>
      <c r="M3545" s="225">
        <f>ROUND(IF(AND(Base_Periodo1[[#This Row],[Tipo_Linha]]="-",Base_Periodo1[[#This Row],[TIPOSALDO]]="D"),Base_Periodo1[[#This Row],[SALDO_ATUAL]]*-1,Base_Periodo1[[#This Row],[SALDO_ATUAL]]),4)</f>
        <v>2100</v>
      </c>
      <c r="N3545" t="s">
        <v>116</v>
      </c>
      <c r="O3545" t="s">
        <v>459</v>
      </c>
      <c r="P3545" t="s">
        <v>459</v>
      </c>
      <c r="Q3545">
        <v>7</v>
      </c>
      <c r="R3545" s="225">
        <f>Base_Periodo1[[#This Row],[CREDITOS]]-Base_Periodo1[[#This Row],[DEBITOS]]</f>
        <v>-300</v>
      </c>
      <c r="S3545" s="3" t="str">
        <f>IF(ISERROR(VLOOKUP(Base_Periodo1[[#This Row],[CONTA]],BaseContasDRE[#All],4,FALSE)),"Fora do DRE",VLOOKUP(Base_Periodo1[[#This Row],[CONTA]],BaseContasDRE[#All],4,FALSE))</f>
        <v>Fora do DRE</v>
      </c>
      <c r="T3545" s="3" t="str">
        <f>IF(ISERROR(VLOOKUP(Base_Periodo1[[#This Row],[CONTA]],BaseContasDRE[#All],5,FALSE)),"Fora do DRE",VLOOKUP(Base_Periodo1[[#This Row],[CONTA]],BaseContasDRE[#All],6,FALSE))</f>
        <v>Fora do DRE</v>
      </c>
      <c r="U3545" s="3" t="str">
        <f>IF(ISERROR(VLOOKUP(Base_Periodo1[[#This Row],[CONTA]],BaseContasDRE[#All],7,FALSE)),"Fora do DRE",VLOOKUP(Base_Periodo1[[#This Row],[CONTA]],BaseContasDRE[#All],7,FALSE))</f>
        <v>Fora do DRE</v>
      </c>
      <c r="V3545" s="3" t="str">
        <f>IF(Base_Periodo1[[#This Row],[Tipo_Linha]]="Fora do DRE","Fora do DRE","( "&amp;Base_Periodo1[[#This Row],[Tipo_Linha]]&amp;" ) "&amp;Base_Periodo1[[#This Row],[Filtro]])</f>
        <v>Fora do DRE</v>
      </c>
      <c r="W3545" s="3" t="str">
        <f>LEFT(Base_Periodo1[[#This Row],[CLASS]],3)</f>
        <v>2.1</v>
      </c>
    </row>
    <row r="3546" spans="1:23" hidden="1">
      <c r="A3546" s="3" t="str">
        <f t="shared" si="55"/>
        <v>Período 1</v>
      </c>
      <c r="B3546">
        <v>10855</v>
      </c>
      <c r="C3546" t="s">
        <v>2010</v>
      </c>
      <c r="D3546" t="s">
        <v>2061</v>
      </c>
      <c r="E3546" s="3" t="str">
        <f>IF(LEN(Base_Periodo1[[#This Row],[CLASS]])&gt;=7,LEFT(Base_Periodo1[[#This Row],[CLASS]],7),"")</f>
        <v>2.1.2.2</v>
      </c>
      <c r="F3546" s="3" t="str">
        <f>VLOOKUP(Base_Periodo1[[#This Row],[Aux]],Base_Contas_Balanco[#All],2,FALSE)</f>
        <v>Fornecedores Não Cooperados</v>
      </c>
      <c r="G3546" s="1">
        <v>42857</v>
      </c>
      <c r="H3546" s="225">
        <v>6350</v>
      </c>
      <c r="I3546" s="225">
        <v>6350</v>
      </c>
      <c r="J3546" s="225">
        <v>0</v>
      </c>
      <c r="K3546" s="225">
        <v>0</v>
      </c>
      <c r="L35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46" s="225">
        <f>ROUND(IF(AND(Base_Periodo1[[#This Row],[Tipo_Linha]]="-",Base_Periodo1[[#This Row],[TIPOSALDO]]="D"),Base_Periodo1[[#This Row],[SALDO_ATUAL]]*-1,Base_Periodo1[[#This Row],[SALDO_ATUAL]]),4)</f>
        <v>0</v>
      </c>
      <c r="N3546" t="s">
        <v>116</v>
      </c>
      <c r="O3546" t="s">
        <v>459</v>
      </c>
      <c r="P3546" t="s">
        <v>436</v>
      </c>
      <c r="Q3546">
        <v>7</v>
      </c>
      <c r="R3546" s="225">
        <f>Base_Periodo1[[#This Row],[CREDITOS]]-Base_Periodo1[[#This Row],[DEBITOS]]</f>
        <v>-6350</v>
      </c>
      <c r="S3546" s="3" t="str">
        <f>IF(ISERROR(VLOOKUP(Base_Periodo1[[#This Row],[CONTA]],BaseContasDRE[#All],4,FALSE)),"Fora do DRE",VLOOKUP(Base_Periodo1[[#This Row],[CONTA]],BaseContasDRE[#All],4,FALSE))</f>
        <v>Fora do DRE</v>
      </c>
      <c r="T3546" s="3" t="str">
        <f>IF(ISERROR(VLOOKUP(Base_Periodo1[[#This Row],[CONTA]],BaseContasDRE[#All],5,FALSE)),"Fora do DRE",VLOOKUP(Base_Periodo1[[#This Row],[CONTA]],BaseContasDRE[#All],6,FALSE))</f>
        <v>Fora do DRE</v>
      </c>
      <c r="U3546" s="3" t="str">
        <f>IF(ISERROR(VLOOKUP(Base_Periodo1[[#This Row],[CONTA]],BaseContasDRE[#All],7,FALSE)),"Fora do DRE",VLOOKUP(Base_Periodo1[[#This Row],[CONTA]],BaseContasDRE[#All],7,FALSE))</f>
        <v>Fora do DRE</v>
      </c>
      <c r="V3546" s="3" t="str">
        <f>IF(Base_Periodo1[[#This Row],[Tipo_Linha]]="Fora do DRE","Fora do DRE","( "&amp;Base_Periodo1[[#This Row],[Tipo_Linha]]&amp;" ) "&amp;Base_Periodo1[[#This Row],[Filtro]])</f>
        <v>Fora do DRE</v>
      </c>
      <c r="W3546" s="3" t="str">
        <f>LEFT(Base_Periodo1[[#This Row],[CLASS]],3)</f>
        <v>2.1</v>
      </c>
    </row>
    <row r="3547" spans="1:23" hidden="1">
      <c r="A3547" s="3" t="str">
        <f t="shared" si="55"/>
        <v>Período 1</v>
      </c>
      <c r="B3547">
        <v>26117</v>
      </c>
      <c r="C3547" t="s">
        <v>2010</v>
      </c>
      <c r="D3547" t="s">
        <v>6990</v>
      </c>
      <c r="E3547" s="3" t="str">
        <f>IF(LEN(Base_Periodo1[[#This Row],[CLASS]])&gt;=7,LEFT(Base_Periodo1[[#This Row],[CLASS]],7),"")</f>
        <v>2.1.2.2</v>
      </c>
      <c r="F3547" s="3" t="str">
        <f>VLOOKUP(Base_Periodo1[[#This Row],[Aux]],Base_Contas_Balanco[#All],2,FALSE)</f>
        <v>Fornecedores Não Cooperados</v>
      </c>
      <c r="G3547" s="1">
        <v>42873</v>
      </c>
      <c r="I3547" s="225">
        <v>780</v>
      </c>
      <c r="J3547" s="225">
        <v>780</v>
      </c>
      <c r="K3547" s="225">
        <v>0</v>
      </c>
      <c r="L35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47" s="225">
        <f>ROUND(IF(AND(Base_Periodo1[[#This Row],[Tipo_Linha]]="-",Base_Periodo1[[#This Row],[TIPOSALDO]]="D"),Base_Periodo1[[#This Row],[SALDO_ATUAL]]*-1,Base_Periodo1[[#This Row],[SALDO_ATUAL]]),4)</f>
        <v>0</v>
      </c>
      <c r="N3547" t="s">
        <v>116</v>
      </c>
      <c r="O3547" t="s">
        <v>436</v>
      </c>
      <c r="P3547" t="s">
        <v>436</v>
      </c>
      <c r="Q3547">
        <v>7</v>
      </c>
      <c r="R3547" s="225">
        <f>Base_Periodo1[[#This Row],[CREDITOS]]-Base_Periodo1[[#This Row],[DEBITOS]]</f>
        <v>0</v>
      </c>
      <c r="S3547" s="3" t="str">
        <f>IF(ISERROR(VLOOKUP(Base_Periodo1[[#This Row],[CONTA]],BaseContasDRE[#All],4,FALSE)),"Fora do DRE",VLOOKUP(Base_Periodo1[[#This Row],[CONTA]],BaseContasDRE[#All],4,FALSE))</f>
        <v>Fora do DRE</v>
      </c>
      <c r="T3547" s="3" t="str">
        <f>IF(ISERROR(VLOOKUP(Base_Periodo1[[#This Row],[CONTA]],BaseContasDRE[#All],5,FALSE)),"Fora do DRE",VLOOKUP(Base_Periodo1[[#This Row],[CONTA]],BaseContasDRE[#All],6,FALSE))</f>
        <v>Fora do DRE</v>
      </c>
      <c r="U3547" s="3" t="str">
        <f>IF(ISERROR(VLOOKUP(Base_Periodo1[[#This Row],[CONTA]],BaseContasDRE[#All],7,FALSE)),"Fora do DRE",VLOOKUP(Base_Periodo1[[#This Row],[CONTA]],BaseContasDRE[#All],7,FALSE))</f>
        <v>Fora do DRE</v>
      </c>
      <c r="V3547" s="3" t="str">
        <f>IF(Base_Periodo1[[#This Row],[Tipo_Linha]]="Fora do DRE","Fora do DRE","( "&amp;Base_Periodo1[[#This Row],[Tipo_Linha]]&amp;" ) "&amp;Base_Periodo1[[#This Row],[Filtro]])</f>
        <v>Fora do DRE</v>
      </c>
      <c r="W3547" s="3" t="str">
        <f>LEFT(Base_Periodo1[[#This Row],[CLASS]],3)</f>
        <v>2.1</v>
      </c>
    </row>
    <row r="3548" spans="1:23" hidden="1">
      <c r="A3548" s="3" t="str">
        <f t="shared" si="55"/>
        <v>Período 1</v>
      </c>
      <c r="B3548">
        <v>40244</v>
      </c>
      <c r="C3548" t="s">
        <v>2010</v>
      </c>
      <c r="D3548" t="s">
        <v>6991</v>
      </c>
      <c r="E3548" s="3" t="str">
        <f>IF(LEN(Base_Periodo1[[#This Row],[CLASS]])&gt;=7,LEFT(Base_Periodo1[[#This Row],[CLASS]],7),"")</f>
        <v>2.1.2.2</v>
      </c>
      <c r="F3548" s="3" t="str">
        <f>VLOOKUP(Base_Periodo1[[#This Row],[Aux]],Base_Contas_Balanco[#All],2,FALSE)</f>
        <v>Fornecedores Não Cooperados</v>
      </c>
      <c r="G3548" s="1">
        <v>42865</v>
      </c>
      <c r="I3548" s="225">
        <v>8844.68</v>
      </c>
      <c r="J3548" s="225">
        <v>8844.68</v>
      </c>
      <c r="K3548" s="225">
        <v>-7.2759576141834259E-12</v>
      </c>
      <c r="L35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48" s="225">
        <f>ROUND(IF(AND(Base_Periodo1[[#This Row],[Tipo_Linha]]="-",Base_Periodo1[[#This Row],[TIPOSALDO]]="D"),Base_Periodo1[[#This Row],[SALDO_ATUAL]]*-1,Base_Periodo1[[#This Row],[SALDO_ATUAL]]),4)</f>
        <v>0</v>
      </c>
      <c r="N3548" t="s">
        <v>116</v>
      </c>
      <c r="O3548" t="s">
        <v>436</v>
      </c>
      <c r="P3548" t="s">
        <v>436</v>
      </c>
      <c r="Q3548">
        <v>7</v>
      </c>
      <c r="R3548" s="225">
        <f>Base_Periodo1[[#This Row],[CREDITOS]]-Base_Periodo1[[#This Row],[DEBITOS]]</f>
        <v>0</v>
      </c>
      <c r="S3548" s="3" t="str">
        <f>IF(ISERROR(VLOOKUP(Base_Periodo1[[#This Row],[CONTA]],BaseContasDRE[#All],4,FALSE)),"Fora do DRE",VLOOKUP(Base_Periodo1[[#This Row],[CONTA]],BaseContasDRE[#All],4,FALSE))</f>
        <v>Fora do DRE</v>
      </c>
      <c r="T3548" s="3" t="str">
        <f>IF(ISERROR(VLOOKUP(Base_Periodo1[[#This Row],[CONTA]],BaseContasDRE[#All],5,FALSE)),"Fora do DRE",VLOOKUP(Base_Periodo1[[#This Row],[CONTA]],BaseContasDRE[#All],6,FALSE))</f>
        <v>Fora do DRE</v>
      </c>
      <c r="U3548" s="3" t="str">
        <f>IF(ISERROR(VLOOKUP(Base_Periodo1[[#This Row],[CONTA]],BaseContasDRE[#All],7,FALSE)),"Fora do DRE",VLOOKUP(Base_Periodo1[[#This Row],[CONTA]],BaseContasDRE[#All],7,FALSE))</f>
        <v>Fora do DRE</v>
      </c>
      <c r="V3548" s="3" t="str">
        <f>IF(Base_Periodo1[[#This Row],[Tipo_Linha]]="Fora do DRE","Fora do DRE","( "&amp;Base_Periodo1[[#This Row],[Tipo_Linha]]&amp;" ) "&amp;Base_Periodo1[[#This Row],[Filtro]])</f>
        <v>Fora do DRE</v>
      </c>
      <c r="W3548" s="3" t="str">
        <f>LEFT(Base_Periodo1[[#This Row],[CLASS]],3)</f>
        <v>2.1</v>
      </c>
    </row>
    <row r="3549" spans="1:23" hidden="1">
      <c r="A3549" s="3" t="str">
        <f t="shared" si="55"/>
        <v>Período 1</v>
      </c>
      <c r="B3549">
        <v>25766</v>
      </c>
      <c r="C3549" t="s">
        <v>2010</v>
      </c>
      <c r="D3549" t="s">
        <v>5970</v>
      </c>
      <c r="E3549" s="3" t="str">
        <f>IF(LEN(Base_Periodo1[[#This Row],[CLASS]])&gt;=7,LEFT(Base_Periodo1[[#This Row],[CLASS]],7),"")</f>
        <v>2.1.2.2</v>
      </c>
      <c r="F3549" s="3" t="str">
        <f>VLOOKUP(Base_Periodo1[[#This Row],[Aux]],Base_Contas_Balanco[#All],2,FALSE)</f>
        <v>Fornecedores Não Cooperados</v>
      </c>
      <c r="G3549" s="1">
        <v>42881</v>
      </c>
      <c r="I3549" s="225">
        <v>11873.970000000001</v>
      </c>
      <c r="J3549" s="225">
        <v>11873.970000000001</v>
      </c>
      <c r="K3549" s="225">
        <v>1.4551915228366852E-11</v>
      </c>
      <c r="L35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49" s="225">
        <f>ROUND(IF(AND(Base_Periodo1[[#This Row],[Tipo_Linha]]="-",Base_Periodo1[[#This Row],[TIPOSALDO]]="D"),Base_Periodo1[[#This Row],[SALDO_ATUAL]]*-1,Base_Periodo1[[#This Row],[SALDO_ATUAL]]),4)</f>
        <v>0</v>
      </c>
      <c r="N3549" t="s">
        <v>116</v>
      </c>
      <c r="O3549" t="s">
        <v>436</v>
      </c>
      <c r="P3549" t="s">
        <v>436</v>
      </c>
      <c r="Q3549">
        <v>7</v>
      </c>
      <c r="R3549" s="225">
        <f>Base_Periodo1[[#This Row],[CREDITOS]]-Base_Periodo1[[#This Row],[DEBITOS]]</f>
        <v>0</v>
      </c>
      <c r="S3549" s="3" t="str">
        <f>IF(ISERROR(VLOOKUP(Base_Periodo1[[#This Row],[CONTA]],BaseContasDRE[#All],4,FALSE)),"Fora do DRE",VLOOKUP(Base_Periodo1[[#This Row],[CONTA]],BaseContasDRE[#All],4,FALSE))</f>
        <v>Fora do DRE</v>
      </c>
      <c r="T3549" s="3" t="str">
        <f>IF(ISERROR(VLOOKUP(Base_Periodo1[[#This Row],[CONTA]],BaseContasDRE[#All],5,FALSE)),"Fora do DRE",VLOOKUP(Base_Periodo1[[#This Row],[CONTA]],BaseContasDRE[#All],6,FALSE))</f>
        <v>Fora do DRE</v>
      </c>
      <c r="U3549" s="3" t="str">
        <f>IF(ISERROR(VLOOKUP(Base_Periodo1[[#This Row],[CONTA]],BaseContasDRE[#All],7,FALSE)),"Fora do DRE",VLOOKUP(Base_Periodo1[[#This Row],[CONTA]],BaseContasDRE[#All],7,FALSE))</f>
        <v>Fora do DRE</v>
      </c>
      <c r="V3549" s="3" t="str">
        <f>IF(Base_Periodo1[[#This Row],[Tipo_Linha]]="Fora do DRE","Fora do DRE","( "&amp;Base_Periodo1[[#This Row],[Tipo_Linha]]&amp;" ) "&amp;Base_Periodo1[[#This Row],[Filtro]])</f>
        <v>Fora do DRE</v>
      </c>
      <c r="W3549" s="3" t="str">
        <f>LEFT(Base_Periodo1[[#This Row],[CLASS]],3)</f>
        <v>2.1</v>
      </c>
    </row>
    <row r="3550" spans="1:23" hidden="1">
      <c r="A3550" s="3" t="str">
        <f t="shared" si="55"/>
        <v>Período 1</v>
      </c>
      <c r="B3550">
        <v>56365</v>
      </c>
      <c r="C3550" t="s">
        <v>2010</v>
      </c>
      <c r="D3550" t="s">
        <v>6992</v>
      </c>
      <c r="E3550" s="3" t="str">
        <f>IF(LEN(Base_Periodo1[[#This Row],[CLASS]])&gt;=7,LEFT(Base_Periodo1[[#This Row],[CLASS]],7),"")</f>
        <v>2.1.2.2</v>
      </c>
      <c r="F3550" s="3" t="str">
        <f>VLOOKUP(Base_Periodo1[[#This Row],[Aux]],Base_Contas_Balanco[#All],2,FALSE)</f>
        <v>Fornecedores Não Cooperados</v>
      </c>
      <c r="G3550" s="1">
        <v>42880</v>
      </c>
      <c r="I3550" s="225">
        <v>0</v>
      </c>
      <c r="J3550" s="225">
        <v>540.24</v>
      </c>
      <c r="K3550" s="225">
        <v>540.24</v>
      </c>
      <c r="L35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540.24</v>
      </c>
      <c r="M3550" s="225">
        <f>ROUND(IF(AND(Base_Periodo1[[#This Row],[Tipo_Linha]]="-",Base_Periodo1[[#This Row],[TIPOSALDO]]="D"),Base_Periodo1[[#This Row],[SALDO_ATUAL]]*-1,Base_Periodo1[[#This Row],[SALDO_ATUAL]]),4)</f>
        <v>540.24</v>
      </c>
      <c r="N3550" t="s">
        <v>116</v>
      </c>
      <c r="O3550" t="s">
        <v>436</v>
      </c>
      <c r="P3550" t="s">
        <v>459</v>
      </c>
      <c r="Q3550">
        <v>7</v>
      </c>
      <c r="R3550" s="225">
        <f>Base_Periodo1[[#This Row],[CREDITOS]]-Base_Periodo1[[#This Row],[DEBITOS]]</f>
        <v>540.24</v>
      </c>
      <c r="S3550" s="3" t="str">
        <f>IF(ISERROR(VLOOKUP(Base_Periodo1[[#This Row],[CONTA]],BaseContasDRE[#All],4,FALSE)),"Fora do DRE",VLOOKUP(Base_Periodo1[[#This Row],[CONTA]],BaseContasDRE[#All],4,FALSE))</f>
        <v>Fora do DRE</v>
      </c>
      <c r="T3550" s="3" t="str">
        <f>IF(ISERROR(VLOOKUP(Base_Periodo1[[#This Row],[CONTA]],BaseContasDRE[#All],5,FALSE)),"Fora do DRE",VLOOKUP(Base_Periodo1[[#This Row],[CONTA]],BaseContasDRE[#All],6,FALSE))</f>
        <v>Fora do DRE</v>
      </c>
      <c r="U3550" s="3" t="str">
        <f>IF(ISERROR(VLOOKUP(Base_Periodo1[[#This Row],[CONTA]],BaseContasDRE[#All],7,FALSE)),"Fora do DRE",VLOOKUP(Base_Periodo1[[#This Row],[CONTA]],BaseContasDRE[#All],7,FALSE))</f>
        <v>Fora do DRE</v>
      </c>
      <c r="V3550" s="3" t="str">
        <f>IF(Base_Periodo1[[#This Row],[Tipo_Linha]]="Fora do DRE","Fora do DRE","( "&amp;Base_Periodo1[[#This Row],[Tipo_Linha]]&amp;" ) "&amp;Base_Periodo1[[#This Row],[Filtro]])</f>
        <v>Fora do DRE</v>
      </c>
      <c r="W3550" s="3" t="str">
        <f>LEFT(Base_Periodo1[[#This Row],[CLASS]],3)</f>
        <v>2.1</v>
      </c>
    </row>
    <row r="3551" spans="1:23" hidden="1">
      <c r="A3551" s="3" t="str">
        <f t="shared" si="55"/>
        <v>Período 1</v>
      </c>
      <c r="B3551">
        <v>23264</v>
      </c>
      <c r="C3551" t="s">
        <v>2010</v>
      </c>
      <c r="D3551" t="s">
        <v>6993</v>
      </c>
      <c r="E3551" s="3" t="str">
        <f>IF(LEN(Base_Periodo1[[#This Row],[CLASS]])&gt;=7,LEFT(Base_Periodo1[[#This Row],[CLASS]],7),"")</f>
        <v>2.1.2.2</v>
      </c>
      <c r="F3551" s="3" t="str">
        <f>VLOOKUP(Base_Periodo1[[#This Row],[Aux]],Base_Contas_Balanco[#All],2,FALSE)</f>
        <v>Fornecedores Não Cooperados</v>
      </c>
      <c r="G3551" s="1">
        <v>42874</v>
      </c>
      <c r="I3551" s="225">
        <v>120</v>
      </c>
      <c r="J3551" s="225">
        <v>120</v>
      </c>
      <c r="K3551" s="225">
        <v>0</v>
      </c>
      <c r="L35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51" s="225">
        <f>ROUND(IF(AND(Base_Periodo1[[#This Row],[Tipo_Linha]]="-",Base_Periodo1[[#This Row],[TIPOSALDO]]="D"),Base_Periodo1[[#This Row],[SALDO_ATUAL]]*-1,Base_Periodo1[[#This Row],[SALDO_ATUAL]]),4)</f>
        <v>0</v>
      </c>
      <c r="N3551" t="s">
        <v>116</v>
      </c>
      <c r="O3551" t="s">
        <v>436</v>
      </c>
      <c r="P3551" t="s">
        <v>436</v>
      </c>
      <c r="Q3551">
        <v>7</v>
      </c>
      <c r="R3551" s="225">
        <f>Base_Periodo1[[#This Row],[CREDITOS]]-Base_Periodo1[[#This Row],[DEBITOS]]</f>
        <v>0</v>
      </c>
      <c r="S3551" s="3" t="str">
        <f>IF(ISERROR(VLOOKUP(Base_Periodo1[[#This Row],[CONTA]],BaseContasDRE[#All],4,FALSE)),"Fora do DRE",VLOOKUP(Base_Periodo1[[#This Row],[CONTA]],BaseContasDRE[#All],4,FALSE))</f>
        <v>Fora do DRE</v>
      </c>
      <c r="T3551" s="3" t="str">
        <f>IF(ISERROR(VLOOKUP(Base_Periodo1[[#This Row],[CONTA]],BaseContasDRE[#All],5,FALSE)),"Fora do DRE",VLOOKUP(Base_Periodo1[[#This Row],[CONTA]],BaseContasDRE[#All],6,FALSE))</f>
        <v>Fora do DRE</v>
      </c>
      <c r="U3551" s="3" t="str">
        <f>IF(ISERROR(VLOOKUP(Base_Periodo1[[#This Row],[CONTA]],BaseContasDRE[#All],7,FALSE)),"Fora do DRE",VLOOKUP(Base_Periodo1[[#This Row],[CONTA]],BaseContasDRE[#All],7,FALSE))</f>
        <v>Fora do DRE</v>
      </c>
      <c r="V3551" s="3" t="str">
        <f>IF(Base_Periodo1[[#This Row],[Tipo_Linha]]="Fora do DRE","Fora do DRE","( "&amp;Base_Periodo1[[#This Row],[Tipo_Linha]]&amp;" ) "&amp;Base_Periodo1[[#This Row],[Filtro]])</f>
        <v>Fora do DRE</v>
      </c>
      <c r="W3551" s="3" t="str">
        <f>LEFT(Base_Periodo1[[#This Row],[CLASS]],3)</f>
        <v>2.1</v>
      </c>
    </row>
    <row r="3552" spans="1:23" hidden="1">
      <c r="A3552" s="3" t="str">
        <f t="shared" si="55"/>
        <v>Período 1</v>
      </c>
      <c r="B3552">
        <v>33109</v>
      </c>
      <c r="C3552" t="s">
        <v>2010</v>
      </c>
      <c r="D3552" t="s">
        <v>6466</v>
      </c>
      <c r="E3552" s="3" t="str">
        <f>IF(LEN(Base_Periodo1[[#This Row],[CLASS]])&gt;=7,LEFT(Base_Periodo1[[#This Row],[CLASS]],7),"")</f>
        <v>2.1.2.2</v>
      </c>
      <c r="F3552" s="3" t="str">
        <f>VLOOKUP(Base_Periodo1[[#This Row],[Aux]],Base_Contas_Balanco[#All],2,FALSE)</f>
        <v>Fornecedores Não Cooperados</v>
      </c>
      <c r="G3552" s="1">
        <v>42886</v>
      </c>
      <c r="H3552" s="225">
        <v>717.23000000002503</v>
      </c>
      <c r="I3552" s="225">
        <v>1068.9100000000001</v>
      </c>
      <c r="J3552" s="225">
        <v>1694.3199999999997</v>
      </c>
      <c r="K3552" s="225">
        <v>1342.6400000000247</v>
      </c>
      <c r="L35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1342.64</v>
      </c>
      <c r="M3552" s="225">
        <f>ROUND(IF(AND(Base_Periodo1[[#This Row],[Tipo_Linha]]="-",Base_Periodo1[[#This Row],[TIPOSALDO]]="D"),Base_Periodo1[[#This Row],[SALDO_ATUAL]]*-1,Base_Periodo1[[#This Row],[SALDO_ATUAL]]),4)</f>
        <v>1342.64</v>
      </c>
      <c r="N3552" t="s">
        <v>116</v>
      </c>
      <c r="O3552" t="s">
        <v>459</v>
      </c>
      <c r="P3552" t="s">
        <v>459</v>
      </c>
      <c r="Q3552">
        <v>7</v>
      </c>
      <c r="R3552" s="225">
        <f>Base_Periodo1[[#This Row],[CREDITOS]]-Base_Periodo1[[#This Row],[DEBITOS]]</f>
        <v>625.40999999999963</v>
      </c>
      <c r="S3552" s="3" t="str">
        <f>IF(ISERROR(VLOOKUP(Base_Periodo1[[#This Row],[CONTA]],BaseContasDRE[#All],4,FALSE)),"Fora do DRE",VLOOKUP(Base_Periodo1[[#This Row],[CONTA]],BaseContasDRE[#All],4,FALSE))</f>
        <v>Fora do DRE</v>
      </c>
      <c r="T3552" s="3" t="str">
        <f>IF(ISERROR(VLOOKUP(Base_Periodo1[[#This Row],[CONTA]],BaseContasDRE[#All],5,FALSE)),"Fora do DRE",VLOOKUP(Base_Periodo1[[#This Row],[CONTA]],BaseContasDRE[#All],6,FALSE))</f>
        <v>Fora do DRE</v>
      </c>
      <c r="U3552" s="3" t="str">
        <f>IF(ISERROR(VLOOKUP(Base_Periodo1[[#This Row],[CONTA]],BaseContasDRE[#All],7,FALSE)),"Fora do DRE",VLOOKUP(Base_Periodo1[[#This Row],[CONTA]],BaseContasDRE[#All],7,FALSE))</f>
        <v>Fora do DRE</v>
      </c>
      <c r="V3552" s="3" t="str">
        <f>IF(Base_Periodo1[[#This Row],[Tipo_Linha]]="Fora do DRE","Fora do DRE","( "&amp;Base_Periodo1[[#This Row],[Tipo_Linha]]&amp;" ) "&amp;Base_Periodo1[[#This Row],[Filtro]])</f>
        <v>Fora do DRE</v>
      </c>
      <c r="W3552" s="3" t="str">
        <f>LEFT(Base_Periodo1[[#This Row],[CLASS]],3)</f>
        <v>2.1</v>
      </c>
    </row>
    <row r="3553" spans="1:23" hidden="1">
      <c r="A3553" s="3" t="str">
        <f t="shared" si="55"/>
        <v>Período 1</v>
      </c>
      <c r="B3553">
        <v>38876</v>
      </c>
      <c r="C3553" t="s">
        <v>2010</v>
      </c>
      <c r="D3553" t="s">
        <v>2062</v>
      </c>
      <c r="E3553" s="3" t="str">
        <f>IF(LEN(Base_Periodo1[[#This Row],[CLASS]])&gt;=7,LEFT(Base_Periodo1[[#This Row],[CLASS]],7),"")</f>
        <v>2.1.2.2</v>
      </c>
      <c r="F3553" s="3" t="str">
        <f>VLOOKUP(Base_Periodo1[[#This Row],[Aux]],Base_Contas_Balanco[#All],2,FALSE)</f>
        <v>Fornecedores Não Cooperados</v>
      </c>
      <c r="G3553" s="1">
        <v>42886</v>
      </c>
      <c r="H3553" s="225">
        <v>34</v>
      </c>
      <c r="I3553" s="225">
        <v>39102</v>
      </c>
      <c r="J3553" s="225">
        <v>58504</v>
      </c>
      <c r="K3553" s="225">
        <v>19436</v>
      </c>
      <c r="L35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19436</v>
      </c>
      <c r="M3553" s="225">
        <f>ROUND(IF(AND(Base_Periodo1[[#This Row],[Tipo_Linha]]="-",Base_Periodo1[[#This Row],[TIPOSALDO]]="D"),Base_Periodo1[[#This Row],[SALDO_ATUAL]]*-1,Base_Periodo1[[#This Row],[SALDO_ATUAL]]),4)</f>
        <v>19436</v>
      </c>
      <c r="N3553" t="s">
        <v>116</v>
      </c>
      <c r="O3553" t="s">
        <v>459</v>
      </c>
      <c r="P3553" t="s">
        <v>459</v>
      </c>
      <c r="Q3553">
        <v>7</v>
      </c>
      <c r="R3553" s="225">
        <f>Base_Periodo1[[#This Row],[CREDITOS]]-Base_Periodo1[[#This Row],[DEBITOS]]</f>
        <v>19402</v>
      </c>
      <c r="S3553" s="3" t="str">
        <f>IF(ISERROR(VLOOKUP(Base_Periodo1[[#This Row],[CONTA]],BaseContasDRE[#All],4,FALSE)),"Fora do DRE",VLOOKUP(Base_Periodo1[[#This Row],[CONTA]],BaseContasDRE[#All],4,FALSE))</f>
        <v>Fora do DRE</v>
      </c>
      <c r="T3553" s="3" t="str">
        <f>IF(ISERROR(VLOOKUP(Base_Periodo1[[#This Row],[CONTA]],BaseContasDRE[#All],5,FALSE)),"Fora do DRE",VLOOKUP(Base_Periodo1[[#This Row],[CONTA]],BaseContasDRE[#All],6,FALSE))</f>
        <v>Fora do DRE</v>
      </c>
      <c r="U3553" s="3" t="str">
        <f>IF(ISERROR(VLOOKUP(Base_Periodo1[[#This Row],[CONTA]],BaseContasDRE[#All],7,FALSE)),"Fora do DRE",VLOOKUP(Base_Periodo1[[#This Row],[CONTA]],BaseContasDRE[#All],7,FALSE))</f>
        <v>Fora do DRE</v>
      </c>
      <c r="V3553" s="3" t="str">
        <f>IF(Base_Periodo1[[#This Row],[Tipo_Linha]]="Fora do DRE","Fora do DRE","( "&amp;Base_Periodo1[[#This Row],[Tipo_Linha]]&amp;" ) "&amp;Base_Periodo1[[#This Row],[Filtro]])</f>
        <v>Fora do DRE</v>
      </c>
      <c r="W3553" s="3" t="str">
        <f>LEFT(Base_Periodo1[[#This Row],[CLASS]],3)</f>
        <v>2.1</v>
      </c>
    </row>
    <row r="3554" spans="1:23" hidden="1">
      <c r="A3554" s="3" t="str">
        <f t="shared" si="55"/>
        <v>Período 1</v>
      </c>
      <c r="B3554">
        <v>11527</v>
      </c>
      <c r="C3554" t="s">
        <v>2010</v>
      </c>
      <c r="D3554" t="s">
        <v>5971</v>
      </c>
      <c r="E3554" s="3" t="str">
        <f>IF(LEN(Base_Periodo1[[#This Row],[CLASS]])&gt;=7,LEFT(Base_Periodo1[[#This Row],[CLASS]],7),"")</f>
        <v>2.1.2.2</v>
      </c>
      <c r="F3554" s="3" t="str">
        <f>VLOOKUP(Base_Periodo1[[#This Row],[Aux]],Base_Contas_Balanco[#All],2,FALSE)</f>
        <v>Fornecedores Não Cooperados</v>
      </c>
      <c r="G3554" s="1">
        <v>42865</v>
      </c>
      <c r="I3554" s="225">
        <v>127</v>
      </c>
      <c r="J3554" s="225">
        <v>127</v>
      </c>
      <c r="K3554" s="225">
        <v>0</v>
      </c>
      <c r="L35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54" s="225">
        <f>ROUND(IF(AND(Base_Periodo1[[#This Row],[Tipo_Linha]]="-",Base_Periodo1[[#This Row],[TIPOSALDO]]="D"),Base_Periodo1[[#This Row],[SALDO_ATUAL]]*-1,Base_Periodo1[[#This Row],[SALDO_ATUAL]]),4)</f>
        <v>0</v>
      </c>
      <c r="N3554" t="s">
        <v>116</v>
      </c>
      <c r="O3554" t="s">
        <v>436</v>
      </c>
      <c r="P3554" t="s">
        <v>436</v>
      </c>
      <c r="Q3554">
        <v>7</v>
      </c>
      <c r="R3554" s="225">
        <f>Base_Periodo1[[#This Row],[CREDITOS]]-Base_Periodo1[[#This Row],[DEBITOS]]</f>
        <v>0</v>
      </c>
      <c r="S3554" s="3" t="str">
        <f>IF(ISERROR(VLOOKUP(Base_Periodo1[[#This Row],[CONTA]],BaseContasDRE[#All],4,FALSE)),"Fora do DRE",VLOOKUP(Base_Periodo1[[#This Row],[CONTA]],BaseContasDRE[#All],4,FALSE))</f>
        <v>Fora do DRE</v>
      </c>
      <c r="T3554" s="3" t="str">
        <f>IF(ISERROR(VLOOKUP(Base_Periodo1[[#This Row],[CONTA]],BaseContasDRE[#All],5,FALSE)),"Fora do DRE",VLOOKUP(Base_Periodo1[[#This Row],[CONTA]],BaseContasDRE[#All],6,FALSE))</f>
        <v>Fora do DRE</v>
      </c>
      <c r="U3554" s="3" t="str">
        <f>IF(ISERROR(VLOOKUP(Base_Periodo1[[#This Row],[CONTA]],BaseContasDRE[#All],7,FALSE)),"Fora do DRE",VLOOKUP(Base_Periodo1[[#This Row],[CONTA]],BaseContasDRE[#All],7,FALSE))</f>
        <v>Fora do DRE</v>
      </c>
      <c r="V3554" s="3" t="str">
        <f>IF(Base_Periodo1[[#This Row],[Tipo_Linha]]="Fora do DRE","Fora do DRE","( "&amp;Base_Periodo1[[#This Row],[Tipo_Linha]]&amp;" ) "&amp;Base_Periodo1[[#This Row],[Filtro]])</f>
        <v>Fora do DRE</v>
      </c>
      <c r="W3554" s="3" t="str">
        <f>LEFT(Base_Periodo1[[#This Row],[CLASS]],3)</f>
        <v>2.1</v>
      </c>
    </row>
    <row r="3555" spans="1:23" hidden="1">
      <c r="A3555" s="3" t="str">
        <f t="shared" si="55"/>
        <v>Período 1</v>
      </c>
      <c r="B3555">
        <v>25588</v>
      </c>
      <c r="C3555" t="s">
        <v>2010</v>
      </c>
      <c r="D3555" t="s">
        <v>5077</v>
      </c>
      <c r="E3555" s="3" t="str">
        <f>IF(LEN(Base_Periodo1[[#This Row],[CLASS]])&gt;=7,LEFT(Base_Periodo1[[#This Row],[CLASS]],7),"")</f>
        <v>2.1.2.2</v>
      </c>
      <c r="F3555" s="3" t="str">
        <f>VLOOKUP(Base_Periodo1[[#This Row],[Aux]],Base_Contas_Balanco[#All],2,FALSE)</f>
        <v>Fornecedores Não Cooperados</v>
      </c>
      <c r="G3555" s="1">
        <v>42880</v>
      </c>
      <c r="H3555" s="225">
        <v>4056</v>
      </c>
      <c r="I3555" s="225">
        <v>6052</v>
      </c>
      <c r="J3555" s="225">
        <v>1996</v>
      </c>
      <c r="K3555" s="225">
        <v>0</v>
      </c>
      <c r="L35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55" s="225">
        <f>ROUND(IF(AND(Base_Periodo1[[#This Row],[Tipo_Linha]]="-",Base_Periodo1[[#This Row],[TIPOSALDO]]="D"),Base_Periodo1[[#This Row],[SALDO_ATUAL]]*-1,Base_Periodo1[[#This Row],[SALDO_ATUAL]]),4)</f>
        <v>0</v>
      </c>
      <c r="N3555" t="s">
        <v>116</v>
      </c>
      <c r="O3555" t="s">
        <v>459</v>
      </c>
      <c r="P3555" t="s">
        <v>436</v>
      </c>
      <c r="Q3555">
        <v>7</v>
      </c>
      <c r="R3555" s="225">
        <f>Base_Periodo1[[#This Row],[CREDITOS]]-Base_Periodo1[[#This Row],[DEBITOS]]</f>
        <v>-4056</v>
      </c>
      <c r="S3555" s="3" t="str">
        <f>IF(ISERROR(VLOOKUP(Base_Periodo1[[#This Row],[CONTA]],BaseContasDRE[#All],4,FALSE)),"Fora do DRE",VLOOKUP(Base_Periodo1[[#This Row],[CONTA]],BaseContasDRE[#All],4,FALSE))</f>
        <v>Fora do DRE</v>
      </c>
      <c r="T3555" s="3" t="str">
        <f>IF(ISERROR(VLOOKUP(Base_Periodo1[[#This Row],[CONTA]],BaseContasDRE[#All],5,FALSE)),"Fora do DRE",VLOOKUP(Base_Periodo1[[#This Row],[CONTA]],BaseContasDRE[#All],6,FALSE))</f>
        <v>Fora do DRE</v>
      </c>
      <c r="U3555" s="3" t="str">
        <f>IF(ISERROR(VLOOKUP(Base_Periodo1[[#This Row],[CONTA]],BaseContasDRE[#All],7,FALSE)),"Fora do DRE",VLOOKUP(Base_Periodo1[[#This Row],[CONTA]],BaseContasDRE[#All],7,FALSE))</f>
        <v>Fora do DRE</v>
      </c>
      <c r="V3555" s="3" t="str">
        <f>IF(Base_Periodo1[[#This Row],[Tipo_Linha]]="Fora do DRE","Fora do DRE","( "&amp;Base_Periodo1[[#This Row],[Tipo_Linha]]&amp;" ) "&amp;Base_Periodo1[[#This Row],[Filtro]])</f>
        <v>Fora do DRE</v>
      </c>
      <c r="W3555" s="3" t="str">
        <f>LEFT(Base_Periodo1[[#This Row],[CLASS]],3)</f>
        <v>2.1</v>
      </c>
    </row>
    <row r="3556" spans="1:23" hidden="1">
      <c r="A3556" s="3" t="str">
        <f t="shared" si="55"/>
        <v>Período 1</v>
      </c>
      <c r="B3556">
        <v>3153</v>
      </c>
      <c r="C3556" t="s">
        <v>2010</v>
      </c>
      <c r="D3556" t="s">
        <v>2063</v>
      </c>
      <c r="E3556" s="3" t="str">
        <f>IF(LEN(Base_Periodo1[[#This Row],[CLASS]])&gt;=7,LEFT(Base_Periodo1[[#This Row],[CLASS]],7),"")</f>
        <v>2.1.2.2</v>
      </c>
      <c r="F3556" s="3" t="str">
        <f>VLOOKUP(Base_Periodo1[[#This Row],[Aux]],Base_Contas_Balanco[#All],2,FALSE)</f>
        <v>Fornecedores Não Cooperados</v>
      </c>
      <c r="G3556" s="1">
        <v>42885</v>
      </c>
      <c r="H3556" s="225">
        <v>6200.7299999999814</v>
      </c>
      <c r="I3556" s="225">
        <v>1000</v>
      </c>
      <c r="J3556" s="225">
        <v>0</v>
      </c>
      <c r="K3556" s="225">
        <v>5200.7299999999814</v>
      </c>
      <c r="L35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5200.7299999999996</v>
      </c>
      <c r="M3556" s="225">
        <f>ROUND(IF(AND(Base_Periodo1[[#This Row],[Tipo_Linha]]="-",Base_Periodo1[[#This Row],[TIPOSALDO]]="D"),Base_Periodo1[[#This Row],[SALDO_ATUAL]]*-1,Base_Periodo1[[#This Row],[SALDO_ATUAL]]),4)</f>
        <v>5200.7299999999996</v>
      </c>
      <c r="N3556" t="s">
        <v>116</v>
      </c>
      <c r="O3556" t="s">
        <v>459</v>
      </c>
      <c r="P3556" t="s">
        <v>459</v>
      </c>
      <c r="Q3556">
        <v>7</v>
      </c>
      <c r="R3556" s="225">
        <f>Base_Periodo1[[#This Row],[CREDITOS]]-Base_Periodo1[[#This Row],[DEBITOS]]</f>
        <v>-1000</v>
      </c>
      <c r="S3556" s="3" t="str">
        <f>IF(ISERROR(VLOOKUP(Base_Periodo1[[#This Row],[CONTA]],BaseContasDRE[#All],4,FALSE)),"Fora do DRE",VLOOKUP(Base_Periodo1[[#This Row],[CONTA]],BaseContasDRE[#All],4,FALSE))</f>
        <v>Fora do DRE</v>
      </c>
      <c r="T3556" s="3" t="str">
        <f>IF(ISERROR(VLOOKUP(Base_Periodo1[[#This Row],[CONTA]],BaseContasDRE[#All],5,FALSE)),"Fora do DRE",VLOOKUP(Base_Periodo1[[#This Row],[CONTA]],BaseContasDRE[#All],6,FALSE))</f>
        <v>Fora do DRE</v>
      </c>
      <c r="U3556" s="3" t="str">
        <f>IF(ISERROR(VLOOKUP(Base_Periodo1[[#This Row],[CONTA]],BaseContasDRE[#All],7,FALSE)),"Fora do DRE",VLOOKUP(Base_Periodo1[[#This Row],[CONTA]],BaseContasDRE[#All],7,FALSE))</f>
        <v>Fora do DRE</v>
      </c>
      <c r="V3556" s="3" t="str">
        <f>IF(Base_Periodo1[[#This Row],[Tipo_Linha]]="Fora do DRE","Fora do DRE","( "&amp;Base_Periodo1[[#This Row],[Tipo_Linha]]&amp;" ) "&amp;Base_Periodo1[[#This Row],[Filtro]])</f>
        <v>Fora do DRE</v>
      </c>
      <c r="W3556" s="3" t="str">
        <f>LEFT(Base_Periodo1[[#This Row],[CLASS]],3)</f>
        <v>2.1</v>
      </c>
    </row>
    <row r="3557" spans="1:23" hidden="1">
      <c r="A3557" s="3" t="str">
        <f t="shared" si="55"/>
        <v>Período 1</v>
      </c>
      <c r="B3557">
        <v>17272</v>
      </c>
      <c r="C3557" t="s">
        <v>2010</v>
      </c>
      <c r="D3557" t="s">
        <v>4954</v>
      </c>
      <c r="E3557" s="3" t="str">
        <f>IF(LEN(Base_Periodo1[[#This Row],[CLASS]])&gt;=7,LEFT(Base_Periodo1[[#This Row],[CLASS]],7),"")</f>
        <v>2.1.2.2</v>
      </c>
      <c r="F3557" s="3" t="str">
        <f>VLOOKUP(Base_Periodo1[[#This Row],[Aux]],Base_Contas_Balanco[#All],2,FALSE)</f>
        <v>Fornecedores Não Cooperados</v>
      </c>
      <c r="G3557" s="1">
        <v>42886</v>
      </c>
      <c r="H3557" s="225">
        <v>590</v>
      </c>
      <c r="I3557" s="225">
        <v>590</v>
      </c>
      <c r="J3557" s="225">
        <v>300</v>
      </c>
      <c r="K3557" s="225">
        <v>300</v>
      </c>
      <c r="L35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300</v>
      </c>
      <c r="M3557" s="225">
        <f>ROUND(IF(AND(Base_Periodo1[[#This Row],[Tipo_Linha]]="-",Base_Periodo1[[#This Row],[TIPOSALDO]]="D"),Base_Periodo1[[#This Row],[SALDO_ATUAL]]*-1,Base_Periodo1[[#This Row],[SALDO_ATUAL]]),4)</f>
        <v>300</v>
      </c>
      <c r="N3557" t="s">
        <v>116</v>
      </c>
      <c r="O3557" t="s">
        <v>459</v>
      </c>
      <c r="P3557" t="s">
        <v>459</v>
      </c>
      <c r="Q3557">
        <v>7</v>
      </c>
      <c r="R3557" s="225">
        <f>Base_Periodo1[[#This Row],[CREDITOS]]-Base_Periodo1[[#This Row],[DEBITOS]]</f>
        <v>-290</v>
      </c>
      <c r="S3557" s="3" t="str">
        <f>IF(ISERROR(VLOOKUP(Base_Periodo1[[#This Row],[CONTA]],BaseContasDRE[#All],4,FALSE)),"Fora do DRE",VLOOKUP(Base_Periodo1[[#This Row],[CONTA]],BaseContasDRE[#All],4,FALSE))</f>
        <v>Fora do DRE</v>
      </c>
      <c r="T3557" s="3" t="str">
        <f>IF(ISERROR(VLOOKUP(Base_Periodo1[[#This Row],[CONTA]],BaseContasDRE[#All],5,FALSE)),"Fora do DRE",VLOOKUP(Base_Periodo1[[#This Row],[CONTA]],BaseContasDRE[#All],6,FALSE))</f>
        <v>Fora do DRE</v>
      </c>
      <c r="U3557" s="3" t="str">
        <f>IF(ISERROR(VLOOKUP(Base_Periodo1[[#This Row],[CONTA]],BaseContasDRE[#All],7,FALSE)),"Fora do DRE",VLOOKUP(Base_Periodo1[[#This Row],[CONTA]],BaseContasDRE[#All],7,FALSE))</f>
        <v>Fora do DRE</v>
      </c>
      <c r="V3557" s="3" t="str">
        <f>IF(Base_Periodo1[[#This Row],[Tipo_Linha]]="Fora do DRE","Fora do DRE","( "&amp;Base_Periodo1[[#This Row],[Tipo_Linha]]&amp;" ) "&amp;Base_Periodo1[[#This Row],[Filtro]])</f>
        <v>Fora do DRE</v>
      </c>
      <c r="W3557" s="3" t="str">
        <f>LEFT(Base_Periodo1[[#This Row],[CLASS]],3)</f>
        <v>2.1</v>
      </c>
    </row>
    <row r="3558" spans="1:23" hidden="1">
      <c r="A3558" s="3" t="str">
        <f t="shared" si="55"/>
        <v>Período 1</v>
      </c>
      <c r="B3558">
        <v>53492</v>
      </c>
      <c r="C3558" t="s">
        <v>2010</v>
      </c>
      <c r="D3558" t="s">
        <v>6467</v>
      </c>
      <c r="E3558" s="3" t="str">
        <f>IF(LEN(Base_Periodo1[[#This Row],[CLASS]])&gt;=7,LEFT(Base_Periodo1[[#This Row],[CLASS]],7),"")</f>
        <v>2.1.2.2</v>
      </c>
      <c r="F3558" s="3" t="str">
        <f>VLOOKUP(Base_Periodo1[[#This Row],[Aux]],Base_Contas_Balanco[#All],2,FALSE)</f>
        <v>Fornecedores Não Cooperados</v>
      </c>
      <c r="G3558" s="1">
        <v>42880</v>
      </c>
      <c r="I3558" s="225">
        <v>0</v>
      </c>
      <c r="J3558" s="225">
        <v>600</v>
      </c>
      <c r="K3558" s="225">
        <v>600</v>
      </c>
      <c r="L35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600</v>
      </c>
      <c r="M3558" s="225">
        <f>ROUND(IF(AND(Base_Periodo1[[#This Row],[Tipo_Linha]]="-",Base_Periodo1[[#This Row],[TIPOSALDO]]="D"),Base_Periodo1[[#This Row],[SALDO_ATUAL]]*-1,Base_Periodo1[[#This Row],[SALDO_ATUAL]]),4)</f>
        <v>600</v>
      </c>
      <c r="N3558" t="s">
        <v>116</v>
      </c>
      <c r="O3558" t="s">
        <v>436</v>
      </c>
      <c r="P3558" t="s">
        <v>459</v>
      </c>
      <c r="Q3558">
        <v>7</v>
      </c>
      <c r="R3558" s="225">
        <f>Base_Periodo1[[#This Row],[CREDITOS]]-Base_Periodo1[[#This Row],[DEBITOS]]</f>
        <v>600</v>
      </c>
      <c r="S3558" s="3" t="str">
        <f>IF(ISERROR(VLOOKUP(Base_Periodo1[[#This Row],[CONTA]],BaseContasDRE[#All],4,FALSE)),"Fora do DRE",VLOOKUP(Base_Periodo1[[#This Row],[CONTA]],BaseContasDRE[#All],4,FALSE))</f>
        <v>Fora do DRE</v>
      </c>
      <c r="T3558" s="3" t="str">
        <f>IF(ISERROR(VLOOKUP(Base_Periodo1[[#This Row],[CONTA]],BaseContasDRE[#All],5,FALSE)),"Fora do DRE",VLOOKUP(Base_Periodo1[[#This Row],[CONTA]],BaseContasDRE[#All],6,FALSE))</f>
        <v>Fora do DRE</v>
      </c>
      <c r="U3558" s="3" t="str">
        <f>IF(ISERROR(VLOOKUP(Base_Periodo1[[#This Row],[CONTA]],BaseContasDRE[#All],7,FALSE)),"Fora do DRE",VLOOKUP(Base_Periodo1[[#This Row],[CONTA]],BaseContasDRE[#All],7,FALSE))</f>
        <v>Fora do DRE</v>
      </c>
      <c r="V3558" s="3" t="str">
        <f>IF(Base_Periodo1[[#This Row],[Tipo_Linha]]="Fora do DRE","Fora do DRE","( "&amp;Base_Periodo1[[#This Row],[Tipo_Linha]]&amp;" ) "&amp;Base_Periodo1[[#This Row],[Filtro]])</f>
        <v>Fora do DRE</v>
      </c>
      <c r="W3558" s="3" t="str">
        <f>LEFT(Base_Periodo1[[#This Row],[CLASS]],3)</f>
        <v>2.1</v>
      </c>
    </row>
    <row r="3559" spans="1:23" hidden="1">
      <c r="A3559" s="3" t="str">
        <f t="shared" si="55"/>
        <v>Período 1</v>
      </c>
      <c r="B3559">
        <v>36471</v>
      </c>
      <c r="C3559" t="s">
        <v>2010</v>
      </c>
      <c r="D3559" t="s">
        <v>6994</v>
      </c>
      <c r="E3559" s="3" t="str">
        <f>IF(LEN(Base_Periodo1[[#This Row],[CLASS]])&gt;=7,LEFT(Base_Periodo1[[#This Row],[CLASS]],7),"")</f>
        <v>2.1.2.2</v>
      </c>
      <c r="F3559" s="3" t="str">
        <f>VLOOKUP(Base_Periodo1[[#This Row],[Aux]],Base_Contas_Balanco[#All],2,FALSE)</f>
        <v>Fornecedores Não Cooperados</v>
      </c>
      <c r="G3559" s="1">
        <v>42860</v>
      </c>
      <c r="I3559" s="225">
        <v>1400</v>
      </c>
      <c r="J3559" s="225">
        <v>1400</v>
      </c>
      <c r="K3559" s="225">
        <v>0</v>
      </c>
      <c r="L35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59" s="225">
        <f>ROUND(IF(AND(Base_Periodo1[[#This Row],[Tipo_Linha]]="-",Base_Periodo1[[#This Row],[TIPOSALDO]]="D"),Base_Periodo1[[#This Row],[SALDO_ATUAL]]*-1,Base_Periodo1[[#This Row],[SALDO_ATUAL]]),4)</f>
        <v>0</v>
      </c>
      <c r="N3559" t="s">
        <v>116</v>
      </c>
      <c r="O3559" t="s">
        <v>436</v>
      </c>
      <c r="P3559" t="s">
        <v>436</v>
      </c>
      <c r="Q3559">
        <v>7</v>
      </c>
      <c r="R3559" s="225">
        <f>Base_Periodo1[[#This Row],[CREDITOS]]-Base_Periodo1[[#This Row],[DEBITOS]]</f>
        <v>0</v>
      </c>
      <c r="S3559" s="3" t="str">
        <f>IF(ISERROR(VLOOKUP(Base_Periodo1[[#This Row],[CONTA]],BaseContasDRE[#All],4,FALSE)),"Fora do DRE",VLOOKUP(Base_Periodo1[[#This Row],[CONTA]],BaseContasDRE[#All],4,FALSE))</f>
        <v>Fora do DRE</v>
      </c>
      <c r="T3559" s="3" t="str">
        <f>IF(ISERROR(VLOOKUP(Base_Periodo1[[#This Row],[CONTA]],BaseContasDRE[#All],5,FALSE)),"Fora do DRE",VLOOKUP(Base_Periodo1[[#This Row],[CONTA]],BaseContasDRE[#All],6,FALSE))</f>
        <v>Fora do DRE</v>
      </c>
      <c r="U3559" s="3" t="str">
        <f>IF(ISERROR(VLOOKUP(Base_Periodo1[[#This Row],[CONTA]],BaseContasDRE[#All],7,FALSE)),"Fora do DRE",VLOOKUP(Base_Periodo1[[#This Row],[CONTA]],BaseContasDRE[#All],7,FALSE))</f>
        <v>Fora do DRE</v>
      </c>
      <c r="V3559" s="3" t="str">
        <f>IF(Base_Periodo1[[#This Row],[Tipo_Linha]]="Fora do DRE","Fora do DRE","( "&amp;Base_Periodo1[[#This Row],[Tipo_Linha]]&amp;" ) "&amp;Base_Periodo1[[#This Row],[Filtro]])</f>
        <v>Fora do DRE</v>
      </c>
      <c r="W3559" s="3" t="str">
        <f>LEFT(Base_Periodo1[[#This Row],[CLASS]],3)</f>
        <v>2.1</v>
      </c>
    </row>
    <row r="3560" spans="1:23" hidden="1">
      <c r="A3560" s="3" t="str">
        <f t="shared" si="55"/>
        <v>Período 1</v>
      </c>
      <c r="B3560">
        <v>39307</v>
      </c>
      <c r="C3560" t="s">
        <v>2010</v>
      </c>
      <c r="D3560" t="s">
        <v>5078</v>
      </c>
      <c r="E3560" s="3" t="str">
        <f>IF(LEN(Base_Periodo1[[#This Row],[CLASS]])&gt;=7,LEFT(Base_Periodo1[[#This Row],[CLASS]],7),"")</f>
        <v>2.1.2.2</v>
      </c>
      <c r="F3560" s="3" t="str">
        <f>VLOOKUP(Base_Periodo1[[#This Row],[Aux]],Base_Contas_Balanco[#All],2,FALSE)</f>
        <v>Fornecedores Não Cooperados</v>
      </c>
      <c r="G3560" s="1">
        <v>42879</v>
      </c>
      <c r="I3560" s="225">
        <v>9210</v>
      </c>
      <c r="J3560" s="225">
        <v>9210</v>
      </c>
      <c r="K3560" s="225">
        <v>0</v>
      </c>
      <c r="L35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60" s="225">
        <f>ROUND(IF(AND(Base_Periodo1[[#This Row],[Tipo_Linha]]="-",Base_Periodo1[[#This Row],[TIPOSALDO]]="D"),Base_Periodo1[[#This Row],[SALDO_ATUAL]]*-1,Base_Periodo1[[#This Row],[SALDO_ATUAL]]),4)</f>
        <v>0</v>
      </c>
      <c r="N3560" t="s">
        <v>116</v>
      </c>
      <c r="O3560" t="s">
        <v>436</v>
      </c>
      <c r="P3560" t="s">
        <v>436</v>
      </c>
      <c r="Q3560">
        <v>7</v>
      </c>
      <c r="R3560" s="225">
        <f>Base_Periodo1[[#This Row],[CREDITOS]]-Base_Periodo1[[#This Row],[DEBITOS]]</f>
        <v>0</v>
      </c>
      <c r="S3560" s="3" t="str">
        <f>IF(ISERROR(VLOOKUP(Base_Periodo1[[#This Row],[CONTA]],BaseContasDRE[#All],4,FALSE)),"Fora do DRE",VLOOKUP(Base_Periodo1[[#This Row],[CONTA]],BaseContasDRE[#All],4,FALSE))</f>
        <v>Fora do DRE</v>
      </c>
      <c r="T3560" s="3" t="str">
        <f>IF(ISERROR(VLOOKUP(Base_Periodo1[[#This Row],[CONTA]],BaseContasDRE[#All],5,FALSE)),"Fora do DRE",VLOOKUP(Base_Periodo1[[#This Row],[CONTA]],BaseContasDRE[#All],6,FALSE))</f>
        <v>Fora do DRE</v>
      </c>
      <c r="U3560" s="3" t="str">
        <f>IF(ISERROR(VLOOKUP(Base_Periodo1[[#This Row],[CONTA]],BaseContasDRE[#All],7,FALSE)),"Fora do DRE",VLOOKUP(Base_Periodo1[[#This Row],[CONTA]],BaseContasDRE[#All],7,FALSE))</f>
        <v>Fora do DRE</v>
      </c>
      <c r="V3560" s="3" t="str">
        <f>IF(Base_Periodo1[[#This Row],[Tipo_Linha]]="Fora do DRE","Fora do DRE","( "&amp;Base_Periodo1[[#This Row],[Tipo_Linha]]&amp;" ) "&amp;Base_Periodo1[[#This Row],[Filtro]])</f>
        <v>Fora do DRE</v>
      </c>
      <c r="W3560" s="3" t="str">
        <f>LEFT(Base_Periodo1[[#This Row],[CLASS]],3)</f>
        <v>2.1</v>
      </c>
    </row>
    <row r="3561" spans="1:23" hidden="1">
      <c r="A3561" s="3" t="str">
        <f t="shared" si="55"/>
        <v>Período 1</v>
      </c>
      <c r="B3561">
        <v>40916</v>
      </c>
      <c r="C3561" t="s">
        <v>2010</v>
      </c>
      <c r="D3561" t="s">
        <v>2064</v>
      </c>
      <c r="E3561" s="3" t="str">
        <f>IF(LEN(Base_Periodo1[[#This Row],[CLASS]])&gt;=7,LEFT(Base_Periodo1[[#This Row],[CLASS]],7),"")</f>
        <v>2.1.2.2</v>
      </c>
      <c r="F3561" s="3" t="str">
        <f>VLOOKUP(Base_Periodo1[[#This Row],[Aux]],Base_Contas_Balanco[#All],2,FALSE)</f>
        <v>Fornecedores Não Cooperados</v>
      </c>
      <c r="G3561" s="1"/>
      <c r="H3561" s="225">
        <v>1080.96</v>
      </c>
      <c r="I3561" s="225">
        <v>0</v>
      </c>
      <c r="J3561" s="225">
        <v>0</v>
      </c>
      <c r="K3561" s="225">
        <v>1080.96</v>
      </c>
      <c r="L35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1080.96</v>
      </c>
      <c r="M3561" s="225">
        <f>ROUND(IF(AND(Base_Periodo1[[#This Row],[Tipo_Linha]]="-",Base_Periodo1[[#This Row],[TIPOSALDO]]="D"),Base_Periodo1[[#This Row],[SALDO_ATUAL]]*-1,Base_Periodo1[[#This Row],[SALDO_ATUAL]]),4)</f>
        <v>1080.96</v>
      </c>
      <c r="N3561" t="s">
        <v>116</v>
      </c>
      <c r="O3561" t="s">
        <v>459</v>
      </c>
      <c r="P3561" t="s">
        <v>459</v>
      </c>
      <c r="Q3561">
        <v>7</v>
      </c>
      <c r="R3561" s="225">
        <f>Base_Periodo1[[#This Row],[CREDITOS]]-Base_Periodo1[[#This Row],[DEBITOS]]</f>
        <v>0</v>
      </c>
      <c r="S3561" s="3" t="str">
        <f>IF(ISERROR(VLOOKUP(Base_Periodo1[[#This Row],[CONTA]],BaseContasDRE[#All],4,FALSE)),"Fora do DRE",VLOOKUP(Base_Periodo1[[#This Row],[CONTA]],BaseContasDRE[#All],4,FALSE))</f>
        <v>Fora do DRE</v>
      </c>
      <c r="T3561" s="3" t="str">
        <f>IF(ISERROR(VLOOKUP(Base_Periodo1[[#This Row],[CONTA]],BaseContasDRE[#All],5,FALSE)),"Fora do DRE",VLOOKUP(Base_Periodo1[[#This Row],[CONTA]],BaseContasDRE[#All],6,FALSE))</f>
        <v>Fora do DRE</v>
      </c>
      <c r="U3561" s="3" t="str">
        <f>IF(ISERROR(VLOOKUP(Base_Periodo1[[#This Row],[CONTA]],BaseContasDRE[#All],7,FALSE)),"Fora do DRE",VLOOKUP(Base_Periodo1[[#This Row],[CONTA]],BaseContasDRE[#All],7,FALSE))</f>
        <v>Fora do DRE</v>
      </c>
      <c r="V3561" s="3" t="str">
        <f>IF(Base_Periodo1[[#This Row],[Tipo_Linha]]="Fora do DRE","Fora do DRE","( "&amp;Base_Periodo1[[#This Row],[Tipo_Linha]]&amp;" ) "&amp;Base_Periodo1[[#This Row],[Filtro]])</f>
        <v>Fora do DRE</v>
      </c>
      <c r="W3561" s="3" t="str">
        <f>LEFT(Base_Periodo1[[#This Row],[CLASS]],3)</f>
        <v>2.1</v>
      </c>
    </row>
    <row r="3562" spans="1:23" hidden="1">
      <c r="A3562" s="3" t="str">
        <f t="shared" si="55"/>
        <v>Período 1</v>
      </c>
      <c r="B3562">
        <v>23478</v>
      </c>
      <c r="C3562" t="s">
        <v>2010</v>
      </c>
      <c r="D3562" t="s">
        <v>6995</v>
      </c>
      <c r="E3562" s="3" t="str">
        <f>IF(LEN(Base_Periodo1[[#This Row],[CLASS]])&gt;=7,LEFT(Base_Periodo1[[#This Row],[CLASS]],7),"")</f>
        <v>2.1.2.2</v>
      </c>
      <c r="F3562" s="3" t="str">
        <f>VLOOKUP(Base_Periodo1[[#This Row],[Aux]],Base_Contas_Balanco[#All],2,FALSE)</f>
        <v>Fornecedores Não Cooperados</v>
      </c>
      <c r="G3562" s="1">
        <v>42886</v>
      </c>
      <c r="I3562" s="225">
        <v>0</v>
      </c>
      <c r="J3562" s="225">
        <v>9310</v>
      </c>
      <c r="K3562" s="225">
        <v>9310</v>
      </c>
      <c r="L35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9310</v>
      </c>
      <c r="M3562" s="225">
        <f>ROUND(IF(AND(Base_Periodo1[[#This Row],[Tipo_Linha]]="-",Base_Periodo1[[#This Row],[TIPOSALDO]]="D"),Base_Periodo1[[#This Row],[SALDO_ATUAL]]*-1,Base_Periodo1[[#This Row],[SALDO_ATUAL]]),4)</f>
        <v>9310</v>
      </c>
      <c r="N3562" t="s">
        <v>116</v>
      </c>
      <c r="O3562" t="s">
        <v>436</v>
      </c>
      <c r="P3562" t="s">
        <v>459</v>
      </c>
      <c r="Q3562">
        <v>7</v>
      </c>
      <c r="R3562" s="225">
        <f>Base_Periodo1[[#This Row],[CREDITOS]]-Base_Periodo1[[#This Row],[DEBITOS]]</f>
        <v>9310</v>
      </c>
      <c r="S3562" s="3" t="str">
        <f>IF(ISERROR(VLOOKUP(Base_Periodo1[[#This Row],[CONTA]],BaseContasDRE[#All],4,FALSE)),"Fora do DRE",VLOOKUP(Base_Periodo1[[#This Row],[CONTA]],BaseContasDRE[#All],4,FALSE))</f>
        <v>Fora do DRE</v>
      </c>
      <c r="T3562" s="3" t="str">
        <f>IF(ISERROR(VLOOKUP(Base_Periodo1[[#This Row],[CONTA]],BaseContasDRE[#All],5,FALSE)),"Fora do DRE",VLOOKUP(Base_Periodo1[[#This Row],[CONTA]],BaseContasDRE[#All],6,FALSE))</f>
        <v>Fora do DRE</v>
      </c>
      <c r="U3562" s="3" t="str">
        <f>IF(ISERROR(VLOOKUP(Base_Periodo1[[#This Row],[CONTA]],BaseContasDRE[#All],7,FALSE)),"Fora do DRE",VLOOKUP(Base_Periodo1[[#This Row],[CONTA]],BaseContasDRE[#All],7,FALSE))</f>
        <v>Fora do DRE</v>
      </c>
      <c r="V3562" s="3" t="str">
        <f>IF(Base_Periodo1[[#This Row],[Tipo_Linha]]="Fora do DRE","Fora do DRE","( "&amp;Base_Periodo1[[#This Row],[Tipo_Linha]]&amp;" ) "&amp;Base_Periodo1[[#This Row],[Filtro]])</f>
        <v>Fora do DRE</v>
      </c>
      <c r="W3562" s="3" t="str">
        <f>LEFT(Base_Periodo1[[#This Row],[CLASS]],3)</f>
        <v>2.1</v>
      </c>
    </row>
    <row r="3563" spans="1:23" hidden="1">
      <c r="A3563" s="3" t="str">
        <f t="shared" si="55"/>
        <v>Período 1</v>
      </c>
      <c r="B3563">
        <v>44164</v>
      </c>
      <c r="C3563" t="s">
        <v>2010</v>
      </c>
      <c r="D3563" t="s">
        <v>2065</v>
      </c>
      <c r="E3563" s="3" t="str">
        <f>IF(LEN(Base_Periodo1[[#This Row],[CLASS]])&gt;=7,LEFT(Base_Periodo1[[#This Row],[CLASS]],7),"")</f>
        <v>2.1.2.2</v>
      </c>
      <c r="F3563" s="3" t="str">
        <f>VLOOKUP(Base_Periodo1[[#This Row],[Aux]],Base_Contas_Balanco[#All],2,FALSE)</f>
        <v>Fornecedores Não Cooperados</v>
      </c>
      <c r="G3563" s="1"/>
      <c r="H3563" s="225">
        <v>2289.88</v>
      </c>
      <c r="I3563" s="225">
        <v>0</v>
      </c>
      <c r="J3563" s="225">
        <v>0</v>
      </c>
      <c r="K3563" s="225">
        <v>2289.88</v>
      </c>
      <c r="L35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2289.88</v>
      </c>
      <c r="M3563" s="225">
        <f>ROUND(IF(AND(Base_Periodo1[[#This Row],[Tipo_Linha]]="-",Base_Periodo1[[#This Row],[TIPOSALDO]]="D"),Base_Periodo1[[#This Row],[SALDO_ATUAL]]*-1,Base_Periodo1[[#This Row],[SALDO_ATUAL]]),4)</f>
        <v>2289.88</v>
      </c>
      <c r="N3563" t="s">
        <v>116</v>
      </c>
      <c r="O3563" t="s">
        <v>459</v>
      </c>
      <c r="P3563" t="s">
        <v>459</v>
      </c>
      <c r="Q3563">
        <v>7</v>
      </c>
      <c r="R3563" s="225">
        <f>Base_Periodo1[[#This Row],[CREDITOS]]-Base_Periodo1[[#This Row],[DEBITOS]]</f>
        <v>0</v>
      </c>
      <c r="S3563" s="3" t="str">
        <f>IF(ISERROR(VLOOKUP(Base_Periodo1[[#This Row],[CONTA]],BaseContasDRE[#All],4,FALSE)),"Fora do DRE",VLOOKUP(Base_Periodo1[[#This Row],[CONTA]],BaseContasDRE[#All],4,FALSE))</f>
        <v>Fora do DRE</v>
      </c>
      <c r="T3563" s="3" t="str">
        <f>IF(ISERROR(VLOOKUP(Base_Periodo1[[#This Row],[CONTA]],BaseContasDRE[#All],5,FALSE)),"Fora do DRE",VLOOKUP(Base_Periodo1[[#This Row],[CONTA]],BaseContasDRE[#All],6,FALSE))</f>
        <v>Fora do DRE</v>
      </c>
      <c r="U3563" s="3" t="str">
        <f>IF(ISERROR(VLOOKUP(Base_Periodo1[[#This Row],[CONTA]],BaseContasDRE[#All],7,FALSE)),"Fora do DRE",VLOOKUP(Base_Periodo1[[#This Row],[CONTA]],BaseContasDRE[#All],7,FALSE))</f>
        <v>Fora do DRE</v>
      </c>
      <c r="V3563" s="3" t="str">
        <f>IF(Base_Periodo1[[#This Row],[Tipo_Linha]]="Fora do DRE","Fora do DRE","( "&amp;Base_Periodo1[[#This Row],[Tipo_Linha]]&amp;" ) "&amp;Base_Periodo1[[#This Row],[Filtro]])</f>
        <v>Fora do DRE</v>
      </c>
      <c r="W3563" s="3" t="str">
        <f>LEFT(Base_Periodo1[[#This Row],[CLASS]],3)</f>
        <v>2.1</v>
      </c>
    </row>
    <row r="3564" spans="1:23" hidden="1">
      <c r="A3564" s="3" t="str">
        <f t="shared" si="55"/>
        <v>Período 1</v>
      </c>
      <c r="B3564">
        <v>58771</v>
      </c>
      <c r="C3564" t="s">
        <v>2010</v>
      </c>
      <c r="D3564" t="s">
        <v>6996</v>
      </c>
      <c r="E3564" s="3" t="str">
        <f>IF(LEN(Base_Periodo1[[#This Row],[CLASS]])&gt;=7,LEFT(Base_Periodo1[[#This Row],[CLASS]],7),"")</f>
        <v>2.1.2.2</v>
      </c>
      <c r="F3564" s="3" t="str">
        <f>VLOOKUP(Base_Periodo1[[#This Row],[Aux]],Base_Contas_Balanco[#All],2,FALSE)</f>
        <v>Fornecedores Não Cooperados</v>
      </c>
      <c r="G3564" s="1">
        <v>42886</v>
      </c>
      <c r="I3564" s="225">
        <v>1638.22</v>
      </c>
      <c r="J3564" s="225">
        <v>819120.86</v>
      </c>
      <c r="K3564" s="225">
        <v>817482.64</v>
      </c>
      <c r="L35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817482.64</v>
      </c>
      <c r="M3564" s="225">
        <f>ROUND(IF(AND(Base_Periodo1[[#This Row],[Tipo_Linha]]="-",Base_Periodo1[[#This Row],[TIPOSALDO]]="D"),Base_Periodo1[[#This Row],[SALDO_ATUAL]]*-1,Base_Periodo1[[#This Row],[SALDO_ATUAL]]),4)</f>
        <v>817482.64</v>
      </c>
      <c r="N3564" t="s">
        <v>116</v>
      </c>
      <c r="O3564" t="s">
        <v>436</v>
      </c>
      <c r="P3564" t="s">
        <v>459</v>
      </c>
      <c r="Q3564">
        <v>7</v>
      </c>
      <c r="R3564" s="225">
        <f>Base_Periodo1[[#This Row],[CREDITOS]]-Base_Periodo1[[#This Row],[DEBITOS]]</f>
        <v>817482.64</v>
      </c>
      <c r="S3564" s="3" t="str">
        <f>IF(ISERROR(VLOOKUP(Base_Periodo1[[#This Row],[CONTA]],BaseContasDRE[#All],4,FALSE)),"Fora do DRE",VLOOKUP(Base_Periodo1[[#This Row],[CONTA]],BaseContasDRE[#All],4,FALSE))</f>
        <v>Fora do DRE</v>
      </c>
      <c r="T3564" s="3" t="str">
        <f>IF(ISERROR(VLOOKUP(Base_Periodo1[[#This Row],[CONTA]],BaseContasDRE[#All],5,FALSE)),"Fora do DRE",VLOOKUP(Base_Periodo1[[#This Row],[CONTA]],BaseContasDRE[#All],6,FALSE))</f>
        <v>Fora do DRE</v>
      </c>
      <c r="U3564" s="3" t="str">
        <f>IF(ISERROR(VLOOKUP(Base_Periodo1[[#This Row],[CONTA]],BaseContasDRE[#All],7,FALSE)),"Fora do DRE",VLOOKUP(Base_Periodo1[[#This Row],[CONTA]],BaseContasDRE[#All],7,FALSE))</f>
        <v>Fora do DRE</v>
      </c>
      <c r="V3564" s="3" t="str">
        <f>IF(Base_Periodo1[[#This Row],[Tipo_Linha]]="Fora do DRE","Fora do DRE","( "&amp;Base_Periodo1[[#This Row],[Tipo_Linha]]&amp;" ) "&amp;Base_Periodo1[[#This Row],[Filtro]])</f>
        <v>Fora do DRE</v>
      </c>
      <c r="W3564" s="3" t="str">
        <f>LEFT(Base_Periodo1[[#This Row],[CLASS]],3)</f>
        <v>2.1</v>
      </c>
    </row>
    <row r="3565" spans="1:23" hidden="1">
      <c r="A3565" s="3" t="str">
        <f t="shared" si="55"/>
        <v>Período 1</v>
      </c>
      <c r="B3565">
        <v>28180</v>
      </c>
      <c r="C3565" t="s">
        <v>2010</v>
      </c>
      <c r="D3565" t="s">
        <v>4613</v>
      </c>
      <c r="E3565" s="3" t="str">
        <f>IF(LEN(Base_Periodo1[[#This Row],[CLASS]])&gt;=7,LEFT(Base_Periodo1[[#This Row],[CLASS]],7),"")</f>
        <v>2.1.2.2</v>
      </c>
      <c r="F3565" s="3" t="str">
        <f>VLOOKUP(Base_Periodo1[[#This Row],[Aux]],Base_Contas_Balanco[#All],2,FALSE)</f>
        <v>Fornecedores Não Cooperados</v>
      </c>
      <c r="G3565" s="1">
        <v>42885</v>
      </c>
      <c r="I3565" s="225">
        <v>15425.699999999999</v>
      </c>
      <c r="J3565" s="225">
        <v>17219.870000000003</v>
      </c>
      <c r="K3565" s="225">
        <v>1794.1699999997709</v>
      </c>
      <c r="L35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1794.17</v>
      </c>
      <c r="M3565" s="225">
        <f>ROUND(IF(AND(Base_Periodo1[[#This Row],[Tipo_Linha]]="-",Base_Periodo1[[#This Row],[TIPOSALDO]]="D"),Base_Periodo1[[#This Row],[SALDO_ATUAL]]*-1,Base_Periodo1[[#This Row],[SALDO_ATUAL]]),4)</f>
        <v>1794.17</v>
      </c>
      <c r="N3565" t="s">
        <v>116</v>
      </c>
      <c r="O3565" t="s">
        <v>436</v>
      </c>
      <c r="P3565" t="s">
        <v>459</v>
      </c>
      <c r="Q3565">
        <v>7</v>
      </c>
      <c r="R3565" s="225">
        <f>Base_Periodo1[[#This Row],[CREDITOS]]-Base_Periodo1[[#This Row],[DEBITOS]]</f>
        <v>1794.1700000000037</v>
      </c>
      <c r="S3565" s="3" t="str">
        <f>IF(ISERROR(VLOOKUP(Base_Periodo1[[#This Row],[CONTA]],BaseContasDRE[#All],4,FALSE)),"Fora do DRE",VLOOKUP(Base_Periodo1[[#This Row],[CONTA]],BaseContasDRE[#All],4,FALSE))</f>
        <v>Fora do DRE</v>
      </c>
      <c r="T3565" s="3" t="str">
        <f>IF(ISERROR(VLOOKUP(Base_Periodo1[[#This Row],[CONTA]],BaseContasDRE[#All],5,FALSE)),"Fora do DRE",VLOOKUP(Base_Periodo1[[#This Row],[CONTA]],BaseContasDRE[#All],6,FALSE))</f>
        <v>Fora do DRE</v>
      </c>
      <c r="U3565" s="3" t="str">
        <f>IF(ISERROR(VLOOKUP(Base_Periodo1[[#This Row],[CONTA]],BaseContasDRE[#All],7,FALSE)),"Fora do DRE",VLOOKUP(Base_Periodo1[[#This Row],[CONTA]],BaseContasDRE[#All],7,FALSE))</f>
        <v>Fora do DRE</v>
      </c>
      <c r="V3565" s="3" t="str">
        <f>IF(Base_Periodo1[[#This Row],[Tipo_Linha]]="Fora do DRE","Fora do DRE","( "&amp;Base_Periodo1[[#This Row],[Tipo_Linha]]&amp;" ) "&amp;Base_Periodo1[[#This Row],[Filtro]])</f>
        <v>Fora do DRE</v>
      </c>
      <c r="W3565" s="3" t="str">
        <f>LEFT(Base_Periodo1[[#This Row],[CLASS]],3)</f>
        <v>2.1</v>
      </c>
    </row>
    <row r="3566" spans="1:23" hidden="1">
      <c r="A3566" s="3" t="str">
        <f t="shared" si="55"/>
        <v>Período 1</v>
      </c>
      <c r="B3566">
        <v>10497</v>
      </c>
      <c r="C3566" t="s">
        <v>2010</v>
      </c>
      <c r="D3566" t="s">
        <v>6997</v>
      </c>
      <c r="E3566" s="3" t="str">
        <f>IF(LEN(Base_Periodo1[[#This Row],[CLASS]])&gt;=7,LEFT(Base_Periodo1[[#This Row],[CLASS]],7),"")</f>
        <v>2.1.2.2</v>
      </c>
      <c r="F3566" s="3" t="str">
        <f>VLOOKUP(Base_Periodo1[[#This Row],[Aux]],Base_Contas_Balanco[#All],2,FALSE)</f>
        <v>Fornecedores Não Cooperados</v>
      </c>
      <c r="G3566" s="1">
        <v>42881</v>
      </c>
      <c r="I3566" s="225">
        <v>0</v>
      </c>
      <c r="J3566" s="225">
        <v>4350</v>
      </c>
      <c r="K3566" s="225">
        <v>4350</v>
      </c>
      <c r="L35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4350</v>
      </c>
      <c r="M3566" s="225">
        <f>ROUND(IF(AND(Base_Periodo1[[#This Row],[Tipo_Linha]]="-",Base_Periodo1[[#This Row],[TIPOSALDO]]="D"),Base_Periodo1[[#This Row],[SALDO_ATUAL]]*-1,Base_Periodo1[[#This Row],[SALDO_ATUAL]]),4)</f>
        <v>4350</v>
      </c>
      <c r="N3566" t="s">
        <v>116</v>
      </c>
      <c r="O3566" t="s">
        <v>436</v>
      </c>
      <c r="P3566" t="s">
        <v>459</v>
      </c>
      <c r="Q3566">
        <v>7</v>
      </c>
      <c r="R3566" s="225">
        <f>Base_Periodo1[[#This Row],[CREDITOS]]-Base_Periodo1[[#This Row],[DEBITOS]]</f>
        <v>4350</v>
      </c>
      <c r="S3566" s="3" t="str">
        <f>IF(ISERROR(VLOOKUP(Base_Periodo1[[#This Row],[CONTA]],BaseContasDRE[#All],4,FALSE)),"Fora do DRE",VLOOKUP(Base_Periodo1[[#This Row],[CONTA]],BaseContasDRE[#All],4,FALSE))</f>
        <v>Fora do DRE</v>
      </c>
      <c r="T3566" s="3" t="str">
        <f>IF(ISERROR(VLOOKUP(Base_Periodo1[[#This Row],[CONTA]],BaseContasDRE[#All],5,FALSE)),"Fora do DRE",VLOOKUP(Base_Periodo1[[#This Row],[CONTA]],BaseContasDRE[#All],6,FALSE))</f>
        <v>Fora do DRE</v>
      </c>
      <c r="U3566" s="3" t="str">
        <f>IF(ISERROR(VLOOKUP(Base_Periodo1[[#This Row],[CONTA]],BaseContasDRE[#All],7,FALSE)),"Fora do DRE",VLOOKUP(Base_Periodo1[[#This Row],[CONTA]],BaseContasDRE[#All],7,FALSE))</f>
        <v>Fora do DRE</v>
      </c>
      <c r="V3566" s="3" t="str">
        <f>IF(Base_Periodo1[[#This Row],[Tipo_Linha]]="Fora do DRE","Fora do DRE","( "&amp;Base_Periodo1[[#This Row],[Tipo_Linha]]&amp;" ) "&amp;Base_Periodo1[[#This Row],[Filtro]])</f>
        <v>Fora do DRE</v>
      </c>
      <c r="W3566" s="3" t="str">
        <f>LEFT(Base_Periodo1[[#This Row],[CLASS]],3)</f>
        <v>2.1</v>
      </c>
    </row>
    <row r="3567" spans="1:23" hidden="1">
      <c r="A3567" s="3" t="str">
        <f t="shared" si="55"/>
        <v>Período 1</v>
      </c>
      <c r="B3567">
        <v>51356</v>
      </c>
      <c r="C3567" t="s">
        <v>2010</v>
      </c>
      <c r="D3567" t="s">
        <v>6998</v>
      </c>
      <c r="E3567" s="3" t="str">
        <f>IF(LEN(Base_Periodo1[[#This Row],[CLASS]])&gt;=7,LEFT(Base_Periodo1[[#This Row],[CLASS]],7),"")</f>
        <v>2.1.2.2</v>
      </c>
      <c r="F3567" s="3" t="str">
        <f>VLOOKUP(Base_Periodo1[[#This Row],[Aux]],Base_Contas_Balanco[#All],2,FALSE)</f>
        <v>Fornecedores Não Cooperados</v>
      </c>
      <c r="G3567" s="1">
        <v>42881</v>
      </c>
      <c r="I3567" s="225">
        <v>9065</v>
      </c>
      <c r="J3567" s="225">
        <v>9065</v>
      </c>
      <c r="K3567" s="225">
        <v>-7.2759576141834259E-12</v>
      </c>
      <c r="L35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67" s="225">
        <f>ROUND(IF(AND(Base_Periodo1[[#This Row],[Tipo_Linha]]="-",Base_Periodo1[[#This Row],[TIPOSALDO]]="D"),Base_Periodo1[[#This Row],[SALDO_ATUAL]]*-1,Base_Periodo1[[#This Row],[SALDO_ATUAL]]),4)</f>
        <v>0</v>
      </c>
      <c r="N3567" t="s">
        <v>116</v>
      </c>
      <c r="O3567" t="s">
        <v>436</v>
      </c>
      <c r="P3567" t="s">
        <v>436</v>
      </c>
      <c r="Q3567">
        <v>7</v>
      </c>
      <c r="R3567" s="225">
        <f>Base_Periodo1[[#This Row],[CREDITOS]]-Base_Periodo1[[#This Row],[DEBITOS]]</f>
        <v>0</v>
      </c>
      <c r="S3567" s="3" t="str">
        <f>IF(ISERROR(VLOOKUP(Base_Periodo1[[#This Row],[CONTA]],BaseContasDRE[#All],4,FALSE)),"Fora do DRE",VLOOKUP(Base_Periodo1[[#This Row],[CONTA]],BaseContasDRE[#All],4,FALSE))</f>
        <v>Fora do DRE</v>
      </c>
      <c r="T3567" s="3" t="str">
        <f>IF(ISERROR(VLOOKUP(Base_Periodo1[[#This Row],[CONTA]],BaseContasDRE[#All],5,FALSE)),"Fora do DRE",VLOOKUP(Base_Periodo1[[#This Row],[CONTA]],BaseContasDRE[#All],6,FALSE))</f>
        <v>Fora do DRE</v>
      </c>
      <c r="U3567" s="3" t="str">
        <f>IF(ISERROR(VLOOKUP(Base_Periodo1[[#This Row],[CONTA]],BaseContasDRE[#All],7,FALSE)),"Fora do DRE",VLOOKUP(Base_Periodo1[[#This Row],[CONTA]],BaseContasDRE[#All],7,FALSE))</f>
        <v>Fora do DRE</v>
      </c>
      <c r="V3567" s="3" t="str">
        <f>IF(Base_Periodo1[[#This Row],[Tipo_Linha]]="Fora do DRE","Fora do DRE","( "&amp;Base_Periodo1[[#This Row],[Tipo_Linha]]&amp;" ) "&amp;Base_Periodo1[[#This Row],[Filtro]])</f>
        <v>Fora do DRE</v>
      </c>
      <c r="W3567" s="3" t="str">
        <f>LEFT(Base_Periodo1[[#This Row],[CLASS]],3)</f>
        <v>2.1</v>
      </c>
    </row>
    <row r="3568" spans="1:23" hidden="1">
      <c r="A3568" s="3" t="str">
        <f t="shared" si="55"/>
        <v>Período 1</v>
      </c>
      <c r="B3568">
        <v>23803</v>
      </c>
      <c r="C3568" t="s">
        <v>2010</v>
      </c>
      <c r="D3568" t="s">
        <v>5972</v>
      </c>
      <c r="E3568" s="3" t="str">
        <f>IF(LEN(Base_Periodo1[[#This Row],[CLASS]])&gt;=7,LEFT(Base_Periodo1[[#This Row],[CLASS]],7),"")</f>
        <v>2.1.2.2</v>
      </c>
      <c r="F3568" s="3" t="str">
        <f>VLOOKUP(Base_Periodo1[[#This Row],[Aux]],Base_Contas_Balanco[#All],2,FALSE)</f>
        <v>Fornecedores Não Cooperados</v>
      </c>
      <c r="G3568" s="1">
        <v>42886</v>
      </c>
      <c r="H3568" s="225">
        <v>228.00000000000364</v>
      </c>
      <c r="I3568" s="225">
        <v>3224.5</v>
      </c>
      <c r="J3568" s="225">
        <v>2996.5</v>
      </c>
      <c r="K3568" s="225">
        <v>-3.637978807091713E-12</v>
      </c>
      <c r="L35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68" s="225">
        <f>ROUND(IF(AND(Base_Periodo1[[#This Row],[Tipo_Linha]]="-",Base_Periodo1[[#This Row],[TIPOSALDO]]="D"),Base_Periodo1[[#This Row],[SALDO_ATUAL]]*-1,Base_Periodo1[[#This Row],[SALDO_ATUAL]]),4)</f>
        <v>0</v>
      </c>
      <c r="N3568" t="s">
        <v>116</v>
      </c>
      <c r="O3568" t="s">
        <v>459</v>
      </c>
      <c r="P3568" t="s">
        <v>436</v>
      </c>
      <c r="Q3568">
        <v>7</v>
      </c>
      <c r="R3568" s="225">
        <f>Base_Periodo1[[#This Row],[CREDITOS]]-Base_Periodo1[[#This Row],[DEBITOS]]</f>
        <v>-228</v>
      </c>
      <c r="S3568" s="3" t="str">
        <f>IF(ISERROR(VLOOKUP(Base_Periodo1[[#This Row],[CONTA]],BaseContasDRE[#All],4,FALSE)),"Fora do DRE",VLOOKUP(Base_Periodo1[[#This Row],[CONTA]],BaseContasDRE[#All],4,FALSE))</f>
        <v>Fora do DRE</v>
      </c>
      <c r="T3568" s="3" t="str">
        <f>IF(ISERROR(VLOOKUP(Base_Periodo1[[#This Row],[CONTA]],BaseContasDRE[#All],5,FALSE)),"Fora do DRE",VLOOKUP(Base_Periodo1[[#This Row],[CONTA]],BaseContasDRE[#All],6,FALSE))</f>
        <v>Fora do DRE</v>
      </c>
      <c r="U3568" s="3" t="str">
        <f>IF(ISERROR(VLOOKUP(Base_Periodo1[[#This Row],[CONTA]],BaseContasDRE[#All],7,FALSE)),"Fora do DRE",VLOOKUP(Base_Periodo1[[#This Row],[CONTA]],BaseContasDRE[#All],7,FALSE))</f>
        <v>Fora do DRE</v>
      </c>
      <c r="V3568" s="3" t="str">
        <f>IF(Base_Periodo1[[#This Row],[Tipo_Linha]]="Fora do DRE","Fora do DRE","( "&amp;Base_Periodo1[[#This Row],[Tipo_Linha]]&amp;" ) "&amp;Base_Periodo1[[#This Row],[Filtro]])</f>
        <v>Fora do DRE</v>
      </c>
      <c r="W3568" s="3" t="str">
        <f>LEFT(Base_Periodo1[[#This Row],[CLASS]],3)</f>
        <v>2.1</v>
      </c>
    </row>
    <row r="3569" spans="1:23" hidden="1">
      <c r="A3569" s="3" t="str">
        <f t="shared" si="55"/>
        <v>Período 1</v>
      </c>
      <c r="B3569">
        <v>57654</v>
      </c>
      <c r="C3569" t="s">
        <v>2010</v>
      </c>
      <c r="D3569" t="s">
        <v>6468</v>
      </c>
      <c r="E3569" s="3" t="str">
        <f>IF(LEN(Base_Periodo1[[#This Row],[CLASS]])&gt;=7,LEFT(Base_Periodo1[[#This Row],[CLASS]],7),"")</f>
        <v>2.1.2.2</v>
      </c>
      <c r="F3569" s="3" t="str">
        <f>VLOOKUP(Base_Periodo1[[#This Row],[Aux]],Base_Contas_Balanco[#All],2,FALSE)</f>
        <v>Fornecedores Não Cooperados</v>
      </c>
      <c r="G3569" s="1">
        <v>42872</v>
      </c>
      <c r="I3569" s="225">
        <v>2316</v>
      </c>
      <c r="J3569" s="225">
        <v>2316</v>
      </c>
      <c r="K3569" s="225">
        <v>3.637978807091713E-12</v>
      </c>
      <c r="L35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69" s="225">
        <f>ROUND(IF(AND(Base_Periodo1[[#This Row],[Tipo_Linha]]="-",Base_Periodo1[[#This Row],[TIPOSALDO]]="D"),Base_Periodo1[[#This Row],[SALDO_ATUAL]]*-1,Base_Periodo1[[#This Row],[SALDO_ATUAL]]),4)</f>
        <v>0</v>
      </c>
      <c r="N3569" t="s">
        <v>116</v>
      </c>
      <c r="O3569" t="s">
        <v>436</v>
      </c>
      <c r="P3569" t="s">
        <v>436</v>
      </c>
      <c r="Q3569">
        <v>7</v>
      </c>
      <c r="R3569" s="225">
        <f>Base_Periodo1[[#This Row],[CREDITOS]]-Base_Periodo1[[#This Row],[DEBITOS]]</f>
        <v>0</v>
      </c>
      <c r="S3569" s="3" t="str">
        <f>IF(ISERROR(VLOOKUP(Base_Periodo1[[#This Row],[CONTA]],BaseContasDRE[#All],4,FALSE)),"Fora do DRE",VLOOKUP(Base_Periodo1[[#This Row],[CONTA]],BaseContasDRE[#All],4,FALSE))</f>
        <v>Fora do DRE</v>
      </c>
      <c r="T3569" s="3" t="str">
        <f>IF(ISERROR(VLOOKUP(Base_Periodo1[[#This Row],[CONTA]],BaseContasDRE[#All],5,FALSE)),"Fora do DRE",VLOOKUP(Base_Periodo1[[#This Row],[CONTA]],BaseContasDRE[#All],6,FALSE))</f>
        <v>Fora do DRE</v>
      </c>
      <c r="U3569" s="3" t="str">
        <f>IF(ISERROR(VLOOKUP(Base_Periodo1[[#This Row],[CONTA]],BaseContasDRE[#All],7,FALSE)),"Fora do DRE",VLOOKUP(Base_Periodo1[[#This Row],[CONTA]],BaseContasDRE[#All],7,FALSE))</f>
        <v>Fora do DRE</v>
      </c>
      <c r="V3569" s="3" t="str">
        <f>IF(Base_Periodo1[[#This Row],[Tipo_Linha]]="Fora do DRE","Fora do DRE","( "&amp;Base_Periodo1[[#This Row],[Tipo_Linha]]&amp;" ) "&amp;Base_Periodo1[[#This Row],[Filtro]])</f>
        <v>Fora do DRE</v>
      </c>
      <c r="W3569" s="3" t="str">
        <f>LEFT(Base_Periodo1[[#This Row],[CLASS]],3)</f>
        <v>2.1</v>
      </c>
    </row>
    <row r="3570" spans="1:23" hidden="1">
      <c r="A3570" s="3" t="str">
        <f t="shared" si="55"/>
        <v>Período 1</v>
      </c>
      <c r="B3570">
        <v>13189</v>
      </c>
      <c r="C3570" t="s">
        <v>2010</v>
      </c>
      <c r="D3570" t="s">
        <v>6999</v>
      </c>
      <c r="E3570" s="3" t="str">
        <f>IF(LEN(Base_Periodo1[[#This Row],[CLASS]])&gt;=7,LEFT(Base_Periodo1[[#This Row],[CLASS]],7),"")</f>
        <v>2.1.2.2</v>
      </c>
      <c r="F3570" s="3" t="str">
        <f>VLOOKUP(Base_Periodo1[[#This Row],[Aux]],Base_Contas_Balanco[#All],2,FALSE)</f>
        <v>Fornecedores Não Cooperados</v>
      </c>
      <c r="G3570" s="1">
        <v>42867</v>
      </c>
      <c r="I3570" s="225">
        <v>4033.9300000000003</v>
      </c>
      <c r="J3570" s="225">
        <v>4033.93</v>
      </c>
      <c r="K3570" s="225">
        <v>2.9558577807620168E-11</v>
      </c>
      <c r="L35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70" s="225">
        <f>ROUND(IF(AND(Base_Periodo1[[#This Row],[Tipo_Linha]]="-",Base_Periodo1[[#This Row],[TIPOSALDO]]="D"),Base_Periodo1[[#This Row],[SALDO_ATUAL]]*-1,Base_Periodo1[[#This Row],[SALDO_ATUAL]]),4)</f>
        <v>0</v>
      </c>
      <c r="N3570" t="s">
        <v>116</v>
      </c>
      <c r="O3570" t="s">
        <v>436</v>
      </c>
      <c r="P3570" t="s">
        <v>436</v>
      </c>
      <c r="Q3570">
        <v>7</v>
      </c>
      <c r="R3570" s="225">
        <f>Base_Periodo1[[#This Row],[CREDITOS]]-Base_Periodo1[[#This Row],[DEBITOS]]</f>
        <v>0</v>
      </c>
      <c r="S3570" s="3" t="str">
        <f>IF(ISERROR(VLOOKUP(Base_Periodo1[[#This Row],[CONTA]],BaseContasDRE[#All],4,FALSE)),"Fora do DRE",VLOOKUP(Base_Periodo1[[#This Row],[CONTA]],BaseContasDRE[#All],4,FALSE))</f>
        <v>Fora do DRE</v>
      </c>
      <c r="T3570" s="3" t="str">
        <f>IF(ISERROR(VLOOKUP(Base_Periodo1[[#This Row],[CONTA]],BaseContasDRE[#All],5,FALSE)),"Fora do DRE",VLOOKUP(Base_Periodo1[[#This Row],[CONTA]],BaseContasDRE[#All],6,FALSE))</f>
        <v>Fora do DRE</v>
      </c>
      <c r="U3570" s="3" t="str">
        <f>IF(ISERROR(VLOOKUP(Base_Periodo1[[#This Row],[CONTA]],BaseContasDRE[#All],7,FALSE)),"Fora do DRE",VLOOKUP(Base_Periodo1[[#This Row],[CONTA]],BaseContasDRE[#All],7,FALSE))</f>
        <v>Fora do DRE</v>
      </c>
      <c r="V3570" s="3" t="str">
        <f>IF(Base_Periodo1[[#This Row],[Tipo_Linha]]="Fora do DRE","Fora do DRE","( "&amp;Base_Periodo1[[#This Row],[Tipo_Linha]]&amp;" ) "&amp;Base_Periodo1[[#This Row],[Filtro]])</f>
        <v>Fora do DRE</v>
      </c>
      <c r="W3570" s="3" t="str">
        <f>LEFT(Base_Periodo1[[#This Row],[CLASS]],3)</f>
        <v>2.1</v>
      </c>
    </row>
    <row r="3571" spans="1:23" hidden="1">
      <c r="A3571" s="3" t="str">
        <f t="shared" si="55"/>
        <v>Período 1</v>
      </c>
      <c r="B3571">
        <v>29489</v>
      </c>
      <c r="C3571" t="s">
        <v>2010</v>
      </c>
      <c r="D3571" t="s">
        <v>7000</v>
      </c>
      <c r="E3571" s="3" t="str">
        <f>IF(LEN(Base_Periodo1[[#This Row],[CLASS]])&gt;=7,LEFT(Base_Periodo1[[#This Row],[CLASS]],7),"")</f>
        <v>2.1.2.2</v>
      </c>
      <c r="F3571" s="3" t="str">
        <f>VLOOKUP(Base_Periodo1[[#This Row],[Aux]],Base_Contas_Balanco[#All],2,FALSE)</f>
        <v>Fornecedores Não Cooperados</v>
      </c>
      <c r="G3571" s="1">
        <v>42858</v>
      </c>
      <c r="I3571" s="225">
        <v>145.4</v>
      </c>
      <c r="J3571" s="225">
        <v>145.4</v>
      </c>
      <c r="K3571" s="225">
        <v>1.8189894035458565E-12</v>
      </c>
      <c r="L35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71" s="225">
        <f>ROUND(IF(AND(Base_Periodo1[[#This Row],[Tipo_Linha]]="-",Base_Periodo1[[#This Row],[TIPOSALDO]]="D"),Base_Periodo1[[#This Row],[SALDO_ATUAL]]*-1,Base_Periodo1[[#This Row],[SALDO_ATUAL]]),4)</f>
        <v>0</v>
      </c>
      <c r="N3571" t="s">
        <v>116</v>
      </c>
      <c r="O3571" t="s">
        <v>436</v>
      </c>
      <c r="P3571" t="s">
        <v>436</v>
      </c>
      <c r="Q3571">
        <v>7</v>
      </c>
      <c r="R3571" s="225">
        <f>Base_Periodo1[[#This Row],[CREDITOS]]-Base_Periodo1[[#This Row],[DEBITOS]]</f>
        <v>0</v>
      </c>
      <c r="S3571" s="3" t="str">
        <f>IF(ISERROR(VLOOKUP(Base_Periodo1[[#This Row],[CONTA]],BaseContasDRE[#All],4,FALSE)),"Fora do DRE",VLOOKUP(Base_Periodo1[[#This Row],[CONTA]],BaseContasDRE[#All],4,FALSE))</f>
        <v>Fora do DRE</v>
      </c>
      <c r="T3571" s="3" t="str">
        <f>IF(ISERROR(VLOOKUP(Base_Periodo1[[#This Row],[CONTA]],BaseContasDRE[#All],5,FALSE)),"Fora do DRE",VLOOKUP(Base_Periodo1[[#This Row],[CONTA]],BaseContasDRE[#All],6,FALSE))</f>
        <v>Fora do DRE</v>
      </c>
      <c r="U3571" s="3" t="str">
        <f>IF(ISERROR(VLOOKUP(Base_Periodo1[[#This Row],[CONTA]],BaseContasDRE[#All],7,FALSE)),"Fora do DRE",VLOOKUP(Base_Periodo1[[#This Row],[CONTA]],BaseContasDRE[#All],7,FALSE))</f>
        <v>Fora do DRE</v>
      </c>
      <c r="V3571" s="3" t="str">
        <f>IF(Base_Periodo1[[#This Row],[Tipo_Linha]]="Fora do DRE","Fora do DRE","( "&amp;Base_Periodo1[[#This Row],[Tipo_Linha]]&amp;" ) "&amp;Base_Periodo1[[#This Row],[Filtro]])</f>
        <v>Fora do DRE</v>
      </c>
      <c r="W3571" s="3" t="str">
        <f>LEFT(Base_Periodo1[[#This Row],[CLASS]],3)</f>
        <v>2.1</v>
      </c>
    </row>
    <row r="3572" spans="1:23" hidden="1">
      <c r="A3572" s="3" t="str">
        <f t="shared" si="55"/>
        <v>Período 1</v>
      </c>
      <c r="B3572">
        <v>7694</v>
      </c>
      <c r="C3572" t="s">
        <v>2010</v>
      </c>
      <c r="D3572" t="s">
        <v>7001</v>
      </c>
      <c r="E3572" s="3" t="str">
        <f>IF(LEN(Base_Periodo1[[#This Row],[CLASS]])&gt;=7,LEFT(Base_Periodo1[[#This Row],[CLASS]],7),"")</f>
        <v>2.1.2.2</v>
      </c>
      <c r="F3572" s="3" t="str">
        <f>VLOOKUP(Base_Periodo1[[#This Row],[Aux]],Base_Contas_Balanco[#All],2,FALSE)</f>
        <v>Fornecedores Não Cooperados</v>
      </c>
      <c r="G3572" s="1">
        <v>42867</v>
      </c>
      <c r="I3572" s="225">
        <v>3041.74</v>
      </c>
      <c r="J3572" s="225">
        <v>3041.74</v>
      </c>
      <c r="K3572" s="225">
        <v>0</v>
      </c>
      <c r="L35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72" s="225">
        <f>ROUND(IF(AND(Base_Periodo1[[#This Row],[Tipo_Linha]]="-",Base_Periodo1[[#This Row],[TIPOSALDO]]="D"),Base_Periodo1[[#This Row],[SALDO_ATUAL]]*-1,Base_Periodo1[[#This Row],[SALDO_ATUAL]]),4)</f>
        <v>0</v>
      </c>
      <c r="N3572" t="s">
        <v>116</v>
      </c>
      <c r="O3572" t="s">
        <v>436</v>
      </c>
      <c r="P3572" t="s">
        <v>436</v>
      </c>
      <c r="Q3572">
        <v>7</v>
      </c>
      <c r="R3572" s="225">
        <f>Base_Periodo1[[#This Row],[CREDITOS]]-Base_Periodo1[[#This Row],[DEBITOS]]</f>
        <v>0</v>
      </c>
      <c r="S3572" s="3" t="str">
        <f>IF(ISERROR(VLOOKUP(Base_Periodo1[[#This Row],[CONTA]],BaseContasDRE[#All],4,FALSE)),"Fora do DRE",VLOOKUP(Base_Periodo1[[#This Row],[CONTA]],BaseContasDRE[#All],4,FALSE))</f>
        <v>Fora do DRE</v>
      </c>
      <c r="T3572" s="3" t="str">
        <f>IF(ISERROR(VLOOKUP(Base_Periodo1[[#This Row],[CONTA]],BaseContasDRE[#All],5,FALSE)),"Fora do DRE",VLOOKUP(Base_Periodo1[[#This Row],[CONTA]],BaseContasDRE[#All],6,FALSE))</f>
        <v>Fora do DRE</v>
      </c>
      <c r="U3572" s="3" t="str">
        <f>IF(ISERROR(VLOOKUP(Base_Periodo1[[#This Row],[CONTA]],BaseContasDRE[#All],7,FALSE)),"Fora do DRE",VLOOKUP(Base_Periodo1[[#This Row],[CONTA]],BaseContasDRE[#All],7,FALSE))</f>
        <v>Fora do DRE</v>
      </c>
      <c r="V3572" s="3" t="str">
        <f>IF(Base_Periodo1[[#This Row],[Tipo_Linha]]="Fora do DRE","Fora do DRE","( "&amp;Base_Periodo1[[#This Row],[Tipo_Linha]]&amp;" ) "&amp;Base_Periodo1[[#This Row],[Filtro]])</f>
        <v>Fora do DRE</v>
      </c>
      <c r="W3572" s="3" t="str">
        <f>LEFT(Base_Periodo1[[#This Row],[CLASS]],3)</f>
        <v>2.1</v>
      </c>
    </row>
    <row r="3573" spans="1:23" hidden="1">
      <c r="A3573" s="3" t="str">
        <f t="shared" si="55"/>
        <v>Período 1</v>
      </c>
      <c r="B3573">
        <v>14714</v>
      </c>
      <c r="C3573" t="s">
        <v>2010</v>
      </c>
      <c r="D3573" t="s">
        <v>2066</v>
      </c>
      <c r="E3573" s="3" t="str">
        <f>IF(LEN(Base_Periodo1[[#This Row],[CLASS]])&gt;=7,LEFT(Base_Periodo1[[#This Row],[CLASS]],7),"")</f>
        <v>2.1.2.2</v>
      </c>
      <c r="F3573" s="3" t="str">
        <f>VLOOKUP(Base_Periodo1[[#This Row],[Aux]],Base_Contas_Balanco[#All],2,FALSE)</f>
        <v>Fornecedores Não Cooperados</v>
      </c>
      <c r="G3573" s="1">
        <v>42060</v>
      </c>
      <c r="H3573" s="225">
        <v>59.56999999999789</v>
      </c>
      <c r="I3573" s="225">
        <v>0</v>
      </c>
      <c r="J3573" s="225">
        <v>0</v>
      </c>
      <c r="K3573" s="225">
        <v>59.56999999999789</v>
      </c>
      <c r="L35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59.57</v>
      </c>
      <c r="M3573" s="225">
        <f>ROUND(IF(AND(Base_Periodo1[[#This Row],[Tipo_Linha]]="-",Base_Periodo1[[#This Row],[TIPOSALDO]]="D"),Base_Periodo1[[#This Row],[SALDO_ATUAL]]*-1,Base_Periodo1[[#This Row],[SALDO_ATUAL]]),4)</f>
        <v>59.57</v>
      </c>
      <c r="N3573" t="s">
        <v>116</v>
      </c>
      <c r="O3573" t="s">
        <v>459</v>
      </c>
      <c r="P3573" t="s">
        <v>459</v>
      </c>
      <c r="Q3573">
        <v>7</v>
      </c>
      <c r="R3573" s="225">
        <f>Base_Periodo1[[#This Row],[CREDITOS]]-Base_Periodo1[[#This Row],[DEBITOS]]</f>
        <v>0</v>
      </c>
      <c r="S3573" s="3" t="str">
        <f>IF(ISERROR(VLOOKUP(Base_Periodo1[[#This Row],[CONTA]],BaseContasDRE[#All],4,FALSE)),"Fora do DRE",VLOOKUP(Base_Periodo1[[#This Row],[CONTA]],BaseContasDRE[#All],4,FALSE))</f>
        <v>Fora do DRE</v>
      </c>
      <c r="T3573" s="3" t="str">
        <f>IF(ISERROR(VLOOKUP(Base_Periodo1[[#This Row],[CONTA]],BaseContasDRE[#All],5,FALSE)),"Fora do DRE",VLOOKUP(Base_Periodo1[[#This Row],[CONTA]],BaseContasDRE[#All],6,FALSE))</f>
        <v>Fora do DRE</v>
      </c>
      <c r="U3573" s="3" t="str">
        <f>IF(ISERROR(VLOOKUP(Base_Periodo1[[#This Row],[CONTA]],BaseContasDRE[#All],7,FALSE)),"Fora do DRE",VLOOKUP(Base_Periodo1[[#This Row],[CONTA]],BaseContasDRE[#All],7,FALSE))</f>
        <v>Fora do DRE</v>
      </c>
      <c r="V3573" s="3" t="str">
        <f>IF(Base_Periodo1[[#This Row],[Tipo_Linha]]="Fora do DRE","Fora do DRE","( "&amp;Base_Periodo1[[#This Row],[Tipo_Linha]]&amp;" ) "&amp;Base_Periodo1[[#This Row],[Filtro]])</f>
        <v>Fora do DRE</v>
      </c>
      <c r="W3573" s="3" t="str">
        <f>LEFT(Base_Periodo1[[#This Row],[CLASS]],3)</f>
        <v>2.1</v>
      </c>
    </row>
    <row r="3574" spans="1:23" hidden="1">
      <c r="A3574" s="3" t="str">
        <f t="shared" si="55"/>
        <v>Período 1</v>
      </c>
      <c r="B3574">
        <v>57940</v>
      </c>
      <c r="C3574" t="s">
        <v>2010</v>
      </c>
      <c r="D3574" t="s">
        <v>7002</v>
      </c>
      <c r="E3574" s="3" t="str">
        <f>IF(LEN(Base_Periodo1[[#This Row],[CLASS]])&gt;=7,LEFT(Base_Periodo1[[#This Row],[CLASS]],7),"")</f>
        <v>2.1.2.2</v>
      </c>
      <c r="F3574" s="3" t="str">
        <f>VLOOKUP(Base_Periodo1[[#This Row],[Aux]],Base_Contas_Balanco[#All],2,FALSE)</f>
        <v>Fornecedores Não Cooperados</v>
      </c>
      <c r="G3574" s="1">
        <v>42884</v>
      </c>
      <c r="I3574" s="225">
        <v>180</v>
      </c>
      <c r="J3574" s="225">
        <v>360</v>
      </c>
      <c r="K3574" s="225">
        <v>180</v>
      </c>
      <c r="L35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</v>
      </c>
      <c r="M3574" s="225">
        <f>ROUND(IF(AND(Base_Periodo1[[#This Row],[Tipo_Linha]]="-",Base_Periodo1[[#This Row],[TIPOSALDO]]="D"),Base_Periodo1[[#This Row],[SALDO_ATUAL]]*-1,Base_Periodo1[[#This Row],[SALDO_ATUAL]]),4)</f>
        <v>180</v>
      </c>
      <c r="N3574" t="s">
        <v>116</v>
      </c>
      <c r="O3574" t="s">
        <v>436</v>
      </c>
      <c r="P3574" t="s">
        <v>459</v>
      </c>
      <c r="Q3574">
        <v>7</v>
      </c>
      <c r="R3574" s="225">
        <f>Base_Periodo1[[#This Row],[CREDITOS]]-Base_Periodo1[[#This Row],[DEBITOS]]</f>
        <v>180</v>
      </c>
      <c r="S3574" s="3" t="str">
        <f>IF(ISERROR(VLOOKUP(Base_Periodo1[[#This Row],[CONTA]],BaseContasDRE[#All],4,FALSE)),"Fora do DRE",VLOOKUP(Base_Periodo1[[#This Row],[CONTA]],BaseContasDRE[#All],4,FALSE))</f>
        <v>Fora do DRE</v>
      </c>
      <c r="T3574" s="3" t="str">
        <f>IF(ISERROR(VLOOKUP(Base_Periodo1[[#This Row],[CONTA]],BaseContasDRE[#All],5,FALSE)),"Fora do DRE",VLOOKUP(Base_Periodo1[[#This Row],[CONTA]],BaseContasDRE[#All],6,FALSE))</f>
        <v>Fora do DRE</v>
      </c>
      <c r="U3574" s="3" t="str">
        <f>IF(ISERROR(VLOOKUP(Base_Periodo1[[#This Row],[CONTA]],BaseContasDRE[#All],7,FALSE)),"Fora do DRE",VLOOKUP(Base_Periodo1[[#This Row],[CONTA]],BaseContasDRE[#All],7,FALSE))</f>
        <v>Fora do DRE</v>
      </c>
      <c r="V3574" s="3" t="str">
        <f>IF(Base_Periodo1[[#This Row],[Tipo_Linha]]="Fora do DRE","Fora do DRE","( "&amp;Base_Periodo1[[#This Row],[Tipo_Linha]]&amp;" ) "&amp;Base_Periodo1[[#This Row],[Filtro]])</f>
        <v>Fora do DRE</v>
      </c>
      <c r="W3574" s="3" t="str">
        <f>LEFT(Base_Periodo1[[#This Row],[CLASS]],3)</f>
        <v>2.1</v>
      </c>
    </row>
    <row r="3575" spans="1:23" hidden="1">
      <c r="A3575" s="3" t="str">
        <f t="shared" si="55"/>
        <v>Período 1</v>
      </c>
      <c r="B3575">
        <v>37883</v>
      </c>
      <c r="C3575" t="s">
        <v>2010</v>
      </c>
      <c r="D3575" t="s">
        <v>4251</v>
      </c>
      <c r="E3575" s="3" t="str">
        <f>IF(LEN(Base_Periodo1[[#This Row],[CLASS]])&gt;=7,LEFT(Base_Periodo1[[#This Row],[CLASS]],7),"")</f>
        <v>2.1.2.2</v>
      </c>
      <c r="F3575" s="3" t="str">
        <f>VLOOKUP(Base_Periodo1[[#This Row],[Aux]],Base_Contas_Balanco[#All],2,FALSE)</f>
        <v>Fornecedores Não Cooperados</v>
      </c>
      <c r="G3575" s="1">
        <v>42864</v>
      </c>
      <c r="I3575" s="225">
        <v>1103.2</v>
      </c>
      <c r="J3575" s="225">
        <v>1103.2</v>
      </c>
      <c r="K3575" s="225">
        <v>0</v>
      </c>
      <c r="L35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75" s="225">
        <f>ROUND(IF(AND(Base_Periodo1[[#This Row],[Tipo_Linha]]="-",Base_Periodo1[[#This Row],[TIPOSALDO]]="D"),Base_Periodo1[[#This Row],[SALDO_ATUAL]]*-1,Base_Periodo1[[#This Row],[SALDO_ATUAL]]),4)</f>
        <v>0</v>
      </c>
      <c r="N3575" t="s">
        <v>116</v>
      </c>
      <c r="O3575" t="s">
        <v>436</v>
      </c>
      <c r="P3575" t="s">
        <v>436</v>
      </c>
      <c r="Q3575">
        <v>7</v>
      </c>
      <c r="R3575" s="225">
        <f>Base_Periodo1[[#This Row],[CREDITOS]]-Base_Periodo1[[#This Row],[DEBITOS]]</f>
        <v>0</v>
      </c>
      <c r="S3575" s="3" t="str">
        <f>IF(ISERROR(VLOOKUP(Base_Periodo1[[#This Row],[CONTA]],BaseContasDRE[#All],4,FALSE)),"Fora do DRE",VLOOKUP(Base_Periodo1[[#This Row],[CONTA]],BaseContasDRE[#All],4,FALSE))</f>
        <v>Fora do DRE</v>
      </c>
      <c r="T3575" s="3" t="str">
        <f>IF(ISERROR(VLOOKUP(Base_Periodo1[[#This Row],[CONTA]],BaseContasDRE[#All],5,FALSE)),"Fora do DRE",VLOOKUP(Base_Periodo1[[#This Row],[CONTA]],BaseContasDRE[#All],6,FALSE))</f>
        <v>Fora do DRE</v>
      </c>
      <c r="U3575" s="3" t="str">
        <f>IF(ISERROR(VLOOKUP(Base_Periodo1[[#This Row],[CONTA]],BaseContasDRE[#All],7,FALSE)),"Fora do DRE",VLOOKUP(Base_Periodo1[[#This Row],[CONTA]],BaseContasDRE[#All],7,FALSE))</f>
        <v>Fora do DRE</v>
      </c>
      <c r="V3575" s="3" t="str">
        <f>IF(Base_Periodo1[[#This Row],[Tipo_Linha]]="Fora do DRE","Fora do DRE","( "&amp;Base_Periodo1[[#This Row],[Tipo_Linha]]&amp;" ) "&amp;Base_Periodo1[[#This Row],[Filtro]])</f>
        <v>Fora do DRE</v>
      </c>
      <c r="W3575" s="3" t="str">
        <f>LEFT(Base_Periodo1[[#This Row],[CLASS]],3)</f>
        <v>2.1</v>
      </c>
    </row>
    <row r="3576" spans="1:23" hidden="1">
      <c r="A3576" s="3" t="str">
        <f t="shared" si="55"/>
        <v>Período 1</v>
      </c>
      <c r="B3576">
        <v>50529</v>
      </c>
      <c r="C3576" t="s">
        <v>2010</v>
      </c>
      <c r="D3576" t="s">
        <v>7003</v>
      </c>
      <c r="E3576" s="3" t="str">
        <f>IF(LEN(Base_Periodo1[[#This Row],[CLASS]])&gt;=7,LEFT(Base_Periodo1[[#This Row],[CLASS]],7),"")</f>
        <v>2.1.2.2</v>
      </c>
      <c r="F3576" s="3" t="str">
        <f>VLOOKUP(Base_Periodo1[[#This Row],[Aux]],Base_Contas_Balanco[#All],2,FALSE)</f>
        <v>Fornecedores Não Cooperados</v>
      </c>
      <c r="G3576" s="1">
        <v>42886</v>
      </c>
      <c r="I3576" s="225">
        <v>102.34</v>
      </c>
      <c r="J3576" s="225">
        <v>4449.62</v>
      </c>
      <c r="K3576" s="225">
        <v>4347.28</v>
      </c>
      <c r="L35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4347.28</v>
      </c>
      <c r="M3576" s="225">
        <f>ROUND(IF(AND(Base_Periodo1[[#This Row],[Tipo_Linha]]="-",Base_Periodo1[[#This Row],[TIPOSALDO]]="D"),Base_Periodo1[[#This Row],[SALDO_ATUAL]]*-1,Base_Periodo1[[#This Row],[SALDO_ATUAL]]),4)</f>
        <v>4347.28</v>
      </c>
      <c r="N3576" t="s">
        <v>116</v>
      </c>
      <c r="O3576" t="s">
        <v>436</v>
      </c>
      <c r="P3576" t="s">
        <v>459</v>
      </c>
      <c r="Q3576">
        <v>7</v>
      </c>
      <c r="R3576" s="225">
        <f>Base_Periodo1[[#This Row],[CREDITOS]]-Base_Periodo1[[#This Row],[DEBITOS]]</f>
        <v>4347.28</v>
      </c>
      <c r="S3576" s="3" t="str">
        <f>IF(ISERROR(VLOOKUP(Base_Periodo1[[#This Row],[CONTA]],BaseContasDRE[#All],4,FALSE)),"Fora do DRE",VLOOKUP(Base_Periodo1[[#This Row],[CONTA]],BaseContasDRE[#All],4,FALSE))</f>
        <v>Fora do DRE</v>
      </c>
      <c r="T3576" s="3" t="str">
        <f>IF(ISERROR(VLOOKUP(Base_Periodo1[[#This Row],[CONTA]],BaseContasDRE[#All],5,FALSE)),"Fora do DRE",VLOOKUP(Base_Periodo1[[#This Row],[CONTA]],BaseContasDRE[#All],6,FALSE))</f>
        <v>Fora do DRE</v>
      </c>
      <c r="U3576" s="3" t="str">
        <f>IF(ISERROR(VLOOKUP(Base_Periodo1[[#This Row],[CONTA]],BaseContasDRE[#All],7,FALSE)),"Fora do DRE",VLOOKUP(Base_Periodo1[[#This Row],[CONTA]],BaseContasDRE[#All],7,FALSE))</f>
        <v>Fora do DRE</v>
      </c>
      <c r="V3576" s="3" t="str">
        <f>IF(Base_Periodo1[[#This Row],[Tipo_Linha]]="Fora do DRE","Fora do DRE","( "&amp;Base_Periodo1[[#This Row],[Tipo_Linha]]&amp;" ) "&amp;Base_Periodo1[[#This Row],[Filtro]])</f>
        <v>Fora do DRE</v>
      </c>
      <c r="W3576" s="3" t="str">
        <f>LEFT(Base_Periodo1[[#This Row],[CLASS]],3)</f>
        <v>2.1</v>
      </c>
    </row>
    <row r="3577" spans="1:23" hidden="1">
      <c r="A3577" s="3" t="str">
        <f t="shared" si="55"/>
        <v>Período 1</v>
      </c>
      <c r="B3577">
        <v>52805</v>
      </c>
      <c r="C3577" t="s">
        <v>2010</v>
      </c>
      <c r="D3577" t="s">
        <v>5527</v>
      </c>
      <c r="E3577" s="3" t="str">
        <f>IF(LEN(Base_Periodo1[[#This Row],[CLASS]])&gt;=7,LEFT(Base_Periodo1[[#This Row],[CLASS]],7),"")</f>
        <v>2.1.2.2</v>
      </c>
      <c r="F3577" s="3" t="str">
        <f>VLOOKUP(Base_Periodo1[[#This Row],[Aux]],Base_Contas_Balanco[#All],2,FALSE)</f>
        <v>Fornecedores Não Cooperados</v>
      </c>
      <c r="G3577" s="1">
        <v>42867</v>
      </c>
      <c r="I3577" s="225">
        <v>0</v>
      </c>
      <c r="J3577" s="225">
        <v>2692</v>
      </c>
      <c r="K3577" s="225">
        <v>2692</v>
      </c>
      <c r="L35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2692</v>
      </c>
      <c r="M3577" s="225">
        <f>ROUND(IF(AND(Base_Periodo1[[#This Row],[Tipo_Linha]]="-",Base_Periodo1[[#This Row],[TIPOSALDO]]="D"),Base_Periodo1[[#This Row],[SALDO_ATUAL]]*-1,Base_Periodo1[[#This Row],[SALDO_ATUAL]]),4)</f>
        <v>2692</v>
      </c>
      <c r="N3577" t="s">
        <v>116</v>
      </c>
      <c r="O3577" t="s">
        <v>436</v>
      </c>
      <c r="P3577" t="s">
        <v>459</v>
      </c>
      <c r="Q3577">
        <v>7</v>
      </c>
      <c r="R3577" s="225">
        <f>Base_Periodo1[[#This Row],[CREDITOS]]-Base_Periodo1[[#This Row],[DEBITOS]]</f>
        <v>2692</v>
      </c>
      <c r="S3577" s="3" t="str">
        <f>IF(ISERROR(VLOOKUP(Base_Periodo1[[#This Row],[CONTA]],BaseContasDRE[#All],4,FALSE)),"Fora do DRE",VLOOKUP(Base_Periodo1[[#This Row],[CONTA]],BaseContasDRE[#All],4,FALSE))</f>
        <v>Fora do DRE</v>
      </c>
      <c r="T3577" s="3" t="str">
        <f>IF(ISERROR(VLOOKUP(Base_Periodo1[[#This Row],[CONTA]],BaseContasDRE[#All],5,FALSE)),"Fora do DRE",VLOOKUP(Base_Periodo1[[#This Row],[CONTA]],BaseContasDRE[#All],6,FALSE))</f>
        <v>Fora do DRE</v>
      </c>
      <c r="U3577" s="3" t="str">
        <f>IF(ISERROR(VLOOKUP(Base_Periodo1[[#This Row],[CONTA]],BaseContasDRE[#All],7,FALSE)),"Fora do DRE",VLOOKUP(Base_Periodo1[[#This Row],[CONTA]],BaseContasDRE[#All],7,FALSE))</f>
        <v>Fora do DRE</v>
      </c>
      <c r="V3577" s="3" t="str">
        <f>IF(Base_Periodo1[[#This Row],[Tipo_Linha]]="Fora do DRE","Fora do DRE","( "&amp;Base_Periodo1[[#This Row],[Tipo_Linha]]&amp;" ) "&amp;Base_Periodo1[[#This Row],[Filtro]])</f>
        <v>Fora do DRE</v>
      </c>
      <c r="W3577" s="3" t="str">
        <f>LEFT(Base_Periodo1[[#This Row],[CLASS]],3)</f>
        <v>2.1</v>
      </c>
    </row>
    <row r="3578" spans="1:23" hidden="1">
      <c r="A3578" s="3" t="str">
        <f t="shared" si="55"/>
        <v>Período 1</v>
      </c>
      <c r="B3578">
        <v>57609</v>
      </c>
      <c r="C3578" t="s">
        <v>2010</v>
      </c>
      <c r="D3578" t="s">
        <v>6469</v>
      </c>
      <c r="E3578" s="3" t="str">
        <f>IF(LEN(Base_Periodo1[[#This Row],[CLASS]])&gt;=7,LEFT(Base_Periodo1[[#This Row],[CLASS]],7),"")</f>
        <v>2.1.2.2</v>
      </c>
      <c r="F3578" s="3" t="str">
        <f>VLOOKUP(Base_Periodo1[[#This Row],[Aux]],Base_Contas_Balanco[#All],2,FALSE)</f>
        <v>Fornecedores Não Cooperados</v>
      </c>
      <c r="G3578" s="1">
        <v>42818</v>
      </c>
      <c r="H3578" s="225">
        <v>60</v>
      </c>
      <c r="I3578" s="225">
        <v>0</v>
      </c>
      <c r="J3578" s="225">
        <v>0</v>
      </c>
      <c r="K3578" s="225">
        <v>60</v>
      </c>
      <c r="L35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</v>
      </c>
      <c r="M3578" s="225">
        <f>ROUND(IF(AND(Base_Periodo1[[#This Row],[Tipo_Linha]]="-",Base_Periodo1[[#This Row],[TIPOSALDO]]="D"),Base_Periodo1[[#This Row],[SALDO_ATUAL]]*-1,Base_Periodo1[[#This Row],[SALDO_ATUAL]]),4)</f>
        <v>60</v>
      </c>
      <c r="N3578" t="s">
        <v>116</v>
      </c>
      <c r="O3578" t="s">
        <v>459</v>
      </c>
      <c r="P3578" t="s">
        <v>459</v>
      </c>
      <c r="Q3578">
        <v>7</v>
      </c>
      <c r="R3578" s="225">
        <f>Base_Periodo1[[#This Row],[CREDITOS]]-Base_Periodo1[[#This Row],[DEBITOS]]</f>
        <v>0</v>
      </c>
      <c r="S3578" s="3" t="str">
        <f>IF(ISERROR(VLOOKUP(Base_Periodo1[[#This Row],[CONTA]],BaseContasDRE[#All],4,FALSE)),"Fora do DRE",VLOOKUP(Base_Periodo1[[#This Row],[CONTA]],BaseContasDRE[#All],4,FALSE))</f>
        <v>Fora do DRE</v>
      </c>
      <c r="T3578" s="3" t="str">
        <f>IF(ISERROR(VLOOKUP(Base_Periodo1[[#This Row],[CONTA]],BaseContasDRE[#All],5,FALSE)),"Fora do DRE",VLOOKUP(Base_Periodo1[[#This Row],[CONTA]],BaseContasDRE[#All],6,FALSE))</f>
        <v>Fora do DRE</v>
      </c>
      <c r="U3578" s="3" t="str">
        <f>IF(ISERROR(VLOOKUP(Base_Periodo1[[#This Row],[CONTA]],BaseContasDRE[#All],7,FALSE)),"Fora do DRE",VLOOKUP(Base_Periodo1[[#This Row],[CONTA]],BaseContasDRE[#All],7,FALSE))</f>
        <v>Fora do DRE</v>
      </c>
      <c r="V3578" s="3" t="str">
        <f>IF(Base_Periodo1[[#This Row],[Tipo_Linha]]="Fora do DRE","Fora do DRE","( "&amp;Base_Periodo1[[#This Row],[Tipo_Linha]]&amp;" ) "&amp;Base_Periodo1[[#This Row],[Filtro]])</f>
        <v>Fora do DRE</v>
      </c>
      <c r="W3578" s="3" t="str">
        <f>LEFT(Base_Periodo1[[#This Row],[CLASS]],3)</f>
        <v>2.1</v>
      </c>
    </row>
    <row r="3579" spans="1:23" hidden="1">
      <c r="A3579" s="3" t="str">
        <f t="shared" si="55"/>
        <v>Período 1</v>
      </c>
      <c r="B3579">
        <v>8465</v>
      </c>
      <c r="C3579" t="s">
        <v>2010</v>
      </c>
      <c r="D3579" t="s">
        <v>2067</v>
      </c>
      <c r="E3579" s="3" t="str">
        <f>IF(LEN(Base_Periodo1[[#This Row],[CLASS]])&gt;=7,LEFT(Base_Periodo1[[#This Row],[CLASS]],7),"")</f>
        <v>2.1.2.2</v>
      </c>
      <c r="F3579" s="3" t="str">
        <f>VLOOKUP(Base_Periodo1[[#This Row],[Aux]],Base_Contas_Balanco[#All],2,FALSE)</f>
        <v>Fornecedores Não Cooperados</v>
      </c>
      <c r="G3579" s="1">
        <v>42874</v>
      </c>
      <c r="I3579" s="225">
        <v>252.14</v>
      </c>
      <c r="J3579" s="225">
        <v>252.14</v>
      </c>
      <c r="K3579" s="225">
        <v>0</v>
      </c>
      <c r="L35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79" s="225">
        <f>ROUND(IF(AND(Base_Periodo1[[#This Row],[Tipo_Linha]]="-",Base_Periodo1[[#This Row],[TIPOSALDO]]="D"),Base_Periodo1[[#This Row],[SALDO_ATUAL]]*-1,Base_Periodo1[[#This Row],[SALDO_ATUAL]]),4)</f>
        <v>0</v>
      </c>
      <c r="N3579" t="s">
        <v>116</v>
      </c>
      <c r="O3579" t="s">
        <v>436</v>
      </c>
      <c r="P3579" t="s">
        <v>436</v>
      </c>
      <c r="Q3579">
        <v>7</v>
      </c>
      <c r="R3579" s="225">
        <f>Base_Periodo1[[#This Row],[CREDITOS]]-Base_Periodo1[[#This Row],[DEBITOS]]</f>
        <v>0</v>
      </c>
      <c r="S3579" s="3" t="str">
        <f>IF(ISERROR(VLOOKUP(Base_Periodo1[[#This Row],[CONTA]],BaseContasDRE[#All],4,FALSE)),"Fora do DRE",VLOOKUP(Base_Periodo1[[#This Row],[CONTA]],BaseContasDRE[#All],4,FALSE))</f>
        <v>Fora do DRE</v>
      </c>
      <c r="T3579" s="3" t="str">
        <f>IF(ISERROR(VLOOKUP(Base_Periodo1[[#This Row],[CONTA]],BaseContasDRE[#All],5,FALSE)),"Fora do DRE",VLOOKUP(Base_Periodo1[[#This Row],[CONTA]],BaseContasDRE[#All],6,FALSE))</f>
        <v>Fora do DRE</v>
      </c>
      <c r="U3579" s="3" t="str">
        <f>IF(ISERROR(VLOOKUP(Base_Periodo1[[#This Row],[CONTA]],BaseContasDRE[#All],7,FALSE)),"Fora do DRE",VLOOKUP(Base_Periodo1[[#This Row],[CONTA]],BaseContasDRE[#All],7,FALSE))</f>
        <v>Fora do DRE</v>
      </c>
      <c r="V3579" s="3" t="str">
        <f>IF(Base_Periodo1[[#This Row],[Tipo_Linha]]="Fora do DRE","Fora do DRE","( "&amp;Base_Periodo1[[#This Row],[Tipo_Linha]]&amp;" ) "&amp;Base_Periodo1[[#This Row],[Filtro]])</f>
        <v>Fora do DRE</v>
      </c>
      <c r="W3579" s="3" t="str">
        <f>LEFT(Base_Periodo1[[#This Row],[CLASS]],3)</f>
        <v>2.1</v>
      </c>
    </row>
    <row r="3580" spans="1:23" hidden="1">
      <c r="A3580" s="3" t="str">
        <f t="shared" si="55"/>
        <v>Período 1</v>
      </c>
      <c r="B3580">
        <v>59013</v>
      </c>
      <c r="C3580" t="s">
        <v>2010</v>
      </c>
      <c r="D3580" t="s">
        <v>7004</v>
      </c>
      <c r="E3580" s="3" t="str">
        <f>IF(LEN(Base_Periodo1[[#This Row],[CLASS]])&gt;=7,LEFT(Base_Periodo1[[#This Row],[CLASS]],7),"")</f>
        <v>2.1.2.2</v>
      </c>
      <c r="F3580" s="3" t="str">
        <f>VLOOKUP(Base_Periodo1[[#This Row],[Aux]],Base_Contas_Balanco[#All],2,FALSE)</f>
        <v>Fornecedores Não Cooperados</v>
      </c>
      <c r="G3580" s="1">
        <v>42872</v>
      </c>
      <c r="I3580" s="225">
        <v>2603.2199999999998</v>
      </c>
      <c r="J3580" s="225">
        <v>2603.2199999999998</v>
      </c>
      <c r="K3580" s="225">
        <v>0</v>
      </c>
      <c r="L35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80" s="225">
        <f>ROUND(IF(AND(Base_Periodo1[[#This Row],[Tipo_Linha]]="-",Base_Periodo1[[#This Row],[TIPOSALDO]]="D"),Base_Periodo1[[#This Row],[SALDO_ATUAL]]*-1,Base_Periodo1[[#This Row],[SALDO_ATUAL]]),4)</f>
        <v>0</v>
      </c>
      <c r="N3580" t="s">
        <v>116</v>
      </c>
      <c r="O3580" t="s">
        <v>436</v>
      </c>
      <c r="P3580" t="s">
        <v>436</v>
      </c>
      <c r="Q3580">
        <v>7</v>
      </c>
      <c r="R3580" s="225">
        <f>Base_Periodo1[[#This Row],[CREDITOS]]-Base_Periodo1[[#This Row],[DEBITOS]]</f>
        <v>0</v>
      </c>
      <c r="S3580" s="3" t="str">
        <f>IF(ISERROR(VLOOKUP(Base_Periodo1[[#This Row],[CONTA]],BaseContasDRE[#All],4,FALSE)),"Fora do DRE",VLOOKUP(Base_Periodo1[[#This Row],[CONTA]],BaseContasDRE[#All],4,FALSE))</f>
        <v>Fora do DRE</v>
      </c>
      <c r="T3580" s="3" t="str">
        <f>IF(ISERROR(VLOOKUP(Base_Periodo1[[#This Row],[CONTA]],BaseContasDRE[#All],5,FALSE)),"Fora do DRE",VLOOKUP(Base_Periodo1[[#This Row],[CONTA]],BaseContasDRE[#All],6,FALSE))</f>
        <v>Fora do DRE</v>
      </c>
      <c r="U3580" s="3" t="str">
        <f>IF(ISERROR(VLOOKUP(Base_Periodo1[[#This Row],[CONTA]],BaseContasDRE[#All],7,FALSE)),"Fora do DRE",VLOOKUP(Base_Periodo1[[#This Row],[CONTA]],BaseContasDRE[#All],7,FALSE))</f>
        <v>Fora do DRE</v>
      </c>
      <c r="V3580" s="3" t="str">
        <f>IF(Base_Periodo1[[#This Row],[Tipo_Linha]]="Fora do DRE","Fora do DRE","( "&amp;Base_Periodo1[[#This Row],[Tipo_Linha]]&amp;" ) "&amp;Base_Periodo1[[#This Row],[Filtro]])</f>
        <v>Fora do DRE</v>
      </c>
      <c r="W3580" s="3" t="str">
        <f>LEFT(Base_Periodo1[[#This Row],[CLASS]],3)</f>
        <v>2.1</v>
      </c>
    </row>
    <row r="3581" spans="1:23" hidden="1">
      <c r="A3581" s="3" t="str">
        <f t="shared" si="55"/>
        <v>Período 1</v>
      </c>
      <c r="B3581">
        <v>57293</v>
      </c>
      <c r="C3581" t="s">
        <v>2010</v>
      </c>
      <c r="D3581" t="s">
        <v>6470</v>
      </c>
      <c r="E3581" s="3" t="str">
        <f>IF(LEN(Base_Periodo1[[#This Row],[CLASS]])&gt;=7,LEFT(Base_Periodo1[[#This Row],[CLASS]],7),"")</f>
        <v>2.1.2.2</v>
      </c>
      <c r="F3581" s="3" t="str">
        <f>VLOOKUP(Base_Periodo1[[#This Row],[Aux]],Base_Contas_Balanco[#All],2,FALSE)</f>
        <v>Fornecedores Não Cooperados</v>
      </c>
      <c r="G3581" s="1">
        <v>42871</v>
      </c>
      <c r="I3581" s="225">
        <v>390.37</v>
      </c>
      <c r="J3581" s="225">
        <v>390.37</v>
      </c>
      <c r="K3581" s="225">
        <v>0</v>
      </c>
      <c r="L35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81" s="225">
        <f>ROUND(IF(AND(Base_Periodo1[[#This Row],[Tipo_Linha]]="-",Base_Periodo1[[#This Row],[TIPOSALDO]]="D"),Base_Periodo1[[#This Row],[SALDO_ATUAL]]*-1,Base_Periodo1[[#This Row],[SALDO_ATUAL]]),4)</f>
        <v>0</v>
      </c>
      <c r="N3581" t="s">
        <v>116</v>
      </c>
      <c r="O3581" t="s">
        <v>436</v>
      </c>
      <c r="P3581" t="s">
        <v>436</v>
      </c>
      <c r="Q3581">
        <v>7</v>
      </c>
      <c r="R3581" s="225">
        <f>Base_Periodo1[[#This Row],[CREDITOS]]-Base_Periodo1[[#This Row],[DEBITOS]]</f>
        <v>0</v>
      </c>
      <c r="S3581" s="3" t="str">
        <f>IF(ISERROR(VLOOKUP(Base_Periodo1[[#This Row],[CONTA]],BaseContasDRE[#All],4,FALSE)),"Fora do DRE",VLOOKUP(Base_Periodo1[[#This Row],[CONTA]],BaseContasDRE[#All],4,FALSE))</f>
        <v>Fora do DRE</v>
      </c>
      <c r="T3581" s="3" t="str">
        <f>IF(ISERROR(VLOOKUP(Base_Periodo1[[#This Row],[CONTA]],BaseContasDRE[#All],5,FALSE)),"Fora do DRE",VLOOKUP(Base_Periodo1[[#This Row],[CONTA]],BaseContasDRE[#All],6,FALSE))</f>
        <v>Fora do DRE</v>
      </c>
      <c r="U3581" s="3" t="str">
        <f>IF(ISERROR(VLOOKUP(Base_Periodo1[[#This Row],[CONTA]],BaseContasDRE[#All],7,FALSE)),"Fora do DRE",VLOOKUP(Base_Periodo1[[#This Row],[CONTA]],BaseContasDRE[#All],7,FALSE))</f>
        <v>Fora do DRE</v>
      </c>
      <c r="V3581" s="3" t="str">
        <f>IF(Base_Periodo1[[#This Row],[Tipo_Linha]]="Fora do DRE","Fora do DRE","( "&amp;Base_Periodo1[[#This Row],[Tipo_Linha]]&amp;" ) "&amp;Base_Periodo1[[#This Row],[Filtro]])</f>
        <v>Fora do DRE</v>
      </c>
      <c r="W3581" s="3" t="str">
        <f>LEFT(Base_Periodo1[[#This Row],[CLASS]],3)</f>
        <v>2.1</v>
      </c>
    </row>
    <row r="3582" spans="1:23" hidden="1">
      <c r="A3582" s="3" t="str">
        <f t="shared" si="55"/>
        <v>Período 1</v>
      </c>
      <c r="B3582">
        <v>35779</v>
      </c>
      <c r="C3582" t="s">
        <v>2010</v>
      </c>
      <c r="D3582" t="s">
        <v>4426</v>
      </c>
      <c r="E3582" s="3" t="str">
        <f>IF(LEN(Base_Periodo1[[#This Row],[CLASS]])&gt;=7,LEFT(Base_Periodo1[[#This Row],[CLASS]],7),"")</f>
        <v>2.1.2.2</v>
      </c>
      <c r="F3582" s="3" t="str">
        <f>VLOOKUP(Base_Periodo1[[#This Row],[Aux]],Base_Contas_Balanco[#All],2,FALSE)</f>
        <v>Fornecedores Não Cooperados</v>
      </c>
      <c r="G3582" s="1">
        <v>42866</v>
      </c>
      <c r="I3582" s="225">
        <v>19440.3</v>
      </c>
      <c r="J3582" s="225">
        <v>19440.3</v>
      </c>
      <c r="K3582" s="225">
        <v>0</v>
      </c>
      <c r="L35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82" s="225">
        <f>ROUND(IF(AND(Base_Periodo1[[#This Row],[Tipo_Linha]]="-",Base_Periodo1[[#This Row],[TIPOSALDO]]="D"),Base_Periodo1[[#This Row],[SALDO_ATUAL]]*-1,Base_Periodo1[[#This Row],[SALDO_ATUAL]]),4)</f>
        <v>0</v>
      </c>
      <c r="N3582" t="s">
        <v>116</v>
      </c>
      <c r="O3582" t="s">
        <v>436</v>
      </c>
      <c r="P3582" t="s">
        <v>436</v>
      </c>
      <c r="Q3582">
        <v>7</v>
      </c>
      <c r="R3582" s="225">
        <f>Base_Periodo1[[#This Row],[CREDITOS]]-Base_Periodo1[[#This Row],[DEBITOS]]</f>
        <v>0</v>
      </c>
      <c r="S3582" s="3" t="str">
        <f>IF(ISERROR(VLOOKUP(Base_Periodo1[[#This Row],[CONTA]],BaseContasDRE[#All],4,FALSE)),"Fora do DRE",VLOOKUP(Base_Periodo1[[#This Row],[CONTA]],BaseContasDRE[#All],4,FALSE))</f>
        <v>Fora do DRE</v>
      </c>
      <c r="T3582" s="3" t="str">
        <f>IF(ISERROR(VLOOKUP(Base_Periodo1[[#This Row],[CONTA]],BaseContasDRE[#All],5,FALSE)),"Fora do DRE",VLOOKUP(Base_Periodo1[[#This Row],[CONTA]],BaseContasDRE[#All],6,FALSE))</f>
        <v>Fora do DRE</v>
      </c>
      <c r="U3582" s="3" t="str">
        <f>IF(ISERROR(VLOOKUP(Base_Periodo1[[#This Row],[CONTA]],BaseContasDRE[#All],7,FALSE)),"Fora do DRE",VLOOKUP(Base_Periodo1[[#This Row],[CONTA]],BaseContasDRE[#All],7,FALSE))</f>
        <v>Fora do DRE</v>
      </c>
      <c r="V3582" s="3" t="str">
        <f>IF(Base_Periodo1[[#This Row],[Tipo_Linha]]="Fora do DRE","Fora do DRE","( "&amp;Base_Periodo1[[#This Row],[Tipo_Linha]]&amp;" ) "&amp;Base_Periodo1[[#This Row],[Filtro]])</f>
        <v>Fora do DRE</v>
      </c>
      <c r="W3582" s="3" t="str">
        <f>LEFT(Base_Periodo1[[#This Row],[CLASS]],3)</f>
        <v>2.1</v>
      </c>
    </row>
    <row r="3583" spans="1:23" hidden="1">
      <c r="A3583" s="3" t="str">
        <f t="shared" si="55"/>
        <v>Período 1</v>
      </c>
      <c r="B3583">
        <v>49519</v>
      </c>
      <c r="C3583" t="s">
        <v>2010</v>
      </c>
      <c r="D3583" t="s">
        <v>4772</v>
      </c>
      <c r="E3583" s="3" t="str">
        <f>IF(LEN(Base_Periodo1[[#This Row],[CLASS]])&gt;=7,LEFT(Base_Periodo1[[#This Row],[CLASS]],7),"")</f>
        <v>2.1.2.2</v>
      </c>
      <c r="F3583" s="3" t="str">
        <f>VLOOKUP(Base_Periodo1[[#This Row],[Aux]],Base_Contas_Balanco[#All],2,FALSE)</f>
        <v>Fornecedores Não Cooperados</v>
      </c>
      <c r="G3583" s="1">
        <v>42870</v>
      </c>
      <c r="I3583" s="225">
        <v>1118.9100000000001</v>
      </c>
      <c r="J3583" s="225">
        <v>1118.9100000000001</v>
      </c>
      <c r="K3583" s="225">
        <v>-5.4569682106375694E-12</v>
      </c>
      <c r="L35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83" s="225">
        <f>ROUND(IF(AND(Base_Periodo1[[#This Row],[Tipo_Linha]]="-",Base_Periodo1[[#This Row],[TIPOSALDO]]="D"),Base_Periodo1[[#This Row],[SALDO_ATUAL]]*-1,Base_Periodo1[[#This Row],[SALDO_ATUAL]]),4)</f>
        <v>0</v>
      </c>
      <c r="N3583" t="s">
        <v>116</v>
      </c>
      <c r="O3583" t="s">
        <v>436</v>
      </c>
      <c r="P3583" t="s">
        <v>436</v>
      </c>
      <c r="Q3583">
        <v>7</v>
      </c>
      <c r="R3583" s="225">
        <f>Base_Periodo1[[#This Row],[CREDITOS]]-Base_Periodo1[[#This Row],[DEBITOS]]</f>
        <v>0</v>
      </c>
      <c r="S3583" s="3" t="str">
        <f>IF(ISERROR(VLOOKUP(Base_Periodo1[[#This Row],[CONTA]],BaseContasDRE[#All],4,FALSE)),"Fora do DRE",VLOOKUP(Base_Periodo1[[#This Row],[CONTA]],BaseContasDRE[#All],4,FALSE))</f>
        <v>Fora do DRE</v>
      </c>
      <c r="T3583" s="3" t="str">
        <f>IF(ISERROR(VLOOKUP(Base_Periodo1[[#This Row],[CONTA]],BaseContasDRE[#All],5,FALSE)),"Fora do DRE",VLOOKUP(Base_Periodo1[[#This Row],[CONTA]],BaseContasDRE[#All],6,FALSE))</f>
        <v>Fora do DRE</v>
      </c>
      <c r="U3583" s="3" t="str">
        <f>IF(ISERROR(VLOOKUP(Base_Periodo1[[#This Row],[CONTA]],BaseContasDRE[#All],7,FALSE)),"Fora do DRE",VLOOKUP(Base_Periodo1[[#This Row],[CONTA]],BaseContasDRE[#All],7,FALSE))</f>
        <v>Fora do DRE</v>
      </c>
      <c r="V3583" s="3" t="str">
        <f>IF(Base_Periodo1[[#This Row],[Tipo_Linha]]="Fora do DRE","Fora do DRE","( "&amp;Base_Periodo1[[#This Row],[Tipo_Linha]]&amp;" ) "&amp;Base_Periodo1[[#This Row],[Filtro]])</f>
        <v>Fora do DRE</v>
      </c>
      <c r="W3583" s="3" t="str">
        <f>LEFT(Base_Periodo1[[#This Row],[CLASS]],3)</f>
        <v>2.1</v>
      </c>
    </row>
    <row r="3584" spans="1:23" hidden="1">
      <c r="A3584" s="3" t="str">
        <f t="shared" si="55"/>
        <v>Período 1</v>
      </c>
      <c r="B3584">
        <v>49413</v>
      </c>
      <c r="C3584" t="s">
        <v>2010</v>
      </c>
      <c r="D3584" t="s">
        <v>6471</v>
      </c>
      <c r="E3584" s="3" t="str">
        <f>IF(LEN(Base_Periodo1[[#This Row],[CLASS]])&gt;=7,LEFT(Base_Periodo1[[#This Row],[CLASS]],7),"")</f>
        <v>2.1.2.2</v>
      </c>
      <c r="F3584" s="3" t="str">
        <f>VLOOKUP(Base_Periodo1[[#This Row],[Aux]],Base_Contas_Balanco[#All],2,FALSE)</f>
        <v>Fornecedores Não Cooperados</v>
      </c>
      <c r="G3584" s="1">
        <v>42860</v>
      </c>
      <c r="I3584" s="225">
        <v>139.86000000000001</v>
      </c>
      <c r="J3584" s="225">
        <v>139.86000000000001</v>
      </c>
      <c r="K3584" s="225">
        <v>0</v>
      </c>
      <c r="L35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84" s="225">
        <f>ROUND(IF(AND(Base_Periodo1[[#This Row],[Tipo_Linha]]="-",Base_Periodo1[[#This Row],[TIPOSALDO]]="D"),Base_Periodo1[[#This Row],[SALDO_ATUAL]]*-1,Base_Periodo1[[#This Row],[SALDO_ATUAL]]),4)</f>
        <v>0</v>
      </c>
      <c r="N3584" t="s">
        <v>116</v>
      </c>
      <c r="O3584" t="s">
        <v>436</v>
      </c>
      <c r="P3584" t="s">
        <v>436</v>
      </c>
      <c r="Q3584">
        <v>7</v>
      </c>
      <c r="R3584" s="225">
        <f>Base_Periodo1[[#This Row],[CREDITOS]]-Base_Periodo1[[#This Row],[DEBITOS]]</f>
        <v>0</v>
      </c>
      <c r="S3584" s="3" t="str">
        <f>IF(ISERROR(VLOOKUP(Base_Periodo1[[#This Row],[CONTA]],BaseContasDRE[#All],4,FALSE)),"Fora do DRE",VLOOKUP(Base_Periodo1[[#This Row],[CONTA]],BaseContasDRE[#All],4,FALSE))</f>
        <v>Fora do DRE</v>
      </c>
      <c r="T3584" s="3" t="str">
        <f>IF(ISERROR(VLOOKUP(Base_Periodo1[[#This Row],[CONTA]],BaseContasDRE[#All],5,FALSE)),"Fora do DRE",VLOOKUP(Base_Periodo1[[#This Row],[CONTA]],BaseContasDRE[#All],6,FALSE))</f>
        <v>Fora do DRE</v>
      </c>
      <c r="U3584" s="3" t="str">
        <f>IF(ISERROR(VLOOKUP(Base_Periodo1[[#This Row],[CONTA]],BaseContasDRE[#All],7,FALSE)),"Fora do DRE",VLOOKUP(Base_Periodo1[[#This Row],[CONTA]],BaseContasDRE[#All],7,FALSE))</f>
        <v>Fora do DRE</v>
      </c>
      <c r="V3584" s="3" t="str">
        <f>IF(Base_Periodo1[[#This Row],[Tipo_Linha]]="Fora do DRE","Fora do DRE","( "&amp;Base_Periodo1[[#This Row],[Tipo_Linha]]&amp;" ) "&amp;Base_Periodo1[[#This Row],[Filtro]])</f>
        <v>Fora do DRE</v>
      </c>
      <c r="W3584" s="3" t="str">
        <f>LEFT(Base_Periodo1[[#This Row],[CLASS]],3)</f>
        <v>2.1</v>
      </c>
    </row>
    <row r="3585" spans="1:23" hidden="1">
      <c r="A3585" s="3" t="str">
        <f t="shared" si="55"/>
        <v>Período 1</v>
      </c>
      <c r="B3585">
        <v>27253</v>
      </c>
      <c r="C3585" t="s">
        <v>2010</v>
      </c>
      <c r="D3585" t="s">
        <v>7005</v>
      </c>
      <c r="E3585" s="3" t="str">
        <f>IF(LEN(Base_Periodo1[[#This Row],[CLASS]])&gt;=7,LEFT(Base_Periodo1[[#This Row],[CLASS]],7),"")</f>
        <v>2.1.2.2</v>
      </c>
      <c r="F3585" s="3" t="str">
        <f>VLOOKUP(Base_Periodo1[[#This Row],[Aux]],Base_Contas_Balanco[#All],2,FALSE)</f>
        <v>Fornecedores Não Cooperados</v>
      </c>
      <c r="G3585" s="1">
        <v>42867</v>
      </c>
      <c r="I3585" s="225">
        <v>2224.11</v>
      </c>
      <c r="J3585" s="225">
        <v>2224.11</v>
      </c>
      <c r="K3585" s="225">
        <v>0</v>
      </c>
      <c r="L35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85" s="225">
        <f>ROUND(IF(AND(Base_Periodo1[[#This Row],[Tipo_Linha]]="-",Base_Periodo1[[#This Row],[TIPOSALDO]]="D"),Base_Periodo1[[#This Row],[SALDO_ATUAL]]*-1,Base_Periodo1[[#This Row],[SALDO_ATUAL]]),4)</f>
        <v>0</v>
      </c>
      <c r="N3585" t="s">
        <v>116</v>
      </c>
      <c r="O3585" t="s">
        <v>436</v>
      </c>
      <c r="P3585" t="s">
        <v>436</v>
      </c>
      <c r="Q3585">
        <v>7</v>
      </c>
      <c r="R3585" s="225">
        <f>Base_Periodo1[[#This Row],[CREDITOS]]-Base_Periodo1[[#This Row],[DEBITOS]]</f>
        <v>0</v>
      </c>
      <c r="S3585" s="3" t="str">
        <f>IF(ISERROR(VLOOKUP(Base_Periodo1[[#This Row],[CONTA]],BaseContasDRE[#All],4,FALSE)),"Fora do DRE",VLOOKUP(Base_Periodo1[[#This Row],[CONTA]],BaseContasDRE[#All],4,FALSE))</f>
        <v>Fora do DRE</v>
      </c>
      <c r="T3585" s="3" t="str">
        <f>IF(ISERROR(VLOOKUP(Base_Periodo1[[#This Row],[CONTA]],BaseContasDRE[#All],5,FALSE)),"Fora do DRE",VLOOKUP(Base_Periodo1[[#This Row],[CONTA]],BaseContasDRE[#All],6,FALSE))</f>
        <v>Fora do DRE</v>
      </c>
      <c r="U3585" s="3" t="str">
        <f>IF(ISERROR(VLOOKUP(Base_Periodo1[[#This Row],[CONTA]],BaseContasDRE[#All],7,FALSE)),"Fora do DRE",VLOOKUP(Base_Periodo1[[#This Row],[CONTA]],BaseContasDRE[#All],7,FALSE))</f>
        <v>Fora do DRE</v>
      </c>
      <c r="V3585" s="3" t="str">
        <f>IF(Base_Periodo1[[#This Row],[Tipo_Linha]]="Fora do DRE","Fora do DRE","( "&amp;Base_Periodo1[[#This Row],[Tipo_Linha]]&amp;" ) "&amp;Base_Periodo1[[#This Row],[Filtro]])</f>
        <v>Fora do DRE</v>
      </c>
      <c r="W3585" s="3" t="str">
        <f>LEFT(Base_Periodo1[[#This Row],[CLASS]],3)</f>
        <v>2.1</v>
      </c>
    </row>
    <row r="3586" spans="1:23" hidden="1">
      <c r="A3586" s="3" t="str">
        <f t="shared" si="55"/>
        <v>Período 1</v>
      </c>
      <c r="B3586">
        <v>33089</v>
      </c>
      <c r="C3586" t="s">
        <v>2010</v>
      </c>
      <c r="D3586" t="s">
        <v>6472</v>
      </c>
      <c r="E3586" s="3" t="str">
        <f>IF(LEN(Base_Periodo1[[#This Row],[CLASS]])&gt;=7,LEFT(Base_Periodo1[[#This Row],[CLASS]],7),"")</f>
        <v>2.1.2.2</v>
      </c>
      <c r="F3586" s="3" t="str">
        <f>VLOOKUP(Base_Periodo1[[#This Row],[Aux]],Base_Contas_Balanco[#All],2,FALSE)</f>
        <v>Fornecedores Não Cooperados</v>
      </c>
      <c r="G3586" s="1">
        <v>42877</v>
      </c>
      <c r="H3586" s="225">
        <v>32045.600000000006</v>
      </c>
      <c r="I3586" s="225">
        <v>44401.880000000005</v>
      </c>
      <c r="J3586" s="225">
        <v>12356.28</v>
      </c>
      <c r="K3586" s="225">
        <v>-1.8189894035458565E-12</v>
      </c>
      <c r="L35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86" s="225">
        <f>ROUND(IF(AND(Base_Periodo1[[#This Row],[Tipo_Linha]]="-",Base_Periodo1[[#This Row],[TIPOSALDO]]="D"),Base_Periodo1[[#This Row],[SALDO_ATUAL]]*-1,Base_Periodo1[[#This Row],[SALDO_ATUAL]]),4)</f>
        <v>0</v>
      </c>
      <c r="N3586" t="s">
        <v>116</v>
      </c>
      <c r="O3586" t="s">
        <v>459</v>
      </c>
      <c r="P3586" t="s">
        <v>436</v>
      </c>
      <c r="Q3586">
        <v>7</v>
      </c>
      <c r="R3586" s="225">
        <f>Base_Periodo1[[#This Row],[CREDITOS]]-Base_Periodo1[[#This Row],[DEBITOS]]</f>
        <v>-32045.600000000006</v>
      </c>
      <c r="S3586" s="3" t="str">
        <f>IF(ISERROR(VLOOKUP(Base_Periodo1[[#This Row],[CONTA]],BaseContasDRE[#All],4,FALSE)),"Fora do DRE",VLOOKUP(Base_Periodo1[[#This Row],[CONTA]],BaseContasDRE[#All],4,FALSE))</f>
        <v>Fora do DRE</v>
      </c>
      <c r="T3586" s="3" t="str">
        <f>IF(ISERROR(VLOOKUP(Base_Periodo1[[#This Row],[CONTA]],BaseContasDRE[#All],5,FALSE)),"Fora do DRE",VLOOKUP(Base_Periodo1[[#This Row],[CONTA]],BaseContasDRE[#All],6,FALSE))</f>
        <v>Fora do DRE</v>
      </c>
      <c r="U3586" s="3" t="str">
        <f>IF(ISERROR(VLOOKUP(Base_Periodo1[[#This Row],[CONTA]],BaseContasDRE[#All],7,FALSE)),"Fora do DRE",VLOOKUP(Base_Periodo1[[#This Row],[CONTA]],BaseContasDRE[#All],7,FALSE))</f>
        <v>Fora do DRE</v>
      </c>
      <c r="V3586" s="3" t="str">
        <f>IF(Base_Periodo1[[#This Row],[Tipo_Linha]]="Fora do DRE","Fora do DRE","( "&amp;Base_Periodo1[[#This Row],[Tipo_Linha]]&amp;" ) "&amp;Base_Periodo1[[#This Row],[Filtro]])</f>
        <v>Fora do DRE</v>
      </c>
      <c r="W3586" s="3" t="str">
        <f>LEFT(Base_Periodo1[[#This Row],[CLASS]],3)</f>
        <v>2.1</v>
      </c>
    </row>
    <row r="3587" spans="1:23" hidden="1">
      <c r="A3587" s="3" t="str">
        <f t="shared" si="55"/>
        <v>Período 1</v>
      </c>
      <c r="B3587">
        <v>26033</v>
      </c>
      <c r="C3587" t="s">
        <v>2010</v>
      </c>
      <c r="D3587" t="s">
        <v>4773</v>
      </c>
      <c r="E3587" s="3" t="str">
        <f>IF(LEN(Base_Periodo1[[#This Row],[CLASS]])&gt;=7,LEFT(Base_Periodo1[[#This Row],[CLASS]],7),"")</f>
        <v>2.1.2.2</v>
      </c>
      <c r="F3587" s="3" t="str">
        <f>VLOOKUP(Base_Periodo1[[#This Row],[Aux]],Base_Contas_Balanco[#All],2,FALSE)</f>
        <v>Fornecedores Não Cooperados</v>
      </c>
      <c r="G3587" s="1">
        <v>42871</v>
      </c>
      <c r="I3587" s="225">
        <v>113.04</v>
      </c>
      <c r="J3587" s="225">
        <v>113.04</v>
      </c>
      <c r="K3587" s="225">
        <v>5.8207660913467407E-11</v>
      </c>
      <c r="L35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87" s="225">
        <f>ROUND(IF(AND(Base_Periodo1[[#This Row],[Tipo_Linha]]="-",Base_Periodo1[[#This Row],[TIPOSALDO]]="D"),Base_Periodo1[[#This Row],[SALDO_ATUAL]]*-1,Base_Periodo1[[#This Row],[SALDO_ATUAL]]),4)</f>
        <v>0</v>
      </c>
      <c r="N3587" t="s">
        <v>116</v>
      </c>
      <c r="O3587" t="s">
        <v>436</v>
      </c>
      <c r="P3587" t="s">
        <v>436</v>
      </c>
      <c r="Q3587">
        <v>7</v>
      </c>
      <c r="R3587" s="225">
        <f>Base_Periodo1[[#This Row],[CREDITOS]]-Base_Periodo1[[#This Row],[DEBITOS]]</f>
        <v>0</v>
      </c>
      <c r="S3587" s="3" t="str">
        <f>IF(ISERROR(VLOOKUP(Base_Periodo1[[#This Row],[CONTA]],BaseContasDRE[#All],4,FALSE)),"Fora do DRE",VLOOKUP(Base_Periodo1[[#This Row],[CONTA]],BaseContasDRE[#All],4,FALSE))</f>
        <v>Fora do DRE</v>
      </c>
      <c r="T3587" s="3" t="str">
        <f>IF(ISERROR(VLOOKUP(Base_Periodo1[[#This Row],[CONTA]],BaseContasDRE[#All],5,FALSE)),"Fora do DRE",VLOOKUP(Base_Periodo1[[#This Row],[CONTA]],BaseContasDRE[#All],6,FALSE))</f>
        <v>Fora do DRE</v>
      </c>
      <c r="U3587" s="3" t="str">
        <f>IF(ISERROR(VLOOKUP(Base_Periodo1[[#This Row],[CONTA]],BaseContasDRE[#All],7,FALSE)),"Fora do DRE",VLOOKUP(Base_Periodo1[[#This Row],[CONTA]],BaseContasDRE[#All],7,FALSE))</f>
        <v>Fora do DRE</v>
      </c>
      <c r="V3587" s="3" t="str">
        <f>IF(Base_Periodo1[[#This Row],[Tipo_Linha]]="Fora do DRE","Fora do DRE","( "&amp;Base_Periodo1[[#This Row],[Tipo_Linha]]&amp;" ) "&amp;Base_Periodo1[[#This Row],[Filtro]])</f>
        <v>Fora do DRE</v>
      </c>
      <c r="W3587" s="3" t="str">
        <f>LEFT(Base_Periodo1[[#This Row],[CLASS]],3)</f>
        <v>2.1</v>
      </c>
    </row>
    <row r="3588" spans="1:23" hidden="1">
      <c r="A3588" s="3" t="str">
        <f t="shared" si="55"/>
        <v>Período 1</v>
      </c>
      <c r="B3588">
        <v>35053</v>
      </c>
      <c r="C3588" t="s">
        <v>2010</v>
      </c>
      <c r="D3588" t="s">
        <v>5079</v>
      </c>
      <c r="E3588" s="3" t="str">
        <f>IF(LEN(Base_Periodo1[[#This Row],[CLASS]])&gt;=7,LEFT(Base_Periodo1[[#This Row],[CLASS]],7),"")</f>
        <v>2.1.2.2</v>
      </c>
      <c r="F3588" s="3" t="str">
        <f>VLOOKUP(Base_Periodo1[[#This Row],[Aux]],Base_Contas_Balanco[#All],2,FALSE)</f>
        <v>Fornecedores Não Cooperados</v>
      </c>
      <c r="G3588" s="1">
        <v>42872</v>
      </c>
      <c r="H3588" s="225">
        <v>1274.5400000000009</v>
      </c>
      <c r="I3588" s="225">
        <v>23228.59</v>
      </c>
      <c r="J3588" s="225">
        <v>22121.01</v>
      </c>
      <c r="K3588" s="225">
        <v>166.95999999999913</v>
      </c>
      <c r="L35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166.96</v>
      </c>
      <c r="M3588" s="225">
        <f>ROUND(IF(AND(Base_Periodo1[[#This Row],[Tipo_Linha]]="-",Base_Periodo1[[#This Row],[TIPOSALDO]]="D"),Base_Periodo1[[#This Row],[SALDO_ATUAL]]*-1,Base_Periodo1[[#This Row],[SALDO_ATUAL]]),4)</f>
        <v>166.96</v>
      </c>
      <c r="N3588" t="s">
        <v>116</v>
      </c>
      <c r="O3588" t="s">
        <v>459</v>
      </c>
      <c r="P3588" t="s">
        <v>459</v>
      </c>
      <c r="Q3588">
        <v>7</v>
      </c>
      <c r="R3588" s="225">
        <f>Base_Periodo1[[#This Row],[CREDITOS]]-Base_Periodo1[[#This Row],[DEBITOS]]</f>
        <v>-1107.5800000000017</v>
      </c>
      <c r="S3588" s="3" t="str">
        <f>IF(ISERROR(VLOOKUP(Base_Periodo1[[#This Row],[CONTA]],BaseContasDRE[#All],4,FALSE)),"Fora do DRE",VLOOKUP(Base_Periodo1[[#This Row],[CONTA]],BaseContasDRE[#All],4,FALSE))</f>
        <v>Fora do DRE</v>
      </c>
      <c r="T3588" s="3" t="str">
        <f>IF(ISERROR(VLOOKUP(Base_Periodo1[[#This Row],[CONTA]],BaseContasDRE[#All],5,FALSE)),"Fora do DRE",VLOOKUP(Base_Periodo1[[#This Row],[CONTA]],BaseContasDRE[#All],6,FALSE))</f>
        <v>Fora do DRE</v>
      </c>
      <c r="U3588" s="3" t="str">
        <f>IF(ISERROR(VLOOKUP(Base_Periodo1[[#This Row],[CONTA]],BaseContasDRE[#All],7,FALSE)),"Fora do DRE",VLOOKUP(Base_Periodo1[[#This Row],[CONTA]],BaseContasDRE[#All],7,FALSE))</f>
        <v>Fora do DRE</v>
      </c>
      <c r="V3588" s="3" t="str">
        <f>IF(Base_Periodo1[[#This Row],[Tipo_Linha]]="Fora do DRE","Fora do DRE","( "&amp;Base_Periodo1[[#This Row],[Tipo_Linha]]&amp;" ) "&amp;Base_Periodo1[[#This Row],[Filtro]])</f>
        <v>Fora do DRE</v>
      </c>
      <c r="W3588" s="3" t="str">
        <f>LEFT(Base_Periodo1[[#This Row],[CLASS]],3)</f>
        <v>2.1</v>
      </c>
    </row>
    <row r="3589" spans="1:23" hidden="1">
      <c r="A3589" s="3" t="str">
        <f t="shared" si="55"/>
        <v>Período 1</v>
      </c>
      <c r="B3589">
        <v>57624</v>
      </c>
      <c r="C3589" t="s">
        <v>2010</v>
      </c>
      <c r="D3589" t="s">
        <v>7006</v>
      </c>
      <c r="E3589" s="3" t="str">
        <f>IF(LEN(Base_Periodo1[[#This Row],[CLASS]])&gt;=7,LEFT(Base_Periodo1[[#This Row],[CLASS]],7),"")</f>
        <v>2.1.2.2</v>
      </c>
      <c r="F3589" s="3" t="str">
        <f>VLOOKUP(Base_Periodo1[[#This Row],[Aux]],Base_Contas_Balanco[#All],2,FALSE)</f>
        <v>Fornecedores Não Cooperados</v>
      </c>
      <c r="G3589" s="1">
        <v>42878</v>
      </c>
      <c r="I3589" s="225">
        <v>811.37</v>
      </c>
      <c r="J3589" s="225">
        <v>811.37</v>
      </c>
      <c r="K3589" s="225">
        <v>0</v>
      </c>
      <c r="L35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89" s="225">
        <f>ROUND(IF(AND(Base_Periodo1[[#This Row],[Tipo_Linha]]="-",Base_Periodo1[[#This Row],[TIPOSALDO]]="D"),Base_Periodo1[[#This Row],[SALDO_ATUAL]]*-1,Base_Periodo1[[#This Row],[SALDO_ATUAL]]),4)</f>
        <v>0</v>
      </c>
      <c r="N3589" t="s">
        <v>116</v>
      </c>
      <c r="O3589" t="s">
        <v>436</v>
      </c>
      <c r="P3589" t="s">
        <v>436</v>
      </c>
      <c r="Q3589">
        <v>7</v>
      </c>
      <c r="R3589" s="225">
        <f>Base_Periodo1[[#This Row],[CREDITOS]]-Base_Periodo1[[#This Row],[DEBITOS]]</f>
        <v>0</v>
      </c>
      <c r="S3589" s="3" t="str">
        <f>IF(ISERROR(VLOOKUP(Base_Periodo1[[#This Row],[CONTA]],BaseContasDRE[#All],4,FALSE)),"Fora do DRE",VLOOKUP(Base_Periodo1[[#This Row],[CONTA]],BaseContasDRE[#All],4,FALSE))</f>
        <v>Fora do DRE</v>
      </c>
      <c r="T3589" s="3" t="str">
        <f>IF(ISERROR(VLOOKUP(Base_Periodo1[[#This Row],[CONTA]],BaseContasDRE[#All],5,FALSE)),"Fora do DRE",VLOOKUP(Base_Periodo1[[#This Row],[CONTA]],BaseContasDRE[#All],6,FALSE))</f>
        <v>Fora do DRE</v>
      </c>
      <c r="U3589" s="3" t="str">
        <f>IF(ISERROR(VLOOKUP(Base_Periodo1[[#This Row],[CONTA]],BaseContasDRE[#All],7,FALSE)),"Fora do DRE",VLOOKUP(Base_Periodo1[[#This Row],[CONTA]],BaseContasDRE[#All],7,FALSE))</f>
        <v>Fora do DRE</v>
      </c>
      <c r="V3589" s="3" t="str">
        <f>IF(Base_Periodo1[[#This Row],[Tipo_Linha]]="Fora do DRE","Fora do DRE","( "&amp;Base_Periodo1[[#This Row],[Tipo_Linha]]&amp;" ) "&amp;Base_Periodo1[[#This Row],[Filtro]])</f>
        <v>Fora do DRE</v>
      </c>
      <c r="W3589" s="3" t="str">
        <f>LEFT(Base_Periodo1[[#This Row],[CLASS]],3)</f>
        <v>2.1</v>
      </c>
    </row>
    <row r="3590" spans="1:23" hidden="1">
      <c r="A3590" s="3" t="str">
        <f t="shared" ref="A3590:A3653" si="56">"Período 1"</f>
        <v>Período 1</v>
      </c>
      <c r="B3590">
        <v>11173</v>
      </c>
      <c r="C3590" t="s">
        <v>2010</v>
      </c>
      <c r="D3590" t="s">
        <v>4366</v>
      </c>
      <c r="E3590" s="3" t="str">
        <f>IF(LEN(Base_Periodo1[[#This Row],[CLASS]])&gt;=7,LEFT(Base_Periodo1[[#This Row],[CLASS]],7),"")</f>
        <v>2.1.2.2</v>
      </c>
      <c r="F3590" s="3" t="str">
        <f>VLOOKUP(Base_Periodo1[[#This Row],[Aux]],Base_Contas_Balanco[#All],2,FALSE)</f>
        <v>Fornecedores Não Cooperados</v>
      </c>
      <c r="G3590" s="1">
        <v>42872</v>
      </c>
      <c r="H3590" s="225">
        <v>223.04000000000451</v>
      </c>
      <c r="I3590" s="225">
        <v>395.53</v>
      </c>
      <c r="J3590" s="225">
        <v>172.49</v>
      </c>
      <c r="K3590" s="225">
        <v>-4.5474735088646412E-12</v>
      </c>
      <c r="L35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90" s="225">
        <f>ROUND(IF(AND(Base_Periodo1[[#This Row],[Tipo_Linha]]="-",Base_Periodo1[[#This Row],[TIPOSALDO]]="D"),Base_Periodo1[[#This Row],[SALDO_ATUAL]]*-1,Base_Periodo1[[#This Row],[SALDO_ATUAL]]),4)</f>
        <v>0</v>
      </c>
      <c r="N3590" t="s">
        <v>116</v>
      </c>
      <c r="O3590" t="s">
        <v>459</v>
      </c>
      <c r="P3590" t="s">
        <v>436</v>
      </c>
      <c r="Q3590">
        <v>7</v>
      </c>
      <c r="R3590" s="225">
        <f>Base_Periodo1[[#This Row],[CREDITOS]]-Base_Periodo1[[#This Row],[DEBITOS]]</f>
        <v>-223.03999999999996</v>
      </c>
      <c r="S3590" s="3" t="str">
        <f>IF(ISERROR(VLOOKUP(Base_Periodo1[[#This Row],[CONTA]],BaseContasDRE[#All],4,FALSE)),"Fora do DRE",VLOOKUP(Base_Periodo1[[#This Row],[CONTA]],BaseContasDRE[#All],4,FALSE))</f>
        <v>Fora do DRE</v>
      </c>
      <c r="T3590" s="3" t="str">
        <f>IF(ISERROR(VLOOKUP(Base_Periodo1[[#This Row],[CONTA]],BaseContasDRE[#All],5,FALSE)),"Fora do DRE",VLOOKUP(Base_Periodo1[[#This Row],[CONTA]],BaseContasDRE[#All],6,FALSE))</f>
        <v>Fora do DRE</v>
      </c>
      <c r="U3590" s="3" t="str">
        <f>IF(ISERROR(VLOOKUP(Base_Periodo1[[#This Row],[CONTA]],BaseContasDRE[#All],7,FALSE)),"Fora do DRE",VLOOKUP(Base_Periodo1[[#This Row],[CONTA]],BaseContasDRE[#All],7,FALSE))</f>
        <v>Fora do DRE</v>
      </c>
      <c r="V3590" s="3" t="str">
        <f>IF(Base_Periodo1[[#This Row],[Tipo_Linha]]="Fora do DRE","Fora do DRE","( "&amp;Base_Periodo1[[#This Row],[Tipo_Linha]]&amp;" ) "&amp;Base_Periodo1[[#This Row],[Filtro]])</f>
        <v>Fora do DRE</v>
      </c>
      <c r="W3590" s="3" t="str">
        <f>LEFT(Base_Periodo1[[#This Row],[CLASS]],3)</f>
        <v>2.1</v>
      </c>
    </row>
    <row r="3591" spans="1:23" hidden="1">
      <c r="A3591" s="3" t="str">
        <f t="shared" si="56"/>
        <v>Período 1</v>
      </c>
      <c r="B3591">
        <v>54912</v>
      </c>
      <c r="C3591" t="s">
        <v>2010</v>
      </c>
      <c r="D3591" t="s">
        <v>5722</v>
      </c>
      <c r="E3591" s="3" t="str">
        <f>IF(LEN(Base_Periodo1[[#This Row],[CLASS]])&gt;=7,LEFT(Base_Periodo1[[#This Row],[CLASS]],7),"")</f>
        <v>2.1.2.2</v>
      </c>
      <c r="F3591" s="3" t="str">
        <f>VLOOKUP(Base_Periodo1[[#This Row],[Aux]],Base_Contas_Balanco[#All],2,FALSE)</f>
        <v>Fornecedores Não Cooperados</v>
      </c>
      <c r="G3591" s="1">
        <v>42866</v>
      </c>
      <c r="I3591" s="225">
        <v>751</v>
      </c>
      <c r="J3591" s="225">
        <v>751</v>
      </c>
      <c r="K3591" s="225">
        <v>0</v>
      </c>
      <c r="L35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91" s="225">
        <f>ROUND(IF(AND(Base_Periodo1[[#This Row],[Tipo_Linha]]="-",Base_Periodo1[[#This Row],[TIPOSALDO]]="D"),Base_Periodo1[[#This Row],[SALDO_ATUAL]]*-1,Base_Periodo1[[#This Row],[SALDO_ATUAL]]),4)</f>
        <v>0</v>
      </c>
      <c r="N3591" t="s">
        <v>116</v>
      </c>
      <c r="O3591" t="s">
        <v>436</v>
      </c>
      <c r="P3591" t="s">
        <v>436</v>
      </c>
      <c r="Q3591">
        <v>7</v>
      </c>
      <c r="R3591" s="225">
        <f>Base_Periodo1[[#This Row],[CREDITOS]]-Base_Periodo1[[#This Row],[DEBITOS]]</f>
        <v>0</v>
      </c>
      <c r="S3591" s="3" t="str">
        <f>IF(ISERROR(VLOOKUP(Base_Periodo1[[#This Row],[CONTA]],BaseContasDRE[#All],4,FALSE)),"Fora do DRE",VLOOKUP(Base_Periodo1[[#This Row],[CONTA]],BaseContasDRE[#All],4,FALSE))</f>
        <v>Fora do DRE</v>
      </c>
      <c r="T3591" s="3" t="str">
        <f>IF(ISERROR(VLOOKUP(Base_Periodo1[[#This Row],[CONTA]],BaseContasDRE[#All],5,FALSE)),"Fora do DRE",VLOOKUP(Base_Periodo1[[#This Row],[CONTA]],BaseContasDRE[#All],6,FALSE))</f>
        <v>Fora do DRE</v>
      </c>
      <c r="U3591" s="3" t="str">
        <f>IF(ISERROR(VLOOKUP(Base_Periodo1[[#This Row],[CONTA]],BaseContasDRE[#All],7,FALSE)),"Fora do DRE",VLOOKUP(Base_Periodo1[[#This Row],[CONTA]],BaseContasDRE[#All],7,FALSE))</f>
        <v>Fora do DRE</v>
      </c>
      <c r="V3591" s="3" t="str">
        <f>IF(Base_Periodo1[[#This Row],[Tipo_Linha]]="Fora do DRE","Fora do DRE","( "&amp;Base_Periodo1[[#This Row],[Tipo_Linha]]&amp;" ) "&amp;Base_Periodo1[[#This Row],[Filtro]])</f>
        <v>Fora do DRE</v>
      </c>
      <c r="W3591" s="3" t="str">
        <f>LEFT(Base_Periodo1[[#This Row],[CLASS]],3)</f>
        <v>2.1</v>
      </c>
    </row>
    <row r="3592" spans="1:23" hidden="1">
      <c r="A3592" s="3" t="str">
        <f t="shared" si="56"/>
        <v>Período 1</v>
      </c>
      <c r="B3592">
        <v>9969</v>
      </c>
      <c r="C3592" t="s">
        <v>2010</v>
      </c>
      <c r="D3592" t="s">
        <v>2068</v>
      </c>
      <c r="E3592" s="3" t="str">
        <f>IF(LEN(Base_Periodo1[[#This Row],[CLASS]])&gt;=7,LEFT(Base_Periodo1[[#This Row],[CLASS]],7),"")</f>
        <v>2.1.2.2</v>
      </c>
      <c r="F3592" s="3" t="str">
        <f>VLOOKUP(Base_Periodo1[[#This Row],[Aux]],Base_Contas_Balanco[#All],2,FALSE)</f>
        <v>Fornecedores Não Cooperados</v>
      </c>
      <c r="G3592" s="1">
        <v>42886</v>
      </c>
      <c r="H3592" s="225">
        <v>2183</v>
      </c>
      <c r="I3592" s="225">
        <v>2183</v>
      </c>
      <c r="J3592" s="225">
        <v>1770</v>
      </c>
      <c r="K3592" s="225">
        <v>1770</v>
      </c>
      <c r="L35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1770</v>
      </c>
      <c r="M3592" s="225">
        <f>ROUND(IF(AND(Base_Periodo1[[#This Row],[Tipo_Linha]]="-",Base_Periodo1[[#This Row],[TIPOSALDO]]="D"),Base_Periodo1[[#This Row],[SALDO_ATUAL]]*-1,Base_Periodo1[[#This Row],[SALDO_ATUAL]]),4)</f>
        <v>1770</v>
      </c>
      <c r="N3592" t="s">
        <v>116</v>
      </c>
      <c r="O3592" t="s">
        <v>459</v>
      </c>
      <c r="P3592" t="s">
        <v>459</v>
      </c>
      <c r="Q3592">
        <v>7</v>
      </c>
      <c r="R3592" s="225">
        <f>Base_Periodo1[[#This Row],[CREDITOS]]-Base_Periodo1[[#This Row],[DEBITOS]]</f>
        <v>-413</v>
      </c>
      <c r="S3592" s="3" t="str">
        <f>IF(ISERROR(VLOOKUP(Base_Periodo1[[#This Row],[CONTA]],BaseContasDRE[#All],4,FALSE)),"Fora do DRE",VLOOKUP(Base_Periodo1[[#This Row],[CONTA]],BaseContasDRE[#All],4,FALSE))</f>
        <v>Fora do DRE</v>
      </c>
      <c r="T3592" s="3" t="str">
        <f>IF(ISERROR(VLOOKUP(Base_Periodo1[[#This Row],[CONTA]],BaseContasDRE[#All],5,FALSE)),"Fora do DRE",VLOOKUP(Base_Periodo1[[#This Row],[CONTA]],BaseContasDRE[#All],6,FALSE))</f>
        <v>Fora do DRE</v>
      </c>
      <c r="U3592" s="3" t="str">
        <f>IF(ISERROR(VLOOKUP(Base_Periodo1[[#This Row],[CONTA]],BaseContasDRE[#All],7,FALSE)),"Fora do DRE",VLOOKUP(Base_Periodo1[[#This Row],[CONTA]],BaseContasDRE[#All],7,FALSE))</f>
        <v>Fora do DRE</v>
      </c>
      <c r="V3592" s="3" t="str">
        <f>IF(Base_Periodo1[[#This Row],[Tipo_Linha]]="Fora do DRE","Fora do DRE","( "&amp;Base_Periodo1[[#This Row],[Tipo_Linha]]&amp;" ) "&amp;Base_Periodo1[[#This Row],[Filtro]])</f>
        <v>Fora do DRE</v>
      </c>
      <c r="W3592" s="3" t="str">
        <f>LEFT(Base_Periodo1[[#This Row],[CLASS]],3)</f>
        <v>2.1</v>
      </c>
    </row>
    <row r="3593" spans="1:23" hidden="1">
      <c r="A3593" s="3" t="str">
        <f t="shared" si="56"/>
        <v>Período 1</v>
      </c>
      <c r="B3593">
        <v>17762</v>
      </c>
      <c r="C3593" t="s">
        <v>2010</v>
      </c>
      <c r="D3593" t="s">
        <v>7007</v>
      </c>
      <c r="E3593" s="3" t="str">
        <f>IF(LEN(Base_Periodo1[[#This Row],[CLASS]])&gt;=7,LEFT(Base_Periodo1[[#This Row],[CLASS]],7),"")</f>
        <v>2.1.2.2</v>
      </c>
      <c r="F3593" s="3" t="str">
        <f>VLOOKUP(Base_Periodo1[[#This Row],[Aux]],Base_Contas_Balanco[#All],2,FALSE)</f>
        <v>Fornecedores Não Cooperados</v>
      </c>
      <c r="G3593" s="1">
        <v>42865</v>
      </c>
      <c r="I3593" s="225">
        <v>60</v>
      </c>
      <c r="J3593" s="225">
        <v>60</v>
      </c>
      <c r="K3593" s="225">
        <v>0</v>
      </c>
      <c r="L35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93" s="225">
        <f>ROUND(IF(AND(Base_Periodo1[[#This Row],[Tipo_Linha]]="-",Base_Periodo1[[#This Row],[TIPOSALDO]]="D"),Base_Periodo1[[#This Row],[SALDO_ATUAL]]*-1,Base_Periodo1[[#This Row],[SALDO_ATUAL]]),4)</f>
        <v>0</v>
      </c>
      <c r="N3593" t="s">
        <v>116</v>
      </c>
      <c r="O3593" t="s">
        <v>436</v>
      </c>
      <c r="P3593" t="s">
        <v>436</v>
      </c>
      <c r="Q3593">
        <v>7</v>
      </c>
      <c r="R3593" s="225">
        <f>Base_Periodo1[[#This Row],[CREDITOS]]-Base_Periodo1[[#This Row],[DEBITOS]]</f>
        <v>0</v>
      </c>
      <c r="S3593" s="3" t="str">
        <f>IF(ISERROR(VLOOKUP(Base_Periodo1[[#This Row],[CONTA]],BaseContasDRE[#All],4,FALSE)),"Fora do DRE",VLOOKUP(Base_Periodo1[[#This Row],[CONTA]],BaseContasDRE[#All],4,FALSE))</f>
        <v>Fora do DRE</v>
      </c>
      <c r="T3593" s="3" t="str">
        <f>IF(ISERROR(VLOOKUP(Base_Periodo1[[#This Row],[CONTA]],BaseContasDRE[#All],5,FALSE)),"Fora do DRE",VLOOKUP(Base_Periodo1[[#This Row],[CONTA]],BaseContasDRE[#All],6,FALSE))</f>
        <v>Fora do DRE</v>
      </c>
      <c r="U3593" s="3" t="str">
        <f>IF(ISERROR(VLOOKUP(Base_Periodo1[[#This Row],[CONTA]],BaseContasDRE[#All],7,FALSE)),"Fora do DRE",VLOOKUP(Base_Periodo1[[#This Row],[CONTA]],BaseContasDRE[#All],7,FALSE))</f>
        <v>Fora do DRE</v>
      </c>
      <c r="V3593" s="3" t="str">
        <f>IF(Base_Periodo1[[#This Row],[Tipo_Linha]]="Fora do DRE","Fora do DRE","( "&amp;Base_Periodo1[[#This Row],[Tipo_Linha]]&amp;" ) "&amp;Base_Periodo1[[#This Row],[Filtro]])</f>
        <v>Fora do DRE</v>
      </c>
      <c r="W3593" s="3" t="str">
        <f>LEFT(Base_Periodo1[[#This Row],[CLASS]],3)</f>
        <v>2.1</v>
      </c>
    </row>
    <row r="3594" spans="1:23" hidden="1">
      <c r="A3594" s="3" t="str">
        <f t="shared" si="56"/>
        <v>Período 1</v>
      </c>
      <c r="B3594">
        <v>53858</v>
      </c>
      <c r="C3594" t="s">
        <v>2010</v>
      </c>
      <c r="D3594" t="s">
        <v>6172</v>
      </c>
      <c r="E3594" s="3" t="str">
        <f>IF(LEN(Base_Periodo1[[#This Row],[CLASS]])&gt;=7,LEFT(Base_Periodo1[[#This Row],[CLASS]],7),"")</f>
        <v>2.1.2.2</v>
      </c>
      <c r="F3594" s="3" t="str">
        <f>VLOOKUP(Base_Periodo1[[#This Row],[Aux]],Base_Contas_Balanco[#All],2,FALSE)</f>
        <v>Fornecedores Não Cooperados</v>
      </c>
      <c r="G3594" s="1">
        <v>42879</v>
      </c>
      <c r="I3594" s="225">
        <v>1071.2</v>
      </c>
      <c r="J3594" s="225">
        <v>1071.2</v>
      </c>
      <c r="K3594" s="225">
        <v>0</v>
      </c>
      <c r="L35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94" s="225">
        <f>ROUND(IF(AND(Base_Periodo1[[#This Row],[Tipo_Linha]]="-",Base_Periodo1[[#This Row],[TIPOSALDO]]="D"),Base_Periodo1[[#This Row],[SALDO_ATUAL]]*-1,Base_Periodo1[[#This Row],[SALDO_ATUAL]]),4)</f>
        <v>0</v>
      </c>
      <c r="N3594" t="s">
        <v>116</v>
      </c>
      <c r="O3594" t="s">
        <v>436</v>
      </c>
      <c r="P3594" t="s">
        <v>436</v>
      </c>
      <c r="Q3594">
        <v>7</v>
      </c>
      <c r="R3594" s="225">
        <f>Base_Periodo1[[#This Row],[CREDITOS]]-Base_Periodo1[[#This Row],[DEBITOS]]</f>
        <v>0</v>
      </c>
      <c r="S3594" s="3" t="str">
        <f>IF(ISERROR(VLOOKUP(Base_Periodo1[[#This Row],[CONTA]],BaseContasDRE[#All],4,FALSE)),"Fora do DRE",VLOOKUP(Base_Periodo1[[#This Row],[CONTA]],BaseContasDRE[#All],4,FALSE))</f>
        <v>Fora do DRE</v>
      </c>
      <c r="T3594" s="3" t="str">
        <f>IF(ISERROR(VLOOKUP(Base_Periodo1[[#This Row],[CONTA]],BaseContasDRE[#All],5,FALSE)),"Fora do DRE",VLOOKUP(Base_Periodo1[[#This Row],[CONTA]],BaseContasDRE[#All],6,FALSE))</f>
        <v>Fora do DRE</v>
      </c>
      <c r="U3594" s="3" t="str">
        <f>IF(ISERROR(VLOOKUP(Base_Periodo1[[#This Row],[CONTA]],BaseContasDRE[#All],7,FALSE)),"Fora do DRE",VLOOKUP(Base_Periodo1[[#This Row],[CONTA]],BaseContasDRE[#All],7,FALSE))</f>
        <v>Fora do DRE</v>
      </c>
      <c r="V3594" s="3" t="str">
        <f>IF(Base_Periodo1[[#This Row],[Tipo_Linha]]="Fora do DRE","Fora do DRE","( "&amp;Base_Periodo1[[#This Row],[Tipo_Linha]]&amp;" ) "&amp;Base_Periodo1[[#This Row],[Filtro]])</f>
        <v>Fora do DRE</v>
      </c>
      <c r="W3594" s="3" t="str">
        <f>LEFT(Base_Periodo1[[#This Row],[CLASS]],3)</f>
        <v>2.1</v>
      </c>
    </row>
    <row r="3595" spans="1:23" hidden="1">
      <c r="A3595" s="3" t="str">
        <f t="shared" si="56"/>
        <v>Período 1</v>
      </c>
      <c r="B3595">
        <v>53318</v>
      </c>
      <c r="C3595" t="s">
        <v>2010</v>
      </c>
      <c r="D3595" t="s">
        <v>6173</v>
      </c>
      <c r="E3595" s="3" t="str">
        <f>IF(LEN(Base_Periodo1[[#This Row],[CLASS]])&gt;=7,LEFT(Base_Periodo1[[#This Row],[CLASS]],7),"")</f>
        <v>2.1.2.2</v>
      </c>
      <c r="F3595" s="3" t="str">
        <f>VLOOKUP(Base_Periodo1[[#This Row],[Aux]],Base_Contas_Balanco[#All],2,FALSE)</f>
        <v>Fornecedores Não Cooperados</v>
      </c>
      <c r="G3595" s="1">
        <v>42879</v>
      </c>
      <c r="I3595" s="225">
        <v>10362</v>
      </c>
      <c r="J3595" s="225">
        <v>10362</v>
      </c>
      <c r="K3595" s="225">
        <v>0</v>
      </c>
      <c r="L35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95" s="225">
        <f>ROUND(IF(AND(Base_Periodo1[[#This Row],[Tipo_Linha]]="-",Base_Periodo1[[#This Row],[TIPOSALDO]]="D"),Base_Periodo1[[#This Row],[SALDO_ATUAL]]*-1,Base_Periodo1[[#This Row],[SALDO_ATUAL]]),4)</f>
        <v>0</v>
      </c>
      <c r="N3595" t="s">
        <v>116</v>
      </c>
      <c r="O3595" t="s">
        <v>436</v>
      </c>
      <c r="P3595" t="s">
        <v>436</v>
      </c>
      <c r="Q3595">
        <v>7</v>
      </c>
      <c r="R3595" s="225">
        <f>Base_Periodo1[[#This Row],[CREDITOS]]-Base_Periodo1[[#This Row],[DEBITOS]]</f>
        <v>0</v>
      </c>
      <c r="S3595" s="3" t="str">
        <f>IF(ISERROR(VLOOKUP(Base_Periodo1[[#This Row],[CONTA]],BaseContasDRE[#All],4,FALSE)),"Fora do DRE",VLOOKUP(Base_Periodo1[[#This Row],[CONTA]],BaseContasDRE[#All],4,FALSE))</f>
        <v>Fora do DRE</v>
      </c>
      <c r="T3595" s="3" t="str">
        <f>IF(ISERROR(VLOOKUP(Base_Periodo1[[#This Row],[CONTA]],BaseContasDRE[#All],5,FALSE)),"Fora do DRE",VLOOKUP(Base_Periodo1[[#This Row],[CONTA]],BaseContasDRE[#All],6,FALSE))</f>
        <v>Fora do DRE</v>
      </c>
      <c r="U3595" s="3" t="str">
        <f>IF(ISERROR(VLOOKUP(Base_Periodo1[[#This Row],[CONTA]],BaseContasDRE[#All],7,FALSE)),"Fora do DRE",VLOOKUP(Base_Periodo1[[#This Row],[CONTA]],BaseContasDRE[#All],7,FALSE))</f>
        <v>Fora do DRE</v>
      </c>
      <c r="V3595" s="3" t="str">
        <f>IF(Base_Periodo1[[#This Row],[Tipo_Linha]]="Fora do DRE","Fora do DRE","( "&amp;Base_Periodo1[[#This Row],[Tipo_Linha]]&amp;" ) "&amp;Base_Periodo1[[#This Row],[Filtro]])</f>
        <v>Fora do DRE</v>
      </c>
      <c r="W3595" s="3" t="str">
        <f>LEFT(Base_Periodo1[[#This Row],[CLASS]],3)</f>
        <v>2.1</v>
      </c>
    </row>
    <row r="3596" spans="1:23" hidden="1">
      <c r="A3596" s="3" t="str">
        <f t="shared" si="56"/>
        <v>Período 1</v>
      </c>
      <c r="B3596">
        <v>25161</v>
      </c>
      <c r="C3596" t="s">
        <v>2010</v>
      </c>
      <c r="D3596" t="s">
        <v>5973</v>
      </c>
      <c r="E3596" s="3" t="str">
        <f>IF(LEN(Base_Periodo1[[#This Row],[CLASS]])&gt;=7,LEFT(Base_Periodo1[[#This Row],[CLASS]],7),"")</f>
        <v>2.1.2.2</v>
      </c>
      <c r="F3596" s="3" t="str">
        <f>VLOOKUP(Base_Periodo1[[#This Row],[Aux]],Base_Contas_Balanco[#All],2,FALSE)</f>
        <v>Fornecedores Não Cooperados</v>
      </c>
      <c r="G3596" s="1">
        <v>42872</v>
      </c>
      <c r="I3596" s="225">
        <v>162</v>
      </c>
      <c r="J3596" s="225">
        <v>162</v>
      </c>
      <c r="K3596" s="225">
        <v>0</v>
      </c>
      <c r="L35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96" s="225">
        <f>ROUND(IF(AND(Base_Periodo1[[#This Row],[Tipo_Linha]]="-",Base_Periodo1[[#This Row],[TIPOSALDO]]="D"),Base_Periodo1[[#This Row],[SALDO_ATUAL]]*-1,Base_Periodo1[[#This Row],[SALDO_ATUAL]]),4)</f>
        <v>0</v>
      </c>
      <c r="N3596" t="s">
        <v>116</v>
      </c>
      <c r="O3596" t="s">
        <v>436</v>
      </c>
      <c r="P3596" t="s">
        <v>436</v>
      </c>
      <c r="Q3596">
        <v>7</v>
      </c>
      <c r="R3596" s="225">
        <f>Base_Periodo1[[#This Row],[CREDITOS]]-Base_Periodo1[[#This Row],[DEBITOS]]</f>
        <v>0</v>
      </c>
      <c r="S3596" s="3" t="str">
        <f>IF(ISERROR(VLOOKUP(Base_Periodo1[[#This Row],[CONTA]],BaseContasDRE[#All],4,FALSE)),"Fora do DRE",VLOOKUP(Base_Periodo1[[#This Row],[CONTA]],BaseContasDRE[#All],4,FALSE))</f>
        <v>Fora do DRE</v>
      </c>
      <c r="T3596" s="3" t="str">
        <f>IF(ISERROR(VLOOKUP(Base_Periodo1[[#This Row],[CONTA]],BaseContasDRE[#All],5,FALSE)),"Fora do DRE",VLOOKUP(Base_Periodo1[[#This Row],[CONTA]],BaseContasDRE[#All],6,FALSE))</f>
        <v>Fora do DRE</v>
      </c>
      <c r="U3596" s="3" t="str">
        <f>IF(ISERROR(VLOOKUP(Base_Periodo1[[#This Row],[CONTA]],BaseContasDRE[#All],7,FALSE)),"Fora do DRE",VLOOKUP(Base_Periodo1[[#This Row],[CONTA]],BaseContasDRE[#All],7,FALSE))</f>
        <v>Fora do DRE</v>
      </c>
      <c r="V3596" s="3" t="str">
        <f>IF(Base_Periodo1[[#This Row],[Tipo_Linha]]="Fora do DRE","Fora do DRE","( "&amp;Base_Periodo1[[#This Row],[Tipo_Linha]]&amp;" ) "&amp;Base_Periodo1[[#This Row],[Filtro]])</f>
        <v>Fora do DRE</v>
      </c>
      <c r="W3596" s="3" t="str">
        <f>LEFT(Base_Periodo1[[#This Row],[CLASS]],3)</f>
        <v>2.1</v>
      </c>
    </row>
    <row r="3597" spans="1:23" hidden="1">
      <c r="A3597" s="3" t="str">
        <f t="shared" si="56"/>
        <v>Período 1</v>
      </c>
      <c r="B3597">
        <v>51140</v>
      </c>
      <c r="C3597" t="s">
        <v>2010</v>
      </c>
      <c r="D3597" t="s">
        <v>7008</v>
      </c>
      <c r="E3597" s="3" t="str">
        <f>IF(LEN(Base_Periodo1[[#This Row],[CLASS]])&gt;=7,LEFT(Base_Periodo1[[#This Row],[CLASS]],7),"")</f>
        <v>2.1.2.2</v>
      </c>
      <c r="F3597" s="3" t="str">
        <f>VLOOKUP(Base_Periodo1[[#This Row],[Aux]],Base_Contas_Balanco[#All],2,FALSE)</f>
        <v>Fornecedores Não Cooperados</v>
      </c>
      <c r="G3597" s="1">
        <v>42866</v>
      </c>
      <c r="I3597" s="225">
        <v>0</v>
      </c>
      <c r="J3597" s="225">
        <v>23925</v>
      </c>
      <c r="K3597" s="225">
        <v>23925</v>
      </c>
      <c r="L35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23925</v>
      </c>
      <c r="M3597" s="225">
        <f>ROUND(IF(AND(Base_Periodo1[[#This Row],[Tipo_Linha]]="-",Base_Periodo1[[#This Row],[TIPOSALDO]]="D"),Base_Periodo1[[#This Row],[SALDO_ATUAL]]*-1,Base_Periodo1[[#This Row],[SALDO_ATUAL]]),4)</f>
        <v>23925</v>
      </c>
      <c r="N3597" t="s">
        <v>116</v>
      </c>
      <c r="O3597" t="s">
        <v>436</v>
      </c>
      <c r="P3597" t="s">
        <v>459</v>
      </c>
      <c r="Q3597">
        <v>7</v>
      </c>
      <c r="R3597" s="225">
        <f>Base_Periodo1[[#This Row],[CREDITOS]]-Base_Periodo1[[#This Row],[DEBITOS]]</f>
        <v>23925</v>
      </c>
      <c r="S3597" s="3" t="str">
        <f>IF(ISERROR(VLOOKUP(Base_Periodo1[[#This Row],[CONTA]],BaseContasDRE[#All],4,FALSE)),"Fora do DRE",VLOOKUP(Base_Periodo1[[#This Row],[CONTA]],BaseContasDRE[#All],4,FALSE))</f>
        <v>Fora do DRE</v>
      </c>
      <c r="T3597" s="3" t="str">
        <f>IF(ISERROR(VLOOKUP(Base_Periodo1[[#This Row],[CONTA]],BaseContasDRE[#All],5,FALSE)),"Fora do DRE",VLOOKUP(Base_Periodo1[[#This Row],[CONTA]],BaseContasDRE[#All],6,FALSE))</f>
        <v>Fora do DRE</v>
      </c>
      <c r="U3597" s="3" t="str">
        <f>IF(ISERROR(VLOOKUP(Base_Periodo1[[#This Row],[CONTA]],BaseContasDRE[#All],7,FALSE)),"Fora do DRE",VLOOKUP(Base_Periodo1[[#This Row],[CONTA]],BaseContasDRE[#All],7,FALSE))</f>
        <v>Fora do DRE</v>
      </c>
      <c r="V3597" s="3" t="str">
        <f>IF(Base_Periodo1[[#This Row],[Tipo_Linha]]="Fora do DRE","Fora do DRE","( "&amp;Base_Periodo1[[#This Row],[Tipo_Linha]]&amp;" ) "&amp;Base_Periodo1[[#This Row],[Filtro]])</f>
        <v>Fora do DRE</v>
      </c>
      <c r="W3597" s="3" t="str">
        <f>LEFT(Base_Periodo1[[#This Row],[CLASS]],3)</f>
        <v>2.1</v>
      </c>
    </row>
    <row r="3598" spans="1:23" hidden="1">
      <c r="A3598" s="3" t="str">
        <f t="shared" si="56"/>
        <v>Período 1</v>
      </c>
      <c r="B3598">
        <v>13421</v>
      </c>
      <c r="C3598" t="s">
        <v>2010</v>
      </c>
      <c r="D3598" t="s">
        <v>6473</v>
      </c>
      <c r="E3598" s="3" t="str">
        <f>IF(LEN(Base_Periodo1[[#This Row],[CLASS]])&gt;=7,LEFT(Base_Periodo1[[#This Row],[CLASS]],7),"")</f>
        <v>2.1.2.2</v>
      </c>
      <c r="F3598" s="3" t="str">
        <f>VLOOKUP(Base_Periodo1[[#This Row],[Aux]],Base_Contas_Balanco[#All],2,FALSE)</f>
        <v>Fornecedores Não Cooperados</v>
      </c>
      <c r="G3598" s="1">
        <v>42879</v>
      </c>
      <c r="I3598" s="225">
        <v>107621.8</v>
      </c>
      <c r="J3598" s="225">
        <v>107621.8</v>
      </c>
      <c r="K3598" s="225">
        <v>-2.3283064365386963E-10</v>
      </c>
      <c r="L35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98" s="225">
        <f>ROUND(IF(AND(Base_Periodo1[[#This Row],[Tipo_Linha]]="-",Base_Periodo1[[#This Row],[TIPOSALDO]]="D"),Base_Periodo1[[#This Row],[SALDO_ATUAL]]*-1,Base_Periodo1[[#This Row],[SALDO_ATUAL]]),4)</f>
        <v>0</v>
      </c>
      <c r="N3598" t="s">
        <v>116</v>
      </c>
      <c r="O3598" t="s">
        <v>436</v>
      </c>
      <c r="P3598" t="s">
        <v>436</v>
      </c>
      <c r="Q3598">
        <v>7</v>
      </c>
      <c r="R3598" s="225">
        <f>Base_Periodo1[[#This Row],[CREDITOS]]-Base_Periodo1[[#This Row],[DEBITOS]]</f>
        <v>0</v>
      </c>
      <c r="S3598" s="3" t="str">
        <f>IF(ISERROR(VLOOKUP(Base_Periodo1[[#This Row],[CONTA]],BaseContasDRE[#All],4,FALSE)),"Fora do DRE",VLOOKUP(Base_Periodo1[[#This Row],[CONTA]],BaseContasDRE[#All],4,FALSE))</f>
        <v>Fora do DRE</v>
      </c>
      <c r="T3598" s="3" t="str">
        <f>IF(ISERROR(VLOOKUP(Base_Periodo1[[#This Row],[CONTA]],BaseContasDRE[#All],5,FALSE)),"Fora do DRE",VLOOKUP(Base_Periodo1[[#This Row],[CONTA]],BaseContasDRE[#All],6,FALSE))</f>
        <v>Fora do DRE</v>
      </c>
      <c r="U3598" s="3" t="str">
        <f>IF(ISERROR(VLOOKUP(Base_Periodo1[[#This Row],[CONTA]],BaseContasDRE[#All],7,FALSE)),"Fora do DRE",VLOOKUP(Base_Periodo1[[#This Row],[CONTA]],BaseContasDRE[#All],7,FALSE))</f>
        <v>Fora do DRE</v>
      </c>
      <c r="V3598" s="3" t="str">
        <f>IF(Base_Periodo1[[#This Row],[Tipo_Linha]]="Fora do DRE","Fora do DRE","( "&amp;Base_Periodo1[[#This Row],[Tipo_Linha]]&amp;" ) "&amp;Base_Periodo1[[#This Row],[Filtro]])</f>
        <v>Fora do DRE</v>
      </c>
      <c r="W3598" s="3" t="str">
        <f>LEFT(Base_Periodo1[[#This Row],[CLASS]],3)</f>
        <v>2.1</v>
      </c>
    </row>
    <row r="3599" spans="1:23" hidden="1">
      <c r="A3599" s="3" t="str">
        <f t="shared" si="56"/>
        <v>Período 1</v>
      </c>
      <c r="B3599">
        <v>39434</v>
      </c>
      <c r="C3599" t="s">
        <v>2010</v>
      </c>
      <c r="D3599" t="s">
        <v>7009</v>
      </c>
      <c r="E3599" s="3" t="str">
        <f>IF(LEN(Base_Periodo1[[#This Row],[CLASS]])&gt;=7,LEFT(Base_Periodo1[[#This Row],[CLASS]],7),"")</f>
        <v>2.1.2.2</v>
      </c>
      <c r="F3599" s="3" t="str">
        <f>VLOOKUP(Base_Periodo1[[#This Row],[Aux]],Base_Contas_Balanco[#All],2,FALSE)</f>
        <v>Fornecedores Não Cooperados</v>
      </c>
      <c r="G3599" s="1">
        <v>42886</v>
      </c>
      <c r="I3599" s="225">
        <v>135</v>
      </c>
      <c r="J3599" s="225">
        <v>135</v>
      </c>
      <c r="K3599" s="225">
        <v>0</v>
      </c>
      <c r="L35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599" s="225">
        <f>ROUND(IF(AND(Base_Periodo1[[#This Row],[Tipo_Linha]]="-",Base_Periodo1[[#This Row],[TIPOSALDO]]="D"),Base_Periodo1[[#This Row],[SALDO_ATUAL]]*-1,Base_Periodo1[[#This Row],[SALDO_ATUAL]]),4)</f>
        <v>0</v>
      </c>
      <c r="N3599" t="s">
        <v>116</v>
      </c>
      <c r="O3599" t="s">
        <v>436</v>
      </c>
      <c r="P3599" t="s">
        <v>436</v>
      </c>
      <c r="Q3599">
        <v>7</v>
      </c>
      <c r="R3599" s="225">
        <f>Base_Periodo1[[#This Row],[CREDITOS]]-Base_Periodo1[[#This Row],[DEBITOS]]</f>
        <v>0</v>
      </c>
      <c r="S3599" s="3" t="str">
        <f>IF(ISERROR(VLOOKUP(Base_Periodo1[[#This Row],[CONTA]],BaseContasDRE[#All],4,FALSE)),"Fora do DRE",VLOOKUP(Base_Periodo1[[#This Row],[CONTA]],BaseContasDRE[#All],4,FALSE))</f>
        <v>Fora do DRE</v>
      </c>
      <c r="T3599" s="3" t="str">
        <f>IF(ISERROR(VLOOKUP(Base_Periodo1[[#This Row],[CONTA]],BaseContasDRE[#All],5,FALSE)),"Fora do DRE",VLOOKUP(Base_Periodo1[[#This Row],[CONTA]],BaseContasDRE[#All],6,FALSE))</f>
        <v>Fora do DRE</v>
      </c>
      <c r="U3599" s="3" t="str">
        <f>IF(ISERROR(VLOOKUP(Base_Periodo1[[#This Row],[CONTA]],BaseContasDRE[#All],7,FALSE)),"Fora do DRE",VLOOKUP(Base_Periodo1[[#This Row],[CONTA]],BaseContasDRE[#All],7,FALSE))</f>
        <v>Fora do DRE</v>
      </c>
      <c r="V3599" s="3" t="str">
        <f>IF(Base_Periodo1[[#This Row],[Tipo_Linha]]="Fora do DRE","Fora do DRE","( "&amp;Base_Periodo1[[#This Row],[Tipo_Linha]]&amp;" ) "&amp;Base_Periodo1[[#This Row],[Filtro]])</f>
        <v>Fora do DRE</v>
      </c>
      <c r="W3599" s="3" t="str">
        <f>LEFT(Base_Periodo1[[#This Row],[CLASS]],3)</f>
        <v>2.1</v>
      </c>
    </row>
    <row r="3600" spans="1:23" hidden="1">
      <c r="A3600" s="3" t="str">
        <f t="shared" si="56"/>
        <v>Período 1</v>
      </c>
      <c r="B3600">
        <v>58795</v>
      </c>
      <c r="C3600" t="s">
        <v>2010</v>
      </c>
      <c r="D3600" t="s">
        <v>7010</v>
      </c>
      <c r="E3600" s="3" t="str">
        <f>IF(LEN(Base_Periodo1[[#This Row],[CLASS]])&gt;=7,LEFT(Base_Periodo1[[#This Row],[CLASS]],7),"")</f>
        <v>2.1.2.2</v>
      </c>
      <c r="F3600" s="3" t="str">
        <f>VLOOKUP(Base_Periodo1[[#This Row],[Aux]],Base_Contas_Balanco[#All],2,FALSE)</f>
        <v>Fornecedores Não Cooperados</v>
      </c>
      <c r="G3600" s="1">
        <v>42860</v>
      </c>
      <c r="I3600" s="225">
        <v>209.5</v>
      </c>
      <c r="J3600" s="225">
        <v>209.5</v>
      </c>
      <c r="K3600" s="225">
        <v>0</v>
      </c>
      <c r="L36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00" s="225">
        <f>ROUND(IF(AND(Base_Periodo1[[#This Row],[Tipo_Linha]]="-",Base_Periodo1[[#This Row],[TIPOSALDO]]="D"),Base_Periodo1[[#This Row],[SALDO_ATUAL]]*-1,Base_Periodo1[[#This Row],[SALDO_ATUAL]]),4)</f>
        <v>0</v>
      </c>
      <c r="N3600" t="s">
        <v>116</v>
      </c>
      <c r="O3600" t="s">
        <v>436</v>
      </c>
      <c r="P3600" t="s">
        <v>436</v>
      </c>
      <c r="Q3600">
        <v>7</v>
      </c>
      <c r="R3600" s="225">
        <f>Base_Periodo1[[#This Row],[CREDITOS]]-Base_Periodo1[[#This Row],[DEBITOS]]</f>
        <v>0</v>
      </c>
      <c r="S3600" s="3" t="str">
        <f>IF(ISERROR(VLOOKUP(Base_Periodo1[[#This Row],[CONTA]],BaseContasDRE[#All],4,FALSE)),"Fora do DRE",VLOOKUP(Base_Periodo1[[#This Row],[CONTA]],BaseContasDRE[#All],4,FALSE))</f>
        <v>Fora do DRE</v>
      </c>
      <c r="T3600" s="3" t="str">
        <f>IF(ISERROR(VLOOKUP(Base_Periodo1[[#This Row],[CONTA]],BaseContasDRE[#All],5,FALSE)),"Fora do DRE",VLOOKUP(Base_Periodo1[[#This Row],[CONTA]],BaseContasDRE[#All],6,FALSE))</f>
        <v>Fora do DRE</v>
      </c>
      <c r="U3600" s="3" t="str">
        <f>IF(ISERROR(VLOOKUP(Base_Periodo1[[#This Row],[CONTA]],BaseContasDRE[#All],7,FALSE)),"Fora do DRE",VLOOKUP(Base_Periodo1[[#This Row],[CONTA]],BaseContasDRE[#All],7,FALSE))</f>
        <v>Fora do DRE</v>
      </c>
      <c r="V3600" s="3" t="str">
        <f>IF(Base_Periodo1[[#This Row],[Tipo_Linha]]="Fora do DRE","Fora do DRE","( "&amp;Base_Periodo1[[#This Row],[Tipo_Linha]]&amp;" ) "&amp;Base_Periodo1[[#This Row],[Filtro]])</f>
        <v>Fora do DRE</v>
      </c>
      <c r="W3600" s="3" t="str">
        <f>LEFT(Base_Periodo1[[#This Row],[CLASS]],3)</f>
        <v>2.1</v>
      </c>
    </row>
    <row r="3601" spans="1:23" hidden="1">
      <c r="A3601" s="3" t="str">
        <f t="shared" si="56"/>
        <v>Período 1</v>
      </c>
      <c r="B3601">
        <v>37676</v>
      </c>
      <c r="C3601" t="s">
        <v>2010</v>
      </c>
      <c r="D3601" t="s">
        <v>2069</v>
      </c>
      <c r="E3601" s="3" t="str">
        <f>IF(LEN(Base_Periodo1[[#This Row],[CLASS]])&gt;=7,LEFT(Base_Periodo1[[#This Row],[CLASS]],7),"")</f>
        <v>2.1.2.2</v>
      </c>
      <c r="F3601" s="3" t="str">
        <f>VLOOKUP(Base_Periodo1[[#This Row],[Aux]],Base_Contas_Balanco[#All],2,FALSE)</f>
        <v>Fornecedores Não Cooperados</v>
      </c>
      <c r="G3601" s="1">
        <v>42781</v>
      </c>
      <c r="H3601" s="225">
        <v>799.63000000023749</v>
      </c>
      <c r="I3601" s="225">
        <v>0</v>
      </c>
      <c r="J3601" s="225">
        <v>0</v>
      </c>
      <c r="K3601" s="225">
        <v>799.63000000023749</v>
      </c>
      <c r="L36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799.63</v>
      </c>
      <c r="M3601" s="225">
        <f>ROUND(IF(AND(Base_Periodo1[[#This Row],[Tipo_Linha]]="-",Base_Periodo1[[#This Row],[TIPOSALDO]]="D"),Base_Periodo1[[#This Row],[SALDO_ATUAL]]*-1,Base_Periodo1[[#This Row],[SALDO_ATUAL]]),4)</f>
        <v>799.63</v>
      </c>
      <c r="N3601" t="s">
        <v>116</v>
      </c>
      <c r="O3601" t="s">
        <v>459</v>
      </c>
      <c r="P3601" t="s">
        <v>459</v>
      </c>
      <c r="Q3601">
        <v>7</v>
      </c>
      <c r="R3601" s="225">
        <f>Base_Periodo1[[#This Row],[CREDITOS]]-Base_Periodo1[[#This Row],[DEBITOS]]</f>
        <v>0</v>
      </c>
      <c r="S3601" s="3" t="str">
        <f>IF(ISERROR(VLOOKUP(Base_Periodo1[[#This Row],[CONTA]],BaseContasDRE[#All],4,FALSE)),"Fora do DRE",VLOOKUP(Base_Periodo1[[#This Row],[CONTA]],BaseContasDRE[#All],4,FALSE))</f>
        <v>Fora do DRE</v>
      </c>
      <c r="T3601" s="3" t="str">
        <f>IF(ISERROR(VLOOKUP(Base_Periodo1[[#This Row],[CONTA]],BaseContasDRE[#All],5,FALSE)),"Fora do DRE",VLOOKUP(Base_Periodo1[[#This Row],[CONTA]],BaseContasDRE[#All],6,FALSE))</f>
        <v>Fora do DRE</v>
      </c>
      <c r="U3601" s="3" t="str">
        <f>IF(ISERROR(VLOOKUP(Base_Periodo1[[#This Row],[CONTA]],BaseContasDRE[#All],7,FALSE)),"Fora do DRE",VLOOKUP(Base_Periodo1[[#This Row],[CONTA]],BaseContasDRE[#All],7,FALSE))</f>
        <v>Fora do DRE</v>
      </c>
      <c r="V3601" s="3" t="str">
        <f>IF(Base_Periodo1[[#This Row],[Tipo_Linha]]="Fora do DRE","Fora do DRE","( "&amp;Base_Periodo1[[#This Row],[Tipo_Linha]]&amp;" ) "&amp;Base_Periodo1[[#This Row],[Filtro]])</f>
        <v>Fora do DRE</v>
      </c>
      <c r="W3601" s="3" t="str">
        <f>LEFT(Base_Periodo1[[#This Row],[CLASS]],3)</f>
        <v>2.1</v>
      </c>
    </row>
    <row r="3602" spans="1:23" hidden="1">
      <c r="A3602" s="3" t="str">
        <f t="shared" si="56"/>
        <v>Período 1</v>
      </c>
      <c r="B3602">
        <v>23518</v>
      </c>
      <c r="C3602" t="s">
        <v>2010</v>
      </c>
      <c r="D3602" t="s">
        <v>5974</v>
      </c>
      <c r="E3602" s="3" t="str">
        <f>IF(LEN(Base_Periodo1[[#This Row],[CLASS]])&gt;=7,LEFT(Base_Periodo1[[#This Row],[CLASS]],7),"")</f>
        <v>2.1.2.2</v>
      </c>
      <c r="F3602" s="3" t="str">
        <f>VLOOKUP(Base_Periodo1[[#This Row],[Aux]],Base_Contas_Balanco[#All],2,FALSE)</f>
        <v>Fornecedores Não Cooperados</v>
      </c>
      <c r="G3602" s="1">
        <v>42858</v>
      </c>
      <c r="H3602" s="225">
        <v>6700</v>
      </c>
      <c r="I3602" s="225">
        <v>859.57</v>
      </c>
      <c r="J3602" s="225">
        <v>0</v>
      </c>
      <c r="K3602" s="225">
        <v>5840.43</v>
      </c>
      <c r="L36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5840.43</v>
      </c>
      <c r="M3602" s="225">
        <f>ROUND(IF(AND(Base_Periodo1[[#This Row],[Tipo_Linha]]="-",Base_Periodo1[[#This Row],[TIPOSALDO]]="D"),Base_Periodo1[[#This Row],[SALDO_ATUAL]]*-1,Base_Periodo1[[#This Row],[SALDO_ATUAL]]),4)</f>
        <v>5840.43</v>
      </c>
      <c r="N3602" t="s">
        <v>116</v>
      </c>
      <c r="O3602" t="s">
        <v>459</v>
      </c>
      <c r="P3602" t="s">
        <v>459</v>
      </c>
      <c r="Q3602">
        <v>7</v>
      </c>
      <c r="R3602" s="225">
        <f>Base_Periodo1[[#This Row],[CREDITOS]]-Base_Periodo1[[#This Row],[DEBITOS]]</f>
        <v>-859.57</v>
      </c>
      <c r="S3602" s="3" t="str">
        <f>IF(ISERROR(VLOOKUP(Base_Periodo1[[#This Row],[CONTA]],BaseContasDRE[#All],4,FALSE)),"Fora do DRE",VLOOKUP(Base_Periodo1[[#This Row],[CONTA]],BaseContasDRE[#All],4,FALSE))</f>
        <v>Fora do DRE</v>
      </c>
      <c r="T3602" s="3" t="str">
        <f>IF(ISERROR(VLOOKUP(Base_Periodo1[[#This Row],[CONTA]],BaseContasDRE[#All],5,FALSE)),"Fora do DRE",VLOOKUP(Base_Periodo1[[#This Row],[CONTA]],BaseContasDRE[#All],6,FALSE))</f>
        <v>Fora do DRE</v>
      </c>
      <c r="U3602" s="3" t="str">
        <f>IF(ISERROR(VLOOKUP(Base_Periodo1[[#This Row],[CONTA]],BaseContasDRE[#All],7,FALSE)),"Fora do DRE",VLOOKUP(Base_Periodo1[[#This Row],[CONTA]],BaseContasDRE[#All],7,FALSE))</f>
        <v>Fora do DRE</v>
      </c>
      <c r="V3602" s="3" t="str">
        <f>IF(Base_Periodo1[[#This Row],[Tipo_Linha]]="Fora do DRE","Fora do DRE","( "&amp;Base_Periodo1[[#This Row],[Tipo_Linha]]&amp;" ) "&amp;Base_Periodo1[[#This Row],[Filtro]])</f>
        <v>Fora do DRE</v>
      </c>
      <c r="W3602" s="3" t="str">
        <f>LEFT(Base_Periodo1[[#This Row],[CLASS]],3)</f>
        <v>2.1</v>
      </c>
    </row>
    <row r="3603" spans="1:23" hidden="1">
      <c r="A3603" s="3" t="str">
        <f t="shared" si="56"/>
        <v>Período 1</v>
      </c>
      <c r="B3603">
        <v>7906</v>
      </c>
      <c r="C3603" t="s">
        <v>2010</v>
      </c>
      <c r="D3603" t="s">
        <v>5974</v>
      </c>
      <c r="E3603" s="3" t="str">
        <f>IF(LEN(Base_Periodo1[[#This Row],[CLASS]])&gt;=7,LEFT(Base_Periodo1[[#This Row],[CLASS]],7),"")</f>
        <v>2.1.2.2</v>
      </c>
      <c r="F3603" s="3" t="str">
        <f>VLOOKUP(Base_Periodo1[[#This Row],[Aux]],Base_Contas_Balanco[#All],2,FALSE)</f>
        <v>Fornecedores Não Cooperados</v>
      </c>
      <c r="G3603" s="1">
        <v>42879</v>
      </c>
      <c r="H3603" s="225">
        <v>659988</v>
      </c>
      <c r="I3603" s="225">
        <v>358440</v>
      </c>
      <c r="J3603" s="225">
        <v>22080</v>
      </c>
      <c r="K3603" s="225">
        <v>323628</v>
      </c>
      <c r="L36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323628</v>
      </c>
      <c r="M3603" s="225">
        <f>ROUND(IF(AND(Base_Periodo1[[#This Row],[Tipo_Linha]]="-",Base_Periodo1[[#This Row],[TIPOSALDO]]="D"),Base_Periodo1[[#This Row],[SALDO_ATUAL]]*-1,Base_Periodo1[[#This Row],[SALDO_ATUAL]]),4)</f>
        <v>323628</v>
      </c>
      <c r="N3603" t="s">
        <v>116</v>
      </c>
      <c r="O3603" t="s">
        <v>459</v>
      </c>
      <c r="P3603" t="s">
        <v>459</v>
      </c>
      <c r="Q3603">
        <v>7</v>
      </c>
      <c r="R3603" s="225">
        <f>Base_Periodo1[[#This Row],[CREDITOS]]-Base_Periodo1[[#This Row],[DEBITOS]]</f>
        <v>-336360</v>
      </c>
      <c r="S3603" s="3" t="str">
        <f>IF(ISERROR(VLOOKUP(Base_Periodo1[[#This Row],[CONTA]],BaseContasDRE[#All],4,FALSE)),"Fora do DRE",VLOOKUP(Base_Periodo1[[#This Row],[CONTA]],BaseContasDRE[#All],4,FALSE))</f>
        <v>Fora do DRE</v>
      </c>
      <c r="T3603" s="3" t="str">
        <f>IF(ISERROR(VLOOKUP(Base_Periodo1[[#This Row],[CONTA]],BaseContasDRE[#All],5,FALSE)),"Fora do DRE",VLOOKUP(Base_Periodo1[[#This Row],[CONTA]],BaseContasDRE[#All],6,FALSE))</f>
        <v>Fora do DRE</v>
      </c>
      <c r="U3603" s="3" t="str">
        <f>IF(ISERROR(VLOOKUP(Base_Periodo1[[#This Row],[CONTA]],BaseContasDRE[#All],7,FALSE)),"Fora do DRE",VLOOKUP(Base_Periodo1[[#This Row],[CONTA]],BaseContasDRE[#All],7,FALSE))</f>
        <v>Fora do DRE</v>
      </c>
      <c r="V3603" s="3" t="str">
        <f>IF(Base_Periodo1[[#This Row],[Tipo_Linha]]="Fora do DRE","Fora do DRE","( "&amp;Base_Periodo1[[#This Row],[Tipo_Linha]]&amp;" ) "&amp;Base_Periodo1[[#This Row],[Filtro]])</f>
        <v>Fora do DRE</v>
      </c>
      <c r="W3603" s="3" t="str">
        <f>LEFT(Base_Periodo1[[#This Row],[CLASS]],3)</f>
        <v>2.1</v>
      </c>
    </row>
    <row r="3604" spans="1:23" hidden="1">
      <c r="A3604" s="3" t="str">
        <f t="shared" si="56"/>
        <v>Período 1</v>
      </c>
      <c r="B3604">
        <v>5013</v>
      </c>
      <c r="C3604" t="s">
        <v>2010</v>
      </c>
      <c r="D3604" t="s">
        <v>6474</v>
      </c>
      <c r="E3604" s="3" t="str">
        <f>IF(LEN(Base_Periodo1[[#This Row],[CLASS]])&gt;=7,LEFT(Base_Periodo1[[#This Row],[CLASS]],7),"")</f>
        <v>2.1.2.2</v>
      </c>
      <c r="F3604" s="3" t="str">
        <f>VLOOKUP(Base_Periodo1[[#This Row],[Aux]],Base_Contas_Balanco[#All],2,FALSE)</f>
        <v>Fornecedores Não Cooperados</v>
      </c>
      <c r="G3604" s="1">
        <v>42878</v>
      </c>
      <c r="I3604" s="225">
        <v>1328.8</v>
      </c>
      <c r="J3604" s="225">
        <v>1328.8</v>
      </c>
      <c r="K3604" s="225">
        <v>5.8207660913467407E-11</v>
      </c>
      <c r="L36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04" s="225">
        <f>ROUND(IF(AND(Base_Periodo1[[#This Row],[Tipo_Linha]]="-",Base_Periodo1[[#This Row],[TIPOSALDO]]="D"),Base_Periodo1[[#This Row],[SALDO_ATUAL]]*-1,Base_Periodo1[[#This Row],[SALDO_ATUAL]]),4)</f>
        <v>0</v>
      </c>
      <c r="N3604" t="s">
        <v>116</v>
      </c>
      <c r="O3604" t="s">
        <v>436</v>
      </c>
      <c r="P3604" t="s">
        <v>436</v>
      </c>
      <c r="Q3604">
        <v>7</v>
      </c>
      <c r="R3604" s="225">
        <f>Base_Periodo1[[#This Row],[CREDITOS]]-Base_Periodo1[[#This Row],[DEBITOS]]</f>
        <v>0</v>
      </c>
      <c r="S3604" s="3" t="str">
        <f>IF(ISERROR(VLOOKUP(Base_Periodo1[[#This Row],[CONTA]],BaseContasDRE[#All],4,FALSE)),"Fora do DRE",VLOOKUP(Base_Periodo1[[#This Row],[CONTA]],BaseContasDRE[#All],4,FALSE))</f>
        <v>Fora do DRE</v>
      </c>
      <c r="T3604" s="3" t="str">
        <f>IF(ISERROR(VLOOKUP(Base_Periodo1[[#This Row],[CONTA]],BaseContasDRE[#All],5,FALSE)),"Fora do DRE",VLOOKUP(Base_Periodo1[[#This Row],[CONTA]],BaseContasDRE[#All],6,FALSE))</f>
        <v>Fora do DRE</v>
      </c>
      <c r="U3604" s="3" t="str">
        <f>IF(ISERROR(VLOOKUP(Base_Periodo1[[#This Row],[CONTA]],BaseContasDRE[#All],7,FALSE)),"Fora do DRE",VLOOKUP(Base_Periodo1[[#This Row],[CONTA]],BaseContasDRE[#All],7,FALSE))</f>
        <v>Fora do DRE</v>
      </c>
      <c r="V3604" s="3" t="str">
        <f>IF(Base_Periodo1[[#This Row],[Tipo_Linha]]="Fora do DRE","Fora do DRE","( "&amp;Base_Periodo1[[#This Row],[Tipo_Linha]]&amp;" ) "&amp;Base_Periodo1[[#This Row],[Filtro]])</f>
        <v>Fora do DRE</v>
      </c>
      <c r="W3604" s="3" t="str">
        <f>LEFT(Base_Periodo1[[#This Row],[CLASS]],3)</f>
        <v>2.1</v>
      </c>
    </row>
    <row r="3605" spans="1:23" hidden="1">
      <c r="A3605" s="3" t="str">
        <f t="shared" si="56"/>
        <v>Período 1</v>
      </c>
      <c r="B3605">
        <v>8481</v>
      </c>
      <c r="C3605" t="s">
        <v>2010</v>
      </c>
      <c r="D3605" t="s">
        <v>5975</v>
      </c>
      <c r="E3605" s="3" t="str">
        <f>IF(LEN(Base_Periodo1[[#This Row],[CLASS]])&gt;=7,LEFT(Base_Periodo1[[#This Row],[CLASS]],7),"")</f>
        <v>2.1.2.2</v>
      </c>
      <c r="F3605" s="3" t="str">
        <f>VLOOKUP(Base_Periodo1[[#This Row],[Aux]],Base_Contas_Balanco[#All],2,FALSE)</f>
        <v>Fornecedores Não Cooperados</v>
      </c>
      <c r="G3605" s="1">
        <v>42872</v>
      </c>
      <c r="H3605" s="225">
        <v>955</v>
      </c>
      <c r="I3605" s="225">
        <v>955</v>
      </c>
      <c r="J3605" s="225">
        <v>5150</v>
      </c>
      <c r="K3605" s="225">
        <v>5150</v>
      </c>
      <c r="L36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5150</v>
      </c>
      <c r="M3605" s="225">
        <f>ROUND(IF(AND(Base_Periodo1[[#This Row],[Tipo_Linha]]="-",Base_Periodo1[[#This Row],[TIPOSALDO]]="D"),Base_Periodo1[[#This Row],[SALDO_ATUAL]]*-1,Base_Periodo1[[#This Row],[SALDO_ATUAL]]),4)</f>
        <v>5150</v>
      </c>
      <c r="N3605" t="s">
        <v>116</v>
      </c>
      <c r="O3605" t="s">
        <v>459</v>
      </c>
      <c r="P3605" t="s">
        <v>459</v>
      </c>
      <c r="Q3605">
        <v>7</v>
      </c>
      <c r="R3605" s="225">
        <f>Base_Periodo1[[#This Row],[CREDITOS]]-Base_Periodo1[[#This Row],[DEBITOS]]</f>
        <v>4195</v>
      </c>
      <c r="S3605" s="3" t="str">
        <f>IF(ISERROR(VLOOKUP(Base_Periodo1[[#This Row],[CONTA]],BaseContasDRE[#All],4,FALSE)),"Fora do DRE",VLOOKUP(Base_Periodo1[[#This Row],[CONTA]],BaseContasDRE[#All],4,FALSE))</f>
        <v>Fora do DRE</v>
      </c>
      <c r="T3605" s="3" t="str">
        <f>IF(ISERROR(VLOOKUP(Base_Periodo1[[#This Row],[CONTA]],BaseContasDRE[#All],5,FALSE)),"Fora do DRE",VLOOKUP(Base_Periodo1[[#This Row],[CONTA]],BaseContasDRE[#All],6,FALSE))</f>
        <v>Fora do DRE</v>
      </c>
      <c r="U3605" s="3" t="str">
        <f>IF(ISERROR(VLOOKUP(Base_Periodo1[[#This Row],[CONTA]],BaseContasDRE[#All],7,FALSE)),"Fora do DRE",VLOOKUP(Base_Periodo1[[#This Row],[CONTA]],BaseContasDRE[#All],7,FALSE))</f>
        <v>Fora do DRE</v>
      </c>
      <c r="V3605" s="3" t="str">
        <f>IF(Base_Periodo1[[#This Row],[Tipo_Linha]]="Fora do DRE","Fora do DRE","( "&amp;Base_Periodo1[[#This Row],[Tipo_Linha]]&amp;" ) "&amp;Base_Periodo1[[#This Row],[Filtro]])</f>
        <v>Fora do DRE</v>
      </c>
      <c r="W3605" s="3" t="str">
        <f>LEFT(Base_Periodo1[[#This Row],[CLASS]],3)</f>
        <v>2.1</v>
      </c>
    </row>
    <row r="3606" spans="1:23" hidden="1">
      <c r="A3606" s="3" t="str">
        <f t="shared" si="56"/>
        <v>Período 1</v>
      </c>
      <c r="B3606">
        <v>26021</v>
      </c>
      <c r="C3606" t="s">
        <v>2010</v>
      </c>
      <c r="D3606" t="s">
        <v>4580</v>
      </c>
      <c r="E3606" s="3" t="str">
        <f>IF(LEN(Base_Periodo1[[#This Row],[CLASS]])&gt;=7,LEFT(Base_Periodo1[[#This Row],[CLASS]],7),"")</f>
        <v>2.1.2.2</v>
      </c>
      <c r="F3606" s="3" t="str">
        <f>VLOOKUP(Base_Periodo1[[#This Row],[Aux]],Base_Contas_Balanco[#All],2,FALSE)</f>
        <v>Fornecedores Não Cooperados</v>
      </c>
      <c r="G3606" s="1">
        <v>42657</v>
      </c>
      <c r="H3606" s="225">
        <v>11250</v>
      </c>
      <c r="I3606" s="225">
        <v>0</v>
      </c>
      <c r="J3606" s="225">
        <v>0</v>
      </c>
      <c r="K3606" s="225">
        <v>11250</v>
      </c>
      <c r="L36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11250</v>
      </c>
      <c r="M3606" s="225">
        <f>ROUND(IF(AND(Base_Periodo1[[#This Row],[Tipo_Linha]]="-",Base_Periodo1[[#This Row],[TIPOSALDO]]="D"),Base_Periodo1[[#This Row],[SALDO_ATUAL]]*-1,Base_Periodo1[[#This Row],[SALDO_ATUAL]]),4)</f>
        <v>11250</v>
      </c>
      <c r="N3606" t="s">
        <v>116</v>
      </c>
      <c r="O3606" t="s">
        <v>459</v>
      </c>
      <c r="P3606" t="s">
        <v>459</v>
      </c>
      <c r="Q3606">
        <v>7</v>
      </c>
      <c r="R3606" s="225">
        <f>Base_Periodo1[[#This Row],[CREDITOS]]-Base_Periodo1[[#This Row],[DEBITOS]]</f>
        <v>0</v>
      </c>
      <c r="S3606" s="3" t="str">
        <f>IF(ISERROR(VLOOKUP(Base_Periodo1[[#This Row],[CONTA]],BaseContasDRE[#All],4,FALSE)),"Fora do DRE",VLOOKUP(Base_Periodo1[[#This Row],[CONTA]],BaseContasDRE[#All],4,FALSE))</f>
        <v>Fora do DRE</v>
      </c>
      <c r="T3606" s="3" t="str">
        <f>IF(ISERROR(VLOOKUP(Base_Periodo1[[#This Row],[CONTA]],BaseContasDRE[#All],5,FALSE)),"Fora do DRE",VLOOKUP(Base_Periodo1[[#This Row],[CONTA]],BaseContasDRE[#All],6,FALSE))</f>
        <v>Fora do DRE</v>
      </c>
      <c r="U3606" s="3" t="str">
        <f>IF(ISERROR(VLOOKUP(Base_Periodo1[[#This Row],[CONTA]],BaseContasDRE[#All],7,FALSE)),"Fora do DRE",VLOOKUP(Base_Periodo1[[#This Row],[CONTA]],BaseContasDRE[#All],7,FALSE))</f>
        <v>Fora do DRE</v>
      </c>
      <c r="V3606" s="3" t="str">
        <f>IF(Base_Periodo1[[#This Row],[Tipo_Linha]]="Fora do DRE","Fora do DRE","( "&amp;Base_Periodo1[[#This Row],[Tipo_Linha]]&amp;" ) "&amp;Base_Periodo1[[#This Row],[Filtro]])</f>
        <v>Fora do DRE</v>
      </c>
      <c r="W3606" s="3" t="str">
        <f>LEFT(Base_Periodo1[[#This Row],[CLASS]],3)</f>
        <v>2.1</v>
      </c>
    </row>
    <row r="3607" spans="1:23" hidden="1">
      <c r="A3607" s="3" t="str">
        <f t="shared" si="56"/>
        <v>Período 1</v>
      </c>
      <c r="B3607">
        <v>18489</v>
      </c>
      <c r="C3607" t="s">
        <v>2010</v>
      </c>
      <c r="D3607" t="s">
        <v>7011</v>
      </c>
      <c r="E3607" s="3" t="str">
        <f>IF(LEN(Base_Periodo1[[#This Row],[CLASS]])&gt;=7,LEFT(Base_Periodo1[[#This Row],[CLASS]],7),"")</f>
        <v>2.1.2.2</v>
      </c>
      <c r="F3607" s="3" t="str">
        <f>VLOOKUP(Base_Periodo1[[#This Row],[Aux]],Base_Contas_Balanco[#All],2,FALSE)</f>
        <v>Fornecedores Não Cooperados</v>
      </c>
      <c r="G3607" s="1">
        <v>42870</v>
      </c>
      <c r="I3607" s="225">
        <v>0</v>
      </c>
      <c r="J3607" s="225">
        <v>6300</v>
      </c>
      <c r="K3607" s="225">
        <v>6300</v>
      </c>
      <c r="L36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6300</v>
      </c>
      <c r="M3607" s="225">
        <f>ROUND(IF(AND(Base_Periodo1[[#This Row],[Tipo_Linha]]="-",Base_Periodo1[[#This Row],[TIPOSALDO]]="D"),Base_Periodo1[[#This Row],[SALDO_ATUAL]]*-1,Base_Periodo1[[#This Row],[SALDO_ATUAL]]),4)</f>
        <v>6300</v>
      </c>
      <c r="N3607" t="s">
        <v>116</v>
      </c>
      <c r="O3607" t="s">
        <v>436</v>
      </c>
      <c r="P3607" t="s">
        <v>459</v>
      </c>
      <c r="Q3607">
        <v>7</v>
      </c>
      <c r="R3607" s="225">
        <f>Base_Periodo1[[#This Row],[CREDITOS]]-Base_Periodo1[[#This Row],[DEBITOS]]</f>
        <v>6300</v>
      </c>
      <c r="S3607" s="3" t="str">
        <f>IF(ISERROR(VLOOKUP(Base_Periodo1[[#This Row],[CONTA]],BaseContasDRE[#All],4,FALSE)),"Fora do DRE",VLOOKUP(Base_Periodo1[[#This Row],[CONTA]],BaseContasDRE[#All],4,FALSE))</f>
        <v>Fora do DRE</v>
      </c>
      <c r="T3607" s="3" t="str">
        <f>IF(ISERROR(VLOOKUP(Base_Periodo1[[#This Row],[CONTA]],BaseContasDRE[#All],5,FALSE)),"Fora do DRE",VLOOKUP(Base_Periodo1[[#This Row],[CONTA]],BaseContasDRE[#All],6,FALSE))</f>
        <v>Fora do DRE</v>
      </c>
      <c r="U3607" s="3" t="str">
        <f>IF(ISERROR(VLOOKUP(Base_Periodo1[[#This Row],[CONTA]],BaseContasDRE[#All],7,FALSE)),"Fora do DRE",VLOOKUP(Base_Periodo1[[#This Row],[CONTA]],BaseContasDRE[#All],7,FALSE))</f>
        <v>Fora do DRE</v>
      </c>
      <c r="V3607" s="3" t="str">
        <f>IF(Base_Periodo1[[#This Row],[Tipo_Linha]]="Fora do DRE","Fora do DRE","( "&amp;Base_Periodo1[[#This Row],[Tipo_Linha]]&amp;" ) "&amp;Base_Periodo1[[#This Row],[Filtro]])</f>
        <v>Fora do DRE</v>
      </c>
      <c r="W3607" s="3" t="str">
        <f>LEFT(Base_Periodo1[[#This Row],[CLASS]],3)</f>
        <v>2.1</v>
      </c>
    </row>
    <row r="3608" spans="1:23" hidden="1">
      <c r="A3608" s="3" t="str">
        <f t="shared" si="56"/>
        <v>Período 1</v>
      </c>
      <c r="B3608">
        <v>10468</v>
      </c>
      <c r="C3608" t="s">
        <v>2010</v>
      </c>
      <c r="D3608" t="s">
        <v>2070</v>
      </c>
      <c r="E3608" s="3" t="str">
        <f>IF(LEN(Base_Periodo1[[#This Row],[CLASS]])&gt;=7,LEFT(Base_Periodo1[[#This Row],[CLASS]],7),"")</f>
        <v>2.1.2.2</v>
      </c>
      <c r="F3608" s="3" t="str">
        <f>VLOOKUP(Base_Periodo1[[#This Row],[Aux]],Base_Contas_Balanco[#All],2,FALSE)</f>
        <v>Fornecedores Não Cooperados</v>
      </c>
      <c r="G3608" s="1">
        <v>42886</v>
      </c>
      <c r="I3608" s="225">
        <v>85891</v>
      </c>
      <c r="J3608" s="225">
        <v>85891</v>
      </c>
      <c r="K3608" s="225">
        <v>-1.3969838619232178E-9</v>
      </c>
      <c r="L36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08" s="225">
        <f>ROUND(IF(AND(Base_Periodo1[[#This Row],[Tipo_Linha]]="-",Base_Periodo1[[#This Row],[TIPOSALDO]]="D"),Base_Periodo1[[#This Row],[SALDO_ATUAL]]*-1,Base_Periodo1[[#This Row],[SALDO_ATUAL]]),4)</f>
        <v>0</v>
      </c>
      <c r="N3608" t="s">
        <v>116</v>
      </c>
      <c r="O3608" t="s">
        <v>436</v>
      </c>
      <c r="P3608" t="s">
        <v>436</v>
      </c>
      <c r="Q3608">
        <v>7</v>
      </c>
      <c r="R3608" s="225">
        <f>Base_Periodo1[[#This Row],[CREDITOS]]-Base_Periodo1[[#This Row],[DEBITOS]]</f>
        <v>0</v>
      </c>
      <c r="S3608" s="3" t="str">
        <f>IF(ISERROR(VLOOKUP(Base_Periodo1[[#This Row],[CONTA]],BaseContasDRE[#All],4,FALSE)),"Fora do DRE",VLOOKUP(Base_Periodo1[[#This Row],[CONTA]],BaseContasDRE[#All],4,FALSE))</f>
        <v>Fora do DRE</v>
      </c>
      <c r="T3608" s="3" t="str">
        <f>IF(ISERROR(VLOOKUP(Base_Periodo1[[#This Row],[CONTA]],BaseContasDRE[#All],5,FALSE)),"Fora do DRE",VLOOKUP(Base_Periodo1[[#This Row],[CONTA]],BaseContasDRE[#All],6,FALSE))</f>
        <v>Fora do DRE</v>
      </c>
      <c r="U3608" s="3" t="str">
        <f>IF(ISERROR(VLOOKUP(Base_Periodo1[[#This Row],[CONTA]],BaseContasDRE[#All],7,FALSE)),"Fora do DRE",VLOOKUP(Base_Periodo1[[#This Row],[CONTA]],BaseContasDRE[#All],7,FALSE))</f>
        <v>Fora do DRE</v>
      </c>
      <c r="V3608" s="3" t="str">
        <f>IF(Base_Periodo1[[#This Row],[Tipo_Linha]]="Fora do DRE","Fora do DRE","( "&amp;Base_Periodo1[[#This Row],[Tipo_Linha]]&amp;" ) "&amp;Base_Periodo1[[#This Row],[Filtro]])</f>
        <v>Fora do DRE</v>
      </c>
      <c r="W3608" s="3" t="str">
        <f>LEFT(Base_Periodo1[[#This Row],[CLASS]],3)</f>
        <v>2.1</v>
      </c>
    </row>
    <row r="3609" spans="1:23" hidden="1">
      <c r="A3609" s="3" t="str">
        <f t="shared" si="56"/>
        <v>Período 1</v>
      </c>
      <c r="B3609">
        <v>10679</v>
      </c>
      <c r="C3609" t="s">
        <v>2010</v>
      </c>
      <c r="D3609" t="s">
        <v>4614</v>
      </c>
      <c r="E3609" s="3" t="str">
        <f>IF(LEN(Base_Periodo1[[#This Row],[CLASS]])&gt;=7,LEFT(Base_Periodo1[[#This Row],[CLASS]],7),"")</f>
        <v>2.1.2.2</v>
      </c>
      <c r="F3609" s="3" t="str">
        <f>VLOOKUP(Base_Periodo1[[#This Row],[Aux]],Base_Contas_Balanco[#All],2,FALSE)</f>
        <v>Fornecedores Não Cooperados</v>
      </c>
      <c r="G3609" s="1">
        <v>42886</v>
      </c>
      <c r="H3609" s="225">
        <v>4473.6199999997625</v>
      </c>
      <c r="I3609" s="225">
        <v>9674.6699999999983</v>
      </c>
      <c r="J3609" s="225">
        <v>11188.289999999999</v>
      </c>
      <c r="K3609" s="225">
        <v>5987.2399999997633</v>
      </c>
      <c r="L36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5987.24</v>
      </c>
      <c r="M3609" s="225">
        <f>ROUND(IF(AND(Base_Periodo1[[#This Row],[Tipo_Linha]]="-",Base_Periodo1[[#This Row],[TIPOSALDO]]="D"),Base_Periodo1[[#This Row],[SALDO_ATUAL]]*-1,Base_Periodo1[[#This Row],[SALDO_ATUAL]]),4)</f>
        <v>5987.24</v>
      </c>
      <c r="N3609" t="s">
        <v>116</v>
      </c>
      <c r="O3609" t="s">
        <v>459</v>
      </c>
      <c r="P3609" t="s">
        <v>459</v>
      </c>
      <c r="Q3609">
        <v>7</v>
      </c>
      <c r="R3609" s="225">
        <f>Base_Periodo1[[#This Row],[CREDITOS]]-Base_Periodo1[[#This Row],[DEBITOS]]</f>
        <v>1513.6200000000008</v>
      </c>
      <c r="S3609" s="3" t="str">
        <f>IF(ISERROR(VLOOKUP(Base_Periodo1[[#This Row],[CONTA]],BaseContasDRE[#All],4,FALSE)),"Fora do DRE",VLOOKUP(Base_Periodo1[[#This Row],[CONTA]],BaseContasDRE[#All],4,FALSE))</f>
        <v>Fora do DRE</v>
      </c>
      <c r="T3609" s="3" t="str">
        <f>IF(ISERROR(VLOOKUP(Base_Periodo1[[#This Row],[CONTA]],BaseContasDRE[#All],5,FALSE)),"Fora do DRE",VLOOKUP(Base_Periodo1[[#This Row],[CONTA]],BaseContasDRE[#All],6,FALSE))</f>
        <v>Fora do DRE</v>
      </c>
      <c r="U3609" s="3" t="str">
        <f>IF(ISERROR(VLOOKUP(Base_Periodo1[[#This Row],[CONTA]],BaseContasDRE[#All],7,FALSE)),"Fora do DRE",VLOOKUP(Base_Periodo1[[#This Row],[CONTA]],BaseContasDRE[#All],7,FALSE))</f>
        <v>Fora do DRE</v>
      </c>
      <c r="V3609" s="3" t="str">
        <f>IF(Base_Periodo1[[#This Row],[Tipo_Linha]]="Fora do DRE","Fora do DRE","( "&amp;Base_Periodo1[[#This Row],[Tipo_Linha]]&amp;" ) "&amp;Base_Periodo1[[#This Row],[Filtro]])</f>
        <v>Fora do DRE</v>
      </c>
      <c r="W3609" s="3" t="str">
        <f>LEFT(Base_Periodo1[[#This Row],[CLASS]],3)</f>
        <v>2.1</v>
      </c>
    </row>
    <row r="3610" spans="1:23" hidden="1">
      <c r="A3610" s="3" t="str">
        <f t="shared" si="56"/>
        <v>Período 1</v>
      </c>
      <c r="B3610">
        <v>51518</v>
      </c>
      <c r="C3610" t="s">
        <v>2010</v>
      </c>
      <c r="D3610" t="s">
        <v>7012</v>
      </c>
      <c r="E3610" s="3" t="str">
        <f>IF(LEN(Base_Periodo1[[#This Row],[CLASS]])&gt;=7,LEFT(Base_Periodo1[[#This Row],[CLASS]],7),"")</f>
        <v>2.1.2.2</v>
      </c>
      <c r="F3610" s="3" t="str">
        <f>VLOOKUP(Base_Periodo1[[#This Row],[Aux]],Base_Contas_Balanco[#All],2,FALSE)</f>
        <v>Fornecedores Não Cooperados</v>
      </c>
      <c r="G3610" s="1">
        <v>42886</v>
      </c>
      <c r="I3610" s="225">
        <v>0</v>
      </c>
      <c r="J3610" s="225">
        <v>5358</v>
      </c>
      <c r="K3610" s="225">
        <v>5358</v>
      </c>
      <c r="L36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5358</v>
      </c>
      <c r="M3610" s="225">
        <f>ROUND(IF(AND(Base_Periodo1[[#This Row],[Tipo_Linha]]="-",Base_Periodo1[[#This Row],[TIPOSALDO]]="D"),Base_Periodo1[[#This Row],[SALDO_ATUAL]]*-1,Base_Periodo1[[#This Row],[SALDO_ATUAL]]),4)</f>
        <v>5358</v>
      </c>
      <c r="N3610" t="s">
        <v>116</v>
      </c>
      <c r="O3610" t="s">
        <v>436</v>
      </c>
      <c r="P3610" t="s">
        <v>459</v>
      </c>
      <c r="Q3610">
        <v>7</v>
      </c>
      <c r="R3610" s="225">
        <f>Base_Periodo1[[#This Row],[CREDITOS]]-Base_Periodo1[[#This Row],[DEBITOS]]</f>
        <v>5358</v>
      </c>
      <c r="S3610" s="3" t="str">
        <f>IF(ISERROR(VLOOKUP(Base_Periodo1[[#This Row],[CONTA]],BaseContasDRE[#All],4,FALSE)),"Fora do DRE",VLOOKUP(Base_Periodo1[[#This Row],[CONTA]],BaseContasDRE[#All],4,FALSE))</f>
        <v>Fora do DRE</v>
      </c>
      <c r="T3610" s="3" t="str">
        <f>IF(ISERROR(VLOOKUP(Base_Periodo1[[#This Row],[CONTA]],BaseContasDRE[#All],5,FALSE)),"Fora do DRE",VLOOKUP(Base_Periodo1[[#This Row],[CONTA]],BaseContasDRE[#All],6,FALSE))</f>
        <v>Fora do DRE</v>
      </c>
      <c r="U3610" s="3" t="str">
        <f>IF(ISERROR(VLOOKUP(Base_Periodo1[[#This Row],[CONTA]],BaseContasDRE[#All],7,FALSE)),"Fora do DRE",VLOOKUP(Base_Periodo1[[#This Row],[CONTA]],BaseContasDRE[#All],7,FALSE))</f>
        <v>Fora do DRE</v>
      </c>
      <c r="V3610" s="3" t="str">
        <f>IF(Base_Periodo1[[#This Row],[Tipo_Linha]]="Fora do DRE","Fora do DRE","( "&amp;Base_Periodo1[[#This Row],[Tipo_Linha]]&amp;" ) "&amp;Base_Periodo1[[#This Row],[Filtro]])</f>
        <v>Fora do DRE</v>
      </c>
      <c r="W3610" s="3" t="str">
        <f>LEFT(Base_Periodo1[[#This Row],[CLASS]],3)</f>
        <v>2.1</v>
      </c>
    </row>
    <row r="3611" spans="1:23" hidden="1">
      <c r="A3611" s="3" t="str">
        <f t="shared" si="56"/>
        <v>Período 1</v>
      </c>
      <c r="B3611">
        <v>40810</v>
      </c>
      <c r="C3611" t="s">
        <v>2010</v>
      </c>
      <c r="D3611" t="s">
        <v>5548</v>
      </c>
      <c r="E3611" s="3" t="str">
        <f>IF(LEN(Base_Periodo1[[#This Row],[CLASS]])&gt;=7,LEFT(Base_Periodo1[[#This Row],[CLASS]],7),"")</f>
        <v>2.1.2.2</v>
      </c>
      <c r="F3611" s="3" t="str">
        <f>VLOOKUP(Base_Periodo1[[#This Row],[Aux]],Base_Contas_Balanco[#All],2,FALSE)</f>
        <v>Fornecedores Não Cooperados</v>
      </c>
      <c r="G3611" s="1">
        <v>42885</v>
      </c>
      <c r="H3611" s="225">
        <v>522760.19999999995</v>
      </c>
      <c r="I3611" s="225">
        <v>522760.2</v>
      </c>
      <c r="J3611" s="225">
        <v>183600</v>
      </c>
      <c r="K3611" s="225">
        <v>183599.99999999994</v>
      </c>
      <c r="L36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183600</v>
      </c>
      <c r="M3611" s="225">
        <f>ROUND(IF(AND(Base_Periodo1[[#This Row],[Tipo_Linha]]="-",Base_Periodo1[[#This Row],[TIPOSALDO]]="D"),Base_Periodo1[[#This Row],[SALDO_ATUAL]]*-1,Base_Periodo1[[#This Row],[SALDO_ATUAL]]),4)</f>
        <v>183600</v>
      </c>
      <c r="N3611" t="s">
        <v>116</v>
      </c>
      <c r="O3611" t="s">
        <v>459</v>
      </c>
      <c r="P3611" t="s">
        <v>459</v>
      </c>
      <c r="Q3611">
        <v>7</v>
      </c>
      <c r="R3611" s="225">
        <f>Base_Periodo1[[#This Row],[CREDITOS]]-Base_Periodo1[[#This Row],[DEBITOS]]</f>
        <v>-339160.2</v>
      </c>
      <c r="S3611" s="3" t="str">
        <f>IF(ISERROR(VLOOKUP(Base_Periodo1[[#This Row],[CONTA]],BaseContasDRE[#All],4,FALSE)),"Fora do DRE",VLOOKUP(Base_Periodo1[[#This Row],[CONTA]],BaseContasDRE[#All],4,FALSE))</f>
        <v>Fora do DRE</v>
      </c>
      <c r="T3611" s="3" t="str">
        <f>IF(ISERROR(VLOOKUP(Base_Periodo1[[#This Row],[CONTA]],BaseContasDRE[#All],5,FALSE)),"Fora do DRE",VLOOKUP(Base_Periodo1[[#This Row],[CONTA]],BaseContasDRE[#All],6,FALSE))</f>
        <v>Fora do DRE</v>
      </c>
      <c r="U3611" s="3" t="str">
        <f>IF(ISERROR(VLOOKUP(Base_Periodo1[[#This Row],[CONTA]],BaseContasDRE[#All],7,FALSE)),"Fora do DRE",VLOOKUP(Base_Periodo1[[#This Row],[CONTA]],BaseContasDRE[#All],7,FALSE))</f>
        <v>Fora do DRE</v>
      </c>
      <c r="V3611" s="3" t="str">
        <f>IF(Base_Periodo1[[#This Row],[Tipo_Linha]]="Fora do DRE","Fora do DRE","( "&amp;Base_Periodo1[[#This Row],[Tipo_Linha]]&amp;" ) "&amp;Base_Periodo1[[#This Row],[Filtro]])</f>
        <v>Fora do DRE</v>
      </c>
      <c r="W3611" s="3" t="str">
        <f>LEFT(Base_Periodo1[[#This Row],[CLASS]],3)</f>
        <v>2.1</v>
      </c>
    </row>
    <row r="3612" spans="1:23" hidden="1">
      <c r="A3612" s="3" t="str">
        <f t="shared" si="56"/>
        <v>Período 1</v>
      </c>
      <c r="B3612">
        <v>28880</v>
      </c>
      <c r="C3612" t="s">
        <v>2010</v>
      </c>
      <c r="D3612" t="s">
        <v>2071</v>
      </c>
      <c r="E3612" s="3" t="str">
        <f>IF(LEN(Base_Periodo1[[#This Row],[CLASS]])&gt;=7,LEFT(Base_Periodo1[[#This Row],[CLASS]],7),"")</f>
        <v>2.1.2.2</v>
      </c>
      <c r="F3612" s="3" t="str">
        <f>VLOOKUP(Base_Periodo1[[#This Row],[Aux]],Base_Contas_Balanco[#All],2,FALSE)</f>
        <v>Fornecedores Não Cooperados</v>
      </c>
      <c r="G3612" s="1">
        <v>42836</v>
      </c>
      <c r="H3612" s="225">
        <v>10434.150000000052</v>
      </c>
      <c r="I3612" s="225">
        <v>0</v>
      </c>
      <c r="J3612" s="225">
        <v>0</v>
      </c>
      <c r="K3612" s="225">
        <v>10434.150000000052</v>
      </c>
      <c r="L36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10434.15</v>
      </c>
      <c r="M3612" s="225">
        <f>ROUND(IF(AND(Base_Periodo1[[#This Row],[Tipo_Linha]]="-",Base_Periodo1[[#This Row],[TIPOSALDO]]="D"),Base_Periodo1[[#This Row],[SALDO_ATUAL]]*-1,Base_Periodo1[[#This Row],[SALDO_ATUAL]]),4)</f>
        <v>10434.15</v>
      </c>
      <c r="N3612" t="s">
        <v>116</v>
      </c>
      <c r="O3612" t="s">
        <v>459</v>
      </c>
      <c r="P3612" t="s">
        <v>459</v>
      </c>
      <c r="Q3612">
        <v>7</v>
      </c>
      <c r="R3612" s="225">
        <f>Base_Periodo1[[#This Row],[CREDITOS]]-Base_Periodo1[[#This Row],[DEBITOS]]</f>
        <v>0</v>
      </c>
      <c r="S3612" s="3" t="str">
        <f>IF(ISERROR(VLOOKUP(Base_Periodo1[[#This Row],[CONTA]],BaseContasDRE[#All],4,FALSE)),"Fora do DRE",VLOOKUP(Base_Periodo1[[#This Row],[CONTA]],BaseContasDRE[#All],4,FALSE))</f>
        <v>Fora do DRE</v>
      </c>
      <c r="T3612" s="3" t="str">
        <f>IF(ISERROR(VLOOKUP(Base_Periodo1[[#This Row],[CONTA]],BaseContasDRE[#All],5,FALSE)),"Fora do DRE",VLOOKUP(Base_Periodo1[[#This Row],[CONTA]],BaseContasDRE[#All],6,FALSE))</f>
        <v>Fora do DRE</v>
      </c>
      <c r="U3612" s="3" t="str">
        <f>IF(ISERROR(VLOOKUP(Base_Periodo1[[#This Row],[CONTA]],BaseContasDRE[#All],7,FALSE)),"Fora do DRE",VLOOKUP(Base_Periodo1[[#This Row],[CONTA]],BaseContasDRE[#All],7,FALSE))</f>
        <v>Fora do DRE</v>
      </c>
      <c r="V3612" s="3" t="str">
        <f>IF(Base_Periodo1[[#This Row],[Tipo_Linha]]="Fora do DRE","Fora do DRE","( "&amp;Base_Periodo1[[#This Row],[Tipo_Linha]]&amp;" ) "&amp;Base_Periodo1[[#This Row],[Filtro]])</f>
        <v>Fora do DRE</v>
      </c>
      <c r="W3612" s="3" t="str">
        <f>LEFT(Base_Periodo1[[#This Row],[CLASS]],3)</f>
        <v>2.1</v>
      </c>
    </row>
    <row r="3613" spans="1:23" hidden="1">
      <c r="A3613" s="3" t="str">
        <f t="shared" si="56"/>
        <v>Período 1</v>
      </c>
      <c r="B3613">
        <v>58787</v>
      </c>
      <c r="C3613" t="s">
        <v>2010</v>
      </c>
      <c r="D3613" t="s">
        <v>7013</v>
      </c>
      <c r="E3613" s="3" t="str">
        <f>IF(LEN(Base_Periodo1[[#This Row],[CLASS]])&gt;=7,LEFT(Base_Periodo1[[#This Row],[CLASS]],7),"")</f>
        <v>2.1.2.2</v>
      </c>
      <c r="F3613" s="3" t="str">
        <f>VLOOKUP(Base_Periodo1[[#This Row],[Aux]],Base_Contas_Balanco[#All],2,FALSE)</f>
        <v>Fornecedores Não Cooperados</v>
      </c>
      <c r="G3613" s="1">
        <v>42859</v>
      </c>
      <c r="I3613" s="225">
        <v>789</v>
      </c>
      <c r="J3613" s="225">
        <v>789</v>
      </c>
      <c r="K3613" s="225">
        <v>0</v>
      </c>
      <c r="L36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13" s="225">
        <f>ROUND(IF(AND(Base_Periodo1[[#This Row],[Tipo_Linha]]="-",Base_Periodo1[[#This Row],[TIPOSALDO]]="D"),Base_Periodo1[[#This Row],[SALDO_ATUAL]]*-1,Base_Periodo1[[#This Row],[SALDO_ATUAL]]),4)</f>
        <v>0</v>
      </c>
      <c r="N3613" t="s">
        <v>116</v>
      </c>
      <c r="O3613" t="s">
        <v>436</v>
      </c>
      <c r="P3613" t="s">
        <v>436</v>
      </c>
      <c r="Q3613">
        <v>7</v>
      </c>
      <c r="R3613" s="225">
        <f>Base_Periodo1[[#This Row],[CREDITOS]]-Base_Periodo1[[#This Row],[DEBITOS]]</f>
        <v>0</v>
      </c>
      <c r="S3613" s="3" t="str">
        <f>IF(ISERROR(VLOOKUP(Base_Periodo1[[#This Row],[CONTA]],BaseContasDRE[#All],4,FALSE)),"Fora do DRE",VLOOKUP(Base_Periodo1[[#This Row],[CONTA]],BaseContasDRE[#All],4,FALSE))</f>
        <v>Fora do DRE</v>
      </c>
      <c r="T3613" s="3" t="str">
        <f>IF(ISERROR(VLOOKUP(Base_Periodo1[[#This Row],[CONTA]],BaseContasDRE[#All],5,FALSE)),"Fora do DRE",VLOOKUP(Base_Periodo1[[#This Row],[CONTA]],BaseContasDRE[#All],6,FALSE))</f>
        <v>Fora do DRE</v>
      </c>
      <c r="U3613" s="3" t="str">
        <f>IF(ISERROR(VLOOKUP(Base_Periodo1[[#This Row],[CONTA]],BaseContasDRE[#All],7,FALSE)),"Fora do DRE",VLOOKUP(Base_Periodo1[[#This Row],[CONTA]],BaseContasDRE[#All],7,FALSE))</f>
        <v>Fora do DRE</v>
      </c>
      <c r="V3613" s="3" t="str">
        <f>IF(Base_Periodo1[[#This Row],[Tipo_Linha]]="Fora do DRE","Fora do DRE","( "&amp;Base_Periodo1[[#This Row],[Tipo_Linha]]&amp;" ) "&amp;Base_Periodo1[[#This Row],[Filtro]])</f>
        <v>Fora do DRE</v>
      </c>
      <c r="W3613" s="3" t="str">
        <f>LEFT(Base_Periodo1[[#This Row],[CLASS]],3)</f>
        <v>2.1</v>
      </c>
    </row>
    <row r="3614" spans="1:23" hidden="1">
      <c r="A3614" s="3" t="str">
        <f t="shared" si="56"/>
        <v>Período 1</v>
      </c>
      <c r="B3614">
        <v>52809</v>
      </c>
      <c r="C3614" t="s">
        <v>2010</v>
      </c>
      <c r="D3614" t="s">
        <v>5976</v>
      </c>
      <c r="E3614" s="3" t="str">
        <f>IF(LEN(Base_Periodo1[[#This Row],[CLASS]])&gt;=7,LEFT(Base_Periodo1[[#This Row],[CLASS]],7),"")</f>
        <v>2.1.2.2</v>
      </c>
      <c r="F3614" s="3" t="str">
        <f>VLOOKUP(Base_Periodo1[[#This Row],[Aux]],Base_Contas_Balanco[#All],2,FALSE)</f>
        <v>Fornecedores Não Cooperados</v>
      </c>
      <c r="G3614" s="1">
        <v>42885</v>
      </c>
      <c r="H3614" s="225">
        <v>8555.5500000000029</v>
      </c>
      <c r="I3614" s="225">
        <v>17111.099999999999</v>
      </c>
      <c r="J3614" s="225">
        <v>8555.5499999999993</v>
      </c>
      <c r="K3614" s="225">
        <v>-3.637978807091713E-12</v>
      </c>
      <c r="L36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14" s="225">
        <f>ROUND(IF(AND(Base_Periodo1[[#This Row],[Tipo_Linha]]="-",Base_Periodo1[[#This Row],[TIPOSALDO]]="D"),Base_Periodo1[[#This Row],[SALDO_ATUAL]]*-1,Base_Periodo1[[#This Row],[SALDO_ATUAL]]),4)</f>
        <v>0</v>
      </c>
      <c r="N3614" t="s">
        <v>116</v>
      </c>
      <c r="O3614" t="s">
        <v>459</v>
      </c>
      <c r="P3614" t="s">
        <v>436</v>
      </c>
      <c r="Q3614">
        <v>7</v>
      </c>
      <c r="R3614" s="225">
        <f>Base_Periodo1[[#This Row],[CREDITOS]]-Base_Periodo1[[#This Row],[DEBITOS]]</f>
        <v>-8555.5499999999993</v>
      </c>
      <c r="S3614" s="3" t="str">
        <f>IF(ISERROR(VLOOKUP(Base_Periodo1[[#This Row],[CONTA]],BaseContasDRE[#All],4,FALSE)),"Fora do DRE",VLOOKUP(Base_Periodo1[[#This Row],[CONTA]],BaseContasDRE[#All],4,FALSE))</f>
        <v>Fora do DRE</v>
      </c>
      <c r="T3614" s="3" t="str">
        <f>IF(ISERROR(VLOOKUP(Base_Periodo1[[#This Row],[CONTA]],BaseContasDRE[#All],5,FALSE)),"Fora do DRE",VLOOKUP(Base_Periodo1[[#This Row],[CONTA]],BaseContasDRE[#All],6,FALSE))</f>
        <v>Fora do DRE</v>
      </c>
      <c r="U3614" s="3" t="str">
        <f>IF(ISERROR(VLOOKUP(Base_Periodo1[[#This Row],[CONTA]],BaseContasDRE[#All],7,FALSE)),"Fora do DRE",VLOOKUP(Base_Periodo1[[#This Row],[CONTA]],BaseContasDRE[#All],7,FALSE))</f>
        <v>Fora do DRE</v>
      </c>
      <c r="V3614" s="3" t="str">
        <f>IF(Base_Periodo1[[#This Row],[Tipo_Linha]]="Fora do DRE","Fora do DRE","( "&amp;Base_Periodo1[[#This Row],[Tipo_Linha]]&amp;" ) "&amp;Base_Periodo1[[#This Row],[Filtro]])</f>
        <v>Fora do DRE</v>
      </c>
      <c r="W3614" s="3" t="str">
        <f>LEFT(Base_Periodo1[[#This Row],[CLASS]],3)</f>
        <v>2.1</v>
      </c>
    </row>
    <row r="3615" spans="1:23" hidden="1">
      <c r="A3615" s="3" t="str">
        <f t="shared" si="56"/>
        <v>Período 1</v>
      </c>
      <c r="B3615">
        <v>35461</v>
      </c>
      <c r="C3615" t="s">
        <v>2010</v>
      </c>
      <c r="D3615" t="s">
        <v>6475</v>
      </c>
      <c r="E3615" s="3" t="str">
        <f>IF(LEN(Base_Periodo1[[#This Row],[CLASS]])&gt;=7,LEFT(Base_Periodo1[[#This Row],[CLASS]],7),"")</f>
        <v>2.1.2.2</v>
      </c>
      <c r="F3615" s="3" t="str">
        <f>VLOOKUP(Base_Periodo1[[#This Row],[Aux]],Base_Contas_Balanco[#All],2,FALSE)</f>
        <v>Fornecedores Não Cooperados</v>
      </c>
      <c r="G3615" s="1">
        <v>42873</v>
      </c>
      <c r="H3615" s="225">
        <v>46666</v>
      </c>
      <c r="I3615" s="225">
        <v>23333</v>
      </c>
      <c r="J3615" s="225">
        <v>0</v>
      </c>
      <c r="K3615" s="225">
        <v>23333</v>
      </c>
      <c r="L36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23333</v>
      </c>
      <c r="M3615" s="225">
        <f>ROUND(IF(AND(Base_Periodo1[[#This Row],[Tipo_Linha]]="-",Base_Periodo1[[#This Row],[TIPOSALDO]]="D"),Base_Periodo1[[#This Row],[SALDO_ATUAL]]*-1,Base_Periodo1[[#This Row],[SALDO_ATUAL]]),4)</f>
        <v>23333</v>
      </c>
      <c r="N3615" t="s">
        <v>116</v>
      </c>
      <c r="O3615" t="s">
        <v>459</v>
      </c>
      <c r="P3615" t="s">
        <v>459</v>
      </c>
      <c r="Q3615">
        <v>7</v>
      </c>
      <c r="R3615" s="225">
        <f>Base_Periodo1[[#This Row],[CREDITOS]]-Base_Periodo1[[#This Row],[DEBITOS]]</f>
        <v>-23333</v>
      </c>
      <c r="S3615" s="3" t="str">
        <f>IF(ISERROR(VLOOKUP(Base_Periodo1[[#This Row],[CONTA]],BaseContasDRE[#All],4,FALSE)),"Fora do DRE",VLOOKUP(Base_Periodo1[[#This Row],[CONTA]],BaseContasDRE[#All],4,FALSE))</f>
        <v>Fora do DRE</v>
      </c>
      <c r="T3615" s="3" t="str">
        <f>IF(ISERROR(VLOOKUP(Base_Periodo1[[#This Row],[CONTA]],BaseContasDRE[#All],5,FALSE)),"Fora do DRE",VLOOKUP(Base_Periodo1[[#This Row],[CONTA]],BaseContasDRE[#All],6,FALSE))</f>
        <v>Fora do DRE</v>
      </c>
      <c r="U3615" s="3" t="str">
        <f>IF(ISERROR(VLOOKUP(Base_Periodo1[[#This Row],[CONTA]],BaseContasDRE[#All],7,FALSE)),"Fora do DRE",VLOOKUP(Base_Periodo1[[#This Row],[CONTA]],BaseContasDRE[#All],7,FALSE))</f>
        <v>Fora do DRE</v>
      </c>
      <c r="V3615" s="3" t="str">
        <f>IF(Base_Periodo1[[#This Row],[Tipo_Linha]]="Fora do DRE","Fora do DRE","( "&amp;Base_Periodo1[[#This Row],[Tipo_Linha]]&amp;" ) "&amp;Base_Periodo1[[#This Row],[Filtro]])</f>
        <v>Fora do DRE</v>
      </c>
      <c r="W3615" s="3" t="str">
        <f>LEFT(Base_Periodo1[[#This Row],[CLASS]],3)</f>
        <v>2.1</v>
      </c>
    </row>
    <row r="3616" spans="1:23" hidden="1">
      <c r="A3616" s="3" t="str">
        <f t="shared" si="56"/>
        <v>Período 1</v>
      </c>
      <c r="B3616">
        <v>55419</v>
      </c>
      <c r="C3616" t="s">
        <v>2010</v>
      </c>
      <c r="D3616" t="s">
        <v>7014</v>
      </c>
      <c r="E3616" s="3" t="str">
        <f>IF(LEN(Base_Periodo1[[#This Row],[CLASS]])&gt;=7,LEFT(Base_Periodo1[[#This Row],[CLASS]],7),"")</f>
        <v>2.1.2.2</v>
      </c>
      <c r="F3616" s="3" t="str">
        <f>VLOOKUP(Base_Periodo1[[#This Row],[Aux]],Base_Contas_Balanco[#All],2,FALSE)</f>
        <v>Fornecedores Não Cooperados</v>
      </c>
      <c r="G3616" s="1">
        <v>42879</v>
      </c>
      <c r="I3616" s="225">
        <v>780</v>
      </c>
      <c r="J3616" s="225">
        <v>780</v>
      </c>
      <c r="K3616" s="225">
        <v>0</v>
      </c>
      <c r="L36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16" s="225">
        <f>ROUND(IF(AND(Base_Periodo1[[#This Row],[Tipo_Linha]]="-",Base_Periodo1[[#This Row],[TIPOSALDO]]="D"),Base_Periodo1[[#This Row],[SALDO_ATUAL]]*-1,Base_Periodo1[[#This Row],[SALDO_ATUAL]]),4)</f>
        <v>0</v>
      </c>
      <c r="N3616" t="s">
        <v>116</v>
      </c>
      <c r="O3616" t="s">
        <v>436</v>
      </c>
      <c r="P3616" t="s">
        <v>436</v>
      </c>
      <c r="Q3616">
        <v>7</v>
      </c>
      <c r="R3616" s="225">
        <f>Base_Periodo1[[#This Row],[CREDITOS]]-Base_Periodo1[[#This Row],[DEBITOS]]</f>
        <v>0</v>
      </c>
      <c r="S3616" s="3" t="str">
        <f>IF(ISERROR(VLOOKUP(Base_Periodo1[[#This Row],[CONTA]],BaseContasDRE[#All],4,FALSE)),"Fora do DRE",VLOOKUP(Base_Periodo1[[#This Row],[CONTA]],BaseContasDRE[#All],4,FALSE))</f>
        <v>Fora do DRE</v>
      </c>
      <c r="T3616" s="3" t="str">
        <f>IF(ISERROR(VLOOKUP(Base_Periodo1[[#This Row],[CONTA]],BaseContasDRE[#All],5,FALSE)),"Fora do DRE",VLOOKUP(Base_Periodo1[[#This Row],[CONTA]],BaseContasDRE[#All],6,FALSE))</f>
        <v>Fora do DRE</v>
      </c>
      <c r="U3616" s="3" t="str">
        <f>IF(ISERROR(VLOOKUP(Base_Periodo1[[#This Row],[CONTA]],BaseContasDRE[#All],7,FALSE)),"Fora do DRE",VLOOKUP(Base_Periodo1[[#This Row],[CONTA]],BaseContasDRE[#All],7,FALSE))</f>
        <v>Fora do DRE</v>
      </c>
      <c r="V3616" s="3" t="str">
        <f>IF(Base_Periodo1[[#This Row],[Tipo_Linha]]="Fora do DRE","Fora do DRE","( "&amp;Base_Periodo1[[#This Row],[Tipo_Linha]]&amp;" ) "&amp;Base_Periodo1[[#This Row],[Filtro]])</f>
        <v>Fora do DRE</v>
      </c>
      <c r="W3616" s="3" t="str">
        <f>LEFT(Base_Periodo1[[#This Row],[CLASS]],3)</f>
        <v>2.1</v>
      </c>
    </row>
    <row r="3617" spans="1:23" hidden="1">
      <c r="A3617" s="3" t="str">
        <f t="shared" si="56"/>
        <v>Período 1</v>
      </c>
      <c r="B3617">
        <v>51898</v>
      </c>
      <c r="C3617" t="s">
        <v>2010</v>
      </c>
      <c r="D3617" t="s">
        <v>7015</v>
      </c>
      <c r="E3617" s="3" t="str">
        <f>IF(LEN(Base_Periodo1[[#This Row],[CLASS]])&gt;=7,LEFT(Base_Periodo1[[#This Row],[CLASS]],7),"")</f>
        <v>2.1.2.2</v>
      </c>
      <c r="F3617" s="3" t="str">
        <f>VLOOKUP(Base_Periodo1[[#This Row],[Aux]],Base_Contas_Balanco[#All],2,FALSE)</f>
        <v>Fornecedores Não Cooperados</v>
      </c>
      <c r="G3617" s="1">
        <v>42880</v>
      </c>
      <c r="I3617" s="225">
        <v>20</v>
      </c>
      <c r="J3617" s="225">
        <v>20</v>
      </c>
      <c r="K3617" s="225">
        <v>0</v>
      </c>
      <c r="L36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17" s="225">
        <f>ROUND(IF(AND(Base_Periodo1[[#This Row],[Tipo_Linha]]="-",Base_Periodo1[[#This Row],[TIPOSALDO]]="D"),Base_Periodo1[[#This Row],[SALDO_ATUAL]]*-1,Base_Periodo1[[#This Row],[SALDO_ATUAL]]),4)</f>
        <v>0</v>
      </c>
      <c r="N3617" t="s">
        <v>116</v>
      </c>
      <c r="O3617" t="s">
        <v>436</v>
      </c>
      <c r="P3617" t="s">
        <v>436</v>
      </c>
      <c r="Q3617">
        <v>7</v>
      </c>
      <c r="R3617" s="225">
        <f>Base_Periodo1[[#This Row],[CREDITOS]]-Base_Periodo1[[#This Row],[DEBITOS]]</f>
        <v>0</v>
      </c>
      <c r="S3617" s="3" t="str">
        <f>IF(ISERROR(VLOOKUP(Base_Periodo1[[#This Row],[CONTA]],BaseContasDRE[#All],4,FALSE)),"Fora do DRE",VLOOKUP(Base_Periodo1[[#This Row],[CONTA]],BaseContasDRE[#All],4,FALSE))</f>
        <v>Fora do DRE</v>
      </c>
      <c r="T3617" s="3" t="str">
        <f>IF(ISERROR(VLOOKUP(Base_Periodo1[[#This Row],[CONTA]],BaseContasDRE[#All],5,FALSE)),"Fora do DRE",VLOOKUP(Base_Periodo1[[#This Row],[CONTA]],BaseContasDRE[#All],6,FALSE))</f>
        <v>Fora do DRE</v>
      </c>
      <c r="U3617" s="3" t="str">
        <f>IF(ISERROR(VLOOKUP(Base_Periodo1[[#This Row],[CONTA]],BaseContasDRE[#All],7,FALSE)),"Fora do DRE",VLOOKUP(Base_Periodo1[[#This Row],[CONTA]],BaseContasDRE[#All],7,FALSE))</f>
        <v>Fora do DRE</v>
      </c>
      <c r="V3617" s="3" t="str">
        <f>IF(Base_Periodo1[[#This Row],[Tipo_Linha]]="Fora do DRE","Fora do DRE","( "&amp;Base_Periodo1[[#This Row],[Tipo_Linha]]&amp;" ) "&amp;Base_Periodo1[[#This Row],[Filtro]])</f>
        <v>Fora do DRE</v>
      </c>
      <c r="W3617" s="3" t="str">
        <f>LEFT(Base_Periodo1[[#This Row],[CLASS]],3)</f>
        <v>2.1</v>
      </c>
    </row>
    <row r="3618" spans="1:23" hidden="1">
      <c r="A3618" s="3" t="str">
        <f t="shared" si="56"/>
        <v>Período 1</v>
      </c>
      <c r="B3618">
        <v>48594</v>
      </c>
      <c r="C3618" t="s">
        <v>2010</v>
      </c>
      <c r="D3618" t="s">
        <v>4615</v>
      </c>
      <c r="E3618" s="3" t="str">
        <f>IF(LEN(Base_Periodo1[[#This Row],[CLASS]])&gt;=7,LEFT(Base_Periodo1[[#This Row],[CLASS]],7),"")</f>
        <v>2.1.2.2</v>
      </c>
      <c r="F3618" s="3" t="str">
        <f>VLOOKUP(Base_Periodo1[[#This Row],[Aux]],Base_Contas_Balanco[#All],2,FALSE)</f>
        <v>Fornecedores Não Cooperados</v>
      </c>
      <c r="G3618" s="1">
        <v>42874</v>
      </c>
      <c r="I3618" s="225">
        <v>8352.4</v>
      </c>
      <c r="J3618" s="225">
        <v>8352.4</v>
      </c>
      <c r="K3618" s="225">
        <v>0</v>
      </c>
      <c r="L36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18" s="225">
        <f>ROUND(IF(AND(Base_Periodo1[[#This Row],[Tipo_Linha]]="-",Base_Periodo1[[#This Row],[TIPOSALDO]]="D"),Base_Periodo1[[#This Row],[SALDO_ATUAL]]*-1,Base_Periodo1[[#This Row],[SALDO_ATUAL]]),4)</f>
        <v>0</v>
      </c>
      <c r="N3618" t="s">
        <v>116</v>
      </c>
      <c r="O3618" t="s">
        <v>436</v>
      </c>
      <c r="P3618" t="s">
        <v>436</v>
      </c>
      <c r="Q3618">
        <v>7</v>
      </c>
      <c r="R3618" s="225">
        <f>Base_Periodo1[[#This Row],[CREDITOS]]-Base_Periodo1[[#This Row],[DEBITOS]]</f>
        <v>0</v>
      </c>
      <c r="S3618" s="3" t="str">
        <f>IF(ISERROR(VLOOKUP(Base_Periodo1[[#This Row],[CONTA]],BaseContasDRE[#All],4,FALSE)),"Fora do DRE",VLOOKUP(Base_Periodo1[[#This Row],[CONTA]],BaseContasDRE[#All],4,FALSE))</f>
        <v>Fora do DRE</v>
      </c>
      <c r="T3618" s="3" t="str">
        <f>IF(ISERROR(VLOOKUP(Base_Periodo1[[#This Row],[CONTA]],BaseContasDRE[#All],5,FALSE)),"Fora do DRE",VLOOKUP(Base_Periodo1[[#This Row],[CONTA]],BaseContasDRE[#All],6,FALSE))</f>
        <v>Fora do DRE</v>
      </c>
      <c r="U3618" s="3" t="str">
        <f>IF(ISERROR(VLOOKUP(Base_Periodo1[[#This Row],[CONTA]],BaseContasDRE[#All],7,FALSE)),"Fora do DRE",VLOOKUP(Base_Periodo1[[#This Row],[CONTA]],BaseContasDRE[#All],7,FALSE))</f>
        <v>Fora do DRE</v>
      </c>
      <c r="V3618" s="3" t="str">
        <f>IF(Base_Periodo1[[#This Row],[Tipo_Linha]]="Fora do DRE","Fora do DRE","( "&amp;Base_Periodo1[[#This Row],[Tipo_Linha]]&amp;" ) "&amp;Base_Periodo1[[#This Row],[Filtro]])</f>
        <v>Fora do DRE</v>
      </c>
      <c r="W3618" s="3" t="str">
        <f>LEFT(Base_Periodo1[[#This Row],[CLASS]],3)</f>
        <v>2.1</v>
      </c>
    </row>
    <row r="3619" spans="1:23" hidden="1">
      <c r="A3619" s="3" t="str">
        <f t="shared" si="56"/>
        <v>Período 1</v>
      </c>
      <c r="B3619">
        <v>33028</v>
      </c>
      <c r="C3619" t="s">
        <v>2010</v>
      </c>
      <c r="D3619" t="s">
        <v>7016</v>
      </c>
      <c r="E3619" s="3" t="str">
        <f>IF(LEN(Base_Periodo1[[#This Row],[CLASS]])&gt;=7,LEFT(Base_Periodo1[[#This Row],[CLASS]],7),"")</f>
        <v>2.1.2.2</v>
      </c>
      <c r="F3619" s="3" t="str">
        <f>VLOOKUP(Base_Periodo1[[#This Row],[Aux]],Base_Contas_Balanco[#All],2,FALSE)</f>
        <v>Fornecedores Não Cooperados</v>
      </c>
      <c r="G3619" s="1">
        <v>42865</v>
      </c>
      <c r="I3619" s="225">
        <v>2107</v>
      </c>
      <c r="J3619" s="225">
        <v>2107</v>
      </c>
      <c r="K3619" s="225">
        <v>-3.637978807091713E-12</v>
      </c>
      <c r="L36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19" s="225">
        <f>ROUND(IF(AND(Base_Periodo1[[#This Row],[Tipo_Linha]]="-",Base_Periodo1[[#This Row],[TIPOSALDO]]="D"),Base_Periodo1[[#This Row],[SALDO_ATUAL]]*-1,Base_Periodo1[[#This Row],[SALDO_ATUAL]]),4)</f>
        <v>0</v>
      </c>
      <c r="N3619" t="s">
        <v>116</v>
      </c>
      <c r="O3619" t="s">
        <v>436</v>
      </c>
      <c r="P3619" t="s">
        <v>436</v>
      </c>
      <c r="Q3619">
        <v>7</v>
      </c>
      <c r="R3619" s="225">
        <f>Base_Periodo1[[#This Row],[CREDITOS]]-Base_Periodo1[[#This Row],[DEBITOS]]</f>
        <v>0</v>
      </c>
      <c r="S3619" s="3" t="str">
        <f>IF(ISERROR(VLOOKUP(Base_Periodo1[[#This Row],[CONTA]],BaseContasDRE[#All],4,FALSE)),"Fora do DRE",VLOOKUP(Base_Periodo1[[#This Row],[CONTA]],BaseContasDRE[#All],4,FALSE))</f>
        <v>Fora do DRE</v>
      </c>
      <c r="T3619" s="3" t="str">
        <f>IF(ISERROR(VLOOKUP(Base_Periodo1[[#This Row],[CONTA]],BaseContasDRE[#All],5,FALSE)),"Fora do DRE",VLOOKUP(Base_Periodo1[[#This Row],[CONTA]],BaseContasDRE[#All],6,FALSE))</f>
        <v>Fora do DRE</v>
      </c>
      <c r="U3619" s="3" t="str">
        <f>IF(ISERROR(VLOOKUP(Base_Periodo1[[#This Row],[CONTA]],BaseContasDRE[#All],7,FALSE)),"Fora do DRE",VLOOKUP(Base_Periodo1[[#This Row],[CONTA]],BaseContasDRE[#All],7,FALSE))</f>
        <v>Fora do DRE</v>
      </c>
      <c r="V3619" s="3" t="str">
        <f>IF(Base_Periodo1[[#This Row],[Tipo_Linha]]="Fora do DRE","Fora do DRE","( "&amp;Base_Periodo1[[#This Row],[Tipo_Linha]]&amp;" ) "&amp;Base_Periodo1[[#This Row],[Filtro]])</f>
        <v>Fora do DRE</v>
      </c>
      <c r="W3619" s="3" t="str">
        <f>LEFT(Base_Periodo1[[#This Row],[CLASS]],3)</f>
        <v>2.1</v>
      </c>
    </row>
    <row r="3620" spans="1:23" hidden="1">
      <c r="A3620" s="3" t="str">
        <f t="shared" si="56"/>
        <v>Período 1</v>
      </c>
      <c r="B3620">
        <v>28415</v>
      </c>
      <c r="C3620" t="s">
        <v>2010</v>
      </c>
      <c r="D3620" t="s">
        <v>7017</v>
      </c>
      <c r="E3620" s="3" t="str">
        <f>IF(LEN(Base_Periodo1[[#This Row],[CLASS]])&gt;=7,LEFT(Base_Periodo1[[#This Row],[CLASS]],7),"")</f>
        <v>2.1.2.2</v>
      </c>
      <c r="F3620" s="3" t="str">
        <f>VLOOKUP(Base_Periodo1[[#This Row],[Aux]],Base_Contas_Balanco[#All],2,FALSE)</f>
        <v>Fornecedores Não Cooperados</v>
      </c>
      <c r="G3620" s="1">
        <v>42877</v>
      </c>
      <c r="I3620" s="225">
        <v>1656.9699999999998</v>
      </c>
      <c r="J3620" s="225">
        <v>1656.97</v>
      </c>
      <c r="K3620" s="225">
        <v>-2.2737367544323206E-13</v>
      </c>
      <c r="L36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20" s="225">
        <f>ROUND(IF(AND(Base_Periodo1[[#This Row],[Tipo_Linha]]="-",Base_Periodo1[[#This Row],[TIPOSALDO]]="D"),Base_Periodo1[[#This Row],[SALDO_ATUAL]]*-1,Base_Periodo1[[#This Row],[SALDO_ATUAL]]),4)</f>
        <v>0</v>
      </c>
      <c r="N3620" t="s">
        <v>116</v>
      </c>
      <c r="O3620" t="s">
        <v>436</v>
      </c>
      <c r="P3620" t="s">
        <v>436</v>
      </c>
      <c r="Q3620">
        <v>7</v>
      </c>
      <c r="R3620" s="225">
        <f>Base_Periodo1[[#This Row],[CREDITOS]]-Base_Periodo1[[#This Row],[DEBITOS]]</f>
        <v>0</v>
      </c>
      <c r="S3620" s="3" t="str">
        <f>IF(ISERROR(VLOOKUP(Base_Periodo1[[#This Row],[CONTA]],BaseContasDRE[#All],4,FALSE)),"Fora do DRE",VLOOKUP(Base_Periodo1[[#This Row],[CONTA]],BaseContasDRE[#All],4,FALSE))</f>
        <v>Fora do DRE</v>
      </c>
      <c r="T3620" s="3" t="str">
        <f>IF(ISERROR(VLOOKUP(Base_Periodo1[[#This Row],[CONTA]],BaseContasDRE[#All],5,FALSE)),"Fora do DRE",VLOOKUP(Base_Periodo1[[#This Row],[CONTA]],BaseContasDRE[#All],6,FALSE))</f>
        <v>Fora do DRE</v>
      </c>
      <c r="U3620" s="3" t="str">
        <f>IF(ISERROR(VLOOKUP(Base_Periodo1[[#This Row],[CONTA]],BaseContasDRE[#All],7,FALSE)),"Fora do DRE",VLOOKUP(Base_Periodo1[[#This Row],[CONTA]],BaseContasDRE[#All],7,FALSE))</f>
        <v>Fora do DRE</v>
      </c>
      <c r="V3620" s="3" t="str">
        <f>IF(Base_Periodo1[[#This Row],[Tipo_Linha]]="Fora do DRE","Fora do DRE","( "&amp;Base_Periodo1[[#This Row],[Tipo_Linha]]&amp;" ) "&amp;Base_Periodo1[[#This Row],[Filtro]])</f>
        <v>Fora do DRE</v>
      </c>
      <c r="W3620" s="3" t="str">
        <f>LEFT(Base_Periodo1[[#This Row],[CLASS]],3)</f>
        <v>2.1</v>
      </c>
    </row>
    <row r="3621" spans="1:23" hidden="1">
      <c r="A3621" s="3" t="str">
        <f t="shared" si="56"/>
        <v>Período 1</v>
      </c>
      <c r="B3621">
        <v>29622</v>
      </c>
      <c r="C3621" t="s">
        <v>2010</v>
      </c>
      <c r="D3621" t="s">
        <v>2072</v>
      </c>
      <c r="E3621" s="3" t="str">
        <f>IF(LEN(Base_Periodo1[[#This Row],[CLASS]])&gt;=7,LEFT(Base_Periodo1[[#This Row],[CLASS]],7),"")</f>
        <v>2.1.2.2</v>
      </c>
      <c r="F3621" s="3" t="str">
        <f>VLOOKUP(Base_Periodo1[[#This Row],[Aux]],Base_Contas_Balanco[#All],2,FALSE)</f>
        <v>Fornecedores Não Cooperados</v>
      </c>
      <c r="G3621" s="1">
        <v>42884</v>
      </c>
      <c r="H3621" s="225">
        <v>2390.4400000000096</v>
      </c>
      <c r="I3621" s="225">
        <v>6578.4</v>
      </c>
      <c r="J3621" s="225">
        <v>8202.89</v>
      </c>
      <c r="K3621" s="225">
        <v>4014.9300000000094</v>
      </c>
      <c r="L36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4014.93</v>
      </c>
      <c r="M3621" s="225">
        <f>ROUND(IF(AND(Base_Periodo1[[#This Row],[Tipo_Linha]]="-",Base_Periodo1[[#This Row],[TIPOSALDO]]="D"),Base_Periodo1[[#This Row],[SALDO_ATUAL]]*-1,Base_Periodo1[[#This Row],[SALDO_ATUAL]]),4)</f>
        <v>4014.93</v>
      </c>
      <c r="N3621" t="s">
        <v>116</v>
      </c>
      <c r="O3621" t="s">
        <v>459</v>
      </c>
      <c r="P3621" t="s">
        <v>459</v>
      </c>
      <c r="Q3621">
        <v>7</v>
      </c>
      <c r="R3621" s="225">
        <f>Base_Periodo1[[#This Row],[CREDITOS]]-Base_Periodo1[[#This Row],[DEBITOS]]</f>
        <v>1624.4899999999998</v>
      </c>
      <c r="S3621" s="3" t="str">
        <f>IF(ISERROR(VLOOKUP(Base_Periodo1[[#This Row],[CONTA]],BaseContasDRE[#All],4,FALSE)),"Fora do DRE",VLOOKUP(Base_Periodo1[[#This Row],[CONTA]],BaseContasDRE[#All],4,FALSE))</f>
        <v>Fora do DRE</v>
      </c>
      <c r="T3621" s="3" t="str">
        <f>IF(ISERROR(VLOOKUP(Base_Periodo1[[#This Row],[CONTA]],BaseContasDRE[#All],5,FALSE)),"Fora do DRE",VLOOKUP(Base_Periodo1[[#This Row],[CONTA]],BaseContasDRE[#All],6,FALSE))</f>
        <v>Fora do DRE</v>
      </c>
      <c r="U3621" s="3" t="str">
        <f>IF(ISERROR(VLOOKUP(Base_Periodo1[[#This Row],[CONTA]],BaseContasDRE[#All],7,FALSE)),"Fora do DRE",VLOOKUP(Base_Periodo1[[#This Row],[CONTA]],BaseContasDRE[#All],7,FALSE))</f>
        <v>Fora do DRE</v>
      </c>
      <c r="V3621" s="3" t="str">
        <f>IF(Base_Periodo1[[#This Row],[Tipo_Linha]]="Fora do DRE","Fora do DRE","( "&amp;Base_Periodo1[[#This Row],[Tipo_Linha]]&amp;" ) "&amp;Base_Periodo1[[#This Row],[Filtro]])</f>
        <v>Fora do DRE</v>
      </c>
      <c r="W3621" s="3" t="str">
        <f>LEFT(Base_Periodo1[[#This Row],[CLASS]],3)</f>
        <v>2.1</v>
      </c>
    </row>
    <row r="3622" spans="1:23" hidden="1">
      <c r="A3622" s="3" t="str">
        <f t="shared" si="56"/>
        <v>Período 1</v>
      </c>
      <c r="B3622">
        <v>59255</v>
      </c>
      <c r="C3622" t="s">
        <v>2010</v>
      </c>
      <c r="D3622" t="s">
        <v>7018</v>
      </c>
      <c r="E3622" s="3" t="str">
        <f>IF(LEN(Base_Periodo1[[#This Row],[CLASS]])&gt;=7,LEFT(Base_Periodo1[[#This Row],[CLASS]],7),"")</f>
        <v>2.1.2.2</v>
      </c>
      <c r="F3622" s="3" t="str">
        <f>VLOOKUP(Base_Periodo1[[#This Row],[Aux]],Base_Contas_Balanco[#All],2,FALSE)</f>
        <v>Fornecedores Não Cooperados</v>
      </c>
      <c r="G3622" s="1">
        <v>42885</v>
      </c>
      <c r="I3622" s="225">
        <v>379.45</v>
      </c>
      <c r="J3622" s="225">
        <v>379.45</v>
      </c>
      <c r="K3622" s="225">
        <v>0</v>
      </c>
      <c r="L36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22" s="225">
        <f>ROUND(IF(AND(Base_Periodo1[[#This Row],[Tipo_Linha]]="-",Base_Periodo1[[#This Row],[TIPOSALDO]]="D"),Base_Periodo1[[#This Row],[SALDO_ATUAL]]*-1,Base_Periodo1[[#This Row],[SALDO_ATUAL]]),4)</f>
        <v>0</v>
      </c>
      <c r="N3622" t="s">
        <v>116</v>
      </c>
      <c r="O3622" t="s">
        <v>436</v>
      </c>
      <c r="P3622" t="s">
        <v>436</v>
      </c>
      <c r="Q3622">
        <v>7</v>
      </c>
      <c r="R3622" s="225">
        <f>Base_Periodo1[[#This Row],[CREDITOS]]-Base_Periodo1[[#This Row],[DEBITOS]]</f>
        <v>0</v>
      </c>
      <c r="S3622" s="3" t="str">
        <f>IF(ISERROR(VLOOKUP(Base_Periodo1[[#This Row],[CONTA]],BaseContasDRE[#All],4,FALSE)),"Fora do DRE",VLOOKUP(Base_Periodo1[[#This Row],[CONTA]],BaseContasDRE[#All],4,FALSE))</f>
        <v>Fora do DRE</v>
      </c>
      <c r="T3622" s="3" t="str">
        <f>IF(ISERROR(VLOOKUP(Base_Periodo1[[#This Row],[CONTA]],BaseContasDRE[#All],5,FALSE)),"Fora do DRE",VLOOKUP(Base_Periodo1[[#This Row],[CONTA]],BaseContasDRE[#All],6,FALSE))</f>
        <v>Fora do DRE</v>
      </c>
      <c r="U3622" s="3" t="str">
        <f>IF(ISERROR(VLOOKUP(Base_Periodo1[[#This Row],[CONTA]],BaseContasDRE[#All],7,FALSE)),"Fora do DRE",VLOOKUP(Base_Periodo1[[#This Row],[CONTA]],BaseContasDRE[#All],7,FALSE))</f>
        <v>Fora do DRE</v>
      </c>
      <c r="V3622" s="3" t="str">
        <f>IF(Base_Periodo1[[#This Row],[Tipo_Linha]]="Fora do DRE","Fora do DRE","( "&amp;Base_Periodo1[[#This Row],[Tipo_Linha]]&amp;" ) "&amp;Base_Periodo1[[#This Row],[Filtro]])</f>
        <v>Fora do DRE</v>
      </c>
      <c r="W3622" s="3" t="str">
        <f>LEFT(Base_Periodo1[[#This Row],[CLASS]],3)</f>
        <v>2.1</v>
      </c>
    </row>
    <row r="3623" spans="1:23" hidden="1">
      <c r="A3623" s="3" t="str">
        <f t="shared" si="56"/>
        <v>Período 1</v>
      </c>
      <c r="B3623">
        <v>58160</v>
      </c>
      <c r="C3623" t="s">
        <v>2010</v>
      </c>
      <c r="D3623" t="s">
        <v>7019</v>
      </c>
      <c r="E3623" s="3" t="str">
        <f>IF(LEN(Base_Periodo1[[#This Row],[CLASS]])&gt;=7,LEFT(Base_Periodo1[[#This Row],[CLASS]],7),"")</f>
        <v>2.1.2.2</v>
      </c>
      <c r="F3623" s="3" t="str">
        <f>VLOOKUP(Base_Periodo1[[#This Row],[Aux]],Base_Contas_Balanco[#All],2,FALSE)</f>
        <v>Fornecedores Não Cooperados</v>
      </c>
      <c r="G3623" s="1">
        <v>42885</v>
      </c>
      <c r="I3623" s="225">
        <v>15014.439999999999</v>
      </c>
      <c r="J3623" s="225">
        <v>15014.44</v>
      </c>
      <c r="K3623" s="225">
        <v>-1.8189894035458565E-12</v>
      </c>
      <c r="L36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23" s="225">
        <f>ROUND(IF(AND(Base_Periodo1[[#This Row],[Tipo_Linha]]="-",Base_Periodo1[[#This Row],[TIPOSALDO]]="D"),Base_Periodo1[[#This Row],[SALDO_ATUAL]]*-1,Base_Periodo1[[#This Row],[SALDO_ATUAL]]),4)</f>
        <v>0</v>
      </c>
      <c r="N3623" t="s">
        <v>116</v>
      </c>
      <c r="O3623" t="s">
        <v>436</v>
      </c>
      <c r="P3623" t="s">
        <v>436</v>
      </c>
      <c r="Q3623">
        <v>7</v>
      </c>
      <c r="R3623" s="225">
        <f>Base_Periodo1[[#This Row],[CREDITOS]]-Base_Periodo1[[#This Row],[DEBITOS]]</f>
        <v>0</v>
      </c>
      <c r="S3623" s="3" t="str">
        <f>IF(ISERROR(VLOOKUP(Base_Periodo1[[#This Row],[CONTA]],BaseContasDRE[#All],4,FALSE)),"Fora do DRE",VLOOKUP(Base_Periodo1[[#This Row],[CONTA]],BaseContasDRE[#All],4,FALSE))</f>
        <v>Fora do DRE</v>
      </c>
      <c r="T3623" s="3" t="str">
        <f>IF(ISERROR(VLOOKUP(Base_Periodo1[[#This Row],[CONTA]],BaseContasDRE[#All],5,FALSE)),"Fora do DRE",VLOOKUP(Base_Periodo1[[#This Row],[CONTA]],BaseContasDRE[#All],6,FALSE))</f>
        <v>Fora do DRE</v>
      </c>
      <c r="U3623" s="3" t="str">
        <f>IF(ISERROR(VLOOKUP(Base_Periodo1[[#This Row],[CONTA]],BaseContasDRE[#All],7,FALSE)),"Fora do DRE",VLOOKUP(Base_Periodo1[[#This Row],[CONTA]],BaseContasDRE[#All],7,FALSE))</f>
        <v>Fora do DRE</v>
      </c>
      <c r="V3623" s="3" t="str">
        <f>IF(Base_Periodo1[[#This Row],[Tipo_Linha]]="Fora do DRE","Fora do DRE","( "&amp;Base_Periodo1[[#This Row],[Tipo_Linha]]&amp;" ) "&amp;Base_Periodo1[[#This Row],[Filtro]])</f>
        <v>Fora do DRE</v>
      </c>
      <c r="W3623" s="3" t="str">
        <f>LEFT(Base_Periodo1[[#This Row],[CLASS]],3)</f>
        <v>2.1</v>
      </c>
    </row>
    <row r="3624" spans="1:23" hidden="1">
      <c r="A3624" s="3" t="str">
        <f t="shared" si="56"/>
        <v>Período 1</v>
      </c>
      <c r="B3624">
        <v>11161</v>
      </c>
      <c r="C3624" t="s">
        <v>2010</v>
      </c>
      <c r="D3624" t="s">
        <v>4461</v>
      </c>
      <c r="E3624" s="3" t="str">
        <f>IF(LEN(Base_Periodo1[[#This Row],[CLASS]])&gt;=7,LEFT(Base_Periodo1[[#This Row],[CLASS]],7),"")</f>
        <v>2.1.2.2</v>
      </c>
      <c r="F3624" s="3" t="str">
        <f>VLOOKUP(Base_Periodo1[[#This Row],[Aux]],Base_Contas_Balanco[#All],2,FALSE)</f>
        <v>Fornecedores Não Cooperados</v>
      </c>
      <c r="G3624" s="1">
        <v>42886</v>
      </c>
      <c r="H3624" s="225">
        <v>3630</v>
      </c>
      <c r="I3624" s="225">
        <v>6735</v>
      </c>
      <c r="J3624" s="225">
        <v>3455</v>
      </c>
      <c r="K3624" s="225">
        <v>350</v>
      </c>
      <c r="L36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350</v>
      </c>
      <c r="M3624" s="225">
        <f>ROUND(IF(AND(Base_Periodo1[[#This Row],[Tipo_Linha]]="-",Base_Periodo1[[#This Row],[TIPOSALDO]]="D"),Base_Periodo1[[#This Row],[SALDO_ATUAL]]*-1,Base_Periodo1[[#This Row],[SALDO_ATUAL]]),4)</f>
        <v>350</v>
      </c>
      <c r="N3624" t="s">
        <v>116</v>
      </c>
      <c r="O3624" t="s">
        <v>459</v>
      </c>
      <c r="P3624" t="s">
        <v>459</v>
      </c>
      <c r="Q3624">
        <v>7</v>
      </c>
      <c r="R3624" s="225">
        <f>Base_Periodo1[[#This Row],[CREDITOS]]-Base_Periodo1[[#This Row],[DEBITOS]]</f>
        <v>-3280</v>
      </c>
      <c r="S3624" s="3" t="str">
        <f>IF(ISERROR(VLOOKUP(Base_Periodo1[[#This Row],[CONTA]],BaseContasDRE[#All],4,FALSE)),"Fora do DRE",VLOOKUP(Base_Periodo1[[#This Row],[CONTA]],BaseContasDRE[#All],4,FALSE))</f>
        <v>Fora do DRE</v>
      </c>
      <c r="T3624" s="3" t="str">
        <f>IF(ISERROR(VLOOKUP(Base_Periodo1[[#This Row],[CONTA]],BaseContasDRE[#All],5,FALSE)),"Fora do DRE",VLOOKUP(Base_Periodo1[[#This Row],[CONTA]],BaseContasDRE[#All],6,FALSE))</f>
        <v>Fora do DRE</v>
      </c>
      <c r="U3624" s="3" t="str">
        <f>IF(ISERROR(VLOOKUP(Base_Periodo1[[#This Row],[CONTA]],BaseContasDRE[#All],7,FALSE)),"Fora do DRE",VLOOKUP(Base_Periodo1[[#This Row],[CONTA]],BaseContasDRE[#All],7,FALSE))</f>
        <v>Fora do DRE</v>
      </c>
      <c r="V3624" s="3" t="str">
        <f>IF(Base_Periodo1[[#This Row],[Tipo_Linha]]="Fora do DRE","Fora do DRE","( "&amp;Base_Periodo1[[#This Row],[Tipo_Linha]]&amp;" ) "&amp;Base_Periodo1[[#This Row],[Filtro]])</f>
        <v>Fora do DRE</v>
      </c>
      <c r="W3624" s="3" t="str">
        <f>LEFT(Base_Periodo1[[#This Row],[CLASS]],3)</f>
        <v>2.1</v>
      </c>
    </row>
    <row r="3625" spans="1:23" hidden="1">
      <c r="A3625" s="3" t="str">
        <f t="shared" si="56"/>
        <v>Período 1</v>
      </c>
      <c r="B3625">
        <v>57225</v>
      </c>
      <c r="C3625" t="s">
        <v>2010</v>
      </c>
      <c r="D3625" t="s">
        <v>6476</v>
      </c>
      <c r="E3625" s="3" t="str">
        <f>IF(LEN(Base_Periodo1[[#This Row],[CLASS]])&gt;=7,LEFT(Base_Periodo1[[#This Row],[CLASS]],7),"")</f>
        <v>2.1.2.2</v>
      </c>
      <c r="F3625" s="3" t="str">
        <f>VLOOKUP(Base_Periodo1[[#This Row],[Aux]],Base_Contas_Balanco[#All],2,FALSE)</f>
        <v>Fornecedores Não Cooperados</v>
      </c>
      <c r="G3625" s="1">
        <v>42886</v>
      </c>
      <c r="I3625" s="225">
        <v>0</v>
      </c>
      <c r="J3625" s="225">
        <v>937</v>
      </c>
      <c r="K3625" s="225">
        <v>937</v>
      </c>
      <c r="L36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937</v>
      </c>
      <c r="M3625" s="225">
        <f>ROUND(IF(AND(Base_Periodo1[[#This Row],[Tipo_Linha]]="-",Base_Periodo1[[#This Row],[TIPOSALDO]]="D"),Base_Periodo1[[#This Row],[SALDO_ATUAL]]*-1,Base_Periodo1[[#This Row],[SALDO_ATUAL]]),4)</f>
        <v>937</v>
      </c>
      <c r="N3625" t="s">
        <v>116</v>
      </c>
      <c r="O3625" t="s">
        <v>436</v>
      </c>
      <c r="P3625" t="s">
        <v>459</v>
      </c>
      <c r="Q3625">
        <v>7</v>
      </c>
      <c r="R3625" s="225">
        <f>Base_Periodo1[[#This Row],[CREDITOS]]-Base_Periodo1[[#This Row],[DEBITOS]]</f>
        <v>937</v>
      </c>
      <c r="S3625" s="3" t="str">
        <f>IF(ISERROR(VLOOKUP(Base_Periodo1[[#This Row],[CONTA]],BaseContasDRE[#All],4,FALSE)),"Fora do DRE",VLOOKUP(Base_Periodo1[[#This Row],[CONTA]],BaseContasDRE[#All],4,FALSE))</f>
        <v>Fora do DRE</v>
      </c>
      <c r="T3625" s="3" t="str">
        <f>IF(ISERROR(VLOOKUP(Base_Periodo1[[#This Row],[CONTA]],BaseContasDRE[#All],5,FALSE)),"Fora do DRE",VLOOKUP(Base_Periodo1[[#This Row],[CONTA]],BaseContasDRE[#All],6,FALSE))</f>
        <v>Fora do DRE</v>
      </c>
      <c r="U3625" s="3" t="str">
        <f>IF(ISERROR(VLOOKUP(Base_Periodo1[[#This Row],[CONTA]],BaseContasDRE[#All],7,FALSE)),"Fora do DRE",VLOOKUP(Base_Periodo1[[#This Row],[CONTA]],BaseContasDRE[#All],7,FALSE))</f>
        <v>Fora do DRE</v>
      </c>
      <c r="V3625" s="3" t="str">
        <f>IF(Base_Periodo1[[#This Row],[Tipo_Linha]]="Fora do DRE","Fora do DRE","( "&amp;Base_Periodo1[[#This Row],[Tipo_Linha]]&amp;" ) "&amp;Base_Periodo1[[#This Row],[Filtro]])</f>
        <v>Fora do DRE</v>
      </c>
      <c r="W3625" s="3" t="str">
        <f>LEFT(Base_Periodo1[[#This Row],[CLASS]],3)</f>
        <v>2.1</v>
      </c>
    </row>
    <row r="3626" spans="1:23" hidden="1">
      <c r="A3626" s="3" t="str">
        <f t="shared" si="56"/>
        <v>Período 1</v>
      </c>
      <c r="B3626">
        <v>26620</v>
      </c>
      <c r="C3626" t="s">
        <v>2010</v>
      </c>
      <c r="D3626" t="s">
        <v>7020</v>
      </c>
      <c r="E3626" s="3" t="str">
        <f>IF(LEN(Base_Periodo1[[#This Row],[CLASS]])&gt;=7,LEFT(Base_Periodo1[[#This Row],[CLASS]],7),"")</f>
        <v>2.1.2.2</v>
      </c>
      <c r="F3626" s="3" t="str">
        <f>VLOOKUP(Base_Periodo1[[#This Row],[Aux]],Base_Contas_Balanco[#All],2,FALSE)</f>
        <v>Fornecedores Não Cooperados</v>
      </c>
      <c r="G3626" s="1">
        <v>42860</v>
      </c>
      <c r="I3626" s="225">
        <v>884.34999999999991</v>
      </c>
      <c r="J3626" s="225">
        <v>884.34999999999991</v>
      </c>
      <c r="K3626" s="225">
        <v>3.637978807091713E-12</v>
      </c>
      <c r="L36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26" s="225">
        <f>ROUND(IF(AND(Base_Periodo1[[#This Row],[Tipo_Linha]]="-",Base_Periodo1[[#This Row],[TIPOSALDO]]="D"),Base_Periodo1[[#This Row],[SALDO_ATUAL]]*-1,Base_Periodo1[[#This Row],[SALDO_ATUAL]]),4)</f>
        <v>0</v>
      </c>
      <c r="N3626" t="s">
        <v>116</v>
      </c>
      <c r="O3626" t="s">
        <v>436</v>
      </c>
      <c r="P3626" t="s">
        <v>436</v>
      </c>
      <c r="Q3626">
        <v>7</v>
      </c>
      <c r="R3626" s="225">
        <f>Base_Periodo1[[#This Row],[CREDITOS]]-Base_Periodo1[[#This Row],[DEBITOS]]</f>
        <v>0</v>
      </c>
      <c r="S3626" s="3" t="str">
        <f>IF(ISERROR(VLOOKUP(Base_Periodo1[[#This Row],[CONTA]],BaseContasDRE[#All],4,FALSE)),"Fora do DRE",VLOOKUP(Base_Periodo1[[#This Row],[CONTA]],BaseContasDRE[#All],4,FALSE))</f>
        <v>Fora do DRE</v>
      </c>
      <c r="T3626" s="3" t="str">
        <f>IF(ISERROR(VLOOKUP(Base_Periodo1[[#This Row],[CONTA]],BaseContasDRE[#All],5,FALSE)),"Fora do DRE",VLOOKUP(Base_Periodo1[[#This Row],[CONTA]],BaseContasDRE[#All],6,FALSE))</f>
        <v>Fora do DRE</v>
      </c>
      <c r="U3626" s="3" t="str">
        <f>IF(ISERROR(VLOOKUP(Base_Periodo1[[#This Row],[CONTA]],BaseContasDRE[#All],7,FALSE)),"Fora do DRE",VLOOKUP(Base_Periodo1[[#This Row],[CONTA]],BaseContasDRE[#All],7,FALSE))</f>
        <v>Fora do DRE</v>
      </c>
      <c r="V3626" s="3" t="str">
        <f>IF(Base_Periodo1[[#This Row],[Tipo_Linha]]="Fora do DRE","Fora do DRE","( "&amp;Base_Periodo1[[#This Row],[Tipo_Linha]]&amp;" ) "&amp;Base_Periodo1[[#This Row],[Filtro]])</f>
        <v>Fora do DRE</v>
      </c>
      <c r="W3626" s="3" t="str">
        <f>LEFT(Base_Periodo1[[#This Row],[CLASS]],3)</f>
        <v>2.1</v>
      </c>
    </row>
    <row r="3627" spans="1:23" hidden="1">
      <c r="A3627" s="3" t="str">
        <f t="shared" si="56"/>
        <v>Período 1</v>
      </c>
      <c r="B3627">
        <v>22219</v>
      </c>
      <c r="C3627" t="s">
        <v>2010</v>
      </c>
      <c r="D3627" t="s">
        <v>7021</v>
      </c>
      <c r="E3627" s="3" t="str">
        <f>IF(LEN(Base_Periodo1[[#This Row],[CLASS]])&gt;=7,LEFT(Base_Periodo1[[#This Row],[CLASS]],7),"")</f>
        <v>2.1.2.2</v>
      </c>
      <c r="F3627" s="3" t="str">
        <f>VLOOKUP(Base_Periodo1[[#This Row],[Aux]],Base_Contas_Balanco[#All],2,FALSE)</f>
        <v>Fornecedores Não Cooperados</v>
      </c>
      <c r="G3627" s="1">
        <v>42867</v>
      </c>
      <c r="I3627" s="225">
        <v>35110</v>
      </c>
      <c r="J3627" s="225">
        <v>35110</v>
      </c>
      <c r="K3627" s="225">
        <v>2.9103830456733704E-11</v>
      </c>
      <c r="L36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27" s="225">
        <f>ROUND(IF(AND(Base_Periodo1[[#This Row],[Tipo_Linha]]="-",Base_Periodo1[[#This Row],[TIPOSALDO]]="D"),Base_Periodo1[[#This Row],[SALDO_ATUAL]]*-1,Base_Periodo1[[#This Row],[SALDO_ATUAL]]),4)</f>
        <v>0</v>
      </c>
      <c r="N3627" t="s">
        <v>116</v>
      </c>
      <c r="O3627" t="s">
        <v>436</v>
      </c>
      <c r="P3627" t="s">
        <v>436</v>
      </c>
      <c r="Q3627">
        <v>7</v>
      </c>
      <c r="R3627" s="225">
        <f>Base_Periodo1[[#This Row],[CREDITOS]]-Base_Periodo1[[#This Row],[DEBITOS]]</f>
        <v>0</v>
      </c>
      <c r="S3627" s="3" t="str">
        <f>IF(ISERROR(VLOOKUP(Base_Periodo1[[#This Row],[CONTA]],BaseContasDRE[#All],4,FALSE)),"Fora do DRE",VLOOKUP(Base_Periodo1[[#This Row],[CONTA]],BaseContasDRE[#All],4,FALSE))</f>
        <v>Fora do DRE</v>
      </c>
      <c r="T3627" s="3" t="str">
        <f>IF(ISERROR(VLOOKUP(Base_Periodo1[[#This Row],[CONTA]],BaseContasDRE[#All],5,FALSE)),"Fora do DRE",VLOOKUP(Base_Periodo1[[#This Row],[CONTA]],BaseContasDRE[#All],6,FALSE))</f>
        <v>Fora do DRE</v>
      </c>
      <c r="U3627" s="3" t="str">
        <f>IF(ISERROR(VLOOKUP(Base_Periodo1[[#This Row],[CONTA]],BaseContasDRE[#All],7,FALSE)),"Fora do DRE",VLOOKUP(Base_Periodo1[[#This Row],[CONTA]],BaseContasDRE[#All],7,FALSE))</f>
        <v>Fora do DRE</v>
      </c>
      <c r="V3627" s="3" t="str">
        <f>IF(Base_Periodo1[[#This Row],[Tipo_Linha]]="Fora do DRE","Fora do DRE","( "&amp;Base_Periodo1[[#This Row],[Tipo_Linha]]&amp;" ) "&amp;Base_Periodo1[[#This Row],[Filtro]])</f>
        <v>Fora do DRE</v>
      </c>
      <c r="W3627" s="3" t="str">
        <f>LEFT(Base_Periodo1[[#This Row],[CLASS]],3)</f>
        <v>2.1</v>
      </c>
    </row>
    <row r="3628" spans="1:23" hidden="1">
      <c r="A3628" s="3" t="str">
        <f t="shared" si="56"/>
        <v>Período 1</v>
      </c>
      <c r="B3628">
        <v>58847</v>
      </c>
      <c r="C3628" t="s">
        <v>2010</v>
      </c>
      <c r="D3628" t="s">
        <v>7022</v>
      </c>
      <c r="E3628" s="3" t="str">
        <f>IF(LEN(Base_Periodo1[[#This Row],[CLASS]])&gt;=7,LEFT(Base_Periodo1[[#This Row],[CLASS]],7),"")</f>
        <v>2.1.2.2</v>
      </c>
      <c r="F3628" s="3" t="str">
        <f>VLOOKUP(Base_Periodo1[[#This Row],[Aux]],Base_Contas_Balanco[#All],2,FALSE)</f>
        <v>Fornecedores Não Cooperados</v>
      </c>
      <c r="G3628" s="1">
        <v>42864</v>
      </c>
      <c r="I3628" s="225">
        <v>7406.66</v>
      </c>
      <c r="J3628" s="225">
        <v>7406.66</v>
      </c>
      <c r="K3628" s="225">
        <v>0</v>
      </c>
      <c r="L36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28" s="225">
        <f>ROUND(IF(AND(Base_Periodo1[[#This Row],[Tipo_Linha]]="-",Base_Periodo1[[#This Row],[TIPOSALDO]]="D"),Base_Periodo1[[#This Row],[SALDO_ATUAL]]*-1,Base_Periodo1[[#This Row],[SALDO_ATUAL]]),4)</f>
        <v>0</v>
      </c>
      <c r="N3628" t="s">
        <v>116</v>
      </c>
      <c r="O3628" t="s">
        <v>436</v>
      </c>
      <c r="P3628" t="s">
        <v>436</v>
      </c>
      <c r="Q3628">
        <v>7</v>
      </c>
      <c r="R3628" s="225">
        <f>Base_Periodo1[[#This Row],[CREDITOS]]-Base_Periodo1[[#This Row],[DEBITOS]]</f>
        <v>0</v>
      </c>
      <c r="S3628" s="3" t="str">
        <f>IF(ISERROR(VLOOKUP(Base_Periodo1[[#This Row],[CONTA]],BaseContasDRE[#All],4,FALSE)),"Fora do DRE",VLOOKUP(Base_Periodo1[[#This Row],[CONTA]],BaseContasDRE[#All],4,FALSE))</f>
        <v>Fora do DRE</v>
      </c>
      <c r="T3628" s="3" t="str">
        <f>IF(ISERROR(VLOOKUP(Base_Periodo1[[#This Row],[CONTA]],BaseContasDRE[#All],5,FALSE)),"Fora do DRE",VLOOKUP(Base_Periodo1[[#This Row],[CONTA]],BaseContasDRE[#All],6,FALSE))</f>
        <v>Fora do DRE</v>
      </c>
      <c r="U3628" s="3" t="str">
        <f>IF(ISERROR(VLOOKUP(Base_Periodo1[[#This Row],[CONTA]],BaseContasDRE[#All],7,FALSE)),"Fora do DRE",VLOOKUP(Base_Periodo1[[#This Row],[CONTA]],BaseContasDRE[#All],7,FALSE))</f>
        <v>Fora do DRE</v>
      </c>
      <c r="V3628" s="3" t="str">
        <f>IF(Base_Periodo1[[#This Row],[Tipo_Linha]]="Fora do DRE","Fora do DRE","( "&amp;Base_Periodo1[[#This Row],[Tipo_Linha]]&amp;" ) "&amp;Base_Periodo1[[#This Row],[Filtro]])</f>
        <v>Fora do DRE</v>
      </c>
      <c r="W3628" s="3" t="str">
        <f>LEFT(Base_Periodo1[[#This Row],[CLASS]],3)</f>
        <v>2.1</v>
      </c>
    </row>
    <row r="3629" spans="1:23" hidden="1">
      <c r="A3629" s="3" t="str">
        <f t="shared" si="56"/>
        <v>Período 1</v>
      </c>
      <c r="B3629">
        <v>51234</v>
      </c>
      <c r="C3629" t="s">
        <v>2010</v>
      </c>
      <c r="D3629" t="s">
        <v>6477</v>
      </c>
      <c r="E3629" s="3" t="str">
        <f>IF(LEN(Base_Periodo1[[#This Row],[CLASS]])&gt;=7,LEFT(Base_Periodo1[[#This Row],[CLASS]],7),"")</f>
        <v>2.1.2.2</v>
      </c>
      <c r="F3629" s="3" t="str">
        <f>VLOOKUP(Base_Periodo1[[#This Row],[Aux]],Base_Contas_Balanco[#All],2,FALSE)</f>
        <v>Fornecedores Não Cooperados</v>
      </c>
      <c r="G3629" s="1">
        <v>42874</v>
      </c>
      <c r="I3629" s="225">
        <v>135889.49000000002</v>
      </c>
      <c r="J3629" s="225">
        <v>135889.49</v>
      </c>
      <c r="K3629" s="225">
        <v>5.8207660913467407E-11</v>
      </c>
      <c r="L36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29" s="225">
        <f>ROUND(IF(AND(Base_Periodo1[[#This Row],[Tipo_Linha]]="-",Base_Periodo1[[#This Row],[TIPOSALDO]]="D"),Base_Periodo1[[#This Row],[SALDO_ATUAL]]*-1,Base_Periodo1[[#This Row],[SALDO_ATUAL]]),4)</f>
        <v>0</v>
      </c>
      <c r="N3629" t="s">
        <v>116</v>
      </c>
      <c r="O3629" t="s">
        <v>436</v>
      </c>
      <c r="P3629" t="s">
        <v>436</v>
      </c>
      <c r="Q3629">
        <v>7</v>
      </c>
      <c r="R3629" s="225">
        <f>Base_Periodo1[[#This Row],[CREDITOS]]-Base_Periodo1[[#This Row],[DEBITOS]]</f>
        <v>0</v>
      </c>
      <c r="S3629" s="3" t="str">
        <f>IF(ISERROR(VLOOKUP(Base_Periodo1[[#This Row],[CONTA]],BaseContasDRE[#All],4,FALSE)),"Fora do DRE",VLOOKUP(Base_Periodo1[[#This Row],[CONTA]],BaseContasDRE[#All],4,FALSE))</f>
        <v>Fora do DRE</v>
      </c>
      <c r="T3629" s="3" t="str">
        <f>IF(ISERROR(VLOOKUP(Base_Periodo1[[#This Row],[CONTA]],BaseContasDRE[#All],5,FALSE)),"Fora do DRE",VLOOKUP(Base_Periodo1[[#This Row],[CONTA]],BaseContasDRE[#All],6,FALSE))</f>
        <v>Fora do DRE</v>
      </c>
      <c r="U3629" s="3" t="str">
        <f>IF(ISERROR(VLOOKUP(Base_Periodo1[[#This Row],[CONTA]],BaseContasDRE[#All],7,FALSE)),"Fora do DRE",VLOOKUP(Base_Periodo1[[#This Row],[CONTA]],BaseContasDRE[#All],7,FALSE))</f>
        <v>Fora do DRE</v>
      </c>
      <c r="V3629" s="3" t="str">
        <f>IF(Base_Periodo1[[#This Row],[Tipo_Linha]]="Fora do DRE","Fora do DRE","( "&amp;Base_Periodo1[[#This Row],[Tipo_Linha]]&amp;" ) "&amp;Base_Periodo1[[#This Row],[Filtro]])</f>
        <v>Fora do DRE</v>
      </c>
      <c r="W3629" s="3" t="str">
        <f>LEFT(Base_Periodo1[[#This Row],[CLASS]],3)</f>
        <v>2.1</v>
      </c>
    </row>
    <row r="3630" spans="1:23" hidden="1">
      <c r="A3630" s="3" t="str">
        <f t="shared" si="56"/>
        <v>Período 1</v>
      </c>
      <c r="B3630">
        <v>42476</v>
      </c>
      <c r="C3630" t="s">
        <v>2010</v>
      </c>
      <c r="D3630" t="s">
        <v>7023</v>
      </c>
      <c r="E3630" s="3" t="str">
        <f>IF(LEN(Base_Periodo1[[#This Row],[CLASS]])&gt;=7,LEFT(Base_Periodo1[[#This Row],[CLASS]],7),"")</f>
        <v>2.1.2.2</v>
      </c>
      <c r="F3630" s="3" t="str">
        <f>VLOOKUP(Base_Periodo1[[#This Row],[Aux]],Base_Contas_Balanco[#All],2,FALSE)</f>
        <v>Fornecedores Não Cooperados</v>
      </c>
      <c r="G3630" s="1">
        <v>42874</v>
      </c>
      <c r="I3630" s="225">
        <v>12330.45</v>
      </c>
      <c r="J3630" s="225">
        <v>12330.45</v>
      </c>
      <c r="K3630" s="225">
        <v>0</v>
      </c>
      <c r="L36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30" s="225">
        <f>ROUND(IF(AND(Base_Periodo1[[#This Row],[Tipo_Linha]]="-",Base_Periodo1[[#This Row],[TIPOSALDO]]="D"),Base_Periodo1[[#This Row],[SALDO_ATUAL]]*-1,Base_Periodo1[[#This Row],[SALDO_ATUAL]]),4)</f>
        <v>0</v>
      </c>
      <c r="N3630" t="s">
        <v>116</v>
      </c>
      <c r="O3630" t="s">
        <v>436</v>
      </c>
      <c r="P3630" t="s">
        <v>436</v>
      </c>
      <c r="Q3630">
        <v>7</v>
      </c>
      <c r="R3630" s="225">
        <f>Base_Periodo1[[#This Row],[CREDITOS]]-Base_Periodo1[[#This Row],[DEBITOS]]</f>
        <v>0</v>
      </c>
      <c r="S3630" s="3" t="str">
        <f>IF(ISERROR(VLOOKUP(Base_Periodo1[[#This Row],[CONTA]],BaseContasDRE[#All],4,FALSE)),"Fora do DRE",VLOOKUP(Base_Periodo1[[#This Row],[CONTA]],BaseContasDRE[#All],4,FALSE))</f>
        <v>Fora do DRE</v>
      </c>
      <c r="T3630" s="3" t="str">
        <f>IF(ISERROR(VLOOKUP(Base_Periodo1[[#This Row],[CONTA]],BaseContasDRE[#All],5,FALSE)),"Fora do DRE",VLOOKUP(Base_Periodo1[[#This Row],[CONTA]],BaseContasDRE[#All],6,FALSE))</f>
        <v>Fora do DRE</v>
      </c>
      <c r="U3630" s="3" t="str">
        <f>IF(ISERROR(VLOOKUP(Base_Periodo1[[#This Row],[CONTA]],BaseContasDRE[#All],7,FALSE)),"Fora do DRE",VLOOKUP(Base_Periodo1[[#This Row],[CONTA]],BaseContasDRE[#All],7,FALSE))</f>
        <v>Fora do DRE</v>
      </c>
      <c r="V3630" s="3" t="str">
        <f>IF(Base_Periodo1[[#This Row],[Tipo_Linha]]="Fora do DRE","Fora do DRE","( "&amp;Base_Periodo1[[#This Row],[Tipo_Linha]]&amp;" ) "&amp;Base_Periodo1[[#This Row],[Filtro]])</f>
        <v>Fora do DRE</v>
      </c>
      <c r="W3630" s="3" t="str">
        <f>LEFT(Base_Periodo1[[#This Row],[CLASS]],3)</f>
        <v>2.1</v>
      </c>
    </row>
    <row r="3631" spans="1:23" hidden="1">
      <c r="A3631" s="3" t="str">
        <f t="shared" si="56"/>
        <v>Período 1</v>
      </c>
      <c r="B3631">
        <v>36419</v>
      </c>
      <c r="C3631" t="s">
        <v>2010</v>
      </c>
      <c r="D3631" t="s">
        <v>5296</v>
      </c>
      <c r="E3631" s="3" t="str">
        <f>IF(LEN(Base_Periodo1[[#This Row],[CLASS]])&gt;=7,LEFT(Base_Periodo1[[#This Row],[CLASS]],7),"")</f>
        <v>2.1.2.2</v>
      </c>
      <c r="F3631" s="3" t="str">
        <f>VLOOKUP(Base_Periodo1[[#This Row],[Aux]],Base_Contas_Balanco[#All],2,FALSE)</f>
        <v>Fornecedores Não Cooperados</v>
      </c>
      <c r="G3631" s="1">
        <v>42886</v>
      </c>
      <c r="I3631" s="225">
        <v>0</v>
      </c>
      <c r="J3631" s="225">
        <v>217.98</v>
      </c>
      <c r="K3631" s="225">
        <v>217.98</v>
      </c>
      <c r="L36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217.98</v>
      </c>
      <c r="M3631" s="225">
        <f>ROUND(IF(AND(Base_Periodo1[[#This Row],[Tipo_Linha]]="-",Base_Periodo1[[#This Row],[TIPOSALDO]]="D"),Base_Periodo1[[#This Row],[SALDO_ATUAL]]*-1,Base_Periodo1[[#This Row],[SALDO_ATUAL]]),4)</f>
        <v>217.98</v>
      </c>
      <c r="N3631" t="s">
        <v>116</v>
      </c>
      <c r="O3631" t="s">
        <v>436</v>
      </c>
      <c r="P3631" t="s">
        <v>459</v>
      </c>
      <c r="Q3631">
        <v>7</v>
      </c>
      <c r="R3631" s="225">
        <f>Base_Periodo1[[#This Row],[CREDITOS]]-Base_Periodo1[[#This Row],[DEBITOS]]</f>
        <v>217.98</v>
      </c>
      <c r="S3631" s="3" t="str">
        <f>IF(ISERROR(VLOOKUP(Base_Periodo1[[#This Row],[CONTA]],BaseContasDRE[#All],4,FALSE)),"Fora do DRE",VLOOKUP(Base_Periodo1[[#This Row],[CONTA]],BaseContasDRE[#All],4,FALSE))</f>
        <v>Fora do DRE</v>
      </c>
      <c r="T3631" s="3" t="str">
        <f>IF(ISERROR(VLOOKUP(Base_Periodo1[[#This Row],[CONTA]],BaseContasDRE[#All],5,FALSE)),"Fora do DRE",VLOOKUP(Base_Periodo1[[#This Row],[CONTA]],BaseContasDRE[#All],6,FALSE))</f>
        <v>Fora do DRE</v>
      </c>
      <c r="U3631" s="3" t="str">
        <f>IF(ISERROR(VLOOKUP(Base_Periodo1[[#This Row],[CONTA]],BaseContasDRE[#All],7,FALSE)),"Fora do DRE",VLOOKUP(Base_Periodo1[[#This Row],[CONTA]],BaseContasDRE[#All],7,FALSE))</f>
        <v>Fora do DRE</v>
      </c>
      <c r="V3631" s="3" t="str">
        <f>IF(Base_Periodo1[[#This Row],[Tipo_Linha]]="Fora do DRE","Fora do DRE","( "&amp;Base_Periodo1[[#This Row],[Tipo_Linha]]&amp;" ) "&amp;Base_Periodo1[[#This Row],[Filtro]])</f>
        <v>Fora do DRE</v>
      </c>
      <c r="W3631" s="3" t="str">
        <f>LEFT(Base_Periodo1[[#This Row],[CLASS]],3)</f>
        <v>2.1</v>
      </c>
    </row>
    <row r="3632" spans="1:23" hidden="1">
      <c r="A3632" s="3" t="str">
        <f t="shared" si="56"/>
        <v>Período 1</v>
      </c>
      <c r="B3632">
        <v>28348</v>
      </c>
      <c r="C3632" t="s">
        <v>2010</v>
      </c>
      <c r="D3632" t="s">
        <v>5723</v>
      </c>
      <c r="E3632" s="3" t="str">
        <f>IF(LEN(Base_Periodo1[[#This Row],[CLASS]])&gt;=7,LEFT(Base_Periodo1[[#This Row],[CLASS]],7),"")</f>
        <v>2.1.2.2</v>
      </c>
      <c r="F3632" s="3" t="str">
        <f>VLOOKUP(Base_Periodo1[[#This Row],[Aux]],Base_Contas_Balanco[#All],2,FALSE)</f>
        <v>Fornecedores Não Cooperados</v>
      </c>
      <c r="G3632" s="1">
        <v>42872</v>
      </c>
      <c r="I3632" s="225">
        <v>348</v>
      </c>
      <c r="J3632" s="225">
        <v>348</v>
      </c>
      <c r="K3632" s="225">
        <v>0</v>
      </c>
      <c r="L36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32" s="225">
        <f>ROUND(IF(AND(Base_Periodo1[[#This Row],[Tipo_Linha]]="-",Base_Periodo1[[#This Row],[TIPOSALDO]]="D"),Base_Periodo1[[#This Row],[SALDO_ATUAL]]*-1,Base_Periodo1[[#This Row],[SALDO_ATUAL]]),4)</f>
        <v>0</v>
      </c>
      <c r="N3632" t="s">
        <v>116</v>
      </c>
      <c r="O3632" t="s">
        <v>436</v>
      </c>
      <c r="P3632" t="s">
        <v>436</v>
      </c>
      <c r="Q3632">
        <v>7</v>
      </c>
      <c r="R3632" s="225">
        <f>Base_Periodo1[[#This Row],[CREDITOS]]-Base_Periodo1[[#This Row],[DEBITOS]]</f>
        <v>0</v>
      </c>
      <c r="S3632" s="3" t="str">
        <f>IF(ISERROR(VLOOKUP(Base_Periodo1[[#This Row],[CONTA]],BaseContasDRE[#All],4,FALSE)),"Fora do DRE",VLOOKUP(Base_Periodo1[[#This Row],[CONTA]],BaseContasDRE[#All],4,FALSE))</f>
        <v>Fora do DRE</v>
      </c>
      <c r="T3632" s="3" t="str">
        <f>IF(ISERROR(VLOOKUP(Base_Periodo1[[#This Row],[CONTA]],BaseContasDRE[#All],5,FALSE)),"Fora do DRE",VLOOKUP(Base_Periodo1[[#This Row],[CONTA]],BaseContasDRE[#All],6,FALSE))</f>
        <v>Fora do DRE</v>
      </c>
      <c r="U3632" s="3" t="str">
        <f>IF(ISERROR(VLOOKUP(Base_Periodo1[[#This Row],[CONTA]],BaseContasDRE[#All],7,FALSE)),"Fora do DRE",VLOOKUP(Base_Periodo1[[#This Row],[CONTA]],BaseContasDRE[#All],7,FALSE))</f>
        <v>Fora do DRE</v>
      </c>
      <c r="V3632" s="3" t="str">
        <f>IF(Base_Periodo1[[#This Row],[Tipo_Linha]]="Fora do DRE","Fora do DRE","( "&amp;Base_Periodo1[[#This Row],[Tipo_Linha]]&amp;" ) "&amp;Base_Periodo1[[#This Row],[Filtro]])</f>
        <v>Fora do DRE</v>
      </c>
      <c r="W3632" s="3" t="str">
        <f>LEFT(Base_Periodo1[[#This Row],[CLASS]],3)</f>
        <v>2.1</v>
      </c>
    </row>
    <row r="3633" spans="1:23" hidden="1">
      <c r="A3633" s="3" t="str">
        <f t="shared" si="56"/>
        <v>Período 1</v>
      </c>
      <c r="B3633">
        <v>11362</v>
      </c>
      <c r="C3633" t="s">
        <v>2010</v>
      </c>
      <c r="D3633" t="s">
        <v>6478</v>
      </c>
      <c r="E3633" s="3" t="str">
        <f>IF(LEN(Base_Periodo1[[#This Row],[CLASS]])&gt;=7,LEFT(Base_Periodo1[[#This Row],[CLASS]],7),"")</f>
        <v>2.1.2.2</v>
      </c>
      <c r="F3633" s="3" t="str">
        <f>VLOOKUP(Base_Periodo1[[#This Row],[Aux]],Base_Contas_Balanco[#All],2,FALSE)</f>
        <v>Fornecedores Não Cooperados</v>
      </c>
      <c r="G3633" s="1">
        <v>42873</v>
      </c>
      <c r="I3633" s="225">
        <v>3935.1</v>
      </c>
      <c r="J3633" s="225">
        <v>3935.1</v>
      </c>
      <c r="K3633" s="225">
        <v>0</v>
      </c>
      <c r="L36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33" s="225">
        <f>ROUND(IF(AND(Base_Periodo1[[#This Row],[Tipo_Linha]]="-",Base_Periodo1[[#This Row],[TIPOSALDO]]="D"),Base_Periodo1[[#This Row],[SALDO_ATUAL]]*-1,Base_Periodo1[[#This Row],[SALDO_ATUAL]]),4)</f>
        <v>0</v>
      </c>
      <c r="N3633" t="s">
        <v>116</v>
      </c>
      <c r="O3633" t="s">
        <v>436</v>
      </c>
      <c r="P3633" t="s">
        <v>436</v>
      </c>
      <c r="Q3633">
        <v>7</v>
      </c>
      <c r="R3633" s="225">
        <f>Base_Periodo1[[#This Row],[CREDITOS]]-Base_Periodo1[[#This Row],[DEBITOS]]</f>
        <v>0</v>
      </c>
      <c r="S3633" s="3" t="str">
        <f>IF(ISERROR(VLOOKUP(Base_Periodo1[[#This Row],[CONTA]],BaseContasDRE[#All],4,FALSE)),"Fora do DRE",VLOOKUP(Base_Periodo1[[#This Row],[CONTA]],BaseContasDRE[#All],4,FALSE))</f>
        <v>Fora do DRE</v>
      </c>
      <c r="T3633" s="3" t="str">
        <f>IF(ISERROR(VLOOKUP(Base_Periodo1[[#This Row],[CONTA]],BaseContasDRE[#All],5,FALSE)),"Fora do DRE",VLOOKUP(Base_Periodo1[[#This Row],[CONTA]],BaseContasDRE[#All],6,FALSE))</f>
        <v>Fora do DRE</v>
      </c>
      <c r="U3633" s="3" t="str">
        <f>IF(ISERROR(VLOOKUP(Base_Periodo1[[#This Row],[CONTA]],BaseContasDRE[#All],7,FALSE)),"Fora do DRE",VLOOKUP(Base_Periodo1[[#This Row],[CONTA]],BaseContasDRE[#All],7,FALSE))</f>
        <v>Fora do DRE</v>
      </c>
      <c r="V3633" s="3" t="str">
        <f>IF(Base_Periodo1[[#This Row],[Tipo_Linha]]="Fora do DRE","Fora do DRE","( "&amp;Base_Periodo1[[#This Row],[Tipo_Linha]]&amp;" ) "&amp;Base_Periodo1[[#This Row],[Filtro]])</f>
        <v>Fora do DRE</v>
      </c>
      <c r="W3633" s="3" t="str">
        <f>LEFT(Base_Periodo1[[#This Row],[CLASS]],3)</f>
        <v>2.1</v>
      </c>
    </row>
    <row r="3634" spans="1:23" hidden="1">
      <c r="A3634" s="3" t="str">
        <f t="shared" si="56"/>
        <v>Período 1</v>
      </c>
      <c r="B3634">
        <v>58317</v>
      </c>
      <c r="C3634" t="s">
        <v>2010</v>
      </c>
      <c r="D3634" t="s">
        <v>6480</v>
      </c>
      <c r="E3634" s="3" t="str">
        <f>IF(LEN(Base_Periodo1[[#This Row],[CLASS]])&gt;=7,LEFT(Base_Periodo1[[#This Row],[CLASS]],7),"")</f>
        <v>2.1.2.2</v>
      </c>
      <c r="F3634" s="3" t="str">
        <f>VLOOKUP(Base_Periodo1[[#This Row],[Aux]],Base_Contas_Balanco[#All],2,FALSE)</f>
        <v>Fornecedores Não Cooperados</v>
      </c>
      <c r="G3634" s="1">
        <v>42863</v>
      </c>
      <c r="I3634" s="225">
        <v>2457.9299999999998</v>
      </c>
      <c r="J3634" s="225">
        <v>2457.9299999999998</v>
      </c>
      <c r="K3634" s="225">
        <v>0</v>
      </c>
      <c r="L36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34" s="225">
        <f>ROUND(IF(AND(Base_Periodo1[[#This Row],[Tipo_Linha]]="-",Base_Periodo1[[#This Row],[TIPOSALDO]]="D"),Base_Periodo1[[#This Row],[SALDO_ATUAL]]*-1,Base_Periodo1[[#This Row],[SALDO_ATUAL]]),4)</f>
        <v>0</v>
      </c>
      <c r="N3634" t="s">
        <v>116</v>
      </c>
      <c r="O3634" t="s">
        <v>436</v>
      </c>
      <c r="P3634" t="s">
        <v>436</v>
      </c>
      <c r="Q3634">
        <v>7</v>
      </c>
      <c r="R3634" s="225">
        <f>Base_Periodo1[[#This Row],[CREDITOS]]-Base_Periodo1[[#This Row],[DEBITOS]]</f>
        <v>0</v>
      </c>
      <c r="S3634" s="3" t="str">
        <f>IF(ISERROR(VLOOKUP(Base_Periodo1[[#This Row],[CONTA]],BaseContasDRE[#All],4,FALSE)),"Fora do DRE",VLOOKUP(Base_Periodo1[[#This Row],[CONTA]],BaseContasDRE[#All],4,FALSE))</f>
        <v>Fora do DRE</v>
      </c>
      <c r="T3634" s="3" t="str">
        <f>IF(ISERROR(VLOOKUP(Base_Periodo1[[#This Row],[CONTA]],BaseContasDRE[#All],5,FALSE)),"Fora do DRE",VLOOKUP(Base_Periodo1[[#This Row],[CONTA]],BaseContasDRE[#All],6,FALSE))</f>
        <v>Fora do DRE</v>
      </c>
      <c r="U3634" s="3" t="str">
        <f>IF(ISERROR(VLOOKUP(Base_Periodo1[[#This Row],[CONTA]],BaseContasDRE[#All],7,FALSE)),"Fora do DRE",VLOOKUP(Base_Periodo1[[#This Row],[CONTA]],BaseContasDRE[#All],7,FALSE))</f>
        <v>Fora do DRE</v>
      </c>
      <c r="V3634" s="3" t="str">
        <f>IF(Base_Periodo1[[#This Row],[Tipo_Linha]]="Fora do DRE","Fora do DRE","( "&amp;Base_Periodo1[[#This Row],[Tipo_Linha]]&amp;" ) "&amp;Base_Periodo1[[#This Row],[Filtro]])</f>
        <v>Fora do DRE</v>
      </c>
      <c r="W3634" s="3" t="str">
        <f>LEFT(Base_Periodo1[[#This Row],[CLASS]],3)</f>
        <v>2.1</v>
      </c>
    </row>
    <row r="3635" spans="1:23" hidden="1">
      <c r="A3635" s="3" t="str">
        <f t="shared" si="56"/>
        <v>Período 1</v>
      </c>
      <c r="B3635">
        <v>58212</v>
      </c>
      <c r="C3635" t="s">
        <v>2010</v>
      </c>
      <c r="D3635" t="s">
        <v>7024</v>
      </c>
      <c r="E3635" s="3" t="str">
        <f>IF(LEN(Base_Periodo1[[#This Row],[CLASS]])&gt;=7,LEFT(Base_Periodo1[[#This Row],[CLASS]],7),"")</f>
        <v>2.1.2.2</v>
      </c>
      <c r="F3635" s="3" t="str">
        <f>VLOOKUP(Base_Periodo1[[#This Row],[Aux]],Base_Contas_Balanco[#All],2,FALSE)</f>
        <v>Fornecedores Não Cooperados</v>
      </c>
      <c r="G3635" s="1">
        <v>42885</v>
      </c>
      <c r="I3635" s="225">
        <v>3150</v>
      </c>
      <c r="J3635" s="225">
        <v>3150</v>
      </c>
      <c r="K3635" s="225">
        <v>0</v>
      </c>
      <c r="L36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35" s="225">
        <f>ROUND(IF(AND(Base_Periodo1[[#This Row],[Tipo_Linha]]="-",Base_Periodo1[[#This Row],[TIPOSALDO]]="D"),Base_Periodo1[[#This Row],[SALDO_ATUAL]]*-1,Base_Periodo1[[#This Row],[SALDO_ATUAL]]),4)</f>
        <v>0</v>
      </c>
      <c r="N3635" t="s">
        <v>116</v>
      </c>
      <c r="O3635" t="s">
        <v>436</v>
      </c>
      <c r="P3635" t="s">
        <v>436</v>
      </c>
      <c r="Q3635">
        <v>7</v>
      </c>
      <c r="R3635" s="225">
        <f>Base_Periodo1[[#This Row],[CREDITOS]]-Base_Periodo1[[#This Row],[DEBITOS]]</f>
        <v>0</v>
      </c>
      <c r="S3635" s="3" t="str">
        <f>IF(ISERROR(VLOOKUP(Base_Periodo1[[#This Row],[CONTA]],BaseContasDRE[#All],4,FALSE)),"Fora do DRE",VLOOKUP(Base_Periodo1[[#This Row],[CONTA]],BaseContasDRE[#All],4,FALSE))</f>
        <v>Fora do DRE</v>
      </c>
      <c r="T3635" s="3" t="str">
        <f>IF(ISERROR(VLOOKUP(Base_Periodo1[[#This Row],[CONTA]],BaseContasDRE[#All],5,FALSE)),"Fora do DRE",VLOOKUP(Base_Periodo1[[#This Row],[CONTA]],BaseContasDRE[#All],6,FALSE))</f>
        <v>Fora do DRE</v>
      </c>
      <c r="U3635" s="3" t="str">
        <f>IF(ISERROR(VLOOKUP(Base_Periodo1[[#This Row],[CONTA]],BaseContasDRE[#All],7,FALSE)),"Fora do DRE",VLOOKUP(Base_Periodo1[[#This Row],[CONTA]],BaseContasDRE[#All],7,FALSE))</f>
        <v>Fora do DRE</v>
      </c>
      <c r="V3635" s="3" t="str">
        <f>IF(Base_Periodo1[[#This Row],[Tipo_Linha]]="Fora do DRE","Fora do DRE","( "&amp;Base_Periodo1[[#This Row],[Tipo_Linha]]&amp;" ) "&amp;Base_Periodo1[[#This Row],[Filtro]])</f>
        <v>Fora do DRE</v>
      </c>
      <c r="W3635" s="3" t="str">
        <f>LEFT(Base_Periodo1[[#This Row],[CLASS]],3)</f>
        <v>2.1</v>
      </c>
    </row>
    <row r="3636" spans="1:23" hidden="1">
      <c r="A3636" s="3" t="str">
        <f t="shared" si="56"/>
        <v>Período 1</v>
      </c>
      <c r="B3636">
        <v>50314</v>
      </c>
      <c r="C3636" t="s">
        <v>2010</v>
      </c>
      <c r="D3636" t="s">
        <v>7025</v>
      </c>
      <c r="E3636" s="3" t="str">
        <f>IF(LEN(Base_Periodo1[[#This Row],[CLASS]])&gt;=7,LEFT(Base_Periodo1[[#This Row],[CLASS]],7),"")</f>
        <v>2.1.2.2</v>
      </c>
      <c r="F3636" s="3" t="str">
        <f>VLOOKUP(Base_Periodo1[[#This Row],[Aux]],Base_Contas_Balanco[#All],2,FALSE)</f>
        <v>Fornecedores Não Cooperados</v>
      </c>
      <c r="G3636" s="1">
        <v>42884</v>
      </c>
      <c r="I3636" s="225">
        <v>911.97</v>
      </c>
      <c r="J3636" s="225">
        <v>911.97</v>
      </c>
      <c r="K3636" s="225">
        <v>0</v>
      </c>
      <c r="L36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36" s="225">
        <f>ROUND(IF(AND(Base_Periodo1[[#This Row],[Tipo_Linha]]="-",Base_Periodo1[[#This Row],[TIPOSALDO]]="D"),Base_Periodo1[[#This Row],[SALDO_ATUAL]]*-1,Base_Periodo1[[#This Row],[SALDO_ATUAL]]),4)</f>
        <v>0</v>
      </c>
      <c r="N3636" t="s">
        <v>116</v>
      </c>
      <c r="O3636" t="s">
        <v>436</v>
      </c>
      <c r="P3636" t="s">
        <v>436</v>
      </c>
      <c r="Q3636">
        <v>7</v>
      </c>
      <c r="R3636" s="225">
        <f>Base_Periodo1[[#This Row],[CREDITOS]]-Base_Periodo1[[#This Row],[DEBITOS]]</f>
        <v>0</v>
      </c>
      <c r="S3636" s="3" t="str">
        <f>IF(ISERROR(VLOOKUP(Base_Periodo1[[#This Row],[CONTA]],BaseContasDRE[#All],4,FALSE)),"Fora do DRE",VLOOKUP(Base_Periodo1[[#This Row],[CONTA]],BaseContasDRE[#All],4,FALSE))</f>
        <v>Fora do DRE</v>
      </c>
      <c r="T3636" s="3" t="str">
        <f>IF(ISERROR(VLOOKUP(Base_Periodo1[[#This Row],[CONTA]],BaseContasDRE[#All],5,FALSE)),"Fora do DRE",VLOOKUP(Base_Periodo1[[#This Row],[CONTA]],BaseContasDRE[#All],6,FALSE))</f>
        <v>Fora do DRE</v>
      </c>
      <c r="U3636" s="3" t="str">
        <f>IF(ISERROR(VLOOKUP(Base_Periodo1[[#This Row],[CONTA]],BaseContasDRE[#All],7,FALSE)),"Fora do DRE",VLOOKUP(Base_Periodo1[[#This Row],[CONTA]],BaseContasDRE[#All],7,FALSE))</f>
        <v>Fora do DRE</v>
      </c>
      <c r="V3636" s="3" t="str">
        <f>IF(Base_Periodo1[[#This Row],[Tipo_Linha]]="Fora do DRE","Fora do DRE","( "&amp;Base_Periodo1[[#This Row],[Tipo_Linha]]&amp;" ) "&amp;Base_Periodo1[[#This Row],[Filtro]])</f>
        <v>Fora do DRE</v>
      </c>
      <c r="W3636" s="3" t="str">
        <f>LEFT(Base_Periodo1[[#This Row],[CLASS]],3)</f>
        <v>2.1</v>
      </c>
    </row>
    <row r="3637" spans="1:23" hidden="1">
      <c r="A3637" s="3" t="str">
        <f t="shared" si="56"/>
        <v>Período 1</v>
      </c>
      <c r="B3637">
        <v>7478</v>
      </c>
      <c r="C3637" t="s">
        <v>2010</v>
      </c>
      <c r="D3637" t="s">
        <v>7026</v>
      </c>
      <c r="E3637" s="3" t="str">
        <f>IF(LEN(Base_Periodo1[[#This Row],[CLASS]])&gt;=7,LEFT(Base_Periodo1[[#This Row],[CLASS]],7),"")</f>
        <v>2.1.2.2</v>
      </c>
      <c r="F3637" s="3" t="str">
        <f>VLOOKUP(Base_Periodo1[[#This Row],[Aux]],Base_Contas_Balanco[#All],2,FALSE)</f>
        <v>Fornecedores Não Cooperados</v>
      </c>
      <c r="G3637" s="1">
        <v>42860</v>
      </c>
      <c r="I3637" s="225">
        <v>1978.7</v>
      </c>
      <c r="J3637" s="225">
        <v>1978.7</v>
      </c>
      <c r="K3637" s="225">
        <v>3.637978807091713E-12</v>
      </c>
      <c r="L36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37" s="225">
        <f>ROUND(IF(AND(Base_Periodo1[[#This Row],[Tipo_Linha]]="-",Base_Periodo1[[#This Row],[TIPOSALDO]]="D"),Base_Periodo1[[#This Row],[SALDO_ATUAL]]*-1,Base_Periodo1[[#This Row],[SALDO_ATUAL]]),4)</f>
        <v>0</v>
      </c>
      <c r="N3637" t="s">
        <v>116</v>
      </c>
      <c r="O3637" t="s">
        <v>436</v>
      </c>
      <c r="P3637" t="s">
        <v>436</v>
      </c>
      <c r="Q3637">
        <v>7</v>
      </c>
      <c r="R3637" s="225">
        <f>Base_Periodo1[[#This Row],[CREDITOS]]-Base_Periodo1[[#This Row],[DEBITOS]]</f>
        <v>0</v>
      </c>
      <c r="S3637" s="3" t="str">
        <f>IF(ISERROR(VLOOKUP(Base_Periodo1[[#This Row],[CONTA]],BaseContasDRE[#All],4,FALSE)),"Fora do DRE",VLOOKUP(Base_Periodo1[[#This Row],[CONTA]],BaseContasDRE[#All],4,FALSE))</f>
        <v>Fora do DRE</v>
      </c>
      <c r="T3637" s="3" t="str">
        <f>IF(ISERROR(VLOOKUP(Base_Periodo1[[#This Row],[CONTA]],BaseContasDRE[#All],5,FALSE)),"Fora do DRE",VLOOKUP(Base_Periodo1[[#This Row],[CONTA]],BaseContasDRE[#All],6,FALSE))</f>
        <v>Fora do DRE</v>
      </c>
      <c r="U3637" s="3" t="str">
        <f>IF(ISERROR(VLOOKUP(Base_Periodo1[[#This Row],[CONTA]],BaseContasDRE[#All],7,FALSE)),"Fora do DRE",VLOOKUP(Base_Periodo1[[#This Row],[CONTA]],BaseContasDRE[#All],7,FALSE))</f>
        <v>Fora do DRE</v>
      </c>
      <c r="V3637" s="3" t="str">
        <f>IF(Base_Periodo1[[#This Row],[Tipo_Linha]]="Fora do DRE","Fora do DRE","( "&amp;Base_Periodo1[[#This Row],[Tipo_Linha]]&amp;" ) "&amp;Base_Periodo1[[#This Row],[Filtro]])</f>
        <v>Fora do DRE</v>
      </c>
      <c r="W3637" s="3" t="str">
        <f>LEFT(Base_Periodo1[[#This Row],[CLASS]],3)</f>
        <v>2.1</v>
      </c>
    </row>
    <row r="3638" spans="1:23" hidden="1">
      <c r="A3638" s="3" t="str">
        <f t="shared" si="56"/>
        <v>Período 1</v>
      </c>
      <c r="B3638">
        <v>49507</v>
      </c>
      <c r="C3638" t="s">
        <v>2010</v>
      </c>
      <c r="D3638" t="s">
        <v>6481</v>
      </c>
      <c r="E3638" s="3" t="str">
        <f>IF(LEN(Base_Periodo1[[#This Row],[CLASS]])&gt;=7,LEFT(Base_Periodo1[[#This Row],[CLASS]],7),"")</f>
        <v>2.1.2.2</v>
      </c>
      <c r="F3638" s="3" t="str">
        <f>VLOOKUP(Base_Periodo1[[#This Row],[Aux]],Base_Contas_Balanco[#All],2,FALSE)</f>
        <v>Fornecedores Não Cooperados</v>
      </c>
      <c r="G3638" s="1">
        <v>42865</v>
      </c>
      <c r="I3638" s="225">
        <v>414.2</v>
      </c>
      <c r="J3638" s="225">
        <v>414.2</v>
      </c>
      <c r="K3638" s="225">
        <v>0</v>
      </c>
      <c r="L36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38" s="225">
        <f>ROUND(IF(AND(Base_Periodo1[[#This Row],[Tipo_Linha]]="-",Base_Periodo1[[#This Row],[TIPOSALDO]]="D"),Base_Periodo1[[#This Row],[SALDO_ATUAL]]*-1,Base_Periodo1[[#This Row],[SALDO_ATUAL]]),4)</f>
        <v>0</v>
      </c>
      <c r="N3638" t="s">
        <v>116</v>
      </c>
      <c r="O3638" t="s">
        <v>436</v>
      </c>
      <c r="P3638" t="s">
        <v>436</v>
      </c>
      <c r="Q3638">
        <v>7</v>
      </c>
      <c r="R3638" s="225">
        <f>Base_Periodo1[[#This Row],[CREDITOS]]-Base_Periodo1[[#This Row],[DEBITOS]]</f>
        <v>0</v>
      </c>
      <c r="S3638" s="3" t="str">
        <f>IF(ISERROR(VLOOKUP(Base_Periodo1[[#This Row],[CONTA]],BaseContasDRE[#All],4,FALSE)),"Fora do DRE",VLOOKUP(Base_Periodo1[[#This Row],[CONTA]],BaseContasDRE[#All],4,FALSE))</f>
        <v>Fora do DRE</v>
      </c>
      <c r="T3638" s="3" t="str">
        <f>IF(ISERROR(VLOOKUP(Base_Periodo1[[#This Row],[CONTA]],BaseContasDRE[#All],5,FALSE)),"Fora do DRE",VLOOKUP(Base_Periodo1[[#This Row],[CONTA]],BaseContasDRE[#All],6,FALSE))</f>
        <v>Fora do DRE</v>
      </c>
      <c r="U3638" s="3" t="str">
        <f>IF(ISERROR(VLOOKUP(Base_Periodo1[[#This Row],[CONTA]],BaseContasDRE[#All],7,FALSE)),"Fora do DRE",VLOOKUP(Base_Periodo1[[#This Row],[CONTA]],BaseContasDRE[#All],7,FALSE))</f>
        <v>Fora do DRE</v>
      </c>
      <c r="V3638" s="3" t="str">
        <f>IF(Base_Periodo1[[#This Row],[Tipo_Linha]]="Fora do DRE","Fora do DRE","( "&amp;Base_Periodo1[[#This Row],[Tipo_Linha]]&amp;" ) "&amp;Base_Periodo1[[#This Row],[Filtro]])</f>
        <v>Fora do DRE</v>
      </c>
      <c r="W3638" s="3" t="str">
        <f>LEFT(Base_Periodo1[[#This Row],[CLASS]],3)</f>
        <v>2.1</v>
      </c>
    </row>
    <row r="3639" spans="1:23" hidden="1">
      <c r="A3639" s="3" t="str">
        <f t="shared" si="56"/>
        <v>Período 1</v>
      </c>
      <c r="B3639">
        <v>16970</v>
      </c>
      <c r="C3639" t="s">
        <v>2010</v>
      </c>
      <c r="D3639" t="s">
        <v>4694</v>
      </c>
      <c r="E3639" s="3" t="str">
        <f>IF(LEN(Base_Periodo1[[#This Row],[CLASS]])&gt;=7,LEFT(Base_Periodo1[[#This Row],[CLASS]],7),"")</f>
        <v>2.1.2.2</v>
      </c>
      <c r="F3639" s="3" t="str">
        <f>VLOOKUP(Base_Periodo1[[#This Row],[Aux]],Base_Contas_Balanco[#All],2,FALSE)</f>
        <v>Fornecedores Não Cooperados</v>
      </c>
      <c r="G3639" s="1">
        <v>42886</v>
      </c>
      <c r="I3639" s="225">
        <v>1000</v>
      </c>
      <c r="J3639" s="225">
        <v>1000</v>
      </c>
      <c r="K3639" s="225">
        <v>0</v>
      </c>
      <c r="L36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39" s="225">
        <f>ROUND(IF(AND(Base_Periodo1[[#This Row],[Tipo_Linha]]="-",Base_Periodo1[[#This Row],[TIPOSALDO]]="D"),Base_Periodo1[[#This Row],[SALDO_ATUAL]]*-1,Base_Periodo1[[#This Row],[SALDO_ATUAL]]),4)</f>
        <v>0</v>
      </c>
      <c r="N3639" t="s">
        <v>116</v>
      </c>
      <c r="O3639" t="s">
        <v>436</v>
      </c>
      <c r="P3639" t="s">
        <v>436</v>
      </c>
      <c r="Q3639">
        <v>7</v>
      </c>
      <c r="R3639" s="225">
        <f>Base_Periodo1[[#This Row],[CREDITOS]]-Base_Periodo1[[#This Row],[DEBITOS]]</f>
        <v>0</v>
      </c>
      <c r="S3639" s="3" t="str">
        <f>IF(ISERROR(VLOOKUP(Base_Periodo1[[#This Row],[CONTA]],BaseContasDRE[#All],4,FALSE)),"Fora do DRE",VLOOKUP(Base_Periodo1[[#This Row],[CONTA]],BaseContasDRE[#All],4,FALSE))</f>
        <v>Fora do DRE</v>
      </c>
      <c r="T3639" s="3" t="str">
        <f>IF(ISERROR(VLOOKUP(Base_Periodo1[[#This Row],[CONTA]],BaseContasDRE[#All],5,FALSE)),"Fora do DRE",VLOOKUP(Base_Periodo1[[#This Row],[CONTA]],BaseContasDRE[#All],6,FALSE))</f>
        <v>Fora do DRE</v>
      </c>
      <c r="U3639" s="3" t="str">
        <f>IF(ISERROR(VLOOKUP(Base_Periodo1[[#This Row],[CONTA]],BaseContasDRE[#All],7,FALSE)),"Fora do DRE",VLOOKUP(Base_Periodo1[[#This Row],[CONTA]],BaseContasDRE[#All],7,FALSE))</f>
        <v>Fora do DRE</v>
      </c>
      <c r="V3639" s="3" t="str">
        <f>IF(Base_Periodo1[[#This Row],[Tipo_Linha]]="Fora do DRE","Fora do DRE","( "&amp;Base_Periodo1[[#This Row],[Tipo_Linha]]&amp;" ) "&amp;Base_Periodo1[[#This Row],[Filtro]])</f>
        <v>Fora do DRE</v>
      </c>
      <c r="W3639" s="3" t="str">
        <f>LEFT(Base_Periodo1[[#This Row],[CLASS]],3)</f>
        <v>2.1</v>
      </c>
    </row>
    <row r="3640" spans="1:23" hidden="1">
      <c r="A3640" s="3" t="str">
        <f t="shared" si="56"/>
        <v>Período 1</v>
      </c>
      <c r="B3640">
        <v>58819</v>
      </c>
      <c r="C3640" t="s">
        <v>2010</v>
      </c>
      <c r="D3640" t="s">
        <v>7027</v>
      </c>
      <c r="E3640" s="3" t="str">
        <f>IF(LEN(Base_Periodo1[[#This Row],[CLASS]])&gt;=7,LEFT(Base_Periodo1[[#This Row],[CLASS]],7),"")</f>
        <v>2.1.2.2</v>
      </c>
      <c r="F3640" s="3" t="str">
        <f>VLOOKUP(Base_Periodo1[[#This Row],[Aux]],Base_Contas_Balanco[#All],2,FALSE)</f>
        <v>Fornecedores Não Cooperados</v>
      </c>
      <c r="G3640" s="1">
        <v>42880</v>
      </c>
      <c r="I3640" s="225">
        <v>950</v>
      </c>
      <c r="J3640" s="225">
        <v>1950</v>
      </c>
      <c r="K3640" s="225">
        <v>1000</v>
      </c>
      <c r="L36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</v>
      </c>
      <c r="M3640" s="225">
        <f>ROUND(IF(AND(Base_Periodo1[[#This Row],[Tipo_Linha]]="-",Base_Periodo1[[#This Row],[TIPOSALDO]]="D"),Base_Periodo1[[#This Row],[SALDO_ATUAL]]*-1,Base_Periodo1[[#This Row],[SALDO_ATUAL]]),4)</f>
        <v>1000</v>
      </c>
      <c r="N3640" t="s">
        <v>116</v>
      </c>
      <c r="O3640" t="s">
        <v>436</v>
      </c>
      <c r="P3640" t="s">
        <v>459</v>
      </c>
      <c r="Q3640">
        <v>7</v>
      </c>
      <c r="R3640" s="225">
        <f>Base_Periodo1[[#This Row],[CREDITOS]]-Base_Periodo1[[#This Row],[DEBITOS]]</f>
        <v>1000</v>
      </c>
      <c r="S3640" s="3" t="str">
        <f>IF(ISERROR(VLOOKUP(Base_Periodo1[[#This Row],[CONTA]],BaseContasDRE[#All],4,FALSE)),"Fora do DRE",VLOOKUP(Base_Periodo1[[#This Row],[CONTA]],BaseContasDRE[#All],4,FALSE))</f>
        <v>Fora do DRE</v>
      </c>
      <c r="T3640" s="3" t="str">
        <f>IF(ISERROR(VLOOKUP(Base_Periodo1[[#This Row],[CONTA]],BaseContasDRE[#All],5,FALSE)),"Fora do DRE",VLOOKUP(Base_Periodo1[[#This Row],[CONTA]],BaseContasDRE[#All],6,FALSE))</f>
        <v>Fora do DRE</v>
      </c>
      <c r="U3640" s="3" t="str">
        <f>IF(ISERROR(VLOOKUP(Base_Periodo1[[#This Row],[CONTA]],BaseContasDRE[#All],7,FALSE)),"Fora do DRE",VLOOKUP(Base_Periodo1[[#This Row],[CONTA]],BaseContasDRE[#All],7,FALSE))</f>
        <v>Fora do DRE</v>
      </c>
      <c r="V3640" s="3" t="str">
        <f>IF(Base_Periodo1[[#This Row],[Tipo_Linha]]="Fora do DRE","Fora do DRE","( "&amp;Base_Periodo1[[#This Row],[Tipo_Linha]]&amp;" ) "&amp;Base_Periodo1[[#This Row],[Filtro]])</f>
        <v>Fora do DRE</v>
      </c>
      <c r="W3640" s="3" t="str">
        <f>LEFT(Base_Periodo1[[#This Row],[CLASS]],3)</f>
        <v>2.1</v>
      </c>
    </row>
    <row r="3641" spans="1:23" hidden="1">
      <c r="A3641" s="3" t="str">
        <f t="shared" si="56"/>
        <v>Período 1</v>
      </c>
      <c r="B3641">
        <v>11439</v>
      </c>
      <c r="C3641" t="s">
        <v>2010</v>
      </c>
      <c r="D3641" t="s">
        <v>2073</v>
      </c>
      <c r="E3641" s="3" t="str">
        <f>IF(LEN(Base_Periodo1[[#This Row],[CLASS]])&gt;=7,LEFT(Base_Periodo1[[#This Row],[CLASS]],7),"")</f>
        <v>2.1.2.2</v>
      </c>
      <c r="F3641" s="3" t="str">
        <f>VLOOKUP(Base_Periodo1[[#This Row],[Aux]],Base_Contas_Balanco[#All],2,FALSE)</f>
        <v>Fornecedores Não Cooperados</v>
      </c>
      <c r="G3641" s="1">
        <v>42886</v>
      </c>
      <c r="I3641" s="225">
        <v>1510.1299999999997</v>
      </c>
      <c r="J3641" s="225">
        <v>4780.6100000000006</v>
      </c>
      <c r="K3641" s="225">
        <v>3270.4800000001173</v>
      </c>
      <c r="L36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3270.48</v>
      </c>
      <c r="M3641" s="225">
        <f>ROUND(IF(AND(Base_Periodo1[[#This Row],[Tipo_Linha]]="-",Base_Periodo1[[#This Row],[TIPOSALDO]]="D"),Base_Periodo1[[#This Row],[SALDO_ATUAL]]*-1,Base_Periodo1[[#This Row],[SALDO_ATUAL]]),4)</f>
        <v>3270.48</v>
      </c>
      <c r="N3641" t="s">
        <v>116</v>
      </c>
      <c r="O3641" t="s">
        <v>436</v>
      </c>
      <c r="P3641" t="s">
        <v>459</v>
      </c>
      <c r="Q3641">
        <v>7</v>
      </c>
      <c r="R3641" s="225">
        <f>Base_Periodo1[[#This Row],[CREDITOS]]-Base_Periodo1[[#This Row],[DEBITOS]]</f>
        <v>3270.4800000000009</v>
      </c>
      <c r="S3641" s="3" t="str">
        <f>IF(ISERROR(VLOOKUP(Base_Periodo1[[#This Row],[CONTA]],BaseContasDRE[#All],4,FALSE)),"Fora do DRE",VLOOKUP(Base_Periodo1[[#This Row],[CONTA]],BaseContasDRE[#All],4,FALSE))</f>
        <v>Fora do DRE</v>
      </c>
      <c r="T3641" s="3" t="str">
        <f>IF(ISERROR(VLOOKUP(Base_Periodo1[[#This Row],[CONTA]],BaseContasDRE[#All],5,FALSE)),"Fora do DRE",VLOOKUP(Base_Periodo1[[#This Row],[CONTA]],BaseContasDRE[#All],6,FALSE))</f>
        <v>Fora do DRE</v>
      </c>
      <c r="U3641" s="3" t="str">
        <f>IF(ISERROR(VLOOKUP(Base_Periodo1[[#This Row],[CONTA]],BaseContasDRE[#All],7,FALSE)),"Fora do DRE",VLOOKUP(Base_Periodo1[[#This Row],[CONTA]],BaseContasDRE[#All],7,FALSE))</f>
        <v>Fora do DRE</v>
      </c>
      <c r="V3641" s="3" t="str">
        <f>IF(Base_Periodo1[[#This Row],[Tipo_Linha]]="Fora do DRE","Fora do DRE","( "&amp;Base_Periodo1[[#This Row],[Tipo_Linha]]&amp;" ) "&amp;Base_Periodo1[[#This Row],[Filtro]])</f>
        <v>Fora do DRE</v>
      </c>
      <c r="W3641" s="3" t="str">
        <f>LEFT(Base_Periodo1[[#This Row],[CLASS]],3)</f>
        <v>2.1</v>
      </c>
    </row>
    <row r="3642" spans="1:23" hidden="1">
      <c r="A3642" s="3" t="str">
        <f t="shared" si="56"/>
        <v>Período 1</v>
      </c>
      <c r="B3642">
        <v>36598</v>
      </c>
      <c r="C3642" t="s">
        <v>2010</v>
      </c>
      <c r="D3642" t="s">
        <v>5438</v>
      </c>
      <c r="E3642" s="3" t="str">
        <f>IF(LEN(Base_Periodo1[[#This Row],[CLASS]])&gt;=7,LEFT(Base_Periodo1[[#This Row],[CLASS]],7),"")</f>
        <v>2.1.2.2</v>
      </c>
      <c r="F3642" s="3" t="str">
        <f>VLOOKUP(Base_Periodo1[[#This Row],[Aux]],Base_Contas_Balanco[#All],2,FALSE)</f>
        <v>Fornecedores Não Cooperados</v>
      </c>
      <c r="G3642" s="1">
        <v>42879</v>
      </c>
      <c r="I3642" s="225">
        <v>798.8</v>
      </c>
      <c r="J3642" s="225">
        <v>798.8</v>
      </c>
      <c r="K3642" s="225">
        <v>0</v>
      </c>
      <c r="L36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42" s="225">
        <f>ROUND(IF(AND(Base_Periodo1[[#This Row],[Tipo_Linha]]="-",Base_Periodo1[[#This Row],[TIPOSALDO]]="D"),Base_Periodo1[[#This Row],[SALDO_ATUAL]]*-1,Base_Periodo1[[#This Row],[SALDO_ATUAL]]),4)</f>
        <v>0</v>
      </c>
      <c r="N3642" t="s">
        <v>116</v>
      </c>
      <c r="O3642" t="s">
        <v>436</v>
      </c>
      <c r="P3642" t="s">
        <v>436</v>
      </c>
      <c r="Q3642">
        <v>7</v>
      </c>
      <c r="R3642" s="225">
        <f>Base_Periodo1[[#This Row],[CREDITOS]]-Base_Periodo1[[#This Row],[DEBITOS]]</f>
        <v>0</v>
      </c>
      <c r="S3642" s="3" t="str">
        <f>IF(ISERROR(VLOOKUP(Base_Periodo1[[#This Row],[CONTA]],BaseContasDRE[#All],4,FALSE)),"Fora do DRE",VLOOKUP(Base_Periodo1[[#This Row],[CONTA]],BaseContasDRE[#All],4,FALSE))</f>
        <v>Fora do DRE</v>
      </c>
      <c r="T3642" s="3" t="str">
        <f>IF(ISERROR(VLOOKUP(Base_Periodo1[[#This Row],[CONTA]],BaseContasDRE[#All],5,FALSE)),"Fora do DRE",VLOOKUP(Base_Periodo1[[#This Row],[CONTA]],BaseContasDRE[#All],6,FALSE))</f>
        <v>Fora do DRE</v>
      </c>
      <c r="U3642" s="3" t="str">
        <f>IF(ISERROR(VLOOKUP(Base_Periodo1[[#This Row],[CONTA]],BaseContasDRE[#All],7,FALSE)),"Fora do DRE",VLOOKUP(Base_Periodo1[[#This Row],[CONTA]],BaseContasDRE[#All],7,FALSE))</f>
        <v>Fora do DRE</v>
      </c>
      <c r="V3642" s="3" t="str">
        <f>IF(Base_Periodo1[[#This Row],[Tipo_Linha]]="Fora do DRE","Fora do DRE","( "&amp;Base_Periodo1[[#This Row],[Tipo_Linha]]&amp;" ) "&amp;Base_Periodo1[[#This Row],[Filtro]])</f>
        <v>Fora do DRE</v>
      </c>
      <c r="W3642" s="3" t="str">
        <f>LEFT(Base_Periodo1[[#This Row],[CLASS]],3)</f>
        <v>2.1</v>
      </c>
    </row>
    <row r="3643" spans="1:23" hidden="1">
      <c r="A3643" s="3" t="str">
        <f t="shared" si="56"/>
        <v>Período 1</v>
      </c>
      <c r="B3643">
        <v>12596</v>
      </c>
      <c r="C3643" t="s">
        <v>2010</v>
      </c>
      <c r="D3643" t="s">
        <v>5439</v>
      </c>
      <c r="E3643" s="3" t="str">
        <f>IF(LEN(Base_Periodo1[[#This Row],[CLASS]])&gt;=7,LEFT(Base_Periodo1[[#This Row],[CLASS]],7),"")</f>
        <v>2.1.2.2</v>
      </c>
      <c r="F3643" s="3" t="str">
        <f>VLOOKUP(Base_Periodo1[[#This Row],[Aux]],Base_Contas_Balanco[#All],2,FALSE)</f>
        <v>Fornecedores Não Cooperados</v>
      </c>
      <c r="G3643" s="1">
        <v>42859</v>
      </c>
      <c r="H3643" s="225">
        <v>4960.1900000000023</v>
      </c>
      <c r="I3643" s="225">
        <v>4960.1899999999996</v>
      </c>
      <c r="J3643" s="225">
        <v>0</v>
      </c>
      <c r="K3643" s="225">
        <v>-2.7284841053187847E-12</v>
      </c>
      <c r="L36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43" s="225">
        <f>ROUND(IF(AND(Base_Periodo1[[#This Row],[Tipo_Linha]]="-",Base_Periodo1[[#This Row],[TIPOSALDO]]="D"),Base_Periodo1[[#This Row],[SALDO_ATUAL]]*-1,Base_Periodo1[[#This Row],[SALDO_ATUAL]]),4)</f>
        <v>0</v>
      </c>
      <c r="N3643" t="s">
        <v>116</v>
      </c>
      <c r="O3643" t="s">
        <v>459</v>
      </c>
      <c r="P3643" t="s">
        <v>436</v>
      </c>
      <c r="Q3643">
        <v>7</v>
      </c>
      <c r="R3643" s="225">
        <f>Base_Periodo1[[#This Row],[CREDITOS]]-Base_Periodo1[[#This Row],[DEBITOS]]</f>
        <v>-4960.1899999999996</v>
      </c>
      <c r="S3643" s="3" t="str">
        <f>IF(ISERROR(VLOOKUP(Base_Periodo1[[#This Row],[CONTA]],BaseContasDRE[#All],4,FALSE)),"Fora do DRE",VLOOKUP(Base_Periodo1[[#This Row],[CONTA]],BaseContasDRE[#All],4,FALSE))</f>
        <v>Fora do DRE</v>
      </c>
      <c r="T3643" s="3" t="str">
        <f>IF(ISERROR(VLOOKUP(Base_Periodo1[[#This Row],[CONTA]],BaseContasDRE[#All],5,FALSE)),"Fora do DRE",VLOOKUP(Base_Periodo1[[#This Row],[CONTA]],BaseContasDRE[#All],6,FALSE))</f>
        <v>Fora do DRE</v>
      </c>
      <c r="U3643" s="3" t="str">
        <f>IF(ISERROR(VLOOKUP(Base_Periodo1[[#This Row],[CONTA]],BaseContasDRE[#All],7,FALSE)),"Fora do DRE",VLOOKUP(Base_Periodo1[[#This Row],[CONTA]],BaseContasDRE[#All],7,FALSE))</f>
        <v>Fora do DRE</v>
      </c>
      <c r="V3643" s="3" t="str">
        <f>IF(Base_Periodo1[[#This Row],[Tipo_Linha]]="Fora do DRE","Fora do DRE","( "&amp;Base_Periodo1[[#This Row],[Tipo_Linha]]&amp;" ) "&amp;Base_Periodo1[[#This Row],[Filtro]])</f>
        <v>Fora do DRE</v>
      </c>
      <c r="W3643" s="3" t="str">
        <f>LEFT(Base_Periodo1[[#This Row],[CLASS]],3)</f>
        <v>2.1</v>
      </c>
    </row>
    <row r="3644" spans="1:23" hidden="1">
      <c r="A3644" s="3" t="str">
        <f t="shared" si="56"/>
        <v>Período 1</v>
      </c>
      <c r="B3644">
        <v>51441</v>
      </c>
      <c r="C3644" t="s">
        <v>2010</v>
      </c>
      <c r="D3644" t="s">
        <v>7028</v>
      </c>
      <c r="E3644" s="3" t="str">
        <f>IF(LEN(Base_Periodo1[[#This Row],[CLASS]])&gt;=7,LEFT(Base_Periodo1[[#This Row],[CLASS]],7),"")</f>
        <v>2.1.2.2</v>
      </c>
      <c r="F3644" s="3" t="str">
        <f>VLOOKUP(Base_Periodo1[[#This Row],[Aux]],Base_Contas_Balanco[#All],2,FALSE)</f>
        <v>Fornecedores Não Cooperados</v>
      </c>
      <c r="G3644" s="1">
        <v>42867</v>
      </c>
      <c r="I3644" s="225">
        <v>168</v>
      </c>
      <c r="J3644" s="225">
        <v>168</v>
      </c>
      <c r="K3644" s="225">
        <v>0</v>
      </c>
      <c r="L36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44" s="225">
        <f>ROUND(IF(AND(Base_Periodo1[[#This Row],[Tipo_Linha]]="-",Base_Periodo1[[#This Row],[TIPOSALDO]]="D"),Base_Periodo1[[#This Row],[SALDO_ATUAL]]*-1,Base_Periodo1[[#This Row],[SALDO_ATUAL]]),4)</f>
        <v>0</v>
      </c>
      <c r="N3644" t="s">
        <v>116</v>
      </c>
      <c r="O3644" t="s">
        <v>436</v>
      </c>
      <c r="P3644" t="s">
        <v>436</v>
      </c>
      <c r="Q3644">
        <v>7</v>
      </c>
      <c r="R3644" s="225">
        <f>Base_Periodo1[[#This Row],[CREDITOS]]-Base_Periodo1[[#This Row],[DEBITOS]]</f>
        <v>0</v>
      </c>
      <c r="S3644" s="3" t="str">
        <f>IF(ISERROR(VLOOKUP(Base_Periodo1[[#This Row],[CONTA]],BaseContasDRE[#All],4,FALSE)),"Fora do DRE",VLOOKUP(Base_Periodo1[[#This Row],[CONTA]],BaseContasDRE[#All],4,FALSE))</f>
        <v>Fora do DRE</v>
      </c>
      <c r="T3644" s="3" t="str">
        <f>IF(ISERROR(VLOOKUP(Base_Periodo1[[#This Row],[CONTA]],BaseContasDRE[#All],5,FALSE)),"Fora do DRE",VLOOKUP(Base_Periodo1[[#This Row],[CONTA]],BaseContasDRE[#All],6,FALSE))</f>
        <v>Fora do DRE</v>
      </c>
      <c r="U3644" s="3" t="str">
        <f>IF(ISERROR(VLOOKUP(Base_Periodo1[[#This Row],[CONTA]],BaseContasDRE[#All],7,FALSE)),"Fora do DRE",VLOOKUP(Base_Periodo1[[#This Row],[CONTA]],BaseContasDRE[#All],7,FALSE))</f>
        <v>Fora do DRE</v>
      </c>
      <c r="V3644" s="3" t="str">
        <f>IF(Base_Periodo1[[#This Row],[Tipo_Linha]]="Fora do DRE","Fora do DRE","( "&amp;Base_Periodo1[[#This Row],[Tipo_Linha]]&amp;" ) "&amp;Base_Periodo1[[#This Row],[Filtro]])</f>
        <v>Fora do DRE</v>
      </c>
      <c r="W3644" s="3" t="str">
        <f>LEFT(Base_Periodo1[[#This Row],[CLASS]],3)</f>
        <v>2.1</v>
      </c>
    </row>
    <row r="3645" spans="1:23" hidden="1">
      <c r="A3645" s="3" t="str">
        <f t="shared" si="56"/>
        <v>Período 1</v>
      </c>
      <c r="B3645">
        <v>11567</v>
      </c>
      <c r="C3645" t="s">
        <v>2010</v>
      </c>
      <c r="D3645" t="s">
        <v>6482</v>
      </c>
      <c r="E3645" s="3" t="str">
        <f>IF(LEN(Base_Periodo1[[#This Row],[CLASS]])&gt;=7,LEFT(Base_Periodo1[[#This Row],[CLASS]],7),"")</f>
        <v>2.1.2.2</v>
      </c>
      <c r="F3645" s="3" t="str">
        <f>VLOOKUP(Base_Periodo1[[#This Row],[Aux]],Base_Contas_Balanco[#All],2,FALSE)</f>
        <v>Fornecedores Não Cooperados</v>
      </c>
      <c r="G3645" s="1">
        <v>42870</v>
      </c>
      <c r="H3645" s="225">
        <v>2452.0899999999992</v>
      </c>
      <c r="I3645" s="225">
        <v>2452.09</v>
      </c>
      <c r="J3645" s="225">
        <v>0</v>
      </c>
      <c r="K3645" s="225">
        <v>9.0949470177292824E-13</v>
      </c>
      <c r="L36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45" s="225">
        <f>ROUND(IF(AND(Base_Periodo1[[#This Row],[Tipo_Linha]]="-",Base_Periodo1[[#This Row],[TIPOSALDO]]="D"),Base_Periodo1[[#This Row],[SALDO_ATUAL]]*-1,Base_Periodo1[[#This Row],[SALDO_ATUAL]]),4)</f>
        <v>0</v>
      </c>
      <c r="N3645" t="s">
        <v>116</v>
      </c>
      <c r="O3645" t="s">
        <v>459</v>
      </c>
      <c r="P3645" t="s">
        <v>436</v>
      </c>
      <c r="Q3645">
        <v>7</v>
      </c>
      <c r="R3645" s="225">
        <f>Base_Periodo1[[#This Row],[CREDITOS]]-Base_Periodo1[[#This Row],[DEBITOS]]</f>
        <v>-2452.09</v>
      </c>
      <c r="S3645" s="3" t="str">
        <f>IF(ISERROR(VLOOKUP(Base_Periodo1[[#This Row],[CONTA]],BaseContasDRE[#All],4,FALSE)),"Fora do DRE",VLOOKUP(Base_Periodo1[[#This Row],[CONTA]],BaseContasDRE[#All],4,FALSE))</f>
        <v>Fora do DRE</v>
      </c>
      <c r="T3645" s="3" t="str">
        <f>IF(ISERROR(VLOOKUP(Base_Periodo1[[#This Row],[CONTA]],BaseContasDRE[#All],5,FALSE)),"Fora do DRE",VLOOKUP(Base_Periodo1[[#This Row],[CONTA]],BaseContasDRE[#All],6,FALSE))</f>
        <v>Fora do DRE</v>
      </c>
      <c r="U3645" s="3" t="str">
        <f>IF(ISERROR(VLOOKUP(Base_Periodo1[[#This Row],[CONTA]],BaseContasDRE[#All],7,FALSE)),"Fora do DRE",VLOOKUP(Base_Periodo1[[#This Row],[CONTA]],BaseContasDRE[#All],7,FALSE))</f>
        <v>Fora do DRE</v>
      </c>
      <c r="V3645" s="3" t="str">
        <f>IF(Base_Periodo1[[#This Row],[Tipo_Linha]]="Fora do DRE","Fora do DRE","( "&amp;Base_Periodo1[[#This Row],[Tipo_Linha]]&amp;" ) "&amp;Base_Periodo1[[#This Row],[Filtro]])</f>
        <v>Fora do DRE</v>
      </c>
      <c r="W3645" s="3" t="str">
        <f>LEFT(Base_Periodo1[[#This Row],[CLASS]],3)</f>
        <v>2.1</v>
      </c>
    </row>
    <row r="3646" spans="1:23" hidden="1">
      <c r="A3646" s="3" t="str">
        <f t="shared" si="56"/>
        <v>Período 1</v>
      </c>
      <c r="B3646">
        <v>55342</v>
      </c>
      <c r="C3646" t="s">
        <v>2010</v>
      </c>
      <c r="D3646" t="s">
        <v>6177</v>
      </c>
      <c r="E3646" s="3" t="str">
        <f>IF(LEN(Base_Periodo1[[#This Row],[CLASS]])&gt;=7,LEFT(Base_Periodo1[[#This Row],[CLASS]],7),"")</f>
        <v>2.1.2.2</v>
      </c>
      <c r="F3646" s="3" t="str">
        <f>VLOOKUP(Base_Periodo1[[#This Row],[Aux]],Base_Contas_Balanco[#All],2,FALSE)</f>
        <v>Fornecedores Não Cooperados</v>
      </c>
      <c r="G3646" s="1">
        <v>42872</v>
      </c>
      <c r="I3646" s="225">
        <v>1918.38</v>
      </c>
      <c r="J3646" s="225">
        <v>1918.38</v>
      </c>
      <c r="K3646" s="225">
        <v>0</v>
      </c>
      <c r="L36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46" s="225">
        <f>ROUND(IF(AND(Base_Periodo1[[#This Row],[Tipo_Linha]]="-",Base_Periodo1[[#This Row],[TIPOSALDO]]="D"),Base_Periodo1[[#This Row],[SALDO_ATUAL]]*-1,Base_Periodo1[[#This Row],[SALDO_ATUAL]]),4)</f>
        <v>0</v>
      </c>
      <c r="N3646" t="s">
        <v>116</v>
      </c>
      <c r="O3646" t="s">
        <v>436</v>
      </c>
      <c r="P3646" t="s">
        <v>436</v>
      </c>
      <c r="Q3646">
        <v>7</v>
      </c>
      <c r="R3646" s="225">
        <f>Base_Periodo1[[#This Row],[CREDITOS]]-Base_Periodo1[[#This Row],[DEBITOS]]</f>
        <v>0</v>
      </c>
      <c r="S3646" s="3" t="str">
        <f>IF(ISERROR(VLOOKUP(Base_Periodo1[[#This Row],[CONTA]],BaseContasDRE[#All],4,FALSE)),"Fora do DRE",VLOOKUP(Base_Periodo1[[#This Row],[CONTA]],BaseContasDRE[#All],4,FALSE))</f>
        <v>Fora do DRE</v>
      </c>
      <c r="T3646" s="3" t="str">
        <f>IF(ISERROR(VLOOKUP(Base_Periodo1[[#This Row],[CONTA]],BaseContasDRE[#All],5,FALSE)),"Fora do DRE",VLOOKUP(Base_Periodo1[[#This Row],[CONTA]],BaseContasDRE[#All],6,FALSE))</f>
        <v>Fora do DRE</v>
      </c>
      <c r="U3646" s="3" t="str">
        <f>IF(ISERROR(VLOOKUP(Base_Periodo1[[#This Row],[CONTA]],BaseContasDRE[#All],7,FALSE)),"Fora do DRE",VLOOKUP(Base_Periodo1[[#This Row],[CONTA]],BaseContasDRE[#All],7,FALSE))</f>
        <v>Fora do DRE</v>
      </c>
      <c r="V3646" s="3" t="str">
        <f>IF(Base_Periodo1[[#This Row],[Tipo_Linha]]="Fora do DRE","Fora do DRE","( "&amp;Base_Periodo1[[#This Row],[Tipo_Linha]]&amp;" ) "&amp;Base_Periodo1[[#This Row],[Filtro]])</f>
        <v>Fora do DRE</v>
      </c>
      <c r="W3646" s="3" t="str">
        <f>LEFT(Base_Periodo1[[#This Row],[CLASS]],3)</f>
        <v>2.1</v>
      </c>
    </row>
    <row r="3647" spans="1:23" hidden="1">
      <c r="A3647" s="3" t="str">
        <f t="shared" si="56"/>
        <v>Período 1</v>
      </c>
      <c r="B3647">
        <v>7306</v>
      </c>
      <c r="C3647" t="s">
        <v>2010</v>
      </c>
      <c r="D3647" t="s">
        <v>7029</v>
      </c>
      <c r="E3647" s="3" t="str">
        <f>IF(LEN(Base_Periodo1[[#This Row],[CLASS]])&gt;=7,LEFT(Base_Periodo1[[#This Row],[CLASS]],7),"")</f>
        <v>2.1.2.2</v>
      </c>
      <c r="F3647" s="3" t="str">
        <f>VLOOKUP(Base_Periodo1[[#This Row],[Aux]],Base_Contas_Balanco[#All],2,FALSE)</f>
        <v>Fornecedores Não Cooperados</v>
      </c>
      <c r="G3647" s="1">
        <v>42873</v>
      </c>
      <c r="I3647" s="225">
        <v>589.91</v>
      </c>
      <c r="J3647" s="225">
        <v>589.91</v>
      </c>
      <c r="K3647" s="225">
        <v>7.2759576141834259E-12</v>
      </c>
      <c r="L36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47" s="225">
        <f>ROUND(IF(AND(Base_Periodo1[[#This Row],[Tipo_Linha]]="-",Base_Periodo1[[#This Row],[TIPOSALDO]]="D"),Base_Periodo1[[#This Row],[SALDO_ATUAL]]*-1,Base_Periodo1[[#This Row],[SALDO_ATUAL]]),4)</f>
        <v>0</v>
      </c>
      <c r="N3647" t="s">
        <v>116</v>
      </c>
      <c r="O3647" t="s">
        <v>436</v>
      </c>
      <c r="P3647" t="s">
        <v>436</v>
      </c>
      <c r="Q3647">
        <v>7</v>
      </c>
      <c r="R3647" s="225">
        <f>Base_Periodo1[[#This Row],[CREDITOS]]-Base_Periodo1[[#This Row],[DEBITOS]]</f>
        <v>0</v>
      </c>
      <c r="S3647" s="3" t="str">
        <f>IF(ISERROR(VLOOKUP(Base_Periodo1[[#This Row],[CONTA]],BaseContasDRE[#All],4,FALSE)),"Fora do DRE",VLOOKUP(Base_Periodo1[[#This Row],[CONTA]],BaseContasDRE[#All],4,FALSE))</f>
        <v>Fora do DRE</v>
      </c>
      <c r="T3647" s="3" t="str">
        <f>IF(ISERROR(VLOOKUP(Base_Periodo1[[#This Row],[CONTA]],BaseContasDRE[#All],5,FALSE)),"Fora do DRE",VLOOKUP(Base_Periodo1[[#This Row],[CONTA]],BaseContasDRE[#All],6,FALSE))</f>
        <v>Fora do DRE</v>
      </c>
      <c r="U3647" s="3" t="str">
        <f>IF(ISERROR(VLOOKUP(Base_Periodo1[[#This Row],[CONTA]],BaseContasDRE[#All],7,FALSE)),"Fora do DRE",VLOOKUP(Base_Periodo1[[#This Row],[CONTA]],BaseContasDRE[#All],7,FALSE))</f>
        <v>Fora do DRE</v>
      </c>
      <c r="V3647" s="3" t="str">
        <f>IF(Base_Periodo1[[#This Row],[Tipo_Linha]]="Fora do DRE","Fora do DRE","( "&amp;Base_Periodo1[[#This Row],[Tipo_Linha]]&amp;" ) "&amp;Base_Periodo1[[#This Row],[Filtro]])</f>
        <v>Fora do DRE</v>
      </c>
      <c r="W3647" s="3" t="str">
        <f>LEFT(Base_Periodo1[[#This Row],[CLASS]],3)</f>
        <v>2.1</v>
      </c>
    </row>
    <row r="3648" spans="1:23" hidden="1">
      <c r="A3648" s="3" t="str">
        <f t="shared" si="56"/>
        <v>Período 1</v>
      </c>
      <c r="B3648">
        <v>48990</v>
      </c>
      <c r="C3648" t="s">
        <v>2010</v>
      </c>
      <c r="D3648" t="s">
        <v>7030</v>
      </c>
      <c r="E3648" s="3" t="str">
        <f>IF(LEN(Base_Periodo1[[#This Row],[CLASS]])&gt;=7,LEFT(Base_Periodo1[[#This Row],[CLASS]],7),"")</f>
        <v>2.1.2.2</v>
      </c>
      <c r="F3648" s="3" t="str">
        <f>VLOOKUP(Base_Periodo1[[#This Row],[Aux]],Base_Contas_Balanco[#All],2,FALSE)</f>
        <v>Fornecedores Não Cooperados</v>
      </c>
      <c r="G3648" s="1">
        <v>42864</v>
      </c>
      <c r="I3648" s="225">
        <v>30</v>
      </c>
      <c r="J3648" s="225">
        <v>30</v>
      </c>
      <c r="K3648" s="225">
        <v>0</v>
      </c>
      <c r="L36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48" s="225">
        <f>ROUND(IF(AND(Base_Periodo1[[#This Row],[Tipo_Linha]]="-",Base_Periodo1[[#This Row],[TIPOSALDO]]="D"),Base_Periodo1[[#This Row],[SALDO_ATUAL]]*-1,Base_Periodo1[[#This Row],[SALDO_ATUAL]]),4)</f>
        <v>0</v>
      </c>
      <c r="N3648" t="s">
        <v>116</v>
      </c>
      <c r="O3648" t="s">
        <v>436</v>
      </c>
      <c r="P3648" t="s">
        <v>436</v>
      </c>
      <c r="Q3648">
        <v>7</v>
      </c>
      <c r="R3648" s="225">
        <f>Base_Periodo1[[#This Row],[CREDITOS]]-Base_Periodo1[[#This Row],[DEBITOS]]</f>
        <v>0</v>
      </c>
      <c r="S3648" s="3" t="str">
        <f>IF(ISERROR(VLOOKUP(Base_Periodo1[[#This Row],[CONTA]],BaseContasDRE[#All],4,FALSE)),"Fora do DRE",VLOOKUP(Base_Periodo1[[#This Row],[CONTA]],BaseContasDRE[#All],4,FALSE))</f>
        <v>Fora do DRE</v>
      </c>
      <c r="T3648" s="3" t="str">
        <f>IF(ISERROR(VLOOKUP(Base_Periodo1[[#This Row],[CONTA]],BaseContasDRE[#All],5,FALSE)),"Fora do DRE",VLOOKUP(Base_Periodo1[[#This Row],[CONTA]],BaseContasDRE[#All],6,FALSE))</f>
        <v>Fora do DRE</v>
      </c>
      <c r="U3648" s="3" t="str">
        <f>IF(ISERROR(VLOOKUP(Base_Periodo1[[#This Row],[CONTA]],BaseContasDRE[#All],7,FALSE)),"Fora do DRE",VLOOKUP(Base_Periodo1[[#This Row],[CONTA]],BaseContasDRE[#All],7,FALSE))</f>
        <v>Fora do DRE</v>
      </c>
      <c r="V3648" s="3" t="str">
        <f>IF(Base_Periodo1[[#This Row],[Tipo_Linha]]="Fora do DRE","Fora do DRE","( "&amp;Base_Periodo1[[#This Row],[Tipo_Linha]]&amp;" ) "&amp;Base_Periodo1[[#This Row],[Filtro]])</f>
        <v>Fora do DRE</v>
      </c>
      <c r="W3648" s="3" t="str">
        <f>LEFT(Base_Periodo1[[#This Row],[CLASS]],3)</f>
        <v>2.1</v>
      </c>
    </row>
    <row r="3649" spans="1:23" hidden="1">
      <c r="A3649" s="3" t="str">
        <f t="shared" si="56"/>
        <v>Período 1</v>
      </c>
      <c r="B3649">
        <v>40421</v>
      </c>
      <c r="C3649" t="s">
        <v>2010</v>
      </c>
      <c r="D3649" t="s">
        <v>7031</v>
      </c>
      <c r="E3649" s="3" t="str">
        <f>IF(LEN(Base_Periodo1[[#This Row],[CLASS]])&gt;=7,LEFT(Base_Periodo1[[#This Row],[CLASS]],7),"")</f>
        <v>2.1.2.2</v>
      </c>
      <c r="F3649" s="3" t="str">
        <f>VLOOKUP(Base_Periodo1[[#This Row],[Aux]],Base_Contas_Balanco[#All],2,FALSE)</f>
        <v>Fornecedores Não Cooperados</v>
      </c>
      <c r="G3649" s="1">
        <v>42877</v>
      </c>
      <c r="I3649" s="225">
        <v>4575.71</v>
      </c>
      <c r="J3649" s="225">
        <v>4575.71</v>
      </c>
      <c r="K3649" s="225">
        <v>0</v>
      </c>
      <c r="L36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49" s="225">
        <f>ROUND(IF(AND(Base_Periodo1[[#This Row],[Tipo_Linha]]="-",Base_Periodo1[[#This Row],[TIPOSALDO]]="D"),Base_Periodo1[[#This Row],[SALDO_ATUAL]]*-1,Base_Periodo1[[#This Row],[SALDO_ATUAL]]),4)</f>
        <v>0</v>
      </c>
      <c r="N3649" t="s">
        <v>116</v>
      </c>
      <c r="O3649" t="s">
        <v>436</v>
      </c>
      <c r="P3649" t="s">
        <v>436</v>
      </c>
      <c r="Q3649">
        <v>7</v>
      </c>
      <c r="R3649" s="225">
        <f>Base_Periodo1[[#This Row],[CREDITOS]]-Base_Periodo1[[#This Row],[DEBITOS]]</f>
        <v>0</v>
      </c>
      <c r="S3649" s="3" t="str">
        <f>IF(ISERROR(VLOOKUP(Base_Periodo1[[#This Row],[CONTA]],BaseContasDRE[#All],4,FALSE)),"Fora do DRE",VLOOKUP(Base_Periodo1[[#This Row],[CONTA]],BaseContasDRE[#All],4,FALSE))</f>
        <v>Fora do DRE</v>
      </c>
      <c r="T3649" s="3" t="str">
        <f>IF(ISERROR(VLOOKUP(Base_Periodo1[[#This Row],[CONTA]],BaseContasDRE[#All],5,FALSE)),"Fora do DRE",VLOOKUP(Base_Periodo1[[#This Row],[CONTA]],BaseContasDRE[#All],6,FALSE))</f>
        <v>Fora do DRE</v>
      </c>
      <c r="U3649" s="3" t="str">
        <f>IF(ISERROR(VLOOKUP(Base_Periodo1[[#This Row],[CONTA]],BaseContasDRE[#All],7,FALSE)),"Fora do DRE",VLOOKUP(Base_Periodo1[[#This Row],[CONTA]],BaseContasDRE[#All],7,FALSE))</f>
        <v>Fora do DRE</v>
      </c>
      <c r="V3649" s="3" t="str">
        <f>IF(Base_Periodo1[[#This Row],[Tipo_Linha]]="Fora do DRE","Fora do DRE","( "&amp;Base_Periodo1[[#This Row],[Tipo_Linha]]&amp;" ) "&amp;Base_Periodo1[[#This Row],[Filtro]])</f>
        <v>Fora do DRE</v>
      </c>
      <c r="W3649" s="3" t="str">
        <f>LEFT(Base_Periodo1[[#This Row],[CLASS]],3)</f>
        <v>2.1</v>
      </c>
    </row>
    <row r="3650" spans="1:23" hidden="1">
      <c r="A3650" s="3" t="str">
        <f t="shared" si="56"/>
        <v>Período 1</v>
      </c>
      <c r="B3650">
        <v>49722</v>
      </c>
      <c r="C3650" t="s">
        <v>2010</v>
      </c>
      <c r="D3650" t="s">
        <v>6483</v>
      </c>
      <c r="E3650" s="3" t="str">
        <f>IF(LEN(Base_Periodo1[[#This Row],[CLASS]])&gt;=7,LEFT(Base_Periodo1[[#This Row],[CLASS]],7),"")</f>
        <v>2.1.2.2</v>
      </c>
      <c r="F3650" s="3" t="str">
        <f>VLOOKUP(Base_Periodo1[[#This Row],[Aux]],Base_Contas_Balanco[#All],2,FALSE)</f>
        <v>Fornecedores Não Cooperados</v>
      </c>
      <c r="G3650" s="1">
        <v>42873</v>
      </c>
      <c r="H3650" s="225">
        <v>2310.6100000000079</v>
      </c>
      <c r="I3650" s="225">
        <v>14069.170000000002</v>
      </c>
      <c r="J3650" s="225">
        <v>11758.56</v>
      </c>
      <c r="K3650" s="225">
        <v>-5.4569682106375694E-12</v>
      </c>
      <c r="L36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50" s="225">
        <f>ROUND(IF(AND(Base_Periodo1[[#This Row],[Tipo_Linha]]="-",Base_Periodo1[[#This Row],[TIPOSALDO]]="D"),Base_Periodo1[[#This Row],[SALDO_ATUAL]]*-1,Base_Periodo1[[#This Row],[SALDO_ATUAL]]),4)</f>
        <v>0</v>
      </c>
      <c r="N3650" t="s">
        <v>116</v>
      </c>
      <c r="O3650" t="s">
        <v>459</v>
      </c>
      <c r="P3650" t="s">
        <v>436</v>
      </c>
      <c r="Q3650">
        <v>7</v>
      </c>
      <c r="R3650" s="225">
        <f>Base_Periodo1[[#This Row],[CREDITOS]]-Base_Periodo1[[#This Row],[DEBITOS]]</f>
        <v>-2310.6100000000024</v>
      </c>
      <c r="S3650" s="3" t="str">
        <f>IF(ISERROR(VLOOKUP(Base_Periodo1[[#This Row],[CONTA]],BaseContasDRE[#All],4,FALSE)),"Fora do DRE",VLOOKUP(Base_Periodo1[[#This Row],[CONTA]],BaseContasDRE[#All],4,FALSE))</f>
        <v>Fora do DRE</v>
      </c>
      <c r="T3650" s="3" t="str">
        <f>IF(ISERROR(VLOOKUP(Base_Periodo1[[#This Row],[CONTA]],BaseContasDRE[#All],5,FALSE)),"Fora do DRE",VLOOKUP(Base_Periodo1[[#This Row],[CONTA]],BaseContasDRE[#All],6,FALSE))</f>
        <v>Fora do DRE</v>
      </c>
      <c r="U3650" s="3" t="str">
        <f>IF(ISERROR(VLOOKUP(Base_Periodo1[[#This Row],[CONTA]],BaseContasDRE[#All],7,FALSE)),"Fora do DRE",VLOOKUP(Base_Periodo1[[#This Row],[CONTA]],BaseContasDRE[#All],7,FALSE))</f>
        <v>Fora do DRE</v>
      </c>
      <c r="V3650" s="3" t="str">
        <f>IF(Base_Periodo1[[#This Row],[Tipo_Linha]]="Fora do DRE","Fora do DRE","( "&amp;Base_Periodo1[[#This Row],[Tipo_Linha]]&amp;" ) "&amp;Base_Periodo1[[#This Row],[Filtro]])</f>
        <v>Fora do DRE</v>
      </c>
      <c r="W3650" s="3" t="str">
        <f>LEFT(Base_Periodo1[[#This Row],[CLASS]],3)</f>
        <v>2.1</v>
      </c>
    </row>
    <row r="3651" spans="1:23" hidden="1">
      <c r="A3651" s="3" t="str">
        <f t="shared" si="56"/>
        <v>Período 1</v>
      </c>
      <c r="B3651">
        <v>16538</v>
      </c>
      <c r="C3651" t="s">
        <v>2010</v>
      </c>
      <c r="D3651" t="s">
        <v>7032</v>
      </c>
      <c r="E3651" s="3" t="str">
        <f>IF(LEN(Base_Periodo1[[#This Row],[CLASS]])&gt;=7,LEFT(Base_Periodo1[[#This Row],[CLASS]],7),"")</f>
        <v>2.1.2.2</v>
      </c>
      <c r="F3651" s="3" t="str">
        <f>VLOOKUP(Base_Periodo1[[#This Row],[Aux]],Base_Contas_Balanco[#All],2,FALSE)</f>
        <v>Fornecedores Não Cooperados</v>
      </c>
      <c r="G3651" s="1">
        <v>42871</v>
      </c>
      <c r="I3651" s="225">
        <v>5000</v>
      </c>
      <c r="J3651" s="225">
        <v>5000</v>
      </c>
      <c r="K3651" s="225">
        <v>0</v>
      </c>
      <c r="L36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51" s="225">
        <f>ROUND(IF(AND(Base_Periodo1[[#This Row],[Tipo_Linha]]="-",Base_Periodo1[[#This Row],[TIPOSALDO]]="D"),Base_Periodo1[[#This Row],[SALDO_ATUAL]]*-1,Base_Periodo1[[#This Row],[SALDO_ATUAL]]),4)</f>
        <v>0</v>
      </c>
      <c r="N3651" t="s">
        <v>116</v>
      </c>
      <c r="O3651" t="s">
        <v>436</v>
      </c>
      <c r="P3651" t="s">
        <v>436</v>
      </c>
      <c r="Q3651">
        <v>7</v>
      </c>
      <c r="R3651" s="225">
        <f>Base_Periodo1[[#This Row],[CREDITOS]]-Base_Periodo1[[#This Row],[DEBITOS]]</f>
        <v>0</v>
      </c>
      <c r="S3651" s="3" t="str">
        <f>IF(ISERROR(VLOOKUP(Base_Periodo1[[#This Row],[CONTA]],BaseContasDRE[#All],4,FALSE)),"Fora do DRE",VLOOKUP(Base_Periodo1[[#This Row],[CONTA]],BaseContasDRE[#All],4,FALSE))</f>
        <v>Fora do DRE</v>
      </c>
      <c r="T3651" s="3" t="str">
        <f>IF(ISERROR(VLOOKUP(Base_Periodo1[[#This Row],[CONTA]],BaseContasDRE[#All],5,FALSE)),"Fora do DRE",VLOOKUP(Base_Periodo1[[#This Row],[CONTA]],BaseContasDRE[#All],6,FALSE))</f>
        <v>Fora do DRE</v>
      </c>
      <c r="U3651" s="3" t="str">
        <f>IF(ISERROR(VLOOKUP(Base_Periodo1[[#This Row],[CONTA]],BaseContasDRE[#All],7,FALSE)),"Fora do DRE",VLOOKUP(Base_Periodo1[[#This Row],[CONTA]],BaseContasDRE[#All],7,FALSE))</f>
        <v>Fora do DRE</v>
      </c>
      <c r="V3651" s="3" t="str">
        <f>IF(Base_Periodo1[[#This Row],[Tipo_Linha]]="Fora do DRE","Fora do DRE","( "&amp;Base_Periodo1[[#This Row],[Tipo_Linha]]&amp;" ) "&amp;Base_Periodo1[[#This Row],[Filtro]])</f>
        <v>Fora do DRE</v>
      </c>
      <c r="W3651" s="3" t="str">
        <f>LEFT(Base_Periodo1[[#This Row],[CLASS]],3)</f>
        <v>2.1</v>
      </c>
    </row>
    <row r="3652" spans="1:23" hidden="1">
      <c r="A3652" s="3" t="str">
        <f t="shared" si="56"/>
        <v>Período 1</v>
      </c>
      <c r="B3652">
        <v>58490</v>
      </c>
      <c r="C3652" t="s">
        <v>2010</v>
      </c>
      <c r="D3652" t="s">
        <v>6484</v>
      </c>
      <c r="E3652" s="3" t="str">
        <f>IF(LEN(Base_Periodo1[[#This Row],[CLASS]])&gt;=7,LEFT(Base_Periodo1[[#This Row],[CLASS]],7),"")</f>
        <v>2.1.2.2</v>
      </c>
      <c r="F3652" s="3" t="str">
        <f>VLOOKUP(Base_Periodo1[[#This Row],[Aux]],Base_Contas_Balanco[#All],2,FALSE)</f>
        <v>Fornecedores Não Cooperados</v>
      </c>
      <c r="G3652" s="1">
        <v>42858</v>
      </c>
      <c r="H3652" s="225">
        <v>8272.17</v>
      </c>
      <c r="I3652" s="225">
        <v>8272.17</v>
      </c>
      <c r="J3652" s="225">
        <v>0</v>
      </c>
      <c r="K3652" s="225">
        <v>0</v>
      </c>
      <c r="L36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52" s="225">
        <f>ROUND(IF(AND(Base_Periodo1[[#This Row],[Tipo_Linha]]="-",Base_Periodo1[[#This Row],[TIPOSALDO]]="D"),Base_Periodo1[[#This Row],[SALDO_ATUAL]]*-1,Base_Periodo1[[#This Row],[SALDO_ATUAL]]),4)</f>
        <v>0</v>
      </c>
      <c r="N3652" t="s">
        <v>116</v>
      </c>
      <c r="O3652" t="s">
        <v>459</v>
      </c>
      <c r="P3652" t="s">
        <v>436</v>
      </c>
      <c r="Q3652">
        <v>7</v>
      </c>
      <c r="R3652" s="225">
        <f>Base_Periodo1[[#This Row],[CREDITOS]]-Base_Periodo1[[#This Row],[DEBITOS]]</f>
        <v>-8272.17</v>
      </c>
      <c r="S3652" s="3" t="str">
        <f>IF(ISERROR(VLOOKUP(Base_Periodo1[[#This Row],[CONTA]],BaseContasDRE[#All],4,FALSE)),"Fora do DRE",VLOOKUP(Base_Periodo1[[#This Row],[CONTA]],BaseContasDRE[#All],4,FALSE))</f>
        <v>Fora do DRE</v>
      </c>
      <c r="T3652" s="3" t="str">
        <f>IF(ISERROR(VLOOKUP(Base_Periodo1[[#This Row],[CONTA]],BaseContasDRE[#All],5,FALSE)),"Fora do DRE",VLOOKUP(Base_Periodo1[[#This Row],[CONTA]],BaseContasDRE[#All],6,FALSE))</f>
        <v>Fora do DRE</v>
      </c>
      <c r="U3652" s="3" t="str">
        <f>IF(ISERROR(VLOOKUP(Base_Periodo1[[#This Row],[CONTA]],BaseContasDRE[#All],7,FALSE)),"Fora do DRE",VLOOKUP(Base_Periodo1[[#This Row],[CONTA]],BaseContasDRE[#All],7,FALSE))</f>
        <v>Fora do DRE</v>
      </c>
      <c r="V3652" s="3" t="str">
        <f>IF(Base_Periodo1[[#This Row],[Tipo_Linha]]="Fora do DRE","Fora do DRE","( "&amp;Base_Periodo1[[#This Row],[Tipo_Linha]]&amp;" ) "&amp;Base_Periodo1[[#This Row],[Filtro]])</f>
        <v>Fora do DRE</v>
      </c>
      <c r="W3652" s="3" t="str">
        <f>LEFT(Base_Periodo1[[#This Row],[CLASS]],3)</f>
        <v>2.1</v>
      </c>
    </row>
    <row r="3653" spans="1:23" hidden="1">
      <c r="A3653" s="3" t="str">
        <f t="shared" si="56"/>
        <v>Período 1</v>
      </c>
      <c r="B3653">
        <v>42836</v>
      </c>
      <c r="C3653" t="s">
        <v>2010</v>
      </c>
      <c r="D3653" t="s">
        <v>6850</v>
      </c>
      <c r="E3653" s="3" t="str">
        <f>IF(LEN(Base_Periodo1[[#This Row],[CLASS]])&gt;=7,LEFT(Base_Periodo1[[#This Row],[CLASS]],7),"")</f>
        <v>2.1.2.2</v>
      </c>
      <c r="F3653" s="3" t="str">
        <f>VLOOKUP(Base_Periodo1[[#This Row],[Aux]],Base_Contas_Balanco[#All],2,FALSE)</f>
        <v>Fornecedores Não Cooperados</v>
      </c>
      <c r="G3653" s="1">
        <v>42884</v>
      </c>
      <c r="I3653" s="225">
        <v>4726.53</v>
      </c>
      <c r="J3653" s="225">
        <v>4726.53</v>
      </c>
      <c r="K3653" s="225">
        <v>0</v>
      </c>
      <c r="L36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53" s="225">
        <f>ROUND(IF(AND(Base_Periodo1[[#This Row],[Tipo_Linha]]="-",Base_Periodo1[[#This Row],[TIPOSALDO]]="D"),Base_Periodo1[[#This Row],[SALDO_ATUAL]]*-1,Base_Periodo1[[#This Row],[SALDO_ATUAL]]),4)</f>
        <v>0</v>
      </c>
      <c r="N3653" t="s">
        <v>116</v>
      </c>
      <c r="O3653" t="s">
        <v>436</v>
      </c>
      <c r="P3653" t="s">
        <v>436</v>
      </c>
      <c r="Q3653">
        <v>7</v>
      </c>
      <c r="R3653" s="225">
        <f>Base_Periodo1[[#This Row],[CREDITOS]]-Base_Periodo1[[#This Row],[DEBITOS]]</f>
        <v>0</v>
      </c>
      <c r="S3653" s="3" t="str">
        <f>IF(ISERROR(VLOOKUP(Base_Periodo1[[#This Row],[CONTA]],BaseContasDRE[#All],4,FALSE)),"Fora do DRE",VLOOKUP(Base_Periodo1[[#This Row],[CONTA]],BaseContasDRE[#All],4,FALSE))</f>
        <v>Fora do DRE</v>
      </c>
      <c r="T3653" s="3" t="str">
        <f>IF(ISERROR(VLOOKUP(Base_Periodo1[[#This Row],[CONTA]],BaseContasDRE[#All],5,FALSE)),"Fora do DRE",VLOOKUP(Base_Periodo1[[#This Row],[CONTA]],BaseContasDRE[#All],6,FALSE))</f>
        <v>Fora do DRE</v>
      </c>
      <c r="U3653" s="3" t="str">
        <f>IF(ISERROR(VLOOKUP(Base_Periodo1[[#This Row],[CONTA]],BaseContasDRE[#All],7,FALSE)),"Fora do DRE",VLOOKUP(Base_Periodo1[[#This Row],[CONTA]],BaseContasDRE[#All],7,FALSE))</f>
        <v>Fora do DRE</v>
      </c>
      <c r="V3653" s="3" t="str">
        <f>IF(Base_Periodo1[[#This Row],[Tipo_Linha]]="Fora do DRE","Fora do DRE","( "&amp;Base_Periodo1[[#This Row],[Tipo_Linha]]&amp;" ) "&amp;Base_Periodo1[[#This Row],[Filtro]])</f>
        <v>Fora do DRE</v>
      </c>
      <c r="W3653" s="3" t="str">
        <f>LEFT(Base_Periodo1[[#This Row],[CLASS]],3)</f>
        <v>2.1</v>
      </c>
    </row>
    <row r="3654" spans="1:23" hidden="1">
      <c r="A3654" s="3" t="str">
        <f t="shared" ref="A3654:A3717" si="57">"Período 1"</f>
        <v>Período 1</v>
      </c>
      <c r="B3654">
        <v>48084</v>
      </c>
      <c r="C3654" t="s">
        <v>2010</v>
      </c>
      <c r="D3654" t="s">
        <v>6485</v>
      </c>
      <c r="E3654" s="3" t="str">
        <f>IF(LEN(Base_Periodo1[[#This Row],[CLASS]])&gt;=7,LEFT(Base_Periodo1[[#This Row],[CLASS]],7),"")</f>
        <v>2.1.2.2</v>
      </c>
      <c r="F3654" s="3" t="str">
        <f>VLOOKUP(Base_Periodo1[[#This Row],[Aux]],Base_Contas_Balanco[#All],2,FALSE)</f>
        <v>Fornecedores Não Cooperados</v>
      </c>
      <c r="G3654" s="1">
        <v>42880</v>
      </c>
      <c r="H3654" s="225">
        <v>110.26000000000022</v>
      </c>
      <c r="I3654" s="225">
        <v>110.26</v>
      </c>
      <c r="J3654" s="225">
        <v>94</v>
      </c>
      <c r="K3654" s="225">
        <v>94.000000000000213</v>
      </c>
      <c r="L36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</v>
      </c>
      <c r="M3654" s="225">
        <f>ROUND(IF(AND(Base_Periodo1[[#This Row],[Tipo_Linha]]="-",Base_Periodo1[[#This Row],[TIPOSALDO]]="D"),Base_Periodo1[[#This Row],[SALDO_ATUAL]]*-1,Base_Periodo1[[#This Row],[SALDO_ATUAL]]),4)</f>
        <v>94</v>
      </c>
      <c r="N3654" t="s">
        <v>116</v>
      </c>
      <c r="O3654" t="s">
        <v>459</v>
      </c>
      <c r="P3654" t="s">
        <v>459</v>
      </c>
      <c r="Q3654">
        <v>7</v>
      </c>
      <c r="R3654" s="225">
        <f>Base_Periodo1[[#This Row],[CREDITOS]]-Base_Periodo1[[#This Row],[DEBITOS]]</f>
        <v>-16.260000000000005</v>
      </c>
      <c r="S3654" s="3" t="str">
        <f>IF(ISERROR(VLOOKUP(Base_Periodo1[[#This Row],[CONTA]],BaseContasDRE[#All],4,FALSE)),"Fora do DRE",VLOOKUP(Base_Periodo1[[#This Row],[CONTA]],BaseContasDRE[#All],4,FALSE))</f>
        <v>Fora do DRE</v>
      </c>
      <c r="T3654" s="3" t="str">
        <f>IF(ISERROR(VLOOKUP(Base_Periodo1[[#This Row],[CONTA]],BaseContasDRE[#All],5,FALSE)),"Fora do DRE",VLOOKUP(Base_Periodo1[[#This Row],[CONTA]],BaseContasDRE[#All],6,FALSE))</f>
        <v>Fora do DRE</v>
      </c>
      <c r="U3654" s="3" t="str">
        <f>IF(ISERROR(VLOOKUP(Base_Periodo1[[#This Row],[CONTA]],BaseContasDRE[#All],7,FALSE)),"Fora do DRE",VLOOKUP(Base_Periodo1[[#This Row],[CONTA]],BaseContasDRE[#All],7,FALSE))</f>
        <v>Fora do DRE</v>
      </c>
      <c r="V3654" s="3" t="str">
        <f>IF(Base_Periodo1[[#This Row],[Tipo_Linha]]="Fora do DRE","Fora do DRE","( "&amp;Base_Periodo1[[#This Row],[Tipo_Linha]]&amp;" ) "&amp;Base_Periodo1[[#This Row],[Filtro]])</f>
        <v>Fora do DRE</v>
      </c>
      <c r="W3654" s="3" t="str">
        <f>LEFT(Base_Periodo1[[#This Row],[CLASS]],3)</f>
        <v>2.1</v>
      </c>
    </row>
    <row r="3655" spans="1:23" hidden="1">
      <c r="A3655" s="3" t="str">
        <f t="shared" si="57"/>
        <v>Período 1</v>
      </c>
      <c r="B3655">
        <v>48138</v>
      </c>
      <c r="C3655" t="s">
        <v>2010</v>
      </c>
      <c r="D3655" t="s">
        <v>5023</v>
      </c>
      <c r="E3655" s="3" t="str">
        <f>IF(LEN(Base_Periodo1[[#This Row],[CLASS]])&gt;=7,LEFT(Base_Periodo1[[#This Row],[CLASS]],7),"")</f>
        <v>2.1.2.2</v>
      </c>
      <c r="F3655" s="3" t="str">
        <f>VLOOKUP(Base_Periodo1[[#This Row],[Aux]],Base_Contas_Balanco[#All],2,FALSE)</f>
        <v>Fornecedores Não Cooperados</v>
      </c>
      <c r="G3655" s="1">
        <v>42657</v>
      </c>
      <c r="H3655" s="225">
        <v>160470</v>
      </c>
      <c r="I3655" s="225">
        <v>0</v>
      </c>
      <c r="J3655" s="225">
        <v>0</v>
      </c>
      <c r="K3655" s="225">
        <v>160470</v>
      </c>
      <c r="L36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160470</v>
      </c>
      <c r="M3655" s="225">
        <f>ROUND(IF(AND(Base_Periodo1[[#This Row],[Tipo_Linha]]="-",Base_Periodo1[[#This Row],[TIPOSALDO]]="D"),Base_Periodo1[[#This Row],[SALDO_ATUAL]]*-1,Base_Periodo1[[#This Row],[SALDO_ATUAL]]),4)</f>
        <v>160470</v>
      </c>
      <c r="N3655" t="s">
        <v>116</v>
      </c>
      <c r="O3655" t="s">
        <v>459</v>
      </c>
      <c r="P3655" t="s">
        <v>459</v>
      </c>
      <c r="Q3655">
        <v>7</v>
      </c>
      <c r="R3655" s="225">
        <f>Base_Periodo1[[#This Row],[CREDITOS]]-Base_Periodo1[[#This Row],[DEBITOS]]</f>
        <v>0</v>
      </c>
      <c r="S3655" s="3" t="str">
        <f>IF(ISERROR(VLOOKUP(Base_Periodo1[[#This Row],[CONTA]],BaseContasDRE[#All],4,FALSE)),"Fora do DRE",VLOOKUP(Base_Periodo1[[#This Row],[CONTA]],BaseContasDRE[#All],4,FALSE))</f>
        <v>Fora do DRE</v>
      </c>
      <c r="T3655" s="3" t="str">
        <f>IF(ISERROR(VLOOKUP(Base_Periodo1[[#This Row],[CONTA]],BaseContasDRE[#All],5,FALSE)),"Fora do DRE",VLOOKUP(Base_Periodo1[[#This Row],[CONTA]],BaseContasDRE[#All],6,FALSE))</f>
        <v>Fora do DRE</v>
      </c>
      <c r="U3655" s="3" t="str">
        <f>IF(ISERROR(VLOOKUP(Base_Periodo1[[#This Row],[CONTA]],BaseContasDRE[#All],7,FALSE)),"Fora do DRE",VLOOKUP(Base_Periodo1[[#This Row],[CONTA]],BaseContasDRE[#All],7,FALSE))</f>
        <v>Fora do DRE</v>
      </c>
      <c r="V3655" s="3" t="str">
        <f>IF(Base_Periodo1[[#This Row],[Tipo_Linha]]="Fora do DRE","Fora do DRE","( "&amp;Base_Periodo1[[#This Row],[Tipo_Linha]]&amp;" ) "&amp;Base_Periodo1[[#This Row],[Filtro]])</f>
        <v>Fora do DRE</v>
      </c>
      <c r="W3655" s="3" t="str">
        <f>LEFT(Base_Periodo1[[#This Row],[CLASS]],3)</f>
        <v>2.1</v>
      </c>
    </row>
    <row r="3656" spans="1:23" hidden="1">
      <c r="A3656" s="3" t="str">
        <f t="shared" si="57"/>
        <v>Período 1</v>
      </c>
      <c r="B3656">
        <v>58401</v>
      </c>
      <c r="C3656" t="s">
        <v>2010</v>
      </c>
      <c r="D3656" t="s">
        <v>7033</v>
      </c>
      <c r="E3656" s="3" t="str">
        <f>IF(LEN(Base_Periodo1[[#This Row],[CLASS]])&gt;=7,LEFT(Base_Periodo1[[#This Row],[CLASS]],7),"")</f>
        <v>2.1.2.2</v>
      </c>
      <c r="F3656" s="3" t="str">
        <f>VLOOKUP(Base_Periodo1[[#This Row],[Aux]],Base_Contas_Balanco[#All],2,FALSE)</f>
        <v>Fornecedores Não Cooperados</v>
      </c>
      <c r="G3656" s="1">
        <v>42857</v>
      </c>
      <c r="I3656" s="225">
        <v>16150.25</v>
      </c>
      <c r="J3656" s="225">
        <v>16150.25</v>
      </c>
      <c r="K3656" s="225">
        <v>0</v>
      </c>
      <c r="L36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56" s="225">
        <f>ROUND(IF(AND(Base_Periodo1[[#This Row],[Tipo_Linha]]="-",Base_Periodo1[[#This Row],[TIPOSALDO]]="D"),Base_Periodo1[[#This Row],[SALDO_ATUAL]]*-1,Base_Periodo1[[#This Row],[SALDO_ATUAL]]),4)</f>
        <v>0</v>
      </c>
      <c r="N3656" t="s">
        <v>116</v>
      </c>
      <c r="O3656" t="s">
        <v>436</v>
      </c>
      <c r="P3656" t="s">
        <v>436</v>
      </c>
      <c r="Q3656">
        <v>7</v>
      </c>
      <c r="R3656" s="225">
        <f>Base_Periodo1[[#This Row],[CREDITOS]]-Base_Periodo1[[#This Row],[DEBITOS]]</f>
        <v>0</v>
      </c>
      <c r="S3656" s="3" t="str">
        <f>IF(ISERROR(VLOOKUP(Base_Periodo1[[#This Row],[CONTA]],BaseContasDRE[#All],4,FALSE)),"Fora do DRE",VLOOKUP(Base_Periodo1[[#This Row],[CONTA]],BaseContasDRE[#All],4,FALSE))</f>
        <v>Fora do DRE</v>
      </c>
      <c r="T3656" s="3" t="str">
        <f>IF(ISERROR(VLOOKUP(Base_Periodo1[[#This Row],[CONTA]],BaseContasDRE[#All],5,FALSE)),"Fora do DRE",VLOOKUP(Base_Periodo1[[#This Row],[CONTA]],BaseContasDRE[#All],6,FALSE))</f>
        <v>Fora do DRE</v>
      </c>
      <c r="U3656" s="3" t="str">
        <f>IF(ISERROR(VLOOKUP(Base_Periodo1[[#This Row],[CONTA]],BaseContasDRE[#All],7,FALSE)),"Fora do DRE",VLOOKUP(Base_Periodo1[[#This Row],[CONTA]],BaseContasDRE[#All],7,FALSE))</f>
        <v>Fora do DRE</v>
      </c>
      <c r="V3656" s="3" t="str">
        <f>IF(Base_Periodo1[[#This Row],[Tipo_Linha]]="Fora do DRE","Fora do DRE","( "&amp;Base_Periodo1[[#This Row],[Tipo_Linha]]&amp;" ) "&amp;Base_Periodo1[[#This Row],[Filtro]])</f>
        <v>Fora do DRE</v>
      </c>
      <c r="W3656" s="3" t="str">
        <f>LEFT(Base_Periodo1[[#This Row],[CLASS]],3)</f>
        <v>2.1</v>
      </c>
    </row>
    <row r="3657" spans="1:23" hidden="1">
      <c r="A3657" s="3" t="str">
        <f t="shared" si="57"/>
        <v>Período 1</v>
      </c>
      <c r="B3657">
        <v>41100</v>
      </c>
      <c r="C3657" t="s">
        <v>2010</v>
      </c>
      <c r="D3657" t="s">
        <v>2074</v>
      </c>
      <c r="E3657" s="3" t="str">
        <f>IF(LEN(Base_Periodo1[[#This Row],[CLASS]])&gt;=7,LEFT(Base_Periodo1[[#This Row],[CLASS]],7),"")</f>
        <v>2.1.2.2</v>
      </c>
      <c r="F3657" s="3" t="str">
        <f>VLOOKUP(Base_Periodo1[[#This Row],[Aux]],Base_Contas_Balanco[#All],2,FALSE)</f>
        <v>Fornecedores Não Cooperados</v>
      </c>
      <c r="G3657" s="1"/>
      <c r="H3657" s="225">
        <v>1291.44</v>
      </c>
      <c r="I3657" s="225">
        <v>0</v>
      </c>
      <c r="J3657" s="225">
        <v>0</v>
      </c>
      <c r="K3657" s="225">
        <v>1291.44</v>
      </c>
      <c r="L36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1291.44</v>
      </c>
      <c r="M3657" s="225">
        <f>ROUND(IF(AND(Base_Periodo1[[#This Row],[Tipo_Linha]]="-",Base_Periodo1[[#This Row],[TIPOSALDO]]="D"),Base_Periodo1[[#This Row],[SALDO_ATUAL]]*-1,Base_Periodo1[[#This Row],[SALDO_ATUAL]]),4)</f>
        <v>1291.44</v>
      </c>
      <c r="N3657" t="s">
        <v>116</v>
      </c>
      <c r="O3657" t="s">
        <v>459</v>
      </c>
      <c r="P3657" t="s">
        <v>459</v>
      </c>
      <c r="Q3657">
        <v>7</v>
      </c>
      <c r="R3657" s="225">
        <f>Base_Periodo1[[#This Row],[CREDITOS]]-Base_Periodo1[[#This Row],[DEBITOS]]</f>
        <v>0</v>
      </c>
      <c r="S3657" s="3" t="str">
        <f>IF(ISERROR(VLOOKUP(Base_Periodo1[[#This Row],[CONTA]],BaseContasDRE[#All],4,FALSE)),"Fora do DRE",VLOOKUP(Base_Periodo1[[#This Row],[CONTA]],BaseContasDRE[#All],4,FALSE))</f>
        <v>Fora do DRE</v>
      </c>
      <c r="T3657" s="3" t="str">
        <f>IF(ISERROR(VLOOKUP(Base_Periodo1[[#This Row],[CONTA]],BaseContasDRE[#All],5,FALSE)),"Fora do DRE",VLOOKUP(Base_Periodo1[[#This Row],[CONTA]],BaseContasDRE[#All],6,FALSE))</f>
        <v>Fora do DRE</v>
      </c>
      <c r="U3657" s="3" t="str">
        <f>IF(ISERROR(VLOOKUP(Base_Periodo1[[#This Row],[CONTA]],BaseContasDRE[#All],7,FALSE)),"Fora do DRE",VLOOKUP(Base_Periodo1[[#This Row],[CONTA]],BaseContasDRE[#All],7,FALSE))</f>
        <v>Fora do DRE</v>
      </c>
      <c r="V3657" s="3" t="str">
        <f>IF(Base_Periodo1[[#This Row],[Tipo_Linha]]="Fora do DRE","Fora do DRE","( "&amp;Base_Periodo1[[#This Row],[Tipo_Linha]]&amp;" ) "&amp;Base_Periodo1[[#This Row],[Filtro]])</f>
        <v>Fora do DRE</v>
      </c>
      <c r="W3657" s="3" t="str">
        <f>LEFT(Base_Periodo1[[#This Row],[CLASS]],3)</f>
        <v>2.1</v>
      </c>
    </row>
    <row r="3658" spans="1:23" hidden="1">
      <c r="A3658" s="3" t="str">
        <f t="shared" si="57"/>
        <v>Período 1</v>
      </c>
      <c r="B3658">
        <v>56847</v>
      </c>
      <c r="C3658" t="s">
        <v>2010</v>
      </c>
      <c r="D3658" t="s">
        <v>7034</v>
      </c>
      <c r="E3658" s="3" t="str">
        <f>IF(LEN(Base_Periodo1[[#This Row],[CLASS]])&gt;=7,LEFT(Base_Periodo1[[#This Row],[CLASS]],7),"")</f>
        <v>2.1.2.2</v>
      </c>
      <c r="F3658" s="3" t="str">
        <f>VLOOKUP(Base_Periodo1[[#This Row],[Aux]],Base_Contas_Balanco[#All],2,FALSE)</f>
        <v>Fornecedores Não Cooperados</v>
      </c>
      <c r="G3658" s="1">
        <v>42870</v>
      </c>
      <c r="I3658" s="225">
        <v>26392.61</v>
      </c>
      <c r="J3658" s="225">
        <v>26392.61</v>
      </c>
      <c r="K3658" s="225">
        <v>0</v>
      </c>
      <c r="L36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58" s="225">
        <f>ROUND(IF(AND(Base_Periodo1[[#This Row],[Tipo_Linha]]="-",Base_Periodo1[[#This Row],[TIPOSALDO]]="D"),Base_Periodo1[[#This Row],[SALDO_ATUAL]]*-1,Base_Periodo1[[#This Row],[SALDO_ATUAL]]),4)</f>
        <v>0</v>
      </c>
      <c r="N3658" t="s">
        <v>116</v>
      </c>
      <c r="O3658" t="s">
        <v>436</v>
      </c>
      <c r="P3658" t="s">
        <v>436</v>
      </c>
      <c r="Q3658">
        <v>7</v>
      </c>
      <c r="R3658" s="225">
        <f>Base_Periodo1[[#This Row],[CREDITOS]]-Base_Periodo1[[#This Row],[DEBITOS]]</f>
        <v>0</v>
      </c>
      <c r="S3658" s="3" t="str">
        <f>IF(ISERROR(VLOOKUP(Base_Periodo1[[#This Row],[CONTA]],BaseContasDRE[#All],4,FALSE)),"Fora do DRE",VLOOKUP(Base_Periodo1[[#This Row],[CONTA]],BaseContasDRE[#All],4,FALSE))</f>
        <v>Fora do DRE</v>
      </c>
      <c r="T3658" s="3" t="str">
        <f>IF(ISERROR(VLOOKUP(Base_Periodo1[[#This Row],[CONTA]],BaseContasDRE[#All],5,FALSE)),"Fora do DRE",VLOOKUP(Base_Periodo1[[#This Row],[CONTA]],BaseContasDRE[#All],6,FALSE))</f>
        <v>Fora do DRE</v>
      </c>
      <c r="U3658" s="3" t="str">
        <f>IF(ISERROR(VLOOKUP(Base_Periodo1[[#This Row],[CONTA]],BaseContasDRE[#All],7,FALSE)),"Fora do DRE",VLOOKUP(Base_Periodo1[[#This Row],[CONTA]],BaseContasDRE[#All],7,FALSE))</f>
        <v>Fora do DRE</v>
      </c>
      <c r="V3658" s="3" t="str">
        <f>IF(Base_Periodo1[[#This Row],[Tipo_Linha]]="Fora do DRE","Fora do DRE","( "&amp;Base_Periodo1[[#This Row],[Tipo_Linha]]&amp;" ) "&amp;Base_Periodo1[[#This Row],[Filtro]])</f>
        <v>Fora do DRE</v>
      </c>
      <c r="W3658" s="3" t="str">
        <f>LEFT(Base_Periodo1[[#This Row],[CLASS]],3)</f>
        <v>2.1</v>
      </c>
    </row>
    <row r="3659" spans="1:23" hidden="1">
      <c r="A3659" s="3" t="str">
        <f t="shared" si="57"/>
        <v>Período 1</v>
      </c>
      <c r="B3659">
        <v>57157</v>
      </c>
      <c r="C3659" t="s">
        <v>2010</v>
      </c>
      <c r="D3659" t="s">
        <v>6486</v>
      </c>
      <c r="E3659" s="3" t="str">
        <f>IF(LEN(Base_Periodo1[[#This Row],[CLASS]])&gt;=7,LEFT(Base_Periodo1[[#This Row],[CLASS]],7),"")</f>
        <v>2.1.2.2</v>
      </c>
      <c r="F3659" s="3" t="str">
        <f>VLOOKUP(Base_Periodo1[[#This Row],[Aux]],Base_Contas_Balanco[#All],2,FALSE)</f>
        <v>Fornecedores Não Cooperados</v>
      </c>
      <c r="G3659" s="1">
        <v>42860</v>
      </c>
      <c r="I3659" s="225">
        <v>1546</v>
      </c>
      <c r="J3659" s="225">
        <v>1546</v>
      </c>
      <c r="K3659" s="225">
        <v>0</v>
      </c>
      <c r="L36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59" s="225">
        <f>ROUND(IF(AND(Base_Periodo1[[#This Row],[Tipo_Linha]]="-",Base_Periodo1[[#This Row],[TIPOSALDO]]="D"),Base_Periodo1[[#This Row],[SALDO_ATUAL]]*-1,Base_Periodo1[[#This Row],[SALDO_ATUAL]]),4)</f>
        <v>0</v>
      </c>
      <c r="N3659" t="s">
        <v>116</v>
      </c>
      <c r="O3659" t="s">
        <v>436</v>
      </c>
      <c r="P3659" t="s">
        <v>436</v>
      </c>
      <c r="Q3659">
        <v>7</v>
      </c>
      <c r="R3659" s="225">
        <f>Base_Periodo1[[#This Row],[CREDITOS]]-Base_Periodo1[[#This Row],[DEBITOS]]</f>
        <v>0</v>
      </c>
      <c r="S3659" s="3" t="str">
        <f>IF(ISERROR(VLOOKUP(Base_Periodo1[[#This Row],[CONTA]],BaseContasDRE[#All],4,FALSE)),"Fora do DRE",VLOOKUP(Base_Periodo1[[#This Row],[CONTA]],BaseContasDRE[#All],4,FALSE))</f>
        <v>Fora do DRE</v>
      </c>
      <c r="T3659" s="3" t="str">
        <f>IF(ISERROR(VLOOKUP(Base_Periodo1[[#This Row],[CONTA]],BaseContasDRE[#All],5,FALSE)),"Fora do DRE",VLOOKUP(Base_Periodo1[[#This Row],[CONTA]],BaseContasDRE[#All],6,FALSE))</f>
        <v>Fora do DRE</v>
      </c>
      <c r="U3659" s="3" t="str">
        <f>IF(ISERROR(VLOOKUP(Base_Periodo1[[#This Row],[CONTA]],BaseContasDRE[#All],7,FALSE)),"Fora do DRE",VLOOKUP(Base_Periodo1[[#This Row],[CONTA]],BaseContasDRE[#All],7,FALSE))</f>
        <v>Fora do DRE</v>
      </c>
      <c r="V3659" s="3" t="str">
        <f>IF(Base_Periodo1[[#This Row],[Tipo_Linha]]="Fora do DRE","Fora do DRE","( "&amp;Base_Periodo1[[#This Row],[Tipo_Linha]]&amp;" ) "&amp;Base_Periodo1[[#This Row],[Filtro]])</f>
        <v>Fora do DRE</v>
      </c>
      <c r="W3659" s="3" t="str">
        <f>LEFT(Base_Periodo1[[#This Row],[CLASS]],3)</f>
        <v>2.1</v>
      </c>
    </row>
    <row r="3660" spans="1:23" hidden="1">
      <c r="A3660" s="3" t="str">
        <f t="shared" si="57"/>
        <v>Período 1</v>
      </c>
      <c r="B3660">
        <v>52894</v>
      </c>
      <c r="C3660" t="s">
        <v>2010</v>
      </c>
      <c r="D3660" t="s">
        <v>7035</v>
      </c>
      <c r="E3660" s="3" t="str">
        <f>IF(LEN(Base_Periodo1[[#This Row],[CLASS]])&gt;=7,LEFT(Base_Periodo1[[#This Row],[CLASS]],7),"")</f>
        <v>2.1.2.2</v>
      </c>
      <c r="F3660" s="3" t="str">
        <f>VLOOKUP(Base_Periodo1[[#This Row],[Aux]],Base_Contas_Balanco[#All],2,FALSE)</f>
        <v>Fornecedores Não Cooperados</v>
      </c>
      <c r="G3660" s="1">
        <v>42885</v>
      </c>
      <c r="I3660" s="225">
        <v>2513.0100000000002</v>
      </c>
      <c r="J3660" s="225">
        <v>2513.0100000000002</v>
      </c>
      <c r="K3660" s="225">
        <v>0</v>
      </c>
      <c r="L36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60" s="225">
        <f>ROUND(IF(AND(Base_Periodo1[[#This Row],[Tipo_Linha]]="-",Base_Periodo1[[#This Row],[TIPOSALDO]]="D"),Base_Periodo1[[#This Row],[SALDO_ATUAL]]*-1,Base_Periodo1[[#This Row],[SALDO_ATUAL]]),4)</f>
        <v>0</v>
      </c>
      <c r="N3660" t="s">
        <v>116</v>
      </c>
      <c r="O3660" t="s">
        <v>436</v>
      </c>
      <c r="P3660" t="s">
        <v>436</v>
      </c>
      <c r="Q3660">
        <v>7</v>
      </c>
      <c r="R3660" s="225">
        <f>Base_Periodo1[[#This Row],[CREDITOS]]-Base_Periodo1[[#This Row],[DEBITOS]]</f>
        <v>0</v>
      </c>
      <c r="S3660" s="3" t="str">
        <f>IF(ISERROR(VLOOKUP(Base_Periodo1[[#This Row],[CONTA]],BaseContasDRE[#All],4,FALSE)),"Fora do DRE",VLOOKUP(Base_Periodo1[[#This Row],[CONTA]],BaseContasDRE[#All],4,FALSE))</f>
        <v>Fora do DRE</v>
      </c>
      <c r="T3660" s="3" t="str">
        <f>IF(ISERROR(VLOOKUP(Base_Periodo1[[#This Row],[CONTA]],BaseContasDRE[#All],5,FALSE)),"Fora do DRE",VLOOKUP(Base_Periodo1[[#This Row],[CONTA]],BaseContasDRE[#All],6,FALSE))</f>
        <v>Fora do DRE</v>
      </c>
      <c r="U3660" s="3" t="str">
        <f>IF(ISERROR(VLOOKUP(Base_Periodo1[[#This Row],[CONTA]],BaseContasDRE[#All],7,FALSE)),"Fora do DRE",VLOOKUP(Base_Periodo1[[#This Row],[CONTA]],BaseContasDRE[#All],7,FALSE))</f>
        <v>Fora do DRE</v>
      </c>
      <c r="V3660" s="3" t="str">
        <f>IF(Base_Periodo1[[#This Row],[Tipo_Linha]]="Fora do DRE","Fora do DRE","( "&amp;Base_Periodo1[[#This Row],[Tipo_Linha]]&amp;" ) "&amp;Base_Periodo1[[#This Row],[Filtro]])</f>
        <v>Fora do DRE</v>
      </c>
      <c r="W3660" s="3" t="str">
        <f>LEFT(Base_Periodo1[[#This Row],[CLASS]],3)</f>
        <v>2.1</v>
      </c>
    </row>
    <row r="3661" spans="1:23" hidden="1">
      <c r="A3661" s="3" t="str">
        <f t="shared" si="57"/>
        <v>Período 1</v>
      </c>
      <c r="B3661">
        <v>58746</v>
      </c>
      <c r="C3661" t="s">
        <v>2010</v>
      </c>
      <c r="D3661" t="s">
        <v>7036</v>
      </c>
      <c r="E3661" s="3" t="str">
        <f>IF(LEN(Base_Periodo1[[#This Row],[CLASS]])&gt;=7,LEFT(Base_Periodo1[[#This Row],[CLASS]],7),"")</f>
        <v>2.1.2.2</v>
      </c>
      <c r="F3661" s="3" t="str">
        <f>VLOOKUP(Base_Periodo1[[#This Row],[Aux]],Base_Contas_Balanco[#All],2,FALSE)</f>
        <v>Fornecedores Não Cooperados</v>
      </c>
      <c r="G3661" s="1">
        <v>42863</v>
      </c>
      <c r="I3661" s="225">
        <v>14497.8</v>
      </c>
      <c r="J3661" s="225">
        <v>14497.8</v>
      </c>
      <c r="K3661" s="225">
        <v>0</v>
      </c>
      <c r="L36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61" s="225">
        <f>ROUND(IF(AND(Base_Periodo1[[#This Row],[Tipo_Linha]]="-",Base_Periodo1[[#This Row],[TIPOSALDO]]="D"),Base_Periodo1[[#This Row],[SALDO_ATUAL]]*-1,Base_Periodo1[[#This Row],[SALDO_ATUAL]]),4)</f>
        <v>0</v>
      </c>
      <c r="N3661" t="s">
        <v>116</v>
      </c>
      <c r="O3661" t="s">
        <v>436</v>
      </c>
      <c r="P3661" t="s">
        <v>436</v>
      </c>
      <c r="Q3661">
        <v>7</v>
      </c>
      <c r="R3661" s="225">
        <f>Base_Periodo1[[#This Row],[CREDITOS]]-Base_Periodo1[[#This Row],[DEBITOS]]</f>
        <v>0</v>
      </c>
      <c r="S3661" s="3" t="str">
        <f>IF(ISERROR(VLOOKUP(Base_Periodo1[[#This Row],[CONTA]],BaseContasDRE[#All],4,FALSE)),"Fora do DRE",VLOOKUP(Base_Periodo1[[#This Row],[CONTA]],BaseContasDRE[#All],4,FALSE))</f>
        <v>Fora do DRE</v>
      </c>
      <c r="T3661" s="3" t="str">
        <f>IF(ISERROR(VLOOKUP(Base_Periodo1[[#This Row],[CONTA]],BaseContasDRE[#All],5,FALSE)),"Fora do DRE",VLOOKUP(Base_Periodo1[[#This Row],[CONTA]],BaseContasDRE[#All],6,FALSE))</f>
        <v>Fora do DRE</v>
      </c>
      <c r="U3661" s="3" t="str">
        <f>IF(ISERROR(VLOOKUP(Base_Periodo1[[#This Row],[CONTA]],BaseContasDRE[#All],7,FALSE)),"Fora do DRE",VLOOKUP(Base_Periodo1[[#This Row],[CONTA]],BaseContasDRE[#All],7,FALSE))</f>
        <v>Fora do DRE</v>
      </c>
      <c r="V3661" s="3" t="str">
        <f>IF(Base_Periodo1[[#This Row],[Tipo_Linha]]="Fora do DRE","Fora do DRE","( "&amp;Base_Periodo1[[#This Row],[Tipo_Linha]]&amp;" ) "&amp;Base_Periodo1[[#This Row],[Filtro]])</f>
        <v>Fora do DRE</v>
      </c>
      <c r="W3661" s="3" t="str">
        <f>LEFT(Base_Periodo1[[#This Row],[CLASS]],3)</f>
        <v>2.1</v>
      </c>
    </row>
    <row r="3662" spans="1:23" hidden="1">
      <c r="A3662" s="3" t="str">
        <f t="shared" si="57"/>
        <v>Período 1</v>
      </c>
      <c r="B3662">
        <v>58783</v>
      </c>
      <c r="C3662" t="s">
        <v>2010</v>
      </c>
      <c r="D3662" t="s">
        <v>7037</v>
      </c>
      <c r="E3662" s="3" t="str">
        <f>IF(LEN(Base_Periodo1[[#This Row],[CLASS]])&gt;=7,LEFT(Base_Periodo1[[#This Row],[CLASS]],7),"")</f>
        <v>2.1.2.2</v>
      </c>
      <c r="F3662" s="3" t="str">
        <f>VLOOKUP(Base_Periodo1[[#This Row],[Aux]],Base_Contas_Balanco[#All],2,FALSE)</f>
        <v>Fornecedores Não Cooperados</v>
      </c>
      <c r="G3662" s="1">
        <v>42859</v>
      </c>
      <c r="I3662" s="225">
        <v>70</v>
      </c>
      <c r="J3662" s="225">
        <v>70</v>
      </c>
      <c r="K3662" s="225">
        <v>0</v>
      </c>
      <c r="L36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62" s="225">
        <f>ROUND(IF(AND(Base_Periodo1[[#This Row],[Tipo_Linha]]="-",Base_Periodo1[[#This Row],[TIPOSALDO]]="D"),Base_Periodo1[[#This Row],[SALDO_ATUAL]]*-1,Base_Periodo1[[#This Row],[SALDO_ATUAL]]),4)</f>
        <v>0</v>
      </c>
      <c r="N3662" t="s">
        <v>116</v>
      </c>
      <c r="O3662" t="s">
        <v>436</v>
      </c>
      <c r="P3662" t="s">
        <v>436</v>
      </c>
      <c r="Q3662">
        <v>7</v>
      </c>
      <c r="R3662" s="225">
        <f>Base_Periodo1[[#This Row],[CREDITOS]]-Base_Periodo1[[#This Row],[DEBITOS]]</f>
        <v>0</v>
      </c>
      <c r="S3662" s="3" t="str">
        <f>IF(ISERROR(VLOOKUP(Base_Periodo1[[#This Row],[CONTA]],BaseContasDRE[#All],4,FALSE)),"Fora do DRE",VLOOKUP(Base_Periodo1[[#This Row],[CONTA]],BaseContasDRE[#All],4,FALSE))</f>
        <v>Fora do DRE</v>
      </c>
      <c r="T3662" s="3" t="str">
        <f>IF(ISERROR(VLOOKUP(Base_Periodo1[[#This Row],[CONTA]],BaseContasDRE[#All],5,FALSE)),"Fora do DRE",VLOOKUP(Base_Periodo1[[#This Row],[CONTA]],BaseContasDRE[#All],6,FALSE))</f>
        <v>Fora do DRE</v>
      </c>
      <c r="U3662" s="3" t="str">
        <f>IF(ISERROR(VLOOKUP(Base_Periodo1[[#This Row],[CONTA]],BaseContasDRE[#All],7,FALSE)),"Fora do DRE",VLOOKUP(Base_Periodo1[[#This Row],[CONTA]],BaseContasDRE[#All],7,FALSE))</f>
        <v>Fora do DRE</v>
      </c>
      <c r="V3662" s="3" t="str">
        <f>IF(Base_Periodo1[[#This Row],[Tipo_Linha]]="Fora do DRE","Fora do DRE","( "&amp;Base_Periodo1[[#This Row],[Tipo_Linha]]&amp;" ) "&amp;Base_Periodo1[[#This Row],[Filtro]])</f>
        <v>Fora do DRE</v>
      </c>
      <c r="W3662" s="3" t="str">
        <f>LEFT(Base_Periodo1[[#This Row],[CLASS]],3)</f>
        <v>2.1</v>
      </c>
    </row>
    <row r="3663" spans="1:23" hidden="1">
      <c r="A3663" s="3" t="str">
        <f t="shared" si="57"/>
        <v>Período 1</v>
      </c>
      <c r="B3663">
        <v>58558</v>
      </c>
      <c r="C3663" t="s">
        <v>2010</v>
      </c>
      <c r="D3663" t="s">
        <v>7038</v>
      </c>
      <c r="E3663" s="3" t="str">
        <f>IF(LEN(Base_Periodo1[[#This Row],[CLASS]])&gt;=7,LEFT(Base_Periodo1[[#This Row],[CLASS]],7),"")</f>
        <v>2.1.2.2</v>
      </c>
      <c r="F3663" s="3" t="str">
        <f>VLOOKUP(Base_Periodo1[[#This Row],[Aux]],Base_Contas_Balanco[#All],2,FALSE)</f>
        <v>Fornecedores Não Cooperados</v>
      </c>
      <c r="G3663" s="1">
        <v>42864</v>
      </c>
      <c r="I3663" s="225">
        <v>20965</v>
      </c>
      <c r="J3663" s="225">
        <v>20965</v>
      </c>
      <c r="K3663" s="225">
        <v>0</v>
      </c>
      <c r="L36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63" s="225">
        <f>ROUND(IF(AND(Base_Periodo1[[#This Row],[Tipo_Linha]]="-",Base_Periodo1[[#This Row],[TIPOSALDO]]="D"),Base_Periodo1[[#This Row],[SALDO_ATUAL]]*-1,Base_Periodo1[[#This Row],[SALDO_ATUAL]]),4)</f>
        <v>0</v>
      </c>
      <c r="N3663" t="s">
        <v>116</v>
      </c>
      <c r="O3663" t="s">
        <v>436</v>
      </c>
      <c r="P3663" t="s">
        <v>436</v>
      </c>
      <c r="Q3663">
        <v>7</v>
      </c>
      <c r="R3663" s="225">
        <f>Base_Periodo1[[#This Row],[CREDITOS]]-Base_Periodo1[[#This Row],[DEBITOS]]</f>
        <v>0</v>
      </c>
      <c r="S3663" s="3" t="str">
        <f>IF(ISERROR(VLOOKUP(Base_Periodo1[[#This Row],[CONTA]],BaseContasDRE[#All],4,FALSE)),"Fora do DRE",VLOOKUP(Base_Periodo1[[#This Row],[CONTA]],BaseContasDRE[#All],4,FALSE))</f>
        <v>Fora do DRE</v>
      </c>
      <c r="T3663" s="3" t="str">
        <f>IF(ISERROR(VLOOKUP(Base_Periodo1[[#This Row],[CONTA]],BaseContasDRE[#All],5,FALSE)),"Fora do DRE",VLOOKUP(Base_Periodo1[[#This Row],[CONTA]],BaseContasDRE[#All],6,FALSE))</f>
        <v>Fora do DRE</v>
      </c>
      <c r="U3663" s="3" t="str">
        <f>IF(ISERROR(VLOOKUP(Base_Periodo1[[#This Row],[CONTA]],BaseContasDRE[#All],7,FALSE)),"Fora do DRE",VLOOKUP(Base_Periodo1[[#This Row],[CONTA]],BaseContasDRE[#All],7,FALSE))</f>
        <v>Fora do DRE</v>
      </c>
      <c r="V3663" s="3" t="str">
        <f>IF(Base_Periodo1[[#This Row],[Tipo_Linha]]="Fora do DRE","Fora do DRE","( "&amp;Base_Periodo1[[#This Row],[Tipo_Linha]]&amp;" ) "&amp;Base_Periodo1[[#This Row],[Filtro]])</f>
        <v>Fora do DRE</v>
      </c>
      <c r="W3663" s="3" t="str">
        <f>LEFT(Base_Periodo1[[#This Row],[CLASS]],3)</f>
        <v>2.1</v>
      </c>
    </row>
    <row r="3664" spans="1:23" hidden="1">
      <c r="A3664" s="3" t="str">
        <f t="shared" si="57"/>
        <v>Período 1</v>
      </c>
      <c r="B3664">
        <v>4317</v>
      </c>
      <c r="C3664" t="s">
        <v>2010</v>
      </c>
      <c r="D3664" t="s">
        <v>4292</v>
      </c>
      <c r="E3664" s="3" t="str">
        <f>IF(LEN(Base_Periodo1[[#This Row],[CLASS]])&gt;=7,LEFT(Base_Periodo1[[#This Row],[CLASS]],7),"")</f>
        <v>2.1.2.2</v>
      </c>
      <c r="F3664" s="3" t="str">
        <f>VLOOKUP(Base_Periodo1[[#This Row],[Aux]],Base_Contas_Balanco[#All],2,FALSE)</f>
        <v>Fornecedores Não Cooperados</v>
      </c>
      <c r="G3664" s="1">
        <v>42347</v>
      </c>
      <c r="H3664" s="225">
        <v>509982.37000000005</v>
      </c>
      <c r="I3664" s="225">
        <v>0</v>
      </c>
      <c r="J3664" s="225">
        <v>0</v>
      </c>
      <c r="K3664" s="225">
        <v>509982.37000000005</v>
      </c>
      <c r="L36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509982.37</v>
      </c>
      <c r="M3664" s="225">
        <f>ROUND(IF(AND(Base_Periodo1[[#This Row],[Tipo_Linha]]="-",Base_Periodo1[[#This Row],[TIPOSALDO]]="D"),Base_Periodo1[[#This Row],[SALDO_ATUAL]]*-1,Base_Periodo1[[#This Row],[SALDO_ATUAL]]),4)</f>
        <v>509982.37</v>
      </c>
      <c r="N3664" t="s">
        <v>116</v>
      </c>
      <c r="O3664" t="s">
        <v>459</v>
      </c>
      <c r="P3664" t="s">
        <v>459</v>
      </c>
      <c r="Q3664">
        <v>7</v>
      </c>
      <c r="R3664" s="225">
        <f>Base_Periodo1[[#This Row],[CREDITOS]]-Base_Periodo1[[#This Row],[DEBITOS]]</f>
        <v>0</v>
      </c>
      <c r="S3664" s="3" t="str">
        <f>IF(ISERROR(VLOOKUP(Base_Periodo1[[#This Row],[CONTA]],BaseContasDRE[#All],4,FALSE)),"Fora do DRE",VLOOKUP(Base_Periodo1[[#This Row],[CONTA]],BaseContasDRE[#All],4,FALSE))</f>
        <v>Fora do DRE</v>
      </c>
      <c r="T3664" s="3" t="str">
        <f>IF(ISERROR(VLOOKUP(Base_Periodo1[[#This Row],[CONTA]],BaseContasDRE[#All],5,FALSE)),"Fora do DRE",VLOOKUP(Base_Periodo1[[#This Row],[CONTA]],BaseContasDRE[#All],6,FALSE))</f>
        <v>Fora do DRE</v>
      </c>
      <c r="U3664" s="3" t="str">
        <f>IF(ISERROR(VLOOKUP(Base_Periodo1[[#This Row],[CONTA]],BaseContasDRE[#All],7,FALSE)),"Fora do DRE",VLOOKUP(Base_Periodo1[[#This Row],[CONTA]],BaseContasDRE[#All],7,FALSE))</f>
        <v>Fora do DRE</v>
      </c>
      <c r="V3664" s="3" t="str">
        <f>IF(Base_Periodo1[[#This Row],[Tipo_Linha]]="Fora do DRE","Fora do DRE","( "&amp;Base_Periodo1[[#This Row],[Tipo_Linha]]&amp;" ) "&amp;Base_Periodo1[[#This Row],[Filtro]])</f>
        <v>Fora do DRE</v>
      </c>
      <c r="W3664" s="3" t="str">
        <f>LEFT(Base_Periodo1[[#This Row],[CLASS]],3)</f>
        <v>2.1</v>
      </c>
    </row>
    <row r="3665" spans="1:23" hidden="1">
      <c r="A3665" s="3" t="str">
        <f t="shared" si="57"/>
        <v>Período 1</v>
      </c>
      <c r="B3665">
        <v>25762</v>
      </c>
      <c r="C3665" t="s">
        <v>2010</v>
      </c>
      <c r="D3665" t="s">
        <v>7039</v>
      </c>
      <c r="E3665" s="3" t="str">
        <f>IF(LEN(Base_Periodo1[[#This Row],[CLASS]])&gt;=7,LEFT(Base_Periodo1[[#This Row],[CLASS]],7),"")</f>
        <v>2.1.2.2</v>
      </c>
      <c r="F3665" s="3" t="str">
        <f>VLOOKUP(Base_Periodo1[[#This Row],[Aux]],Base_Contas_Balanco[#All],2,FALSE)</f>
        <v>Fornecedores Não Cooperados</v>
      </c>
      <c r="G3665" s="1">
        <v>42860</v>
      </c>
      <c r="I3665" s="225">
        <v>3500</v>
      </c>
      <c r="J3665" s="225">
        <v>3500</v>
      </c>
      <c r="K3665" s="225">
        <v>0</v>
      </c>
      <c r="L36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65" s="225">
        <f>ROUND(IF(AND(Base_Periodo1[[#This Row],[Tipo_Linha]]="-",Base_Periodo1[[#This Row],[TIPOSALDO]]="D"),Base_Periodo1[[#This Row],[SALDO_ATUAL]]*-1,Base_Periodo1[[#This Row],[SALDO_ATUAL]]),4)</f>
        <v>0</v>
      </c>
      <c r="N3665" t="s">
        <v>116</v>
      </c>
      <c r="O3665" t="s">
        <v>436</v>
      </c>
      <c r="P3665" t="s">
        <v>436</v>
      </c>
      <c r="Q3665">
        <v>7</v>
      </c>
      <c r="R3665" s="225">
        <f>Base_Periodo1[[#This Row],[CREDITOS]]-Base_Periodo1[[#This Row],[DEBITOS]]</f>
        <v>0</v>
      </c>
      <c r="S3665" s="3" t="str">
        <f>IF(ISERROR(VLOOKUP(Base_Periodo1[[#This Row],[CONTA]],BaseContasDRE[#All],4,FALSE)),"Fora do DRE",VLOOKUP(Base_Periodo1[[#This Row],[CONTA]],BaseContasDRE[#All],4,FALSE))</f>
        <v>Fora do DRE</v>
      </c>
      <c r="T3665" s="3" t="str">
        <f>IF(ISERROR(VLOOKUP(Base_Periodo1[[#This Row],[CONTA]],BaseContasDRE[#All],5,FALSE)),"Fora do DRE",VLOOKUP(Base_Periodo1[[#This Row],[CONTA]],BaseContasDRE[#All],6,FALSE))</f>
        <v>Fora do DRE</v>
      </c>
      <c r="U3665" s="3" t="str">
        <f>IF(ISERROR(VLOOKUP(Base_Periodo1[[#This Row],[CONTA]],BaseContasDRE[#All],7,FALSE)),"Fora do DRE",VLOOKUP(Base_Periodo1[[#This Row],[CONTA]],BaseContasDRE[#All],7,FALSE))</f>
        <v>Fora do DRE</v>
      </c>
      <c r="V3665" s="3" t="str">
        <f>IF(Base_Periodo1[[#This Row],[Tipo_Linha]]="Fora do DRE","Fora do DRE","( "&amp;Base_Periodo1[[#This Row],[Tipo_Linha]]&amp;" ) "&amp;Base_Periodo1[[#This Row],[Filtro]])</f>
        <v>Fora do DRE</v>
      </c>
      <c r="W3665" s="3" t="str">
        <f>LEFT(Base_Periodo1[[#This Row],[CLASS]],3)</f>
        <v>2.1</v>
      </c>
    </row>
    <row r="3666" spans="1:23" hidden="1">
      <c r="A3666" s="3" t="str">
        <f t="shared" si="57"/>
        <v>Período 1</v>
      </c>
      <c r="B3666">
        <v>7742</v>
      </c>
      <c r="C3666" t="s">
        <v>2010</v>
      </c>
      <c r="D3666" t="s">
        <v>7039</v>
      </c>
      <c r="E3666" s="3" t="str">
        <f>IF(LEN(Base_Periodo1[[#This Row],[CLASS]])&gt;=7,LEFT(Base_Periodo1[[#This Row],[CLASS]],7),"")</f>
        <v>2.1.2.2</v>
      </c>
      <c r="F3666" s="3" t="str">
        <f>VLOOKUP(Base_Periodo1[[#This Row],[Aux]],Base_Contas_Balanco[#All],2,FALSE)</f>
        <v>Fornecedores Não Cooperados</v>
      </c>
      <c r="G3666" s="1">
        <v>42871</v>
      </c>
      <c r="I3666" s="225">
        <v>1749.93</v>
      </c>
      <c r="J3666" s="225">
        <v>1749.93</v>
      </c>
      <c r="K3666" s="225">
        <v>0</v>
      </c>
      <c r="L36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66" s="225">
        <f>ROUND(IF(AND(Base_Periodo1[[#This Row],[Tipo_Linha]]="-",Base_Periodo1[[#This Row],[TIPOSALDO]]="D"),Base_Periodo1[[#This Row],[SALDO_ATUAL]]*-1,Base_Periodo1[[#This Row],[SALDO_ATUAL]]),4)</f>
        <v>0</v>
      </c>
      <c r="N3666" t="s">
        <v>116</v>
      </c>
      <c r="O3666" t="s">
        <v>436</v>
      </c>
      <c r="P3666" t="s">
        <v>436</v>
      </c>
      <c r="Q3666">
        <v>7</v>
      </c>
      <c r="R3666" s="225">
        <f>Base_Periodo1[[#This Row],[CREDITOS]]-Base_Periodo1[[#This Row],[DEBITOS]]</f>
        <v>0</v>
      </c>
      <c r="S3666" s="3" t="str">
        <f>IF(ISERROR(VLOOKUP(Base_Periodo1[[#This Row],[CONTA]],BaseContasDRE[#All],4,FALSE)),"Fora do DRE",VLOOKUP(Base_Periodo1[[#This Row],[CONTA]],BaseContasDRE[#All],4,FALSE))</f>
        <v>Fora do DRE</v>
      </c>
      <c r="T3666" s="3" t="str">
        <f>IF(ISERROR(VLOOKUP(Base_Periodo1[[#This Row],[CONTA]],BaseContasDRE[#All],5,FALSE)),"Fora do DRE",VLOOKUP(Base_Periodo1[[#This Row],[CONTA]],BaseContasDRE[#All],6,FALSE))</f>
        <v>Fora do DRE</v>
      </c>
      <c r="U3666" s="3" t="str">
        <f>IF(ISERROR(VLOOKUP(Base_Periodo1[[#This Row],[CONTA]],BaseContasDRE[#All],7,FALSE)),"Fora do DRE",VLOOKUP(Base_Periodo1[[#This Row],[CONTA]],BaseContasDRE[#All],7,FALSE))</f>
        <v>Fora do DRE</v>
      </c>
      <c r="V3666" s="3" t="str">
        <f>IF(Base_Periodo1[[#This Row],[Tipo_Linha]]="Fora do DRE","Fora do DRE","( "&amp;Base_Periodo1[[#This Row],[Tipo_Linha]]&amp;" ) "&amp;Base_Periodo1[[#This Row],[Filtro]])</f>
        <v>Fora do DRE</v>
      </c>
      <c r="W3666" s="3" t="str">
        <f>LEFT(Base_Periodo1[[#This Row],[CLASS]],3)</f>
        <v>2.1</v>
      </c>
    </row>
    <row r="3667" spans="1:23" hidden="1">
      <c r="A3667" s="3" t="str">
        <f t="shared" si="57"/>
        <v>Período 1</v>
      </c>
      <c r="B3667">
        <v>5241</v>
      </c>
      <c r="C3667" t="s">
        <v>2010</v>
      </c>
      <c r="D3667" t="s">
        <v>5977</v>
      </c>
      <c r="E3667" s="3" t="str">
        <f>IF(LEN(Base_Periodo1[[#This Row],[CLASS]])&gt;=7,LEFT(Base_Periodo1[[#This Row],[CLASS]],7),"")</f>
        <v>2.1.2.2</v>
      </c>
      <c r="F3667" s="3" t="str">
        <f>VLOOKUP(Base_Periodo1[[#This Row],[Aux]],Base_Contas_Balanco[#All],2,FALSE)</f>
        <v>Fornecedores Não Cooperados</v>
      </c>
      <c r="G3667" s="1">
        <v>42885</v>
      </c>
      <c r="H3667" s="225">
        <v>185141.47999999998</v>
      </c>
      <c r="I3667" s="225">
        <v>185141.47999999998</v>
      </c>
      <c r="J3667" s="225">
        <v>0</v>
      </c>
      <c r="K3667" s="225">
        <v>0</v>
      </c>
      <c r="L36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67" s="225">
        <f>ROUND(IF(AND(Base_Periodo1[[#This Row],[Tipo_Linha]]="-",Base_Periodo1[[#This Row],[TIPOSALDO]]="D"),Base_Periodo1[[#This Row],[SALDO_ATUAL]]*-1,Base_Periodo1[[#This Row],[SALDO_ATUAL]]),4)</f>
        <v>0</v>
      </c>
      <c r="N3667" t="s">
        <v>116</v>
      </c>
      <c r="O3667" t="s">
        <v>459</v>
      </c>
      <c r="P3667" t="s">
        <v>436</v>
      </c>
      <c r="Q3667">
        <v>7</v>
      </c>
      <c r="R3667" s="225">
        <f>Base_Periodo1[[#This Row],[CREDITOS]]-Base_Periodo1[[#This Row],[DEBITOS]]</f>
        <v>-185141.47999999998</v>
      </c>
      <c r="S3667" s="3" t="str">
        <f>IF(ISERROR(VLOOKUP(Base_Periodo1[[#This Row],[CONTA]],BaseContasDRE[#All],4,FALSE)),"Fora do DRE",VLOOKUP(Base_Periodo1[[#This Row],[CONTA]],BaseContasDRE[#All],4,FALSE))</f>
        <v>Fora do DRE</v>
      </c>
      <c r="T3667" s="3" t="str">
        <f>IF(ISERROR(VLOOKUP(Base_Periodo1[[#This Row],[CONTA]],BaseContasDRE[#All],5,FALSE)),"Fora do DRE",VLOOKUP(Base_Periodo1[[#This Row],[CONTA]],BaseContasDRE[#All],6,FALSE))</f>
        <v>Fora do DRE</v>
      </c>
      <c r="U3667" s="3" t="str">
        <f>IF(ISERROR(VLOOKUP(Base_Periodo1[[#This Row],[CONTA]],BaseContasDRE[#All],7,FALSE)),"Fora do DRE",VLOOKUP(Base_Periodo1[[#This Row],[CONTA]],BaseContasDRE[#All],7,FALSE))</f>
        <v>Fora do DRE</v>
      </c>
      <c r="V3667" s="3" t="str">
        <f>IF(Base_Periodo1[[#This Row],[Tipo_Linha]]="Fora do DRE","Fora do DRE","( "&amp;Base_Periodo1[[#This Row],[Tipo_Linha]]&amp;" ) "&amp;Base_Periodo1[[#This Row],[Filtro]])</f>
        <v>Fora do DRE</v>
      </c>
      <c r="W3667" s="3" t="str">
        <f>LEFT(Base_Periodo1[[#This Row],[CLASS]],3)</f>
        <v>2.1</v>
      </c>
    </row>
    <row r="3668" spans="1:23" hidden="1">
      <c r="A3668" s="3" t="str">
        <f t="shared" si="57"/>
        <v>Período 1</v>
      </c>
      <c r="B3668">
        <v>34175</v>
      </c>
      <c r="C3668" t="s">
        <v>2010</v>
      </c>
      <c r="D3668" t="s">
        <v>7040</v>
      </c>
      <c r="E3668" s="3" t="str">
        <f>IF(LEN(Base_Periodo1[[#This Row],[CLASS]])&gt;=7,LEFT(Base_Periodo1[[#This Row],[CLASS]],7),"")</f>
        <v>2.1.2.2</v>
      </c>
      <c r="F3668" s="3" t="str">
        <f>VLOOKUP(Base_Periodo1[[#This Row],[Aux]],Base_Contas_Balanco[#All],2,FALSE)</f>
        <v>Fornecedores Não Cooperados</v>
      </c>
      <c r="G3668" s="1">
        <v>42866</v>
      </c>
      <c r="I3668" s="225">
        <v>140</v>
      </c>
      <c r="J3668" s="225">
        <v>140</v>
      </c>
      <c r="K3668" s="225">
        <v>0</v>
      </c>
      <c r="L36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68" s="225">
        <f>ROUND(IF(AND(Base_Periodo1[[#This Row],[Tipo_Linha]]="-",Base_Periodo1[[#This Row],[TIPOSALDO]]="D"),Base_Periodo1[[#This Row],[SALDO_ATUAL]]*-1,Base_Periodo1[[#This Row],[SALDO_ATUAL]]),4)</f>
        <v>0</v>
      </c>
      <c r="N3668" t="s">
        <v>116</v>
      </c>
      <c r="O3668" t="s">
        <v>436</v>
      </c>
      <c r="P3668" t="s">
        <v>436</v>
      </c>
      <c r="Q3668">
        <v>7</v>
      </c>
      <c r="R3668" s="225">
        <f>Base_Periodo1[[#This Row],[CREDITOS]]-Base_Periodo1[[#This Row],[DEBITOS]]</f>
        <v>0</v>
      </c>
      <c r="S3668" s="3" t="str">
        <f>IF(ISERROR(VLOOKUP(Base_Periodo1[[#This Row],[CONTA]],BaseContasDRE[#All],4,FALSE)),"Fora do DRE",VLOOKUP(Base_Periodo1[[#This Row],[CONTA]],BaseContasDRE[#All],4,FALSE))</f>
        <v>Fora do DRE</v>
      </c>
      <c r="T3668" s="3" t="str">
        <f>IF(ISERROR(VLOOKUP(Base_Periodo1[[#This Row],[CONTA]],BaseContasDRE[#All],5,FALSE)),"Fora do DRE",VLOOKUP(Base_Periodo1[[#This Row],[CONTA]],BaseContasDRE[#All],6,FALSE))</f>
        <v>Fora do DRE</v>
      </c>
      <c r="U3668" s="3" t="str">
        <f>IF(ISERROR(VLOOKUP(Base_Periodo1[[#This Row],[CONTA]],BaseContasDRE[#All],7,FALSE)),"Fora do DRE",VLOOKUP(Base_Periodo1[[#This Row],[CONTA]],BaseContasDRE[#All],7,FALSE))</f>
        <v>Fora do DRE</v>
      </c>
      <c r="V3668" s="3" t="str">
        <f>IF(Base_Periodo1[[#This Row],[Tipo_Linha]]="Fora do DRE","Fora do DRE","( "&amp;Base_Periodo1[[#This Row],[Tipo_Linha]]&amp;" ) "&amp;Base_Periodo1[[#This Row],[Filtro]])</f>
        <v>Fora do DRE</v>
      </c>
      <c r="W3668" s="3" t="str">
        <f>LEFT(Base_Periodo1[[#This Row],[CLASS]],3)</f>
        <v>2.1</v>
      </c>
    </row>
    <row r="3669" spans="1:23" hidden="1">
      <c r="A3669" s="3" t="str">
        <f t="shared" si="57"/>
        <v>Período 1</v>
      </c>
      <c r="B3669">
        <v>13857</v>
      </c>
      <c r="C3669" t="s">
        <v>2010</v>
      </c>
      <c r="D3669" t="s">
        <v>7041</v>
      </c>
      <c r="E3669" s="3" t="str">
        <f>IF(LEN(Base_Periodo1[[#This Row],[CLASS]])&gt;=7,LEFT(Base_Periodo1[[#This Row],[CLASS]],7),"")</f>
        <v>2.1.2.2</v>
      </c>
      <c r="F3669" s="3" t="str">
        <f>VLOOKUP(Base_Periodo1[[#This Row],[Aux]],Base_Contas_Balanco[#All],2,FALSE)</f>
        <v>Fornecedores Não Cooperados</v>
      </c>
      <c r="G3669" s="1">
        <v>42860</v>
      </c>
      <c r="I3669" s="225">
        <v>30.43</v>
      </c>
      <c r="J3669" s="225">
        <v>30.43</v>
      </c>
      <c r="K3669" s="225">
        <v>0</v>
      </c>
      <c r="L36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69" s="225">
        <f>ROUND(IF(AND(Base_Periodo1[[#This Row],[Tipo_Linha]]="-",Base_Periodo1[[#This Row],[TIPOSALDO]]="D"),Base_Periodo1[[#This Row],[SALDO_ATUAL]]*-1,Base_Periodo1[[#This Row],[SALDO_ATUAL]]),4)</f>
        <v>0</v>
      </c>
      <c r="N3669" t="s">
        <v>116</v>
      </c>
      <c r="O3669" t="s">
        <v>436</v>
      </c>
      <c r="P3669" t="s">
        <v>436</v>
      </c>
      <c r="Q3669">
        <v>7</v>
      </c>
      <c r="R3669" s="225">
        <f>Base_Periodo1[[#This Row],[CREDITOS]]-Base_Periodo1[[#This Row],[DEBITOS]]</f>
        <v>0</v>
      </c>
      <c r="S3669" s="3" t="str">
        <f>IF(ISERROR(VLOOKUP(Base_Periodo1[[#This Row],[CONTA]],BaseContasDRE[#All],4,FALSE)),"Fora do DRE",VLOOKUP(Base_Periodo1[[#This Row],[CONTA]],BaseContasDRE[#All],4,FALSE))</f>
        <v>Fora do DRE</v>
      </c>
      <c r="T3669" s="3" t="str">
        <f>IF(ISERROR(VLOOKUP(Base_Periodo1[[#This Row],[CONTA]],BaseContasDRE[#All],5,FALSE)),"Fora do DRE",VLOOKUP(Base_Periodo1[[#This Row],[CONTA]],BaseContasDRE[#All],6,FALSE))</f>
        <v>Fora do DRE</v>
      </c>
      <c r="U3669" s="3" t="str">
        <f>IF(ISERROR(VLOOKUP(Base_Periodo1[[#This Row],[CONTA]],BaseContasDRE[#All],7,FALSE)),"Fora do DRE",VLOOKUP(Base_Periodo1[[#This Row],[CONTA]],BaseContasDRE[#All],7,FALSE))</f>
        <v>Fora do DRE</v>
      </c>
      <c r="V3669" s="3" t="str">
        <f>IF(Base_Periodo1[[#This Row],[Tipo_Linha]]="Fora do DRE","Fora do DRE","( "&amp;Base_Periodo1[[#This Row],[Tipo_Linha]]&amp;" ) "&amp;Base_Periodo1[[#This Row],[Filtro]])</f>
        <v>Fora do DRE</v>
      </c>
      <c r="W3669" s="3" t="str">
        <f>LEFT(Base_Periodo1[[#This Row],[CLASS]],3)</f>
        <v>2.1</v>
      </c>
    </row>
    <row r="3670" spans="1:23" hidden="1">
      <c r="A3670" s="3" t="str">
        <f t="shared" si="57"/>
        <v>Período 1</v>
      </c>
      <c r="B3670">
        <v>20599</v>
      </c>
      <c r="C3670" t="s">
        <v>2010</v>
      </c>
      <c r="D3670" t="s">
        <v>5184</v>
      </c>
      <c r="E3670" s="3" t="str">
        <f>IF(LEN(Base_Periodo1[[#This Row],[CLASS]])&gt;=7,LEFT(Base_Periodo1[[#This Row],[CLASS]],7),"")</f>
        <v>2.1.2.2</v>
      </c>
      <c r="F3670" s="3" t="str">
        <f>VLOOKUP(Base_Periodo1[[#This Row],[Aux]],Base_Contas_Balanco[#All],2,FALSE)</f>
        <v>Fornecedores Não Cooperados</v>
      </c>
      <c r="G3670" s="1">
        <v>42811</v>
      </c>
      <c r="H3670" s="225">
        <v>1.0299999999988358</v>
      </c>
      <c r="I3670" s="225">
        <v>0</v>
      </c>
      <c r="J3670" s="225">
        <v>0</v>
      </c>
      <c r="K3670" s="225">
        <v>1.0299999999988358</v>
      </c>
      <c r="L36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1.03</v>
      </c>
      <c r="M3670" s="225">
        <f>ROUND(IF(AND(Base_Periodo1[[#This Row],[Tipo_Linha]]="-",Base_Periodo1[[#This Row],[TIPOSALDO]]="D"),Base_Periodo1[[#This Row],[SALDO_ATUAL]]*-1,Base_Periodo1[[#This Row],[SALDO_ATUAL]]),4)</f>
        <v>1.03</v>
      </c>
      <c r="N3670" t="s">
        <v>116</v>
      </c>
      <c r="O3670" t="s">
        <v>459</v>
      </c>
      <c r="P3670" t="s">
        <v>459</v>
      </c>
      <c r="Q3670">
        <v>7</v>
      </c>
      <c r="R3670" s="225">
        <f>Base_Periodo1[[#This Row],[CREDITOS]]-Base_Periodo1[[#This Row],[DEBITOS]]</f>
        <v>0</v>
      </c>
      <c r="S3670" s="3" t="str">
        <f>IF(ISERROR(VLOOKUP(Base_Periodo1[[#This Row],[CONTA]],BaseContasDRE[#All],4,FALSE)),"Fora do DRE",VLOOKUP(Base_Periodo1[[#This Row],[CONTA]],BaseContasDRE[#All],4,FALSE))</f>
        <v>Fora do DRE</v>
      </c>
      <c r="T3670" s="3" t="str">
        <f>IF(ISERROR(VLOOKUP(Base_Periodo1[[#This Row],[CONTA]],BaseContasDRE[#All],5,FALSE)),"Fora do DRE",VLOOKUP(Base_Periodo1[[#This Row],[CONTA]],BaseContasDRE[#All],6,FALSE))</f>
        <v>Fora do DRE</v>
      </c>
      <c r="U3670" s="3" t="str">
        <f>IF(ISERROR(VLOOKUP(Base_Periodo1[[#This Row],[CONTA]],BaseContasDRE[#All],7,FALSE)),"Fora do DRE",VLOOKUP(Base_Periodo1[[#This Row],[CONTA]],BaseContasDRE[#All],7,FALSE))</f>
        <v>Fora do DRE</v>
      </c>
      <c r="V3670" s="3" t="str">
        <f>IF(Base_Periodo1[[#This Row],[Tipo_Linha]]="Fora do DRE","Fora do DRE","( "&amp;Base_Periodo1[[#This Row],[Tipo_Linha]]&amp;" ) "&amp;Base_Periodo1[[#This Row],[Filtro]])</f>
        <v>Fora do DRE</v>
      </c>
      <c r="W3670" s="3" t="str">
        <f>LEFT(Base_Periodo1[[#This Row],[CLASS]],3)</f>
        <v>2.1</v>
      </c>
    </row>
    <row r="3671" spans="1:23" hidden="1">
      <c r="A3671" s="3" t="str">
        <f t="shared" si="57"/>
        <v>Período 1</v>
      </c>
      <c r="B3671">
        <v>57889</v>
      </c>
      <c r="C3671" t="s">
        <v>2010</v>
      </c>
      <c r="D3671" t="s">
        <v>7042</v>
      </c>
      <c r="E3671" s="3" t="str">
        <f>IF(LEN(Base_Periodo1[[#This Row],[CLASS]])&gt;=7,LEFT(Base_Periodo1[[#This Row],[CLASS]],7),"")</f>
        <v>2.1.2.2</v>
      </c>
      <c r="F3671" s="3" t="str">
        <f>VLOOKUP(Base_Periodo1[[#This Row],[Aux]],Base_Contas_Balanco[#All],2,FALSE)</f>
        <v>Fornecedores Não Cooperados</v>
      </c>
      <c r="G3671" s="1">
        <v>42881</v>
      </c>
      <c r="I3671" s="225">
        <v>14280.570000000002</v>
      </c>
      <c r="J3671" s="225">
        <v>14280.57</v>
      </c>
      <c r="K3671" s="225">
        <v>1.8189894035458565E-12</v>
      </c>
      <c r="L36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71" s="225">
        <f>ROUND(IF(AND(Base_Periodo1[[#This Row],[Tipo_Linha]]="-",Base_Periodo1[[#This Row],[TIPOSALDO]]="D"),Base_Periodo1[[#This Row],[SALDO_ATUAL]]*-1,Base_Periodo1[[#This Row],[SALDO_ATUAL]]),4)</f>
        <v>0</v>
      </c>
      <c r="N3671" t="s">
        <v>116</v>
      </c>
      <c r="O3671" t="s">
        <v>436</v>
      </c>
      <c r="P3671" t="s">
        <v>436</v>
      </c>
      <c r="Q3671">
        <v>7</v>
      </c>
      <c r="R3671" s="225">
        <f>Base_Periodo1[[#This Row],[CREDITOS]]-Base_Periodo1[[#This Row],[DEBITOS]]</f>
        <v>0</v>
      </c>
      <c r="S3671" s="3" t="str">
        <f>IF(ISERROR(VLOOKUP(Base_Periodo1[[#This Row],[CONTA]],BaseContasDRE[#All],4,FALSE)),"Fora do DRE",VLOOKUP(Base_Periodo1[[#This Row],[CONTA]],BaseContasDRE[#All],4,FALSE))</f>
        <v>Fora do DRE</v>
      </c>
      <c r="T3671" s="3" t="str">
        <f>IF(ISERROR(VLOOKUP(Base_Periodo1[[#This Row],[CONTA]],BaseContasDRE[#All],5,FALSE)),"Fora do DRE",VLOOKUP(Base_Periodo1[[#This Row],[CONTA]],BaseContasDRE[#All],6,FALSE))</f>
        <v>Fora do DRE</v>
      </c>
      <c r="U3671" s="3" t="str">
        <f>IF(ISERROR(VLOOKUP(Base_Periodo1[[#This Row],[CONTA]],BaseContasDRE[#All],7,FALSE)),"Fora do DRE",VLOOKUP(Base_Periodo1[[#This Row],[CONTA]],BaseContasDRE[#All],7,FALSE))</f>
        <v>Fora do DRE</v>
      </c>
      <c r="V3671" s="3" t="str">
        <f>IF(Base_Periodo1[[#This Row],[Tipo_Linha]]="Fora do DRE","Fora do DRE","( "&amp;Base_Periodo1[[#This Row],[Tipo_Linha]]&amp;" ) "&amp;Base_Periodo1[[#This Row],[Filtro]])</f>
        <v>Fora do DRE</v>
      </c>
      <c r="W3671" s="3" t="str">
        <f>LEFT(Base_Periodo1[[#This Row],[CLASS]],3)</f>
        <v>2.1</v>
      </c>
    </row>
    <row r="3672" spans="1:23" hidden="1">
      <c r="A3672" s="3" t="str">
        <f t="shared" si="57"/>
        <v>Período 1</v>
      </c>
      <c r="B3672">
        <v>43092</v>
      </c>
      <c r="C3672" t="s">
        <v>2010</v>
      </c>
      <c r="D3672" t="s">
        <v>2075</v>
      </c>
      <c r="E3672" s="3" t="str">
        <f>IF(LEN(Base_Periodo1[[#This Row],[CLASS]])&gt;=7,LEFT(Base_Periodo1[[#This Row],[CLASS]],7),"")</f>
        <v>2.1.2.2</v>
      </c>
      <c r="F3672" s="3" t="str">
        <f>VLOOKUP(Base_Periodo1[[#This Row],[Aux]],Base_Contas_Balanco[#All],2,FALSE)</f>
        <v>Fornecedores Não Cooperados</v>
      </c>
      <c r="G3672" s="1"/>
      <c r="H3672" s="225">
        <v>1989.4</v>
      </c>
      <c r="I3672" s="225">
        <v>0</v>
      </c>
      <c r="J3672" s="225">
        <v>0</v>
      </c>
      <c r="K3672" s="225">
        <v>1989.4</v>
      </c>
      <c r="L36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1989.4</v>
      </c>
      <c r="M3672" s="225">
        <f>ROUND(IF(AND(Base_Periodo1[[#This Row],[Tipo_Linha]]="-",Base_Periodo1[[#This Row],[TIPOSALDO]]="D"),Base_Periodo1[[#This Row],[SALDO_ATUAL]]*-1,Base_Periodo1[[#This Row],[SALDO_ATUAL]]),4)</f>
        <v>1989.4</v>
      </c>
      <c r="N3672" t="s">
        <v>116</v>
      </c>
      <c r="O3672" t="s">
        <v>459</v>
      </c>
      <c r="P3672" t="s">
        <v>459</v>
      </c>
      <c r="Q3672">
        <v>7</v>
      </c>
      <c r="R3672" s="225">
        <f>Base_Periodo1[[#This Row],[CREDITOS]]-Base_Periodo1[[#This Row],[DEBITOS]]</f>
        <v>0</v>
      </c>
      <c r="S3672" s="3" t="str">
        <f>IF(ISERROR(VLOOKUP(Base_Periodo1[[#This Row],[CONTA]],BaseContasDRE[#All],4,FALSE)),"Fora do DRE",VLOOKUP(Base_Periodo1[[#This Row],[CONTA]],BaseContasDRE[#All],4,FALSE))</f>
        <v>Fora do DRE</v>
      </c>
      <c r="T3672" s="3" t="str">
        <f>IF(ISERROR(VLOOKUP(Base_Periodo1[[#This Row],[CONTA]],BaseContasDRE[#All],5,FALSE)),"Fora do DRE",VLOOKUP(Base_Periodo1[[#This Row],[CONTA]],BaseContasDRE[#All],6,FALSE))</f>
        <v>Fora do DRE</v>
      </c>
      <c r="U3672" s="3" t="str">
        <f>IF(ISERROR(VLOOKUP(Base_Periodo1[[#This Row],[CONTA]],BaseContasDRE[#All],7,FALSE)),"Fora do DRE",VLOOKUP(Base_Periodo1[[#This Row],[CONTA]],BaseContasDRE[#All],7,FALSE))</f>
        <v>Fora do DRE</v>
      </c>
      <c r="V3672" s="3" t="str">
        <f>IF(Base_Periodo1[[#This Row],[Tipo_Linha]]="Fora do DRE","Fora do DRE","( "&amp;Base_Periodo1[[#This Row],[Tipo_Linha]]&amp;" ) "&amp;Base_Periodo1[[#This Row],[Filtro]])</f>
        <v>Fora do DRE</v>
      </c>
      <c r="W3672" s="3" t="str">
        <f>LEFT(Base_Periodo1[[#This Row],[CLASS]],3)</f>
        <v>2.1</v>
      </c>
    </row>
    <row r="3673" spans="1:23" hidden="1">
      <c r="A3673" s="3" t="str">
        <f t="shared" si="57"/>
        <v>Período 1</v>
      </c>
      <c r="B3673">
        <v>12292</v>
      </c>
      <c r="C3673" t="s">
        <v>2010</v>
      </c>
      <c r="D3673" t="s">
        <v>5233</v>
      </c>
      <c r="E3673" s="3" t="str">
        <f>IF(LEN(Base_Periodo1[[#This Row],[CLASS]])&gt;=7,LEFT(Base_Periodo1[[#This Row],[CLASS]],7),"")</f>
        <v>2.1.2.2</v>
      </c>
      <c r="F3673" s="3" t="str">
        <f>VLOOKUP(Base_Periodo1[[#This Row],[Aux]],Base_Contas_Balanco[#All],2,FALSE)</f>
        <v>Fornecedores Não Cooperados</v>
      </c>
      <c r="G3673" s="1">
        <v>42871</v>
      </c>
      <c r="I3673" s="225">
        <v>77.2</v>
      </c>
      <c r="J3673" s="225">
        <v>77.2</v>
      </c>
      <c r="K3673" s="225">
        <v>8.7311491370201111E-11</v>
      </c>
      <c r="L36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73" s="225">
        <f>ROUND(IF(AND(Base_Periodo1[[#This Row],[Tipo_Linha]]="-",Base_Periodo1[[#This Row],[TIPOSALDO]]="D"),Base_Periodo1[[#This Row],[SALDO_ATUAL]]*-1,Base_Periodo1[[#This Row],[SALDO_ATUAL]]),4)</f>
        <v>0</v>
      </c>
      <c r="N3673" t="s">
        <v>116</v>
      </c>
      <c r="O3673" t="s">
        <v>436</v>
      </c>
      <c r="P3673" t="s">
        <v>436</v>
      </c>
      <c r="Q3673">
        <v>7</v>
      </c>
      <c r="R3673" s="225">
        <f>Base_Periodo1[[#This Row],[CREDITOS]]-Base_Periodo1[[#This Row],[DEBITOS]]</f>
        <v>0</v>
      </c>
      <c r="S3673" s="3" t="str">
        <f>IF(ISERROR(VLOOKUP(Base_Periodo1[[#This Row],[CONTA]],BaseContasDRE[#All],4,FALSE)),"Fora do DRE",VLOOKUP(Base_Periodo1[[#This Row],[CONTA]],BaseContasDRE[#All],4,FALSE))</f>
        <v>Fora do DRE</v>
      </c>
      <c r="T3673" s="3" t="str">
        <f>IF(ISERROR(VLOOKUP(Base_Periodo1[[#This Row],[CONTA]],BaseContasDRE[#All],5,FALSE)),"Fora do DRE",VLOOKUP(Base_Periodo1[[#This Row],[CONTA]],BaseContasDRE[#All],6,FALSE))</f>
        <v>Fora do DRE</v>
      </c>
      <c r="U3673" s="3" t="str">
        <f>IF(ISERROR(VLOOKUP(Base_Periodo1[[#This Row],[CONTA]],BaseContasDRE[#All],7,FALSE)),"Fora do DRE",VLOOKUP(Base_Periodo1[[#This Row],[CONTA]],BaseContasDRE[#All],7,FALSE))</f>
        <v>Fora do DRE</v>
      </c>
      <c r="V3673" s="3" t="str">
        <f>IF(Base_Periodo1[[#This Row],[Tipo_Linha]]="Fora do DRE","Fora do DRE","( "&amp;Base_Periodo1[[#This Row],[Tipo_Linha]]&amp;" ) "&amp;Base_Periodo1[[#This Row],[Filtro]])</f>
        <v>Fora do DRE</v>
      </c>
      <c r="W3673" s="3" t="str">
        <f>LEFT(Base_Periodo1[[#This Row],[CLASS]],3)</f>
        <v>2.1</v>
      </c>
    </row>
    <row r="3674" spans="1:23" hidden="1">
      <c r="A3674" s="3" t="str">
        <f t="shared" si="57"/>
        <v>Período 1</v>
      </c>
      <c r="B3674">
        <v>7538</v>
      </c>
      <c r="C3674" t="s">
        <v>2010</v>
      </c>
      <c r="D3674" t="s">
        <v>7043</v>
      </c>
      <c r="E3674" s="3" t="str">
        <f>IF(LEN(Base_Periodo1[[#This Row],[CLASS]])&gt;=7,LEFT(Base_Periodo1[[#This Row],[CLASS]],7),"")</f>
        <v>2.1.2.2</v>
      </c>
      <c r="F3674" s="3" t="str">
        <f>VLOOKUP(Base_Periodo1[[#This Row],[Aux]],Base_Contas_Balanco[#All],2,FALSE)</f>
        <v>Fornecedores Não Cooperados</v>
      </c>
      <c r="G3674" s="1">
        <v>42885</v>
      </c>
      <c r="I3674" s="225">
        <v>3266.03</v>
      </c>
      <c r="J3674" s="225">
        <v>3266.03</v>
      </c>
      <c r="K3674" s="225">
        <v>-1.4551915228366852E-11</v>
      </c>
      <c r="L36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74" s="225">
        <f>ROUND(IF(AND(Base_Periodo1[[#This Row],[Tipo_Linha]]="-",Base_Periodo1[[#This Row],[TIPOSALDO]]="D"),Base_Periodo1[[#This Row],[SALDO_ATUAL]]*-1,Base_Periodo1[[#This Row],[SALDO_ATUAL]]),4)</f>
        <v>0</v>
      </c>
      <c r="N3674" t="s">
        <v>116</v>
      </c>
      <c r="O3674" t="s">
        <v>436</v>
      </c>
      <c r="P3674" t="s">
        <v>436</v>
      </c>
      <c r="Q3674">
        <v>7</v>
      </c>
      <c r="R3674" s="225">
        <f>Base_Periodo1[[#This Row],[CREDITOS]]-Base_Periodo1[[#This Row],[DEBITOS]]</f>
        <v>0</v>
      </c>
      <c r="S3674" s="3" t="str">
        <f>IF(ISERROR(VLOOKUP(Base_Periodo1[[#This Row],[CONTA]],BaseContasDRE[#All],4,FALSE)),"Fora do DRE",VLOOKUP(Base_Periodo1[[#This Row],[CONTA]],BaseContasDRE[#All],4,FALSE))</f>
        <v>Fora do DRE</v>
      </c>
      <c r="T3674" s="3" t="str">
        <f>IF(ISERROR(VLOOKUP(Base_Periodo1[[#This Row],[CONTA]],BaseContasDRE[#All],5,FALSE)),"Fora do DRE",VLOOKUP(Base_Periodo1[[#This Row],[CONTA]],BaseContasDRE[#All],6,FALSE))</f>
        <v>Fora do DRE</v>
      </c>
      <c r="U3674" s="3" t="str">
        <f>IF(ISERROR(VLOOKUP(Base_Periodo1[[#This Row],[CONTA]],BaseContasDRE[#All],7,FALSE)),"Fora do DRE",VLOOKUP(Base_Periodo1[[#This Row],[CONTA]],BaseContasDRE[#All],7,FALSE))</f>
        <v>Fora do DRE</v>
      </c>
      <c r="V3674" s="3" t="str">
        <f>IF(Base_Periodo1[[#This Row],[Tipo_Linha]]="Fora do DRE","Fora do DRE","( "&amp;Base_Periodo1[[#This Row],[Tipo_Linha]]&amp;" ) "&amp;Base_Periodo1[[#This Row],[Filtro]])</f>
        <v>Fora do DRE</v>
      </c>
      <c r="W3674" s="3" t="str">
        <f>LEFT(Base_Periodo1[[#This Row],[CLASS]],3)</f>
        <v>2.1</v>
      </c>
    </row>
    <row r="3675" spans="1:23" hidden="1">
      <c r="A3675" s="3" t="str">
        <f t="shared" si="57"/>
        <v>Período 1</v>
      </c>
      <c r="B3675">
        <v>7322</v>
      </c>
      <c r="C3675" t="s">
        <v>2010</v>
      </c>
      <c r="D3675" t="s">
        <v>7044</v>
      </c>
      <c r="E3675" s="3" t="str">
        <f>IF(LEN(Base_Periodo1[[#This Row],[CLASS]])&gt;=7,LEFT(Base_Periodo1[[#This Row],[CLASS]],7),"")</f>
        <v>2.1.2.2</v>
      </c>
      <c r="F3675" s="3" t="str">
        <f>VLOOKUP(Base_Periodo1[[#This Row],[Aux]],Base_Contas_Balanco[#All],2,FALSE)</f>
        <v>Fornecedores Não Cooperados</v>
      </c>
      <c r="G3675" s="1">
        <v>42873</v>
      </c>
      <c r="I3675" s="225">
        <v>886.2</v>
      </c>
      <c r="J3675" s="225">
        <v>886.2</v>
      </c>
      <c r="K3675" s="225">
        <v>1.4551915228366852E-11</v>
      </c>
      <c r="L36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75" s="225">
        <f>ROUND(IF(AND(Base_Periodo1[[#This Row],[Tipo_Linha]]="-",Base_Periodo1[[#This Row],[TIPOSALDO]]="D"),Base_Periodo1[[#This Row],[SALDO_ATUAL]]*-1,Base_Periodo1[[#This Row],[SALDO_ATUAL]]),4)</f>
        <v>0</v>
      </c>
      <c r="N3675" t="s">
        <v>116</v>
      </c>
      <c r="O3675" t="s">
        <v>436</v>
      </c>
      <c r="P3675" t="s">
        <v>436</v>
      </c>
      <c r="Q3675">
        <v>7</v>
      </c>
      <c r="R3675" s="225">
        <f>Base_Periodo1[[#This Row],[CREDITOS]]-Base_Periodo1[[#This Row],[DEBITOS]]</f>
        <v>0</v>
      </c>
      <c r="S3675" s="3" t="str">
        <f>IF(ISERROR(VLOOKUP(Base_Periodo1[[#This Row],[CONTA]],BaseContasDRE[#All],4,FALSE)),"Fora do DRE",VLOOKUP(Base_Periodo1[[#This Row],[CONTA]],BaseContasDRE[#All],4,FALSE))</f>
        <v>Fora do DRE</v>
      </c>
      <c r="T3675" s="3" t="str">
        <f>IF(ISERROR(VLOOKUP(Base_Periodo1[[#This Row],[CONTA]],BaseContasDRE[#All],5,FALSE)),"Fora do DRE",VLOOKUP(Base_Periodo1[[#This Row],[CONTA]],BaseContasDRE[#All],6,FALSE))</f>
        <v>Fora do DRE</v>
      </c>
      <c r="U3675" s="3" t="str">
        <f>IF(ISERROR(VLOOKUP(Base_Periodo1[[#This Row],[CONTA]],BaseContasDRE[#All],7,FALSE)),"Fora do DRE",VLOOKUP(Base_Periodo1[[#This Row],[CONTA]],BaseContasDRE[#All],7,FALSE))</f>
        <v>Fora do DRE</v>
      </c>
      <c r="V3675" s="3" t="str">
        <f>IF(Base_Periodo1[[#This Row],[Tipo_Linha]]="Fora do DRE","Fora do DRE","( "&amp;Base_Periodo1[[#This Row],[Tipo_Linha]]&amp;" ) "&amp;Base_Periodo1[[#This Row],[Filtro]])</f>
        <v>Fora do DRE</v>
      </c>
      <c r="W3675" s="3" t="str">
        <f>LEFT(Base_Periodo1[[#This Row],[CLASS]],3)</f>
        <v>2.1</v>
      </c>
    </row>
    <row r="3676" spans="1:23" hidden="1">
      <c r="A3676" s="3" t="str">
        <f t="shared" si="57"/>
        <v>Período 1</v>
      </c>
      <c r="B3676">
        <v>50525</v>
      </c>
      <c r="C3676" t="s">
        <v>2010</v>
      </c>
      <c r="D3676" t="s">
        <v>6487</v>
      </c>
      <c r="E3676" s="3" t="str">
        <f>IF(LEN(Base_Periodo1[[#This Row],[CLASS]])&gt;=7,LEFT(Base_Periodo1[[#This Row],[CLASS]],7),"")</f>
        <v>2.1.2.2</v>
      </c>
      <c r="F3676" s="3" t="str">
        <f>VLOOKUP(Base_Periodo1[[#This Row],[Aux]],Base_Contas_Balanco[#All],2,FALSE)</f>
        <v>Fornecedores Não Cooperados</v>
      </c>
      <c r="G3676" s="1">
        <v>42858</v>
      </c>
      <c r="I3676" s="225">
        <v>6775.46</v>
      </c>
      <c r="J3676" s="225">
        <v>6775.46</v>
      </c>
      <c r="K3676" s="225">
        <v>0</v>
      </c>
      <c r="L36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76" s="225">
        <f>ROUND(IF(AND(Base_Periodo1[[#This Row],[Tipo_Linha]]="-",Base_Periodo1[[#This Row],[TIPOSALDO]]="D"),Base_Periodo1[[#This Row],[SALDO_ATUAL]]*-1,Base_Periodo1[[#This Row],[SALDO_ATUAL]]),4)</f>
        <v>0</v>
      </c>
      <c r="N3676" t="s">
        <v>116</v>
      </c>
      <c r="O3676" t="s">
        <v>436</v>
      </c>
      <c r="P3676" t="s">
        <v>436</v>
      </c>
      <c r="Q3676">
        <v>7</v>
      </c>
      <c r="R3676" s="225">
        <f>Base_Periodo1[[#This Row],[CREDITOS]]-Base_Periodo1[[#This Row],[DEBITOS]]</f>
        <v>0</v>
      </c>
      <c r="S3676" s="3" t="str">
        <f>IF(ISERROR(VLOOKUP(Base_Periodo1[[#This Row],[CONTA]],BaseContasDRE[#All],4,FALSE)),"Fora do DRE",VLOOKUP(Base_Periodo1[[#This Row],[CONTA]],BaseContasDRE[#All],4,FALSE))</f>
        <v>Fora do DRE</v>
      </c>
      <c r="T3676" s="3" t="str">
        <f>IF(ISERROR(VLOOKUP(Base_Periodo1[[#This Row],[CONTA]],BaseContasDRE[#All],5,FALSE)),"Fora do DRE",VLOOKUP(Base_Periodo1[[#This Row],[CONTA]],BaseContasDRE[#All],6,FALSE))</f>
        <v>Fora do DRE</v>
      </c>
      <c r="U3676" s="3" t="str">
        <f>IF(ISERROR(VLOOKUP(Base_Periodo1[[#This Row],[CONTA]],BaseContasDRE[#All],7,FALSE)),"Fora do DRE",VLOOKUP(Base_Periodo1[[#This Row],[CONTA]],BaseContasDRE[#All],7,FALSE))</f>
        <v>Fora do DRE</v>
      </c>
      <c r="V3676" s="3" t="str">
        <f>IF(Base_Periodo1[[#This Row],[Tipo_Linha]]="Fora do DRE","Fora do DRE","( "&amp;Base_Periodo1[[#This Row],[Tipo_Linha]]&amp;" ) "&amp;Base_Periodo1[[#This Row],[Filtro]])</f>
        <v>Fora do DRE</v>
      </c>
      <c r="W3676" s="3" t="str">
        <f>LEFT(Base_Periodo1[[#This Row],[CLASS]],3)</f>
        <v>2.1</v>
      </c>
    </row>
    <row r="3677" spans="1:23" hidden="1">
      <c r="A3677" s="3" t="str">
        <f t="shared" si="57"/>
        <v>Período 1</v>
      </c>
      <c r="B3677">
        <v>21829</v>
      </c>
      <c r="C3677" t="s">
        <v>2010</v>
      </c>
      <c r="D3677" t="s">
        <v>7045</v>
      </c>
      <c r="E3677" s="3" t="str">
        <f>IF(LEN(Base_Periodo1[[#This Row],[CLASS]])&gt;=7,LEFT(Base_Periodo1[[#This Row],[CLASS]],7),"")</f>
        <v>2.1.2.2</v>
      </c>
      <c r="F3677" s="3" t="str">
        <f>VLOOKUP(Base_Periodo1[[#This Row],[Aux]],Base_Contas_Balanco[#All],2,FALSE)</f>
        <v>Fornecedores Não Cooperados</v>
      </c>
      <c r="G3677" s="1">
        <v>42877</v>
      </c>
      <c r="I3677" s="225">
        <v>3020</v>
      </c>
      <c r="J3677" s="225">
        <v>3020</v>
      </c>
      <c r="K3677" s="225">
        <v>-1.8189894035458565E-12</v>
      </c>
      <c r="L36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77" s="225">
        <f>ROUND(IF(AND(Base_Periodo1[[#This Row],[Tipo_Linha]]="-",Base_Periodo1[[#This Row],[TIPOSALDO]]="D"),Base_Periodo1[[#This Row],[SALDO_ATUAL]]*-1,Base_Periodo1[[#This Row],[SALDO_ATUAL]]),4)</f>
        <v>0</v>
      </c>
      <c r="N3677" t="s">
        <v>116</v>
      </c>
      <c r="O3677" t="s">
        <v>436</v>
      </c>
      <c r="P3677" t="s">
        <v>436</v>
      </c>
      <c r="Q3677">
        <v>7</v>
      </c>
      <c r="R3677" s="225">
        <f>Base_Periodo1[[#This Row],[CREDITOS]]-Base_Periodo1[[#This Row],[DEBITOS]]</f>
        <v>0</v>
      </c>
      <c r="S3677" s="3" t="str">
        <f>IF(ISERROR(VLOOKUP(Base_Periodo1[[#This Row],[CONTA]],BaseContasDRE[#All],4,FALSE)),"Fora do DRE",VLOOKUP(Base_Periodo1[[#This Row],[CONTA]],BaseContasDRE[#All],4,FALSE))</f>
        <v>Fora do DRE</v>
      </c>
      <c r="T3677" s="3" t="str">
        <f>IF(ISERROR(VLOOKUP(Base_Periodo1[[#This Row],[CONTA]],BaseContasDRE[#All],5,FALSE)),"Fora do DRE",VLOOKUP(Base_Periodo1[[#This Row],[CONTA]],BaseContasDRE[#All],6,FALSE))</f>
        <v>Fora do DRE</v>
      </c>
      <c r="U3677" s="3" t="str">
        <f>IF(ISERROR(VLOOKUP(Base_Periodo1[[#This Row],[CONTA]],BaseContasDRE[#All],7,FALSE)),"Fora do DRE",VLOOKUP(Base_Periodo1[[#This Row],[CONTA]],BaseContasDRE[#All],7,FALSE))</f>
        <v>Fora do DRE</v>
      </c>
      <c r="V3677" s="3" t="str">
        <f>IF(Base_Periodo1[[#This Row],[Tipo_Linha]]="Fora do DRE","Fora do DRE","( "&amp;Base_Periodo1[[#This Row],[Tipo_Linha]]&amp;" ) "&amp;Base_Periodo1[[#This Row],[Filtro]])</f>
        <v>Fora do DRE</v>
      </c>
      <c r="W3677" s="3" t="str">
        <f>LEFT(Base_Periodo1[[#This Row],[CLASS]],3)</f>
        <v>2.1</v>
      </c>
    </row>
    <row r="3678" spans="1:23" hidden="1">
      <c r="A3678" s="3" t="str">
        <f t="shared" si="57"/>
        <v>Período 1</v>
      </c>
      <c r="B3678">
        <v>20486</v>
      </c>
      <c r="C3678" t="s">
        <v>2010</v>
      </c>
      <c r="D3678" t="s">
        <v>7046</v>
      </c>
      <c r="E3678" s="3" t="str">
        <f>IF(LEN(Base_Periodo1[[#This Row],[CLASS]])&gt;=7,LEFT(Base_Periodo1[[#This Row],[CLASS]],7),"")</f>
        <v>2.1.2.2</v>
      </c>
      <c r="F3678" s="3" t="str">
        <f>VLOOKUP(Base_Periodo1[[#This Row],[Aux]],Base_Contas_Balanco[#All],2,FALSE)</f>
        <v>Fornecedores Não Cooperados</v>
      </c>
      <c r="G3678" s="1">
        <v>42871</v>
      </c>
      <c r="I3678" s="225">
        <v>25</v>
      </c>
      <c r="J3678" s="225">
        <v>25</v>
      </c>
      <c r="K3678" s="225">
        <v>0</v>
      </c>
      <c r="L36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78" s="225">
        <f>ROUND(IF(AND(Base_Periodo1[[#This Row],[Tipo_Linha]]="-",Base_Periodo1[[#This Row],[TIPOSALDO]]="D"),Base_Periodo1[[#This Row],[SALDO_ATUAL]]*-1,Base_Periodo1[[#This Row],[SALDO_ATUAL]]),4)</f>
        <v>0</v>
      </c>
      <c r="N3678" t="s">
        <v>116</v>
      </c>
      <c r="O3678" t="s">
        <v>436</v>
      </c>
      <c r="P3678" t="s">
        <v>436</v>
      </c>
      <c r="Q3678">
        <v>7</v>
      </c>
      <c r="R3678" s="225">
        <f>Base_Periodo1[[#This Row],[CREDITOS]]-Base_Periodo1[[#This Row],[DEBITOS]]</f>
        <v>0</v>
      </c>
      <c r="S3678" s="3" t="str">
        <f>IF(ISERROR(VLOOKUP(Base_Periodo1[[#This Row],[CONTA]],BaseContasDRE[#All],4,FALSE)),"Fora do DRE",VLOOKUP(Base_Periodo1[[#This Row],[CONTA]],BaseContasDRE[#All],4,FALSE))</f>
        <v>Fora do DRE</v>
      </c>
      <c r="T3678" s="3" t="str">
        <f>IF(ISERROR(VLOOKUP(Base_Periodo1[[#This Row],[CONTA]],BaseContasDRE[#All],5,FALSE)),"Fora do DRE",VLOOKUP(Base_Periodo1[[#This Row],[CONTA]],BaseContasDRE[#All],6,FALSE))</f>
        <v>Fora do DRE</v>
      </c>
      <c r="U3678" s="3" t="str">
        <f>IF(ISERROR(VLOOKUP(Base_Periodo1[[#This Row],[CONTA]],BaseContasDRE[#All],7,FALSE)),"Fora do DRE",VLOOKUP(Base_Periodo1[[#This Row],[CONTA]],BaseContasDRE[#All],7,FALSE))</f>
        <v>Fora do DRE</v>
      </c>
      <c r="V3678" s="3" t="str">
        <f>IF(Base_Periodo1[[#This Row],[Tipo_Linha]]="Fora do DRE","Fora do DRE","( "&amp;Base_Periodo1[[#This Row],[Tipo_Linha]]&amp;" ) "&amp;Base_Periodo1[[#This Row],[Filtro]])</f>
        <v>Fora do DRE</v>
      </c>
      <c r="W3678" s="3" t="str">
        <f>LEFT(Base_Periodo1[[#This Row],[CLASS]],3)</f>
        <v>2.1</v>
      </c>
    </row>
    <row r="3679" spans="1:23" hidden="1">
      <c r="A3679" s="3" t="str">
        <f t="shared" si="57"/>
        <v>Período 1</v>
      </c>
      <c r="B3679">
        <v>58574</v>
      </c>
      <c r="C3679" t="s">
        <v>2010</v>
      </c>
      <c r="D3679" t="s">
        <v>6488</v>
      </c>
      <c r="E3679" s="3" t="str">
        <f>IF(LEN(Base_Periodo1[[#This Row],[CLASS]])&gt;=7,LEFT(Base_Periodo1[[#This Row],[CLASS]],7),"")</f>
        <v>2.1.2.2</v>
      </c>
      <c r="F3679" s="3" t="str">
        <f>VLOOKUP(Base_Periodo1[[#This Row],[Aux]],Base_Contas_Balanco[#All],2,FALSE)</f>
        <v>Fornecedores Não Cooperados</v>
      </c>
      <c r="G3679" s="1">
        <v>42879</v>
      </c>
      <c r="I3679" s="225">
        <v>2530</v>
      </c>
      <c r="J3679" s="225">
        <v>2530</v>
      </c>
      <c r="K3679" s="225">
        <v>0</v>
      </c>
      <c r="L36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79" s="225">
        <f>ROUND(IF(AND(Base_Periodo1[[#This Row],[Tipo_Linha]]="-",Base_Periodo1[[#This Row],[TIPOSALDO]]="D"),Base_Periodo1[[#This Row],[SALDO_ATUAL]]*-1,Base_Periodo1[[#This Row],[SALDO_ATUAL]]),4)</f>
        <v>0</v>
      </c>
      <c r="N3679" t="s">
        <v>116</v>
      </c>
      <c r="O3679" t="s">
        <v>436</v>
      </c>
      <c r="P3679" t="s">
        <v>436</v>
      </c>
      <c r="Q3679">
        <v>7</v>
      </c>
      <c r="R3679" s="225">
        <f>Base_Periodo1[[#This Row],[CREDITOS]]-Base_Periodo1[[#This Row],[DEBITOS]]</f>
        <v>0</v>
      </c>
      <c r="S3679" s="3" t="str">
        <f>IF(ISERROR(VLOOKUP(Base_Periodo1[[#This Row],[CONTA]],BaseContasDRE[#All],4,FALSE)),"Fora do DRE",VLOOKUP(Base_Periodo1[[#This Row],[CONTA]],BaseContasDRE[#All],4,FALSE))</f>
        <v>Fora do DRE</v>
      </c>
      <c r="T3679" s="3" t="str">
        <f>IF(ISERROR(VLOOKUP(Base_Periodo1[[#This Row],[CONTA]],BaseContasDRE[#All],5,FALSE)),"Fora do DRE",VLOOKUP(Base_Periodo1[[#This Row],[CONTA]],BaseContasDRE[#All],6,FALSE))</f>
        <v>Fora do DRE</v>
      </c>
      <c r="U3679" s="3" t="str">
        <f>IF(ISERROR(VLOOKUP(Base_Periodo1[[#This Row],[CONTA]],BaseContasDRE[#All],7,FALSE)),"Fora do DRE",VLOOKUP(Base_Periodo1[[#This Row],[CONTA]],BaseContasDRE[#All],7,FALSE))</f>
        <v>Fora do DRE</v>
      </c>
      <c r="V3679" s="3" t="str">
        <f>IF(Base_Periodo1[[#This Row],[Tipo_Linha]]="Fora do DRE","Fora do DRE","( "&amp;Base_Periodo1[[#This Row],[Tipo_Linha]]&amp;" ) "&amp;Base_Periodo1[[#This Row],[Filtro]])</f>
        <v>Fora do DRE</v>
      </c>
      <c r="W3679" s="3" t="str">
        <f>LEFT(Base_Periodo1[[#This Row],[CLASS]],3)</f>
        <v>2.1</v>
      </c>
    </row>
    <row r="3680" spans="1:23" hidden="1">
      <c r="A3680" s="3" t="str">
        <f t="shared" si="57"/>
        <v>Período 1</v>
      </c>
      <c r="B3680">
        <v>50853</v>
      </c>
      <c r="C3680" t="s">
        <v>2010</v>
      </c>
      <c r="D3680" t="s">
        <v>7047</v>
      </c>
      <c r="E3680" s="3" t="str">
        <f>IF(LEN(Base_Periodo1[[#This Row],[CLASS]])&gt;=7,LEFT(Base_Periodo1[[#This Row],[CLASS]],7),"")</f>
        <v>2.1.2.2</v>
      </c>
      <c r="F3680" s="3" t="str">
        <f>VLOOKUP(Base_Periodo1[[#This Row],[Aux]],Base_Contas_Balanco[#All],2,FALSE)</f>
        <v>Fornecedores Não Cooperados</v>
      </c>
      <c r="G3680" s="1">
        <v>42881</v>
      </c>
      <c r="I3680" s="225">
        <v>7952.74</v>
      </c>
      <c r="J3680" s="225">
        <v>7952.74</v>
      </c>
      <c r="K3680" s="225">
        <v>0</v>
      </c>
      <c r="L36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80" s="225">
        <f>ROUND(IF(AND(Base_Periodo1[[#This Row],[Tipo_Linha]]="-",Base_Periodo1[[#This Row],[TIPOSALDO]]="D"),Base_Periodo1[[#This Row],[SALDO_ATUAL]]*-1,Base_Periodo1[[#This Row],[SALDO_ATUAL]]),4)</f>
        <v>0</v>
      </c>
      <c r="N3680" t="s">
        <v>116</v>
      </c>
      <c r="O3680" t="s">
        <v>436</v>
      </c>
      <c r="P3680" t="s">
        <v>436</v>
      </c>
      <c r="Q3680">
        <v>7</v>
      </c>
      <c r="R3680" s="225">
        <f>Base_Periodo1[[#This Row],[CREDITOS]]-Base_Periodo1[[#This Row],[DEBITOS]]</f>
        <v>0</v>
      </c>
      <c r="S3680" s="3" t="str">
        <f>IF(ISERROR(VLOOKUP(Base_Periodo1[[#This Row],[CONTA]],BaseContasDRE[#All],4,FALSE)),"Fora do DRE",VLOOKUP(Base_Periodo1[[#This Row],[CONTA]],BaseContasDRE[#All],4,FALSE))</f>
        <v>Fora do DRE</v>
      </c>
      <c r="T3680" s="3" t="str">
        <f>IF(ISERROR(VLOOKUP(Base_Periodo1[[#This Row],[CONTA]],BaseContasDRE[#All],5,FALSE)),"Fora do DRE",VLOOKUP(Base_Periodo1[[#This Row],[CONTA]],BaseContasDRE[#All],6,FALSE))</f>
        <v>Fora do DRE</v>
      </c>
      <c r="U3680" s="3" t="str">
        <f>IF(ISERROR(VLOOKUP(Base_Periodo1[[#This Row],[CONTA]],BaseContasDRE[#All],7,FALSE)),"Fora do DRE",VLOOKUP(Base_Periodo1[[#This Row],[CONTA]],BaseContasDRE[#All],7,FALSE))</f>
        <v>Fora do DRE</v>
      </c>
      <c r="V3680" s="3" t="str">
        <f>IF(Base_Periodo1[[#This Row],[Tipo_Linha]]="Fora do DRE","Fora do DRE","( "&amp;Base_Periodo1[[#This Row],[Tipo_Linha]]&amp;" ) "&amp;Base_Periodo1[[#This Row],[Filtro]])</f>
        <v>Fora do DRE</v>
      </c>
      <c r="W3680" s="3" t="str">
        <f>LEFT(Base_Periodo1[[#This Row],[CLASS]],3)</f>
        <v>2.1</v>
      </c>
    </row>
    <row r="3681" spans="1:23" hidden="1">
      <c r="A3681" s="3" t="str">
        <f t="shared" si="57"/>
        <v>Período 1</v>
      </c>
      <c r="B3681">
        <v>50013</v>
      </c>
      <c r="C3681" t="s">
        <v>2010</v>
      </c>
      <c r="D3681" t="s">
        <v>4861</v>
      </c>
      <c r="E3681" s="3" t="str">
        <f>IF(LEN(Base_Periodo1[[#This Row],[CLASS]])&gt;=7,LEFT(Base_Periodo1[[#This Row],[CLASS]],7),"")</f>
        <v>2.1.2.2</v>
      </c>
      <c r="F3681" s="3" t="str">
        <f>VLOOKUP(Base_Periodo1[[#This Row],[Aux]],Base_Contas_Balanco[#All],2,FALSE)</f>
        <v>Fornecedores Não Cooperados</v>
      </c>
      <c r="G3681" s="1">
        <v>42871</v>
      </c>
      <c r="I3681" s="225">
        <v>373.64</v>
      </c>
      <c r="J3681" s="225">
        <v>373.64</v>
      </c>
      <c r="K3681" s="225">
        <v>0</v>
      </c>
      <c r="L36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81" s="225">
        <f>ROUND(IF(AND(Base_Periodo1[[#This Row],[Tipo_Linha]]="-",Base_Periodo1[[#This Row],[TIPOSALDO]]="D"),Base_Periodo1[[#This Row],[SALDO_ATUAL]]*-1,Base_Periodo1[[#This Row],[SALDO_ATUAL]]),4)</f>
        <v>0</v>
      </c>
      <c r="N3681" t="s">
        <v>116</v>
      </c>
      <c r="O3681" t="s">
        <v>436</v>
      </c>
      <c r="P3681" t="s">
        <v>436</v>
      </c>
      <c r="Q3681">
        <v>7</v>
      </c>
      <c r="R3681" s="225">
        <f>Base_Periodo1[[#This Row],[CREDITOS]]-Base_Periodo1[[#This Row],[DEBITOS]]</f>
        <v>0</v>
      </c>
      <c r="S3681" s="3" t="str">
        <f>IF(ISERROR(VLOOKUP(Base_Periodo1[[#This Row],[CONTA]],BaseContasDRE[#All],4,FALSE)),"Fora do DRE",VLOOKUP(Base_Periodo1[[#This Row],[CONTA]],BaseContasDRE[#All],4,FALSE))</f>
        <v>Fora do DRE</v>
      </c>
      <c r="T3681" s="3" t="str">
        <f>IF(ISERROR(VLOOKUP(Base_Periodo1[[#This Row],[CONTA]],BaseContasDRE[#All],5,FALSE)),"Fora do DRE",VLOOKUP(Base_Periodo1[[#This Row],[CONTA]],BaseContasDRE[#All],6,FALSE))</f>
        <v>Fora do DRE</v>
      </c>
      <c r="U3681" s="3" t="str">
        <f>IF(ISERROR(VLOOKUP(Base_Periodo1[[#This Row],[CONTA]],BaseContasDRE[#All],7,FALSE)),"Fora do DRE",VLOOKUP(Base_Periodo1[[#This Row],[CONTA]],BaseContasDRE[#All],7,FALSE))</f>
        <v>Fora do DRE</v>
      </c>
      <c r="V3681" s="3" t="str">
        <f>IF(Base_Periodo1[[#This Row],[Tipo_Linha]]="Fora do DRE","Fora do DRE","( "&amp;Base_Periodo1[[#This Row],[Tipo_Linha]]&amp;" ) "&amp;Base_Periodo1[[#This Row],[Filtro]])</f>
        <v>Fora do DRE</v>
      </c>
      <c r="W3681" s="3" t="str">
        <f>LEFT(Base_Periodo1[[#This Row],[CLASS]],3)</f>
        <v>2.1</v>
      </c>
    </row>
    <row r="3682" spans="1:23" hidden="1">
      <c r="A3682" s="3" t="str">
        <f t="shared" si="57"/>
        <v>Período 1</v>
      </c>
      <c r="B3682">
        <v>20671</v>
      </c>
      <c r="C3682" t="s">
        <v>2010</v>
      </c>
      <c r="D3682" t="s">
        <v>7048</v>
      </c>
      <c r="E3682" s="3" t="str">
        <f>IF(LEN(Base_Periodo1[[#This Row],[CLASS]])&gt;=7,LEFT(Base_Periodo1[[#This Row],[CLASS]],7),"")</f>
        <v>2.1.2.2</v>
      </c>
      <c r="F3682" s="3" t="str">
        <f>VLOOKUP(Base_Periodo1[[#This Row],[Aux]],Base_Contas_Balanco[#All],2,FALSE)</f>
        <v>Fornecedores Não Cooperados</v>
      </c>
      <c r="G3682" s="1">
        <v>42877</v>
      </c>
      <c r="I3682" s="225">
        <v>1476.74</v>
      </c>
      <c r="J3682" s="225">
        <v>1476.74</v>
      </c>
      <c r="K3682" s="225">
        <v>-7.2759576141834259E-12</v>
      </c>
      <c r="L36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82" s="225">
        <f>ROUND(IF(AND(Base_Periodo1[[#This Row],[Tipo_Linha]]="-",Base_Periodo1[[#This Row],[TIPOSALDO]]="D"),Base_Periodo1[[#This Row],[SALDO_ATUAL]]*-1,Base_Periodo1[[#This Row],[SALDO_ATUAL]]),4)</f>
        <v>0</v>
      </c>
      <c r="N3682" t="s">
        <v>116</v>
      </c>
      <c r="O3682" t="s">
        <v>436</v>
      </c>
      <c r="P3682" t="s">
        <v>436</v>
      </c>
      <c r="Q3682">
        <v>7</v>
      </c>
      <c r="R3682" s="225">
        <f>Base_Periodo1[[#This Row],[CREDITOS]]-Base_Periodo1[[#This Row],[DEBITOS]]</f>
        <v>0</v>
      </c>
      <c r="S3682" s="3" t="str">
        <f>IF(ISERROR(VLOOKUP(Base_Periodo1[[#This Row],[CONTA]],BaseContasDRE[#All],4,FALSE)),"Fora do DRE",VLOOKUP(Base_Periodo1[[#This Row],[CONTA]],BaseContasDRE[#All],4,FALSE))</f>
        <v>Fora do DRE</v>
      </c>
      <c r="T3682" s="3" t="str">
        <f>IF(ISERROR(VLOOKUP(Base_Periodo1[[#This Row],[CONTA]],BaseContasDRE[#All],5,FALSE)),"Fora do DRE",VLOOKUP(Base_Periodo1[[#This Row],[CONTA]],BaseContasDRE[#All],6,FALSE))</f>
        <v>Fora do DRE</v>
      </c>
      <c r="U3682" s="3" t="str">
        <f>IF(ISERROR(VLOOKUP(Base_Periodo1[[#This Row],[CONTA]],BaseContasDRE[#All],7,FALSE)),"Fora do DRE",VLOOKUP(Base_Periodo1[[#This Row],[CONTA]],BaseContasDRE[#All],7,FALSE))</f>
        <v>Fora do DRE</v>
      </c>
      <c r="V3682" s="3" t="str">
        <f>IF(Base_Periodo1[[#This Row],[Tipo_Linha]]="Fora do DRE","Fora do DRE","( "&amp;Base_Periodo1[[#This Row],[Tipo_Linha]]&amp;" ) "&amp;Base_Periodo1[[#This Row],[Filtro]])</f>
        <v>Fora do DRE</v>
      </c>
      <c r="W3682" s="3" t="str">
        <f>LEFT(Base_Periodo1[[#This Row],[CLASS]],3)</f>
        <v>2.1</v>
      </c>
    </row>
    <row r="3683" spans="1:23" hidden="1">
      <c r="A3683" s="3" t="str">
        <f t="shared" si="57"/>
        <v>Período 1</v>
      </c>
      <c r="B3683">
        <v>40984</v>
      </c>
      <c r="C3683" t="s">
        <v>2010</v>
      </c>
      <c r="D3683" t="s">
        <v>2076</v>
      </c>
      <c r="E3683" s="3" t="str">
        <f>IF(LEN(Base_Periodo1[[#This Row],[CLASS]])&gt;=7,LEFT(Base_Periodo1[[#This Row],[CLASS]],7),"")</f>
        <v>2.1.2.2</v>
      </c>
      <c r="F3683" s="3" t="str">
        <f>VLOOKUP(Base_Periodo1[[#This Row],[Aux]],Base_Contas_Balanco[#All],2,FALSE)</f>
        <v>Fornecedores Não Cooperados</v>
      </c>
      <c r="G3683" s="1"/>
      <c r="H3683" s="225">
        <v>1989.32</v>
      </c>
      <c r="I3683" s="225">
        <v>0</v>
      </c>
      <c r="J3683" s="225">
        <v>0</v>
      </c>
      <c r="K3683" s="225">
        <v>1989.32</v>
      </c>
      <c r="L36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1989.32</v>
      </c>
      <c r="M3683" s="225">
        <f>ROUND(IF(AND(Base_Periodo1[[#This Row],[Tipo_Linha]]="-",Base_Periodo1[[#This Row],[TIPOSALDO]]="D"),Base_Periodo1[[#This Row],[SALDO_ATUAL]]*-1,Base_Periodo1[[#This Row],[SALDO_ATUAL]]),4)</f>
        <v>1989.32</v>
      </c>
      <c r="N3683" t="s">
        <v>116</v>
      </c>
      <c r="O3683" t="s">
        <v>459</v>
      </c>
      <c r="P3683" t="s">
        <v>459</v>
      </c>
      <c r="Q3683">
        <v>7</v>
      </c>
      <c r="R3683" s="225">
        <f>Base_Periodo1[[#This Row],[CREDITOS]]-Base_Periodo1[[#This Row],[DEBITOS]]</f>
        <v>0</v>
      </c>
      <c r="S3683" s="3" t="str">
        <f>IF(ISERROR(VLOOKUP(Base_Periodo1[[#This Row],[CONTA]],BaseContasDRE[#All],4,FALSE)),"Fora do DRE",VLOOKUP(Base_Periodo1[[#This Row],[CONTA]],BaseContasDRE[#All],4,FALSE))</f>
        <v>Fora do DRE</v>
      </c>
      <c r="T3683" s="3" t="str">
        <f>IF(ISERROR(VLOOKUP(Base_Periodo1[[#This Row],[CONTA]],BaseContasDRE[#All],5,FALSE)),"Fora do DRE",VLOOKUP(Base_Periodo1[[#This Row],[CONTA]],BaseContasDRE[#All],6,FALSE))</f>
        <v>Fora do DRE</v>
      </c>
      <c r="U3683" s="3" t="str">
        <f>IF(ISERROR(VLOOKUP(Base_Periodo1[[#This Row],[CONTA]],BaseContasDRE[#All],7,FALSE)),"Fora do DRE",VLOOKUP(Base_Periodo1[[#This Row],[CONTA]],BaseContasDRE[#All],7,FALSE))</f>
        <v>Fora do DRE</v>
      </c>
      <c r="V3683" s="3" t="str">
        <f>IF(Base_Periodo1[[#This Row],[Tipo_Linha]]="Fora do DRE","Fora do DRE","( "&amp;Base_Periodo1[[#This Row],[Tipo_Linha]]&amp;" ) "&amp;Base_Periodo1[[#This Row],[Filtro]])</f>
        <v>Fora do DRE</v>
      </c>
      <c r="W3683" s="3" t="str">
        <f>LEFT(Base_Periodo1[[#This Row],[CLASS]],3)</f>
        <v>2.1</v>
      </c>
    </row>
    <row r="3684" spans="1:23" hidden="1">
      <c r="A3684" s="3" t="str">
        <f t="shared" si="57"/>
        <v>Período 1</v>
      </c>
      <c r="B3684">
        <v>40750</v>
      </c>
      <c r="C3684" t="s">
        <v>2010</v>
      </c>
      <c r="D3684" t="s">
        <v>5724</v>
      </c>
      <c r="E3684" s="3" t="str">
        <f>IF(LEN(Base_Periodo1[[#This Row],[CLASS]])&gt;=7,LEFT(Base_Periodo1[[#This Row],[CLASS]],7),"")</f>
        <v>2.1.2.2</v>
      </c>
      <c r="F3684" s="3" t="str">
        <f>VLOOKUP(Base_Periodo1[[#This Row],[Aux]],Base_Contas_Balanco[#All],2,FALSE)</f>
        <v>Fornecedores Não Cooperados</v>
      </c>
      <c r="G3684" s="1">
        <v>42879</v>
      </c>
      <c r="H3684" s="225">
        <v>1090</v>
      </c>
      <c r="I3684" s="225">
        <v>1840</v>
      </c>
      <c r="J3684" s="225">
        <v>1635</v>
      </c>
      <c r="K3684" s="225">
        <v>885</v>
      </c>
      <c r="L36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885</v>
      </c>
      <c r="M3684" s="225">
        <f>ROUND(IF(AND(Base_Periodo1[[#This Row],[Tipo_Linha]]="-",Base_Periodo1[[#This Row],[TIPOSALDO]]="D"),Base_Periodo1[[#This Row],[SALDO_ATUAL]]*-1,Base_Periodo1[[#This Row],[SALDO_ATUAL]]),4)</f>
        <v>885</v>
      </c>
      <c r="N3684" t="s">
        <v>116</v>
      </c>
      <c r="O3684" t="s">
        <v>459</v>
      </c>
      <c r="P3684" t="s">
        <v>459</v>
      </c>
      <c r="Q3684">
        <v>7</v>
      </c>
      <c r="R3684" s="225">
        <f>Base_Periodo1[[#This Row],[CREDITOS]]-Base_Periodo1[[#This Row],[DEBITOS]]</f>
        <v>-205</v>
      </c>
      <c r="S3684" s="3" t="str">
        <f>IF(ISERROR(VLOOKUP(Base_Periodo1[[#This Row],[CONTA]],BaseContasDRE[#All],4,FALSE)),"Fora do DRE",VLOOKUP(Base_Periodo1[[#This Row],[CONTA]],BaseContasDRE[#All],4,FALSE))</f>
        <v>Fora do DRE</v>
      </c>
      <c r="T3684" s="3" t="str">
        <f>IF(ISERROR(VLOOKUP(Base_Periodo1[[#This Row],[CONTA]],BaseContasDRE[#All],5,FALSE)),"Fora do DRE",VLOOKUP(Base_Periodo1[[#This Row],[CONTA]],BaseContasDRE[#All],6,FALSE))</f>
        <v>Fora do DRE</v>
      </c>
      <c r="U3684" s="3" t="str">
        <f>IF(ISERROR(VLOOKUP(Base_Periodo1[[#This Row],[CONTA]],BaseContasDRE[#All],7,FALSE)),"Fora do DRE",VLOOKUP(Base_Periodo1[[#This Row],[CONTA]],BaseContasDRE[#All],7,FALSE))</f>
        <v>Fora do DRE</v>
      </c>
      <c r="V3684" s="3" t="str">
        <f>IF(Base_Periodo1[[#This Row],[Tipo_Linha]]="Fora do DRE","Fora do DRE","( "&amp;Base_Periodo1[[#This Row],[Tipo_Linha]]&amp;" ) "&amp;Base_Periodo1[[#This Row],[Filtro]])</f>
        <v>Fora do DRE</v>
      </c>
      <c r="W3684" s="3" t="str">
        <f>LEFT(Base_Periodo1[[#This Row],[CLASS]],3)</f>
        <v>2.1</v>
      </c>
    </row>
    <row r="3685" spans="1:23" hidden="1">
      <c r="A3685" s="3" t="str">
        <f t="shared" si="57"/>
        <v>Período 1</v>
      </c>
      <c r="B3685">
        <v>48635</v>
      </c>
      <c r="C3685" t="s">
        <v>2010</v>
      </c>
      <c r="D3685" t="s">
        <v>5978</v>
      </c>
      <c r="E3685" s="3" t="str">
        <f>IF(LEN(Base_Periodo1[[#This Row],[CLASS]])&gt;=7,LEFT(Base_Periodo1[[#This Row],[CLASS]],7),"")</f>
        <v>2.1.2.2</v>
      </c>
      <c r="F3685" s="3" t="str">
        <f>VLOOKUP(Base_Periodo1[[#This Row],[Aux]],Base_Contas_Balanco[#All],2,FALSE)</f>
        <v>Fornecedores Não Cooperados</v>
      </c>
      <c r="G3685" s="1">
        <v>42866</v>
      </c>
      <c r="H3685" s="225">
        <v>250</v>
      </c>
      <c r="I3685" s="225">
        <v>390</v>
      </c>
      <c r="J3685" s="225">
        <v>140</v>
      </c>
      <c r="K3685" s="225">
        <v>0</v>
      </c>
      <c r="L36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85" s="225">
        <f>ROUND(IF(AND(Base_Periodo1[[#This Row],[Tipo_Linha]]="-",Base_Periodo1[[#This Row],[TIPOSALDO]]="D"),Base_Periodo1[[#This Row],[SALDO_ATUAL]]*-1,Base_Periodo1[[#This Row],[SALDO_ATUAL]]),4)</f>
        <v>0</v>
      </c>
      <c r="N3685" t="s">
        <v>116</v>
      </c>
      <c r="O3685" t="s">
        <v>459</v>
      </c>
      <c r="P3685" t="s">
        <v>436</v>
      </c>
      <c r="Q3685">
        <v>7</v>
      </c>
      <c r="R3685" s="225">
        <f>Base_Periodo1[[#This Row],[CREDITOS]]-Base_Periodo1[[#This Row],[DEBITOS]]</f>
        <v>-250</v>
      </c>
      <c r="S3685" s="3" t="str">
        <f>IF(ISERROR(VLOOKUP(Base_Periodo1[[#This Row],[CONTA]],BaseContasDRE[#All],4,FALSE)),"Fora do DRE",VLOOKUP(Base_Periodo1[[#This Row],[CONTA]],BaseContasDRE[#All],4,FALSE))</f>
        <v>Fora do DRE</v>
      </c>
      <c r="T3685" s="3" t="str">
        <f>IF(ISERROR(VLOOKUP(Base_Periodo1[[#This Row],[CONTA]],BaseContasDRE[#All],5,FALSE)),"Fora do DRE",VLOOKUP(Base_Periodo1[[#This Row],[CONTA]],BaseContasDRE[#All],6,FALSE))</f>
        <v>Fora do DRE</v>
      </c>
      <c r="U3685" s="3" t="str">
        <f>IF(ISERROR(VLOOKUP(Base_Periodo1[[#This Row],[CONTA]],BaseContasDRE[#All],7,FALSE)),"Fora do DRE",VLOOKUP(Base_Periodo1[[#This Row],[CONTA]],BaseContasDRE[#All],7,FALSE))</f>
        <v>Fora do DRE</v>
      </c>
      <c r="V3685" s="3" t="str">
        <f>IF(Base_Periodo1[[#This Row],[Tipo_Linha]]="Fora do DRE","Fora do DRE","( "&amp;Base_Periodo1[[#This Row],[Tipo_Linha]]&amp;" ) "&amp;Base_Periodo1[[#This Row],[Filtro]])</f>
        <v>Fora do DRE</v>
      </c>
      <c r="W3685" s="3" t="str">
        <f>LEFT(Base_Periodo1[[#This Row],[CLASS]],3)</f>
        <v>2.1</v>
      </c>
    </row>
    <row r="3686" spans="1:23" hidden="1">
      <c r="A3686" s="3" t="str">
        <f t="shared" si="57"/>
        <v>Período 1</v>
      </c>
      <c r="B3686">
        <v>11298</v>
      </c>
      <c r="C3686" t="s">
        <v>2010</v>
      </c>
      <c r="D3686" t="s">
        <v>6771</v>
      </c>
      <c r="E3686" s="3" t="str">
        <f>IF(LEN(Base_Periodo1[[#This Row],[CLASS]])&gt;=7,LEFT(Base_Periodo1[[#This Row],[CLASS]],7),"")</f>
        <v>2.1.2.2</v>
      </c>
      <c r="F3686" s="3" t="str">
        <f>VLOOKUP(Base_Periodo1[[#This Row],[Aux]],Base_Contas_Balanco[#All],2,FALSE)</f>
        <v>Fornecedores Não Cooperados</v>
      </c>
      <c r="G3686" s="1">
        <v>42885</v>
      </c>
      <c r="I3686" s="225">
        <v>130.29000000000002</v>
      </c>
      <c r="J3686" s="225">
        <v>130.29000000000002</v>
      </c>
      <c r="K3686" s="225">
        <v>0</v>
      </c>
      <c r="L36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86" s="225">
        <f>ROUND(IF(AND(Base_Periodo1[[#This Row],[Tipo_Linha]]="-",Base_Periodo1[[#This Row],[TIPOSALDO]]="D"),Base_Periodo1[[#This Row],[SALDO_ATUAL]]*-1,Base_Periodo1[[#This Row],[SALDO_ATUAL]]),4)</f>
        <v>0</v>
      </c>
      <c r="N3686" t="s">
        <v>116</v>
      </c>
      <c r="O3686" t="s">
        <v>436</v>
      </c>
      <c r="P3686" t="s">
        <v>436</v>
      </c>
      <c r="Q3686">
        <v>7</v>
      </c>
      <c r="R3686" s="225">
        <f>Base_Periodo1[[#This Row],[CREDITOS]]-Base_Periodo1[[#This Row],[DEBITOS]]</f>
        <v>0</v>
      </c>
      <c r="S3686" s="3" t="str">
        <f>IF(ISERROR(VLOOKUP(Base_Periodo1[[#This Row],[CONTA]],BaseContasDRE[#All],4,FALSE)),"Fora do DRE",VLOOKUP(Base_Periodo1[[#This Row],[CONTA]],BaseContasDRE[#All],4,FALSE))</f>
        <v>Fora do DRE</v>
      </c>
      <c r="T3686" s="3" t="str">
        <f>IF(ISERROR(VLOOKUP(Base_Periodo1[[#This Row],[CONTA]],BaseContasDRE[#All],5,FALSE)),"Fora do DRE",VLOOKUP(Base_Periodo1[[#This Row],[CONTA]],BaseContasDRE[#All],6,FALSE))</f>
        <v>Fora do DRE</v>
      </c>
      <c r="U3686" s="3" t="str">
        <f>IF(ISERROR(VLOOKUP(Base_Periodo1[[#This Row],[CONTA]],BaseContasDRE[#All],7,FALSE)),"Fora do DRE",VLOOKUP(Base_Periodo1[[#This Row],[CONTA]],BaseContasDRE[#All],7,FALSE))</f>
        <v>Fora do DRE</v>
      </c>
      <c r="V3686" s="3" t="str">
        <f>IF(Base_Periodo1[[#This Row],[Tipo_Linha]]="Fora do DRE","Fora do DRE","( "&amp;Base_Periodo1[[#This Row],[Tipo_Linha]]&amp;" ) "&amp;Base_Periodo1[[#This Row],[Filtro]])</f>
        <v>Fora do DRE</v>
      </c>
      <c r="W3686" s="3" t="str">
        <f>LEFT(Base_Periodo1[[#This Row],[CLASS]],3)</f>
        <v>2.1</v>
      </c>
    </row>
    <row r="3687" spans="1:23" hidden="1">
      <c r="A3687" s="3" t="str">
        <f t="shared" si="57"/>
        <v>Período 1</v>
      </c>
      <c r="B3687">
        <v>17564</v>
      </c>
      <c r="C3687" t="s">
        <v>2010</v>
      </c>
      <c r="D3687" t="s">
        <v>7049</v>
      </c>
      <c r="E3687" s="3" t="str">
        <f>IF(LEN(Base_Periodo1[[#This Row],[CLASS]])&gt;=7,LEFT(Base_Periodo1[[#This Row],[CLASS]],7),"")</f>
        <v>2.1.2.2</v>
      </c>
      <c r="F3687" s="3" t="str">
        <f>VLOOKUP(Base_Periodo1[[#This Row],[Aux]],Base_Contas_Balanco[#All],2,FALSE)</f>
        <v>Fornecedores Não Cooperados</v>
      </c>
      <c r="G3687" s="1">
        <v>42872</v>
      </c>
      <c r="I3687" s="225">
        <v>33.340000000000003</v>
      </c>
      <c r="J3687" s="225">
        <v>33.340000000000003</v>
      </c>
      <c r="K3687" s="225">
        <v>0</v>
      </c>
      <c r="L36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87" s="225">
        <f>ROUND(IF(AND(Base_Periodo1[[#This Row],[Tipo_Linha]]="-",Base_Periodo1[[#This Row],[TIPOSALDO]]="D"),Base_Periodo1[[#This Row],[SALDO_ATUAL]]*-1,Base_Periodo1[[#This Row],[SALDO_ATUAL]]),4)</f>
        <v>0</v>
      </c>
      <c r="N3687" t="s">
        <v>116</v>
      </c>
      <c r="O3687" t="s">
        <v>436</v>
      </c>
      <c r="P3687" t="s">
        <v>436</v>
      </c>
      <c r="Q3687">
        <v>7</v>
      </c>
      <c r="R3687" s="225">
        <f>Base_Periodo1[[#This Row],[CREDITOS]]-Base_Periodo1[[#This Row],[DEBITOS]]</f>
        <v>0</v>
      </c>
      <c r="S3687" s="3" t="str">
        <f>IF(ISERROR(VLOOKUP(Base_Periodo1[[#This Row],[CONTA]],BaseContasDRE[#All],4,FALSE)),"Fora do DRE",VLOOKUP(Base_Periodo1[[#This Row],[CONTA]],BaseContasDRE[#All],4,FALSE))</f>
        <v>Fora do DRE</v>
      </c>
      <c r="T3687" s="3" t="str">
        <f>IF(ISERROR(VLOOKUP(Base_Periodo1[[#This Row],[CONTA]],BaseContasDRE[#All],5,FALSE)),"Fora do DRE",VLOOKUP(Base_Periodo1[[#This Row],[CONTA]],BaseContasDRE[#All],6,FALSE))</f>
        <v>Fora do DRE</v>
      </c>
      <c r="U3687" s="3" t="str">
        <f>IF(ISERROR(VLOOKUP(Base_Periodo1[[#This Row],[CONTA]],BaseContasDRE[#All],7,FALSE)),"Fora do DRE",VLOOKUP(Base_Periodo1[[#This Row],[CONTA]],BaseContasDRE[#All],7,FALSE))</f>
        <v>Fora do DRE</v>
      </c>
      <c r="V3687" s="3" t="str">
        <f>IF(Base_Periodo1[[#This Row],[Tipo_Linha]]="Fora do DRE","Fora do DRE","( "&amp;Base_Periodo1[[#This Row],[Tipo_Linha]]&amp;" ) "&amp;Base_Periodo1[[#This Row],[Filtro]])</f>
        <v>Fora do DRE</v>
      </c>
      <c r="W3687" s="3" t="str">
        <f>LEFT(Base_Periodo1[[#This Row],[CLASS]],3)</f>
        <v>2.1</v>
      </c>
    </row>
    <row r="3688" spans="1:23" hidden="1">
      <c r="A3688" s="3" t="str">
        <f t="shared" si="57"/>
        <v>Período 1</v>
      </c>
      <c r="B3688">
        <v>40904</v>
      </c>
      <c r="C3688" t="s">
        <v>2010</v>
      </c>
      <c r="D3688" t="s">
        <v>742</v>
      </c>
      <c r="E3688" s="3" t="str">
        <f>IF(LEN(Base_Periodo1[[#This Row],[CLASS]])&gt;=7,LEFT(Base_Periodo1[[#This Row],[CLASS]],7),"")</f>
        <v>2.1.2.2</v>
      </c>
      <c r="F3688" s="3" t="str">
        <f>VLOOKUP(Base_Periodo1[[#This Row],[Aux]],Base_Contas_Balanco[#All],2,FALSE)</f>
        <v>Fornecedores Não Cooperados</v>
      </c>
      <c r="G3688" s="1">
        <v>42886</v>
      </c>
      <c r="H3688" s="225">
        <v>2343.4899999999907</v>
      </c>
      <c r="I3688" s="225">
        <v>0</v>
      </c>
      <c r="J3688" s="225">
        <v>260338.74</v>
      </c>
      <c r="K3688" s="225">
        <v>262682.23</v>
      </c>
      <c r="L36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262682.23</v>
      </c>
      <c r="M3688" s="225">
        <f>ROUND(IF(AND(Base_Periodo1[[#This Row],[Tipo_Linha]]="-",Base_Periodo1[[#This Row],[TIPOSALDO]]="D"),Base_Periodo1[[#This Row],[SALDO_ATUAL]]*-1,Base_Periodo1[[#This Row],[SALDO_ATUAL]]),4)</f>
        <v>262682.23</v>
      </c>
      <c r="N3688" t="s">
        <v>116</v>
      </c>
      <c r="O3688" t="s">
        <v>459</v>
      </c>
      <c r="P3688" t="s">
        <v>459</v>
      </c>
      <c r="Q3688">
        <v>7</v>
      </c>
      <c r="R3688" s="225">
        <f>Base_Periodo1[[#This Row],[CREDITOS]]-Base_Periodo1[[#This Row],[DEBITOS]]</f>
        <v>260338.74</v>
      </c>
      <c r="S3688" s="3" t="str">
        <f>IF(ISERROR(VLOOKUP(Base_Periodo1[[#This Row],[CONTA]],BaseContasDRE[#All],4,FALSE)),"Fora do DRE",VLOOKUP(Base_Periodo1[[#This Row],[CONTA]],BaseContasDRE[#All],4,FALSE))</f>
        <v>Fora do DRE</v>
      </c>
      <c r="T3688" s="3" t="str">
        <f>IF(ISERROR(VLOOKUP(Base_Periodo1[[#This Row],[CONTA]],BaseContasDRE[#All],5,FALSE)),"Fora do DRE",VLOOKUP(Base_Periodo1[[#This Row],[CONTA]],BaseContasDRE[#All],6,FALSE))</f>
        <v>Fora do DRE</v>
      </c>
      <c r="U3688" s="3" t="str">
        <f>IF(ISERROR(VLOOKUP(Base_Periodo1[[#This Row],[CONTA]],BaseContasDRE[#All],7,FALSE)),"Fora do DRE",VLOOKUP(Base_Periodo1[[#This Row],[CONTA]],BaseContasDRE[#All],7,FALSE))</f>
        <v>Fora do DRE</v>
      </c>
      <c r="V3688" s="3" t="str">
        <f>IF(Base_Periodo1[[#This Row],[Tipo_Linha]]="Fora do DRE","Fora do DRE","( "&amp;Base_Periodo1[[#This Row],[Tipo_Linha]]&amp;" ) "&amp;Base_Periodo1[[#This Row],[Filtro]])</f>
        <v>Fora do DRE</v>
      </c>
      <c r="W3688" s="3" t="str">
        <f>LEFT(Base_Periodo1[[#This Row],[CLASS]],3)</f>
        <v>2.1</v>
      </c>
    </row>
    <row r="3689" spans="1:23" hidden="1">
      <c r="A3689" s="3" t="str">
        <f t="shared" si="57"/>
        <v>Período 1</v>
      </c>
      <c r="B3689">
        <v>10367</v>
      </c>
      <c r="C3689" t="s">
        <v>2010</v>
      </c>
      <c r="D3689" t="s">
        <v>5336</v>
      </c>
      <c r="E3689" s="3" t="str">
        <f>IF(LEN(Base_Periodo1[[#This Row],[CLASS]])&gt;=7,LEFT(Base_Periodo1[[#This Row],[CLASS]],7),"")</f>
        <v>2.1.2.2</v>
      </c>
      <c r="F3689" s="3" t="str">
        <f>VLOOKUP(Base_Periodo1[[#This Row],[Aux]],Base_Contas_Balanco[#All],2,FALSE)</f>
        <v>Fornecedores Não Cooperados</v>
      </c>
      <c r="G3689" s="1">
        <v>42884</v>
      </c>
      <c r="I3689" s="225">
        <v>1972</v>
      </c>
      <c r="J3689" s="225">
        <v>1972</v>
      </c>
      <c r="K3689" s="225">
        <v>0</v>
      </c>
      <c r="L36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89" s="225">
        <f>ROUND(IF(AND(Base_Periodo1[[#This Row],[Tipo_Linha]]="-",Base_Periodo1[[#This Row],[TIPOSALDO]]="D"),Base_Periodo1[[#This Row],[SALDO_ATUAL]]*-1,Base_Periodo1[[#This Row],[SALDO_ATUAL]]),4)</f>
        <v>0</v>
      </c>
      <c r="N3689" t="s">
        <v>116</v>
      </c>
      <c r="O3689" t="s">
        <v>436</v>
      </c>
      <c r="P3689" t="s">
        <v>436</v>
      </c>
      <c r="Q3689">
        <v>7</v>
      </c>
      <c r="R3689" s="225">
        <f>Base_Periodo1[[#This Row],[CREDITOS]]-Base_Periodo1[[#This Row],[DEBITOS]]</f>
        <v>0</v>
      </c>
      <c r="S3689" s="3" t="str">
        <f>IF(ISERROR(VLOOKUP(Base_Periodo1[[#This Row],[CONTA]],BaseContasDRE[#All],4,FALSE)),"Fora do DRE",VLOOKUP(Base_Periodo1[[#This Row],[CONTA]],BaseContasDRE[#All],4,FALSE))</f>
        <v>Fora do DRE</v>
      </c>
      <c r="T3689" s="3" t="str">
        <f>IF(ISERROR(VLOOKUP(Base_Periodo1[[#This Row],[CONTA]],BaseContasDRE[#All],5,FALSE)),"Fora do DRE",VLOOKUP(Base_Periodo1[[#This Row],[CONTA]],BaseContasDRE[#All],6,FALSE))</f>
        <v>Fora do DRE</v>
      </c>
      <c r="U3689" s="3" t="str">
        <f>IF(ISERROR(VLOOKUP(Base_Periodo1[[#This Row],[CONTA]],BaseContasDRE[#All],7,FALSE)),"Fora do DRE",VLOOKUP(Base_Periodo1[[#This Row],[CONTA]],BaseContasDRE[#All],7,FALSE))</f>
        <v>Fora do DRE</v>
      </c>
      <c r="V3689" s="3" t="str">
        <f>IF(Base_Periodo1[[#This Row],[Tipo_Linha]]="Fora do DRE","Fora do DRE","( "&amp;Base_Periodo1[[#This Row],[Tipo_Linha]]&amp;" ) "&amp;Base_Periodo1[[#This Row],[Filtro]])</f>
        <v>Fora do DRE</v>
      </c>
      <c r="W3689" s="3" t="str">
        <f>LEFT(Base_Periodo1[[#This Row],[CLASS]],3)</f>
        <v>2.1</v>
      </c>
    </row>
    <row r="3690" spans="1:23" hidden="1">
      <c r="A3690" s="3" t="str">
        <f t="shared" si="57"/>
        <v>Período 1</v>
      </c>
      <c r="B3690">
        <v>50085</v>
      </c>
      <c r="C3690" t="s">
        <v>2010</v>
      </c>
      <c r="D3690" t="s">
        <v>7050</v>
      </c>
      <c r="E3690" s="3" t="str">
        <f>IF(LEN(Base_Periodo1[[#This Row],[CLASS]])&gt;=7,LEFT(Base_Periodo1[[#This Row],[CLASS]],7),"")</f>
        <v>2.1.2.2</v>
      </c>
      <c r="F3690" s="3" t="str">
        <f>VLOOKUP(Base_Periodo1[[#This Row],[Aux]],Base_Contas_Balanco[#All],2,FALSE)</f>
        <v>Fornecedores Não Cooperados</v>
      </c>
      <c r="G3690" s="1">
        <v>42874</v>
      </c>
      <c r="I3690" s="225">
        <v>6140</v>
      </c>
      <c r="J3690" s="225">
        <v>6140</v>
      </c>
      <c r="K3690" s="225">
        <v>-7.2759576141834259E-12</v>
      </c>
      <c r="L36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90" s="225">
        <f>ROUND(IF(AND(Base_Periodo1[[#This Row],[Tipo_Linha]]="-",Base_Periodo1[[#This Row],[TIPOSALDO]]="D"),Base_Periodo1[[#This Row],[SALDO_ATUAL]]*-1,Base_Periodo1[[#This Row],[SALDO_ATUAL]]),4)</f>
        <v>0</v>
      </c>
      <c r="N3690" t="s">
        <v>116</v>
      </c>
      <c r="O3690" t="s">
        <v>436</v>
      </c>
      <c r="P3690" t="s">
        <v>436</v>
      </c>
      <c r="Q3690">
        <v>7</v>
      </c>
      <c r="R3690" s="225">
        <f>Base_Periodo1[[#This Row],[CREDITOS]]-Base_Periodo1[[#This Row],[DEBITOS]]</f>
        <v>0</v>
      </c>
      <c r="S3690" s="3" t="str">
        <f>IF(ISERROR(VLOOKUP(Base_Periodo1[[#This Row],[CONTA]],BaseContasDRE[#All],4,FALSE)),"Fora do DRE",VLOOKUP(Base_Periodo1[[#This Row],[CONTA]],BaseContasDRE[#All],4,FALSE))</f>
        <v>Fora do DRE</v>
      </c>
      <c r="T3690" s="3" t="str">
        <f>IF(ISERROR(VLOOKUP(Base_Periodo1[[#This Row],[CONTA]],BaseContasDRE[#All],5,FALSE)),"Fora do DRE",VLOOKUP(Base_Periodo1[[#This Row],[CONTA]],BaseContasDRE[#All],6,FALSE))</f>
        <v>Fora do DRE</v>
      </c>
      <c r="U3690" s="3" t="str">
        <f>IF(ISERROR(VLOOKUP(Base_Periodo1[[#This Row],[CONTA]],BaseContasDRE[#All],7,FALSE)),"Fora do DRE",VLOOKUP(Base_Periodo1[[#This Row],[CONTA]],BaseContasDRE[#All],7,FALSE))</f>
        <v>Fora do DRE</v>
      </c>
      <c r="V3690" s="3" t="str">
        <f>IF(Base_Periodo1[[#This Row],[Tipo_Linha]]="Fora do DRE","Fora do DRE","( "&amp;Base_Periodo1[[#This Row],[Tipo_Linha]]&amp;" ) "&amp;Base_Periodo1[[#This Row],[Filtro]])</f>
        <v>Fora do DRE</v>
      </c>
      <c r="W3690" s="3" t="str">
        <f>LEFT(Base_Periodo1[[#This Row],[CLASS]],3)</f>
        <v>2.1</v>
      </c>
    </row>
    <row r="3691" spans="1:23" hidden="1">
      <c r="A3691" s="3" t="str">
        <f t="shared" si="57"/>
        <v>Período 1</v>
      </c>
      <c r="B3691">
        <v>58136</v>
      </c>
      <c r="C3691" t="s">
        <v>2010</v>
      </c>
      <c r="D3691" t="s">
        <v>7051</v>
      </c>
      <c r="E3691" s="3" t="str">
        <f>IF(LEN(Base_Periodo1[[#This Row],[CLASS]])&gt;=7,LEFT(Base_Periodo1[[#This Row],[CLASS]],7),"")</f>
        <v>2.1.2.2</v>
      </c>
      <c r="F3691" s="3" t="str">
        <f>VLOOKUP(Base_Periodo1[[#This Row],[Aux]],Base_Contas_Balanco[#All],2,FALSE)</f>
        <v>Fornecedores Não Cooperados</v>
      </c>
      <c r="G3691" s="1">
        <v>42864</v>
      </c>
      <c r="I3691" s="225">
        <v>4944.7400000000007</v>
      </c>
      <c r="J3691" s="225">
        <v>4944.74</v>
      </c>
      <c r="K3691" s="225">
        <v>9.0949470177292824E-13</v>
      </c>
      <c r="L36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91" s="225">
        <f>ROUND(IF(AND(Base_Periodo1[[#This Row],[Tipo_Linha]]="-",Base_Periodo1[[#This Row],[TIPOSALDO]]="D"),Base_Periodo1[[#This Row],[SALDO_ATUAL]]*-1,Base_Periodo1[[#This Row],[SALDO_ATUAL]]),4)</f>
        <v>0</v>
      </c>
      <c r="N3691" t="s">
        <v>116</v>
      </c>
      <c r="O3691" t="s">
        <v>436</v>
      </c>
      <c r="P3691" t="s">
        <v>436</v>
      </c>
      <c r="Q3691">
        <v>7</v>
      </c>
      <c r="R3691" s="225">
        <f>Base_Periodo1[[#This Row],[CREDITOS]]-Base_Periodo1[[#This Row],[DEBITOS]]</f>
        <v>0</v>
      </c>
      <c r="S3691" s="3" t="str">
        <f>IF(ISERROR(VLOOKUP(Base_Periodo1[[#This Row],[CONTA]],BaseContasDRE[#All],4,FALSE)),"Fora do DRE",VLOOKUP(Base_Periodo1[[#This Row],[CONTA]],BaseContasDRE[#All],4,FALSE))</f>
        <v>Fora do DRE</v>
      </c>
      <c r="T3691" s="3" t="str">
        <f>IF(ISERROR(VLOOKUP(Base_Periodo1[[#This Row],[CONTA]],BaseContasDRE[#All],5,FALSE)),"Fora do DRE",VLOOKUP(Base_Periodo1[[#This Row],[CONTA]],BaseContasDRE[#All],6,FALSE))</f>
        <v>Fora do DRE</v>
      </c>
      <c r="U3691" s="3" t="str">
        <f>IF(ISERROR(VLOOKUP(Base_Periodo1[[#This Row],[CONTA]],BaseContasDRE[#All],7,FALSE)),"Fora do DRE",VLOOKUP(Base_Periodo1[[#This Row],[CONTA]],BaseContasDRE[#All],7,FALSE))</f>
        <v>Fora do DRE</v>
      </c>
      <c r="V3691" s="3" t="str">
        <f>IF(Base_Periodo1[[#This Row],[Tipo_Linha]]="Fora do DRE","Fora do DRE","( "&amp;Base_Periodo1[[#This Row],[Tipo_Linha]]&amp;" ) "&amp;Base_Periodo1[[#This Row],[Filtro]])</f>
        <v>Fora do DRE</v>
      </c>
      <c r="W3691" s="3" t="str">
        <f>LEFT(Base_Periodo1[[#This Row],[CLASS]],3)</f>
        <v>2.1</v>
      </c>
    </row>
    <row r="3692" spans="1:23" hidden="1">
      <c r="A3692" s="3" t="str">
        <f t="shared" si="57"/>
        <v>Período 1</v>
      </c>
      <c r="B3692">
        <v>7334</v>
      </c>
      <c r="C3692" t="s">
        <v>2010</v>
      </c>
      <c r="D3692" t="s">
        <v>7052</v>
      </c>
      <c r="E3692" s="3" t="str">
        <f>IF(LEN(Base_Periodo1[[#This Row],[CLASS]])&gt;=7,LEFT(Base_Periodo1[[#This Row],[CLASS]],7),"")</f>
        <v>2.1.2.2</v>
      </c>
      <c r="F3692" s="3" t="str">
        <f>VLOOKUP(Base_Periodo1[[#This Row],[Aux]],Base_Contas_Balanco[#All],2,FALSE)</f>
        <v>Fornecedores Não Cooperados</v>
      </c>
      <c r="G3692" s="1">
        <v>42879</v>
      </c>
      <c r="I3692" s="225">
        <v>5787</v>
      </c>
      <c r="J3692" s="225">
        <v>5787</v>
      </c>
      <c r="K3692" s="225">
        <v>-1.862645149230957E-9</v>
      </c>
      <c r="L36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92" s="225">
        <f>ROUND(IF(AND(Base_Periodo1[[#This Row],[Tipo_Linha]]="-",Base_Periodo1[[#This Row],[TIPOSALDO]]="D"),Base_Periodo1[[#This Row],[SALDO_ATUAL]]*-1,Base_Periodo1[[#This Row],[SALDO_ATUAL]]),4)</f>
        <v>0</v>
      </c>
      <c r="N3692" t="s">
        <v>116</v>
      </c>
      <c r="O3692" t="s">
        <v>436</v>
      </c>
      <c r="P3692" t="s">
        <v>436</v>
      </c>
      <c r="Q3692">
        <v>7</v>
      </c>
      <c r="R3692" s="225">
        <f>Base_Periodo1[[#This Row],[CREDITOS]]-Base_Periodo1[[#This Row],[DEBITOS]]</f>
        <v>0</v>
      </c>
      <c r="S3692" s="3" t="str">
        <f>IF(ISERROR(VLOOKUP(Base_Periodo1[[#This Row],[CONTA]],BaseContasDRE[#All],4,FALSE)),"Fora do DRE",VLOOKUP(Base_Periodo1[[#This Row],[CONTA]],BaseContasDRE[#All],4,FALSE))</f>
        <v>Fora do DRE</v>
      </c>
      <c r="T3692" s="3" t="str">
        <f>IF(ISERROR(VLOOKUP(Base_Periodo1[[#This Row],[CONTA]],BaseContasDRE[#All],5,FALSE)),"Fora do DRE",VLOOKUP(Base_Periodo1[[#This Row],[CONTA]],BaseContasDRE[#All],6,FALSE))</f>
        <v>Fora do DRE</v>
      </c>
      <c r="U3692" s="3" t="str">
        <f>IF(ISERROR(VLOOKUP(Base_Periodo1[[#This Row],[CONTA]],BaseContasDRE[#All],7,FALSE)),"Fora do DRE",VLOOKUP(Base_Periodo1[[#This Row],[CONTA]],BaseContasDRE[#All],7,FALSE))</f>
        <v>Fora do DRE</v>
      </c>
      <c r="V3692" s="3" t="str">
        <f>IF(Base_Periodo1[[#This Row],[Tipo_Linha]]="Fora do DRE","Fora do DRE","( "&amp;Base_Periodo1[[#This Row],[Tipo_Linha]]&amp;" ) "&amp;Base_Periodo1[[#This Row],[Filtro]])</f>
        <v>Fora do DRE</v>
      </c>
      <c r="W3692" s="3" t="str">
        <f>LEFT(Base_Periodo1[[#This Row],[CLASS]],3)</f>
        <v>2.1</v>
      </c>
    </row>
    <row r="3693" spans="1:23" hidden="1">
      <c r="A3693" s="3" t="str">
        <f t="shared" si="57"/>
        <v>Período 1</v>
      </c>
      <c r="B3693">
        <v>23114</v>
      </c>
      <c r="C3693" t="s">
        <v>2010</v>
      </c>
      <c r="D3693" t="s">
        <v>7053</v>
      </c>
      <c r="E3693" s="3" t="str">
        <f>IF(LEN(Base_Periodo1[[#This Row],[CLASS]])&gt;=7,LEFT(Base_Periodo1[[#This Row],[CLASS]],7),"")</f>
        <v>2.1.2.2</v>
      </c>
      <c r="F3693" s="3" t="str">
        <f>VLOOKUP(Base_Periodo1[[#This Row],[Aux]],Base_Contas_Balanco[#All],2,FALSE)</f>
        <v>Fornecedores Não Cooperados</v>
      </c>
      <c r="G3693" s="1">
        <v>42886</v>
      </c>
      <c r="I3693" s="225">
        <v>234.17</v>
      </c>
      <c r="J3693" s="225">
        <v>10181.5</v>
      </c>
      <c r="K3693" s="225">
        <v>9947.33</v>
      </c>
      <c r="L36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9947.33</v>
      </c>
      <c r="M3693" s="225">
        <f>ROUND(IF(AND(Base_Periodo1[[#This Row],[Tipo_Linha]]="-",Base_Periodo1[[#This Row],[TIPOSALDO]]="D"),Base_Periodo1[[#This Row],[SALDO_ATUAL]]*-1,Base_Periodo1[[#This Row],[SALDO_ATUAL]]),4)</f>
        <v>9947.33</v>
      </c>
      <c r="N3693" t="s">
        <v>116</v>
      </c>
      <c r="O3693" t="s">
        <v>436</v>
      </c>
      <c r="P3693" t="s">
        <v>459</v>
      </c>
      <c r="Q3693">
        <v>7</v>
      </c>
      <c r="R3693" s="225">
        <f>Base_Periodo1[[#This Row],[CREDITOS]]-Base_Periodo1[[#This Row],[DEBITOS]]</f>
        <v>9947.33</v>
      </c>
      <c r="S3693" s="3" t="str">
        <f>IF(ISERROR(VLOOKUP(Base_Periodo1[[#This Row],[CONTA]],BaseContasDRE[#All],4,FALSE)),"Fora do DRE",VLOOKUP(Base_Periodo1[[#This Row],[CONTA]],BaseContasDRE[#All],4,FALSE))</f>
        <v>Fora do DRE</v>
      </c>
      <c r="T3693" s="3" t="str">
        <f>IF(ISERROR(VLOOKUP(Base_Periodo1[[#This Row],[CONTA]],BaseContasDRE[#All],5,FALSE)),"Fora do DRE",VLOOKUP(Base_Periodo1[[#This Row],[CONTA]],BaseContasDRE[#All],6,FALSE))</f>
        <v>Fora do DRE</v>
      </c>
      <c r="U3693" s="3" t="str">
        <f>IF(ISERROR(VLOOKUP(Base_Periodo1[[#This Row],[CONTA]],BaseContasDRE[#All],7,FALSE)),"Fora do DRE",VLOOKUP(Base_Periodo1[[#This Row],[CONTA]],BaseContasDRE[#All],7,FALSE))</f>
        <v>Fora do DRE</v>
      </c>
      <c r="V3693" s="3" t="str">
        <f>IF(Base_Periodo1[[#This Row],[Tipo_Linha]]="Fora do DRE","Fora do DRE","( "&amp;Base_Periodo1[[#This Row],[Tipo_Linha]]&amp;" ) "&amp;Base_Periodo1[[#This Row],[Filtro]])</f>
        <v>Fora do DRE</v>
      </c>
      <c r="W3693" s="3" t="str">
        <f>LEFT(Base_Periodo1[[#This Row],[CLASS]],3)</f>
        <v>2.1</v>
      </c>
    </row>
    <row r="3694" spans="1:23" hidden="1">
      <c r="A3694" s="3" t="str">
        <f t="shared" si="57"/>
        <v>Período 1</v>
      </c>
      <c r="B3694">
        <v>7550</v>
      </c>
      <c r="C3694" t="s">
        <v>2010</v>
      </c>
      <c r="D3694" t="s">
        <v>4955</v>
      </c>
      <c r="E3694" s="3" t="str">
        <f>IF(LEN(Base_Periodo1[[#This Row],[CLASS]])&gt;=7,LEFT(Base_Periodo1[[#This Row],[CLASS]],7),"")</f>
        <v>2.1.2.2</v>
      </c>
      <c r="F3694" s="3" t="str">
        <f>VLOOKUP(Base_Periodo1[[#This Row],[Aux]],Base_Contas_Balanco[#All],2,FALSE)</f>
        <v>Fornecedores Não Cooperados</v>
      </c>
      <c r="G3694" s="1">
        <v>42585</v>
      </c>
      <c r="H3694" s="225">
        <v>2999.9999999999854</v>
      </c>
      <c r="I3694" s="225">
        <v>0</v>
      </c>
      <c r="J3694" s="225">
        <v>0</v>
      </c>
      <c r="K3694" s="225">
        <v>2999.9999999999854</v>
      </c>
      <c r="L36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3000</v>
      </c>
      <c r="M3694" s="225">
        <f>ROUND(IF(AND(Base_Periodo1[[#This Row],[Tipo_Linha]]="-",Base_Periodo1[[#This Row],[TIPOSALDO]]="D"),Base_Periodo1[[#This Row],[SALDO_ATUAL]]*-1,Base_Periodo1[[#This Row],[SALDO_ATUAL]]),4)</f>
        <v>3000</v>
      </c>
      <c r="N3694" t="s">
        <v>116</v>
      </c>
      <c r="O3694" t="s">
        <v>459</v>
      </c>
      <c r="P3694" t="s">
        <v>459</v>
      </c>
      <c r="Q3694">
        <v>7</v>
      </c>
      <c r="R3694" s="225">
        <f>Base_Periodo1[[#This Row],[CREDITOS]]-Base_Periodo1[[#This Row],[DEBITOS]]</f>
        <v>0</v>
      </c>
      <c r="S3694" s="3" t="str">
        <f>IF(ISERROR(VLOOKUP(Base_Periodo1[[#This Row],[CONTA]],BaseContasDRE[#All],4,FALSE)),"Fora do DRE",VLOOKUP(Base_Periodo1[[#This Row],[CONTA]],BaseContasDRE[#All],4,FALSE))</f>
        <v>Fora do DRE</v>
      </c>
      <c r="T3694" s="3" t="str">
        <f>IF(ISERROR(VLOOKUP(Base_Periodo1[[#This Row],[CONTA]],BaseContasDRE[#All],5,FALSE)),"Fora do DRE",VLOOKUP(Base_Periodo1[[#This Row],[CONTA]],BaseContasDRE[#All],6,FALSE))</f>
        <v>Fora do DRE</v>
      </c>
      <c r="U3694" s="3" t="str">
        <f>IF(ISERROR(VLOOKUP(Base_Periodo1[[#This Row],[CONTA]],BaseContasDRE[#All],7,FALSE)),"Fora do DRE",VLOOKUP(Base_Periodo1[[#This Row],[CONTA]],BaseContasDRE[#All],7,FALSE))</f>
        <v>Fora do DRE</v>
      </c>
      <c r="V3694" s="3" t="str">
        <f>IF(Base_Periodo1[[#This Row],[Tipo_Linha]]="Fora do DRE","Fora do DRE","( "&amp;Base_Periodo1[[#This Row],[Tipo_Linha]]&amp;" ) "&amp;Base_Periodo1[[#This Row],[Filtro]])</f>
        <v>Fora do DRE</v>
      </c>
      <c r="W3694" s="3" t="str">
        <f>LEFT(Base_Periodo1[[#This Row],[CLASS]],3)</f>
        <v>2.1</v>
      </c>
    </row>
    <row r="3695" spans="1:23" hidden="1">
      <c r="A3695" s="3" t="str">
        <f t="shared" si="57"/>
        <v>Período 1</v>
      </c>
      <c r="B3695">
        <v>25952</v>
      </c>
      <c r="C3695" t="s">
        <v>2010</v>
      </c>
      <c r="D3695" t="s">
        <v>6489</v>
      </c>
      <c r="E3695" s="3" t="str">
        <f>IF(LEN(Base_Periodo1[[#This Row],[CLASS]])&gt;=7,LEFT(Base_Periodo1[[#This Row],[CLASS]],7),"")</f>
        <v>2.1.2.2</v>
      </c>
      <c r="F3695" s="3" t="str">
        <f>VLOOKUP(Base_Periodo1[[#This Row],[Aux]],Base_Contas_Balanco[#All],2,FALSE)</f>
        <v>Fornecedores Não Cooperados</v>
      </c>
      <c r="G3695" s="1">
        <v>42859</v>
      </c>
      <c r="H3695" s="225">
        <v>1750</v>
      </c>
      <c r="I3695" s="225">
        <v>1750</v>
      </c>
      <c r="J3695" s="225">
        <v>0</v>
      </c>
      <c r="K3695" s="225">
        <v>0</v>
      </c>
      <c r="L36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95" s="225">
        <f>ROUND(IF(AND(Base_Periodo1[[#This Row],[Tipo_Linha]]="-",Base_Periodo1[[#This Row],[TIPOSALDO]]="D"),Base_Periodo1[[#This Row],[SALDO_ATUAL]]*-1,Base_Periodo1[[#This Row],[SALDO_ATUAL]]),4)</f>
        <v>0</v>
      </c>
      <c r="N3695" t="s">
        <v>116</v>
      </c>
      <c r="O3695" t="s">
        <v>459</v>
      </c>
      <c r="P3695" t="s">
        <v>436</v>
      </c>
      <c r="Q3695">
        <v>7</v>
      </c>
      <c r="R3695" s="225">
        <f>Base_Periodo1[[#This Row],[CREDITOS]]-Base_Periodo1[[#This Row],[DEBITOS]]</f>
        <v>-1750</v>
      </c>
      <c r="S3695" s="3" t="str">
        <f>IF(ISERROR(VLOOKUP(Base_Periodo1[[#This Row],[CONTA]],BaseContasDRE[#All],4,FALSE)),"Fora do DRE",VLOOKUP(Base_Periodo1[[#This Row],[CONTA]],BaseContasDRE[#All],4,FALSE))</f>
        <v>Fora do DRE</v>
      </c>
      <c r="T3695" s="3" t="str">
        <f>IF(ISERROR(VLOOKUP(Base_Periodo1[[#This Row],[CONTA]],BaseContasDRE[#All],5,FALSE)),"Fora do DRE",VLOOKUP(Base_Periodo1[[#This Row],[CONTA]],BaseContasDRE[#All],6,FALSE))</f>
        <v>Fora do DRE</v>
      </c>
      <c r="U3695" s="3" t="str">
        <f>IF(ISERROR(VLOOKUP(Base_Periodo1[[#This Row],[CONTA]],BaseContasDRE[#All],7,FALSE)),"Fora do DRE",VLOOKUP(Base_Periodo1[[#This Row],[CONTA]],BaseContasDRE[#All],7,FALSE))</f>
        <v>Fora do DRE</v>
      </c>
      <c r="V3695" s="3" t="str">
        <f>IF(Base_Periodo1[[#This Row],[Tipo_Linha]]="Fora do DRE","Fora do DRE","( "&amp;Base_Periodo1[[#This Row],[Tipo_Linha]]&amp;" ) "&amp;Base_Periodo1[[#This Row],[Filtro]])</f>
        <v>Fora do DRE</v>
      </c>
      <c r="W3695" s="3" t="str">
        <f>LEFT(Base_Periodo1[[#This Row],[CLASS]],3)</f>
        <v>2.1</v>
      </c>
    </row>
    <row r="3696" spans="1:23" hidden="1">
      <c r="A3696" s="3" t="str">
        <f t="shared" si="57"/>
        <v>Período 1</v>
      </c>
      <c r="B3696">
        <v>13273</v>
      </c>
      <c r="C3696" t="s">
        <v>2010</v>
      </c>
      <c r="D3696" t="s">
        <v>7054</v>
      </c>
      <c r="E3696" s="3" t="str">
        <f>IF(LEN(Base_Periodo1[[#This Row],[CLASS]])&gt;=7,LEFT(Base_Periodo1[[#This Row],[CLASS]],7),"")</f>
        <v>2.1.2.2</v>
      </c>
      <c r="F3696" s="3" t="str">
        <f>VLOOKUP(Base_Periodo1[[#This Row],[Aux]],Base_Contas_Balanco[#All],2,FALSE)</f>
        <v>Fornecedores Não Cooperados</v>
      </c>
      <c r="G3696" s="1">
        <v>42879</v>
      </c>
      <c r="I3696" s="225">
        <v>28.5</v>
      </c>
      <c r="J3696" s="225">
        <v>28.5</v>
      </c>
      <c r="K3696" s="225">
        <v>-9.0949470177292824E-13</v>
      </c>
      <c r="L36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96" s="225">
        <f>ROUND(IF(AND(Base_Periodo1[[#This Row],[Tipo_Linha]]="-",Base_Periodo1[[#This Row],[TIPOSALDO]]="D"),Base_Periodo1[[#This Row],[SALDO_ATUAL]]*-1,Base_Periodo1[[#This Row],[SALDO_ATUAL]]),4)</f>
        <v>0</v>
      </c>
      <c r="N3696" t="s">
        <v>116</v>
      </c>
      <c r="O3696" t="s">
        <v>436</v>
      </c>
      <c r="P3696" t="s">
        <v>436</v>
      </c>
      <c r="Q3696">
        <v>7</v>
      </c>
      <c r="R3696" s="225">
        <f>Base_Periodo1[[#This Row],[CREDITOS]]-Base_Periodo1[[#This Row],[DEBITOS]]</f>
        <v>0</v>
      </c>
      <c r="S3696" s="3" t="str">
        <f>IF(ISERROR(VLOOKUP(Base_Periodo1[[#This Row],[CONTA]],BaseContasDRE[#All],4,FALSE)),"Fora do DRE",VLOOKUP(Base_Periodo1[[#This Row],[CONTA]],BaseContasDRE[#All],4,FALSE))</f>
        <v>Fora do DRE</v>
      </c>
      <c r="T3696" s="3" t="str">
        <f>IF(ISERROR(VLOOKUP(Base_Periodo1[[#This Row],[CONTA]],BaseContasDRE[#All],5,FALSE)),"Fora do DRE",VLOOKUP(Base_Periodo1[[#This Row],[CONTA]],BaseContasDRE[#All],6,FALSE))</f>
        <v>Fora do DRE</v>
      </c>
      <c r="U3696" s="3" t="str">
        <f>IF(ISERROR(VLOOKUP(Base_Periodo1[[#This Row],[CONTA]],BaseContasDRE[#All],7,FALSE)),"Fora do DRE",VLOOKUP(Base_Periodo1[[#This Row],[CONTA]],BaseContasDRE[#All],7,FALSE))</f>
        <v>Fora do DRE</v>
      </c>
      <c r="V3696" s="3" t="str">
        <f>IF(Base_Periodo1[[#This Row],[Tipo_Linha]]="Fora do DRE","Fora do DRE","( "&amp;Base_Periodo1[[#This Row],[Tipo_Linha]]&amp;" ) "&amp;Base_Periodo1[[#This Row],[Filtro]])</f>
        <v>Fora do DRE</v>
      </c>
      <c r="W3696" s="3" t="str">
        <f>LEFT(Base_Periodo1[[#This Row],[CLASS]],3)</f>
        <v>2.1</v>
      </c>
    </row>
    <row r="3697" spans="1:23" hidden="1">
      <c r="A3697" s="3" t="str">
        <f t="shared" si="57"/>
        <v>Período 1</v>
      </c>
      <c r="B3697">
        <v>15701</v>
      </c>
      <c r="C3697" t="s">
        <v>2010</v>
      </c>
      <c r="D3697" t="s">
        <v>6773</v>
      </c>
      <c r="E3697" s="3" t="str">
        <f>IF(LEN(Base_Periodo1[[#This Row],[CLASS]])&gt;=7,LEFT(Base_Periodo1[[#This Row],[CLASS]],7),"")</f>
        <v>2.1.2.2</v>
      </c>
      <c r="F3697" s="3" t="str">
        <f>VLOOKUP(Base_Periodo1[[#This Row],[Aux]],Base_Contas_Balanco[#All],2,FALSE)</f>
        <v>Fornecedores Não Cooperados</v>
      </c>
      <c r="G3697" s="1">
        <v>42884</v>
      </c>
      <c r="I3697" s="225">
        <v>1908</v>
      </c>
      <c r="J3697" s="225">
        <v>1908</v>
      </c>
      <c r="K3697" s="225">
        <v>0</v>
      </c>
      <c r="L36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97" s="225">
        <f>ROUND(IF(AND(Base_Periodo1[[#This Row],[Tipo_Linha]]="-",Base_Periodo1[[#This Row],[TIPOSALDO]]="D"),Base_Periodo1[[#This Row],[SALDO_ATUAL]]*-1,Base_Periodo1[[#This Row],[SALDO_ATUAL]]),4)</f>
        <v>0</v>
      </c>
      <c r="N3697" t="s">
        <v>116</v>
      </c>
      <c r="O3697" t="s">
        <v>436</v>
      </c>
      <c r="P3697" t="s">
        <v>436</v>
      </c>
      <c r="Q3697">
        <v>7</v>
      </c>
      <c r="R3697" s="225">
        <f>Base_Periodo1[[#This Row],[CREDITOS]]-Base_Periodo1[[#This Row],[DEBITOS]]</f>
        <v>0</v>
      </c>
      <c r="S3697" s="3" t="str">
        <f>IF(ISERROR(VLOOKUP(Base_Periodo1[[#This Row],[CONTA]],BaseContasDRE[#All],4,FALSE)),"Fora do DRE",VLOOKUP(Base_Periodo1[[#This Row],[CONTA]],BaseContasDRE[#All],4,FALSE))</f>
        <v>Fora do DRE</v>
      </c>
      <c r="T3697" s="3" t="str">
        <f>IF(ISERROR(VLOOKUP(Base_Periodo1[[#This Row],[CONTA]],BaseContasDRE[#All],5,FALSE)),"Fora do DRE",VLOOKUP(Base_Periodo1[[#This Row],[CONTA]],BaseContasDRE[#All],6,FALSE))</f>
        <v>Fora do DRE</v>
      </c>
      <c r="U3697" s="3" t="str">
        <f>IF(ISERROR(VLOOKUP(Base_Periodo1[[#This Row],[CONTA]],BaseContasDRE[#All],7,FALSE)),"Fora do DRE",VLOOKUP(Base_Periodo1[[#This Row],[CONTA]],BaseContasDRE[#All],7,FALSE))</f>
        <v>Fora do DRE</v>
      </c>
      <c r="V3697" s="3" t="str">
        <f>IF(Base_Periodo1[[#This Row],[Tipo_Linha]]="Fora do DRE","Fora do DRE","( "&amp;Base_Periodo1[[#This Row],[Tipo_Linha]]&amp;" ) "&amp;Base_Periodo1[[#This Row],[Filtro]])</f>
        <v>Fora do DRE</v>
      </c>
      <c r="W3697" s="3" t="str">
        <f>LEFT(Base_Periodo1[[#This Row],[CLASS]],3)</f>
        <v>2.1</v>
      </c>
    </row>
    <row r="3698" spans="1:23" hidden="1">
      <c r="A3698" s="3" t="str">
        <f t="shared" si="57"/>
        <v>Período 1</v>
      </c>
      <c r="B3698">
        <v>7613</v>
      </c>
      <c r="C3698" t="s">
        <v>2010</v>
      </c>
      <c r="D3698" t="s">
        <v>5979</v>
      </c>
      <c r="E3698" s="3" t="str">
        <f>IF(LEN(Base_Periodo1[[#This Row],[CLASS]])&gt;=7,LEFT(Base_Periodo1[[#This Row],[CLASS]],7),"")</f>
        <v>2.1.2.2</v>
      </c>
      <c r="F3698" s="3" t="str">
        <f>VLOOKUP(Base_Periodo1[[#This Row],[Aux]],Base_Contas_Balanco[#All],2,FALSE)</f>
        <v>Fornecedores Não Cooperados</v>
      </c>
      <c r="G3698" s="1">
        <v>42871</v>
      </c>
      <c r="I3698" s="225">
        <v>1292.6199999999999</v>
      </c>
      <c r="J3698" s="225">
        <v>1292.6199999999999</v>
      </c>
      <c r="K3698" s="225">
        <v>0</v>
      </c>
      <c r="L36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98" s="225">
        <f>ROUND(IF(AND(Base_Periodo1[[#This Row],[Tipo_Linha]]="-",Base_Periodo1[[#This Row],[TIPOSALDO]]="D"),Base_Periodo1[[#This Row],[SALDO_ATUAL]]*-1,Base_Periodo1[[#This Row],[SALDO_ATUAL]]),4)</f>
        <v>0</v>
      </c>
      <c r="N3698" t="s">
        <v>116</v>
      </c>
      <c r="O3698" t="s">
        <v>436</v>
      </c>
      <c r="P3698" t="s">
        <v>436</v>
      </c>
      <c r="Q3698">
        <v>7</v>
      </c>
      <c r="R3698" s="225">
        <f>Base_Periodo1[[#This Row],[CREDITOS]]-Base_Periodo1[[#This Row],[DEBITOS]]</f>
        <v>0</v>
      </c>
      <c r="S3698" s="3" t="str">
        <f>IF(ISERROR(VLOOKUP(Base_Periodo1[[#This Row],[CONTA]],BaseContasDRE[#All],4,FALSE)),"Fora do DRE",VLOOKUP(Base_Periodo1[[#This Row],[CONTA]],BaseContasDRE[#All],4,FALSE))</f>
        <v>Fora do DRE</v>
      </c>
      <c r="T3698" s="3" t="str">
        <f>IF(ISERROR(VLOOKUP(Base_Periodo1[[#This Row],[CONTA]],BaseContasDRE[#All],5,FALSE)),"Fora do DRE",VLOOKUP(Base_Periodo1[[#This Row],[CONTA]],BaseContasDRE[#All],6,FALSE))</f>
        <v>Fora do DRE</v>
      </c>
      <c r="U3698" s="3" t="str">
        <f>IF(ISERROR(VLOOKUP(Base_Periodo1[[#This Row],[CONTA]],BaseContasDRE[#All],7,FALSE)),"Fora do DRE",VLOOKUP(Base_Periodo1[[#This Row],[CONTA]],BaseContasDRE[#All],7,FALSE))</f>
        <v>Fora do DRE</v>
      </c>
      <c r="V3698" s="3" t="str">
        <f>IF(Base_Periodo1[[#This Row],[Tipo_Linha]]="Fora do DRE","Fora do DRE","( "&amp;Base_Periodo1[[#This Row],[Tipo_Linha]]&amp;" ) "&amp;Base_Periodo1[[#This Row],[Filtro]])</f>
        <v>Fora do DRE</v>
      </c>
      <c r="W3698" s="3" t="str">
        <f>LEFT(Base_Periodo1[[#This Row],[CLASS]],3)</f>
        <v>2.1</v>
      </c>
    </row>
    <row r="3699" spans="1:23" hidden="1">
      <c r="A3699" s="3" t="str">
        <f t="shared" si="57"/>
        <v>Período 1</v>
      </c>
      <c r="B3699">
        <v>11895</v>
      </c>
      <c r="C3699" t="s">
        <v>2010</v>
      </c>
      <c r="D3699" t="s">
        <v>6490</v>
      </c>
      <c r="E3699" s="3" t="str">
        <f>IF(LEN(Base_Periodo1[[#This Row],[CLASS]])&gt;=7,LEFT(Base_Periodo1[[#This Row],[CLASS]],7),"")</f>
        <v>2.1.2.2</v>
      </c>
      <c r="F3699" s="3" t="str">
        <f>VLOOKUP(Base_Periodo1[[#This Row],[Aux]],Base_Contas_Balanco[#All],2,FALSE)</f>
        <v>Fornecedores Não Cooperados</v>
      </c>
      <c r="G3699" s="1">
        <v>42858</v>
      </c>
      <c r="H3699" s="225">
        <v>30</v>
      </c>
      <c r="I3699" s="225">
        <v>30</v>
      </c>
      <c r="J3699" s="225">
        <v>0</v>
      </c>
      <c r="K3699" s="225">
        <v>0</v>
      </c>
      <c r="L36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699" s="225">
        <f>ROUND(IF(AND(Base_Periodo1[[#This Row],[Tipo_Linha]]="-",Base_Periodo1[[#This Row],[TIPOSALDO]]="D"),Base_Periodo1[[#This Row],[SALDO_ATUAL]]*-1,Base_Periodo1[[#This Row],[SALDO_ATUAL]]),4)</f>
        <v>0</v>
      </c>
      <c r="N3699" t="s">
        <v>116</v>
      </c>
      <c r="O3699" t="s">
        <v>459</v>
      </c>
      <c r="P3699" t="s">
        <v>436</v>
      </c>
      <c r="Q3699">
        <v>7</v>
      </c>
      <c r="R3699" s="225">
        <f>Base_Periodo1[[#This Row],[CREDITOS]]-Base_Periodo1[[#This Row],[DEBITOS]]</f>
        <v>-30</v>
      </c>
      <c r="S3699" s="3" t="str">
        <f>IF(ISERROR(VLOOKUP(Base_Periodo1[[#This Row],[CONTA]],BaseContasDRE[#All],4,FALSE)),"Fora do DRE",VLOOKUP(Base_Periodo1[[#This Row],[CONTA]],BaseContasDRE[#All],4,FALSE))</f>
        <v>Fora do DRE</v>
      </c>
      <c r="T3699" s="3" t="str">
        <f>IF(ISERROR(VLOOKUP(Base_Periodo1[[#This Row],[CONTA]],BaseContasDRE[#All],5,FALSE)),"Fora do DRE",VLOOKUP(Base_Periodo1[[#This Row],[CONTA]],BaseContasDRE[#All],6,FALSE))</f>
        <v>Fora do DRE</v>
      </c>
      <c r="U3699" s="3" t="str">
        <f>IF(ISERROR(VLOOKUP(Base_Periodo1[[#This Row],[CONTA]],BaseContasDRE[#All],7,FALSE)),"Fora do DRE",VLOOKUP(Base_Periodo1[[#This Row],[CONTA]],BaseContasDRE[#All],7,FALSE))</f>
        <v>Fora do DRE</v>
      </c>
      <c r="V3699" s="3" t="str">
        <f>IF(Base_Periodo1[[#This Row],[Tipo_Linha]]="Fora do DRE","Fora do DRE","( "&amp;Base_Periodo1[[#This Row],[Tipo_Linha]]&amp;" ) "&amp;Base_Periodo1[[#This Row],[Filtro]])</f>
        <v>Fora do DRE</v>
      </c>
      <c r="W3699" s="3" t="str">
        <f>LEFT(Base_Periodo1[[#This Row],[CLASS]],3)</f>
        <v>2.1</v>
      </c>
    </row>
    <row r="3700" spans="1:23" hidden="1">
      <c r="A3700" s="3" t="str">
        <f t="shared" si="57"/>
        <v>Período 1</v>
      </c>
      <c r="B3700">
        <v>37572</v>
      </c>
      <c r="C3700" t="s">
        <v>2010</v>
      </c>
      <c r="D3700" t="s">
        <v>7055</v>
      </c>
      <c r="E3700" s="3" t="str">
        <f>IF(LEN(Base_Periodo1[[#This Row],[CLASS]])&gt;=7,LEFT(Base_Periodo1[[#This Row],[CLASS]],7),"")</f>
        <v>2.1.2.2</v>
      </c>
      <c r="F3700" s="3" t="str">
        <f>VLOOKUP(Base_Periodo1[[#This Row],[Aux]],Base_Contas_Balanco[#All],2,FALSE)</f>
        <v>Fornecedores Não Cooperados</v>
      </c>
      <c r="G3700" s="1">
        <v>42865</v>
      </c>
      <c r="I3700" s="225">
        <v>19334.240000000002</v>
      </c>
      <c r="J3700" s="225">
        <v>19334.240000000002</v>
      </c>
      <c r="K3700" s="225">
        <v>-7.2759576141834259E-12</v>
      </c>
      <c r="L37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00" s="225">
        <f>ROUND(IF(AND(Base_Periodo1[[#This Row],[Tipo_Linha]]="-",Base_Periodo1[[#This Row],[TIPOSALDO]]="D"),Base_Periodo1[[#This Row],[SALDO_ATUAL]]*-1,Base_Periodo1[[#This Row],[SALDO_ATUAL]]),4)</f>
        <v>0</v>
      </c>
      <c r="N3700" t="s">
        <v>116</v>
      </c>
      <c r="O3700" t="s">
        <v>436</v>
      </c>
      <c r="P3700" t="s">
        <v>436</v>
      </c>
      <c r="Q3700">
        <v>7</v>
      </c>
      <c r="R3700" s="225">
        <f>Base_Periodo1[[#This Row],[CREDITOS]]-Base_Periodo1[[#This Row],[DEBITOS]]</f>
        <v>0</v>
      </c>
      <c r="S3700" s="3" t="str">
        <f>IF(ISERROR(VLOOKUP(Base_Periodo1[[#This Row],[CONTA]],BaseContasDRE[#All],4,FALSE)),"Fora do DRE",VLOOKUP(Base_Periodo1[[#This Row],[CONTA]],BaseContasDRE[#All],4,FALSE))</f>
        <v>Fora do DRE</v>
      </c>
      <c r="T3700" s="3" t="str">
        <f>IF(ISERROR(VLOOKUP(Base_Periodo1[[#This Row],[CONTA]],BaseContasDRE[#All],5,FALSE)),"Fora do DRE",VLOOKUP(Base_Periodo1[[#This Row],[CONTA]],BaseContasDRE[#All],6,FALSE))</f>
        <v>Fora do DRE</v>
      </c>
      <c r="U3700" s="3" t="str">
        <f>IF(ISERROR(VLOOKUP(Base_Periodo1[[#This Row],[CONTA]],BaseContasDRE[#All],7,FALSE)),"Fora do DRE",VLOOKUP(Base_Periodo1[[#This Row],[CONTA]],BaseContasDRE[#All],7,FALSE))</f>
        <v>Fora do DRE</v>
      </c>
      <c r="V3700" s="3" t="str">
        <f>IF(Base_Periodo1[[#This Row],[Tipo_Linha]]="Fora do DRE","Fora do DRE","( "&amp;Base_Periodo1[[#This Row],[Tipo_Linha]]&amp;" ) "&amp;Base_Periodo1[[#This Row],[Filtro]])</f>
        <v>Fora do DRE</v>
      </c>
      <c r="W3700" s="3" t="str">
        <f>LEFT(Base_Periodo1[[#This Row],[CLASS]],3)</f>
        <v>2.1</v>
      </c>
    </row>
    <row r="3701" spans="1:23" hidden="1">
      <c r="A3701" s="3" t="str">
        <f t="shared" si="57"/>
        <v>Período 1</v>
      </c>
      <c r="B3701">
        <v>42272</v>
      </c>
      <c r="C3701" t="s">
        <v>2010</v>
      </c>
      <c r="D3701" t="s">
        <v>2077</v>
      </c>
      <c r="E3701" s="3" t="str">
        <f>IF(LEN(Base_Periodo1[[#This Row],[CLASS]])&gt;=7,LEFT(Base_Periodo1[[#This Row],[CLASS]],7),"")</f>
        <v>2.1.2.2</v>
      </c>
      <c r="F3701" s="3" t="str">
        <f>VLOOKUP(Base_Periodo1[[#This Row],[Aux]],Base_Contas_Balanco[#All],2,FALSE)</f>
        <v>Fornecedores Não Cooperados</v>
      </c>
      <c r="G3701" s="1"/>
      <c r="H3701" s="225">
        <v>38872.230000000003</v>
      </c>
      <c r="I3701" s="225">
        <v>0</v>
      </c>
      <c r="J3701" s="225">
        <v>0</v>
      </c>
      <c r="K3701" s="225">
        <v>38872.230000000003</v>
      </c>
      <c r="L37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38872.230000000003</v>
      </c>
      <c r="M3701" s="225">
        <f>ROUND(IF(AND(Base_Periodo1[[#This Row],[Tipo_Linha]]="-",Base_Periodo1[[#This Row],[TIPOSALDO]]="D"),Base_Periodo1[[#This Row],[SALDO_ATUAL]]*-1,Base_Periodo1[[#This Row],[SALDO_ATUAL]]),4)</f>
        <v>38872.230000000003</v>
      </c>
      <c r="N3701" t="s">
        <v>116</v>
      </c>
      <c r="O3701" t="s">
        <v>459</v>
      </c>
      <c r="P3701" t="s">
        <v>459</v>
      </c>
      <c r="Q3701">
        <v>7</v>
      </c>
      <c r="R3701" s="225">
        <f>Base_Periodo1[[#This Row],[CREDITOS]]-Base_Periodo1[[#This Row],[DEBITOS]]</f>
        <v>0</v>
      </c>
      <c r="S3701" s="3" t="str">
        <f>IF(ISERROR(VLOOKUP(Base_Periodo1[[#This Row],[CONTA]],BaseContasDRE[#All],4,FALSE)),"Fora do DRE",VLOOKUP(Base_Periodo1[[#This Row],[CONTA]],BaseContasDRE[#All],4,FALSE))</f>
        <v>Fora do DRE</v>
      </c>
      <c r="T3701" s="3" t="str">
        <f>IF(ISERROR(VLOOKUP(Base_Periodo1[[#This Row],[CONTA]],BaseContasDRE[#All],5,FALSE)),"Fora do DRE",VLOOKUP(Base_Periodo1[[#This Row],[CONTA]],BaseContasDRE[#All],6,FALSE))</f>
        <v>Fora do DRE</v>
      </c>
      <c r="U3701" s="3" t="str">
        <f>IF(ISERROR(VLOOKUP(Base_Periodo1[[#This Row],[CONTA]],BaseContasDRE[#All],7,FALSE)),"Fora do DRE",VLOOKUP(Base_Periodo1[[#This Row],[CONTA]],BaseContasDRE[#All],7,FALSE))</f>
        <v>Fora do DRE</v>
      </c>
      <c r="V3701" s="3" t="str">
        <f>IF(Base_Periodo1[[#This Row],[Tipo_Linha]]="Fora do DRE","Fora do DRE","( "&amp;Base_Periodo1[[#This Row],[Tipo_Linha]]&amp;" ) "&amp;Base_Periodo1[[#This Row],[Filtro]])</f>
        <v>Fora do DRE</v>
      </c>
      <c r="W3701" s="3" t="str">
        <f>LEFT(Base_Periodo1[[#This Row],[CLASS]],3)</f>
        <v>2.1</v>
      </c>
    </row>
    <row r="3702" spans="1:23" hidden="1">
      <c r="A3702" s="3" t="str">
        <f t="shared" si="57"/>
        <v>Período 1</v>
      </c>
      <c r="B3702">
        <v>12051</v>
      </c>
      <c r="C3702" t="s">
        <v>2010</v>
      </c>
      <c r="D3702" t="s">
        <v>5980</v>
      </c>
      <c r="E3702" s="3" t="str">
        <f>IF(LEN(Base_Periodo1[[#This Row],[CLASS]])&gt;=7,LEFT(Base_Periodo1[[#This Row],[CLASS]],7),"")</f>
        <v>2.1.2.2</v>
      </c>
      <c r="F3702" s="3" t="str">
        <f>VLOOKUP(Base_Periodo1[[#This Row],[Aux]],Base_Contas_Balanco[#All],2,FALSE)</f>
        <v>Fornecedores Não Cooperados</v>
      </c>
      <c r="G3702" s="1">
        <v>42866</v>
      </c>
      <c r="I3702" s="225">
        <v>1001.77</v>
      </c>
      <c r="J3702" s="225">
        <v>1001.77</v>
      </c>
      <c r="K3702" s="225">
        <v>0</v>
      </c>
      <c r="L37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02" s="225">
        <f>ROUND(IF(AND(Base_Periodo1[[#This Row],[Tipo_Linha]]="-",Base_Periodo1[[#This Row],[TIPOSALDO]]="D"),Base_Periodo1[[#This Row],[SALDO_ATUAL]]*-1,Base_Periodo1[[#This Row],[SALDO_ATUAL]]),4)</f>
        <v>0</v>
      </c>
      <c r="N3702" t="s">
        <v>116</v>
      </c>
      <c r="O3702" t="s">
        <v>436</v>
      </c>
      <c r="P3702" t="s">
        <v>436</v>
      </c>
      <c r="Q3702">
        <v>7</v>
      </c>
      <c r="R3702" s="225">
        <f>Base_Periodo1[[#This Row],[CREDITOS]]-Base_Periodo1[[#This Row],[DEBITOS]]</f>
        <v>0</v>
      </c>
      <c r="S3702" s="3" t="str">
        <f>IF(ISERROR(VLOOKUP(Base_Periodo1[[#This Row],[CONTA]],BaseContasDRE[#All],4,FALSE)),"Fora do DRE",VLOOKUP(Base_Periodo1[[#This Row],[CONTA]],BaseContasDRE[#All],4,FALSE))</f>
        <v>Fora do DRE</v>
      </c>
      <c r="T3702" s="3" t="str">
        <f>IF(ISERROR(VLOOKUP(Base_Periodo1[[#This Row],[CONTA]],BaseContasDRE[#All],5,FALSE)),"Fora do DRE",VLOOKUP(Base_Periodo1[[#This Row],[CONTA]],BaseContasDRE[#All],6,FALSE))</f>
        <v>Fora do DRE</v>
      </c>
      <c r="U3702" s="3" t="str">
        <f>IF(ISERROR(VLOOKUP(Base_Periodo1[[#This Row],[CONTA]],BaseContasDRE[#All],7,FALSE)),"Fora do DRE",VLOOKUP(Base_Periodo1[[#This Row],[CONTA]],BaseContasDRE[#All],7,FALSE))</f>
        <v>Fora do DRE</v>
      </c>
      <c r="V3702" s="3" t="str">
        <f>IF(Base_Periodo1[[#This Row],[Tipo_Linha]]="Fora do DRE","Fora do DRE","( "&amp;Base_Periodo1[[#This Row],[Tipo_Linha]]&amp;" ) "&amp;Base_Periodo1[[#This Row],[Filtro]])</f>
        <v>Fora do DRE</v>
      </c>
      <c r="W3702" s="3" t="str">
        <f>LEFT(Base_Periodo1[[#This Row],[CLASS]],3)</f>
        <v>2.1</v>
      </c>
    </row>
    <row r="3703" spans="1:23" hidden="1">
      <c r="A3703" s="3" t="str">
        <f t="shared" si="57"/>
        <v>Período 1</v>
      </c>
      <c r="B3703">
        <v>36347</v>
      </c>
      <c r="C3703" t="s">
        <v>2010</v>
      </c>
      <c r="D3703" t="s">
        <v>2078</v>
      </c>
      <c r="E3703" s="3" t="str">
        <f>IF(LEN(Base_Periodo1[[#This Row],[CLASS]])&gt;=7,LEFT(Base_Periodo1[[#This Row],[CLASS]],7),"")</f>
        <v>2.1.2.2</v>
      </c>
      <c r="F3703" s="3" t="str">
        <f>VLOOKUP(Base_Periodo1[[#This Row],[Aux]],Base_Contas_Balanco[#All],2,FALSE)</f>
        <v>Fornecedores Não Cooperados</v>
      </c>
      <c r="G3703" s="1">
        <v>42879</v>
      </c>
      <c r="I3703" s="225">
        <v>664.06999999999994</v>
      </c>
      <c r="J3703" s="225">
        <v>664.06999999999994</v>
      </c>
      <c r="K3703" s="225">
        <v>-2.9103830456733704E-11</v>
      </c>
      <c r="L37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03" s="225">
        <f>ROUND(IF(AND(Base_Periodo1[[#This Row],[Tipo_Linha]]="-",Base_Periodo1[[#This Row],[TIPOSALDO]]="D"),Base_Periodo1[[#This Row],[SALDO_ATUAL]]*-1,Base_Periodo1[[#This Row],[SALDO_ATUAL]]),4)</f>
        <v>0</v>
      </c>
      <c r="N3703" t="s">
        <v>116</v>
      </c>
      <c r="O3703" t="s">
        <v>436</v>
      </c>
      <c r="P3703" t="s">
        <v>436</v>
      </c>
      <c r="Q3703">
        <v>7</v>
      </c>
      <c r="R3703" s="225">
        <f>Base_Periodo1[[#This Row],[CREDITOS]]-Base_Periodo1[[#This Row],[DEBITOS]]</f>
        <v>0</v>
      </c>
      <c r="S3703" s="3" t="str">
        <f>IF(ISERROR(VLOOKUP(Base_Periodo1[[#This Row],[CONTA]],BaseContasDRE[#All],4,FALSE)),"Fora do DRE",VLOOKUP(Base_Periodo1[[#This Row],[CONTA]],BaseContasDRE[#All],4,FALSE))</f>
        <v>Fora do DRE</v>
      </c>
      <c r="T3703" s="3" t="str">
        <f>IF(ISERROR(VLOOKUP(Base_Periodo1[[#This Row],[CONTA]],BaseContasDRE[#All],5,FALSE)),"Fora do DRE",VLOOKUP(Base_Periodo1[[#This Row],[CONTA]],BaseContasDRE[#All],6,FALSE))</f>
        <v>Fora do DRE</v>
      </c>
      <c r="U3703" s="3" t="str">
        <f>IF(ISERROR(VLOOKUP(Base_Periodo1[[#This Row],[CONTA]],BaseContasDRE[#All],7,FALSE)),"Fora do DRE",VLOOKUP(Base_Periodo1[[#This Row],[CONTA]],BaseContasDRE[#All],7,FALSE))</f>
        <v>Fora do DRE</v>
      </c>
      <c r="V3703" s="3" t="str">
        <f>IF(Base_Periodo1[[#This Row],[Tipo_Linha]]="Fora do DRE","Fora do DRE","( "&amp;Base_Periodo1[[#This Row],[Tipo_Linha]]&amp;" ) "&amp;Base_Periodo1[[#This Row],[Filtro]])</f>
        <v>Fora do DRE</v>
      </c>
      <c r="W3703" s="3" t="str">
        <f>LEFT(Base_Periodo1[[#This Row],[CLASS]],3)</f>
        <v>2.1</v>
      </c>
    </row>
    <row r="3704" spans="1:23" hidden="1">
      <c r="A3704" s="3" t="str">
        <f t="shared" si="57"/>
        <v>Período 1</v>
      </c>
      <c r="B3704">
        <v>47047</v>
      </c>
      <c r="C3704" t="s">
        <v>2010</v>
      </c>
      <c r="D3704" t="s">
        <v>6491</v>
      </c>
      <c r="E3704" s="3" t="str">
        <f>IF(LEN(Base_Periodo1[[#This Row],[CLASS]])&gt;=7,LEFT(Base_Periodo1[[#This Row],[CLASS]],7),"")</f>
        <v>2.1.2.2</v>
      </c>
      <c r="F3704" s="3" t="str">
        <f>VLOOKUP(Base_Periodo1[[#This Row],[Aux]],Base_Contas_Balanco[#All],2,FALSE)</f>
        <v>Fornecedores Não Cooperados</v>
      </c>
      <c r="G3704" s="1">
        <v>42880</v>
      </c>
      <c r="I3704" s="225">
        <v>180</v>
      </c>
      <c r="J3704" s="225">
        <v>180</v>
      </c>
      <c r="K3704" s="225">
        <v>0</v>
      </c>
      <c r="L37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04" s="225">
        <f>ROUND(IF(AND(Base_Periodo1[[#This Row],[Tipo_Linha]]="-",Base_Periodo1[[#This Row],[TIPOSALDO]]="D"),Base_Periodo1[[#This Row],[SALDO_ATUAL]]*-1,Base_Periodo1[[#This Row],[SALDO_ATUAL]]),4)</f>
        <v>0</v>
      </c>
      <c r="N3704" t="s">
        <v>116</v>
      </c>
      <c r="O3704" t="s">
        <v>436</v>
      </c>
      <c r="P3704" t="s">
        <v>436</v>
      </c>
      <c r="Q3704">
        <v>7</v>
      </c>
      <c r="R3704" s="225">
        <f>Base_Periodo1[[#This Row],[CREDITOS]]-Base_Periodo1[[#This Row],[DEBITOS]]</f>
        <v>0</v>
      </c>
      <c r="S3704" s="3" t="str">
        <f>IF(ISERROR(VLOOKUP(Base_Periodo1[[#This Row],[CONTA]],BaseContasDRE[#All],4,FALSE)),"Fora do DRE",VLOOKUP(Base_Periodo1[[#This Row],[CONTA]],BaseContasDRE[#All],4,FALSE))</f>
        <v>Fora do DRE</v>
      </c>
      <c r="T3704" s="3" t="str">
        <f>IF(ISERROR(VLOOKUP(Base_Periodo1[[#This Row],[CONTA]],BaseContasDRE[#All],5,FALSE)),"Fora do DRE",VLOOKUP(Base_Periodo1[[#This Row],[CONTA]],BaseContasDRE[#All],6,FALSE))</f>
        <v>Fora do DRE</v>
      </c>
      <c r="U3704" s="3" t="str">
        <f>IF(ISERROR(VLOOKUP(Base_Periodo1[[#This Row],[CONTA]],BaseContasDRE[#All],7,FALSE)),"Fora do DRE",VLOOKUP(Base_Periodo1[[#This Row],[CONTA]],BaseContasDRE[#All],7,FALSE))</f>
        <v>Fora do DRE</v>
      </c>
      <c r="V3704" s="3" t="str">
        <f>IF(Base_Periodo1[[#This Row],[Tipo_Linha]]="Fora do DRE","Fora do DRE","( "&amp;Base_Periodo1[[#This Row],[Tipo_Linha]]&amp;" ) "&amp;Base_Periodo1[[#This Row],[Filtro]])</f>
        <v>Fora do DRE</v>
      </c>
      <c r="W3704" s="3" t="str">
        <f>LEFT(Base_Periodo1[[#This Row],[CLASS]],3)</f>
        <v>2.1</v>
      </c>
    </row>
    <row r="3705" spans="1:23" hidden="1">
      <c r="A3705" s="3" t="str">
        <f t="shared" si="57"/>
        <v>Período 1</v>
      </c>
      <c r="B3705">
        <v>10894</v>
      </c>
      <c r="C3705" t="s">
        <v>2010</v>
      </c>
      <c r="D3705" t="s">
        <v>7056</v>
      </c>
      <c r="E3705" s="3" t="str">
        <f>IF(LEN(Base_Periodo1[[#This Row],[CLASS]])&gt;=7,LEFT(Base_Periodo1[[#This Row],[CLASS]],7),"")</f>
        <v>2.1.2.2</v>
      </c>
      <c r="F3705" s="3" t="str">
        <f>VLOOKUP(Base_Periodo1[[#This Row],[Aux]],Base_Contas_Balanco[#All],2,FALSE)</f>
        <v>Fornecedores Não Cooperados</v>
      </c>
      <c r="G3705" s="1">
        <v>42751</v>
      </c>
      <c r="H3705" s="225">
        <v>0.14000000001396984</v>
      </c>
      <c r="I3705" s="225">
        <v>0</v>
      </c>
      <c r="J3705" s="225">
        <v>0</v>
      </c>
      <c r="K3705" s="225">
        <v>0.14000000001396984</v>
      </c>
      <c r="L37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0.14000000000000001</v>
      </c>
      <c r="M3705" s="225">
        <f>ROUND(IF(AND(Base_Periodo1[[#This Row],[Tipo_Linha]]="-",Base_Periodo1[[#This Row],[TIPOSALDO]]="D"),Base_Periodo1[[#This Row],[SALDO_ATUAL]]*-1,Base_Periodo1[[#This Row],[SALDO_ATUAL]]),4)</f>
        <v>0.14000000000000001</v>
      </c>
      <c r="N3705" t="s">
        <v>116</v>
      </c>
      <c r="O3705" t="s">
        <v>459</v>
      </c>
      <c r="P3705" t="s">
        <v>459</v>
      </c>
      <c r="Q3705">
        <v>7</v>
      </c>
      <c r="R3705" s="225">
        <f>Base_Periodo1[[#This Row],[CREDITOS]]-Base_Periodo1[[#This Row],[DEBITOS]]</f>
        <v>0</v>
      </c>
      <c r="S3705" s="3" t="str">
        <f>IF(ISERROR(VLOOKUP(Base_Periodo1[[#This Row],[CONTA]],BaseContasDRE[#All],4,FALSE)),"Fora do DRE",VLOOKUP(Base_Periodo1[[#This Row],[CONTA]],BaseContasDRE[#All],4,FALSE))</f>
        <v>Fora do DRE</v>
      </c>
      <c r="T3705" s="3" t="str">
        <f>IF(ISERROR(VLOOKUP(Base_Periodo1[[#This Row],[CONTA]],BaseContasDRE[#All],5,FALSE)),"Fora do DRE",VLOOKUP(Base_Periodo1[[#This Row],[CONTA]],BaseContasDRE[#All],6,FALSE))</f>
        <v>Fora do DRE</v>
      </c>
      <c r="U3705" s="3" t="str">
        <f>IF(ISERROR(VLOOKUP(Base_Periodo1[[#This Row],[CONTA]],BaseContasDRE[#All],7,FALSE)),"Fora do DRE",VLOOKUP(Base_Periodo1[[#This Row],[CONTA]],BaseContasDRE[#All],7,FALSE))</f>
        <v>Fora do DRE</v>
      </c>
      <c r="V3705" s="3" t="str">
        <f>IF(Base_Periodo1[[#This Row],[Tipo_Linha]]="Fora do DRE","Fora do DRE","( "&amp;Base_Periodo1[[#This Row],[Tipo_Linha]]&amp;" ) "&amp;Base_Periodo1[[#This Row],[Filtro]])</f>
        <v>Fora do DRE</v>
      </c>
      <c r="W3705" s="3" t="str">
        <f>LEFT(Base_Periodo1[[#This Row],[CLASS]],3)</f>
        <v>2.1</v>
      </c>
    </row>
    <row r="3706" spans="1:23" hidden="1">
      <c r="A3706" s="3" t="str">
        <f t="shared" si="57"/>
        <v>Período 1</v>
      </c>
      <c r="B3706">
        <v>42116</v>
      </c>
      <c r="C3706" t="s">
        <v>2010</v>
      </c>
      <c r="D3706" t="s">
        <v>2079</v>
      </c>
      <c r="E3706" s="3" t="str">
        <f>IF(LEN(Base_Periodo1[[#This Row],[CLASS]])&gt;=7,LEFT(Base_Periodo1[[#This Row],[CLASS]],7),"")</f>
        <v>2.1.2.2</v>
      </c>
      <c r="F3706" s="3" t="str">
        <f>VLOOKUP(Base_Periodo1[[#This Row],[Aux]],Base_Contas_Balanco[#All],2,FALSE)</f>
        <v>Fornecedores Não Cooperados</v>
      </c>
      <c r="G3706" s="1"/>
      <c r="H3706" s="225">
        <v>3226.22</v>
      </c>
      <c r="I3706" s="225">
        <v>0</v>
      </c>
      <c r="J3706" s="225">
        <v>0</v>
      </c>
      <c r="K3706" s="225">
        <v>3226.22</v>
      </c>
      <c r="L37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3226.22</v>
      </c>
      <c r="M3706" s="225">
        <f>ROUND(IF(AND(Base_Periodo1[[#This Row],[Tipo_Linha]]="-",Base_Periodo1[[#This Row],[TIPOSALDO]]="D"),Base_Periodo1[[#This Row],[SALDO_ATUAL]]*-1,Base_Periodo1[[#This Row],[SALDO_ATUAL]]),4)</f>
        <v>3226.22</v>
      </c>
      <c r="N3706" t="s">
        <v>116</v>
      </c>
      <c r="O3706" t="s">
        <v>459</v>
      </c>
      <c r="P3706" t="s">
        <v>459</v>
      </c>
      <c r="Q3706">
        <v>7</v>
      </c>
      <c r="R3706" s="225">
        <f>Base_Periodo1[[#This Row],[CREDITOS]]-Base_Periodo1[[#This Row],[DEBITOS]]</f>
        <v>0</v>
      </c>
      <c r="S3706" s="3" t="str">
        <f>IF(ISERROR(VLOOKUP(Base_Periodo1[[#This Row],[CONTA]],BaseContasDRE[#All],4,FALSE)),"Fora do DRE",VLOOKUP(Base_Periodo1[[#This Row],[CONTA]],BaseContasDRE[#All],4,FALSE))</f>
        <v>Fora do DRE</v>
      </c>
      <c r="T3706" s="3" t="str">
        <f>IF(ISERROR(VLOOKUP(Base_Periodo1[[#This Row],[CONTA]],BaseContasDRE[#All],5,FALSE)),"Fora do DRE",VLOOKUP(Base_Periodo1[[#This Row],[CONTA]],BaseContasDRE[#All],6,FALSE))</f>
        <v>Fora do DRE</v>
      </c>
      <c r="U3706" s="3" t="str">
        <f>IF(ISERROR(VLOOKUP(Base_Periodo1[[#This Row],[CONTA]],BaseContasDRE[#All],7,FALSE)),"Fora do DRE",VLOOKUP(Base_Periodo1[[#This Row],[CONTA]],BaseContasDRE[#All],7,FALSE))</f>
        <v>Fora do DRE</v>
      </c>
      <c r="V3706" s="3" t="str">
        <f>IF(Base_Periodo1[[#This Row],[Tipo_Linha]]="Fora do DRE","Fora do DRE","( "&amp;Base_Periodo1[[#This Row],[Tipo_Linha]]&amp;" ) "&amp;Base_Periodo1[[#This Row],[Filtro]])</f>
        <v>Fora do DRE</v>
      </c>
      <c r="W3706" s="3" t="str">
        <f>LEFT(Base_Periodo1[[#This Row],[CLASS]],3)</f>
        <v>2.1</v>
      </c>
    </row>
    <row r="3707" spans="1:23" hidden="1">
      <c r="A3707" s="3" t="str">
        <f t="shared" si="57"/>
        <v>Período 1</v>
      </c>
      <c r="B3707">
        <v>51007</v>
      </c>
      <c r="C3707" t="s">
        <v>2010</v>
      </c>
      <c r="D3707" t="s">
        <v>6342</v>
      </c>
      <c r="E3707" s="3" t="str">
        <f>IF(LEN(Base_Periodo1[[#This Row],[CLASS]])&gt;=7,LEFT(Base_Periodo1[[#This Row],[CLASS]],7),"")</f>
        <v>2.1.2.2</v>
      </c>
      <c r="F3707" s="3" t="str">
        <f>VLOOKUP(Base_Periodo1[[#This Row],[Aux]],Base_Contas_Balanco[#All],2,FALSE)</f>
        <v>Fornecedores Não Cooperados</v>
      </c>
      <c r="G3707" s="1">
        <v>42828</v>
      </c>
      <c r="H3707" s="225">
        <v>50.989999999999782</v>
      </c>
      <c r="I3707" s="225">
        <v>0</v>
      </c>
      <c r="J3707" s="225">
        <v>0</v>
      </c>
      <c r="K3707" s="225">
        <v>50.989999999999782</v>
      </c>
      <c r="L37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-50.99</v>
      </c>
      <c r="M3707" s="225">
        <f>ROUND(IF(AND(Base_Periodo1[[#This Row],[Tipo_Linha]]="-",Base_Periodo1[[#This Row],[TIPOSALDO]]="D"),Base_Periodo1[[#This Row],[SALDO_ATUAL]]*-1,Base_Periodo1[[#This Row],[SALDO_ATUAL]]),4)</f>
        <v>50.99</v>
      </c>
      <c r="N3707" t="s">
        <v>116</v>
      </c>
      <c r="O3707" t="s">
        <v>397</v>
      </c>
      <c r="P3707" t="s">
        <v>397</v>
      </c>
      <c r="Q3707">
        <v>7</v>
      </c>
      <c r="R3707" s="225">
        <f>Base_Periodo1[[#This Row],[CREDITOS]]-Base_Periodo1[[#This Row],[DEBITOS]]</f>
        <v>0</v>
      </c>
      <c r="S3707" s="3" t="str">
        <f>IF(ISERROR(VLOOKUP(Base_Periodo1[[#This Row],[CONTA]],BaseContasDRE[#All],4,FALSE)),"Fora do DRE",VLOOKUP(Base_Periodo1[[#This Row],[CONTA]],BaseContasDRE[#All],4,FALSE))</f>
        <v>Fora do DRE</v>
      </c>
      <c r="T3707" s="3" t="str">
        <f>IF(ISERROR(VLOOKUP(Base_Periodo1[[#This Row],[CONTA]],BaseContasDRE[#All],5,FALSE)),"Fora do DRE",VLOOKUP(Base_Periodo1[[#This Row],[CONTA]],BaseContasDRE[#All],6,FALSE))</f>
        <v>Fora do DRE</v>
      </c>
      <c r="U3707" s="3" t="str">
        <f>IF(ISERROR(VLOOKUP(Base_Periodo1[[#This Row],[CONTA]],BaseContasDRE[#All],7,FALSE)),"Fora do DRE",VLOOKUP(Base_Periodo1[[#This Row],[CONTA]],BaseContasDRE[#All],7,FALSE))</f>
        <v>Fora do DRE</v>
      </c>
      <c r="V3707" s="3" t="str">
        <f>IF(Base_Periodo1[[#This Row],[Tipo_Linha]]="Fora do DRE","Fora do DRE","( "&amp;Base_Periodo1[[#This Row],[Tipo_Linha]]&amp;" ) "&amp;Base_Periodo1[[#This Row],[Filtro]])</f>
        <v>Fora do DRE</v>
      </c>
      <c r="W3707" s="3" t="str">
        <f>LEFT(Base_Periodo1[[#This Row],[CLASS]],3)</f>
        <v>2.1</v>
      </c>
    </row>
    <row r="3708" spans="1:23" hidden="1">
      <c r="A3708" s="3" t="str">
        <f t="shared" si="57"/>
        <v>Período 1</v>
      </c>
      <c r="B3708">
        <v>17838</v>
      </c>
      <c r="C3708" t="s">
        <v>2010</v>
      </c>
      <c r="D3708" t="s">
        <v>4956</v>
      </c>
      <c r="E3708" s="3" t="str">
        <f>IF(LEN(Base_Periodo1[[#This Row],[CLASS]])&gt;=7,LEFT(Base_Periodo1[[#This Row],[CLASS]],7),"")</f>
        <v>2.1.2.2</v>
      </c>
      <c r="F3708" s="3" t="str">
        <f>VLOOKUP(Base_Periodo1[[#This Row],[Aux]],Base_Contas_Balanco[#All],2,FALSE)</f>
        <v>Fornecedores Não Cooperados</v>
      </c>
      <c r="G3708" s="1">
        <v>42879</v>
      </c>
      <c r="H3708" s="225">
        <v>7250</v>
      </c>
      <c r="I3708" s="225">
        <v>27225</v>
      </c>
      <c r="J3708" s="225">
        <v>24975</v>
      </c>
      <c r="K3708" s="225">
        <v>5000</v>
      </c>
      <c r="L37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5000</v>
      </c>
      <c r="M3708" s="225">
        <f>ROUND(IF(AND(Base_Periodo1[[#This Row],[Tipo_Linha]]="-",Base_Periodo1[[#This Row],[TIPOSALDO]]="D"),Base_Periodo1[[#This Row],[SALDO_ATUAL]]*-1,Base_Periodo1[[#This Row],[SALDO_ATUAL]]),4)</f>
        <v>5000</v>
      </c>
      <c r="N3708" t="s">
        <v>116</v>
      </c>
      <c r="O3708" t="s">
        <v>459</v>
      </c>
      <c r="P3708" t="s">
        <v>459</v>
      </c>
      <c r="Q3708">
        <v>7</v>
      </c>
      <c r="R3708" s="225">
        <f>Base_Periodo1[[#This Row],[CREDITOS]]-Base_Periodo1[[#This Row],[DEBITOS]]</f>
        <v>-2250</v>
      </c>
      <c r="S3708" s="3" t="str">
        <f>IF(ISERROR(VLOOKUP(Base_Periodo1[[#This Row],[CONTA]],BaseContasDRE[#All],4,FALSE)),"Fora do DRE",VLOOKUP(Base_Periodo1[[#This Row],[CONTA]],BaseContasDRE[#All],4,FALSE))</f>
        <v>Fora do DRE</v>
      </c>
      <c r="T3708" s="3" t="str">
        <f>IF(ISERROR(VLOOKUP(Base_Periodo1[[#This Row],[CONTA]],BaseContasDRE[#All],5,FALSE)),"Fora do DRE",VLOOKUP(Base_Periodo1[[#This Row],[CONTA]],BaseContasDRE[#All],6,FALSE))</f>
        <v>Fora do DRE</v>
      </c>
      <c r="U3708" s="3" t="str">
        <f>IF(ISERROR(VLOOKUP(Base_Periodo1[[#This Row],[CONTA]],BaseContasDRE[#All],7,FALSE)),"Fora do DRE",VLOOKUP(Base_Periodo1[[#This Row],[CONTA]],BaseContasDRE[#All],7,FALSE))</f>
        <v>Fora do DRE</v>
      </c>
      <c r="V3708" s="3" t="str">
        <f>IF(Base_Periodo1[[#This Row],[Tipo_Linha]]="Fora do DRE","Fora do DRE","( "&amp;Base_Periodo1[[#This Row],[Tipo_Linha]]&amp;" ) "&amp;Base_Periodo1[[#This Row],[Filtro]])</f>
        <v>Fora do DRE</v>
      </c>
      <c r="W3708" s="3" t="str">
        <f>LEFT(Base_Periodo1[[#This Row],[CLASS]],3)</f>
        <v>2.1</v>
      </c>
    </row>
    <row r="3709" spans="1:23" hidden="1">
      <c r="A3709" s="3" t="str">
        <f t="shared" si="57"/>
        <v>Período 1</v>
      </c>
      <c r="B3709">
        <v>52495</v>
      </c>
      <c r="C3709" t="s">
        <v>2010</v>
      </c>
      <c r="D3709" t="s">
        <v>5528</v>
      </c>
      <c r="E3709" s="3" t="str">
        <f>IF(LEN(Base_Periodo1[[#This Row],[CLASS]])&gt;=7,LEFT(Base_Periodo1[[#This Row],[CLASS]],7),"")</f>
        <v>2.1.2.2</v>
      </c>
      <c r="F3709" s="3" t="str">
        <f>VLOOKUP(Base_Periodo1[[#This Row],[Aux]],Base_Contas_Balanco[#All],2,FALSE)</f>
        <v>Fornecedores Não Cooperados</v>
      </c>
      <c r="G3709" s="1">
        <v>42776</v>
      </c>
      <c r="H3709" s="225">
        <v>802900</v>
      </c>
      <c r="I3709" s="225">
        <v>0</v>
      </c>
      <c r="J3709" s="225">
        <v>0</v>
      </c>
      <c r="K3709" s="225">
        <v>802900</v>
      </c>
      <c r="L37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802900</v>
      </c>
      <c r="M3709" s="225">
        <f>ROUND(IF(AND(Base_Periodo1[[#This Row],[Tipo_Linha]]="-",Base_Periodo1[[#This Row],[TIPOSALDO]]="D"),Base_Periodo1[[#This Row],[SALDO_ATUAL]]*-1,Base_Periodo1[[#This Row],[SALDO_ATUAL]]),4)</f>
        <v>802900</v>
      </c>
      <c r="N3709" t="s">
        <v>116</v>
      </c>
      <c r="O3709" t="s">
        <v>459</v>
      </c>
      <c r="P3709" t="s">
        <v>459</v>
      </c>
      <c r="Q3709">
        <v>7</v>
      </c>
      <c r="R3709" s="225">
        <f>Base_Periodo1[[#This Row],[CREDITOS]]-Base_Periodo1[[#This Row],[DEBITOS]]</f>
        <v>0</v>
      </c>
      <c r="S3709" s="3" t="str">
        <f>IF(ISERROR(VLOOKUP(Base_Periodo1[[#This Row],[CONTA]],BaseContasDRE[#All],4,FALSE)),"Fora do DRE",VLOOKUP(Base_Periodo1[[#This Row],[CONTA]],BaseContasDRE[#All],4,FALSE))</f>
        <v>Fora do DRE</v>
      </c>
      <c r="T3709" s="3" t="str">
        <f>IF(ISERROR(VLOOKUP(Base_Periodo1[[#This Row],[CONTA]],BaseContasDRE[#All],5,FALSE)),"Fora do DRE",VLOOKUP(Base_Periodo1[[#This Row],[CONTA]],BaseContasDRE[#All],6,FALSE))</f>
        <v>Fora do DRE</v>
      </c>
      <c r="U3709" s="3" t="str">
        <f>IF(ISERROR(VLOOKUP(Base_Periodo1[[#This Row],[CONTA]],BaseContasDRE[#All],7,FALSE)),"Fora do DRE",VLOOKUP(Base_Periodo1[[#This Row],[CONTA]],BaseContasDRE[#All],7,FALSE))</f>
        <v>Fora do DRE</v>
      </c>
      <c r="V3709" s="3" t="str">
        <f>IF(Base_Periodo1[[#This Row],[Tipo_Linha]]="Fora do DRE","Fora do DRE","( "&amp;Base_Periodo1[[#This Row],[Tipo_Linha]]&amp;" ) "&amp;Base_Periodo1[[#This Row],[Filtro]])</f>
        <v>Fora do DRE</v>
      </c>
      <c r="W3709" s="3" t="str">
        <f>LEFT(Base_Periodo1[[#This Row],[CLASS]],3)</f>
        <v>2.1</v>
      </c>
    </row>
    <row r="3710" spans="1:23" hidden="1">
      <c r="A3710" s="3" t="str">
        <f t="shared" si="57"/>
        <v>Período 1</v>
      </c>
      <c r="B3710">
        <v>38108</v>
      </c>
      <c r="C3710" t="s">
        <v>2010</v>
      </c>
      <c r="D3710" t="s">
        <v>7057</v>
      </c>
      <c r="E3710" s="3" t="str">
        <f>IF(LEN(Base_Periodo1[[#This Row],[CLASS]])&gt;=7,LEFT(Base_Periodo1[[#This Row],[CLASS]],7),"")</f>
        <v>2.1.2.2</v>
      </c>
      <c r="F3710" s="3" t="str">
        <f>VLOOKUP(Base_Periodo1[[#This Row],[Aux]],Base_Contas_Balanco[#All],2,FALSE)</f>
        <v>Fornecedores Não Cooperados</v>
      </c>
      <c r="G3710" s="1">
        <v>42859</v>
      </c>
      <c r="I3710" s="225">
        <v>7020.75</v>
      </c>
      <c r="J3710" s="225">
        <v>7020.75</v>
      </c>
      <c r="K3710" s="225">
        <v>0</v>
      </c>
      <c r="L37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10" s="225">
        <f>ROUND(IF(AND(Base_Periodo1[[#This Row],[Tipo_Linha]]="-",Base_Periodo1[[#This Row],[TIPOSALDO]]="D"),Base_Periodo1[[#This Row],[SALDO_ATUAL]]*-1,Base_Periodo1[[#This Row],[SALDO_ATUAL]]),4)</f>
        <v>0</v>
      </c>
      <c r="N3710" t="s">
        <v>116</v>
      </c>
      <c r="O3710" t="s">
        <v>436</v>
      </c>
      <c r="P3710" t="s">
        <v>436</v>
      </c>
      <c r="Q3710">
        <v>7</v>
      </c>
      <c r="R3710" s="225">
        <f>Base_Periodo1[[#This Row],[CREDITOS]]-Base_Periodo1[[#This Row],[DEBITOS]]</f>
        <v>0</v>
      </c>
      <c r="S3710" s="3" t="str">
        <f>IF(ISERROR(VLOOKUP(Base_Periodo1[[#This Row],[CONTA]],BaseContasDRE[#All],4,FALSE)),"Fora do DRE",VLOOKUP(Base_Periodo1[[#This Row],[CONTA]],BaseContasDRE[#All],4,FALSE))</f>
        <v>Fora do DRE</v>
      </c>
      <c r="T3710" s="3" t="str">
        <f>IF(ISERROR(VLOOKUP(Base_Periodo1[[#This Row],[CONTA]],BaseContasDRE[#All],5,FALSE)),"Fora do DRE",VLOOKUP(Base_Periodo1[[#This Row],[CONTA]],BaseContasDRE[#All],6,FALSE))</f>
        <v>Fora do DRE</v>
      </c>
      <c r="U3710" s="3" t="str">
        <f>IF(ISERROR(VLOOKUP(Base_Periodo1[[#This Row],[CONTA]],BaseContasDRE[#All],7,FALSE)),"Fora do DRE",VLOOKUP(Base_Periodo1[[#This Row],[CONTA]],BaseContasDRE[#All],7,FALSE))</f>
        <v>Fora do DRE</v>
      </c>
      <c r="V3710" s="3" t="str">
        <f>IF(Base_Periodo1[[#This Row],[Tipo_Linha]]="Fora do DRE","Fora do DRE","( "&amp;Base_Periodo1[[#This Row],[Tipo_Linha]]&amp;" ) "&amp;Base_Periodo1[[#This Row],[Filtro]])</f>
        <v>Fora do DRE</v>
      </c>
      <c r="W3710" s="3" t="str">
        <f>LEFT(Base_Periodo1[[#This Row],[CLASS]],3)</f>
        <v>2.1</v>
      </c>
    </row>
    <row r="3711" spans="1:23" hidden="1">
      <c r="A3711" s="3" t="str">
        <f t="shared" si="57"/>
        <v>Período 1</v>
      </c>
      <c r="B3711">
        <v>25807</v>
      </c>
      <c r="C3711" t="s">
        <v>2010</v>
      </c>
      <c r="D3711" t="s">
        <v>6183</v>
      </c>
      <c r="E3711" s="3" t="str">
        <f>IF(LEN(Base_Periodo1[[#This Row],[CLASS]])&gt;=7,LEFT(Base_Periodo1[[#This Row],[CLASS]],7),"")</f>
        <v>2.1.2.2</v>
      </c>
      <c r="F3711" s="3" t="str">
        <f>VLOOKUP(Base_Periodo1[[#This Row],[Aux]],Base_Contas_Balanco[#All],2,FALSE)</f>
        <v>Fornecedores Não Cooperados</v>
      </c>
      <c r="G3711" s="1">
        <v>42858</v>
      </c>
      <c r="H3711" s="225">
        <v>97848.949999999983</v>
      </c>
      <c r="I3711" s="225">
        <v>97848.95</v>
      </c>
      <c r="J3711" s="225">
        <v>0</v>
      </c>
      <c r="K3711" s="225">
        <v>1.4551915228366852E-11</v>
      </c>
      <c r="L37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11" s="225">
        <f>ROUND(IF(AND(Base_Periodo1[[#This Row],[Tipo_Linha]]="-",Base_Periodo1[[#This Row],[TIPOSALDO]]="D"),Base_Periodo1[[#This Row],[SALDO_ATUAL]]*-1,Base_Periodo1[[#This Row],[SALDO_ATUAL]]),4)</f>
        <v>0</v>
      </c>
      <c r="N3711" t="s">
        <v>116</v>
      </c>
      <c r="O3711" t="s">
        <v>459</v>
      </c>
      <c r="P3711" t="s">
        <v>436</v>
      </c>
      <c r="Q3711">
        <v>7</v>
      </c>
      <c r="R3711" s="225">
        <f>Base_Periodo1[[#This Row],[CREDITOS]]-Base_Periodo1[[#This Row],[DEBITOS]]</f>
        <v>-97848.95</v>
      </c>
      <c r="S3711" s="3" t="str">
        <f>IF(ISERROR(VLOOKUP(Base_Periodo1[[#This Row],[CONTA]],BaseContasDRE[#All],4,FALSE)),"Fora do DRE",VLOOKUP(Base_Periodo1[[#This Row],[CONTA]],BaseContasDRE[#All],4,FALSE))</f>
        <v>Fora do DRE</v>
      </c>
      <c r="T3711" s="3" t="str">
        <f>IF(ISERROR(VLOOKUP(Base_Periodo1[[#This Row],[CONTA]],BaseContasDRE[#All],5,FALSE)),"Fora do DRE",VLOOKUP(Base_Periodo1[[#This Row],[CONTA]],BaseContasDRE[#All],6,FALSE))</f>
        <v>Fora do DRE</v>
      </c>
      <c r="U3711" s="3" t="str">
        <f>IF(ISERROR(VLOOKUP(Base_Periodo1[[#This Row],[CONTA]],BaseContasDRE[#All],7,FALSE)),"Fora do DRE",VLOOKUP(Base_Periodo1[[#This Row],[CONTA]],BaseContasDRE[#All],7,FALSE))</f>
        <v>Fora do DRE</v>
      </c>
      <c r="V3711" s="3" t="str">
        <f>IF(Base_Periodo1[[#This Row],[Tipo_Linha]]="Fora do DRE","Fora do DRE","( "&amp;Base_Periodo1[[#This Row],[Tipo_Linha]]&amp;" ) "&amp;Base_Periodo1[[#This Row],[Filtro]])</f>
        <v>Fora do DRE</v>
      </c>
      <c r="W3711" s="3" t="str">
        <f>LEFT(Base_Periodo1[[#This Row],[CLASS]],3)</f>
        <v>2.1</v>
      </c>
    </row>
    <row r="3712" spans="1:23" hidden="1">
      <c r="A3712" s="3" t="str">
        <f t="shared" si="57"/>
        <v>Período 1</v>
      </c>
      <c r="B3712">
        <v>30291</v>
      </c>
      <c r="C3712" t="s">
        <v>2010</v>
      </c>
      <c r="D3712" t="s">
        <v>2080</v>
      </c>
      <c r="E3712" s="3" t="str">
        <f>IF(LEN(Base_Periodo1[[#This Row],[CLASS]])&gt;=7,LEFT(Base_Periodo1[[#This Row],[CLASS]],7),"")</f>
        <v>2.1.2.2</v>
      </c>
      <c r="F3712" s="3" t="str">
        <f>VLOOKUP(Base_Periodo1[[#This Row],[Aux]],Base_Contas_Balanco[#All],2,FALSE)</f>
        <v>Fornecedores Não Cooperados</v>
      </c>
      <c r="G3712" s="1">
        <v>42884</v>
      </c>
      <c r="H3712" s="225">
        <v>2715.3499999999767</v>
      </c>
      <c r="I3712" s="225">
        <v>2715.3500000000004</v>
      </c>
      <c r="J3712" s="225">
        <v>2922.8599999999997</v>
      </c>
      <c r="K3712" s="225">
        <v>2922.859999999976</v>
      </c>
      <c r="L37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2922.86</v>
      </c>
      <c r="M3712" s="225">
        <f>ROUND(IF(AND(Base_Periodo1[[#This Row],[Tipo_Linha]]="-",Base_Periodo1[[#This Row],[TIPOSALDO]]="D"),Base_Periodo1[[#This Row],[SALDO_ATUAL]]*-1,Base_Periodo1[[#This Row],[SALDO_ATUAL]]),4)</f>
        <v>2922.86</v>
      </c>
      <c r="N3712" t="s">
        <v>116</v>
      </c>
      <c r="O3712" t="s">
        <v>459</v>
      </c>
      <c r="P3712" t="s">
        <v>459</v>
      </c>
      <c r="Q3712">
        <v>7</v>
      </c>
      <c r="R3712" s="225">
        <f>Base_Periodo1[[#This Row],[CREDITOS]]-Base_Periodo1[[#This Row],[DEBITOS]]</f>
        <v>207.50999999999931</v>
      </c>
      <c r="S3712" s="3" t="str">
        <f>IF(ISERROR(VLOOKUP(Base_Periodo1[[#This Row],[CONTA]],BaseContasDRE[#All],4,FALSE)),"Fora do DRE",VLOOKUP(Base_Periodo1[[#This Row],[CONTA]],BaseContasDRE[#All],4,FALSE))</f>
        <v>Fora do DRE</v>
      </c>
      <c r="T3712" s="3" t="str">
        <f>IF(ISERROR(VLOOKUP(Base_Periodo1[[#This Row],[CONTA]],BaseContasDRE[#All],5,FALSE)),"Fora do DRE",VLOOKUP(Base_Periodo1[[#This Row],[CONTA]],BaseContasDRE[#All],6,FALSE))</f>
        <v>Fora do DRE</v>
      </c>
      <c r="U3712" s="3" t="str">
        <f>IF(ISERROR(VLOOKUP(Base_Periodo1[[#This Row],[CONTA]],BaseContasDRE[#All],7,FALSE)),"Fora do DRE",VLOOKUP(Base_Periodo1[[#This Row],[CONTA]],BaseContasDRE[#All],7,FALSE))</f>
        <v>Fora do DRE</v>
      </c>
      <c r="V3712" s="3" t="str">
        <f>IF(Base_Periodo1[[#This Row],[Tipo_Linha]]="Fora do DRE","Fora do DRE","( "&amp;Base_Periodo1[[#This Row],[Tipo_Linha]]&amp;" ) "&amp;Base_Periodo1[[#This Row],[Filtro]])</f>
        <v>Fora do DRE</v>
      </c>
      <c r="W3712" s="3" t="str">
        <f>LEFT(Base_Periodo1[[#This Row],[CLASS]],3)</f>
        <v>2.1</v>
      </c>
    </row>
    <row r="3713" spans="1:23" hidden="1">
      <c r="A3713" s="3" t="str">
        <f t="shared" si="57"/>
        <v>Período 1</v>
      </c>
      <c r="B3713">
        <v>38104</v>
      </c>
      <c r="C3713" t="s">
        <v>2010</v>
      </c>
      <c r="D3713" t="s">
        <v>2081</v>
      </c>
      <c r="E3713" s="3" t="str">
        <f>IF(LEN(Base_Periodo1[[#This Row],[CLASS]])&gt;=7,LEFT(Base_Periodo1[[#This Row],[CLASS]],7),"")</f>
        <v>2.1.2.2</v>
      </c>
      <c r="F3713" s="3" t="str">
        <f>VLOOKUP(Base_Periodo1[[#This Row],[Aux]],Base_Contas_Balanco[#All],2,FALSE)</f>
        <v>Fornecedores Não Cooperados</v>
      </c>
      <c r="G3713" s="1">
        <v>42128</v>
      </c>
      <c r="H3713" s="225">
        <v>708</v>
      </c>
      <c r="I3713" s="225">
        <v>0</v>
      </c>
      <c r="J3713" s="225">
        <v>0</v>
      </c>
      <c r="K3713" s="225">
        <v>708</v>
      </c>
      <c r="L37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708</v>
      </c>
      <c r="M3713" s="225">
        <f>ROUND(IF(AND(Base_Periodo1[[#This Row],[Tipo_Linha]]="-",Base_Periodo1[[#This Row],[TIPOSALDO]]="D"),Base_Periodo1[[#This Row],[SALDO_ATUAL]]*-1,Base_Periodo1[[#This Row],[SALDO_ATUAL]]),4)</f>
        <v>708</v>
      </c>
      <c r="N3713" t="s">
        <v>116</v>
      </c>
      <c r="O3713" t="s">
        <v>459</v>
      </c>
      <c r="P3713" t="s">
        <v>459</v>
      </c>
      <c r="Q3713">
        <v>7</v>
      </c>
      <c r="R3713" s="225">
        <f>Base_Periodo1[[#This Row],[CREDITOS]]-Base_Periodo1[[#This Row],[DEBITOS]]</f>
        <v>0</v>
      </c>
      <c r="S3713" s="3" t="str">
        <f>IF(ISERROR(VLOOKUP(Base_Periodo1[[#This Row],[CONTA]],BaseContasDRE[#All],4,FALSE)),"Fora do DRE",VLOOKUP(Base_Periodo1[[#This Row],[CONTA]],BaseContasDRE[#All],4,FALSE))</f>
        <v>Fora do DRE</v>
      </c>
      <c r="T3713" s="3" t="str">
        <f>IF(ISERROR(VLOOKUP(Base_Periodo1[[#This Row],[CONTA]],BaseContasDRE[#All],5,FALSE)),"Fora do DRE",VLOOKUP(Base_Periodo1[[#This Row],[CONTA]],BaseContasDRE[#All],6,FALSE))</f>
        <v>Fora do DRE</v>
      </c>
      <c r="U3713" s="3" t="str">
        <f>IF(ISERROR(VLOOKUP(Base_Periodo1[[#This Row],[CONTA]],BaseContasDRE[#All],7,FALSE)),"Fora do DRE",VLOOKUP(Base_Periodo1[[#This Row],[CONTA]],BaseContasDRE[#All],7,FALSE))</f>
        <v>Fora do DRE</v>
      </c>
      <c r="V3713" s="3" t="str">
        <f>IF(Base_Periodo1[[#This Row],[Tipo_Linha]]="Fora do DRE","Fora do DRE","( "&amp;Base_Periodo1[[#This Row],[Tipo_Linha]]&amp;" ) "&amp;Base_Periodo1[[#This Row],[Filtro]])</f>
        <v>Fora do DRE</v>
      </c>
      <c r="W3713" s="3" t="str">
        <f>LEFT(Base_Periodo1[[#This Row],[CLASS]],3)</f>
        <v>2.1</v>
      </c>
    </row>
    <row r="3714" spans="1:23" hidden="1">
      <c r="A3714" s="3" t="str">
        <f t="shared" si="57"/>
        <v>Período 1</v>
      </c>
      <c r="B3714">
        <v>58395</v>
      </c>
      <c r="C3714" t="s">
        <v>2010</v>
      </c>
      <c r="D3714" t="s">
        <v>7058</v>
      </c>
      <c r="E3714" s="3" t="str">
        <f>IF(LEN(Base_Periodo1[[#This Row],[CLASS]])&gt;=7,LEFT(Base_Periodo1[[#This Row],[CLASS]],7),"")</f>
        <v>2.1.2.2</v>
      </c>
      <c r="F3714" s="3" t="str">
        <f>VLOOKUP(Base_Periodo1[[#This Row],[Aux]],Base_Contas_Balanco[#All],2,FALSE)</f>
        <v>Fornecedores Não Cooperados</v>
      </c>
      <c r="G3714" s="1">
        <v>42880</v>
      </c>
      <c r="I3714" s="225">
        <v>37876.800000000003</v>
      </c>
      <c r="J3714" s="225">
        <v>37876.800000000003</v>
      </c>
      <c r="K3714" s="225">
        <v>0</v>
      </c>
      <c r="L37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14" s="225">
        <f>ROUND(IF(AND(Base_Periodo1[[#This Row],[Tipo_Linha]]="-",Base_Periodo1[[#This Row],[TIPOSALDO]]="D"),Base_Periodo1[[#This Row],[SALDO_ATUAL]]*-1,Base_Periodo1[[#This Row],[SALDO_ATUAL]]),4)</f>
        <v>0</v>
      </c>
      <c r="N3714" t="s">
        <v>116</v>
      </c>
      <c r="O3714" t="s">
        <v>436</v>
      </c>
      <c r="P3714" t="s">
        <v>436</v>
      </c>
      <c r="Q3714">
        <v>7</v>
      </c>
      <c r="R3714" s="225">
        <f>Base_Periodo1[[#This Row],[CREDITOS]]-Base_Periodo1[[#This Row],[DEBITOS]]</f>
        <v>0</v>
      </c>
      <c r="S3714" s="3" t="str">
        <f>IF(ISERROR(VLOOKUP(Base_Periodo1[[#This Row],[CONTA]],BaseContasDRE[#All],4,FALSE)),"Fora do DRE",VLOOKUP(Base_Periodo1[[#This Row],[CONTA]],BaseContasDRE[#All],4,FALSE))</f>
        <v>Fora do DRE</v>
      </c>
      <c r="T3714" s="3" t="str">
        <f>IF(ISERROR(VLOOKUP(Base_Periodo1[[#This Row],[CONTA]],BaseContasDRE[#All],5,FALSE)),"Fora do DRE",VLOOKUP(Base_Periodo1[[#This Row],[CONTA]],BaseContasDRE[#All],6,FALSE))</f>
        <v>Fora do DRE</v>
      </c>
      <c r="U3714" s="3" t="str">
        <f>IF(ISERROR(VLOOKUP(Base_Periodo1[[#This Row],[CONTA]],BaseContasDRE[#All],7,FALSE)),"Fora do DRE",VLOOKUP(Base_Periodo1[[#This Row],[CONTA]],BaseContasDRE[#All],7,FALSE))</f>
        <v>Fora do DRE</v>
      </c>
      <c r="V3714" s="3" t="str">
        <f>IF(Base_Periodo1[[#This Row],[Tipo_Linha]]="Fora do DRE","Fora do DRE","( "&amp;Base_Periodo1[[#This Row],[Tipo_Linha]]&amp;" ) "&amp;Base_Periodo1[[#This Row],[Filtro]])</f>
        <v>Fora do DRE</v>
      </c>
      <c r="W3714" s="3" t="str">
        <f>LEFT(Base_Periodo1[[#This Row],[CLASS]],3)</f>
        <v>2.1</v>
      </c>
    </row>
    <row r="3715" spans="1:23" hidden="1">
      <c r="A3715" s="3" t="str">
        <f t="shared" si="57"/>
        <v>Período 1</v>
      </c>
      <c r="B3715">
        <v>49555</v>
      </c>
      <c r="C3715" t="s">
        <v>2010</v>
      </c>
      <c r="D3715" t="s">
        <v>6492</v>
      </c>
      <c r="E3715" s="3" t="str">
        <f>IF(LEN(Base_Periodo1[[#This Row],[CLASS]])&gt;=7,LEFT(Base_Periodo1[[#This Row],[CLASS]],7),"")</f>
        <v>2.1.2.2</v>
      </c>
      <c r="F3715" s="3" t="str">
        <f>VLOOKUP(Base_Periodo1[[#This Row],[Aux]],Base_Contas_Balanco[#All],2,FALSE)</f>
        <v>Fornecedores Não Cooperados</v>
      </c>
      <c r="G3715" s="1">
        <v>42858</v>
      </c>
      <c r="H3715" s="225">
        <v>39.9</v>
      </c>
      <c r="I3715" s="225">
        <v>39.9</v>
      </c>
      <c r="J3715" s="225">
        <v>0</v>
      </c>
      <c r="K3715" s="225">
        <v>0</v>
      </c>
      <c r="L37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15" s="225">
        <f>ROUND(IF(AND(Base_Periodo1[[#This Row],[Tipo_Linha]]="-",Base_Periodo1[[#This Row],[TIPOSALDO]]="D"),Base_Periodo1[[#This Row],[SALDO_ATUAL]]*-1,Base_Periodo1[[#This Row],[SALDO_ATUAL]]),4)</f>
        <v>0</v>
      </c>
      <c r="N3715" t="s">
        <v>116</v>
      </c>
      <c r="O3715" t="s">
        <v>459</v>
      </c>
      <c r="P3715" t="s">
        <v>436</v>
      </c>
      <c r="Q3715">
        <v>7</v>
      </c>
      <c r="R3715" s="225">
        <f>Base_Periodo1[[#This Row],[CREDITOS]]-Base_Periodo1[[#This Row],[DEBITOS]]</f>
        <v>-39.9</v>
      </c>
      <c r="S3715" s="3" t="str">
        <f>IF(ISERROR(VLOOKUP(Base_Periodo1[[#This Row],[CONTA]],BaseContasDRE[#All],4,FALSE)),"Fora do DRE",VLOOKUP(Base_Periodo1[[#This Row],[CONTA]],BaseContasDRE[#All],4,FALSE))</f>
        <v>Fora do DRE</v>
      </c>
      <c r="T3715" s="3" t="str">
        <f>IF(ISERROR(VLOOKUP(Base_Periodo1[[#This Row],[CONTA]],BaseContasDRE[#All],5,FALSE)),"Fora do DRE",VLOOKUP(Base_Periodo1[[#This Row],[CONTA]],BaseContasDRE[#All],6,FALSE))</f>
        <v>Fora do DRE</v>
      </c>
      <c r="U3715" s="3" t="str">
        <f>IF(ISERROR(VLOOKUP(Base_Periodo1[[#This Row],[CONTA]],BaseContasDRE[#All],7,FALSE)),"Fora do DRE",VLOOKUP(Base_Periodo1[[#This Row],[CONTA]],BaseContasDRE[#All],7,FALSE))</f>
        <v>Fora do DRE</v>
      </c>
      <c r="V3715" s="3" t="str">
        <f>IF(Base_Periodo1[[#This Row],[Tipo_Linha]]="Fora do DRE","Fora do DRE","( "&amp;Base_Periodo1[[#This Row],[Tipo_Linha]]&amp;" ) "&amp;Base_Periodo1[[#This Row],[Filtro]])</f>
        <v>Fora do DRE</v>
      </c>
      <c r="W3715" s="3" t="str">
        <f>LEFT(Base_Periodo1[[#This Row],[CLASS]],3)</f>
        <v>2.1</v>
      </c>
    </row>
    <row r="3716" spans="1:23" hidden="1">
      <c r="A3716" s="3" t="str">
        <f t="shared" si="57"/>
        <v>Período 1</v>
      </c>
      <c r="B3716">
        <v>50441</v>
      </c>
      <c r="C3716" t="s">
        <v>2010</v>
      </c>
      <c r="D3716" t="s">
        <v>5981</v>
      </c>
      <c r="E3716" s="3" t="str">
        <f>IF(LEN(Base_Periodo1[[#This Row],[CLASS]])&gt;=7,LEFT(Base_Periodo1[[#This Row],[CLASS]],7),"")</f>
        <v>2.1.2.2</v>
      </c>
      <c r="F3716" s="3" t="str">
        <f>VLOOKUP(Base_Periodo1[[#This Row],[Aux]],Base_Contas_Balanco[#All],2,FALSE)</f>
        <v>Fornecedores Não Cooperados</v>
      </c>
      <c r="G3716" s="1">
        <v>42880</v>
      </c>
      <c r="H3716" s="225">
        <v>3400.4200000000128</v>
      </c>
      <c r="I3716" s="225">
        <v>10353.630000000001</v>
      </c>
      <c r="J3716" s="225">
        <v>6953.2099999999991</v>
      </c>
      <c r="K3716" s="225">
        <v>-1.0913936421275139E-11</v>
      </c>
      <c r="L37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16" s="225">
        <f>ROUND(IF(AND(Base_Periodo1[[#This Row],[Tipo_Linha]]="-",Base_Periodo1[[#This Row],[TIPOSALDO]]="D"),Base_Periodo1[[#This Row],[SALDO_ATUAL]]*-1,Base_Periodo1[[#This Row],[SALDO_ATUAL]]),4)</f>
        <v>0</v>
      </c>
      <c r="N3716" t="s">
        <v>116</v>
      </c>
      <c r="O3716" t="s">
        <v>459</v>
      </c>
      <c r="P3716" t="s">
        <v>436</v>
      </c>
      <c r="Q3716">
        <v>7</v>
      </c>
      <c r="R3716" s="225">
        <f>Base_Periodo1[[#This Row],[CREDITOS]]-Base_Periodo1[[#This Row],[DEBITOS]]</f>
        <v>-3400.4200000000019</v>
      </c>
      <c r="S3716" s="3" t="str">
        <f>IF(ISERROR(VLOOKUP(Base_Periodo1[[#This Row],[CONTA]],BaseContasDRE[#All],4,FALSE)),"Fora do DRE",VLOOKUP(Base_Periodo1[[#This Row],[CONTA]],BaseContasDRE[#All],4,FALSE))</f>
        <v>Fora do DRE</v>
      </c>
      <c r="T3716" s="3" t="str">
        <f>IF(ISERROR(VLOOKUP(Base_Periodo1[[#This Row],[CONTA]],BaseContasDRE[#All],5,FALSE)),"Fora do DRE",VLOOKUP(Base_Periodo1[[#This Row],[CONTA]],BaseContasDRE[#All],6,FALSE))</f>
        <v>Fora do DRE</v>
      </c>
      <c r="U3716" s="3" t="str">
        <f>IF(ISERROR(VLOOKUP(Base_Periodo1[[#This Row],[CONTA]],BaseContasDRE[#All],7,FALSE)),"Fora do DRE",VLOOKUP(Base_Periodo1[[#This Row],[CONTA]],BaseContasDRE[#All],7,FALSE))</f>
        <v>Fora do DRE</v>
      </c>
      <c r="V3716" s="3" t="str">
        <f>IF(Base_Periodo1[[#This Row],[Tipo_Linha]]="Fora do DRE","Fora do DRE","( "&amp;Base_Periodo1[[#This Row],[Tipo_Linha]]&amp;" ) "&amp;Base_Periodo1[[#This Row],[Filtro]])</f>
        <v>Fora do DRE</v>
      </c>
      <c r="W3716" s="3" t="str">
        <f>LEFT(Base_Periodo1[[#This Row],[CLASS]],3)</f>
        <v>2.1</v>
      </c>
    </row>
    <row r="3717" spans="1:23" hidden="1">
      <c r="A3717" s="3" t="str">
        <f t="shared" si="57"/>
        <v>Período 1</v>
      </c>
      <c r="B3717">
        <v>51063</v>
      </c>
      <c r="C3717" t="s">
        <v>2010</v>
      </c>
      <c r="D3717" t="s">
        <v>5867</v>
      </c>
      <c r="E3717" s="3" t="str">
        <f>IF(LEN(Base_Periodo1[[#This Row],[CLASS]])&gt;=7,LEFT(Base_Periodo1[[#This Row],[CLASS]],7),"")</f>
        <v>2.1.2.2</v>
      </c>
      <c r="F3717" s="3" t="str">
        <f>VLOOKUP(Base_Periodo1[[#This Row],[Aux]],Base_Contas_Balanco[#All],2,FALSE)</f>
        <v>Fornecedores Não Cooperados</v>
      </c>
      <c r="G3717" s="1">
        <v>42870</v>
      </c>
      <c r="H3717" s="225">
        <v>3000</v>
      </c>
      <c r="I3717" s="225">
        <v>92.19</v>
      </c>
      <c r="J3717" s="225">
        <v>92.19</v>
      </c>
      <c r="K3717" s="225">
        <v>3000</v>
      </c>
      <c r="L37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3000</v>
      </c>
      <c r="M3717" s="225">
        <f>ROUND(IF(AND(Base_Periodo1[[#This Row],[Tipo_Linha]]="-",Base_Periodo1[[#This Row],[TIPOSALDO]]="D"),Base_Periodo1[[#This Row],[SALDO_ATUAL]]*-1,Base_Periodo1[[#This Row],[SALDO_ATUAL]]),4)</f>
        <v>3000</v>
      </c>
      <c r="N3717" t="s">
        <v>116</v>
      </c>
      <c r="O3717" t="s">
        <v>459</v>
      </c>
      <c r="P3717" t="s">
        <v>459</v>
      </c>
      <c r="Q3717">
        <v>7</v>
      </c>
      <c r="R3717" s="225">
        <f>Base_Periodo1[[#This Row],[CREDITOS]]-Base_Periodo1[[#This Row],[DEBITOS]]</f>
        <v>0</v>
      </c>
      <c r="S3717" s="3" t="str">
        <f>IF(ISERROR(VLOOKUP(Base_Periodo1[[#This Row],[CONTA]],BaseContasDRE[#All],4,FALSE)),"Fora do DRE",VLOOKUP(Base_Periodo1[[#This Row],[CONTA]],BaseContasDRE[#All],4,FALSE))</f>
        <v>Fora do DRE</v>
      </c>
      <c r="T3717" s="3" t="str">
        <f>IF(ISERROR(VLOOKUP(Base_Periodo1[[#This Row],[CONTA]],BaseContasDRE[#All],5,FALSE)),"Fora do DRE",VLOOKUP(Base_Periodo1[[#This Row],[CONTA]],BaseContasDRE[#All],6,FALSE))</f>
        <v>Fora do DRE</v>
      </c>
      <c r="U3717" s="3" t="str">
        <f>IF(ISERROR(VLOOKUP(Base_Periodo1[[#This Row],[CONTA]],BaseContasDRE[#All],7,FALSE)),"Fora do DRE",VLOOKUP(Base_Periodo1[[#This Row],[CONTA]],BaseContasDRE[#All],7,FALSE))</f>
        <v>Fora do DRE</v>
      </c>
      <c r="V3717" s="3" t="str">
        <f>IF(Base_Periodo1[[#This Row],[Tipo_Linha]]="Fora do DRE","Fora do DRE","( "&amp;Base_Periodo1[[#This Row],[Tipo_Linha]]&amp;" ) "&amp;Base_Periodo1[[#This Row],[Filtro]])</f>
        <v>Fora do DRE</v>
      </c>
      <c r="W3717" s="3" t="str">
        <f>LEFT(Base_Periodo1[[#This Row],[CLASS]],3)</f>
        <v>2.1</v>
      </c>
    </row>
    <row r="3718" spans="1:23" hidden="1">
      <c r="A3718" s="3" t="str">
        <f t="shared" ref="A3718:A3781" si="58">"Período 1"</f>
        <v>Período 1</v>
      </c>
      <c r="B3718">
        <v>58530</v>
      </c>
      <c r="C3718" t="s">
        <v>2010</v>
      </c>
      <c r="D3718" t="s">
        <v>6493</v>
      </c>
      <c r="E3718" s="3" t="str">
        <f>IF(LEN(Base_Periodo1[[#This Row],[CLASS]])&gt;=7,LEFT(Base_Periodo1[[#This Row],[CLASS]],7),"")</f>
        <v>2.1.2.2</v>
      </c>
      <c r="F3718" s="3" t="str">
        <f>VLOOKUP(Base_Periodo1[[#This Row],[Aux]],Base_Contas_Balanco[#All],2,FALSE)</f>
        <v>Fornecedores Não Cooperados</v>
      </c>
      <c r="G3718" s="1">
        <v>42878</v>
      </c>
      <c r="H3718" s="225">
        <v>70324.079999999929</v>
      </c>
      <c r="I3718" s="225">
        <v>188485.06</v>
      </c>
      <c r="J3718" s="225">
        <v>154123</v>
      </c>
      <c r="K3718" s="225">
        <v>35962.019999999931</v>
      </c>
      <c r="L37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35962.019999999997</v>
      </c>
      <c r="M3718" s="225">
        <f>ROUND(IF(AND(Base_Periodo1[[#This Row],[Tipo_Linha]]="-",Base_Periodo1[[#This Row],[TIPOSALDO]]="D"),Base_Periodo1[[#This Row],[SALDO_ATUAL]]*-1,Base_Periodo1[[#This Row],[SALDO_ATUAL]]),4)</f>
        <v>35962.019999999997</v>
      </c>
      <c r="N3718" t="s">
        <v>116</v>
      </c>
      <c r="O3718" t="s">
        <v>459</v>
      </c>
      <c r="P3718" t="s">
        <v>459</v>
      </c>
      <c r="Q3718">
        <v>7</v>
      </c>
      <c r="R3718" s="225">
        <f>Base_Periodo1[[#This Row],[CREDITOS]]-Base_Periodo1[[#This Row],[DEBITOS]]</f>
        <v>-34362.06</v>
      </c>
      <c r="S3718" s="3" t="str">
        <f>IF(ISERROR(VLOOKUP(Base_Periodo1[[#This Row],[CONTA]],BaseContasDRE[#All],4,FALSE)),"Fora do DRE",VLOOKUP(Base_Periodo1[[#This Row],[CONTA]],BaseContasDRE[#All],4,FALSE))</f>
        <v>Fora do DRE</v>
      </c>
      <c r="T3718" s="3" t="str">
        <f>IF(ISERROR(VLOOKUP(Base_Periodo1[[#This Row],[CONTA]],BaseContasDRE[#All],5,FALSE)),"Fora do DRE",VLOOKUP(Base_Periodo1[[#This Row],[CONTA]],BaseContasDRE[#All],6,FALSE))</f>
        <v>Fora do DRE</v>
      </c>
      <c r="U3718" s="3" t="str">
        <f>IF(ISERROR(VLOOKUP(Base_Periodo1[[#This Row],[CONTA]],BaseContasDRE[#All],7,FALSE)),"Fora do DRE",VLOOKUP(Base_Periodo1[[#This Row],[CONTA]],BaseContasDRE[#All],7,FALSE))</f>
        <v>Fora do DRE</v>
      </c>
      <c r="V3718" s="3" t="str">
        <f>IF(Base_Periodo1[[#This Row],[Tipo_Linha]]="Fora do DRE","Fora do DRE","( "&amp;Base_Periodo1[[#This Row],[Tipo_Linha]]&amp;" ) "&amp;Base_Periodo1[[#This Row],[Filtro]])</f>
        <v>Fora do DRE</v>
      </c>
      <c r="W3718" s="3" t="str">
        <f>LEFT(Base_Periodo1[[#This Row],[CLASS]],3)</f>
        <v>2.1</v>
      </c>
    </row>
    <row r="3719" spans="1:23" hidden="1">
      <c r="A3719" s="3" t="str">
        <f t="shared" si="58"/>
        <v>Período 1</v>
      </c>
      <c r="B3719">
        <v>37556</v>
      </c>
      <c r="C3719" t="s">
        <v>2010</v>
      </c>
      <c r="D3719" t="s">
        <v>5982</v>
      </c>
      <c r="E3719" s="3" t="str">
        <f>IF(LEN(Base_Periodo1[[#This Row],[CLASS]])&gt;=7,LEFT(Base_Periodo1[[#This Row],[CLASS]],7),"")</f>
        <v>2.1.2.2</v>
      </c>
      <c r="F3719" s="3" t="str">
        <f>VLOOKUP(Base_Periodo1[[#This Row],[Aux]],Base_Contas_Balanco[#All],2,FALSE)</f>
        <v>Fornecedores Não Cooperados</v>
      </c>
      <c r="G3719" s="1">
        <v>42886</v>
      </c>
      <c r="I3719" s="225">
        <v>1204</v>
      </c>
      <c r="J3719" s="225">
        <v>2043</v>
      </c>
      <c r="K3719" s="225">
        <v>839</v>
      </c>
      <c r="L37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839</v>
      </c>
      <c r="M3719" s="225">
        <f>ROUND(IF(AND(Base_Periodo1[[#This Row],[Tipo_Linha]]="-",Base_Periodo1[[#This Row],[TIPOSALDO]]="D"),Base_Periodo1[[#This Row],[SALDO_ATUAL]]*-1,Base_Periodo1[[#This Row],[SALDO_ATUAL]]),4)</f>
        <v>839</v>
      </c>
      <c r="N3719" t="s">
        <v>116</v>
      </c>
      <c r="O3719" t="s">
        <v>436</v>
      </c>
      <c r="P3719" t="s">
        <v>459</v>
      </c>
      <c r="Q3719">
        <v>7</v>
      </c>
      <c r="R3719" s="225">
        <f>Base_Periodo1[[#This Row],[CREDITOS]]-Base_Periodo1[[#This Row],[DEBITOS]]</f>
        <v>839</v>
      </c>
      <c r="S3719" s="3" t="str">
        <f>IF(ISERROR(VLOOKUP(Base_Periodo1[[#This Row],[CONTA]],BaseContasDRE[#All],4,FALSE)),"Fora do DRE",VLOOKUP(Base_Periodo1[[#This Row],[CONTA]],BaseContasDRE[#All],4,FALSE))</f>
        <v>Fora do DRE</v>
      </c>
      <c r="T3719" s="3" t="str">
        <f>IF(ISERROR(VLOOKUP(Base_Periodo1[[#This Row],[CONTA]],BaseContasDRE[#All],5,FALSE)),"Fora do DRE",VLOOKUP(Base_Periodo1[[#This Row],[CONTA]],BaseContasDRE[#All],6,FALSE))</f>
        <v>Fora do DRE</v>
      </c>
      <c r="U3719" s="3" t="str">
        <f>IF(ISERROR(VLOOKUP(Base_Periodo1[[#This Row],[CONTA]],BaseContasDRE[#All],7,FALSE)),"Fora do DRE",VLOOKUP(Base_Periodo1[[#This Row],[CONTA]],BaseContasDRE[#All],7,FALSE))</f>
        <v>Fora do DRE</v>
      </c>
      <c r="V3719" s="3" t="str">
        <f>IF(Base_Periodo1[[#This Row],[Tipo_Linha]]="Fora do DRE","Fora do DRE","( "&amp;Base_Periodo1[[#This Row],[Tipo_Linha]]&amp;" ) "&amp;Base_Periodo1[[#This Row],[Filtro]])</f>
        <v>Fora do DRE</v>
      </c>
      <c r="W3719" s="3" t="str">
        <f>LEFT(Base_Periodo1[[#This Row],[CLASS]],3)</f>
        <v>2.1</v>
      </c>
    </row>
    <row r="3720" spans="1:23" hidden="1">
      <c r="A3720" s="3" t="str">
        <f t="shared" si="58"/>
        <v>Período 1</v>
      </c>
      <c r="B3720">
        <v>47780</v>
      </c>
      <c r="C3720" t="s">
        <v>2010</v>
      </c>
      <c r="D3720" t="s">
        <v>5080</v>
      </c>
      <c r="E3720" s="3" t="str">
        <f>IF(LEN(Base_Periodo1[[#This Row],[CLASS]])&gt;=7,LEFT(Base_Periodo1[[#This Row],[CLASS]],7),"")</f>
        <v>2.1.2.2</v>
      </c>
      <c r="F3720" s="3" t="str">
        <f>VLOOKUP(Base_Periodo1[[#This Row],[Aux]],Base_Contas_Balanco[#All],2,FALSE)</f>
        <v>Fornecedores Não Cooperados</v>
      </c>
      <c r="G3720" s="1">
        <v>42871</v>
      </c>
      <c r="H3720" s="225">
        <v>50400</v>
      </c>
      <c r="I3720" s="225">
        <v>26600</v>
      </c>
      <c r="J3720" s="225">
        <v>26600</v>
      </c>
      <c r="K3720" s="225">
        <v>50400</v>
      </c>
      <c r="L37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50400</v>
      </c>
      <c r="M3720" s="225">
        <f>ROUND(IF(AND(Base_Periodo1[[#This Row],[Tipo_Linha]]="-",Base_Periodo1[[#This Row],[TIPOSALDO]]="D"),Base_Periodo1[[#This Row],[SALDO_ATUAL]]*-1,Base_Periodo1[[#This Row],[SALDO_ATUAL]]),4)</f>
        <v>50400</v>
      </c>
      <c r="N3720" t="s">
        <v>116</v>
      </c>
      <c r="O3720" t="s">
        <v>459</v>
      </c>
      <c r="P3720" t="s">
        <v>459</v>
      </c>
      <c r="Q3720">
        <v>7</v>
      </c>
      <c r="R3720" s="225">
        <f>Base_Periodo1[[#This Row],[CREDITOS]]-Base_Periodo1[[#This Row],[DEBITOS]]</f>
        <v>0</v>
      </c>
      <c r="S3720" s="3" t="str">
        <f>IF(ISERROR(VLOOKUP(Base_Periodo1[[#This Row],[CONTA]],BaseContasDRE[#All],4,FALSE)),"Fora do DRE",VLOOKUP(Base_Periodo1[[#This Row],[CONTA]],BaseContasDRE[#All],4,FALSE))</f>
        <v>Fora do DRE</v>
      </c>
      <c r="T3720" s="3" t="str">
        <f>IF(ISERROR(VLOOKUP(Base_Periodo1[[#This Row],[CONTA]],BaseContasDRE[#All],5,FALSE)),"Fora do DRE",VLOOKUP(Base_Periodo1[[#This Row],[CONTA]],BaseContasDRE[#All],6,FALSE))</f>
        <v>Fora do DRE</v>
      </c>
      <c r="U3720" s="3" t="str">
        <f>IF(ISERROR(VLOOKUP(Base_Periodo1[[#This Row],[CONTA]],BaseContasDRE[#All],7,FALSE)),"Fora do DRE",VLOOKUP(Base_Periodo1[[#This Row],[CONTA]],BaseContasDRE[#All],7,FALSE))</f>
        <v>Fora do DRE</v>
      </c>
      <c r="V3720" s="3" t="str">
        <f>IF(Base_Periodo1[[#This Row],[Tipo_Linha]]="Fora do DRE","Fora do DRE","( "&amp;Base_Periodo1[[#This Row],[Tipo_Linha]]&amp;" ) "&amp;Base_Periodo1[[#This Row],[Filtro]])</f>
        <v>Fora do DRE</v>
      </c>
      <c r="W3720" s="3" t="str">
        <f>LEFT(Base_Periodo1[[#This Row],[CLASS]],3)</f>
        <v>2.1</v>
      </c>
    </row>
    <row r="3721" spans="1:23" hidden="1">
      <c r="A3721" s="3" t="str">
        <f t="shared" si="58"/>
        <v>Período 1</v>
      </c>
      <c r="B3721">
        <v>59219</v>
      </c>
      <c r="C3721" t="s">
        <v>2010</v>
      </c>
      <c r="D3721" t="s">
        <v>7059</v>
      </c>
      <c r="E3721" s="3" t="str">
        <f>IF(LEN(Base_Periodo1[[#This Row],[CLASS]])&gt;=7,LEFT(Base_Periodo1[[#This Row],[CLASS]],7),"")</f>
        <v>2.1.2.2</v>
      </c>
      <c r="F3721" s="3" t="str">
        <f>VLOOKUP(Base_Periodo1[[#This Row],[Aux]],Base_Contas_Balanco[#All],2,FALSE)</f>
        <v>Fornecedores Não Cooperados</v>
      </c>
      <c r="G3721" s="1">
        <v>42881</v>
      </c>
      <c r="I3721" s="225">
        <v>1163.0600000000002</v>
      </c>
      <c r="J3721" s="225">
        <v>1163.06</v>
      </c>
      <c r="K3721" s="225">
        <v>2.2737367544323206E-13</v>
      </c>
      <c r="L37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21" s="225">
        <f>ROUND(IF(AND(Base_Periodo1[[#This Row],[Tipo_Linha]]="-",Base_Periodo1[[#This Row],[TIPOSALDO]]="D"),Base_Periodo1[[#This Row],[SALDO_ATUAL]]*-1,Base_Periodo1[[#This Row],[SALDO_ATUAL]]),4)</f>
        <v>0</v>
      </c>
      <c r="N3721" t="s">
        <v>116</v>
      </c>
      <c r="O3721" t="s">
        <v>436</v>
      </c>
      <c r="P3721" t="s">
        <v>436</v>
      </c>
      <c r="Q3721">
        <v>7</v>
      </c>
      <c r="R3721" s="225">
        <f>Base_Periodo1[[#This Row],[CREDITOS]]-Base_Periodo1[[#This Row],[DEBITOS]]</f>
        <v>0</v>
      </c>
      <c r="S3721" s="3" t="str">
        <f>IF(ISERROR(VLOOKUP(Base_Periodo1[[#This Row],[CONTA]],BaseContasDRE[#All],4,FALSE)),"Fora do DRE",VLOOKUP(Base_Periodo1[[#This Row],[CONTA]],BaseContasDRE[#All],4,FALSE))</f>
        <v>Fora do DRE</v>
      </c>
      <c r="T3721" s="3" t="str">
        <f>IF(ISERROR(VLOOKUP(Base_Periodo1[[#This Row],[CONTA]],BaseContasDRE[#All],5,FALSE)),"Fora do DRE",VLOOKUP(Base_Periodo1[[#This Row],[CONTA]],BaseContasDRE[#All],6,FALSE))</f>
        <v>Fora do DRE</v>
      </c>
      <c r="U3721" s="3" t="str">
        <f>IF(ISERROR(VLOOKUP(Base_Periodo1[[#This Row],[CONTA]],BaseContasDRE[#All],7,FALSE)),"Fora do DRE",VLOOKUP(Base_Periodo1[[#This Row],[CONTA]],BaseContasDRE[#All],7,FALSE))</f>
        <v>Fora do DRE</v>
      </c>
      <c r="V3721" s="3" t="str">
        <f>IF(Base_Periodo1[[#This Row],[Tipo_Linha]]="Fora do DRE","Fora do DRE","( "&amp;Base_Periodo1[[#This Row],[Tipo_Linha]]&amp;" ) "&amp;Base_Periodo1[[#This Row],[Filtro]])</f>
        <v>Fora do DRE</v>
      </c>
      <c r="W3721" s="3" t="str">
        <f>LEFT(Base_Periodo1[[#This Row],[CLASS]],3)</f>
        <v>2.1</v>
      </c>
    </row>
    <row r="3722" spans="1:23" hidden="1">
      <c r="A3722" s="3" t="str">
        <f t="shared" si="58"/>
        <v>Período 1</v>
      </c>
      <c r="B3722">
        <v>11715</v>
      </c>
      <c r="C3722" t="s">
        <v>2010</v>
      </c>
      <c r="D3722" t="s">
        <v>4957</v>
      </c>
      <c r="E3722" s="3" t="str">
        <f>IF(LEN(Base_Periodo1[[#This Row],[CLASS]])&gt;=7,LEFT(Base_Periodo1[[#This Row],[CLASS]],7),"")</f>
        <v>2.1.2.2</v>
      </c>
      <c r="F3722" s="3" t="str">
        <f>VLOOKUP(Base_Periodo1[[#This Row],[Aux]],Base_Contas_Balanco[#All],2,FALSE)</f>
        <v>Fornecedores Não Cooperados</v>
      </c>
      <c r="G3722" s="1">
        <v>42886</v>
      </c>
      <c r="H3722" s="225">
        <v>595.4399999999805</v>
      </c>
      <c r="I3722" s="225">
        <v>595.44000000000005</v>
      </c>
      <c r="J3722" s="225">
        <v>364.32</v>
      </c>
      <c r="K3722" s="225">
        <v>364.31999999998044</v>
      </c>
      <c r="L37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364.32</v>
      </c>
      <c r="M3722" s="225">
        <f>ROUND(IF(AND(Base_Periodo1[[#This Row],[Tipo_Linha]]="-",Base_Periodo1[[#This Row],[TIPOSALDO]]="D"),Base_Periodo1[[#This Row],[SALDO_ATUAL]]*-1,Base_Periodo1[[#This Row],[SALDO_ATUAL]]),4)</f>
        <v>364.32</v>
      </c>
      <c r="N3722" t="s">
        <v>116</v>
      </c>
      <c r="O3722" t="s">
        <v>459</v>
      </c>
      <c r="P3722" t="s">
        <v>459</v>
      </c>
      <c r="Q3722">
        <v>7</v>
      </c>
      <c r="R3722" s="225">
        <f>Base_Periodo1[[#This Row],[CREDITOS]]-Base_Periodo1[[#This Row],[DEBITOS]]</f>
        <v>-231.12000000000006</v>
      </c>
      <c r="S3722" s="3" t="str">
        <f>IF(ISERROR(VLOOKUP(Base_Periodo1[[#This Row],[CONTA]],BaseContasDRE[#All],4,FALSE)),"Fora do DRE",VLOOKUP(Base_Periodo1[[#This Row],[CONTA]],BaseContasDRE[#All],4,FALSE))</f>
        <v>Fora do DRE</v>
      </c>
      <c r="T3722" s="3" t="str">
        <f>IF(ISERROR(VLOOKUP(Base_Periodo1[[#This Row],[CONTA]],BaseContasDRE[#All],5,FALSE)),"Fora do DRE",VLOOKUP(Base_Periodo1[[#This Row],[CONTA]],BaseContasDRE[#All],6,FALSE))</f>
        <v>Fora do DRE</v>
      </c>
      <c r="U3722" s="3" t="str">
        <f>IF(ISERROR(VLOOKUP(Base_Periodo1[[#This Row],[CONTA]],BaseContasDRE[#All],7,FALSE)),"Fora do DRE",VLOOKUP(Base_Periodo1[[#This Row],[CONTA]],BaseContasDRE[#All],7,FALSE))</f>
        <v>Fora do DRE</v>
      </c>
      <c r="V3722" s="3" t="str">
        <f>IF(Base_Periodo1[[#This Row],[Tipo_Linha]]="Fora do DRE","Fora do DRE","( "&amp;Base_Periodo1[[#This Row],[Tipo_Linha]]&amp;" ) "&amp;Base_Periodo1[[#This Row],[Filtro]])</f>
        <v>Fora do DRE</v>
      </c>
      <c r="W3722" s="3" t="str">
        <f>LEFT(Base_Periodo1[[#This Row],[CLASS]],3)</f>
        <v>2.1</v>
      </c>
    </row>
    <row r="3723" spans="1:23" hidden="1">
      <c r="A3723" s="3" t="str">
        <f t="shared" si="58"/>
        <v>Período 1</v>
      </c>
      <c r="B3723">
        <v>59169</v>
      </c>
      <c r="C3723" t="s">
        <v>2010</v>
      </c>
      <c r="D3723" t="s">
        <v>7060</v>
      </c>
      <c r="E3723" s="3" t="str">
        <f>IF(LEN(Base_Periodo1[[#This Row],[CLASS]])&gt;=7,LEFT(Base_Periodo1[[#This Row],[CLASS]],7),"")</f>
        <v>2.1.2.2</v>
      </c>
      <c r="F3723" s="3" t="str">
        <f>VLOOKUP(Base_Periodo1[[#This Row],[Aux]],Base_Contas_Balanco[#All],2,FALSE)</f>
        <v>Fornecedores Não Cooperados</v>
      </c>
      <c r="G3723" s="1"/>
      <c r="I3723" s="225">
        <v>0</v>
      </c>
      <c r="J3723" s="225">
        <v>462.8</v>
      </c>
      <c r="K3723" s="225">
        <v>462.8</v>
      </c>
      <c r="L37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462.8</v>
      </c>
      <c r="M3723" s="225">
        <f>ROUND(IF(AND(Base_Periodo1[[#This Row],[Tipo_Linha]]="-",Base_Periodo1[[#This Row],[TIPOSALDO]]="D"),Base_Periodo1[[#This Row],[SALDO_ATUAL]]*-1,Base_Periodo1[[#This Row],[SALDO_ATUAL]]),4)</f>
        <v>462.8</v>
      </c>
      <c r="N3723" t="s">
        <v>116</v>
      </c>
      <c r="O3723" t="s">
        <v>436</v>
      </c>
      <c r="P3723" t="s">
        <v>459</v>
      </c>
      <c r="Q3723">
        <v>7</v>
      </c>
      <c r="R3723" s="225">
        <f>Base_Periodo1[[#This Row],[CREDITOS]]-Base_Periodo1[[#This Row],[DEBITOS]]</f>
        <v>462.8</v>
      </c>
      <c r="S3723" s="3" t="str">
        <f>IF(ISERROR(VLOOKUP(Base_Periodo1[[#This Row],[CONTA]],BaseContasDRE[#All],4,FALSE)),"Fora do DRE",VLOOKUP(Base_Periodo1[[#This Row],[CONTA]],BaseContasDRE[#All],4,FALSE))</f>
        <v>Fora do DRE</v>
      </c>
      <c r="T3723" s="3" t="str">
        <f>IF(ISERROR(VLOOKUP(Base_Periodo1[[#This Row],[CONTA]],BaseContasDRE[#All],5,FALSE)),"Fora do DRE",VLOOKUP(Base_Periodo1[[#This Row],[CONTA]],BaseContasDRE[#All],6,FALSE))</f>
        <v>Fora do DRE</v>
      </c>
      <c r="U3723" s="3" t="str">
        <f>IF(ISERROR(VLOOKUP(Base_Periodo1[[#This Row],[CONTA]],BaseContasDRE[#All],7,FALSE)),"Fora do DRE",VLOOKUP(Base_Periodo1[[#This Row],[CONTA]],BaseContasDRE[#All],7,FALSE))</f>
        <v>Fora do DRE</v>
      </c>
      <c r="V3723" s="3" t="str">
        <f>IF(Base_Periodo1[[#This Row],[Tipo_Linha]]="Fora do DRE","Fora do DRE","( "&amp;Base_Periodo1[[#This Row],[Tipo_Linha]]&amp;" ) "&amp;Base_Periodo1[[#This Row],[Filtro]])</f>
        <v>Fora do DRE</v>
      </c>
      <c r="W3723" s="3" t="str">
        <f>LEFT(Base_Periodo1[[#This Row],[CLASS]],3)</f>
        <v>2.1</v>
      </c>
    </row>
    <row r="3724" spans="1:23" hidden="1">
      <c r="A3724" s="3" t="str">
        <f t="shared" si="58"/>
        <v>Período 1</v>
      </c>
      <c r="B3724">
        <v>53376</v>
      </c>
      <c r="C3724" t="s">
        <v>2010</v>
      </c>
      <c r="D3724" t="s">
        <v>7061</v>
      </c>
      <c r="E3724" s="3" t="str">
        <f>IF(LEN(Base_Periodo1[[#This Row],[CLASS]])&gt;=7,LEFT(Base_Periodo1[[#This Row],[CLASS]],7),"")</f>
        <v>2.1.2.2</v>
      </c>
      <c r="F3724" s="3" t="str">
        <f>VLOOKUP(Base_Periodo1[[#This Row],[Aux]],Base_Contas_Balanco[#All],2,FALSE)</f>
        <v>Fornecedores Não Cooperados</v>
      </c>
      <c r="G3724" s="1">
        <v>42871</v>
      </c>
      <c r="I3724" s="225">
        <v>16016</v>
      </c>
      <c r="J3724" s="225">
        <v>16016</v>
      </c>
      <c r="K3724" s="225">
        <v>0</v>
      </c>
      <c r="L37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24" s="225">
        <f>ROUND(IF(AND(Base_Periodo1[[#This Row],[Tipo_Linha]]="-",Base_Periodo1[[#This Row],[TIPOSALDO]]="D"),Base_Periodo1[[#This Row],[SALDO_ATUAL]]*-1,Base_Periodo1[[#This Row],[SALDO_ATUAL]]),4)</f>
        <v>0</v>
      </c>
      <c r="N3724" t="s">
        <v>116</v>
      </c>
      <c r="O3724" t="s">
        <v>436</v>
      </c>
      <c r="P3724" t="s">
        <v>436</v>
      </c>
      <c r="Q3724">
        <v>7</v>
      </c>
      <c r="R3724" s="225">
        <f>Base_Periodo1[[#This Row],[CREDITOS]]-Base_Periodo1[[#This Row],[DEBITOS]]</f>
        <v>0</v>
      </c>
      <c r="S3724" s="3" t="str">
        <f>IF(ISERROR(VLOOKUP(Base_Periodo1[[#This Row],[CONTA]],BaseContasDRE[#All],4,FALSE)),"Fora do DRE",VLOOKUP(Base_Periodo1[[#This Row],[CONTA]],BaseContasDRE[#All],4,FALSE))</f>
        <v>Fora do DRE</v>
      </c>
      <c r="T3724" s="3" t="str">
        <f>IF(ISERROR(VLOOKUP(Base_Periodo1[[#This Row],[CONTA]],BaseContasDRE[#All],5,FALSE)),"Fora do DRE",VLOOKUP(Base_Periodo1[[#This Row],[CONTA]],BaseContasDRE[#All],6,FALSE))</f>
        <v>Fora do DRE</v>
      </c>
      <c r="U3724" s="3" t="str">
        <f>IF(ISERROR(VLOOKUP(Base_Periodo1[[#This Row],[CONTA]],BaseContasDRE[#All],7,FALSE)),"Fora do DRE",VLOOKUP(Base_Periodo1[[#This Row],[CONTA]],BaseContasDRE[#All],7,FALSE))</f>
        <v>Fora do DRE</v>
      </c>
      <c r="V3724" s="3" t="str">
        <f>IF(Base_Periodo1[[#This Row],[Tipo_Linha]]="Fora do DRE","Fora do DRE","( "&amp;Base_Periodo1[[#This Row],[Tipo_Linha]]&amp;" ) "&amp;Base_Periodo1[[#This Row],[Filtro]])</f>
        <v>Fora do DRE</v>
      </c>
      <c r="W3724" s="3" t="str">
        <f>LEFT(Base_Periodo1[[#This Row],[CLASS]],3)</f>
        <v>2.1</v>
      </c>
    </row>
    <row r="3725" spans="1:23" hidden="1">
      <c r="A3725" s="3" t="str">
        <f t="shared" si="58"/>
        <v>Período 1</v>
      </c>
      <c r="B3725">
        <v>18356</v>
      </c>
      <c r="C3725" t="s">
        <v>2010</v>
      </c>
      <c r="D3725" t="s">
        <v>7062</v>
      </c>
      <c r="E3725" s="3" t="str">
        <f>IF(LEN(Base_Periodo1[[#This Row],[CLASS]])&gt;=7,LEFT(Base_Periodo1[[#This Row],[CLASS]],7),"")</f>
        <v>2.1.2.2</v>
      </c>
      <c r="F3725" s="3" t="str">
        <f>VLOOKUP(Base_Periodo1[[#This Row],[Aux]],Base_Contas_Balanco[#All],2,FALSE)</f>
        <v>Fornecedores Não Cooperados</v>
      </c>
      <c r="G3725" s="1">
        <v>42881</v>
      </c>
      <c r="I3725" s="225">
        <v>4124.8</v>
      </c>
      <c r="J3725" s="225">
        <v>4124.8</v>
      </c>
      <c r="K3725" s="225">
        <v>1.4551915228366852E-11</v>
      </c>
      <c r="L37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25" s="225">
        <f>ROUND(IF(AND(Base_Periodo1[[#This Row],[Tipo_Linha]]="-",Base_Periodo1[[#This Row],[TIPOSALDO]]="D"),Base_Periodo1[[#This Row],[SALDO_ATUAL]]*-1,Base_Periodo1[[#This Row],[SALDO_ATUAL]]),4)</f>
        <v>0</v>
      </c>
      <c r="N3725" t="s">
        <v>116</v>
      </c>
      <c r="O3725" t="s">
        <v>436</v>
      </c>
      <c r="P3725" t="s">
        <v>436</v>
      </c>
      <c r="Q3725">
        <v>7</v>
      </c>
      <c r="R3725" s="225">
        <f>Base_Periodo1[[#This Row],[CREDITOS]]-Base_Periodo1[[#This Row],[DEBITOS]]</f>
        <v>0</v>
      </c>
      <c r="S3725" s="3" t="str">
        <f>IF(ISERROR(VLOOKUP(Base_Periodo1[[#This Row],[CONTA]],BaseContasDRE[#All],4,FALSE)),"Fora do DRE",VLOOKUP(Base_Periodo1[[#This Row],[CONTA]],BaseContasDRE[#All],4,FALSE))</f>
        <v>Fora do DRE</v>
      </c>
      <c r="T3725" s="3" t="str">
        <f>IF(ISERROR(VLOOKUP(Base_Periodo1[[#This Row],[CONTA]],BaseContasDRE[#All],5,FALSE)),"Fora do DRE",VLOOKUP(Base_Periodo1[[#This Row],[CONTA]],BaseContasDRE[#All],6,FALSE))</f>
        <v>Fora do DRE</v>
      </c>
      <c r="U3725" s="3" t="str">
        <f>IF(ISERROR(VLOOKUP(Base_Periodo1[[#This Row],[CONTA]],BaseContasDRE[#All],7,FALSE)),"Fora do DRE",VLOOKUP(Base_Periodo1[[#This Row],[CONTA]],BaseContasDRE[#All],7,FALSE))</f>
        <v>Fora do DRE</v>
      </c>
      <c r="V3725" s="3" t="str">
        <f>IF(Base_Periodo1[[#This Row],[Tipo_Linha]]="Fora do DRE","Fora do DRE","( "&amp;Base_Periodo1[[#This Row],[Tipo_Linha]]&amp;" ) "&amp;Base_Periodo1[[#This Row],[Filtro]])</f>
        <v>Fora do DRE</v>
      </c>
      <c r="W3725" s="3" t="str">
        <f>LEFT(Base_Periodo1[[#This Row],[CLASS]],3)</f>
        <v>2.1</v>
      </c>
    </row>
    <row r="3726" spans="1:23" hidden="1">
      <c r="A3726" s="3" t="str">
        <f t="shared" si="58"/>
        <v>Período 1</v>
      </c>
      <c r="B3726">
        <v>55708</v>
      </c>
      <c r="C3726" t="s">
        <v>2010</v>
      </c>
      <c r="D3726" t="s">
        <v>7063</v>
      </c>
      <c r="E3726" s="3" t="str">
        <f>IF(LEN(Base_Periodo1[[#This Row],[CLASS]])&gt;=7,LEFT(Base_Periodo1[[#This Row],[CLASS]],7),"")</f>
        <v>2.1.2.2</v>
      </c>
      <c r="F3726" s="3" t="str">
        <f>VLOOKUP(Base_Periodo1[[#This Row],[Aux]],Base_Contas_Balanco[#All],2,FALSE)</f>
        <v>Fornecedores Não Cooperados</v>
      </c>
      <c r="G3726" s="1">
        <v>42867</v>
      </c>
      <c r="I3726" s="225">
        <v>149232.59</v>
      </c>
      <c r="J3726" s="225">
        <v>149232.59</v>
      </c>
      <c r="K3726" s="225">
        <v>0</v>
      </c>
      <c r="L37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26" s="225">
        <f>ROUND(IF(AND(Base_Periodo1[[#This Row],[Tipo_Linha]]="-",Base_Periodo1[[#This Row],[TIPOSALDO]]="D"),Base_Periodo1[[#This Row],[SALDO_ATUAL]]*-1,Base_Periodo1[[#This Row],[SALDO_ATUAL]]),4)</f>
        <v>0</v>
      </c>
      <c r="N3726" t="s">
        <v>116</v>
      </c>
      <c r="O3726" t="s">
        <v>436</v>
      </c>
      <c r="P3726" t="s">
        <v>436</v>
      </c>
      <c r="Q3726">
        <v>7</v>
      </c>
      <c r="R3726" s="225">
        <f>Base_Periodo1[[#This Row],[CREDITOS]]-Base_Periodo1[[#This Row],[DEBITOS]]</f>
        <v>0</v>
      </c>
      <c r="S3726" s="3" t="str">
        <f>IF(ISERROR(VLOOKUP(Base_Periodo1[[#This Row],[CONTA]],BaseContasDRE[#All],4,FALSE)),"Fora do DRE",VLOOKUP(Base_Periodo1[[#This Row],[CONTA]],BaseContasDRE[#All],4,FALSE))</f>
        <v>Fora do DRE</v>
      </c>
      <c r="T3726" s="3" t="str">
        <f>IF(ISERROR(VLOOKUP(Base_Periodo1[[#This Row],[CONTA]],BaseContasDRE[#All],5,FALSE)),"Fora do DRE",VLOOKUP(Base_Periodo1[[#This Row],[CONTA]],BaseContasDRE[#All],6,FALSE))</f>
        <v>Fora do DRE</v>
      </c>
      <c r="U3726" s="3" t="str">
        <f>IF(ISERROR(VLOOKUP(Base_Periodo1[[#This Row],[CONTA]],BaseContasDRE[#All],7,FALSE)),"Fora do DRE",VLOOKUP(Base_Periodo1[[#This Row],[CONTA]],BaseContasDRE[#All],7,FALSE))</f>
        <v>Fora do DRE</v>
      </c>
      <c r="V3726" s="3" t="str">
        <f>IF(Base_Periodo1[[#This Row],[Tipo_Linha]]="Fora do DRE","Fora do DRE","( "&amp;Base_Periodo1[[#This Row],[Tipo_Linha]]&amp;" ) "&amp;Base_Periodo1[[#This Row],[Filtro]])</f>
        <v>Fora do DRE</v>
      </c>
      <c r="W3726" s="3" t="str">
        <f>LEFT(Base_Periodo1[[#This Row],[CLASS]],3)</f>
        <v>2.1</v>
      </c>
    </row>
    <row r="3727" spans="1:23" hidden="1">
      <c r="A3727" s="3" t="str">
        <f t="shared" si="58"/>
        <v>Período 1</v>
      </c>
      <c r="B3727">
        <v>58355</v>
      </c>
      <c r="C3727" t="s">
        <v>2010</v>
      </c>
      <c r="D3727" t="s">
        <v>7064</v>
      </c>
      <c r="E3727" s="3" t="str">
        <f>IF(LEN(Base_Periodo1[[#This Row],[CLASS]])&gt;=7,LEFT(Base_Periodo1[[#This Row],[CLASS]],7),"")</f>
        <v>2.1.2.2</v>
      </c>
      <c r="F3727" s="3" t="str">
        <f>VLOOKUP(Base_Periodo1[[#This Row],[Aux]],Base_Contas_Balanco[#All],2,FALSE)</f>
        <v>Fornecedores Não Cooperados</v>
      </c>
      <c r="G3727" s="1">
        <v>42885</v>
      </c>
      <c r="I3727" s="225">
        <v>6948</v>
      </c>
      <c r="J3727" s="225">
        <v>6948</v>
      </c>
      <c r="K3727" s="225">
        <v>0</v>
      </c>
      <c r="L37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27" s="225">
        <f>ROUND(IF(AND(Base_Periodo1[[#This Row],[Tipo_Linha]]="-",Base_Periodo1[[#This Row],[TIPOSALDO]]="D"),Base_Periodo1[[#This Row],[SALDO_ATUAL]]*-1,Base_Periodo1[[#This Row],[SALDO_ATUAL]]),4)</f>
        <v>0</v>
      </c>
      <c r="N3727" t="s">
        <v>116</v>
      </c>
      <c r="O3727" t="s">
        <v>436</v>
      </c>
      <c r="P3727" t="s">
        <v>436</v>
      </c>
      <c r="Q3727">
        <v>7</v>
      </c>
      <c r="R3727" s="225">
        <f>Base_Periodo1[[#This Row],[CREDITOS]]-Base_Periodo1[[#This Row],[DEBITOS]]</f>
        <v>0</v>
      </c>
      <c r="S3727" s="3" t="str">
        <f>IF(ISERROR(VLOOKUP(Base_Periodo1[[#This Row],[CONTA]],BaseContasDRE[#All],4,FALSE)),"Fora do DRE",VLOOKUP(Base_Periodo1[[#This Row],[CONTA]],BaseContasDRE[#All],4,FALSE))</f>
        <v>Fora do DRE</v>
      </c>
      <c r="T3727" s="3" t="str">
        <f>IF(ISERROR(VLOOKUP(Base_Periodo1[[#This Row],[CONTA]],BaseContasDRE[#All],5,FALSE)),"Fora do DRE",VLOOKUP(Base_Periodo1[[#This Row],[CONTA]],BaseContasDRE[#All],6,FALSE))</f>
        <v>Fora do DRE</v>
      </c>
      <c r="U3727" s="3" t="str">
        <f>IF(ISERROR(VLOOKUP(Base_Periodo1[[#This Row],[CONTA]],BaseContasDRE[#All],7,FALSE)),"Fora do DRE",VLOOKUP(Base_Periodo1[[#This Row],[CONTA]],BaseContasDRE[#All],7,FALSE))</f>
        <v>Fora do DRE</v>
      </c>
      <c r="V3727" s="3" t="str">
        <f>IF(Base_Periodo1[[#This Row],[Tipo_Linha]]="Fora do DRE","Fora do DRE","( "&amp;Base_Periodo1[[#This Row],[Tipo_Linha]]&amp;" ) "&amp;Base_Periodo1[[#This Row],[Filtro]])</f>
        <v>Fora do DRE</v>
      </c>
      <c r="W3727" s="3" t="str">
        <f>LEFT(Base_Periodo1[[#This Row],[CLASS]],3)</f>
        <v>2.1</v>
      </c>
    </row>
    <row r="3728" spans="1:23" hidden="1">
      <c r="A3728" s="3" t="str">
        <f t="shared" si="58"/>
        <v>Período 1</v>
      </c>
      <c r="B3728">
        <v>11137</v>
      </c>
      <c r="C3728" t="s">
        <v>2010</v>
      </c>
      <c r="D3728" t="s">
        <v>5337</v>
      </c>
      <c r="E3728" s="3" t="str">
        <f>IF(LEN(Base_Periodo1[[#This Row],[CLASS]])&gt;=7,LEFT(Base_Periodo1[[#This Row],[CLASS]],7),"")</f>
        <v>2.1.2.2</v>
      </c>
      <c r="F3728" s="3" t="str">
        <f>VLOOKUP(Base_Periodo1[[#This Row],[Aux]],Base_Contas_Balanco[#All],2,FALSE)</f>
        <v>Fornecedores Não Cooperados</v>
      </c>
      <c r="G3728" s="1">
        <v>42858</v>
      </c>
      <c r="H3728" s="225">
        <v>225.00000000000364</v>
      </c>
      <c r="I3728" s="225">
        <v>225</v>
      </c>
      <c r="J3728" s="225">
        <v>0</v>
      </c>
      <c r="K3728" s="225">
        <v>-3.637978807091713E-12</v>
      </c>
      <c r="L37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28" s="225">
        <f>ROUND(IF(AND(Base_Periodo1[[#This Row],[Tipo_Linha]]="-",Base_Periodo1[[#This Row],[TIPOSALDO]]="D"),Base_Periodo1[[#This Row],[SALDO_ATUAL]]*-1,Base_Periodo1[[#This Row],[SALDO_ATUAL]]),4)</f>
        <v>0</v>
      </c>
      <c r="N3728" t="s">
        <v>116</v>
      </c>
      <c r="O3728" t="s">
        <v>459</v>
      </c>
      <c r="P3728" t="s">
        <v>436</v>
      </c>
      <c r="Q3728">
        <v>7</v>
      </c>
      <c r="R3728" s="225">
        <f>Base_Periodo1[[#This Row],[CREDITOS]]-Base_Periodo1[[#This Row],[DEBITOS]]</f>
        <v>-225</v>
      </c>
      <c r="S3728" s="3" t="str">
        <f>IF(ISERROR(VLOOKUP(Base_Periodo1[[#This Row],[CONTA]],BaseContasDRE[#All],4,FALSE)),"Fora do DRE",VLOOKUP(Base_Periodo1[[#This Row],[CONTA]],BaseContasDRE[#All],4,FALSE))</f>
        <v>Fora do DRE</v>
      </c>
      <c r="T3728" s="3" t="str">
        <f>IF(ISERROR(VLOOKUP(Base_Periodo1[[#This Row],[CONTA]],BaseContasDRE[#All],5,FALSE)),"Fora do DRE",VLOOKUP(Base_Periodo1[[#This Row],[CONTA]],BaseContasDRE[#All],6,FALSE))</f>
        <v>Fora do DRE</v>
      </c>
      <c r="U3728" s="3" t="str">
        <f>IF(ISERROR(VLOOKUP(Base_Periodo1[[#This Row],[CONTA]],BaseContasDRE[#All],7,FALSE)),"Fora do DRE",VLOOKUP(Base_Periodo1[[#This Row],[CONTA]],BaseContasDRE[#All],7,FALSE))</f>
        <v>Fora do DRE</v>
      </c>
      <c r="V3728" s="3" t="str">
        <f>IF(Base_Periodo1[[#This Row],[Tipo_Linha]]="Fora do DRE","Fora do DRE","( "&amp;Base_Periodo1[[#This Row],[Tipo_Linha]]&amp;" ) "&amp;Base_Periodo1[[#This Row],[Filtro]])</f>
        <v>Fora do DRE</v>
      </c>
      <c r="W3728" s="3" t="str">
        <f>LEFT(Base_Periodo1[[#This Row],[CLASS]],3)</f>
        <v>2.1</v>
      </c>
    </row>
    <row r="3729" spans="1:23" hidden="1">
      <c r="A3729" s="3" t="str">
        <f t="shared" si="58"/>
        <v>Período 1</v>
      </c>
      <c r="B3729">
        <v>47979</v>
      </c>
      <c r="C3729" t="s">
        <v>2010</v>
      </c>
      <c r="D3729" t="s">
        <v>7065</v>
      </c>
      <c r="E3729" s="3" t="str">
        <f>IF(LEN(Base_Periodo1[[#This Row],[CLASS]])&gt;=7,LEFT(Base_Periodo1[[#This Row],[CLASS]],7),"")</f>
        <v>2.1.2.2</v>
      </c>
      <c r="F3729" s="3" t="str">
        <f>VLOOKUP(Base_Periodo1[[#This Row],[Aux]],Base_Contas_Balanco[#All],2,FALSE)</f>
        <v>Fornecedores Não Cooperados</v>
      </c>
      <c r="G3729" s="1">
        <v>42858</v>
      </c>
      <c r="I3729" s="225">
        <v>1273</v>
      </c>
      <c r="J3729" s="225">
        <v>1273</v>
      </c>
      <c r="K3729" s="225">
        <v>0</v>
      </c>
      <c r="L37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29" s="225">
        <f>ROUND(IF(AND(Base_Periodo1[[#This Row],[Tipo_Linha]]="-",Base_Periodo1[[#This Row],[TIPOSALDO]]="D"),Base_Periodo1[[#This Row],[SALDO_ATUAL]]*-1,Base_Periodo1[[#This Row],[SALDO_ATUAL]]),4)</f>
        <v>0</v>
      </c>
      <c r="N3729" t="s">
        <v>116</v>
      </c>
      <c r="O3729" t="s">
        <v>436</v>
      </c>
      <c r="P3729" t="s">
        <v>436</v>
      </c>
      <c r="Q3729">
        <v>7</v>
      </c>
      <c r="R3729" s="225">
        <f>Base_Periodo1[[#This Row],[CREDITOS]]-Base_Periodo1[[#This Row],[DEBITOS]]</f>
        <v>0</v>
      </c>
      <c r="S3729" s="3" t="str">
        <f>IF(ISERROR(VLOOKUP(Base_Periodo1[[#This Row],[CONTA]],BaseContasDRE[#All],4,FALSE)),"Fora do DRE",VLOOKUP(Base_Periodo1[[#This Row],[CONTA]],BaseContasDRE[#All],4,FALSE))</f>
        <v>Fora do DRE</v>
      </c>
      <c r="T3729" s="3" t="str">
        <f>IF(ISERROR(VLOOKUP(Base_Periodo1[[#This Row],[CONTA]],BaseContasDRE[#All],5,FALSE)),"Fora do DRE",VLOOKUP(Base_Periodo1[[#This Row],[CONTA]],BaseContasDRE[#All],6,FALSE))</f>
        <v>Fora do DRE</v>
      </c>
      <c r="U3729" s="3" t="str">
        <f>IF(ISERROR(VLOOKUP(Base_Periodo1[[#This Row],[CONTA]],BaseContasDRE[#All],7,FALSE)),"Fora do DRE",VLOOKUP(Base_Periodo1[[#This Row],[CONTA]],BaseContasDRE[#All],7,FALSE))</f>
        <v>Fora do DRE</v>
      </c>
      <c r="V3729" s="3" t="str">
        <f>IF(Base_Periodo1[[#This Row],[Tipo_Linha]]="Fora do DRE","Fora do DRE","( "&amp;Base_Periodo1[[#This Row],[Tipo_Linha]]&amp;" ) "&amp;Base_Periodo1[[#This Row],[Filtro]])</f>
        <v>Fora do DRE</v>
      </c>
      <c r="W3729" s="3" t="str">
        <f>LEFT(Base_Periodo1[[#This Row],[CLASS]],3)</f>
        <v>2.1</v>
      </c>
    </row>
    <row r="3730" spans="1:23" hidden="1">
      <c r="A3730" s="3" t="str">
        <f t="shared" si="58"/>
        <v>Período 1</v>
      </c>
      <c r="B3730">
        <v>56419</v>
      </c>
      <c r="C3730" t="s">
        <v>2010</v>
      </c>
      <c r="D3730" t="s">
        <v>5983</v>
      </c>
      <c r="E3730" s="3" t="str">
        <f>IF(LEN(Base_Periodo1[[#This Row],[CLASS]])&gt;=7,LEFT(Base_Periodo1[[#This Row],[CLASS]],7),"")</f>
        <v>2.1.2.2</v>
      </c>
      <c r="F3730" s="3" t="str">
        <f>VLOOKUP(Base_Periodo1[[#This Row],[Aux]],Base_Contas_Balanco[#All],2,FALSE)</f>
        <v>Fornecedores Não Cooperados</v>
      </c>
      <c r="G3730" s="1">
        <v>42865</v>
      </c>
      <c r="I3730" s="225">
        <v>225</v>
      </c>
      <c r="J3730" s="225">
        <v>225</v>
      </c>
      <c r="K3730" s="225">
        <v>0</v>
      </c>
      <c r="L37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30" s="225">
        <f>ROUND(IF(AND(Base_Periodo1[[#This Row],[Tipo_Linha]]="-",Base_Periodo1[[#This Row],[TIPOSALDO]]="D"),Base_Periodo1[[#This Row],[SALDO_ATUAL]]*-1,Base_Periodo1[[#This Row],[SALDO_ATUAL]]),4)</f>
        <v>0</v>
      </c>
      <c r="N3730" t="s">
        <v>116</v>
      </c>
      <c r="O3730" t="s">
        <v>436</v>
      </c>
      <c r="P3730" t="s">
        <v>436</v>
      </c>
      <c r="Q3730">
        <v>7</v>
      </c>
      <c r="R3730" s="225">
        <f>Base_Periodo1[[#This Row],[CREDITOS]]-Base_Periodo1[[#This Row],[DEBITOS]]</f>
        <v>0</v>
      </c>
      <c r="S3730" s="3" t="str">
        <f>IF(ISERROR(VLOOKUP(Base_Periodo1[[#This Row],[CONTA]],BaseContasDRE[#All],4,FALSE)),"Fora do DRE",VLOOKUP(Base_Periodo1[[#This Row],[CONTA]],BaseContasDRE[#All],4,FALSE))</f>
        <v>Fora do DRE</v>
      </c>
      <c r="T3730" s="3" t="str">
        <f>IF(ISERROR(VLOOKUP(Base_Periodo1[[#This Row],[CONTA]],BaseContasDRE[#All],5,FALSE)),"Fora do DRE",VLOOKUP(Base_Periodo1[[#This Row],[CONTA]],BaseContasDRE[#All],6,FALSE))</f>
        <v>Fora do DRE</v>
      </c>
      <c r="U3730" s="3" t="str">
        <f>IF(ISERROR(VLOOKUP(Base_Periodo1[[#This Row],[CONTA]],BaseContasDRE[#All],7,FALSE)),"Fora do DRE",VLOOKUP(Base_Periodo1[[#This Row],[CONTA]],BaseContasDRE[#All],7,FALSE))</f>
        <v>Fora do DRE</v>
      </c>
      <c r="V3730" s="3" t="str">
        <f>IF(Base_Periodo1[[#This Row],[Tipo_Linha]]="Fora do DRE","Fora do DRE","( "&amp;Base_Periodo1[[#This Row],[Tipo_Linha]]&amp;" ) "&amp;Base_Periodo1[[#This Row],[Filtro]])</f>
        <v>Fora do DRE</v>
      </c>
      <c r="W3730" s="3" t="str">
        <f>LEFT(Base_Periodo1[[#This Row],[CLASS]],3)</f>
        <v>2.1</v>
      </c>
    </row>
    <row r="3731" spans="1:23" hidden="1">
      <c r="A3731" s="3" t="str">
        <f t="shared" si="58"/>
        <v>Período 1</v>
      </c>
      <c r="B3731">
        <v>36339</v>
      </c>
      <c r="C3731" t="s">
        <v>2010</v>
      </c>
      <c r="D3731" t="s">
        <v>5659</v>
      </c>
      <c r="E3731" s="3" t="str">
        <f>IF(LEN(Base_Periodo1[[#This Row],[CLASS]])&gt;=7,LEFT(Base_Periodo1[[#This Row],[CLASS]],7),"")</f>
        <v>2.1.2.2</v>
      </c>
      <c r="F3731" s="3" t="str">
        <f>VLOOKUP(Base_Periodo1[[#This Row],[Aux]],Base_Contas_Balanco[#All],2,FALSE)</f>
        <v>Fornecedores Não Cooperados</v>
      </c>
      <c r="G3731" s="1">
        <v>42881</v>
      </c>
      <c r="I3731" s="225">
        <v>118230.21</v>
      </c>
      <c r="J3731" s="225">
        <v>118267</v>
      </c>
      <c r="K3731" s="225">
        <v>36.789999999993597</v>
      </c>
      <c r="L37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36.79</v>
      </c>
      <c r="M3731" s="225">
        <f>ROUND(IF(AND(Base_Periodo1[[#This Row],[Tipo_Linha]]="-",Base_Periodo1[[#This Row],[TIPOSALDO]]="D"),Base_Periodo1[[#This Row],[SALDO_ATUAL]]*-1,Base_Periodo1[[#This Row],[SALDO_ATUAL]]),4)</f>
        <v>36.79</v>
      </c>
      <c r="N3731" t="s">
        <v>116</v>
      </c>
      <c r="O3731" t="s">
        <v>436</v>
      </c>
      <c r="P3731" t="s">
        <v>459</v>
      </c>
      <c r="Q3731">
        <v>7</v>
      </c>
      <c r="R3731" s="225">
        <f>Base_Periodo1[[#This Row],[CREDITOS]]-Base_Periodo1[[#This Row],[DEBITOS]]</f>
        <v>36.789999999993597</v>
      </c>
      <c r="S3731" s="3" t="str">
        <f>IF(ISERROR(VLOOKUP(Base_Periodo1[[#This Row],[CONTA]],BaseContasDRE[#All],4,FALSE)),"Fora do DRE",VLOOKUP(Base_Periodo1[[#This Row],[CONTA]],BaseContasDRE[#All],4,FALSE))</f>
        <v>Fora do DRE</v>
      </c>
      <c r="T3731" s="3" t="str">
        <f>IF(ISERROR(VLOOKUP(Base_Periodo1[[#This Row],[CONTA]],BaseContasDRE[#All],5,FALSE)),"Fora do DRE",VLOOKUP(Base_Periodo1[[#This Row],[CONTA]],BaseContasDRE[#All],6,FALSE))</f>
        <v>Fora do DRE</v>
      </c>
      <c r="U3731" s="3" t="str">
        <f>IF(ISERROR(VLOOKUP(Base_Periodo1[[#This Row],[CONTA]],BaseContasDRE[#All],7,FALSE)),"Fora do DRE",VLOOKUP(Base_Periodo1[[#This Row],[CONTA]],BaseContasDRE[#All],7,FALSE))</f>
        <v>Fora do DRE</v>
      </c>
      <c r="V3731" s="3" t="str">
        <f>IF(Base_Periodo1[[#This Row],[Tipo_Linha]]="Fora do DRE","Fora do DRE","( "&amp;Base_Periodo1[[#This Row],[Tipo_Linha]]&amp;" ) "&amp;Base_Periodo1[[#This Row],[Filtro]])</f>
        <v>Fora do DRE</v>
      </c>
      <c r="W3731" s="3" t="str">
        <f>LEFT(Base_Periodo1[[#This Row],[CLASS]],3)</f>
        <v>2.1</v>
      </c>
    </row>
    <row r="3732" spans="1:23" hidden="1">
      <c r="A3732" s="3" t="str">
        <f t="shared" si="58"/>
        <v>Período 1</v>
      </c>
      <c r="B3732">
        <v>26675</v>
      </c>
      <c r="C3732" t="s">
        <v>2010</v>
      </c>
      <c r="D3732" t="s">
        <v>5984</v>
      </c>
      <c r="E3732" s="3" t="str">
        <f>IF(LEN(Base_Periodo1[[#This Row],[CLASS]])&gt;=7,LEFT(Base_Periodo1[[#This Row],[CLASS]],7),"")</f>
        <v>2.1.2.2</v>
      </c>
      <c r="F3732" s="3" t="str">
        <f>VLOOKUP(Base_Periodo1[[#This Row],[Aux]],Base_Contas_Balanco[#All],2,FALSE)</f>
        <v>Fornecedores Não Cooperados</v>
      </c>
      <c r="G3732" s="1">
        <v>42791</v>
      </c>
      <c r="H3732" s="225">
        <v>7114.3899999999994</v>
      </c>
      <c r="I3732" s="225">
        <v>0</v>
      </c>
      <c r="J3732" s="225">
        <v>0</v>
      </c>
      <c r="K3732" s="225">
        <v>7114.3899999999994</v>
      </c>
      <c r="L37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7114.39</v>
      </c>
      <c r="M3732" s="225">
        <f>ROUND(IF(AND(Base_Periodo1[[#This Row],[Tipo_Linha]]="-",Base_Periodo1[[#This Row],[TIPOSALDO]]="D"),Base_Periodo1[[#This Row],[SALDO_ATUAL]]*-1,Base_Periodo1[[#This Row],[SALDO_ATUAL]]),4)</f>
        <v>7114.39</v>
      </c>
      <c r="N3732" t="s">
        <v>116</v>
      </c>
      <c r="O3732" t="s">
        <v>459</v>
      </c>
      <c r="P3732" t="s">
        <v>459</v>
      </c>
      <c r="Q3732">
        <v>7</v>
      </c>
      <c r="R3732" s="225">
        <f>Base_Periodo1[[#This Row],[CREDITOS]]-Base_Periodo1[[#This Row],[DEBITOS]]</f>
        <v>0</v>
      </c>
      <c r="S3732" s="3" t="str">
        <f>IF(ISERROR(VLOOKUP(Base_Periodo1[[#This Row],[CONTA]],BaseContasDRE[#All],4,FALSE)),"Fora do DRE",VLOOKUP(Base_Periodo1[[#This Row],[CONTA]],BaseContasDRE[#All],4,FALSE))</f>
        <v>Fora do DRE</v>
      </c>
      <c r="T3732" s="3" t="str">
        <f>IF(ISERROR(VLOOKUP(Base_Periodo1[[#This Row],[CONTA]],BaseContasDRE[#All],5,FALSE)),"Fora do DRE",VLOOKUP(Base_Periodo1[[#This Row],[CONTA]],BaseContasDRE[#All],6,FALSE))</f>
        <v>Fora do DRE</v>
      </c>
      <c r="U3732" s="3" t="str">
        <f>IF(ISERROR(VLOOKUP(Base_Periodo1[[#This Row],[CONTA]],BaseContasDRE[#All],7,FALSE)),"Fora do DRE",VLOOKUP(Base_Periodo1[[#This Row],[CONTA]],BaseContasDRE[#All],7,FALSE))</f>
        <v>Fora do DRE</v>
      </c>
      <c r="V3732" s="3" t="str">
        <f>IF(Base_Periodo1[[#This Row],[Tipo_Linha]]="Fora do DRE","Fora do DRE","( "&amp;Base_Periodo1[[#This Row],[Tipo_Linha]]&amp;" ) "&amp;Base_Periodo1[[#This Row],[Filtro]])</f>
        <v>Fora do DRE</v>
      </c>
      <c r="W3732" s="3" t="str">
        <f>LEFT(Base_Periodo1[[#This Row],[CLASS]],3)</f>
        <v>2.1</v>
      </c>
    </row>
    <row r="3733" spans="1:23" hidden="1">
      <c r="A3733" s="3" t="str">
        <f t="shared" si="58"/>
        <v>Período 1</v>
      </c>
      <c r="B3733">
        <v>55050</v>
      </c>
      <c r="C3733" t="s">
        <v>2010</v>
      </c>
      <c r="D3733" t="s">
        <v>5985</v>
      </c>
      <c r="E3733" s="3" t="str">
        <f>IF(LEN(Base_Periodo1[[#This Row],[CLASS]])&gt;=7,LEFT(Base_Periodo1[[#This Row],[CLASS]],7),"")</f>
        <v>2.1.2.2</v>
      </c>
      <c r="F3733" s="3" t="str">
        <f>VLOOKUP(Base_Periodo1[[#This Row],[Aux]],Base_Contas_Balanco[#All],2,FALSE)</f>
        <v>Fornecedores Não Cooperados</v>
      </c>
      <c r="G3733" s="1">
        <v>42885</v>
      </c>
      <c r="H3733" s="225">
        <v>2570.0999999999767</v>
      </c>
      <c r="I3733" s="225">
        <v>6568.8</v>
      </c>
      <c r="J3733" s="225">
        <v>19803.499999999996</v>
      </c>
      <c r="K3733" s="225">
        <v>15804.799999999974</v>
      </c>
      <c r="L37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15804.8</v>
      </c>
      <c r="M3733" s="225">
        <f>ROUND(IF(AND(Base_Periodo1[[#This Row],[Tipo_Linha]]="-",Base_Periodo1[[#This Row],[TIPOSALDO]]="D"),Base_Periodo1[[#This Row],[SALDO_ATUAL]]*-1,Base_Periodo1[[#This Row],[SALDO_ATUAL]]),4)</f>
        <v>15804.8</v>
      </c>
      <c r="N3733" t="s">
        <v>116</v>
      </c>
      <c r="O3733" t="s">
        <v>459</v>
      </c>
      <c r="P3733" t="s">
        <v>459</v>
      </c>
      <c r="Q3733">
        <v>7</v>
      </c>
      <c r="R3733" s="225">
        <f>Base_Periodo1[[#This Row],[CREDITOS]]-Base_Periodo1[[#This Row],[DEBITOS]]</f>
        <v>13234.699999999997</v>
      </c>
      <c r="S3733" s="3" t="str">
        <f>IF(ISERROR(VLOOKUP(Base_Periodo1[[#This Row],[CONTA]],BaseContasDRE[#All],4,FALSE)),"Fora do DRE",VLOOKUP(Base_Periodo1[[#This Row],[CONTA]],BaseContasDRE[#All],4,FALSE))</f>
        <v>Fora do DRE</v>
      </c>
      <c r="T3733" s="3" t="str">
        <f>IF(ISERROR(VLOOKUP(Base_Periodo1[[#This Row],[CONTA]],BaseContasDRE[#All],5,FALSE)),"Fora do DRE",VLOOKUP(Base_Periodo1[[#This Row],[CONTA]],BaseContasDRE[#All],6,FALSE))</f>
        <v>Fora do DRE</v>
      </c>
      <c r="U3733" s="3" t="str">
        <f>IF(ISERROR(VLOOKUP(Base_Periodo1[[#This Row],[CONTA]],BaseContasDRE[#All],7,FALSE)),"Fora do DRE",VLOOKUP(Base_Periodo1[[#This Row],[CONTA]],BaseContasDRE[#All],7,FALSE))</f>
        <v>Fora do DRE</v>
      </c>
      <c r="V3733" s="3" t="str">
        <f>IF(Base_Periodo1[[#This Row],[Tipo_Linha]]="Fora do DRE","Fora do DRE","( "&amp;Base_Periodo1[[#This Row],[Tipo_Linha]]&amp;" ) "&amp;Base_Periodo1[[#This Row],[Filtro]])</f>
        <v>Fora do DRE</v>
      </c>
      <c r="W3733" s="3" t="str">
        <f>LEFT(Base_Periodo1[[#This Row],[CLASS]],3)</f>
        <v>2.1</v>
      </c>
    </row>
    <row r="3734" spans="1:23" hidden="1">
      <c r="A3734" s="3" t="str">
        <f t="shared" si="58"/>
        <v>Período 1</v>
      </c>
      <c r="B3734">
        <v>47865</v>
      </c>
      <c r="C3734" t="s">
        <v>2010</v>
      </c>
      <c r="D3734" t="s">
        <v>4293</v>
      </c>
      <c r="E3734" s="3" t="str">
        <f>IF(LEN(Base_Periodo1[[#This Row],[CLASS]])&gt;=7,LEFT(Base_Periodo1[[#This Row],[CLASS]],7),"")</f>
        <v>2.1.2.2</v>
      </c>
      <c r="F3734" s="3" t="str">
        <f>VLOOKUP(Base_Periodo1[[#This Row],[Aux]],Base_Contas_Balanco[#All],2,FALSE)</f>
        <v>Fornecedores Não Cooperados</v>
      </c>
      <c r="G3734" s="1">
        <v>42881</v>
      </c>
      <c r="I3734" s="225">
        <v>270</v>
      </c>
      <c r="J3734" s="225">
        <v>640</v>
      </c>
      <c r="K3734" s="225">
        <v>370.00000000007276</v>
      </c>
      <c r="L37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370</v>
      </c>
      <c r="M3734" s="225">
        <f>ROUND(IF(AND(Base_Periodo1[[#This Row],[Tipo_Linha]]="-",Base_Periodo1[[#This Row],[TIPOSALDO]]="D"),Base_Periodo1[[#This Row],[SALDO_ATUAL]]*-1,Base_Periodo1[[#This Row],[SALDO_ATUAL]]),4)</f>
        <v>370</v>
      </c>
      <c r="N3734" t="s">
        <v>116</v>
      </c>
      <c r="O3734" t="s">
        <v>436</v>
      </c>
      <c r="P3734" t="s">
        <v>459</v>
      </c>
      <c r="Q3734">
        <v>7</v>
      </c>
      <c r="R3734" s="225">
        <f>Base_Periodo1[[#This Row],[CREDITOS]]-Base_Periodo1[[#This Row],[DEBITOS]]</f>
        <v>370</v>
      </c>
      <c r="S3734" s="3" t="str">
        <f>IF(ISERROR(VLOOKUP(Base_Periodo1[[#This Row],[CONTA]],BaseContasDRE[#All],4,FALSE)),"Fora do DRE",VLOOKUP(Base_Periodo1[[#This Row],[CONTA]],BaseContasDRE[#All],4,FALSE))</f>
        <v>Fora do DRE</v>
      </c>
      <c r="T3734" s="3" t="str">
        <f>IF(ISERROR(VLOOKUP(Base_Periodo1[[#This Row],[CONTA]],BaseContasDRE[#All],5,FALSE)),"Fora do DRE",VLOOKUP(Base_Periodo1[[#This Row],[CONTA]],BaseContasDRE[#All],6,FALSE))</f>
        <v>Fora do DRE</v>
      </c>
      <c r="U3734" s="3" t="str">
        <f>IF(ISERROR(VLOOKUP(Base_Periodo1[[#This Row],[CONTA]],BaseContasDRE[#All],7,FALSE)),"Fora do DRE",VLOOKUP(Base_Periodo1[[#This Row],[CONTA]],BaseContasDRE[#All],7,FALSE))</f>
        <v>Fora do DRE</v>
      </c>
      <c r="V3734" s="3" t="str">
        <f>IF(Base_Periodo1[[#This Row],[Tipo_Linha]]="Fora do DRE","Fora do DRE","( "&amp;Base_Periodo1[[#This Row],[Tipo_Linha]]&amp;" ) "&amp;Base_Periodo1[[#This Row],[Filtro]])</f>
        <v>Fora do DRE</v>
      </c>
      <c r="W3734" s="3" t="str">
        <f>LEFT(Base_Periodo1[[#This Row],[CLASS]],3)</f>
        <v>2.1</v>
      </c>
    </row>
    <row r="3735" spans="1:23" hidden="1">
      <c r="A3735" s="3" t="str">
        <f t="shared" si="58"/>
        <v>Período 1</v>
      </c>
      <c r="B3735">
        <v>48475</v>
      </c>
      <c r="C3735" t="s">
        <v>2010</v>
      </c>
      <c r="D3735" t="s">
        <v>4210</v>
      </c>
      <c r="E3735" s="3" t="str">
        <f>IF(LEN(Base_Periodo1[[#This Row],[CLASS]])&gt;=7,LEFT(Base_Periodo1[[#This Row],[CLASS]],7),"")</f>
        <v>2.1.2.2</v>
      </c>
      <c r="F3735" s="3" t="str">
        <f>VLOOKUP(Base_Periodo1[[#This Row],[Aux]],Base_Contas_Balanco[#All],2,FALSE)</f>
        <v>Fornecedores Não Cooperados</v>
      </c>
      <c r="G3735" s="1">
        <v>42860</v>
      </c>
      <c r="I3735" s="225">
        <v>8000</v>
      </c>
      <c r="J3735" s="225">
        <v>8000</v>
      </c>
      <c r="K3735" s="225">
        <v>-1.4551915228366852E-11</v>
      </c>
      <c r="L37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35" s="225">
        <f>ROUND(IF(AND(Base_Periodo1[[#This Row],[Tipo_Linha]]="-",Base_Periodo1[[#This Row],[TIPOSALDO]]="D"),Base_Periodo1[[#This Row],[SALDO_ATUAL]]*-1,Base_Periodo1[[#This Row],[SALDO_ATUAL]]),4)</f>
        <v>0</v>
      </c>
      <c r="N3735" t="s">
        <v>116</v>
      </c>
      <c r="O3735" t="s">
        <v>436</v>
      </c>
      <c r="P3735" t="s">
        <v>436</v>
      </c>
      <c r="Q3735">
        <v>7</v>
      </c>
      <c r="R3735" s="225">
        <f>Base_Periodo1[[#This Row],[CREDITOS]]-Base_Periodo1[[#This Row],[DEBITOS]]</f>
        <v>0</v>
      </c>
      <c r="S3735" s="3" t="str">
        <f>IF(ISERROR(VLOOKUP(Base_Periodo1[[#This Row],[CONTA]],BaseContasDRE[#All],4,FALSE)),"Fora do DRE",VLOOKUP(Base_Periodo1[[#This Row],[CONTA]],BaseContasDRE[#All],4,FALSE))</f>
        <v>Fora do DRE</v>
      </c>
      <c r="T3735" s="3" t="str">
        <f>IF(ISERROR(VLOOKUP(Base_Periodo1[[#This Row],[CONTA]],BaseContasDRE[#All],5,FALSE)),"Fora do DRE",VLOOKUP(Base_Periodo1[[#This Row],[CONTA]],BaseContasDRE[#All],6,FALSE))</f>
        <v>Fora do DRE</v>
      </c>
      <c r="U3735" s="3" t="str">
        <f>IF(ISERROR(VLOOKUP(Base_Periodo1[[#This Row],[CONTA]],BaseContasDRE[#All],7,FALSE)),"Fora do DRE",VLOOKUP(Base_Periodo1[[#This Row],[CONTA]],BaseContasDRE[#All],7,FALSE))</f>
        <v>Fora do DRE</v>
      </c>
      <c r="V3735" s="3" t="str">
        <f>IF(Base_Periodo1[[#This Row],[Tipo_Linha]]="Fora do DRE","Fora do DRE","( "&amp;Base_Periodo1[[#This Row],[Tipo_Linha]]&amp;" ) "&amp;Base_Periodo1[[#This Row],[Filtro]])</f>
        <v>Fora do DRE</v>
      </c>
      <c r="W3735" s="3" t="str">
        <f>LEFT(Base_Periodo1[[#This Row],[CLASS]],3)</f>
        <v>2.1</v>
      </c>
    </row>
    <row r="3736" spans="1:23" hidden="1">
      <c r="A3736" s="3" t="str">
        <f t="shared" si="58"/>
        <v>Período 1</v>
      </c>
      <c r="B3736">
        <v>15629</v>
      </c>
      <c r="C3736" t="s">
        <v>2010</v>
      </c>
      <c r="D3736" t="s">
        <v>2082</v>
      </c>
      <c r="E3736" s="3" t="str">
        <f>IF(LEN(Base_Periodo1[[#This Row],[CLASS]])&gt;=7,LEFT(Base_Periodo1[[#This Row],[CLASS]],7),"")</f>
        <v>2.1.2.2</v>
      </c>
      <c r="F3736" s="3" t="str">
        <f>VLOOKUP(Base_Periodo1[[#This Row],[Aux]],Base_Contas_Balanco[#All],2,FALSE)</f>
        <v>Fornecedores Não Cooperados</v>
      </c>
      <c r="G3736" s="1">
        <v>42060</v>
      </c>
      <c r="H3736" s="225">
        <v>313.97999999999956</v>
      </c>
      <c r="I3736" s="225">
        <v>0</v>
      </c>
      <c r="J3736" s="225">
        <v>0</v>
      </c>
      <c r="K3736" s="225">
        <v>313.97999999999956</v>
      </c>
      <c r="L37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313.98</v>
      </c>
      <c r="M3736" s="225">
        <f>ROUND(IF(AND(Base_Periodo1[[#This Row],[Tipo_Linha]]="-",Base_Periodo1[[#This Row],[TIPOSALDO]]="D"),Base_Periodo1[[#This Row],[SALDO_ATUAL]]*-1,Base_Periodo1[[#This Row],[SALDO_ATUAL]]),4)</f>
        <v>313.98</v>
      </c>
      <c r="N3736" t="s">
        <v>116</v>
      </c>
      <c r="O3736" t="s">
        <v>459</v>
      </c>
      <c r="P3736" t="s">
        <v>459</v>
      </c>
      <c r="Q3736">
        <v>7</v>
      </c>
      <c r="R3736" s="225">
        <f>Base_Periodo1[[#This Row],[CREDITOS]]-Base_Periodo1[[#This Row],[DEBITOS]]</f>
        <v>0</v>
      </c>
      <c r="S3736" s="3" t="str">
        <f>IF(ISERROR(VLOOKUP(Base_Periodo1[[#This Row],[CONTA]],BaseContasDRE[#All],4,FALSE)),"Fora do DRE",VLOOKUP(Base_Periodo1[[#This Row],[CONTA]],BaseContasDRE[#All],4,FALSE))</f>
        <v>Fora do DRE</v>
      </c>
      <c r="T3736" s="3" t="str">
        <f>IF(ISERROR(VLOOKUP(Base_Periodo1[[#This Row],[CONTA]],BaseContasDRE[#All],5,FALSE)),"Fora do DRE",VLOOKUP(Base_Periodo1[[#This Row],[CONTA]],BaseContasDRE[#All],6,FALSE))</f>
        <v>Fora do DRE</v>
      </c>
      <c r="U3736" s="3" t="str">
        <f>IF(ISERROR(VLOOKUP(Base_Periodo1[[#This Row],[CONTA]],BaseContasDRE[#All],7,FALSE)),"Fora do DRE",VLOOKUP(Base_Periodo1[[#This Row],[CONTA]],BaseContasDRE[#All],7,FALSE))</f>
        <v>Fora do DRE</v>
      </c>
      <c r="V3736" s="3" t="str">
        <f>IF(Base_Periodo1[[#This Row],[Tipo_Linha]]="Fora do DRE","Fora do DRE","( "&amp;Base_Periodo1[[#This Row],[Tipo_Linha]]&amp;" ) "&amp;Base_Periodo1[[#This Row],[Filtro]])</f>
        <v>Fora do DRE</v>
      </c>
      <c r="W3736" s="3" t="str">
        <f>LEFT(Base_Periodo1[[#This Row],[CLASS]],3)</f>
        <v>2.1</v>
      </c>
    </row>
    <row r="3737" spans="1:23" hidden="1">
      <c r="A3737" s="3" t="str">
        <f t="shared" si="58"/>
        <v>Período 1</v>
      </c>
      <c r="B3737">
        <v>2205</v>
      </c>
      <c r="C3737" t="s">
        <v>2010</v>
      </c>
      <c r="D3737" t="s">
        <v>5660</v>
      </c>
      <c r="E3737" s="3" t="str">
        <f>IF(LEN(Base_Periodo1[[#This Row],[CLASS]])&gt;=7,LEFT(Base_Periodo1[[#This Row],[CLASS]],7),"")</f>
        <v>2.1.2.2</v>
      </c>
      <c r="F3737" s="3" t="str">
        <f>VLOOKUP(Base_Periodo1[[#This Row],[Aux]],Base_Contas_Balanco[#All],2,FALSE)</f>
        <v>Fornecedores Não Cooperados</v>
      </c>
      <c r="G3737" s="1">
        <v>42873</v>
      </c>
      <c r="I3737" s="225">
        <v>0</v>
      </c>
      <c r="J3737" s="225">
        <v>8</v>
      </c>
      <c r="K3737" s="225">
        <v>8</v>
      </c>
      <c r="L37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</v>
      </c>
      <c r="M3737" s="225">
        <f>ROUND(IF(AND(Base_Periodo1[[#This Row],[Tipo_Linha]]="-",Base_Periodo1[[#This Row],[TIPOSALDO]]="D"),Base_Periodo1[[#This Row],[SALDO_ATUAL]]*-1,Base_Periodo1[[#This Row],[SALDO_ATUAL]]),4)</f>
        <v>8</v>
      </c>
      <c r="N3737" t="s">
        <v>116</v>
      </c>
      <c r="O3737" t="s">
        <v>436</v>
      </c>
      <c r="P3737" t="s">
        <v>459</v>
      </c>
      <c r="Q3737">
        <v>7</v>
      </c>
      <c r="R3737" s="225">
        <f>Base_Periodo1[[#This Row],[CREDITOS]]-Base_Periodo1[[#This Row],[DEBITOS]]</f>
        <v>8</v>
      </c>
      <c r="S3737" s="3" t="str">
        <f>IF(ISERROR(VLOOKUP(Base_Periodo1[[#This Row],[CONTA]],BaseContasDRE[#All],4,FALSE)),"Fora do DRE",VLOOKUP(Base_Periodo1[[#This Row],[CONTA]],BaseContasDRE[#All],4,FALSE))</f>
        <v>Fora do DRE</v>
      </c>
      <c r="T3737" s="3" t="str">
        <f>IF(ISERROR(VLOOKUP(Base_Periodo1[[#This Row],[CONTA]],BaseContasDRE[#All],5,FALSE)),"Fora do DRE",VLOOKUP(Base_Periodo1[[#This Row],[CONTA]],BaseContasDRE[#All],6,FALSE))</f>
        <v>Fora do DRE</v>
      </c>
      <c r="U3737" s="3" t="str">
        <f>IF(ISERROR(VLOOKUP(Base_Periodo1[[#This Row],[CONTA]],BaseContasDRE[#All],7,FALSE)),"Fora do DRE",VLOOKUP(Base_Periodo1[[#This Row],[CONTA]],BaseContasDRE[#All],7,FALSE))</f>
        <v>Fora do DRE</v>
      </c>
      <c r="V3737" s="3" t="str">
        <f>IF(Base_Periodo1[[#This Row],[Tipo_Linha]]="Fora do DRE","Fora do DRE","( "&amp;Base_Periodo1[[#This Row],[Tipo_Linha]]&amp;" ) "&amp;Base_Periodo1[[#This Row],[Filtro]])</f>
        <v>Fora do DRE</v>
      </c>
      <c r="W3737" s="3" t="str">
        <f>LEFT(Base_Periodo1[[#This Row],[CLASS]],3)</f>
        <v>2.1</v>
      </c>
    </row>
    <row r="3738" spans="1:23" hidden="1">
      <c r="A3738" s="3" t="str">
        <f t="shared" si="58"/>
        <v>Período 1</v>
      </c>
      <c r="B3738">
        <v>42000</v>
      </c>
      <c r="C3738" t="s">
        <v>2010</v>
      </c>
      <c r="D3738" t="s">
        <v>764</v>
      </c>
      <c r="E3738" s="3" t="str">
        <f>IF(LEN(Base_Periodo1[[#This Row],[CLASS]])&gt;=7,LEFT(Base_Periodo1[[#This Row],[CLASS]],7),"")</f>
        <v>2.1.2.2</v>
      </c>
      <c r="F3738" s="3" t="str">
        <f>VLOOKUP(Base_Periodo1[[#This Row],[Aux]],Base_Contas_Balanco[#All],2,FALSE)</f>
        <v>Fornecedores Não Cooperados</v>
      </c>
      <c r="G3738" s="1"/>
      <c r="H3738" s="225">
        <v>1030.3399999999999</v>
      </c>
      <c r="I3738" s="225">
        <v>0</v>
      </c>
      <c r="J3738" s="225">
        <v>0</v>
      </c>
      <c r="K3738" s="225">
        <v>1030.3399999999999</v>
      </c>
      <c r="L37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1030.3399999999999</v>
      </c>
      <c r="M3738" s="225">
        <f>ROUND(IF(AND(Base_Periodo1[[#This Row],[Tipo_Linha]]="-",Base_Periodo1[[#This Row],[TIPOSALDO]]="D"),Base_Periodo1[[#This Row],[SALDO_ATUAL]]*-1,Base_Periodo1[[#This Row],[SALDO_ATUAL]]),4)</f>
        <v>1030.3399999999999</v>
      </c>
      <c r="N3738" t="s">
        <v>116</v>
      </c>
      <c r="O3738" t="s">
        <v>459</v>
      </c>
      <c r="P3738" t="s">
        <v>459</v>
      </c>
      <c r="Q3738">
        <v>7</v>
      </c>
      <c r="R3738" s="225">
        <f>Base_Periodo1[[#This Row],[CREDITOS]]-Base_Periodo1[[#This Row],[DEBITOS]]</f>
        <v>0</v>
      </c>
      <c r="S3738" s="3" t="str">
        <f>IF(ISERROR(VLOOKUP(Base_Periodo1[[#This Row],[CONTA]],BaseContasDRE[#All],4,FALSE)),"Fora do DRE",VLOOKUP(Base_Periodo1[[#This Row],[CONTA]],BaseContasDRE[#All],4,FALSE))</f>
        <v>Fora do DRE</v>
      </c>
      <c r="T3738" s="3" t="str">
        <f>IF(ISERROR(VLOOKUP(Base_Periodo1[[#This Row],[CONTA]],BaseContasDRE[#All],5,FALSE)),"Fora do DRE",VLOOKUP(Base_Periodo1[[#This Row],[CONTA]],BaseContasDRE[#All],6,FALSE))</f>
        <v>Fora do DRE</v>
      </c>
      <c r="U3738" s="3" t="str">
        <f>IF(ISERROR(VLOOKUP(Base_Periodo1[[#This Row],[CONTA]],BaseContasDRE[#All],7,FALSE)),"Fora do DRE",VLOOKUP(Base_Periodo1[[#This Row],[CONTA]],BaseContasDRE[#All],7,FALSE))</f>
        <v>Fora do DRE</v>
      </c>
      <c r="V3738" s="3" t="str">
        <f>IF(Base_Periodo1[[#This Row],[Tipo_Linha]]="Fora do DRE","Fora do DRE","( "&amp;Base_Periodo1[[#This Row],[Tipo_Linha]]&amp;" ) "&amp;Base_Periodo1[[#This Row],[Filtro]])</f>
        <v>Fora do DRE</v>
      </c>
      <c r="W3738" s="3" t="str">
        <f>LEFT(Base_Periodo1[[#This Row],[CLASS]],3)</f>
        <v>2.1</v>
      </c>
    </row>
    <row r="3739" spans="1:23" hidden="1">
      <c r="A3739" s="3" t="str">
        <f t="shared" si="58"/>
        <v>Período 1</v>
      </c>
      <c r="B3739">
        <v>55931</v>
      </c>
      <c r="C3739" t="s">
        <v>2010</v>
      </c>
      <c r="D3739" t="s">
        <v>7066</v>
      </c>
      <c r="E3739" s="3" t="str">
        <f>IF(LEN(Base_Periodo1[[#This Row],[CLASS]])&gt;=7,LEFT(Base_Periodo1[[#This Row],[CLASS]],7),"")</f>
        <v>2.1.2.2</v>
      </c>
      <c r="F3739" s="3" t="str">
        <f>VLOOKUP(Base_Periodo1[[#This Row],[Aux]],Base_Contas_Balanco[#All],2,FALSE)</f>
        <v>Fornecedores Não Cooperados</v>
      </c>
      <c r="G3739" s="1">
        <v>42886</v>
      </c>
      <c r="I3739" s="225">
        <v>523.6</v>
      </c>
      <c r="J3739" s="225">
        <v>523.6</v>
      </c>
      <c r="K3739" s="225">
        <v>0</v>
      </c>
      <c r="L37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39" s="225">
        <f>ROUND(IF(AND(Base_Periodo1[[#This Row],[Tipo_Linha]]="-",Base_Periodo1[[#This Row],[TIPOSALDO]]="D"),Base_Periodo1[[#This Row],[SALDO_ATUAL]]*-1,Base_Periodo1[[#This Row],[SALDO_ATUAL]]),4)</f>
        <v>0</v>
      </c>
      <c r="N3739" t="s">
        <v>116</v>
      </c>
      <c r="O3739" t="s">
        <v>436</v>
      </c>
      <c r="P3739" t="s">
        <v>436</v>
      </c>
      <c r="Q3739">
        <v>7</v>
      </c>
      <c r="R3739" s="225">
        <f>Base_Periodo1[[#This Row],[CREDITOS]]-Base_Periodo1[[#This Row],[DEBITOS]]</f>
        <v>0</v>
      </c>
      <c r="S3739" s="3" t="str">
        <f>IF(ISERROR(VLOOKUP(Base_Periodo1[[#This Row],[CONTA]],BaseContasDRE[#All],4,FALSE)),"Fora do DRE",VLOOKUP(Base_Periodo1[[#This Row],[CONTA]],BaseContasDRE[#All],4,FALSE))</f>
        <v>Fora do DRE</v>
      </c>
      <c r="T3739" s="3" t="str">
        <f>IF(ISERROR(VLOOKUP(Base_Periodo1[[#This Row],[CONTA]],BaseContasDRE[#All],5,FALSE)),"Fora do DRE",VLOOKUP(Base_Periodo1[[#This Row],[CONTA]],BaseContasDRE[#All],6,FALSE))</f>
        <v>Fora do DRE</v>
      </c>
      <c r="U3739" s="3" t="str">
        <f>IF(ISERROR(VLOOKUP(Base_Periodo1[[#This Row],[CONTA]],BaseContasDRE[#All],7,FALSE)),"Fora do DRE",VLOOKUP(Base_Periodo1[[#This Row],[CONTA]],BaseContasDRE[#All],7,FALSE))</f>
        <v>Fora do DRE</v>
      </c>
      <c r="V3739" s="3" t="str">
        <f>IF(Base_Periodo1[[#This Row],[Tipo_Linha]]="Fora do DRE","Fora do DRE","( "&amp;Base_Periodo1[[#This Row],[Tipo_Linha]]&amp;" ) "&amp;Base_Periodo1[[#This Row],[Filtro]])</f>
        <v>Fora do DRE</v>
      </c>
      <c r="W3739" s="3" t="str">
        <f>LEFT(Base_Periodo1[[#This Row],[CLASS]],3)</f>
        <v>2.1</v>
      </c>
    </row>
    <row r="3740" spans="1:23" hidden="1">
      <c r="A3740" s="3" t="str">
        <f t="shared" si="58"/>
        <v>Período 1</v>
      </c>
      <c r="B3740">
        <v>51722</v>
      </c>
      <c r="C3740" t="s">
        <v>2010</v>
      </c>
      <c r="D3740" t="s">
        <v>7067</v>
      </c>
      <c r="E3740" s="3" t="str">
        <f>IF(LEN(Base_Periodo1[[#This Row],[CLASS]])&gt;=7,LEFT(Base_Periodo1[[#This Row],[CLASS]],7),"")</f>
        <v>2.1.2.2</v>
      </c>
      <c r="F3740" s="3" t="str">
        <f>VLOOKUP(Base_Periodo1[[#This Row],[Aux]],Base_Contas_Balanco[#All],2,FALSE)</f>
        <v>Fornecedores Não Cooperados</v>
      </c>
      <c r="G3740" s="1">
        <v>42880</v>
      </c>
      <c r="I3740" s="225">
        <v>3323.0099999999998</v>
      </c>
      <c r="J3740" s="225">
        <v>3323.01</v>
      </c>
      <c r="K3740" s="225">
        <v>-4.5474735088646412E-13</v>
      </c>
      <c r="L37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40" s="225">
        <f>ROUND(IF(AND(Base_Periodo1[[#This Row],[Tipo_Linha]]="-",Base_Periodo1[[#This Row],[TIPOSALDO]]="D"),Base_Periodo1[[#This Row],[SALDO_ATUAL]]*-1,Base_Periodo1[[#This Row],[SALDO_ATUAL]]),4)</f>
        <v>0</v>
      </c>
      <c r="N3740" t="s">
        <v>116</v>
      </c>
      <c r="O3740" t="s">
        <v>436</v>
      </c>
      <c r="P3740" t="s">
        <v>436</v>
      </c>
      <c r="Q3740">
        <v>7</v>
      </c>
      <c r="R3740" s="225">
        <f>Base_Periodo1[[#This Row],[CREDITOS]]-Base_Periodo1[[#This Row],[DEBITOS]]</f>
        <v>0</v>
      </c>
      <c r="S3740" s="3" t="str">
        <f>IF(ISERROR(VLOOKUP(Base_Periodo1[[#This Row],[CONTA]],BaseContasDRE[#All],4,FALSE)),"Fora do DRE",VLOOKUP(Base_Periodo1[[#This Row],[CONTA]],BaseContasDRE[#All],4,FALSE))</f>
        <v>Fora do DRE</v>
      </c>
      <c r="T3740" s="3" t="str">
        <f>IF(ISERROR(VLOOKUP(Base_Periodo1[[#This Row],[CONTA]],BaseContasDRE[#All],5,FALSE)),"Fora do DRE",VLOOKUP(Base_Periodo1[[#This Row],[CONTA]],BaseContasDRE[#All],6,FALSE))</f>
        <v>Fora do DRE</v>
      </c>
      <c r="U3740" s="3" t="str">
        <f>IF(ISERROR(VLOOKUP(Base_Periodo1[[#This Row],[CONTA]],BaseContasDRE[#All],7,FALSE)),"Fora do DRE",VLOOKUP(Base_Periodo1[[#This Row],[CONTA]],BaseContasDRE[#All],7,FALSE))</f>
        <v>Fora do DRE</v>
      </c>
      <c r="V3740" s="3" t="str">
        <f>IF(Base_Periodo1[[#This Row],[Tipo_Linha]]="Fora do DRE","Fora do DRE","( "&amp;Base_Periodo1[[#This Row],[Tipo_Linha]]&amp;" ) "&amp;Base_Periodo1[[#This Row],[Filtro]])</f>
        <v>Fora do DRE</v>
      </c>
      <c r="W3740" s="3" t="str">
        <f>LEFT(Base_Periodo1[[#This Row],[CLASS]],3)</f>
        <v>2.1</v>
      </c>
    </row>
    <row r="3741" spans="1:23" hidden="1">
      <c r="A3741" s="3" t="str">
        <f t="shared" si="58"/>
        <v>Período 1</v>
      </c>
      <c r="B3741">
        <v>43588</v>
      </c>
      <c r="C3741" t="s">
        <v>2010</v>
      </c>
      <c r="D3741" t="s">
        <v>5549</v>
      </c>
      <c r="E3741" s="3" t="str">
        <f>IF(LEN(Base_Periodo1[[#This Row],[CLASS]])&gt;=7,LEFT(Base_Periodo1[[#This Row],[CLASS]],7),"")</f>
        <v>2.1.2.2</v>
      </c>
      <c r="F3741" s="3" t="str">
        <f>VLOOKUP(Base_Periodo1[[#This Row],[Aux]],Base_Contas_Balanco[#All],2,FALSE)</f>
        <v>Fornecedores Não Cooperados</v>
      </c>
      <c r="G3741" s="1"/>
      <c r="H3741" s="225">
        <v>50</v>
      </c>
      <c r="I3741" s="225">
        <v>0</v>
      </c>
      <c r="J3741" s="225">
        <v>0</v>
      </c>
      <c r="K3741" s="225">
        <v>50</v>
      </c>
      <c r="L37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3741" s="225">
        <f>ROUND(IF(AND(Base_Periodo1[[#This Row],[Tipo_Linha]]="-",Base_Periodo1[[#This Row],[TIPOSALDO]]="D"),Base_Periodo1[[#This Row],[SALDO_ATUAL]]*-1,Base_Periodo1[[#This Row],[SALDO_ATUAL]]),4)</f>
        <v>50</v>
      </c>
      <c r="N3741" t="s">
        <v>116</v>
      </c>
      <c r="O3741" t="s">
        <v>459</v>
      </c>
      <c r="P3741" t="s">
        <v>459</v>
      </c>
      <c r="Q3741">
        <v>7</v>
      </c>
      <c r="R3741" s="225">
        <f>Base_Periodo1[[#This Row],[CREDITOS]]-Base_Periodo1[[#This Row],[DEBITOS]]</f>
        <v>0</v>
      </c>
      <c r="S3741" s="3" t="str">
        <f>IF(ISERROR(VLOOKUP(Base_Periodo1[[#This Row],[CONTA]],BaseContasDRE[#All],4,FALSE)),"Fora do DRE",VLOOKUP(Base_Periodo1[[#This Row],[CONTA]],BaseContasDRE[#All],4,FALSE))</f>
        <v>Fora do DRE</v>
      </c>
      <c r="T3741" s="3" t="str">
        <f>IF(ISERROR(VLOOKUP(Base_Periodo1[[#This Row],[CONTA]],BaseContasDRE[#All],5,FALSE)),"Fora do DRE",VLOOKUP(Base_Periodo1[[#This Row],[CONTA]],BaseContasDRE[#All],6,FALSE))</f>
        <v>Fora do DRE</v>
      </c>
      <c r="U3741" s="3" t="str">
        <f>IF(ISERROR(VLOOKUP(Base_Periodo1[[#This Row],[CONTA]],BaseContasDRE[#All],7,FALSE)),"Fora do DRE",VLOOKUP(Base_Periodo1[[#This Row],[CONTA]],BaseContasDRE[#All],7,FALSE))</f>
        <v>Fora do DRE</v>
      </c>
      <c r="V3741" s="3" t="str">
        <f>IF(Base_Periodo1[[#This Row],[Tipo_Linha]]="Fora do DRE","Fora do DRE","( "&amp;Base_Periodo1[[#This Row],[Tipo_Linha]]&amp;" ) "&amp;Base_Periodo1[[#This Row],[Filtro]])</f>
        <v>Fora do DRE</v>
      </c>
      <c r="W3741" s="3" t="str">
        <f>LEFT(Base_Periodo1[[#This Row],[CLASS]],3)</f>
        <v>2.1</v>
      </c>
    </row>
    <row r="3742" spans="1:23" hidden="1">
      <c r="A3742" s="3" t="str">
        <f t="shared" si="58"/>
        <v>Período 1</v>
      </c>
      <c r="B3742">
        <v>48493</v>
      </c>
      <c r="C3742" t="s">
        <v>2010</v>
      </c>
      <c r="D3742" t="s">
        <v>5869</v>
      </c>
      <c r="E3742" s="3" t="str">
        <f>IF(LEN(Base_Periodo1[[#This Row],[CLASS]])&gt;=7,LEFT(Base_Periodo1[[#This Row],[CLASS]],7),"")</f>
        <v>2.1.2.2</v>
      </c>
      <c r="F3742" s="3" t="str">
        <f>VLOOKUP(Base_Periodo1[[#This Row],[Aux]],Base_Contas_Balanco[#All],2,FALSE)</f>
        <v>Fornecedores Não Cooperados</v>
      </c>
      <c r="G3742" s="1">
        <v>42864</v>
      </c>
      <c r="I3742" s="225">
        <v>6109.4400000000005</v>
      </c>
      <c r="J3742" s="225">
        <v>6109.4400000000005</v>
      </c>
      <c r="K3742" s="225">
        <v>-1.4551915228366852E-11</v>
      </c>
      <c r="L37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42" s="225">
        <f>ROUND(IF(AND(Base_Periodo1[[#This Row],[Tipo_Linha]]="-",Base_Periodo1[[#This Row],[TIPOSALDO]]="D"),Base_Periodo1[[#This Row],[SALDO_ATUAL]]*-1,Base_Periodo1[[#This Row],[SALDO_ATUAL]]),4)</f>
        <v>0</v>
      </c>
      <c r="N3742" t="s">
        <v>116</v>
      </c>
      <c r="O3742" t="s">
        <v>436</v>
      </c>
      <c r="P3742" t="s">
        <v>436</v>
      </c>
      <c r="Q3742">
        <v>7</v>
      </c>
      <c r="R3742" s="225">
        <f>Base_Periodo1[[#This Row],[CREDITOS]]-Base_Periodo1[[#This Row],[DEBITOS]]</f>
        <v>0</v>
      </c>
      <c r="S3742" s="3" t="str">
        <f>IF(ISERROR(VLOOKUP(Base_Periodo1[[#This Row],[CONTA]],BaseContasDRE[#All],4,FALSE)),"Fora do DRE",VLOOKUP(Base_Periodo1[[#This Row],[CONTA]],BaseContasDRE[#All],4,FALSE))</f>
        <v>Fora do DRE</v>
      </c>
      <c r="T3742" s="3" t="str">
        <f>IF(ISERROR(VLOOKUP(Base_Periodo1[[#This Row],[CONTA]],BaseContasDRE[#All],5,FALSE)),"Fora do DRE",VLOOKUP(Base_Periodo1[[#This Row],[CONTA]],BaseContasDRE[#All],6,FALSE))</f>
        <v>Fora do DRE</v>
      </c>
      <c r="U3742" s="3" t="str">
        <f>IF(ISERROR(VLOOKUP(Base_Periodo1[[#This Row],[CONTA]],BaseContasDRE[#All],7,FALSE)),"Fora do DRE",VLOOKUP(Base_Periodo1[[#This Row],[CONTA]],BaseContasDRE[#All],7,FALSE))</f>
        <v>Fora do DRE</v>
      </c>
      <c r="V3742" s="3" t="str">
        <f>IF(Base_Periodo1[[#This Row],[Tipo_Linha]]="Fora do DRE","Fora do DRE","( "&amp;Base_Periodo1[[#This Row],[Tipo_Linha]]&amp;" ) "&amp;Base_Periodo1[[#This Row],[Filtro]])</f>
        <v>Fora do DRE</v>
      </c>
      <c r="W3742" s="3" t="str">
        <f>LEFT(Base_Periodo1[[#This Row],[CLASS]],3)</f>
        <v>2.1</v>
      </c>
    </row>
    <row r="3743" spans="1:23" hidden="1">
      <c r="A3743" s="3" t="str">
        <f t="shared" si="58"/>
        <v>Período 1</v>
      </c>
      <c r="B3743">
        <v>22698</v>
      </c>
      <c r="C3743" t="s">
        <v>2010</v>
      </c>
      <c r="D3743" t="s">
        <v>6494</v>
      </c>
      <c r="E3743" s="3" t="str">
        <f>IF(LEN(Base_Periodo1[[#This Row],[CLASS]])&gt;=7,LEFT(Base_Periodo1[[#This Row],[CLASS]],7),"")</f>
        <v>2.1.2.2</v>
      </c>
      <c r="F3743" s="3" t="str">
        <f>VLOOKUP(Base_Periodo1[[#This Row],[Aux]],Base_Contas_Balanco[#All],2,FALSE)</f>
        <v>Fornecedores Não Cooperados</v>
      </c>
      <c r="G3743" s="1">
        <v>42880</v>
      </c>
      <c r="I3743" s="225">
        <v>70103.090000000011</v>
      </c>
      <c r="J3743" s="225">
        <v>70103.09</v>
      </c>
      <c r="K3743" s="225">
        <v>2.4738255888223648E-10</v>
      </c>
      <c r="L37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43" s="225">
        <f>ROUND(IF(AND(Base_Periodo1[[#This Row],[Tipo_Linha]]="-",Base_Periodo1[[#This Row],[TIPOSALDO]]="D"),Base_Periodo1[[#This Row],[SALDO_ATUAL]]*-1,Base_Periodo1[[#This Row],[SALDO_ATUAL]]),4)</f>
        <v>0</v>
      </c>
      <c r="N3743" t="s">
        <v>116</v>
      </c>
      <c r="O3743" t="s">
        <v>436</v>
      </c>
      <c r="P3743" t="s">
        <v>436</v>
      </c>
      <c r="Q3743">
        <v>7</v>
      </c>
      <c r="R3743" s="225">
        <f>Base_Periodo1[[#This Row],[CREDITOS]]-Base_Periodo1[[#This Row],[DEBITOS]]</f>
        <v>0</v>
      </c>
      <c r="S3743" s="3" t="str">
        <f>IF(ISERROR(VLOOKUP(Base_Periodo1[[#This Row],[CONTA]],BaseContasDRE[#All],4,FALSE)),"Fora do DRE",VLOOKUP(Base_Periodo1[[#This Row],[CONTA]],BaseContasDRE[#All],4,FALSE))</f>
        <v>Fora do DRE</v>
      </c>
      <c r="T3743" s="3" t="str">
        <f>IF(ISERROR(VLOOKUP(Base_Periodo1[[#This Row],[CONTA]],BaseContasDRE[#All],5,FALSE)),"Fora do DRE",VLOOKUP(Base_Periodo1[[#This Row],[CONTA]],BaseContasDRE[#All],6,FALSE))</f>
        <v>Fora do DRE</v>
      </c>
      <c r="U3743" s="3" t="str">
        <f>IF(ISERROR(VLOOKUP(Base_Periodo1[[#This Row],[CONTA]],BaseContasDRE[#All],7,FALSE)),"Fora do DRE",VLOOKUP(Base_Periodo1[[#This Row],[CONTA]],BaseContasDRE[#All],7,FALSE))</f>
        <v>Fora do DRE</v>
      </c>
      <c r="V3743" s="3" t="str">
        <f>IF(Base_Periodo1[[#This Row],[Tipo_Linha]]="Fora do DRE","Fora do DRE","( "&amp;Base_Periodo1[[#This Row],[Tipo_Linha]]&amp;" ) "&amp;Base_Periodo1[[#This Row],[Filtro]])</f>
        <v>Fora do DRE</v>
      </c>
      <c r="W3743" s="3" t="str">
        <f>LEFT(Base_Periodo1[[#This Row],[CLASS]],3)</f>
        <v>2.1</v>
      </c>
    </row>
    <row r="3744" spans="1:23" hidden="1">
      <c r="A3744" s="3" t="str">
        <f t="shared" si="58"/>
        <v>Período 1</v>
      </c>
      <c r="B3744">
        <v>39653</v>
      </c>
      <c r="C3744" t="s">
        <v>2010</v>
      </c>
      <c r="D3744" t="s">
        <v>2083</v>
      </c>
      <c r="E3744" s="3" t="str">
        <f>IF(LEN(Base_Periodo1[[#This Row],[CLASS]])&gt;=7,LEFT(Base_Periodo1[[#This Row],[CLASS]],7),"")</f>
        <v>2.1.2.2</v>
      </c>
      <c r="F3744" s="3" t="str">
        <f>VLOOKUP(Base_Periodo1[[#This Row],[Aux]],Base_Contas_Balanco[#All],2,FALSE)</f>
        <v>Fornecedores Não Cooperados</v>
      </c>
      <c r="G3744" s="1">
        <v>42870</v>
      </c>
      <c r="I3744" s="225">
        <v>882</v>
      </c>
      <c r="J3744" s="225">
        <v>882</v>
      </c>
      <c r="K3744" s="225">
        <v>1.8189894035458565E-12</v>
      </c>
      <c r="L37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44" s="225">
        <f>ROUND(IF(AND(Base_Periodo1[[#This Row],[Tipo_Linha]]="-",Base_Periodo1[[#This Row],[TIPOSALDO]]="D"),Base_Periodo1[[#This Row],[SALDO_ATUAL]]*-1,Base_Periodo1[[#This Row],[SALDO_ATUAL]]),4)</f>
        <v>0</v>
      </c>
      <c r="N3744" t="s">
        <v>116</v>
      </c>
      <c r="O3744" t="s">
        <v>436</v>
      </c>
      <c r="P3744" t="s">
        <v>436</v>
      </c>
      <c r="Q3744">
        <v>7</v>
      </c>
      <c r="R3744" s="225">
        <f>Base_Periodo1[[#This Row],[CREDITOS]]-Base_Periodo1[[#This Row],[DEBITOS]]</f>
        <v>0</v>
      </c>
      <c r="S3744" s="3" t="str">
        <f>IF(ISERROR(VLOOKUP(Base_Periodo1[[#This Row],[CONTA]],BaseContasDRE[#All],4,FALSE)),"Fora do DRE",VLOOKUP(Base_Periodo1[[#This Row],[CONTA]],BaseContasDRE[#All],4,FALSE))</f>
        <v>Fora do DRE</v>
      </c>
      <c r="T3744" s="3" t="str">
        <f>IF(ISERROR(VLOOKUP(Base_Periodo1[[#This Row],[CONTA]],BaseContasDRE[#All],5,FALSE)),"Fora do DRE",VLOOKUP(Base_Periodo1[[#This Row],[CONTA]],BaseContasDRE[#All],6,FALSE))</f>
        <v>Fora do DRE</v>
      </c>
      <c r="U3744" s="3" t="str">
        <f>IF(ISERROR(VLOOKUP(Base_Periodo1[[#This Row],[CONTA]],BaseContasDRE[#All],7,FALSE)),"Fora do DRE",VLOOKUP(Base_Periodo1[[#This Row],[CONTA]],BaseContasDRE[#All],7,FALSE))</f>
        <v>Fora do DRE</v>
      </c>
      <c r="V3744" s="3" t="str">
        <f>IF(Base_Periodo1[[#This Row],[Tipo_Linha]]="Fora do DRE","Fora do DRE","( "&amp;Base_Periodo1[[#This Row],[Tipo_Linha]]&amp;" ) "&amp;Base_Periodo1[[#This Row],[Filtro]])</f>
        <v>Fora do DRE</v>
      </c>
      <c r="W3744" s="3" t="str">
        <f>LEFT(Base_Periodo1[[#This Row],[CLASS]],3)</f>
        <v>2.1</v>
      </c>
    </row>
    <row r="3745" spans="1:23" hidden="1">
      <c r="A3745" s="3" t="str">
        <f t="shared" si="58"/>
        <v>Período 1</v>
      </c>
      <c r="B3745">
        <v>19505</v>
      </c>
      <c r="C3745" t="s">
        <v>2010</v>
      </c>
      <c r="D3745" t="s">
        <v>5234</v>
      </c>
      <c r="E3745" s="3" t="str">
        <f>IF(LEN(Base_Periodo1[[#This Row],[CLASS]])&gt;=7,LEFT(Base_Periodo1[[#This Row],[CLASS]],7),"")</f>
        <v>2.1.2.2</v>
      </c>
      <c r="F3745" s="3" t="str">
        <f>VLOOKUP(Base_Periodo1[[#This Row],[Aux]],Base_Contas_Balanco[#All],2,FALSE)</f>
        <v>Fornecedores Não Cooperados</v>
      </c>
      <c r="G3745" s="1">
        <v>42886</v>
      </c>
      <c r="I3745" s="225">
        <v>1175</v>
      </c>
      <c r="J3745" s="225">
        <v>1175</v>
      </c>
      <c r="K3745" s="225">
        <v>0</v>
      </c>
      <c r="L37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45" s="225">
        <f>ROUND(IF(AND(Base_Periodo1[[#This Row],[Tipo_Linha]]="-",Base_Periodo1[[#This Row],[TIPOSALDO]]="D"),Base_Periodo1[[#This Row],[SALDO_ATUAL]]*-1,Base_Periodo1[[#This Row],[SALDO_ATUAL]]),4)</f>
        <v>0</v>
      </c>
      <c r="N3745" t="s">
        <v>116</v>
      </c>
      <c r="O3745" t="s">
        <v>436</v>
      </c>
      <c r="P3745" t="s">
        <v>436</v>
      </c>
      <c r="Q3745">
        <v>7</v>
      </c>
      <c r="R3745" s="225">
        <f>Base_Periodo1[[#This Row],[CREDITOS]]-Base_Periodo1[[#This Row],[DEBITOS]]</f>
        <v>0</v>
      </c>
      <c r="S3745" s="3" t="str">
        <f>IF(ISERROR(VLOOKUP(Base_Periodo1[[#This Row],[CONTA]],BaseContasDRE[#All],4,FALSE)),"Fora do DRE",VLOOKUP(Base_Periodo1[[#This Row],[CONTA]],BaseContasDRE[#All],4,FALSE))</f>
        <v>Fora do DRE</v>
      </c>
      <c r="T3745" s="3" t="str">
        <f>IF(ISERROR(VLOOKUP(Base_Periodo1[[#This Row],[CONTA]],BaseContasDRE[#All],5,FALSE)),"Fora do DRE",VLOOKUP(Base_Periodo1[[#This Row],[CONTA]],BaseContasDRE[#All],6,FALSE))</f>
        <v>Fora do DRE</v>
      </c>
      <c r="U3745" s="3" t="str">
        <f>IF(ISERROR(VLOOKUP(Base_Periodo1[[#This Row],[CONTA]],BaseContasDRE[#All],7,FALSE)),"Fora do DRE",VLOOKUP(Base_Periodo1[[#This Row],[CONTA]],BaseContasDRE[#All],7,FALSE))</f>
        <v>Fora do DRE</v>
      </c>
      <c r="V3745" s="3" t="str">
        <f>IF(Base_Periodo1[[#This Row],[Tipo_Linha]]="Fora do DRE","Fora do DRE","( "&amp;Base_Periodo1[[#This Row],[Tipo_Linha]]&amp;" ) "&amp;Base_Periodo1[[#This Row],[Filtro]])</f>
        <v>Fora do DRE</v>
      </c>
      <c r="W3745" s="3" t="str">
        <f>LEFT(Base_Periodo1[[#This Row],[CLASS]],3)</f>
        <v>2.1</v>
      </c>
    </row>
    <row r="3746" spans="1:23" hidden="1">
      <c r="A3746" s="3" t="str">
        <f t="shared" si="58"/>
        <v>Período 1</v>
      </c>
      <c r="B3746">
        <v>49061</v>
      </c>
      <c r="C3746" t="s">
        <v>2010</v>
      </c>
      <c r="D3746" t="s">
        <v>4294</v>
      </c>
      <c r="E3746" s="3" t="str">
        <f>IF(LEN(Base_Periodo1[[#This Row],[CLASS]])&gt;=7,LEFT(Base_Periodo1[[#This Row],[CLASS]],7),"")</f>
        <v>2.1.2.2</v>
      </c>
      <c r="F3746" s="3" t="str">
        <f>VLOOKUP(Base_Periodo1[[#This Row],[Aux]],Base_Contas_Balanco[#All],2,FALSE)</f>
        <v>Fornecedores Não Cooperados</v>
      </c>
      <c r="G3746" s="1">
        <v>42865</v>
      </c>
      <c r="I3746" s="225">
        <v>2452</v>
      </c>
      <c r="J3746" s="225">
        <v>2452</v>
      </c>
      <c r="K3746" s="225">
        <v>-7.2759576141834259E-12</v>
      </c>
      <c r="L37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46" s="225">
        <f>ROUND(IF(AND(Base_Periodo1[[#This Row],[Tipo_Linha]]="-",Base_Periodo1[[#This Row],[TIPOSALDO]]="D"),Base_Periodo1[[#This Row],[SALDO_ATUAL]]*-1,Base_Periodo1[[#This Row],[SALDO_ATUAL]]),4)</f>
        <v>0</v>
      </c>
      <c r="N3746" t="s">
        <v>116</v>
      </c>
      <c r="O3746" t="s">
        <v>436</v>
      </c>
      <c r="P3746" t="s">
        <v>436</v>
      </c>
      <c r="Q3746">
        <v>7</v>
      </c>
      <c r="R3746" s="225">
        <f>Base_Periodo1[[#This Row],[CREDITOS]]-Base_Periodo1[[#This Row],[DEBITOS]]</f>
        <v>0</v>
      </c>
      <c r="S3746" s="3" t="str">
        <f>IF(ISERROR(VLOOKUP(Base_Periodo1[[#This Row],[CONTA]],BaseContasDRE[#All],4,FALSE)),"Fora do DRE",VLOOKUP(Base_Periodo1[[#This Row],[CONTA]],BaseContasDRE[#All],4,FALSE))</f>
        <v>Fora do DRE</v>
      </c>
      <c r="T3746" s="3" t="str">
        <f>IF(ISERROR(VLOOKUP(Base_Periodo1[[#This Row],[CONTA]],BaseContasDRE[#All],5,FALSE)),"Fora do DRE",VLOOKUP(Base_Periodo1[[#This Row],[CONTA]],BaseContasDRE[#All],6,FALSE))</f>
        <v>Fora do DRE</v>
      </c>
      <c r="U3746" s="3" t="str">
        <f>IF(ISERROR(VLOOKUP(Base_Periodo1[[#This Row],[CONTA]],BaseContasDRE[#All],7,FALSE)),"Fora do DRE",VLOOKUP(Base_Periodo1[[#This Row],[CONTA]],BaseContasDRE[#All],7,FALSE))</f>
        <v>Fora do DRE</v>
      </c>
      <c r="V3746" s="3" t="str">
        <f>IF(Base_Periodo1[[#This Row],[Tipo_Linha]]="Fora do DRE","Fora do DRE","( "&amp;Base_Periodo1[[#This Row],[Tipo_Linha]]&amp;" ) "&amp;Base_Periodo1[[#This Row],[Filtro]])</f>
        <v>Fora do DRE</v>
      </c>
      <c r="W3746" s="3" t="str">
        <f>LEFT(Base_Periodo1[[#This Row],[CLASS]],3)</f>
        <v>2.1</v>
      </c>
    </row>
    <row r="3747" spans="1:23" hidden="1">
      <c r="A3747" s="3" t="str">
        <f t="shared" si="58"/>
        <v>Período 1</v>
      </c>
      <c r="B3747">
        <v>9023</v>
      </c>
      <c r="C3747" t="s">
        <v>2010</v>
      </c>
      <c r="D3747" t="s">
        <v>7068</v>
      </c>
      <c r="E3747" s="3" t="str">
        <f>IF(LEN(Base_Periodo1[[#This Row],[CLASS]])&gt;=7,LEFT(Base_Periodo1[[#This Row],[CLASS]],7),"")</f>
        <v>2.1.2.2</v>
      </c>
      <c r="F3747" s="3" t="str">
        <f>VLOOKUP(Base_Periodo1[[#This Row],[Aux]],Base_Contas_Balanco[#All],2,FALSE)</f>
        <v>Fornecedores Não Cooperados</v>
      </c>
      <c r="G3747" s="1">
        <v>42878</v>
      </c>
      <c r="I3747" s="225">
        <v>7992</v>
      </c>
      <c r="J3747" s="225">
        <v>7992</v>
      </c>
      <c r="K3747" s="225">
        <v>0</v>
      </c>
      <c r="L37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47" s="225">
        <f>ROUND(IF(AND(Base_Periodo1[[#This Row],[Tipo_Linha]]="-",Base_Periodo1[[#This Row],[TIPOSALDO]]="D"),Base_Periodo1[[#This Row],[SALDO_ATUAL]]*-1,Base_Periodo1[[#This Row],[SALDO_ATUAL]]),4)</f>
        <v>0</v>
      </c>
      <c r="N3747" t="s">
        <v>116</v>
      </c>
      <c r="O3747" t="s">
        <v>436</v>
      </c>
      <c r="P3747" t="s">
        <v>436</v>
      </c>
      <c r="Q3747">
        <v>7</v>
      </c>
      <c r="R3747" s="225">
        <f>Base_Periodo1[[#This Row],[CREDITOS]]-Base_Periodo1[[#This Row],[DEBITOS]]</f>
        <v>0</v>
      </c>
      <c r="S3747" s="3" t="str">
        <f>IF(ISERROR(VLOOKUP(Base_Periodo1[[#This Row],[CONTA]],BaseContasDRE[#All],4,FALSE)),"Fora do DRE",VLOOKUP(Base_Periodo1[[#This Row],[CONTA]],BaseContasDRE[#All],4,FALSE))</f>
        <v>Fora do DRE</v>
      </c>
      <c r="T3747" s="3" t="str">
        <f>IF(ISERROR(VLOOKUP(Base_Periodo1[[#This Row],[CONTA]],BaseContasDRE[#All],5,FALSE)),"Fora do DRE",VLOOKUP(Base_Periodo1[[#This Row],[CONTA]],BaseContasDRE[#All],6,FALSE))</f>
        <v>Fora do DRE</v>
      </c>
      <c r="U3747" s="3" t="str">
        <f>IF(ISERROR(VLOOKUP(Base_Periodo1[[#This Row],[CONTA]],BaseContasDRE[#All],7,FALSE)),"Fora do DRE",VLOOKUP(Base_Periodo1[[#This Row],[CONTA]],BaseContasDRE[#All],7,FALSE))</f>
        <v>Fora do DRE</v>
      </c>
      <c r="V3747" s="3" t="str">
        <f>IF(Base_Periodo1[[#This Row],[Tipo_Linha]]="Fora do DRE","Fora do DRE","( "&amp;Base_Periodo1[[#This Row],[Tipo_Linha]]&amp;" ) "&amp;Base_Periodo1[[#This Row],[Filtro]])</f>
        <v>Fora do DRE</v>
      </c>
      <c r="W3747" s="3" t="str">
        <f>LEFT(Base_Periodo1[[#This Row],[CLASS]],3)</f>
        <v>2.1</v>
      </c>
    </row>
    <row r="3748" spans="1:23" hidden="1">
      <c r="A3748" s="3" t="str">
        <f t="shared" si="58"/>
        <v>Período 1</v>
      </c>
      <c r="B3748">
        <v>33547</v>
      </c>
      <c r="C3748" t="s">
        <v>2010</v>
      </c>
      <c r="D3748" t="s">
        <v>4581</v>
      </c>
      <c r="E3748" s="3" t="str">
        <f>IF(LEN(Base_Periodo1[[#This Row],[CLASS]])&gt;=7,LEFT(Base_Periodo1[[#This Row],[CLASS]],7),"")</f>
        <v>2.1.2.2</v>
      </c>
      <c r="F3748" s="3" t="str">
        <f>VLOOKUP(Base_Periodo1[[#This Row],[Aux]],Base_Contas_Balanco[#All],2,FALSE)</f>
        <v>Fornecedores Não Cooperados</v>
      </c>
      <c r="G3748" s="1">
        <v>42880</v>
      </c>
      <c r="H3748" s="225">
        <v>8614</v>
      </c>
      <c r="I3748" s="225">
        <v>14449</v>
      </c>
      <c r="J3748" s="225">
        <v>17449</v>
      </c>
      <c r="K3748" s="225">
        <v>11614</v>
      </c>
      <c r="L37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11614</v>
      </c>
      <c r="M3748" s="225">
        <f>ROUND(IF(AND(Base_Periodo1[[#This Row],[Tipo_Linha]]="-",Base_Periodo1[[#This Row],[TIPOSALDO]]="D"),Base_Periodo1[[#This Row],[SALDO_ATUAL]]*-1,Base_Periodo1[[#This Row],[SALDO_ATUAL]]),4)</f>
        <v>11614</v>
      </c>
      <c r="N3748" t="s">
        <v>116</v>
      </c>
      <c r="O3748" t="s">
        <v>459</v>
      </c>
      <c r="P3748" t="s">
        <v>459</v>
      </c>
      <c r="Q3748">
        <v>7</v>
      </c>
      <c r="R3748" s="225">
        <f>Base_Periodo1[[#This Row],[CREDITOS]]-Base_Periodo1[[#This Row],[DEBITOS]]</f>
        <v>3000</v>
      </c>
      <c r="S3748" s="3" t="str">
        <f>IF(ISERROR(VLOOKUP(Base_Periodo1[[#This Row],[CONTA]],BaseContasDRE[#All],4,FALSE)),"Fora do DRE",VLOOKUP(Base_Periodo1[[#This Row],[CONTA]],BaseContasDRE[#All],4,FALSE))</f>
        <v>Fora do DRE</v>
      </c>
      <c r="T3748" s="3" t="str">
        <f>IF(ISERROR(VLOOKUP(Base_Periodo1[[#This Row],[CONTA]],BaseContasDRE[#All],5,FALSE)),"Fora do DRE",VLOOKUP(Base_Periodo1[[#This Row],[CONTA]],BaseContasDRE[#All],6,FALSE))</f>
        <v>Fora do DRE</v>
      </c>
      <c r="U3748" s="3" t="str">
        <f>IF(ISERROR(VLOOKUP(Base_Periodo1[[#This Row],[CONTA]],BaseContasDRE[#All],7,FALSE)),"Fora do DRE",VLOOKUP(Base_Periodo1[[#This Row],[CONTA]],BaseContasDRE[#All],7,FALSE))</f>
        <v>Fora do DRE</v>
      </c>
      <c r="V3748" s="3" t="str">
        <f>IF(Base_Periodo1[[#This Row],[Tipo_Linha]]="Fora do DRE","Fora do DRE","( "&amp;Base_Periodo1[[#This Row],[Tipo_Linha]]&amp;" ) "&amp;Base_Periodo1[[#This Row],[Filtro]])</f>
        <v>Fora do DRE</v>
      </c>
      <c r="W3748" s="3" t="str">
        <f>LEFT(Base_Periodo1[[#This Row],[CLASS]],3)</f>
        <v>2.1</v>
      </c>
    </row>
    <row r="3749" spans="1:23" hidden="1">
      <c r="A3749" s="3" t="str">
        <f t="shared" si="58"/>
        <v>Período 1</v>
      </c>
      <c r="B3749">
        <v>58383</v>
      </c>
      <c r="C3749" t="s">
        <v>2010</v>
      </c>
      <c r="D3749" t="s">
        <v>7069</v>
      </c>
      <c r="E3749" s="3" t="str">
        <f>IF(LEN(Base_Periodo1[[#This Row],[CLASS]])&gt;=7,LEFT(Base_Periodo1[[#This Row],[CLASS]],7),"")</f>
        <v>2.1.2.2</v>
      </c>
      <c r="F3749" s="3" t="str">
        <f>VLOOKUP(Base_Periodo1[[#This Row],[Aux]],Base_Contas_Balanco[#All],2,FALSE)</f>
        <v>Fornecedores Não Cooperados</v>
      </c>
      <c r="G3749" s="1">
        <v>42857</v>
      </c>
      <c r="I3749" s="225">
        <v>594</v>
      </c>
      <c r="J3749" s="225">
        <v>594</v>
      </c>
      <c r="K3749" s="225">
        <v>0</v>
      </c>
      <c r="L37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49" s="225">
        <f>ROUND(IF(AND(Base_Periodo1[[#This Row],[Tipo_Linha]]="-",Base_Periodo1[[#This Row],[TIPOSALDO]]="D"),Base_Periodo1[[#This Row],[SALDO_ATUAL]]*-1,Base_Periodo1[[#This Row],[SALDO_ATUAL]]),4)</f>
        <v>0</v>
      </c>
      <c r="N3749" t="s">
        <v>116</v>
      </c>
      <c r="O3749" t="s">
        <v>436</v>
      </c>
      <c r="P3749" t="s">
        <v>436</v>
      </c>
      <c r="Q3749">
        <v>7</v>
      </c>
      <c r="R3749" s="225">
        <f>Base_Periodo1[[#This Row],[CREDITOS]]-Base_Periodo1[[#This Row],[DEBITOS]]</f>
        <v>0</v>
      </c>
      <c r="S3749" s="3" t="str">
        <f>IF(ISERROR(VLOOKUP(Base_Periodo1[[#This Row],[CONTA]],BaseContasDRE[#All],4,FALSE)),"Fora do DRE",VLOOKUP(Base_Periodo1[[#This Row],[CONTA]],BaseContasDRE[#All],4,FALSE))</f>
        <v>Fora do DRE</v>
      </c>
      <c r="T3749" s="3" t="str">
        <f>IF(ISERROR(VLOOKUP(Base_Periodo1[[#This Row],[CONTA]],BaseContasDRE[#All],5,FALSE)),"Fora do DRE",VLOOKUP(Base_Periodo1[[#This Row],[CONTA]],BaseContasDRE[#All],6,FALSE))</f>
        <v>Fora do DRE</v>
      </c>
      <c r="U3749" s="3" t="str">
        <f>IF(ISERROR(VLOOKUP(Base_Periodo1[[#This Row],[CONTA]],BaseContasDRE[#All],7,FALSE)),"Fora do DRE",VLOOKUP(Base_Periodo1[[#This Row],[CONTA]],BaseContasDRE[#All],7,FALSE))</f>
        <v>Fora do DRE</v>
      </c>
      <c r="V3749" s="3" t="str">
        <f>IF(Base_Periodo1[[#This Row],[Tipo_Linha]]="Fora do DRE","Fora do DRE","( "&amp;Base_Periodo1[[#This Row],[Tipo_Linha]]&amp;" ) "&amp;Base_Periodo1[[#This Row],[Filtro]])</f>
        <v>Fora do DRE</v>
      </c>
      <c r="W3749" s="3" t="str">
        <f>LEFT(Base_Periodo1[[#This Row],[CLASS]],3)</f>
        <v>2.1</v>
      </c>
    </row>
    <row r="3750" spans="1:23" hidden="1">
      <c r="A3750" s="3" t="str">
        <f t="shared" si="58"/>
        <v>Período 1</v>
      </c>
      <c r="B3750">
        <v>23082</v>
      </c>
      <c r="C3750" t="s">
        <v>2010</v>
      </c>
      <c r="D3750" t="s">
        <v>5498</v>
      </c>
      <c r="E3750" s="3" t="str">
        <f>IF(LEN(Base_Periodo1[[#This Row],[CLASS]])&gt;=7,LEFT(Base_Periodo1[[#This Row],[CLASS]],7),"")</f>
        <v>2.1.2.2</v>
      </c>
      <c r="F3750" s="3" t="str">
        <f>VLOOKUP(Base_Periodo1[[#This Row],[Aux]],Base_Contas_Balanco[#All],2,FALSE)</f>
        <v>Fornecedores Não Cooperados</v>
      </c>
      <c r="G3750" s="1">
        <v>42874</v>
      </c>
      <c r="I3750" s="225">
        <v>3521.36</v>
      </c>
      <c r="J3750" s="225">
        <v>3521.36</v>
      </c>
      <c r="K3750" s="225">
        <v>0</v>
      </c>
      <c r="L37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50" s="225">
        <f>ROUND(IF(AND(Base_Periodo1[[#This Row],[Tipo_Linha]]="-",Base_Periodo1[[#This Row],[TIPOSALDO]]="D"),Base_Periodo1[[#This Row],[SALDO_ATUAL]]*-1,Base_Periodo1[[#This Row],[SALDO_ATUAL]]),4)</f>
        <v>0</v>
      </c>
      <c r="N3750" t="s">
        <v>116</v>
      </c>
      <c r="O3750" t="s">
        <v>436</v>
      </c>
      <c r="P3750" t="s">
        <v>436</v>
      </c>
      <c r="Q3750">
        <v>7</v>
      </c>
      <c r="R3750" s="225">
        <f>Base_Periodo1[[#This Row],[CREDITOS]]-Base_Periodo1[[#This Row],[DEBITOS]]</f>
        <v>0</v>
      </c>
      <c r="S3750" s="3" t="str">
        <f>IF(ISERROR(VLOOKUP(Base_Periodo1[[#This Row],[CONTA]],BaseContasDRE[#All],4,FALSE)),"Fora do DRE",VLOOKUP(Base_Periodo1[[#This Row],[CONTA]],BaseContasDRE[#All],4,FALSE))</f>
        <v>Fora do DRE</v>
      </c>
      <c r="T3750" s="3" t="str">
        <f>IF(ISERROR(VLOOKUP(Base_Periodo1[[#This Row],[CONTA]],BaseContasDRE[#All],5,FALSE)),"Fora do DRE",VLOOKUP(Base_Periodo1[[#This Row],[CONTA]],BaseContasDRE[#All],6,FALSE))</f>
        <v>Fora do DRE</v>
      </c>
      <c r="U3750" s="3" t="str">
        <f>IF(ISERROR(VLOOKUP(Base_Periodo1[[#This Row],[CONTA]],BaseContasDRE[#All],7,FALSE)),"Fora do DRE",VLOOKUP(Base_Periodo1[[#This Row],[CONTA]],BaseContasDRE[#All],7,FALSE))</f>
        <v>Fora do DRE</v>
      </c>
      <c r="V3750" s="3" t="str">
        <f>IF(Base_Periodo1[[#This Row],[Tipo_Linha]]="Fora do DRE","Fora do DRE","( "&amp;Base_Periodo1[[#This Row],[Tipo_Linha]]&amp;" ) "&amp;Base_Periodo1[[#This Row],[Filtro]])</f>
        <v>Fora do DRE</v>
      </c>
      <c r="W3750" s="3" t="str">
        <f>LEFT(Base_Periodo1[[#This Row],[CLASS]],3)</f>
        <v>2.1</v>
      </c>
    </row>
    <row r="3751" spans="1:23" hidden="1">
      <c r="A3751" s="3" t="str">
        <f t="shared" si="58"/>
        <v>Período 1</v>
      </c>
      <c r="B3751">
        <v>52694</v>
      </c>
      <c r="C3751" t="s">
        <v>2010</v>
      </c>
      <c r="D3751" t="s">
        <v>7070</v>
      </c>
      <c r="E3751" s="3" t="str">
        <f>IF(LEN(Base_Periodo1[[#This Row],[CLASS]])&gt;=7,LEFT(Base_Periodo1[[#This Row],[CLASS]],7),"")</f>
        <v>2.1.2.2</v>
      </c>
      <c r="F3751" s="3" t="str">
        <f>VLOOKUP(Base_Periodo1[[#This Row],[Aux]],Base_Contas_Balanco[#All],2,FALSE)</f>
        <v>Fornecedores Não Cooperados</v>
      </c>
      <c r="G3751" s="1">
        <v>42866</v>
      </c>
      <c r="I3751" s="225">
        <v>57017.33</v>
      </c>
      <c r="J3751" s="225">
        <v>57017.33</v>
      </c>
      <c r="K3751" s="225">
        <v>0</v>
      </c>
      <c r="L37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51" s="225">
        <f>ROUND(IF(AND(Base_Periodo1[[#This Row],[Tipo_Linha]]="-",Base_Periodo1[[#This Row],[TIPOSALDO]]="D"),Base_Periodo1[[#This Row],[SALDO_ATUAL]]*-1,Base_Periodo1[[#This Row],[SALDO_ATUAL]]),4)</f>
        <v>0</v>
      </c>
      <c r="N3751" t="s">
        <v>116</v>
      </c>
      <c r="O3751" t="s">
        <v>436</v>
      </c>
      <c r="P3751" t="s">
        <v>436</v>
      </c>
      <c r="Q3751">
        <v>7</v>
      </c>
      <c r="R3751" s="225">
        <f>Base_Periodo1[[#This Row],[CREDITOS]]-Base_Periodo1[[#This Row],[DEBITOS]]</f>
        <v>0</v>
      </c>
      <c r="S3751" s="3" t="str">
        <f>IF(ISERROR(VLOOKUP(Base_Periodo1[[#This Row],[CONTA]],BaseContasDRE[#All],4,FALSE)),"Fora do DRE",VLOOKUP(Base_Periodo1[[#This Row],[CONTA]],BaseContasDRE[#All],4,FALSE))</f>
        <v>Fora do DRE</v>
      </c>
      <c r="T3751" s="3" t="str">
        <f>IF(ISERROR(VLOOKUP(Base_Periodo1[[#This Row],[CONTA]],BaseContasDRE[#All],5,FALSE)),"Fora do DRE",VLOOKUP(Base_Periodo1[[#This Row],[CONTA]],BaseContasDRE[#All],6,FALSE))</f>
        <v>Fora do DRE</v>
      </c>
      <c r="U3751" s="3" t="str">
        <f>IF(ISERROR(VLOOKUP(Base_Periodo1[[#This Row],[CONTA]],BaseContasDRE[#All],7,FALSE)),"Fora do DRE",VLOOKUP(Base_Periodo1[[#This Row],[CONTA]],BaseContasDRE[#All],7,FALSE))</f>
        <v>Fora do DRE</v>
      </c>
      <c r="V3751" s="3" t="str">
        <f>IF(Base_Periodo1[[#This Row],[Tipo_Linha]]="Fora do DRE","Fora do DRE","( "&amp;Base_Periodo1[[#This Row],[Tipo_Linha]]&amp;" ) "&amp;Base_Periodo1[[#This Row],[Filtro]])</f>
        <v>Fora do DRE</v>
      </c>
      <c r="W3751" s="3" t="str">
        <f>LEFT(Base_Periodo1[[#This Row],[CLASS]],3)</f>
        <v>2.1</v>
      </c>
    </row>
    <row r="3752" spans="1:23" hidden="1">
      <c r="A3752" s="3" t="str">
        <f t="shared" si="58"/>
        <v>Período 1</v>
      </c>
      <c r="B3752">
        <v>26437</v>
      </c>
      <c r="C3752" t="s">
        <v>2010</v>
      </c>
      <c r="D3752" t="s">
        <v>7071</v>
      </c>
      <c r="E3752" s="3" t="str">
        <f>IF(LEN(Base_Periodo1[[#This Row],[CLASS]])&gt;=7,LEFT(Base_Periodo1[[#This Row],[CLASS]],7),"")</f>
        <v>2.1.2.2</v>
      </c>
      <c r="F3752" s="3" t="str">
        <f>VLOOKUP(Base_Periodo1[[#This Row],[Aux]],Base_Contas_Balanco[#All],2,FALSE)</f>
        <v>Fornecedores Não Cooperados</v>
      </c>
      <c r="G3752" s="1">
        <v>42871</v>
      </c>
      <c r="I3752" s="225">
        <v>8148.67</v>
      </c>
      <c r="J3752" s="225">
        <v>8148.67</v>
      </c>
      <c r="K3752" s="225">
        <v>0</v>
      </c>
      <c r="L37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52" s="225">
        <f>ROUND(IF(AND(Base_Periodo1[[#This Row],[Tipo_Linha]]="-",Base_Periodo1[[#This Row],[TIPOSALDO]]="D"),Base_Periodo1[[#This Row],[SALDO_ATUAL]]*-1,Base_Periodo1[[#This Row],[SALDO_ATUAL]]),4)</f>
        <v>0</v>
      </c>
      <c r="N3752" t="s">
        <v>116</v>
      </c>
      <c r="O3752" t="s">
        <v>436</v>
      </c>
      <c r="P3752" t="s">
        <v>436</v>
      </c>
      <c r="Q3752">
        <v>7</v>
      </c>
      <c r="R3752" s="225">
        <f>Base_Periodo1[[#This Row],[CREDITOS]]-Base_Periodo1[[#This Row],[DEBITOS]]</f>
        <v>0</v>
      </c>
      <c r="S3752" s="3" t="str">
        <f>IF(ISERROR(VLOOKUP(Base_Periodo1[[#This Row],[CONTA]],BaseContasDRE[#All],4,FALSE)),"Fora do DRE",VLOOKUP(Base_Periodo1[[#This Row],[CONTA]],BaseContasDRE[#All],4,FALSE))</f>
        <v>Fora do DRE</v>
      </c>
      <c r="T3752" s="3" t="str">
        <f>IF(ISERROR(VLOOKUP(Base_Periodo1[[#This Row],[CONTA]],BaseContasDRE[#All],5,FALSE)),"Fora do DRE",VLOOKUP(Base_Periodo1[[#This Row],[CONTA]],BaseContasDRE[#All],6,FALSE))</f>
        <v>Fora do DRE</v>
      </c>
      <c r="U3752" s="3" t="str">
        <f>IF(ISERROR(VLOOKUP(Base_Periodo1[[#This Row],[CONTA]],BaseContasDRE[#All],7,FALSE)),"Fora do DRE",VLOOKUP(Base_Periodo1[[#This Row],[CONTA]],BaseContasDRE[#All],7,FALSE))</f>
        <v>Fora do DRE</v>
      </c>
      <c r="V3752" s="3" t="str">
        <f>IF(Base_Periodo1[[#This Row],[Tipo_Linha]]="Fora do DRE","Fora do DRE","( "&amp;Base_Periodo1[[#This Row],[Tipo_Linha]]&amp;" ) "&amp;Base_Periodo1[[#This Row],[Filtro]])</f>
        <v>Fora do DRE</v>
      </c>
      <c r="W3752" s="3" t="str">
        <f>LEFT(Base_Periodo1[[#This Row],[CLASS]],3)</f>
        <v>2.1</v>
      </c>
    </row>
    <row r="3753" spans="1:23" hidden="1">
      <c r="A3753" s="3" t="str">
        <f t="shared" si="58"/>
        <v>Período 1</v>
      </c>
      <c r="B3753">
        <v>28244</v>
      </c>
      <c r="C3753" t="s">
        <v>2010</v>
      </c>
      <c r="D3753" t="s">
        <v>6185</v>
      </c>
      <c r="E3753" s="3" t="str">
        <f>IF(LEN(Base_Periodo1[[#This Row],[CLASS]])&gt;=7,LEFT(Base_Periodo1[[#This Row],[CLASS]],7),"")</f>
        <v>2.1.2.2</v>
      </c>
      <c r="F3753" s="3" t="str">
        <f>VLOOKUP(Base_Periodo1[[#This Row],[Aux]],Base_Contas_Balanco[#All],2,FALSE)</f>
        <v>Fornecedores Não Cooperados</v>
      </c>
      <c r="G3753" s="1">
        <v>42870</v>
      </c>
      <c r="I3753" s="225">
        <v>49461.560000000005</v>
      </c>
      <c r="J3753" s="225">
        <v>100629.8</v>
      </c>
      <c r="K3753" s="225">
        <v>51168.240000000347</v>
      </c>
      <c r="L37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51168.24</v>
      </c>
      <c r="M3753" s="225">
        <f>ROUND(IF(AND(Base_Periodo1[[#This Row],[Tipo_Linha]]="-",Base_Periodo1[[#This Row],[TIPOSALDO]]="D"),Base_Periodo1[[#This Row],[SALDO_ATUAL]]*-1,Base_Periodo1[[#This Row],[SALDO_ATUAL]]),4)</f>
        <v>51168.24</v>
      </c>
      <c r="N3753" t="s">
        <v>116</v>
      </c>
      <c r="O3753" t="s">
        <v>436</v>
      </c>
      <c r="P3753" t="s">
        <v>459</v>
      </c>
      <c r="Q3753">
        <v>7</v>
      </c>
      <c r="R3753" s="225">
        <f>Base_Periodo1[[#This Row],[CREDITOS]]-Base_Periodo1[[#This Row],[DEBITOS]]</f>
        <v>51168.24</v>
      </c>
      <c r="S3753" s="3" t="str">
        <f>IF(ISERROR(VLOOKUP(Base_Periodo1[[#This Row],[CONTA]],BaseContasDRE[#All],4,FALSE)),"Fora do DRE",VLOOKUP(Base_Periodo1[[#This Row],[CONTA]],BaseContasDRE[#All],4,FALSE))</f>
        <v>Fora do DRE</v>
      </c>
      <c r="T3753" s="3" t="str">
        <f>IF(ISERROR(VLOOKUP(Base_Periodo1[[#This Row],[CONTA]],BaseContasDRE[#All],5,FALSE)),"Fora do DRE",VLOOKUP(Base_Periodo1[[#This Row],[CONTA]],BaseContasDRE[#All],6,FALSE))</f>
        <v>Fora do DRE</v>
      </c>
      <c r="U3753" s="3" t="str">
        <f>IF(ISERROR(VLOOKUP(Base_Periodo1[[#This Row],[CONTA]],BaseContasDRE[#All],7,FALSE)),"Fora do DRE",VLOOKUP(Base_Periodo1[[#This Row],[CONTA]],BaseContasDRE[#All],7,FALSE))</f>
        <v>Fora do DRE</v>
      </c>
      <c r="V3753" s="3" t="str">
        <f>IF(Base_Periodo1[[#This Row],[Tipo_Linha]]="Fora do DRE","Fora do DRE","( "&amp;Base_Periodo1[[#This Row],[Tipo_Linha]]&amp;" ) "&amp;Base_Periodo1[[#This Row],[Filtro]])</f>
        <v>Fora do DRE</v>
      </c>
      <c r="W3753" s="3" t="str">
        <f>LEFT(Base_Periodo1[[#This Row],[CLASS]],3)</f>
        <v>2.1</v>
      </c>
    </row>
    <row r="3754" spans="1:23" hidden="1">
      <c r="A3754" s="3" t="str">
        <f t="shared" si="58"/>
        <v>Período 1</v>
      </c>
      <c r="B3754">
        <v>58734</v>
      </c>
      <c r="C3754" t="s">
        <v>2010</v>
      </c>
      <c r="D3754" t="s">
        <v>7072</v>
      </c>
      <c r="E3754" s="3" t="str">
        <f>IF(LEN(Base_Periodo1[[#This Row],[CLASS]])&gt;=7,LEFT(Base_Periodo1[[#This Row],[CLASS]],7),"")</f>
        <v>2.1.2.2</v>
      </c>
      <c r="F3754" s="3" t="str">
        <f>VLOOKUP(Base_Periodo1[[#This Row],[Aux]],Base_Contas_Balanco[#All],2,FALSE)</f>
        <v>Fornecedores Não Cooperados</v>
      </c>
      <c r="G3754" s="1">
        <v>42864</v>
      </c>
      <c r="I3754" s="225">
        <v>5852</v>
      </c>
      <c r="J3754" s="225">
        <v>5852</v>
      </c>
      <c r="K3754" s="225">
        <v>0</v>
      </c>
      <c r="L37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54" s="225">
        <f>ROUND(IF(AND(Base_Periodo1[[#This Row],[Tipo_Linha]]="-",Base_Periodo1[[#This Row],[TIPOSALDO]]="D"),Base_Periodo1[[#This Row],[SALDO_ATUAL]]*-1,Base_Periodo1[[#This Row],[SALDO_ATUAL]]),4)</f>
        <v>0</v>
      </c>
      <c r="N3754" t="s">
        <v>116</v>
      </c>
      <c r="O3754" t="s">
        <v>436</v>
      </c>
      <c r="P3754" t="s">
        <v>436</v>
      </c>
      <c r="Q3754">
        <v>7</v>
      </c>
      <c r="R3754" s="225">
        <f>Base_Periodo1[[#This Row],[CREDITOS]]-Base_Periodo1[[#This Row],[DEBITOS]]</f>
        <v>0</v>
      </c>
      <c r="S3754" s="3" t="str">
        <f>IF(ISERROR(VLOOKUP(Base_Periodo1[[#This Row],[CONTA]],BaseContasDRE[#All],4,FALSE)),"Fora do DRE",VLOOKUP(Base_Periodo1[[#This Row],[CONTA]],BaseContasDRE[#All],4,FALSE))</f>
        <v>Fora do DRE</v>
      </c>
      <c r="T3754" s="3" t="str">
        <f>IF(ISERROR(VLOOKUP(Base_Periodo1[[#This Row],[CONTA]],BaseContasDRE[#All],5,FALSE)),"Fora do DRE",VLOOKUP(Base_Periodo1[[#This Row],[CONTA]],BaseContasDRE[#All],6,FALSE))</f>
        <v>Fora do DRE</v>
      </c>
      <c r="U3754" s="3" t="str">
        <f>IF(ISERROR(VLOOKUP(Base_Periodo1[[#This Row],[CONTA]],BaseContasDRE[#All],7,FALSE)),"Fora do DRE",VLOOKUP(Base_Periodo1[[#This Row],[CONTA]],BaseContasDRE[#All],7,FALSE))</f>
        <v>Fora do DRE</v>
      </c>
      <c r="V3754" s="3" t="str">
        <f>IF(Base_Periodo1[[#This Row],[Tipo_Linha]]="Fora do DRE","Fora do DRE","( "&amp;Base_Periodo1[[#This Row],[Tipo_Linha]]&amp;" ) "&amp;Base_Periodo1[[#This Row],[Filtro]])</f>
        <v>Fora do DRE</v>
      </c>
      <c r="W3754" s="3" t="str">
        <f>LEFT(Base_Periodo1[[#This Row],[CLASS]],3)</f>
        <v>2.1</v>
      </c>
    </row>
    <row r="3755" spans="1:23" hidden="1">
      <c r="A3755" s="3" t="str">
        <f t="shared" si="58"/>
        <v>Período 1</v>
      </c>
      <c r="B3755">
        <v>7350</v>
      </c>
      <c r="C3755" t="s">
        <v>2010</v>
      </c>
      <c r="D3755" t="s">
        <v>6495</v>
      </c>
      <c r="E3755" s="3" t="str">
        <f>IF(LEN(Base_Periodo1[[#This Row],[CLASS]])&gt;=7,LEFT(Base_Periodo1[[#This Row],[CLASS]],7),"")</f>
        <v>2.1.2.2</v>
      </c>
      <c r="F3755" s="3" t="str">
        <f>VLOOKUP(Base_Periodo1[[#This Row],[Aux]],Base_Contas_Balanco[#All],2,FALSE)</f>
        <v>Fornecedores Não Cooperados</v>
      </c>
      <c r="G3755" s="1">
        <v>42871</v>
      </c>
      <c r="I3755" s="225">
        <v>42</v>
      </c>
      <c r="J3755" s="225">
        <v>42</v>
      </c>
      <c r="K3755" s="225">
        <v>0</v>
      </c>
      <c r="L37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55" s="225">
        <f>ROUND(IF(AND(Base_Periodo1[[#This Row],[Tipo_Linha]]="-",Base_Periodo1[[#This Row],[TIPOSALDO]]="D"),Base_Periodo1[[#This Row],[SALDO_ATUAL]]*-1,Base_Periodo1[[#This Row],[SALDO_ATUAL]]),4)</f>
        <v>0</v>
      </c>
      <c r="N3755" t="s">
        <v>116</v>
      </c>
      <c r="O3755" t="s">
        <v>436</v>
      </c>
      <c r="P3755" t="s">
        <v>436</v>
      </c>
      <c r="Q3755">
        <v>7</v>
      </c>
      <c r="R3755" s="225">
        <f>Base_Periodo1[[#This Row],[CREDITOS]]-Base_Periodo1[[#This Row],[DEBITOS]]</f>
        <v>0</v>
      </c>
      <c r="S3755" s="3" t="str">
        <f>IF(ISERROR(VLOOKUP(Base_Periodo1[[#This Row],[CONTA]],BaseContasDRE[#All],4,FALSE)),"Fora do DRE",VLOOKUP(Base_Periodo1[[#This Row],[CONTA]],BaseContasDRE[#All],4,FALSE))</f>
        <v>Fora do DRE</v>
      </c>
      <c r="T3755" s="3" t="str">
        <f>IF(ISERROR(VLOOKUP(Base_Periodo1[[#This Row],[CONTA]],BaseContasDRE[#All],5,FALSE)),"Fora do DRE",VLOOKUP(Base_Periodo1[[#This Row],[CONTA]],BaseContasDRE[#All],6,FALSE))</f>
        <v>Fora do DRE</v>
      </c>
      <c r="U3755" s="3" t="str">
        <f>IF(ISERROR(VLOOKUP(Base_Periodo1[[#This Row],[CONTA]],BaseContasDRE[#All],7,FALSE)),"Fora do DRE",VLOOKUP(Base_Periodo1[[#This Row],[CONTA]],BaseContasDRE[#All],7,FALSE))</f>
        <v>Fora do DRE</v>
      </c>
      <c r="V3755" s="3" t="str">
        <f>IF(Base_Periodo1[[#This Row],[Tipo_Linha]]="Fora do DRE","Fora do DRE","( "&amp;Base_Periodo1[[#This Row],[Tipo_Linha]]&amp;" ) "&amp;Base_Periodo1[[#This Row],[Filtro]])</f>
        <v>Fora do DRE</v>
      </c>
      <c r="W3755" s="3" t="str">
        <f>LEFT(Base_Periodo1[[#This Row],[CLASS]],3)</f>
        <v>2.1</v>
      </c>
    </row>
    <row r="3756" spans="1:23" hidden="1">
      <c r="A3756" s="3" t="str">
        <f t="shared" si="58"/>
        <v>Período 1</v>
      </c>
      <c r="B3756">
        <v>33266</v>
      </c>
      <c r="C3756" t="s">
        <v>2010</v>
      </c>
      <c r="D3756" t="s">
        <v>2084</v>
      </c>
      <c r="E3756" s="3" t="str">
        <f>IF(LEN(Base_Periodo1[[#This Row],[CLASS]])&gt;=7,LEFT(Base_Periodo1[[#This Row],[CLASS]],7),"")</f>
        <v>2.1.2.2</v>
      </c>
      <c r="F3756" s="3" t="str">
        <f>VLOOKUP(Base_Periodo1[[#This Row],[Aux]],Base_Contas_Balanco[#All],2,FALSE)</f>
        <v>Fornecedores Não Cooperados</v>
      </c>
      <c r="G3756" s="1">
        <v>42858</v>
      </c>
      <c r="I3756" s="225">
        <v>880</v>
      </c>
      <c r="J3756" s="225">
        <v>880</v>
      </c>
      <c r="K3756" s="225">
        <v>0</v>
      </c>
      <c r="L37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56" s="225">
        <f>ROUND(IF(AND(Base_Periodo1[[#This Row],[Tipo_Linha]]="-",Base_Periodo1[[#This Row],[TIPOSALDO]]="D"),Base_Periodo1[[#This Row],[SALDO_ATUAL]]*-1,Base_Periodo1[[#This Row],[SALDO_ATUAL]]),4)</f>
        <v>0</v>
      </c>
      <c r="N3756" t="s">
        <v>116</v>
      </c>
      <c r="O3756" t="s">
        <v>436</v>
      </c>
      <c r="P3756" t="s">
        <v>436</v>
      </c>
      <c r="Q3756">
        <v>7</v>
      </c>
      <c r="R3756" s="225">
        <f>Base_Periodo1[[#This Row],[CREDITOS]]-Base_Periodo1[[#This Row],[DEBITOS]]</f>
        <v>0</v>
      </c>
      <c r="S3756" s="3" t="str">
        <f>IF(ISERROR(VLOOKUP(Base_Periodo1[[#This Row],[CONTA]],BaseContasDRE[#All],4,FALSE)),"Fora do DRE",VLOOKUP(Base_Periodo1[[#This Row],[CONTA]],BaseContasDRE[#All],4,FALSE))</f>
        <v>Fora do DRE</v>
      </c>
      <c r="T3756" s="3" t="str">
        <f>IF(ISERROR(VLOOKUP(Base_Periodo1[[#This Row],[CONTA]],BaseContasDRE[#All],5,FALSE)),"Fora do DRE",VLOOKUP(Base_Periodo1[[#This Row],[CONTA]],BaseContasDRE[#All],6,FALSE))</f>
        <v>Fora do DRE</v>
      </c>
      <c r="U3756" s="3" t="str">
        <f>IF(ISERROR(VLOOKUP(Base_Periodo1[[#This Row],[CONTA]],BaseContasDRE[#All],7,FALSE)),"Fora do DRE",VLOOKUP(Base_Periodo1[[#This Row],[CONTA]],BaseContasDRE[#All],7,FALSE))</f>
        <v>Fora do DRE</v>
      </c>
      <c r="V3756" s="3" t="str">
        <f>IF(Base_Periodo1[[#This Row],[Tipo_Linha]]="Fora do DRE","Fora do DRE","( "&amp;Base_Periodo1[[#This Row],[Tipo_Linha]]&amp;" ) "&amp;Base_Periodo1[[#This Row],[Filtro]])</f>
        <v>Fora do DRE</v>
      </c>
      <c r="W3756" s="3" t="str">
        <f>LEFT(Base_Periodo1[[#This Row],[CLASS]],3)</f>
        <v>2.1</v>
      </c>
    </row>
    <row r="3757" spans="1:23" hidden="1">
      <c r="A3757" s="3" t="str">
        <f t="shared" si="58"/>
        <v>Período 1</v>
      </c>
      <c r="B3757">
        <v>59203</v>
      </c>
      <c r="C3757" t="s">
        <v>2010</v>
      </c>
      <c r="D3757" t="s">
        <v>7073</v>
      </c>
      <c r="E3757" s="3" t="str">
        <f>IF(LEN(Base_Periodo1[[#This Row],[CLASS]])&gt;=7,LEFT(Base_Periodo1[[#This Row],[CLASS]],7),"")</f>
        <v>2.1.2.2</v>
      </c>
      <c r="F3757" s="3" t="str">
        <f>VLOOKUP(Base_Periodo1[[#This Row],[Aux]],Base_Contas_Balanco[#All],2,FALSE)</f>
        <v>Fornecedores Não Cooperados</v>
      </c>
      <c r="G3757" s="1">
        <v>42879</v>
      </c>
      <c r="I3757" s="225">
        <v>83.5</v>
      </c>
      <c r="J3757" s="225">
        <v>83.5</v>
      </c>
      <c r="K3757" s="225">
        <v>0</v>
      </c>
      <c r="L37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57" s="225">
        <f>ROUND(IF(AND(Base_Periodo1[[#This Row],[Tipo_Linha]]="-",Base_Periodo1[[#This Row],[TIPOSALDO]]="D"),Base_Periodo1[[#This Row],[SALDO_ATUAL]]*-1,Base_Periodo1[[#This Row],[SALDO_ATUAL]]),4)</f>
        <v>0</v>
      </c>
      <c r="N3757" t="s">
        <v>116</v>
      </c>
      <c r="O3757" t="s">
        <v>436</v>
      </c>
      <c r="P3757" t="s">
        <v>436</v>
      </c>
      <c r="Q3757">
        <v>7</v>
      </c>
      <c r="R3757" s="225">
        <f>Base_Periodo1[[#This Row],[CREDITOS]]-Base_Periodo1[[#This Row],[DEBITOS]]</f>
        <v>0</v>
      </c>
      <c r="S3757" s="3" t="str">
        <f>IF(ISERROR(VLOOKUP(Base_Periodo1[[#This Row],[CONTA]],BaseContasDRE[#All],4,FALSE)),"Fora do DRE",VLOOKUP(Base_Periodo1[[#This Row],[CONTA]],BaseContasDRE[#All],4,FALSE))</f>
        <v>Fora do DRE</v>
      </c>
      <c r="T3757" s="3" t="str">
        <f>IF(ISERROR(VLOOKUP(Base_Periodo1[[#This Row],[CONTA]],BaseContasDRE[#All],5,FALSE)),"Fora do DRE",VLOOKUP(Base_Periodo1[[#This Row],[CONTA]],BaseContasDRE[#All],6,FALSE))</f>
        <v>Fora do DRE</v>
      </c>
      <c r="U3757" s="3" t="str">
        <f>IF(ISERROR(VLOOKUP(Base_Periodo1[[#This Row],[CONTA]],BaseContasDRE[#All],7,FALSE)),"Fora do DRE",VLOOKUP(Base_Periodo1[[#This Row],[CONTA]],BaseContasDRE[#All],7,FALSE))</f>
        <v>Fora do DRE</v>
      </c>
      <c r="V3757" s="3" t="str">
        <f>IF(Base_Periodo1[[#This Row],[Tipo_Linha]]="Fora do DRE","Fora do DRE","( "&amp;Base_Periodo1[[#This Row],[Tipo_Linha]]&amp;" ) "&amp;Base_Periodo1[[#This Row],[Filtro]])</f>
        <v>Fora do DRE</v>
      </c>
      <c r="W3757" s="3" t="str">
        <f>LEFT(Base_Periodo1[[#This Row],[CLASS]],3)</f>
        <v>2.1</v>
      </c>
    </row>
    <row r="3758" spans="1:23" hidden="1">
      <c r="A3758" s="3" t="str">
        <f t="shared" si="58"/>
        <v>Período 1</v>
      </c>
      <c r="B3758">
        <v>13401</v>
      </c>
      <c r="C3758" t="s">
        <v>2010</v>
      </c>
      <c r="D3758" t="s">
        <v>5725</v>
      </c>
      <c r="E3758" s="3" t="str">
        <f>IF(LEN(Base_Periodo1[[#This Row],[CLASS]])&gt;=7,LEFT(Base_Periodo1[[#This Row],[CLASS]],7),"")</f>
        <v>2.1.2.2</v>
      </c>
      <c r="F3758" s="3" t="str">
        <f>VLOOKUP(Base_Periodo1[[#This Row],[Aux]],Base_Contas_Balanco[#All],2,FALSE)</f>
        <v>Fornecedores Não Cooperados</v>
      </c>
      <c r="G3758" s="1">
        <v>42886</v>
      </c>
      <c r="I3758" s="225">
        <v>234</v>
      </c>
      <c r="J3758" s="225">
        <v>234</v>
      </c>
      <c r="K3758" s="225">
        <v>0</v>
      </c>
      <c r="L37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58" s="225">
        <f>ROUND(IF(AND(Base_Periodo1[[#This Row],[Tipo_Linha]]="-",Base_Periodo1[[#This Row],[TIPOSALDO]]="D"),Base_Periodo1[[#This Row],[SALDO_ATUAL]]*-1,Base_Periodo1[[#This Row],[SALDO_ATUAL]]),4)</f>
        <v>0</v>
      </c>
      <c r="N3758" t="s">
        <v>116</v>
      </c>
      <c r="O3758" t="s">
        <v>436</v>
      </c>
      <c r="P3758" t="s">
        <v>436</v>
      </c>
      <c r="Q3758">
        <v>7</v>
      </c>
      <c r="R3758" s="225">
        <f>Base_Periodo1[[#This Row],[CREDITOS]]-Base_Periodo1[[#This Row],[DEBITOS]]</f>
        <v>0</v>
      </c>
      <c r="S3758" s="3" t="str">
        <f>IF(ISERROR(VLOOKUP(Base_Periodo1[[#This Row],[CONTA]],BaseContasDRE[#All],4,FALSE)),"Fora do DRE",VLOOKUP(Base_Periodo1[[#This Row],[CONTA]],BaseContasDRE[#All],4,FALSE))</f>
        <v>Fora do DRE</v>
      </c>
      <c r="T3758" s="3" t="str">
        <f>IF(ISERROR(VLOOKUP(Base_Periodo1[[#This Row],[CONTA]],BaseContasDRE[#All],5,FALSE)),"Fora do DRE",VLOOKUP(Base_Periodo1[[#This Row],[CONTA]],BaseContasDRE[#All],6,FALSE))</f>
        <v>Fora do DRE</v>
      </c>
      <c r="U3758" s="3" t="str">
        <f>IF(ISERROR(VLOOKUP(Base_Periodo1[[#This Row],[CONTA]],BaseContasDRE[#All],7,FALSE)),"Fora do DRE",VLOOKUP(Base_Periodo1[[#This Row],[CONTA]],BaseContasDRE[#All],7,FALSE))</f>
        <v>Fora do DRE</v>
      </c>
      <c r="V3758" s="3" t="str">
        <f>IF(Base_Periodo1[[#This Row],[Tipo_Linha]]="Fora do DRE","Fora do DRE","( "&amp;Base_Periodo1[[#This Row],[Tipo_Linha]]&amp;" ) "&amp;Base_Periodo1[[#This Row],[Filtro]])</f>
        <v>Fora do DRE</v>
      </c>
      <c r="W3758" s="3" t="str">
        <f>LEFT(Base_Periodo1[[#This Row],[CLASS]],3)</f>
        <v>2.1</v>
      </c>
    </row>
    <row r="3759" spans="1:23" hidden="1">
      <c r="A3759" s="3" t="str">
        <f t="shared" si="58"/>
        <v>Período 1</v>
      </c>
      <c r="B3759">
        <v>55471</v>
      </c>
      <c r="C3759" t="s">
        <v>2010</v>
      </c>
      <c r="D3759" t="s">
        <v>7074</v>
      </c>
      <c r="E3759" s="3" t="str">
        <f>IF(LEN(Base_Periodo1[[#This Row],[CLASS]])&gt;=7,LEFT(Base_Periodo1[[#This Row],[CLASS]],7),"")</f>
        <v>2.1.2.2</v>
      </c>
      <c r="F3759" s="3" t="str">
        <f>VLOOKUP(Base_Periodo1[[#This Row],[Aux]],Base_Contas_Balanco[#All],2,FALSE)</f>
        <v>Fornecedores Não Cooperados</v>
      </c>
      <c r="G3759" s="1">
        <v>42877</v>
      </c>
      <c r="I3759" s="225">
        <v>139.93</v>
      </c>
      <c r="J3759" s="225">
        <v>139.93</v>
      </c>
      <c r="K3759" s="225">
        <v>0</v>
      </c>
      <c r="L37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59" s="225">
        <f>ROUND(IF(AND(Base_Periodo1[[#This Row],[Tipo_Linha]]="-",Base_Periodo1[[#This Row],[TIPOSALDO]]="D"),Base_Periodo1[[#This Row],[SALDO_ATUAL]]*-1,Base_Periodo1[[#This Row],[SALDO_ATUAL]]),4)</f>
        <v>0</v>
      </c>
      <c r="N3759" t="s">
        <v>116</v>
      </c>
      <c r="O3759" t="s">
        <v>436</v>
      </c>
      <c r="P3759" t="s">
        <v>436</v>
      </c>
      <c r="Q3759">
        <v>7</v>
      </c>
      <c r="R3759" s="225">
        <f>Base_Periodo1[[#This Row],[CREDITOS]]-Base_Periodo1[[#This Row],[DEBITOS]]</f>
        <v>0</v>
      </c>
      <c r="S3759" s="3" t="str">
        <f>IF(ISERROR(VLOOKUP(Base_Periodo1[[#This Row],[CONTA]],BaseContasDRE[#All],4,FALSE)),"Fora do DRE",VLOOKUP(Base_Periodo1[[#This Row],[CONTA]],BaseContasDRE[#All],4,FALSE))</f>
        <v>Fora do DRE</v>
      </c>
      <c r="T3759" s="3" t="str">
        <f>IF(ISERROR(VLOOKUP(Base_Periodo1[[#This Row],[CONTA]],BaseContasDRE[#All],5,FALSE)),"Fora do DRE",VLOOKUP(Base_Periodo1[[#This Row],[CONTA]],BaseContasDRE[#All],6,FALSE))</f>
        <v>Fora do DRE</v>
      </c>
      <c r="U3759" s="3" t="str">
        <f>IF(ISERROR(VLOOKUP(Base_Periodo1[[#This Row],[CONTA]],BaseContasDRE[#All],7,FALSE)),"Fora do DRE",VLOOKUP(Base_Periodo1[[#This Row],[CONTA]],BaseContasDRE[#All],7,FALSE))</f>
        <v>Fora do DRE</v>
      </c>
      <c r="V3759" s="3" t="str">
        <f>IF(Base_Periodo1[[#This Row],[Tipo_Linha]]="Fora do DRE","Fora do DRE","( "&amp;Base_Periodo1[[#This Row],[Tipo_Linha]]&amp;" ) "&amp;Base_Periodo1[[#This Row],[Filtro]])</f>
        <v>Fora do DRE</v>
      </c>
      <c r="W3759" s="3" t="str">
        <f>LEFT(Base_Periodo1[[#This Row],[CLASS]],3)</f>
        <v>2.1</v>
      </c>
    </row>
    <row r="3760" spans="1:23" hidden="1">
      <c r="A3760" s="3" t="str">
        <f t="shared" si="58"/>
        <v>Período 1</v>
      </c>
      <c r="B3760">
        <v>59049</v>
      </c>
      <c r="C3760" t="s">
        <v>2010</v>
      </c>
      <c r="D3760" t="s">
        <v>7075</v>
      </c>
      <c r="E3760" s="3" t="str">
        <f>IF(LEN(Base_Periodo1[[#This Row],[CLASS]])&gt;=7,LEFT(Base_Periodo1[[#This Row],[CLASS]],7),"")</f>
        <v>2.1.2.2</v>
      </c>
      <c r="F3760" s="3" t="str">
        <f>VLOOKUP(Base_Periodo1[[#This Row],[Aux]],Base_Contas_Balanco[#All],2,FALSE)</f>
        <v>Fornecedores Não Cooperados</v>
      </c>
      <c r="G3760" s="1">
        <v>42886</v>
      </c>
      <c r="I3760" s="225">
        <v>1037</v>
      </c>
      <c r="J3760" s="225">
        <v>1771</v>
      </c>
      <c r="K3760" s="225">
        <v>734</v>
      </c>
      <c r="L37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734</v>
      </c>
      <c r="M3760" s="225">
        <f>ROUND(IF(AND(Base_Periodo1[[#This Row],[Tipo_Linha]]="-",Base_Periodo1[[#This Row],[TIPOSALDO]]="D"),Base_Periodo1[[#This Row],[SALDO_ATUAL]]*-1,Base_Periodo1[[#This Row],[SALDO_ATUAL]]),4)</f>
        <v>734</v>
      </c>
      <c r="N3760" t="s">
        <v>116</v>
      </c>
      <c r="O3760" t="s">
        <v>436</v>
      </c>
      <c r="P3760" t="s">
        <v>459</v>
      </c>
      <c r="Q3760">
        <v>7</v>
      </c>
      <c r="R3760" s="225">
        <f>Base_Periodo1[[#This Row],[CREDITOS]]-Base_Periodo1[[#This Row],[DEBITOS]]</f>
        <v>734</v>
      </c>
      <c r="S3760" s="3" t="str">
        <f>IF(ISERROR(VLOOKUP(Base_Periodo1[[#This Row],[CONTA]],BaseContasDRE[#All],4,FALSE)),"Fora do DRE",VLOOKUP(Base_Periodo1[[#This Row],[CONTA]],BaseContasDRE[#All],4,FALSE))</f>
        <v>Fora do DRE</v>
      </c>
      <c r="T3760" s="3" t="str">
        <f>IF(ISERROR(VLOOKUP(Base_Periodo1[[#This Row],[CONTA]],BaseContasDRE[#All],5,FALSE)),"Fora do DRE",VLOOKUP(Base_Periodo1[[#This Row],[CONTA]],BaseContasDRE[#All],6,FALSE))</f>
        <v>Fora do DRE</v>
      </c>
      <c r="U3760" s="3" t="str">
        <f>IF(ISERROR(VLOOKUP(Base_Periodo1[[#This Row],[CONTA]],BaseContasDRE[#All],7,FALSE)),"Fora do DRE",VLOOKUP(Base_Periodo1[[#This Row],[CONTA]],BaseContasDRE[#All],7,FALSE))</f>
        <v>Fora do DRE</v>
      </c>
      <c r="V3760" s="3" t="str">
        <f>IF(Base_Periodo1[[#This Row],[Tipo_Linha]]="Fora do DRE","Fora do DRE","( "&amp;Base_Periodo1[[#This Row],[Tipo_Linha]]&amp;" ) "&amp;Base_Periodo1[[#This Row],[Filtro]])</f>
        <v>Fora do DRE</v>
      </c>
      <c r="W3760" s="3" t="str">
        <f>LEFT(Base_Periodo1[[#This Row],[CLASS]],3)</f>
        <v>2.1</v>
      </c>
    </row>
    <row r="3761" spans="1:23" hidden="1">
      <c r="A3761" s="3" t="str">
        <f t="shared" si="58"/>
        <v>Período 1</v>
      </c>
      <c r="B3761">
        <v>43184</v>
      </c>
      <c r="C3761" t="s">
        <v>2010</v>
      </c>
      <c r="D3761" t="s">
        <v>2085</v>
      </c>
      <c r="E3761" s="3" t="str">
        <f>IF(LEN(Base_Periodo1[[#This Row],[CLASS]])&gt;=7,LEFT(Base_Periodo1[[#This Row],[CLASS]],7),"")</f>
        <v>2.1.2.2</v>
      </c>
      <c r="F3761" s="3" t="str">
        <f>VLOOKUP(Base_Periodo1[[#This Row],[Aux]],Base_Contas_Balanco[#All],2,FALSE)</f>
        <v>Fornecedores Não Cooperados</v>
      </c>
      <c r="G3761" s="1"/>
      <c r="H3761" s="225">
        <v>1522.16</v>
      </c>
      <c r="I3761" s="225">
        <v>0</v>
      </c>
      <c r="J3761" s="225">
        <v>0</v>
      </c>
      <c r="K3761" s="225">
        <v>1522.16</v>
      </c>
      <c r="L37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1522.16</v>
      </c>
      <c r="M3761" s="225">
        <f>ROUND(IF(AND(Base_Periodo1[[#This Row],[Tipo_Linha]]="-",Base_Periodo1[[#This Row],[TIPOSALDO]]="D"),Base_Periodo1[[#This Row],[SALDO_ATUAL]]*-1,Base_Periodo1[[#This Row],[SALDO_ATUAL]]),4)</f>
        <v>1522.16</v>
      </c>
      <c r="N3761" t="s">
        <v>116</v>
      </c>
      <c r="O3761" t="s">
        <v>459</v>
      </c>
      <c r="P3761" t="s">
        <v>459</v>
      </c>
      <c r="Q3761">
        <v>7</v>
      </c>
      <c r="R3761" s="225">
        <f>Base_Periodo1[[#This Row],[CREDITOS]]-Base_Periodo1[[#This Row],[DEBITOS]]</f>
        <v>0</v>
      </c>
      <c r="S3761" s="3" t="str">
        <f>IF(ISERROR(VLOOKUP(Base_Periodo1[[#This Row],[CONTA]],BaseContasDRE[#All],4,FALSE)),"Fora do DRE",VLOOKUP(Base_Periodo1[[#This Row],[CONTA]],BaseContasDRE[#All],4,FALSE))</f>
        <v>Fora do DRE</v>
      </c>
      <c r="T3761" s="3" t="str">
        <f>IF(ISERROR(VLOOKUP(Base_Periodo1[[#This Row],[CONTA]],BaseContasDRE[#All],5,FALSE)),"Fora do DRE",VLOOKUP(Base_Periodo1[[#This Row],[CONTA]],BaseContasDRE[#All],6,FALSE))</f>
        <v>Fora do DRE</v>
      </c>
      <c r="U3761" s="3" t="str">
        <f>IF(ISERROR(VLOOKUP(Base_Periodo1[[#This Row],[CONTA]],BaseContasDRE[#All],7,FALSE)),"Fora do DRE",VLOOKUP(Base_Periodo1[[#This Row],[CONTA]],BaseContasDRE[#All],7,FALSE))</f>
        <v>Fora do DRE</v>
      </c>
      <c r="V3761" s="3" t="str">
        <f>IF(Base_Periodo1[[#This Row],[Tipo_Linha]]="Fora do DRE","Fora do DRE","( "&amp;Base_Periodo1[[#This Row],[Tipo_Linha]]&amp;" ) "&amp;Base_Periodo1[[#This Row],[Filtro]])</f>
        <v>Fora do DRE</v>
      </c>
      <c r="W3761" s="3" t="str">
        <f>LEFT(Base_Periodo1[[#This Row],[CLASS]],3)</f>
        <v>2.1</v>
      </c>
    </row>
    <row r="3762" spans="1:23" hidden="1">
      <c r="A3762" s="3" t="str">
        <f t="shared" si="58"/>
        <v>Período 1</v>
      </c>
      <c r="B3762">
        <v>51429</v>
      </c>
      <c r="C3762" t="s">
        <v>2010</v>
      </c>
      <c r="D3762" t="s">
        <v>6496</v>
      </c>
      <c r="E3762" s="3" t="str">
        <f>IF(LEN(Base_Periodo1[[#This Row],[CLASS]])&gt;=7,LEFT(Base_Periodo1[[#This Row],[CLASS]],7),"")</f>
        <v>2.1.2.2</v>
      </c>
      <c r="F3762" s="3" t="str">
        <f>VLOOKUP(Base_Periodo1[[#This Row],[Aux]],Base_Contas_Balanco[#All],2,FALSE)</f>
        <v>Fornecedores Não Cooperados</v>
      </c>
      <c r="G3762" s="1">
        <v>42878</v>
      </c>
      <c r="I3762" s="225">
        <v>29106.43</v>
      </c>
      <c r="J3762" s="225">
        <v>29106.43</v>
      </c>
      <c r="K3762" s="225">
        <v>-7.2759576141834259E-12</v>
      </c>
      <c r="L37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62" s="225">
        <f>ROUND(IF(AND(Base_Periodo1[[#This Row],[Tipo_Linha]]="-",Base_Periodo1[[#This Row],[TIPOSALDO]]="D"),Base_Periodo1[[#This Row],[SALDO_ATUAL]]*-1,Base_Periodo1[[#This Row],[SALDO_ATUAL]]),4)</f>
        <v>0</v>
      </c>
      <c r="N3762" t="s">
        <v>116</v>
      </c>
      <c r="O3762" t="s">
        <v>436</v>
      </c>
      <c r="P3762" t="s">
        <v>436</v>
      </c>
      <c r="Q3762">
        <v>7</v>
      </c>
      <c r="R3762" s="225">
        <f>Base_Periodo1[[#This Row],[CREDITOS]]-Base_Periodo1[[#This Row],[DEBITOS]]</f>
        <v>0</v>
      </c>
      <c r="S3762" s="3" t="str">
        <f>IF(ISERROR(VLOOKUP(Base_Periodo1[[#This Row],[CONTA]],BaseContasDRE[#All],4,FALSE)),"Fora do DRE",VLOOKUP(Base_Periodo1[[#This Row],[CONTA]],BaseContasDRE[#All],4,FALSE))</f>
        <v>Fora do DRE</v>
      </c>
      <c r="T3762" s="3" t="str">
        <f>IF(ISERROR(VLOOKUP(Base_Periodo1[[#This Row],[CONTA]],BaseContasDRE[#All],5,FALSE)),"Fora do DRE",VLOOKUP(Base_Periodo1[[#This Row],[CONTA]],BaseContasDRE[#All],6,FALSE))</f>
        <v>Fora do DRE</v>
      </c>
      <c r="U3762" s="3" t="str">
        <f>IF(ISERROR(VLOOKUP(Base_Periodo1[[#This Row],[CONTA]],BaseContasDRE[#All],7,FALSE)),"Fora do DRE",VLOOKUP(Base_Periodo1[[#This Row],[CONTA]],BaseContasDRE[#All],7,FALSE))</f>
        <v>Fora do DRE</v>
      </c>
      <c r="V3762" s="3" t="str">
        <f>IF(Base_Periodo1[[#This Row],[Tipo_Linha]]="Fora do DRE","Fora do DRE","( "&amp;Base_Periodo1[[#This Row],[Tipo_Linha]]&amp;" ) "&amp;Base_Periodo1[[#This Row],[Filtro]])</f>
        <v>Fora do DRE</v>
      </c>
      <c r="W3762" s="3" t="str">
        <f>LEFT(Base_Periodo1[[#This Row],[CLASS]],3)</f>
        <v>2.1</v>
      </c>
    </row>
    <row r="3763" spans="1:23" hidden="1">
      <c r="A3763" s="3" t="str">
        <f t="shared" si="58"/>
        <v>Período 1</v>
      </c>
      <c r="B3763">
        <v>40425</v>
      </c>
      <c r="C3763" t="s">
        <v>2010</v>
      </c>
      <c r="D3763" t="s">
        <v>7076</v>
      </c>
      <c r="E3763" s="3" t="str">
        <f>IF(LEN(Base_Periodo1[[#This Row],[CLASS]])&gt;=7,LEFT(Base_Periodo1[[#This Row],[CLASS]],7),"")</f>
        <v>2.1.2.2</v>
      </c>
      <c r="F3763" s="3" t="str">
        <f>VLOOKUP(Base_Periodo1[[#This Row],[Aux]],Base_Contas_Balanco[#All],2,FALSE)</f>
        <v>Fornecedores Não Cooperados</v>
      </c>
      <c r="G3763" s="1">
        <v>42877</v>
      </c>
      <c r="I3763" s="225">
        <v>5432.2</v>
      </c>
      <c r="J3763" s="225">
        <v>5432.2</v>
      </c>
      <c r="K3763" s="225">
        <v>3.637978807091713E-12</v>
      </c>
      <c r="L37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63" s="225">
        <f>ROUND(IF(AND(Base_Periodo1[[#This Row],[Tipo_Linha]]="-",Base_Periodo1[[#This Row],[TIPOSALDO]]="D"),Base_Periodo1[[#This Row],[SALDO_ATUAL]]*-1,Base_Periodo1[[#This Row],[SALDO_ATUAL]]),4)</f>
        <v>0</v>
      </c>
      <c r="N3763" t="s">
        <v>116</v>
      </c>
      <c r="O3763" t="s">
        <v>436</v>
      </c>
      <c r="P3763" t="s">
        <v>436</v>
      </c>
      <c r="Q3763">
        <v>7</v>
      </c>
      <c r="R3763" s="225">
        <f>Base_Periodo1[[#This Row],[CREDITOS]]-Base_Periodo1[[#This Row],[DEBITOS]]</f>
        <v>0</v>
      </c>
      <c r="S3763" s="3" t="str">
        <f>IF(ISERROR(VLOOKUP(Base_Periodo1[[#This Row],[CONTA]],BaseContasDRE[#All],4,FALSE)),"Fora do DRE",VLOOKUP(Base_Periodo1[[#This Row],[CONTA]],BaseContasDRE[#All],4,FALSE))</f>
        <v>Fora do DRE</v>
      </c>
      <c r="T3763" s="3" t="str">
        <f>IF(ISERROR(VLOOKUP(Base_Periodo1[[#This Row],[CONTA]],BaseContasDRE[#All],5,FALSE)),"Fora do DRE",VLOOKUP(Base_Periodo1[[#This Row],[CONTA]],BaseContasDRE[#All],6,FALSE))</f>
        <v>Fora do DRE</v>
      </c>
      <c r="U3763" s="3" t="str">
        <f>IF(ISERROR(VLOOKUP(Base_Periodo1[[#This Row],[CONTA]],BaseContasDRE[#All],7,FALSE)),"Fora do DRE",VLOOKUP(Base_Periodo1[[#This Row],[CONTA]],BaseContasDRE[#All],7,FALSE))</f>
        <v>Fora do DRE</v>
      </c>
      <c r="V3763" s="3" t="str">
        <f>IF(Base_Periodo1[[#This Row],[Tipo_Linha]]="Fora do DRE","Fora do DRE","( "&amp;Base_Periodo1[[#This Row],[Tipo_Linha]]&amp;" ) "&amp;Base_Periodo1[[#This Row],[Filtro]])</f>
        <v>Fora do DRE</v>
      </c>
      <c r="W3763" s="3" t="str">
        <f>LEFT(Base_Periodo1[[#This Row],[CLASS]],3)</f>
        <v>2.1</v>
      </c>
    </row>
    <row r="3764" spans="1:23" hidden="1">
      <c r="A3764" s="3" t="str">
        <f t="shared" si="58"/>
        <v>Período 1</v>
      </c>
      <c r="B3764">
        <v>14598</v>
      </c>
      <c r="C3764" t="s">
        <v>2010</v>
      </c>
      <c r="D3764" t="s">
        <v>5299</v>
      </c>
      <c r="E3764" s="3" t="str">
        <f>IF(LEN(Base_Periodo1[[#This Row],[CLASS]])&gt;=7,LEFT(Base_Periodo1[[#This Row],[CLASS]],7),"")</f>
        <v>2.1.2.2</v>
      </c>
      <c r="F3764" s="3" t="str">
        <f>VLOOKUP(Base_Periodo1[[#This Row],[Aux]],Base_Contas_Balanco[#All],2,FALSE)</f>
        <v>Fornecedores Não Cooperados</v>
      </c>
      <c r="G3764" s="1">
        <v>42885</v>
      </c>
      <c r="H3764" s="225">
        <v>225.38000000000466</v>
      </c>
      <c r="I3764" s="225">
        <v>943844.57</v>
      </c>
      <c r="J3764" s="225">
        <v>943844.57</v>
      </c>
      <c r="K3764" s="225">
        <v>225.38000000000466</v>
      </c>
      <c r="L37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225.38</v>
      </c>
      <c r="M3764" s="225">
        <f>ROUND(IF(AND(Base_Periodo1[[#This Row],[Tipo_Linha]]="-",Base_Periodo1[[#This Row],[TIPOSALDO]]="D"),Base_Periodo1[[#This Row],[SALDO_ATUAL]]*-1,Base_Periodo1[[#This Row],[SALDO_ATUAL]]),4)</f>
        <v>225.38</v>
      </c>
      <c r="N3764" t="s">
        <v>116</v>
      </c>
      <c r="O3764" t="s">
        <v>459</v>
      </c>
      <c r="P3764" t="s">
        <v>459</v>
      </c>
      <c r="Q3764">
        <v>7</v>
      </c>
      <c r="R3764" s="225">
        <f>Base_Periodo1[[#This Row],[CREDITOS]]-Base_Periodo1[[#This Row],[DEBITOS]]</f>
        <v>0</v>
      </c>
      <c r="S3764" s="3" t="str">
        <f>IF(ISERROR(VLOOKUP(Base_Periodo1[[#This Row],[CONTA]],BaseContasDRE[#All],4,FALSE)),"Fora do DRE",VLOOKUP(Base_Periodo1[[#This Row],[CONTA]],BaseContasDRE[#All],4,FALSE))</f>
        <v>Fora do DRE</v>
      </c>
      <c r="T3764" s="3" t="str">
        <f>IF(ISERROR(VLOOKUP(Base_Periodo1[[#This Row],[CONTA]],BaseContasDRE[#All],5,FALSE)),"Fora do DRE",VLOOKUP(Base_Periodo1[[#This Row],[CONTA]],BaseContasDRE[#All],6,FALSE))</f>
        <v>Fora do DRE</v>
      </c>
      <c r="U3764" s="3" t="str">
        <f>IF(ISERROR(VLOOKUP(Base_Periodo1[[#This Row],[CONTA]],BaseContasDRE[#All],7,FALSE)),"Fora do DRE",VLOOKUP(Base_Periodo1[[#This Row],[CONTA]],BaseContasDRE[#All],7,FALSE))</f>
        <v>Fora do DRE</v>
      </c>
      <c r="V3764" s="3" t="str">
        <f>IF(Base_Periodo1[[#This Row],[Tipo_Linha]]="Fora do DRE","Fora do DRE","( "&amp;Base_Periodo1[[#This Row],[Tipo_Linha]]&amp;" ) "&amp;Base_Periodo1[[#This Row],[Filtro]])</f>
        <v>Fora do DRE</v>
      </c>
      <c r="W3764" s="3" t="str">
        <f>LEFT(Base_Periodo1[[#This Row],[CLASS]],3)</f>
        <v>2.1</v>
      </c>
    </row>
    <row r="3765" spans="1:23" hidden="1">
      <c r="A3765" s="3" t="str">
        <f t="shared" si="58"/>
        <v>Período 1</v>
      </c>
      <c r="B3765">
        <v>14890</v>
      </c>
      <c r="C3765" t="s">
        <v>2010</v>
      </c>
      <c r="D3765" t="s">
        <v>7077</v>
      </c>
      <c r="E3765" s="3" t="str">
        <f>IF(LEN(Base_Periodo1[[#This Row],[CLASS]])&gt;=7,LEFT(Base_Periodo1[[#This Row],[CLASS]],7),"")</f>
        <v>2.1.2.2</v>
      </c>
      <c r="F3765" s="3" t="str">
        <f>VLOOKUP(Base_Periodo1[[#This Row],[Aux]],Base_Contas_Balanco[#All],2,FALSE)</f>
        <v>Fornecedores Não Cooperados</v>
      </c>
      <c r="G3765" s="1">
        <v>42879</v>
      </c>
      <c r="I3765" s="225">
        <v>12440</v>
      </c>
      <c r="J3765" s="225">
        <v>12440</v>
      </c>
      <c r="K3765" s="225">
        <v>0</v>
      </c>
      <c r="L37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65" s="225">
        <f>ROUND(IF(AND(Base_Periodo1[[#This Row],[Tipo_Linha]]="-",Base_Periodo1[[#This Row],[TIPOSALDO]]="D"),Base_Periodo1[[#This Row],[SALDO_ATUAL]]*-1,Base_Periodo1[[#This Row],[SALDO_ATUAL]]),4)</f>
        <v>0</v>
      </c>
      <c r="N3765" t="s">
        <v>116</v>
      </c>
      <c r="O3765" t="s">
        <v>436</v>
      </c>
      <c r="P3765" t="s">
        <v>436</v>
      </c>
      <c r="Q3765">
        <v>7</v>
      </c>
      <c r="R3765" s="225">
        <f>Base_Periodo1[[#This Row],[CREDITOS]]-Base_Periodo1[[#This Row],[DEBITOS]]</f>
        <v>0</v>
      </c>
      <c r="S3765" s="3" t="str">
        <f>IF(ISERROR(VLOOKUP(Base_Periodo1[[#This Row],[CONTA]],BaseContasDRE[#All],4,FALSE)),"Fora do DRE",VLOOKUP(Base_Periodo1[[#This Row],[CONTA]],BaseContasDRE[#All],4,FALSE))</f>
        <v>Fora do DRE</v>
      </c>
      <c r="T3765" s="3" t="str">
        <f>IF(ISERROR(VLOOKUP(Base_Periodo1[[#This Row],[CONTA]],BaseContasDRE[#All],5,FALSE)),"Fora do DRE",VLOOKUP(Base_Periodo1[[#This Row],[CONTA]],BaseContasDRE[#All],6,FALSE))</f>
        <v>Fora do DRE</v>
      </c>
      <c r="U3765" s="3" t="str">
        <f>IF(ISERROR(VLOOKUP(Base_Periodo1[[#This Row],[CONTA]],BaseContasDRE[#All],7,FALSE)),"Fora do DRE",VLOOKUP(Base_Periodo1[[#This Row],[CONTA]],BaseContasDRE[#All],7,FALSE))</f>
        <v>Fora do DRE</v>
      </c>
      <c r="V3765" s="3" t="str">
        <f>IF(Base_Periodo1[[#This Row],[Tipo_Linha]]="Fora do DRE","Fora do DRE","( "&amp;Base_Periodo1[[#This Row],[Tipo_Linha]]&amp;" ) "&amp;Base_Periodo1[[#This Row],[Filtro]])</f>
        <v>Fora do DRE</v>
      </c>
      <c r="W3765" s="3" t="str">
        <f>LEFT(Base_Periodo1[[#This Row],[CLASS]],3)</f>
        <v>2.1</v>
      </c>
    </row>
    <row r="3766" spans="1:23" hidden="1">
      <c r="A3766" s="3" t="str">
        <f t="shared" si="58"/>
        <v>Período 1</v>
      </c>
      <c r="B3766">
        <v>7354</v>
      </c>
      <c r="C3766" t="s">
        <v>2010</v>
      </c>
      <c r="D3766" t="s">
        <v>7078</v>
      </c>
      <c r="E3766" s="3" t="str">
        <f>IF(LEN(Base_Periodo1[[#This Row],[CLASS]])&gt;=7,LEFT(Base_Periodo1[[#This Row],[CLASS]],7),"")</f>
        <v>2.1.2.2</v>
      </c>
      <c r="F3766" s="3" t="str">
        <f>VLOOKUP(Base_Periodo1[[#This Row],[Aux]],Base_Contas_Balanco[#All],2,FALSE)</f>
        <v>Fornecedores Não Cooperados</v>
      </c>
      <c r="G3766" s="1">
        <v>42864</v>
      </c>
      <c r="I3766" s="225">
        <v>210.6</v>
      </c>
      <c r="J3766" s="225">
        <v>210.6</v>
      </c>
      <c r="K3766" s="225">
        <v>-1.4551915228366852E-11</v>
      </c>
      <c r="L37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66" s="225">
        <f>ROUND(IF(AND(Base_Periodo1[[#This Row],[Tipo_Linha]]="-",Base_Periodo1[[#This Row],[TIPOSALDO]]="D"),Base_Periodo1[[#This Row],[SALDO_ATUAL]]*-1,Base_Periodo1[[#This Row],[SALDO_ATUAL]]),4)</f>
        <v>0</v>
      </c>
      <c r="N3766" t="s">
        <v>116</v>
      </c>
      <c r="O3766" t="s">
        <v>436</v>
      </c>
      <c r="P3766" t="s">
        <v>436</v>
      </c>
      <c r="Q3766">
        <v>7</v>
      </c>
      <c r="R3766" s="225">
        <f>Base_Periodo1[[#This Row],[CREDITOS]]-Base_Periodo1[[#This Row],[DEBITOS]]</f>
        <v>0</v>
      </c>
      <c r="S3766" s="3" t="str">
        <f>IF(ISERROR(VLOOKUP(Base_Periodo1[[#This Row],[CONTA]],BaseContasDRE[#All],4,FALSE)),"Fora do DRE",VLOOKUP(Base_Periodo1[[#This Row],[CONTA]],BaseContasDRE[#All],4,FALSE))</f>
        <v>Fora do DRE</v>
      </c>
      <c r="T3766" s="3" t="str">
        <f>IF(ISERROR(VLOOKUP(Base_Periodo1[[#This Row],[CONTA]],BaseContasDRE[#All],5,FALSE)),"Fora do DRE",VLOOKUP(Base_Periodo1[[#This Row],[CONTA]],BaseContasDRE[#All],6,FALSE))</f>
        <v>Fora do DRE</v>
      </c>
      <c r="U3766" s="3" t="str">
        <f>IF(ISERROR(VLOOKUP(Base_Periodo1[[#This Row],[CONTA]],BaseContasDRE[#All],7,FALSE)),"Fora do DRE",VLOOKUP(Base_Periodo1[[#This Row],[CONTA]],BaseContasDRE[#All],7,FALSE))</f>
        <v>Fora do DRE</v>
      </c>
      <c r="V3766" s="3" t="str">
        <f>IF(Base_Periodo1[[#This Row],[Tipo_Linha]]="Fora do DRE","Fora do DRE","( "&amp;Base_Periodo1[[#This Row],[Tipo_Linha]]&amp;" ) "&amp;Base_Periodo1[[#This Row],[Filtro]])</f>
        <v>Fora do DRE</v>
      </c>
      <c r="W3766" s="3" t="str">
        <f>LEFT(Base_Periodo1[[#This Row],[CLASS]],3)</f>
        <v>2.1</v>
      </c>
    </row>
    <row r="3767" spans="1:23" hidden="1">
      <c r="A3767" s="3" t="str">
        <f t="shared" si="58"/>
        <v>Período 1</v>
      </c>
      <c r="B3767">
        <v>29701</v>
      </c>
      <c r="C3767" t="s">
        <v>2010</v>
      </c>
      <c r="D3767" t="s">
        <v>2086</v>
      </c>
      <c r="E3767" s="3" t="str">
        <f>IF(LEN(Base_Periodo1[[#This Row],[CLASS]])&gt;=7,LEFT(Base_Periodo1[[#This Row],[CLASS]],7),"")</f>
        <v>2.1.2.2</v>
      </c>
      <c r="F3767" s="3" t="str">
        <f>VLOOKUP(Base_Periodo1[[#This Row],[Aux]],Base_Contas_Balanco[#All],2,FALSE)</f>
        <v>Fornecedores Não Cooperados</v>
      </c>
      <c r="G3767" s="1">
        <v>42858</v>
      </c>
      <c r="I3767" s="225">
        <v>3250</v>
      </c>
      <c r="J3767" s="225">
        <v>3250</v>
      </c>
      <c r="K3767" s="225">
        <v>0</v>
      </c>
      <c r="L37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67" s="225">
        <f>ROUND(IF(AND(Base_Periodo1[[#This Row],[Tipo_Linha]]="-",Base_Periodo1[[#This Row],[TIPOSALDO]]="D"),Base_Periodo1[[#This Row],[SALDO_ATUAL]]*-1,Base_Periodo1[[#This Row],[SALDO_ATUAL]]),4)</f>
        <v>0</v>
      </c>
      <c r="N3767" t="s">
        <v>116</v>
      </c>
      <c r="O3767" t="s">
        <v>436</v>
      </c>
      <c r="P3767" t="s">
        <v>436</v>
      </c>
      <c r="Q3767">
        <v>7</v>
      </c>
      <c r="R3767" s="225">
        <f>Base_Periodo1[[#This Row],[CREDITOS]]-Base_Periodo1[[#This Row],[DEBITOS]]</f>
        <v>0</v>
      </c>
      <c r="S3767" s="3" t="str">
        <f>IF(ISERROR(VLOOKUP(Base_Periodo1[[#This Row],[CONTA]],BaseContasDRE[#All],4,FALSE)),"Fora do DRE",VLOOKUP(Base_Periodo1[[#This Row],[CONTA]],BaseContasDRE[#All],4,FALSE))</f>
        <v>Fora do DRE</v>
      </c>
      <c r="T3767" s="3" t="str">
        <f>IF(ISERROR(VLOOKUP(Base_Periodo1[[#This Row],[CONTA]],BaseContasDRE[#All],5,FALSE)),"Fora do DRE",VLOOKUP(Base_Periodo1[[#This Row],[CONTA]],BaseContasDRE[#All],6,FALSE))</f>
        <v>Fora do DRE</v>
      </c>
      <c r="U3767" s="3" t="str">
        <f>IF(ISERROR(VLOOKUP(Base_Periodo1[[#This Row],[CONTA]],BaseContasDRE[#All],7,FALSE)),"Fora do DRE",VLOOKUP(Base_Periodo1[[#This Row],[CONTA]],BaseContasDRE[#All],7,FALSE))</f>
        <v>Fora do DRE</v>
      </c>
      <c r="V3767" s="3" t="str">
        <f>IF(Base_Periodo1[[#This Row],[Tipo_Linha]]="Fora do DRE","Fora do DRE","( "&amp;Base_Periodo1[[#This Row],[Tipo_Linha]]&amp;" ) "&amp;Base_Periodo1[[#This Row],[Filtro]])</f>
        <v>Fora do DRE</v>
      </c>
      <c r="W3767" s="3" t="str">
        <f>LEFT(Base_Periodo1[[#This Row],[CLASS]],3)</f>
        <v>2.1</v>
      </c>
    </row>
    <row r="3768" spans="1:23" hidden="1">
      <c r="A3768" s="3" t="str">
        <f t="shared" si="58"/>
        <v>Período 1</v>
      </c>
      <c r="B3768">
        <v>58682</v>
      </c>
      <c r="C3768" t="s">
        <v>2010</v>
      </c>
      <c r="D3768" t="s">
        <v>7079</v>
      </c>
      <c r="E3768" s="3" t="str">
        <f>IF(LEN(Base_Periodo1[[#This Row],[CLASS]])&gt;=7,LEFT(Base_Periodo1[[#This Row],[CLASS]],7),"")</f>
        <v>2.1.2.2</v>
      </c>
      <c r="F3768" s="3" t="str">
        <f>VLOOKUP(Base_Periodo1[[#This Row],[Aux]],Base_Contas_Balanco[#All],2,FALSE)</f>
        <v>Fornecedores Não Cooperados</v>
      </c>
      <c r="G3768" s="1">
        <v>42879</v>
      </c>
      <c r="I3768" s="225">
        <v>36312.639999999999</v>
      </c>
      <c r="J3768" s="225">
        <v>36312.639999999999</v>
      </c>
      <c r="K3768" s="225">
        <v>0</v>
      </c>
      <c r="L37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68" s="225">
        <f>ROUND(IF(AND(Base_Periodo1[[#This Row],[Tipo_Linha]]="-",Base_Periodo1[[#This Row],[TIPOSALDO]]="D"),Base_Periodo1[[#This Row],[SALDO_ATUAL]]*-1,Base_Periodo1[[#This Row],[SALDO_ATUAL]]),4)</f>
        <v>0</v>
      </c>
      <c r="N3768" t="s">
        <v>116</v>
      </c>
      <c r="O3768" t="s">
        <v>436</v>
      </c>
      <c r="P3768" t="s">
        <v>436</v>
      </c>
      <c r="Q3768">
        <v>7</v>
      </c>
      <c r="R3768" s="225">
        <f>Base_Periodo1[[#This Row],[CREDITOS]]-Base_Periodo1[[#This Row],[DEBITOS]]</f>
        <v>0</v>
      </c>
      <c r="S3768" s="3" t="str">
        <f>IF(ISERROR(VLOOKUP(Base_Periodo1[[#This Row],[CONTA]],BaseContasDRE[#All],4,FALSE)),"Fora do DRE",VLOOKUP(Base_Periodo1[[#This Row],[CONTA]],BaseContasDRE[#All],4,FALSE))</f>
        <v>Fora do DRE</v>
      </c>
      <c r="T3768" s="3" t="str">
        <f>IF(ISERROR(VLOOKUP(Base_Periodo1[[#This Row],[CONTA]],BaseContasDRE[#All],5,FALSE)),"Fora do DRE",VLOOKUP(Base_Periodo1[[#This Row],[CONTA]],BaseContasDRE[#All],6,FALSE))</f>
        <v>Fora do DRE</v>
      </c>
      <c r="U3768" s="3" t="str">
        <f>IF(ISERROR(VLOOKUP(Base_Periodo1[[#This Row],[CONTA]],BaseContasDRE[#All],7,FALSE)),"Fora do DRE",VLOOKUP(Base_Periodo1[[#This Row],[CONTA]],BaseContasDRE[#All],7,FALSE))</f>
        <v>Fora do DRE</v>
      </c>
      <c r="V3768" s="3" t="str">
        <f>IF(Base_Periodo1[[#This Row],[Tipo_Linha]]="Fora do DRE","Fora do DRE","( "&amp;Base_Periodo1[[#This Row],[Tipo_Linha]]&amp;" ) "&amp;Base_Periodo1[[#This Row],[Filtro]])</f>
        <v>Fora do DRE</v>
      </c>
      <c r="W3768" s="3" t="str">
        <f>LEFT(Base_Periodo1[[#This Row],[CLASS]],3)</f>
        <v>2.1</v>
      </c>
    </row>
    <row r="3769" spans="1:23" hidden="1">
      <c r="A3769" s="3" t="str">
        <f t="shared" si="58"/>
        <v>Período 1</v>
      </c>
      <c r="B3769">
        <v>30550</v>
      </c>
      <c r="C3769" t="s">
        <v>2010</v>
      </c>
      <c r="D3769" t="s">
        <v>6497</v>
      </c>
      <c r="E3769" s="3" t="str">
        <f>IF(LEN(Base_Periodo1[[#This Row],[CLASS]])&gt;=7,LEFT(Base_Periodo1[[#This Row],[CLASS]],7),"")</f>
        <v>2.1.2.2</v>
      </c>
      <c r="F3769" s="3" t="str">
        <f>VLOOKUP(Base_Periodo1[[#This Row],[Aux]],Base_Contas_Balanco[#All],2,FALSE)</f>
        <v>Fornecedores Não Cooperados</v>
      </c>
      <c r="G3769" s="1">
        <v>42885</v>
      </c>
      <c r="I3769" s="225">
        <v>2160.9</v>
      </c>
      <c r="J3769" s="225">
        <v>2160.9</v>
      </c>
      <c r="K3769" s="225">
        <v>0</v>
      </c>
      <c r="L37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69" s="225">
        <f>ROUND(IF(AND(Base_Periodo1[[#This Row],[Tipo_Linha]]="-",Base_Periodo1[[#This Row],[TIPOSALDO]]="D"),Base_Periodo1[[#This Row],[SALDO_ATUAL]]*-1,Base_Periodo1[[#This Row],[SALDO_ATUAL]]),4)</f>
        <v>0</v>
      </c>
      <c r="N3769" t="s">
        <v>116</v>
      </c>
      <c r="O3769" t="s">
        <v>436</v>
      </c>
      <c r="P3769" t="s">
        <v>436</v>
      </c>
      <c r="Q3769">
        <v>7</v>
      </c>
      <c r="R3769" s="225">
        <f>Base_Periodo1[[#This Row],[CREDITOS]]-Base_Periodo1[[#This Row],[DEBITOS]]</f>
        <v>0</v>
      </c>
      <c r="S3769" s="3" t="str">
        <f>IF(ISERROR(VLOOKUP(Base_Periodo1[[#This Row],[CONTA]],BaseContasDRE[#All],4,FALSE)),"Fora do DRE",VLOOKUP(Base_Periodo1[[#This Row],[CONTA]],BaseContasDRE[#All],4,FALSE))</f>
        <v>Fora do DRE</v>
      </c>
      <c r="T3769" s="3" t="str">
        <f>IF(ISERROR(VLOOKUP(Base_Periodo1[[#This Row],[CONTA]],BaseContasDRE[#All],5,FALSE)),"Fora do DRE",VLOOKUP(Base_Periodo1[[#This Row],[CONTA]],BaseContasDRE[#All],6,FALSE))</f>
        <v>Fora do DRE</v>
      </c>
      <c r="U3769" s="3" t="str">
        <f>IF(ISERROR(VLOOKUP(Base_Periodo1[[#This Row],[CONTA]],BaseContasDRE[#All],7,FALSE)),"Fora do DRE",VLOOKUP(Base_Periodo1[[#This Row],[CONTA]],BaseContasDRE[#All],7,FALSE))</f>
        <v>Fora do DRE</v>
      </c>
      <c r="V3769" s="3" t="str">
        <f>IF(Base_Periodo1[[#This Row],[Tipo_Linha]]="Fora do DRE","Fora do DRE","( "&amp;Base_Periodo1[[#This Row],[Tipo_Linha]]&amp;" ) "&amp;Base_Periodo1[[#This Row],[Filtro]])</f>
        <v>Fora do DRE</v>
      </c>
      <c r="W3769" s="3" t="str">
        <f>LEFT(Base_Periodo1[[#This Row],[CLASS]],3)</f>
        <v>2.1</v>
      </c>
    </row>
    <row r="3770" spans="1:23" hidden="1">
      <c r="A3770" s="3" t="str">
        <f t="shared" si="58"/>
        <v>Período 1</v>
      </c>
      <c r="B3770">
        <v>53644</v>
      </c>
      <c r="C3770" t="s">
        <v>2010</v>
      </c>
      <c r="D3770" t="s">
        <v>4958</v>
      </c>
      <c r="E3770" s="3" t="str">
        <f>IF(LEN(Base_Periodo1[[#This Row],[CLASS]])&gt;=7,LEFT(Base_Periodo1[[#This Row],[CLASS]],7),"")</f>
        <v>2.1.2.2</v>
      </c>
      <c r="F3770" s="3" t="str">
        <f>VLOOKUP(Base_Periodo1[[#This Row],[Aux]],Base_Contas_Balanco[#All],2,FALSE)</f>
        <v>Fornecedores Não Cooperados</v>
      </c>
      <c r="G3770" s="1">
        <v>42865</v>
      </c>
      <c r="I3770" s="225">
        <v>340</v>
      </c>
      <c r="J3770" s="225">
        <v>340</v>
      </c>
      <c r="K3770" s="225">
        <v>0</v>
      </c>
      <c r="L37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70" s="225">
        <f>ROUND(IF(AND(Base_Periodo1[[#This Row],[Tipo_Linha]]="-",Base_Periodo1[[#This Row],[TIPOSALDO]]="D"),Base_Periodo1[[#This Row],[SALDO_ATUAL]]*-1,Base_Periodo1[[#This Row],[SALDO_ATUAL]]),4)</f>
        <v>0</v>
      </c>
      <c r="N3770" t="s">
        <v>116</v>
      </c>
      <c r="O3770" t="s">
        <v>436</v>
      </c>
      <c r="P3770" t="s">
        <v>436</v>
      </c>
      <c r="Q3770">
        <v>7</v>
      </c>
      <c r="R3770" s="225">
        <f>Base_Periodo1[[#This Row],[CREDITOS]]-Base_Periodo1[[#This Row],[DEBITOS]]</f>
        <v>0</v>
      </c>
      <c r="S3770" s="3" t="str">
        <f>IF(ISERROR(VLOOKUP(Base_Periodo1[[#This Row],[CONTA]],BaseContasDRE[#All],4,FALSE)),"Fora do DRE",VLOOKUP(Base_Periodo1[[#This Row],[CONTA]],BaseContasDRE[#All],4,FALSE))</f>
        <v>Fora do DRE</v>
      </c>
      <c r="T3770" s="3" t="str">
        <f>IF(ISERROR(VLOOKUP(Base_Periodo1[[#This Row],[CONTA]],BaseContasDRE[#All],5,FALSE)),"Fora do DRE",VLOOKUP(Base_Periodo1[[#This Row],[CONTA]],BaseContasDRE[#All],6,FALSE))</f>
        <v>Fora do DRE</v>
      </c>
      <c r="U3770" s="3" t="str">
        <f>IF(ISERROR(VLOOKUP(Base_Periodo1[[#This Row],[CONTA]],BaseContasDRE[#All],7,FALSE)),"Fora do DRE",VLOOKUP(Base_Periodo1[[#This Row],[CONTA]],BaseContasDRE[#All],7,FALSE))</f>
        <v>Fora do DRE</v>
      </c>
      <c r="V3770" s="3" t="str">
        <f>IF(Base_Periodo1[[#This Row],[Tipo_Linha]]="Fora do DRE","Fora do DRE","( "&amp;Base_Periodo1[[#This Row],[Tipo_Linha]]&amp;" ) "&amp;Base_Periodo1[[#This Row],[Filtro]])</f>
        <v>Fora do DRE</v>
      </c>
      <c r="W3770" s="3" t="str">
        <f>LEFT(Base_Periodo1[[#This Row],[CLASS]],3)</f>
        <v>2.1</v>
      </c>
    </row>
    <row r="3771" spans="1:23" hidden="1">
      <c r="A3771" s="3" t="str">
        <f t="shared" si="58"/>
        <v>Período 1</v>
      </c>
      <c r="B3771">
        <v>54872</v>
      </c>
      <c r="C3771" t="s">
        <v>2010</v>
      </c>
      <c r="D3771" t="s">
        <v>7080</v>
      </c>
      <c r="E3771" s="3" t="str">
        <f>IF(LEN(Base_Periodo1[[#This Row],[CLASS]])&gt;=7,LEFT(Base_Periodo1[[#This Row],[CLASS]],7),"")</f>
        <v>2.1.2.2</v>
      </c>
      <c r="F3771" s="3" t="str">
        <f>VLOOKUP(Base_Periodo1[[#This Row],[Aux]],Base_Contas_Balanco[#All],2,FALSE)</f>
        <v>Fornecedores Não Cooperados</v>
      </c>
      <c r="G3771" s="1">
        <v>42885</v>
      </c>
      <c r="I3771" s="225">
        <v>6497.9699999999993</v>
      </c>
      <c r="J3771" s="225">
        <v>6497.97</v>
      </c>
      <c r="K3771" s="225">
        <v>-9.0949470177292824E-13</v>
      </c>
      <c r="L37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71" s="225">
        <f>ROUND(IF(AND(Base_Periodo1[[#This Row],[Tipo_Linha]]="-",Base_Periodo1[[#This Row],[TIPOSALDO]]="D"),Base_Periodo1[[#This Row],[SALDO_ATUAL]]*-1,Base_Periodo1[[#This Row],[SALDO_ATUAL]]),4)</f>
        <v>0</v>
      </c>
      <c r="N3771" t="s">
        <v>116</v>
      </c>
      <c r="O3771" t="s">
        <v>436</v>
      </c>
      <c r="P3771" t="s">
        <v>436</v>
      </c>
      <c r="Q3771">
        <v>7</v>
      </c>
      <c r="R3771" s="225">
        <f>Base_Periodo1[[#This Row],[CREDITOS]]-Base_Periodo1[[#This Row],[DEBITOS]]</f>
        <v>0</v>
      </c>
      <c r="S3771" s="3" t="str">
        <f>IF(ISERROR(VLOOKUP(Base_Periodo1[[#This Row],[CONTA]],BaseContasDRE[#All],4,FALSE)),"Fora do DRE",VLOOKUP(Base_Periodo1[[#This Row],[CONTA]],BaseContasDRE[#All],4,FALSE))</f>
        <v>Fora do DRE</v>
      </c>
      <c r="T3771" s="3" t="str">
        <f>IF(ISERROR(VLOOKUP(Base_Periodo1[[#This Row],[CONTA]],BaseContasDRE[#All],5,FALSE)),"Fora do DRE",VLOOKUP(Base_Periodo1[[#This Row],[CONTA]],BaseContasDRE[#All],6,FALSE))</f>
        <v>Fora do DRE</v>
      </c>
      <c r="U3771" s="3" t="str">
        <f>IF(ISERROR(VLOOKUP(Base_Periodo1[[#This Row],[CONTA]],BaseContasDRE[#All],7,FALSE)),"Fora do DRE",VLOOKUP(Base_Periodo1[[#This Row],[CONTA]],BaseContasDRE[#All],7,FALSE))</f>
        <v>Fora do DRE</v>
      </c>
      <c r="V3771" s="3" t="str">
        <f>IF(Base_Periodo1[[#This Row],[Tipo_Linha]]="Fora do DRE","Fora do DRE","( "&amp;Base_Periodo1[[#This Row],[Tipo_Linha]]&amp;" ) "&amp;Base_Periodo1[[#This Row],[Filtro]])</f>
        <v>Fora do DRE</v>
      </c>
      <c r="W3771" s="3" t="str">
        <f>LEFT(Base_Periodo1[[#This Row],[CLASS]],3)</f>
        <v>2.1</v>
      </c>
    </row>
    <row r="3772" spans="1:23" hidden="1">
      <c r="A3772" s="3" t="str">
        <f t="shared" si="58"/>
        <v>Período 1</v>
      </c>
      <c r="B3772">
        <v>40416</v>
      </c>
      <c r="C3772" t="s">
        <v>2010</v>
      </c>
      <c r="D3772" t="s">
        <v>7081</v>
      </c>
      <c r="E3772" s="3" t="str">
        <f>IF(LEN(Base_Periodo1[[#This Row],[CLASS]])&gt;=7,LEFT(Base_Periodo1[[#This Row],[CLASS]],7),"")</f>
        <v>2.1.2.2</v>
      </c>
      <c r="F3772" s="3" t="str">
        <f>VLOOKUP(Base_Periodo1[[#This Row],[Aux]],Base_Contas_Balanco[#All],2,FALSE)</f>
        <v>Fornecedores Não Cooperados</v>
      </c>
      <c r="G3772" s="1">
        <v>42873</v>
      </c>
      <c r="I3772" s="225">
        <v>1171.96</v>
      </c>
      <c r="J3772" s="225">
        <v>1171.96</v>
      </c>
      <c r="K3772" s="225">
        <v>0</v>
      </c>
      <c r="L37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72" s="225">
        <f>ROUND(IF(AND(Base_Periodo1[[#This Row],[Tipo_Linha]]="-",Base_Periodo1[[#This Row],[TIPOSALDO]]="D"),Base_Periodo1[[#This Row],[SALDO_ATUAL]]*-1,Base_Periodo1[[#This Row],[SALDO_ATUAL]]),4)</f>
        <v>0</v>
      </c>
      <c r="N3772" t="s">
        <v>116</v>
      </c>
      <c r="O3772" t="s">
        <v>436</v>
      </c>
      <c r="P3772" t="s">
        <v>436</v>
      </c>
      <c r="Q3772">
        <v>7</v>
      </c>
      <c r="R3772" s="225">
        <f>Base_Periodo1[[#This Row],[CREDITOS]]-Base_Periodo1[[#This Row],[DEBITOS]]</f>
        <v>0</v>
      </c>
      <c r="S3772" s="3" t="str">
        <f>IF(ISERROR(VLOOKUP(Base_Periodo1[[#This Row],[CONTA]],BaseContasDRE[#All],4,FALSE)),"Fora do DRE",VLOOKUP(Base_Periodo1[[#This Row],[CONTA]],BaseContasDRE[#All],4,FALSE))</f>
        <v>Fora do DRE</v>
      </c>
      <c r="T3772" s="3" t="str">
        <f>IF(ISERROR(VLOOKUP(Base_Periodo1[[#This Row],[CONTA]],BaseContasDRE[#All],5,FALSE)),"Fora do DRE",VLOOKUP(Base_Periodo1[[#This Row],[CONTA]],BaseContasDRE[#All],6,FALSE))</f>
        <v>Fora do DRE</v>
      </c>
      <c r="U3772" s="3" t="str">
        <f>IF(ISERROR(VLOOKUP(Base_Periodo1[[#This Row],[CONTA]],BaseContasDRE[#All],7,FALSE)),"Fora do DRE",VLOOKUP(Base_Periodo1[[#This Row],[CONTA]],BaseContasDRE[#All],7,FALSE))</f>
        <v>Fora do DRE</v>
      </c>
      <c r="V3772" s="3" t="str">
        <f>IF(Base_Periodo1[[#This Row],[Tipo_Linha]]="Fora do DRE","Fora do DRE","( "&amp;Base_Periodo1[[#This Row],[Tipo_Linha]]&amp;" ) "&amp;Base_Periodo1[[#This Row],[Filtro]])</f>
        <v>Fora do DRE</v>
      </c>
      <c r="W3772" s="3" t="str">
        <f>LEFT(Base_Periodo1[[#This Row],[CLASS]],3)</f>
        <v>2.1</v>
      </c>
    </row>
    <row r="3773" spans="1:23" hidden="1">
      <c r="A3773" s="3" t="str">
        <f t="shared" si="58"/>
        <v>Período 1</v>
      </c>
      <c r="B3773">
        <v>10805</v>
      </c>
      <c r="C3773" t="s">
        <v>2010</v>
      </c>
      <c r="D3773" t="s">
        <v>2087</v>
      </c>
      <c r="E3773" s="3" t="str">
        <f>IF(LEN(Base_Periodo1[[#This Row],[CLASS]])&gt;=7,LEFT(Base_Periodo1[[#This Row],[CLASS]],7),"")</f>
        <v>2.1.2.2</v>
      </c>
      <c r="F3773" s="3" t="str">
        <f>VLOOKUP(Base_Periodo1[[#This Row],[Aux]],Base_Contas_Balanco[#All],2,FALSE)</f>
        <v>Fornecedores Não Cooperados</v>
      </c>
      <c r="G3773" s="1">
        <v>42886</v>
      </c>
      <c r="I3773" s="225">
        <v>352</v>
      </c>
      <c r="J3773" s="225">
        <v>847</v>
      </c>
      <c r="K3773" s="225">
        <v>495</v>
      </c>
      <c r="L37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495</v>
      </c>
      <c r="M3773" s="225">
        <f>ROUND(IF(AND(Base_Periodo1[[#This Row],[Tipo_Linha]]="-",Base_Periodo1[[#This Row],[TIPOSALDO]]="D"),Base_Periodo1[[#This Row],[SALDO_ATUAL]]*-1,Base_Periodo1[[#This Row],[SALDO_ATUAL]]),4)</f>
        <v>495</v>
      </c>
      <c r="N3773" t="s">
        <v>116</v>
      </c>
      <c r="O3773" t="s">
        <v>436</v>
      </c>
      <c r="P3773" t="s">
        <v>459</v>
      </c>
      <c r="Q3773">
        <v>7</v>
      </c>
      <c r="R3773" s="225">
        <f>Base_Periodo1[[#This Row],[CREDITOS]]-Base_Periodo1[[#This Row],[DEBITOS]]</f>
        <v>495</v>
      </c>
      <c r="S3773" s="3" t="str">
        <f>IF(ISERROR(VLOOKUP(Base_Periodo1[[#This Row],[CONTA]],BaseContasDRE[#All],4,FALSE)),"Fora do DRE",VLOOKUP(Base_Periodo1[[#This Row],[CONTA]],BaseContasDRE[#All],4,FALSE))</f>
        <v>Fora do DRE</v>
      </c>
      <c r="T3773" s="3" t="str">
        <f>IF(ISERROR(VLOOKUP(Base_Periodo1[[#This Row],[CONTA]],BaseContasDRE[#All],5,FALSE)),"Fora do DRE",VLOOKUP(Base_Periodo1[[#This Row],[CONTA]],BaseContasDRE[#All],6,FALSE))</f>
        <v>Fora do DRE</v>
      </c>
      <c r="U3773" s="3" t="str">
        <f>IF(ISERROR(VLOOKUP(Base_Periodo1[[#This Row],[CONTA]],BaseContasDRE[#All],7,FALSE)),"Fora do DRE",VLOOKUP(Base_Periodo1[[#This Row],[CONTA]],BaseContasDRE[#All],7,FALSE))</f>
        <v>Fora do DRE</v>
      </c>
      <c r="V3773" s="3" t="str">
        <f>IF(Base_Periodo1[[#This Row],[Tipo_Linha]]="Fora do DRE","Fora do DRE","( "&amp;Base_Periodo1[[#This Row],[Tipo_Linha]]&amp;" ) "&amp;Base_Periodo1[[#This Row],[Filtro]])</f>
        <v>Fora do DRE</v>
      </c>
      <c r="W3773" s="3" t="str">
        <f>LEFT(Base_Periodo1[[#This Row],[CLASS]],3)</f>
        <v>2.1</v>
      </c>
    </row>
    <row r="3774" spans="1:23" hidden="1">
      <c r="A3774" s="3" t="str">
        <f t="shared" si="58"/>
        <v>Período 1</v>
      </c>
      <c r="B3774">
        <v>56658</v>
      </c>
      <c r="C3774" t="s">
        <v>2010</v>
      </c>
      <c r="D3774" t="s">
        <v>7082</v>
      </c>
      <c r="E3774" s="3" t="str">
        <f>IF(LEN(Base_Periodo1[[#This Row],[CLASS]])&gt;=7,LEFT(Base_Periodo1[[#This Row],[CLASS]],7),"")</f>
        <v>2.1.2.2</v>
      </c>
      <c r="F3774" s="3" t="str">
        <f>VLOOKUP(Base_Periodo1[[#This Row],[Aux]],Base_Contas_Balanco[#All],2,FALSE)</f>
        <v>Fornecedores Não Cooperados</v>
      </c>
      <c r="G3774" s="1">
        <v>42864</v>
      </c>
      <c r="I3774" s="225">
        <v>3870</v>
      </c>
      <c r="J3774" s="225">
        <v>3870</v>
      </c>
      <c r="K3774" s="225">
        <v>0</v>
      </c>
      <c r="L37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74" s="225">
        <f>ROUND(IF(AND(Base_Periodo1[[#This Row],[Tipo_Linha]]="-",Base_Periodo1[[#This Row],[TIPOSALDO]]="D"),Base_Periodo1[[#This Row],[SALDO_ATUAL]]*-1,Base_Periodo1[[#This Row],[SALDO_ATUAL]]),4)</f>
        <v>0</v>
      </c>
      <c r="N3774" t="s">
        <v>116</v>
      </c>
      <c r="O3774" t="s">
        <v>436</v>
      </c>
      <c r="P3774" t="s">
        <v>436</v>
      </c>
      <c r="Q3774">
        <v>7</v>
      </c>
      <c r="R3774" s="225">
        <f>Base_Periodo1[[#This Row],[CREDITOS]]-Base_Periodo1[[#This Row],[DEBITOS]]</f>
        <v>0</v>
      </c>
      <c r="S3774" s="3" t="str">
        <f>IF(ISERROR(VLOOKUP(Base_Periodo1[[#This Row],[CONTA]],BaseContasDRE[#All],4,FALSE)),"Fora do DRE",VLOOKUP(Base_Periodo1[[#This Row],[CONTA]],BaseContasDRE[#All],4,FALSE))</f>
        <v>Fora do DRE</v>
      </c>
      <c r="T3774" s="3" t="str">
        <f>IF(ISERROR(VLOOKUP(Base_Periodo1[[#This Row],[CONTA]],BaseContasDRE[#All],5,FALSE)),"Fora do DRE",VLOOKUP(Base_Periodo1[[#This Row],[CONTA]],BaseContasDRE[#All],6,FALSE))</f>
        <v>Fora do DRE</v>
      </c>
      <c r="U3774" s="3" t="str">
        <f>IF(ISERROR(VLOOKUP(Base_Periodo1[[#This Row],[CONTA]],BaseContasDRE[#All],7,FALSE)),"Fora do DRE",VLOOKUP(Base_Periodo1[[#This Row],[CONTA]],BaseContasDRE[#All],7,FALSE))</f>
        <v>Fora do DRE</v>
      </c>
      <c r="V3774" s="3" t="str">
        <f>IF(Base_Periodo1[[#This Row],[Tipo_Linha]]="Fora do DRE","Fora do DRE","( "&amp;Base_Periodo1[[#This Row],[Tipo_Linha]]&amp;" ) "&amp;Base_Periodo1[[#This Row],[Filtro]])</f>
        <v>Fora do DRE</v>
      </c>
      <c r="W3774" s="3" t="str">
        <f>LEFT(Base_Periodo1[[#This Row],[CLASS]],3)</f>
        <v>2.1</v>
      </c>
    </row>
    <row r="3775" spans="1:23" hidden="1">
      <c r="A3775" s="3" t="str">
        <f t="shared" si="58"/>
        <v>Período 1</v>
      </c>
      <c r="B3775">
        <v>51502</v>
      </c>
      <c r="C3775" t="s">
        <v>2010</v>
      </c>
      <c r="D3775" t="s">
        <v>6187</v>
      </c>
      <c r="E3775" s="3" t="str">
        <f>IF(LEN(Base_Periodo1[[#This Row],[CLASS]])&gt;=7,LEFT(Base_Periodo1[[#This Row],[CLASS]],7),"")</f>
        <v>2.1.2.2</v>
      </c>
      <c r="F3775" s="3" t="str">
        <f>VLOOKUP(Base_Periodo1[[#This Row],[Aux]],Base_Contas_Balanco[#All],2,FALSE)</f>
        <v>Fornecedores Não Cooperados</v>
      </c>
      <c r="G3775" s="1">
        <v>42860</v>
      </c>
      <c r="I3775" s="225">
        <v>9133.75</v>
      </c>
      <c r="J3775" s="225">
        <v>9133.75</v>
      </c>
      <c r="K3775" s="225">
        <v>0</v>
      </c>
      <c r="L37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75" s="225">
        <f>ROUND(IF(AND(Base_Periodo1[[#This Row],[Tipo_Linha]]="-",Base_Periodo1[[#This Row],[TIPOSALDO]]="D"),Base_Periodo1[[#This Row],[SALDO_ATUAL]]*-1,Base_Periodo1[[#This Row],[SALDO_ATUAL]]),4)</f>
        <v>0</v>
      </c>
      <c r="N3775" t="s">
        <v>116</v>
      </c>
      <c r="O3775" t="s">
        <v>436</v>
      </c>
      <c r="P3775" t="s">
        <v>436</v>
      </c>
      <c r="Q3775">
        <v>7</v>
      </c>
      <c r="R3775" s="225">
        <f>Base_Periodo1[[#This Row],[CREDITOS]]-Base_Periodo1[[#This Row],[DEBITOS]]</f>
        <v>0</v>
      </c>
      <c r="S3775" s="3" t="str">
        <f>IF(ISERROR(VLOOKUP(Base_Periodo1[[#This Row],[CONTA]],BaseContasDRE[#All],4,FALSE)),"Fora do DRE",VLOOKUP(Base_Periodo1[[#This Row],[CONTA]],BaseContasDRE[#All],4,FALSE))</f>
        <v>Fora do DRE</v>
      </c>
      <c r="T3775" s="3" t="str">
        <f>IF(ISERROR(VLOOKUP(Base_Periodo1[[#This Row],[CONTA]],BaseContasDRE[#All],5,FALSE)),"Fora do DRE",VLOOKUP(Base_Periodo1[[#This Row],[CONTA]],BaseContasDRE[#All],6,FALSE))</f>
        <v>Fora do DRE</v>
      </c>
      <c r="U3775" s="3" t="str">
        <f>IF(ISERROR(VLOOKUP(Base_Periodo1[[#This Row],[CONTA]],BaseContasDRE[#All],7,FALSE)),"Fora do DRE",VLOOKUP(Base_Periodo1[[#This Row],[CONTA]],BaseContasDRE[#All],7,FALSE))</f>
        <v>Fora do DRE</v>
      </c>
      <c r="V3775" s="3" t="str">
        <f>IF(Base_Periodo1[[#This Row],[Tipo_Linha]]="Fora do DRE","Fora do DRE","( "&amp;Base_Periodo1[[#This Row],[Tipo_Linha]]&amp;" ) "&amp;Base_Periodo1[[#This Row],[Filtro]])</f>
        <v>Fora do DRE</v>
      </c>
      <c r="W3775" s="3" t="str">
        <f>LEFT(Base_Periodo1[[#This Row],[CLASS]],3)</f>
        <v>2.1</v>
      </c>
    </row>
    <row r="3776" spans="1:23" hidden="1">
      <c r="A3776" s="3" t="str">
        <f t="shared" si="58"/>
        <v>Período 1</v>
      </c>
      <c r="B3776">
        <v>41636</v>
      </c>
      <c r="C3776" t="s">
        <v>2010</v>
      </c>
      <c r="D3776" t="s">
        <v>2088</v>
      </c>
      <c r="E3776" s="3" t="str">
        <f>IF(LEN(Base_Periodo1[[#This Row],[CLASS]])&gt;=7,LEFT(Base_Periodo1[[#This Row],[CLASS]],7),"")</f>
        <v>2.1.2.2</v>
      </c>
      <c r="F3776" s="3" t="str">
        <f>VLOOKUP(Base_Periodo1[[#This Row],[Aux]],Base_Contas_Balanco[#All],2,FALSE)</f>
        <v>Fornecedores Não Cooperados</v>
      </c>
      <c r="G3776" s="1"/>
      <c r="H3776" s="225">
        <v>14957.46</v>
      </c>
      <c r="I3776" s="225">
        <v>0</v>
      </c>
      <c r="J3776" s="225">
        <v>0</v>
      </c>
      <c r="K3776" s="225">
        <v>14957.46</v>
      </c>
      <c r="L37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14957.46</v>
      </c>
      <c r="M3776" s="225">
        <f>ROUND(IF(AND(Base_Periodo1[[#This Row],[Tipo_Linha]]="-",Base_Periodo1[[#This Row],[TIPOSALDO]]="D"),Base_Periodo1[[#This Row],[SALDO_ATUAL]]*-1,Base_Periodo1[[#This Row],[SALDO_ATUAL]]),4)</f>
        <v>14957.46</v>
      </c>
      <c r="N3776" t="s">
        <v>116</v>
      </c>
      <c r="O3776" t="s">
        <v>459</v>
      </c>
      <c r="P3776" t="s">
        <v>459</v>
      </c>
      <c r="Q3776">
        <v>7</v>
      </c>
      <c r="R3776" s="225">
        <f>Base_Periodo1[[#This Row],[CREDITOS]]-Base_Periodo1[[#This Row],[DEBITOS]]</f>
        <v>0</v>
      </c>
      <c r="S3776" s="3" t="str">
        <f>IF(ISERROR(VLOOKUP(Base_Periodo1[[#This Row],[CONTA]],BaseContasDRE[#All],4,FALSE)),"Fora do DRE",VLOOKUP(Base_Periodo1[[#This Row],[CONTA]],BaseContasDRE[#All],4,FALSE))</f>
        <v>Fora do DRE</v>
      </c>
      <c r="T3776" s="3" t="str">
        <f>IF(ISERROR(VLOOKUP(Base_Periodo1[[#This Row],[CONTA]],BaseContasDRE[#All],5,FALSE)),"Fora do DRE",VLOOKUP(Base_Periodo1[[#This Row],[CONTA]],BaseContasDRE[#All],6,FALSE))</f>
        <v>Fora do DRE</v>
      </c>
      <c r="U3776" s="3" t="str">
        <f>IF(ISERROR(VLOOKUP(Base_Periodo1[[#This Row],[CONTA]],BaseContasDRE[#All],7,FALSE)),"Fora do DRE",VLOOKUP(Base_Periodo1[[#This Row],[CONTA]],BaseContasDRE[#All],7,FALSE))</f>
        <v>Fora do DRE</v>
      </c>
      <c r="V3776" s="3" t="str">
        <f>IF(Base_Periodo1[[#This Row],[Tipo_Linha]]="Fora do DRE","Fora do DRE","( "&amp;Base_Periodo1[[#This Row],[Tipo_Linha]]&amp;" ) "&amp;Base_Periodo1[[#This Row],[Filtro]])</f>
        <v>Fora do DRE</v>
      </c>
      <c r="W3776" s="3" t="str">
        <f>LEFT(Base_Periodo1[[#This Row],[CLASS]],3)</f>
        <v>2.1</v>
      </c>
    </row>
    <row r="3777" spans="1:23" hidden="1">
      <c r="A3777" s="3" t="str">
        <f t="shared" si="58"/>
        <v>Período 1</v>
      </c>
      <c r="B3777">
        <v>42268</v>
      </c>
      <c r="C3777" t="s">
        <v>2010</v>
      </c>
      <c r="D3777" t="s">
        <v>4695</v>
      </c>
      <c r="E3777" s="3" t="str">
        <f>IF(LEN(Base_Periodo1[[#This Row],[CLASS]])&gt;=7,LEFT(Base_Periodo1[[#This Row],[CLASS]],7),"")</f>
        <v>2.1.2.2</v>
      </c>
      <c r="F3777" s="3" t="str">
        <f>VLOOKUP(Base_Periodo1[[#This Row],[Aux]],Base_Contas_Balanco[#All],2,FALSE)</f>
        <v>Fornecedores Não Cooperados</v>
      </c>
      <c r="G3777" s="1"/>
      <c r="H3777" s="225">
        <v>422.76</v>
      </c>
      <c r="I3777" s="225">
        <v>0</v>
      </c>
      <c r="J3777" s="225">
        <v>0</v>
      </c>
      <c r="K3777" s="225">
        <v>422.76</v>
      </c>
      <c r="L37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422.76</v>
      </c>
      <c r="M3777" s="225">
        <f>ROUND(IF(AND(Base_Periodo1[[#This Row],[Tipo_Linha]]="-",Base_Periodo1[[#This Row],[TIPOSALDO]]="D"),Base_Periodo1[[#This Row],[SALDO_ATUAL]]*-1,Base_Periodo1[[#This Row],[SALDO_ATUAL]]),4)</f>
        <v>422.76</v>
      </c>
      <c r="N3777" t="s">
        <v>116</v>
      </c>
      <c r="O3777" t="s">
        <v>459</v>
      </c>
      <c r="P3777" t="s">
        <v>459</v>
      </c>
      <c r="Q3777">
        <v>7</v>
      </c>
      <c r="R3777" s="225">
        <f>Base_Periodo1[[#This Row],[CREDITOS]]-Base_Periodo1[[#This Row],[DEBITOS]]</f>
        <v>0</v>
      </c>
      <c r="S3777" s="3" t="str">
        <f>IF(ISERROR(VLOOKUP(Base_Periodo1[[#This Row],[CONTA]],BaseContasDRE[#All],4,FALSE)),"Fora do DRE",VLOOKUP(Base_Periodo1[[#This Row],[CONTA]],BaseContasDRE[#All],4,FALSE))</f>
        <v>Fora do DRE</v>
      </c>
      <c r="T3777" s="3" t="str">
        <f>IF(ISERROR(VLOOKUP(Base_Periodo1[[#This Row],[CONTA]],BaseContasDRE[#All],5,FALSE)),"Fora do DRE",VLOOKUP(Base_Periodo1[[#This Row],[CONTA]],BaseContasDRE[#All],6,FALSE))</f>
        <v>Fora do DRE</v>
      </c>
      <c r="U3777" s="3" t="str">
        <f>IF(ISERROR(VLOOKUP(Base_Periodo1[[#This Row],[CONTA]],BaseContasDRE[#All],7,FALSE)),"Fora do DRE",VLOOKUP(Base_Periodo1[[#This Row],[CONTA]],BaseContasDRE[#All],7,FALSE))</f>
        <v>Fora do DRE</v>
      </c>
      <c r="V3777" s="3" t="str">
        <f>IF(Base_Periodo1[[#This Row],[Tipo_Linha]]="Fora do DRE","Fora do DRE","( "&amp;Base_Periodo1[[#This Row],[Tipo_Linha]]&amp;" ) "&amp;Base_Periodo1[[#This Row],[Filtro]])</f>
        <v>Fora do DRE</v>
      </c>
      <c r="W3777" s="3" t="str">
        <f>LEFT(Base_Periodo1[[#This Row],[CLASS]],3)</f>
        <v>2.1</v>
      </c>
    </row>
    <row r="3778" spans="1:23" hidden="1">
      <c r="A3778" s="3" t="str">
        <f t="shared" si="58"/>
        <v>Período 1</v>
      </c>
      <c r="B3778">
        <v>42932</v>
      </c>
      <c r="C3778" t="s">
        <v>2010</v>
      </c>
      <c r="D3778" t="s">
        <v>2089</v>
      </c>
      <c r="E3778" s="3" t="str">
        <f>IF(LEN(Base_Periodo1[[#This Row],[CLASS]])&gt;=7,LEFT(Base_Periodo1[[#This Row],[CLASS]],7),"")</f>
        <v>2.1.2.2</v>
      </c>
      <c r="F3778" s="3" t="str">
        <f>VLOOKUP(Base_Periodo1[[#This Row],[Aux]],Base_Contas_Balanco[#All],2,FALSE)</f>
        <v>Fornecedores Não Cooperados</v>
      </c>
      <c r="G3778" s="1"/>
      <c r="H3778" s="225">
        <v>1278.07</v>
      </c>
      <c r="I3778" s="225">
        <v>0</v>
      </c>
      <c r="J3778" s="225">
        <v>0</v>
      </c>
      <c r="K3778" s="225">
        <v>1278.07</v>
      </c>
      <c r="L37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1278.07</v>
      </c>
      <c r="M3778" s="225">
        <f>ROUND(IF(AND(Base_Periodo1[[#This Row],[Tipo_Linha]]="-",Base_Periodo1[[#This Row],[TIPOSALDO]]="D"),Base_Periodo1[[#This Row],[SALDO_ATUAL]]*-1,Base_Periodo1[[#This Row],[SALDO_ATUAL]]),4)</f>
        <v>1278.07</v>
      </c>
      <c r="N3778" t="s">
        <v>116</v>
      </c>
      <c r="O3778" t="s">
        <v>459</v>
      </c>
      <c r="P3778" t="s">
        <v>459</v>
      </c>
      <c r="Q3778">
        <v>7</v>
      </c>
      <c r="R3778" s="225">
        <f>Base_Periodo1[[#This Row],[CREDITOS]]-Base_Periodo1[[#This Row],[DEBITOS]]</f>
        <v>0</v>
      </c>
      <c r="S3778" s="3" t="str">
        <f>IF(ISERROR(VLOOKUP(Base_Periodo1[[#This Row],[CONTA]],BaseContasDRE[#All],4,FALSE)),"Fora do DRE",VLOOKUP(Base_Periodo1[[#This Row],[CONTA]],BaseContasDRE[#All],4,FALSE))</f>
        <v>Fora do DRE</v>
      </c>
      <c r="T3778" s="3" t="str">
        <f>IF(ISERROR(VLOOKUP(Base_Periodo1[[#This Row],[CONTA]],BaseContasDRE[#All],5,FALSE)),"Fora do DRE",VLOOKUP(Base_Periodo1[[#This Row],[CONTA]],BaseContasDRE[#All],6,FALSE))</f>
        <v>Fora do DRE</v>
      </c>
      <c r="U3778" s="3" t="str">
        <f>IF(ISERROR(VLOOKUP(Base_Periodo1[[#This Row],[CONTA]],BaseContasDRE[#All],7,FALSE)),"Fora do DRE",VLOOKUP(Base_Periodo1[[#This Row],[CONTA]],BaseContasDRE[#All],7,FALSE))</f>
        <v>Fora do DRE</v>
      </c>
      <c r="V3778" s="3" t="str">
        <f>IF(Base_Periodo1[[#This Row],[Tipo_Linha]]="Fora do DRE","Fora do DRE","( "&amp;Base_Periodo1[[#This Row],[Tipo_Linha]]&amp;" ) "&amp;Base_Periodo1[[#This Row],[Filtro]])</f>
        <v>Fora do DRE</v>
      </c>
      <c r="W3778" s="3" t="str">
        <f>LEFT(Base_Periodo1[[#This Row],[CLASS]],3)</f>
        <v>2.1</v>
      </c>
    </row>
    <row r="3779" spans="1:23" hidden="1">
      <c r="A3779" s="3" t="str">
        <f t="shared" si="58"/>
        <v>Período 1</v>
      </c>
      <c r="B3779">
        <v>23345</v>
      </c>
      <c r="C3779" t="s">
        <v>2010</v>
      </c>
      <c r="D3779" t="s">
        <v>7083</v>
      </c>
      <c r="E3779" s="3" t="str">
        <f>IF(LEN(Base_Periodo1[[#This Row],[CLASS]])&gt;=7,LEFT(Base_Periodo1[[#This Row],[CLASS]],7),"")</f>
        <v>2.1.2.2</v>
      </c>
      <c r="F3779" s="3" t="str">
        <f>VLOOKUP(Base_Periodo1[[#This Row],[Aux]],Base_Contas_Balanco[#All],2,FALSE)</f>
        <v>Fornecedores Não Cooperados</v>
      </c>
      <c r="G3779" s="1">
        <v>42865</v>
      </c>
      <c r="I3779" s="225">
        <v>7500</v>
      </c>
      <c r="J3779" s="225">
        <v>7500</v>
      </c>
      <c r="K3779" s="225">
        <v>-3.637978807091713E-12</v>
      </c>
      <c r="L37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79" s="225">
        <f>ROUND(IF(AND(Base_Periodo1[[#This Row],[Tipo_Linha]]="-",Base_Periodo1[[#This Row],[TIPOSALDO]]="D"),Base_Periodo1[[#This Row],[SALDO_ATUAL]]*-1,Base_Periodo1[[#This Row],[SALDO_ATUAL]]),4)</f>
        <v>0</v>
      </c>
      <c r="N3779" t="s">
        <v>116</v>
      </c>
      <c r="O3779" t="s">
        <v>436</v>
      </c>
      <c r="P3779" t="s">
        <v>436</v>
      </c>
      <c r="Q3779">
        <v>7</v>
      </c>
      <c r="R3779" s="225">
        <f>Base_Periodo1[[#This Row],[CREDITOS]]-Base_Periodo1[[#This Row],[DEBITOS]]</f>
        <v>0</v>
      </c>
      <c r="S3779" s="3" t="str">
        <f>IF(ISERROR(VLOOKUP(Base_Periodo1[[#This Row],[CONTA]],BaseContasDRE[#All],4,FALSE)),"Fora do DRE",VLOOKUP(Base_Periodo1[[#This Row],[CONTA]],BaseContasDRE[#All],4,FALSE))</f>
        <v>Fora do DRE</v>
      </c>
      <c r="T3779" s="3" t="str">
        <f>IF(ISERROR(VLOOKUP(Base_Periodo1[[#This Row],[CONTA]],BaseContasDRE[#All],5,FALSE)),"Fora do DRE",VLOOKUP(Base_Periodo1[[#This Row],[CONTA]],BaseContasDRE[#All],6,FALSE))</f>
        <v>Fora do DRE</v>
      </c>
      <c r="U3779" s="3" t="str">
        <f>IF(ISERROR(VLOOKUP(Base_Periodo1[[#This Row],[CONTA]],BaseContasDRE[#All],7,FALSE)),"Fora do DRE",VLOOKUP(Base_Periodo1[[#This Row],[CONTA]],BaseContasDRE[#All],7,FALSE))</f>
        <v>Fora do DRE</v>
      </c>
      <c r="V3779" s="3" t="str">
        <f>IF(Base_Periodo1[[#This Row],[Tipo_Linha]]="Fora do DRE","Fora do DRE","( "&amp;Base_Periodo1[[#This Row],[Tipo_Linha]]&amp;" ) "&amp;Base_Periodo1[[#This Row],[Filtro]])</f>
        <v>Fora do DRE</v>
      </c>
      <c r="W3779" s="3" t="str">
        <f>LEFT(Base_Periodo1[[#This Row],[CLASS]],3)</f>
        <v>2.1</v>
      </c>
    </row>
    <row r="3780" spans="1:23" hidden="1">
      <c r="A3780" s="3" t="str">
        <f t="shared" si="58"/>
        <v>Período 1</v>
      </c>
      <c r="B3780">
        <v>47861</v>
      </c>
      <c r="C3780" t="s">
        <v>2010</v>
      </c>
      <c r="D3780" t="s">
        <v>6106</v>
      </c>
      <c r="E3780" s="3" t="str">
        <f>IF(LEN(Base_Periodo1[[#This Row],[CLASS]])&gt;=7,LEFT(Base_Periodo1[[#This Row],[CLASS]],7),"")</f>
        <v>2.1.2.2</v>
      </c>
      <c r="F3780" s="3" t="str">
        <f>VLOOKUP(Base_Periodo1[[#This Row],[Aux]],Base_Contas_Balanco[#All],2,FALSE)</f>
        <v>Fornecedores Não Cooperados</v>
      </c>
      <c r="G3780" s="1">
        <v>42873</v>
      </c>
      <c r="H3780" s="225">
        <v>165</v>
      </c>
      <c r="I3780" s="225">
        <v>165</v>
      </c>
      <c r="J3780" s="225">
        <v>147</v>
      </c>
      <c r="K3780" s="225">
        <v>147</v>
      </c>
      <c r="L37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147</v>
      </c>
      <c r="M3780" s="225">
        <f>ROUND(IF(AND(Base_Periodo1[[#This Row],[Tipo_Linha]]="-",Base_Periodo1[[#This Row],[TIPOSALDO]]="D"),Base_Periodo1[[#This Row],[SALDO_ATUAL]]*-1,Base_Periodo1[[#This Row],[SALDO_ATUAL]]),4)</f>
        <v>147</v>
      </c>
      <c r="N3780" t="s">
        <v>116</v>
      </c>
      <c r="O3780" t="s">
        <v>459</v>
      </c>
      <c r="P3780" t="s">
        <v>459</v>
      </c>
      <c r="Q3780">
        <v>7</v>
      </c>
      <c r="R3780" s="225">
        <f>Base_Periodo1[[#This Row],[CREDITOS]]-Base_Periodo1[[#This Row],[DEBITOS]]</f>
        <v>-18</v>
      </c>
      <c r="S3780" s="3" t="str">
        <f>IF(ISERROR(VLOOKUP(Base_Periodo1[[#This Row],[CONTA]],BaseContasDRE[#All],4,FALSE)),"Fora do DRE",VLOOKUP(Base_Periodo1[[#This Row],[CONTA]],BaseContasDRE[#All],4,FALSE))</f>
        <v>Fora do DRE</v>
      </c>
      <c r="T3780" s="3" t="str">
        <f>IF(ISERROR(VLOOKUP(Base_Periodo1[[#This Row],[CONTA]],BaseContasDRE[#All],5,FALSE)),"Fora do DRE",VLOOKUP(Base_Periodo1[[#This Row],[CONTA]],BaseContasDRE[#All],6,FALSE))</f>
        <v>Fora do DRE</v>
      </c>
      <c r="U3780" s="3" t="str">
        <f>IF(ISERROR(VLOOKUP(Base_Periodo1[[#This Row],[CONTA]],BaseContasDRE[#All],7,FALSE)),"Fora do DRE",VLOOKUP(Base_Periodo1[[#This Row],[CONTA]],BaseContasDRE[#All],7,FALSE))</f>
        <v>Fora do DRE</v>
      </c>
      <c r="V3780" s="3" t="str">
        <f>IF(Base_Periodo1[[#This Row],[Tipo_Linha]]="Fora do DRE","Fora do DRE","( "&amp;Base_Periodo1[[#This Row],[Tipo_Linha]]&amp;" ) "&amp;Base_Periodo1[[#This Row],[Filtro]])</f>
        <v>Fora do DRE</v>
      </c>
      <c r="W3780" s="3" t="str">
        <f>LEFT(Base_Periodo1[[#This Row],[CLASS]],3)</f>
        <v>2.1</v>
      </c>
    </row>
    <row r="3781" spans="1:23" hidden="1">
      <c r="A3781" s="3" t="str">
        <f t="shared" si="58"/>
        <v>Período 1</v>
      </c>
      <c r="B3781">
        <v>36846</v>
      </c>
      <c r="C3781" t="s">
        <v>2010</v>
      </c>
      <c r="D3781" t="s">
        <v>5986</v>
      </c>
      <c r="E3781" s="3" t="str">
        <f>IF(LEN(Base_Periodo1[[#This Row],[CLASS]])&gt;=7,LEFT(Base_Periodo1[[#This Row],[CLASS]],7),"")</f>
        <v>2.1.2.2</v>
      </c>
      <c r="F3781" s="3" t="str">
        <f>VLOOKUP(Base_Periodo1[[#This Row],[Aux]],Base_Contas_Balanco[#All],2,FALSE)</f>
        <v>Fornecedores Não Cooperados</v>
      </c>
      <c r="G3781" s="1">
        <v>42881</v>
      </c>
      <c r="I3781" s="225">
        <v>1216.8</v>
      </c>
      <c r="J3781" s="225">
        <v>2433.6</v>
      </c>
      <c r="K3781" s="225">
        <v>1216.8000000000145</v>
      </c>
      <c r="L37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1216.8</v>
      </c>
      <c r="M3781" s="225">
        <f>ROUND(IF(AND(Base_Periodo1[[#This Row],[Tipo_Linha]]="-",Base_Periodo1[[#This Row],[TIPOSALDO]]="D"),Base_Periodo1[[#This Row],[SALDO_ATUAL]]*-1,Base_Periodo1[[#This Row],[SALDO_ATUAL]]),4)</f>
        <v>1216.8</v>
      </c>
      <c r="N3781" t="s">
        <v>116</v>
      </c>
      <c r="O3781" t="s">
        <v>436</v>
      </c>
      <c r="P3781" t="s">
        <v>459</v>
      </c>
      <c r="Q3781">
        <v>7</v>
      </c>
      <c r="R3781" s="225">
        <f>Base_Periodo1[[#This Row],[CREDITOS]]-Base_Periodo1[[#This Row],[DEBITOS]]</f>
        <v>1216.8</v>
      </c>
      <c r="S3781" s="3" t="str">
        <f>IF(ISERROR(VLOOKUP(Base_Periodo1[[#This Row],[CONTA]],BaseContasDRE[#All],4,FALSE)),"Fora do DRE",VLOOKUP(Base_Periodo1[[#This Row],[CONTA]],BaseContasDRE[#All],4,FALSE))</f>
        <v>Fora do DRE</v>
      </c>
      <c r="T3781" s="3" t="str">
        <f>IF(ISERROR(VLOOKUP(Base_Periodo1[[#This Row],[CONTA]],BaseContasDRE[#All],5,FALSE)),"Fora do DRE",VLOOKUP(Base_Periodo1[[#This Row],[CONTA]],BaseContasDRE[#All],6,FALSE))</f>
        <v>Fora do DRE</v>
      </c>
      <c r="U3781" s="3" t="str">
        <f>IF(ISERROR(VLOOKUP(Base_Periodo1[[#This Row],[CONTA]],BaseContasDRE[#All],7,FALSE)),"Fora do DRE",VLOOKUP(Base_Periodo1[[#This Row],[CONTA]],BaseContasDRE[#All],7,FALSE))</f>
        <v>Fora do DRE</v>
      </c>
      <c r="V3781" s="3" t="str">
        <f>IF(Base_Periodo1[[#This Row],[Tipo_Linha]]="Fora do DRE","Fora do DRE","( "&amp;Base_Periodo1[[#This Row],[Tipo_Linha]]&amp;" ) "&amp;Base_Periodo1[[#This Row],[Filtro]])</f>
        <v>Fora do DRE</v>
      </c>
      <c r="W3781" s="3" t="str">
        <f>LEFT(Base_Periodo1[[#This Row],[CLASS]],3)</f>
        <v>2.1</v>
      </c>
    </row>
    <row r="3782" spans="1:23" hidden="1">
      <c r="A3782" s="3" t="str">
        <f t="shared" ref="A3782:A3845" si="59">"Período 1"</f>
        <v>Período 1</v>
      </c>
      <c r="B3782">
        <v>13069</v>
      </c>
      <c r="C3782" t="s">
        <v>2010</v>
      </c>
      <c r="D3782" t="s">
        <v>5987</v>
      </c>
      <c r="E3782" s="3" t="str">
        <f>IF(LEN(Base_Periodo1[[#This Row],[CLASS]])&gt;=7,LEFT(Base_Periodo1[[#This Row],[CLASS]],7),"")</f>
        <v>2.1.2.2</v>
      </c>
      <c r="F3782" s="3" t="str">
        <f>VLOOKUP(Base_Periodo1[[#This Row],[Aux]],Base_Contas_Balanco[#All],2,FALSE)</f>
        <v>Fornecedores Não Cooperados</v>
      </c>
      <c r="G3782" s="1">
        <v>42872</v>
      </c>
      <c r="I3782" s="225">
        <v>7258.9599999999991</v>
      </c>
      <c r="J3782" s="225">
        <v>7258.9599999999991</v>
      </c>
      <c r="K3782" s="225">
        <v>-1.4551915228366852E-11</v>
      </c>
      <c r="L37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82" s="225">
        <f>ROUND(IF(AND(Base_Periodo1[[#This Row],[Tipo_Linha]]="-",Base_Periodo1[[#This Row],[TIPOSALDO]]="D"),Base_Periodo1[[#This Row],[SALDO_ATUAL]]*-1,Base_Periodo1[[#This Row],[SALDO_ATUAL]]),4)</f>
        <v>0</v>
      </c>
      <c r="N3782" t="s">
        <v>116</v>
      </c>
      <c r="O3782" t="s">
        <v>436</v>
      </c>
      <c r="P3782" t="s">
        <v>436</v>
      </c>
      <c r="Q3782">
        <v>7</v>
      </c>
      <c r="R3782" s="225">
        <f>Base_Periodo1[[#This Row],[CREDITOS]]-Base_Periodo1[[#This Row],[DEBITOS]]</f>
        <v>0</v>
      </c>
      <c r="S3782" s="3" t="str">
        <f>IF(ISERROR(VLOOKUP(Base_Periodo1[[#This Row],[CONTA]],BaseContasDRE[#All],4,FALSE)),"Fora do DRE",VLOOKUP(Base_Periodo1[[#This Row],[CONTA]],BaseContasDRE[#All],4,FALSE))</f>
        <v>Fora do DRE</v>
      </c>
      <c r="T3782" s="3" t="str">
        <f>IF(ISERROR(VLOOKUP(Base_Periodo1[[#This Row],[CONTA]],BaseContasDRE[#All],5,FALSE)),"Fora do DRE",VLOOKUP(Base_Periodo1[[#This Row],[CONTA]],BaseContasDRE[#All],6,FALSE))</f>
        <v>Fora do DRE</v>
      </c>
      <c r="U3782" s="3" t="str">
        <f>IF(ISERROR(VLOOKUP(Base_Periodo1[[#This Row],[CONTA]],BaseContasDRE[#All],7,FALSE)),"Fora do DRE",VLOOKUP(Base_Periodo1[[#This Row],[CONTA]],BaseContasDRE[#All],7,FALSE))</f>
        <v>Fora do DRE</v>
      </c>
      <c r="V3782" s="3" t="str">
        <f>IF(Base_Periodo1[[#This Row],[Tipo_Linha]]="Fora do DRE","Fora do DRE","( "&amp;Base_Periodo1[[#This Row],[Tipo_Linha]]&amp;" ) "&amp;Base_Periodo1[[#This Row],[Filtro]])</f>
        <v>Fora do DRE</v>
      </c>
      <c r="W3782" s="3" t="str">
        <f>LEFT(Base_Periodo1[[#This Row],[CLASS]],3)</f>
        <v>2.1</v>
      </c>
    </row>
    <row r="3783" spans="1:23" hidden="1">
      <c r="A3783" s="3" t="str">
        <f t="shared" si="59"/>
        <v>Período 1</v>
      </c>
      <c r="B3783">
        <v>58554</v>
      </c>
      <c r="C3783" t="s">
        <v>2010</v>
      </c>
      <c r="D3783" t="s">
        <v>7084</v>
      </c>
      <c r="E3783" s="3" t="str">
        <f>IF(LEN(Base_Periodo1[[#This Row],[CLASS]])&gt;=7,LEFT(Base_Periodo1[[#This Row],[CLASS]],7),"")</f>
        <v>2.1.2.2</v>
      </c>
      <c r="F3783" s="3" t="str">
        <f>VLOOKUP(Base_Periodo1[[#This Row],[Aux]],Base_Contas_Balanco[#All],2,FALSE)</f>
        <v>Fornecedores Não Cooperados</v>
      </c>
      <c r="G3783" s="1">
        <v>42872</v>
      </c>
      <c r="I3783" s="225">
        <v>6546.9699999999993</v>
      </c>
      <c r="J3783" s="225">
        <v>6546.97</v>
      </c>
      <c r="K3783" s="225">
        <v>-9.0949470177292824E-13</v>
      </c>
      <c r="L37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83" s="225">
        <f>ROUND(IF(AND(Base_Periodo1[[#This Row],[Tipo_Linha]]="-",Base_Periodo1[[#This Row],[TIPOSALDO]]="D"),Base_Periodo1[[#This Row],[SALDO_ATUAL]]*-1,Base_Periodo1[[#This Row],[SALDO_ATUAL]]),4)</f>
        <v>0</v>
      </c>
      <c r="N3783" t="s">
        <v>116</v>
      </c>
      <c r="O3783" t="s">
        <v>436</v>
      </c>
      <c r="P3783" t="s">
        <v>436</v>
      </c>
      <c r="Q3783">
        <v>7</v>
      </c>
      <c r="R3783" s="225">
        <f>Base_Periodo1[[#This Row],[CREDITOS]]-Base_Periodo1[[#This Row],[DEBITOS]]</f>
        <v>0</v>
      </c>
      <c r="S3783" s="3" t="str">
        <f>IF(ISERROR(VLOOKUP(Base_Periodo1[[#This Row],[CONTA]],BaseContasDRE[#All],4,FALSE)),"Fora do DRE",VLOOKUP(Base_Periodo1[[#This Row],[CONTA]],BaseContasDRE[#All],4,FALSE))</f>
        <v>Fora do DRE</v>
      </c>
      <c r="T3783" s="3" t="str">
        <f>IF(ISERROR(VLOOKUP(Base_Periodo1[[#This Row],[CONTA]],BaseContasDRE[#All],5,FALSE)),"Fora do DRE",VLOOKUP(Base_Periodo1[[#This Row],[CONTA]],BaseContasDRE[#All],6,FALSE))</f>
        <v>Fora do DRE</v>
      </c>
      <c r="U3783" s="3" t="str">
        <f>IF(ISERROR(VLOOKUP(Base_Periodo1[[#This Row],[CONTA]],BaseContasDRE[#All],7,FALSE)),"Fora do DRE",VLOOKUP(Base_Periodo1[[#This Row],[CONTA]],BaseContasDRE[#All],7,FALSE))</f>
        <v>Fora do DRE</v>
      </c>
      <c r="V3783" s="3" t="str">
        <f>IF(Base_Periodo1[[#This Row],[Tipo_Linha]]="Fora do DRE","Fora do DRE","( "&amp;Base_Periodo1[[#This Row],[Tipo_Linha]]&amp;" ) "&amp;Base_Periodo1[[#This Row],[Filtro]])</f>
        <v>Fora do DRE</v>
      </c>
      <c r="W3783" s="3" t="str">
        <f>LEFT(Base_Periodo1[[#This Row],[CLASS]],3)</f>
        <v>2.1</v>
      </c>
    </row>
    <row r="3784" spans="1:23" hidden="1">
      <c r="A3784" s="3" t="str">
        <f t="shared" si="59"/>
        <v>Período 1</v>
      </c>
      <c r="B3784">
        <v>50644</v>
      </c>
      <c r="C3784" t="s">
        <v>2010</v>
      </c>
      <c r="D3784" t="s">
        <v>7085</v>
      </c>
      <c r="E3784" s="3" t="str">
        <f>IF(LEN(Base_Periodo1[[#This Row],[CLASS]])&gt;=7,LEFT(Base_Periodo1[[#This Row],[CLASS]],7),"")</f>
        <v>2.1.2.2</v>
      </c>
      <c r="F3784" s="3" t="str">
        <f>VLOOKUP(Base_Periodo1[[#This Row],[Aux]],Base_Contas_Balanco[#All],2,FALSE)</f>
        <v>Fornecedores Não Cooperados</v>
      </c>
      <c r="G3784" s="1">
        <v>42884</v>
      </c>
      <c r="I3784" s="225">
        <v>44.87</v>
      </c>
      <c r="J3784" s="225">
        <v>1950.78</v>
      </c>
      <c r="K3784" s="225">
        <v>1905.91</v>
      </c>
      <c r="L37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1905.91</v>
      </c>
      <c r="M3784" s="225">
        <f>ROUND(IF(AND(Base_Periodo1[[#This Row],[Tipo_Linha]]="-",Base_Periodo1[[#This Row],[TIPOSALDO]]="D"),Base_Periodo1[[#This Row],[SALDO_ATUAL]]*-1,Base_Periodo1[[#This Row],[SALDO_ATUAL]]),4)</f>
        <v>1905.91</v>
      </c>
      <c r="N3784" t="s">
        <v>116</v>
      </c>
      <c r="O3784" t="s">
        <v>436</v>
      </c>
      <c r="P3784" t="s">
        <v>459</v>
      </c>
      <c r="Q3784">
        <v>7</v>
      </c>
      <c r="R3784" s="225">
        <f>Base_Periodo1[[#This Row],[CREDITOS]]-Base_Periodo1[[#This Row],[DEBITOS]]</f>
        <v>1905.91</v>
      </c>
      <c r="S3784" s="3" t="str">
        <f>IF(ISERROR(VLOOKUP(Base_Periodo1[[#This Row],[CONTA]],BaseContasDRE[#All],4,FALSE)),"Fora do DRE",VLOOKUP(Base_Periodo1[[#This Row],[CONTA]],BaseContasDRE[#All],4,FALSE))</f>
        <v>Fora do DRE</v>
      </c>
      <c r="T3784" s="3" t="str">
        <f>IF(ISERROR(VLOOKUP(Base_Periodo1[[#This Row],[CONTA]],BaseContasDRE[#All],5,FALSE)),"Fora do DRE",VLOOKUP(Base_Periodo1[[#This Row],[CONTA]],BaseContasDRE[#All],6,FALSE))</f>
        <v>Fora do DRE</v>
      </c>
      <c r="U3784" s="3" t="str">
        <f>IF(ISERROR(VLOOKUP(Base_Periodo1[[#This Row],[CONTA]],BaseContasDRE[#All],7,FALSE)),"Fora do DRE",VLOOKUP(Base_Periodo1[[#This Row],[CONTA]],BaseContasDRE[#All],7,FALSE))</f>
        <v>Fora do DRE</v>
      </c>
      <c r="V3784" s="3" t="str">
        <f>IF(Base_Periodo1[[#This Row],[Tipo_Linha]]="Fora do DRE","Fora do DRE","( "&amp;Base_Periodo1[[#This Row],[Tipo_Linha]]&amp;" ) "&amp;Base_Periodo1[[#This Row],[Filtro]])</f>
        <v>Fora do DRE</v>
      </c>
      <c r="W3784" s="3" t="str">
        <f>LEFT(Base_Periodo1[[#This Row],[CLASS]],3)</f>
        <v>2.1</v>
      </c>
    </row>
    <row r="3785" spans="1:23" hidden="1">
      <c r="A3785" s="3" t="str">
        <f t="shared" si="59"/>
        <v>Período 1</v>
      </c>
      <c r="B3785">
        <v>19727</v>
      </c>
      <c r="C3785" t="s">
        <v>2010</v>
      </c>
      <c r="D3785" t="s">
        <v>7086</v>
      </c>
      <c r="E3785" s="3" t="str">
        <f>IF(LEN(Base_Periodo1[[#This Row],[CLASS]])&gt;=7,LEFT(Base_Periodo1[[#This Row],[CLASS]],7),"")</f>
        <v>2.1.2.2</v>
      </c>
      <c r="F3785" s="3" t="str">
        <f>VLOOKUP(Base_Periodo1[[#This Row],[Aux]],Base_Contas_Balanco[#All],2,FALSE)</f>
        <v>Fornecedores Não Cooperados</v>
      </c>
      <c r="G3785" s="1">
        <v>42881</v>
      </c>
      <c r="I3785" s="225">
        <v>299.5</v>
      </c>
      <c r="J3785" s="225">
        <v>299.5</v>
      </c>
      <c r="K3785" s="225">
        <v>-2.9103830456733704E-11</v>
      </c>
      <c r="L37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85" s="225">
        <f>ROUND(IF(AND(Base_Periodo1[[#This Row],[Tipo_Linha]]="-",Base_Periodo1[[#This Row],[TIPOSALDO]]="D"),Base_Periodo1[[#This Row],[SALDO_ATUAL]]*-1,Base_Periodo1[[#This Row],[SALDO_ATUAL]]),4)</f>
        <v>0</v>
      </c>
      <c r="N3785" t="s">
        <v>116</v>
      </c>
      <c r="O3785" t="s">
        <v>436</v>
      </c>
      <c r="P3785" t="s">
        <v>436</v>
      </c>
      <c r="Q3785">
        <v>7</v>
      </c>
      <c r="R3785" s="225">
        <f>Base_Periodo1[[#This Row],[CREDITOS]]-Base_Periodo1[[#This Row],[DEBITOS]]</f>
        <v>0</v>
      </c>
      <c r="S3785" s="3" t="str">
        <f>IF(ISERROR(VLOOKUP(Base_Periodo1[[#This Row],[CONTA]],BaseContasDRE[#All],4,FALSE)),"Fora do DRE",VLOOKUP(Base_Periodo1[[#This Row],[CONTA]],BaseContasDRE[#All],4,FALSE))</f>
        <v>Fora do DRE</v>
      </c>
      <c r="T3785" s="3" t="str">
        <f>IF(ISERROR(VLOOKUP(Base_Periodo1[[#This Row],[CONTA]],BaseContasDRE[#All],5,FALSE)),"Fora do DRE",VLOOKUP(Base_Periodo1[[#This Row],[CONTA]],BaseContasDRE[#All],6,FALSE))</f>
        <v>Fora do DRE</v>
      </c>
      <c r="U3785" s="3" t="str">
        <f>IF(ISERROR(VLOOKUP(Base_Periodo1[[#This Row],[CONTA]],BaseContasDRE[#All],7,FALSE)),"Fora do DRE",VLOOKUP(Base_Periodo1[[#This Row],[CONTA]],BaseContasDRE[#All],7,FALSE))</f>
        <v>Fora do DRE</v>
      </c>
      <c r="V3785" s="3" t="str">
        <f>IF(Base_Periodo1[[#This Row],[Tipo_Linha]]="Fora do DRE","Fora do DRE","( "&amp;Base_Periodo1[[#This Row],[Tipo_Linha]]&amp;" ) "&amp;Base_Periodo1[[#This Row],[Filtro]])</f>
        <v>Fora do DRE</v>
      </c>
      <c r="W3785" s="3" t="str">
        <f>LEFT(Base_Periodo1[[#This Row],[CLASS]],3)</f>
        <v>2.1</v>
      </c>
    </row>
    <row r="3786" spans="1:23" hidden="1">
      <c r="A3786" s="3" t="str">
        <f t="shared" si="59"/>
        <v>Período 1</v>
      </c>
      <c r="B3786">
        <v>55329</v>
      </c>
      <c r="C3786" t="s">
        <v>2010</v>
      </c>
      <c r="D3786" t="s">
        <v>5338</v>
      </c>
      <c r="E3786" s="3" t="str">
        <f>IF(LEN(Base_Periodo1[[#This Row],[CLASS]])&gt;=7,LEFT(Base_Periodo1[[#This Row],[CLASS]],7),"")</f>
        <v>2.1.2.2</v>
      </c>
      <c r="F3786" s="3" t="str">
        <f>VLOOKUP(Base_Periodo1[[#This Row],[Aux]],Base_Contas_Balanco[#All],2,FALSE)</f>
        <v>Fornecedores Não Cooperados</v>
      </c>
      <c r="G3786" s="1">
        <v>42863</v>
      </c>
      <c r="H3786" s="225">
        <v>6000</v>
      </c>
      <c r="I3786" s="225">
        <v>6000</v>
      </c>
      <c r="J3786" s="225">
        <v>0</v>
      </c>
      <c r="K3786" s="225">
        <v>0</v>
      </c>
      <c r="L37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86" s="225">
        <f>ROUND(IF(AND(Base_Periodo1[[#This Row],[Tipo_Linha]]="-",Base_Periodo1[[#This Row],[TIPOSALDO]]="D"),Base_Periodo1[[#This Row],[SALDO_ATUAL]]*-1,Base_Periodo1[[#This Row],[SALDO_ATUAL]]),4)</f>
        <v>0</v>
      </c>
      <c r="N3786" t="s">
        <v>116</v>
      </c>
      <c r="O3786" t="s">
        <v>459</v>
      </c>
      <c r="P3786" t="s">
        <v>436</v>
      </c>
      <c r="Q3786">
        <v>7</v>
      </c>
      <c r="R3786" s="225">
        <f>Base_Periodo1[[#This Row],[CREDITOS]]-Base_Periodo1[[#This Row],[DEBITOS]]</f>
        <v>-6000</v>
      </c>
      <c r="S3786" s="3" t="str">
        <f>IF(ISERROR(VLOOKUP(Base_Periodo1[[#This Row],[CONTA]],BaseContasDRE[#All],4,FALSE)),"Fora do DRE",VLOOKUP(Base_Periodo1[[#This Row],[CONTA]],BaseContasDRE[#All],4,FALSE))</f>
        <v>Fora do DRE</v>
      </c>
      <c r="T3786" s="3" t="str">
        <f>IF(ISERROR(VLOOKUP(Base_Periodo1[[#This Row],[CONTA]],BaseContasDRE[#All],5,FALSE)),"Fora do DRE",VLOOKUP(Base_Periodo1[[#This Row],[CONTA]],BaseContasDRE[#All],6,FALSE))</f>
        <v>Fora do DRE</v>
      </c>
      <c r="U3786" s="3" t="str">
        <f>IF(ISERROR(VLOOKUP(Base_Periodo1[[#This Row],[CONTA]],BaseContasDRE[#All],7,FALSE)),"Fora do DRE",VLOOKUP(Base_Periodo1[[#This Row],[CONTA]],BaseContasDRE[#All],7,FALSE))</f>
        <v>Fora do DRE</v>
      </c>
      <c r="V3786" s="3" t="str">
        <f>IF(Base_Periodo1[[#This Row],[Tipo_Linha]]="Fora do DRE","Fora do DRE","( "&amp;Base_Periodo1[[#This Row],[Tipo_Linha]]&amp;" ) "&amp;Base_Periodo1[[#This Row],[Filtro]])</f>
        <v>Fora do DRE</v>
      </c>
      <c r="W3786" s="3" t="str">
        <f>LEFT(Base_Periodo1[[#This Row],[CLASS]],3)</f>
        <v>2.1</v>
      </c>
    </row>
    <row r="3787" spans="1:23" hidden="1">
      <c r="A3787" s="3" t="str">
        <f t="shared" si="59"/>
        <v>Período 1</v>
      </c>
      <c r="B3787">
        <v>8533</v>
      </c>
      <c r="C3787" t="s">
        <v>2010</v>
      </c>
      <c r="D3787" t="s">
        <v>2090</v>
      </c>
      <c r="E3787" s="3" t="str">
        <f>IF(LEN(Base_Periodo1[[#This Row],[CLASS]])&gt;=7,LEFT(Base_Periodo1[[#This Row],[CLASS]],7),"")</f>
        <v>2.1.2.2</v>
      </c>
      <c r="F3787" s="3" t="str">
        <f>VLOOKUP(Base_Periodo1[[#This Row],[Aux]],Base_Contas_Balanco[#All],2,FALSE)</f>
        <v>Fornecedores Não Cooperados</v>
      </c>
      <c r="G3787" s="1">
        <v>42884</v>
      </c>
      <c r="H3787" s="225">
        <v>23698.159999966621</v>
      </c>
      <c r="I3787" s="225">
        <v>1007522.6900000001</v>
      </c>
      <c r="J3787" s="225">
        <v>987793.2300000001</v>
      </c>
      <c r="K3787" s="225">
        <v>3968.6999999666587</v>
      </c>
      <c r="L37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3968.7</v>
      </c>
      <c r="M3787" s="225">
        <f>ROUND(IF(AND(Base_Periodo1[[#This Row],[Tipo_Linha]]="-",Base_Periodo1[[#This Row],[TIPOSALDO]]="D"),Base_Periodo1[[#This Row],[SALDO_ATUAL]]*-1,Base_Periodo1[[#This Row],[SALDO_ATUAL]]),4)</f>
        <v>3968.7</v>
      </c>
      <c r="N3787" t="s">
        <v>116</v>
      </c>
      <c r="O3787" t="s">
        <v>459</v>
      </c>
      <c r="P3787" t="s">
        <v>459</v>
      </c>
      <c r="Q3787">
        <v>7</v>
      </c>
      <c r="R3787" s="225">
        <f>Base_Periodo1[[#This Row],[CREDITOS]]-Base_Periodo1[[#This Row],[DEBITOS]]</f>
        <v>-19729.459999999963</v>
      </c>
      <c r="S3787" s="3" t="str">
        <f>IF(ISERROR(VLOOKUP(Base_Periodo1[[#This Row],[CONTA]],BaseContasDRE[#All],4,FALSE)),"Fora do DRE",VLOOKUP(Base_Periodo1[[#This Row],[CONTA]],BaseContasDRE[#All],4,FALSE))</f>
        <v>Fora do DRE</v>
      </c>
      <c r="T3787" s="3" t="str">
        <f>IF(ISERROR(VLOOKUP(Base_Periodo1[[#This Row],[CONTA]],BaseContasDRE[#All],5,FALSE)),"Fora do DRE",VLOOKUP(Base_Periodo1[[#This Row],[CONTA]],BaseContasDRE[#All],6,FALSE))</f>
        <v>Fora do DRE</v>
      </c>
      <c r="U3787" s="3" t="str">
        <f>IF(ISERROR(VLOOKUP(Base_Periodo1[[#This Row],[CONTA]],BaseContasDRE[#All],7,FALSE)),"Fora do DRE",VLOOKUP(Base_Periodo1[[#This Row],[CONTA]],BaseContasDRE[#All],7,FALSE))</f>
        <v>Fora do DRE</v>
      </c>
      <c r="V3787" s="3" t="str">
        <f>IF(Base_Periodo1[[#This Row],[Tipo_Linha]]="Fora do DRE","Fora do DRE","( "&amp;Base_Periodo1[[#This Row],[Tipo_Linha]]&amp;" ) "&amp;Base_Periodo1[[#This Row],[Filtro]])</f>
        <v>Fora do DRE</v>
      </c>
      <c r="W3787" s="3" t="str">
        <f>LEFT(Base_Periodo1[[#This Row],[CLASS]],3)</f>
        <v>2.1</v>
      </c>
    </row>
    <row r="3788" spans="1:23" hidden="1">
      <c r="A3788" s="3" t="str">
        <f t="shared" si="59"/>
        <v>Período 1</v>
      </c>
      <c r="B3788">
        <v>36882</v>
      </c>
      <c r="C3788" t="s">
        <v>2010</v>
      </c>
      <c r="D3788" t="s">
        <v>2091</v>
      </c>
      <c r="E3788" s="3" t="str">
        <f>IF(LEN(Base_Periodo1[[#This Row],[CLASS]])&gt;=7,LEFT(Base_Periodo1[[#This Row],[CLASS]],7),"")</f>
        <v>2.1.2.2</v>
      </c>
      <c r="F3788" s="3" t="str">
        <f>VLOOKUP(Base_Periodo1[[#This Row],[Aux]],Base_Contas_Balanco[#All],2,FALSE)</f>
        <v>Fornecedores Não Cooperados</v>
      </c>
      <c r="G3788" s="1">
        <v>42814</v>
      </c>
      <c r="H3788" s="225">
        <v>225</v>
      </c>
      <c r="I3788" s="225">
        <v>0</v>
      </c>
      <c r="J3788" s="225">
        <v>0</v>
      </c>
      <c r="K3788" s="225">
        <v>225</v>
      </c>
      <c r="L37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225</v>
      </c>
      <c r="M3788" s="225">
        <f>ROUND(IF(AND(Base_Periodo1[[#This Row],[Tipo_Linha]]="-",Base_Periodo1[[#This Row],[TIPOSALDO]]="D"),Base_Periodo1[[#This Row],[SALDO_ATUAL]]*-1,Base_Periodo1[[#This Row],[SALDO_ATUAL]]),4)</f>
        <v>225</v>
      </c>
      <c r="N3788" t="s">
        <v>116</v>
      </c>
      <c r="O3788" t="s">
        <v>459</v>
      </c>
      <c r="P3788" t="s">
        <v>459</v>
      </c>
      <c r="Q3788">
        <v>7</v>
      </c>
      <c r="R3788" s="225">
        <f>Base_Periodo1[[#This Row],[CREDITOS]]-Base_Periodo1[[#This Row],[DEBITOS]]</f>
        <v>0</v>
      </c>
      <c r="S3788" s="3" t="str">
        <f>IF(ISERROR(VLOOKUP(Base_Periodo1[[#This Row],[CONTA]],BaseContasDRE[#All],4,FALSE)),"Fora do DRE",VLOOKUP(Base_Periodo1[[#This Row],[CONTA]],BaseContasDRE[#All],4,FALSE))</f>
        <v>Fora do DRE</v>
      </c>
      <c r="T3788" s="3" t="str">
        <f>IF(ISERROR(VLOOKUP(Base_Periodo1[[#This Row],[CONTA]],BaseContasDRE[#All],5,FALSE)),"Fora do DRE",VLOOKUP(Base_Periodo1[[#This Row],[CONTA]],BaseContasDRE[#All],6,FALSE))</f>
        <v>Fora do DRE</v>
      </c>
      <c r="U3788" s="3" t="str">
        <f>IF(ISERROR(VLOOKUP(Base_Periodo1[[#This Row],[CONTA]],BaseContasDRE[#All],7,FALSE)),"Fora do DRE",VLOOKUP(Base_Periodo1[[#This Row],[CONTA]],BaseContasDRE[#All],7,FALSE))</f>
        <v>Fora do DRE</v>
      </c>
      <c r="V3788" s="3" t="str">
        <f>IF(Base_Periodo1[[#This Row],[Tipo_Linha]]="Fora do DRE","Fora do DRE","( "&amp;Base_Periodo1[[#This Row],[Tipo_Linha]]&amp;" ) "&amp;Base_Periodo1[[#This Row],[Filtro]])</f>
        <v>Fora do DRE</v>
      </c>
      <c r="W3788" s="3" t="str">
        <f>LEFT(Base_Periodo1[[#This Row],[CLASS]],3)</f>
        <v>2.1</v>
      </c>
    </row>
    <row r="3789" spans="1:23" hidden="1">
      <c r="A3789" s="3" t="str">
        <f t="shared" si="59"/>
        <v>Período 1</v>
      </c>
      <c r="B3789">
        <v>18922</v>
      </c>
      <c r="C3789" t="s">
        <v>2010</v>
      </c>
      <c r="D3789" t="s">
        <v>970</v>
      </c>
      <c r="E3789" s="3" t="str">
        <f>IF(LEN(Base_Periodo1[[#This Row],[CLASS]])&gt;=7,LEFT(Base_Periodo1[[#This Row],[CLASS]],7),"")</f>
        <v>2.1.2.2</v>
      </c>
      <c r="F3789" s="3" t="str">
        <f>VLOOKUP(Base_Periodo1[[#This Row],[Aux]],Base_Contas_Balanco[#All],2,FALSE)</f>
        <v>Fornecedores Não Cooperados</v>
      </c>
      <c r="G3789" s="1">
        <v>42885</v>
      </c>
      <c r="I3789" s="225">
        <v>10000.02</v>
      </c>
      <c r="J3789" s="225">
        <v>21439.35</v>
      </c>
      <c r="K3789" s="225">
        <v>11439.329999999998</v>
      </c>
      <c r="L37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11439.33</v>
      </c>
      <c r="M3789" s="225">
        <f>ROUND(IF(AND(Base_Periodo1[[#This Row],[Tipo_Linha]]="-",Base_Periodo1[[#This Row],[TIPOSALDO]]="D"),Base_Periodo1[[#This Row],[SALDO_ATUAL]]*-1,Base_Periodo1[[#This Row],[SALDO_ATUAL]]),4)</f>
        <v>11439.33</v>
      </c>
      <c r="N3789" t="s">
        <v>116</v>
      </c>
      <c r="O3789" t="s">
        <v>436</v>
      </c>
      <c r="P3789" t="s">
        <v>459</v>
      </c>
      <c r="Q3789">
        <v>7</v>
      </c>
      <c r="R3789" s="225">
        <f>Base_Periodo1[[#This Row],[CREDITOS]]-Base_Periodo1[[#This Row],[DEBITOS]]</f>
        <v>11439.329999999998</v>
      </c>
      <c r="S3789" s="3" t="str">
        <f>IF(ISERROR(VLOOKUP(Base_Periodo1[[#This Row],[CONTA]],BaseContasDRE[#All],4,FALSE)),"Fora do DRE",VLOOKUP(Base_Periodo1[[#This Row],[CONTA]],BaseContasDRE[#All],4,FALSE))</f>
        <v>Fora do DRE</v>
      </c>
      <c r="T3789" s="3" t="str">
        <f>IF(ISERROR(VLOOKUP(Base_Periodo1[[#This Row],[CONTA]],BaseContasDRE[#All],5,FALSE)),"Fora do DRE",VLOOKUP(Base_Periodo1[[#This Row],[CONTA]],BaseContasDRE[#All],6,FALSE))</f>
        <v>Fora do DRE</v>
      </c>
      <c r="U3789" s="3" t="str">
        <f>IF(ISERROR(VLOOKUP(Base_Periodo1[[#This Row],[CONTA]],BaseContasDRE[#All],7,FALSE)),"Fora do DRE",VLOOKUP(Base_Periodo1[[#This Row],[CONTA]],BaseContasDRE[#All],7,FALSE))</f>
        <v>Fora do DRE</v>
      </c>
      <c r="V3789" s="3" t="str">
        <f>IF(Base_Periodo1[[#This Row],[Tipo_Linha]]="Fora do DRE","Fora do DRE","( "&amp;Base_Periodo1[[#This Row],[Tipo_Linha]]&amp;" ) "&amp;Base_Periodo1[[#This Row],[Filtro]])</f>
        <v>Fora do DRE</v>
      </c>
      <c r="W3789" s="3" t="str">
        <f>LEFT(Base_Periodo1[[#This Row],[CLASS]],3)</f>
        <v>2.1</v>
      </c>
    </row>
    <row r="3790" spans="1:23" hidden="1">
      <c r="A3790" s="3" t="str">
        <f t="shared" si="59"/>
        <v>Período 1</v>
      </c>
      <c r="B3790">
        <v>58494</v>
      </c>
      <c r="C3790" t="s">
        <v>2010</v>
      </c>
      <c r="D3790" t="s">
        <v>6189</v>
      </c>
      <c r="E3790" s="3" t="str">
        <f>IF(LEN(Base_Periodo1[[#This Row],[CLASS]])&gt;=7,LEFT(Base_Periodo1[[#This Row],[CLASS]],7),"")</f>
        <v>2.1.2.2</v>
      </c>
      <c r="F3790" s="3" t="str">
        <f>VLOOKUP(Base_Periodo1[[#This Row],[Aux]],Base_Contas_Balanco[#All],2,FALSE)</f>
        <v>Fornecedores Não Cooperados</v>
      </c>
      <c r="G3790" s="1">
        <v>42859</v>
      </c>
      <c r="I3790" s="225">
        <v>40004.21</v>
      </c>
      <c r="J3790" s="225">
        <v>40004.21</v>
      </c>
      <c r="K3790" s="225">
        <v>0</v>
      </c>
      <c r="L37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90" s="225">
        <f>ROUND(IF(AND(Base_Periodo1[[#This Row],[Tipo_Linha]]="-",Base_Periodo1[[#This Row],[TIPOSALDO]]="D"),Base_Periodo1[[#This Row],[SALDO_ATUAL]]*-1,Base_Periodo1[[#This Row],[SALDO_ATUAL]]),4)</f>
        <v>0</v>
      </c>
      <c r="N3790" t="s">
        <v>116</v>
      </c>
      <c r="O3790" t="s">
        <v>436</v>
      </c>
      <c r="P3790" t="s">
        <v>436</v>
      </c>
      <c r="Q3790">
        <v>7</v>
      </c>
      <c r="R3790" s="225">
        <f>Base_Periodo1[[#This Row],[CREDITOS]]-Base_Periodo1[[#This Row],[DEBITOS]]</f>
        <v>0</v>
      </c>
      <c r="S3790" s="3" t="str">
        <f>IF(ISERROR(VLOOKUP(Base_Periodo1[[#This Row],[CONTA]],BaseContasDRE[#All],4,FALSE)),"Fora do DRE",VLOOKUP(Base_Periodo1[[#This Row],[CONTA]],BaseContasDRE[#All],4,FALSE))</f>
        <v>Fora do DRE</v>
      </c>
      <c r="T3790" s="3" t="str">
        <f>IF(ISERROR(VLOOKUP(Base_Periodo1[[#This Row],[CONTA]],BaseContasDRE[#All],5,FALSE)),"Fora do DRE",VLOOKUP(Base_Periodo1[[#This Row],[CONTA]],BaseContasDRE[#All],6,FALSE))</f>
        <v>Fora do DRE</v>
      </c>
      <c r="U3790" s="3" t="str">
        <f>IF(ISERROR(VLOOKUP(Base_Periodo1[[#This Row],[CONTA]],BaseContasDRE[#All],7,FALSE)),"Fora do DRE",VLOOKUP(Base_Periodo1[[#This Row],[CONTA]],BaseContasDRE[#All],7,FALSE))</f>
        <v>Fora do DRE</v>
      </c>
      <c r="V3790" s="3" t="str">
        <f>IF(Base_Periodo1[[#This Row],[Tipo_Linha]]="Fora do DRE","Fora do DRE","( "&amp;Base_Periodo1[[#This Row],[Tipo_Linha]]&amp;" ) "&amp;Base_Periodo1[[#This Row],[Filtro]])</f>
        <v>Fora do DRE</v>
      </c>
      <c r="W3790" s="3" t="str">
        <f>LEFT(Base_Periodo1[[#This Row],[CLASS]],3)</f>
        <v>2.1</v>
      </c>
    </row>
    <row r="3791" spans="1:23" hidden="1">
      <c r="A3791" s="3" t="str">
        <f t="shared" si="59"/>
        <v>Período 1</v>
      </c>
      <c r="B3791">
        <v>59190</v>
      </c>
      <c r="C3791" t="s">
        <v>2010</v>
      </c>
      <c r="D3791" t="s">
        <v>7087</v>
      </c>
      <c r="E3791" s="3" t="str">
        <f>IF(LEN(Base_Periodo1[[#This Row],[CLASS]])&gt;=7,LEFT(Base_Periodo1[[#This Row],[CLASS]],7),"")</f>
        <v>2.1.2.2</v>
      </c>
      <c r="F3791" s="3" t="str">
        <f>VLOOKUP(Base_Periodo1[[#This Row],[Aux]],Base_Contas_Balanco[#All],2,FALSE)</f>
        <v>Fornecedores Não Cooperados</v>
      </c>
      <c r="G3791" s="1"/>
      <c r="I3791" s="225">
        <v>0</v>
      </c>
      <c r="J3791" s="225">
        <v>978.85000000000014</v>
      </c>
      <c r="K3791" s="225">
        <v>978.85000000000014</v>
      </c>
      <c r="L37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978.85</v>
      </c>
      <c r="M3791" s="225">
        <f>ROUND(IF(AND(Base_Periodo1[[#This Row],[Tipo_Linha]]="-",Base_Periodo1[[#This Row],[TIPOSALDO]]="D"),Base_Periodo1[[#This Row],[SALDO_ATUAL]]*-1,Base_Periodo1[[#This Row],[SALDO_ATUAL]]),4)</f>
        <v>978.85</v>
      </c>
      <c r="N3791" t="s">
        <v>116</v>
      </c>
      <c r="O3791" t="s">
        <v>436</v>
      </c>
      <c r="P3791" t="s">
        <v>459</v>
      </c>
      <c r="Q3791">
        <v>7</v>
      </c>
      <c r="R3791" s="225">
        <f>Base_Periodo1[[#This Row],[CREDITOS]]-Base_Periodo1[[#This Row],[DEBITOS]]</f>
        <v>978.85000000000014</v>
      </c>
      <c r="S3791" s="3" t="str">
        <f>IF(ISERROR(VLOOKUP(Base_Periodo1[[#This Row],[CONTA]],BaseContasDRE[#All],4,FALSE)),"Fora do DRE",VLOOKUP(Base_Periodo1[[#This Row],[CONTA]],BaseContasDRE[#All],4,FALSE))</f>
        <v>Fora do DRE</v>
      </c>
      <c r="T3791" s="3" t="str">
        <f>IF(ISERROR(VLOOKUP(Base_Periodo1[[#This Row],[CONTA]],BaseContasDRE[#All],5,FALSE)),"Fora do DRE",VLOOKUP(Base_Periodo1[[#This Row],[CONTA]],BaseContasDRE[#All],6,FALSE))</f>
        <v>Fora do DRE</v>
      </c>
      <c r="U3791" s="3" t="str">
        <f>IF(ISERROR(VLOOKUP(Base_Periodo1[[#This Row],[CONTA]],BaseContasDRE[#All],7,FALSE)),"Fora do DRE",VLOOKUP(Base_Periodo1[[#This Row],[CONTA]],BaseContasDRE[#All],7,FALSE))</f>
        <v>Fora do DRE</v>
      </c>
      <c r="V3791" s="3" t="str">
        <f>IF(Base_Periodo1[[#This Row],[Tipo_Linha]]="Fora do DRE","Fora do DRE","( "&amp;Base_Periodo1[[#This Row],[Tipo_Linha]]&amp;" ) "&amp;Base_Periodo1[[#This Row],[Filtro]])</f>
        <v>Fora do DRE</v>
      </c>
      <c r="W3791" s="3" t="str">
        <f>LEFT(Base_Periodo1[[#This Row],[CLASS]],3)</f>
        <v>2.1</v>
      </c>
    </row>
    <row r="3792" spans="1:23" hidden="1">
      <c r="A3792" s="3" t="str">
        <f t="shared" si="59"/>
        <v>Período 1</v>
      </c>
      <c r="B3792">
        <v>10158</v>
      </c>
      <c r="C3792" t="s">
        <v>2010</v>
      </c>
      <c r="D3792" t="s">
        <v>6498</v>
      </c>
      <c r="E3792" s="3" t="str">
        <f>IF(LEN(Base_Periodo1[[#This Row],[CLASS]])&gt;=7,LEFT(Base_Periodo1[[#This Row],[CLASS]],7),"")</f>
        <v>2.1.2.2</v>
      </c>
      <c r="F3792" s="3" t="str">
        <f>VLOOKUP(Base_Periodo1[[#This Row],[Aux]],Base_Contas_Balanco[#All],2,FALSE)</f>
        <v>Fornecedores Não Cooperados</v>
      </c>
      <c r="G3792" s="1">
        <v>42880</v>
      </c>
      <c r="H3792" s="225">
        <v>287.99999999999272</v>
      </c>
      <c r="I3792" s="225">
        <v>1603.92</v>
      </c>
      <c r="J3792" s="225">
        <v>1855.2600000000002</v>
      </c>
      <c r="K3792" s="225">
        <v>539.33999999999287</v>
      </c>
      <c r="L37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539.34</v>
      </c>
      <c r="M3792" s="225">
        <f>ROUND(IF(AND(Base_Periodo1[[#This Row],[Tipo_Linha]]="-",Base_Periodo1[[#This Row],[TIPOSALDO]]="D"),Base_Periodo1[[#This Row],[SALDO_ATUAL]]*-1,Base_Periodo1[[#This Row],[SALDO_ATUAL]]),4)</f>
        <v>539.34</v>
      </c>
      <c r="N3792" t="s">
        <v>116</v>
      </c>
      <c r="O3792" t="s">
        <v>459</v>
      </c>
      <c r="P3792" t="s">
        <v>459</v>
      </c>
      <c r="Q3792">
        <v>7</v>
      </c>
      <c r="R3792" s="225">
        <f>Base_Periodo1[[#This Row],[CREDITOS]]-Base_Periodo1[[#This Row],[DEBITOS]]</f>
        <v>251.34000000000015</v>
      </c>
      <c r="S3792" s="3" t="str">
        <f>IF(ISERROR(VLOOKUP(Base_Periodo1[[#This Row],[CONTA]],BaseContasDRE[#All],4,FALSE)),"Fora do DRE",VLOOKUP(Base_Periodo1[[#This Row],[CONTA]],BaseContasDRE[#All],4,FALSE))</f>
        <v>Fora do DRE</v>
      </c>
      <c r="T3792" s="3" t="str">
        <f>IF(ISERROR(VLOOKUP(Base_Periodo1[[#This Row],[CONTA]],BaseContasDRE[#All],5,FALSE)),"Fora do DRE",VLOOKUP(Base_Periodo1[[#This Row],[CONTA]],BaseContasDRE[#All],6,FALSE))</f>
        <v>Fora do DRE</v>
      </c>
      <c r="U3792" s="3" t="str">
        <f>IF(ISERROR(VLOOKUP(Base_Periodo1[[#This Row],[CONTA]],BaseContasDRE[#All],7,FALSE)),"Fora do DRE",VLOOKUP(Base_Periodo1[[#This Row],[CONTA]],BaseContasDRE[#All],7,FALSE))</f>
        <v>Fora do DRE</v>
      </c>
      <c r="V3792" s="3" t="str">
        <f>IF(Base_Periodo1[[#This Row],[Tipo_Linha]]="Fora do DRE","Fora do DRE","( "&amp;Base_Periodo1[[#This Row],[Tipo_Linha]]&amp;" ) "&amp;Base_Periodo1[[#This Row],[Filtro]])</f>
        <v>Fora do DRE</v>
      </c>
      <c r="W3792" s="3" t="str">
        <f>LEFT(Base_Periodo1[[#This Row],[CLASS]],3)</f>
        <v>2.1</v>
      </c>
    </row>
    <row r="3793" spans="1:23" hidden="1">
      <c r="A3793" s="3" t="str">
        <f t="shared" si="59"/>
        <v>Período 1</v>
      </c>
      <c r="B3793">
        <v>27285</v>
      </c>
      <c r="C3793" t="s">
        <v>2010</v>
      </c>
      <c r="D3793" t="s">
        <v>7088</v>
      </c>
      <c r="E3793" s="3" t="str">
        <f>IF(LEN(Base_Periodo1[[#This Row],[CLASS]])&gt;=7,LEFT(Base_Periodo1[[#This Row],[CLASS]],7),"")</f>
        <v>2.1.2.2</v>
      </c>
      <c r="F3793" s="3" t="str">
        <f>VLOOKUP(Base_Periodo1[[#This Row],[Aux]],Base_Contas_Balanco[#All],2,FALSE)</f>
        <v>Fornecedores Não Cooperados</v>
      </c>
      <c r="G3793" s="1">
        <v>42874</v>
      </c>
      <c r="I3793" s="225">
        <v>2100.6999999999998</v>
      </c>
      <c r="J3793" s="225">
        <v>2100.6999999999998</v>
      </c>
      <c r="K3793" s="225">
        <v>3.637978807091713E-12</v>
      </c>
      <c r="L37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93" s="225">
        <f>ROUND(IF(AND(Base_Periodo1[[#This Row],[Tipo_Linha]]="-",Base_Periodo1[[#This Row],[TIPOSALDO]]="D"),Base_Periodo1[[#This Row],[SALDO_ATUAL]]*-1,Base_Periodo1[[#This Row],[SALDO_ATUAL]]),4)</f>
        <v>0</v>
      </c>
      <c r="N3793" t="s">
        <v>116</v>
      </c>
      <c r="O3793" t="s">
        <v>436</v>
      </c>
      <c r="P3793" t="s">
        <v>436</v>
      </c>
      <c r="Q3793">
        <v>7</v>
      </c>
      <c r="R3793" s="225">
        <f>Base_Periodo1[[#This Row],[CREDITOS]]-Base_Periodo1[[#This Row],[DEBITOS]]</f>
        <v>0</v>
      </c>
      <c r="S3793" s="3" t="str">
        <f>IF(ISERROR(VLOOKUP(Base_Periodo1[[#This Row],[CONTA]],BaseContasDRE[#All],4,FALSE)),"Fora do DRE",VLOOKUP(Base_Periodo1[[#This Row],[CONTA]],BaseContasDRE[#All],4,FALSE))</f>
        <v>Fora do DRE</v>
      </c>
      <c r="T3793" s="3" t="str">
        <f>IF(ISERROR(VLOOKUP(Base_Periodo1[[#This Row],[CONTA]],BaseContasDRE[#All],5,FALSE)),"Fora do DRE",VLOOKUP(Base_Periodo1[[#This Row],[CONTA]],BaseContasDRE[#All],6,FALSE))</f>
        <v>Fora do DRE</v>
      </c>
      <c r="U3793" s="3" t="str">
        <f>IF(ISERROR(VLOOKUP(Base_Periodo1[[#This Row],[CONTA]],BaseContasDRE[#All],7,FALSE)),"Fora do DRE",VLOOKUP(Base_Periodo1[[#This Row],[CONTA]],BaseContasDRE[#All],7,FALSE))</f>
        <v>Fora do DRE</v>
      </c>
      <c r="V3793" s="3" t="str">
        <f>IF(Base_Periodo1[[#This Row],[Tipo_Linha]]="Fora do DRE","Fora do DRE","( "&amp;Base_Periodo1[[#This Row],[Tipo_Linha]]&amp;" ) "&amp;Base_Periodo1[[#This Row],[Filtro]])</f>
        <v>Fora do DRE</v>
      </c>
      <c r="W3793" s="3" t="str">
        <f>LEFT(Base_Periodo1[[#This Row],[CLASS]],3)</f>
        <v>2.1</v>
      </c>
    </row>
    <row r="3794" spans="1:23" hidden="1">
      <c r="A3794" s="3" t="str">
        <f t="shared" si="59"/>
        <v>Período 1</v>
      </c>
      <c r="B3794">
        <v>50893</v>
      </c>
      <c r="C3794" t="s">
        <v>2010</v>
      </c>
      <c r="D3794" t="s">
        <v>971</v>
      </c>
      <c r="E3794" s="3" t="str">
        <f>IF(LEN(Base_Periodo1[[#This Row],[CLASS]])&gt;=7,LEFT(Base_Periodo1[[#This Row],[CLASS]],7),"")</f>
        <v>2.1.2.2</v>
      </c>
      <c r="F3794" s="3" t="str">
        <f>VLOOKUP(Base_Periodo1[[#This Row],[Aux]],Base_Contas_Balanco[#All],2,FALSE)</f>
        <v>Fornecedores Não Cooperados</v>
      </c>
      <c r="G3794" s="1">
        <v>42881</v>
      </c>
      <c r="I3794" s="225">
        <v>0</v>
      </c>
      <c r="J3794" s="225">
        <v>604.01</v>
      </c>
      <c r="K3794" s="225">
        <v>604.01</v>
      </c>
      <c r="L37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604.01</v>
      </c>
      <c r="M3794" s="225">
        <f>ROUND(IF(AND(Base_Periodo1[[#This Row],[Tipo_Linha]]="-",Base_Periodo1[[#This Row],[TIPOSALDO]]="D"),Base_Periodo1[[#This Row],[SALDO_ATUAL]]*-1,Base_Periodo1[[#This Row],[SALDO_ATUAL]]),4)</f>
        <v>604.01</v>
      </c>
      <c r="N3794" t="s">
        <v>116</v>
      </c>
      <c r="O3794" t="s">
        <v>436</v>
      </c>
      <c r="P3794" t="s">
        <v>459</v>
      </c>
      <c r="Q3794">
        <v>7</v>
      </c>
      <c r="R3794" s="225">
        <f>Base_Periodo1[[#This Row],[CREDITOS]]-Base_Periodo1[[#This Row],[DEBITOS]]</f>
        <v>604.01</v>
      </c>
      <c r="S3794" s="3" t="str">
        <f>IF(ISERROR(VLOOKUP(Base_Periodo1[[#This Row],[CONTA]],BaseContasDRE[#All],4,FALSE)),"Fora do DRE",VLOOKUP(Base_Periodo1[[#This Row],[CONTA]],BaseContasDRE[#All],4,FALSE))</f>
        <v>Fora do DRE</v>
      </c>
      <c r="T3794" s="3" t="str">
        <f>IF(ISERROR(VLOOKUP(Base_Periodo1[[#This Row],[CONTA]],BaseContasDRE[#All],5,FALSE)),"Fora do DRE",VLOOKUP(Base_Periodo1[[#This Row],[CONTA]],BaseContasDRE[#All],6,FALSE))</f>
        <v>Fora do DRE</v>
      </c>
      <c r="U3794" s="3" t="str">
        <f>IF(ISERROR(VLOOKUP(Base_Periodo1[[#This Row],[CONTA]],BaseContasDRE[#All],7,FALSE)),"Fora do DRE",VLOOKUP(Base_Periodo1[[#This Row],[CONTA]],BaseContasDRE[#All],7,FALSE))</f>
        <v>Fora do DRE</v>
      </c>
      <c r="V3794" s="3" t="str">
        <f>IF(Base_Periodo1[[#This Row],[Tipo_Linha]]="Fora do DRE","Fora do DRE","( "&amp;Base_Periodo1[[#This Row],[Tipo_Linha]]&amp;" ) "&amp;Base_Periodo1[[#This Row],[Filtro]])</f>
        <v>Fora do DRE</v>
      </c>
      <c r="W3794" s="3" t="str">
        <f>LEFT(Base_Periodo1[[#This Row],[CLASS]],3)</f>
        <v>2.1</v>
      </c>
    </row>
    <row r="3795" spans="1:23" hidden="1">
      <c r="A3795" s="3" t="str">
        <f t="shared" si="59"/>
        <v>Período 1</v>
      </c>
      <c r="B3795">
        <v>15415</v>
      </c>
      <c r="C3795" t="s">
        <v>2010</v>
      </c>
      <c r="D3795" t="s">
        <v>971</v>
      </c>
      <c r="E3795" s="3" t="str">
        <f>IF(LEN(Base_Periodo1[[#This Row],[CLASS]])&gt;=7,LEFT(Base_Periodo1[[#This Row],[CLASS]],7),"")</f>
        <v>2.1.2.2</v>
      </c>
      <c r="F3795" s="3" t="str">
        <f>VLOOKUP(Base_Periodo1[[#This Row],[Aux]],Base_Contas_Balanco[#All],2,FALSE)</f>
        <v>Fornecedores Não Cooperados</v>
      </c>
      <c r="G3795" s="1">
        <v>42885</v>
      </c>
      <c r="I3795" s="225">
        <v>78345.98</v>
      </c>
      <c r="J3795" s="225">
        <v>126571.75</v>
      </c>
      <c r="K3795" s="225">
        <v>48225.770000000237</v>
      </c>
      <c r="L37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48225.77</v>
      </c>
      <c r="M3795" s="225">
        <f>ROUND(IF(AND(Base_Periodo1[[#This Row],[Tipo_Linha]]="-",Base_Periodo1[[#This Row],[TIPOSALDO]]="D"),Base_Periodo1[[#This Row],[SALDO_ATUAL]]*-1,Base_Periodo1[[#This Row],[SALDO_ATUAL]]),4)</f>
        <v>48225.77</v>
      </c>
      <c r="N3795" t="s">
        <v>116</v>
      </c>
      <c r="O3795" t="s">
        <v>436</v>
      </c>
      <c r="P3795" t="s">
        <v>459</v>
      </c>
      <c r="Q3795">
        <v>7</v>
      </c>
      <c r="R3795" s="225">
        <f>Base_Periodo1[[#This Row],[CREDITOS]]-Base_Periodo1[[#This Row],[DEBITOS]]</f>
        <v>48225.770000000004</v>
      </c>
      <c r="S3795" s="3" t="str">
        <f>IF(ISERROR(VLOOKUP(Base_Periodo1[[#This Row],[CONTA]],BaseContasDRE[#All],4,FALSE)),"Fora do DRE",VLOOKUP(Base_Periodo1[[#This Row],[CONTA]],BaseContasDRE[#All],4,FALSE))</f>
        <v>Fora do DRE</v>
      </c>
      <c r="T3795" s="3" t="str">
        <f>IF(ISERROR(VLOOKUP(Base_Periodo1[[#This Row],[CONTA]],BaseContasDRE[#All],5,FALSE)),"Fora do DRE",VLOOKUP(Base_Periodo1[[#This Row],[CONTA]],BaseContasDRE[#All],6,FALSE))</f>
        <v>Fora do DRE</v>
      </c>
      <c r="U3795" s="3" t="str">
        <f>IF(ISERROR(VLOOKUP(Base_Periodo1[[#This Row],[CONTA]],BaseContasDRE[#All],7,FALSE)),"Fora do DRE",VLOOKUP(Base_Periodo1[[#This Row],[CONTA]],BaseContasDRE[#All],7,FALSE))</f>
        <v>Fora do DRE</v>
      </c>
      <c r="V3795" s="3" t="str">
        <f>IF(Base_Periodo1[[#This Row],[Tipo_Linha]]="Fora do DRE","Fora do DRE","( "&amp;Base_Periodo1[[#This Row],[Tipo_Linha]]&amp;" ) "&amp;Base_Periodo1[[#This Row],[Filtro]])</f>
        <v>Fora do DRE</v>
      </c>
      <c r="W3795" s="3" t="str">
        <f>LEFT(Base_Periodo1[[#This Row],[CLASS]],3)</f>
        <v>2.1</v>
      </c>
    </row>
    <row r="3796" spans="1:23" hidden="1">
      <c r="A3796" s="3" t="str">
        <f t="shared" si="59"/>
        <v>Período 1</v>
      </c>
      <c r="B3796">
        <v>27370</v>
      </c>
      <c r="C3796" t="s">
        <v>2010</v>
      </c>
      <c r="D3796" t="s">
        <v>6190</v>
      </c>
      <c r="E3796" s="3" t="str">
        <f>IF(LEN(Base_Periodo1[[#This Row],[CLASS]])&gt;=7,LEFT(Base_Periodo1[[#This Row],[CLASS]],7),"")</f>
        <v>2.1.2.2</v>
      </c>
      <c r="F3796" s="3" t="str">
        <f>VLOOKUP(Base_Periodo1[[#This Row],[Aux]],Base_Contas_Balanco[#All],2,FALSE)</f>
        <v>Fornecedores Não Cooperados</v>
      </c>
      <c r="G3796" s="1">
        <v>42879</v>
      </c>
      <c r="I3796" s="225">
        <v>3420</v>
      </c>
      <c r="J3796" s="225">
        <v>3420</v>
      </c>
      <c r="K3796" s="225">
        <v>0</v>
      </c>
      <c r="L37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96" s="225">
        <f>ROUND(IF(AND(Base_Periodo1[[#This Row],[Tipo_Linha]]="-",Base_Periodo1[[#This Row],[TIPOSALDO]]="D"),Base_Periodo1[[#This Row],[SALDO_ATUAL]]*-1,Base_Periodo1[[#This Row],[SALDO_ATUAL]]),4)</f>
        <v>0</v>
      </c>
      <c r="N3796" t="s">
        <v>116</v>
      </c>
      <c r="O3796" t="s">
        <v>436</v>
      </c>
      <c r="P3796" t="s">
        <v>436</v>
      </c>
      <c r="Q3796">
        <v>7</v>
      </c>
      <c r="R3796" s="225">
        <f>Base_Periodo1[[#This Row],[CREDITOS]]-Base_Periodo1[[#This Row],[DEBITOS]]</f>
        <v>0</v>
      </c>
      <c r="S3796" s="3" t="str">
        <f>IF(ISERROR(VLOOKUP(Base_Periodo1[[#This Row],[CONTA]],BaseContasDRE[#All],4,FALSE)),"Fora do DRE",VLOOKUP(Base_Periodo1[[#This Row],[CONTA]],BaseContasDRE[#All],4,FALSE))</f>
        <v>Fora do DRE</v>
      </c>
      <c r="T3796" s="3" t="str">
        <f>IF(ISERROR(VLOOKUP(Base_Periodo1[[#This Row],[CONTA]],BaseContasDRE[#All],5,FALSE)),"Fora do DRE",VLOOKUP(Base_Periodo1[[#This Row],[CONTA]],BaseContasDRE[#All],6,FALSE))</f>
        <v>Fora do DRE</v>
      </c>
      <c r="U3796" s="3" t="str">
        <f>IF(ISERROR(VLOOKUP(Base_Periodo1[[#This Row],[CONTA]],BaseContasDRE[#All],7,FALSE)),"Fora do DRE",VLOOKUP(Base_Periodo1[[#This Row],[CONTA]],BaseContasDRE[#All],7,FALSE))</f>
        <v>Fora do DRE</v>
      </c>
      <c r="V3796" s="3" t="str">
        <f>IF(Base_Periodo1[[#This Row],[Tipo_Linha]]="Fora do DRE","Fora do DRE","( "&amp;Base_Periodo1[[#This Row],[Tipo_Linha]]&amp;" ) "&amp;Base_Periodo1[[#This Row],[Filtro]])</f>
        <v>Fora do DRE</v>
      </c>
      <c r="W3796" s="3" t="str">
        <f>LEFT(Base_Periodo1[[#This Row],[CLASS]],3)</f>
        <v>2.1</v>
      </c>
    </row>
    <row r="3797" spans="1:23" hidden="1">
      <c r="A3797" s="3" t="str">
        <f t="shared" si="59"/>
        <v>Período 1</v>
      </c>
      <c r="B3797">
        <v>13769</v>
      </c>
      <c r="C3797" t="s">
        <v>2010</v>
      </c>
      <c r="D3797" t="s">
        <v>7089</v>
      </c>
      <c r="E3797" s="3" t="str">
        <f>IF(LEN(Base_Periodo1[[#This Row],[CLASS]])&gt;=7,LEFT(Base_Periodo1[[#This Row],[CLASS]],7),"")</f>
        <v>2.1.2.2</v>
      </c>
      <c r="F3797" s="3" t="str">
        <f>VLOOKUP(Base_Periodo1[[#This Row],[Aux]],Base_Contas_Balanco[#All],2,FALSE)</f>
        <v>Fornecedores Não Cooperados</v>
      </c>
      <c r="G3797" s="1">
        <v>42878</v>
      </c>
      <c r="I3797" s="225">
        <v>126109.26000000001</v>
      </c>
      <c r="J3797" s="225">
        <v>126109.26</v>
      </c>
      <c r="K3797" s="225">
        <v>1.4551915228366852E-11</v>
      </c>
      <c r="L37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97" s="225">
        <f>ROUND(IF(AND(Base_Periodo1[[#This Row],[Tipo_Linha]]="-",Base_Periodo1[[#This Row],[TIPOSALDO]]="D"),Base_Periodo1[[#This Row],[SALDO_ATUAL]]*-1,Base_Periodo1[[#This Row],[SALDO_ATUAL]]),4)</f>
        <v>0</v>
      </c>
      <c r="N3797" t="s">
        <v>116</v>
      </c>
      <c r="O3797" t="s">
        <v>436</v>
      </c>
      <c r="P3797" t="s">
        <v>436</v>
      </c>
      <c r="Q3797">
        <v>7</v>
      </c>
      <c r="R3797" s="225">
        <f>Base_Periodo1[[#This Row],[CREDITOS]]-Base_Periodo1[[#This Row],[DEBITOS]]</f>
        <v>0</v>
      </c>
      <c r="S3797" s="3" t="str">
        <f>IF(ISERROR(VLOOKUP(Base_Periodo1[[#This Row],[CONTA]],BaseContasDRE[#All],4,FALSE)),"Fora do DRE",VLOOKUP(Base_Periodo1[[#This Row],[CONTA]],BaseContasDRE[#All],4,FALSE))</f>
        <v>Fora do DRE</v>
      </c>
      <c r="T3797" s="3" t="str">
        <f>IF(ISERROR(VLOOKUP(Base_Periodo1[[#This Row],[CONTA]],BaseContasDRE[#All],5,FALSE)),"Fora do DRE",VLOOKUP(Base_Periodo1[[#This Row],[CONTA]],BaseContasDRE[#All],6,FALSE))</f>
        <v>Fora do DRE</v>
      </c>
      <c r="U3797" s="3" t="str">
        <f>IF(ISERROR(VLOOKUP(Base_Periodo1[[#This Row],[CONTA]],BaseContasDRE[#All],7,FALSE)),"Fora do DRE",VLOOKUP(Base_Periodo1[[#This Row],[CONTA]],BaseContasDRE[#All],7,FALSE))</f>
        <v>Fora do DRE</v>
      </c>
      <c r="V3797" s="3" t="str">
        <f>IF(Base_Periodo1[[#This Row],[Tipo_Linha]]="Fora do DRE","Fora do DRE","( "&amp;Base_Periodo1[[#This Row],[Tipo_Linha]]&amp;" ) "&amp;Base_Periodo1[[#This Row],[Filtro]])</f>
        <v>Fora do DRE</v>
      </c>
      <c r="W3797" s="3" t="str">
        <f>LEFT(Base_Periodo1[[#This Row],[CLASS]],3)</f>
        <v>2.1</v>
      </c>
    </row>
    <row r="3798" spans="1:23" hidden="1">
      <c r="A3798" s="3" t="str">
        <f t="shared" si="59"/>
        <v>Período 1</v>
      </c>
      <c r="B3798">
        <v>56369</v>
      </c>
      <c r="C3798" t="s">
        <v>2010</v>
      </c>
      <c r="D3798" t="s">
        <v>5988</v>
      </c>
      <c r="E3798" s="3" t="str">
        <f>IF(LEN(Base_Periodo1[[#This Row],[CLASS]])&gt;=7,LEFT(Base_Periodo1[[#This Row],[CLASS]],7),"")</f>
        <v>2.1.2.2</v>
      </c>
      <c r="F3798" s="3" t="str">
        <f>VLOOKUP(Base_Periodo1[[#This Row],[Aux]],Base_Contas_Balanco[#All],2,FALSE)</f>
        <v>Fornecedores Não Cooperados</v>
      </c>
      <c r="G3798" s="1">
        <v>42872</v>
      </c>
      <c r="H3798" s="225">
        <v>324</v>
      </c>
      <c r="I3798" s="225">
        <v>324</v>
      </c>
      <c r="J3798" s="225">
        <v>0</v>
      </c>
      <c r="K3798" s="225">
        <v>0</v>
      </c>
      <c r="L37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98" s="225">
        <f>ROUND(IF(AND(Base_Periodo1[[#This Row],[Tipo_Linha]]="-",Base_Periodo1[[#This Row],[TIPOSALDO]]="D"),Base_Periodo1[[#This Row],[SALDO_ATUAL]]*-1,Base_Periodo1[[#This Row],[SALDO_ATUAL]]),4)</f>
        <v>0</v>
      </c>
      <c r="N3798" t="s">
        <v>116</v>
      </c>
      <c r="O3798" t="s">
        <v>459</v>
      </c>
      <c r="P3798" t="s">
        <v>436</v>
      </c>
      <c r="Q3798">
        <v>7</v>
      </c>
      <c r="R3798" s="225">
        <f>Base_Periodo1[[#This Row],[CREDITOS]]-Base_Periodo1[[#This Row],[DEBITOS]]</f>
        <v>-324</v>
      </c>
      <c r="S3798" s="3" t="str">
        <f>IF(ISERROR(VLOOKUP(Base_Periodo1[[#This Row],[CONTA]],BaseContasDRE[#All],4,FALSE)),"Fora do DRE",VLOOKUP(Base_Periodo1[[#This Row],[CONTA]],BaseContasDRE[#All],4,FALSE))</f>
        <v>Fora do DRE</v>
      </c>
      <c r="T3798" s="3" t="str">
        <f>IF(ISERROR(VLOOKUP(Base_Periodo1[[#This Row],[CONTA]],BaseContasDRE[#All],5,FALSE)),"Fora do DRE",VLOOKUP(Base_Periodo1[[#This Row],[CONTA]],BaseContasDRE[#All],6,FALSE))</f>
        <v>Fora do DRE</v>
      </c>
      <c r="U3798" s="3" t="str">
        <f>IF(ISERROR(VLOOKUP(Base_Periodo1[[#This Row],[CONTA]],BaseContasDRE[#All],7,FALSE)),"Fora do DRE",VLOOKUP(Base_Periodo1[[#This Row],[CONTA]],BaseContasDRE[#All],7,FALSE))</f>
        <v>Fora do DRE</v>
      </c>
      <c r="V3798" s="3" t="str">
        <f>IF(Base_Periodo1[[#This Row],[Tipo_Linha]]="Fora do DRE","Fora do DRE","( "&amp;Base_Periodo1[[#This Row],[Tipo_Linha]]&amp;" ) "&amp;Base_Periodo1[[#This Row],[Filtro]])</f>
        <v>Fora do DRE</v>
      </c>
      <c r="W3798" s="3" t="str">
        <f>LEFT(Base_Periodo1[[#This Row],[CLASS]],3)</f>
        <v>2.1</v>
      </c>
    </row>
    <row r="3799" spans="1:23" hidden="1">
      <c r="A3799" s="3" t="str">
        <f t="shared" si="59"/>
        <v>Período 1</v>
      </c>
      <c r="B3799">
        <v>39789</v>
      </c>
      <c r="C3799" t="s">
        <v>2010</v>
      </c>
      <c r="D3799" t="s">
        <v>4959</v>
      </c>
      <c r="E3799" s="3" t="str">
        <f>IF(LEN(Base_Periodo1[[#This Row],[CLASS]])&gt;=7,LEFT(Base_Periodo1[[#This Row],[CLASS]],7),"")</f>
        <v>2.1.2.2</v>
      </c>
      <c r="F3799" s="3" t="str">
        <f>VLOOKUP(Base_Periodo1[[#This Row],[Aux]],Base_Contas_Balanco[#All],2,FALSE)</f>
        <v>Fornecedores Não Cooperados</v>
      </c>
      <c r="G3799" s="1">
        <v>42884</v>
      </c>
      <c r="I3799" s="225">
        <v>10245.379999999999</v>
      </c>
      <c r="J3799" s="225">
        <v>10245.379999999999</v>
      </c>
      <c r="K3799" s="225">
        <v>-8.7311491370201111E-11</v>
      </c>
      <c r="L37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799" s="225">
        <f>ROUND(IF(AND(Base_Periodo1[[#This Row],[Tipo_Linha]]="-",Base_Periodo1[[#This Row],[TIPOSALDO]]="D"),Base_Periodo1[[#This Row],[SALDO_ATUAL]]*-1,Base_Periodo1[[#This Row],[SALDO_ATUAL]]),4)</f>
        <v>0</v>
      </c>
      <c r="N3799" t="s">
        <v>116</v>
      </c>
      <c r="O3799" t="s">
        <v>436</v>
      </c>
      <c r="P3799" t="s">
        <v>436</v>
      </c>
      <c r="Q3799">
        <v>7</v>
      </c>
      <c r="R3799" s="225">
        <f>Base_Periodo1[[#This Row],[CREDITOS]]-Base_Periodo1[[#This Row],[DEBITOS]]</f>
        <v>0</v>
      </c>
      <c r="S3799" s="3" t="str">
        <f>IF(ISERROR(VLOOKUP(Base_Periodo1[[#This Row],[CONTA]],BaseContasDRE[#All],4,FALSE)),"Fora do DRE",VLOOKUP(Base_Periodo1[[#This Row],[CONTA]],BaseContasDRE[#All],4,FALSE))</f>
        <v>Fora do DRE</v>
      </c>
      <c r="T3799" s="3" t="str">
        <f>IF(ISERROR(VLOOKUP(Base_Periodo1[[#This Row],[CONTA]],BaseContasDRE[#All],5,FALSE)),"Fora do DRE",VLOOKUP(Base_Periodo1[[#This Row],[CONTA]],BaseContasDRE[#All],6,FALSE))</f>
        <v>Fora do DRE</v>
      </c>
      <c r="U3799" s="3" t="str">
        <f>IF(ISERROR(VLOOKUP(Base_Periodo1[[#This Row],[CONTA]],BaseContasDRE[#All],7,FALSE)),"Fora do DRE",VLOOKUP(Base_Periodo1[[#This Row],[CONTA]],BaseContasDRE[#All],7,FALSE))</f>
        <v>Fora do DRE</v>
      </c>
      <c r="V3799" s="3" t="str">
        <f>IF(Base_Periodo1[[#This Row],[Tipo_Linha]]="Fora do DRE","Fora do DRE","( "&amp;Base_Periodo1[[#This Row],[Tipo_Linha]]&amp;" ) "&amp;Base_Periodo1[[#This Row],[Filtro]])</f>
        <v>Fora do DRE</v>
      </c>
      <c r="W3799" s="3" t="str">
        <f>LEFT(Base_Periodo1[[#This Row],[CLASS]],3)</f>
        <v>2.1</v>
      </c>
    </row>
    <row r="3800" spans="1:23" hidden="1">
      <c r="A3800" s="3" t="str">
        <f t="shared" si="59"/>
        <v>Período 1</v>
      </c>
      <c r="B3800">
        <v>53412</v>
      </c>
      <c r="C3800" t="s">
        <v>2010</v>
      </c>
      <c r="D3800" t="s">
        <v>5082</v>
      </c>
      <c r="E3800" s="3" t="str">
        <f>IF(LEN(Base_Periodo1[[#This Row],[CLASS]])&gt;=7,LEFT(Base_Periodo1[[#This Row],[CLASS]],7),"")</f>
        <v>2.1.2.2</v>
      </c>
      <c r="F3800" s="3" t="str">
        <f>VLOOKUP(Base_Periodo1[[#This Row],[Aux]],Base_Contas_Balanco[#All],2,FALSE)</f>
        <v>Fornecedores Não Cooperados</v>
      </c>
      <c r="G3800" s="1">
        <v>42871</v>
      </c>
      <c r="I3800" s="225">
        <v>255.2</v>
      </c>
      <c r="J3800" s="225">
        <v>255.2</v>
      </c>
      <c r="K3800" s="225">
        <v>0</v>
      </c>
      <c r="L38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00" s="225">
        <f>ROUND(IF(AND(Base_Periodo1[[#This Row],[Tipo_Linha]]="-",Base_Periodo1[[#This Row],[TIPOSALDO]]="D"),Base_Periodo1[[#This Row],[SALDO_ATUAL]]*-1,Base_Periodo1[[#This Row],[SALDO_ATUAL]]),4)</f>
        <v>0</v>
      </c>
      <c r="N3800" t="s">
        <v>116</v>
      </c>
      <c r="O3800" t="s">
        <v>436</v>
      </c>
      <c r="P3800" t="s">
        <v>436</v>
      </c>
      <c r="Q3800">
        <v>7</v>
      </c>
      <c r="R3800" s="225">
        <f>Base_Periodo1[[#This Row],[CREDITOS]]-Base_Periodo1[[#This Row],[DEBITOS]]</f>
        <v>0</v>
      </c>
      <c r="S3800" s="3" t="str">
        <f>IF(ISERROR(VLOOKUP(Base_Periodo1[[#This Row],[CONTA]],BaseContasDRE[#All],4,FALSE)),"Fora do DRE",VLOOKUP(Base_Periodo1[[#This Row],[CONTA]],BaseContasDRE[#All],4,FALSE))</f>
        <v>Fora do DRE</v>
      </c>
      <c r="T3800" s="3" t="str">
        <f>IF(ISERROR(VLOOKUP(Base_Periodo1[[#This Row],[CONTA]],BaseContasDRE[#All],5,FALSE)),"Fora do DRE",VLOOKUP(Base_Periodo1[[#This Row],[CONTA]],BaseContasDRE[#All],6,FALSE))</f>
        <v>Fora do DRE</v>
      </c>
      <c r="U3800" s="3" t="str">
        <f>IF(ISERROR(VLOOKUP(Base_Periodo1[[#This Row],[CONTA]],BaseContasDRE[#All],7,FALSE)),"Fora do DRE",VLOOKUP(Base_Periodo1[[#This Row],[CONTA]],BaseContasDRE[#All],7,FALSE))</f>
        <v>Fora do DRE</v>
      </c>
      <c r="V3800" s="3" t="str">
        <f>IF(Base_Periodo1[[#This Row],[Tipo_Linha]]="Fora do DRE","Fora do DRE","( "&amp;Base_Periodo1[[#This Row],[Tipo_Linha]]&amp;" ) "&amp;Base_Periodo1[[#This Row],[Filtro]])</f>
        <v>Fora do DRE</v>
      </c>
      <c r="W3800" s="3" t="str">
        <f>LEFT(Base_Periodo1[[#This Row],[CLASS]],3)</f>
        <v>2.1</v>
      </c>
    </row>
    <row r="3801" spans="1:23" hidden="1">
      <c r="A3801" s="3" t="str">
        <f t="shared" si="59"/>
        <v>Período 1</v>
      </c>
      <c r="B3801">
        <v>20713</v>
      </c>
      <c r="C3801" t="s">
        <v>2010</v>
      </c>
      <c r="D3801" t="s">
        <v>2092</v>
      </c>
      <c r="E3801" s="3" t="str">
        <f>IF(LEN(Base_Periodo1[[#This Row],[CLASS]])&gt;=7,LEFT(Base_Periodo1[[#This Row],[CLASS]],7),"")</f>
        <v>2.1.2.2</v>
      </c>
      <c r="F3801" s="3" t="str">
        <f>VLOOKUP(Base_Periodo1[[#This Row],[Aux]],Base_Contas_Balanco[#All],2,FALSE)</f>
        <v>Fornecedores Não Cooperados</v>
      </c>
      <c r="G3801" s="1">
        <v>42884</v>
      </c>
      <c r="H3801" s="225">
        <v>1223.6399999999703</v>
      </c>
      <c r="I3801" s="225">
        <v>5766.07</v>
      </c>
      <c r="J3801" s="225">
        <v>8656.57</v>
      </c>
      <c r="K3801" s="225">
        <v>4114.1399999999703</v>
      </c>
      <c r="L38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4114.1400000000003</v>
      </c>
      <c r="M3801" s="225">
        <f>ROUND(IF(AND(Base_Periodo1[[#This Row],[Tipo_Linha]]="-",Base_Periodo1[[#This Row],[TIPOSALDO]]="D"),Base_Periodo1[[#This Row],[SALDO_ATUAL]]*-1,Base_Periodo1[[#This Row],[SALDO_ATUAL]]),4)</f>
        <v>4114.1400000000003</v>
      </c>
      <c r="N3801" t="s">
        <v>116</v>
      </c>
      <c r="O3801" t="s">
        <v>459</v>
      </c>
      <c r="P3801" t="s">
        <v>459</v>
      </c>
      <c r="Q3801">
        <v>7</v>
      </c>
      <c r="R3801" s="225">
        <f>Base_Periodo1[[#This Row],[CREDITOS]]-Base_Periodo1[[#This Row],[DEBITOS]]</f>
        <v>2890.5</v>
      </c>
      <c r="S3801" s="3" t="str">
        <f>IF(ISERROR(VLOOKUP(Base_Periodo1[[#This Row],[CONTA]],BaseContasDRE[#All],4,FALSE)),"Fora do DRE",VLOOKUP(Base_Periodo1[[#This Row],[CONTA]],BaseContasDRE[#All],4,FALSE))</f>
        <v>Fora do DRE</v>
      </c>
      <c r="T3801" s="3" t="str">
        <f>IF(ISERROR(VLOOKUP(Base_Periodo1[[#This Row],[CONTA]],BaseContasDRE[#All],5,FALSE)),"Fora do DRE",VLOOKUP(Base_Periodo1[[#This Row],[CONTA]],BaseContasDRE[#All],6,FALSE))</f>
        <v>Fora do DRE</v>
      </c>
      <c r="U3801" s="3" t="str">
        <f>IF(ISERROR(VLOOKUP(Base_Periodo1[[#This Row],[CONTA]],BaseContasDRE[#All],7,FALSE)),"Fora do DRE",VLOOKUP(Base_Periodo1[[#This Row],[CONTA]],BaseContasDRE[#All],7,FALSE))</f>
        <v>Fora do DRE</v>
      </c>
      <c r="V3801" s="3" t="str">
        <f>IF(Base_Periodo1[[#This Row],[Tipo_Linha]]="Fora do DRE","Fora do DRE","( "&amp;Base_Periodo1[[#This Row],[Tipo_Linha]]&amp;" ) "&amp;Base_Periodo1[[#This Row],[Filtro]])</f>
        <v>Fora do DRE</v>
      </c>
      <c r="W3801" s="3" t="str">
        <f>LEFT(Base_Periodo1[[#This Row],[CLASS]],3)</f>
        <v>2.1</v>
      </c>
    </row>
    <row r="3802" spans="1:23" hidden="1">
      <c r="A3802" s="3" t="str">
        <f t="shared" si="59"/>
        <v>Período 1</v>
      </c>
      <c r="B3802">
        <v>4665</v>
      </c>
      <c r="C3802" t="s">
        <v>2010</v>
      </c>
      <c r="D3802" t="s">
        <v>6191</v>
      </c>
      <c r="E3802" s="3" t="str">
        <f>IF(LEN(Base_Periodo1[[#This Row],[CLASS]])&gt;=7,LEFT(Base_Periodo1[[#This Row],[CLASS]],7),"")</f>
        <v>2.1.2.2</v>
      </c>
      <c r="F3802" s="3" t="str">
        <f>VLOOKUP(Base_Periodo1[[#This Row],[Aux]],Base_Contas_Balanco[#All],2,FALSE)</f>
        <v>Fornecedores Não Cooperados</v>
      </c>
      <c r="G3802" s="1">
        <v>42884</v>
      </c>
      <c r="H3802" s="225">
        <v>465.9999999999709</v>
      </c>
      <c r="I3802" s="225">
        <v>466</v>
      </c>
      <c r="J3802" s="225">
        <v>0</v>
      </c>
      <c r="K3802" s="225">
        <v>2.9103830456733704E-11</v>
      </c>
      <c r="L38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02" s="225">
        <f>ROUND(IF(AND(Base_Periodo1[[#This Row],[Tipo_Linha]]="-",Base_Periodo1[[#This Row],[TIPOSALDO]]="D"),Base_Periodo1[[#This Row],[SALDO_ATUAL]]*-1,Base_Periodo1[[#This Row],[SALDO_ATUAL]]),4)</f>
        <v>0</v>
      </c>
      <c r="N3802" t="s">
        <v>116</v>
      </c>
      <c r="O3802" t="s">
        <v>459</v>
      </c>
      <c r="P3802" t="s">
        <v>436</v>
      </c>
      <c r="Q3802">
        <v>7</v>
      </c>
      <c r="R3802" s="225">
        <f>Base_Periodo1[[#This Row],[CREDITOS]]-Base_Periodo1[[#This Row],[DEBITOS]]</f>
        <v>-466</v>
      </c>
      <c r="S3802" s="3" t="str">
        <f>IF(ISERROR(VLOOKUP(Base_Periodo1[[#This Row],[CONTA]],BaseContasDRE[#All],4,FALSE)),"Fora do DRE",VLOOKUP(Base_Periodo1[[#This Row],[CONTA]],BaseContasDRE[#All],4,FALSE))</f>
        <v>Fora do DRE</v>
      </c>
      <c r="T3802" s="3" t="str">
        <f>IF(ISERROR(VLOOKUP(Base_Periodo1[[#This Row],[CONTA]],BaseContasDRE[#All],5,FALSE)),"Fora do DRE",VLOOKUP(Base_Periodo1[[#This Row],[CONTA]],BaseContasDRE[#All],6,FALSE))</f>
        <v>Fora do DRE</v>
      </c>
      <c r="U3802" s="3" t="str">
        <f>IF(ISERROR(VLOOKUP(Base_Periodo1[[#This Row],[CONTA]],BaseContasDRE[#All],7,FALSE)),"Fora do DRE",VLOOKUP(Base_Periodo1[[#This Row],[CONTA]],BaseContasDRE[#All],7,FALSE))</f>
        <v>Fora do DRE</v>
      </c>
      <c r="V3802" s="3" t="str">
        <f>IF(Base_Periodo1[[#This Row],[Tipo_Linha]]="Fora do DRE","Fora do DRE","( "&amp;Base_Periodo1[[#This Row],[Tipo_Linha]]&amp;" ) "&amp;Base_Periodo1[[#This Row],[Filtro]])</f>
        <v>Fora do DRE</v>
      </c>
      <c r="W3802" s="3" t="str">
        <f>LEFT(Base_Periodo1[[#This Row],[CLASS]],3)</f>
        <v>2.1</v>
      </c>
    </row>
    <row r="3803" spans="1:23" hidden="1">
      <c r="A3803" s="3" t="str">
        <f t="shared" si="59"/>
        <v>Período 1</v>
      </c>
      <c r="B3803">
        <v>35315</v>
      </c>
      <c r="C3803" t="s">
        <v>2010</v>
      </c>
      <c r="D3803" t="s">
        <v>2093</v>
      </c>
      <c r="E3803" s="3" t="str">
        <f>IF(LEN(Base_Periodo1[[#This Row],[CLASS]])&gt;=7,LEFT(Base_Periodo1[[#This Row],[CLASS]],7),"")</f>
        <v>2.1.2.2</v>
      </c>
      <c r="F3803" s="3" t="str">
        <f>VLOOKUP(Base_Periodo1[[#This Row],[Aux]],Base_Contas_Balanco[#All],2,FALSE)</f>
        <v>Fornecedores Não Cooperados</v>
      </c>
      <c r="G3803" s="1">
        <v>42858</v>
      </c>
      <c r="I3803" s="225">
        <v>8000</v>
      </c>
      <c r="J3803" s="225">
        <v>8000</v>
      </c>
      <c r="K3803" s="225">
        <v>0</v>
      </c>
      <c r="L38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03" s="225">
        <f>ROUND(IF(AND(Base_Periodo1[[#This Row],[Tipo_Linha]]="-",Base_Periodo1[[#This Row],[TIPOSALDO]]="D"),Base_Periodo1[[#This Row],[SALDO_ATUAL]]*-1,Base_Periodo1[[#This Row],[SALDO_ATUAL]]),4)</f>
        <v>0</v>
      </c>
      <c r="N3803" t="s">
        <v>116</v>
      </c>
      <c r="O3803" t="s">
        <v>436</v>
      </c>
      <c r="P3803" t="s">
        <v>436</v>
      </c>
      <c r="Q3803">
        <v>7</v>
      </c>
      <c r="R3803" s="225">
        <f>Base_Periodo1[[#This Row],[CREDITOS]]-Base_Periodo1[[#This Row],[DEBITOS]]</f>
        <v>0</v>
      </c>
      <c r="S3803" s="3" t="str">
        <f>IF(ISERROR(VLOOKUP(Base_Periodo1[[#This Row],[CONTA]],BaseContasDRE[#All],4,FALSE)),"Fora do DRE",VLOOKUP(Base_Periodo1[[#This Row],[CONTA]],BaseContasDRE[#All],4,FALSE))</f>
        <v>Fora do DRE</v>
      </c>
      <c r="T3803" s="3" t="str">
        <f>IF(ISERROR(VLOOKUP(Base_Periodo1[[#This Row],[CONTA]],BaseContasDRE[#All],5,FALSE)),"Fora do DRE",VLOOKUP(Base_Periodo1[[#This Row],[CONTA]],BaseContasDRE[#All],6,FALSE))</f>
        <v>Fora do DRE</v>
      </c>
      <c r="U3803" s="3" t="str">
        <f>IF(ISERROR(VLOOKUP(Base_Periodo1[[#This Row],[CONTA]],BaseContasDRE[#All],7,FALSE)),"Fora do DRE",VLOOKUP(Base_Periodo1[[#This Row],[CONTA]],BaseContasDRE[#All],7,FALSE))</f>
        <v>Fora do DRE</v>
      </c>
      <c r="V3803" s="3" t="str">
        <f>IF(Base_Periodo1[[#This Row],[Tipo_Linha]]="Fora do DRE","Fora do DRE","( "&amp;Base_Periodo1[[#This Row],[Tipo_Linha]]&amp;" ) "&amp;Base_Periodo1[[#This Row],[Filtro]])</f>
        <v>Fora do DRE</v>
      </c>
      <c r="W3803" s="3" t="str">
        <f>LEFT(Base_Periodo1[[#This Row],[CLASS]],3)</f>
        <v>2.1</v>
      </c>
    </row>
    <row r="3804" spans="1:23" hidden="1">
      <c r="A3804" s="3" t="str">
        <f t="shared" si="59"/>
        <v>Período 1</v>
      </c>
      <c r="B3804">
        <v>4353</v>
      </c>
      <c r="C3804" t="s">
        <v>2010</v>
      </c>
      <c r="D3804" t="s">
        <v>2094</v>
      </c>
      <c r="E3804" s="3" t="str">
        <f>IF(LEN(Base_Periodo1[[#This Row],[CLASS]])&gt;=7,LEFT(Base_Periodo1[[#This Row],[CLASS]],7),"")</f>
        <v>2.1.2.2</v>
      </c>
      <c r="F3804" s="3" t="str">
        <f>VLOOKUP(Base_Periodo1[[#This Row],[Aux]],Base_Contas_Balanco[#All],2,FALSE)</f>
        <v>Fornecedores Não Cooperados</v>
      </c>
      <c r="G3804" s="1">
        <v>42129</v>
      </c>
      <c r="H3804" s="225">
        <v>509.17000000000189</v>
      </c>
      <c r="I3804" s="225">
        <v>0</v>
      </c>
      <c r="J3804" s="225">
        <v>0</v>
      </c>
      <c r="K3804" s="225">
        <v>509.17000000000189</v>
      </c>
      <c r="L38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509.17</v>
      </c>
      <c r="M3804" s="225">
        <f>ROUND(IF(AND(Base_Periodo1[[#This Row],[Tipo_Linha]]="-",Base_Periodo1[[#This Row],[TIPOSALDO]]="D"),Base_Periodo1[[#This Row],[SALDO_ATUAL]]*-1,Base_Periodo1[[#This Row],[SALDO_ATUAL]]),4)</f>
        <v>509.17</v>
      </c>
      <c r="N3804" t="s">
        <v>116</v>
      </c>
      <c r="O3804" t="s">
        <v>459</v>
      </c>
      <c r="P3804" t="s">
        <v>459</v>
      </c>
      <c r="Q3804">
        <v>7</v>
      </c>
      <c r="R3804" s="225">
        <f>Base_Periodo1[[#This Row],[CREDITOS]]-Base_Periodo1[[#This Row],[DEBITOS]]</f>
        <v>0</v>
      </c>
      <c r="S3804" s="3" t="str">
        <f>IF(ISERROR(VLOOKUP(Base_Periodo1[[#This Row],[CONTA]],BaseContasDRE[#All],4,FALSE)),"Fora do DRE",VLOOKUP(Base_Periodo1[[#This Row],[CONTA]],BaseContasDRE[#All],4,FALSE))</f>
        <v>Fora do DRE</v>
      </c>
      <c r="T3804" s="3" t="str">
        <f>IF(ISERROR(VLOOKUP(Base_Periodo1[[#This Row],[CONTA]],BaseContasDRE[#All],5,FALSE)),"Fora do DRE",VLOOKUP(Base_Periodo1[[#This Row],[CONTA]],BaseContasDRE[#All],6,FALSE))</f>
        <v>Fora do DRE</v>
      </c>
      <c r="U3804" s="3" t="str">
        <f>IF(ISERROR(VLOOKUP(Base_Periodo1[[#This Row],[CONTA]],BaseContasDRE[#All],7,FALSE)),"Fora do DRE",VLOOKUP(Base_Periodo1[[#This Row],[CONTA]],BaseContasDRE[#All],7,FALSE))</f>
        <v>Fora do DRE</v>
      </c>
      <c r="V3804" s="3" t="str">
        <f>IF(Base_Periodo1[[#This Row],[Tipo_Linha]]="Fora do DRE","Fora do DRE","( "&amp;Base_Periodo1[[#This Row],[Tipo_Linha]]&amp;" ) "&amp;Base_Periodo1[[#This Row],[Filtro]])</f>
        <v>Fora do DRE</v>
      </c>
      <c r="W3804" s="3" t="str">
        <f>LEFT(Base_Periodo1[[#This Row],[CLASS]],3)</f>
        <v>2.1</v>
      </c>
    </row>
    <row r="3805" spans="1:23" hidden="1">
      <c r="A3805" s="3" t="str">
        <f t="shared" si="59"/>
        <v>Período 1</v>
      </c>
      <c r="B3805">
        <v>41708</v>
      </c>
      <c r="C3805" t="s">
        <v>2010</v>
      </c>
      <c r="D3805" t="s">
        <v>2095</v>
      </c>
      <c r="E3805" s="3" t="str">
        <f>IF(LEN(Base_Periodo1[[#This Row],[CLASS]])&gt;=7,LEFT(Base_Periodo1[[#This Row],[CLASS]],7),"")</f>
        <v>2.1.2.2</v>
      </c>
      <c r="F3805" s="3" t="str">
        <f>VLOOKUP(Base_Periodo1[[#This Row],[Aux]],Base_Contas_Balanco[#All],2,FALSE)</f>
        <v>Fornecedores Não Cooperados</v>
      </c>
      <c r="G3805" s="1">
        <v>42445</v>
      </c>
      <c r="H3805" s="225">
        <v>10389.61</v>
      </c>
      <c r="I3805" s="225">
        <v>0</v>
      </c>
      <c r="J3805" s="225">
        <v>0</v>
      </c>
      <c r="K3805" s="225">
        <v>10389.61</v>
      </c>
      <c r="L38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10389.61</v>
      </c>
      <c r="M3805" s="225">
        <f>ROUND(IF(AND(Base_Periodo1[[#This Row],[Tipo_Linha]]="-",Base_Periodo1[[#This Row],[TIPOSALDO]]="D"),Base_Periodo1[[#This Row],[SALDO_ATUAL]]*-1,Base_Periodo1[[#This Row],[SALDO_ATUAL]]),4)</f>
        <v>10389.61</v>
      </c>
      <c r="N3805" t="s">
        <v>116</v>
      </c>
      <c r="O3805" t="s">
        <v>459</v>
      </c>
      <c r="P3805" t="s">
        <v>459</v>
      </c>
      <c r="Q3805">
        <v>7</v>
      </c>
      <c r="R3805" s="225">
        <f>Base_Periodo1[[#This Row],[CREDITOS]]-Base_Periodo1[[#This Row],[DEBITOS]]</f>
        <v>0</v>
      </c>
      <c r="S3805" s="3" t="str">
        <f>IF(ISERROR(VLOOKUP(Base_Periodo1[[#This Row],[CONTA]],BaseContasDRE[#All],4,FALSE)),"Fora do DRE",VLOOKUP(Base_Periodo1[[#This Row],[CONTA]],BaseContasDRE[#All],4,FALSE))</f>
        <v>Fora do DRE</v>
      </c>
      <c r="T3805" s="3" t="str">
        <f>IF(ISERROR(VLOOKUP(Base_Periodo1[[#This Row],[CONTA]],BaseContasDRE[#All],5,FALSE)),"Fora do DRE",VLOOKUP(Base_Periodo1[[#This Row],[CONTA]],BaseContasDRE[#All],6,FALSE))</f>
        <v>Fora do DRE</v>
      </c>
      <c r="U3805" s="3" t="str">
        <f>IF(ISERROR(VLOOKUP(Base_Periodo1[[#This Row],[CONTA]],BaseContasDRE[#All],7,FALSE)),"Fora do DRE",VLOOKUP(Base_Periodo1[[#This Row],[CONTA]],BaseContasDRE[#All],7,FALSE))</f>
        <v>Fora do DRE</v>
      </c>
      <c r="V3805" s="3" t="str">
        <f>IF(Base_Periodo1[[#This Row],[Tipo_Linha]]="Fora do DRE","Fora do DRE","( "&amp;Base_Periodo1[[#This Row],[Tipo_Linha]]&amp;" ) "&amp;Base_Periodo1[[#This Row],[Filtro]])</f>
        <v>Fora do DRE</v>
      </c>
      <c r="W3805" s="3" t="str">
        <f>LEFT(Base_Periodo1[[#This Row],[CLASS]],3)</f>
        <v>2.1</v>
      </c>
    </row>
    <row r="3806" spans="1:23" hidden="1">
      <c r="A3806" s="3" t="str">
        <f t="shared" si="59"/>
        <v>Período 1</v>
      </c>
      <c r="B3806">
        <v>11322</v>
      </c>
      <c r="C3806" t="s">
        <v>2010</v>
      </c>
      <c r="D3806" t="s">
        <v>2096</v>
      </c>
      <c r="E3806" s="3" t="str">
        <f>IF(LEN(Base_Periodo1[[#This Row],[CLASS]])&gt;=7,LEFT(Base_Periodo1[[#This Row],[CLASS]],7),"")</f>
        <v>2.1.2.2</v>
      </c>
      <c r="F3806" s="3" t="str">
        <f>VLOOKUP(Base_Periodo1[[#This Row],[Aux]],Base_Contas_Balanco[#All],2,FALSE)</f>
        <v>Fornecedores Não Cooperados</v>
      </c>
      <c r="G3806" s="1">
        <v>42886</v>
      </c>
      <c r="I3806" s="225">
        <v>0</v>
      </c>
      <c r="J3806" s="225">
        <v>10326.360000000002</v>
      </c>
      <c r="K3806" s="225">
        <v>10326.36000000041</v>
      </c>
      <c r="L38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10326.36</v>
      </c>
      <c r="M3806" s="225">
        <f>ROUND(IF(AND(Base_Periodo1[[#This Row],[Tipo_Linha]]="-",Base_Periodo1[[#This Row],[TIPOSALDO]]="D"),Base_Periodo1[[#This Row],[SALDO_ATUAL]]*-1,Base_Periodo1[[#This Row],[SALDO_ATUAL]]),4)</f>
        <v>10326.36</v>
      </c>
      <c r="N3806" t="s">
        <v>116</v>
      </c>
      <c r="O3806" t="s">
        <v>436</v>
      </c>
      <c r="P3806" t="s">
        <v>459</v>
      </c>
      <c r="Q3806">
        <v>7</v>
      </c>
      <c r="R3806" s="225">
        <f>Base_Periodo1[[#This Row],[CREDITOS]]-Base_Periodo1[[#This Row],[DEBITOS]]</f>
        <v>10326.360000000002</v>
      </c>
      <c r="S3806" s="3" t="str">
        <f>IF(ISERROR(VLOOKUP(Base_Periodo1[[#This Row],[CONTA]],BaseContasDRE[#All],4,FALSE)),"Fora do DRE",VLOOKUP(Base_Periodo1[[#This Row],[CONTA]],BaseContasDRE[#All],4,FALSE))</f>
        <v>Fora do DRE</v>
      </c>
      <c r="T3806" s="3" t="str">
        <f>IF(ISERROR(VLOOKUP(Base_Periodo1[[#This Row],[CONTA]],BaseContasDRE[#All],5,FALSE)),"Fora do DRE",VLOOKUP(Base_Periodo1[[#This Row],[CONTA]],BaseContasDRE[#All],6,FALSE))</f>
        <v>Fora do DRE</v>
      </c>
      <c r="U3806" s="3" t="str">
        <f>IF(ISERROR(VLOOKUP(Base_Periodo1[[#This Row],[CONTA]],BaseContasDRE[#All],7,FALSE)),"Fora do DRE",VLOOKUP(Base_Periodo1[[#This Row],[CONTA]],BaseContasDRE[#All],7,FALSE))</f>
        <v>Fora do DRE</v>
      </c>
      <c r="V3806" s="3" t="str">
        <f>IF(Base_Periodo1[[#This Row],[Tipo_Linha]]="Fora do DRE","Fora do DRE","( "&amp;Base_Periodo1[[#This Row],[Tipo_Linha]]&amp;" ) "&amp;Base_Periodo1[[#This Row],[Filtro]])</f>
        <v>Fora do DRE</v>
      </c>
      <c r="W3806" s="3" t="str">
        <f>LEFT(Base_Periodo1[[#This Row],[CLASS]],3)</f>
        <v>2.1</v>
      </c>
    </row>
    <row r="3807" spans="1:23" hidden="1">
      <c r="A3807" s="3" t="str">
        <f t="shared" si="59"/>
        <v>Período 1</v>
      </c>
      <c r="B3807">
        <v>21941</v>
      </c>
      <c r="C3807" t="s">
        <v>2010</v>
      </c>
      <c r="D3807" t="s">
        <v>6499</v>
      </c>
      <c r="E3807" s="3" t="str">
        <f>IF(LEN(Base_Periodo1[[#This Row],[CLASS]])&gt;=7,LEFT(Base_Periodo1[[#This Row],[CLASS]],7),"")</f>
        <v>2.1.2.2</v>
      </c>
      <c r="F3807" s="3" t="str">
        <f>VLOOKUP(Base_Periodo1[[#This Row],[Aux]],Base_Contas_Balanco[#All],2,FALSE)</f>
        <v>Fornecedores Não Cooperados</v>
      </c>
      <c r="G3807" s="1">
        <v>42867</v>
      </c>
      <c r="I3807" s="225">
        <v>828.33999999999992</v>
      </c>
      <c r="J3807" s="225">
        <v>828.33999999999992</v>
      </c>
      <c r="K3807" s="225">
        <v>0</v>
      </c>
      <c r="L38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07" s="225">
        <f>ROUND(IF(AND(Base_Periodo1[[#This Row],[Tipo_Linha]]="-",Base_Periodo1[[#This Row],[TIPOSALDO]]="D"),Base_Periodo1[[#This Row],[SALDO_ATUAL]]*-1,Base_Periodo1[[#This Row],[SALDO_ATUAL]]),4)</f>
        <v>0</v>
      </c>
      <c r="N3807" t="s">
        <v>116</v>
      </c>
      <c r="O3807" t="s">
        <v>436</v>
      </c>
      <c r="P3807" t="s">
        <v>436</v>
      </c>
      <c r="Q3807">
        <v>7</v>
      </c>
      <c r="R3807" s="225">
        <f>Base_Periodo1[[#This Row],[CREDITOS]]-Base_Periodo1[[#This Row],[DEBITOS]]</f>
        <v>0</v>
      </c>
      <c r="S3807" s="3" t="str">
        <f>IF(ISERROR(VLOOKUP(Base_Periodo1[[#This Row],[CONTA]],BaseContasDRE[#All],4,FALSE)),"Fora do DRE",VLOOKUP(Base_Periodo1[[#This Row],[CONTA]],BaseContasDRE[#All],4,FALSE))</f>
        <v>Fora do DRE</v>
      </c>
      <c r="T3807" s="3" t="str">
        <f>IF(ISERROR(VLOOKUP(Base_Periodo1[[#This Row],[CONTA]],BaseContasDRE[#All],5,FALSE)),"Fora do DRE",VLOOKUP(Base_Periodo1[[#This Row],[CONTA]],BaseContasDRE[#All],6,FALSE))</f>
        <v>Fora do DRE</v>
      </c>
      <c r="U3807" s="3" t="str">
        <f>IF(ISERROR(VLOOKUP(Base_Periodo1[[#This Row],[CONTA]],BaseContasDRE[#All],7,FALSE)),"Fora do DRE",VLOOKUP(Base_Periodo1[[#This Row],[CONTA]],BaseContasDRE[#All],7,FALSE))</f>
        <v>Fora do DRE</v>
      </c>
      <c r="V3807" s="3" t="str">
        <f>IF(Base_Periodo1[[#This Row],[Tipo_Linha]]="Fora do DRE","Fora do DRE","( "&amp;Base_Periodo1[[#This Row],[Tipo_Linha]]&amp;" ) "&amp;Base_Periodo1[[#This Row],[Filtro]])</f>
        <v>Fora do DRE</v>
      </c>
      <c r="W3807" s="3" t="str">
        <f>LEFT(Base_Periodo1[[#This Row],[CLASS]],3)</f>
        <v>2.1</v>
      </c>
    </row>
    <row r="3808" spans="1:23" hidden="1">
      <c r="A3808" s="3" t="str">
        <f t="shared" si="59"/>
        <v>Período 1</v>
      </c>
      <c r="B3808">
        <v>50196</v>
      </c>
      <c r="C3808" t="s">
        <v>2010</v>
      </c>
      <c r="D3808" t="s">
        <v>7090</v>
      </c>
      <c r="E3808" s="3" t="str">
        <f>IF(LEN(Base_Periodo1[[#This Row],[CLASS]])&gt;=7,LEFT(Base_Periodo1[[#This Row],[CLASS]],7),"")</f>
        <v>2.1.2.2</v>
      </c>
      <c r="F3808" s="3" t="str">
        <f>VLOOKUP(Base_Periodo1[[#This Row],[Aux]],Base_Contas_Balanco[#All],2,FALSE)</f>
        <v>Fornecedores Não Cooperados</v>
      </c>
      <c r="G3808" s="1">
        <v>42865</v>
      </c>
      <c r="I3808" s="225">
        <v>2040</v>
      </c>
      <c r="J3808" s="225">
        <v>2040</v>
      </c>
      <c r="K3808" s="225">
        <v>0</v>
      </c>
      <c r="L38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08" s="225">
        <f>ROUND(IF(AND(Base_Periodo1[[#This Row],[Tipo_Linha]]="-",Base_Periodo1[[#This Row],[TIPOSALDO]]="D"),Base_Periodo1[[#This Row],[SALDO_ATUAL]]*-1,Base_Periodo1[[#This Row],[SALDO_ATUAL]]),4)</f>
        <v>0</v>
      </c>
      <c r="N3808" t="s">
        <v>116</v>
      </c>
      <c r="O3808" t="s">
        <v>436</v>
      </c>
      <c r="P3808" t="s">
        <v>436</v>
      </c>
      <c r="Q3808">
        <v>7</v>
      </c>
      <c r="R3808" s="225">
        <f>Base_Periodo1[[#This Row],[CREDITOS]]-Base_Periodo1[[#This Row],[DEBITOS]]</f>
        <v>0</v>
      </c>
      <c r="S3808" s="3" t="str">
        <f>IF(ISERROR(VLOOKUP(Base_Periodo1[[#This Row],[CONTA]],BaseContasDRE[#All],4,FALSE)),"Fora do DRE",VLOOKUP(Base_Periodo1[[#This Row],[CONTA]],BaseContasDRE[#All],4,FALSE))</f>
        <v>Fora do DRE</v>
      </c>
      <c r="T3808" s="3" t="str">
        <f>IF(ISERROR(VLOOKUP(Base_Periodo1[[#This Row],[CONTA]],BaseContasDRE[#All],5,FALSE)),"Fora do DRE",VLOOKUP(Base_Periodo1[[#This Row],[CONTA]],BaseContasDRE[#All],6,FALSE))</f>
        <v>Fora do DRE</v>
      </c>
      <c r="U3808" s="3" t="str">
        <f>IF(ISERROR(VLOOKUP(Base_Periodo1[[#This Row],[CONTA]],BaseContasDRE[#All],7,FALSE)),"Fora do DRE",VLOOKUP(Base_Periodo1[[#This Row],[CONTA]],BaseContasDRE[#All],7,FALSE))</f>
        <v>Fora do DRE</v>
      </c>
      <c r="V3808" s="3" t="str">
        <f>IF(Base_Periodo1[[#This Row],[Tipo_Linha]]="Fora do DRE","Fora do DRE","( "&amp;Base_Periodo1[[#This Row],[Tipo_Linha]]&amp;" ) "&amp;Base_Periodo1[[#This Row],[Filtro]])</f>
        <v>Fora do DRE</v>
      </c>
      <c r="W3808" s="3" t="str">
        <f>LEFT(Base_Periodo1[[#This Row],[CLASS]],3)</f>
        <v>2.1</v>
      </c>
    </row>
    <row r="3809" spans="1:23" hidden="1">
      <c r="A3809" s="3" t="str">
        <f t="shared" si="59"/>
        <v>Período 1</v>
      </c>
      <c r="B3809">
        <v>7942</v>
      </c>
      <c r="C3809" t="s">
        <v>2010</v>
      </c>
      <c r="D3809" t="s">
        <v>4344</v>
      </c>
      <c r="E3809" s="3" t="str">
        <f>IF(LEN(Base_Periodo1[[#This Row],[CLASS]])&gt;=7,LEFT(Base_Periodo1[[#This Row],[CLASS]],7),"")</f>
        <v>2.1.2.2</v>
      </c>
      <c r="F3809" s="3" t="str">
        <f>VLOOKUP(Base_Periodo1[[#This Row],[Aux]],Base_Contas_Balanco[#All],2,FALSE)</f>
        <v>Fornecedores Não Cooperados</v>
      </c>
      <c r="G3809" s="1">
        <v>42870</v>
      </c>
      <c r="H3809" s="225">
        <v>4999.9999999997672</v>
      </c>
      <c r="I3809" s="225">
        <v>500507.1</v>
      </c>
      <c r="J3809" s="225">
        <v>500507.1</v>
      </c>
      <c r="K3809" s="225">
        <v>4999.9999999997672</v>
      </c>
      <c r="L38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5000</v>
      </c>
      <c r="M3809" s="225">
        <f>ROUND(IF(AND(Base_Periodo1[[#This Row],[Tipo_Linha]]="-",Base_Periodo1[[#This Row],[TIPOSALDO]]="D"),Base_Periodo1[[#This Row],[SALDO_ATUAL]]*-1,Base_Periodo1[[#This Row],[SALDO_ATUAL]]),4)</f>
        <v>5000</v>
      </c>
      <c r="N3809" t="s">
        <v>116</v>
      </c>
      <c r="O3809" t="s">
        <v>459</v>
      </c>
      <c r="P3809" t="s">
        <v>459</v>
      </c>
      <c r="Q3809">
        <v>7</v>
      </c>
      <c r="R3809" s="225">
        <f>Base_Periodo1[[#This Row],[CREDITOS]]-Base_Periodo1[[#This Row],[DEBITOS]]</f>
        <v>0</v>
      </c>
      <c r="S3809" s="3" t="str">
        <f>IF(ISERROR(VLOOKUP(Base_Periodo1[[#This Row],[CONTA]],BaseContasDRE[#All],4,FALSE)),"Fora do DRE",VLOOKUP(Base_Periodo1[[#This Row],[CONTA]],BaseContasDRE[#All],4,FALSE))</f>
        <v>Fora do DRE</v>
      </c>
      <c r="T3809" s="3" t="str">
        <f>IF(ISERROR(VLOOKUP(Base_Periodo1[[#This Row],[CONTA]],BaseContasDRE[#All],5,FALSE)),"Fora do DRE",VLOOKUP(Base_Periodo1[[#This Row],[CONTA]],BaseContasDRE[#All],6,FALSE))</f>
        <v>Fora do DRE</v>
      </c>
      <c r="U3809" s="3" t="str">
        <f>IF(ISERROR(VLOOKUP(Base_Periodo1[[#This Row],[CONTA]],BaseContasDRE[#All],7,FALSE)),"Fora do DRE",VLOOKUP(Base_Periodo1[[#This Row],[CONTA]],BaseContasDRE[#All],7,FALSE))</f>
        <v>Fora do DRE</v>
      </c>
      <c r="V3809" s="3" t="str">
        <f>IF(Base_Periodo1[[#This Row],[Tipo_Linha]]="Fora do DRE","Fora do DRE","( "&amp;Base_Periodo1[[#This Row],[Tipo_Linha]]&amp;" ) "&amp;Base_Periodo1[[#This Row],[Filtro]])</f>
        <v>Fora do DRE</v>
      </c>
      <c r="W3809" s="3" t="str">
        <f>LEFT(Base_Periodo1[[#This Row],[CLASS]],3)</f>
        <v>2.1</v>
      </c>
    </row>
    <row r="3810" spans="1:23" hidden="1">
      <c r="A3810" s="3" t="str">
        <f t="shared" si="59"/>
        <v>Período 1</v>
      </c>
      <c r="B3810">
        <v>55716</v>
      </c>
      <c r="C3810" t="s">
        <v>2010</v>
      </c>
      <c r="D3810" t="s">
        <v>5529</v>
      </c>
      <c r="E3810" s="3" t="str">
        <f>IF(LEN(Base_Periodo1[[#This Row],[CLASS]])&gt;=7,LEFT(Base_Periodo1[[#This Row],[CLASS]],7),"")</f>
        <v>2.1.2.2</v>
      </c>
      <c r="F3810" s="3" t="str">
        <f>VLOOKUP(Base_Periodo1[[#This Row],[Aux]],Base_Contas_Balanco[#All],2,FALSE)</f>
        <v>Fornecedores Não Cooperados</v>
      </c>
      <c r="G3810" s="1">
        <v>42871</v>
      </c>
      <c r="I3810" s="225">
        <v>5519.23</v>
      </c>
      <c r="J3810" s="225">
        <v>5519.23</v>
      </c>
      <c r="K3810" s="225">
        <v>-7.2759576141834259E-12</v>
      </c>
      <c r="L38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10" s="225">
        <f>ROUND(IF(AND(Base_Periodo1[[#This Row],[Tipo_Linha]]="-",Base_Periodo1[[#This Row],[TIPOSALDO]]="D"),Base_Periodo1[[#This Row],[SALDO_ATUAL]]*-1,Base_Periodo1[[#This Row],[SALDO_ATUAL]]),4)</f>
        <v>0</v>
      </c>
      <c r="N3810" t="s">
        <v>116</v>
      </c>
      <c r="O3810" t="s">
        <v>436</v>
      </c>
      <c r="P3810" t="s">
        <v>436</v>
      </c>
      <c r="Q3810">
        <v>7</v>
      </c>
      <c r="R3810" s="225">
        <f>Base_Periodo1[[#This Row],[CREDITOS]]-Base_Periodo1[[#This Row],[DEBITOS]]</f>
        <v>0</v>
      </c>
      <c r="S3810" s="3" t="str">
        <f>IF(ISERROR(VLOOKUP(Base_Periodo1[[#This Row],[CONTA]],BaseContasDRE[#All],4,FALSE)),"Fora do DRE",VLOOKUP(Base_Periodo1[[#This Row],[CONTA]],BaseContasDRE[#All],4,FALSE))</f>
        <v>Fora do DRE</v>
      </c>
      <c r="T3810" s="3" t="str">
        <f>IF(ISERROR(VLOOKUP(Base_Periodo1[[#This Row],[CONTA]],BaseContasDRE[#All],5,FALSE)),"Fora do DRE",VLOOKUP(Base_Periodo1[[#This Row],[CONTA]],BaseContasDRE[#All],6,FALSE))</f>
        <v>Fora do DRE</v>
      </c>
      <c r="U3810" s="3" t="str">
        <f>IF(ISERROR(VLOOKUP(Base_Periodo1[[#This Row],[CONTA]],BaseContasDRE[#All],7,FALSE)),"Fora do DRE",VLOOKUP(Base_Periodo1[[#This Row],[CONTA]],BaseContasDRE[#All],7,FALSE))</f>
        <v>Fora do DRE</v>
      </c>
      <c r="V3810" s="3" t="str">
        <f>IF(Base_Periodo1[[#This Row],[Tipo_Linha]]="Fora do DRE","Fora do DRE","( "&amp;Base_Periodo1[[#This Row],[Tipo_Linha]]&amp;" ) "&amp;Base_Periodo1[[#This Row],[Filtro]])</f>
        <v>Fora do DRE</v>
      </c>
      <c r="W3810" s="3" t="str">
        <f>LEFT(Base_Periodo1[[#This Row],[CLASS]],3)</f>
        <v>2.1</v>
      </c>
    </row>
    <row r="3811" spans="1:23" hidden="1">
      <c r="A3811" s="3" t="str">
        <f t="shared" si="59"/>
        <v>Período 1</v>
      </c>
      <c r="B3811">
        <v>55712</v>
      </c>
      <c r="C3811" t="s">
        <v>2010</v>
      </c>
      <c r="D3811" t="s">
        <v>5530</v>
      </c>
      <c r="E3811" s="3" t="str">
        <f>IF(LEN(Base_Periodo1[[#This Row],[CLASS]])&gt;=7,LEFT(Base_Periodo1[[#This Row],[CLASS]],7),"")</f>
        <v>2.1.2.2</v>
      </c>
      <c r="F3811" s="3" t="str">
        <f>VLOOKUP(Base_Periodo1[[#This Row],[Aux]],Base_Contas_Balanco[#All],2,FALSE)</f>
        <v>Fornecedores Não Cooperados</v>
      </c>
      <c r="G3811" s="1">
        <v>42885</v>
      </c>
      <c r="H3811" s="225">
        <v>60</v>
      </c>
      <c r="I3811" s="225">
        <v>150</v>
      </c>
      <c r="J3811" s="225">
        <v>90</v>
      </c>
      <c r="K3811" s="225">
        <v>0</v>
      </c>
      <c r="L38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11" s="225">
        <f>ROUND(IF(AND(Base_Periodo1[[#This Row],[Tipo_Linha]]="-",Base_Periodo1[[#This Row],[TIPOSALDO]]="D"),Base_Periodo1[[#This Row],[SALDO_ATUAL]]*-1,Base_Periodo1[[#This Row],[SALDO_ATUAL]]),4)</f>
        <v>0</v>
      </c>
      <c r="N3811" t="s">
        <v>116</v>
      </c>
      <c r="O3811" t="s">
        <v>459</v>
      </c>
      <c r="P3811" t="s">
        <v>436</v>
      </c>
      <c r="Q3811">
        <v>7</v>
      </c>
      <c r="R3811" s="225">
        <f>Base_Periodo1[[#This Row],[CREDITOS]]-Base_Periodo1[[#This Row],[DEBITOS]]</f>
        <v>-60</v>
      </c>
      <c r="S3811" s="3" t="str">
        <f>IF(ISERROR(VLOOKUP(Base_Periodo1[[#This Row],[CONTA]],BaseContasDRE[#All],4,FALSE)),"Fora do DRE",VLOOKUP(Base_Periodo1[[#This Row],[CONTA]],BaseContasDRE[#All],4,FALSE))</f>
        <v>Fora do DRE</v>
      </c>
      <c r="T3811" s="3" t="str">
        <f>IF(ISERROR(VLOOKUP(Base_Periodo1[[#This Row],[CONTA]],BaseContasDRE[#All],5,FALSE)),"Fora do DRE",VLOOKUP(Base_Periodo1[[#This Row],[CONTA]],BaseContasDRE[#All],6,FALSE))</f>
        <v>Fora do DRE</v>
      </c>
      <c r="U3811" s="3" t="str">
        <f>IF(ISERROR(VLOOKUP(Base_Periodo1[[#This Row],[CONTA]],BaseContasDRE[#All],7,FALSE)),"Fora do DRE",VLOOKUP(Base_Periodo1[[#This Row],[CONTA]],BaseContasDRE[#All],7,FALSE))</f>
        <v>Fora do DRE</v>
      </c>
      <c r="V3811" s="3" t="str">
        <f>IF(Base_Periodo1[[#This Row],[Tipo_Linha]]="Fora do DRE","Fora do DRE","( "&amp;Base_Periodo1[[#This Row],[Tipo_Linha]]&amp;" ) "&amp;Base_Periodo1[[#This Row],[Filtro]])</f>
        <v>Fora do DRE</v>
      </c>
      <c r="W3811" s="3" t="str">
        <f>LEFT(Base_Periodo1[[#This Row],[CLASS]],3)</f>
        <v>2.1</v>
      </c>
    </row>
    <row r="3812" spans="1:23" hidden="1">
      <c r="A3812" s="3" t="str">
        <f t="shared" si="59"/>
        <v>Período 1</v>
      </c>
      <c r="B3812">
        <v>56216</v>
      </c>
      <c r="C3812" t="s">
        <v>2010</v>
      </c>
      <c r="D3812" t="s">
        <v>5726</v>
      </c>
      <c r="E3812" s="3" t="str">
        <f>IF(LEN(Base_Periodo1[[#This Row],[CLASS]])&gt;=7,LEFT(Base_Periodo1[[#This Row],[CLASS]],7),"")</f>
        <v>2.1.2.2</v>
      </c>
      <c r="F3812" s="3" t="str">
        <f>VLOOKUP(Base_Periodo1[[#This Row],[Aux]],Base_Contas_Balanco[#All],2,FALSE)</f>
        <v>Fornecedores Não Cooperados</v>
      </c>
      <c r="G3812" s="1">
        <v>42877</v>
      </c>
      <c r="I3812" s="225">
        <v>899.1</v>
      </c>
      <c r="J3812" s="225">
        <v>899.1</v>
      </c>
      <c r="K3812" s="225">
        <v>0</v>
      </c>
      <c r="L38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12" s="225">
        <f>ROUND(IF(AND(Base_Periodo1[[#This Row],[Tipo_Linha]]="-",Base_Periodo1[[#This Row],[TIPOSALDO]]="D"),Base_Periodo1[[#This Row],[SALDO_ATUAL]]*-1,Base_Periodo1[[#This Row],[SALDO_ATUAL]]),4)</f>
        <v>0</v>
      </c>
      <c r="N3812" t="s">
        <v>116</v>
      </c>
      <c r="O3812" t="s">
        <v>436</v>
      </c>
      <c r="P3812" t="s">
        <v>436</v>
      </c>
      <c r="Q3812">
        <v>7</v>
      </c>
      <c r="R3812" s="225">
        <f>Base_Periodo1[[#This Row],[CREDITOS]]-Base_Periodo1[[#This Row],[DEBITOS]]</f>
        <v>0</v>
      </c>
      <c r="S3812" s="3" t="str">
        <f>IF(ISERROR(VLOOKUP(Base_Periodo1[[#This Row],[CONTA]],BaseContasDRE[#All],4,FALSE)),"Fora do DRE",VLOOKUP(Base_Periodo1[[#This Row],[CONTA]],BaseContasDRE[#All],4,FALSE))</f>
        <v>Fora do DRE</v>
      </c>
      <c r="T3812" s="3" t="str">
        <f>IF(ISERROR(VLOOKUP(Base_Periodo1[[#This Row],[CONTA]],BaseContasDRE[#All],5,FALSE)),"Fora do DRE",VLOOKUP(Base_Periodo1[[#This Row],[CONTA]],BaseContasDRE[#All],6,FALSE))</f>
        <v>Fora do DRE</v>
      </c>
      <c r="U3812" s="3" t="str">
        <f>IF(ISERROR(VLOOKUP(Base_Periodo1[[#This Row],[CONTA]],BaseContasDRE[#All],7,FALSE)),"Fora do DRE",VLOOKUP(Base_Periodo1[[#This Row],[CONTA]],BaseContasDRE[#All],7,FALSE))</f>
        <v>Fora do DRE</v>
      </c>
      <c r="V3812" s="3" t="str">
        <f>IF(Base_Periodo1[[#This Row],[Tipo_Linha]]="Fora do DRE","Fora do DRE","( "&amp;Base_Periodo1[[#This Row],[Tipo_Linha]]&amp;" ) "&amp;Base_Periodo1[[#This Row],[Filtro]])</f>
        <v>Fora do DRE</v>
      </c>
      <c r="W3812" s="3" t="str">
        <f>LEFT(Base_Periodo1[[#This Row],[CLASS]],3)</f>
        <v>2.1</v>
      </c>
    </row>
    <row r="3813" spans="1:23" hidden="1">
      <c r="A3813" s="3" t="str">
        <f t="shared" si="59"/>
        <v>Período 1</v>
      </c>
      <c r="B3813">
        <v>15347</v>
      </c>
      <c r="C3813" t="s">
        <v>2010</v>
      </c>
      <c r="D3813" t="s">
        <v>5989</v>
      </c>
      <c r="E3813" s="3" t="str">
        <f>IF(LEN(Base_Periodo1[[#This Row],[CLASS]])&gt;=7,LEFT(Base_Periodo1[[#This Row],[CLASS]],7),"")</f>
        <v>2.1.2.2</v>
      </c>
      <c r="F3813" s="3" t="str">
        <f>VLOOKUP(Base_Periodo1[[#This Row],[Aux]],Base_Contas_Balanco[#All],2,FALSE)</f>
        <v>Fornecedores Não Cooperados</v>
      </c>
      <c r="G3813" s="1">
        <v>42880</v>
      </c>
      <c r="I3813" s="225">
        <v>77.12</v>
      </c>
      <c r="J3813" s="225">
        <v>77.12</v>
      </c>
      <c r="K3813" s="225">
        <v>0</v>
      </c>
      <c r="L38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13" s="225">
        <f>ROUND(IF(AND(Base_Periodo1[[#This Row],[Tipo_Linha]]="-",Base_Periodo1[[#This Row],[TIPOSALDO]]="D"),Base_Periodo1[[#This Row],[SALDO_ATUAL]]*-1,Base_Periodo1[[#This Row],[SALDO_ATUAL]]),4)</f>
        <v>0</v>
      </c>
      <c r="N3813" t="s">
        <v>116</v>
      </c>
      <c r="O3813" t="s">
        <v>436</v>
      </c>
      <c r="P3813" t="s">
        <v>436</v>
      </c>
      <c r="Q3813">
        <v>7</v>
      </c>
      <c r="R3813" s="225">
        <f>Base_Periodo1[[#This Row],[CREDITOS]]-Base_Periodo1[[#This Row],[DEBITOS]]</f>
        <v>0</v>
      </c>
      <c r="S3813" s="3" t="str">
        <f>IF(ISERROR(VLOOKUP(Base_Periodo1[[#This Row],[CONTA]],BaseContasDRE[#All],4,FALSE)),"Fora do DRE",VLOOKUP(Base_Periodo1[[#This Row],[CONTA]],BaseContasDRE[#All],4,FALSE))</f>
        <v>Fora do DRE</v>
      </c>
      <c r="T3813" s="3" t="str">
        <f>IF(ISERROR(VLOOKUP(Base_Periodo1[[#This Row],[CONTA]],BaseContasDRE[#All],5,FALSE)),"Fora do DRE",VLOOKUP(Base_Periodo1[[#This Row],[CONTA]],BaseContasDRE[#All],6,FALSE))</f>
        <v>Fora do DRE</v>
      </c>
      <c r="U3813" s="3" t="str">
        <f>IF(ISERROR(VLOOKUP(Base_Periodo1[[#This Row],[CONTA]],BaseContasDRE[#All],7,FALSE)),"Fora do DRE",VLOOKUP(Base_Periodo1[[#This Row],[CONTA]],BaseContasDRE[#All],7,FALSE))</f>
        <v>Fora do DRE</v>
      </c>
      <c r="V3813" s="3" t="str">
        <f>IF(Base_Periodo1[[#This Row],[Tipo_Linha]]="Fora do DRE","Fora do DRE","( "&amp;Base_Periodo1[[#This Row],[Tipo_Linha]]&amp;" ) "&amp;Base_Periodo1[[#This Row],[Filtro]])</f>
        <v>Fora do DRE</v>
      </c>
      <c r="W3813" s="3" t="str">
        <f>LEFT(Base_Periodo1[[#This Row],[CLASS]],3)</f>
        <v>2.1</v>
      </c>
    </row>
    <row r="3814" spans="1:23" hidden="1">
      <c r="A3814" s="3" t="str">
        <f t="shared" si="59"/>
        <v>Período 1</v>
      </c>
      <c r="B3814">
        <v>27187</v>
      </c>
      <c r="C3814" t="s">
        <v>2010</v>
      </c>
      <c r="D3814" t="s">
        <v>6500</v>
      </c>
      <c r="E3814" s="3" t="str">
        <f>IF(LEN(Base_Periodo1[[#This Row],[CLASS]])&gt;=7,LEFT(Base_Periodo1[[#This Row],[CLASS]],7),"")</f>
        <v>2.1.2.2</v>
      </c>
      <c r="F3814" s="3" t="str">
        <f>VLOOKUP(Base_Periodo1[[#This Row],[Aux]],Base_Contas_Balanco[#All],2,FALSE)</f>
        <v>Fornecedores Não Cooperados</v>
      </c>
      <c r="G3814" s="1">
        <v>42881</v>
      </c>
      <c r="I3814" s="225">
        <v>63522.400000000001</v>
      </c>
      <c r="J3814" s="225">
        <v>63522.400000000001</v>
      </c>
      <c r="K3814" s="225">
        <v>1.1641532182693481E-10</v>
      </c>
      <c r="L38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14" s="225">
        <f>ROUND(IF(AND(Base_Periodo1[[#This Row],[Tipo_Linha]]="-",Base_Periodo1[[#This Row],[TIPOSALDO]]="D"),Base_Periodo1[[#This Row],[SALDO_ATUAL]]*-1,Base_Periodo1[[#This Row],[SALDO_ATUAL]]),4)</f>
        <v>0</v>
      </c>
      <c r="N3814" t="s">
        <v>116</v>
      </c>
      <c r="O3814" t="s">
        <v>436</v>
      </c>
      <c r="P3814" t="s">
        <v>436</v>
      </c>
      <c r="Q3814">
        <v>7</v>
      </c>
      <c r="R3814" s="225">
        <f>Base_Periodo1[[#This Row],[CREDITOS]]-Base_Periodo1[[#This Row],[DEBITOS]]</f>
        <v>0</v>
      </c>
      <c r="S3814" s="3" t="str">
        <f>IF(ISERROR(VLOOKUP(Base_Periodo1[[#This Row],[CONTA]],BaseContasDRE[#All],4,FALSE)),"Fora do DRE",VLOOKUP(Base_Periodo1[[#This Row],[CONTA]],BaseContasDRE[#All],4,FALSE))</f>
        <v>Fora do DRE</v>
      </c>
      <c r="T3814" s="3" t="str">
        <f>IF(ISERROR(VLOOKUP(Base_Periodo1[[#This Row],[CONTA]],BaseContasDRE[#All],5,FALSE)),"Fora do DRE",VLOOKUP(Base_Periodo1[[#This Row],[CONTA]],BaseContasDRE[#All],6,FALSE))</f>
        <v>Fora do DRE</v>
      </c>
      <c r="U3814" s="3" t="str">
        <f>IF(ISERROR(VLOOKUP(Base_Periodo1[[#This Row],[CONTA]],BaseContasDRE[#All],7,FALSE)),"Fora do DRE",VLOOKUP(Base_Periodo1[[#This Row],[CONTA]],BaseContasDRE[#All],7,FALSE))</f>
        <v>Fora do DRE</v>
      </c>
      <c r="V3814" s="3" t="str">
        <f>IF(Base_Periodo1[[#This Row],[Tipo_Linha]]="Fora do DRE","Fora do DRE","( "&amp;Base_Periodo1[[#This Row],[Tipo_Linha]]&amp;" ) "&amp;Base_Periodo1[[#This Row],[Filtro]])</f>
        <v>Fora do DRE</v>
      </c>
      <c r="W3814" s="3" t="str">
        <f>LEFT(Base_Periodo1[[#This Row],[CLASS]],3)</f>
        <v>2.1</v>
      </c>
    </row>
    <row r="3815" spans="1:23" hidden="1">
      <c r="A3815" s="3" t="str">
        <f t="shared" si="59"/>
        <v>Período 1</v>
      </c>
      <c r="B3815">
        <v>28103</v>
      </c>
      <c r="C3815" t="s">
        <v>2010</v>
      </c>
      <c r="D3815" t="s">
        <v>2097</v>
      </c>
      <c r="E3815" s="3" t="str">
        <f>IF(LEN(Base_Periodo1[[#This Row],[CLASS]])&gt;=7,LEFT(Base_Periodo1[[#This Row],[CLASS]],7),"")</f>
        <v>2.1.2.2</v>
      </c>
      <c r="F3815" s="3" t="str">
        <f>VLOOKUP(Base_Periodo1[[#This Row],[Aux]],Base_Contas_Balanco[#All],2,FALSE)</f>
        <v>Fornecedores Não Cooperados</v>
      </c>
      <c r="G3815" s="1">
        <v>42865</v>
      </c>
      <c r="I3815" s="225">
        <v>3525</v>
      </c>
      <c r="J3815" s="225">
        <v>3525</v>
      </c>
      <c r="K3815" s="225">
        <v>2.9103830456733704E-11</v>
      </c>
      <c r="L38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15" s="225">
        <f>ROUND(IF(AND(Base_Periodo1[[#This Row],[Tipo_Linha]]="-",Base_Periodo1[[#This Row],[TIPOSALDO]]="D"),Base_Periodo1[[#This Row],[SALDO_ATUAL]]*-1,Base_Periodo1[[#This Row],[SALDO_ATUAL]]),4)</f>
        <v>0</v>
      </c>
      <c r="N3815" t="s">
        <v>116</v>
      </c>
      <c r="O3815" t="s">
        <v>436</v>
      </c>
      <c r="P3815" t="s">
        <v>436</v>
      </c>
      <c r="Q3815">
        <v>7</v>
      </c>
      <c r="R3815" s="225">
        <f>Base_Periodo1[[#This Row],[CREDITOS]]-Base_Periodo1[[#This Row],[DEBITOS]]</f>
        <v>0</v>
      </c>
      <c r="S3815" s="3" t="str">
        <f>IF(ISERROR(VLOOKUP(Base_Periodo1[[#This Row],[CONTA]],BaseContasDRE[#All],4,FALSE)),"Fora do DRE",VLOOKUP(Base_Periodo1[[#This Row],[CONTA]],BaseContasDRE[#All],4,FALSE))</f>
        <v>Fora do DRE</v>
      </c>
      <c r="T3815" s="3" t="str">
        <f>IF(ISERROR(VLOOKUP(Base_Periodo1[[#This Row],[CONTA]],BaseContasDRE[#All],5,FALSE)),"Fora do DRE",VLOOKUP(Base_Periodo1[[#This Row],[CONTA]],BaseContasDRE[#All],6,FALSE))</f>
        <v>Fora do DRE</v>
      </c>
      <c r="U3815" s="3" t="str">
        <f>IF(ISERROR(VLOOKUP(Base_Periodo1[[#This Row],[CONTA]],BaseContasDRE[#All],7,FALSE)),"Fora do DRE",VLOOKUP(Base_Periodo1[[#This Row],[CONTA]],BaseContasDRE[#All],7,FALSE))</f>
        <v>Fora do DRE</v>
      </c>
      <c r="V3815" s="3" t="str">
        <f>IF(Base_Periodo1[[#This Row],[Tipo_Linha]]="Fora do DRE","Fora do DRE","( "&amp;Base_Periodo1[[#This Row],[Tipo_Linha]]&amp;" ) "&amp;Base_Periodo1[[#This Row],[Filtro]])</f>
        <v>Fora do DRE</v>
      </c>
      <c r="W3815" s="3" t="str">
        <f>LEFT(Base_Periodo1[[#This Row],[CLASS]],3)</f>
        <v>2.1</v>
      </c>
    </row>
    <row r="3816" spans="1:23" hidden="1">
      <c r="A3816" s="3" t="str">
        <f t="shared" si="59"/>
        <v>Período 1</v>
      </c>
      <c r="B3816">
        <v>29550</v>
      </c>
      <c r="C3816" t="s">
        <v>2010</v>
      </c>
      <c r="D3816" t="s">
        <v>4555</v>
      </c>
      <c r="E3816" s="3" t="str">
        <f>IF(LEN(Base_Periodo1[[#This Row],[CLASS]])&gt;=7,LEFT(Base_Periodo1[[#This Row],[CLASS]],7),"")</f>
        <v>2.1.2.2</v>
      </c>
      <c r="F3816" s="3" t="str">
        <f>VLOOKUP(Base_Periodo1[[#This Row],[Aux]],Base_Contas_Balanco[#All],2,FALSE)</f>
        <v>Fornecedores Não Cooperados</v>
      </c>
      <c r="G3816" s="1">
        <v>42863</v>
      </c>
      <c r="H3816" s="225">
        <v>912.55009999998583</v>
      </c>
      <c r="I3816" s="225">
        <v>1279.1799999999998</v>
      </c>
      <c r="J3816" s="225">
        <v>366.63</v>
      </c>
      <c r="K3816" s="225">
        <v>-9.9999985991416906E-5</v>
      </c>
      <c r="L38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1E-4</v>
      </c>
      <c r="M3816" s="225">
        <f>ROUND(IF(AND(Base_Periodo1[[#This Row],[Tipo_Linha]]="-",Base_Periodo1[[#This Row],[TIPOSALDO]]="D"),Base_Periodo1[[#This Row],[SALDO_ATUAL]]*-1,Base_Periodo1[[#This Row],[SALDO_ATUAL]]),4)</f>
        <v>-1E-4</v>
      </c>
      <c r="N3816" t="s">
        <v>116</v>
      </c>
      <c r="O3816" t="s">
        <v>459</v>
      </c>
      <c r="P3816" t="s">
        <v>436</v>
      </c>
      <c r="Q3816">
        <v>7</v>
      </c>
      <c r="R3816" s="225">
        <f>Base_Periodo1[[#This Row],[CREDITOS]]-Base_Periodo1[[#This Row],[DEBITOS]]</f>
        <v>-912.54999999999984</v>
      </c>
      <c r="S3816" s="3" t="str">
        <f>IF(ISERROR(VLOOKUP(Base_Periodo1[[#This Row],[CONTA]],BaseContasDRE[#All],4,FALSE)),"Fora do DRE",VLOOKUP(Base_Periodo1[[#This Row],[CONTA]],BaseContasDRE[#All],4,FALSE))</f>
        <v>Fora do DRE</v>
      </c>
      <c r="T3816" s="3" t="str">
        <f>IF(ISERROR(VLOOKUP(Base_Periodo1[[#This Row],[CONTA]],BaseContasDRE[#All],5,FALSE)),"Fora do DRE",VLOOKUP(Base_Periodo1[[#This Row],[CONTA]],BaseContasDRE[#All],6,FALSE))</f>
        <v>Fora do DRE</v>
      </c>
      <c r="U3816" s="3" t="str">
        <f>IF(ISERROR(VLOOKUP(Base_Periodo1[[#This Row],[CONTA]],BaseContasDRE[#All],7,FALSE)),"Fora do DRE",VLOOKUP(Base_Periodo1[[#This Row],[CONTA]],BaseContasDRE[#All],7,FALSE))</f>
        <v>Fora do DRE</v>
      </c>
      <c r="V3816" s="3" t="str">
        <f>IF(Base_Periodo1[[#This Row],[Tipo_Linha]]="Fora do DRE","Fora do DRE","( "&amp;Base_Periodo1[[#This Row],[Tipo_Linha]]&amp;" ) "&amp;Base_Periodo1[[#This Row],[Filtro]])</f>
        <v>Fora do DRE</v>
      </c>
      <c r="W3816" s="3" t="str">
        <f>LEFT(Base_Periodo1[[#This Row],[CLASS]],3)</f>
        <v>2.1</v>
      </c>
    </row>
    <row r="3817" spans="1:23" hidden="1">
      <c r="A3817" s="3" t="str">
        <f t="shared" si="59"/>
        <v>Período 1</v>
      </c>
      <c r="B3817">
        <v>29882</v>
      </c>
      <c r="C3817" t="s">
        <v>2010</v>
      </c>
      <c r="D3817" t="s">
        <v>5990</v>
      </c>
      <c r="E3817" s="3" t="str">
        <f>IF(LEN(Base_Periodo1[[#This Row],[CLASS]])&gt;=7,LEFT(Base_Periodo1[[#This Row],[CLASS]],7),"")</f>
        <v>2.1.2.2</v>
      </c>
      <c r="F3817" s="3" t="str">
        <f>VLOOKUP(Base_Periodo1[[#This Row],[Aux]],Base_Contas_Balanco[#All],2,FALSE)</f>
        <v>Fornecedores Não Cooperados</v>
      </c>
      <c r="G3817" s="1">
        <v>42886</v>
      </c>
      <c r="H3817" s="225">
        <v>1973.9600000000064</v>
      </c>
      <c r="I3817" s="225">
        <v>3045.7900000000004</v>
      </c>
      <c r="J3817" s="225">
        <v>8341.83</v>
      </c>
      <c r="K3817" s="225">
        <v>7270.0000000000055</v>
      </c>
      <c r="L38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7270</v>
      </c>
      <c r="M3817" s="225">
        <f>ROUND(IF(AND(Base_Periodo1[[#This Row],[Tipo_Linha]]="-",Base_Periodo1[[#This Row],[TIPOSALDO]]="D"),Base_Periodo1[[#This Row],[SALDO_ATUAL]]*-1,Base_Periodo1[[#This Row],[SALDO_ATUAL]]),4)</f>
        <v>7270</v>
      </c>
      <c r="N3817" t="s">
        <v>116</v>
      </c>
      <c r="O3817" t="s">
        <v>459</v>
      </c>
      <c r="P3817" t="s">
        <v>459</v>
      </c>
      <c r="Q3817">
        <v>7</v>
      </c>
      <c r="R3817" s="225">
        <f>Base_Periodo1[[#This Row],[CREDITOS]]-Base_Periodo1[[#This Row],[DEBITOS]]</f>
        <v>5296.0399999999991</v>
      </c>
      <c r="S3817" s="3" t="str">
        <f>IF(ISERROR(VLOOKUP(Base_Periodo1[[#This Row],[CONTA]],BaseContasDRE[#All],4,FALSE)),"Fora do DRE",VLOOKUP(Base_Periodo1[[#This Row],[CONTA]],BaseContasDRE[#All],4,FALSE))</f>
        <v>Fora do DRE</v>
      </c>
      <c r="T3817" s="3" t="str">
        <f>IF(ISERROR(VLOOKUP(Base_Periodo1[[#This Row],[CONTA]],BaseContasDRE[#All],5,FALSE)),"Fora do DRE",VLOOKUP(Base_Periodo1[[#This Row],[CONTA]],BaseContasDRE[#All],6,FALSE))</f>
        <v>Fora do DRE</v>
      </c>
      <c r="U3817" s="3" t="str">
        <f>IF(ISERROR(VLOOKUP(Base_Periodo1[[#This Row],[CONTA]],BaseContasDRE[#All],7,FALSE)),"Fora do DRE",VLOOKUP(Base_Periodo1[[#This Row],[CONTA]],BaseContasDRE[#All],7,FALSE))</f>
        <v>Fora do DRE</v>
      </c>
      <c r="V3817" s="3" t="str">
        <f>IF(Base_Periodo1[[#This Row],[Tipo_Linha]]="Fora do DRE","Fora do DRE","( "&amp;Base_Periodo1[[#This Row],[Tipo_Linha]]&amp;" ) "&amp;Base_Periodo1[[#This Row],[Filtro]])</f>
        <v>Fora do DRE</v>
      </c>
      <c r="W3817" s="3" t="str">
        <f>LEFT(Base_Periodo1[[#This Row],[CLASS]],3)</f>
        <v>2.1</v>
      </c>
    </row>
    <row r="3818" spans="1:23" hidden="1">
      <c r="A3818" s="3" t="str">
        <f t="shared" si="59"/>
        <v>Período 1</v>
      </c>
      <c r="B3818">
        <v>23630</v>
      </c>
      <c r="C3818" t="s">
        <v>2010</v>
      </c>
      <c r="D3818" t="s">
        <v>7091</v>
      </c>
      <c r="E3818" s="3" t="str">
        <f>IF(LEN(Base_Periodo1[[#This Row],[CLASS]])&gt;=7,LEFT(Base_Periodo1[[#This Row],[CLASS]],7),"")</f>
        <v>2.1.2.2</v>
      </c>
      <c r="F3818" s="3" t="str">
        <f>VLOOKUP(Base_Periodo1[[#This Row],[Aux]],Base_Contas_Balanco[#All],2,FALSE)</f>
        <v>Fornecedores Não Cooperados</v>
      </c>
      <c r="G3818" s="1">
        <v>42880</v>
      </c>
      <c r="I3818" s="225">
        <v>0</v>
      </c>
      <c r="J3818" s="225">
        <v>53088</v>
      </c>
      <c r="K3818" s="225">
        <v>53088.000000000466</v>
      </c>
      <c r="L38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53088</v>
      </c>
      <c r="M3818" s="225">
        <f>ROUND(IF(AND(Base_Periodo1[[#This Row],[Tipo_Linha]]="-",Base_Periodo1[[#This Row],[TIPOSALDO]]="D"),Base_Periodo1[[#This Row],[SALDO_ATUAL]]*-1,Base_Periodo1[[#This Row],[SALDO_ATUAL]]),4)</f>
        <v>53088</v>
      </c>
      <c r="N3818" t="s">
        <v>116</v>
      </c>
      <c r="O3818" t="s">
        <v>436</v>
      </c>
      <c r="P3818" t="s">
        <v>459</v>
      </c>
      <c r="Q3818">
        <v>7</v>
      </c>
      <c r="R3818" s="225">
        <f>Base_Periodo1[[#This Row],[CREDITOS]]-Base_Periodo1[[#This Row],[DEBITOS]]</f>
        <v>53088</v>
      </c>
      <c r="S3818" s="3" t="str">
        <f>IF(ISERROR(VLOOKUP(Base_Periodo1[[#This Row],[CONTA]],BaseContasDRE[#All],4,FALSE)),"Fora do DRE",VLOOKUP(Base_Periodo1[[#This Row],[CONTA]],BaseContasDRE[#All],4,FALSE))</f>
        <v>Fora do DRE</v>
      </c>
      <c r="T3818" s="3" t="str">
        <f>IF(ISERROR(VLOOKUP(Base_Periodo1[[#This Row],[CONTA]],BaseContasDRE[#All],5,FALSE)),"Fora do DRE",VLOOKUP(Base_Periodo1[[#This Row],[CONTA]],BaseContasDRE[#All],6,FALSE))</f>
        <v>Fora do DRE</v>
      </c>
      <c r="U3818" s="3" t="str">
        <f>IF(ISERROR(VLOOKUP(Base_Periodo1[[#This Row],[CONTA]],BaseContasDRE[#All],7,FALSE)),"Fora do DRE",VLOOKUP(Base_Periodo1[[#This Row],[CONTA]],BaseContasDRE[#All],7,FALSE))</f>
        <v>Fora do DRE</v>
      </c>
      <c r="V3818" s="3" t="str">
        <f>IF(Base_Periodo1[[#This Row],[Tipo_Linha]]="Fora do DRE","Fora do DRE","( "&amp;Base_Periodo1[[#This Row],[Tipo_Linha]]&amp;" ) "&amp;Base_Periodo1[[#This Row],[Filtro]])</f>
        <v>Fora do DRE</v>
      </c>
      <c r="W3818" s="3" t="str">
        <f>LEFT(Base_Periodo1[[#This Row],[CLASS]],3)</f>
        <v>2.1</v>
      </c>
    </row>
    <row r="3819" spans="1:23" hidden="1">
      <c r="A3819" s="3" t="str">
        <f t="shared" si="59"/>
        <v>Período 1</v>
      </c>
      <c r="B3819">
        <v>47316</v>
      </c>
      <c r="C3819" t="s">
        <v>2010</v>
      </c>
      <c r="D3819" t="s">
        <v>7092</v>
      </c>
      <c r="E3819" s="3" t="str">
        <f>IF(LEN(Base_Periodo1[[#This Row],[CLASS]])&gt;=7,LEFT(Base_Periodo1[[#This Row],[CLASS]],7),"")</f>
        <v>2.1.2.2</v>
      </c>
      <c r="F3819" s="3" t="str">
        <f>VLOOKUP(Base_Periodo1[[#This Row],[Aux]],Base_Contas_Balanco[#All],2,FALSE)</f>
        <v>Fornecedores Não Cooperados</v>
      </c>
      <c r="G3819" s="1">
        <v>42885</v>
      </c>
      <c r="I3819" s="225">
        <v>14965.439999999999</v>
      </c>
      <c r="J3819" s="225">
        <v>14965.44</v>
      </c>
      <c r="K3819" s="225">
        <v>-1.8189894035458565E-12</v>
      </c>
      <c r="L38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19" s="225">
        <f>ROUND(IF(AND(Base_Periodo1[[#This Row],[Tipo_Linha]]="-",Base_Periodo1[[#This Row],[TIPOSALDO]]="D"),Base_Periodo1[[#This Row],[SALDO_ATUAL]]*-1,Base_Periodo1[[#This Row],[SALDO_ATUAL]]),4)</f>
        <v>0</v>
      </c>
      <c r="N3819" t="s">
        <v>116</v>
      </c>
      <c r="O3819" t="s">
        <v>436</v>
      </c>
      <c r="P3819" t="s">
        <v>436</v>
      </c>
      <c r="Q3819">
        <v>7</v>
      </c>
      <c r="R3819" s="225">
        <f>Base_Periodo1[[#This Row],[CREDITOS]]-Base_Periodo1[[#This Row],[DEBITOS]]</f>
        <v>0</v>
      </c>
      <c r="S3819" s="3" t="str">
        <f>IF(ISERROR(VLOOKUP(Base_Periodo1[[#This Row],[CONTA]],BaseContasDRE[#All],4,FALSE)),"Fora do DRE",VLOOKUP(Base_Periodo1[[#This Row],[CONTA]],BaseContasDRE[#All],4,FALSE))</f>
        <v>Fora do DRE</v>
      </c>
      <c r="T3819" s="3" t="str">
        <f>IF(ISERROR(VLOOKUP(Base_Periodo1[[#This Row],[CONTA]],BaseContasDRE[#All],5,FALSE)),"Fora do DRE",VLOOKUP(Base_Periodo1[[#This Row],[CONTA]],BaseContasDRE[#All],6,FALSE))</f>
        <v>Fora do DRE</v>
      </c>
      <c r="U3819" s="3" t="str">
        <f>IF(ISERROR(VLOOKUP(Base_Periodo1[[#This Row],[CONTA]],BaseContasDRE[#All],7,FALSE)),"Fora do DRE",VLOOKUP(Base_Periodo1[[#This Row],[CONTA]],BaseContasDRE[#All],7,FALSE))</f>
        <v>Fora do DRE</v>
      </c>
      <c r="V3819" s="3" t="str">
        <f>IF(Base_Periodo1[[#This Row],[Tipo_Linha]]="Fora do DRE","Fora do DRE","( "&amp;Base_Periodo1[[#This Row],[Tipo_Linha]]&amp;" ) "&amp;Base_Periodo1[[#This Row],[Filtro]])</f>
        <v>Fora do DRE</v>
      </c>
      <c r="W3819" s="3" t="str">
        <f>LEFT(Base_Periodo1[[#This Row],[CLASS]],3)</f>
        <v>2.1</v>
      </c>
    </row>
    <row r="3820" spans="1:23" hidden="1">
      <c r="A3820" s="3" t="str">
        <f t="shared" si="59"/>
        <v>Período 1</v>
      </c>
      <c r="B3820">
        <v>58953</v>
      </c>
      <c r="C3820" t="s">
        <v>2010</v>
      </c>
      <c r="D3820" t="s">
        <v>7093</v>
      </c>
      <c r="E3820" s="3" t="str">
        <f>IF(LEN(Base_Periodo1[[#This Row],[CLASS]])&gt;=7,LEFT(Base_Periodo1[[#This Row],[CLASS]],7),"")</f>
        <v>2.1.2.2</v>
      </c>
      <c r="F3820" s="3" t="str">
        <f>VLOOKUP(Base_Periodo1[[#This Row],[Aux]],Base_Contas_Balanco[#All],2,FALSE)</f>
        <v>Fornecedores Não Cooperados</v>
      </c>
      <c r="G3820" s="1">
        <v>42867</v>
      </c>
      <c r="I3820" s="225">
        <v>12313</v>
      </c>
      <c r="J3820" s="225">
        <v>12313</v>
      </c>
      <c r="K3820" s="225">
        <v>0</v>
      </c>
      <c r="L38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20" s="225">
        <f>ROUND(IF(AND(Base_Periodo1[[#This Row],[Tipo_Linha]]="-",Base_Periodo1[[#This Row],[TIPOSALDO]]="D"),Base_Periodo1[[#This Row],[SALDO_ATUAL]]*-1,Base_Periodo1[[#This Row],[SALDO_ATUAL]]),4)</f>
        <v>0</v>
      </c>
      <c r="N3820" t="s">
        <v>116</v>
      </c>
      <c r="O3820" t="s">
        <v>436</v>
      </c>
      <c r="P3820" t="s">
        <v>436</v>
      </c>
      <c r="Q3820">
        <v>7</v>
      </c>
      <c r="R3820" s="225">
        <f>Base_Periodo1[[#This Row],[CREDITOS]]-Base_Periodo1[[#This Row],[DEBITOS]]</f>
        <v>0</v>
      </c>
      <c r="S3820" s="3" t="str">
        <f>IF(ISERROR(VLOOKUP(Base_Periodo1[[#This Row],[CONTA]],BaseContasDRE[#All],4,FALSE)),"Fora do DRE",VLOOKUP(Base_Periodo1[[#This Row],[CONTA]],BaseContasDRE[#All],4,FALSE))</f>
        <v>Fora do DRE</v>
      </c>
      <c r="T3820" s="3" t="str">
        <f>IF(ISERROR(VLOOKUP(Base_Periodo1[[#This Row],[CONTA]],BaseContasDRE[#All],5,FALSE)),"Fora do DRE",VLOOKUP(Base_Periodo1[[#This Row],[CONTA]],BaseContasDRE[#All],6,FALSE))</f>
        <v>Fora do DRE</v>
      </c>
      <c r="U3820" s="3" t="str">
        <f>IF(ISERROR(VLOOKUP(Base_Periodo1[[#This Row],[CONTA]],BaseContasDRE[#All],7,FALSE)),"Fora do DRE",VLOOKUP(Base_Periodo1[[#This Row],[CONTA]],BaseContasDRE[#All],7,FALSE))</f>
        <v>Fora do DRE</v>
      </c>
      <c r="V3820" s="3" t="str">
        <f>IF(Base_Periodo1[[#This Row],[Tipo_Linha]]="Fora do DRE","Fora do DRE","( "&amp;Base_Periodo1[[#This Row],[Tipo_Linha]]&amp;" ) "&amp;Base_Periodo1[[#This Row],[Filtro]])</f>
        <v>Fora do DRE</v>
      </c>
      <c r="W3820" s="3" t="str">
        <f>LEFT(Base_Periodo1[[#This Row],[CLASS]],3)</f>
        <v>2.1</v>
      </c>
    </row>
    <row r="3821" spans="1:23" hidden="1">
      <c r="A3821" s="3" t="str">
        <f t="shared" si="59"/>
        <v>Período 1</v>
      </c>
      <c r="B3821">
        <v>12708</v>
      </c>
      <c r="C3821" t="s">
        <v>2010</v>
      </c>
      <c r="D3821" t="s">
        <v>7094</v>
      </c>
      <c r="E3821" s="3" t="str">
        <f>IF(LEN(Base_Periodo1[[#This Row],[CLASS]])&gt;=7,LEFT(Base_Periodo1[[#This Row],[CLASS]],7),"")</f>
        <v>2.1.2.2</v>
      </c>
      <c r="F3821" s="3" t="str">
        <f>VLOOKUP(Base_Periodo1[[#This Row],[Aux]],Base_Contas_Balanco[#All],2,FALSE)</f>
        <v>Fornecedores Não Cooperados</v>
      </c>
      <c r="G3821" s="1">
        <v>42879</v>
      </c>
      <c r="I3821" s="225">
        <v>336</v>
      </c>
      <c r="J3821" s="225">
        <v>336</v>
      </c>
      <c r="K3821" s="225">
        <v>-1.8189894035458565E-12</v>
      </c>
      <c r="L38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21" s="225">
        <f>ROUND(IF(AND(Base_Periodo1[[#This Row],[Tipo_Linha]]="-",Base_Periodo1[[#This Row],[TIPOSALDO]]="D"),Base_Periodo1[[#This Row],[SALDO_ATUAL]]*-1,Base_Periodo1[[#This Row],[SALDO_ATUAL]]),4)</f>
        <v>0</v>
      </c>
      <c r="N3821" t="s">
        <v>116</v>
      </c>
      <c r="O3821" t="s">
        <v>436</v>
      </c>
      <c r="P3821" t="s">
        <v>436</v>
      </c>
      <c r="Q3821">
        <v>7</v>
      </c>
      <c r="R3821" s="225">
        <f>Base_Periodo1[[#This Row],[CREDITOS]]-Base_Periodo1[[#This Row],[DEBITOS]]</f>
        <v>0</v>
      </c>
      <c r="S3821" s="3" t="str">
        <f>IF(ISERROR(VLOOKUP(Base_Periodo1[[#This Row],[CONTA]],BaseContasDRE[#All],4,FALSE)),"Fora do DRE",VLOOKUP(Base_Periodo1[[#This Row],[CONTA]],BaseContasDRE[#All],4,FALSE))</f>
        <v>Fora do DRE</v>
      </c>
      <c r="T3821" s="3" t="str">
        <f>IF(ISERROR(VLOOKUP(Base_Periodo1[[#This Row],[CONTA]],BaseContasDRE[#All],5,FALSE)),"Fora do DRE",VLOOKUP(Base_Periodo1[[#This Row],[CONTA]],BaseContasDRE[#All],6,FALSE))</f>
        <v>Fora do DRE</v>
      </c>
      <c r="U3821" s="3" t="str">
        <f>IF(ISERROR(VLOOKUP(Base_Periodo1[[#This Row],[CONTA]],BaseContasDRE[#All],7,FALSE)),"Fora do DRE",VLOOKUP(Base_Periodo1[[#This Row],[CONTA]],BaseContasDRE[#All],7,FALSE))</f>
        <v>Fora do DRE</v>
      </c>
      <c r="V3821" s="3" t="str">
        <f>IF(Base_Periodo1[[#This Row],[Tipo_Linha]]="Fora do DRE","Fora do DRE","( "&amp;Base_Periodo1[[#This Row],[Tipo_Linha]]&amp;" ) "&amp;Base_Periodo1[[#This Row],[Filtro]])</f>
        <v>Fora do DRE</v>
      </c>
      <c r="W3821" s="3" t="str">
        <f>LEFT(Base_Periodo1[[#This Row],[CLASS]],3)</f>
        <v>2.1</v>
      </c>
    </row>
    <row r="3822" spans="1:23" hidden="1">
      <c r="A3822" s="3" t="str">
        <f t="shared" si="59"/>
        <v>Período 1</v>
      </c>
      <c r="B3822">
        <v>37375</v>
      </c>
      <c r="C3822" t="s">
        <v>2010</v>
      </c>
      <c r="D3822" t="s">
        <v>2098</v>
      </c>
      <c r="E3822" s="3" t="str">
        <f>IF(LEN(Base_Periodo1[[#This Row],[CLASS]])&gt;=7,LEFT(Base_Periodo1[[#This Row],[CLASS]],7),"")</f>
        <v>2.1.2.2</v>
      </c>
      <c r="F3822" s="3" t="str">
        <f>VLOOKUP(Base_Periodo1[[#This Row],[Aux]],Base_Contas_Balanco[#All],2,FALSE)</f>
        <v>Fornecedores Não Cooperados</v>
      </c>
      <c r="G3822" s="1">
        <v>42881</v>
      </c>
      <c r="H3822" s="225">
        <v>165.60999999969499</v>
      </c>
      <c r="I3822" s="225">
        <v>11883.84</v>
      </c>
      <c r="J3822" s="225">
        <v>12152.650000000001</v>
      </c>
      <c r="K3822" s="225">
        <v>434.4199999996963</v>
      </c>
      <c r="L38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434.42</v>
      </c>
      <c r="M3822" s="225">
        <f>ROUND(IF(AND(Base_Periodo1[[#This Row],[Tipo_Linha]]="-",Base_Periodo1[[#This Row],[TIPOSALDO]]="D"),Base_Periodo1[[#This Row],[SALDO_ATUAL]]*-1,Base_Periodo1[[#This Row],[SALDO_ATUAL]]),4)</f>
        <v>434.42</v>
      </c>
      <c r="N3822" t="s">
        <v>116</v>
      </c>
      <c r="O3822" t="s">
        <v>459</v>
      </c>
      <c r="P3822" t="s">
        <v>459</v>
      </c>
      <c r="Q3822">
        <v>7</v>
      </c>
      <c r="R3822" s="225">
        <f>Base_Periodo1[[#This Row],[CREDITOS]]-Base_Periodo1[[#This Row],[DEBITOS]]</f>
        <v>268.81000000000131</v>
      </c>
      <c r="S3822" s="3" t="str">
        <f>IF(ISERROR(VLOOKUP(Base_Periodo1[[#This Row],[CONTA]],BaseContasDRE[#All],4,FALSE)),"Fora do DRE",VLOOKUP(Base_Periodo1[[#This Row],[CONTA]],BaseContasDRE[#All],4,FALSE))</f>
        <v>Fora do DRE</v>
      </c>
      <c r="T3822" s="3" t="str">
        <f>IF(ISERROR(VLOOKUP(Base_Periodo1[[#This Row],[CONTA]],BaseContasDRE[#All],5,FALSE)),"Fora do DRE",VLOOKUP(Base_Periodo1[[#This Row],[CONTA]],BaseContasDRE[#All],6,FALSE))</f>
        <v>Fora do DRE</v>
      </c>
      <c r="U3822" s="3" t="str">
        <f>IF(ISERROR(VLOOKUP(Base_Periodo1[[#This Row],[CONTA]],BaseContasDRE[#All],7,FALSE)),"Fora do DRE",VLOOKUP(Base_Periodo1[[#This Row],[CONTA]],BaseContasDRE[#All],7,FALSE))</f>
        <v>Fora do DRE</v>
      </c>
      <c r="V3822" s="3" t="str">
        <f>IF(Base_Periodo1[[#This Row],[Tipo_Linha]]="Fora do DRE","Fora do DRE","( "&amp;Base_Periodo1[[#This Row],[Tipo_Linha]]&amp;" ) "&amp;Base_Periodo1[[#This Row],[Filtro]])</f>
        <v>Fora do DRE</v>
      </c>
      <c r="W3822" s="3" t="str">
        <f>LEFT(Base_Periodo1[[#This Row],[CLASS]],3)</f>
        <v>2.1</v>
      </c>
    </row>
    <row r="3823" spans="1:23" hidden="1">
      <c r="A3823" s="3" t="str">
        <f t="shared" si="59"/>
        <v>Período 1</v>
      </c>
      <c r="B3823">
        <v>37371</v>
      </c>
      <c r="C3823" t="s">
        <v>2010</v>
      </c>
      <c r="D3823" t="s">
        <v>2099</v>
      </c>
      <c r="E3823" s="3" t="str">
        <f>IF(LEN(Base_Periodo1[[#This Row],[CLASS]])&gt;=7,LEFT(Base_Periodo1[[#This Row],[CLASS]],7),"")</f>
        <v>2.1.2.2</v>
      </c>
      <c r="F3823" s="3" t="str">
        <f>VLOOKUP(Base_Periodo1[[#This Row],[Aux]],Base_Contas_Balanco[#All],2,FALSE)</f>
        <v>Fornecedores Não Cooperados</v>
      </c>
      <c r="G3823" s="1">
        <v>42867</v>
      </c>
      <c r="I3823" s="225">
        <v>856.41000000000008</v>
      </c>
      <c r="J3823" s="225">
        <v>856.41000000000008</v>
      </c>
      <c r="K3823" s="225">
        <v>7.2759576141834259E-12</v>
      </c>
      <c r="L38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23" s="225">
        <f>ROUND(IF(AND(Base_Periodo1[[#This Row],[Tipo_Linha]]="-",Base_Periodo1[[#This Row],[TIPOSALDO]]="D"),Base_Periodo1[[#This Row],[SALDO_ATUAL]]*-1,Base_Periodo1[[#This Row],[SALDO_ATUAL]]),4)</f>
        <v>0</v>
      </c>
      <c r="N3823" t="s">
        <v>116</v>
      </c>
      <c r="O3823" t="s">
        <v>436</v>
      </c>
      <c r="P3823" t="s">
        <v>436</v>
      </c>
      <c r="Q3823">
        <v>7</v>
      </c>
      <c r="R3823" s="225">
        <f>Base_Periodo1[[#This Row],[CREDITOS]]-Base_Periodo1[[#This Row],[DEBITOS]]</f>
        <v>0</v>
      </c>
      <c r="S3823" s="3" t="str">
        <f>IF(ISERROR(VLOOKUP(Base_Periodo1[[#This Row],[CONTA]],BaseContasDRE[#All],4,FALSE)),"Fora do DRE",VLOOKUP(Base_Periodo1[[#This Row],[CONTA]],BaseContasDRE[#All],4,FALSE))</f>
        <v>Fora do DRE</v>
      </c>
      <c r="T3823" s="3" t="str">
        <f>IF(ISERROR(VLOOKUP(Base_Periodo1[[#This Row],[CONTA]],BaseContasDRE[#All],5,FALSE)),"Fora do DRE",VLOOKUP(Base_Periodo1[[#This Row],[CONTA]],BaseContasDRE[#All],6,FALSE))</f>
        <v>Fora do DRE</v>
      </c>
      <c r="U3823" s="3" t="str">
        <f>IF(ISERROR(VLOOKUP(Base_Periodo1[[#This Row],[CONTA]],BaseContasDRE[#All],7,FALSE)),"Fora do DRE",VLOOKUP(Base_Periodo1[[#This Row],[CONTA]],BaseContasDRE[#All],7,FALSE))</f>
        <v>Fora do DRE</v>
      </c>
      <c r="V3823" s="3" t="str">
        <f>IF(Base_Periodo1[[#This Row],[Tipo_Linha]]="Fora do DRE","Fora do DRE","( "&amp;Base_Periodo1[[#This Row],[Tipo_Linha]]&amp;" ) "&amp;Base_Periodo1[[#This Row],[Filtro]])</f>
        <v>Fora do DRE</v>
      </c>
      <c r="W3823" s="3" t="str">
        <f>LEFT(Base_Periodo1[[#This Row],[CLASS]],3)</f>
        <v>2.1</v>
      </c>
    </row>
    <row r="3824" spans="1:23" hidden="1">
      <c r="A3824" s="3" t="str">
        <f t="shared" si="59"/>
        <v>Período 1</v>
      </c>
      <c r="B3824">
        <v>9977</v>
      </c>
      <c r="C3824" t="s">
        <v>2010</v>
      </c>
      <c r="D3824" t="s">
        <v>7095</v>
      </c>
      <c r="E3824" s="3" t="str">
        <f>IF(LEN(Base_Periodo1[[#This Row],[CLASS]])&gt;=7,LEFT(Base_Periodo1[[#This Row],[CLASS]],7),"")</f>
        <v>2.1.2.2</v>
      </c>
      <c r="F3824" s="3" t="str">
        <f>VLOOKUP(Base_Periodo1[[#This Row],[Aux]],Base_Contas_Balanco[#All],2,FALSE)</f>
        <v>Fornecedores Não Cooperados</v>
      </c>
      <c r="G3824" s="1">
        <v>42866</v>
      </c>
      <c r="I3824" s="225">
        <v>77.98</v>
      </c>
      <c r="J3824" s="225">
        <v>77.98</v>
      </c>
      <c r="K3824" s="225">
        <v>0</v>
      </c>
      <c r="L38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24" s="225">
        <f>ROUND(IF(AND(Base_Periodo1[[#This Row],[Tipo_Linha]]="-",Base_Periodo1[[#This Row],[TIPOSALDO]]="D"),Base_Periodo1[[#This Row],[SALDO_ATUAL]]*-1,Base_Periodo1[[#This Row],[SALDO_ATUAL]]),4)</f>
        <v>0</v>
      </c>
      <c r="N3824" t="s">
        <v>116</v>
      </c>
      <c r="O3824" t="s">
        <v>436</v>
      </c>
      <c r="P3824" t="s">
        <v>436</v>
      </c>
      <c r="Q3824">
        <v>7</v>
      </c>
      <c r="R3824" s="225">
        <f>Base_Periodo1[[#This Row],[CREDITOS]]-Base_Periodo1[[#This Row],[DEBITOS]]</f>
        <v>0</v>
      </c>
      <c r="S3824" s="3" t="str">
        <f>IF(ISERROR(VLOOKUP(Base_Periodo1[[#This Row],[CONTA]],BaseContasDRE[#All],4,FALSE)),"Fora do DRE",VLOOKUP(Base_Periodo1[[#This Row],[CONTA]],BaseContasDRE[#All],4,FALSE))</f>
        <v>Fora do DRE</v>
      </c>
      <c r="T3824" s="3" t="str">
        <f>IF(ISERROR(VLOOKUP(Base_Periodo1[[#This Row],[CONTA]],BaseContasDRE[#All],5,FALSE)),"Fora do DRE",VLOOKUP(Base_Periodo1[[#This Row],[CONTA]],BaseContasDRE[#All],6,FALSE))</f>
        <v>Fora do DRE</v>
      </c>
      <c r="U3824" s="3" t="str">
        <f>IF(ISERROR(VLOOKUP(Base_Periodo1[[#This Row],[CONTA]],BaseContasDRE[#All],7,FALSE)),"Fora do DRE",VLOOKUP(Base_Periodo1[[#This Row],[CONTA]],BaseContasDRE[#All],7,FALSE))</f>
        <v>Fora do DRE</v>
      </c>
      <c r="V3824" s="3" t="str">
        <f>IF(Base_Periodo1[[#This Row],[Tipo_Linha]]="Fora do DRE","Fora do DRE","( "&amp;Base_Periodo1[[#This Row],[Tipo_Linha]]&amp;" ) "&amp;Base_Periodo1[[#This Row],[Filtro]])</f>
        <v>Fora do DRE</v>
      </c>
      <c r="W3824" s="3" t="str">
        <f>LEFT(Base_Periodo1[[#This Row],[CLASS]],3)</f>
        <v>2.1</v>
      </c>
    </row>
    <row r="3825" spans="1:23" hidden="1">
      <c r="A3825" s="3" t="str">
        <f t="shared" si="59"/>
        <v>Período 1</v>
      </c>
      <c r="B3825">
        <v>14658</v>
      </c>
      <c r="C3825" t="s">
        <v>2010</v>
      </c>
      <c r="D3825" t="s">
        <v>2100</v>
      </c>
      <c r="E3825" s="3" t="str">
        <f>IF(LEN(Base_Periodo1[[#This Row],[CLASS]])&gt;=7,LEFT(Base_Periodo1[[#This Row],[CLASS]],7),"")</f>
        <v>2.1.2.2</v>
      </c>
      <c r="F3825" s="3" t="str">
        <f>VLOOKUP(Base_Periodo1[[#This Row],[Aux]],Base_Contas_Balanco[#All],2,FALSE)</f>
        <v>Fornecedores Não Cooperados</v>
      </c>
      <c r="G3825" s="1">
        <v>42879</v>
      </c>
      <c r="H3825" s="225">
        <v>320</v>
      </c>
      <c r="I3825" s="225">
        <v>1320</v>
      </c>
      <c r="J3825" s="225">
        <v>1000</v>
      </c>
      <c r="K3825" s="225">
        <v>0</v>
      </c>
      <c r="L38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25" s="225">
        <f>ROUND(IF(AND(Base_Periodo1[[#This Row],[Tipo_Linha]]="-",Base_Periodo1[[#This Row],[TIPOSALDO]]="D"),Base_Periodo1[[#This Row],[SALDO_ATUAL]]*-1,Base_Periodo1[[#This Row],[SALDO_ATUAL]]),4)</f>
        <v>0</v>
      </c>
      <c r="N3825" t="s">
        <v>116</v>
      </c>
      <c r="O3825" t="s">
        <v>459</v>
      </c>
      <c r="P3825" t="s">
        <v>436</v>
      </c>
      <c r="Q3825">
        <v>7</v>
      </c>
      <c r="R3825" s="225">
        <f>Base_Periodo1[[#This Row],[CREDITOS]]-Base_Periodo1[[#This Row],[DEBITOS]]</f>
        <v>-320</v>
      </c>
      <c r="S3825" s="3" t="str">
        <f>IF(ISERROR(VLOOKUP(Base_Periodo1[[#This Row],[CONTA]],BaseContasDRE[#All],4,FALSE)),"Fora do DRE",VLOOKUP(Base_Periodo1[[#This Row],[CONTA]],BaseContasDRE[#All],4,FALSE))</f>
        <v>Fora do DRE</v>
      </c>
      <c r="T3825" s="3" t="str">
        <f>IF(ISERROR(VLOOKUP(Base_Periodo1[[#This Row],[CONTA]],BaseContasDRE[#All],5,FALSE)),"Fora do DRE",VLOOKUP(Base_Periodo1[[#This Row],[CONTA]],BaseContasDRE[#All],6,FALSE))</f>
        <v>Fora do DRE</v>
      </c>
      <c r="U3825" s="3" t="str">
        <f>IF(ISERROR(VLOOKUP(Base_Periodo1[[#This Row],[CONTA]],BaseContasDRE[#All],7,FALSE)),"Fora do DRE",VLOOKUP(Base_Periodo1[[#This Row],[CONTA]],BaseContasDRE[#All],7,FALSE))</f>
        <v>Fora do DRE</v>
      </c>
      <c r="V3825" s="3" t="str">
        <f>IF(Base_Periodo1[[#This Row],[Tipo_Linha]]="Fora do DRE","Fora do DRE","( "&amp;Base_Periodo1[[#This Row],[Tipo_Linha]]&amp;" ) "&amp;Base_Periodo1[[#This Row],[Filtro]])</f>
        <v>Fora do DRE</v>
      </c>
      <c r="W3825" s="3" t="str">
        <f>LEFT(Base_Periodo1[[#This Row],[CLASS]],3)</f>
        <v>2.1</v>
      </c>
    </row>
    <row r="3826" spans="1:23" hidden="1">
      <c r="A3826" s="3" t="str">
        <f t="shared" si="59"/>
        <v>Período 1</v>
      </c>
      <c r="B3826">
        <v>37471</v>
      </c>
      <c r="C3826" t="s">
        <v>2010</v>
      </c>
      <c r="D3826" t="s">
        <v>6501</v>
      </c>
      <c r="E3826" s="3" t="str">
        <f>IF(LEN(Base_Periodo1[[#This Row],[CLASS]])&gt;=7,LEFT(Base_Periodo1[[#This Row],[CLASS]],7),"")</f>
        <v>2.1.2.2</v>
      </c>
      <c r="F3826" s="3" t="str">
        <f>VLOOKUP(Base_Periodo1[[#This Row],[Aux]],Base_Contas_Balanco[#All],2,FALSE)</f>
        <v>Fornecedores Não Cooperados</v>
      </c>
      <c r="G3826" s="1">
        <v>42884</v>
      </c>
      <c r="I3826" s="225">
        <v>41516.959999999999</v>
      </c>
      <c r="J3826" s="225">
        <v>41516.959999999999</v>
      </c>
      <c r="K3826" s="225">
        <v>0</v>
      </c>
      <c r="L38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26" s="225">
        <f>ROUND(IF(AND(Base_Periodo1[[#This Row],[Tipo_Linha]]="-",Base_Periodo1[[#This Row],[TIPOSALDO]]="D"),Base_Periodo1[[#This Row],[SALDO_ATUAL]]*-1,Base_Periodo1[[#This Row],[SALDO_ATUAL]]),4)</f>
        <v>0</v>
      </c>
      <c r="N3826" t="s">
        <v>116</v>
      </c>
      <c r="O3826" t="s">
        <v>436</v>
      </c>
      <c r="P3826" t="s">
        <v>436</v>
      </c>
      <c r="Q3826">
        <v>7</v>
      </c>
      <c r="R3826" s="225">
        <f>Base_Periodo1[[#This Row],[CREDITOS]]-Base_Periodo1[[#This Row],[DEBITOS]]</f>
        <v>0</v>
      </c>
      <c r="S3826" s="3" t="str">
        <f>IF(ISERROR(VLOOKUP(Base_Periodo1[[#This Row],[CONTA]],BaseContasDRE[#All],4,FALSE)),"Fora do DRE",VLOOKUP(Base_Periodo1[[#This Row],[CONTA]],BaseContasDRE[#All],4,FALSE))</f>
        <v>Fora do DRE</v>
      </c>
      <c r="T3826" s="3" t="str">
        <f>IF(ISERROR(VLOOKUP(Base_Periodo1[[#This Row],[CONTA]],BaseContasDRE[#All],5,FALSE)),"Fora do DRE",VLOOKUP(Base_Periodo1[[#This Row],[CONTA]],BaseContasDRE[#All],6,FALSE))</f>
        <v>Fora do DRE</v>
      </c>
      <c r="U3826" s="3" t="str">
        <f>IF(ISERROR(VLOOKUP(Base_Periodo1[[#This Row],[CONTA]],BaseContasDRE[#All],7,FALSE)),"Fora do DRE",VLOOKUP(Base_Periodo1[[#This Row],[CONTA]],BaseContasDRE[#All],7,FALSE))</f>
        <v>Fora do DRE</v>
      </c>
      <c r="V3826" s="3" t="str">
        <f>IF(Base_Periodo1[[#This Row],[Tipo_Linha]]="Fora do DRE","Fora do DRE","( "&amp;Base_Periodo1[[#This Row],[Tipo_Linha]]&amp;" ) "&amp;Base_Periodo1[[#This Row],[Filtro]])</f>
        <v>Fora do DRE</v>
      </c>
      <c r="W3826" s="3" t="str">
        <f>LEFT(Base_Periodo1[[#This Row],[CLASS]],3)</f>
        <v>2.1</v>
      </c>
    </row>
    <row r="3827" spans="1:23" hidden="1">
      <c r="A3827" s="3" t="str">
        <f t="shared" si="59"/>
        <v>Período 1</v>
      </c>
      <c r="B3827">
        <v>19102</v>
      </c>
      <c r="C3827" t="s">
        <v>2010</v>
      </c>
      <c r="D3827" t="s">
        <v>7096</v>
      </c>
      <c r="E3827" s="3" t="str">
        <f>IF(LEN(Base_Periodo1[[#This Row],[CLASS]])&gt;=7,LEFT(Base_Periodo1[[#This Row],[CLASS]],7),"")</f>
        <v>2.1.2.2</v>
      </c>
      <c r="F3827" s="3" t="str">
        <f>VLOOKUP(Base_Periodo1[[#This Row],[Aux]],Base_Contas_Balanco[#All],2,FALSE)</f>
        <v>Fornecedores Não Cooperados</v>
      </c>
      <c r="G3827" s="1">
        <v>42865</v>
      </c>
      <c r="I3827" s="225">
        <v>487.5</v>
      </c>
      <c r="J3827" s="225">
        <v>487.5</v>
      </c>
      <c r="K3827" s="225">
        <v>-1.8189894035458565E-12</v>
      </c>
      <c r="L38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27" s="225">
        <f>ROUND(IF(AND(Base_Periodo1[[#This Row],[Tipo_Linha]]="-",Base_Periodo1[[#This Row],[TIPOSALDO]]="D"),Base_Periodo1[[#This Row],[SALDO_ATUAL]]*-1,Base_Periodo1[[#This Row],[SALDO_ATUAL]]),4)</f>
        <v>0</v>
      </c>
      <c r="N3827" t="s">
        <v>116</v>
      </c>
      <c r="O3827" t="s">
        <v>436</v>
      </c>
      <c r="P3827" t="s">
        <v>436</v>
      </c>
      <c r="Q3827">
        <v>7</v>
      </c>
      <c r="R3827" s="225">
        <f>Base_Periodo1[[#This Row],[CREDITOS]]-Base_Periodo1[[#This Row],[DEBITOS]]</f>
        <v>0</v>
      </c>
      <c r="S3827" s="3" t="str">
        <f>IF(ISERROR(VLOOKUP(Base_Periodo1[[#This Row],[CONTA]],BaseContasDRE[#All],4,FALSE)),"Fora do DRE",VLOOKUP(Base_Periodo1[[#This Row],[CONTA]],BaseContasDRE[#All],4,FALSE))</f>
        <v>Fora do DRE</v>
      </c>
      <c r="T3827" s="3" t="str">
        <f>IF(ISERROR(VLOOKUP(Base_Periodo1[[#This Row],[CONTA]],BaseContasDRE[#All],5,FALSE)),"Fora do DRE",VLOOKUP(Base_Periodo1[[#This Row],[CONTA]],BaseContasDRE[#All],6,FALSE))</f>
        <v>Fora do DRE</v>
      </c>
      <c r="U3827" s="3" t="str">
        <f>IF(ISERROR(VLOOKUP(Base_Periodo1[[#This Row],[CONTA]],BaseContasDRE[#All],7,FALSE)),"Fora do DRE",VLOOKUP(Base_Periodo1[[#This Row],[CONTA]],BaseContasDRE[#All],7,FALSE))</f>
        <v>Fora do DRE</v>
      </c>
      <c r="V3827" s="3" t="str">
        <f>IF(Base_Periodo1[[#This Row],[Tipo_Linha]]="Fora do DRE","Fora do DRE","( "&amp;Base_Periodo1[[#This Row],[Tipo_Linha]]&amp;" ) "&amp;Base_Periodo1[[#This Row],[Filtro]])</f>
        <v>Fora do DRE</v>
      </c>
      <c r="W3827" s="3" t="str">
        <f>LEFT(Base_Periodo1[[#This Row],[CLASS]],3)</f>
        <v>2.1</v>
      </c>
    </row>
    <row r="3828" spans="1:23" hidden="1">
      <c r="A3828" s="3" t="str">
        <f t="shared" si="59"/>
        <v>Período 1</v>
      </c>
      <c r="B3828">
        <v>2877</v>
      </c>
      <c r="C3828" t="s">
        <v>2010</v>
      </c>
      <c r="D3828" t="s">
        <v>2101</v>
      </c>
      <c r="E3828" s="3" t="str">
        <f>IF(LEN(Base_Periodo1[[#This Row],[CLASS]])&gt;=7,LEFT(Base_Periodo1[[#This Row],[CLASS]],7),"")</f>
        <v>2.1.2.2</v>
      </c>
      <c r="F3828" s="3" t="str">
        <f>VLOOKUP(Base_Periodo1[[#This Row],[Aux]],Base_Contas_Balanco[#All],2,FALSE)</f>
        <v>Fornecedores Não Cooperados</v>
      </c>
      <c r="G3828" s="1"/>
      <c r="H3828" s="225">
        <v>373.69</v>
      </c>
      <c r="I3828" s="225">
        <v>0</v>
      </c>
      <c r="J3828" s="225">
        <v>0</v>
      </c>
      <c r="K3828" s="225">
        <v>373.69</v>
      </c>
      <c r="L38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373.69</v>
      </c>
      <c r="M3828" s="225">
        <f>ROUND(IF(AND(Base_Periodo1[[#This Row],[Tipo_Linha]]="-",Base_Periodo1[[#This Row],[TIPOSALDO]]="D"),Base_Periodo1[[#This Row],[SALDO_ATUAL]]*-1,Base_Periodo1[[#This Row],[SALDO_ATUAL]]),4)</f>
        <v>373.69</v>
      </c>
      <c r="N3828" t="s">
        <v>116</v>
      </c>
      <c r="O3828" t="s">
        <v>459</v>
      </c>
      <c r="P3828" t="s">
        <v>459</v>
      </c>
      <c r="Q3828">
        <v>7</v>
      </c>
      <c r="R3828" s="225">
        <f>Base_Periodo1[[#This Row],[CREDITOS]]-Base_Periodo1[[#This Row],[DEBITOS]]</f>
        <v>0</v>
      </c>
      <c r="S3828" s="3" t="str">
        <f>IF(ISERROR(VLOOKUP(Base_Periodo1[[#This Row],[CONTA]],BaseContasDRE[#All],4,FALSE)),"Fora do DRE",VLOOKUP(Base_Periodo1[[#This Row],[CONTA]],BaseContasDRE[#All],4,FALSE))</f>
        <v>Fora do DRE</v>
      </c>
      <c r="T3828" s="3" t="str">
        <f>IF(ISERROR(VLOOKUP(Base_Periodo1[[#This Row],[CONTA]],BaseContasDRE[#All],5,FALSE)),"Fora do DRE",VLOOKUP(Base_Periodo1[[#This Row],[CONTA]],BaseContasDRE[#All],6,FALSE))</f>
        <v>Fora do DRE</v>
      </c>
      <c r="U3828" s="3" t="str">
        <f>IF(ISERROR(VLOOKUP(Base_Periodo1[[#This Row],[CONTA]],BaseContasDRE[#All],7,FALSE)),"Fora do DRE",VLOOKUP(Base_Periodo1[[#This Row],[CONTA]],BaseContasDRE[#All],7,FALSE))</f>
        <v>Fora do DRE</v>
      </c>
      <c r="V3828" s="3" t="str">
        <f>IF(Base_Periodo1[[#This Row],[Tipo_Linha]]="Fora do DRE","Fora do DRE","( "&amp;Base_Periodo1[[#This Row],[Tipo_Linha]]&amp;" ) "&amp;Base_Periodo1[[#This Row],[Filtro]])</f>
        <v>Fora do DRE</v>
      </c>
      <c r="W3828" s="3" t="str">
        <f>LEFT(Base_Periodo1[[#This Row],[CLASS]],3)</f>
        <v>2.1</v>
      </c>
    </row>
    <row r="3829" spans="1:23" hidden="1">
      <c r="A3829" s="3" t="str">
        <f t="shared" si="59"/>
        <v>Período 1</v>
      </c>
      <c r="B3829">
        <v>44924</v>
      </c>
      <c r="C3829" t="s">
        <v>2010</v>
      </c>
      <c r="D3829" t="s">
        <v>4295</v>
      </c>
      <c r="E3829" s="3" t="str">
        <f>IF(LEN(Base_Periodo1[[#This Row],[CLASS]])&gt;=7,LEFT(Base_Periodo1[[#This Row],[CLASS]],7),"")</f>
        <v>2.1.2.2</v>
      </c>
      <c r="F3829" s="3" t="str">
        <f>VLOOKUP(Base_Periodo1[[#This Row],[Aux]],Base_Contas_Balanco[#All],2,FALSE)</f>
        <v>Fornecedores Não Cooperados</v>
      </c>
      <c r="G3829" s="1"/>
      <c r="H3829" s="225">
        <v>50</v>
      </c>
      <c r="I3829" s="225">
        <v>0</v>
      </c>
      <c r="J3829" s="225">
        <v>0</v>
      </c>
      <c r="K3829" s="225">
        <v>50</v>
      </c>
      <c r="L38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3829" s="225">
        <f>ROUND(IF(AND(Base_Periodo1[[#This Row],[Tipo_Linha]]="-",Base_Periodo1[[#This Row],[TIPOSALDO]]="D"),Base_Periodo1[[#This Row],[SALDO_ATUAL]]*-1,Base_Periodo1[[#This Row],[SALDO_ATUAL]]),4)</f>
        <v>50</v>
      </c>
      <c r="N3829" t="s">
        <v>116</v>
      </c>
      <c r="O3829" t="s">
        <v>459</v>
      </c>
      <c r="P3829" t="s">
        <v>459</v>
      </c>
      <c r="Q3829">
        <v>7</v>
      </c>
      <c r="R3829" s="225">
        <f>Base_Periodo1[[#This Row],[CREDITOS]]-Base_Periodo1[[#This Row],[DEBITOS]]</f>
        <v>0</v>
      </c>
      <c r="S3829" s="3" t="str">
        <f>IF(ISERROR(VLOOKUP(Base_Periodo1[[#This Row],[CONTA]],BaseContasDRE[#All],4,FALSE)),"Fora do DRE",VLOOKUP(Base_Periodo1[[#This Row],[CONTA]],BaseContasDRE[#All],4,FALSE))</f>
        <v>Fora do DRE</v>
      </c>
      <c r="T3829" s="3" t="str">
        <f>IF(ISERROR(VLOOKUP(Base_Periodo1[[#This Row],[CONTA]],BaseContasDRE[#All],5,FALSE)),"Fora do DRE",VLOOKUP(Base_Periodo1[[#This Row],[CONTA]],BaseContasDRE[#All],6,FALSE))</f>
        <v>Fora do DRE</v>
      </c>
      <c r="U3829" s="3" t="str">
        <f>IF(ISERROR(VLOOKUP(Base_Periodo1[[#This Row],[CONTA]],BaseContasDRE[#All],7,FALSE)),"Fora do DRE",VLOOKUP(Base_Periodo1[[#This Row],[CONTA]],BaseContasDRE[#All],7,FALSE))</f>
        <v>Fora do DRE</v>
      </c>
      <c r="V3829" s="3" t="str">
        <f>IF(Base_Periodo1[[#This Row],[Tipo_Linha]]="Fora do DRE","Fora do DRE","( "&amp;Base_Periodo1[[#This Row],[Tipo_Linha]]&amp;" ) "&amp;Base_Periodo1[[#This Row],[Filtro]])</f>
        <v>Fora do DRE</v>
      </c>
      <c r="W3829" s="3" t="str">
        <f>LEFT(Base_Periodo1[[#This Row],[CLASS]],3)</f>
        <v>2.1</v>
      </c>
    </row>
    <row r="3830" spans="1:23" hidden="1">
      <c r="A3830" s="3" t="str">
        <f t="shared" si="59"/>
        <v>Período 1</v>
      </c>
      <c r="B3830">
        <v>59215</v>
      </c>
      <c r="C3830" t="s">
        <v>2010</v>
      </c>
      <c r="D3830" t="s">
        <v>7097</v>
      </c>
      <c r="E3830" s="3" t="str">
        <f>IF(LEN(Base_Periodo1[[#This Row],[CLASS]])&gt;=7,LEFT(Base_Periodo1[[#This Row],[CLASS]],7),"")</f>
        <v>2.1.2.2</v>
      </c>
      <c r="F3830" s="3" t="str">
        <f>VLOOKUP(Base_Periodo1[[#This Row],[Aux]],Base_Contas_Balanco[#All],2,FALSE)</f>
        <v>Fornecedores Não Cooperados</v>
      </c>
      <c r="G3830" s="1">
        <v>42880</v>
      </c>
      <c r="I3830" s="225">
        <v>604</v>
      </c>
      <c r="J3830" s="225">
        <v>604</v>
      </c>
      <c r="K3830" s="225">
        <v>0</v>
      </c>
      <c r="L38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30" s="225">
        <f>ROUND(IF(AND(Base_Periodo1[[#This Row],[Tipo_Linha]]="-",Base_Periodo1[[#This Row],[TIPOSALDO]]="D"),Base_Periodo1[[#This Row],[SALDO_ATUAL]]*-1,Base_Periodo1[[#This Row],[SALDO_ATUAL]]),4)</f>
        <v>0</v>
      </c>
      <c r="N3830" t="s">
        <v>116</v>
      </c>
      <c r="O3830" t="s">
        <v>436</v>
      </c>
      <c r="P3830" t="s">
        <v>436</v>
      </c>
      <c r="Q3830">
        <v>7</v>
      </c>
      <c r="R3830" s="225">
        <f>Base_Periodo1[[#This Row],[CREDITOS]]-Base_Periodo1[[#This Row],[DEBITOS]]</f>
        <v>0</v>
      </c>
      <c r="S3830" s="3" t="str">
        <f>IF(ISERROR(VLOOKUP(Base_Periodo1[[#This Row],[CONTA]],BaseContasDRE[#All],4,FALSE)),"Fora do DRE",VLOOKUP(Base_Periodo1[[#This Row],[CONTA]],BaseContasDRE[#All],4,FALSE))</f>
        <v>Fora do DRE</v>
      </c>
      <c r="T3830" s="3" t="str">
        <f>IF(ISERROR(VLOOKUP(Base_Periodo1[[#This Row],[CONTA]],BaseContasDRE[#All],5,FALSE)),"Fora do DRE",VLOOKUP(Base_Periodo1[[#This Row],[CONTA]],BaseContasDRE[#All],6,FALSE))</f>
        <v>Fora do DRE</v>
      </c>
      <c r="U3830" s="3" t="str">
        <f>IF(ISERROR(VLOOKUP(Base_Periodo1[[#This Row],[CONTA]],BaseContasDRE[#All],7,FALSE)),"Fora do DRE",VLOOKUP(Base_Periodo1[[#This Row],[CONTA]],BaseContasDRE[#All],7,FALSE))</f>
        <v>Fora do DRE</v>
      </c>
      <c r="V3830" s="3" t="str">
        <f>IF(Base_Periodo1[[#This Row],[Tipo_Linha]]="Fora do DRE","Fora do DRE","( "&amp;Base_Periodo1[[#This Row],[Tipo_Linha]]&amp;" ) "&amp;Base_Periodo1[[#This Row],[Filtro]])</f>
        <v>Fora do DRE</v>
      </c>
      <c r="W3830" s="3" t="str">
        <f>LEFT(Base_Periodo1[[#This Row],[CLASS]],3)</f>
        <v>2.1</v>
      </c>
    </row>
    <row r="3831" spans="1:23" hidden="1">
      <c r="A3831" s="3" t="str">
        <f t="shared" si="59"/>
        <v>Período 1</v>
      </c>
      <c r="B3831">
        <v>53871</v>
      </c>
      <c r="C3831" t="s">
        <v>2010</v>
      </c>
      <c r="D3831" t="s">
        <v>5339</v>
      </c>
      <c r="E3831" s="3" t="str">
        <f>IF(LEN(Base_Periodo1[[#This Row],[CLASS]])&gt;=7,LEFT(Base_Periodo1[[#This Row],[CLASS]],7),"")</f>
        <v>2.1.2.2</v>
      </c>
      <c r="F3831" s="3" t="str">
        <f>VLOOKUP(Base_Periodo1[[#This Row],[Aux]],Base_Contas_Balanco[#All],2,FALSE)</f>
        <v>Fornecedores Não Cooperados</v>
      </c>
      <c r="G3831" s="1">
        <v>42864</v>
      </c>
      <c r="H3831" s="225">
        <v>30</v>
      </c>
      <c r="I3831" s="225">
        <v>90</v>
      </c>
      <c r="J3831" s="225">
        <v>60</v>
      </c>
      <c r="K3831" s="225">
        <v>0</v>
      </c>
      <c r="L38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31" s="225">
        <f>ROUND(IF(AND(Base_Periodo1[[#This Row],[Tipo_Linha]]="-",Base_Periodo1[[#This Row],[TIPOSALDO]]="D"),Base_Periodo1[[#This Row],[SALDO_ATUAL]]*-1,Base_Periodo1[[#This Row],[SALDO_ATUAL]]),4)</f>
        <v>0</v>
      </c>
      <c r="N3831" t="s">
        <v>116</v>
      </c>
      <c r="O3831" t="s">
        <v>459</v>
      </c>
      <c r="P3831" t="s">
        <v>436</v>
      </c>
      <c r="Q3831">
        <v>7</v>
      </c>
      <c r="R3831" s="225">
        <f>Base_Periodo1[[#This Row],[CREDITOS]]-Base_Periodo1[[#This Row],[DEBITOS]]</f>
        <v>-30</v>
      </c>
      <c r="S3831" s="3" t="str">
        <f>IF(ISERROR(VLOOKUP(Base_Periodo1[[#This Row],[CONTA]],BaseContasDRE[#All],4,FALSE)),"Fora do DRE",VLOOKUP(Base_Periodo1[[#This Row],[CONTA]],BaseContasDRE[#All],4,FALSE))</f>
        <v>Fora do DRE</v>
      </c>
      <c r="T3831" s="3" t="str">
        <f>IF(ISERROR(VLOOKUP(Base_Periodo1[[#This Row],[CONTA]],BaseContasDRE[#All],5,FALSE)),"Fora do DRE",VLOOKUP(Base_Periodo1[[#This Row],[CONTA]],BaseContasDRE[#All],6,FALSE))</f>
        <v>Fora do DRE</v>
      </c>
      <c r="U3831" s="3" t="str">
        <f>IF(ISERROR(VLOOKUP(Base_Periodo1[[#This Row],[CONTA]],BaseContasDRE[#All],7,FALSE)),"Fora do DRE",VLOOKUP(Base_Periodo1[[#This Row],[CONTA]],BaseContasDRE[#All],7,FALSE))</f>
        <v>Fora do DRE</v>
      </c>
      <c r="V3831" s="3" t="str">
        <f>IF(Base_Periodo1[[#This Row],[Tipo_Linha]]="Fora do DRE","Fora do DRE","( "&amp;Base_Periodo1[[#This Row],[Tipo_Linha]]&amp;" ) "&amp;Base_Periodo1[[#This Row],[Filtro]])</f>
        <v>Fora do DRE</v>
      </c>
      <c r="W3831" s="3" t="str">
        <f>LEFT(Base_Periodo1[[#This Row],[CLASS]],3)</f>
        <v>2.1</v>
      </c>
    </row>
    <row r="3832" spans="1:23" hidden="1">
      <c r="A3832" s="3" t="str">
        <f t="shared" si="59"/>
        <v>Período 1</v>
      </c>
      <c r="B3832">
        <v>21184</v>
      </c>
      <c r="C3832" t="s">
        <v>2010</v>
      </c>
      <c r="D3832" t="s">
        <v>5991</v>
      </c>
      <c r="E3832" s="3" t="str">
        <f>IF(LEN(Base_Periodo1[[#This Row],[CLASS]])&gt;=7,LEFT(Base_Periodo1[[#This Row],[CLASS]],7),"")</f>
        <v>2.1.2.2</v>
      </c>
      <c r="F3832" s="3" t="str">
        <f>VLOOKUP(Base_Periodo1[[#This Row],[Aux]],Base_Contas_Balanco[#All],2,FALSE)</f>
        <v>Fornecedores Não Cooperados</v>
      </c>
      <c r="G3832" s="1">
        <v>42881</v>
      </c>
      <c r="I3832" s="225">
        <v>8774.869999999999</v>
      </c>
      <c r="J3832" s="225">
        <v>8774.869999999999</v>
      </c>
      <c r="K3832" s="225">
        <v>0</v>
      </c>
      <c r="L38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32" s="225">
        <f>ROUND(IF(AND(Base_Periodo1[[#This Row],[Tipo_Linha]]="-",Base_Periodo1[[#This Row],[TIPOSALDO]]="D"),Base_Periodo1[[#This Row],[SALDO_ATUAL]]*-1,Base_Periodo1[[#This Row],[SALDO_ATUAL]]),4)</f>
        <v>0</v>
      </c>
      <c r="N3832" t="s">
        <v>116</v>
      </c>
      <c r="O3832" t="s">
        <v>436</v>
      </c>
      <c r="P3832" t="s">
        <v>436</v>
      </c>
      <c r="Q3832">
        <v>7</v>
      </c>
      <c r="R3832" s="225">
        <f>Base_Periodo1[[#This Row],[CREDITOS]]-Base_Periodo1[[#This Row],[DEBITOS]]</f>
        <v>0</v>
      </c>
      <c r="S3832" s="3" t="str">
        <f>IF(ISERROR(VLOOKUP(Base_Periodo1[[#This Row],[CONTA]],BaseContasDRE[#All],4,FALSE)),"Fora do DRE",VLOOKUP(Base_Periodo1[[#This Row],[CONTA]],BaseContasDRE[#All],4,FALSE))</f>
        <v>Fora do DRE</v>
      </c>
      <c r="T3832" s="3" t="str">
        <f>IF(ISERROR(VLOOKUP(Base_Periodo1[[#This Row],[CONTA]],BaseContasDRE[#All],5,FALSE)),"Fora do DRE",VLOOKUP(Base_Periodo1[[#This Row],[CONTA]],BaseContasDRE[#All],6,FALSE))</f>
        <v>Fora do DRE</v>
      </c>
      <c r="U3832" s="3" t="str">
        <f>IF(ISERROR(VLOOKUP(Base_Periodo1[[#This Row],[CONTA]],BaseContasDRE[#All],7,FALSE)),"Fora do DRE",VLOOKUP(Base_Periodo1[[#This Row],[CONTA]],BaseContasDRE[#All],7,FALSE))</f>
        <v>Fora do DRE</v>
      </c>
      <c r="V3832" s="3" t="str">
        <f>IF(Base_Periodo1[[#This Row],[Tipo_Linha]]="Fora do DRE","Fora do DRE","( "&amp;Base_Periodo1[[#This Row],[Tipo_Linha]]&amp;" ) "&amp;Base_Periodo1[[#This Row],[Filtro]])</f>
        <v>Fora do DRE</v>
      </c>
      <c r="W3832" s="3" t="str">
        <f>LEFT(Base_Periodo1[[#This Row],[CLASS]],3)</f>
        <v>2.1</v>
      </c>
    </row>
    <row r="3833" spans="1:23" hidden="1">
      <c r="A3833" s="3" t="str">
        <f t="shared" si="59"/>
        <v>Período 1</v>
      </c>
      <c r="B3833">
        <v>10162</v>
      </c>
      <c r="C3833" t="s">
        <v>2010</v>
      </c>
      <c r="D3833" t="s">
        <v>2102</v>
      </c>
      <c r="E3833" s="3" t="str">
        <f>IF(LEN(Base_Periodo1[[#This Row],[CLASS]])&gt;=7,LEFT(Base_Periodo1[[#This Row],[CLASS]],7),"")</f>
        <v>2.1.2.2</v>
      </c>
      <c r="F3833" s="3" t="str">
        <f>VLOOKUP(Base_Periodo1[[#This Row],[Aux]],Base_Contas_Balanco[#All],2,FALSE)</f>
        <v>Fornecedores Não Cooperados</v>
      </c>
      <c r="G3833" s="1">
        <v>42886</v>
      </c>
      <c r="H3833" s="225">
        <v>9246.0500000000466</v>
      </c>
      <c r="I3833" s="225">
        <v>12581.569999999998</v>
      </c>
      <c r="J3833" s="225">
        <v>35346.090000000004</v>
      </c>
      <c r="K3833" s="225">
        <v>32010.570000000051</v>
      </c>
      <c r="L38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32010.57</v>
      </c>
      <c r="M3833" s="225">
        <f>ROUND(IF(AND(Base_Periodo1[[#This Row],[Tipo_Linha]]="-",Base_Periodo1[[#This Row],[TIPOSALDO]]="D"),Base_Periodo1[[#This Row],[SALDO_ATUAL]]*-1,Base_Periodo1[[#This Row],[SALDO_ATUAL]]),4)</f>
        <v>32010.57</v>
      </c>
      <c r="N3833" t="s">
        <v>116</v>
      </c>
      <c r="O3833" t="s">
        <v>459</v>
      </c>
      <c r="P3833" t="s">
        <v>459</v>
      </c>
      <c r="Q3833">
        <v>7</v>
      </c>
      <c r="R3833" s="225">
        <f>Base_Periodo1[[#This Row],[CREDITOS]]-Base_Periodo1[[#This Row],[DEBITOS]]</f>
        <v>22764.520000000004</v>
      </c>
      <c r="S3833" s="3" t="str">
        <f>IF(ISERROR(VLOOKUP(Base_Periodo1[[#This Row],[CONTA]],BaseContasDRE[#All],4,FALSE)),"Fora do DRE",VLOOKUP(Base_Periodo1[[#This Row],[CONTA]],BaseContasDRE[#All],4,FALSE))</f>
        <v>Fora do DRE</v>
      </c>
      <c r="T3833" s="3" t="str">
        <f>IF(ISERROR(VLOOKUP(Base_Periodo1[[#This Row],[CONTA]],BaseContasDRE[#All],5,FALSE)),"Fora do DRE",VLOOKUP(Base_Periodo1[[#This Row],[CONTA]],BaseContasDRE[#All],6,FALSE))</f>
        <v>Fora do DRE</v>
      </c>
      <c r="U3833" s="3" t="str">
        <f>IF(ISERROR(VLOOKUP(Base_Periodo1[[#This Row],[CONTA]],BaseContasDRE[#All],7,FALSE)),"Fora do DRE",VLOOKUP(Base_Periodo1[[#This Row],[CONTA]],BaseContasDRE[#All],7,FALSE))</f>
        <v>Fora do DRE</v>
      </c>
      <c r="V3833" s="3" t="str">
        <f>IF(Base_Periodo1[[#This Row],[Tipo_Linha]]="Fora do DRE","Fora do DRE","( "&amp;Base_Periodo1[[#This Row],[Tipo_Linha]]&amp;" ) "&amp;Base_Periodo1[[#This Row],[Filtro]])</f>
        <v>Fora do DRE</v>
      </c>
      <c r="W3833" s="3" t="str">
        <f>LEFT(Base_Periodo1[[#This Row],[CLASS]],3)</f>
        <v>2.1</v>
      </c>
    </row>
    <row r="3834" spans="1:23" hidden="1">
      <c r="A3834" s="3" t="str">
        <f t="shared" si="59"/>
        <v>Período 1</v>
      </c>
      <c r="B3834">
        <v>11591</v>
      </c>
      <c r="C3834" t="s">
        <v>2010</v>
      </c>
      <c r="D3834" t="s">
        <v>6107</v>
      </c>
      <c r="E3834" s="3" t="str">
        <f>IF(LEN(Base_Periodo1[[#This Row],[CLASS]])&gt;=7,LEFT(Base_Periodo1[[#This Row],[CLASS]],7),"")</f>
        <v>2.1.2.2</v>
      </c>
      <c r="F3834" s="3" t="str">
        <f>VLOOKUP(Base_Periodo1[[#This Row],[Aux]],Base_Contas_Balanco[#All],2,FALSE)</f>
        <v>Fornecedores Não Cooperados</v>
      </c>
      <c r="G3834" s="1">
        <v>42865</v>
      </c>
      <c r="I3834" s="225">
        <v>540</v>
      </c>
      <c r="J3834" s="225">
        <v>540</v>
      </c>
      <c r="K3834" s="225">
        <v>0</v>
      </c>
      <c r="L38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34" s="225">
        <f>ROUND(IF(AND(Base_Periodo1[[#This Row],[Tipo_Linha]]="-",Base_Periodo1[[#This Row],[TIPOSALDO]]="D"),Base_Periodo1[[#This Row],[SALDO_ATUAL]]*-1,Base_Periodo1[[#This Row],[SALDO_ATUAL]]),4)</f>
        <v>0</v>
      </c>
      <c r="N3834" t="s">
        <v>116</v>
      </c>
      <c r="O3834" t="s">
        <v>436</v>
      </c>
      <c r="P3834" t="s">
        <v>436</v>
      </c>
      <c r="Q3834">
        <v>7</v>
      </c>
      <c r="R3834" s="225">
        <f>Base_Periodo1[[#This Row],[CREDITOS]]-Base_Periodo1[[#This Row],[DEBITOS]]</f>
        <v>0</v>
      </c>
      <c r="S3834" s="3" t="str">
        <f>IF(ISERROR(VLOOKUP(Base_Periodo1[[#This Row],[CONTA]],BaseContasDRE[#All],4,FALSE)),"Fora do DRE",VLOOKUP(Base_Periodo1[[#This Row],[CONTA]],BaseContasDRE[#All],4,FALSE))</f>
        <v>Fora do DRE</v>
      </c>
      <c r="T3834" s="3" t="str">
        <f>IF(ISERROR(VLOOKUP(Base_Periodo1[[#This Row],[CONTA]],BaseContasDRE[#All],5,FALSE)),"Fora do DRE",VLOOKUP(Base_Periodo1[[#This Row],[CONTA]],BaseContasDRE[#All],6,FALSE))</f>
        <v>Fora do DRE</v>
      </c>
      <c r="U3834" s="3" t="str">
        <f>IF(ISERROR(VLOOKUP(Base_Periodo1[[#This Row],[CONTA]],BaseContasDRE[#All],7,FALSE)),"Fora do DRE",VLOOKUP(Base_Periodo1[[#This Row],[CONTA]],BaseContasDRE[#All],7,FALSE))</f>
        <v>Fora do DRE</v>
      </c>
      <c r="V3834" s="3" t="str">
        <f>IF(Base_Periodo1[[#This Row],[Tipo_Linha]]="Fora do DRE","Fora do DRE","( "&amp;Base_Periodo1[[#This Row],[Tipo_Linha]]&amp;" ) "&amp;Base_Periodo1[[#This Row],[Filtro]])</f>
        <v>Fora do DRE</v>
      </c>
      <c r="W3834" s="3" t="str">
        <f>LEFT(Base_Periodo1[[#This Row],[CLASS]],3)</f>
        <v>2.1</v>
      </c>
    </row>
    <row r="3835" spans="1:23" hidden="1">
      <c r="A3835" s="3" t="str">
        <f t="shared" si="59"/>
        <v>Período 1</v>
      </c>
      <c r="B3835">
        <v>55699</v>
      </c>
      <c r="C3835" t="s">
        <v>2010</v>
      </c>
      <c r="D3835" t="s">
        <v>5440</v>
      </c>
      <c r="E3835" s="3" t="str">
        <f>IF(LEN(Base_Periodo1[[#This Row],[CLASS]])&gt;=7,LEFT(Base_Periodo1[[#This Row],[CLASS]],7),"")</f>
        <v>2.1.2.2</v>
      </c>
      <c r="F3835" s="3" t="str">
        <f>VLOOKUP(Base_Periodo1[[#This Row],[Aux]],Base_Contas_Balanco[#All],2,FALSE)</f>
        <v>Fornecedores Não Cooperados</v>
      </c>
      <c r="G3835" s="1">
        <v>42877</v>
      </c>
      <c r="H3835" s="225">
        <v>2203.5400000000009</v>
      </c>
      <c r="I3835" s="225">
        <v>2203.54</v>
      </c>
      <c r="J3835" s="225">
        <v>22.56</v>
      </c>
      <c r="K3835" s="225">
        <v>22.560000000000908</v>
      </c>
      <c r="L38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22.56</v>
      </c>
      <c r="M3835" s="225">
        <f>ROUND(IF(AND(Base_Periodo1[[#This Row],[Tipo_Linha]]="-",Base_Periodo1[[#This Row],[TIPOSALDO]]="D"),Base_Periodo1[[#This Row],[SALDO_ATUAL]]*-1,Base_Periodo1[[#This Row],[SALDO_ATUAL]]),4)</f>
        <v>22.56</v>
      </c>
      <c r="N3835" t="s">
        <v>116</v>
      </c>
      <c r="O3835" t="s">
        <v>459</v>
      </c>
      <c r="P3835" t="s">
        <v>459</v>
      </c>
      <c r="Q3835">
        <v>7</v>
      </c>
      <c r="R3835" s="225">
        <f>Base_Periodo1[[#This Row],[CREDITOS]]-Base_Periodo1[[#This Row],[DEBITOS]]</f>
        <v>-2180.98</v>
      </c>
      <c r="S3835" s="3" t="str">
        <f>IF(ISERROR(VLOOKUP(Base_Periodo1[[#This Row],[CONTA]],BaseContasDRE[#All],4,FALSE)),"Fora do DRE",VLOOKUP(Base_Periodo1[[#This Row],[CONTA]],BaseContasDRE[#All],4,FALSE))</f>
        <v>Fora do DRE</v>
      </c>
      <c r="T3835" s="3" t="str">
        <f>IF(ISERROR(VLOOKUP(Base_Periodo1[[#This Row],[CONTA]],BaseContasDRE[#All],5,FALSE)),"Fora do DRE",VLOOKUP(Base_Periodo1[[#This Row],[CONTA]],BaseContasDRE[#All],6,FALSE))</f>
        <v>Fora do DRE</v>
      </c>
      <c r="U3835" s="3" t="str">
        <f>IF(ISERROR(VLOOKUP(Base_Periodo1[[#This Row],[CONTA]],BaseContasDRE[#All],7,FALSE)),"Fora do DRE",VLOOKUP(Base_Periodo1[[#This Row],[CONTA]],BaseContasDRE[#All],7,FALSE))</f>
        <v>Fora do DRE</v>
      </c>
      <c r="V3835" s="3" t="str">
        <f>IF(Base_Periodo1[[#This Row],[Tipo_Linha]]="Fora do DRE","Fora do DRE","( "&amp;Base_Periodo1[[#This Row],[Tipo_Linha]]&amp;" ) "&amp;Base_Periodo1[[#This Row],[Filtro]])</f>
        <v>Fora do DRE</v>
      </c>
      <c r="W3835" s="3" t="str">
        <f>LEFT(Base_Periodo1[[#This Row],[CLASS]],3)</f>
        <v>2.1</v>
      </c>
    </row>
    <row r="3836" spans="1:23" hidden="1">
      <c r="A3836" s="3" t="str">
        <f t="shared" si="59"/>
        <v>Período 1</v>
      </c>
      <c r="B3836">
        <v>37093</v>
      </c>
      <c r="C3836" t="s">
        <v>2010</v>
      </c>
      <c r="D3836" t="s">
        <v>6781</v>
      </c>
      <c r="E3836" s="3" t="str">
        <f>IF(LEN(Base_Periodo1[[#This Row],[CLASS]])&gt;=7,LEFT(Base_Periodo1[[#This Row],[CLASS]],7),"")</f>
        <v>2.1.2.2</v>
      </c>
      <c r="F3836" s="3" t="str">
        <f>VLOOKUP(Base_Periodo1[[#This Row],[Aux]],Base_Contas_Balanco[#All],2,FALSE)</f>
        <v>Fornecedores Não Cooperados</v>
      </c>
      <c r="G3836" s="1">
        <v>42877</v>
      </c>
      <c r="I3836" s="225">
        <v>8547.61</v>
      </c>
      <c r="J3836" s="225">
        <v>8547.61</v>
      </c>
      <c r="K3836" s="225">
        <v>0</v>
      </c>
      <c r="L38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36" s="225">
        <f>ROUND(IF(AND(Base_Periodo1[[#This Row],[Tipo_Linha]]="-",Base_Periodo1[[#This Row],[TIPOSALDO]]="D"),Base_Periodo1[[#This Row],[SALDO_ATUAL]]*-1,Base_Periodo1[[#This Row],[SALDO_ATUAL]]),4)</f>
        <v>0</v>
      </c>
      <c r="N3836" t="s">
        <v>116</v>
      </c>
      <c r="O3836" t="s">
        <v>436</v>
      </c>
      <c r="P3836" t="s">
        <v>436</v>
      </c>
      <c r="Q3836">
        <v>7</v>
      </c>
      <c r="R3836" s="225">
        <f>Base_Periodo1[[#This Row],[CREDITOS]]-Base_Periodo1[[#This Row],[DEBITOS]]</f>
        <v>0</v>
      </c>
      <c r="S3836" s="3" t="str">
        <f>IF(ISERROR(VLOOKUP(Base_Periodo1[[#This Row],[CONTA]],BaseContasDRE[#All],4,FALSE)),"Fora do DRE",VLOOKUP(Base_Periodo1[[#This Row],[CONTA]],BaseContasDRE[#All],4,FALSE))</f>
        <v>Fora do DRE</v>
      </c>
      <c r="T3836" s="3" t="str">
        <f>IF(ISERROR(VLOOKUP(Base_Periodo1[[#This Row],[CONTA]],BaseContasDRE[#All],5,FALSE)),"Fora do DRE",VLOOKUP(Base_Periodo1[[#This Row],[CONTA]],BaseContasDRE[#All],6,FALSE))</f>
        <v>Fora do DRE</v>
      </c>
      <c r="U3836" s="3" t="str">
        <f>IF(ISERROR(VLOOKUP(Base_Periodo1[[#This Row],[CONTA]],BaseContasDRE[#All],7,FALSE)),"Fora do DRE",VLOOKUP(Base_Periodo1[[#This Row],[CONTA]],BaseContasDRE[#All],7,FALSE))</f>
        <v>Fora do DRE</v>
      </c>
      <c r="V3836" s="3" t="str">
        <f>IF(Base_Periodo1[[#This Row],[Tipo_Linha]]="Fora do DRE","Fora do DRE","( "&amp;Base_Periodo1[[#This Row],[Tipo_Linha]]&amp;" ) "&amp;Base_Periodo1[[#This Row],[Filtro]])</f>
        <v>Fora do DRE</v>
      </c>
      <c r="W3836" s="3" t="str">
        <f>LEFT(Base_Periodo1[[#This Row],[CLASS]],3)</f>
        <v>2.1</v>
      </c>
    </row>
    <row r="3837" spans="1:23" hidden="1">
      <c r="A3837" s="3" t="str">
        <f t="shared" si="59"/>
        <v>Período 1</v>
      </c>
      <c r="B3837">
        <v>15545</v>
      </c>
      <c r="C3837" t="s">
        <v>2010</v>
      </c>
      <c r="D3837" t="s">
        <v>7098</v>
      </c>
      <c r="E3837" s="3" t="str">
        <f>IF(LEN(Base_Periodo1[[#This Row],[CLASS]])&gt;=7,LEFT(Base_Periodo1[[#This Row],[CLASS]],7),"")</f>
        <v>2.1.2.2</v>
      </c>
      <c r="F3837" s="3" t="str">
        <f>VLOOKUP(Base_Periodo1[[#This Row],[Aux]],Base_Contas_Balanco[#All],2,FALSE)</f>
        <v>Fornecedores Não Cooperados</v>
      </c>
      <c r="G3837" s="1">
        <v>42880</v>
      </c>
      <c r="I3837" s="225">
        <v>100</v>
      </c>
      <c r="J3837" s="225">
        <v>100</v>
      </c>
      <c r="K3837" s="225">
        <v>0</v>
      </c>
      <c r="L38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37" s="225">
        <f>ROUND(IF(AND(Base_Periodo1[[#This Row],[Tipo_Linha]]="-",Base_Periodo1[[#This Row],[TIPOSALDO]]="D"),Base_Periodo1[[#This Row],[SALDO_ATUAL]]*-1,Base_Periodo1[[#This Row],[SALDO_ATUAL]]),4)</f>
        <v>0</v>
      </c>
      <c r="N3837" t="s">
        <v>116</v>
      </c>
      <c r="O3837" t="s">
        <v>436</v>
      </c>
      <c r="P3837" t="s">
        <v>436</v>
      </c>
      <c r="Q3837">
        <v>7</v>
      </c>
      <c r="R3837" s="225">
        <f>Base_Periodo1[[#This Row],[CREDITOS]]-Base_Periodo1[[#This Row],[DEBITOS]]</f>
        <v>0</v>
      </c>
      <c r="S3837" s="3" t="str">
        <f>IF(ISERROR(VLOOKUP(Base_Periodo1[[#This Row],[CONTA]],BaseContasDRE[#All],4,FALSE)),"Fora do DRE",VLOOKUP(Base_Periodo1[[#This Row],[CONTA]],BaseContasDRE[#All],4,FALSE))</f>
        <v>Fora do DRE</v>
      </c>
      <c r="T3837" s="3" t="str">
        <f>IF(ISERROR(VLOOKUP(Base_Periodo1[[#This Row],[CONTA]],BaseContasDRE[#All],5,FALSE)),"Fora do DRE",VLOOKUP(Base_Periodo1[[#This Row],[CONTA]],BaseContasDRE[#All],6,FALSE))</f>
        <v>Fora do DRE</v>
      </c>
      <c r="U3837" s="3" t="str">
        <f>IF(ISERROR(VLOOKUP(Base_Periodo1[[#This Row],[CONTA]],BaseContasDRE[#All],7,FALSE)),"Fora do DRE",VLOOKUP(Base_Periodo1[[#This Row],[CONTA]],BaseContasDRE[#All],7,FALSE))</f>
        <v>Fora do DRE</v>
      </c>
      <c r="V3837" s="3" t="str">
        <f>IF(Base_Periodo1[[#This Row],[Tipo_Linha]]="Fora do DRE","Fora do DRE","( "&amp;Base_Periodo1[[#This Row],[Tipo_Linha]]&amp;" ) "&amp;Base_Periodo1[[#This Row],[Filtro]])</f>
        <v>Fora do DRE</v>
      </c>
      <c r="W3837" s="3" t="str">
        <f>LEFT(Base_Periodo1[[#This Row],[CLASS]],3)</f>
        <v>2.1</v>
      </c>
    </row>
    <row r="3838" spans="1:23" hidden="1">
      <c r="A3838" s="3" t="str">
        <f t="shared" si="59"/>
        <v>Período 1</v>
      </c>
      <c r="B3838">
        <v>21345</v>
      </c>
      <c r="C3838" t="s">
        <v>2010</v>
      </c>
      <c r="D3838" t="s">
        <v>7099</v>
      </c>
      <c r="E3838" s="3" t="str">
        <f>IF(LEN(Base_Periodo1[[#This Row],[CLASS]])&gt;=7,LEFT(Base_Periodo1[[#This Row],[CLASS]],7),"")</f>
        <v>2.1.2.2</v>
      </c>
      <c r="F3838" s="3" t="str">
        <f>VLOOKUP(Base_Periodo1[[#This Row],[Aux]],Base_Contas_Balanco[#All],2,FALSE)</f>
        <v>Fornecedores Não Cooperados</v>
      </c>
      <c r="G3838" s="1">
        <v>42860</v>
      </c>
      <c r="I3838" s="225">
        <v>23.25</v>
      </c>
      <c r="J3838" s="225">
        <v>23.25</v>
      </c>
      <c r="K3838" s="225">
        <v>0</v>
      </c>
      <c r="L38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38" s="225">
        <f>ROUND(IF(AND(Base_Periodo1[[#This Row],[Tipo_Linha]]="-",Base_Periodo1[[#This Row],[TIPOSALDO]]="D"),Base_Periodo1[[#This Row],[SALDO_ATUAL]]*-1,Base_Periodo1[[#This Row],[SALDO_ATUAL]]),4)</f>
        <v>0</v>
      </c>
      <c r="N3838" t="s">
        <v>116</v>
      </c>
      <c r="O3838" t="s">
        <v>436</v>
      </c>
      <c r="P3838" t="s">
        <v>436</v>
      </c>
      <c r="Q3838">
        <v>7</v>
      </c>
      <c r="R3838" s="225">
        <f>Base_Periodo1[[#This Row],[CREDITOS]]-Base_Periodo1[[#This Row],[DEBITOS]]</f>
        <v>0</v>
      </c>
      <c r="S3838" s="3" t="str">
        <f>IF(ISERROR(VLOOKUP(Base_Periodo1[[#This Row],[CONTA]],BaseContasDRE[#All],4,FALSE)),"Fora do DRE",VLOOKUP(Base_Periodo1[[#This Row],[CONTA]],BaseContasDRE[#All],4,FALSE))</f>
        <v>Fora do DRE</v>
      </c>
      <c r="T3838" s="3" t="str">
        <f>IF(ISERROR(VLOOKUP(Base_Periodo1[[#This Row],[CONTA]],BaseContasDRE[#All],5,FALSE)),"Fora do DRE",VLOOKUP(Base_Periodo1[[#This Row],[CONTA]],BaseContasDRE[#All],6,FALSE))</f>
        <v>Fora do DRE</v>
      </c>
      <c r="U3838" s="3" t="str">
        <f>IF(ISERROR(VLOOKUP(Base_Periodo1[[#This Row],[CONTA]],BaseContasDRE[#All],7,FALSE)),"Fora do DRE",VLOOKUP(Base_Periodo1[[#This Row],[CONTA]],BaseContasDRE[#All],7,FALSE))</f>
        <v>Fora do DRE</v>
      </c>
      <c r="V3838" s="3" t="str">
        <f>IF(Base_Periodo1[[#This Row],[Tipo_Linha]]="Fora do DRE","Fora do DRE","( "&amp;Base_Periodo1[[#This Row],[Tipo_Linha]]&amp;" ) "&amp;Base_Periodo1[[#This Row],[Filtro]])</f>
        <v>Fora do DRE</v>
      </c>
      <c r="W3838" s="3" t="str">
        <f>LEFT(Base_Periodo1[[#This Row],[CLASS]],3)</f>
        <v>2.1</v>
      </c>
    </row>
    <row r="3839" spans="1:23" hidden="1">
      <c r="A3839" s="3" t="str">
        <f t="shared" si="59"/>
        <v>Período 1</v>
      </c>
      <c r="B3839">
        <v>39265</v>
      </c>
      <c r="C3839" t="s">
        <v>2010</v>
      </c>
      <c r="D3839" t="s">
        <v>6502</v>
      </c>
      <c r="E3839" s="3" t="str">
        <f>IF(LEN(Base_Periodo1[[#This Row],[CLASS]])&gt;=7,LEFT(Base_Periodo1[[#This Row],[CLASS]],7),"")</f>
        <v>2.1.2.2</v>
      </c>
      <c r="F3839" s="3" t="str">
        <f>VLOOKUP(Base_Periodo1[[#This Row],[Aux]],Base_Contas_Balanco[#All],2,FALSE)</f>
        <v>Fornecedores Não Cooperados</v>
      </c>
      <c r="G3839" s="1">
        <v>42879</v>
      </c>
      <c r="I3839" s="225">
        <v>3986</v>
      </c>
      <c r="J3839" s="225">
        <v>3986</v>
      </c>
      <c r="K3839" s="225">
        <v>0</v>
      </c>
      <c r="L38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39" s="225">
        <f>ROUND(IF(AND(Base_Periodo1[[#This Row],[Tipo_Linha]]="-",Base_Periodo1[[#This Row],[TIPOSALDO]]="D"),Base_Periodo1[[#This Row],[SALDO_ATUAL]]*-1,Base_Periodo1[[#This Row],[SALDO_ATUAL]]),4)</f>
        <v>0</v>
      </c>
      <c r="N3839" t="s">
        <v>116</v>
      </c>
      <c r="O3839" t="s">
        <v>436</v>
      </c>
      <c r="P3839" t="s">
        <v>436</v>
      </c>
      <c r="Q3839">
        <v>7</v>
      </c>
      <c r="R3839" s="225">
        <f>Base_Periodo1[[#This Row],[CREDITOS]]-Base_Periodo1[[#This Row],[DEBITOS]]</f>
        <v>0</v>
      </c>
      <c r="S3839" s="3" t="str">
        <f>IF(ISERROR(VLOOKUP(Base_Periodo1[[#This Row],[CONTA]],BaseContasDRE[#All],4,FALSE)),"Fora do DRE",VLOOKUP(Base_Periodo1[[#This Row],[CONTA]],BaseContasDRE[#All],4,FALSE))</f>
        <v>Fora do DRE</v>
      </c>
      <c r="T3839" s="3" t="str">
        <f>IF(ISERROR(VLOOKUP(Base_Periodo1[[#This Row],[CONTA]],BaseContasDRE[#All],5,FALSE)),"Fora do DRE",VLOOKUP(Base_Periodo1[[#This Row],[CONTA]],BaseContasDRE[#All],6,FALSE))</f>
        <v>Fora do DRE</v>
      </c>
      <c r="U3839" s="3" t="str">
        <f>IF(ISERROR(VLOOKUP(Base_Periodo1[[#This Row],[CONTA]],BaseContasDRE[#All],7,FALSE)),"Fora do DRE",VLOOKUP(Base_Periodo1[[#This Row],[CONTA]],BaseContasDRE[#All],7,FALSE))</f>
        <v>Fora do DRE</v>
      </c>
      <c r="V3839" s="3" t="str">
        <f>IF(Base_Periodo1[[#This Row],[Tipo_Linha]]="Fora do DRE","Fora do DRE","( "&amp;Base_Periodo1[[#This Row],[Tipo_Linha]]&amp;" ) "&amp;Base_Periodo1[[#This Row],[Filtro]])</f>
        <v>Fora do DRE</v>
      </c>
      <c r="W3839" s="3" t="str">
        <f>LEFT(Base_Periodo1[[#This Row],[CLASS]],3)</f>
        <v>2.1</v>
      </c>
    </row>
    <row r="3840" spans="1:23" hidden="1">
      <c r="A3840" s="3" t="str">
        <f t="shared" si="59"/>
        <v>Período 1</v>
      </c>
      <c r="B3840">
        <v>13237</v>
      </c>
      <c r="C3840" t="s">
        <v>2010</v>
      </c>
      <c r="D3840" t="s">
        <v>7100</v>
      </c>
      <c r="E3840" s="3" t="str">
        <f>IF(LEN(Base_Periodo1[[#This Row],[CLASS]])&gt;=7,LEFT(Base_Periodo1[[#This Row],[CLASS]],7),"")</f>
        <v>2.1.2.2</v>
      </c>
      <c r="F3840" s="3" t="str">
        <f>VLOOKUP(Base_Periodo1[[#This Row],[Aux]],Base_Contas_Balanco[#All],2,FALSE)</f>
        <v>Fornecedores Não Cooperados</v>
      </c>
      <c r="G3840" s="1">
        <v>42865</v>
      </c>
      <c r="I3840" s="225">
        <v>45.8</v>
      </c>
      <c r="J3840" s="225">
        <v>45.8</v>
      </c>
      <c r="K3840" s="225">
        <v>0</v>
      </c>
      <c r="L38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40" s="225">
        <f>ROUND(IF(AND(Base_Periodo1[[#This Row],[Tipo_Linha]]="-",Base_Periodo1[[#This Row],[TIPOSALDO]]="D"),Base_Periodo1[[#This Row],[SALDO_ATUAL]]*-1,Base_Periodo1[[#This Row],[SALDO_ATUAL]]),4)</f>
        <v>0</v>
      </c>
      <c r="N3840" t="s">
        <v>116</v>
      </c>
      <c r="O3840" t="s">
        <v>436</v>
      </c>
      <c r="P3840" t="s">
        <v>436</v>
      </c>
      <c r="Q3840">
        <v>7</v>
      </c>
      <c r="R3840" s="225">
        <f>Base_Periodo1[[#This Row],[CREDITOS]]-Base_Periodo1[[#This Row],[DEBITOS]]</f>
        <v>0</v>
      </c>
      <c r="S3840" s="3" t="str">
        <f>IF(ISERROR(VLOOKUP(Base_Periodo1[[#This Row],[CONTA]],BaseContasDRE[#All],4,FALSE)),"Fora do DRE",VLOOKUP(Base_Periodo1[[#This Row],[CONTA]],BaseContasDRE[#All],4,FALSE))</f>
        <v>Fora do DRE</v>
      </c>
      <c r="T3840" s="3" t="str">
        <f>IF(ISERROR(VLOOKUP(Base_Periodo1[[#This Row],[CONTA]],BaseContasDRE[#All],5,FALSE)),"Fora do DRE",VLOOKUP(Base_Periodo1[[#This Row],[CONTA]],BaseContasDRE[#All],6,FALSE))</f>
        <v>Fora do DRE</v>
      </c>
      <c r="U3840" s="3" t="str">
        <f>IF(ISERROR(VLOOKUP(Base_Periodo1[[#This Row],[CONTA]],BaseContasDRE[#All],7,FALSE)),"Fora do DRE",VLOOKUP(Base_Periodo1[[#This Row],[CONTA]],BaseContasDRE[#All],7,FALSE))</f>
        <v>Fora do DRE</v>
      </c>
      <c r="V3840" s="3" t="str">
        <f>IF(Base_Periodo1[[#This Row],[Tipo_Linha]]="Fora do DRE","Fora do DRE","( "&amp;Base_Periodo1[[#This Row],[Tipo_Linha]]&amp;" ) "&amp;Base_Periodo1[[#This Row],[Filtro]])</f>
        <v>Fora do DRE</v>
      </c>
      <c r="W3840" s="3" t="str">
        <f>LEFT(Base_Periodo1[[#This Row],[CLASS]],3)</f>
        <v>2.1</v>
      </c>
    </row>
    <row r="3841" spans="1:23" hidden="1">
      <c r="A3841" s="3" t="str">
        <f t="shared" si="59"/>
        <v>Período 1</v>
      </c>
      <c r="B3841">
        <v>10875</v>
      </c>
      <c r="C3841" t="s">
        <v>2010</v>
      </c>
      <c r="D3841" t="s">
        <v>5340</v>
      </c>
      <c r="E3841" s="3" t="str">
        <f>IF(LEN(Base_Periodo1[[#This Row],[CLASS]])&gt;=7,LEFT(Base_Periodo1[[#This Row],[CLASS]],7),"")</f>
        <v>2.1.2.2</v>
      </c>
      <c r="F3841" s="3" t="str">
        <f>VLOOKUP(Base_Periodo1[[#This Row],[Aux]],Base_Contas_Balanco[#All],2,FALSE)</f>
        <v>Fornecedores Não Cooperados</v>
      </c>
      <c r="G3841" s="1">
        <v>42886</v>
      </c>
      <c r="H3841" s="225">
        <v>870.00000000002183</v>
      </c>
      <c r="I3841" s="225">
        <v>870</v>
      </c>
      <c r="J3841" s="225">
        <v>802.7</v>
      </c>
      <c r="K3841" s="225">
        <v>802.70000000002187</v>
      </c>
      <c r="L38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802.7</v>
      </c>
      <c r="M3841" s="225">
        <f>ROUND(IF(AND(Base_Periodo1[[#This Row],[Tipo_Linha]]="-",Base_Periodo1[[#This Row],[TIPOSALDO]]="D"),Base_Periodo1[[#This Row],[SALDO_ATUAL]]*-1,Base_Periodo1[[#This Row],[SALDO_ATUAL]]),4)</f>
        <v>802.7</v>
      </c>
      <c r="N3841" t="s">
        <v>116</v>
      </c>
      <c r="O3841" t="s">
        <v>459</v>
      </c>
      <c r="P3841" t="s">
        <v>459</v>
      </c>
      <c r="Q3841">
        <v>7</v>
      </c>
      <c r="R3841" s="225">
        <f>Base_Periodo1[[#This Row],[CREDITOS]]-Base_Periodo1[[#This Row],[DEBITOS]]</f>
        <v>-67.299999999999955</v>
      </c>
      <c r="S3841" s="3" t="str">
        <f>IF(ISERROR(VLOOKUP(Base_Periodo1[[#This Row],[CONTA]],BaseContasDRE[#All],4,FALSE)),"Fora do DRE",VLOOKUP(Base_Periodo1[[#This Row],[CONTA]],BaseContasDRE[#All],4,FALSE))</f>
        <v>Fora do DRE</v>
      </c>
      <c r="T3841" s="3" t="str">
        <f>IF(ISERROR(VLOOKUP(Base_Periodo1[[#This Row],[CONTA]],BaseContasDRE[#All],5,FALSE)),"Fora do DRE",VLOOKUP(Base_Periodo1[[#This Row],[CONTA]],BaseContasDRE[#All],6,FALSE))</f>
        <v>Fora do DRE</v>
      </c>
      <c r="U3841" s="3" t="str">
        <f>IF(ISERROR(VLOOKUP(Base_Periodo1[[#This Row],[CONTA]],BaseContasDRE[#All],7,FALSE)),"Fora do DRE",VLOOKUP(Base_Periodo1[[#This Row],[CONTA]],BaseContasDRE[#All],7,FALSE))</f>
        <v>Fora do DRE</v>
      </c>
      <c r="V3841" s="3" t="str">
        <f>IF(Base_Periodo1[[#This Row],[Tipo_Linha]]="Fora do DRE","Fora do DRE","( "&amp;Base_Periodo1[[#This Row],[Tipo_Linha]]&amp;" ) "&amp;Base_Periodo1[[#This Row],[Filtro]])</f>
        <v>Fora do DRE</v>
      </c>
      <c r="W3841" s="3" t="str">
        <f>LEFT(Base_Periodo1[[#This Row],[CLASS]],3)</f>
        <v>2.1</v>
      </c>
    </row>
    <row r="3842" spans="1:23" hidden="1">
      <c r="A3842" s="3" t="str">
        <f t="shared" si="59"/>
        <v>Período 1</v>
      </c>
      <c r="B3842">
        <v>28961</v>
      </c>
      <c r="C3842" t="s">
        <v>2010</v>
      </c>
      <c r="D3842" t="s">
        <v>4211</v>
      </c>
      <c r="E3842" s="3" t="str">
        <f>IF(LEN(Base_Periodo1[[#This Row],[CLASS]])&gt;=7,LEFT(Base_Periodo1[[#This Row],[CLASS]],7),"")</f>
        <v>2.1.2.2</v>
      </c>
      <c r="F3842" s="3" t="str">
        <f>VLOOKUP(Base_Periodo1[[#This Row],[Aux]],Base_Contas_Balanco[#All],2,FALSE)</f>
        <v>Fornecedores Não Cooperados</v>
      </c>
      <c r="G3842" s="1">
        <v>42871</v>
      </c>
      <c r="H3842" s="225">
        <v>12059.239999999976</v>
      </c>
      <c r="I3842" s="225">
        <v>12097.6</v>
      </c>
      <c r="J3842" s="225">
        <v>824.61</v>
      </c>
      <c r="K3842" s="225">
        <v>786.24999999997578</v>
      </c>
      <c r="L38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786.25</v>
      </c>
      <c r="M3842" s="225">
        <f>ROUND(IF(AND(Base_Periodo1[[#This Row],[Tipo_Linha]]="-",Base_Periodo1[[#This Row],[TIPOSALDO]]="D"),Base_Periodo1[[#This Row],[SALDO_ATUAL]]*-1,Base_Periodo1[[#This Row],[SALDO_ATUAL]]),4)</f>
        <v>786.25</v>
      </c>
      <c r="N3842" t="s">
        <v>116</v>
      </c>
      <c r="O3842" t="s">
        <v>459</v>
      </c>
      <c r="P3842" t="s">
        <v>459</v>
      </c>
      <c r="Q3842">
        <v>7</v>
      </c>
      <c r="R3842" s="225">
        <f>Base_Periodo1[[#This Row],[CREDITOS]]-Base_Periodo1[[#This Row],[DEBITOS]]</f>
        <v>-11272.99</v>
      </c>
      <c r="S3842" s="3" t="str">
        <f>IF(ISERROR(VLOOKUP(Base_Periodo1[[#This Row],[CONTA]],BaseContasDRE[#All],4,FALSE)),"Fora do DRE",VLOOKUP(Base_Periodo1[[#This Row],[CONTA]],BaseContasDRE[#All],4,FALSE))</f>
        <v>Fora do DRE</v>
      </c>
      <c r="T3842" s="3" t="str">
        <f>IF(ISERROR(VLOOKUP(Base_Periodo1[[#This Row],[CONTA]],BaseContasDRE[#All],5,FALSE)),"Fora do DRE",VLOOKUP(Base_Periodo1[[#This Row],[CONTA]],BaseContasDRE[#All],6,FALSE))</f>
        <v>Fora do DRE</v>
      </c>
      <c r="U3842" s="3" t="str">
        <f>IF(ISERROR(VLOOKUP(Base_Periodo1[[#This Row],[CONTA]],BaseContasDRE[#All],7,FALSE)),"Fora do DRE",VLOOKUP(Base_Periodo1[[#This Row],[CONTA]],BaseContasDRE[#All],7,FALSE))</f>
        <v>Fora do DRE</v>
      </c>
      <c r="V3842" s="3" t="str">
        <f>IF(Base_Periodo1[[#This Row],[Tipo_Linha]]="Fora do DRE","Fora do DRE","( "&amp;Base_Periodo1[[#This Row],[Tipo_Linha]]&amp;" ) "&amp;Base_Periodo1[[#This Row],[Filtro]])</f>
        <v>Fora do DRE</v>
      </c>
      <c r="W3842" s="3" t="str">
        <f>LEFT(Base_Periodo1[[#This Row],[CLASS]],3)</f>
        <v>2.1</v>
      </c>
    </row>
    <row r="3843" spans="1:23" hidden="1">
      <c r="A3843" s="3" t="str">
        <f t="shared" si="59"/>
        <v>Período 1</v>
      </c>
      <c r="B3843">
        <v>58926</v>
      </c>
      <c r="C3843" t="s">
        <v>2010</v>
      </c>
      <c r="D3843" t="s">
        <v>7101</v>
      </c>
      <c r="E3843" s="3" t="str">
        <f>IF(LEN(Base_Periodo1[[#This Row],[CLASS]])&gt;=7,LEFT(Base_Periodo1[[#This Row],[CLASS]],7),"")</f>
        <v>2.1.2.2</v>
      </c>
      <c r="F3843" s="3" t="str">
        <f>VLOOKUP(Base_Periodo1[[#This Row],[Aux]],Base_Contas_Balanco[#All],2,FALSE)</f>
        <v>Fornecedores Não Cooperados</v>
      </c>
      <c r="G3843" s="1">
        <v>42881</v>
      </c>
      <c r="I3843" s="225">
        <v>8400</v>
      </c>
      <c r="J3843" s="225">
        <v>13200</v>
      </c>
      <c r="K3843" s="225">
        <v>4800</v>
      </c>
      <c r="L38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4800</v>
      </c>
      <c r="M3843" s="225">
        <f>ROUND(IF(AND(Base_Periodo1[[#This Row],[Tipo_Linha]]="-",Base_Periodo1[[#This Row],[TIPOSALDO]]="D"),Base_Periodo1[[#This Row],[SALDO_ATUAL]]*-1,Base_Periodo1[[#This Row],[SALDO_ATUAL]]),4)</f>
        <v>4800</v>
      </c>
      <c r="N3843" t="s">
        <v>116</v>
      </c>
      <c r="O3843" t="s">
        <v>436</v>
      </c>
      <c r="P3843" t="s">
        <v>459</v>
      </c>
      <c r="Q3843">
        <v>7</v>
      </c>
      <c r="R3843" s="225">
        <f>Base_Periodo1[[#This Row],[CREDITOS]]-Base_Periodo1[[#This Row],[DEBITOS]]</f>
        <v>4800</v>
      </c>
      <c r="S3843" s="3" t="str">
        <f>IF(ISERROR(VLOOKUP(Base_Periodo1[[#This Row],[CONTA]],BaseContasDRE[#All],4,FALSE)),"Fora do DRE",VLOOKUP(Base_Periodo1[[#This Row],[CONTA]],BaseContasDRE[#All],4,FALSE))</f>
        <v>Fora do DRE</v>
      </c>
      <c r="T3843" s="3" t="str">
        <f>IF(ISERROR(VLOOKUP(Base_Periodo1[[#This Row],[CONTA]],BaseContasDRE[#All],5,FALSE)),"Fora do DRE",VLOOKUP(Base_Periodo1[[#This Row],[CONTA]],BaseContasDRE[#All],6,FALSE))</f>
        <v>Fora do DRE</v>
      </c>
      <c r="U3843" s="3" t="str">
        <f>IF(ISERROR(VLOOKUP(Base_Periodo1[[#This Row],[CONTA]],BaseContasDRE[#All],7,FALSE)),"Fora do DRE",VLOOKUP(Base_Periodo1[[#This Row],[CONTA]],BaseContasDRE[#All],7,FALSE))</f>
        <v>Fora do DRE</v>
      </c>
      <c r="V3843" s="3" t="str">
        <f>IF(Base_Periodo1[[#This Row],[Tipo_Linha]]="Fora do DRE","Fora do DRE","( "&amp;Base_Periodo1[[#This Row],[Tipo_Linha]]&amp;" ) "&amp;Base_Periodo1[[#This Row],[Filtro]])</f>
        <v>Fora do DRE</v>
      </c>
      <c r="W3843" s="3" t="str">
        <f>LEFT(Base_Periodo1[[#This Row],[CLASS]],3)</f>
        <v>2.1</v>
      </c>
    </row>
    <row r="3844" spans="1:23" hidden="1">
      <c r="A3844" s="3" t="str">
        <f t="shared" si="59"/>
        <v>Período 1</v>
      </c>
      <c r="B3844">
        <v>10399</v>
      </c>
      <c r="C3844" t="s">
        <v>2010</v>
      </c>
      <c r="D3844" t="s">
        <v>4462</v>
      </c>
      <c r="E3844" s="3" t="str">
        <f>IF(LEN(Base_Periodo1[[#This Row],[CLASS]])&gt;=7,LEFT(Base_Periodo1[[#This Row],[CLASS]],7),"")</f>
        <v>2.1.2.2</v>
      </c>
      <c r="F3844" s="3" t="str">
        <f>VLOOKUP(Base_Periodo1[[#This Row],[Aux]],Base_Contas_Balanco[#All],2,FALSE)</f>
        <v>Fornecedores Não Cooperados</v>
      </c>
      <c r="G3844" s="1">
        <v>42863</v>
      </c>
      <c r="I3844" s="225">
        <v>4027.83</v>
      </c>
      <c r="J3844" s="225">
        <v>4027.8300000000004</v>
      </c>
      <c r="K3844" s="225">
        <v>-4.5474735088646412E-13</v>
      </c>
      <c r="L38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44" s="225">
        <f>ROUND(IF(AND(Base_Periodo1[[#This Row],[Tipo_Linha]]="-",Base_Periodo1[[#This Row],[TIPOSALDO]]="D"),Base_Periodo1[[#This Row],[SALDO_ATUAL]]*-1,Base_Periodo1[[#This Row],[SALDO_ATUAL]]),4)</f>
        <v>0</v>
      </c>
      <c r="N3844" t="s">
        <v>116</v>
      </c>
      <c r="O3844" t="s">
        <v>436</v>
      </c>
      <c r="P3844" t="s">
        <v>436</v>
      </c>
      <c r="Q3844">
        <v>7</v>
      </c>
      <c r="R3844" s="225">
        <f>Base_Periodo1[[#This Row],[CREDITOS]]-Base_Periodo1[[#This Row],[DEBITOS]]</f>
        <v>0</v>
      </c>
      <c r="S3844" s="3" t="str">
        <f>IF(ISERROR(VLOOKUP(Base_Periodo1[[#This Row],[CONTA]],BaseContasDRE[#All],4,FALSE)),"Fora do DRE",VLOOKUP(Base_Periodo1[[#This Row],[CONTA]],BaseContasDRE[#All],4,FALSE))</f>
        <v>Fora do DRE</v>
      </c>
      <c r="T3844" s="3" t="str">
        <f>IF(ISERROR(VLOOKUP(Base_Periodo1[[#This Row],[CONTA]],BaseContasDRE[#All],5,FALSE)),"Fora do DRE",VLOOKUP(Base_Periodo1[[#This Row],[CONTA]],BaseContasDRE[#All],6,FALSE))</f>
        <v>Fora do DRE</v>
      </c>
      <c r="U3844" s="3" t="str">
        <f>IF(ISERROR(VLOOKUP(Base_Periodo1[[#This Row],[CONTA]],BaseContasDRE[#All],7,FALSE)),"Fora do DRE",VLOOKUP(Base_Periodo1[[#This Row],[CONTA]],BaseContasDRE[#All],7,FALSE))</f>
        <v>Fora do DRE</v>
      </c>
      <c r="V3844" s="3" t="str">
        <f>IF(Base_Periodo1[[#This Row],[Tipo_Linha]]="Fora do DRE","Fora do DRE","( "&amp;Base_Periodo1[[#This Row],[Tipo_Linha]]&amp;" ) "&amp;Base_Periodo1[[#This Row],[Filtro]])</f>
        <v>Fora do DRE</v>
      </c>
      <c r="W3844" s="3" t="str">
        <f>LEFT(Base_Periodo1[[#This Row],[CLASS]],3)</f>
        <v>2.1</v>
      </c>
    </row>
    <row r="3845" spans="1:23" hidden="1">
      <c r="A3845" s="3" t="str">
        <f t="shared" si="59"/>
        <v>Período 1</v>
      </c>
      <c r="B3845">
        <v>10379</v>
      </c>
      <c r="C3845" t="s">
        <v>2010</v>
      </c>
      <c r="D3845" t="s">
        <v>6503</v>
      </c>
      <c r="E3845" s="3" t="str">
        <f>IF(LEN(Base_Periodo1[[#This Row],[CLASS]])&gt;=7,LEFT(Base_Periodo1[[#This Row],[CLASS]],7),"")</f>
        <v>2.1.2.2</v>
      </c>
      <c r="F3845" s="3" t="str">
        <f>VLOOKUP(Base_Periodo1[[#This Row],[Aux]],Base_Contas_Balanco[#All],2,FALSE)</f>
        <v>Fornecedores Não Cooperados</v>
      </c>
      <c r="G3845" s="1">
        <v>42873</v>
      </c>
      <c r="I3845" s="225">
        <v>1254.7</v>
      </c>
      <c r="J3845" s="225">
        <v>1254.7</v>
      </c>
      <c r="K3845" s="225">
        <v>0</v>
      </c>
      <c r="L38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45" s="225">
        <f>ROUND(IF(AND(Base_Periodo1[[#This Row],[Tipo_Linha]]="-",Base_Periodo1[[#This Row],[TIPOSALDO]]="D"),Base_Periodo1[[#This Row],[SALDO_ATUAL]]*-1,Base_Periodo1[[#This Row],[SALDO_ATUAL]]),4)</f>
        <v>0</v>
      </c>
      <c r="N3845" t="s">
        <v>116</v>
      </c>
      <c r="O3845" t="s">
        <v>436</v>
      </c>
      <c r="P3845" t="s">
        <v>436</v>
      </c>
      <c r="Q3845">
        <v>7</v>
      </c>
      <c r="R3845" s="225">
        <f>Base_Periodo1[[#This Row],[CREDITOS]]-Base_Periodo1[[#This Row],[DEBITOS]]</f>
        <v>0</v>
      </c>
      <c r="S3845" s="3" t="str">
        <f>IF(ISERROR(VLOOKUP(Base_Periodo1[[#This Row],[CONTA]],BaseContasDRE[#All],4,FALSE)),"Fora do DRE",VLOOKUP(Base_Periodo1[[#This Row],[CONTA]],BaseContasDRE[#All],4,FALSE))</f>
        <v>Fora do DRE</v>
      </c>
      <c r="T3845" s="3" t="str">
        <f>IF(ISERROR(VLOOKUP(Base_Periodo1[[#This Row],[CONTA]],BaseContasDRE[#All],5,FALSE)),"Fora do DRE",VLOOKUP(Base_Periodo1[[#This Row],[CONTA]],BaseContasDRE[#All],6,FALSE))</f>
        <v>Fora do DRE</v>
      </c>
      <c r="U3845" s="3" t="str">
        <f>IF(ISERROR(VLOOKUP(Base_Periodo1[[#This Row],[CONTA]],BaseContasDRE[#All],7,FALSE)),"Fora do DRE",VLOOKUP(Base_Periodo1[[#This Row],[CONTA]],BaseContasDRE[#All],7,FALSE))</f>
        <v>Fora do DRE</v>
      </c>
      <c r="V3845" s="3" t="str">
        <f>IF(Base_Periodo1[[#This Row],[Tipo_Linha]]="Fora do DRE","Fora do DRE","( "&amp;Base_Periodo1[[#This Row],[Tipo_Linha]]&amp;" ) "&amp;Base_Periodo1[[#This Row],[Filtro]])</f>
        <v>Fora do DRE</v>
      </c>
      <c r="W3845" s="3" t="str">
        <f>LEFT(Base_Periodo1[[#This Row],[CLASS]],3)</f>
        <v>2.1</v>
      </c>
    </row>
    <row r="3846" spans="1:23" hidden="1">
      <c r="A3846" s="3" t="str">
        <f t="shared" ref="A3846:A3909" si="60">"Período 1"</f>
        <v>Período 1</v>
      </c>
      <c r="B3846">
        <v>27342</v>
      </c>
      <c r="C3846" t="s">
        <v>2010</v>
      </c>
      <c r="D3846" t="s">
        <v>6504</v>
      </c>
      <c r="E3846" s="3" t="str">
        <f>IF(LEN(Base_Periodo1[[#This Row],[CLASS]])&gt;=7,LEFT(Base_Periodo1[[#This Row],[CLASS]],7),"")</f>
        <v>2.1.2.2</v>
      </c>
      <c r="F3846" s="3" t="str">
        <f>VLOOKUP(Base_Periodo1[[#This Row],[Aux]],Base_Contas_Balanco[#All],2,FALSE)</f>
        <v>Fornecedores Não Cooperados</v>
      </c>
      <c r="G3846" s="1">
        <v>42859</v>
      </c>
      <c r="H3846" s="225">
        <v>1190</v>
      </c>
      <c r="I3846" s="225">
        <v>1190</v>
      </c>
      <c r="J3846" s="225">
        <v>0</v>
      </c>
      <c r="K3846" s="225">
        <v>0</v>
      </c>
      <c r="L38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46" s="225">
        <f>ROUND(IF(AND(Base_Periodo1[[#This Row],[Tipo_Linha]]="-",Base_Periodo1[[#This Row],[TIPOSALDO]]="D"),Base_Periodo1[[#This Row],[SALDO_ATUAL]]*-1,Base_Periodo1[[#This Row],[SALDO_ATUAL]]),4)</f>
        <v>0</v>
      </c>
      <c r="N3846" t="s">
        <v>116</v>
      </c>
      <c r="O3846" t="s">
        <v>459</v>
      </c>
      <c r="P3846" t="s">
        <v>436</v>
      </c>
      <c r="Q3846">
        <v>7</v>
      </c>
      <c r="R3846" s="225">
        <f>Base_Periodo1[[#This Row],[CREDITOS]]-Base_Periodo1[[#This Row],[DEBITOS]]</f>
        <v>-1190</v>
      </c>
      <c r="S3846" s="3" t="str">
        <f>IF(ISERROR(VLOOKUP(Base_Periodo1[[#This Row],[CONTA]],BaseContasDRE[#All],4,FALSE)),"Fora do DRE",VLOOKUP(Base_Periodo1[[#This Row],[CONTA]],BaseContasDRE[#All],4,FALSE))</f>
        <v>Fora do DRE</v>
      </c>
      <c r="T3846" s="3" t="str">
        <f>IF(ISERROR(VLOOKUP(Base_Periodo1[[#This Row],[CONTA]],BaseContasDRE[#All],5,FALSE)),"Fora do DRE",VLOOKUP(Base_Periodo1[[#This Row],[CONTA]],BaseContasDRE[#All],6,FALSE))</f>
        <v>Fora do DRE</v>
      </c>
      <c r="U3846" s="3" t="str">
        <f>IF(ISERROR(VLOOKUP(Base_Periodo1[[#This Row],[CONTA]],BaseContasDRE[#All],7,FALSE)),"Fora do DRE",VLOOKUP(Base_Periodo1[[#This Row],[CONTA]],BaseContasDRE[#All],7,FALSE))</f>
        <v>Fora do DRE</v>
      </c>
      <c r="V3846" s="3" t="str">
        <f>IF(Base_Periodo1[[#This Row],[Tipo_Linha]]="Fora do DRE","Fora do DRE","( "&amp;Base_Periodo1[[#This Row],[Tipo_Linha]]&amp;" ) "&amp;Base_Periodo1[[#This Row],[Filtro]])</f>
        <v>Fora do DRE</v>
      </c>
      <c r="W3846" s="3" t="str">
        <f>LEFT(Base_Periodo1[[#This Row],[CLASS]],3)</f>
        <v>2.1</v>
      </c>
    </row>
    <row r="3847" spans="1:23" hidden="1">
      <c r="A3847" s="3" t="str">
        <f t="shared" si="60"/>
        <v>Período 1</v>
      </c>
      <c r="B3847">
        <v>19649</v>
      </c>
      <c r="C3847" t="s">
        <v>2010</v>
      </c>
      <c r="D3847" t="s">
        <v>2103</v>
      </c>
      <c r="E3847" s="3" t="str">
        <f>IF(LEN(Base_Periodo1[[#This Row],[CLASS]])&gt;=7,LEFT(Base_Periodo1[[#This Row],[CLASS]],7),"")</f>
        <v>2.1.2.2</v>
      </c>
      <c r="F3847" s="3" t="str">
        <f>VLOOKUP(Base_Periodo1[[#This Row],[Aux]],Base_Contas_Balanco[#All],2,FALSE)</f>
        <v>Fornecedores Não Cooperados</v>
      </c>
      <c r="G3847" s="1">
        <v>42884</v>
      </c>
      <c r="H3847" s="225">
        <v>2990.4599999999627</v>
      </c>
      <c r="I3847" s="225">
        <v>5024.8500000000004</v>
      </c>
      <c r="J3847" s="225">
        <v>2034.3899999999999</v>
      </c>
      <c r="K3847" s="225">
        <v>3.7744030123576522E-11</v>
      </c>
      <c r="L38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47" s="225">
        <f>ROUND(IF(AND(Base_Periodo1[[#This Row],[Tipo_Linha]]="-",Base_Periodo1[[#This Row],[TIPOSALDO]]="D"),Base_Periodo1[[#This Row],[SALDO_ATUAL]]*-1,Base_Periodo1[[#This Row],[SALDO_ATUAL]]),4)</f>
        <v>0</v>
      </c>
      <c r="N3847" t="s">
        <v>116</v>
      </c>
      <c r="O3847" t="s">
        <v>459</v>
      </c>
      <c r="P3847" t="s">
        <v>436</v>
      </c>
      <c r="Q3847">
        <v>7</v>
      </c>
      <c r="R3847" s="225">
        <f>Base_Periodo1[[#This Row],[CREDITOS]]-Base_Periodo1[[#This Row],[DEBITOS]]</f>
        <v>-2990.4600000000005</v>
      </c>
      <c r="S3847" s="3" t="str">
        <f>IF(ISERROR(VLOOKUP(Base_Periodo1[[#This Row],[CONTA]],BaseContasDRE[#All],4,FALSE)),"Fora do DRE",VLOOKUP(Base_Periodo1[[#This Row],[CONTA]],BaseContasDRE[#All],4,FALSE))</f>
        <v>Fora do DRE</v>
      </c>
      <c r="T3847" s="3" t="str">
        <f>IF(ISERROR(VLOOKUP(Base_Periodo1[[#This Row],[CONTA]],BaseContasDRE[#All],5,FALSE)),"Fora do DRE",VLOOKUP(Base_Periodo1[[#This Row],[CONTA]],BaseContasDRE[#All],6,FALSE))</f>
        <v>Fora do DRE</v>
      </c>
      <c r="U3847" s="3" t="str">
        <f>IF(ISERROR(VLOOKUP(Base_Periodo1[[#This Row],[CONTA]],BaseContasDRE[#All],7,FALSE)),"Fora do DRE",VLOOKUP(Base_Periodo1[[#This Row],[CONTA]],BaseContasDRE[#All],7,FALSE))</f>
        <v>Fora do DRE</v>
      </c>
      <c r="V3847" s="3" t="str">
        <f>IF(Base_Periodo1[[#This Row],[Tipo_Linha]]="Fora do DRE","Fora do DRE","( "&amp;Base_Periodo1[[#This Row],[Tipo_Linha]]&amp;" ) "&amp;Base_Periodo1[[#This Row],[Filtro]])</f>
        <v>Fora do DRE</v>
      </c>
      <c r="W3847" s="3" t="str">
        <f>LEFT(Base_Periodo1[[#This Row],[CLASS]],3)</f>
        <v>2.1</v>
      </c>
    </row>
    <row r="3848" spans="1:23" hidden="1">
      <c r="A3848" s="3" t="str">
        <f t="shared" si="60"/>
        <v>Período 1</v>
      </c>
      <c r="B3848">
        <v>25857</v>
      </c>
      <c r="C3848" t="s">
        <v>2010</v>
      </c>
      <c r="D3848" t="s">
        <v>5992</v>
      </c>
      <c r="E3848" s="3" t="str">
        <f>IF(LEN(Base_Periodo1[[#This Row],[CLASS]])&gt;=7,LEFT(Base_Periodo1[[#This Row],[CLASS]],7),"")</f>
        <v>2.1.2.2</v>
      </c>
      <c r="F3848" s="3" t="str">
        <f>VLOOKUP(Base_Periodo1[[#This Row],[Aux]],Base_Contas_Balanco[#All],2,FALSE)</f>
        <v>Fornecedores Não Cooperados</v>
      </c>
      <c r="G3848" s="1">
        <v>42881</v>
      </c>
      <c r="H3848" s="225">
        <v>6826.9900000001653</v>
      </c>
      <c r="I3848" s="225">
        <v>4019.3499999999995</v>
      </c>
      <c r="J3848" s="225">
        <v>5006.5</v>
      </c>
      <c r="K3848" s="225">
        <v>7814.1400000001659</v>
      </c>
      <c r="L38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7814.14</v>
      </c>
      <c r="M3848" s="225">
        <f>ROUND(IF(AND(Base_Periodo1[[#This Row],[Tipo_Linha]]="-",Base_Periodo1[[#This Row],[TIPOSALDO]]="D"),Base_Periodo1[[#This Row],[SALDO_ATUAL]]*-1,Base_Periodo1[[#This Row],[SALDO_ATUAL]]),4)</f>
        <v>7814.14</v>
      </c>
      <c r="N3848" t="s">
        <v>116</v>
      </c>
      <c r="O3848" t="s">
        <v>459</v>
      </c>
      <c r="P3848" t="s">
        <v>459</v>
      </c>
      <c r="Q3848">
        <v>7</v>
      </c>
      <c r="R3848" s="225">
        <f>Base_Periodo1[[#This Row],[CREDITOS]]-Base_Periodo1[[#This Row],[DEBITOS]]</f>
        <v>987.15000000000055</v>
      </c>
      <c r="S3848" s="3" t="str">
        <f>IF(ISERROR(VLOOKUP(Base_Periodo1[[#This Row],[CONTA]],BaseContasDRE[#All],4,FALSE)),"Fora do DRE",VLOOKUP(Base_Periodo1[[#This Row],[CONTA]],BaseContasDRE[#All],4,FALSE))</f>
        <v>Fora do DRE</v>
      </c>
      <c r="T3848" s="3" t="str">
        <f>IF(ISERROR(VLOOKUP(Base_Periodo1[[#This Row],[CONTA]],BaseContasDRE[#All],5,FALSE)),"Fora do DRE",VLOOKUP(Base_Periodo1[[#This Row],[CONTA]],BaseContasDRE[#All],6,FALSE))</f>
        <v>Fora do DRE</v>
      </c>
      <c r="U3848" s="3" t="str">
        <f>IF(ISERROR(VLOOKUP(Base_Periodo1[[#This Row],[CONTA]],BaseContasDRE[#All],7,FALSE)),"Fora do DRE",VLOOKUP(Base_Periodo1[[#This Row],[CONTA]],BaseContasDRE[#All],7,FALSE))</f>
        <v>Fora do DRE</v>
      </c>
      <c r="V3848" s="3" t="str">
        <f>IF(Base_Periodo1[[#This Row],[Tipo_Linha]]="Fora do DRE","Fora do DRE","( "&amp;Base_Periodo1[[#This Row],[Tipo_Linha]]&amp;" ) "&amp;Base_Periodo1[[#This Row],[Filtro]])</f>
        <v>Fora do DRE</v>
      </c>
      <c r="W3848" s="3" t="str">
        <f>LEFT(Base_Periodo1[[#This Row],[CLASS]],3)</f>
        <v>2.1</v>
      </c>
    </row>
    <row r="3849" spans="1:23" hidden="1">
      <c r="A3849" s="3" t="str">
        <f t="shared" si="60"/>
        <v>Período 1</v>
      </c>
      <c r="B3849">
        <v>8561</v>
      </c>
      <c r="C3849" t="s">
        <v>2010</v>
      </c>
      <c r="D3849" t="s">
        <v>2104</v>
      </c>
      <c r="E3849" s="3" t="str">
        <f>IF(LEN(Base_Periodo1[[#This Row],[CLASS]])&gt;=7,LEFT(Base_Periodo1[[#This Row],[CLASS]],7),"")</f>
        <v>2.1.2.2</v>
      </c>
      <c r="F3849" s="3" t="str">
        <f>VLOOKUP(Base_Periodo1[[#This Row],[Aux]],Base_Contas_Balanco[#All],2,FALSE)</f>
        <v>Fornecedores Não Cooperados</v>
      </c>
      <c r="G3849" s="1">
        <v>42886</v>
      </c>
      <c r="H3849" s="225">
        <v>34246.810000003316</v>
      </c>
      <c r="I3849" s="225">
        <v>40836.300000000003</v>
      </c>
      <c r="J3849" s="225">
        <v>13679.269999999999</v>
      </c>
      <c r="K3849" s="225">
        <v>7089.7800000033112</v>
      </c>
      <c r="L38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7089.78</v>
      </c>
      <c r="M3849" s="225">
        <f>ROUND(IF(AND(Base_Periodo1[[#This Row],[Tipo_Linha]]="-",Base_Periodo1[[#This Row],[TIPOSALDO]]="D"),Base_Periodo1[[#This Row],[SALDO_ATUAL]]*-1,Base_Periodo1[[#This Row],[SALDO_ATUAL]]),4)</f>
        <v>7089.78</v>
      </c>
      <c r="N3849" t="s">
        <v>116</v>
      </c>
      <c r="O3849" t="s">
        <v>459</v>
      </c>
      <c r="P3849" t="s">
        <v>459</v>
      </c>
      <c r="Q3849">
        <v>7</v>
      </c>
      <c r="R3849" s="225">
        <f>Base_Periodo1[[#This Row],[CREDITOS]]-Base_Periodo1[[#This Row],[DEBITOS]]</f>
        <v>-27157.030000000006</v>
      </c>
      <c r="S3849" s="3" t="str">
        <f>IF(ISERROR(VLOOKUP(Base_Periodo1[[#This Row],[CONTA]],BaseContasDRE[#All],4,FALSE)),"Fora do DRE",VLOOKUP(Base_Periodo1[[#This Row],[CONTA]],BaseContasDRE[#All],4,FALSE))</f>
        <v>Fora do DRE</v>
      </c>
      <c r="T3849" s="3" t="str">
        <f>IF(ISERROR(VLOOKUP(Base_Periodo1[[#This Row],[CONTA]],BaseContasDRE[#All],5,FALSE)),"Fora do DRE",VLOOKUP(Base_Periodo1[[#This Row],[CONTA]],BaseContasDRE[#All],6,FALSE))</f>
        <v>Fora do DRE</v>
      </c>
      <c r="U3849" s="3" t="str">
        <f>IF(ISERROR(VLOOKUP(Base_Periodo1[[#This Row],[CONTA]],BaseContasDRE[#All],7,FALSE)),"Fora do DRE",VLOOKUP(Base_Periodo1[[#This Row],[CONTA]],BaseContasDRE[#All],7,FALSE))</f>
        <v>Fora do DRE</v>
      </c>
      <c r="V3849" s="3" t="str">
        <f>IF(Base_Periodo1[[#This Row],[Tipo_Linha]]="Fora do DRE","Fora do DRE","( "&amp;Base_Periodo1[[#This Row],[Tipo_Linha]]&amp;" ) "&amp;Base_Periodo1[[#This Row],[Filtro]])</f>
        <v>Fora do DRE</v>
      </c>
      <c r="W3849" s="3" t="str">
        <f>LEFT(Base_Periodo1[[#This Row],[CLASS]],3)</f>
        <v>2.1</v>
      </c>
    </row>
    <row r="3850" spans="1:23" hidden="1">
      <c r="A3850" s="3" t="str">
        <f t="shared" si="60"/>
        <v>Período 1</v>
      </c>
      <c r="B3850">
        <v>57261</v>
      </c>
      <c r="C3850" t="s">
        <v>2010</v>
      </c>
      <c r="D3850" t="s">
        <v>6505</v>
      </c>
      <c r="E3850" s="3" t="str">
        <f>IF(LEN(Base_Periodo1[[#This Row],[CLASS]])&gt;=7,LEFT(Base_Periodo1[[#This Row],[CLASS]],7),"")</f>
        <v>2.1.2.2</v>
      </c>
      <c r="F3850" s="3" t="str">
        <f>VLOOKUP(Base_Periodo1[[#This Row],[Aux]],Base_Contas_Balanco[#All],2,FALSE)</f>
        <v>Fornecedores Não Cooperados</v>
      </c>
      <c r="G3850" s="1">
        <v>42885</v>
      </c>
      <c r="I3850" s="225">
        <v>112.83</v>
      </c>
      <c r="J3850" s="225">
        <v>4905.6000000000004</v>
      </c>
      <c r="K3850" s="225">
        <v>4792.7700000000004</v>
      </c>
      <c r="L38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4792.7700000000004</v>
      </c>
      <c r="M3850" s="225">
        <f>ROUND(IF(AND(Base_Periodo1[[#This Row],[Tipo_Linha]]="-",Base_Periodo1[[#This Row],[TIPOSALDO]]="D"),Base_Periodo1[[#This Row],[SALDO_ATUAL]]*-1,Base_Periodo1[[#This Row],[SALDO_ATUAL]]),4)</f>
        <v>4792.7700000000004</v>
      </c>
      <c r="N3850" t="s">
        <v>116</v>
      </c>
      <c r="O3850" t="s">
        <v>436</v>
      </c>
      <c r="P3850" t="s">
        <v>459</v>
      </c>
      <c r="Q3850">
        <v>7</v>
      </c>
      <c r="R3850" s="225">
        <f>Base_Periodo1[[#This Row],[CREDITOS]]-Base_Periodo1[[#This Row],[DEBITOS]]</f>
        <v>4792.7700000000004</v>
      </c>
      <c r="S3850" s="3" t="str">
        <f>IF(ISERROR(VLOOKUP(Base_Periodo1[[#This Row],[CONTA]],BaseContasDRE[#All],4,FALSE)),"Fora do DRE",VLOOKUP(Base_Periodo1[[#This Row],[CONTA]],BaseContasDRE[#All],4,FALSE))</f>
        <v>Fora do DRE</v>
      </c>
      <c r="T3850" s="3" t="str">
        <f>IF(ISERROR(VLOOKUP(Base_Periodo1[[#This Row],[CONTA]],BaseContasDRE[#All],5,FALSE)),"Fora do DRE",VLOOKUP(Base_Periodo1[[#This Row],[CONTA]],BaseContasDRE[#All],6,FALSE))</f>
        <v>Fora do DRE</v>
      </c>
      <c r="U3850" s="3" t="str">
        <f>IF(ISERROR(VLOOKUP(Base_Periodo1[[#This Row],[CONTA]],BaseContasDRE[#All],7,FALSE)),"Fora do DRE",VLOOKUP(Base_Periodo1[[#This Row],[CONTA]],BaseContasDRE[#All],7,FALSE))</f>
        <v>Fora do DRE</v>
      </c>
      <c r="V3850" s="3" t="str">
        <f>IF(Base_Periodo1[[#This Row],[Tipo_Linha]]="Fora do DRE","Fora do DRE","( "&amp;Base_Periodo1[[#This Row],[Tipo_Linha]]&amp;" ) "&amp;Base_Periodo1[[#This Row],[Filtro]])</f>
        <v>Fora do DRE</v>
      </c>
      <c r="W3850" s="3" t="str">
        <f>LEFT(Base_Periodo1[[#This Row],[CLASS]],3)</f>
        <v>2.1</v>
      </c>
    </row>
    <row r="3851" spans="1:23" hidden="1">
      <c r="A3851" s="3" t="str">
        <f t="shared" si="60"/>
        <v>Período 1</v>
      </c>
      <c r="B3851">
        <v>35153</v>
      </c>
      <c r="C3851" t="s">
        <v>2010</v>
      </c>
      <c r="D3851" t="s">
        <v>6506</v>
      </c>
      <c r="E3851" s="3" t="str">
        <f>IF(LEN(Base_Periodo1[[#This Row],[CLASS]])&gt;=7,LEFT(Base_Periodo1[[#This Row],[CLASS]],7),"")</f>
        <v>2.1.2.2</v>
      </c>
      <c r="F3851" s="3" t="str">
        <f>VLOOKUP(Base_Periodo1[[#This Row],[Aux]],Base_Contas_Balanco[#All],2,FALSE)</f>
        <v>Fornecedores Não Cooperados</v>
      </c>
      <c r="G3851" s="1">
        <v>42885</v>
      </c>
      <c r="H3851" s="225">
        <v>460</v>
      </c>
      <c r="I3851" s="225">
        <v>860</v>
      </c>
      <c r="J3851" s="225">
        <v>7105.8600000000006</v>
      </c>
      <c r="K3851" s="225">
        <v>6705.8600000000006</v>
      </c>
      <c r="L38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6705.86</v>
      </c>
      <c r="M3851" s="225">
        <f>ROUND(IF(AND(Base_Periodo1[[#This Row],[Tipo_Linha]]="-",Base_Periodo1[[#This Row],[TIPOSALDO]]="D"),Base_Periodo1[[#This Row],[SALDO_ATUAL]]*-1,Base_Periodo1[[#This Row],[SALDO_ATUAL]]),4)</f>
        <v>6705.86</v>
      </c>
      <c r="N3851" t="s">
        <v>116</v>
      </c>
      <c r="O3851" t="s">
        <v>459</v>
      </c>
      <c r="P3851" t="s">
        <v>459</v>
      </c>
      <c r="Q3851">
        <v>7</v>
      </c>
      <c r="R3851" s="225">
        <f>Base_Periodo1[[#This Row],[CREDITOS]]-Base_Periodo1[[#This Row],[DEBITOS]]</f>
        <v>6245.8600000000006</v>
      </c>
      <c r="S3851" s="3" t="str">
        <f>IF(ISERROR(VLOOKUP(Base_Periodo1[[#This Row],[CONTA]],BaseContasDRE[#All],4,FALSE)),"Fora do DRE",VLOOKUP(Base_Periodo1[[#This Row],[CONTA]],BaseContasDRE[#All],4,FALSE))</f>
        <v>Fora do DRE</v>
      </c>
      <c r="T3851" s="3" t="str">
        <f>IF(ISERROR(VLOOKUP(Base_Periodo1[[#This Row],[CONTA]],BaseContasDRE[#All],5,FALSE)),"Fora do DRE",VLOOKUP(Base_Periodo1[[#This Row],[CONTA]],BaseContasDRE[#All],6,FALSE))</f>
        <v>Fora do DRE</v>
      </c>
      <c r="U3851" s="3" t="str">
        <f>IF(ISERROR(VLOOKUP(Base_Periodo1[[#This Row],[CONTA]],BaseContasDRE[#All],7,FALSE)),"Fora do DRE",VLOOKUP(Base_Periodo1[[#This Row],[CONTA]],BaseContasDRE[#All],7,FALSE))</f>
        <v>Fora do DRE</v>
      </c>
      <c r="V3851" s="3" t="str">
        <f>IF(Base_Periodo1[[#This Row],[Tipo_Linha]]="Fora do DRE","Fora do DRE","( "&amp;Base_Periodo1[[#This Row],[Tipo_Linha]]&amp;" ) "&amp;Base_Periodo1[[#This Row],[Filtro]])</f>
        <v>Fora do DRE</v>
      </c>
      <c r="W3851" s="3" t="str">
        <f>LEFT(Base_Periodo1[[#This Row],[CLASS]],3)</f>
        <v>2.1</v>
      </c>
    </row>
    <row r="3852" spans="1:23" hidden="1">
      <c r="A3852" s="3" t="str">
        <f t="shared" si="60"/>
        <v>Período 1</v>
      </c>
      <c r="B3852">
        <v>3181</v>
      </c>
      <c r="C3852" t="s">
        <v>2010</v>
      </c>
      <c r="D3852" t="s">
        <v>2105</v>
      </c>
      <c r="E3852" s="3" t="str">
        <f>IF(LEN(Base_Periodo1[[#This Row],[CLASS]])&gt;=7,LEFT(Base_Periodo1[[#This Row],[CLASS]],7),"")</f>
        <v>2.1.2.2</v>
      </c>
      <c r="F3852" s="3" t="str">
        <f>VLOOKUP(Base_Periodo1[[#This Row],[Aux]],Base_Contas_Balanco[#All],2,FALSE)</f>
        <v>Fornecedores Não Cooperados</v>
      </c>
      <c r="G3852" s="1">
        <v>42060</v>
      </c>
      <c r="H3852" s="225">
        <v>2490.210000000021</v>
      </c>
      <c r="I3852" s="225">
        <v>0</v>
      </c>
      <c r="J3852" s="225">
        <v>0</v>
      </c>
      <c r="K3852" s="225">
        <v>2490.210000000021</v>
      </c>
      <c r="L38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2490.21</v>
      </c>
      <c r="M3852" s="225">
        <f>ROUND(IF(AND(Base_Periodo1[[#This Row],[Tipo_Linha]]="-",Base_Periodo1[[#This Row],[TIPOSALDO]]="D"),Base_Periodo1[[#This Row],[SALDO_ATUAL]]*-1,Base_Periodo1[[#This Row],[SALDO_ATUAL]]),4)</f>
        <v>2490.21</v>
      </c>
      <c r="N3852" t="s">
        <v>116</v>
      </c>
      <c r="O3852" t="s">
        <v>459</v>
      </c>
      <c r="P3852" t="s">
        <v>459</v>
      </c>
      <c r="Q3852">
        <v>7</v>
      </c>
      <c r="R3852" s="225">
        <f>Base_Periodo1[[#This Row],[CREDITOS]]-Base_Periodo1[[#This Row],[DEBITOS]]</f>
        <v>0</v>
      </c>
      <c r="S3852" s="3" t="str">
        <f>IF(ISERROR(VLOOKUP(Base_Periodo1[[#This Row],[CONTA]],BaseContasDRE[#All],4,FALSE)),"Fora do DRE",VLOOKUP(Base_Periodo1[[#This Row],[CONTA]],BaseContasDRE[#All],4,FALSE))</f>
        <v>Fora do DRE</v>
      </c>
      <c r="T3852" s="3" t="str">
        <f>IF(ISERROR(VLOOKUP(Base_Periodo1[[#This Row],[CONTA]],BaseContasDRE[#All],5,FALSE)),"Fora do DRE",VLOOKUP(Base_Periodo1[[#This Row],[CONTA]],BaseContasDRE[#All],6,FALSE))</f>
        <v>Fora do DRE</v>
      </c>
      <c r="U3852" s="3" t="str">
        <f>IF(ISERROR(VLOOKUP(Base_Periodo1[[#This Row],[CONTA]],BaseContasDRE[#All],7,FALSE)),"Fora do DRE",VLOOKUP(Base_Periodo1[[#This Row],[CONTA]],BaseContasDRE[#All],7,FALSE))</f>
        <v>Fora do DRE</v>
      </c>
      <c r="V3852" s="3" t="str">
        <f>IF(Base_Periodo1[[#This Row],[Tipo_Linha]]="Fora do DRE","Fora do DRE","( "&amp;Base_Periodo1[[#This Row],[Tipo_Linha]]&amp;" ) "&amp;Base_Periodo1[[#This Row],[Filtro]])</f>
        <v>Fora do DRE</v>
      </c>
      <c r="W3852" s="3" t="str">
        <f>LEFT(Base_Periodo1[[#This Row],[CLASS]],3)</f>
        <v>2.1</v>
      </c>
    </row>
    <row r="3853" spans="1:23" hidden="1">
      <c r="A3853" s="3" t="str">
        <f t="shared" si="60"/>
        <v>Período 1</v>
      </c>
      <c r="B3853">
        <v>11234</v>
      </c>
      <c r="C3853" t="s">
        <v>2010</v>
      </c>
      <c r="D3853" t="s">
        <v>975</v>
      </c>
      <c r="E3853" s="3" t="str">
        <f>IF(LEN(Base_Periodo1[[#This Row],[CLASS]])&gt;=7,LEFT(Base_Periodo1[[#This Row],[CLASS]],7),"")</f>
        <v>2.1.2.2</v>
      </c>
      <c r="F3853" s="3" t="str">
        <f>VLOOKUP(Base_Periodo1[[#This Row],[Aux]],Base_Contas_Balanco[#All],2,FALSE)</f>
        <v>Fornecedores Não Cooperados</v>
      </c>
      <c r="G3853" s="1">
        <v>42549</v>
      </c>
      <c r="H3853" s="225">
        <v>1184.4299999998766</v>
      </c>
      <c r="I3853" s="225">
        <v>0</v>
      </c>
      <c r="J3853" s="225">
        <v>0</v>
      </c>
      <c r="K3853" s="225">
        <v>1184.4299999998766</v>
      </c>
      <c r="L38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1184.43</v>
      </c>
      <c r="M3853" s="225">
        <f>ROUND(IF(AND(Base_Periodo1[[#This Row],[Tipo_Linha]]="-",Base_Periodo1[[#This Row],[TIPOSALDO]]="D"),Base_Periodo1[[#This Row],[SALDO_ATUAL]]*-1,Base_Periodo1[[#This Row],[SALDO_ATUAL]]),4)</f>
        <v>1184.43</v>
      </c>
      <c r="N3853" t="s">
        <v>116</v>
      </c>
      <c r="O3853" t="s">
        <v>459</v>
      </c>
      <c r="P3853" t="s">
        <v>459</v>
      </c>
      <c r="Q3853">
        <v>7</v>
      </c>
      <c r="R3853" s="225">
        <f>Base_Periodo1[[#This Row],[CREDITOS]]-Base_Periodo1[[#This Row],[DEBITOS]]</f>
        <v>0</v>
      </c>
      <c r="S3853" s="3" t="str">
        <f>IF(ISERROR(VLOOKUP(Base_Periodo1[[#This Row],[CONTA]],BaseContasDRE[#All],4,FALSE)),"Fora do DRE",VLOOKUP(Base_Periodo1[[#This Row],[CONTA]],BaseContasDRE[#All],4,FALSE))</f>
        <v>Fora do DRE</v>
      </c>
      <c r="T3853" s="3" t="str">
        <f>IF(ISERROR(VLOOKUP(Base_Periodo1[[#This Row],[CONTA]],BaseContasDRE[#All],5,FALSE)),"Fora do DRE",VLOOKUP(Base_Periodo1[[#This Row],[CONTA]],BaseContasDRE[#All],6,FALSE))</f>
        <v>Fora do DRE</v>
      </c>
      <c r="U3853" s="3" t="str">
        <f>IF(ISERROR(VLOOKUP(Base_Periodo1[[#This Row],[CONTA]],BaseContasDRE[#All],7,FALSE)),"Fora do DRE",VLOOKUP(Base_Periodo1[[#This Row],[CONTA]],BaseContasDRE[#All],7,FALSE))</f>
        <v>Fora do DRE</v>
      </c>
      <c r="V3853" s="3" t="str">
        <f>IF(Base_Periodo1[[#This Row],[Tipo_Linha]]="Fora do DRE","Fora do DRE","( "&amp;Base_Periodo1[[#This Row],[Tipo_Linha]]&amp;" ) "&amp;Base_Periodo1[[#This Row],[Filtro]])</f>
        <v>Fora do DRE</v>
      </c>
      <c r="W3853" s="3" t="str">
        <f>LEFT(Base_Periodo1[[#This Row],[CLASS]],3)</f>
        <v>2.1</v>
      </c>
    </row>
    <row r="3854" spans="1:23" hidden="1">
      <c r="A3854" s="3" t="str">
        <f t="shared" si="60"/>
        <v>Período 1</v>
      </c>
      <c r="B3854">
        <v>3745</v>
      </c>
      <c r="C3854" t="s">
        <v>2010</v>
      </c>
      <c r="D3854" t="s">
        <v>2106</v>
      </c>
      <c r="E3854" s="3" t="str">
        <f>IF(LEN(Base_Periodo1[[#This Row],[CLASS]])&gt;=7,LEFT(Base_Periodo1[[#This Row],[CLASS]],7),"")</f>
        <v>2.1.2.2</v>
      </c>
      <c r="F3854" s="3" t="str">
        <f>VLOOKUP(Base_Periodo1[[#This Row],[Aux]],Base_Contas_Balanco[#All],2,FALSE)</f>
        <v>Fornecedores Não Cooperados</v>
      </c>
      <c r="G3854" s="1">
        <v>42242</v>
      </c>
      <c r="H3854" s="225">
        <v>828.63000000001921</v>
      </c>
      <c r="I3854" s="225">
        <v>0</v>
      </c>
      <c r="J3854" s="225">
        <v>0</v>
      </c>
      <c r="K3854" s="225">
        <v>828.63000000001921</v>
      </c>
      <c r="L38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828.63</v>
      </c>
      <c r="M3854" s="225">
        <f>ROUND(IF(AND(Base_Periodo1[[#This Row],[Tipo_Linha]]="-",Base_Periodo1[[#This Row],[TIPOSALDO]]="D"),Base_Periodo1[[#This Row],[SALDO_ATUAL]]*-1,Base_Periodo1[[#This Row],[SALDO_ATUAL]]),4)</f>
        <v>828.63</v>
      </c>
      <c r="N3854" t="s">
        <v>116</v>
      </c>
      <c r="O3854" t="s">
        <v>459</v>
      </c>
      <c r="P3854" t="s">
        <v>459</v>
      </c>
      <c r="Q3854">
        <v>7</v>
      </c>
      <c r="R3854" s="225">
        <f>Base_Periodo1[[#This Row],[CREDITOS]]-Base_Periodo1[[#This Row],[DEBITOS]]</f>
        <v>0</v>
      </c>
      <c r="S3854" s="3" t="str">
        <f>IF(ISERROR(VLOOKUP(Base_Periodo1[[#This Row],[CONTA]],BaseContasDRE[#All],4,FALSE)),"Fora do DRE",VLOOKUP(Base_Periodo1[[#This Row],[CONTA]],BaseContasDRE[#All],4,FALSE))</f>
        <v>Fora do DRE</v>
      </c>
      <c r="T3854" s="3" t="str">
        <f>IF(ISERROR(VLOOKUP(Base_Periodo1[[#This Row],[CONTA]],BaseContasDRE[#All],5,FALSE)),"Fora do DRE",VLOOKUP(Base_Periodo1[[#This Row],[CONTA]],BaseContasDRE[#All],6,FALSE))</f>
        <v>Fora do DRE</v>
      </c>
      <c r="U3854" s="3" t="str">
        <f>IF(ISERROR(VLOOKUP(Base_Periodo1[[#This Row],[CONTA]],BaseContasDRE[#All],7,FALSE)),"Fora do DRE",VLOOKUP(Base_Periodo1[[#This Row],[CONTA]],BaseContasDRE[#All],7,FALSE))</f>
        <v>Fora do DRE</v>
      </c>
      <c r="V3854" s="3" t="str">
        <f>IF(Base_Periodo1[[#This Row],[Tipo_Linha]]="Fora do DRE","Fora do DRE","( "&amp;Base_Periodo1[[#This Row],[Tipo_Linha]]&amp;" ) "&amp;Base_Periodo1[[#This Row],[Filtro]])</f>
        <v>Fora do DRE</v>
      </c>
      <c r="W3854" s="3" t="str">
        <f>LEFT(Base_Periodo1[[#This Row],[CLASS]],3)</f>
        <v>2.1</v>
      </c>
    </row>
    <row r="3855" spans="1:23" hidden="1">
      <c r="A3855" s="3" t="str">
        <f t="shared" si="60"/>
        <v>Período 1</v>
      </c>
      <c r="B3855">
        <v>42916</v>
      </c>
      <c r="C3855" t="s">
        <v>2010</v>
      </c>
      <c r="D3855" t="s">
        <v>2107</v>
      </c>
      <c r="E3855" s="3" t="str">
        <f>IF(LEN(Base_Periodo1[[#This Row],[CLASS]])&gt;=7,LEFT(Base_Periodo1[[#This Row],[CLASS]],7),"")</f>
        <v>2.1.2.2</v>
      </c>
      <c r="F3855" s="3" t="str">
        <f>VLOOKUP(Base_Periodo1[[#This Row],[Aux]],Base_Contas_Balanco[#All],2,FALSE)</f>
        <v>Fornecedores Não Cooperados</v>
      </c>
      <c r="G3855" s="1">
        <v>42242</v>
      </c>
      <c r="H3855" s="225">
        <v>5193.63</v>
      </c>
      <c r="I3855" s="225">
        <v>0</v>
      </c>
      <c r="J3855" s="225">
        <v>0</v>
      </c>
      <c r="K3855" s="225">
        <v>5193.63</v>
      </c>
      <c r="L38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5193.63</v>
      </c>
      <c r="M3855" s="225">
        <f>ROUND(IF(AND(Base_Periodo1[[#This Row],[Tipo_Linha]]="-",Base_Periodo1[[#This Row],[TIPOSALDO]]="D"),Base_Periodo1[[#This Row],[SALDO_ATUAL]]*-1,Base_Periodo1[[#This Row],[SALDO_ATUAL]]),4)</f>
        <v>5193.63</v>
      </c>
      <c r="N3855" t="s">
        <v>116</v>
      </c>
      <c r="O3855" t="s">
        <v>459</v>
      </c>
      <c r="P3855" t="s">
        <v>459</v>
      </c>
      <c r="Q3855">
        <v>7</v>
      </c>
      <c r="R3855" s="225">
        <f>Base_Periodo1[[#This Row],[CREDITOS]]-Base_Periodo1[[#This Row],[DEBITOS]]</f>
        <v>0</v>
      </c>
      <c r="S3855" s="3" t="str">
        <f>IF(ISERROR(VLOOKUP(Base_Periodo1[[#This Row],[CONTA]],BaseContasDRE[#All],4,FALSE)),"Fora do DRE",VLOOKUP(Base_Periodo1[[#This Row],[CONTA]],BaseContasDRE[#All],4,FALSE))</f>
        <v>Fora do DRE</v>
      </c>
      <c r="T3855" s="3" t="str">
        <f>IF(ISERROR(VLOOKUP(Base_Periodo1[[#This Row],[CONTA]],BaseContasDRE[#All],5,FALSE)),"Fora do DRE",VLOOKUP(Base_Periodo1[[#This Row],[CONTA]],BaseContasDRE[#All],6,FALSE))</f>
        <v>Fora do DRE</v>
      </c>
      <c r="U3855" s="3" t="str">
        <f>IF(ISERROR(VLOOKUP(Base_Periodo1[[#This Row],[CONTA]],BaseContasDRE[#All],7,FALSE)),"Fora do DRE",VLOOKUP(Base_Periodo1[[#This Row],[CONTA]],BaseContasDRE[#All],7,FALSE))</f>
        <v>Fora do DRE</v>
      </c>
      <c r="V3855" s="3" t="str">
        <f>IF(Base_Periodo1[[#This Row],[Tipo_Linha]]="Fora do DRE","Fora do DRE","( "&amp;Base_Periodo1[[#This Row],[Tipo_Linha]]&amp;" ) "&amp;Base_Periodo1[[#This Row],[Filtro]])</f>
        <v>Fora do DRE</v>
      </c>
      <c r="W3855" s="3" t="str">
        <f>LEFT(Base_Periodo1[[#This Row],[CLASS]],3)</f>
        <v>2.1</v>
      </c>
    </row>
    <row r="3856" spans="1:23" hidden="1">
      <c r="A3856" s="3" t="str">
        <f t="shared" si="60"/>
        <v>Período 1</v>
      </c>
      <c r="B3856">
        <v>41312</v>
      </c>
      <c r="C3856" t="s">
        <v>2010</v>
      </c>
      <c r="D3856" t="s">
        <v>2108</v>
      </c>
      <c r="E3856" s="3" t="str">
        <f>IF(LEN(Base_Periodo1[[#This Row],[CLASS]])&gt;=7,LEFT(Base_Periodo1[[#This Row],[CLASS]],7),"")</f>
        <v>2.1.2.2</v>
      </c>
      <c r="F3856" s="3" t="str">
        <f>VLOOKUP(Base_Periodo1[[#This Row],[Aux]],Base_Contas_Balanco[#All],2,FALSE)</f>
        <v>Fornecedores Não Cooperados</v>
      </c>
      <c r="G3856" s="1"/>
      <c r="H3856" s="225">
        <v>1296.9000000000001</v>
      </c>
      <c r="I3856" s="225">
        <v>0</v>
      </c>
      <c r="J3856" s="225">
        <v>0</v>
      </c>
      <c r="K3856" s="225">
        <v>1296.9000000000001</v>
      </c>
      <c r="L38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1296.9000000000001</v>
      </c>
      <c r="M3856" s="225">
        <f>ROUND(IF(AND(Base_Periodo1[[#This Row],[Tipo_Linha]]="-",Base_Periodo1[[#This Row],[TIPOSALDO]]="D"),Base_Periodo1[[#This Row],[SALDO_ATUAL]]*-1,Base_Periodo1[[#This Row],[SALDO_ATUAL]]),4)</f>
        <v>1296.9000000000001</v>
      </c>
      <c r="N3856" t="s">
        <v>116</v>
      </c>
      <c r="O3856" t="s">
        <v>459</v>
      </c>
      <c r="P3856" t="s">
        <v>459</v>
      </c>
      <c r="Q3856">
        <v>7</v>
      </c>
      <c r="R3856" s="225">
        <f>Base_Periodo1[[#This Row],[CREDITOS]]-Base_Periodo1[[#This Row],[DEBITOS]]</f>
        <v>0</v>
      </c>
      <c r="S3856" s="3" t="str">
        <f>IF(ISERROR(VLOOKUP(Base_Periodo1[[#This Row],[CONTA]],BaseContasDRE[#All],4,FALSE)),"Fora do DRE",VLOOKUP(Base_Periodo1[[#This Row],[CONTA]],BaseContasDRE[#All],4,FALSE))</f>
        <v>Fora do DRE</v>
      </c>
      <c r="T3856" s="3" t="str">
        <f>IF(ISERROR(VLOOKUP(Base_Periodo1[[#This Row],[CONTA]],BaseContasDRE[#All],5,FALSE)),"Fora do DRE",VLOOKUP(Base_Periodo1[[#This Row],[CONTA]],BaseContasDRE[#All],6,FALSE))</f>
        <v>Fora do DRE</v>
      </c>
      <c r="U3856" s="3" t="str">
        <f>IF(ISERROR(VLOOKUP(Base_Periodo1[[#This Row],[CONTA]],BaseContasDRE[#All],7,FALSE)),"Fora do DRE",VLOOKUP(Base_Periodo1[[#This Row],[CONTA]],BaseContasDRE[#All],7,FALSE))</f>
        <v>Fora do DRE</v>
      </c>
      <c r="V3856" s="3" t="str">
        <f>IF(Base_Periodo1[[#This Row],[Tipo_Linha]]="Fora do DRE","Fora do DRE","( "&amp;Base_Periodo1[[#This Row],[Tipo_Linha]]&amp;" ) "&amp;Base_Periodo1[[#This Row],[Filtro]])</f>
        <v>Fora do DRE</v>
      </c>
      <c r="W3856" s="3" t="str">
        <f>LEFT(Base_Periodo1[[#This Row],[CLASS]],3)</f>
        <v>2.1</v>
      </c>
    </row>
    <row r="3857" spans="1:23" hidden="1">
      <c r="A3857" s="3" t="str">
        <f t="shared" si="60"/>
        <v>Período 1</v>
      </c>
      <c r="B3857">
        <v>41612</v>
      </c>
      <c r="C3857" t="s">
        <v>2010</v>
      </c>
      <c r="D3857" t="s">
        <v>822</v>
      </c>
      <c r="E3857" s="3" t="str">
        <f>IF(LEN(Base_Periodo1[[#This Row],[CLASS]])&gt;=7,LEFT(Base_Periodo1[[#This Row],[CLASS]],7),"")</f>
        <v>2.1.2.2</v>
      </c>
      <c r="F3857" s="3" t="str">
        <f>VLOOKUP(Base_Periodo1[[#This Row],[Aux]],Base_Contas_Balanco[#All],2,FALSE)</f>
        <v>Fornecedores Não Cooperados</v>
      </c>
      <c r="G3857" s="1"/>
      <c r="H3857" s="225">
        <v>29743.81</v>
      </c>
      <c r="I3857" s="225">
        <v>0</v>
      </c>
      <c r="J3857" s="225">
        <v>0</v>
      </c>
      <c r="K3857" s="225">
        <v>29743.81</v>
      </c>
      <c r="L38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29743.81</v>
      </c>
      <c r="M3857" s="225">
        <f>ROUND(IF(AND(Base_Periodo1[[#This Row],[Tipo_Linha]]="-",Base_Periodo1[[#This Row],[TIPOSALDO]]="D"),Base_Periodo1[[#This Row],[SALDO_ATUAL]]*-1,Base_Periodo1[[#This Row],[SALDO_ATUAL]]),4)</f>
        <v>29743.81</v>
      </c>
      <c r="N3857" t="s">
        <v>116</v>
      </c>
      <c r="O3857" t="s">
        <v>459</v>
      </c>
      <c r="P3857" t="s">
        <v>459</v>
      </c>
      <c r="Q3857">
        <v>7</v>
      </c>
      <c r="R3857" s="225">
        <f>Base_Periodo1[[#This Row],[CREDITOS]]-Base_Periodo1[[#This Row],[DEBITOS]]</f>
        <v>0</v>
      </c>
      <c r="S3857" s="3" t="str">
        <f>IF(ISERROR(VLOOKUP(Base_Periodo1[[#This Row],[CONTA]],BaseContasDRE[#All],4,FALSE)),"Fora do DRE",VLOOKUP(Base_Periodo1[[#This Row],[CONTA]],BaseContasDRE[#All],4,FALSE))</f>
        <v>Fora do DRE</v>
      </c>
      <c r="T3857" s="3" t="str">
        <f>IF(ISERROR(VLOOKUP(Base_Periodo1[[#This Row],[CONTA]],BaseContasDRE[#All],5,FALSE)),"Fora do DRE",VLOOKUP(Base_Periodo1[[#This Row],[CONTA]],BaseContasDRE[#All],6,FALSE))</f>
        <v>Fora do DRE</v>
      </c>
      <c r="U3857" s="3" t="str">
        <f>IF(ISERROR(VLOOKUP(Base_Periodo1[[#This Row],[CONTA]],BaseContasDRE[#All],7,FALSE)),"Fora do DRE",VLOOKUP(Base_Periodo1[[#This Row],[CONTA]],BaseContasDRE[#All],7,FALSE))</f>
        <v>Fora do DRE</v>
      </c>
      <c r="V3857" s="3" t="str">
        <f>IF(Base_Periodo1[[#This Row],[Tipo_Linha]]="Fora do DRE","Fora do DRE","( "&amp;Base_Periodo1[[#This Row],[Tipo_Linha]]&amp;" ) "&amp;Base_Periodo1[[#This Row],[Filtro]])</f>
        <v>Fora do DRE</v>
      </c>
      <c r="W3857" s="3" t="str">
        <f>LEFT(Base_Periodo1[[#This Row],[CLASS]],3)</f>
        <v>2.1</v>
      </c>
    </row>
    <row r="3858" spans="1:23" hidden="1">
      <c r="A3858" s="3" t="str">
        <f t="shared" si="60"/>
        <v>Período 1</v>
      </c>
      <c r="B3858">
        <v>15010</v>
      </c>
      <c r="C3858" t="s">
        <v>2010</v>
      </c>
      <c r="D3858" t="s">
        <v>6507</v>
      </c>
      <c r="E3858" s="3" t="str">
        <f>IF(LEN(Base_Periodo1[[#This Row],[CLASS]])&gt;=7,LEFT(Base_Periodo1[[#This Row],[CLASS]],7),"")</f>
        <v>2.1.2.2</v>
      </c>
      <c r="F3858" s="3" t="str">
        <f>VLOOKUP(Base_Periodo1[[#This Row],[Aux]],Base_Contas_Balanco[#All],2,FALSE)</f>
        <v>Fornecedores Não Cooperados</v>
      </c>
      <c r="G3858" s="1">
        <v>42864</v>
      </c>
      <c r="H3858" s="225">
        <v>540</v>
      </c>
      <c r="I3858" s="225">
        <v>540</v>
      </c>
      <c r="J3858" s="225">
        <v>0</v>
      </c>
      <c r="K3858" s="225">
        <v>0</v>
      </c>
      <c r="L38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58" s="225">
        <f>ROUND(IF(AND(Base_Periodo1[[#This Row],[Tipo_Linha]]="-",Base_Periodo1[[#This Row],[TIPOSALDO]]="D"),Base_Periodo1[[#This Row],[SALDO_ATUAL]]*-1,Base_Periodo1[[#This Row],[SALDO_ATUAL]]),4)</f>
        <v>0</v>
      </c>
      <c r="N3858" t="s">
        <v>116</v>
      </c>
      <c r="O3858" t="s">
        <v>459</v>
      </c>
      <c r="P3858" t="s">
        <v>436</v>
      </c>
      <c r="Q3858">
        <v>7</v>
      </c>
      <c r="R3858" s="225">
        <f>Base_Periodo1[[#This Row],[CREDITOS]]-Base_Periodo1[[#This Row],[DEBITOS]]</f>
        <v>-540</v>
      </c>
      <c r="S3858" s="3" t="str">
        <f>IF(ISERROR(VLOOKUP(Base_Periodo1[[#This Row],[CONTA]],BaseContasDRE[#All],4,FALSE)),"Fora do DRE",VLOOKUP(Base_Periodo1[[#This Row],[CONTA]],BaseContasDRE[#All],4,FALSE))</f>
        <v>Fora do DRE</v>
      </c>
      <c r="T3858" s="3" t="str">
        <f>IF(ISERROR(VLOOKUP(Base_Periodo1[[#This Row],[CONTA]],BaseContasDRE[#All],5,FALSE)),"Fora do DRE",VLOOKUP(Base_Periodo1[[#This Row],[CONTA]],BaseContasDRE[#All],6,FALSE))</f>
        <v>Fora do DRE</v>
      </c>
      <c r="U3858" s="3" t="str">
        <f>IF(ISERROR(VLOOKUP(Base_Periodo1[[#This Row],[CONTA]],BaseContasDRE[#All],7,FALSE)),"Fora do DRE",VLOOKUP(Base_Periodo1[[#This Row],[CONTA]],BaseContasDRE[#All],7,FALSE))</f>
        <v>Fora do DRE</v>
      </c>
      <c r="V3858" s="3" t="str">
        <f>IF(Base_Periodo1[[#This Row],[Tipo_Linha]]="Fora do DRE","Fora do DRE","( "&amp;Base_Periodo1[[#This Row],[Tipo_Linha]]&amp;" ) "&amp;Base_Periodo1[[#This Row],[Filtro]])</f>
        <v>Fora do DRE</v>
      </c>
      <c r="W3858" s="3" t="str">
        <f>LEFT(Base_Periodo1[[#This Row],[CLASS]],3)</f>
        <v>2.1</v>
      </c>
    </row>
    <row r="3859" spans="1:23" hidden="1">
      <c r="A3859" s="3" t="str">
        <f t="shared" si="60"/>
        <v>Período 1</v>
      </c>
      <c r="B3859">
        <v>35947</v>
      </c>
      <c r="C3859" t="s">
        <v>2010</v>
      </c>
      <c r="D3859" t="s">
        <v>7102</v>
      </c>
      <c r="E3859" s="3" t="str">
        <f>IF(LEN(Base_Periodo1[[#This Row],[CLASS]])&gt;=7,LEFT(Base_Periodo1[[#This Row],[CLASS]],7),"")</f>
        <v>2.1.2.2</v>
      </c>
      <c r="F3859" s="3" t="str">
        <f>VLOOKUP(Base_Periodo1[[#This Row],[Aux]],Base_Contas_Balanco[#All],2,FALSE)</f>
        <v>Fornecedores Não Cooperados</v>
      </c>
      <c r="G3859" s="1">
        <v>42885</v>
      </c>
      <c r="I3859" s="225">
        <v>1535.25</v>
      </c>
      <c r="J3859" s="225">
        <v>1535.25</v>
      </c>
      <c r="K3859" s="225">
        <v>0</v>
      </c>
      <c r="L38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59" s="225">
        <f>ROUND(IF(AND(Base_Periodo1[[#This Row],[Tipo_Linha]]="-",Base_Periodo1[[#This Row],[TIPOSALDO]]="D"),Base_Periodo1[[#This Row],[SALDO_ATUAL]]*-1,Base_Periodo1[[#This Row],[SALDO_ATUAL]]),4)</f>
        <v>0</v>
      </c>
      <c r="N3859" t="s">
        <v>116</v>
      </c>
      <c r="O3859" t="s">
        <v>436</v>
      </c>
      <c r="P3859" t="s">
        <v>436</v>
      </c>
      <c r="Q3859">
        <v>7</v>
      </c>
      <c r="R3859" s="225">
        <f>Base_Periodo1[[#This Row],[CREDITOS]]-Base_Periodo1[[#This Row],[DEBITOS]]</f>
        <v>0</v>
      </c>
      <c r="S3859" s="3" t="str">
        <f>IF(ISERROR(VLOOKUP(Base_Periodo1[[#This Row],[CONTA]],BaseContasDRE[#All],4,FALSE)),"Fora do DRE",VLOOKUP(Base_Periodo1[[#This Row],[CONTA]],BaseContasDRE[#All],4,FALSE))</f>
        <v>Fora do DRE</v>
      </c>
      <c r="T3859" s="3" t="str">
        <f>IF(ISERROR(VLOOKUP(Base_Periodo1[[#This Row],[CONTA]],BaseContasDRE[#All],5,FALSE)),"Fora do DRE",VLOOKUP(Base_Periodo1[[#This Row],[CONTA]],BaseContasDRE[#All],6,FALSE))</f>
        <v>Fora do DRE</v>
      </c>
      <c r="U3859" s="3" t="str">
        <f>IF(ISERROR(VLOOKUP(Base_Periodo1[[#This Row],[CONTA]],BaseContasDRE[#All],7,FALSE)),"Fora do DRE",VLOOKUP(Base_Periodo1[[#This Row],[CONTA]],BaseContasDRE[#All],7,FALSE))</f>
        <v>Fora do DRE</v>
      </c>
      <c r="V3859" s="3" t="str">
        <f>IF(Base_Periodo1[[#This Row],[Tipo_Linha]]="Fora do DRE","Fora do DRE","( "&amp;Base_Periodo1[[#This Row],[Tipo_Linha]]&amp;" ) "&amp;Base_Periodo1[[#This Row],[Filtro]])</f>
        <v>Fora do DRE</v>
      </c>
      <c r="W3859" s="3" t="str">
        <f>LEFT(Base_Periodo1[[#This Row],[CLASS]],3)</f>
        <v>2.1</v>
      </c>
    </row>
    <row r="3860" spans="1:23" hidden="1">
      <c r="A3860" s="3" t="str">
        <f t="shared" si="60"/>
        <v>Período 1</v>
      </c>
      <c r="B3860">
        <v>53293</v>
      </c>
      <c r="C3860" t="s">
        <v>2010</v>
      </c>
      <c r="D3860" t="s">
        <v>7103</v>
      </c>
      <c r="E3860" s="3" t="str">
        <f>IF(LEN(Base_Periodo1[[#This Row],[CLASS]])&gt;=7,LEFT(Base_Periodo1[[#This Row],[CLASS]],7),"")</f>
        <v>2.1.2.2</v>
      </c>
      <c r="F3860" s="3" t="str">
        <f>VLOOKUP(Base_Periodo1[[#This Row],[Aux]],Base_Contas_Balanco[#All],2,FALSE)</f>
        <v>Fornecedores Não Cooperados</v>
      </c>
      <c r="G3860" s="1">
        <v>42865</v>
      </c>
      <c r="I3860" s="225">
        <v>37740</v>
      </c>
      <c r="J3860" s="225">
        <v>37740</v>
      </c>
      <c r="K3860" s="225">
        <v>0</v>
      </c>
      <c r="L38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60" s="225">
        <f>ROUND(IF(AND(Base_Periodo1[[#This Row],[Tipo_Linha]]="-",Base_Periodo1[[#This Row],[TIPOSALDO]]="D"),Base_Periodo1[[#This Row],[SALDO_ATUAL]]*-1,Base_Periodo1[[#This Row],[SALDO_ATUAL]]),4)</f>
        <v>0</v>
      </c>
      <c r="N3860" t="s">
        <v>116</v>
      </c>
      <c r="O3860" t="s">
        <v>436</v>
      </c>
      <c r="P3860" t="s">
        <v>436</v>
      </c>
      <c r="Q3860">
        <v>7</v>
      </c>
      <c r="R3860" s="225">
        <f>Base_Periodo1[[#This Row],[CREDITOS]]-Base_Periodo1[[#This Row],[DEBITOS]]</f>
        <v>0</v>
      </c>
      <c r="S3860" s="3" t="str">
        <f>IF(ISERROR(VLOOKUP(Base_Periodo1[[#This Row],[CONTA]],BaseContasDRE[#All],4,FALSE)),"Fora do DRE",VLOOKUP(Base_Periodo1[[#This Row],[CONTA]],BaseContasDRE[#All],4,FALSE))</f>
        <v>Fora do DRE</v>
      </c>
      <c r="T3860" s="3" t="str">
        <f>IF(ISERROR(VLOOKUP(Base_Periodo1[[#This Row],[CONTA]],BaseContasDRE[#All],5,FALSE)),"Fora do DRE",VLOOKUP(Base_Periodo1[[#This Row],[CONTA]],BaseContasDRE[#All],6,FALSE))</f>
        <v>Fora do DRE</v>
      </c>
      <c r="U3860" s="3" t="str">
        <f>IF(ISERROR(VLOOKUP(Base_Periodo1[[#This Row],[CONTA]],BaseContasDRE[#All],7,FALSE)),"Fora do DRE",VLOOKUP(Base_Periodo1[[#This Row],[CONTA]],BaseContasDRE[#All],7,FALSE))</f>
        <v>Fora do DRE</v>
      </c>
      <c r="V3860" s="3" t="str">
        <f>IF(Base_Periodo1[[#This Row],[Tipo_Linha]]="Fora do DRE","Fora do DRE","( "&amp;Base_Periodo1[[#This Row],[Tipo_Linha]]&amp;" ) "&amp;Base_Periodo1[[#This Row],[Filtro]])</f>
        <v>Fora do DRE</v>
      </c>
      <c r="W3860" s="3" t="str">
        <f>LEFT(Base_Periodo1[[#This Row],[CLASS]],3)</f>
        <v>2.1</v>
      </c>
    </row>
    <row r="3861" spans="1:23" hidden="1">
      <c r="A3861" s="3" t="str">
        <f t="shared" si="60"/>
        <v>Período 1</v>
      </c>
      <c r="B3861">
        <v>26060</v>
      </c>
      <c r="C3861" t="s">
        <v>2010</v>
      </c>
      <c r="D3861" t="s">
        <v>7104</v>
      </c>
      <c r="E3861" s="3" t="str">
        <f>IF(LEN(Base_Periodo1[[#This Row],[CLASS]])&gt;=7,LEFT(Base_Periodo1[[#This Row],[CLASS]],7),"")</f>
        <v>2.1.2.2</v>
      </c>
      <c r="F3861" s="3" t="str">
        <f>VLOOKUP(Base_Periodo1[[#This Row],[Aux]],Base_Contas_Balanco[#All],2,FALSE)</f>
        <v>Fornecedores Não Cooperados</v>
      </c>
      <c r="G3861" s="1">
        <v>42884</v>
      </c>
      <c r="I3861" s="225">
        <v>20</v>
      </c>
      <c r="J3861" s="225">
        <v>20</v>
      </c>
      <c r="K3861" s="225">
        <v>0</v>
      </c>
      <c r="L38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61" s="225">
        <f>ROUND(IF(AND(Base_Periodo1[[#This Row],[Tipo_Linha]]="-",Base_Periodo1[[#This Row],[TIPOSALDO]]="D"),Base_Periodo1[[#This Row],[SALDO_ATUAL]]*-1,Base_Periodo1[[#This Row],[SALDO_ATUAL]]),4)</f>
        <v>0</v>
      </c>
      <c r="N3861" t="s">
        <v>116</v>
      </c>
      <c r="O3861" t="s">
        <v>436</v>
      </c>
      <c r="P3861" t="s">
        <v>436</v>
      </c>
      <c r="Q3861">
        <v>7</v>
      </c>
      <c r="R3861" s="225">
        <f>Base_Periodo1[[#This Row],[CREDITOS]]-Base_Periodo1[[#This Row],[DEBITOS]]</f>
        <v>0</v>
      </c>
      <c r="S3861" s="3" t="str">
        <f>IF(ISERROR(VLOOKUP(Base_Periodo1[[#This Row],[CONTA]],BaseContasDRE[#All],4,FALSE)),"Fora do DRE",VLOOKUP(Base_Periodo1[[#This Row],[CONTA]],BaseContasDRE[#All],4,FALSE))</f>
        <v>Fora do DRE</v>
      </c>
      <c r="T3861" s="3" t="str">
        <f>IF(ISERROR(VLOOKUP(Base_Periodo1[[#This Row],[CONTA]],BaseContasDRE[#All],5,FALSE)),"Fora do DRE",VLOOKUP(Base_Periodo1[[#This Row],[CONTA]],BaseContasDRE[#All],6,FALSE))</f>
        <v>Fora do DRE</v>
      </c>
      <c r="U3861" s="3" t="str">
        <f>IF(ISERROR(VLOOKUP(Base_Periodo1[[#This Row],[CONTA]],BaseContasDRE[#All],7,FALSE)),"Fora do DRE",VLOOKUP(Base_Periodo1[[#This Row],[CONTA]],BaseContasDRE[#All],7,FALSE))</f>
        <v>Fora do DRE</v>
      </c>
      <c r="V3861" s="3" t="str">
        <f>IF(Base_Periodo1[[#This Row],[Tipo_Linha]]="Fora do DRE","Fora do DRE","( "&amp;Base_Periodo1[[#This Row],[Tipo_Linha]]&amp;" ) "&amp;Base_Periodo1[[#This Row],[Filtro]])</f>
        <v>Fora do DRE</v>
      </c>
      <c r="W3861" s="3" t="str">
        <f>LEFT(Base_Periodo1[[#This Row],[CLASS]],3)</f>
        <v>2.1</v>
      </c>
    </row>
    <row r="3862" spans="1:23" hidden="1">
      <c r="A3862" s="3" t="str">
        <f t="shared" si="60"/>
        <v>Período 1</v>
      </c>
      <c r="B3862">
        <v>47232</v>
      </c>
      <c r="C3862" t="s">
        <v>2010</v>
      </c>
      <c r="D3862" t="s">
        <v>7105</v>
      </c>
      <c r="E3862" s="3" t="str">
        <f>IF(LEN(Base_Periodo1[[#This Row],[CLASS]])&gt;=7,LEFT(Base_Periodo1[[#This Row],[CLASS]],7),"")</f>
        <v>2.1.2.2</v>
      </c>
      <c r="F3862" s="3" t="str">
        <f>VLOOKUP(Base_Periodo1[[#This Row],[Aux]],Base_Contas_Balanco[#All],2,FALSE)</f>
        <v>Fornecedores Não Cooperados</v>
      </c>
      <c r="G3862" s="1">
        <v>42858</v>
      </c>
      <c r="I3862" s="225">
        <v>580</v>
      </c>
      <c r="J3862" s="225">
        <v>580</v>
      </c>
      <c r="K3862" s="225">
        <v>0</v>
      </c>
      <c r="L38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62" s="225">
        <f>ROUND(IF(AND(Base_Periodo1[[#This Row],[Tipo_Linha]]="-",Base_Periodo1[[#This Row],[TIPOSALDO]]="D"),Base_Periodo1[[#This Row],[SALDO_ATUAL]]*-1,Base_Periodo1[[#This Row],[SALDO_ATUAL]]),4)</f>
        <v>0</v>
      </c>
      <c r="N3862" t="s">
        <v>116</v>
      </c>
      <c r="O3862" t="s">
        <v>436</v>
      </c>
      <c r="P3862" t="s">
        <v>436</v>
      </c>
      <c r="Q3862">
        <v>7</v>
      </c>
      <c r="R3862" s="225">
        <f>Base_Periodo1[[#This Row],[CREDITOS]]-Base_Periodo1[[#This Row],[DEBITOS]]</f>
        <v>0</v>
      </c>
      <c r="S3862" s="3" t="str">
        <f>IF(ISERROR(VLOOKUP(Base_Periodo1[[#This Row],[CONTA]],BaseContasDRE[#All],4,FALSE)),"Fora do DRE",VLOOKUP(Base_Periodo1[[#This Row],[CONTA]],BaseContasDRE[#All],4,FALSE))</f>
        <v>Fora do DRE</v>
      </c>
      <c r="T3862" s="3" t="str">
        <f>IF(ISERROR(VLOOKUP(Base_Periodo1[[#This Row],[CONTA]],BaseContasDRE[#All],5,FALSE)),"Fora do DRE",VLOOKUP(Base_Periodo1[[#This Row],[CONTA]],BaseContasDRE[#All],6,FALSE))</f>
        <v>Fora do DRE</v>
      </c>
      <c r="U3862" s="3" t="str">
        <f>IF(ISERROR(VLOOKUP(Base_Periodo1[[#This Row],[CONTA]],BaseContasDRE[#All],7,FALSE)),"Fora do DRE",VLOOKUP(Base_Periodo1[[#This Row],[CONTA]],BaseContasDRE[#All],7,FALSE))</f>
        <v>Fora do DRE</v>
      </c>
      <c r="V3862" s="3" t="str">
        <f>IF(Base_Periodo1[[#This Row],[Tipo_Linha]]="Fora do DRE","Fora do DRE","( "&amp;Base_Periodo1[[#This Row],[Tipo_Linha]]&amp;" ) "&amp;Base_Periodo1[[#This Row],[Filtro]])</f>
        <v>Fora do DRE</v>
      </c>
      <c r="W3862" s="3" t="str">
        <f>LEFT(Base_Periodo1[[#This Row],[CLASS]],3)</f>
        <v>2.1</v>
      </c>
    </row>
    <row r="3863" spans="1:23" hidden="1">
      <c r="A3863" s="3" t="str">
        <f t="shared" si="60"/>
        <v>Período 1</v>
      </c>
      <c r="B3863">
        <v>50253</v>
      </c>
      <c r="C3863" t="s">
        <v>2010</v>
      </c>
      <c r="D3863" t="s">
        <v>6508</v>
      </c>
      <c r="E3863" s="3" t="str">
        <f>IF(LEN(Base_Periodo1[[#This Row],[CLASS]])&gt;=7,LEFT(Base_Periodo1[[#This Row],[CLASS]],7),"")</f>
        <v>2.1.2.2</v>
      </c>
      <c r="F3863" s="3" t="str">
        <f>VLOOKUP(Base_Periodo1[[#This Row],[Aux]],Base_Contas_Balanco[#All],2,FALSE)</f>
        <v>Fornecedores Não Cooperados</v>
      </c>
      <c r="G3863" s="1">
        <v>42858</v>
      </c>
      <c r="I3863" s="225">
        <v>185</v>
      </c>
      <c r="J3863" s="225">
        <v>185</v>
      </c>
      <c r="K3863" s="225">
        <v>0</v>
      </c>
      <c r="L38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63" s="225">
        <f>ROUND(IF(AND(Base_Periodo1[[#This Row],[Tipo_Linha]]="-",Base_Periodo1[[#This Row],[TIPOSALDO]]="D"),Base_Periodo1[[#This Row],[SALDO_ATUAL]]*-1,Base_Periodo1[[#This Row],[SALDO_ATUAL]]),4)</f>
        <v>0</v>
      </c>
      <c r="N3863" t="s">
        <v>116</v>
      </c>
      <c r="O3863" t="s">
        <v>436</v>
      </c>
      <c r="P3863" t="s">
        <v>436</v>
      </c>
      <c r="Q3863">
        <v>7</v>
      </c>
      <c r="R3863" s="225">
        <f>Base_Periodo1[[#This Row],[CREDITOS]]-Base_Periodo1[[#This Row],[DEBITOS]]</f>
        <v>0</v>
      </c>
      <c r="S3863" s="3" t="str">
        <f>IF(ISERROR(VLOOKUP(Base_Periodo1[[#This Row],[CONTA]],BaseContasDRE[#All],4,FALSE)),"Fora do DRE",VLOOKUP(Base_Periodo1[[#This Row],[CONTA]],BaseContasDRE[#All],4,FALSE))</f>
        <v>Fora do DRE</v>
      </c>
      <c r="T3863" s="3" t="str">
        <f>IF(ISERROR(VLOOKUP(Base_Periodo1[[#This Row],[CONTA]],BaseContasDRE[#All],5,FALSE)),"Fora do DRE",VLOOKUP(Base_Periodo1[[#This Row],[CONTA]],BaseContasDRE[#All],6,FALSE))</f>
        <v>Fora do DRE</v>
      </c>
      <c r="U3863" s="3" t="str">
        <f>IF(ISERROR(VLOOKUP(Base_Periodo1[[#This Row],[CONTA]],BaseContasDRE[#All],7,FALSE)),"Fora do DRE",VLOOKUP(Base_Periodo1[[#This Row],[CONTA]],BaseContasDRE[#All],7,FALSE))</f>
        <v>Fora do DRE</v>
      </c>
      <c r="V3863" s="3" t="str">
        <f>IF(Base_Periodo1[[#This Row],[Tipo_Linha]]="Fora do DRE","Fora do DRE","( "&amp;Base_Periodo1[[#This Row],[Tipo_Linha]]&amp;" ) "&amp;Base_Periodo1[[#This Row],[Filtro]])</f>
        <v>Fora do DRE</v>
      </c>
      <c r="W3863" s="3" t="str">
        <f>LEFT(Base_Periodo1[[#This Row],[CLASS]],3)</f>
        <v>2.1</v>
      </c>
    </row>
    <row r="3864" spans="1:23" hidden="1">
      <c r="A3864" s="3" t="str">
        <f t="shared" si="60"/>
        <v>Período 1</v>
      </c>
      <c r="B3864">
        <v>59041</v>
      </c>
      <c r="C3864" t="s">
        <v>2010</v>
      </c>
      <c r="D3864" t="s">
        <v>7106</v>
      </c>
      <c r="E3864" s="3" t="str">
        <f>IF(LEN(Base_Periodo1[[#This Row],[CLASS]])&gt;=7,LEFT(Base_Periodo1[[#This Row],[CLASS]],7),"")</f>
        <v>2.1.2.2</v>
      </c>
      <c r="F3864" s="3" t="str">
        <f>VLOOKUP(Base_Periodo1[[#This Row],[Aux]],Base_Contas_Balanco[#All],2,FALSE)</f>
        <v>Fornecedores Não Cooperados</v>
      </c>
      <c r="G3864" s="1">
        <v>42873</v>
      </c>
      <c r="I3864" s="225">
        <v>15200</v>
      </c>
      <c r="J3864" s="225">
        <v>15200</v>
      </c>
      <c r="K3864" s="225">
        <v>0</v>
      </c>
      <c r="L38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64" s="225">
        <f>ROUND(IF(AND(Base_Periodo1[[#This Row],[Tipo_Linha]]="-",Base_Periodo1[[#This Row],[TIPOSALDO]]="D"),Base_Periodo1[[#This Row],[SALDO_ATUAL]]*-1,Base_Periodo1[[#This Row],[SALDO_ATUAL]]),4)</f>
        <v>0</v>
      </c>
      <c r="N3864" t="s">
        <v>116</v>
      </c>
      <c r="O3864" t="s">
        <v>436</v>
      </c>
      <c r="P3864" t="s">
        <v>436</v>
      </c>
      <c r="Q3864">
        <v>7</v>
      </c>
      <c r="R3864" s="225">
        <f>Base_Periodo1[[#This Row],[CREDITOS]]-Base_Periodo1[[#This Row],[DEBITOS]]</f>
        <v>0</v>
      </c>
      <c r="S3864" s="3" t="str">
        <f>IF(ISERROR(VLOOKUP(Base_Periodo1[[#This Row],[CONTA]],BaseContasDRE[#All],4,FALSE)),"Fora do DRE",VLOOKUP(Base_Periodo1[[#This Row],[CONTA]],BaseContasDRE[#All],4,FALSE))</f>
        <v>Fora do DRE</v>
      </c>
      <c r="T3864" s="3" t="str">
        <f>IF(ISERROR(VLOOKUP(Base_Periodo1[[#This Row],[CONTA]],BaseContasDRE[#All],5,FALSE)),"Fora do DRE",VLOOKUP(Base_Periodo1[[#This Row],[CONTA]],BaseContasDRE[#All],6,FALSE))</f>
        <v>Fora do DRE</v>
      </c>
      <c r="U3864" s="3" t="str">
        <f>IF(ISERROR(VLOOKUP(Base_Periodo1[[#This Row],[CONTA]],BaseContasDRE[#All],7,FALSE)),"Fora do DRE",VLOOKUP(Base_Periodo1[[#This Row],[CONTA]],BaseContasDRE[#All],7,FALSE))</f>
        <v>Fora do DRE</v>
      </c>
      <c r="V3864" s="3" t="str">
        <f>IF(Base_Periodo1[[#This Row],[Tipo_Linha]]="Fora do DRE","Fora do DRE","( "&amp;Base_Periodo1[[#This Row],[Tipo_Linha]]&amp;" ) "&amp;Base_Periodo1[[#This Row],[Filtro]])</f>
        <v>Fora do DRE</v>
      </c>
      <c r="W3864" s="3" t="str">
        <f>LEFT(Base_Periodo1[[#This Row],[CLASS]],3)</f>
        <v>2.1</v>
      </c>
    </row>
    <row r="3865" spans="1:23" hidden="1">
      <c r="A3865" s="3" t="str">
        <f t="shared" si="60"/>
        <v>Período 1</v>
      </c>
      <c r="B3865">
        <v>27010</v>
      </c>
      <c r="C3865" t="s">
        <v>2010</v>
      </c>
      <c r="D3865" t="s">
        <v>7107</v>
      </c>
      <c r="E3865" s="3" t="str">
        <f>IF(LEN(Base_Periodo1[[#This Row],[CLASS]])&gt;=7,LEFT(Base_Periodo1[[#This Row],[CLASS]],7),"")</f>
        <v>2.1.2.2</v>
      </c>
      <c r="F3865" s="3" t="str">
        <f>VLOOKUP(Base_Periodo1[[#This Row],[Aux]],Base_Contas_Balanco[#All],2,FALSE)</f>
        <v>Fornecedores Não Cooperados</v>
      </c>
      <c r="G3865" s="1">
        <v>42860</v>
      </c>
      <c r="I3865" s="225">
        <v>910</v>
      </c>
      <c r="J3865" s="225">
        <v>910</v>
      </c>
      <c r="K3865" s="225">
        <v>0</v>
      </c>
      <c r="L38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65" s="225">
        <f>ROUND(IF(AND(Base_Periodo1[[#This Row],[Tipo_Linha]]="-",Base_Periodo1[[#This Row],[TIPOSALDO]]="D"),Base_Periodo1[[#This Row],[SALDO_ATUAL]]*-1,Base_Periodo1[[#This Row],[SALDO_ATUAL]]),4)</f>
        <v>0</v>
      </c>
      <c r="N3865" t="s">
        <v>116</v>
      </c>
      <c r="O3865" t="s">
        <v>436</v>
      </c>
      <c r="P3865" t="s">
        <v>436</v>
      </c>
      <c r="Q3865">
        <v>7</v>
      </c>
      <c r="R3865" s="225">
        <f>Base_Periodo1[[#This Row],[CREDITOS]]-Base_Periodo1[[#This Row],[DEBITOS]]</f>
        <v>0</v>
      </c>
      <c r="S3865" s="3" t="str">
        <f>IF(ISERROR(VLOOKUP(Base_Periodo1[[#This Row],[CONTA]],BaseContasDRE[#All],4,FALSE)),"Fora do DRE",VLOOKUP(Base_Periodo1[[#This Row],[CONTA]],BaseContasDRE[#All],4,FALSE))</f>
        <v>Fora do DRE</v>
      </c>
      <c r="T3865" s="3" t="str">
        <f>IF(ISERROR(VLOOKUP(Base_Periodo1[[#This Row],[CONTA]],BaseContasDRE[#All],5,FALSE)),"Fora do DRE",VLOOKUP(Base_Periodo1[[#This Row],[CONTA]],BaseContasDRE[#All],6,FALSE))</f>
        <v>Fora do DRE</v>
      </c>
      <c r="U3865" s="3" t="str">
        <f>IF(ISERROR(VLOOKUP(Base_Periodo1[[#This Row],[CONTA]],BaseContasDRE[#All],7,FALSE)),"Fora do DRE",VLOOKUP(Base_Periodo1[[#This Row],[CONTA]],BaseContasDRE[#All],7,FALSE))</f>
        <v>Fora do DRE</v>
      </c>
      <c r="V3865" s="3" t="str">
        <f>IF(Base_Periodo1[[#This Row],[Tipo_Linha]]="Fora do DRE","Fora do DRE","( "&amp;Base_Periodo1[[#This Row],[Tipo_Linha]]&amp;" ) "&amp;Base_Periodo1[[#This Row],[Filtro]])</f>
        <v>Fora do DRE</v>
      </c>
      <c r="W3865" s="3" t="str">
        <f>LEFT(Base_Periodo1[[#This Row],[CLASS]],3)</f>
        <v>2.1</v>
      </c>
    </row>
    <row r="3866" spans="1:23" hidden="1">
      <c r="A3866" s="3" t="str">
        <f t="shared" si="60"/>
        <v>Período 1</v>
      </c>
      <c r="B3866">
        <v>49770</v>
      </c>
      <c r="C3866" t="s">
        <v>2010</v>
      </c>
      <c r="D3866" t="s">
        <v>4296</v>
      </c>
      <c r="E3866" s="3" t="str">
        <f>IF(LEN(Base_Periodo1[[#This Row],[CLASS]])&gt;=7,LEFT(Base_Periodo1[[#This Row],[CLASS]],7),"")</f>
        <v>2.1.2.2</v>
      </c>
      <c r="F3866" s="3" t="str">
        <f>VLOOKUP(Base_Periodo1[[#This Row],[Aux]],Base_Contas_Balanco[#All],2,FALSE)</f>
        <v>Fornecedores Não Cooperados</v>
      </c>
      <c r="G3866" s="1">
        <v>42879</v>
      </c>
      <c r="H3866" s="225">
        <v>2415</v>
      </c>
      <c r="I3866" s="225">
        <v>2614.5</v>
      </c>
      <c r="J3866" s="225">
        <v>199.5</v>
      </c>
      <c r="K3866" s="225">
        <v>0</v>
      </c>
      <c r="L38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66" s="225">
        <f>ROUND(IF(AND(Base_Periodo1[[#This Row],[Tipo_Linha]]="-",Base_Periodo1[[#This Row],[TIPOSALDO]]="D"),Base_Periodo1[[#This Row],[SALDO_ATUAL]]*-1,Base_Periodo1[[#This Row],[SALDO_ATUAL]]),4)</f>
        <v>0</v>
      </c>
      <c r="N3866" t="s">
        <v>116</v>
      </c>
      <c r="O3866" t="s">
        <v>459</v>
      </c>
      <c r="P3866" t="s">
        <v>436</v>
      </c>
      <c r="Q3866">
        <v>7</v>
      </c>
      <c r="R3866" s="225">
        <f>Base_Periodo1[[#This Row],[CREDITOS]]-Base_Periodo1[[#This Row],[DEBITOS]]</f>
        <v>-2415</v>
      </c>
      <c r="S3866" s="3" t="str">
        <f>IF(ISERROR(VLOOKUP(Base_Periodo1[[#This Row],[CONTA]],BaseContasDRE[#All],4,FALSE)),"Fora do DRE",VLOOKUP(Base_Periodo1[[#This Row],[CONTA]],BaseContasDRE[#All],4,FALSE))</f>
        <v>Fora do DRE</v>
      </c>
      <c r="T3866" s="3" t="str">
        <f>IF(ISERROR(VLOOKUP(Base_Periodo1[[#This Row],[CONTA]],BaseContasDRE[#All],5,FALSE)),"Fora do DRE",VLOOKUP(Base_Periodo1[[#This Row],[CONTA]],BaseContasDRE[#All],6,FALSE))</f>
        <v>Fora do DRE</v>
      </c>
      <c r="U3866" s="3" t="str">
        <f>IF(ISERROR(VLOOKUP(Base_Periodo1[[#This Row],[CONTA]],BaseContasDRE[#All],7,FALSE)),"Fora do DRE",VLOOKUP(Base_Periodo1[[#This Row],[CONTA]],BaseContasDRE[#All],7,FALSE))</f>
        <v>Fora do DRE</v>
      </c>
      <c r="V3866" s="3" t="str">
        <f>IF(Base_Periodo1[[#This Row],[Tipo_Linha]]="Fora do DRE","Fora do DRE","( "&amp;Base_Periodo1[[#This Row],[Tipo_Linha]]&amp;" ) "&amp;Base_Periodo1[[#This Row],[Filtro]])</f>
        <v>Fora do DRE</v>
      </c>
      <c r="W3866" s="3" t="str">
        <f>LEFT(Base_Periodo1[[#This Row],[CLASS]],3)</f>
        <v>2.1</v>
      </c>
    </row>
    <row r="3867" spans="1:23" hidden="1">
      <c r="A3867" s="3" t="str">
        <f t="shared" si="60"/>
        <v>Período 1</v>
      </c>
      <c r="B3867">
        <v>24353</v>
      </c>
      <c r="C3867" t="s">
        <v>2010</v>
      </c>
      <c r="D3867" t="s">
        <v>5189</v>
      </c>
      <c r="E3867" s="3" t="str">
        <f>IF(LEN(Base_Periodo1[[#This Row],[CLASS]])&gt;=7,LEFT(Base_Periodo1[[#This Row],[CLASS]],7),"")</f>
        <v>2.1.2.2</v>
      </c>
      <c r="F3867" s="3" t="str">
        <f>VLOOKUP(Base_Periodo1[[#This Row],[Aux]],Base_Contas_Balanco[#All],2,FALSE)</f>
        <v>Fornecedores Não Cooperados</v>
      </c>
      <c r="G3867" s="1">
        <v>42767</v>
      </c>
      <c r="H3867" s="225">
        <v>802.0800000000163</v>
      </c>
      <c r="I3867" s="225">
        <v>0</v>
      </c>
      <c r="J3867" s="225">
        <v>0</v>
      </c>
      <c r="K3867" s="225">
        <v>802.0800000000163</v>
      </c>
      <c r="L38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802.08</v>
      </c>
      <c r="M3867" s="225">
        <f>ROUND(IF(AND(Base_Periodo1[[#This Row],[Tipo_Linha]]="-",Base_Periodo1[[#This Row],[TIPOSALDO]]="D"),Base_Periodo1[[#This Row],[SALDO_ATUAL]]*-1,Base_Periodo1[[#This Row],[SALDO_ATUAL]]),4)</f>
        <v>802.08</v>
      </c>
      <c r="N3867" t="s">
        <v>116</v>
      </c>
      <c r="O3867" t="s">
        <v>459</v>
      </c>
      <c r="P3867" t="s">
        <v>459</v>
      </c>
      <c r="Q3867">
        <v>7</v>
      </c>
      <c r="R3867" s="225">
        <f>Base_Periodo1[[#This Row],[CREDITOS]]-Base_Periodo1[[#This Row],[DEBITOS]]</f>
        <v>0</v>
      </c>
      <c r="S3867" s="3" t="str">
        <f>IF(ISERROR(VLOOKUP(Base_Periodo1[[#This Row],[CONTA]],BaseContasDRE[#All],4,FALSE)),"Fora do DRE",VLOOKUP(Base_Periodo1[[#This Row],[CONTA]],BaseContasDRE[#All],4,FALSE))</f>
        <v>Fora do DRE</v>
      </c>
      <c r="T3867" s="3" t="str">
        <f>IF(ISERROR(VLOOKUP(Base_Periodo1[[#This Row],[CONTA]],BaseContasDRE[#All],5,FALSE)),"Fora do DRE",VLOOKUP(Base_Periodo1[[#This Row],[CONTA]],BaseContasDRE[#All],6,FALSE))</f>
        <v>Fora do DRE</v>
      </c>
      <c r="U3867" s="3" t="str">
        <f>IF(ISERROR(VLOOKUP(Base_Periodo1[[#This Row],[CONTA]],BaseContasDRE[#All],7,FALSE)),"Fora do DRE",VLOOKUP(Base_Periodo1[[#This Row],[CONTA]],BaseContasDRE[#All],7,FALSE))</f>
        <v>Fora do DRE</v>
      </c>
      <c r="V3867" s="3" t="str">
        <f>IF(Base_Periodo1[[#This Row],[Tipo_Linha]]="Fora do DRE","Fora do DRE","( "&amp;Base_Periodo1[[#This Row],[Tipo_Linha]]&amp;" ) "&amp;Base_Periodo1[[#This Row],[Filtro]])</f>
        <v>Fora do DRE</v>
      </c>
      <c r="W3867" s="3" t="str">
        <f>LEFT(Base_Periodo1[[#This Row],[CLASS]],3)</f>
        <v>2.1</v>
      </c>
    </row>
    <row r="3868" spans="1:23" hidden="1">
      <c r="A3868" s="3" t="str">
        <f t="shared" si="60"/>
        <v>Período 1</v>
      </c>
      <c r="B3868">
        <v>58779</v>
      </c>
      <c r="C3868" t="s">
        <v>2010</v>
      </c>
      <c r="D3868" t="s">
        <v>7108</v>
      </c>
      <c r="E3868" s="3" t="str">
        <f>IF(LEN(Base_Periodo1[[#This Row],[CLASS]])&gt;=7,LEFT(Base_Periodo1[[#This Row],[CLASS]],7),"")</f>
        <v>2.1.2.2</v>
      </c>
      <c r="F3868" s="3" t="str">
        <f>VLOOKUP(Base_Periodo1[[#This Row],[Aux]],Base_Contas_Balanco[#All],2,FALSE)</f>
        <v>Fornecedores Não Cooperados</v>
      </c>
      <c r="G3868" s="1">
        <v>42860</v>
      </c>
      <c r="I3868" s="225">
        <v>63.82</v>
      </c>
      <c r="J3868" s="225">
        <v>63.82</v>
      </c>
      <c r="K3868" s="225">
        <v>0</v>
      </c>
      <c r="L38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68" s="225">
        <f>ROUND(IF(AND(Base_Periodo1[[#This Row],[Tipo_Linha]]="-",Base_Periodo1[[#This Row],[TIPOSALDO]]="D"),Base_Periodo1[[#This Row],[SALDO_ATUAL]]*-1,Base_Periodo1[[#This Row],[SALDO_ATUAL]]),4)</f>
        <v>0</v>
      </c>
      <c r="N3868" t="s">
        <v>116</v>
      </c>
      <c r="O3868" t="s">
        <v>436</v>
      </c>
      <c r="P3868" t="s">
        <v>436</v>
      </c>
      <c r="Q3868">
        <v>7</v>
      </c>
      <c r="R3868" s="225">
        <f>Base_Periodo1[[#This Row],[CREDITOS]]-Base_Periodo1[[#This Row],[DEBITOS]]</f>
        <v>0</v>
      </c>
      <c r="S3868" s="3" t="str">
        <f>IF(ISERROR(VLOOKUP(Base_Periodo1[[#This Row],[CONTA]],BaseContasDRE[#All],4,FALSE)),"Fora do DRE",VLOOKUP(Base_Periodo1[[#This Row],[CONTA]],BaseContasDRE[#All],4,FALSE))</f>
        <v>Fora do DRE</v>
      </c>
      <c r="T3868" s="3" t="str">
        <f>IF(ISERROR(VLOOKUP(Base_Periodo1[[#This Row],[CONTA]],BaseContasDRE[#All],5,FALSE)),"Fora do DRE",VLOOKUP(Base_Periodo1[[#This Row],[CONTA]],BaseContasDRE[#All],6,FALSE))</f>
        <v>Fora do DRE</v>
      </c>
      <c r="U3868" s="3" t="str">
        <f>IF(ISERROR(VLOOKUP(Base_Periodo1[[#This Row],[CONTA]],BaseContasDRE[#All],7,FALSE)),"Fora do DRE",VLOOKUP(Base_Periodo1[[#This Row],[CONTA]],BaseContasDRE[#All],7,FALSE))</f>
        <v>Fora do DRE</v>
      </c>
      <c r="V3868" s="3" t="str">
        <f>IF(Base_Periodo1[[#This Row],[Tipo_Linha]]="Fora do DRE","Fora do DRE","( "&amp;Base_Periodo1[[#This Row],[Tipo_Linha]]&amp;" ) "&amp;Base_Periodo1[[#This Row],[Filtro]])</f>
        <v>Fora do DRE</v>
      </c>
      <c r="W3868" s="3" t="str">
        <f>LEFT(Base_Periodo1[[#This Row],[CLASS]],3)</f>
        <v>2.1</v>
      </c>
    </row>
    <row r="3869" spans="1:23" hidden="1">
      <c r="A3869" s="3" t="str">
        <f t="shared" si="60"/>
        <v>Período 1</v>
      </c>
      <c r="B3869">
        <v>58132</v>
      </c>
      <c r="C3869" t="s">
        <v>2010</v>
      </c>
      <c r="D3869" t="s">
        <v>7109</v>
      </c>
      <c r="E3869" s="3" t="str">
        <f>IF(LEN(Base_Periodo1[[#This Row],[CLASS]])&gt;=7,LEFT(Base_Periodo1[[#This Row],[CLASS]],7),"")</f>
        <v>2.1.2.2</v>
      </c>
      <c r="F3869" s="3" t="str">
        <f>VLOOKUP(Base_Periodo1[[#This Row],[Aux]],Base_Contas_Balanco[#All],2,FALSE)</f>
        <v>Fornecedores Não Cooperados</v>
      </c>
      <c r="G3869" s="1">
        <v>42885</v>
      </c>
      <c r="I3869" s="225">
        <v>4779.6399999999994</v>
      </c>
      <c r="J3869" s="225">
        <v>4779.6400000000003</v>
      </c>
      <c r="K3869" s="225">
        <v>-9.0949470177292824E-13</v>
      </c>
      <c r="L38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69" s="225">
        <f>ROUND(IF(AND(Base_Periodo1[[#This Row],[Tipo_Linha]]="-",Base_Periodo1[[#This Row],[TIPOSALDO]]="D"),Base_Periodo1[[#This Row],[SALDO_ATUAL]]*-1,Base_Periodo1[[#This Row],[SALDO_ATUAL]]),4)</f>
        <v>0</v>
      </c>
      <c r="N3869" t="s">
        <v>116</v>
      </c>
      <c r="O3869" t="s">
        <v>436</v>
      </c>
      <c r="P3869" t="s">
        <v>436</v>
      </c>
      <c r="Q3869">
        <v>7</v>
      </c>
      <c r="R3869" s="225">
        <f>Base_Periodo1[[#This Row],[CREDITOS]]-Base_Periodo1[[#This Row],[DEBITOS]]</f>
        <v>0</v>
      </c>
      <c r="S3869" s="3" t="str">
        <f>IF(ISERROR(VLOOKUP(Base_Periodo1[[#This Row],[CONTA]],BaseContasDRE[#All],4,FALSE)),"Fora do DRE",VLOOKUP(Base_Periodo1[[#This Row],[CONTA]],BaseContasDRE[#All],4,FALSE))</f>
        <v>Fora do DRE</v>
      </c>
      <c r="T3869" s="3" t="str">
        <f>IF(ISERROR(VLOOKUP(Base_Periodo1[[#This Row],[CONTA]],BaseContasDRE[#All],5,FALSE)),"Fora do DRE",VLOOKUP(Base_Periodo1[[#This Row],[CONTA]],BaseContasDRE[#All],6,FALSE))</f>
        <v>Fora do DRE</v>
      </c>
      <c r="U3869" s="3" t="str">
        <f>IF(ISERROR(VLOOKUP(Base_Periodo1[[#This Row],[CONTA]],BaseContasDRE[#All],7,FALSE)),"Fora do DRE",VLOOKUP(Base_Periodo1[[#This Row],[CONTA]],BaseContasDRE[#All],7,FALSE))</f>
        <v>Fora do DRE</v>
      </c>
      <c r="V3869" s="3" t="str">
        <f>IF(Base_Periodo1[[#This Row],[Tipo_Linha]]="Fora do DRE","Fora do DRE","( "&amp;Base_Periodo1[[#This Row],[Tipo_Linha]]&amp;" ) "&amp;Base_Periodo1[[#This Row],[Filtro]])</f>
        <v>Fora do DRE</v>
      </c>
      <c r="W3869" s="3" t="str">
        <f>LEFT(Base_Periodo1[[#This Row],[CLASS]],3)</f>
        <v>2.1</v>
      </c>
    </row>
    <row r="3870" spans="1:23" hidden="1">
      <c r="A3870" s="3" t="str">
        <f t="shared" si="60"/>
        <v>Período 1</v>
      </c>
      <c r="B3870">
        <v>58233</v>
      </c>
      <c r="C3870" t="s">
        <v>2010</v>
      </c>
      <c r="D3870" t="s">
        <v>6195</v>
      </c>
      <c r="E3870" s="3" t="str">
        <f>IF(LEN(Base_Periodo1[[#This Row],[CLASS]])&gt;=7,LEFT(Base_Periodo1[[#This Row],[CLASS]],7),"")</f>
        <v>2.1.2.2</v>
      </c>
      <c r="F3870" s="3" t="str">
        <f>VLOOKUP(Base_Periodo1[[#This Row],[Aux]],Base_Contas_Balanco[#All],2,FALSE)</f>
        <v>Fornecedores Não Cooperados</v>
      </c>
      <c r="G3870" s="1">
        <v>42865</v>
      </c>
      <c r="I3870" s="225">
        <v>1217.2</v>
      </c>
      <c r="J3870" s="225">
        <v>1217.2</v>
      </c>
      <c r="K3870" s="225">
        <v>0</v>
      </c>
      <c r="L38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70" s="225">
        <f>ROUND(IF(AND(Base_Periodo1[[#This Row],[Tipo_Linha]]="-",Base_Periodo1[[#This Row],[TIPOSALDO]]="D"),Base_Periodo1[[#This Row],[SALDO_ATUAL]]*-1,Base_Periodo1[[#This Row],[SALDO_ATUAL]]),4)</f>
        <v>0</v>
      </c>
      <c r="N3870" t="s">
        <v>116</v>
      </c>
      <c r="O3870" t="s">
        <v>436</v>
      </c>
      <c r="P3870" t="s">
        <v>436</v>
      </c>
      <c r="Q3870">
        <v>7</v>
      </c>
      <c r="R3870" s="225">
        <f>Base_Periodo1[[#This Row],[CREDITOS]]-Base_Periodo1[[#This Row],[DEBITOS]]</f>
        <v>0</v>
      </c>
      <c r="S3870" s="3" t="str">
        <f>IF(ISERROR(VLOOKUP(Base_Periodo1[[#This Row],[CONTA]],BaseContasDRE[#All],4,FALSE)),"Fora do DRE",VLOOKUP(Base_Periodo1[[#This Row],[CONTA]],BaseContasDRE[#All],4,FALSE))</f>
        <v>Fora do DRE</v>
      </c>
      <c r="T3870" s="3" t="str">
        <f>IF(ISERROR(VLOOKUP(Base_Periodo1[[#This Row],[CONTA]],BaseContasDRE[#All],5,FALSE)),"Fora do DRE",VLOOKUP(Base_Periodo1[[#This Row],[CONTA]],BaseContasDRE[#All],6,FALSE))</f>
        <v>Fora do DRE</v>
      </c>
      <c r="U3870" s="3" t="str">
        <f>IF(ISERROR(VLOOKUP(Base_Periodo1[[#This Row],[CONTA]],BaseContasDRE[#All],7,FALSE)),"Fora do DRE",VLOOKUP(Base_Periodo1[[#This Row],[CONTA]],BaseContasDRE[#All],7,FALSE))</f>
        <v>Fora do DRE</v>
      </c>
      <c r="V3870" s="3" t="str">
        <f>IF(Base_Periodo1[[#This Row],[Tipo_Linha]]="Fora do DRE","Fora do DRE","( "&amp;Base_Periodo1[[#This Row],[Tipo_Linha]]&amp;" ) "&amp;Base_Periodo1[[#This Row],[Filtro]])</f>
        <v>Fora do DRE</v>
      </c>
      <c r="W3870" s="3" t="str">
        <f>LEFT(Base_Periodo1[[#This Row],[CLASS]],3)</f>
        <v>2.1</v>
      </c>
    </row>
    <row r="3871" spans="1:23" hidden="1">
      <c r="A3871" s="3" t="str">
        <f t="shared" si="60"/>
        <v>Período 1</v>
      </c>
      <c r="B3871">
        <v>24683</v>
      </c>
      <c r="C3871" t="s">
        <v>2010</v>
      </c>
      <c r="D3871" t="s">
        <v>6509</v>
      </c>
      <c r="E3871" s="3" t="str">
        <f>IF(LEN(Base_Periodo1[[#This Row],[CLASS]])&gt;=7,LEFT(Base_Periodo1[[#This Row],[CLASS]],7),"")</f>
        <v>2.1.2.2</v>
      </c>
      <c r="F3871" s="3" t="str">
        <f>VLOOKUP(Base_Periodo1[[#This Row],[Aux]],Base_Contas_Balanco[#All],2,FALSE)</f>
        <v>Fornecedores Não Cooperados</v>
      </c>
      <c r="G3871" s="1">
        <v>42872</v>
      </c>
      <c r="I3871" s="225">
        <v>0</v>
      </c>
      <c r="J3871" s="225">
        <v>9764.68</v>
      </c>
      <c r="K3871" s="225">
        <v>9764.6800000000039</v>
      </c>
      <c r="L38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9764.68</v>
      </c>
      <c r="M3871" s="225">
        <f>ROUND(IF(AND(Base_Periodo1[[#This Row],[Tipo_Linha]]="-",Base_Periodo1[[#This Row],[TIPOSALDO]]="D"),Base_Periodo1[[#This Row],[SALDO_ATUAL]]*-1,Base_Periodo1[[#This Row],[SALDO_ATUAL]]),4)</f>
        <v>9764.68</v>
      </c>
      <c r="N3871" t="s">
        <v>116</v>
      </c>
      <c r="O3871" t="s">
        <v>436</v>
      </c>
      <c r="P3871" t="s">
        <v>459</v>
      </c>
      <c r="Q3871">
        <v>7</v>
      </c>
      <c r="R3871" s="225">
        <f>Base_Periodo1[[#This Row],[CREDITOS]]-Base_Periodo1[[#This Row],[DEBITOS]]</f>
        <v>9764.68</v>
      </c>
      <c r="S3871" s="3" t="str">
        <f>IF(ISERROR(VLOOKUP(Base_Periodo1[[#This Row],[CONTA]],BaseContasDRE[#All],4,FALSE)),"Fora do DRE",VLOOKUP(Base_Periodo1[[#This Row],[CONTA]],BaseContasDRE[#All],4,FALSE))</f>
        <v>Fora do DRE</v>
      </c>
      <c r="T3871" s="3" t="str">
        <f>IF(ISERROR(VLOOKUP(Base_Periodo1[[#This Row],[CONTA]],BaseContasDRE[#All],5,FALSE)),"Fora do DRE",VLOOKUP(Base_Periodo1[[#This Row],[CONTA]],BaseContasDRE[#All],6,FALSE))</f>
        <v>Fora do DRE</v>
      </c>
      <c r="U3871" s="3" t="str">
        <f>IF(ISERROR(VLOOKUP(Base_Periodo1[[#This Row],[CONTA]],BaseContasDRE[#All],7,FALSE)),"Fora do DRE",VLOOKUP(Base_Periodo1[[#This Row],[CONTA]],BaseContasDRE[#All],7,FALSE))</f>
        <v>Fora do DRE</v>
      </c>
      <c r="V3871" s="3" t="str">
        <f>IF(Base_Periodo1[[#This Row],[Tipo_Linha]]="Fora do DRE","Fora do DRE","( "&amp;Base_Periodo1[[#This Row],[Tipo_Linha]]&amp;" ) "&amp;Base_Periodo1[[#This Row],[Filtro]])</f>
        <v>Fora do DRE</v>
      </c>
      <c r="W3871" s="3" t="str">
        <f>LEFT(Base_Periodo1[[#This Row],[CLASS]],3)</f>
        <v>2.1</v>
      </c>
    </row>
    <row r="3872" spans="1:23" hidden="1">
      <c r="A3872" s="3" t="str">
        <f t="shared" si="60"/>
        <v>Período 1</v>
      </c>
      <c r="B3872">
        <v>27817</v>
      </c>
      <c r="C3872" t="s">
        <v>2010</v>
      </c>
      <c r="D3872" t="s">
        <v>7110</v>
      </c>
      <c r="E3872" s="3" t="str">
        <f>IF(LEN(Base_Periodo1[[#This Row],[CLASS]])&gt;=7,LEFT(Base_Periodo1[[#This Row],[CLASS]],7),"")</f>
        <v>2.1.2.2</v>
      </c>
      <c r="F3872" s="3" t="str">
        <f>VLOOKUP(Base_Periodo1[[#This Row],[Aux]],Base_Contas_Balanco[#All],2,FALSE)</f>
        <v>Fornecedores Não Cooperados</v>
      </c>
      <c r="G3872" s="1">
        <v>42880</v>
      </c>
      <c r="I3872" s="225">
        <v>323</v>
      </c>
      <c r="J3872" s="225">
        <v>323</v>
      </c>
      <c r="K3872" s="225">
        <v>0</v>
      </c>
      <c r="L38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72" s="225">
        <f>ROUND(IF(AND(Base_Periodo1[[#This Row],[Tipo_Linha]]="-",Base_Periodo1[[#This Row],[TIPOSALDO]]="D"),Base_Periodo1[[#This Row],[SALDO_ATUAL]]*-1,Base_Periodo1[[#This Row],[SALDO_ATUAL]]),4)</f>
        <v>0</v>
      </c>
      <c r="N3872" t="s">
        <v>116</v>
      </c>
      <c r="O3872" t="s">
        <v>436</v>
      </c>
      <c r="P3872" t="s">
        <v>436</v>
      </c>
      <c r="Q3872">
        <v>7</v>
      </c>
      <c r="R3872" s="225">
        <f>Base_Periodo1[[#This Row],[CREDITOS]]-Base_Periodo1[[#This Row],[DEBITOS]]</f>
        <v>0</v>
      </c>
      <c r="S3872" s="3" t="str">
        <f>IF(ISERROR(VLOOKUP(Base_Periodo1[[#This Row],[CONTA]],BaseContasDRE[#All],4,FALSE)),"Fora do DRE",VLOOKUP(Base_Periodo1[[#This Row],[CONTA]],BaseContasDRE[#All],4,FALSE))</f>
        <v>Fora do DRE</v>
      </c>
      <c r="T3872" s="3" t="str">
        <f>IF(ISERROR(VLOOKUP(Base_Periodo1[[#This Row],[CONTA]],BaseContasDRE[#All],5,FALSE)),"Fora do DRE",VLOOKUP(Base_Periodo1[[#This Row],[CONTA]],BaseContasDRE[#All],6,FALSE))</f>
        <v>Fora do DRE</v>
      </c>
      <c r="U3872" s="3" t="str">
        <f>IF(ISERROR(VLOOKUP(Base_Periodo1[[#This Row],[CONTA]],BaseContasDRE[#All],7,FALSE)),"Fora do DRE",VLOOKUP(Base_Periodo1[[#This Row],[CONTA]],BaseContasDRE[#All],7,FALSE))</f>
        <v>Fora do DRE</v>
      </c>
      <c r="V3872" s="3" t="str">
        <f>IF(Base_Periodo1[[#This Row],[Tipo_Linha]]="Fora do DRE","Fora do DRE","( "&amp;Base_Periodo1[[#This Row],[Tipo_Linha]]&amp;" ) "&amp;Base_Periodo1[[#This Row],[Filtro]])</f>
        <v>Fora do DRE</v>
      </c>
      <c r="W3872" s="3" t="str">
        <f>LEFT(Base_Periodo1[[#This Row],[CLASS]],3)</f>
        <v>2.1</v>
      </c>
    </row>
    <row r="3873" spans="1:23" hidden="1">
      <c r="A3873" s="3" t="str">
        <f t="shared" si="60"/>
        <v>Período 1</v>
      </c>
      <c r="B3873">
        <v>25592</v>
      </c>
      <c r="C3873" t="s">
        <v>2010</v>
      </c>
      <c r="D3873" t="s">
        <v>5993</v>
      </c>
      <c r="E3873" s="3" t="str">
        <f>IF(LEN(Base_Periodo1[[#This Row],[CLASS]])&gt;=7,LEFT(Base_Periodo1[[#This Row],[CLASS]],7),"")</f>
        <v>2.1.2.2</v>
      </c>
      <c r="F3873" s="3" t="str">
        <f>VLOOKUP(Base_Periodo1[[#This Row],[Aux]],Base_Contas_Balanco[#All],2,FALSE)</f>
        <v>Fornecedores Não Cooperados</v>
      </c>
      <c r="G3873" s="1">
        <v>42858</v>
      </c>
      <c r="H3873" s="225">
        <v>225</v>
      </c>
      <c r="I3873" s="225">
        <v>225</v>
      </c>
      <c r="J3873" s="225">
        <v>0</v>
      </c>
      <c r="K3873" s="225">
        <v>0</v>
      </c>
      <c r="L38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73" s="225">
        <f>ROUND(IF(AND(Base_Periodo1[[#This Row],[Tipo_Linha]]="-",Base_Periodo1[[#This Row],[TIPOSALDO]]="D"),Base_Periodo1[[#This Row],[SALDO_ATUAL]]*-1,Base_Periodo1[[#This Row],[SALDO_ATUAL]]),4)</f>
        <v>0</v>
      </c>
      <c r="N3873" t="s">
        <v>116</v>
      </c>
      <c r="O3873" t="s">
        <v>459</v>
      </c>
      <c r="P3873" t="s">
        <v>436</v>
      </c>
      <c r="Q3873">
        <v>7</v>
      </c>
      <c r="R3873" s="225">
        <f>Base_Periodo1[[#This Row],[CREDITOS]]-Base_Periodo1[[#This Row],[DEBITOS]]</f>
        <v>-225</v>
      </c>
      <c r="S3873" s="3" t="str">
        <f>IF(ISERROR(VLOOKUP(Base_Periodo1[[#This Row],[CONTA]],BaseContasDRE[#All],4,FALSE)),"Fora do DRE",VLOOKUP(Base_Periodo1[[#This Row],[CONTA]],BaseContasDRE[#All],4,FALSE))</f>
        <v>Fora do DRE</v>
      </c>
      <c r="T3873" s="3" t="str">
        <f>IF(ISERROR(VLOOKUP(Base_Periodo1[[#This Row],[CONTA]],BaseContasDRE[#All],5,FALSE)),"Fora do DRE",VLOOKUP(Base_Periodo1[[#This Row],[CONTA]],BaseContasDRE[#All],6,FALSE))</f>
        <v>Fora do DRE</v>
      </c>
      <c r="U3873" s="3" t="str">
        <f>IF(ISERROR(VLOOKUP(Base_Periodo1[[#This Row],[CONTA]],BaseContasDRE[#All],7,FALSE)),"Fora do DRE",VLOOKUP(Base_Periodo1[[#This Row],[CONTA]],BaseContasDRE[#All],7,FALSE))</f>
        <v>Fora do DRE</v>
      </c>
      <c r="V3873" s="3" t="str">
        <f>IF(Base_Periodo1[[#This Row],[Tipo_Linha]]="Fora do DRE","Fora do DRE","( "&amp;Base_Periodo1[[#This Row],[Tipo_Linha]]&amp;" ) "&amp;Base_Periodo1[[#This Row],[Filtro]])</f>
        <v>Fora do DRE</v>
      </c>
      <c r="W3873" s="3" t="str">
        <f>LEFT(Base_Periodo1[[#This Row],[CLASS]],3)</f>
        <v>2.1</v>
      </c>
    </row>
    <row r="3874" spans="1:23" hidden="1">
      <c r="A3874" s="3" t="str">
        <f t="shared" si="60"/>
        <v>Período 1</v>
      </c>
      <c r="B3874">
        <v>48458</v>
      </c>
      <c r="C3874" t="s">
        <v>2010</v>
      </c>
      <c r="D3874" t="s">
        <v>7111</v>
      </c>
      <c r="E3874" s="3" t="str">
        <f>IF(LEN(Base_Periodo1[[#This Row],[CLASS]])&gt;=7,LEFT(Base_Periodo1[[#This Row],[CLASS]],7),"")</f>
        <v>2.1.2.2</v>
      </c>
      <c r="F3874" s="3" t="str">
        <f>VLOOKUP(Base_Periodo1[[#This Row],[Aux]],Base_Contas_Balanco[#All],2,FALSE)</f>
        <v>Fornecedores Não Cooperados</v>
      </c>
      <c r="G3874" s="1">
        <v>42874</v>
      </c>
      <c r="I3874" s="225">
        <v>920</v>
      </c>
      <c r="J3874" s="225">
        <v>920</v>
      </c>
      <c r="K3874" s="225">
        <v>0</v>
      </c>
      <c r="L38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74" s="225">
        <f>ROUND(IF(AND(Base_Periodo1[[#This Row],[Tipo_Linha]]="-",Base_Periodo1[[#This Row],[TIPOSALDO]]="D"),Base_Periodo1[[#This Row],[SALDO_ATUAL]]*-1,Base_Periodo1[[#This Row],[SALDO_ATUAL]]),4)</f>
        <v>0</v>
      </c>
      <c r="N3874" t="s">
        <v>116</v>
      </c>
      <c r="O3874" t="s">
        <v>436</v>
      </c>
      <c r="P3874" t="s">
        <v>436</v>
      </c>
      <c r="Q3874">
        <v>7</v>
      </c>
      <c r="R3874" s="225">
        <f>Base_Periodo1[[#This Row],[CREDITOS]]-Base_Periodo1[[#This Row],[DEBITOS]]</f>
        <v>0</v>
      </c>
      <c r="S3874" s="3" t="str">
        <f>IF(ISERROR(VLOOKUP(Base_Periodo1[[#This Row],[CONTA]],BaseContasDRE[#All],4,FALSE)),"Fora do DRE",VLOOKUP(Base_Periodo1[[#This Row],[CONTA]],BaseContasDRE[#All],4,FALSE))</f>
        <v>Fora do DRE</v>
      </c>
      <c r="T3874" s="3" t="str">
        <f>IF(ISERROR(VLOOKUP(Base_Periodo1[[#This Row],[CONTA]],BaseContasDRE[#All],5,FALSE)),"Fora do DRE",VLOOKUP(Base_Periodo1[[#This Row],[CONTA]],BaseContasDRE[#All],6,FALSE))</f>
        <v>Fora do DRE</v>
      </c>
      <c r="U3874" s="3" t="str">
        <f>IF(ISERROR(VLOOKUP(Base_Periodo1[[#This Row],[CONTA]],BaseContasDRE[#All],7,FALSE)),"Fora do DRE",VLOOKUP(Base_Periodo1[[#This Row],[CONTA]],BaseContasDRE[#All],7,FALSE))</f>
        <v>Fora do DRE</v>
      </c>
      <c r="V3874" s="3" t="str">
        <f>IF(Base_Periodo1[[#This Row],[Tipo_Linha]]="Fora do DRE","Fora do DRE","( "&amp;Base_Periodo1[[#This Row],[Tipo_Linha]]&amp;" ) "&amp;Base_Periodo1[[#This Row],[Filtro]])</f>
        <v>Fora do DRE</v>
      </c>
      <c r="W3874" s="3" t="str">
        <f>LEFT(Base_Periodo1[[#This Row],[CLASS]],3)</f>
        <v>2.1</v>
      </c>
    </row>
    <row r="3875" spans="1:23" hidden="1">
      <c r="A3875" s="3" t="str">
        <f t="shared" si="60"/>
        <v>Período 1</v>
      </c>
      <c r="B3875">
        <v>14642</v>
      </c>
      <c r="C3875" t="s">
        <v>2010</v>
      </c>
      <c r="D3875" t="s">
        <v>7112</v>
      </c>
      <c r="E3875" s="3" t="str">
        <f>IF(LEN(Base_Periodo1[[#This Row],[CLASS]])&gt;=7,LEFT(Base_Periodo1[[#This Row],[CLASS]],7),"")</f>
        <v>2.1.2.2</v>
      </c>
      <c r="F3875" s="3" t="str">
        <f>VLOOKUP(Base_Periodo1[[#This Row],[Aux]],Base_Contas_Balanco[#All],2,FALSE)</f>
        <v>Fornecedores Não Cooperados</v>
      </c>
      <c r="G3875" s="1">
        <v>42865</v>
      </c>
      <c r="I3875" s="225">
        <v>1253.4099999999999</v>
      </c>
      <c r="J3875" s="225">
        <v>1253.4099999999999</v>
      </c>
      <c r="K3875" s="225">
        <v>0</v>
      </c>
      <c r="L38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75" s="225">
        <f>ROUND(IF(AND(Base_Periodo1[[#This Row],[Tipo_Linha]]="-",Base_Periodo1[[#This Row],[TIPOSALDO]]="D"),Base_Periodo1[[#This Row],[SALDO_ATUAL]]*-1,Base_Periodo1[[#This Row],[SALDO_ATUAL]]),4)</f>
        <v>0</v>
      </c>
      <c r="N3875" t="s">
        <v>116</v>
      </c>
      <c r="O3875" t="s">
        <v>436</v>
      </c>
      <c r="P3875" t="s">
        <v>436</v>
      </c>
      <c r="Q3875">
        <v>7</v>
      </c>
      <c r="R3875" s="225">
        <f>Base_Periodo1[[#This Row],[CREDITOS]]-Base_Periodo1[[#This Row],[DEBITOS]]</f>
        <v>0</v>
      </c>
      <c r="S3875" s="3" t="str">
        <f>IF(ISERROR(VLOOKUP(Base_Periodo1[[#This Row],[CONTA]],BaseContasDRE[#All],4,FALSE)),"Fora do DRE",VLOOKUP(Base_Periodo1[[#This Row],[CONTA]],BaseContasDRE[#All],4,FALSE))</f>
        <v>Fora do DRE</v>
      </c>
      <c r="T3875" s="3" t="str">
        <f>IF(ISERROR(VLOOKUP(Base_Periodo1[[#This Row],[CONTA]],BaseContasDRE[#All],5,FALSE)),"Fora do DRE",VLOOKUP(Base_Periodo1[[#This Row],[CONTA]],BaseContasDRE[#All],6,FALSE))</f>
        <v>Fora do DRE</v>
      </c>
      <c r="U3875" s="3" t="str">
        <f>IF(ISERROR(VLOOKUP(Base_Periodo1[[#This Row],[CONTA]],BaseContasDRE[#All],7,FALSE)),"Fora do DRE",VLOOKUP(Base_Periodo1[[#This Row],[CONTA]],BaseContasDRE[#All],7,FALSE))</f>
        <v>Fora do DRE</v>
      </c>
      <c r="V3875" s="3" t="str">
        <f>IF(Base_Periodo1[[#This Row],[Tipo_Linha]]="Fora do DRE","Fora do DRE","( "&amp;Base_Periodo1[[#This Row],[Tipo_Linha]]&amp;" ) "&amp;Base_Periodo1[[#This Row],[Filtro]])</f>
        <v>Fora do DRE</v>
      </c>
      <c r="W3875" s="3" t="str">
        <f>LEFT(Base_Periodo1[[#This Row],[CLASS]],3)</f>
        <v>2.1</v>
      </c>
    </row>
    <row r="3876" spans="1:23" hidden="1">
      <c r="A3876" s="3" t="str">
        <f t="shared" si="60"/>
        <v>Período 1</v>
      </c>
      <c r="B3876">
        <v>14020</v>
      </c>
      <c r="C3876" t="s">
        <v>2010</v>
      </c>
      <c r="D3876" t="s">
        <v>6510</v>
      </c>
      <c r="E3876" s="3" t="str">
        <f>IF(LEN(Base_Periodo1[[#This Row],[CLASS]])&gt;=7,LEFT(Base_Periodo1[[#This Row],[CLASS]],7),"")</f>
        <v>2.1.2.2</v>
      </c>
      <c r="F3876" s="3" t="str">
        <f>VLOOKUP(Base_Periodo1[[#This Row],[Aux]],Base_Contas_Balanco[#All],2,FALSE)</f>
        <v>Fornecedores Não Cooperados</v>
      </c>
      <c r="G3876" s="1">
        <v>42859</v>
      </c>
      <c r="H3876" s="225">
        <v>450</v>
      </c>
      <c r="I3876" s="225">
        <v>450</v>
      </c>
      <c r="J3876" s="225">
        <v>0</v>
      </c>
      <c r="K3876" s="225">
        <v>0</v>
      </c>
      <c r="L38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76" s="225">
        <f>ROUND(IF(AND(Base_Periodo1[[#This Row],[Tipo_Linha]]="-",Base_Periodo1[[#This Row],[TIPOSALDO]]="D"),Base_Periodo1[[#This Row],[SALDO_ATUAL]]*-1,Base_Periodo1[[#This Row],[SALDO_ATUAL]]),4)</f>
        <v>0</v>
      </c>
      <c r="N3876" t="s">
        <v>116</v>
      </c>
      <c r="O3876" t="s">
        <v>459</v>
      </c>
      <c r="P3876" t="s">
        <v>436</v>
      </c>
      <c r="Q3876">
        <v>7</v>
      </c>
      <c r="R3876" s="225">
        <f>Base_Periodo1[[#This Row],[CREDITOS]]-Base_Periodo1[[#This Row],[DEBITOS]]</f>
        <v>-450</v>
      </c>
      <c r="S3876" s="3" t="str">
        <f>IF(ISERROR(VLOOKUP(Base_Periodo1[[#This Row],[CONTA]],BaseContasDRE[#All],4,FALSE)),"Fora do DRE",VLOOKUP(Base_Periodo1[[#This Row],[CONTA]],BaseContasDRE[#All],4,FALSE))</f>
        <v>Fora do DRE</v>
      </c>
      <c r="T3876" s="3" t="str">
        <f>IF(ISERROR(VLOOKUP(Base_Periodo1[[#This Row],[CONTA]],BaseContasDRE[#All],5,FALSE)),"Fora do DRE",VLOOKUP(Base_Periodo1[[#This Row],[CONTA]],BaseContasDRE[#All],6,FALSE))</f>
        <v>Fora do DRE</v>
      </c>
      <c r="U3876" s="3" t="str">
        <f>IF(ISERROR(VLOOKUP(Base_Periodo1[[#This Row],[CONTA]],BaseContasDRE[#All],7,FALSE)),"Fora do DRE",VLOOKUP(Base_Periodo1[[#This Row],[CONTA]],BaseContasDRE[#All],7,FALSE))</f>
        <v>Fora do DRE</v>
      </c>
      <c r="V3876" s="3" t="str">
        <f>IF(Base_Periodo1[[#This Row],[Tipo_Linha]]="Fora do DRE","Fora do DRE","( "&amp;Base_Periodo1[[#This Row],[Tipo_Linha]]&amp;" ) "&amp;Base_Periodo1[[#This Row],[Filtro]])</f>
        <v>Fora do DRE</v>
      </c>
      <c r="W3876" s="3" t="str">
        <f>LEFT(Base_Periodo1[[#This Row],[CLASS]],3)</f>
        <v>2.1</v>
      </c>
    </row>
    <row r="3877" spans="1:23" hidden="1">
      <c r="A3877" s="3" t="str">
        <f t="shared" si="60"/>
        <v>Período 1</v>
      </c>
      <c r="B3877">
        <v>40537</v>
      </c>
      <c r="C3877" t="s">
        <v>2010</v>
      </c>
      <c r="D3877" t="s">
        <v>5084</v>
      </c>
      <c r="E3877" s="3" t="str">
        <f>IF(LEN(Base_Periodo1[[#This Row],[CLASS]])&gt;=7,LEFT(Base_Periodo1[[#This Row],[CLASS]],7),"")</f>
        <v>2.1.2.2</v>
      </c>
      <c r="F3877" s="3" t="str">
        <f>VLOOKUP(Base_Periodo1[[#This Row],[Aux]],Base_Contas_Balanco[#All],2,FALSE)</f>
        <v>Fornecedores Não Cooperados</v>
      </c>
      <c r="G3877" s="1">
        <v>42885</v>
      </c>
      <c r="I3877" s="225">
        <v>714</v>
      </c>
      <c r="J3877" s="225">
        <v>714</v>
      </c>
      <c r="K3877" s="225">
        <v>0</v>
      </c>
      <c r="L38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77" s="225">
        <f>ROUND(IF(AND(Base_Periodo1[[#This Row],[Tipo_Linha]]="-",Base_Periodo1[[#This Row],[TIPOSALDO]]="D"),Base_Periodo1[[#This Row],[SALDO_ATUAL]]*-1,Base_Periodo1[[#This Row],[SALDO_ATUAL]]),4)</f>
        <v>0</v>
      </c>
      <c r="N3877" t="s">
        <v>116</v>
      </c>
      <c r="O3877" t="s">
        <v>436</v>
      </c>
      <c r="P3877" t="s">
        <v>436</v>
      </c>
      <c r="Q3877">
        <v>7</v>
      </c>
      <c r="R3877" s="225">
        <f>Base_Periodo1[[#This Row],[CREDITOS]]-Base_Periodo1[[#This Row],[DEBITOS]]</f>
        <v>0</v>
      </c>
      <c r="S3877" s="3" t="str">
        <f>IF(ISERROR(VLOOKUP(Base_Periodo1[[#This Row],[CONTA]],BaseContasDRE[#All],4,FALSE)),"Fora do DRE",VLOOKUP(Base_Periodo1[[#This Row],[CONTA]],BaseContasDRE[#All],4,FALSE))</f>
        <v>Fora do DRE</v>
      </c>
      <c r="T3877" s="3" t="str">
        <f>IF(ISERROR(VLOOKUP(Base_Periodo1[[#This Row],[CONTA]],BaseContasDRE[#All],5,FALSE)),"Fora do DRE",VLOOKUP(Base_Periodo1[[#This Row],[CONTA]],BaseContasDRE[#All],6,FALSE))</f>
        <v>Fora do DRE</v>
      </c>
      <c r="U3877" s="3" t="str">
        <f>IF(ISERROR(VLOOKUP(Base_Periodo1[[#This Row],[CONTA]],BaseContasDRE[#All],7,FALSE)),"Fora do DRE",VLOOKUP(Base_Periodo1[[#This Row],[CONTA]],BaseContasDRE[#All],7,FALSE))</f>
        <v>Fora do DRE</v>
      </c>
      <c r="V3877" s="3" t="str">
        <f>IF(Base_Periodo1[[#This Row],[Tipo_Linha]]="Fora do DRE","Fora do DRE","( "&amp;Base_Periodo1[[#This Row],[Tipo_Linha]]&amp;" ) "&amp;Base_Periodo1[[#This Row],[Filtro]])</f>
        <v>Fora do DRE</v>
      </c>
      <c r="W3877" s="3" t="str">
        <f>LEFT(Base_Periodo1[[#This Row],[CLASS]],3)</f>
        <v>2.1</v>
      </c>
    </row>
    <row r="3878" spans="1:23" hidden="1">
      <c r="A3878" s="3" t="str">
        <f t="shared" si="60"/>
        <v>Período 1</v>
      </c>
      <c r="B3878">
        <v>31575</v>
      </c>
      <c r="C3878" t="s">
        <v>2010</v>
      </c>
      <c r="D3878" t="s">
        <v>2109</v>
      </c>
      <c r="E3878" s="3" t="str">
        <f>IF(LEN(Base_Periodo1[[#This Row],[CLASS]])&gt;=7,LEFT(Base_Periodo1[[#This Row],[CLASS]],7),"")</f>
        <v>2.1.2.2</v>
      </c>
      <c r="F3878" s="3" t="str">
        <f>VLOOKUP(Base_Periodo1[[#This Row],[Aux]],Base_Contas_Balanco[#All],2,FALSE)</f>
        <v>Fornecedores Não Cooperados</v>
      </c>
      <c r="G3878" s="1">
        <v>42859</v>
      </c>
      <c r="I3878" s="225">
        <v>8000</v>
      </c>
      <c r="J3878" s="225">
        <v>8000</v>
      </c>
      <c r="K3878" s="225">
        <v>0</v>
      </c>
      <c r="L38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78" s="225">
        <f>ROUND(IF(AND(Base_Periodo1[[#This Row],[Tipo_Linha]]="-",Base_Periodo1[[#This Row],[TIPOSALDO]]="D"),Base_Periodo1[[#This Row],[SALDO_ATUAL]]*-1,Base_Periodo1[[#This Row],[SALDO_ATUAL]]),4)</f>
        <v>0</v>
      </c>
      <c r="N3878" t="s">
        <v>116</v>
      </c>
      <c r="O3878" t="s">
        <v>436</v>
      </c>
      <c r="P3878" t="s">
        <v>436</v>
      </c>
      <c r="Q3878">
        <v>7</v>
      </c>
      <c r="R3878" s="225">
        <f>Base_Periodo1[[#This Row],[CREDITOS]]-Base_Periodo1[[#This Row],[DEBITOS]]</f>
        <v>0</v>
      </c>
      <c r="S3878" s="3" t="str">
        <f>IF(ISERROR(VLOOKUP(Base_Periodo1[[#This Row],[CONTA]],BaseContasDRE[#All],4,FALSE)),"Fora do DRE",VLOOKUP(Base_Periodo1[[#This Row],[CONTA]],BaseContasDRE[#All],4,FALSE))</f>
        <v>Fora do DRE</v>
      </c>
      <c r="T3878" s="3" t="str">
        <f>IF(ISERROR(VLOOKUP(Base_Periodo1[[#This Row],[CONTA]],BaseContasDRE[#All],5,FALSE)),"Fora do DRE",VLOOKUP(Base_Periodo1[[#This Row],[CONTA]],BaseContasDRE[#All],6,FALSE))</f>
        <v>Fora do DRE</v>
      </c>
      <c r="U3878" s="3" t="str">
        <f>IF(ISERROR(VLOOKUP(Base_Periodo1[[#This Row],[CONTA]],BaseContasDRE[#All],7,FALSE)),"Fora do DRE",VLOOKUP(Base_Periodo1[[#This Row],[CONTA]],BaseContasDRE[#All],7,FALSE))</f>
        <v>Fora do DRE</v>
      </c>
      <c r="V3878" s="3" t="str">
        <f>IF(Base_Periodo1[[#This Row],[Tipo_Linha]]="Fora do DRE","Fora do DRE","( "&amp;Base_Periodo1[[#This Row],[Tipo_Linha]]&amp;" ) "&amp;Base_Periodo1[[#This Row],[Filtro]])</f>
        <v>Fora do DRE</v>
      </c>
      <c r="W3878" s="3" t="str">
        <f>LEFT(Base_Periodo1[[#This Row],[CLASS]],3)</f>
        <v>2.1</v>
      </c>
    </row>
    <row r="3879" spans="1:23" hidden="1">
      <c r="A3879" s="3" t="str">
        <f t="shared" si="60"/>
        <v>Período 1</v>
      </c>
      <c r="B3879">
        <v>11290</v>
      </c>
      <c r="C3879" t="s">
        <v>2010</v>
      </c>
      <c r="D3879" t="s">
        <v>4648</v>
      </c>
      <c r="E3879" s="3" t="str">
        <f>IF(LEN(Base_Periodo1[[#This Row],[CLASS]])&gt;=7,LEFT(Base_Periodo1[[#This Row],[CLASS]],7),"")</f>
        <v>2.1.2.2</v>
      </c>
      <c r="F3879" s="3" t="str">
        <f>VLOOKUP(Base_Periodo1[[#This Row],[Aux]],Base_Contas_Balanco[#All],2,FALSE)</f>
        <v>Fornecedores Não Cooperados</v>
      </c>
      <c r="G3879" s="1">
        <v>42520</v>
      </c>
      <c r="H3879" s="225">
        <v>2159.5999999999185</v>
      </c>
      <c r="I3879" s="225">
        <v>0</v>
      </c>
      <c r="J3879" s="225">
        <v>0</v>
      </c>
      <c r="K3879" s="225">
        <v>2159.5999999999185</v>
      </c>
      <c r="L38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2159.6</v>
      </c>
      <c r="M3879" s="225">
        <f>ROUND(IF(AND(Base_Periodo1[[#This Row],[Tipo_Linha]]="-",Base_Periodo1[[#This Row],[TIPOSALDO]]="D"),Base_Periodo1[[#This Row],[SALDO_ATUAL]]*-1,Base_Periodo1[[#This Row],[SALDO_ATUAL]]),4)</f>
        <v>2159.6</v>
      </c>
      <c r="N3879" t="s">
        <v>116</v>
      </c>
      <c r="O3879" t="s">
        <v>459</v>
      </c>
      <c r="P3879" t="s">
        <v>459</v>
      </c>
      <c r="Q3879">
        <v>7</v>
      </c>
      <c r="R3879" s="225">
        <f>Base_Periodo1[[#This Row],[CREDITOS]]-Base_Periodo1[[#This Row],[DEBITOS]]</f>
        <v>0</v>
      </c>
      <c r="S3879" s="3" t="str">
        <f>IF(ISERROR(VLOOKUP(Base_Periodo1[[#This Row],[CONTA]],BaseContasDRE[#All],4,FALSE)),"Fora do DRE",VLOOKUP(Base_Periodo1[[#This Row],[CONTA]],BaseContasDRE[#All],4,FALSE))</f>
        <v>Fora do DRE</v>
      </c>
      <c r="T3879" s="3" t="str">
        <f>IF(ISERROR(VLOOKUP(Base_Periodo1[[#This Row],[CONTA]],BaseContasDRE[#All],5,FALSE)),"Fora do DRE",VLOOKUP(Base_Periodo1[[#This Row],[CONTA]],BaseContasDRE[#All],6,FALSE))</f>
        <v>Fora do DRE</v>
      </c>
      <c r="U3879" s="3" t="str">
        <f>IF(ISERROR(VLOOKUP(Base_Periodo1[[#This Row],[CONTA]],BaseContasDRE[#All],7,FALSE)),"Fora do DRE",VLOOKUP(Base_Periodo1[[#This Row],[CONTA]],BaseContasDRE[#All],7,FALSE))</f>
        <v>Fora do DRE</v>
      </c>
      <c r="V3879" s="3" t="str">
        <f>IF(Base_Periodo1[[#This Row],[Tipo_Linha]]="Fora do DRE","Fora do DRE","( "&amp;Base_Periodo1[[#This Row],[Tipo_Linha]]&amp;" ) "&amp;Base_Periodo1[[#This Row],[Filtro]])</f>
        <v>Fora do DRE</v>
      </c>
      <c r="W3879" s="3" t="str">
        <f>LEFT(Base_Periodo1[[#This Row],[CLASS]],3)</f>
        <v>2.1</v>
      </c>
    </row>
    <row r="3880" spans="1:23" hidden="1">
      <c r="A3880" s="3" t="str">
        <f t="shared" si="60"/>
        <v>Período 1</v>
      </c>
      <c r="B3880">
        <v>34239</v>
      </c>
      <c r="C3880" t="s">
        <v>2010</v>
      </c>
      <c r="D3880" t="s">
        <v>4256</v>
      </c>
      <c r="E3880" s="3" t="str">
        <f>IF(LEN(Base_Periodo1[[#This Row],[CLASS]])&gt;=7,LEFT(Base_Periodo1[[#This Row],[CLASS]],7),"")</f>
        <v>2.1.2.2</v>
      </c>
      <c r="F3880" s="3" t="str">
        <f>VLOOKUP(Base_Periodo1[[#This Row],[Aux]],Base_Contas_Balanco[#All],2,FALSE)</f>
        <v>Fornecedores Não Cooperados</v>
      </c>
      <c r="G3880" s="1">
        <v>42382</v>
      </c>
      <c r="H3880" s="225">
        <v>83.389999999999418</v>
      </c>
      <c r="I3880" s="225">
        <v>0</v>
      </c>
      <c r="J3880" s="225">
        <v>0</v>
      </c>
      <c r="K3880" s="225">
        <v>83.389999999999418</v>
      </c>
      <c r="L38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83.39</v>
      </c>
      <c r="M3880" s="225">
        <f>ROUND(IF(AND(Base_Periodo1[[#This Row],[Tipo_Linha]]="-",Base_Periodo1[[#This Row],[TIPOSALDO]]="D"),Base_Periodo1[[#This Row],[SALDO_ATUAL]]*-1,Base_Periodo1[[#This Row],[SALDO_ATUAL]]),4)</f>
        <v>83.39</v>
      </c>
      <c r="N3880" t="s">
        <v>116</v>
      </c>
      <c r="O3880" t="s">
        <v>459</v>
      </c>
      <c r="P3880" t="s">
        <v>459</v>
      </c>
      <c r="Q3880">
        <v>7</v>
      </c>
      <c r="R3880" s="225">
        <f>Base_Periodo1[[#This Row],[CREDITOS]]-Base_Periodo1[[#This Row],[DEBITOS]]</f>
        <v>0</v>
      </c>
      <c r="S3880" s="3" t="str">
        <f>IF(ISERROR(VLOOKUP(Base_Periodo1[[#This Row],[CONTA]],BaseContasDRE[#All],4,FALSE)),"Fora do DRE",VLOOKUP(Base_Periodo1[[#This Row],[CONTA]],BaseContasDRE[#All],4,FALSE))</f>
        <v>Fora do DRE</v>
      </c>
      <c r="T3880" s="3" t="str">
        <f>IF(ISERROR(VLOOKUP(Base_Periodo1[[#This Row],[CONTA]],BaseContasDRE[#All],5,FALSE)),"Fora do DRE",VLOOKUP(Base_Periodo1[[#This Row],[CONTA]],BaseContasDRE[#All],6,FALSE))</f>
        <v>Fora do DRE</v>
      </c>
      <c r="U3880" s="3" t="str">
        <f>IF(ISERROR(VLOOKUP(Base_Periodo1[[#This Row],[CONTA]],BaseContasDRE[#All],7,FALSE)),"Fora do DRE",VLOOKUP(Base_Periodo1[[#This Row],[CONTA]],BaseContasDRE[#All],7,FALSE))</f>
        <v>Fora do DRE</v>
      </c>
      <c r="V3880" s="3" t="str">
        <f>IF(Base_Periodo1[[#This Row],[Tipo_Linha]]="Fora do DRE","Fora do DRE","( "&amp;Base_Periodo1[[#This Row],[Tipo_Linha]]&amp;" ) "&amp;Base_Periodo1[[#This Row],[Filtro]])</f>
        <v>Fora do DRE</v>
      </c>
      <c r="W3880" s="3" t="str">
        <f>LEFT(Base_Periodo1[[#This Row],[CLASS]],3)</f>
        <v>2.1</v>
      </c>
    </row>
    <row r="3881" spans="1:23" hidden="1">
      <c r="A3881" s="3" t="str">
        <f t="shared" si="60"/>
        <v>Período 1</v>
      </c>
      <c r="B3881">
        <v>59247</v>
      </c>
      <c r="C3881" t="s">
        <v>2010</v>
      </c>
      <c r="D3881" t="s">
        <v>7113</v>
      </c>
      <c r="E3881" s="3" t="str">
        <f>IF(LEN(Base_Periodo1[[#This Row],[CLASS]])&gt;=7,LEFT(Base_Periodo1[[#This Row],[CLASS]],7),"")</f>
        <v>2.1.2.2</v>
      </c>
      <c r="F3881" s="3" t="str">
        <f>VLOOKUP(Base_Periodo1[[#This Row],[Aux]],Base_Contas_Balanco[#All],2,FALSE)</f>
        <v>Fornecedores Não Cooperados</v>
      </c>
      <c r="G3881" s="1">
        <v>42881</v>
      </c>
      <c r="I3881" s="225">
        <v>686</v>
      </c>
      <c r="J3881" s="225">
        <v>686</v>
      </c>
      <c r="K3881" s="225">
        <v>0</v>
      </c>
      <c r="L38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81" s="225">
        <f>ROUND(IF(AND(Base_Periodo1[[#This Row],[Tipo_Linha]]="-",Base_Periodo1[[#This Row],[TIPOSALDO]]="D"),Base_Periodo1[[#This Row],[SALDO_ATUAL]]*-1,Base_Periodo1[[#This Row],[SALDO_ATUAL]]),4)</f>
        <v>0</v>
      </c>
      <c r="N3881" t="s">
        <v>116</v>
      </c>
      <c r="O3881" t="s">
        <v>436</v>
      </c>
      <c r="P3881" t="s">
        <v>436</v>
      </c>
      <c r="Q3881">
        <v>7</v>
      </c>
      <c r="R3881" s="225">
        <f>Base_Periodo1[[#This Row],[CREDITOS]]-Base_Periodo1[[#This Row],[DEBITOS]]</f>
        <v>0</v>
      </c>
      <c r="S3881" s="3" t="str">
        <f>IF(ISERROR(VLOOKUP(Base_Periodo1[[#This Row],[CONTA]],BaseContasDRE[#All],4,FALSE)),"Fora do DRE",VLOOKUP(Base_Periodo1[[#This Row],[CONTA]],BaseContasDRE[#All],4,FALSE))</f>
        <v>Fora do DRE</v>
      </c>
      <c r="T3881" s="3" t="str">
        <f>IF(ISERROR(VLOOKUP(Base_Periodo1[[#This Row],[CONTA]],BaseContasDRE[#All],5,FALSE)),"Fora do DRE",VLOOKUP(Base_Periodo1[[#This Row],[CONTA]],BaseContasDRE[#All],6,FALSE))</f>
        <v>Fora do DRE</v>
      </c>
      <c r="U3881" s="3" t="str">
        <f>IF(ISERROR(VLOOKUP(Base_Periodo1[[#This Row],[CONTA]],BaseContasDRE[#All],7,FALSE)),"Fora do DRE",VLOOKUP(Base_Periodo1[[#This Row],[CONTA]],BaseContasDRE[#All],7,FALSE))</f>
        <v>Fora do DRE</v>
      </c>
      <c r="V3881" s="3" t="str">
        <f>IF(Base_Periodo1[[#This Row],[Tipo_Linha]]="Fora do DRE","Fora do DRE","( "&amp;Base_Periodo1[[#This Row],[Tipo_Linha]]&amp;" ) "&amp;Base_Periodo1[[#This Row],[Filtro]])</f>
        <v>Fora do DRE</v>
      </c>
      <c r="W3881" s="3" t="str">
        <f>LEFT(Base_Periodo1[[#This Row],[CLASS]],3)</f>
        <v>2.1</v>
      </c>
    </row>
    <row r="3882" spans="1:23" hidden="1">
      <c r="A3882" s="3" t="str">
        <f t="shared" si="60"/>
        <v>Período 1</v>
      </c>
      <c r="B3882">
        <v>4677</v>
      </c>
      <c r="C3882" t="s">
        <v>2010</v>
      </c>
      <c r="D3882" t="s">
        <v>5190</v>
      </c>
      <c r="E3882" s="3" t="str">
        <f>IF(LEN(Base_Periodo1[[#This Row],[CLASS]])&gt;=7,LEFT(Base_Periodo1[[#This Row],[CLASS]],7),"")</f>
        <v>2.1.2.2</v>
      </c>
      <c r="F3882" s="3" t="str">
        <f>VLOOKUP(Base_Periodo1[[#This Row],[Aux]],Base_Contas_Balanco[#All],2,FALSE)</f>
        <v>Fornecedores Não Cooperados</v>
      </c>
      <c r="G3882" s="1">
        <v>42859</v>
      </c>
      <c r="H3882" s="225">
        <v>32500</v>
      </c>
      <c r="I3882" s="225">
        <v>32500</v>
      </c>
      <c r="J3882" s="225">
        <v>0</v>
      </c>
      <c r="K3882" s="225">
        <v>0</v>
      </c>
      <c r="L38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82" s="225">
        <f>ROUND(IF(AND(Base_Periodo1[[#This Row],[Tipo_Linha]]="-",Base_Periodo1[[#This Row],[TIPOSALDO]]="D"),Base_Periodo1[[#This Row],[SALDO_ATUAL]]*-1,Base_Periodo1[[#This Row],[SALDO_ATUAL]]),4)</f>
        <v>0</v>
      </c>
      <c r="N3882" t="s">
        <v>116</v>
      </c>
      <c r="O3882" t="s">
        <v>459</v>
      </c>
      <c r="P3882" t="s">
        <v>436</v>
      </c>
      <c r="Q3882">
        <v>7</v>
      </c>
      <c r="R3882" s="225">
        <f>Base_Periodo1[[#This Row],[CREDITOS]]-Base_Periodo1[[#This Row],[DEBITOS]]</f>
        <v>-32500</v>
      </c>
      <c r="S3882" s="3" t="str">
        <f>IF(ISERROR(VLOOKUP(Base_Periodo1[[#This Row],[CONTA]],BaseContasDRE[#All],4,FALSE)),"Fora do DRE",VLOOKUP(Base_Periodo1[[#This Row],[CONTA]],BaseContasDRE[#All],4,FALSE))</f>
        <v>Fora do DRE</v>
      </c>
      <c r="T3882" s="3" t="str">
        <f>IF(ISERROR(VLOOKUP(Base_Periodo1[[#This Row],[CONTA]],BaseContasDRE[#All],5,FALSE)),"Fora do DRE",VLOOKUP(Base_Periodo1[[#This Row],[CONTA]],BaseContasDRE[#All],6,FALSE))</f>
        <v>Fora do DRE</v>
      </c>
      <c r="U3882" s="3" t="str">
        <f>IF(ISERROR(VLOOKUP(Base_Periodo1[[#This Row],[CONTA]],BaseContasDRE[#All],7,FALSE)),"Fora do DRE",VLOOKUP(Base_Periodo1[[#This Row],[CONTA]],BaseContasDRE[#All],7,FALSE))</f>
        <v>Fora do DRE</v>
      </c>
      <c r="V3882" s="3" t="str">
        <f>IF(Base_Periodo1[[#This Row],[Tipo_Linha]]="Fora do DRE","Fora do DRE","( "&amp;Base_Periodo1[[#This Row],[Tipo_Linha]]&amp;" ) "&amp;Base_Periodo1[[#This Row],[Filtro]])</f>
        <v>Fora do DRE</v>
      </c>
      <c r="W3882" s="3" t="str">
        <f>LEFT(Base_Periodo1[[#This Row],[CLASS]],3)</f>
        <v>2.1</v>
      </c>
    </row>
    <row r="3883" spans="1:23" hidden="1">
      <c r="A3883" s="3" t="str">
        <f t="shared" si="60"/>
        <v>Período 1</v>
      </c>
      <c r="B3883">
        <v>49782</v>
      </c>
      <c r="C3883" t="s">
        <v>2010</v>
      </c>
      <c r="D3883" t="s">
        <v>5994</v>
      </c>
      <c r="E3883" s="3" t="str">
        <f>IF(LEN(Base_Periodo1[[#This Row],[CLASS]])&gt;=7,LEFT(Base_Periodo1[[#This Row],[CLASS]],7),"")</f>
        <v>2.1.2.2</v>
      </c>
      <c r="F3883" s="3" t="str">
        <f>VLOOKUP(Base_Periodo1[[#This Row],[Aux]],Base_Contas_Balanco[#All],2,FALSE)</f>
        <v>Fornecedores Não Cooperados</v>
      </c>
      <c r="G3883" s="1">
        <v>42877</v>
      </c>
      <c r="I3883" s="225">
        <v>1420</v>
      </c>
      <c r="J3883" s="225">
        <v>1420</v>
      </c>
      <c r="K3883" s="225">
        <v>0</v>
      </c>
      <c r="L38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83" s="225">
        <f>ROUND(IF(AND(Base_Periodo1[[#This Row],[Tipo_Linha]]="-",Base_Periodo1[[#This Row],[TIPOSALDO]]="D"),Base_Periodo1[[#This Row],[SALDO_ATUAL]]*-1,Base_Periodo1[[#This Row],[SALDO_ATUAL]]),4)</f>
        <v>0</v>
      </c>
      <c r="N3883" t="s">
        <v>116</v>
      </c>
      <c r="O3883" t="s">
        <v>436</v>
      </c>
      <c r="P3883" t="s">
        <v>436</v>
      </c>
      <c r="Q3883">
        <v>7</v>
      </c>
      <c r="R3883" s="225">
        <f>Base_Periodo1[[#This Row],[CREDITOS]]-Base_Periodo1[[#This Row],[DEBITOS]]</f>
        <v>0</v>
      </c>
      <c r="S3883" s="3" t="str">
        <f>IF(ISERROR(VLOOKUP(Base_Periodo1[[#This Row],[CONTA]],BaseContasDRE[#All],4,FALSE)),"Fora do DRE",VLOOKUP(Base_Periodo1[[#This Row],[CONTA]],BaseContasDRE[#All],4,FALSE))</f>
        <v>Fora do DRE</v>
      </c>
      <c r="T3883" s="3" t="str">
        <f>IF(ISERROR(VLOOKUP(Base_Periodo1[[#This Row],[CONTA]],BaseContasDRE[#All],5,FALSE)),"Fora do DRE",VLOOKUP(Base_Periodo1[[#This Row],[CONTA]],BaseContasDRE[#All],6,FALSE))</f>
        <v>Fora do DRE</v>
      </c>
      <c r="U3883" s="3" t="str">
        <f>IF(ISERROR(VLOOKUP(Base_Periodo1[[#This Row],[CONTA]],BaseContasDRE[#All],7,FALSE)),"Fora do DRE",VLOOKUP(Base_Periodo1[[#This Row],[CONTA]],BaseContasDRE[#All],7,FALSE))</f>
        <v>Fora do DRE</v>
      </c>
      <c r="V3883" s="3" t="str">
        <f>IF(Base_Periodo1[[#This Row],[Tipo_Linha]]="Fora do DRE","Fora do DRE","( "&amp;Base_Periodo1[[#This Row],[Tipo_Linha]]&amp;" ) "&amp;Base_Periodo1[[#This Row],[Filtro]])</f>
        <v>Fora do DRE</v>
      </c>
      <c r="W3883" s="3" t="str">
        <f>LEFT(Base_Periodo1[[#This Row],[CLASS]],3)</f>
        <v>2.1</v>
      </c>
    </row>
    <row r="3884" spans="1:23" hidden="1">
      <c r="A3884" s="3" t="str">
        <f t="shared" si="60"/>
        <v>Período 1</v>
      </c>
      <c r="B3884">
        <v>59239</v>
      </c>
      <c r="C3884" t="s">
        <v>2010</v>
      </c>
      <c r="D3884" t="s">
        <v>7114</v>
      </c>
      <c r="E3884" s="3" t="str">
        <f>IF(LEN(Base_Periodo1[[#This Row],[CLASS]])&gt;=7,LEFT(Base_Periodo1[[#This Row],[CLASS]],7),"")</f>
        <v>2.1.2.2</v>
      </c>
      <c r="F3884" s="3" t="str">
        <f>VLOOKUP(Base_Periodo1[[#This Row],[Aux]],Base_Contas_Balanco[#All],2,FALSE)</f>
        <v>Fornecedores Não Cooperados</v>
      </c>
      <c r="G3884" s="1">
        <v>42886</v>
      </c>
      <c r="I3884" s="225">
        <v>150</v>
      </c>
      <c r="J3884" s="225">
        <v>150</v>
      </c>
      <c r="K3884" s="225">
        <v>0</v>
      </c>
      <c r="L38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84" s="225">
        <f>ROUND(IF(AND(Base_Periodo1[[#This Row],[Tipo_Linha]]="-",Base_Periodo1[[#This Row],[TIPOSALDO]]="D"),Base_Periodo1[[#This Row],[SALDO_ATUAL]]*-1,Base_Periodo1[[#This Row],[SALDO_ATUAL]]),4)</f>
        <v>0</v>
      </c>
      <c r="N3884" t="s">
        <v>116</v>
      </c>
      <c r="O3884" t="s">
        <v>436</v>
      </c>
      <c r="P3884" t="s">
        <v>436</v>
      </c>
      <c r="Q3884">
        <v>7</v>
      </c>
      <c r="R3884" s="225">
        <f>Base_Periodo1[[#This Row],[CREDITOS]]-Base_Periodo1[[#This Row],[DEBITOS]]</f>
        <v>0</v>
      </c>
      <c r="S3884" s="3" t="str">
        <f>IF(ISERROR(VLOOKUP(Base_Periodo1[[#This Row],[CONTA]],BaseContasDRE[#All],4,FALSE)),"Fora do DRE",VLOOKUP(Base_Periodo1[[#This Row],[CONTA]],BaseContasDRE[#All],4,FALSE))</f>
        <v>Fora do DRE</v>
      </c>
      <c r="T3884" s="3" t="str">
        <f>IF(ISERROR(VLOOKUP(Base_Periodo1[[#This Row],[CONTA]],BaseContasDRE[#All],5,FALSE)),"Fora do DRE",VLOOKUP(Base_Periodo1[[#This Row],[CONTA]],BaseContasDRE[#All],6,FALSE))</f>
        <v>Fora do DRE</v>
      </c>
      <c r="U3884" s="3" t="str">
        <f>IF(ISERROR(VLOOKUP(Base_Periodo1[[#This Row],[CONTA]],BaseContasDRE[#All],7,FALSE)),"Fora do DRE",VLOOKUP(Base_Periodo1[[#This Row],[CONTA]],BaseContasDRE[#All],7,FALSE))</f>
        <v>Fora do DRE</v>
      </c>
      <c r="V3884" s="3" t="str">
        <f>IF(Base_Periodo1[[#This Row],[Tipo_Linha]]="Fora do DRE","Fora do DRE","( "&amp;Base_Periodo1[[#This Row],[Tipo_Linha]]&amp;" ) "&amp;Base_Periodo1[[#This Row],[Filtro]])</f>
        <v>Fora do DRE</v>
      </c>
      <c r="W3884" s="3" t="str">
        <f>LEFT(Base_Periodo1[[#This Row],[CLASS]],3)</f>
        <v>2.1</v>
      </c>
    </row>
    <row r="3885" spans="1:23" hidden="1">
      <c r="A3885" s="3" t="str">
        <f t="shared" si="60"/>
        <v>Período 1</v>
      </c>
      <c r="B3885">
        <v>55997</v>
      </c>
      <c r="C3885" t="s">
        <v>2010</v>
      </c>
      <c r="D3885" t="s">
        <v>7115</v>
      </c>
      <c r="E3885" s="3" t="str">
        <f>IF(LEN(Base_Periodo1[[#This Row],[CLASS]])&gt;=7,LEFT(Base_Periodo1[[#This Row],[CLASS]],7),"")</f>
        <v>2.1.2.2</v>
      </c>
      <c r="F3885" s="3" t="str">
        <f>VLOOKUP(Base_Periodo1[[#This Row],[Aux]],Base_Contas_Balanco[#All],2,FALSE)</f>
        <v>Fornecedores Não Cooperados</v>
      </c>
      <c r="G3885" s="1">
        <v>42865</v>
      </c>
      <c r="I3885" s="225">
        <v>1544.4</v>
      </c>
      <c r="J3885" s="225">
        <v>1544.4</v>
      </c>
      <c r="K3885" s="225">
        <v>0</v>
      </c>
      <c r="L38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85" s="225">
        <f>ROUND(IF(AND(Base_Periodo1[[#This Row],[Tipo_Linha]]="-",Base_Periodo1[[#This Row],[TIPOSALDO]]="D"),Base_Periodo1[[#This Row],[SALDO_ATUAL]]*-1,Base_Periodo1[[#This Row],[SALDO_ATUAL]]),4)</f>
        <v>0</v>
      </c>
      <c r="N3885" t="s">
        <v>116</v>
      </c>
      <c r="O3885" t="s">
        <v>436</v>
      </c>
      <c r="P3885" t="s">
        <v>436</v>
      </c>
      <c r="Q3885">
        <v>7</v>
      </c>
      <c r="R3885" s="225">
        <f>Base_Periodo1[[#This Row],[CREDITOS]]-Base_Periodo1[[#This Row],[DEBITOS]]</f>
        <v>0</v>
      </c>
      <c r="S3885" s="3" t="str">
        <f>IF(ISERROR(VLOOKUP(Base_Periodo1[[#This Row],[CONTA]],BaseContasDRE[#All],4,FALSE)),"Fora do DRE",VLOOKUP(Base_Periodo1[[#This Row],[CONTA]],BaseContasDRE[#All],4,FALSE))</f>
        <v>Fora do DRE</v>
      </c>
      <c r="T3885" s="3" t="str">
        <f>IF(ISERROR(VLOOKUP(Base_Periodo1[[#This Row],[CONTA]],BaseContasDRE[#All],5,FALSE)),"Fora do DRE",VLOOKUP(Base_Periodo1[[#This Row],[CONTA]],BaseContasDRE[#All],6,FALSE))</f>
        <v>Fora do DRE</v>
      </c>
      <c r="U3885" s="3" t="str">
        <f>IF(ISERROR(VLOOKUP(Base_Periodo1[[#This Row],[CONTA]],BaseContasDRE[#All],7,FALSE)),"Fora do DRE",VLOOKUP(Base_Periodo1[[#This Row],[CONTA]],BaseContasDRE[#All],7,FALSE))</f>
        <v>Fora do DRE</v>
      </c>
      <c r="V3885" s="3" t="str">
        <f>IF(Base_Periodo1[[#This Row],[Tipo_Linha]]="Fora do DRE","Fora do DRE","( "&amp;Base_Periodo1[[#This Row],[Tipo_Linha]]&amp;" ) "&amp;Base_Periodo1[[#This Row],[Filtro]])</f>
        <v>Fora do DRE</v>
      </c>
      <c r="W3885" s="3" t="str">
        <f>LEFT(Base_Periodo1[[#This Row],[CLASS]],3)</f>
        <v>2.1</v>
      </c>
    </row>
    <row r="3886" spans="1:23" hidden="1">
      <c r="A3886" s="3" t="str">
        <f t="shared" si="60"/>
        <v>Período 1</v>
      </c>
      <c r="B3886">
        <v>37774</v>
      </c>
      <c r="C3886" t="s">
        <v>2010</v>
      </c>
      <c r="D3886" t="s">
        <v>6782</v>
      </c>
      <c r="E3886" s="3" t="str">
        <f>IF(LEN(Base_Periodo1[[#This Row],[CLASS]])&gt;=7,LEFT(Base_Periodo1[[#This Row],[CLASS]],7),"")</f>
        <v>2.1.2.2</v>
      </c>
      <c r="F3886" s="3" t="str">
        <f>VLOOKUP(Base_Periodo1[[#This Row],[Aux]],Base_Contas_Balanco[#All],2,FALSE)</f>
        <v>Fornecedores Não Cooperados</v>
      </c>
      <c r="G3886" s="1"/>
      <c r="H3886" s="225">
        <v>38790</v>
      </c>
      <c r="I3886" s="225">
        <v>0</v>
      </c>
      <c r="J3886" s="225">
        <v>0</v>
      </c>
      <c r="K3886" s="225">
        <v>38790</v>
      </c>
      <c r="L38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38790</v>
      </c>
      <c r="M3886" s="225">
        <f>ROUND(IF(AND(Base_Periodo1[[#This Row],[Tipo_Linha]]="-",Base_Periodo1[[#This Row],[TIPOSALDO]]="D"),Base_Periodo1[[#This Row],[SALDO_ATUAL]]*-1,Base_Periodo1[[#This Row],[SALDO_ATUAL]]),4)</f>
        <v>38790</v>
      </c>
      <c r="N3886" t="s">
        <v>116</v>
      </c>
      <c r="O3886" t="s">
        <v>459</v>
      </c>
      <c r="P3886" t="s">
        <v>459</v>
      </c>
      <c r="Q3886">
        <v>7</v>
      </c>
      <c r="R3886" s="225">
        <f>Base_Periodo1[[#This Row],[CREDITOS]]-Base_Periodo1[[#This Row],[DEBITOS]]</f>
        <v>0</v>
      </c>
      <c r="S3886" s="3" t="str">
        <f>IF(ISERROR(VLOOKUP(Base_Periodo1[[#This Row],[CONTA]],BaseContasDRE[#All],4,FALSE)),"Fora do DRE",VLOOKUP(Base_Periodo1[[#This Row],[CONTA]],BaseContasDRE[#All],4,FALSE))</f>
        <v>Fora do DRE</v>
      </c>
      <c r="T3886" s="3" t="str">
        <f>IF(ISERROR(VLOOKUP(Base_Periodo1[[#This Row],[CONTA]],BaseContasDRE[#All],5,FALSE)),"Fora do DRE",VLOOKUP(Base_Periodo1[[#This Row],[CONTA]],BaseContasDRE[#All],6,FALSE))</f>
        <v>Fora do DRE</v>
      </c>
      <c r="U3886" s="3" t="str">
        <f>IF(ISERROR(VLOOKUP(Base_Periodo1[[#This Row],[CONTA]],BaseContasDRE[#All],7,FALSE)),"Fora do DRE",VLOOKUP(Base_Periodo1[[#This Row],[CONTA]],BaseContasDRE[#All],7,FALSE))</f>
        <v>Fora do DRE</v>
      </c>
      <c r="V3886" s="3" t="str">
        <f>IF(Base_Periodo1[[#This Row],[Tipo_Linha]]="Fora do DRE","Fora do DRE","( "&amp;Base_Periodo1[[#This Row],[Tipo_Linha]]&amp;" ) "&amp;Base_Periodo1[[#This Row],[Filtro]])</f>
        <v>Fora do DRE</v>
      </c>
      <c r="W3886" s="3" t="str">
        <f>LEFT(Base_Periodo1[[#This Row],[CLASS]],3)</f>
        <v>2.1</v>
      </c>
    </row>
    <row r="3887" spans="1:23" hidden="1">
      <c r="A3887" s="3" t="str">
        <f t="shared" si="60"/>
        <v>Período 1</v>
      </c>
      <c r="B3887">
        <v>13877</v>
      </c>
      <c r="C3887" t="s">
        <v>2010</v>
      </c>
      <c r="D3887" t="s">
        <v>5341</v>
      </c>
      <c r="E3887" s="3" t="str">
        <f>IF(LEN(Base_Periodo1[[#This Row],[CLASS]])&gt;=7,LEFT(Base_Periodo1[[#This Row],[CLASS]],7),"")</f>
        <v>2.1.2.2</v>
      </c>
      <c r="F3887" s="3" t="str">
        <f>VLOOKUP(Base_Periodo1[[#This Row],[Aux]],Base_Contas_Balanco[#All],2,FALSE)</f>
        <v>Fornecedores Não Cooperados</v>
      </c>
      <c r="G3887" s="1">
        <v>42870</v>
      </c>
      <c r="I3887" s="225">
        <v>17.739999999999998</v>
      </c>
      <c r="J3887" s="225">
        <v>17.739999999999998</v>
      </c>
      <c r="K3887" s="225">
        <v>1.8189894035458565E-12</v>
      </c>
      <c r="L38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87" s="225">
        <f>ROUND(IF(AND(Base_Periodo1[[#This Row],[Tipo_Linha]]="-",Base_Periodo1[[#This Row],[TIPOSALDO]]="D"),Base_Periodo1[[#This Row],[SALDO_ATUAL]]*-1,Base_Periodo1[[#This Row],[SALDO_ATUAL]]),4)</f>
        <v>0</v>
      </c>
      <c r="N3887" t="s">
        <v>116</v>
      </c>
      <c r="O3887" t="s">
        <v>436</v>
      </c>
      <c r="P3887" t="s">
        <v>436</v>
      </c>
      <c r="Q3887">
        <v>7</v>
      </c>
      <c r="R3887" s="225">
        <f>Base_Periodo1[[#This Row],[CREDITOS]]-Base_Periodo1[[#This Row],[DEBITOS]]</f>
        <v>0</v>
      </c>
      <c r="S3887" s="3" t="str">
        <f>IF(ISERROR(VLOOKUP(Base_Periodo1[[#This Row],[CONTA]],BaseContasDRE[#All],4,FALSE)),"Fora do DRE",VLOOKUP(Base_Periodo1[[#This Row],[CONTA]],BaseContasDRE[#All],4,FALSE))</f>
        <v>Fora do DRE</v>
      </c>
      <c r="T3887" s="3" t="str">
        <f>IF(ISERROR(VLOOKUP(Base_Periodo1[[#This Row],[CONTA]],BaseContasDRE[#All],5,FALSE)),"Fora do DRE",VLOOKUP(Base_Periodo1[[#This Row],[CONTA]],BaseContasDRE[#All],6,FALSE))</f>
        <v>Fora do DRE</v>
      </c>
      <c r="U3887" s="3" t="str">
        <f>IF(ISERROR(VLOOKUP(Base_Periodo1[[#This Row],[CONTA]],BaseContasDRE[#All],7,FALSE)),"Fora do DRE",VLOOKUP(Base_Periodo1[[#This Row],[CONTA]],BaseContasDRE[#All],7,FALSE))</f>
        <v>Fora do DRE</v>
      </c>
      <c r="V3887" s="3" t="str">
        <f>IF(Base_Periodo1[[#This Row],[Tipo_Linha]]="Fora do DRE","Fora do DRE","( "&amp;Base_Periodo1[[#This Row],[Tipo_Linha]]&amp;" ) "&amp;Base_Periodo1[[#This Row],[Filtro]])</f>
        <v>Fora do DRE</v>
      </c>
      <c r="W3887" s="3" t="str">
        <f>LEFT(Base_Periodo1[[#This Row],[CLASS]],3)</f>
        <v>2.1</v>
      </c>
    </row>
    <row r="3888" spans="1:23" hidden="1">
      <c r="A3888" s="3" t="str">
        <f t="shared" si="60"/>
        <v>Período 1</v>
      </c>
      <c r="B3888">
        <v>11081</v>
      </c>
      <c r="C3888" t="s">
        <v>2010</v>
      </c>
      <c r="D3888" t="s">
        <v>5235</v>
      </c>
      <c r="E3888" s="3" t="str">
        <f>IF(LEN(Base_Periodo1[[#This Row],[CLASS]])&gt;=7,LEFT(Base_Periodo1[[#This Row],[CLASS]],7),"")</f>
        <v>2.1.2.2</v>
      </c>
      <c r="F3888" s="3" t="str">
        <f>VLOOKUP(Base_Periodo1[[#This Row],[Aux]],Base_Contas_Balanco[#All],2,FALSE)</f>
        <v>Fornecedores Não Cooperados</v>
      </c>
      <c r="G3888" s="1">
        <v>42870</v>
      </c>
      <c r="I3888" s="225">
        <v>70.569999999999993</v>
      </c>
      <c r="J3888" s="225">
        <v>70.569999999999993</v>
      </c>
      <c r="K3888" s="225">
        <v>-1.4551915228366852E-11</v>
      </c>
      <c r="L38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88" s="225">
        <f>ROUND(IF(AND(Base_Periodo1[[#This Row],[Tipo_Linha]]="-",Base_Periodo1[[#This Row],[TIPOSALDO]]="D"),Base_Periodo1[[#This Row],[SALDO_ATUAL]]*-1,Base_Periodo1[[#This Row],[SALDO_ATUAL]]),4)</f>
        <v>0</v>
      </c>
      <c r="N3888" t="s">
        <v>116</v>
      </c>
      <c r="O3888" t="s">
        <v>436</v>
      </c>
      <c r="P3888" t="s">
        <v>436</v>
      </c>
      <c r="Q3888">
        <v>7</v>
      </c>
      <c r="R3888" s="225">
        <f>Base_Periodo1[[#This Row],[CREDITOS]]-Base_Periodo1[[#This Row],[DEBITOS]]</f>
        <v>0</v>
      </c>
      <c r="S3888" s="3" t="str">
        <f>IF(ISERROR(VLOOKUP(Base_Periodo1[[#This Row],[CONTA]],BaseContasDRE[#All],4,FALSE)),"Fora do DRE",VLOOKUP(Base_Periodo1[[#This Row],[CONTA]],BaseContasDRE[#All],4,FALSE))</f>
        <v>Fora do DRE</v>
      </c>
      <c r="T3888" s="3" t="str">
        <f>IF(ISERROR(VLOOKUP(Base_Periodo1[[#This Row],[CONTA]],BaseContasDRE[#All],5,FALSE)),"Fora do DRE",VLOOKUP(Base_Periodo1[[#This Row],[CONTA]],BaseContasDRE[#All],6,FALSE))</f>
        <v>Fora do DRE</v>
      </c>
      <c r="U3888" s="3" t="str">
        <f>IF(ISERROR(VLOOKUP(Base_Periodo1[[#This Row],[CONTA]],BaseContasDRE[#All],7,FALSE)),"Fora do DRE",VLOOKUP(Base_Periodo1[[#This Row],[CONTA]],BaseContasDRE[#All],7,FALSE))</f>
        <v>Fora do DRE</v>
      </c>
      <c r="V3888" s="3" t="str">
        <f>IF(Base_Periodo1[[#This Row],[Tipo_Linha]]="Fora do DRE","Fora do DRE","( "&amp;Base_Periodo1[[#This Row],[Tipo_Linha]]&amp;" ) "&amp;Base_Periodo1[[#This Row],[Filtro]])</f>
        <v>Fora do DRE</v>
      </c>
      <c r="W3888" s="3" t="str">
        <f>LEFT(Base_Periodo1[[#This Row],[CLASS]],3)</f>
        <v>2.1</v>
      </c>
    </row>
    <row r="3889" spans="1:23" hidden="1">
      <c r="A3889" s="3" t="str">
        <f t="shared" si="60"/>
        <v>Período 1</v>
      </c>
      <c r="B3889">
        <v>12564</v>
      </c>
      <c r="C3889" t="s">
        <v>2010</v>
      </c>
      <c r="D3889" t="s">
        <v>4863</v>
      </c>
      <c r="E3889" s="3" t="str">
        <f>IF(LEN(Base_Periodo1[[#This Row],[CLASS]])&gt;=7,LEFT(Base_Periodo1[[#This Row],[CLASS]],7),"")</f>
        <v>2.1.2.2</v>
      </c>
      <c r="F3889" s="3" t="str">
        <f>VLOOKUP(Base_Periodo1[[#This Row],[Aux]],Base_Contas_Balanco[#All],2,FALSE)</f>
        <v>Fornecedores Não Cooperados</v>
      </c>
      <c r="G3889" s="1">
        <v>42879</v>
      </c>
      <c r="I3889" s="225">
        <v>13.63</v>
      </c>
      <c r="J3889" s="225">
        <v>13.63</v>
      </c>
      <c r="K3889" s="225">
        <v>0</v>
      </c>
      <c r="L38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89" s="225">
        <f>ROUND(IF(AND(Base_Periodo1[[#This Row],[Tipo_Linha]]="-",Base_Periodo1[[#This Row],[TIPOSALDO]]="D"),Base_Periodo1[[#This Row],[SALDO_ATUAL]]*-1,Base_Periodo1[[#This Row],[SALDO_ATUAL]]),4)</f>
        <v>0</v>
      </c>
      <c r="N3889" t="s">
        <v>116</v>
      </c>
      <c r="O3889" t="s">
        <v>436</v>
      </c>
      <c r="P3889" t="s">
        <v>436</v>
      </c>
      <c r="Q3889">
        <v>7</v>
      </c>
      <c r="R3889" s="225">
        <f>Base_Periodo1[[#This Row],[CREDITOS]]-Base_Periodo1[[#This Row],[DEBITOS]]</f>
        <v>0</v>
      </c>
      <c r="S3889" s="3" t="str">
        <f>IF(ISERROR(VLOOKUP(Base_Periodo1[[#This Row],[CONTA]],BaseContasDRE[#All],4,FALSE)),"Fora do DRE",VLOOKUP(Base_Periodo1[[#This Row],[CONTA]],BaseContasDRE[#All],4,FALSE))</f>
        <v>Fora do DRE</v>
      </c>
      <c r="T3889" s="3" t="str">
        <f>IF(ISERROR(VLOOKUP(Base_Periodo1[[#This Row],[CONTA]],BaseContasDRE[#All],5,FALSE)),"Fora do DRE",VLOOKUP(Base_Periodo1[[#This Row],[CONTA]],BaseContasDRE[#All],6,FALSE))</f>
        <v>Fora do DRE</v>
      </c>
      <c r="U3889" s="3" t="str">
        <f>IF(ISERROR(VLOOKUP(Base_Periodo1[[#This Row],[CONTA]],BaseContasDRE[#All],7,FALSE)),"Fora do DRE",VLOOKUP(Base_Periodo1[[#This Row],[CONTA]],BaseContasDRE[#All],7,FALSE))</f>
        <v>Fora do DRE</v>
      </c>
      <c r="V3889" s="3" t="str">
        <f>IF(Base_Periodo1[[#This Row],[Tipo_Linha]]="Fora do DRE","Fora do DRE","( "&amp;Base_Periodo1[[#This Row],[Tipo_Linha]]&amp;" ) "&amp;Base_Periodo1[[#This Row],[Filtro]])</f>
        <v>Fora do DRE</v>
      </c>
      <c r="W3889" s="3" t="str">
        <f>LEFT(Base_Periodo1[[#This Row],[CLASS]],3)</f>
        <v>2.1</v>
      </c>
    </row>
    <row r="3890" spans="1:23" hidden="1">
      <c r="A3890" s="3" t="str">
        <f t="shared" si="60"/>
        <v>Período 1</v>
      </c>
      <c r="B3890">
        <v>30017</v>
      </c>
      <c r="C3890" t="s">
        <v>2010</v>
      </c>
      <c r="D3890" t="s">
        <v>2110</v>
      </c>
      <c r="E3890" s="3" t="str">
        <f>IF(LEN(Base_Periodo1[[#This Row],[CLASS]])&gt;=7,LEFT(Base_Periodo1[[#This Row],[CLASS]],7),"")</f>
        <v>2.1.2.2</v>
      </c>
      <c r="F3890" s="3" t="str">
        <f>VLOOKUP(Base_Periodo1[[#This Row],[Aux]],Base_Contas_Balanco[#All],2,FALSE)</f>
        <v>Fornecedores Não Cooperados</v>
      </c>
      <c r="G3890" s="1">
        <v>42870</v>
      </c>
      <c r="I3890" s="225">
        <v>12173.2</v>
      </c>
      <c r="J3890" s="225">
        <v>12173.2</v>
      </c>
      <c r="K3890" s="225">
        <v>0</v>
      </c>
      <c r="L38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90" s="225">
        <f>ROUND(IF(AND(Base_Periodo1[[#This Row],[Tipo_Linha]]="-",Base_Periodo1[[#This Row],[TIPOSALDO]]="D"),Base_Periodo1[[#This Row],[SALDO_ATUAL]]*-1,Base_Periodo1[[#This Row],[SALDO_ATUAL]]),4)</f>
        <v>0</v>
      </c>
      <c r="N3890" t="s">
        <v>116</v>
      </c>
      <c r="O3890" t="s">
        <v>436</v>
      </c>
      <c r="P3890" t="s">
        <v>436</v>
      </c>
      <c r="Q3890">
        <v>7</v>
      </c>
      <c r="R3890" s="225">
        <f>Base_Periodo1[[#This Row],[CREDITOS]]-Base_Periodo1[[#This Row],[DEBITOS]]</f>
        <v>0</v>
      </c>
      <c r="S3890" s="3" t="str">
        <f>IF(ISERROR(VLOOKUP(Base_Periodo1[[#This Row],[CONTA]],BaseContasDRE[#All],4,FALSE)),"Fora do DRE",VLOOKUP(Base_Periodo1[[#This Row],[CONTA]],BaseContasDRE[#All],4,FALSE))</f>
        <v>Fora do DRE</v>
      </c>
      <c r="T3890" s="3" t="str">
        <f>IF(ISERROR(VLOOKUP(Base_Periodo1[[#This Row],[CONTA]],BaseContasDRE[#All],5,FALSE)),"Fora do DRE",VLOOKUP(Base_Periodo1[[#This Row],[CONTA]],BaseContasDRE[#All],6,FALSE))</f>
        <v>Fora do DRE</v>
      </c>
      <c r="U3890" s="3" t="str">
        <f>IF(ISERROR(VLOOKUP(Base_Periodo1[[#This Row],[CONTA]],BaseContasDRE[#All],7,FALSE)),"Fora do DRE",VLOOKUP(Base_Periodo1[[#This Row],[CONTA]],BaseContasDRE[#All],7,FALSE))</f>
        <v>Fora do DRE</v>
      </c>
      <c r="V3890" s="3" t="str">
        <f>IF(Base_Periodo1[[#This Row],[Tipo_Linha]]="Fora do DRE","Fora do DRE","( "&amp;Base_Periodo1[[#This Row],[Tipo_Linha]]&amp;" ) "&amp;Base_Periodo1[[#This Row],[Filtro]])</f>
        <v>Fora do DRE</v>
      </c>
      <c r="W3890" s="3" t="str">
        <f>LEFT(Base_Periodo1[[#This Row],[CLASS]],3)</f>
        <v>2.1</v>
      </c>
    </row>
    <row r="3891" spans="1:23" hidden="1">
      <c r="A3891" s="3" t="str">
        <f t="shared" si="60"/>
        <v>Período 1</v>
      </c>
      <c r="B3891">
        <v>5165</v>
      </c>
      <c r="C3891" t="s">
        <v>2010</v>
      </c>
      <c r="D3891" t="s">
        <v>2111</v>
      </c>
      <c r="E3891" s="3" t="str">
        <f>IF(LEN(Base_Periodo1[[#This Row],[CLASS]])&gt;=7,LEFT(Base_Periodo1[[#This Row],[CLASS]],7),"")</f>
        <v>2.1.2.2</v>
      </c>
      <c r="F3891" s="3" t="str">
        <f>VLOOKUP(Base_Periodo1[[#This Row],[Aux]],Base_Contas_Balanco[#All],2,FALSE)</f>
        <v>Fornecedores Não Cooperados</v>
      </c>
      <c r="G3891" s="1">
        <v>42881</v>
      </c>
      <c r="I3891" s="225">
        <v>10067.51</v>
      </c>
      <c r="J3891" s="225">
        <v>10067.51</v>
      </c>
      <c r="K3891" s="225">
        <v>0</v>
      </c>
      <c r="L38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91" s="225">
        <f>ROUND(IF(AND(Base_Periodo1[[#This Row],[Tipo_Linha]]="-",Base_Periodo1[[#This Row],[TIPOSALDO]]="D"),Base_Periodo1[[#This Row],[SALDO_ATUAL]]*-1,Base_Periodo1[[#This Row],[SALDO_ATUAL]]),4)</f>
        <v>0</v>
      </c>
      <c r="N3891" t="s">
        <v>116</v>
      </c>
      <c r="O3891" t="s">
        <v>436</v>
      </c>
      <c r="P3891" t="s">
        <v>436</v>
      </c>
      <c r="Q3891">
        <v>7</v>
      </c>
      <c r="R3891" s="225">
        <f>Base_Periodo1[[#This Row],[CREDITOS]]-Base_Periodo1[[#This Row],[DEBITOS]]</f>
        <v>0</v>
      </c>
      <c r="S3891" s="3" t="str">
        <f>IF(ISERROR(VLOOKUP(Base_Periodo1[[#This Row],[CONTA]],BaseContasDRE[#All],4,FALSE)),"Fora do DRE",VLOOKUP(Base_Periodo1[[#This Row],[CONTA]],BaseContasDRE[#All],4,FALSE))</f>
        <v>Fora do DRE</v>
      </c>
      <c r="T3891" s="3" t="str">
        <f>IF(ISERROR(VLOOKUP(Base_Periodo1[[#This Row],[CONTA]],BaseContasDRE[#All],5,FALSE)),"Fora do DRE",VLOOKUP(Base_Periodo1[[#This Row],[CONTA]],BaseContasDRE[#All],6,FALSE))</f>
        <v>Fora do DRE</v>
      </c>
      <c r="U3891" s="3" t="str">
        <f>IF(ISERROR(VLOOKUP(Base_Periodo1[[#This Row],[CONTA]],BaseContasDRE[#All],7,FALSE)),"Fora do DRE",VLOOKUP(Base_Periodo1[[#This Row],[CONTA]],BaseContasDRE[#All],7,FALSE))</f>
        <v>Fora do DRE</v>
      </c>
      <c r="V3891" s="3" t="str">
        <f>IF(Base_Periodo1[[#This Row],[Tipo_Linha]]="Fora do DRE","Fora do DRE","( "&amp;Base_Periodo1[[#This Row],[Tipo_Linha]]&amp;" ) "&amp;Base_Periodo1[[#This Row],[Filtro]])</f>
        <v>Fora do DRE</v>
      </c>
      <c r="W3891" s="3" t="str">
        <f>LEFT(Base_Periodo1[[#This Row],[CLASS]],3)</f>
        <v>2.1</v>
      </c>
    </row>
    <row r="3892" spans="1:23" hidden="1">
      <c r="A3892" s="3" t="str">
        <f t="shared" si="60"/>
        <v>Período 1</v>
      </c>
      <c r="B3892">
        <v>10958</v>
      </c>
      <c r="C3892" t="s">
        <v>2010</v>
      </c>
      <c r="D3892" t="s">
        <v>5441</v>
      </c>
      <c r="E3892" s="3" t="str">
        <f>IF(LEN(Base_Periodo1[[#This Row],[CLASS]])&gt;=7,LEFT(Base_Periodo1[[#This Row],[CLASS]],7),"")</f>
        <v>2.1.2.2</v>
      </c>
      <c r="F3892" s="3" t="str">
        <f>VLOOKUP(Base_Periodo1[[#This Row],[Aux]],Base_Contas_Balanco[#All],2,FALSE)</f>
        <v>Fornecedores Não Cooperados</v>
      </c>
      <c r="G3892" s="1">
        <v>42871</v>
      </c>
      <c r="I3892" s="225">
        <v>168.87</v>
      </c>
      <c r="J3892" s="225">
        <v>168.87</v>
      </c>
      <c r="K3892" s="225">
        <v>0</v>
      </c>
      <c r="L38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92" s="225">
        <f>ROUND(IF(AND(Base_Periodo1[[#This Row],[Tipo_Linha]]="-",Base_Periodo1[[#This Row],[TIPOSALDO]]="D"),Base_Periodo1[[#This Row],[SALDO_ATUAL]]*-1,Base_Periodo1[[#This Row],[SALDO_ATUAL]]),4)</f>
        <v>0</v>
      </c>
      <c r="N3892" t="s">
        <v>116</v>
      </c>
      <c r="O3892" t="s">
        <v>436</v>
      </c>
      <c r="P3892" t="s">
        <v>436</v>
      </c>
      <c r="Q3892">
        <v>7</v>
      </c>
      <c r="R3892" s="225">
        <f>Base_Periodo1[[#This Row],[CREDITOS]]-Base_Periodo1[[#This Row],[DEBITOS]]</f>
        <v>0</v>
      </c>
      <c r="S3892" s="3" t="str">
        <f>IF(ISERROR(VLOOKUP(Base_Periodo1[[#This Row],[CONTA]],BaseContasDRE[#All],4,FALSE)),"Fora do DRE",VLOOKUP(Base_Periodo1[[#This Row],[CONTA]],BaseContasDRE[#All],4,FALSE))</f>
        <v>Fora do DRE</v>
      </c>
      <c r="T3892" s="3" t="str">
        <f>IF(ISERROR(VLOOKUP(Base_Periodo1[[#This Row],[CONTA]],BaseContasDRE[#All],5,FALSE)),"Fora do DRE",VLOOKUP(Base_Periodo1[[#This Row],[CONTA]],BaseContasDRE[#All],6,FALSE))</f>
        <v>Fora do DRE</v>
      </c>
      <c r="U3892" s="3" t="str">
        <f>IF(ISERROR(VLOOKUP(Base_Periodo1[[#This Row],[CONTA]],BaseContasDRE[#All],7,FALSE)),"Fora do DRE",VLOOKUP(Base_Periodo1[[#This Row],[CONTA]],BaseContasDRE[#All],7,FALSE))</f>
        <v>Fora do DRE</v>
      </c>
      <c r="V3892" s="3" t="str">
        <f>IF(Base_Periodo1[[#This Row],[Tipo_Linha]]="Fora do DRE","Fora do DRE","( "&amp;Base_Periodo1[[#This Row],[Tipo_Linha]]&amp;" ) "&amp;Base_Periodo1[[#This Row],[Filtro]])</f>
        <v>Fora do DRE</v>
      </c>
      <c r="W3892" s="3" t="str">
        <f>LEFT(Base_Periodo1[[#This Row],[CLASS]],3)</f>
        <v>2.1</v>
      </c>
    </row>
    <row r="3893" spans="1:23" hidden="1">
      <c r="A3893" s="3" t="str">
        <f t="shared" si="60"/>
        <v>Período 1</v>
      </c>
      <c r="B3893">
        <v>20214</v>
      </c>
      <c r="C3893" t="s">
        <v>2010</v>
      </c>
      <c r="D3893" t="s">
        <v>2112</v>
      </c>
      <c r="E3893" s="3" t="str">
        <f>IF(LEN(Base_Periodo1[[#This Row],[CLASS]])&gt;=7,LEFT(Base_Periodo1[[#This Row],[CLASS]],7),"")</f>
        <v>2.1.2.2</v>
      </c>
      <c r="F3893" s="3" t="str">
        <f>VLOOKUP(Base_Periodo1[[#This Row],[Aux]],Base_Contas_Balanco[#All],2,FALSE)</f>
        <v>Fornecedores Não Cooperados</v>
      </c>
      <c r="G3893" s="1">
        <v>42870</v>
      </c>
      <c r="I3893" s="225">
        <v>22.6</v>
      </c>
      <c r="J3893" s="225">
        <v>22.6</v>
      </c>
      <c r="K3893" s="225">
        <v>-1.4551915228366852E-11</v>
      </c>
      <c r="L38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93" s="225">
        <f>ROUND(IF(AND(Base_Periodo1[[#This Row],[Tipo_Linha]]="-",Base_Periodo1[[#This Row],[TIPOSALDO]]="D"),Base_Periodo1[[#This Row],[SALDO_ATUAL]]*-1,Base_Periodo1[[#This Row],[SALDO_ATUAL]]),4)</f>
        <v>0</v>
      </c>
      <c r="N3893" t="s">
        <v>116</v>
      </c>
      <c r="O3893" t="s">
        <v>436</v>
      </c>
      <c r="P3893" t="s">
        <v>436</v>
      </c>
      <c r="Q3893">
        <v>7</v>
      </c>
      <c r="R3893" s="225">
        <f>Base_Periodo1[[#This Row],[CREDITOS]]-Base_Periodo1[[#This Row],[DEBITOS]]</f>
        <v>0</v>
      </c>
      <c r="S3893" s="3" t="str">
        <f>IF(ISERROR(VLOOKUP(Base_Periodo1[[#This Row],[CONTA]],BaseContasDRE[#All],4,FALSE)),"Fora do DRE",VLOOKUP(Base_Periodo1[[#This Row],[CONTA]],BaseContasDRE[#All],4,FALSE))</f>
        <v>Fora do DRE</v>
      </c>
      <c r="T3893" s="3" t="str">
        <f>IF(ISERROR(VLOOKUP(Base_Periodo1[[#This Row],[CONTA]],BaseContasDRE[#All],5,FALSE)),"Fora do DRE",VLOOKUP(Base_Periodo1[[#This Row],[CONTA]],BaseContasDRE[#All],6,FALSE))</f>
        <v>Fora do DRE</v>
      </c>
      <c r="U3893" s="3" t="str">
        <f>IF(ISERROR(VLOOKUP(Base_Periodo1[[#This Row],[CONTA]],BaseContasDRE[#All],7,FALSE)),"Fora do DRE",VLOOKUP(Base_Periodo1[[#This Row],[CONTA]],BaseContasDRE[#All],7,FALSE))</f>
        <v>Fora do DRE</v>
      </c>
      <c r="V3893" s="3" t="str">
        <f>IF(Base_Periodo1[[#This Row],[Tipo_Linha]]="Fora do DRE","Fora do DRE","( "&amp;Base_Periodo1[[#This Row],[Tipo_Linha]]&amp;" ) "&amp;Base_Periodo1[[#This Row],[Filtro]])</f>
        <v>Fora do DRE</v>
      </c>
      <c r="W3893" s="3" t="str">
        <f>LEFT(Base_Periodo1[[#This Row],[CLASS]],3)</f>
        <v>2.1</v>
      </c>
    </row>
    <row r="3894" spans="1:23" hidden="1">
      <c r="A3894" s="3" t="str">
        <f t="shared" si="60"/>
        <v>Período 1</v>
      </c>
      <c r="B3894">
        <v>19220</v>
      </c>
      <c r="C3894" t="s">
        <v>2010</v>
      </c>
      <c r="D3894" t="s">
        <v>6783</v>
      </c>
      <c r="E3894" s="3" t="str">
        <f>IF(LEN(Base_Periodo1[[#This Row],[CLASS]])&gt;=7,LEFT(Base_Periodo1[[#This Row],[CLASS]],7),"")</f>
        <v>2.1.2.2</v>
      </c>
      <c r="F3894" s="3" t="str">
        <f>VLOOKUP(Base_Periodo1[[#This Row],[Aux]],Base_Contas_Balanco[#All],2,FALSE)</f>
        <v>Fornecedores Não Cooperados</v>
      </c>
      <c r="G3894" s="1">
        <v>42874</v>
      </c>
      <c r="I3894" s="225">
        <v>1280</v>
      </c>
      <c r="J3894" s="225">
        <v>2830</v>
      </c>
      <c r="K3894" s="225">
        <v>1550</v>
      </c>
      <c r="L38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1550</v>
      </c>
      <c r="M3894" s="225">
        <f>ROUND(IF(AND(Base_Periodo1[[#This Row],[Tipo_Linha]]="-",Base_Periodo1[[#This Row],[TIPOSALDO]]="D"),Base_Periodo1[[#This Row],[SALDO_ATUAL]]*-1,Base_Periodo1[[#This Row],[SALDO_ATUAL]]),4)</f>
        <v>1550</v>
      </c>
      <c r="N3894" t="s">
        <v>116</v>
      </c>
      <c r="O3894" t="s">
        <v>436</v>
      </c>
      <c r="P3894" t="s">
        <v>459</v>
      </c>
      <c r="Q3894">
        <v>7</v>
      </c>
      <c r="R3894" s="225">
        <f>Base_Periodo1[[#This Row],[CREDITOS]]-Base_Periodo1[[#This Row],[DEBITOS]]</f>
        <v>1550</v>
      </c>
      <c r="S3894" s="3" t="str">
        <f>IF(ISERROR(VLOOKUP(Base_Periodo1[[#This Row],[CONTA]],BaseContasDRE[#All],4,FALSE)),"Fora do DRE",VLOOKUP(Base_Periodo1[[#This Row],[CONTA]],BaseContasDRE[#All],4,FALSE))</f>
        <v>Fora do DRE</v>
      </c>
      <c r="T3894" s="3" t="str">
        <f>IF(ISERROR(VLOOKUP(Base_Periodo1[[#This Row],[CONTA]],BaseContasDRE[#All],5,FALSE)),"Fora do DRE",VLOOKUP(Base_Periodo1[[#This Row],[CONTA]],BaseContasDRE[#All],6,FALSE))</f>
        <v>Fora do DRE</v>
      </c>
      <c r="U3894" s="3" t="str">
        <f>IF(ISERROR(VLOOKUP(Base_Periodo1[[#This Row],[CONTA]],BaseContasDRE[#All],7,FALSE)),"Fora do DRE",VLOOKUP(Base_Periodo1[[#This Row],[CONTA]],BaseContasDRE[#All],7,FALSE))</f>
        <v>Fora do DRE</v>
      </c>
      <c r="V3894" s="3" t="str">
        <f>IF(Base_Periodo1[[#This Row],[Tipo_Linha]]="Fora do DRE","Fora do DRE","( "&amp;Base_Periodo1[[#This Row],[Tipo_Linha]]&amp;" ) "&amp;Base_Periodo1[[#This Row],[Filtro]])</f>
        <v>Fora do DRE</v>
      </c>
      <c r="W3894" s="3" t="str">
        <f>LEFT(Base_Periodo1[[#This Row],[CLASS]],3)</f>
        <v>2.1</v>
      </c>
    </row>
    <row r="3895" spans="1:23" hidden="1">
      <c r="A3895" s="3" t="str">
        <f t="shared" si="60"/>
        <v>Período 1</v>
      </c>
      <c r="B3895">
        <v>55325</v>
      </c>
      <c r="C3895" t="s">
        <v>2010</v>
      </c>
      <c r="D3895" t="s">
        <v>7116</v>
      </c>
      <c r="E3895" s="3" t="str">
        <f>IF(LEN(Base_Periodo1[[#This Row],[CLASS]])&gt;=7,LEFT(Base_Periodo1[[#This Row],[CLASS]],7),"")</f>
        <v>2.1.2.2</v>
      </c>
      <c r="F3895" s="3" t="str">
        <f>VLOOKUP(Base_Periodo1[[#This Row],[Aux]],Base_Contas_Balanco[#All],2,FALSE)</f>
        <v>Fornecedores Não Cooperados</v>
      </c>
      <c r="G3895" s="1">
        <v>42881</v>
      </c>
      <c r="I3895" s="225">
        <v>0</v>
      </c>
      <c r="J3895" s="225">
        <v>5755</v>
      </c>
      <c r="K3895" s="225">
        <v>5755</v>
      </c>
      <c r="L38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5755</v>
      </c>
      <c r="M3895" s="225">
        <f>ROUND(IF(AND(Base_Periodo1[[#This Row],[Tipo_Linha]]="-",Base_Periodo1[[#This Row],[TIPOSALDO]]="D"),Base_Periodo1[[#This Row],[SALDO_ATUAL]]*-1,Base_Periodo1[[#This Row],[SALDO_ATUAL]]),4)</f>
        <v>5755</v>
      </c>
      <c r="N3895" t="s">
        <v>116</v>
      </c>
      <c r="O3895" t="s">
        <v>436</v>
      </c>
      <c r="P3895" t="s">
        <v>459</v>
      </c>
      <c r="Q3895">
        <v>7</v>
      </c>
      <c r="R3895" s="225">
        <f>Base_Periodo1[[#This Row],[CREDITOS]]-Base_Periodo1[[#This Row],[DEBITOS]]</f>
        <v>5755</v>
      </c>
      <c r="S3895" s="3" t="str">
        <f>IF(ISERROR(VLOOKUP(Base_Periodo1[[#This Row],[CONTA]],BaseContasDRE[#All],4,FALSE)),"Fora do DRE",VLOOKUP(Base_Periodo1[[#This Row],[CONTA]],BaseContasDRE[#All],4,FALSE))</f>
        <v>Fora do DRE</v>
      </c>
      <c r="T3895" s="3" t="str">
        <f>IF(ISERROR(VLOOKUP(Base_Periodo1[[#This Row],[CONTA]],BaseContasDRE[#All],5,FALSE)),"Fora do DRE",VLOOKUP(Base_Periodo1[[#This Row],[CONTA]],BaseContasDRE[#All],6,FALSE))</f>
        <v>Fora do DRE</v>
      </c>
      <c r="U3895" s="3" t="str">
        <f>IF(ISERROR(VLOOKUP(Base_Periodo1[[#This Row],[CONTA]],BaseContasDRE[#All],7,FALSE)),"Fora do DRE",VLOOKUP(Base_Periodo1[[#This Row],[CONTA]],BaseContasDRE[#All],7,FALSE))</f>
        <v>Fora do DRE</v>
      </c>
      <c r="V3895" s="3" t="str">
        <f>IF(Base_Periodo1[[#This Row],[Tipo_Linha]]="Fora do DRE","Fora do DRE","( "&amp;Base_Periodo1[[#This Row],[Tipo_Linha]]&amp;" ) "&amp;Base_Periodo1[[#This Row],[Filtro]])</f>
        <v>Fora do DRE</v>
      </c>
      <c r="W3895" s="3" t="str">
        <f>LEFT(Base_Periodo1[[#This Row],[CLASS]],3)</f>
        <v>2.1</v>
      </c>
    </row>
    <row r="3896" spans="1:23" hidden="1">
      <c r="A3896" s="3" t="str">
        <f t="shared" si="60"/>
        <v>Período 1</v>
      </c>
      <c r="B3896">
        <v>8577</v>
      </c>
      <c r="C3896" t="s">
        <v>2010</v>
      </c>
      <c r="D3896" t="s">
        <v>2113</v>
      </c>
      <c r="E3896" s="3" t="str">
        <f>IF(LEN(Base_Periodo1[[#This Row],[CLASS]])&gt;=7,LEFT(Base_Periodo1[[#This Row],[CLASS]],7),"")</f>
        <v>2.1.2.2</v>
      </c>
      <c r="F3896" s="3" t="str">
        <f>VLOOKUP(Base_Periodo1[[#This Row],[Aux]],Base_Contas_Balanco[#All],2,FALSE)</f>
        <v>Fornecedores Não Cooperados</v>
      </c>
      <c r="G3896" s="1">
        <v>42880</v>
      </c>
      <c r="H3896" s="225">
        <v>1833.1499999999651</v>
      </c>
      <c r="I3896" s="225">
        <v>1953.2800000000002</v>
      </c>
      <c r="J3896" s="225">
        <v>1953.28</v>
      </c>
      <c r="K3896" s="225">
        <v>1833.1499999999648</v>
      </c>
      <c r="L38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1833.15</v>
      </c>
      <c r="M3896" s="225">
        <f>ROUND(IF(AND(Base_Periodo1[[#This Row],[Tipo_Linha]]="-",Base_Periodo1[[#This Row],[TIPOSALDO]]="D"),Base_Periodo1[[#This Row],[SALDO_ATUAL]]*-1,Base_Periodo1[[#This Row],[SALDO_ATUAL]]),4)</f>
        <v>1833.15</v>
      </c>
      <c r="N3896" t="s">
        <v>116</v>
      </c>
      <c r="O3896" t="s">
        <v>459</v>
      </c>
      <c r="P3896" t="s">
        <v>459</v>
      </c>
      <c r="Q3896">
        <v>7</v>
      </c>
      <c r="R3896" s="225">
        <f>Base_Periodo1[[#This Row],[CREDITOS]]-Base_Periodo1[[#This Row],[DEBITOS]]</f>
        <v>0</v>
      </c>
      <c r="S3896" s="3" t="str">
        <f>IF(ISERROR(VLOOKUP(Base_Periodo1[[#This Row],[CONTA]],BaseContasDRE[#All],4,FALSE)),"Fora do DRE",VLOOKUP(Base_Periodo1[[#This Row],[CONTA]],BaseContasDRE[#All],4,FALSE))</f>
        <v>Fora do DRE</v>
      </c>
      <c r="T3896" s="3" t="str">
        <f>IF(ISERROR(VLOOKUP(Base_Periodo1[[#This Row],[CONTA]],BaseContasDRE[#All],5,FALSE)),"Fora do DRE",VLOOKUP(Base_Periodo1[[#This Row],[CONTA]],BaseContasDRE[#All],6,FALSE))</f>
        <v>Fora do DRE</v>
      </c>
      <c r="U3896" s="3" t="str">
        <f>IF(ISERROR(VLOOKUP(Base_Periodo1[[#This Row],[CONTA]],BaseContasDRE[#All],7,FALSE)),"Fora do DRE",VLOOKUP(Base_Periodo1[[#This Row],[CONTA]],BaseContasDRE[#All],7,FALSE))</f>
        <v>Fora do DRE</v>
      </c>
      <c r="V3896" s="3" t="str">
        <f>IF(Base_Periodo1[[#This Row],[Tipo_Linha]]="Fora do DRE","Fora do DRE","( "&amp;Base_Periodo1[[#This Row],[Tipo_Linha]]&amp;" ) "&amp;Base_Periodo1[[#This Row],[Filtro]])</f>
        <v>Fora do DRE</v>
      </c>
      <c r="W3896" s="3" t="str">
        <f>LEFT(Base_Periodo1[[#This Row],[CLASS]],3)</f>
        <v>2.1</v>
      </c>
    </row>
    <row r="3897" spans="1:23" hidden="1">
      <c r="A3897" s="3" t="str">
        <f t="shared" si="60"/>
        <v>Período 1</v>
      </c>
      <c r="B3897">
        <v>29184</v>
      </c>
      <c r="C3897" t="s">
        <v>2010</v>
      </c>
      <c r="D3897" t="s">
        <v>7117</v>
      </c>
      <c r="E3897" s="3" t="str">
        <f>IF(LEN(Base_Periodo1[[#This Row],[CLASS]])&gt;=7,LEFT(Base_Periodo1[[#This Row],[CLASS]],7),"")</f>
        <v>2.1.2.2</v>
      </c>
      <c r="F3897" s="3" t="str">
        <f>VLOOKUP(Base_Periodo1[[#This Row],[Aux]],Base_Contas_Balanco[#All],2,FALSE)</f>
        <v>Fornecedores Não Cooperados</v>
      </c>
      <c r="G3897" s="1">
        <v>42884</v>
      </c>
      <c r="I3897" s="225">
        <v>1011.34</v>
      </c>
      <c r="J3897" s="225">
        <v>1011.34</v>
      </c>
      <c r="K3897" s="225">
        <v>0</v>
      </c>
      <c r="L38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897" s="225">
        <f>ROUND(IF(AND(Base_Periodo1[[#This Row],[Tipo_Linha]]="-",Base_Periodo1[[#This Row],[TIPOSALDO]]="D"),Base_Periodo1[[#This Row],[SALDO_ATUAL]]*-1,Base_Periodo1[[#This Row],[SALDO_ATUAL]]),4)</f>
        <v>0</v>
      </c>
      <c r="N3897" t="s">
        <v>116</v>
      </c>
      <c r="O3897" t="s">
        <v>436</v>
      </c>
      <c r="P3897" t="s">
        <v>436</v>
      </c>
      <c r="Q3897">
        <v>7</v>
      </c>
      <c r="R3897" s="225">
        <f>Base_Periodo1[[#This Row],[CREDITOS]]-Base_Periodo1[[#This Row],[DEBITOS]]</f>
        <v>0</v>
      </c>
      <c r="S3897" s="3" t="str">
        <f>IF(ISERROR(VLOOKUP(Base_Periodo1[[#This Row],[CONTA]],BaseContasDRE[#All],4,FALSE)),"Fora do DRE",VLOOKUP(Base_Periodo1[[#This Row],[CONTA]],BaseContasDRE[#All],4,FALSE))</f>
        <v>Fora do DRE</v>
      </c>
      <c r="T3897" s="3" t="str">
        <f>IF(ISERROR(VLOOKUP(Base_Periodo1[[#This Row],[CONTA]],BaseContasDRE[#All],5,FALSE)),"Fora do DRE",VLOOKUP(Base_Periodo1[[#This Row],[CONTA]],BaseContasDRE[#All],6,FALSE))</f>
        <v>Fora do DRE</v>
      </c>
      <c r="U3897" s="3" t="str">
        <f>IF(ISERROR(VLOOKUP(Base_Periodo1[[#This Row],[CONTA]],BaseContasDRE[#All],7,FALSE)),"Fora do DRE",VLOOKUP(Base_Periodo1[[#This Row],[CONTA]],BaseContasDRE[#All],7,FALSE))</f>
        <v>Fora do DRE</v>
      </c>
      <c r="V3897" s="3" t="str">
        <f>IF(Base_Periodo1[[#This Row],[Tipo_Linha]]="Fora do DRE","Fora do DRE","( "&amp;Base_Periodo1[[#This Row],[Tipo_Linha]]&amp;" ) "&amp;Base_Periodo1[[#This Row],[Filtro]])</f>
        <v>Fora do DRE</v>
      </c>
      <c r="W3897" s="3" t="str">
        <f>LEFT(Base_Periodo1[[#This Row],[CLASS]],3)</f>
        <v>2.1</v>
      </c>
    </row>
    <row r="3898" spans="1:23" hidden="1">
      <c r="A3898" s="3" t="str">
        <f t="shared" si="60"/>
        <v>Período 1</v>
      </c>
      <c r="B3898">
        <v>49734</v>
      </c>
      <c r="C3898" t="s">
        <v>2010</v>
      </c>
      <c r="D3898" t="s">
        <v>6511</v>
      </c>
      <c r="E3898" s="3" t="str">
        <f>IF(LEN(Base_Periodo1[[#This Row],[CLASS]])&gt;=7,LEFT(Base_Periodo1[[#This Row],[CLASS]],7),"")</f>
        <v>2.1.2.2</v>
      </c>
      <c r="F3898" s="3" t="str">
        <f>VLOOKUP(Base_Periodo1[[#This Row],[Aux]],Base_Contas_Balanco[#All],2,FALSE)</f>
        <v>Fornecedores Não Cooperados</v>
      </c>
      <c r="G3898" s="1">
        <v>42878</v>
      </c>
      <c r="I3898" s="225">
        <v>0</v>
      </c>
      <c r="J3898" s="225">
        <v>36300</v>
      </c>
      <c r="K3898" s="225">
        <v>36300</v>
      </c>
      <c r="L38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36300</v>
      </c>
      <c r="M3898" s="225">
        <f>ROUND(IF(AND(Base_Periodo1[[#This Row],[Tipo_Linha]]="-",Base_Periodo1[[#This Row],[TIPOSALDO]]="D"),Base_Periodo1[[#This Row],[SALDO_ATUAL]]*-1,Base_Periodo1[[#This Row],[SALDO_ATUAL]]),4)</f>
        <v>36300</v>
      </c>
      <c r="N3898" t="s">
        <v>116</v>
      </c>
      <c r="O3898" t="s">
        <v>436</v>
      </c>
      <c r="P3898" t="s">
        <v>459</v>
      </c>
      <c r="Q3898">
        <v>7</v>
      </c>
      <c r="R3898" s="225">
        <f>Base_Periodo1[[#This Row],[CREDITOS]]-Base_Periodo1[[#This Row],[DEBITOS]]</f>
        <v>36300</v>
      </c>
      <c r="S3898" s="3" t="str">
        <f>IF(ISERROR(VLOOKUP(Base_Periodo1[[#This Row],[CONTA]],BaseContasDRE[#All],4,FALSE)),"Fora do DRE",VLOOKUP(Base_Periodo1[[#This Row],[CONTA]],BaseContasDRE[#All],4,FALSE))</f>
        <v>Fora do DRE</v>
      </c>
      <c r="T3898" s="3" t="str">
        <f>IF(ISERROR(VLOOKUP(Base_Periodo1[[#This Row],[CONTA]],BaseContasDRE[#All],5,FALSE)),"Fora do DRE",VLOOKUP(Base_Periodo1[[#This Row],[CONTA]],BaseContasDRE[#All],6,FALSE))</f>
        <v>Fora do DRE</v>
      </c>
      <c r="U3898" s="3" t="str">
        <f>IF(ISERROR(VLOOKUP(Base_Periodo1[[#This Row],[CONTA]],BaseContasDRE[#All],7,FALSE)),"Fora do DRE",VLOOKUP(Base_Periodo1[[#This Row],[CONTA]],BaseContasDRE[#All],7,FALSE))</f>
        <v>Fora do DRE</v>
      </c>
      <c r="V3898" s="3" t="str">
        <f>IF(Base_Periodo1[[#This Row],[Tipo_Linha]]="Fora do DRE","Fora do DRE","( "&amp;Base_Periodo1[[#This Row],[Tipo_Linha]]&amp;" ) "&amp;Base_Periodo1[[#This Row],[Filtro]])</f>
        <v>Fora do DRE</v>
      </c>
      <c r="W3898" s="3" t="str">
        <f>LEFT(Base_Periodo1[[#This Row],[CLASS]],3)</f>
        <v>2.1</v>
      </c>
    </row>
    <row r="3899" spans="1:23" hidden="1">
      <c r="A3899" s="3" t="str">
        <f t="shared" si="60"/>
        <v>Período 1</v>
      </c>
      <c r="B3899">
        <v>53907</v>
      </c>
      <c r="C3899" t="s">
        <v>2010</v>
      </c>
      <c r="D3899" t="s">
        <v>7118</v>
      </c>
      <c r="E3899" s="3" t="str">
        <f>IF(LEN(Base_Periodo1[[#This Row],[CLASS]])&gt;=7,LEFT(Base_Periodo1[[#This Row],[CLASS]],7),"")</f>
        <v>2.1.2.2</v>
      </c>
      <c r="F3899" s="3" t="str">
        <f>VLOOKUP(Base_Periodo1[[#This Row],[Aux]],Base_Contas_Balanco[#All],2,FALSE)</f>
        <v>Fornecedores Não Cooperados</v>
      </c>
      <c r="G3899" s="1">
        <v>42879</v>
      </c>
      <c r="I3899" s="225">
        <v>61.35</v>
      </c>
      <c r="J3899" s="225">
        <v>4090.49</v>
      </c>
      <c r="K3899" s="225">
        <v>4029.14</v>
      </c>
      <c r="L38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4029.14</v>
      </c>
      <c r="M3899" s="225">
        <f>ROUND(IF(AND(Base_Periodo1[[#This Row],[Tipo_Linha]]="-",Base_Periodo1[[#This Row],[TIPOSALDO]]="D"),Base_Periodo1[[#This Row],[SALDO_ATUAL]]*-1,Base_Periodo1[[#This Row],[SALDO_ATUAL]]),4)</f>
        <v>4029.14</v>
      </c>
      <c r="N3899" t="s">
        <v>116</v>
      </c>
      <c r="O3899" t="s">
        <v>436</v>
      </c>
      <c r="P3899" t="s">
        <v>459</v>
      </c>
      <c r="Q3899">
        <v>7</v>
      </c>
      <c r="R3899" s="225">
        <f>Base_Periodo1[[#This Row],[CREDITOS]]-Base_Periodo1[[#This Row],[DEBITOS]]</f>
        <v>4029.14</v>
      </c>
      <c r="S3899" s="3" t="str">
        <f>IF(ISERROR(VLOOKUP(Base_Periodo1[[#This Row],[CONTA]],BaseContasDRE[#All],4,FALSE)),"Fora do DRE",VLOOKUP(Base_Periodo1[[#This Row],[CONTA]],BaseContasDRE[#All],4,FALSE))</f>
        <v>Fora do DRE</v>
      </c>
      <c r="T3899" s="3" t="str">
        <f>IF(ISERROR(VLOOKUP(Base_Periodo1[[#This Row],[CONTA]],BaseContasDRE[#All],5,FALSE)),"Fora do DRE",VLOOKUP(Base_Periodo1[[#This Row],[CONTA]],BaseContasDRE[#All],6,FALSE))</f>
        <v>Fora do DRE</v>
      </c>
      <c r="U3899" s="3" t="str">
        <f>IF(ISERROR(VLOOKUP(Base_Periodo1[[#This Row],[CONTA]],BaseContasDRE[#All],7,FALSE)),"Fora do DRE",VLOOKUP(Base_Periodo1[[#This Row],[CONTA]],BaseContasDRE[#All],7,FALSE))</f>
        <v>Fora do DRE</v>
      </c>
      <c r="V3899" s="3" t="str">
        <f>IF(Base_Periodo1[[#This Row],[Tipo_Linha]]="Fora do DRE","Fora do DRE","( "&amp;Base_Periodo1[[#This Row],[Tipo_Linha]]&amp;" ) "&amp;Base_Periodo1[[#This Row],[Filtro]])</f>
        <v>Fora do DRE</v>
      </c>
      <c r="W3899" s="3" t="str">
        <f>LEFT(Base_Periodo1[[#This Row],[CLASS]],3)</f>
        <v>2.1</v>
      </c>
    </row>
    <row r="3900" spans="1:23" hidden="1">
      <c r="A3900" s="3" t="str">
        <f t="shared" si="60"/>
        <v>Período 1</v>
      </c>
      <c r="B3900">
        <v>53726</v>
      </c>
      <c r="C3900" t="s">
        <v>2010</v>
      </c>
      <c r="D3900" t="s">
        <v>6512</v>
      </c>
      <c r="E3900" s="3" t="str">
        <f>IF(LEN(Base_Periodo1[[#This Row],[CLASS]])&gt;=7,LEFT(Base_Periodo1[[#This Row],[CLASS]],7),"")</f>
        <v>2.1.2.2</v>
      </c>
      <c r="F3900" s="3" t="str">
        <f>VLOOKUP(Base_Periodo1[[#This Row],[Aux]],Base_Contas_Balanco[#All],2,FALSE)</f>
        <v>Fornecedores Não Cooperados</v>
      </c>
      <c r="G3900" s="1">
        <v>42857</v>
      </c>
      <c r="H3900" s="225">
        <v>922.99999999999909</v>
      </c>
      <c r="I3900" s="225">
        <v>923</v>
      </c>
      <c r="J3900" s="225">
        <v>0</v>
      </c>
      <c r="K3900" s="225">
        <v>9.0949470177292824E-13</v>
      </c>
      <c r="L39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00" s="225">
        <f>ROUND(IF(AND(Base_Periodo1[[#This Row],[Tipo_Linha]]="-",Base_Periodo1[[#This Row],[TIPOSALDO]]="D"),Base_Periodo1[[#This Row],[SALDO_ATUAL]]*-1,Base_Periodo1[[#This Row],[SALDO_ATUAL]]),4)</f>
        <v>0</v>
      </c>
      <c r="N3900" t="s">
        <v>116</v>
      </c>
      <c r="O3900" t="s">
        <v>459</v>
      </c>
      <c r="P3900" t="s">
        <v>436</v>
      </c>
      <c r="Q3900">
        <v>7</v>
      </c>
      <c r="R3900" s="225">
        <f>Base_Periodo1[[#This Row],[CREDITOS]]-Base_Periodo1[[#This Row],[DEBITOS]]</f>
        <v>-923</v>
      </c>
      <c r="S3900" s="3" t="str">
        <f>IF(ISERROR(VLOOKUP(Base_Periodo1[[#This Row],[CONTA]],BaseContasDRE[#All],4,FALSE)),"Fora do DRE",VLOOKUP(Base_Periodo1[[#This Row],[CONTA]],BaseContasDRE[#All],4,FALSE))</f>
        <v>Fora do DRE</v>
      </c>
      <c r="T3900" s="3" t="str">
        <f>IF(ISERROR(VLOOKUP(Base_Periodo1[[#This Row],[CONTA]],BaseContasDRE[#All],5,FALSE)),"Fora do DRE",VLOOKUP(Base_Periodo1[[#This Row],[CONTA]],BaseContasDRE[#All],6,FALSE))</f>
        <v>Fora do DRE</v>
      </c>
      <c r="U3900" s="3" t="str">
        <f>IF(ISERROR(VLOOKUP(Base_Periodo1[[#This Row],[CONTA]],BaseContasDRE[#All],7,FALSE)),"Fora do DRE",VLOOKUP(Base_Periodo1[[#This Row],[CONTA]],BaseContasDRE[#All],7,FALSE))</f>
        <v>Fora do DRE</v>
      </c>
      <c r="V3900" s="3" t="str">
        <f>IF(Base_Periodo1[[#This Row],[Tipo_Linha]]="Fora do DRE","Fora do DRE","( "&amp;Base_Periodo1[[#This Row],[Tipo_Linha]]&amp;" ) "&amp;Base_Periodo1[[#This Row],[Filtro]])</f>
        <v>Fora do DRE</v>
      </c>
      <c r="W3900" s="3" t="str">
        <f>LEFT(Base_Periodo1[[#This Row],[CLASS]],3)</f>
        <v>2.1</v>
      </c>
    </row>
    <row r="3901" spans="1:23" hidden="1">
      <c r="A3901" s="3" t="str">
        <f t="shared" si="60"/>
        <v>Período 1</v>
      </c>
      <c r="B3901">
        <v>55540</v>
      </c>
      <c r="C3901" t="s">
        <v>2010</v>
      </c>
      <c r="D3901" t="s">
        <v>6108</v>
      </c>
      <c r="E3901" s="3" t="str">
        <f>IF(LEN(Base_Periodo1[[#This Row],[CLASS]])&gt;=7,LEFT(Base_Periodo1[[#This Row],[CLASS]],7),"")</f>
        <v>2.1.2.2</v>
      </c>
      <c r="F3901" s="3" t="str">
        <f>VLOOKUP(Base_Periodo1[[#This Row],[Aux]],Base_Contas_Balanco[#All],2,FALSE)</f>
        <v>Fornecedores Não Cooperados</v>
      </c>
      <c r="G3901" s="1">
        <v>42877</v>
      </c>
      <c r="I3901" s="225">
        <v>4400</v>
      </c>
      <c r="J3901" s="225">
        <v>4400</v>
      </c>
      <c r="K3901" s="225">
        <v>0</v>
      </c>
      <c r="L39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01" s="225">
        <f>ROUND(IF(AND(Base_Periodo1[[#This Row],[Tipo_Linha]]="-",Base_Periodo1[[#This Row],[TIPOSALDO]]="D"),Base_Periodo1[[#This Row],[SALDO_ATUAL]]*-1,Base_Periodo1[[#This Row],[SALDO_ATUAL]]),4)</f>
        <v>0</v>
      </c>
      <c r="N3901" t="s">
        <v>116</v>
      </c>
      <c r="O3901" t="s">
        <v>436</v>
      </c>
      <c r="P3901" t="s">
        <v>436</v>
      </c>
      <c r="Q3901">
        <v>7</v>
      </c>
      <c r="R3901" s="225">
        <f>Base_Periodo1[[#This Row],[CREDITOS]]-Base_Periodo1[[#This Row],[DEBITOS]]</f>
        <v>0</v>
      </c>
      <c r="S3901" s="3" t="str">
        <f>IF(ISERROR(VLOOKUP(Base_Periodo1[[#This Row],[CONTA]],BaseContasDRE[#All],4,FALSE)),"Fora do DRE",VLOOKUP(Base_Periodo1[[#This Row],[CONTA]],BaseContasDRE[#All],4,FALSE))</f>
        <v>Fora do DRE</v>
      </c>
      <c r="T3901" s="3" t="str">
        <f>IF(ISERROR(VLOOKUP(Base_Periodo1[[#This Row],[CONTA]],BaseContasDRE[#All],5,FALSE)),"Fora do DRE",VLOOKUP(Base_Periodo1[[#This Row],[CONTA]],BaseContasDRE[#All],6,FALSE))</f>
        <v>Fora do DRE</v>
      </c>
      <c r="U3901" s="3" t="str">
        <f>IF(ISERROR(VLOOKUP(Base_Periodo1[[#This Row],[CONTA]],BaseContasDRE[#All],7,FALSE)),"Fora do DRE",VLOOKUP(Base_Periodo1[[#This Row],[CONTA]],BaseContasDRE[#All],7,FALSE))</f>
        <v>Fora do DRE</v>
      </c>
      <c r="V3901" s="3" t="str">
        <f>IF(Base_Periodo1[[#This Row],[Tipo_Linha]]="Fora do DRE","Fora do DRE","( "&amp;Base_Periodo1[[#This Row],[Tipo_Linha]]&amp;" ) "&amp;Base_Periodo1[[#This Row],[Filtro]])</f>
        <v>Fora do DRE</v>
      </c>
      <c r="W3901" s="3" t="str">
        <f>LEFT(Base_Periodo1[[#This Row],[CLASS]],3)</f>
        <v>2.1</v>
      </c>
    </row>
    <row r="3902" spans="1:23" hidden="1">
      <c r="A3902" s="3" t="str">
        <f t="shared" si="60"/>
        <v>Período 1</v>
      </c>
      <c r="B3902">
        <v>15757</v>
      </c>
      <c r="C3902" t="s">
        <v>2010</v>
      </c>
      <c r="D3902" t="s">
        <v>2114</v>
      </c>
      <c r="E3902" s="3" t="str">
        <f>IF(LEN(Base_Periodo1[[#This Row],[CLASS]])&gt;=7,LEFT(Base_Periodo1[[#This Row],[CLASS]],7),"")</f>
        <v>2.1.2.2</v>
      </c>
      <c r="F3902" s="3" t="str">
        <f>VLOOKUP(Base_Periodo1[[#This Row],[Aux]],Base_Contas_Balanco[#All],2,FALSE)</f>
        <v>Fornecedores Não Cooperados</v>
      </c>
      <c r="G3902" s="1">
        <v>42706</v>
      </c>
      <c r="H3902" s="225">
        <v>1.0000000009313226E-2</v>
      </c>
      <c r="I3902" s="225">
        <v>0</v>
      </c>
      <c r="J3902" s="225">
        <v>0</v>
      </c>
      <c r="K3902" s="225">
        <v>1.0000000009313226E-2</v>
      </c>
      <c r="L39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3902" s="225">
        <f>ROUND(IF(AND(Base_Periodo1[[#This Row],[Tipo_Linha]]="-",Base_Periodo1[[#This Row],[TIPOSALDO]]="D"),Base_Periodo1[[#This Row],[SALDO_ATUAL]]*-1,Base_Periodo1[[#This Row],[SALDO_ATUAL]]),4)</f>
        <v>0.01</v>
      </c>
      <c r="N3902" t="s">
        <v>116</v>
      </c>
      <c r="O3902" t="s">
        <v>459</v>
      </c>
      <c r="P3902" t="s">
        <v>459</v>
      </c>
      <c r="Q3902">
        <v>7</v>
      </c>
      <c r="R3902" s="225">
        <f>Base_Periodo1[[#This Row],[CREDITOS]]-Base_Periodo1[[#This Row],[DEBITOS]]</f>
        <v>0</v>
      </c>
      <c r="S3902" s="3" t="str">
        <f>IF(ISERROR(VLOOKUP(Base_Periodo1[[#This Row],[CONTA]],BaseContasDRE[#All],4,FALSE)),"Fora do DRE",VLOOKUP(Base_Periodo1[[#This Row],[CONTA]],BaseContasDRE[#All],4,FALSE))</f>
        <v>Fora do DRE</v>
      </c>
      <c r="T3902" s="3" t="str">
        <f>IF(ISERROR(VLOOKUP(Base_Periodo1[[#This Row],[CONTA]],BaseContasDRE[#All],5,FALSE)),"Fora do DRE",VLOOKUP(Base_Periodo1[[#This Row],[CONTA]],BaseContasDRE[#All],6,FALSE))</f>
        <v>Fora do DRE</v>
      </c>
      <c r="U3902" s="3" t="str">
        <f>IF(ISERROR(VLOOKUP(Base_Periodo1[[#This Row],[CONTA]],BaseContasDRE[#All],7,FALSE)),"Fora do DRE",VLOOKUP(Base_Periodo1[[#This Row],[CONTA]],BaseContasDRE[#All],7,FALSE))</f>
        <v>Fora do DRE</v>
      </c>
      <c r="V3902" s="3" t="str">
        <f>IF(Base_Periodo1[[#This Row],[Tipo_Linha]]="Fora do DRE","Fora do DRE","( "&amp;Base_Periodo1[[#This Row],[Tipo_Linha]]&amp;" ) "&amp;Base_Periodo1[[#This Row],[Filtro]])</f>
        <v>Fora do DRE</v>
      </c>
      <c r="W3902" s="3" t="str">
        <f>LEFT(Base_Periodo1[[#This Row],[CLASS]],3)</f>
        <v>2.1</v>
      </c>
    </row>
    <row r="3903" spans="1:23" hidden="1">
      <c r="A3903" s="3" t="str">
        <f t="shared" si="60"/>
        <v>Período 1</v>
      </c>
      <c r="B3903">
        <v>56638</v>
      </c>
      <c r="C3903" t="s">
        <v>2010</v>
      </c>
      <c r="D3903" t="s">
        <v>5995</v>
      </c>
      <c r="E3903" s="3" t="str">
        <f>IF(LEN(Base_Periodo1[[#This Row],[CLASS]])&gt;=7,LEFT(Base_Periodo1[[#This Row],[CLASS]],7),"")</f>
        <v>2.1.2.2</v>
      </c>
      <c r="F3903" s="3" t="str">
        <f>VLOOKUP(Base_Periodo1[[#This Row],[Aux]],Base_Contas_Balanco[#All],2,FALSE)</f>
        <v>Fornecedores Não Cooperados</v>
      </c>
      <c r="G3903" s="1">
        <v>42860</v>
      </c>
      <c r="I3903" s="225">
        <v>119228.95</v>
      </c>
      <c r="J3903" s="225">
        <v>119228.95</v>
      </c>
      <c r="K3903" s="225">
        <v>2.9103830456733704E-11</v>
      </c>
      <c r="L39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03" s="225">
        <f>ROUND(IF(AND(Base_Periodo1[[#This Row],[Tipo_Linha]]="-",Base_Periodo1[[#This Row],[TIPOSALDO]]="D"),Base_Periodo1[[#This Row],[SALDO_ATUAL]]*-1,Base_Periodo1[[#This Row],[SALDO_ATUAL]]),4)</f>
        <v>0</v>
      </c>
      <c r="N3903" t="s">
        <v>116</v>
      </c>
      <c r="O3903" t="s">
        <v>436</v>
      </c>
      <c r="P3903" t="s">
        <v>436</v>
      </c>
      <c r="Q3903">
        <v>7</v>
      </c>
      <c r="R3903" s="225">
        <f>Base_Periodo1[[#This Row],[CREDITOS]]-Base_Periodo1[[#This Row],[DEBITOS]]</f>
        <v>0</v>
      </c>
      <c r="S3903" s="3" t="str">
        <f>IF(ISERROR(VLOOKUP(Base_Periodo1[[#This Row],[CONTA]],BaseContasDRE[#All],4,FALSE)),"Fora do DRE",VLOOKUP(Base_Periodo1[[#This Row],[CONTA]],BaseContasDRE[#All],4,FALSE))</f>
        <v>Fora do DRE</v>
      </c>
      <c r="T3903" s="3" t="str">
        <f>IF(ISERROR(VLOOKUP(Base_Periodo1[[#This Row],[CONTA]],BaseContasDRE[#All],5,FALSE)),"Fora do DRE",VLOOKUP(Base_Periodo1[[#This Row],[CONTA]],BaseContasDRE[#All],6,FALSE))</f>
        <v>Fora do DRE</v>
      </c>
      <c r="U3903" s="3" t="str">
        <f>IF(ISERROR(VLOOKUP(Base_Periodo1[[#This Row],[CONTA]],BaseContasDRE[#All],7,FALSE)),"Fora do DRE",VLOOKUP(Base_Periodo1[[#This Row],[CONTA]],BaseContasDRE[#All],7,FALSE))</f>
        <v>Fora do DRE</v>
      </c>
      <c r="V3903" s="3" t="str">
        <f>IF(Base_Periodo1[[#This Row],[Tipo_Linha]]="Fora do DRE","Fora do DRE","( "&amp;Base_Periodo1[[#This Row],[Tipo_Linha]]&amp;" ) "&amp;Base_Periodo1[[#This Row],[Filtro]])</f>
        <v>Fora do DRE</v>
      </c>
      <c r="W3903" s="3" t="str">
        <f>LEFT(Base_Periodo1[[#This Row],[CLASS]],3)</f>
        <v>2.1</v>
      </c>
    </row>
    <row r="3904" spans="1:23" hidden="1">
      <c r="A3904" s="3" t="str">
        <f t="shared" si="60"/>
        <v>Período 1</v>
      </c>
      <c r="B3904">
        <v>58882</v>
      </c>
      <c r="C3904" t="s">
        <v>2010</v>
      </c>
      <c r="D3904" t="s">
        <v>7119</v>
      </c>
      <c r="E3904" s="3" t="str">
        <f>IF(LEN(Base_Periodo1[[#This Row],[CLASS]])&gt;=7,LEFT(Base_Periodo1[[#This Row],[CLASS]],7),"")</f>
        <v>2.1.2.2</v>
      </c>
      <c r="F3904" s="3" t="str">
        <f>VLOOKUP(Base_Periodo1[[#This Row],[Aux]],Base_Contas_Balanco[#All],2,FALSE)</f>
        <v>Fornecedores Não Cooperados</v>
      </c>
      <c r="G3904" s="1"/>
      <c r="I3904" s="225">
        <v>0</v>
      </c>
      <c r="J3904" s="225">
        <v>26000</v>
      </c>
      <c r="K3904" s="225">
        <v>26000</v>
      </c>
      <c r="L39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26000</v>
      </c>
      <c r="M3904" s="225">
        <f>ROUND(IF(AND(Base_Periodo1[[#This Row],[Tipo_Linha]]="-",Base_Periodo1[[#This Row],[TIPOSALDO]]="D"),Base_Periodo1[[#This Row],[SALDO_ATUAL]]*-1,Base_Periodo1[[#This Row],[SALDO_ATUAL]]),4)</f>
        <v>26000</v>
      </c>
      <c r="N3904" t="s">
        <v>116</v>
      </c>
      <c r="O3904" t="s">
        <v>436</v>
      </c>
      <c r="P3904" t="s">
        <v>459</v>
      </c>
      <c r="Q3904">
        <v>7</v>
      </c>
      <c r="R3904" s="225">
        <f>Base_Periodo1[[#This Row],[CREDITOS]]-Base_Periodo1[[#This Row],[DEBITOS]]</f>
        <v>26000</v>
      </c>
      <c r="S3904" s="3" t="str">
        <f>IF(ISERROR(VLOOKUP(Base_Periodo1[[#This Row],[CONTA]],BaseContasDRE[#All],4,FALSE)),"Fora do DRE",VLOOKUP(Base_Periodo1[[#This Row],[CONTA]],BaseContasDRE[#All],4,FALSE))</f>
        <v>Fora do DRE</v>
      </c>
      <c r="T3904" s="3" t="str">
        <f>IF(ISERROR(VLOOKUP(Base_Periodo1[[#This Row],[CONTA]],BaseContasDRE[#All],5,FALSE)),"Fora do DRE",VLOOKUP(Base_Periodo1[[#This Row],[CONTA]],BaseContasDRE[#All],6,FALSE))</f>
        <v>Fora do DRE</v>
      </c>
      <c r="U3904" s="3" t="str">
        <f>IF(ISERROR(VLOOKUP(Base_Periodo1[[#This Row],[CONTA]],BaseContasDRE[#All],7,FALSE)),"Fora do DRE",VLOOKUP(Base_Periodo1[[#This Row],[CONTA]],BaseContasDRE[#All],7,FALSE))</f>
        <v>Fora do DRE</v>
      </c>
      <c r="V3904" s="3" t="str">
        <f>IF(Base_Periodo1[[#This Row],[Tipo_Linha]]="Fora do DRE","Fora do DRE","( "&amp;Base_Periodo1[[#This Row],[Tipo_Linha]]&amp;" ) "&amp;Base_Periodo1[[#This Row],[Filtro]])</f>
        <v>Fora do DRE</v>
      </c>
      <c r="W3904" s="3" t="str">
        <f>LEFT(Base_Periodo1[[#This Row],[CLASS]],3)</f>
        <v>2.1</v>
      </c>
    </row>
    <row r="3905" spans="1:23" hidden="1">
      <c r="A3905" s="3" t="str">
        <f t="shared" si="60"/>
        <v>Período 1</v>
      </c>
      <c r="B3905">
        <v>48024</v>
      </c>
      <c r="C3905" t="s">
        <v>2010</v>
      </c>
      <c r="D3905" t="s">
        <v>5996</v>
      </c>
      <c r="E3905" s="3" t="str">
        <f>IF(LEN(Base_Periodo1[[#This Row],[CLASS]])&gt;=7,LEFT(Base_Periodo1[[#This Row],[CLASS]],7),"")</f>
        <v>2.1.2.2</v>
      </c>
      <c r="F3905" s="3" t="str">
        <f>VLOOKUP(Base_Periodo1[[#This Row],[Aux]],Base_Contas_Balanco[#All],2,FALSE)</f>
        <v>Fornecedores Não Cooperados</v>
      </c>
      <c r="G3905" s="1">
        <v>42873</v>
      </c>
      <c r="H3905" s="225">
        <v>375.75</v>
      </c>
      <c r="I3905" s="225">
        <v>375.75</v>
      </c>
      <c r="J3905" s="225">
        <v>0</v>
      </c>
      <c r="K3905" s="225">
        <v>0</v>
      </c>
      <c r="L39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05" s="225">
        <f>ROUND(IF(AND(Base_Periodo1[[#This Row],[Tipo_Linha]]="-",Base_Periodo1[[#This Row],[TIPOSALDO]]="D"),Base_Periodo1[[#This Row],[SALDO_ATUAL]]*-1,Base_Periodo1[[#This Row],[SALDO_ATUAL]]),4)</f>
        <v>0</v>
      </c>
      <c r="N3905" t="s">
        <v>116</v>
      </c>
      <c r="O3905" t="s">
        <v>459</v>
      </c>
      <c r="P3905" t="s">
        <v>436</v>
      </c>
      <c r="Q3905">
        <v>7</v>
      </c>
      <c r="R3905" s="225">
        <f>Base_Periodo1[[#This Row],[CREDITOS]]-Base_Periodo1[[#This Row],[DEBITOS]]</f>
        <v>-375.75</v>
      </c>
      <c r="S3905" s="3" t="str">
        <f>IF(ISERROR(VLOOKUP(Base_Periodo1[[#This Row],[CONTA]],BaseContasDRE[#All],4,FALSE)),"Fora do DRE",VLOOKUP(Base_Periodo1[[#This Row],[CONTA]],BaseContasDRE[#All],4,FALSE))</f>
        <v>Fora do DRE</v>
      </c>
      <c r="T3905" s="3" t="str">
        <f>IF(ISERROR(VLOOKUP(Base_Periodo1[[#This Row],[CONTA]],BaseContasDRE[#All],5,FALSE)),"Fora do DRE",VLOOKUP(Base_Periodo1[[#This Row],[CONTA]],BaseContasDRE[#All],6,FALSE))</f>
        <v>Fora do DRE</v>
      </c>
      <c r="U3905" s="3" t="str">
        <f>IF(ISERROR(VLOOKUP(Base_Periodo1[[#This Row],[CONTA]],BaseContasDRE[#All],7,FALSE)),"Fora do DRE",VLOOKUP(Base_Periodo1[[#This Row],[CONTA]],BaseContasDRE[#All],7,FALSE))</f>
        <v>Fora do DRE</v>
      </c>
      <c r="V3905" s="3" t="str">
        <f>IF(Base_Periodo1[[#This Row],[Tipo_Linha]]="Fora do DRE","Fora do DRE","( "&amp;Base_Periodo1[[#This Row],[Tipo_Linha]]&amp;" ) "&amp;Base_Periodo1[[#This Row],[Filtro]])</f>
        <v>Fora do DRE</v>
      </c>
      <c r="W3905" s="3" t="str">
        <f>LEFT(Base_Periodo1[[#This Row],[CLASS]],3)</f>
        <v>2.1</v>
      </c>
    </row>
    <row r="3906" spans="1:23" hidden="1">
      <c r="A3906" s="3" t="str">
        <f t="shared" si="60"/>
        <v>Período 1</v>
      </c>
      <c r="B3906">
        <v>48020</v>
      </c>
      <c r="C3906" t="s">
        <v>2010</v>
      </c>
      <c r="D3906" t="s">
        <v>5997</v>
      </c>
      <c r="E3906" s="3" t="str">
        <f>IF(LEN(Base_Periodo1[[#This Row],[CLASS]])&gt;=7,LEFT(Base_Periodo1[[#This Row],[CLASS]],7),"")</f>
        <v>2.1.2.2</v>
      </c>
      <c r="F3906" s="3" t="str">
        <f>VLOOKUP(Base_Periodo1[[#This Row],[Aux]],Base_Contas_Balanco[#All],2,FALSE)</f>
        <v>Fornecedores Não Cooperados</v>
      </c>
      <c r="G3906" s="1">
        <v>42867</v>
      </c>
      <c r="I3906" s="225">
        <v>210</v>
      </c>
      <c r="J3906" s="225">
        <v>210</v>
      </c>
      <c r="K3906" s="225">
        <v>0</v>
      </c>
      <c r="L39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06" s="225">
        <f>ROUND(IF(AND(Base_Periodo1[[#This Row],[Tipo_Linha]]="-",Base_Periodo1[[#This Row],[TIPOSALDO]]="D"),Base_Periodo1[[#This Row],[SALDO_ATUAL]]*-1,Base_Periodo1[[#This Row],[SALDO_ATUAL]]),4)</f>
        <v>0</v>
      </c>
      <c r="N3906" t="s">
        <v>116</v>
      </c>
      <c r="O3906" t="s">
        <v>436</v>
      </c>
      <c r="P3906" t="s">
        <v>436</v>
      </c>
      <c r="Q3906">
        <v>7</v>
      </c>
      <c r="R3906" s="225">
        <f>Base_Periodo1[[#This Row],[CREDITOS]]-Base_Periodo1[[#This Row],[DEBITOS]]</f>
        <v>0</v>
      </c>
      <c r="S3906" s="3" t="str">
        <f>IF(ISERROR(VLOOKUP(Base_Periodo1[[#This Row],[CONTA]],BaseContasDRE[#All],4,FALSE)),"Fora do DRE",VLOOKUP(Base_Periodo1[[#This Row],[CONTA]],BaseContasDRE[#All],4,FALSE))</f>
        <v>Fora do DRE</v>
      </c>
      <c r="T3906" s="3" t="str">
        <f>IF(ISERROR(VLOOKUP(Base_Periodo1[[#This Row],[CONTA]],BaseContasDRE[#All],5,FALSE)),"Fora do DRE",VLOOKUP(Base_Periodo1[[#This Row],[CONTA]],BaseContasDRE[#All],6,FALSE))</f>
        <v>Fora do DRE</v>
      </c>
      <c r="U3906" s="3" t="str">
        <f>IF(ISERROR(VLOOKUP(Base_Periodo1[[#This Row],[CONTA]],BaseContasDRE[#All],7,FALSE)),"Fora do DRE",VLOOKUP(Base_Periodo1[[#This Row],[CONTA]],BaseContasDRE[#All],7,FALSE))</f>
        <v>Fora do DRE</v>
      </c>
      <c r="V3906" s="3" t="str">
        <f>IF(Base_Periodo1[[#This Row],[Tipo_Linha]]="Fora do DRE","Fora do DRE","( "&amp;Base_Periodo1[[#This Row],[Tipo_Linha]]&amp;" ) "&amp;Base_Periodo1[[#This Row],[Filtro]])</f>
        <v>Fora do DRE</v>
      </c>
      <c r="W3906" s="3" t="str">
        <f>LEFT(Base_Periodo1[[#This Row],[CLASS]],3)</f>
        <v>2.1</v>
      </c>
    </row>
    <row r="3907" spans="1:23" hidden="1">
      <c r="A3907" s="3" t="str">
        <f t="shared" si="60"/>
        <v>Período 1</v>
      </c>
      <c r="B3907">
        <v>21349</v>
      </c>
      <c r="C3907" t="s">
        <v>2010</v>
      </c>
      <c r="D3907" t="s">
        <v>6513</v>
      </c>
      <c r="E3907" s="3" t="str">
        <f>IF(LEN(Base_Periodo1[[#This Row],[CLASS]])&gt;=7,LEFT(Base_Periodo1[[#This Row],[CLASS]],7),"")</f>
        <v>2.1.2.2</v>
      </c>
      <c r="F3907" s="3" t="str">
        <f>VLOOKUP(Base_Periodo1[[#This Row],[Aux]],Base_Contas_Balanco[#All],2,FALSE)</f>
        <v>Fornecedores Não Cooperados</v>
      </c>
      <c r="G3907" s="1">
        <v>42886</v>
      </c>
      <c r="I3907" s="225">
        <v>126719.87</v>
      </c>
      <c r="J3907" s="225">
        <v>126719.87</v>
      </c>
      <c r="K3907" s="225">
        <v>1.4551915228366852E-11</v>
      </c>
      <c r="L39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07" s="225">
        <f>ROUND(IF(AND(Base_Periodo1[[#This Row],[Tipo_Linha]]="-",Base_Periodo1[[#This Row],[TIPOSALDO]]="D"),Base_Periodo1[[#This Row],[SALDO_ATUAL]]*-1,Base_Periodo1[[#This Row],[SALDO_ATUAL]]),4)</f>
        <v>0</v>
      </c>
      <c r="N3907" t="s">
        <v>116</v>
      </c>
      <c r="O3907" t="s">
        <v>436</v>
      </c>
      <c r="P3907" t="s">
        <v>436</v>
      </c>
      <c r="Q3907">
        <v>7</v>
      </c>
      <c r="R3907" s="225">
        <f>Base_Periodo1[[#This Row],[CREDITOS]]-Base_Periodo1[[#This Row],[DEBITOS]]</f>
        <v>0</v>
      </c>
      <c r="S3907" s="3" t="str">
        <f>IF(ISERROR(VLOOKUP(Base_Periodo1[[#This Row],[CONTA]],BaseContasDRE[#All],4,FALSE)),"Fora do DRE",VLOOKUP(Base_Periodo1[[#This Row],[CONTA]],BaseContasDRE[#All],4,FALSE))</f>
        <v>Fora do DRE</v>
      </c>
      <c r="T3907" s="3" t="str">
        <f>IF(ISERROR(VLOOKUP(Base_Periodo1[[#This Row],[CONTA]],BaseContasDRE[#All],5,FALSE)),"Fora do DRE",VLOOKUP(Base_Periodo1[[#This Row],[CONTA]],BaseContasDRE[#All],6,FALSE))</f>
        <v>Fora do DRE</v>
      </c>
      <c r="U3907" s="3" t="str">
        <f>IF(ISERROR(VLOOKUP(Base_Periodo1[[#This Row],[CONTA]],BaseContasDRE[#All],7,FALSE)),"Fora do DRE",VLOOKUP(Base_Periodo1[[#This Row],[CONTA]],BaseContasDRE[#All],7,FALSE))</f>
        <v>Fora do DRE</v>
      </c>
      <c r="V3907" s="3" t="str">
        <f>IF(Base_Periodo1[[#This Row],[Tipo_Linha]]="Fora do DRE","Fora do DRE","( "&amp;Base_Periodo1[[#This Row],[Tipo_Linha]]&amp;" ) "&amp;Base_Periodo1[[#This Row],[Filtro]])</f>
        <v>Fora do DRE</v>
      </c>
      <c r="W3907" s="3" t="str">
        <f>LEFT(Base_Periodo1[[#This Row],[CLASS]],3)</f>
        <v>2.1</v>
      </c>
    </row>
    <row r="3908" spans="1:23" hidden="1">
      <c r="A3908" s="3" t="str">
        <f t="shared" si="60"/>
        <v>Período 1</v>
      </c>
      <c r="B3908">
        <v>56439</v>
      </c>
      <c r="C3908" t="s">
        <v>2010</v>
      </c>
      <c r="D3908" t="s">
        <v>7120</v>
      </c>
      <c r="E3908" s="3" t="str">
        <f>IF(LEN(Base_Periodo1[[#This Row],[CLASS]])&gt;=7,LEFT(Base_Periodo1[[#This Row],[CLASS]],7),"")</f>
        <v>2.1.2.2</v>
      </c>
      <c r="F3908" s="3" t="str">
        <f>VLOOKUP(Base_Periodo1[[#This Row],[Aux]],Base_Contas_Balanco[#All],2,FALSE)</f>
        <v>Fornecedores Não Cooperados</v>
      </c>
      <c r="G3908" s="1">
        <v>42871</v>
      </c>
      <c r="I3908" s="225">
        <v>300</v>
      </c>
      <c r="J3908" s="225">
        <v>300</v>
      </c>
      <c r="K3908" s="225">
        <v>0</v>
      </c>
      <c r="L39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08" s="225">
        <f>ROUND(IF(AND(Base_Periodo1[[#This Row],[Tipo_Linha]]="-",Base_Periodo1[[#This Row],[TIPOSALDO]]="D"),Base_Periodo1[[#This Row],[SALDO_ATUAL]]*-1,Base_Periodo1[[#This Row],[SALDO_ATUAL]]),4)</f>
        <v>0</v>
      </c>
      <c r="N3908" t="s">
        <v>116</v>
      </c>
      <c r="O3908" t="s">
        <v>436</v>
      </c>
      <c r="P3908" t="s">
        <v>436</v>
      </c>
      <c r="Q3908">
        <v>7</v>
      </c>
      <c r="R3908" s="225">
        <f>Base_Periodo1[[#This Row],[CREDITOS]]-Base_Periodo1[[#This Row],[DEBITOS]]</f>
        <v>0</v>
      </c>
      <c r="S3908" s="3" t="str">
        <f>IF(ISERROR(VLOOKUP(Base_Periodo1[[#This Row],[CONTA]],BaseContasDRE[#All],4,FALSE)),"Fora do DRE",VLOOKUP(Base_Periodo1[[#This Row],[CONTA]],BaseContasDRE[#All],4,FALSE))</f>
        <v>Fora do DRE</v>
      </c>
      <c r="T3908" s="3" t="str">
        <f>IF(ISERROR(VLOOKUP(Base_Periodo1[[#This Row],[CONTA]],BaseContasDRE[#All],5,FALSE)),"Fora do DRE",VLOOKUP(Base_Periodo1[[#This Row],[CONTA]],BaseContasDRE[#All],6,FALSE))</f>
        <v>Fora do DRE</v>
      </c>
      <c r="U3908" s="3" t="str">
        <f>IF(ISERROR(VLOOKUP(Base_Periodo1[[#This Row],[CONTA]],BaseContasDRE[#All],7,FALSE)),"Fora do DRE",VLOOKUP(Base_Periodo1[[#This Row],[CONTA]],BaseContasDRE[#All],7,FALSE))</f>
        <v>Fora do DRE</v>
      </c>
      <c r="V3908" s="3" t="str">
        <f>IF(Base_Periodo1[[#This Row],[Tipo_Linha]]="Fora do DRE","Fora do DRE","( "&amp;Base_Periodo1[[#This Row],[Tipo_Linha]]&amp;" ) "&amp;Base_Periodo1[[#This Row],[Filtro]])</f>
        <v>Fora do DRE</v>
      </c>
      <c r="W3908" s="3" t="str">
        <f>LEFT(Base_Periodo1[[#This Row],[CLASS]],3)</f>
        <v>2.1</v>
      </c>
    </row>
    <row r="3909" spans="1:23" hidden="1">
      <c r="A3909" s="3" t="str">
        <f t="shared" si="60"/>
        <v>Período 1</v>
      </c>
      <c r="B3909">
        <v>48728</v>
      </c>
      <c r="C3909" t="s">
        <v>2010</v>
      </c>
      <c r="D3909" t="s">
        <v>7121</v>
      </c>
      <c r="E3909" s="3" t="str">
        <f>IF(LEN(Base_Periodo1[[#This Row],[CLASS]])&gt;=7,LEFT(Base_Periodo1[[#This Row],[CLASS]],7),"")</f>
        <v>2.1.2.2</v>
      </c>
      <c r="F3909" s="3" t="str">
        <f>VLOOKUP(Base_Periodo1[[#This Row],[Aux]],Base_Contas_Balanco[#All],2,FALSE)</f>
        <v>Fornecedores Não Cooperados</v>
      </c>
      <c r="G3909" s="1">
        <v>42881</v>
      </c>
      <c r="I3909" s="225">
        <v>1051.6199999999999</v>
      </c>
      <c r="J3909" s="225">
        <v>1051.6199999999999</v>
      </c>
      <c r="K3909" s="225">
        <v>0</v>
      </c>
      <c r="L39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09" s="225">
        <f>ROUND(IF(AND(Base_Periodo1[[#This Row],[Tipo_Linha]]="-",Base_Periodo1[[#This Row],[TIPOSALDO]]="D"),Base_Periodo1[[#This Row],[SALDO_ATUAL]]*-1,Base_Periodo1[[#This Row],[SALDO_ATUAL]]),4)</f>
        <v>0</v>
      </c>
      <c r="N3909" t="s">
        <v>116</v>
      </c>
      <c r="O3909" t="s">
        <v>436</v>
      </c>
      <c r="P3909" t="s">
        <v>436</v>
      </c>
      <c r="Q3909">
        <v>7</v>
      </c>
      <c r="R3909" s="225">
        <f>Base_Periodo1[[#This Row],[CREDITOS]]-Base_Periodo1[[#This Row],[DEBITOS]]</f>
        <v>0</v>
      </c>
      <c r="S3909" s="3" t="str">
        <f>IF(ISERROR(VLOOKUP(Base_Periodo1[[#This Row],[CONTA]],BaseContasDRE[#All],4,FALSE)),"Fora do DRE",VLOOKUP(Base_Periodo1[[#This Row],[CONTA]],BaseContasDRE[#All],4,FALSE))</f>
        <v>Fora do DRE</v>
      </c>
      <c r="T3909" s="3" t="str">
        <f>IF(ISERROR(VLOOKUP(Base_Periodo1[[#This Row],[CONTA]],BaseContasDRE[#All],5,FALSE)),"Fora do DRE",VLOOKUP(Base_Periodo1[[#This Row],[CONTA]],BaseContasDRE[#All],6,FALSE))</f>
        <v>Fora do DRE</v>
      </c>
      <c r="U3909" s="3" t="str">
        <f>IF(ISERROR(VLOOKUP(Base_Periodo1[[#This Row],[CONTA]],BaseContasDRE[#All],7,FALSE)),"Fora do DRE",VLOOKUP(Base_Periodo1[[#This Row],[CONTA]],BaseContasDRE[#All],7,FALSE))</f>
        <v>Fora do DRE</v>
      </c>
      <c r="V3909" s="3" t="str">
        <f>IF(Base_Periodo1[[#This Row],[Tipo_Linha]]="Fora do DRE","Fora do DRE","( "&amp;Base_Periodo1[[#This Row],[Tipo_Linha]]&amp;" ) "&amp;Base_Periodo1[[#This Row],[Filtro]])</f>
        <v>Fora do DRE</v>
      </c>
      <c r="W3909" s="3" t="str">
        <f>LEFT(Base_Periodo1[[#This Row],[CLASS]],3)</f>
        <v>2.1</v>
      </c>
    </row>
    <row r="3910" spans="1:23" hidden="1">
      <c r="A3910" s="3" t="str">
        <f t="shared" ref="A3910:A3973" si="61">"Período 1"</f>
        <v>Período 1</v>
      </c>
      <c r="B3910">
        <v>57033</v>
      </c>
      <c r="C3910" t="s">
        <v>2010</v>
      </c>
      <c r="D3910" t="s">
        <v>6514</v>
      </c>
      <c r="E3910" s="3" t="str">
        <f>IF(LEN(Base_Periodo1[[#This Row],[CLASS]])&gt;=7,LEFT(Base_Periodo1[[#This Row],[CLASS]],7),"")</f>
        <v>2.1.2.2</v>
      </c>
      <c r="F3910" s="3" t="str">
        <f>VLOOKUP(Base_Periodo1[[#This Row],[Aux]],Base_Contas_Balanco[#All],2,FALSE)</f>
        <v>Fornecedores Não Cooperados</v>
      </c>
      <c r="G3910" s="1">
        <v>42870</v>
      </c>
      <c r="H3910" s="225">
        <v>4079.9799999999987</v>
      </c>
      <c r="I3910" s="225">
        <v>8487.41</v>
      </c>
      <c r="J3910" s="225">
        <v>4407.43</v>
      </c>
      <c r="K3910" s="225">
        <v>9.0949470177292824E-13</v>
      </c>
      <c r="L39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10" s="225">
        <f>ROUND(IF(AND(Base_Periodo1[[#This Row],[Tipo_Linha]]="-",Base_Periodo1[[#This Row],[TIPOSALDO]]="D"),Base_Periodo1[[#This Row],[SALDO_ATUAL]]*-1,Base_Periodo1[[#This Row],[SALDO_ATUAL]]),4)</f>
        <v>0</v>
      </c>
      <c r="N3910" t="s">
        <v>116</v>
      </c>
      <c r="O3910" t="s">
        <v>459</v>
      </c>
      <c r="P3910" t="s">
        <v>436</v>
      </c>
      <c r="Q3910">
        <v>7</v>
      </c>
      <c r="R3910" s="225">
        <f>Base_Periodo1[[#This Row],[CREDITOS]]-Base_Periodo1[[#This Row],[DEBITOS]]</f>
        <v>-4079.9799999999996</v>
      </c>
      <c r="S3910" s="3" t="str">
        <f>IF(ISERROR(VLOOKUP(Base_Periodo1[[#This Row],[CONTA]],BaseContasDRE[#All],4,FALSE)),"Fora do DRE",VLOOKUP(Base_Periodo1[[#This Row],[CONTA]],BaseContasDRE[#All],4,FALSE))</f>
        <v>Fora do DRE</v>
      </c>
      <c r="T3910" s="3" t="str">
        <f>IF(ISERROR(VLOOKUP(Base_Periodo1[[#This Row],[CONTA]],BaseContasDRE[#All],5,FALSE)),"Fora do DRE",VLOOKUP(Base_Periodo1[[#This Row],[CONTA]],BaseContasDRE[#All],6,FALSE))</f>
        <v>Fora do DRE</v>
      </c>
      <c r="U3910" s="3" t="str">
        <f>IF(ISERROR(VLOOKUP(Base_Periodo1[[#This Row],[CONTA]],BaseContasDRE[#All],7,FALSE)),"Fora do DRE",VLOOKUP(Base_Periodo1[[#This Row],[CONTA]],BaseContasDRE[#All],7,FALSE))</f>
        <v>Fora do DRE</v>
      </c>
      <c r="V3910" s="3" t="str">
        <f>IF(Base_Periodo1[[#This Row],[Tipo_Linha]]="Fora do DRE","Fora do DRE","( "&amp;Base_Periodo1[[#This Row],[Tipo_Linha]]&amp;" ) "&amp;Base_Periodo1[[#This Row],[Filtro]])</f>
        <v>Fora do DRE</v>
      </c>
      <c r="W3910" s="3" t="str">
        <f>LEFT(Base_Periodo1[[#This Row],[CLASS]],3)</f>
        <v>2.1</v>
      </c>
    </row>
    <row r="3911" spans="1:23" hidden="1">
      <c r="A3911" s="3" t="str">
        <f t="shared" si="61"/>
        <v>Período 1</v>
      </c>
      <c r="B3911">
        <v>8597</v>
      </c>
      <c r="C3911" t="s">
        <v>2010</v>
      </c>
      <c r="D3911" t="s">
        <v>2115</v>
      </c>
      <c r="E3911" s="3" t="str">
        <f>IF(LEN(Base_Periodo1[[#This Row],[CLASS]])&gt;=7,LEFT(Base_Periodo1[[#This Row],[CLASS]],7),"")</f>
        <v>2.1.2.2</v>
      </c>
      <c r="F3911" s="3" t="str">
        <f>VLOOKUP(Base_Periodo1[[#This Row],[Aux]],Base_Contas_Balanco[#All],2,FALSE)</f>
        <v>Fornecedores Não Cooperados</v>
      </c>
      <c r="G3911" s="1">
        <v>42886</v>
      </c>
      <c r="H3911" s="225">
        <v>1244.9999999999709</v>
      </c>
      <c r="I3911" s="225">
        <v>1245</v>
      </c>
      <c r="J3911" s="225">
        <v>978</v>
      </c>
      <c r="K3911" s="225">
        <v>977.9999999999709</v>
      </c>
      <c r="L39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978</v>
      </c>
      <c r="M3911" s="225">
        <f>ROUND(IF(AND(Base_Periodo1[[#This Row],[Tipo_Linha]]="-",Base_Periodo1[[#This Row],[TIPOSALDO]]="D"),Base_Periodo1[[#This Row],[SALDO_ATUAL]]*-1,Base_Periodo1[[#This Row],[SALDO_ATUAL]]),4)</f>
        <v>978</v>
      </c>
      <c r="N3911" t="s">
        <v>116</v>
      </c>
      <c r="O3911" t="s">
        <v>459</v>
      </c>
      <c r="P3911" t="s">
        <v>459</v>
      </c>
      <c r="Q3911">
        <v>7</v>
      </c>
      <c r="R3911" s="225">
        <f>Base_Periodo1[[#This Row],[CREDITOS]]-Base_Periodo1[[#This Row],[DEBITOS]]</f>
        <v>-267</v>
      </c>
      <c r="S3911" s="3" t="str">
        <f>IF(ISERROR(VLOOKUP(Base_Periodo1[[#This Row],[CONTA]],BaseContasDRE[#All],4,FALSE)),"Fora do DRE",VLOOKUP(Base_Periodo1[[#This Row],[CONTA]],BaseContasDRE[#All],4,FALSE))</f>
        <v>Fora do DRE</v>
      </c>
      <c r="T3911" s="3" t="str">
        <f>IF(ISERROR(VLOOKUP(Base_Periodo1[[#This Row],[CONTA]],BaseContasDRE[#All],5,FALSE)),"Fora do DRE",VLOOKUP(Base_Periodo1[[#This Row],[CONTA]],BaseContasDRE[#All],6,FALSE))</f>
        <v>Fora do DRE</v>
      </c>
      <c r="U3911" s="3" t="str">
        <f>IF(ISERROR(VLOOKUP(Base_Periodo1[[#This Row],[CONTA]],BaseContasDRE[#All],7,FALSE)),"Fora do DRE",VLOOKUP(Base_Periodo1[[#This Row],[CONTA]],BaseContasDRE[#All],7,FALSE))</f>
        <v>Fora do DRE</v>
      </c>
      <c r="V3911" s="3" t="str">
        <f>IF(Base_Periodo1[[#This Row],[Tipo_Linha]]="Fora do DRE","Fora do DRE","( "&amp;Base_Periodo1[[#This Row],[Tipo_Linha]]&amp;" ) "&amp;Base_Periodo1[[#This Row],[Filtro]])</f>
        <v>Fora do DRE</v>
      </c>
      <c r="W3911" s="3" t="str">
        <f>LEFT(Base_Periodo1[[#This Row],[CLASS]],3)</f>
        <v>2.1</v>
      </c>
    </row>
    <row r="3912" spans="1:23" hidden="1">
      <c r="A3912" s="3" t="str">
        <f t="shared" si="61"/>
        <v>Período 1</v>
      </c>
      <c r="B3912">
        <v>4217</v>
      </c>
      <c r="C3912" t="s">
        <v>2010</v>
      </c>
      <c r="D3912" t="s">
        <v>2116</v>
      </c>
      <c r="E3912" s="3" t="str">
        <f>IF(LEN(Base_Periodo1[[#This Row],[CLASS]])&gt;=7,LEFT(Base_Periodo1[[#This Row],[CLASS]],7),"")</f>
        <v>2.1.2.2</v>
      </c>
      <c r="F3912" s="3" t="str">
        <f>VLOOKUP(Base_Periodo1[[#This Row],[Aux]],Base_Contas_Balanco[#All],2,FALSE)</f>
        <v>Fornecedores Não Cooperados</v>
      </c>
      <c r="G3912" s="1">
        <v>41915</v>
      </c>
      <c r="H3912" s="225">
        <v>171.59999999999854</v>
      </c>
      <c r="I3912" s="225">
        <v>0</v>
      </c>
      <c r="J3912" s="225">
        <v>0</v>
      </c>
      <c r="K3912" s="225">
        <v>171.59999999999854</v>
      </c>
      <c r="L39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171.6</v>
      </c>
      <c r="M3912" s="225">
        <f>ROUND(IF(AND(Base_Periodo1[[#This Row],[Tipo_Linha]]="-",Base_Periodo1[[#This Row],[TIPOSALDO]]="D"),Base_Periodo1[[#This Row],[SALDO_ATUAL]]*-1,Base_Periodo1[[#This Row],[SALDO_ATUAL]]),4)</f>
        <v>171.6</v>
      </c>
      <c r="N3912" t="s">
        <v>116</v>
      </c>
      <c r="O3912" t="s">
        <v>459</v>
      </c>
      <c r="P3912" t="s">
        <v>459</v>
      </c>
      <c r="Q3912">
        <v>7</v>
      </c>
      <c r="R3912" s="225">
        <f>Base_Periodo1[[#This Row],[CREDITOS]]-Base_Periodo1[[#This Row],[DEBITOS]]</f>
        <v>0</v>
      </c>
      <c r="S3912" s="3" t="str">
        <f>IF(ISERROR(VLOOKUP(Base_Periodo1[[#This Row],[CONTA]],BaseContasDRE[#All],4,FALSE)),"Fora do DRE",VLOOKUP(Base_Periodo1[[#This Row],[CONTA]],BaseContasDRE[#All],4,FALSE))</f>
        <v>Fora do DRE</v>
      </c>
      <c r="T3912" s="3" t="str">
        <f>IF(ISERROR(VLOOKUP(Base_Periodo1[[#This Row],[CONTA]],BaseContasDRE[#All],5,FALSE)),"Fora do DRE",VLOOKUP(Base_Periodo1[[#This Row],[CONTA]],BaseContasDRE[#All],6,FALSE))</f>
        <v>Fora do DRE</v>
      </c>
      <c r="U3912" s="3" t="str">
        <f>IF(ISERROR(VLOOKUP(Base_Periodo1[[#This Row],[CONTA]],BaseContasDRE[#All],7,FALSE)),"Fora do DRE",VLOOKUP(Base_Periodo1[[#This Row],[CONTA]],BaseContasDRE[#All],7,FALSE))</f>
        <v>Fora do DRE</v>
      </c>
      <c r="V3912" s="3" t="str">
        <f>IF(Base_Periodo1[[#This Row],[Tipo_Linha]]="Fora do DRE","Fora do DRE","( "&amp;Base_Periodo1[[#This Row],[Tipo_Linha]]&amp;" ) "&amp;Base_Periodo1[[#This Row],[Filtro]])</f>
        <v>Fora do DRE</v>
      </c>
      <c r="W3912" s="3" t="str">
        <f>LEFT(Base_Periodo1[[#This Row],[CLASS]],3)</f>
        <v>2.1</v>
      </c>
    </row>
    <row r="3913" spans="1:23" hidden="1">
      <c r="A3913" s="3" t="str">
        <f t="shared" si="61"/>
        <v>Período 1</v>
      </c>
      <c r="B3913">
        <v>24267</v>
      </c>
      <c r="C3913" t="s">
        <v>2010</v>
      </c>
      <c r="D3913" t="s">
        <v>2117</v>
      </c>
      <c r="E3913" s="3" t="str">
        <f>IF(LEN(Base_Periodo1[[#This Row],[CLASS]])&gt;=7,LEFT(Base_Periodo1[[#This Row],[CLASS]],7),"")</f>
        <v>2.1.2.2</v>
      </c>
      <c r="F3913" s="3" t="str">
        <f>VLOOKUP(Base_Periodo1[[#This Row],[Aux]],Base_Contas_Balanco[#All],2,FALSE)</f>
        <v>Fornecedores Não Cooperados</v>
      </c>
      <c r="G3913" s="1">
        <v>42884</v>
      </c>
      <c r="H3913" s="225">
        <v>13045</v>
      </c>
      <c r="I3913" s="225">
        <v>20089</v>
      </c>
      <c r="J3913" s="225">
        <v>14088</v>
      </c>
      <c r="K3913" s="225">
        <v>7044</v>
      </c>
      <c r="L39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7044</v>
      </c>
      <c r="M3913" s="225">
        <f>ROUND(IF(AND(Base_Periodo1[[#This Row],[Tipo_Linha]]="-",Base_Periodo1[[#This Row],[TIPOSALDO]]="D"),Base_Periodo1[[#This Row],[SALDO_ATUAL]]*-1,Base_Periodo1[[#This Row],[SALDO_ATUAL]]),4)</f>
        <v>7044</v>
      </c>
      <c r="N3913" t="s">
        <v>116</v>
      </c>
      <c r="O3913" t="s">
        <v>459</v>
      </c>
      <c r="P3913" t="s">
        <v>459</v>
      </c>
      <c r="Q3913">
        <v>7</v>
      </c>
      <c r="R3913" s="225">
        <f>Base_Periodo1[[#This Row],[CREDITOS]]-Base_Periodo1[[#This Row],[DEBITOS]]</f>
        <v>-6001</v>
      </c>
      <c r="S3913" s="3" t="str">
        <f>IF(ISERROR(VLOOKUP(Base_Periodo1[[#This Row],[CONTA]],BaseContasDRE[#All],4,FALSE)),"Fora do DRE",VLOOKUP(Base_Periodo1[[#This Row],[CONTA]],BaseContasDRE[#All],4,FALSE))</f>
        <v>Fora do DRE</v>
      </c>
      <c r="T3913" s="3" t="str">
        <f>IF(ISERROR(VLOOKUP(Base_Periodo1[[#This Row],[CONTA]],BaseContasDRE[#All],5,FALSE)),"Fora do DRE",VLOOKUP(Base_Periodo1[[#This Row],[CONTA]],BaseContasDRE[#All],6,FALSE))</f>
        <v>Fora do DRE</v>
      </c>
      <c r="U3913" s="3" t="str">
        <f>IF(ISERROR(VLOOKUP(Base_Periodo1[[#This Row],[CONTA]],BaseContasDRE[#All],7,FALSE)),"Fora do DRE",VLOOKUP(Base_Periodo1[[#This Row],[CONTA]],BaseContasDRE[#All],7,FALSE))</f>
        <v>Fora do DRE</v>
      </c>
      <c r="V3913" s="3" t="str">
        <f>IF(Base_Periodo1[[#This Row],[Tipo_Linha]]="Fora do DRE","Fora do DRE","( "&amp;Base_Periodo1[[#This Row],[Tipo_Linha]]&amp;" ) "&amp;Base_Periodo1[[#This Row],[Filtro]])</f>
        <v>Fora do DRE</v>
      </c>
      <c r="W3913" s="3" t="str">
        <f>LEFT(Base_Periodo1[[#This Row],[CLASS]],3)</f>
        <v>2.1</v>
      </c>
    </row>
    <row r="3914" spans="1:23" hidden="1">
      <c r="A3914" s="3" t="str">
        <f t="shared" si="61"/>
        <v>Período 1</v>
      </c>
      <c r="B3914">
        <v>10351</v>
      </c>
      <c r="C3914" t="s">
        <v>2010</v>
      </c>
      <c r="D3914" t="s">
        <v>2118</v>
      </c>
      <c r="E3914" s="3" t="str">
        <f>IF(LEN(Base_Periodo1[[#This Row],[CLASS]])&gt;=7,LEFT(Base_Periodo1[[#This Row],[CLASS]],7),"")</f>
        <v>2.1.2.2</v>
      </c>
      <c r="F3914" s="3" t="str">
        <f>VLOOKUP(Base_Periodo1[[#This Row],[Aux]],Base_Contas_Balanco[#All],2,FALSE)</f>
        <v>Fornecedores Não Cooperados</v>
      </c>
      <c r="G3914" s="1">
        <v>42865</v>
      </c>
      <c r="I3914" s="225">
        <v>622.94000000000005</v>
      </c>
      <c r="J3914" s="225">
        <v>622.94000000000005</v>
      </c>
      <c r="K3914" s="225">
        <v>0</v>
      </c>
      <c r="L39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14" s="225">
        <f>ROUND(IF(AND(Base_Periodo1[[#This Row],[Tipo_Linha]]="-",Base_Periodo1[[#This Row],[TIPOSALDO]]="D"),Base_Periodo1[[#This Row],[SALDO_ATUAL]]*-1,Base_Periodo1[[#This Row],[SALDO_ATUAL]]),4)</f>
        <v>0</v>
      </c>
      <c r="N3914" t="s">
        <v>116</v>
      </c>
      <c r="O3914" t="s">
        <v>436</v>
      </c>
      <c r="P3914" t="s">
        <v>436</v>
      </c>
      <c r="Q3914">
        <v>7</v>
      </c>
      <c r="R3914" s="225">
        <f>Base_Periodo1[[#This Row],[CREDITOS]]-Base_Periodo1[[#This Row],[DEBITOS]]</f>
        <v>0</v>
      </c>
      <c r="S3914" s="3" t="str">
        <f>IF(ISERROR(VLOOKUP(Base_Periodo1[[#This Row],[CONTA]],BaseContasDRE[#All],4,FALSE)),"Fora do DRE",VLOOKUP(Base_Periodo1[[#This Row],[CONTA]],BaseContasDRE[#All],4,FALSE))</f>
        <v>Fora do DRE</v>
      </c>
      <c r="T3914" s="3" t="str">
        <f>IF(ISERROR(VLOOKUP(Base_Periodo1[[#This Row],[CONTA]],BaseContasDRE[#All],5,FALSE)),"Fora do DRE",VLOOKUP(Base_Periodo1[[#This Row],[CONTA]],BaseContasDRE[#All],6,FALSE))</f>
        <v>Fora do DRE</v>
      </c>
      <c r="U3914" s="3" t="str">
        <f>IF(ISERROR(VLOOKUP(Base_Periodo1[[#This Row],[CONTA]],BaseContasDRE[#All],7,FALSE)),"Fora do DRE",VLOOKUP(Base_Periodo1[[#This Row],[CONTA]],BaseContasDRE[#All],7,FALSE))</f>
        <v>Fora do DRE</v>
      </c>
      <c r="V3914" s="3" t="str">
        <f>IF(Base_Periodo1[[#This Row],[Tipo_Linha]]="Fora do DRE","Fora do DRE","( "&amp;Base_Periodo1[[#This Row],[Tipo_Linha]]&amp;" ) "&amp;Base_Periodo1[[#This Row],[Filtro]])</f>
        <v>Fora do DRE</v>
      </c>
      <c r="W3914" s="3" t="str">
        <f>LEFT(Base_Periodo1[[#This Row],[CLASS]],3)</f>
        <v>2.1</v>
      </c>
    </row>
    <row r="3915" spans="1:23" hidden="1">
      <c r="A3915" s="3" t="str">
        <f t="shared" si="61"/>
        <v>Período 1</v>
      </c>
      <c r="B3915">
        <v>59145</v>
      </c>
      <c r="C3915" t="s">
        <v>2010</v>
      </c>
      <c r="D3915" t="s">
        <v>6515</v>
      </c>
      <c r="E3915" s="3" t="str">
        <f>IF(LEN(Base_Periodo1[[#This Row],[CLASS]])&gt;=7,LEFT(Base_Periodo1[[#This Row],[CLASS]],7),"")</f>
        <v>2.1.2.2</v>
      </c>
      <c r="F3915" s="3" t="str">
        <f>VLOOKUP(Base_Periodo1[[#This Row],[Aux]],Base_Contas_Balanco[#All],2,FALSE)</f>
        <v>Fornecedores Não Cooperados</v>
      </c>
      <c r="G3915" s="1">
        <v>42877</v>
      </c>
      <c r="I3915" s="225">
        <v>1047.19</v>
      </c>
      <c r="J3915" s="225">
        <v>1047.19</v>
      </c>
      <c r="K3915" s="225">
        <v>0</v>
      </c>
      <c r="L39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15" s="225">
        <f>ROUND(IF(AND(Base_Periodo1[[#This Row],[Tipo_Linha]]="-",Base_Periodo1[[#This Row],[TIPOSALDO]]="D"),Base_Periodo1[[#This Row],[SALDO_ATUAL]]*-1,Base_Periodo1[[#This Row],[SALDO_ATUAL]]),4)</f>
        <v>0</v>
      </c>
      <c r="N3915" t="s">
        <v>116</v>
      </c>
      <c r="O3915" t="s">
        <v>436</v>
      </c>
      <c r="P3915" t="s">
        <v>436</v>
      </c>
      <c r="Q3915">
        <v>7</v>
      </c>
      <c r="R3915" s="225">
        <f>Base_Periodo1[[#This Row],[CREDITOS]]-Base_Periodo1[[#This Row],[DEBITOS]]</f>
        <v>0</v>
      </c>
      <c r="S3915" s="3" t="str">
        <f>IF(ISERROR(VLOOKUP(Base_Periodo1[[#This Row],[CONTA]],BaseContasDRE[#All],4,FALSE)),"Fora do DRE",VLOOKUP(Base_Periodo1[[#This Row],[CONTA]],BaseContasDRE[#All],4,FALSE))</f>
        <v>Fora do DRE</v>
      </c>
      <c r="T3915" s="3" t="str">
        <f>IF(ISERROR(VLOOKUP(Base_Periodo1[[#This Row],[CONTA]],BaseContasDRE[#All],5,FALSE)),"Fora do DRE",VLOOKUP(Base_Periodo1[[#This Row],[CONTA]],BaseContasDRE[#All],6,FALSE))</f>
        <v>Fora do DRE</v>
      </c>
      <c r="U3915" s="3" t="str">
        <f>IF(ISERROR(VLOOKUP(Base_Periodo1[[#This Row],[CONTA]],BaseContasDRE[#All],7,FALSE)),"Fora do DRE",VLOOKUP(Base_Periodo1[[#This Row],[CONTA]],BaseContasDRE[#All],7,FALSE))</f>
        <v>Fora do DRE</v>
      </c>
      <c r="V3915" s="3" t="str">
        <f>IF(Base_Periodo1[[#This Row],[Tipo_Linha]]="Fora do DRE","Fora do DRE","( "&amp;Base_Periodo1[[#This Row],[Tipo_Linha]]&amp;" ) "&amp;Base_Periodo1[[#This Row],[Filtro]])</f>
        <v>Fora do DRE</v>
      </c>
      <c r="W3915" s="3" t="str">
        <f>LEFT(Base_Periodo1[[#This Row],[CLASS]],3)</f>
        <v>2.1</v>
      </c>
    </row>
    <row r="3916" spans="1:23" hidden="1">
      <c r="A3916" s="3" t="str">
        <f t="shared" si="61"/>
        <v>Período 1</v>
      </c>
      <c r="B3916">
        <v>56373</v>
      </c>
      <c r="C3916" t="s">
        <v>2010</v>
      </c>
      <c r="D3916" t="s">
        <v>5531</v>
      </c>
      <c r="E3916" s="3" t="str">
        <f>IF(LEN(Base_Periodo1[[#This Row],[CLASS]])&gt;=7,LEFT(Base_Periodo1[[#This Row],[CLASS]],7),"")</f>
        <v>2.1.2.2</v>
      </c>
      <c r="F3916" s="3" t="str">
        <f>VLOOKUP(Base_Periodo1[[#This Row],[Aux]],Base_Contas_Balanco[#All],2,FALSE)</f>
        <v>Fornecedores Não Cooperados</v>
      </c>
      <c r="G3916" s="1">
        <v>42884</v>
      </c>
      <c r="I3916" s="225">
        <v>3853.5699999999997</v>
      </c>
      <c r="J3916" s="225">
        <v>3853.5699999999997</v>
      </c>
      <c r="K3916" s="225">
        <v>0</v>
      </c>
      <c r="L39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16" s="225">
        <f>ROUND(IF(AND(Base_Periodo1[[#This Row],[Tipo_Linha]]="-",Base_Periodo1[[#This Row],[TIPOSALDO]]="D"),Base_Periodo1[[#This Row],[SALDO_ATUAL]]*-1,Base_Periodo1[[#This Row],[SALDO_ATUAL]]),4)</f>
        <v>0</v>
      </c>
      <c r="N3916" t="s">
        <v>116</v>
      </c>
      <c r="O3916" t="s">
        <v>436</v>
      </c>
      <c r="P3916" t="s">
        <v>436</v>
      </c>
      <c r="Q3916">
        <v>7</v>
      </c>
      <c r="R3916" s="225">
        <f>Base_Periodo1[[#This Row],[CREDITOS]]-Base_Periodo1[[#This Row],[DEBITOS]]</f>
        <v>0</v>
      </c>
      <c r="S3916" s="3" t="str">
        <f>IF(ISERROR(VLOOKUP(Base_Periodo1[[#This Row],[CONTA]],BaseContasDRE[#All],4,FALSE)),"Fora do DRE",VLOOKUP(Base_Periodo1[[#This Row],[CONTA]],BaseContasDRE[#All],4,FALSE))</f>
        <v>Fora do DRE</v>
      </c>
      <c r="T3916" s="3" t="str">
        <f>IF(ISERROR(VLOOKUP(Base_Periodo1[[#This Row],[CONTA]],BaseContasDRE[#All],5,FALSE)),"Fora do DRE",VLOOKUP(Base_Periodo1[[#This Row],[CONTA]],BaseContasDRE[#All],6,FALSE))</f>
        <v>Fora do DRE</v>
      </c>
      <c r="U3916" s="3" t="str">
        <f>IF(ISERROR(VLOOKUP(Base_Periodo1[[#This Row],[CONTA]],BaseContasDRE[#All],7,FALSE)),"Fora do DRE",VLOOKUP(Base_Periodo1[[#This Row],[CONTA]],BaseContasDRE[#All],7,FALSE))</f>
        <v>Fora do DRE</v>
      </c>
      <c r="V3916" s="3" t="str">
        <f>IF(Base_Periodo1[[#This Row],[Tipo_Linha]]="Fora do DRE","Fora do DRE","( "&amp;Base_Periodo1[[#This Row],[Tipo_Linha]]&amp;" ) "&amp;Base_Periodo1[[#This Row],[Filtro]])</f>
        <v>Fora do DRE</v>
      </c>
      <c r="W3916" s="3" t="str">
        <f>LEFT(Base_Periodo1[[#This Row],[CLASS]],3)</f>
        <v>2.1</v>
      </c>
    </row>
    <row r="3917" spans="1:23" hidden="1">
      <c r="A3917" s="3" t="str">
        <f t="shared" si="61"/>
        <v>Período 1</v>
      </c>
      <c r="B3917">
        <v>56228</v>
      </c>
      <c r="C3917" t="s">
        <v>2010</v>
      </c>
      <c r="D3917" t="s">
        <v>5531</v>
      </c>
      <c r="E3917" s="3" t="str">
        <f>IF(LEN(Base_Periodo1[[#This Row],[CLASS]])&gt;=7,LEFT(Base_Periodo1[[#This Row],[CLASS]],7),"")</f>
        <v>2.1.2.2</v>
      </c>
      <c r="F3917" s="3" t="str">
        <f>VLOOKUP(Base_Periodo1[[#This Row],[Aux]],Base_Contas_Balanco[#All],2,FALSE)</f>
        <v>Fornecedores Não Cooperados</v>
      </c>
      <c r="G3917" s="1">
        <v>42857</v>
      </c>
      <c r="H3917" s="225">
        <v>1048.1899999999987</v>
      </c>
      <c r="I3917" s="225">
        <v>1048.19</v>
      </c>
      <c r="J3917" s="225">
        <v>0</v>
      </c>
      <c r="K3917" s="225">
        <v>1.3642420526593924E-12</v>
      </c>
      <c r="L39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17" s="225">
        <f>ROUND(IF(AND(Base_Periodo1[[#This Row],[Tipo_Linha]]="-",Base_Periodo1[[#This Row],[TIPOSALDO]]="D"),Base_Periodo1[[#This Row],[SALDO_ATUAL]]*-1,Base_Periodo1[[#This Row],[SALDO_ATUAL]]),4)</f>
        <v>0</v>
      </c>
      <c r="N3917" t="s">
        <v>116</v>
      </c>
      <c r="O3917" t="s">
        <v>459</v>
      </c>
      <c r="P3917" t="s">
        <v>436</v>
      </c>
      <c r="Q3917">
        <v>7</v>
      </c>
      <c r="R3917" s="225">
        <f>Base_Periodo1[[#This Row],[CREDITOS]]-Base_Periodo1[[#This Row],[DEBITOS]]</f>
        <v>-1048.19</v>
      </c>
      <c r="S3917" s="3" t="str">
        <f>IF(ISERROR(VLOOKUP(Base_Periodo1[[#This Row],[CONTA]],BaseContasDRE[#All],4,FALSE)),"Fora do DRE",VLOOKUP(Base_Periodo1[[#This Row],[CONTA]],BaseContasDRE[#All],4,FALSE))</f>
        <v>Fora do DRE</v>
      </c>
      <c r="T3917" s="3" t="str">
        <f>IF(ISERROR(VLOOKUP(Base_Periodo1[[#This Row],[CONTA]],BaseContasDRE[#All],5,FALSE)),"Fora do DRE",VLOOKUP(Base_Periodo1[[#This Row],[CONTA]],BaseContasDRE[#All],6,FALSE))</f>
        <v>Fora do DRE</v>
      </c>
      <c r="U3917" s="3" t="str">
        <f>IF(ISERROR(VLOOKUP(Base_Periodo1[[#This Row],[CONTA]],BaseContasDRE[#All],7,FALSE)),"Fora do DRE",VLOOKUP(Base_Periodo1[[#This Row],[CONTA]],BaseContasDRE[#All],7,FALSE))</f>
        <v>Fora do DRE</v>
      </c>
      <c r="V3917" s="3" t="str">
        <f>IF(Base_Periodo1[[#This Row],[Tipo_Linha]]="Fora do DRE","Fora do DRE","( "&amp;Base_Periodo1[[#This Row],[Tipo_Linha]]&amp;" ) "&amp;Base_Periodo1[[#This Row],[Filtro]])</f>
        <v>Fora do DRE</v>
      </c>
      <c r="W3917" s="3" t="str">
        <f>LEFT(Base_Periodo1[[#This Row],[CLASS]],3)</f>
        <v>2.1</v>
      </c>
    </row>
    <row r="3918" spans="1:23" hidden="1">
      <c r="A3918" s="3" t="str">
        <f t="shared" si="61"/>
        <v>Período 1</v>
      </c>
      <c r="B3918">
        <v>58811</v>
      </c>
      <c r="C3918" t="s">
        <v>2010</v>
      </c>
      <c r="D3918" t="s">
        <v>7122</v>
      </c>
      <c r="E3918" s="3" t="str">
        <f>IF(LEN(Base_Periodo1[[#This Row],[CLASS]])&gt;=7,LEFT(Base_Periodo1[[#This Row],[CLASS]],7),"")</f>
        <v>2.1.2.2</v>
      </c>
      <c r="F3918" s="3" t="str">
        <f>VLOOKUP(Base_Periodo1[[#This Row],[Aux]],Base_Contas_Balanco[#All],2,FALSE)</f>
        <v>Fornecedores Não Cooperados</v>
      </c>
      <c r="G3918" s="1">
        <v>42865</v>
      </c>
      <c r="I3918" s="225">
        <v>500.26</v>
      </c>
      <c r="J3918" s="225">
        <v>500.26</v>
      </c>
      <c r="K3918" s="225">
        <v>0</v>
      </c>
      <c r="L39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18" s="225">
        <f>ROUND(IF(AND(Base_Periodo1[[#This Row],[Tipo_Linha]]="-",Base_Periodo1[[#This Row],[TIPOSALDO]]="D"),Base_Periodo1[[#This Row],[SALDO_ATUAL]]*-1,Base_Periodo1[[#This Row],[SALDO_ATUAL]]),4)</f>
        <v>0</v>
      </c>
      <c r="N3918" t="s">
        <v>116</v>
      </c>
      <c r="O3918" t="s">
        <v>436</v>
      </c>
      <c r="P3918" t="s">
        <v>436</v>
      </c>
      <c r="Q3918">
        <v>7</v>
      </c>
      <c r="R3918" s="225">
        <f>Base_Periodo1[[#This Row],[CREDITOS]]-Base_Periodo1[[#This Row],[DEBITOS]]</f>
        <v>0</v>
      </c>
      <c r="S3918" s="3" t="str">
        <f>IF(ISERROR(VLOOKUP(Base_Periodo1[[#This Row],[CONTA]],BaseContasDRE[#All],4,FALSE)),"Fora do DRE",VLOOKUP(Base_Periodo1[[#This Row],[CONTA]],BaseContasDRE[#All],4,FALSE))</f>
        <v>Fora do DRE</v>
      </c>
      <c r="T3918" s="3" t="str">
        <f>IF(ISERROR(VLOOKUP(Base_Periodo1[[#This Row],[CONTA]],BaseContasDRE[#All],5,FALSE)),"Fora do DRE",VLOOKUP(Base_Periodo1[[#This Row],[CONTA]],BaseContasDRE[#All],6,FALSE))</f>
        <v>Fora do DRE</v>
      </c>
      <c r="U3918" s="3" t="str">
        <f>IF(ISERROR(VLOOKUP(Base_Periodo1[[#This Row],[CONTA]],BaseContasDRE[#All],7,FALSE)),"Fora do DRE",VLOOKUP(Base_Periodo1[[#This Row],[CONTA]],BaseContasDRE[#All],7,FALSE))</f>
        <v>Fora do DRE</v>
      </c>
      <c r="V3918" s="3" t="str">
        <f>IF(Base_Periodo1[[#This Row],[Tipo_Linha]]="Fora do DRE","Fora do DRE","( "&amp;Base_Periodo1[[#This Row],[Tipo_Linha]]&amp;" ) "&amp;Base_Periodo1[[#This Row],[Filtro]])</f>
        <v>Fora do DRE</v>
      </c>
      <c r="W3918" s="3" t="str">
        <f>LEFT(Base_Periodo1[[#This Row],[CLASS]],3)</f>
        <v>2.1</v>
      </c>
    </row>
    <row r="3919" spans="1:23" hidden="1">
      <c r="A3919" s="3" t="str">
        <f t="shared" si="61"/>
        <v>Período 1</v>
      </c>
      <c r="B3919">
        <v>38189</v>
      </c>
      <c r="C3919" t="s">
        <v>2010</v>
      </c>
      <c r="D3919" t="s">
        <v>5727</v>
      </c>
      <c r="E3919" s="3" t="str">
        <f>IF(LEN(Base_Periodo1[[#This Row],[CLASS]])&gt;=7,LEFT(Base_Periodo1[[#This Row],[CLASS]],7),"")</f>
        <v>2.1.2.2</v>
      </c>
      <c r="F3919" s="3" t="str">
        <f>VLOOKUP(Base_Periodo1[[#This Row],[Aux]],Base_Contas_Balanco[#All],2,FALSE)</f>
        <v>Fornecedores Não Cooperados</v>
      </c>
      <c r="G3919" s="1">
        <v>42865</v>
      </c>
      <c r="H3919" s="225">
        <v>4050</v>
      </c>
      <c r="I3919" s="225">
        <v>4050</v>
      </c>
      <c r="J3919" s="225">
        <v>0</v>
      </c>
      <c r="K3919" s="225">
        <v>0</v>
      </c>
      <c r="L39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19" s="225">
        <f>ROUND(IF(AND(Base_Periodo1[[#This Row],[Tipo_Linha]]="-",Base_Periodo1[[#This Row],[TIPOSALDO]]="D"),Base_Periodo1[[#This Row],[SALDO_ATUAL]]*-1,Base_Periodo1[[#This Row],[SALDO_ATUAL]]),4)</f>
        <v>0</v>
      </c>
      <c r="N3919" t="s">
        <v>116</v>
      </c>
      <c r="O3919" t="s">
        <v>459</v>
      </c>
      <c r="P3919" t="s">
        <v>436</v>
      </c>
      <c r="Q3919">
        <v>7</v>
      </c>
      <c r="R3919" s="225">
        <f>Base_Periodo1[[#This Row],[CREDITOS]]-Base_Periodo1[[#This Row],[DEBITOS]]</f>
        <v>-4050</v>
      </c>
      <c r="S3919" s="3" t="str">
        <f>IF(ISERROR(VLOOKUP(Base_Periodo1[[#This Row],[CONTA]],BaseContasDRE[#All],4,FALSE)),"Fora do DRE",VLOOKUP(Base_Periodo1[[#This Row],[CONTA]],BaseContasDRE[#All],4,FALSE))</f>
        <v>Fora do DRE</v>
      </c>
      <c r="T3919" s="3" t="str">
        <f>IF(ISERROR(VLOOKUP(Base_Periodo1[[#This Row],[CONTA]],BaseContasDRE[#All],5,FALSE)),"Fora do DRE",VLOOKUP(Base_Periodo1[[#This Row],[CONTA]],BaseContasDRE[#All],6,FALSE))</f>
        <v>Fora do DRE</v>
      </c>
      <c r="U3919" s="3" t="str">
        <f>IF(ISERROR(VLOOKUP(Base_Periodo1[[#This Row],[CONTA]],BaseContasDRE[#All],7,FALSE)),"Fora do DRE",VLOOKUP(Base_Periodo1[[#This Row],[CONTA]],BaseContasDRE[#All],7,FALSE))</f>
        <v>Fora do DRE</v>
      </c>
      <c r="V3919" s="3" t="str">
        <f>IF(Base_Periodo1[[#This Row],[Tipo_Linha]]="Fora do DRE","Fora do DRE","( "&amp;Base_Periodo1[[#This Row],[Tipo_Linha]]&amp;" ) "&amp;Base_Periodo1[[#This Row],[Filtro]])</f>
        <v>Fora do DRE</v>
      </c>
      <c r="W3919" s="3" t="str">
        <f>LEFT(Base_Periodo1[[#This Row],[CLASS]],3)</f>
        <v>2.1</v>
      </c>
    </row>
    <row r="3920" spans="1:23" hidden="1">
      <c r="A3920" s="3" t="str">
        <f t="shared" si="61"/>
        <v>Período 1</v>
      </c>
      <c r="B3920">
        <v>59194</v>
      </c>
      <c r="C3920" t="s">
        <v>2010</v>
      </c>
      <c r="D3920" t="s">
        <v>7123</v>
      </c>
      <c r="E3920" s="3" t="str">
        <f>IF(LEN(Base_Periodo1[[#This Row],[CLASS]])&gt;=7,LEFT(Base_Periodo1[[#This Row],[CLASS]],7),"")</f>
        <v>2.1.2.2</v>
      </c>
      <c r="F3920" s="3" t="str">
        <f>VLOOKUP(Base_Periodo1[[#This Row],[Aux]],Base_Contas_Balanco[#All],2,FALSE)</f>
        <v>Fornecedores Não Cooperados</v>
      </c>
      <c r="G3920" s="1">
        <v>42879</v>
      </c>
      <c r="I3920" s="225">
        <v>37.9</v>
      </c>
      <c r="J3920" s="225">
        <v>37.9</v>
      </c>
      <c r="K3920" s="225">
        <v>0</v>
      </c>
      <c r="L39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20" s="225">
        <f>ROUND(IF(AND(Base_Periodo1[[#This Row],[Tipo_Linha]]="-",Base_Periodo1[[#This Row],[TIPOSALDO]]="D"),Base_Periodo1[[#This Row],[SALDO_ATUAL]]*-1,Base_Periodo1[[#This Row],[SALDO_ATUAL]]),4)</f>
        <v>0</v>
      </c>
      <c r="N3920" t="s">
        <v>116</v>
      </c>
      <c r="O3920" t="s">
        <v>436</v>
      </c>
      <c r="P3920" t="s">
        <v>436</v>
      </c>
      <c r="Q3920">
        <v>7</v>
      </c>
      <c r="R3920" s="225">
        <f>Base_Periodo1[[#This Row],[CREDITOS]]-Base_Periodo1[[#This Row],[DEBITOS]]</f>
        <v>0</v>
      </c>
      <c r="S3920" s="3" t="str">
        <f>IF(ISERROR(VLOOKUP(Base_Periodo1[[#This Row],[CONTA]],BaseContasDRE[#All],4,FALSE)),"Fora do DRE",VLOOKUP(Base_Periodo1[[#This Row],[CONTA]],BaseContasDRE[#All],4,FALSE))</f>
        <v>Fora do DRE</v>
      </c>
      <c r="T3920" s="3" t="str">
        <f>IF(ISERROR(VLOOKUP(Base_Periodo1[[#This Row],[CONTA]],BaseContasDRE[#All],5,FALSE)),"Fora do DRE",VLOOKUP(Base_Periodo1[[#This Row],[CONTA]],BaseContasDRE[#All],6,FALSE))</f>
        <v>Fora do DRE</v>
      </c>
      <c r="U3920" s="3" t="str">
        <f>IF(ISERROR(VLOOKUP(Base_Periodo1[[#This Row],[CONTA]],BaseContasDRE[#All],7,FALSE)),"Fora do DRE",VLOOKUP(Base_Periodo1[[#This Row],[CONTA]],BaseContasDRE[#All],7,FALSE))</f>
        <v>Fora do DRE</v>
      </c>
      <c r="V3920" s="3" t="str">
        <f>IF(Base_Periodo1[[#This Row],[Tipo_Linha]]="Fora do DRE","Fora do DRE","( "&amp;Base_Periodo1[[#This Row],[Tipo_Linha]]&amp;" ) "&amp;Base_Periodo1[[#This Row],[Filtro]])</f>
        <v>Fora do DRE</v>
      </c>
      <c r="W3920" s="3" t="str">
        <f>LEFT(Base_Periodo1[[#This Row],[CLASS]],3)</f>
        <v>2.1</v>
      </c>
    </row>
    <row r="3921" spans="1:23" hidden="1">
      <c r="A3921" s="3" t="str">
        <f t="shared" si="61"/>
        <v>Período 1</v>
      </c>
      <c r="B3921">
        <v>44824</v>
      </c>
      <c r="C3921" t="s">
        <v>2010</v>
      </c>
      <c r="D3921" t="s">
        <v>2119</v>
      </c>
      <c r="E3921" s="3" t="str">
        <f>IF(LEN(Base_Periodo1[[#This Row],[CLASS]])&gt;=7,LEFT(Base_Periodo1[[#This Row],[CLASS]],7),"")</f>
        <v>2.1.2.2</v>
      </c>
      <c r="F3921" s="3" t="str">
        <f>VLOOKUP(Base_Periodo1[[#This Row],[Aux]],Base_Contas_Balanco[#All],2,FALSE)</f>
        <v>Fornecedores Não Cooperados</v>
      </c>
      <c r="G3921" s="1"/>
      <c r="H3921" s="225">
        <v>240</v>
      </c>
      <c r="I3921" s="225">
        <v>0</v>
      </c>
      <c r="J3921" s="225">
        <v>0</v>
      </c>
      <c r="K3921" s="225">
        <v>240</v>
      </c>
      <c r="L39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3921" s="225">
        <f>ROUND(IF(AND(Base_Periodo1[[#This Row],[Tipo_Linha]]="-",Base_Periodo1[[#This Row],[TIPOSALDO]]="D"),Base_Periodo1[[#This Row],[SALDO_ATUAL]]*-1,Base_Periodo1[[#This Row],[SALDO_ATUAL]]),4)</f>
        <v>240</v>
      </c>
      <c r="N3921" t="s">
        <v>116</v>
      </c>
      <c r="O3921" t="s">
        <v>459</v>
      </c>
      <c r="P3921" t="s">
        <v>459</v>
      </c>
      <c r="Q3921">
        <v>7</v>
      </c>
      <c r="R3921" s="225">
        <f>Base_Periodo1[[#This Row],[CREDITOS]]-Base_Periodo1[[#This Row],[DEBITOS]]</f>
        <v>0</v>
      </c>
      <c r="S3921" s="3" t="str">
        <f>IF(ISERROR(VLOOKUP(Base_Periodo1[[#This Row],[CONTA]],BaseContasDRE[#All],4,FALSE)),"Fora do DRE",VLOOKUP(Base_Periodo1[[#This Row],[CONTA]],BaseContasDRE[#All],4,FALSE))</f>
        <v>Fora do DRE</v>
      </c>
      <c r="T3921" s="3" t="str">
        <f>IF(ISERROR(VLOOKUP(Base_Periodo1[[#This Row],[CONTA]],BaseContasDRE[#All],5,FALSE)),"Fora do DRE",VLOOKUP(Base_Periodo1[[#This Row],[CONTA]],BaseContasDRE[#All],6,FALSE))</f>
        <v>Fora do DRE</v>
      </c>
      <c r="U3921" s="3" t="str">
        <f>IF(ISERROR(VLOOKUP(Base_Periodo1[[#This Row],[CONTA]],BaseContasDRE[#All],7,FALSE)),"Fora do DRE",VLOOKUP(Base_Periodo1[[#This Row],[CONTA]],BaseContasDRE[#All],7,FALSE))</f>
        <v>Fora do DRE</v>
      </c>
      <c r="V3921" s="3" t="str">
        <f>IF(Base_Periodo1[[#This Row],[Tipo_Linha]]="Fora do DRE","Fora do DRE","( "&amp;Base_Periodo1[[#This Row],[Tipo_Linha]]&amp;" ) "&amp;Base_Periodo1[[#This Row],[Filtro]])</f>
        <v>Fora do DRE</v>
      </c>
      <c r="W3921" s="3" t="str">
        <f>LEFT(Base_Periodo1[[#This Row],[CLASS]],3)</f>
        <v>2.1</v>
      </c>
    </row>
    <row r="3922" spans="1:23" hidden="1">
      <c r="A3922" s="3" t="str">
        <f t="shared" si="61"/>
        <v>Período 1</v>
      </c>
      <c r="B3922">
        <v>27898</v>
      </c>
      <c r="C3922" t="s">
        <v>2010</v>
      </c>
      <c r="D3922" t="s">
        <v>6197</v>
      </c>
      <c r="E3922" s="3" t="str">
        <f>IF(LEN(Base_Periodo1[[#This Row],[CLASS]])&gt;=7,LEFT(Base_Periodo1[[#This Row],[CLASS]],7),"")</f>
        <v>2.1.2.2</v>
      </c>
      <c r="F3922" s="3" t="str">
        <f>VLOOKUP(Base_Periodo1[[#This Row],[Aux]],Base_Contas_Balanco[#All],2,FALSE)</f>
        <v>Fornecedores Não Cooperados</v>
      </c>
      <c r="G3922" s="1">
        <v>42874</v>
      </c>
      <c r="I3922" s="225">
        <v>28614</v>
      </c>
      <c r="J3922" s="225">
        <v>28614</v>
      </c>
      <c r="K3922" s="225">
        <v>0</v>
      </c>
      <c r="L39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22" s="225">
        <f>ROUND(IF(AND(Base_Periodo1[[#This Row],[Tipo_Linha]]="-",Base_Periodo1[[#This Row],[TIPOSALDO]]="D"),Base_Periodo1[[#This Row],[SALDO_ATUAL]]*-1,Base_Periodo1[[#This Row],[SALDO_ATUAL]]),4)</f>
        <v>0</v>
      </c>
      <c r="N3922" t="s">
        <v>116</v>
      </c>
      <c r="O3922" t="s">
        <v>436</v>
      </c>
      <c r="P3922" t="s">
        <v>436</v>
      </c>
      <c r="Q3922">
        <v>7</v>
      </c>
      <c r="R3922" s="225">
        <f>Base_Periodo1[[#This Row],[CREDITOS]]-Base_Periodo1[[#This Row],[DEBITOS]]</f>
        <v>0</v>
      </c>
      <c r="S3922" s="3" t="str">
        <f>IF(ISERROR(VLOOKUP(Base_Periodo1[[#This Row],[CONTA]],BaseContasDRE[#All],4,FALSE)),"Fora do DRE",VLOOKUP(Base_Periodo1[[#This Row],[CONTA]],BaseContasDRE[#All],4,FALSE))</f>
        <v>Fora do DRE</v>
      </c>
      <c r="T3922" s="3" t="str">
        <f>IF(ISERROR(VLOOKUP(Base_Periodo1[[#This Row],[CONTA]],BaseContasDRE[#All],5,FALSE)),"Fora do DRE",VLOOKUP(Base_Periodo1[[#This Row],[CONTA]],BaseContasDRE[#All],6,FALSE))</f>
        <v>Fora do DRE</v>
      </c>
      <c r="U3922" s="3" t="str">
        <f>IF(ISERROR(VLOOKUP(Base_Periodo1[[#This Row],[CONTA]],BaseContasDRE[#All],7,FALSE)),"Fora do DRE",VLOOKUP(Base_Periodo1[[#This Row],[CONTA]],BaseContasDRE[#All],7,FALSE))</f>
        <v>Fora do DRE</v>
      </c>
      <c r="V3922" s="3" t="str">
        <f>IF(Base_Periodo1[[#This Row],[Tipo_Linha]]="Fora do DRE","Fora do DRE","( "&amp;Base_Periodo1[[#This Row],[Tipo_Linha]]&amp;" ) "&amp;Base_Periodo1[[#This Row],[Filtro]])</f>
        <v>Fora do DRE</v>
      </c>
      <c r="W3922" s="3" t="str">
        <f>LEFT(Base_Periodo1[[#This Row],[CLASS]],3)</f>
        <v>2.1</v>
      </c>
    </row>
    <row r="3923" spans="1:23" hidden="1">
      <c r="A3923" s="3" t="str">
        <f t="shared" si="61"/>
        <v>Período 1</v>
      </c>
      <c r="B3923">
        <v>42156</v>
      </c>
      <c r="C3923" t="s">
        <v>2010</v>
      </c>
      <c r="D3923" t="s">
        <v>2120</v>
      </c>
      <c r="E3923" s="3" t="str">
        <f>IF(LEN(Base_Periodo1[[#This Row],[CLASS]])&gt;=7,LEFT(Base_Periodo1[[#This Row],[CLASS]],7),"")</f>
        <v>2.1.2.2</v>
      </c>
      <c r="F3923" s="3" t="str">
        <f>VLOOKUP(Base_Periodo1[[#This Row],[Aux]],Base_Contas_Balanco[#All],2,FALSE)</f>
        <v>Fornecedores Não Cooperados</v>
      </c>
      <c r="G3923" s="1"/>
      <c r="H3923" s="225">
        <v>26096.55</v>
      </c>
      <c r="I3923" s="225">
        <v>0</v>
      </c>
      <c r="J3923" s="225">
        <v>0</v>
      </c>
      <c r="K3923" s="225">
        <v>26096.55</v>
      </c>
      <c r="L39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26096.55</v>
      </c>
      <c r="M3923" s="225">
        <f>ROUND(IF(AND(Base_Periodo1[[#This Row],[Tipo_Linha]]="-",Base_Periodo1[[#This Row],[TIPOSALDO]]="D"),Base_Periodo1[[#This Row],[SALDO_ATUAL]]*-1,Base_Periodo1[[#This Row],[SALDO_ATUAL]]),4)</f>
        <v>26096.55</v>
      </c>
      <c r="N3923" t="s">
        <v>116</v>
      </c>
      <c r="O3923" t="s">
        <v>459</v>
      </c>
      <c r="P3923" t="s">
        <v>459</v>
      </c>
      <c r="Q3923">
        <v>7</v>
      </c>
      <c r="R3923" s="225">
        <f>Base_Periodo1[[#This Row],[CREDITOS]]-Base_Periodo1[[#This Row],[DEBITOS]]</f>
        <v>0</v>
      </c>
      <c r="S3923" s="3" t="str">
        <f>IF(ISERROR(VLOOKUP(Base_Periodo1[[#This Row],[CONTA]],BaseContasDRE[#All],4,FALSE)),"Fora do DRE",VLOOKUP(Base_Periodo1[[#This Row],[CONTA]],BaseContasDRE[#All],4,FALSE))</f>
        <v>Fora do DRE</v>
      </c>
      <c r="T3923" s="3" t="str">
        <f>IF(ISERROR(VLOOKUP(Base_Periodo1[[#This Row],[CONTA]],BaseContasDRE[#All],5,FALSE)),"Fora do DRE",VLOOKUP(Base_Periodo1[[#This Row],[CONTA]],BaseContasDRE[#All],6,FALSE))</f>
        <v>Fora do DRE</v>
      </c>
      <c r="U3923" s="3" t="str">
        <f>IF(ISERROR(VLOOKUP(Base_Periodo1[[#This Row],[CONTA]],BaseContasDRE[#All],7,FALSE)),"Fora do DRE",VLOOKUP(Base_Periodo1[[#This Row],[CONTA]],BaseContasDRE[#All],7,FALSE))</f>
        <v>Fora do DRE</v>
      </c>
      <c r="V3923" s="3" t="str">
        <f>IF(Base_Periodo1[[#This Row],[Tipo_Linha]]="Fora do DRE","Fora do DRE","( "&amp;Base_Periodo1[[#This Row],[Tipo_Linha]]&amp;" ) "&amp;Base_Periodo1[[#This Row],[Filtro]])</f>
        <v>Fora do DRE</v>
      </c>
      <c r="W3923" s="3" t="str">
        <f>LEFT(Base_Periodo1[[#This Row],[CLASS]],3)</f>
        <v>2.1</v>
      </c>
    </row>
    <row r="3924" spans="1:23" hidden="1">
      <c r="A3924" s="3" t="str">
        <f t="shared" si="61"/>
        <v>Período 1</v>
      </c>
      <c r="B3924">
        <v>58918</v>
      </c>
      <c r="C3924" t="s">
        <v>2010</v>
      </c>
      <c r="D3924" t="s">
        <v>7124</v>
      </c>
      <c r="E3924" s="3" t="str">
        <f>IF(LEN(Base_Periodo1[[#This Row],[CLASS]])&gt;=7,LEFT(Base_Periodo1[[#This Row],[CLASS]],7),"")</f>
        <v>2.1.2.2</v>
      </c>
      <c r="F3924" s="3" t="str">
        <f>VLOOKUP(Base_Periodo1[[#This Row],[Aux]],Base_Contas_Balanco[#All],2,FALSE)</f>
        <v>Fornecedores Não Cooperados</v>
      </c>
      <c r="G3924" s="1">
        <v>42886</v>
      </c>
      <c r="I3924" s="225">
        <v>1212</v>
      </c>
      <c r="J3924" s="225">
        <v>1212</v>
      </c>
      <c r="K3924" s="225">
        <v>0</v>
      </c>
      <c r="L39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24" s="225">
        <f>ROUND(IF(AND(Base_Periodo1[[#This Row],[Tipo_Linha]]="-",Base_Periodo1[[#This Row],[TIPOSALDO]]="D"),Base_Periodo1[[#This Row],[SALDO_ATUAL]]*-1,Base_Periodo1[[#This Row],[SALDO_ATUAL]]),4)</f>
        <v>0</v>
      </c>
      <c r="N3924" t="s">
        <v>116</v>
      </c>
      <c r="O3924" t="s">
        <v>436</v>
      </c>
      <c r="P3924" t="s">
        <v>436</v>
      </c>
      <c r="Q3924">
        <v>7</v>
      </c>
      <c r="R3924" s="225">
        <f>Base_Periodo1[[#This Row],[CREDITOS]]-Base_Periodo1[[#This Row],[DEBITOS]]</f>
        <v>0</v>
      </c>
      <c r="S3924" s="3" t="str">
        <f>IF(ISERROR(VLOOKUP(Base_Periodo1[[#This Row],[CONTA]],BaseContasDRE[#All],4,FALSE)),"Fora do DRE",VLOOKUP(Base_Periodo1[[#This Row],[CONTA]],BaseContasDRE[#All],4,FALSE))</f>
        <v>Fora do DRE</v>
      </c>
      <c r="T3924" s="3" t="str">
        <f>IF(ISERROR(VLOOKUP(Base_Periodo1[[#This Row],[CONTA]],BaseContasDRE[#All],5,FALSE)),"Fora do DRE",VLOOKUP(Base_Periodo1[[#This Row],[CONTA]],BaseContasDRE[#All],6,FALSE))</f>
        <v>Fora do DRE</v>
      </c>
      <c r="U3924" s="3" t="str">
        <f>IF(ISERROR(VLOOKUP(Base_Periodo1[[#This Row],[CONTA]],BaseContasDRE[#All],7,FALSE)),"Fora do DRE",VLOOKUP(Base_Periodo1[[#This Row],[CONTA]],BaseContasDRE[#All],7,FALSE))</f>
        <v>Fora do DRE</v>
      </c>
      <c r="V3924" s="3" t="str">
        <f>IF(Base_Periodo1[[#This Row],[Tipo_Linha]]="Fora do DRE","Fora do DRE","( "&amp;Base_Periodo1[[#This Row],[Tipo_Linha]]&amp;" ) "&amp;Base_Periodo1[[#This Row],[Filtro]])</f>
        <v>Fora do DRE</v>
      </c>
      <c r="W3924" s="3" t="str">
        <f>LEFT(Base_Periodo1[[#This Row],[CLASS]],3)</f>
        <v>2.1</v>
      </c>
    </row>
    <row r="3925" spans="1:23" hidden="1">
      <c r="A3925" s="3" t="str">
        <f t="shared" si="61"/>
        <v>Período 1</v>
      </c>
      <c r="B3925">
        <v>53850</v>
      </c>
      <c r="C3925" t="s">
        <v>2010</v>
      </c>
      <c r="D3925" t="s">
        <v>6199</v>
      </c>
      <c r="E3925" s="3" t="str">
        <f>IF(LEN(Base_Periodo1[[#This Row],[CLASS]])&gt;=7,LEFT(Base_Periodo1[[#This Row],[CLASS]],7),"")</f>
        <v>2.1.2.2</v>
      </c>
      <c r="F3925" s="3" t="str">
        <f>VLOOKUP(Base_Periodo1[[#This Row],[Aux]],Base_Contas_Balanco[#All],2,FALSE)</f>
        <v>Fornecedores Não Cooperados</v>
      </c>
      <c r="G3925" s="1">
        <v>42879</v>
      </c>
      <c r="I3925" s="225">
        <v>1948.7</v>
      </c>
      <c r="J3925" s="225">
        <v>1948.7</v>
      </c>
      <c r="K3925" s="225">
        <v>0</v>
      </c>
      <c r="L39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25" s="225">
        <f>ROUND(IF(AND(Base_Periodo1[[#This Row],[Tipo_Linha]]="-",Base_Periodo1[[#This Row],[TIPOSALDO]]="D"),Base_Periodo1[[#This Row],[SALDO_ATUAL]]*-1,Base_Periodo1[[#This Row],[SALDO_ATUAL]]),4)</f>
        <v>0</v>
      </c>
      <c r="N3925" t="s">
        <v>116</v>
      </c>
      <c r="O3925" t="s">
        <v>436</v>
      </c>
      <c r="P3925" t="s">
        <v>436</v>
      </c>
      <c r="Q3925">
        <v>7</v>
      </c>
      <c r="R3925" s="225">
        <f>Base_Periodo1[[#This Row],[CREDITOS]]-Base_Periodo1[[#This Row],[DEBITOS]]</f>
        <v>0</v>
      </c>
      <c r="S3925" s="3" t="str">
        <f>IF(ISERROR(VLOOKUP(Base_Periodo1[[#This Row],[CONTA]],BaseContasDRE[#All],4,FALSE)),"Fora do DRE",VLOOKUP(Base_Periodo1[[#This Row],[CONTA]],BaseContasDRE[#All],4,FALSE))</f>
        <v>Fora do DRE</v>
      </c>
      <c r="T3925" s="3" t="str">
        <f>IF(ISERROR(VLOOKUP(Base_Periodo1[[#This Row],[CONTA]],BaseContasDRE[#All],5,FALSE)),"Fora do DRE",VLOOKUP(Base_Periodo1[[#This Row],[CONTA]],BaseContasDRE[#All],6,FALSE))</f>
        <v>Fora do DRE</v>
      </c>
      <c r="U3925" s="3" t="str">
        <f>IF(ISERROR(VLOOKUP(Base_Periodo1[[#This Row],[CONTA]],BaseContasDRE[#All],7,FALSE)),"Fora do DRE",VLOOKUP(Base_Periodo1[[#This Row],[CONTA]],BaseContasDRE[#All],7,FALSE))</f>
        <v>Fora do DRE</v>
      </c>
      <c r="V3925" s="3" t="str">
        <f>IF(Base_Periodo1[[#This Row],[Tipo_Linha]]="Fora do DRE","Fora do DRE","( "&amp;Base_Periodo1[[#This Row],[Tipo_Linha]]&amp;" ) "&amp;Base_Periodo1[[#This Row],[Filtro]])</f>
        <v>Fora do DRE</v>
      </c>
      <c r="W3925" s="3" t="str">
        <f>LEFT(Base_Periodo1[[#This Row],[CLASS]],3)</f>
        <v>2.1</v>
      </c>
    </row>
    <row r="3926" spans="1:23" hidden="1">
      <c r="A3926" s="3" t="str">
        <f t="shared" si="61"/>
        <v>Período 1</v>
      </c>
      <c r="B3926">
        <v>58851</v>
      </c>
      <c r="C3926" t="s">
        <v>2010</v>
      </c>
      <c r="D3926" t="s">
        <v>7125</v>
      </c>
      <c r="E3926" s="3" t="str">
        <f>IF(LEN(Base_Periodo1[[#This Row],[CLASS]])&gt;=7,LEFT(Base_Periodo1[[#This Row],[CLASS]],7),"")</f>
        <v>2.1.2.2</v>
      </c>
      <c r="F3926" s="3" t="str">
        <f>VLOOKUP(Base_Periodo1[[#This Row],[Aux]],Base_Contas_Balanco[#All],2,FALSE)</f>
        <v>Fornecedores Não Cooperados</v>
      </c>
      <c r="G3926" s="1">
        <v>42865</v>
      </c>
      <c r="I3926" s="225">
        <v>23.75</v>
      </c>
      <c r="J3926" s="225">
        <v>23.75</v>
      </c>
      <c r="K3926" s="225">
        <v>0</v>
      </c>
      <c r="L39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26" s="225">
        <f>ROUND(IF(AND(Base_Periodo1[[#This Row],[Tipo_Linha]]="-",Base_Periodo1[[#This Row],[TIPOSALDO]]="D"),Base_Periodo1[[#This Row],[SALDO_ATUAL]]*-1,Base_Periodo1[[#This Row],[SALDO_ATUAL]]),4)</f>
        <v>0</v>
      </c>
      <c r="N3926" t="s">
        <v>116</v>
      </c>
      <c r="O3926" t="s">
        <v>436</v>
      </c>
      <c r="P3926" t="s">
        <v>436</v>
      </c>
      <c r="Q3926">
        <v>7</v>
      </c>
      <c r="R3926" s="225">
        <f>Base_Periodo1[[#This Row],[CREDITOS]]-Base_Periodo1[[#This Row],[DEBITOS]]</f>
        <v>0</v>
      </c>
      <c r="S3926" s="3" t="str">
        <f>IF(ISERROR(VLOOKUP(Base_Periodo1[[#This Row],[CONTA]],BaseContasDRE[#All],4,FALSE)),"Fora do DRE",VLOOKUP(Base_Periodo1[[#This Row],[CONTA]],BaseContasDRE[#All],4,FALSE))</f>
        <v>Fora do DRE</v>
      </c>
      <c r="T3926" s="3" t="str">
        <f>IF(ISERROR(VLOOKUP(Base_Periodo1[[#This Row],[CONTA]],BaseContasDRE[#All],5,FALSE)),"Fora do DRE",VLOOKUP(Base_Periodo1[[#This Row],[CONTA]],BaseContasDRE[#All],6,FALSE))</f>
        <v>Fora do DRE</v>
      </c>
      <c r="U3926" s="3" t="str">
        <f>IF(ISERROR(VLOOKUP(Base_Periodo1[[#This Row],[CONTA]],BaseContasDRE[#All],7,FALSE)),"Fora do DRE",VLOOKUP(Base_Periodo1[[#This Row],[CONTA]],BaseContasDRE[#All],7,FALSE))</f>
        <v>Fora do DRE</v>
      </c>
      <c r="V3926" s="3" t="str">
        <f>IF(Base_Periodo1[[#This Row],[Tipo_Linha]]="Fora do DRE","Fora do DRE","( "&amp;Base_Periodo1[[#This Row],[Tipo_Linha]]&amp;" ) "&amp;Base_Periodo1[[#This Row],[Filtro]])</f>
        <v>Fora do DRE</v>
      </c>
      <c r="W3926" s="3" t="str">
        <f>LEFT(Base_Periodo1[[#This Row],[CLASS]],3)</f>
        <v>2.1</v>
      </c>
    </row>
    <row r="3927" spans="1:23" hidden="1">
      <c r="A3927" s="3" t="str">
        <f t="shared" si="61"/>
        <v>Período 1</v>
      </c>
      <c r="B3927">
        <v>58827</v>
      </c>
      <c r="C3927" t="s">
        <v>2010</v>
      </c>
      <c r="D3927" t="s">
        <v>7126</v>
      </c>
      <c r="E3927" s="3" t="str">
        <f>IF(LEN(Base_Periodo1[[#This Row],[CLASS]])&gt;=7,LEFT(Base_Periodo1[[#This Row],[CLASS]],7),"")</f>
        <v>2.1.2.2</v>
      </c>
      <c r="F3927" s="3" t="str">
        <f>VLOOKUP(Base_Periodo1[[#This Row],[Aux]],Base_Contas_Balanco[#All],2,FALSE)</f>
        <v>Fornecedores Não Cooperados</v>
      </c>
      <c r="G3927" s="1">
        <v>42865</v>
      </c>
      <c r="I3927" s="225">
        <v>55</v>
      </c>
      <c r="J3927" s="225">
        <v>55</v>
      </c>
      <c r="K3927" s="225">
        <v>0</v>
      </c>
      <c r="L39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27" s="225">
        <f>ROUND(IF(AND(Base_Periodo1[[#This Row],[Tipo_Linha]]="-",Base_Periodo1[[#This Row],[TIPOSALDO]]="D"),Base_Periodo1[[#This Row],[SALDO_ATUAL]]*-1,Base_Periodo1[[#This Row],[SALDO_ATUAL]]),4)</f>
        <v>0</v>
      </c>
      <c r="N3927" t="s">
        <v>116</v>
      </c>
      <c r="O3927" t="s">
        <v>436</v>
      </c>
      <c r="P3927" t="s">
        <v>436</v>
      </c>
      <c r="Q3927">
        <v>7</v>
      </c>
      <c r="R3927" s="225">
        <f>Base_Periodo1[[#This Row],[CREDITOS]]-Base_Periodo1[[#This Row],[DEBITOS]]</f>
        <v>0</v>
      </c>
      <c r="S3927" s="3" t="str">
        <f>IF(ISERROR(VLOOKUP(Base_Periodo1[[#This Row],[CONTA]],BaseContasDRE[#All],4,FALSE)),"Fora do DRE",VLOOKUP(Base_Periodo1[[#This Row],[CONTA]],BaseContasDRE[#All],4,FALSE))</f>
        <v>Fora do DRE</v>
      </c>
      <c r="T3927" s="3" t="str">
        <f>IF(ISERROR(VLOOKUP(Base_Periodo1[[#This Row],[CONTA]],BaseContasDRE[#All],5,FALSE)),"Fora do DRE",VLOOKUP(Base_Periodo1[[#This Row],[CONTA]],BaseContasDRE[#All],6,FALSE))</f>
        <v>Fora do DRE</v>
      </c>
      <c r="U3927" s="3" t="str">
        <f>IF(ISERROR(VLOOKUP(Base_Periodo1[[#This Row],[CONTA]],BaseContasDRE[#All],7,FALSE)),"Fora do DRE",VLOOKUP(Base_Periodo1[[#This Row],[CONTA]],BaseContasDRE[#All],7,FALSE))</f>
        <v>Fora do DRE</v>
      </c>
      <c r="V3927" s="3" t="str">
        <f>IF(Base_Periodo1[[#This Row],[Tipo_Linha]]="Fora do DRE","Fora do DRE","( "&amp;Base_Periodo1[[#This Row],[Tipo_Linha]]&amp;" ) "&amp;Base_Periodo1[[#This Row],[Filtro]])</f>
        <v>Fora do DRE</v>
      </c>
      <c r="W3927" s="3" t="str">
        <f>LEFT(Base_Periodo1[[#This Row],[CLASS]],3)</f>
        <v>2.1</v>
      </c>
    </row>
    <row r="3928" spans="1:23" hidden="1">
      <c r="A3928" s="3" t="str">
        <f t="shared" si="61"/>
        <v>Período 1</v>
      </c>
      <c r="B3928">
        <v>14325</v>
      </c>
      <c r="C3928" t="s">
        <v>2010</v>
      </c>
      <c r="D3928" t="s">
        <v>5998</v>
      </c>
      <c r="E3928" s="3" t="str">
        <f>IF(LEN(Base_Periodo1[[#This Row],[CLASS]])&gt;=7,LEFT(Base_Periodo1[[#This Row],[CLASS]],7),"")</f>
        <v>2.1.2.2</v>
      </c>
      <c r="F3928" s="3" t="str">
        <f>VLOOKUP(Base_Periodo1[[#This Row],[Aux]],Base_Contas_Balanco[#All],2,FALSE)</f>
        <v>Fornecedores Não Cooperados</v>
      </c>
      <c r="G3928" s="1">
        <v>42865</v>
      </c>
      <c r="I3928" s="225">
        <v>1751</v>
      </c>
      <c r="J3928" s="225">
        <v>1751</v>
      </c>
      <c r="K3928" s="225">
        <v>0</v>
      </c>
      <c r="L39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28" s="225">
        <f>ROUND(IF(AND(Base_Periodo1[[#This Row],[Tipo_Linha]]="-",Base_Periodo1[[#This Row],[TIPOSALDO]]="D"),Base_Periodo1[[#This Row],[SALDO_ATUAL]]*-1,Base_Periodo1[[#This Row],[SALDO_ATUAL]]),4)</f>
        <v>0</v>
      </c>
      <c r="N3928" t="s">
        <v>116</v>
      </c>
      <c r="O3928" t="s">
        <v>436</v>
      </c>
      <c r="P3928" t="s">
        <v>436</v>
      </c>
      <c r="Q3928">
        <v>7</v>
      </c>
      <c r="R3928" s="225">
        <f>Base_Periodo1[[#This Row],[CREDITOS]]-Base_Periodo1[[#This Row],[DEBITOS]]</f>
        <v>0</v>
      </c>
      <c r="S3928" s="3" t="str">
        <f>IF(ISERROR(VLOOKUP(Base_Periodo1[[#This Row],[CONTA]],BaseContasDRE[#All],4,FALSE)),"Fora do DRE",VLOOKUP(Base_Periodo1[[#This Row],[CONTA]],BaseContasDRE[#All],4,FALSE))</f>
        <v>Fora do DRE</v>
      </c>
      <c r="T3928" s="3" t="str">
        <f>IF(ISERROR(VLOOKUP(Base_Periodo1[[#This Row],[CONTA]],BaseContasDRE[#All],5,FALSE)),"Fora do DRE",VLOOKUP(Base_Periodo1[[#This Row],[CONTA]],BaseContasDRE[#All],6,FALSE))</f>
        <v>Fora do DRE</v>
      </c>
      <c r="U3928" s="3" t="str">
        <f>IF(ISERROR(VLOOKUP(Base_Periodo1[[#This Row],[CONTA]],BaseContasDRE[#All],7,FALSE)),"Fora do DRE",VLOOKUP(Base_Periodo1[[#This Row],[CONTA]],BaseContasDRE[#All],7,FALSE))</f>
        <v>Fora do DRE</v>
      </c>
      <c r="V3928" s="3" t="str">
        <f>IF(Base_Periodo1[[#This Row],[Tipo_Linha]]="Fora do DRE","Fora do DRE","( "&amp;Base_Periodo1[[#This Row],[Tipo_Linha]]&amp;" ) "&amp;Base_Periodo1[[#This Row],[Filtro]])</f>
        <v>Fora do DRE</v>
      </c>
      <c r="W3928" s="3" t="str">
        <f>LEFT(Base_Periodo1[[#This Row],[CLASS]],3)</f>
        <v>2.1</v>
      </c>
    </row>
    <row r="3929" spans="1:23" hidden="1">
      <c r="A3929" s="3" t="str">
        <f t="shared" si="61"/>
        <v>Período 1</v>
      </c>
      <c r="B3929">
        <v>12812</v>
      </c>
      <c r="C3929" t="s">
        <v>2010</v>
      </c>
      <c r="D3929" t="s">
        <v>5236</v>
      </c>
      <c r="E3929" s="3" t="str">
        <f>IF(LEN(Base_Periodo1[[#This Row],[CLASS]])&gt;=7,LEFT(Base_Periodo1[[#This Row],[CLASS]],7),"")</f>
        <v>2.1.2.2</v>
      </c>
      <c r="F3929" s="3" t="str">
        <f>VLOOKUP(Base_Periodo1[[#This Row],[Aux]],Base_Contas_Balanco[#All],2,FALSE)</f>
        <v>Fornecedores Não Cooperados</v>
      </c>
      <c r="G3929" s="1">
        <v>42860</v>
      </c>
      <c r="I3929" s="225">
        <v>1696</v>
      </c>
      <c r="J3929" s="225">
        <v>1696</v>
      </c>
      <c r="K3929" s="225">
        <v>0</v>
      </c>
      <c r="L39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29" s="225">
        <f>ROUND(IF(AND(Base_Periodo1[[#This Row],[Tipo_Linha]]="-",Base_Periodo1[[#This Row],[TIPOSALDO]]="D"),Base_Periodo1[[#This Row],[SALDO_ATUAL]]*-1,Base_Periodo1[[#This Row],[SALDO_ATUAL]]),4)</f>
        <v>0</v>
      </c>
      <c r="N3929" t="s">
        <v>116</v>
      </c>
      <c r="O3929" t="s">
        <v>436</v>
      </c>
      <c r="P3929" t="s">
        <v>436</v>
      </c>
      <c r="Q3929">
        <v>7</v>
      </c>
      <c r="R3929" s="225">
        <f>Base_Periodo1[[#This Row],[CREDITOS]]-Base_Periodo1[[#This Row],[DEBITOS]]</f>
        <v>0</v>
      </c>
      <c r="S3929" s="3" t="str">
        <f>IF(ISERROR(VLOOKUP(Base_Periodo1[[#This Row],[CONTA]],BaseContasDRE[#All],4,FALSE)),"Fora do DRE",VLOOKUP(Base_Periodo1[[#This Row],[CONTA]],BaseContasDRE[#All],4,FALSE))</f>
        <v>Fora do DRE</v>
      </c>
      <c r="T3929" s="3" t="str">
        <f>IF(ISERROR(VLOOKUP(Base_Periodo1[[#This Row],[CONTA]],BaseContasDRE[#All],5,FALSE)),"Fora do DRE",VLOOKUP(Base_Periodo1[[#This Row],[CONTA]],BaseContasDRE[#All],6,FALSE))</f>
        <v>Fora do DRE</v>
      </c>
      <c r="U3929" s="3" t="str">
        <f>IF(ISERROR(VLOOKUP(Base_Periodo1[[#This Row],[CONTA]],BaseContasDRE[#All],7,FALSE)),"Fora do DRE",VLOOKUP(Base_Periodo1[[#This Row],[CONTA]],BaseContasDRE[#All],7,FALSE))</f>
        <v>Fora do DRE</v>
      </c>
      <c r="V3929" s="3" t="str">
        <f>IF(Base_Periodo1[[#This Row],[Tipo_Linha]]="Fora do DRE","Fora do DRE","( "&amp;Base_Periodo1[[#This Row],[Tipo_Linha]]&amp;" ) "&amp;Base_Periodo1[[#This Row],[Filtro]])</f>
        <v>Fora do DRE</v>
      </c>
      <c r="W3929" s="3" t="str">
        <f>LEFT(Base_Periodo1[[#This Row],[CLASS]],3)</f>
        <v>2.1</v>
      </c>
    </row>
    <row r="3930" spans="1:23" hidden="1">
      <c r="A3930" s="3" t="str">
        <f t="shared" si="61"/>
        <v>Período 1</v>
      </c>
      <c r="B3930">
        <v>58598</v>
      </c>
      <c r="C3930" t="s">
        <v>2010</v>
      </c>
      <c r="D3930" t="s">
        <v>6516</v>
      </c>
      <c r="E3930" s="3" t="str">
        <f>IF(LEN(Base_Periodo1[[#This Row],[CLASS]])&gt;=7,LEFT(Base_Periodo1[[#This Row],[CLASS]],7),"")</f>
        <v>2.1.2.2</v>
      </c>
      <c r="F3930" s="3" t="str">
        <f>VLOOKUP(Base_Periodo1[[#This Row],[Aux]],Base_Contas_Balanco[#All],2,FALSE)</f>
        <v>Fornecedores Não Cooperados</v>
      </c>
      <c r="G3930" s="1">
        <v>42865</v>
      </c>
      <c r="H3930" s="225">
        <v>6959.67</v>
      </c>
      <c r="I3930" s="225">
        <v>6959.67</v>
      </c>
      <c r="J3930" s="225">
        <v>0</v>
      </c>
      <c r="K3930" s="225">
        <v>0</v>
      </c>
      <c r="L39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30" s="225">
        <f>ROUND(IF(AND(Base_Periodo1[[#This Row],[Tipo_Linha]]="-",Base_Periodo1[[#This Row],[TIPOSALDO]]="D"),Base_Periodo1[[#This Row],[SALDO_ATUAL]]*-1,Base_Periodo1[[#This Row],[SALDO_ATUAL]]),4)</f>
        <v>0</v>
      </c>
      <c r="N3930" t="s">
        <v>116</v>
      </c>
      <c r="O3930" t="s">
        <v>459</v>
      </c>
      <c r="P3930" t="s">
        <v>436</v>
      </c>
      <c r="Q3930">
        <v>7</v>
      </c>
      <c r="R3930" s="225">
        <f>Base_Periodo1[[#This Row],[CREDITOS]]-Base_Periodo1[[#This Row],[DEBITOS]]</f>
        <v>-6959.67</v>
      </c>
      <c r="S3930" s="3" t="str">
        <f>IF(ISERROR(VLOOKUP(Base_Periodo1[[#This Row],[CONTA]],BaseContasDRE[#All],4,FALSE)),"Fora do DRE",VLOOKUP(Base_Periodo1[[#This Row],[CONTA]],BaseContasDRE[#All],4,FALSE))</f>
        <v>Fora do DRE</v>
      </c>
      <c r="T3930" s="3" t="str">
        <f>IF(ISERROR(VLOOKUP(Base_Periodo1[[#This Row],[CONTA]],BaseContasDRE[#All],5,FALSE)),"Fora do DRE",VLOOKUP(Base_Periodo1[[#This Row],[CONTA]],BaseContasDRE[#All],6,FALSE))</f>
        <v>Fora do DRE</v>
      </c>
      <c r="U3930" s="3" t="str">
        <f>IF(ISERROR(VLOOKUP(Base_Periodo1[[#This Row],[CONTA]],BaseContasDRE[#All],7,FALSE)),"Fora do DRE",VLOOKUP(Base_Periodo1[[#This Row],[CONTA]],BaseContasDRE[#All],7,FALSE))</f>
        <v>Fora do DRE</v>
      </c>
      <c r="V3930" s="3" t="str">
        <f>IF(Base_Periodo1[[#This Row],[Tipo_Linha]]="Fora do DRE","Fora do DRE","( "&amp;Base_Periodo1[[#This Row],[Tipo_Linha]]&amp;" ) "&amp;Base_Periodo1[[#This Row],[Filtro]])</f>
        <v>Fora do DRE</v>
      </c>
      <c r="W3930" s="3" t="str">
        <f>LEFT(Base_Periodo1[[#This Row],[CLASS]],3)</f>
        <v>2.1</v>
      </c>
    </row>
    <row r="3931" spans="1:23" hidden="1">
      <c r="A3931" s="3" t="str">
        <f t="shared" si="61"/>
        <v>Período 1</v>
      </c>
      <c r="B3931">
        <v>32670</v>
      </c>
      <c r="C3931" t="s">
        <v>2010</v>
      </c>
      <c r="D3931" t="s">
        <v>7127</v>
      </c>
      <c r="E3931" s="3" t="str">
        <f>IF(LEN(Base_Periodo1[[#This Row],[CLASS]])&gt;=7,LEFT(Base_Periodo1[[#This Row],[CLASS]],7),"")</f>
        <v>2.1.2.2</v>
      </c>
      <c r="F3931" s="3" t="str">
        <f>VLOOKUP(Base_Periodo1[[#This Row],[Aux]],Base_Contas_Balanco[#All],2,FALSE)</f>
        <v>Fornecedores Não Cooperados</v>
      </c>
      <c r="G3931" s="1">
        <v>42880</v>
      </c>
      <c r="I3931" s="225">
        <v>0</v>
      </c>
      <c r="J3931" s="225">
        <v>240</v>
      </c>
      <c r="K3931" s="225">
        <v>240</v>
      </c>
      <c r="L39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3931" s="225">
        <f>ROUND(IF(AND(Base_Periodo1[[#This Row],[Tipo_Linha]]="-",Base_Periodo1[[#This Row],[TIPOSALDO]]="D"),Base_Periodo1[[#This Row],[SALDO_ATUAL]]*-1,Base_Periodo1[[#This Row],[SALDO_ATUAL]]),4)</f>
        <v>240</v>
      </c>
      <c r="N3931" t="s">
        <v>116</v>
      </c>
      <c r="O3931" t="s">
        <v>436</v>
      </c>
      <c r="P3931" t="s">
        <v>459</v>
      </c>
      <c r="Q3931">
        <v>7</v>
      </c>
      <c r="R3931" s="225">
        <f>Base_Periodo1[[#This Row],[CREDITOS]]-Base_Periodo1[[#This Row],[DEBITOS]]</f>
        <v>240</v>
      </c>
      <c r="S3931" s="3" t="str">
        <f>IF(ISERROR(VLOOKUP(Base_Periodo1[[#This Row],[CONTA]],BaseContasDRE[#All],4,FALSE)),"Fora do DRE",VLOOKUP(Base_Periodo1[[#This Row],[CONTA]],BaseContasDRE[#All],4,FALSE))</f>
        <v>Fora do DRE</v>
      </c>
      <c r="T3931" s="3" t="str">
        <f>IF(ISERROR(VLOOKUP(Base_Periodo1[[#This Row],[CONTA]],BaseContasDRE[#All],5,FALSE)),"Fora do DRE",VLOOKUP(Base_Periodo1[[#This Row],[CONTA]],BaseContasDRE[#All],6,FALSE))</f>
        <v>Fora do DRE</v>
      </c>
      <c r="U3931" s="3" t="str">
        <f>IF(ISERROR(VLOOKUP(Base_Periodo1[[#This Row],[CONTA]],BaseContasDRE[#All],7,FALSE)),"Fora do DRE",VLOOKUP(Base_Periodo1[[#This Row],[CONTA]],BaseContasDRE[#All],7,FALSE))</f>
        <v>Fora do DRE</v>
      </c>
      <c r="V3931" s="3" t="str">
        <f>IF(Base_Periodo1[[#This Row],[Tipo_Linha]]="Fora do DRE","Fora do DRE","( "&amp;Base_Periodo1[[#This Row],[Tipo_Linha]]&amp;" ) "&amp;Base_Periodo1[[#This Row],[Filtro]])</f>
        <v>Fora do DRE</v>
      </c>
      <c r="W3931" s="3" t="str">
        <f>LEFT(Base_Periodo1[[#This Row],[CLASS]],3)</f>
        <v>2.1</v>
      </c>
    </row>
    <row r="3932" spans="1:23" hidden="1">
      <c r="A3932" s="3" t="str">
        <f t="shared" si="61"/>
        <v>Período 1</v>
      </c>
      <c r="B3932">
        <v>58413</v>
      </c>
      <c r="C3932" t="s">
        <v>2010</v>
      </c>
      <c r="D3932" t="s">
        <v>7128</v>
      </c>
      <c r="E3932" s="3" t="str">
        <f>IF(LEN(Base_Periodo1[[#This Row],[CLASS]])&gt;=7,LEFT(Base_Periodo1[[#This Row],[CLASS]],7),"")</f>
        <v>2.1.2.2</v>
      </c>
      <c r="F3932" s="3" t="str">
        <f>VLOOKUP(Base_Periodo1[[#This Row],[Aux]],Base_Contas_Balanco[#All],2,FALSE)</f>
        <v>Fornecedores Não Cooperados</v>
      </c>
      <c r="G3932" s="1">
        <v>42857</v>
      </c>
      <c r="I3932" s="225">
        <v>129.69</v>
      </c>
      <c r="J3932" s="225">
        <v>129.69</v>
      </c>
      <c r="K3932" s="225">
        <v>0</v>
      </c>
      <c r="L39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32" s="225">
        <f>ROUND(IF(AND(Base_Periodo1[[#This Row],[Tipo_Linha]]="-",Base_Periodo1[[#This Row],[TIPOSALDO]]="D"),Base_Periodo1[[#This Row],[SALDO_ATUAL]]*-1,Base_Periodo1[[#This Row],[SALDO_ATUAL]]),4)</f>
        <v>0</v>
      </c>
      <c r="N3932" t="s">
        <v>116</v>
      </c>
      <c r="O3932" t="s">
        <v>436</v>
      </c>
      <c r="P3932" t="s">
        <v>436</v>
      </c>
      <c r="Q3932">
        <v>7</v>
      </c>
      <c r="R3932" s="225">
        <f>Base_Periodo1[[#This Row],[CREDITOS]]-Base_Periodo1[[#This Row],[DEBITOS]]</f>
        <v>0</v>
      </c>
      <c r="S3932" s="3" t="str">
        <f>IF(ISERROR(VLOOKUP(Base_Periodo1[[#This Row],[CONTA]],BaseContasDRE[#All],4,FALSE)),"Fora do DRE",VLOOKUP(Base_Periodo1[[#This Row],[CONTA]],BaseContasDRE[#All],4,FALSE))</f>
        <v>Fora do DRE</v>
      </c>
      <c r="T3932" s="3" t="str">
        <f>IF(ISERROR(VLOOKUP(Base_Periodo1[[#This Row],[CONTA]],BaseContasDRE[#All],5,FALSE)),"Fora do DRE",VLOOKUP(Base_Periodo1[[#This Row],[CONTA]],BaseContasDRE[#All],6,FALSE))</f>
        <v>Fora do DRE</v>
      </c>
      <c r="U3932" s="3" t="str">
        <f>IF(ISERROR(VLOOKUP(Base_Periodo1[[#This Row],[CONTA]],BaseContasDRE[#All],7,FALSE)),"Fora do DRE",VLOOKUP(Base_Periodo1[[#This Row],[CONTA]],BaseContasDRE[#All],7,FALSE))</f>
        <v>Fora do DRE</v>
      </c>
      <c r="V3932" s="3" t="str">
        <f>IF(Base_Periodo1[[#This Row],[Tipo_Linha]]="Fora do DRE","Fora do DRE","( "&amp;Base_Periodo1[[#This Row],[Tipo_Linha]]&amp;" ) "&amp;Base_Periodo1[[#This Row],[Filtro]])</f>
        <v>Fora do DRE</v>
      </c>
      <c r="W3932" s="3" t="str">
        <f>LEFT(Base_Periodo1[[#This Row],[CLASS]],3)</f>
        <v>2.1</v>
      </c>
    </row>
    <row r="3933" spans="1:23" hidden="1">
      <c r="A3933" s="3" t="str">
        <f t="shared" si="61"/>
        <v>Período 1</v>
      </c>
      <c r="B3933">
        <v>36019</v>
      </c>
      <c r="C3933" t="s">
        <v>2010</v>
      </c>
      <c r="D3933" t="s">
        <v>5663</v>
      </c>
      <c r="E3933" s="3" t="str">
        <f>IF(LEN(Base_Periodo1[[#This Row],[CLASS]])&gt;=7,LEFT(Base_Periodo1[[#This Row],[CLASS]],7),"")</f>
        <v>2.1.2.2</v>
      </c>
      <c r="F3933" s="3" t="str">
        <f>VLOOKUP(Base_Periodo1[[#This Row],[Aux]],Base_Contas_Balanco[#All],2,FALSE)</f>
        <v>Fornecedores Não Cooperados</v>
      </c>
      <c r="G3933" s="1">
        <v>42886</v>
      </c>
      <c r="I3933" s="225">
        <v>30700</v>
      </c>
      <c r="J3933" s="225">
        <v>30700</v>
      </c>
      <c r="K3933" s="225">
        <v>0</v>
      </c>
      <c r="L39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33" s="225">
        <f>ROUND(IF(AND(Base_Periodo1[[#This Row],[Tipo_Linha]]="-",Base_Periodo1[[#This Row],[TIPOSALDO]]="D"),Base_Periodo1[[#This Row],[SALDO_ATUAL]]*-1,Base_Periodo1[[#This Row],[SALDO_ATUAL]]),4)</f>
        <v>0</v>
      </c>
      <c r="N3933" t="s">
        <v>116</v>
      </c>
      <c r="O3933" t="s">
        <v>436</v>
      </c>
      <c r="P3933" t="s">
        <v>436</v>
      </c>
      <c r="Q3933">
        <v>7</v>
      </c>
      <c r="R3933" s="225">
        <f>Base_Periodo1[[#This Row],[CREDITOS]]-Base_Periodo1[[#This Row],[DEBITOS]]</f>
        <v>0</v>
      </c>
      <c r="S3933" s="3" t="str">
        <f>IF(ISERROR(VLOOKUP(Base_Periodo1[[#This Row],[CONTA]],BaseContasDRE[#All],4,FALSE)),"Fora do DRE",VLOOKUP(Base_Periodo1[[#This Row],[CONTA]],BaseContasDRE[#All],4,FALSE))</f>
        <v>Fora do DRE</v>
      </c>
      <c r="T3933" s="3" t="str">
        <f>IF(ISERROR(VLOOKUP(Base_Periodo1[[#This Row],[CONTA]],BaseContasDRE[#All],5,FALSE)),"Fora do DRE",VLOOKUP(Base_Periodo1[[#This Row],[CONTA]],BaseContasDRE[#All],6,FALSE))</f>
        <v>Fora do DRE</v>
      </c>
      <c r="U3933" s="3" t="str">
        <f>IF(ISERROR(VLOOKUP(Base_Periodo1[[#This Row],[CONTA]],BaseContasDRE[#All],7,FALSE)),"Fora do DRE",VLOOKUP(Base_Periodo1[[#This Row],[CONTA]],BaseContasDRE[#All],7,FALSE))</f>
        <v>Fora do DRE</v>
      </c>
      <c r="V3933" s="3" t="str">
        <f>IF(Base_Periodo1[[#This Row],[Tipo_Linha]]="Fora do DRE","Fora do DRE","( "&amp;Base_Periodo1[[#This Row],[Tipo_Linha]]&amp;" ) "&amp;Base_Periodo1[[#This Row],[Filtro]])</f>
        <v>Fora do DRE</v>
      </c>
      <c r="W3933" s="3" t="str">
        <f>LEFT(Base_Periodo1[[#This Row],[CLASS]],3)</f>
        <v>2.1</v>
      </c>
    </row>
    <row r="3934" spans="1:23" hidden="1">
      <c r="A3934" s="3" t="str">
        <f t="shared" si="61"/>
        <v>Período 1</v>
      </c>
      <c r="B3934">
        <v>36316</v>
      </c>
      <c r="C3934" t="s">
        <v>2010</v>
      </c>
      <c r="D3934" t="s">
        <v>6200</v>
      </c>
      <c r="E3934" s="3" t="str">
        <f>IF(LEN(Base_Periodo1[[#This Row],[CLASS]])&gt;=7,LEFT(Base_Periodo1[[#This Row],[CLASS]],7),"")</f>
        <v>2.1.2.2</v>
      </c>
      <c r="F3934" s="3" t="str">
        <f>VLOOKUP(Base_Periodo1[[#This Row],[Aux]],Base_Contas_Balanco[#All],2,FALSE)</f>
        <v>Fornecedores Não Cooperados</v>
      </c>
      <c r="G3934" s="1">
        <v>42836</v>
      </c>
      <c r="H3934" s="225">
        <v>1040.400000000016</v>
      </c>
      <c r="I3934" s="225">
        <v>0</v>
      </c>
      <c r="J3934" s="225">
        <v>0</v>
      </c>
      <c r="K3934" s="225">
        <v>1040.400000000016</v>
      </c>
      <c r="L39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1040.4000000000001</v>
      </c>
      <c r="M3934" s="225">
        <f>ROUND(IF(AND(Base_Periodo1[[#This Row],[Tipo_Linha]]="-",Base_Periodo1[[#This Row],[TIPOSALDO]]="D"),Base_Periodo1[[#This Row],[SALDO_ATUAL]]*-1,Base_Periodo1[[#This Row],[SALDO_ATUAL]]),4)</f>
        <v>1040.4000000000001</v>
      </c>
      <c r="N3934" t="s">
        <v>116</v>
      </c>
      <c r="O3934" t="s">
        <v>459</v>
      </c>
      <c r="P3934" t="s">
        <v>459</v>
      </c>
      <c r="Q3934">
        <v>7</v>
      </c>
      <c r="R3934" s="225">
        <f>Base_Periodo1[[#This Row],[CREDITOS]]-Base_Periodo1[[#This Row],[DEBITOS]]</f>
        <v>0</v>
      </c>
      <c r="S3934" s="3" t="str">
        <f>IF(ISERROR(VLOOKUP(Base_Periodo1[[#This Row],[CONTA]],BaseContasDRE[#All],4,FALSE)),"Fora do DRE",VLOOKUP(Base_Periodo1[[#This Row],[CONTA]],BaseContasDRE[#All],4,FALSE))</f>
        <v>Fora do DRE</v>
      </c>
      <c r="T3934" s="3" t="str">
        <f>IF(ISERROR(VLOOKUP(Base_Periodo1[[#This Row],[CONTA]],BaseContasDRE[#All],5,FALSE)),"Fora do DRE",VLOOKUP(Base_Periodo1[[#This Row],[CONTA]],BaseContasDRE[#All],6,FALSE))</f>
        <v>Fora do DRE</v>
      </c>
      <c r="U3934" s="3" t="str">
        <f>IF(ISERROR(VLOOKUP(Base_Periodo1[[#This Row],[CONTA]],BaseContasDRE[#All],7,FALSE)),"Fora do DRE",VLOOKUP(Base_Periodo1[[#This Row],[CONTA]],BaseContasDRE[#All],7,FALSE))</f>
        <v>Fora do DRE</v>
      </c>
      <c r="V3934" s="3" t="str">
        <f>IF(Base_Periodo1[[#This Row],[Tipo_Linha]]="Fora do DRE","Fora do DRE","( "&amp;Base_Periodo1[[#This Row],[Tipo_Linha]]&amp;" ) "&amp;Base_Periodo1[[#This Row],[Filtro]])</f>
        <v>Fora do DRE</v>
      </c>
      <c r="W3934" s="3" t="str">
        <f>LEFT(Base_Periodo1[[#This Row],[CLASS]],3)</f>
        <v>2.1</v>
      </c>
    </row>
    <row r="3935" spans="1:23" hidden="1">
      <c r="A3935" s="3" t="str">
        <f t="shared" si="61"/>
        <v>Período 1</v>
      </c>
      <c r="B3935">
        <v>23329</v>
      </c>
      <c r="C3935" t="s">
        <v>2010</v>
      </c>
      <c r="D3935" t="s">
        <v>6517</v>
      </c>
      <c r="E3935" s="3" t="str">
        <f>IF(LEN(Base_Periodo1[[#This Row],[CLASS]])&gt;=7,LEFT(Base_Periodo1[[#This Row],[CLASS]],7),"")</f>
        <v>2.1.2.2</v>
      </c>
      <c r="F3935" s="3" t="str">
        <f>VLOOKUP(Base_Periodo1[[#This Row],[Aux]],Base_Contas_Balanco[#All],2,FALSE)</f>
        <v>Fornecedores Não Cooperados</v>
      </c>
      <c r="G3935" s="1">
        <v>42866</v>
      </c>
      <c r="H3935" s="225">
        <v>24200</v>
      </c>
      <c r="I3935" s="225">
        <v>24200</v>
      </c>
      <c r="J3935" s="225">
        <v>0</v>
      </c>
      <c r="K3935" s="225">
        <v>0</v>
      </c>
      <c r="L39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35" s="225">
        <f>ROUND(IF(AND(Base_Periodo1[[#This Row],[Tipo_Linha]]="-",Base_Periodo1[[#This Row],[TIPOSALDO]]="D"),Base_Periodo1[[#This Row],[SALDO_ATUAL]]*-1,Base_Periodo1[[#This Row],[SALDO_ATUAL]]),4)</f>
        <v>0</v>
      </c>
      <c r="N3935" t="s">
        <v>116</v>
      </c>
      <c r="O3935" t="s">
        <v>459</v>
      </c>
      <c r="P3935" t="s">
        <v>436</v>
      </c>
      <c r="Q3935">
        <v>7</v>
      </c>
      <c r="R3935" s="225">
        <f>Base_Periodo1[[#This Row],[CREDITOS]]-Base_Periodo1[[#This Row],[DEBITOS]]</f>
        <v>-24200</v>
      </c>
      <c r="S3935" s="3" t="str">
        <f>IF(ISERROR(VLOOKUP(Base_Periodo1[[#This Row],[CONTA]],BaseContasDRE[#All],4,FALSE)),"Fora do DRE",VLOOKUP(Base_Periodo1[[#This Row],[CONTA]],BaseContasDRE[#All],4,FALSE))</f>
        <v>Fora do DRE</v>
      </c>
      <c r="T3935" s="3" t="str">
        <f>IF(ISERROR(VLOOKUP(Base_Periodo1[[#This Row],[CONTA]],BaseContasDRE[#All],5,FALSE)),"Fora do DRE",VLOOKUP(Base_Periodo1[[#This Row],[CONTA]],BaseContasDRE[#All],6,FALSE))</f>
        <v>Fora do DRE</v>
      </c>
      <c r="U3935" s="3" t="str">
        <f>IF(ISERROR(VLOOKUP(Base_Periodo1[[#This Row],[CONTA]],BaseContasDRE[#All],7,FALSE)),"Fora do DRE",VLOOKUP(Base_Periodo1[[#This Row],[CONTA]],BaseContasDRE[#All],7,FALSE))</f>
        <v>Fora do DRE</v>
      </c>
      <c r="V3935" s="3" t="str">
        <f>IF(Base_Periodo1[[#This Row],[Tipo_Linha]]="Fora do DRE","Fora do DRE","( "&amp;Base_Periodo1[[#This Row],[Tipo_Linha]]&amp;" ) "&amp;Base_Periodo1[[#This Row],[Filtro]])</f>
        <v>Fora do DRE</v>
      </c>
      <c r="W3935" s="3" t="str">
        <f>LEFT(Base_Periodo1[[#This Row],[CLASS]],3)</f>
        <v>2.1</v>
      </c>
    </row>
    <row r="3936" spans="1:23" hidden="1">
      <c r="A3936" s="3" t="str">
        <f t="shared" si="61"/>
        <v>Período 1</v>
      </c>
      <c r="B3936">
        <v>58024</v>
      </c>
      <c r="C3936" t="s">
        <v>2010</v>
      </c>
      <c r="D3936" t="s">
        <v>6518</v>
      </c>
      <c r="E3936" s="3" t="str">
        <f>IF(LEN(Base_Periodo1[[#This Row],[CLASS]])&gt;=7,LEFT(Base_Periodo1[[#This Row],[CLASS]],7),"")</f>
        <v>2.1.2.2</v>
      </c>
      <c r="F3936" s="3" t="str">
        <f>VLOOKUP(Base_Periodo1[[#This Row],[Aux]],Base_Contas_Balanco[#All],2,FALSE)</f>
        <v>Fornecedores Não Cooperados</v>
      </c>
      <c r="G3936" s="1">
        <v>42858</v>
      </c>
      <c r="I3936" s="225">
        <v>16549.599999999999</v>
      </c>
      <c r="J3936" s="225">
        <v>16549.599999999999</v>
      </c>
      <c r="K3936" s="225">
        <v>0</v>
      </c>
      <c r="L39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36" s="225">
        <f>ROUND(IF(AND(Base_Periodo1[[#This Row],[Tipo_Linha]]="-",Base_Periodo1[[#This Row],[TIPOSALDO]]="D"),Base_Periodo1[[#This Row],[SALDO_ATUAL]]*-1,Base_Periodo1[[#This Row],[SALDO_ATUAL]]),4)</f>
        <v>0</v>
      </c>
      <c r="N3936" t="s">
        <v>116</v>
      </c>
      <c r="O3936" t="s">
        <v>436</v>
      </c>
      <c r="P3936" t="s">
        <v>436</v>
      </c>
      <c r="Q3936">
        <v>7</v>
      </c>
      <c r="R3936" s="225">
        <f>Base_Periodo1[[#This Row],[CREDITOS]]-Base_Periodo1[[#This Row],[DEBITOS]]</f>
        <v>0</v>
      </c>
      <c r="S3936" s="3" t="str">
        <f>IF(ISERROR(VLOOKUP(Base_Periodo1[[#This Row],[CONTA]],BaseContasDRE[#All],4,FALSE)),"Fora do DRE",VLOOKUP(Base_Periodo1[[#This Row],[CONTA]],BaseContasDRE[#All],4,FALSE))</f>
        <v>Fora do DRE</v>
      </c>
      <c r="T3936" s="3" t="str">
        <f>IF(ISERROR(VLOOKUP(Base_Periodo1[[#This Row],[CONTA]],BaseContasDRE[#All],5,FALSE)),"Fora do DRE",VLOOKUP(Base_Periodo1[[#This Row],[CONTA]],BaseContasDRE[#All],6,FALSE))</f>
        <v>Fora do DRE</v>
      </c>
      <c r="U3936" s="3" t="str">
        <f>IF(ISERROR(VLOOKUP(Base_Periodo1[[#This Row],[CONTA]],BaseContasDRE[#All],7,FALSE)),"Fora do DRE",VLOOKUP(Base_Periodo1[[#This Row],[CONTA]],BaseContasDRE[#All],7,FALSE))</f>
        <v>Fora do DRE</v>
      </c>
      <c r="V3936" s="3" t="str">
        <f>IF(Base_Periodo1[[#This Row],[Tipo_Linha]]="Fora do DRE","Fora do DRE","( "&amp;Base_Periodo1[[#This Row],[Tipo_Linha]]&amp;" ) "&amp;Base_Periodo1[[#This Row],[Filtro]])</f>
        <v>Fora do DRE</v>
      </c>
      <c r="W3936" s="3" t="str">
        <f>LEFT(Base_Periodo1[[#This Row],[CLASS]],3)</f>
        <v>2.1</v>
      </c>
    </row>
    <row r="3937" spans="1:23" hidden="1">
      <c r="A3937" s="3" t="str">
        <f t="shared" si="61"/>
        <v>Período 1</v>
      </c>
      <c r="B3937">
        <v>3273</v>
      </c>
      <c r="C3937" t="s">
        <v>2010</v>
      </c>
      <c r="D3937" t="s">
        <v>5664</v>
      </c>
      <c r="E3937" s="3" t="str">
        <f>IF(LEN(Base_Periodo1[[#This Row],[CLASS]])&gt;=7,LEFT(Base_Periodo1[[#This Row],[CLASS]],7),"")</f>
        <v>2.1.2.2</v>
      </c>
      <c r="F3937" s="3" t="str">
        <f>VLOOKUP(Base_Periodo1[[#This Row],[Aux]],Base_Contas_Balanco[#All],2,FALSE)</f>
        <v>Fornecedores Não Cooperados</v>
      </c>
      <c r="G3937" s="1">
        <v>42878</v>
      </c>
      <c r="I3937" s="225">
        <v>16187.210000000001</v>
      </c>
      <c r="J3937" s="225">
        <v>16187.21</v>
      </c>
      <c r="K3937" s="225">
        <v>1.6370904631912708E-11</v>
      </c>
      <c r="L39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37" s="225">
        <f>ROUND(IF(AND(Base_Periodo1[[#This Row],[Tipo_Linha]]="-",Base_Periodo1[[#This Row],[TIPOSALDO]]="D"),Base_Periodo1[[#This Row],[SALDO_ATUAL]]*-1,Base_Periodo1[[#This Row],[SALDO_ATUAL]]),4)</f>
        <v>0</v>
      </c>
      <c r="N3937" t="s">
        <v>116</v>
      </c>
      <c r="O3937" t="s">
        <v>436</v>
      </c>
      <c r="P3937" t="s">
        <v>436</v>
      </c>
      <c r="Q3937">
        <v>7</v>
      </c>
      <c r="R3937" s="225">
        <f>Base_Periodo1[[#This Row],[CREDITOS]]-Base_Periodo1[[#This Row],[DEBITOS]]</f>
        <v>0</v>
      </c>
      <c r="S3937" s="3" t="str">
        <f>IF(ISERROR(VLOOKUP(Base_Periodo1[[#This Row],[CONTA]],BaseContasDRE[#All],4,FALSE)),"Fora do DRE",VLOOKUP(Base_Periodo1[[#This Row],[CONTA]],BaseContasDRE[#All],4,FALSE))</f>
        <v>Fora do DRE</v>
      </c>
      <c r="T3937" s="3" t="str">
        <f>IF(ISERROR(VLOOKUP(Base_Periodo1[[#This Row],[CONTA]],BaseContasDRE[#All],5,FALSE)),"Fora do DRE",VLOOKUP(Base_Periodo1[[#This Row],[CONTA]],BaseContasDRE[#All],6,FALSE))</f>
        <v>Fora do DRE</v>
      </c>
      <c r="U3937" s="3" t="str">
        <f>IF(ISERROR(VLOOKUP(Base_Periodo1[[#This Row],[CONTA]],BaseContasDRE[#All],7,FALSE)),"Fora do DRE",VLOOKUP(Base_Periodo1[[#This Row],[CONTA]],BaseContasDRE[#All],7,FALSE))</f>
        <v>Fora do DRE</v>
      </c>
      <c r="V3937" s="3" t="str">
        <f>IF(Base_Periodo1[[#This Row],[Tipo_Linha]]="Fora do DRE","Fora do DRE","( "&amp;Base_Periodo1[[#This Row],[Tipo_Linha]]&amp;" ) "&amp;Base_Periodo1[[#This Row],[Filtro]])</f>
        <v>Fora do DRE</v>
      </c>
      <c r="W3937" s="3" t="str">
        <f>LEFT(Base_Periodo1[[#This Row],[CLASS]],3)</f>
        <v>2.1</v>
      </c>
    </row>
    <row r="3938" spans="1:23" hidden="1">
      <c r="A3938" s="3" t="str">
        <f t="shared" si="61"/>
        <v>Período 1</v>
      </c>
      <c r="B3938">
        <v>41036</v>
      </c>
      <c r="C3938" t="s">
        <v>2010</v>
      </c>
      <c r="D3938" t="s">
        <v>5085</v>
      </c>
      <c r="E3938" s="3" t="str">
        <f>IF(LEN(Base_Periodo1[[#This Row],[CLASS]])&gt;=7,LEFT(Base_Periodo1[[#This Row],[CLASS]],7),"")</f>
        <v>2.1.2.2</v>
      </c>
      <c r="F3938" s="3" t="str">
        <f>VLOOKUP(Base_Periodo1[[#This Row],[Aux]],Base_Contas_Balanco[#All],2,FALSE)</f>
        <v>Fornecedores Não Cooperados</v>
      </c>
      <c r="G3938" s="1">
        <v>42598</v>
      </c>
      <c r="H3938" s="225">
        <v>3875.01</v>
      </c>
      <c r="I3938" s="225">
        <v>0</v>
      </c>
      <c r="J3938" s="225">
        <v>0</v>
      </c>
      <c r="K3938" s="225">
        <v>3875.01</v>
      </c>
      <c r="L39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3875.01</v>
      </c>
      <c r="M3938" s="225">
        <f>ROUND(IF(AND(Base_Periodo1[[#This Row],[Tipo_Linha]]="-",Base_Periodo1[[#This Row],[TIPOSALDO]]="D"),Base_Periodo1[[#This Row],[SALDO_ATUAL]]*-1,Base_Periodo1[[#This Row],[SALDO_ATUAL]]),4)</f>
        <v>3875.01</v>
      </c>
      <c r="N3938" t="s">
        <v>116</v>
      </c>
      <c r="O3938" t="s">
        <v>459</v>
      </c>
      <c r="P3938" t="s">
        <v>459</v>
      </c>
      <c r="Q3938">
        <v>7</v>
      </c>
      <c r="R3938" s="225">
        <f>Base_Periodo1[[#This Row],[CREDITOS]]-Base_Periodo1[[#This Row],[DEBITOS]]</f>
        <v>0</v>
      </c>
      <c r="S3938" s="3" t="str">
        <f>IF(ISERROR(VLOOKUP(Base_Periodo1[[#This Row],[CONTA]],BaseContasDRE[#All],4,FALSE)),"Fora do DRE",VLOOKUP(Base_Periodo1[[#This Row],[CONTA]],BaseContasDRE[#All],4,FALSE))</f>
        <v>Fora do DRE</v>
      </c>
      <c r="T3938" s="3" t="str">
        <f>IF(ISERROR(VLOOKUP(Base_Periodo1[[#This Row],[CONTA]],BaseContasDRE[#All],5,FALSE)),"Fora do DRE",VLOOKUP(Base_Periodo1[[#This Row],[CONTA]],BaseContasDRE[#All],6,FALSE))</f>
        <v>Fora do DRE</v>
      </c>
      <c r="U3938" s="3" t="str">
        <f>IF(ISERROR(VLOOKUP(Base_Periodo1[[#This Row],[CONTA]],BaseContasDRE[#All],7,FALSE)),"Fora do DRE",VLOOKUP(Base_Periodo1[[#This Row],[CONTA]],BaseContasDRE[#All],7,FALSE))</f>
        <v>Fora do DRE</v>
      </c>
      <c r="V3938" s="3" t="str">
        <f>IF(Base_Periodo1[[#This Row],[Tipo_Linha]]="Fora do DRE","Fora do DRE","( "&amp;Base_Periodo1[[#This Row],[Tipo_Linha]]&amp;" ) "&amp;Base_Periodo1[[#This Row],[Filtro]])</f>
        <v>Fora do DRE</v>
      </c>
      <c r="W3938" s="3" t="str">
        <f>LEFT(Base_Periodo1[[#This Row],[CLASS]],3)</f>
        <v>2.1</v>
      </c>
    </row>
    <row r="3939" spans="1:23" hidden="1">
      <c r="A3939" s="3" t="str">
        <f t="shared" si="61"/>
        <v>Período 1</v>
      </c>
      <c r="B3939">
        <v>50769</v>
      </c>
      <c r="C3939" t="s">
        <v>2010</v>
      </c>
      <c r="D3939" t="s">
        <v>7129</v>
      </c>
      <c r="E3939" s="3" t="str">
        <f>IF(LEN(Base_Periodo1[[#This Row],[CLASS]])&gt;=7,LEFT(Base_Periodo1[[#This Row],[CLASS]],7),"")</f>
        <v>2.1.2.2</v>
      </c>
      <c r="F3939" s="3" t="str">
        <f>VLOOKUP(Base_Periodo1[[#This Row],[Aux]],Base_Contas_Balanco[#All],2,FALSE)</f>
        <v>Fornecedores Não Cooperados</v>
      </c>
      <c r="G3939" s="1">
        <v>42885</v>
      </c>
      <c r="I3939" s="225">
        <v>2359.27</v>
      </c>
      <c r="J3939" s="225">
        <v>2359.27</v>
      </c>
      <c r="K3939" s="225">
        <v>0</v>
      </c>
      <c r="L39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39" s="225">
        <f>ROUND(IF(AND(Base_Periodo1[[#This Row],[Tipo_Linha]]="-",Base_Periodo1[[#This Row],[TIPOSALDO]]="D"),Base_Periodo1[[#This Row],[SALDO_ATUAL]]*-1,Base_Periodo1[[#This Row],[SALDO_ATUAL]]),4)</f>
        <v>0</v>
      </c>
      <c r="N3939" t="s">
        <v>116</v>
      </c>
      <c r="O3939" t="s">
        <v>436</v>
      </c>
      <c r="P3939" t="s">
        <v>436</v>
      </c>
      <c r="Q3939">
        <v>7</v>
      </c>
      <c r="R3939" s="225">
        <f>Base_Periodo1[[#This Row],[CREDITOS]]-Base_Periodo1[[#This Row],[DEBITOS]]</f>
        <v>0</v>
      </c>
      <c r="S3939" s="3" t="str">
        <f>IF(ISERROR(VLOOKUP(Base_Periodo1[[#This Row],[CONTA]],BaseContasDRE[#All],4,FALSE)),"Fora do DRE",VLOOKUP(Base_Periodo1[[#This Row],[CONTA]],BaseContasDRE[#All],4,FALSE))</f>
        <v>Fora do DRE</v>
      </c>
      <c r="T3939" s="3" t="str">
        <f>IF(ISERROR(VLOOKUP(Base_Periodo1[[#This Row],[CONTA]],BaseContasDRE[#All],5,FALSE)),"Fora do DRE",VLOOKUP(Base_Periodo1[[#This Row],[CONTA]],BaseContasDRE[#All],6,FALSE))</f>
        <v>Fora do DRE</v>
      </c>
      <c r="U3939" s="3" t="str">
        <f>IF(ISERROR(VLOOKUP(Base_Periodo1[[#This Row],[CONTA]],BaseContasDRE[#All],7,FALSE)),"Fora do DRE",VLOOKUP(Base_Periodo1[[#This Row],[CONTA]],BaseContasDRE[#All],7,FALSE))</f>
        <v>Fora do DRE</v>
      </c>
      <c r="V3939" s="3" t="str">
        <f>IF(Base_Periodo1[[#This Row],[Tipo_Linha]]="Fora do DRE","Fora do DRE","( "&amp;Base_Periodo1[[#This Row],[Tipo_Linha]]&amp;" ) "&amp;Base_Periodo1[[#This Row],[Filtro]])</f>
        <v>Fora do DRE</v>
      </c>
      <c r="W3939" s="3" t="str">
        <f>LEFT(Base_Periodo1[[#This Row],[CLASS]],3)</f>
        <v>2.1</v>
      </c>
    </row>
    <row r="3940" spans="1:23" hidden="1">
      <c r="A3940" s="3" t="str">
        <f t="shared" si="61"/>
        <v>Período 1</v>
      </c>
      <c r="B3940">
        <v>31583</v>
      </c>
      <c r="C3940" t="s">
        <v>2010</v>
      </c>
      <c r="D3940" t="s">
        <v>5728</v>
      </c>
      <c r="E3940" s="3" t="str">
        <f>IF(LEN(Base_Periodo1[[#This Row],[CLASS]])&gt;=7,LEFT(Base_Periodo1[[#This Row],[CLASS]],7),"")</f>
        <v>2.1.2.2</v>
      </c>
      <c r="F3940" s="3" t="str">
        <f>VLOOKUP(Base_Periodo1[[#This Row],[Aux]],Base_Contas_Balanco[#All],2,FALSE)</f>
        <v>Fornecedores Não Cooperados</v>
      </c>
      <c r="G3940" s="1">
        <v>42864</v>
      </c>
      <c r="I3940" s="225">
        <v>220</v>
      </c>
      <c r="J3940" s="225">
        <v>220</v>
      </c>
      <c r="K3940" s="225">
        <v>0</v>
      </c>
      <c r="L39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40" s="225">
        <f>ROUND(IF(AND(Base_Periodo1[[#This Row],[Tipo_Linha]]="-",Base_Periodo1[[#This Row],[TIPOSALDO]]="D"),Base_Periodo1[[#This Row],[SALDO_ATUAL]]*-1,Base_Periodo1[[#This Row],[SALDO_ATUAL]]),4)</f>
        <v>0</v>
      </c>
      <c r="N3940" t="s">
        <v>116</v>
      </c>
      <c r="O3940" t="s">
        <v>436</v>
      </c>
      <c r="P3940" t="s">
        <v>436</v>
      </c>
      <c r="Q3940">
        <v>7</v>
      </c>
      <c r="R3940" s="225">
        <f>Base_Periodo1[[#This Row],[CREDITOS]]-Base_Periodo1[[#This Row],[DEBITOS]]</f>
        <v>0</v>
      </c>
      <c r="S3940" s="3" t="str">
        <f>IF(ISERROR(VLOOKUP(Base_Periodo1[[#This Row],[CONTA]],BaseContasDRE[#All],4,FALSE)),"Fora do DRE",VLOOKUP(Base_Periodo1[[#This Row],[CONTA]],BaseContasDRE[#All],4,FALSE))</f>
        <v>Fora do DRE</v>
      </c>
      <c r="T3940" s="3" t="str">
        <f>IF(ISERROR(VLOOKUP(Base_Periodo1[[#This Row],[CONTA]],BaseContasDRE[#All],5,FALSE)),"Fora do DRE",VLOOKUP(Base_Periodo1[[#This Row],[CONTA]],BaseContasDRE[#All],6,FALSE))</f>
        <v>Fora do DRE</v>
      </c>
      <c r="U3940" s="3" t="str">
        <f>IF(ISERROR(VLOOKUP(Base_Periodo1[[#This Row],[CONTA]],BaseContasDRE[#All],7,FALSE)),"Fora do DRE",VLOOKUP(Base_Periodo1[[#This Row],[CONTA]],BaseContasDRE[#All],7,FALSE))</f>
        <v>Fora do DRE</v>
      </c>
      <c r="V3940" s="3" t="str">
        <f>IF(Base_Periodo1[[#This Row],[Tipo_Linha]]="Fora do DRE","Fora do DRE","( "&amp;Base_Periodo1[[#This Row],[Tipo_Linha]]&amp;" ) "&amp;Base_Periodo1[[#This Row],[Filtro]])</f>
        <v>Fora do DRE</v>
      </c>
      <c r="W3940" s="3" t="str">
        <f>LEFT(Base_Periodo1[[#This Row],[CLASS]],3)</f>
        <v>2.1</v>
      </c>
    </row>
    <row r="3941" spans="1:23" hidden="1">
      <c r="A3941" s="3" t="str">
        <f t="shared" si="61"/>
        <v>Período 1</v>
      </c>
      <c r="B3941">
        <v>10363</v>
      </c>
      <c r="C3941" t="s">
        <v>2010</v>
      </c>
      <c r="D3941" t="s">
        <v>2121</v>
      </c>
      <c r="E3941" s="3" t="str">
        <f>IF(LEN(Base_Periodo1[[#This Row],[CLASS]])&gt;=7,LEFT(Base_Periodo1[[#This Row],[CLASS]],7),"")</f>
        <v>2.1.2.2</v>
      </c>
      <c r="F3941" s="3" t="str">
        <f>VLOOKUP(Base_Periodo1[[#This Row],[Aux]],Base_Contas_Balanco[#All],2,FALSE)</f>
        <v>Fornecedores Não Cooperados</v>
      </c>
      <c r="G3941" s="1">
        <v>42884</v>
      </c>
      <c r="I3941" s="225">
        <v>139.69999999999999</v>
      </c>
      <c r="J3941" s="225">
        <v>746.80000000000007</v>
      </c>
      <c r="K3941" s="225">
        <v>607.10000000001469</v>
      </c>
      <c r="L39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607.1</v>
      </c>
      <c r="M3941" s="225">
        <f>ROUND(IF(AND(Base_Periodo1[[#This Row],[Tipo_Linha]]="-",Base_Periodo1[[#This Row],[TIPOSALDO]]="D"),Base_Periodo1[[#This Row],[SALDO_ATUAL]]*-1,Base_Periodo1[[#This Row],[SALDO_ATUAL]]),4)</f>
        <v>607.1</v>
      </c>
      <c r="N3941" t="s">
        <v>116</v>
      </c>
      <c r="O3941" t="s">
        <v>436</v>
      </c>
      <c r="P3941" t="s">
        <v>459</v>
      </c>
      <c r="Q3941">
        <v>7</v>
      </c>
      <c r="R3941" s="225">
        <f>Base_Periodo1[[#This Row],[CREDITOS]]-Base_Periodo1[[#This Row],[DEBITOS]]</f>
        <v>607.10000000000014</v>
      </c>
      <c r="S3941" s="3" t="str">
        <f>IF(ISERROR(VLOOKUP(Base_Periodo1[[#This Row],[CONTA]],BaseContasDRE[#All],4,FALSE)),"Fora do DRE",VLOOKUP(Base_Periodo1[[#This Row],[CONTA]],BaseContasDRE[#All],4,FALSE))</f>
        <v>Fora do DRE</v>
      </c>
      <c r="T3941" s="3" t="str">
        <f>IF(ISERROR(VLOOKUP(Base_Periodo1[[#This Row],[CONTA]],BaseContasDRE[#All],5,FALSE)),"Fora do DRE",VLOOKUP(Base_Periodo1[[#This Row],[CONTA]],BaseContasDRE[#All],6,FALSE))</f>
        <v>Fora do DRE</v>
      </c>
      <c r="U3941" s="3" t="str">
        <f>IF(ISERROR(VLOOKUP(Base_Periodo1[[#This Row],[CONTA]],BaseContasDRE[#All],7,FALSE)),"Fora do DRE",VLOOKUP(Base_Periodo1[[#This Row],[CONTA]],BaseContasDRE[#All],7,FALSE))</f>
        <v>Fora do DRE</v>
      </c>
      <c r="V3941" s="3" t="str">
        <f>IF(Base_Periodo1[[#This Row],[Tipo_Linha]]="Fora do DRE","Fora do DRE","( "&amp;Base_Periodo1[[#This Row],[Tipo_Linha]]&amp;" ) "&amp;Base_Periodo1[[#This Row],[Filtro]])</f>
        <v>Fora do DRE</v>
      </c>
      <c r="W3941" s="3" t="str">
        <f>LEFT(Base_Periodo1[[#This Row],[CLASS]],3)</f>
        <v>2.1</v>
      </c>
    </row>
    <row r="3942" spans="1:23" hidden="1">
      <c r="A3942" s="3" t="str">
        <f t="shared" si="61"/>
        <v>Período 1</v>
      </c>
      <c r="B3942">
        <v>33586</v>
      </c>
      <c r="C3942" t="s">
        <v>2010</v>
      </c>
      <c r="D3942" t="s">
        <v>5999</v>
      </c>
      <c r="E3942" s="3" t="str">
        <f>IF(LEN(Base_Periodo1[[#This Row],[CLASS]])&gt;=7,LEFT(Base_Periodo1[[#This Row],[CLASS]],7),"")</f>
        <v>2.1.2.2</v>
      </c>
      <c r="F3942" s="3" t="str">
        <f>VLOOKUP(Base_Periodo1[[#This Row],[Aux]],Base_Contas_Balanco[#All],2,FALSE)</f>
        <v>Fornecedores Não Cooperados</v>
      </c>
      <c r="G3942" s="1">
        <v>42857</v>
      </c>
      <c r="H3942" s="225">
        <v>256.18000000000029</v>
      </c>
      <c r="I3942" s="225">
        <v>258.18</v>
      </c>
      <c r="J3942" s="225">
        <v>2</v>
      </c>
      <c r="K3942" s="225">
        <v>-2.8421709430404007E-13</v>
      </c>
      <c r="L39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42" s="225">
        <f>ROUND(IF(AND(Base_Periodo1[[#This Row],[Tipo_Linha]]="-",Base_Periodo1[[#This Row],[TIPOSALDO]]="D"),Base_Periodo1[[#This Row],[SALDO_ATUAL]]*-1,Base_Periodo1[[#This Row],[SALDO_ATUAL]]),4)</f>
        <v>0</v>
      </c>
      <c r="N3942" t="s">
        <v>116</v>
      </c>
      <c r="O3942" t="s">
        <v>459</v>
      </c>
      <c r="P3942" t="s">
        <v>436</v>
      </c>
      <c r="Q3942">
        <v>7</v>
      </c>
      <c r="R3942" s="225">
        <f>Base_Periodo1[[#This Row],[CREDITOS]]-Base_Periodo1[[#This Row],[DEBITOS]]</f>
        <v>-256.18</v>
      </c>
      <c r="S3942" s="3" t="str">
        <f>IF(ISERROR(VLOOKUP(Base_Periodo1[[#This Row],[CONTA]],BaseContasDRE[#All],4,FALSE)),"Fora do DRE",VLOOKUP(Base_Periodo1[[#This Row],[CONTA]],BaseContasDRE[#All],4,FALSE))</f>
        <v>Fora do DRE</v>
      </c>
      <c r="T3942" s="3" t="str">
        <f>IF(ISERROR(VLOOKUP(Base_Periodo1[[#This Row],[CONTA]],BaseContasDRE[#All],5,FALSE)),"Fora do DRE",VLOOKUP(Base_Periodo1[[#This Row],[CONTA]],BaseContasDRE[#All],6,FALSE))</f>
        <v>Fora do DRE</v>
      </c>
      <c r="U3942" s="3" t="str">
        <f>IF(ISERROR(VLOOKUP(Base_Periodo1[[#This Row],[CONTA]],BaseContasDRE[#All],7,FALSE)),"Fora do DRE",VLOOKUP(Base_Periodo1[[#This Row],[CONTA]],BaseContasDRE[#All],7,FALSE))</f>
        <v>Fora do DRE</v>
      </c>
      <c r="V3942" s="3" t="str">
        <f>IF(Base_Periodo1[[#This Row],[Tipo_Linha]]="Fora do DRE","Fora do DRE","( "&amp;Base_Periodo1[[#This Row],[Tipo_Linha]]&amp;" ) "&amp;Base_Periodo1[[#This Row],[Filtro]])</f>
        <v>Fora do DRE</v>
      </c>
      <c r="W3942" s="3" t="str">
        <f>LEFT(Base_Periodo1[[#This Row],[CLASS]],3)</f>
        <v>2.1</v>
      </c>
    </row>
    <row r="3943" spans="1:23" hidden="1">
      <c r="A3943" s="3" t="str">
        <f t="shared" si="61"/>
        <v>Período 1</v>
      </c>
      <c r="B3943">
        <v>10529</v>
      </c>
      <c r="C3943" t="s">
        <v>2010</v>
      </c>
      <c r="D3943" t="s">
        <v>7130</v>
      </c>
      <c r="E3943" s="3" t="str">
        <f>IF(LEN(Base_Periodo1[[#This Row],[CLASS]])&gt;=7,LEFT(Base_Periodo1[[#This Row],[CLASS]],7),"")</f>
        <v>2.1.2.2</v>
      </c>
      <c r="F3943" s="3" t="str">
        <f>VLOOKUP(Base_Periodo1[[#This Row],[Aux]],Base_Contas_Balanco[#All],2,FALSE)</f>
        <v>Fornecedores Não Cooperados</v>
      </c>
      <c r="G3943" s="1">
        <v>42878</v>
      </c>
      <c r="I3943" s="225">
        <v>85096.58</v>
      </c>
      <c r="J3943" s="225">
        <v>85096.58</v>
      </c>
      <c r="K3943" s="225">
        <v>-2.9103830456733704E-11</v>
      </c>
      <c r="L39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43" s="225">
        <f>ROUND(IF(AND(Base_Periodo1[[#This Row],[Tipo_Linha]]="-",Base_Periodo1[[#This Row],[TIPOSALDO]]="D"),Base_Periodo1[[#This Row],[SALDO_ATUAL]]*-1,Base_Periodo1[[#This Row],[SALDO_ATUAL]]),4)</f>
        <v>0</v>
      </c>
      <c r="N3943" t="s">
        <v>116</v>
      </c>
      <c r="O3943" t="s">
        <v>436</v>
      </c>
      <c r="P3943" t="s">
        <v>436</v>
      </c>
      <c r="Q3943">
        <v>7</v>
      </c>
      <c r="R3943" s="225">
        <f>Base_Periodo1[[#This Row],[CREDITOS]]-Base_Periodo1[[#This Row],[DEBITOS]]</f>
        <v>0</v>
      </c>
      <c r="S3943" s="3" t="str">
        <f>IF(ISERROR(VLOOKUP(Base_Periodo1[[#This Row],[CONTA]],BaseContasDRE[#All],4,FALSE)),"Fora do DRE",VLOOKUP(Base_Periodo1[[#This Row],[CONTA]],BaseContasDRE[#All],4,FALSE))</f>
        <v>Fora do DRE</v>
      </c>
      <c r="T3943" s="3" t="str">
        <f>IF(ISERROR(VLOOKUP(Base_Periodo1[[#This Row],[CONTA]],BaseContasDRE[#All],5,FALSE)),"Fora do DRE",VLOOKUP(Base_Periodo1[[#This Row],[CONTA]],BaseContasDRE[#All],6,FALSE))</f>
        <v>Fora do DRE</v>
      </c>
      <c r="U3943" s="3" t="str">
        <f>IF(ISERROR(VLOOKUP(Base_Periodo1[[#This Row],[CONTA]],BaseContasDRE[#All],7,FALSE)),"Fora do DRE",VLOOKUP(Base_Periodo1[[#This Row],[CONTA]],BaseContasDRE[#All],7,FALSE))</f>
        <v>Fora do DRE</v>
      </c>
      <c r="V3943" s="3" t="str">
        <f>IF(Base_Periodo1[[#This Row],[Tipo_Linha]]="Fora do DRE","Fora do DRE","( "&amp;Base_Periodo1[[#This Row],[Tipo_Linha]]&amp;" ) "&amp;Base_Periodo1[[#This Row],[Filtro]])</f>
        <v>Fora do DRE</v>
      </c>
      <c r="W3943" s="3" t="str">
        <f>LEFT(Base_Periodo1[[#This Row],[CLASS]],3)</f>
        <v>2.1</v>
      </c>
    </row>
    <row r="3944" spans="1:23" hidden="1">
      <c r="A3944" s="3" t="str">
        <f t="shared" si="61"/>
        <v>Período 1</v>
      </c>
      <c r="B3944">
        <v>24433</v>
      </c>
      <c r="C3944" t="s">
        <v>2010</v>
      </c>
      <c r="D3944" t="s">
        <v>6519</v>
      </c>
      <c r="E3944" s="3" t="str">
        <f>IF(LEN(Base_Periodo1[[#This Row],[CLASS]])&gt;=7,LEFT(Base_Periodo1[[#This Row],[CLASS]],7),"")</f>
        <v>2.1.2.2</v>
      </c>
      <c r="F3944" s="3" t="str">
        <f>VLOOKUP(Base_Periodo1[[#This Row],[Aux]],Base_Contas_Balanco[#All],2,FALSE)</f>
        <v>Fornecedores Não Cooperados</v>
      </c>
      <c r="G3944" s="1">
        <v>42886</v>
      </c>
      <c r="H3944" s="225">
        <v>1575</v>
      </c>
      <c r="I3944" s="225">
        <v>2644.56</v>
      </c>
      <c r="J3944" s="225">
        <v>1069.56</v>
      </c>
      <c r="K3944" s="225">
        <v>0</v>
      </c>
      <c r="L39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44" s="225">
        <f>ROUND(IF(AND(Base_Periodo1[[#This Row],[Tipo_Linha]]="-",Base_Periodo1[[#This Row],[TIPOSALDO]]="D"),Base_Periodo1[[#This Row],[SALDO_ATUAL]]*-1,Base_Periodo1[[#This Row],[SALDO_ATUAL]]),4)</f>
        <v>0</v>
      </c>
      <c r="N3944" t="s">
        <v>116</v>
      </c>
      <c r="O3944" t="s">
        <v>459</v>
      </c>
      <c r="P3944" t="s">
        <v>436</v>
      </c>
      <c r="Q3944">
        <v>7</v>
      </c>
      <c r="R3944" s="225">
        <f>Base_Periodo1[[#This Row],[CREDITOS]]-Base_Periodo1[[#This Row],[DEBITOS]]</f>
        <v>-1575</v>
      </c>
      <c r="S3944" s="3" t="str">
        <f>IF(ISERROR(VLOOKUP(Base_Periodo1[[#This Row],[CONTA]],BaseContasDRE[#All],4,FALSE)),"Fora do DRE",VLOOKUP(Base_Periodo1[[#This Row],[CONTA]],BaseContasDRE[#All],4,FALSE))</f>
        <v>Fora do DRE</v>
      </c>
      <c r="T3944" s="3" t="str">
        <f>IF(ISERROR(VLOOKUP(Base_Periodo1[[#This Row],[CONTA]],BaseContasDRE[#All],5,FALSE)),"Fora do DRE",VLOOKUP(Base_Periodo1[[#This Row],[CONTA]],BaseContasDRE[#All],6,FALSE))</f>
        <v>Fora do DRE</v>
      </c>
      <c r="U3944" s="3" t="str">
        <f>IF(ISERROR(VLOOKUP(Base_Periodo1[[#This Row],[CONTA]],BaseContasDRE[#All],7,FALSE)),"Fora do DRE",VLOOKUP(Base_Periodo1[[#This Row],[CONTA]],BaseContasDRE[#All],7,FALSE))</f>
        <v>Fora do DRE</v>
      </c>
      <c r="V3944" s="3" t="str">
        <f>IF(Base_Periodo1[[#This Row],[Tipo_Linha]]="Fora do DRE","Fora do DRE","( "&amp;Base_Periodo1[[#This Row],[Tipo_Linha]]&amp;" ) "&amp;Base_Periodo1[[#This Row],[Filtro]])</f>
        <v>Fora do DRE</v>
      </c>
      <c r="W3944" s="3" t="str">
        <f>LEFT(Base_Periodo1[[#This Row],[CLASS]],3)</f>
        <v>2.1</v>
      </c>
    </row>
    <row r="3945" spans="1:23" hidden="1">
      <c r="A3945" s="3" t="str">
        <f t="shared" si="61"/>
        <v>Período 1</v>
      </c>
      <c r="B3945">
        <v>56184</v>
      </c>
      <c r="C3945" t="s">
        <v>2010</v>
      </c>
      <c r="D3945" t="s">
        <v>5729</v>
      </c>
      <c r="E3945" s="3" t="str">
        <f>IF(LEN(Base_Periodo1[[#This Row],[CLASS]])&gt;=7,LEFT(Base_Periodo1[[#This Row],[CLASS]],7),"")</f>
        <v>2.1.2.2</v>
      </c>
      <c r="F3945" s="3" t="str">
        <f>VLOOKUP(Base_Periodo1[[#This Row],[Aux]],Base_Contas_Balanco[#All],2,FALSE)</f>
        <v>Fornecedores Não Cooperados</v>
      </c>
      <c r="G3945" s="1">
        <v>42863</v>
      </c>
      <c r="H3945" s="225">
        <v>633.45999999999981</v>
      </c>
      <c r="I3945" s="225">
        <v>633.46</v>
      </c>
      <c r="J3945" s="225">
        <v>0</v>
      </c>
      <c r="K3945" s="225">
        <v>2.2737367544323206E-13</v>
      </c>
      <c r="L39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45" s="225">
        <f>ROUND(IF(AND(Base_Periodo1[[#This Row],[Tipo_Linha]]="-",Base_Periodo1[[#This Row],[TIPOSALDO]]="D"),Base_Periodo1[[#This Row],[SALDO_ATUAL]]*-1,Base_Periodo1[[#This Row],[SALDO_ATUAL]]),4)</f>
        <v>0</v>
      </c>
      <c r="N3945" t="s">
        <v>116</v>
      </c>
      <c r="O3945" t="s">
        <v>459</v>
      </c>
      <c r="P3945" t="s">
        <v>436</v>
      </c>
      <c r="Q3945">
        <v>7</v>
      </c>
      <c r="R3945" s="225">
        <f>Base_Periodo1[[#This Row],[CREDITOS]]-Base_Periodo1[[#This Row],[DEBITOS]]</f>
        <v>-633.46</v>
      </c>
      <c r="S3945" s="3" t="str">
        <f>IF(ISERROR(VLOOKUP(Base_Periodo1[[#This Row],[CONTA]],BaseContasDRE[#All],4,FALSE)),"Fora do DRE",VLOOKUP(Base_Periodo1[[#This Row],[CONTA]],BaseContasDRE[#All],4,FALSE))</f>
        <v>Fora do DRE</v>
      </c>
      <c r="T3945" s="3" t="str">
        <f>IF(ISERROR(VLOOKUP(Base_Periodo1[[#This Row],[CONTA]],BaseContasDRE[#All],5,FALSE)),"Fora do DRE",VLOOKUP(Base_Periodo1[[#This Row],[CONTA]],BaseContasDRE[#All],6,FALSE))</f>
        <v>Fora do DRE</v>
      </c>
      <c r="U3945" s="3" t="str">
        <f>IF(ISERROR(VLOOKUP(Base_Periodo1[[#This Row],[CONTA]],BaseContasDRE[#All],7,FALSE)),"Fora do DRE",VLOOKUP(Base_Periodo1[[#This Row],[CONTA]],BaseContasDRE[#All],7,FALSE))</f>
        <v>Fora do DRE</v>
      </c>
      <c r="V3945" s="3" t="str">
        <f>IF(Base_Periodo1[[#This Row],[Tipo_Linha]]="Fora do DRE","Fora do DRE","( "&amp;Base_Periodo1[[#This Row],[Tipo_Linha]]&amp;" ) "&amp;Base_Periodo1[[#This Row],[Filtro]])</f>
        <v>Fora do DRE</v>
      </c>
      <c r="W3945" s="3" t="str">
        <f>LEFT(Base_Periodo1[[#This Row],[CLASS]],3)</f>
        <v>2.1</v>
      </c>
    </row>
    <row r="3946" spans="1:23" hidden="1">
      <c r="A3946" s="3" t="str">
        <f t="shared" si="61"/>
        <v>Período 1</v>
      </c>
      <c r="B3946">
        <v>55239</v>
      </c>
      <c r="C3946" t="s">
        <v>2010</v>
      </c>
      <c r="D3946" t="s">
        <v>5301</v>
      </c>
      <c r="E3946" s="3" t="str">
        <f>IF(LEN(Base_Periodo1[[#This Row],[CLASS]])&gt;=7,LEFT(Base_Periodo1[[#This Row],[CLASS]],7),"")</f>
        <v>2.1.2.2</v>
      </c>
      <c r="F3946" s="3" t="str">
        <f>VLOOKUP(Base_Periodo1[[#This Row],[Aux]],Base_Contas_Balanco[#All],2,FALSE)</f>
        <v>Fornecedores Não Cooperados</v>
      </c>
      <c r="G3946" s="1">
        <v>42664</v>
      </c>
      <c r="H3946" s="225">
        <v>98.029999999998836</v>
      </c>
      <c r="I3946" s="225">
        <v>0</v>
      </c>
      <c r="J3946" s="225">
        <v>0</v>
      </c>
      <c r="K3946" s="225">
        <v>98.029999999998836</v>
      </c>
      <c r="L39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98.03</v>
      </c>
      <c r="M3946" s="225">
        <f>ROUND(IF(AND(Base_Periodo1[[#This Row],[Tipo_Linha]]="-",Base_Periodo1[[#This Row],[TIPOSALDO]]="D"),Base_Periodo1[[#This Row],[SALDO_ATUAL]]*-1,Base_Periodo1[[#This Row],[SALDO_ATUAL]]),4)</f>
        <v>98.03</v>
      </c>
      <c r="N3946" t="s">
        <v>116</v>
      </c>
      <c r="O3946" t="s">
        <v>459</v>
      </c>
      <c r="P3946" t="s">
        <v>459</v>
      </c>
      <c r="Q3946">
        <v>7</v>
      </c>
      <c r="R3946" s="225">
        <f>Base_Periodo1[[#This Row],[CREDITOS]]-Base_Periodo1[[#This Row],[DEBITOS]]</f>
        <v>0</v>
      </c>
      <c r="S3946" s="3" t="str">
        <f>IF(ISERROR(VLOOKUP(Base_Periodo1[[#This Row],[CONTA]],BaseContasDRE[#All],4,FALSE)),"Fora do DRE",VLOOKUP(Base_Periodo1[[#This Row],[CONTA]],BaseContasDRE[#All],4,FALSE))</f>
        <v>Fora do DRE</v>
      </c>
      <c r="T3946" s="3" t="str">
        <f>IF(ISERROR(VLOOKUP(Base_Periodo1[[#This Row],[CONTA]],BaseContasDRE[#All],5,FALSE)),"Fora do DRE",VLOOKUP(Base_Periodo1[[#This Row],[CONTA]],BaseContasDRE[#All],6,FALSE))</f>
        <v>Fora do DRE</v>
      </c>
      <c r="U3946" s="3" t="str">
        <f>IF(ISERROR(VLOOKUP(Base_Periodo1[[#This Row],[CONTA]],BaseContasDRE[#All],7,FALSE)),"Fora do DRE",VLOOKUP(Base_Periodo1[[#This Row],[CONTA]],BaseContasDRE[#All],7,FALSE))</f>
        <v>Fora do DRE</v>
      </c>
      <c r="V3946" s="3" t="str">
        <f>IF(Base_Periodo1[[#This Row],[Tipo_Linha]]="Fora do DRE","Fora do DRE","( "&amp;Base_Periodo1[[#This Row],[Tipo_Linha]]&amp;" ) "&amp;Base_Periodo1[[#This Row],[Filtro]])</f>
        <v>Fora do DRE</v>
      </c>
      <c r="W3946" s="3" t="str">
        <f>LEFT(Base_Periodo1[[#This Row],[CLASS]],3)</f>
        <v>2.1</v>
      </c>
    </row>
    <row r="3947" spans="1:23" hidden="1">
      <c r="A3947" s="3" t="str">
        <f t="shared" si="61"/>
        <v>Período 1</v>
      </c>
      <c r="B3947">
        <v>56554</v>
      </c>
      <c r="C3947" t="s">
        <v>2010</v>
      </c>
      <c r="D3947" t="s">
        <v>5877</v>
      </c>
      <c r="E3947" s="3" t="str">
        <f>IF(LEN(Base_Periodo1[[#This Row],[CLASS]])&gt;=7,LEFT(Base_Periodo1[[#This Row],[CLASS]],7),"")</f>
        <v>2.1.2.2</v>
      </c>
      <c r="F3947" s="3" t="str">
        <f>VLOOKUP(Base_Periodo1[[#This Row],[Aux]],Base_Contas_Balanco[#All],2,FALSE)</f>
        <v>Fornecedores Não Cooperados</v>
      </c>
      <c r="G3947" s="1">
        <v>42881</v>
      </c>
      <c r="I3947" s="225">
        <v>475000</v>
      </c>
      <c r="J3947" s="225">
        <v>475000</v>
      </c>
      <c r="K3947" s="225">
        <v>0</v>
      </c>
      <c r="L39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47" s="225">
        <f>ROUND(IF(AND(Base_Periodo1[[#This Row],[Tipo_Linha]]="-",Base_Periodo1[[#This Row],[TIPOSALDO]]="D"),Base_Periodo1[[#This Row],[SALDO_ATUAL]]*-1,Base_Periodo1[[#This Row],[SALDO_ATUAL]]),4)</f>
        <v>0</v>
      </c>
      <c r="N3947" t="s">
        <v>116</v>
      </c>
      <c r="O3947" t="s">
        <v>436</v>
      </c>
      <c r="P3947" t="s">
        <v>436</v>
      </c>
      <c r="Q3947">
        <v>7</v>
      </c>
      <c r="R3947" s="225">
        <f>Base_Periodo1[[#This Row],[CREDITOS]]-Base_Periodo1[[#This Row],[DEBITOS]]</f>
        <v>0</v>
      </c>
      <c r="S3947" s="3" t="str">
        <f>IF(ISERROR(VLOOKUP(Base_Periodo1[[#This Row],[CONTA]],BaseContasDRE[#All],4,FALSE)),"Fora do DRE",VLOOKUP(Base_Periodo1[[#This Row],[CONTA]],BaseContasDRE[#All],4,FALSE))</f>
        <v>Fora do DRE</v>
      </c>
      <c r="T3947" s="3" t="str">
        <f>IF(ISERROR(VLOOKUP(Base_Periodo1[[#This Row],[CONTA]],BaseContasDRE[#All],5,FALSE)),"Fora do DRE",VLOOKUP(Base_Periodo1[[#This Row],[CONTA]],BaseContasDRE[#All],6,FALSE))</f>
        <v>Fora do DRE</v>
      </c>
      <c r="U3947" s="3" t="str">
        <f>IF(ISERROR(VLOOKUP(Base_Periodo1[[#This Row],[CONTA]],BaseContasDRE[#All],7,FALSE)),"Fora do DRE",VLOOKUP(Base_Periodo1[[#This Row],[CONTA]],BaseContasDRE[#All],7,FALSE))</f>
        <v>Fora do DRE</v>
      </c>
      <c r="V3947" s="3" t="str">
        <f>IF(Base_Periodo1[[#This Row],[Tipo_Linha]]="Fora do DRE","Fora do DRE","( "&amp;Base_Periodo1[[#This Row],[Tipo_Linha]]&amp;" ) "&amp;Base_Periodo1[[#This Row],[Filtro]])</f>
        <v>Fora do DRE</v>
      </c>
      <c r="W3947" s="3" t="str">
        <f>LEFT(Base_Periodo1[[#This Row],[CLASS]],3)</f>
        <v>2.1</v>
      </c>
    </row>
    <row r="3948" spans="1:23" hidden="1">
      <c r="A3948" s="3" t="str">
        <f t="shared" si="61"/>
        <v>Período 1</v>
      </c>
      <c r="B3948">
        <v>41292</v>
      </c>
      <c r="C3948" t="s">
        <v>2010</v>
      </c>
      <c r="D3948" t="s">
        <v>6729</v>
      </c>
      <c r="E3948" s="3" t="str">
        <f>IF(LEN(Base_Periodo1[[#This Row],[CLASS]])&gt;=7,LEFT(Base_Periodo1[[#This Row],[CLASS]],7),"")</f>
        <v>2.1.2.2</v>
      </c>
      <c r="F3948" s="3" t="str">
        <f>VLOOKUP(Base_Periodo1[[#This Row],[Aux]],Base_Contas_Balanco[#All],2,FALSE)</f>
        <v>Fornecedores Não Cooperados</v>
      </c>
      <c r="G3948" s="1"/>
      <c r="I3948" s="225">
        <v>0</v>
      </c>
      <c r="J3948" s="225">
        <v>1947.48</v>
      </c>
      <c r="K3948" s="225">
        <v>1947.48</v>
      </c>
      <c r="L39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1947.48</v>
      </c>
      <c r="M3948" s="225">
        <f>ROUND(IF(AND(Base_Periodo1[[#This Row],[Tipo_Linha]]="-",Base_Periodo1[[#This Row],[TIPOSALDO]]="D"),Base_Periodo1[[#This Row],[SALDO_ATUAL]]*-1,Base_Periodo1[[#This Row],[SALDO_ATUAL]]),4)</f>
        <v>1947.48</v>
      </c>
      <c r="N3948" t="s">
        <v>116</v>
      </c>
      <c r="O3948" t="s">
        <v>436</v>
      </c>
      <c r="P3948" t="s">
        <v>459</v>
      </c>
      <c r="Q3948">
        <v>7</v>
      </c>
      <c r="R3948" s="225">
        <f>Base_Periodo1[[#This Row],[CREDITOS]]-Base_Periodo1[[#This Row],[DEBITOS]]</f>
        <v>1947.48</v>
      </c>
      <c r="S3948" s="3" t="str">
        <f>IF(ISERROR(VLOOKUP(Base_Periodo1[[#This Row],[CONTA]],BaseContasDRE[#All],4,FALSE)),"Fora do DRE",VLOOKUP(Base_Periodo1[[#This Row],[CONTA]],BaseContasDRE[#All],4,FALSE))</f>
        <v>Fora do DRE</v>
      </c>
      <c r="T3948" s="3" t="str">
        <f>IF(ISERROR(VLOOKUP(Base_Periodo1[[#This Row],[CONTA]],BaseContasDRE[#All],5,FALSE)),"Fora do DRE",VLOOKUP(Base_Periodo1[[#This Row],[CONTA]],BaseContasDRE[#All],6,FALSE))</f>
        <v>Fora do DRE</v>
      </c>
      <c r="U3948" s="3" t="str">
        <f>IF(ISERROR(VLOOKUP(Base_Periodo1[[#This Row],[CONTA]],BaseContasDRE[#All],7,FALSE)),"Fora do DRE",VLOOKUP(Base_Periodo1[[#This Row],[CONTA]],BaseContasDRE[#All],7,FALSE))</f>
        <v>Fora do DRE</v>
      </c>
      <c r="V3948" s="3" t="str">
        <f>IF(Base_Periodo1[[#This Row],[Tipo_Linha]]="Fora do DRE","Fora do DRE","( "&amp;Base_Periodo1[[#This Row],[Tipo_Linha]]&amp;" ) "&amp;Base_Periodo1[[#This Row],[Filtro]])</f>
        <v>Fora do DRE</v>
      </c>
      <c r="W3948" s="3" t="str">
        <f>LEFT(Base_Periodo1[[#This Row],[CLASS]],3)</f>
        <v>2.1</v>
      </c>
    </row>
    <row r="3949" spans="1:23" hidden="1">
      <c r="A3949" s="3" t="str">
        <f t="shared" si="61"/>
        <v>Período 1</v>
      </c>
      <c r="B3949">
        <v>59369</v>
      </c>
      <c r="C3949" t="s">
        <v>2010</v>
      </c>
      <c r="D3949" t="s">
        <v>7131</v>
      </c>
      <c r="E3949" s="3" t="str">
        <f>IF(LEN(Base_Periodo1[[#This Row],[CLASS]])&gt;=7,LEFT(Base_Periodo1[[#This Row],[CLASS]],7),"")</f>
        <v>2.1.2.2</v>
      </c>
      <c r="F3949" s="3" t="str">
        <f>VLOOKUP(Base_Periodo1[[#This Row],[Aux]],Base_Contas_Balanco[#All],2,FALSE)</f>
        <v>Fornecedores Não Cooperados</v>
      </c>
      <c r="G3949" s="1">
        <v>42886</v>
      </c>
      <c r="I3949" s="225">
        <v>30</v>
      </c>
      <c r="J3949" s="225">
        <v>30</v>
      </c>
      <c r="K3949" s="225">
        <v>0</v>
      </c>
      <c r="L39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49" s="225">
        <f>ROUND(IF(AND(Base_Periodo1[[#This Row],[Tipo_Linha]]="-",Base_Periodo1[[#This Row],[TIPOSALDO]]="D"),Base_Periodo1[[#This Row],[SALDO_ATUAL]]*-1,Base_Periodo1[[#This Row],[SALDO_ATUAL]]),4)</f>
        <v>0</v>
      </c>
      <c r="N3949" t="s">
        <v>116</v>
      </c>
      <c r="O3949" t="s">
        <v>436</v>
      </c>
      <c r="P3949" t="s">
        <v>436</v>
      </c>
      <c r="Q3949">
        <v>7</v>
      </c>
      <c r="R3949" s="225">
        <f>Base_Periodo1[[#This Row],[CREDITOS]]-Base_Periodo1[[#This Row],[DEBITOS]]</f>
        <v>0</v>
      </c>
      <c r="S3949" s="3" t="str">
        <f>IF(ISERROR(VLOOKUP(Base_Periodo1[[#This Row],[CONTA]],BaseContasDRE[#All],4,FALSE)),"Fora do DRE",VLOOKUP(Base_Periodo1[[#This Row],[CONTA]],BaseContasDRE[#All],4,FALSE))</f>
        <v>Fora do DRE</v>
      </c>
      <c r="T3949" s="3" t="str">
        <f>IF(ISERROR(VLOOKUP(Base_Periodo1[[#This Row],[CONTA]],BaseContasDRE[#All],5,FALSE)),"Fora do DRE",VLOOKUP(Base_Periodo1[[#This Row],[CONTA]],BaseContasDRE[#All],6,FALSE))</f>
        <v>Fora do DRE</v>
      </c>
      <c r="U3949" s="3" t="str">
        <f>IF(ISERROR(VLOOKUP(Base_Periodo1[[#This Row],[CONTA]],BaseContasDRE[#All],7,FALSE)),"Fora do DRE",VLOOKUP(Base_Periodo1[[#This Row],[CONTA]],BaseContasDRE[#All],7,FALSE))</f>
        <v>Fora do DRE</v>
      </c>
      <c r="V3949" s="3" t="str">
        <f>IF(Base_Periodo1[[#This Row],[Tipo_Linha]]="Fora do DRE","Fora do DRE","( "&amp;Base_Periodo1[[#This Row],[Tipo_Linha]]&amp;" ) "&amp;Base_Periodo1[[#This Row],[Filtro]])</f>
        <v>Fora do DRE</v>
      </c>
      <c r="W3949" s="3" t="str">
        <f>LEFT(Base_Periodo1[[#This Row],[CLASS]],3)</f>
        <v>2.1</v>
      </c>
    </row>
    <row r="3950" spans="1:23" hidden="1">
      <c r="A3950" s="3" t="str">
        <f t="shared" si="61"/>
        <v>Período 1</v>
      </c>
      <c r="B3950">
        <v>36629</v>
      </c>
      <c r="C3950" t="s">
        <v>2010</v>
      </c>
      <c r="D3950" t="s">
        <v>7132</v>
      </c>
      <c r="E3950" s="3" t="str">
        <f>IF(LEN(Base_Periodo1[[#This Row],[CLASS]])&gt;=7,LEFT(Base_Periodo1[[#This Row],[CLASS]],7),"")</f>
        <v>2.1.2.2</v>
      </c>
      <c r="F3950" s="3" t="str">
        <f>VLOOKUP(Base_Periodo1[[#This Row],[Aux]],Base_Contas_Balanco[#All],2,FALSE)</f>
        <v>Fornecedores Não Cooperados</v>
      </c>
      <c r="G3950" s="1">
        <v>42864</v>
      </c>
      <c r="I3950" s="225">
        <v>3576.93</v>
      </c>
      <c r="J3950" s="225">
        <v>3576.93</v>
      </c>
      <c r="K3950" s="225">
        <v>0</v>
      </c>
      <c r="L39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50" s="225">
        <f>ROUND(IF(AND(Base_Periodo1[[#This Row],[Tipo_Linha]]="-",Base_Periodo1[[#This Row],[TIPOSALDO]]="D"),Base_Periodo1[[#This Row],[SALDO_ATUAL]]*-1,Base_Periodo1[[#This Row],[SALDO_ATUAL]]),4)</f>
        <v>0</v>
      </c>
      <c r="N3950" t="s">
        <v>116</v>
      </c>
      <c r="O3950" t="s">
        <v>436</v>
      </c>
      <c r="P3950" t="s">
        <v>436</v>
      </c>
      <c r="Q3950">
        <v>7</v>
      </c>
      <c r="R3950" s="225">
        <f>Base_Periodo1[[#This Row],[CREDITOS]]-Base_Periodo1[[#This Row],[DEBITOS]]</f>
        <v>0</v>
      </c>
      <c r="S3950" s="3" t="str">
        <f>IF(ISERROR(VLOOKUP(Base_Periodo1[[#This Row],[CONTA]],BaseContasDRE[#All],4,FALSE)),"Fora do DRE",VLOOKUP(Base_Periodo1[[#This Row],[CONTA]],BaseContasDRE[#All],4,FALSE))</f>
        <v>Fora do DRE</v>
      </c>
      <c r="T3950" s="3" t="str">
        <f>IF(ISERROR(VLOOKUP(Base_Periodo1[[#This Row],[CONTA]],BaseContasDRE[#All],5,FALSE)),"Fora do DRE",VLOOKUP(Base_Periodo1[[#This Row],[CONTA]],BaseContasDRE[#All],6,FALSE))</f>
        <v>Fora do DRE</v>
      </c>
      <c r="U3950" s="3" t="str">
        <f>IF(ISERROR(VLOOKUP(Base_Periodo1[[#This Row],[CONTA]],BaseContasDRE[#All],7,FALSE)),"Fora do DRE",VLOOKUP(Base_Periodo1[[#This Row],[CONTA]],BaseContasDRE[#All],7,FALSE))</f>
        <v>Fora do DRE</v>
      </c>
      <c r="V3950" s="3" t="str">
        <f>IF(Base_Periodo1[[#This Row],[Tipo_Linha]]="Fora do DRE","Fora do DRE","( "&amp;Base_Periodo1[[#This Row],[Tipo_Linha]]&amp;" ) "&amp;Base_Periodo1[[#This Row],[Filtro]])</f>
        <v>Fora do DRE</v>
      </c>
      <c r="W3950" s="3" t="str">
        <f>LEFT(Base_Periodo1[[#This Row],[CLASS]],3)</f>
        <v>2.1</v>
      </c>
    </row>
    <row r="3951" spans="1:23" hidden="1">
      <c r="A3951" s="3" t="str">
        <f t="shared" si="61"/>
        <v>Período 1</v>
      </c>
      <c r="B3951">
        <v>11294</v>
      </c>
      <c r="C3951" t="s">
        <v>2010</v>
      </c>
      <c r="D3951" t="s">
        <v>4696</v>
      </c>
      <c r="E3951" s="3" t="str">
        <f>IF(LEN(Base_Periodo1[[#This Row],[CLASS]])&gt;=7,LEFT(Base_Periodo1[[#This Row],[CLASS]],7),"")</f>
        <v>2.1.2.2</v>
      </c>
      <c r="F3951" s="3" t="str">
        <f>VLOOKUP(Base_Periodo1[[#This Row],[Aux]],Base_Contas_Balanco[#All],2,FALSE)</f>
        <v>Fornecedores Não Cooperados</v>
      </c>
      <c r="G3951" s="1">
        <v>42885</v>
      </c>
      <c r="H3951" s="225">
        <v>16299.900000000023</v>
      </c>
      <c r="I3951" s="225">
        <v>13700</v>
      </c>
      <c r="J3951" s="225">
        <v>16050</v>
      </c>
      <c r="K3951" s="225">
        <v>18649.900000000023</v>
      </c>
      <c r="L39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18649.900000000001</v>
      </c>
      <c r="M3951" s="225">
        <f>ROUND(IF(AND(Base_Periodo1[[#This Row],[Tipo_Linha]]="-",Base_Periodo1[[#This Row],[TIPOSALDO]]="D"),Base_Periodo1[[#This Row],[SALDO_ATUAL]]*-1,Base_Periodo1[[#This Row],[SALDO_ATUAL]]),4)</f>
        <v>18649.900000000001</v>
      </c>
      <c r="N3951" t="s">
        <v>116</v>
      </c>
      <c r="O3951" t="s">
        <v>459</v>
      </c>
      <c r="P3951" t="s">
        <v>459</v>
      </c>
      <c r="Q3951">
        <v>7</v>
      </c>
      <c r="R3951" s="225">
        <f>Base_Periodo1[[#This Row],[CREDITOS]]-Base_Periodo1[[#This Row],[DEBITOS]]</f>
        <v>2350</v>
      </c>
      <c r="S3951" s="3" t="str">
        <f>IF(ISERROR(VLOOKUP(Base_Periodo1[[#This Row],[CONTA]],BaseContasDRE[#All],4,FALSE)),"Fora do DRE",VLOOKUP(Base_Periodo1[[#This Row],[CONTA]],BaseContasDRE[#All],4,FALSE))</f>
        <v>Fora do DRE</v>
      </c>
      <c r="T3951" s="3" t="str">
        <f>IF(ISERROR(VLOOKUP(Base_Periodo1[[#This Row],[CONTA]],BaseContasDRE[#All],5,FALSE)),"Fora do DRE",VLOOKUP(Base_Periodo1[[#This Row],[CONTA]],BaseContasDRE[#All],6,FALSE))</f>
        <v>Fora do DRE</v>
      </c>
      <c r="U3951" s="3" t="str">
        <f>IF(ISERROR(VLOOKUP(Base_Periodo1[[#This Row],[CONTA]],BaseContasDRE[#All],7,FALSE)),"Fora do DRE",VLOOKUP(Base_Periodo1[[#This Row],[CONTA]],BaseContasDRE[#All],7,FALSE))</f>
        <v>Fora do DRE</v>
      </c>
      <c r="V3951" s="3" t="str">
        <f>IF(Base_Periodo1[[#This Row],[Tipo_Linha]]="Fora do DRE","Fora do DRE","( "&amp;Base_Periodo1[[#This Row],[Tipo_Linha]]&amp;" ) "&amp;Base_Periodo1[[#This Row],[Filtro]])</f>
        <v>Fora do DRE</v>
      </c>
      <c r="W3951" s="3" t="str">
        <f>LEFT(Base_Periodo1[[#This Row],[CLASS]],3)</f>
        <v>2.1</v>
      </c>
    </row>
    <row r="3952" spans="1:23" hidden="1">
      <c r="A3952" s="3" t="str">
        <f t="shared" si="61"/>
        <v>Período 1</v>
      </c>
      <c r="B3952">
        <v>24392</v>
      </c>
      <c r="C3952" t="s">
        <v>2010</v>
      </c>
      <c r="D3952" t="s">
        <v>6520</v>
      </c>
      <c r="E3952" s="3" t="str">
        <f>IF(LEN(Base_Periodo1[[#This Row],[CLASS]])&gt;=7,LEFT(Base_Periodo1[[#This Row],[CLASS]],7),"")</f>
        <v>2.1.2.2</v>
      </c>
      <c r="F3952" s="3" t="str">
        <f>VLOOKUP(Base_Periodo1[[#This Row],[Aux]],Base_Contas_Balanco[#All],2,FALSE)</f>
        <v>Fornecedores Não Cooperados</v>
      </c>
      <c r="G3952" s="1">
        <v>42867</v>
      </c>
      <c r="I3952" s="225">
        <v>450</v>
      </c>
      <c r="J3952" s="225">
        <v>450</v>
      </c>
      <c r="K3952" s="225">
        <v>0</v>
      </c>
      <c r="L39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52" s="225">
        <f>ROUND(IF(AND(Base_Periodo1[[#This Row],[Tipo_Linha]]="-",Base_Periodo1[[#This Row],[TIPOSALDO]]="D"),Base_Periodo1[[#This Row],[SALDO_ATUAL]]*-1,Base_Periodo1[[#This Row],[SALDO_ATUAL]]),4)</f>
        <v>0</v>
      </c>
      <c r="N3952" t="s">
        <v>116</v>
      </c>
      <c r="O3952" t="s">
        <v>436</v>
      </c>
      <c r="P3952" t="s">
        <v>436</v>
      </c>
      <c r="Q3952">
        <v>7</v>
      </c>
      <c r="R3952" s="225">
        <f>Base_Periodo1[[#This Row],[CREDITOS]]-Base_Periodo1[[#This Row],[DEBITOS]]</f>
        <v>0</v>
      </c>
      <c r="S3952" s="3" t="str">
        <f>IF(ISERROR(VLOOKUP(Base_Periodo1[[#This Row],[CONTA]],BaseContasDRE[#All],4,FALSE)),"Fora do DRE",VLOOKUP(Base_Periodo1[[#This Row],[CONTA]],BaseContasDRE[#All],4,FALSE))</f>
        <v>Fora do DRE</v>
      </c>
      <c r="T3952" s="3" t="str">
        <f>IF(ISERROR(VLOOKUP(Base_Periodo1[[#This Row],[CONTA]],BaseContasDRE[#All],5,FALSE)),"Fora do DRE",VLOOKUP(Base_Periodo1[[#This Row],[CONTA]],BaseContasDRE[#All],6,FALSE))</f>
        <v>Fora do DRE</v>
      </c>
      <c r="U3952" s="3" t="str">
        <f>IF(ISERROR(VLOOKUP(Base_Periodo1[[#This Row],[CONTA]],BaseContasDRE[#All],7,FALSE)),"Fora do DRE",VLOOKUP(Base_Periodo1[[#This Row],[CONTA]],BaseContasDRE[#All],7,FALSE))</f>
        <v>Fora do DRE</v>
      </c>
      <c r="V3952" s="3" t="str">
        <f>IF(Base_Periodo1[[#This Row],[Tipo_Linha]]="Fora do DRE","Fora do DRE","( "&amp;Base_Periodo1[[#This Row],[Tipo_Linha]]&amp;" ) "&amp;Base_Periodo1[[#This Row],[Filtro]])</f>
        <v>Fora do DRE</v>
      </c>
      <c r="W3952" s="3" t="str">
        <f>LEFT(Base_Periodo1[[#This Row],[CLASS]],3)</f>
        <v>2.1</v>
      </c>
    </row>
    <row r="3953" spans="1:23" hidden="1">
      <c r="A3953" s="3" t="str">
        <f t="shared" si="61"/>
        <v>Período 1</v>
      </c>
      <c r="B3953">
        <v>58550</v>
      </c>
      <c r="C3953" t="s">
        <v>2010</v>
      </c>
      <c r="D3953" t="s">
        <v>7133</v>
      </c>
      <c r="E3953" s="3" t="str">
        <f>IF(LEN(Base_Periodo1[[#This Row],[CLASS]])&gt;=7,LEFT(Base_Periodo1[[#This Row],[CLASS]],7),"")</f>
        <v>2.1.2.2</v>
      </c>
      <c r="F3953" s="3" t="str">
        <f>VLOOKUP(Base_Periodo1[[#This Row],[Aux]],Base_Contas_Balanco[#All],2,FALSE)</f>
        <v>Fornecedores Não Cooperados</v>
      </c>
      <c r="G3953" s="1">
        <v>42867</v>
      </c>
      <c r="I3953" s="225">
        <v>11800</v>
      </c>
      <c r="J3953" s="225">
        <v>11800</v>
      </c>
      <c r="K3953" s="225">
        <v>0</v>
      </c>
      <c r="L39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53" s="225">
        <f>ROUND(IF(AND(Base_Periodo1[[#This Row],[Tipo_Linha]]="-",Base_Periodo1[[#This Row],[TIPOSALDO]]="D"),Base_Periodo1[[#This Row],[SALDO_ATUAL]]*-1,Base_Periodo1[[#This Row],[SALDO_ATUAL]]),4)</f>
        <v>0</v>
      </c>
      <c r="N3953" t="s">
        <v>116</v>
      </c>
      <c r="O3953" t="s">
        <v>436</v>
      </c>
      <c r="P3953" t="s">
        <v>436</v>
      </c>
      <c r="Q3953">
        <v>7</v>
      </c>
      <c r="R3953" s="225">
        <f>Base_Periodo1[[#This Row],[CREDITOS]]-Base_Periodo1[[#This Row],[DEBITOS]]</f>
        <v>0</v>
      </c>
      <c r="S3953" s="3" t="str">
        <f>IF(ISERROR(VLOOKUP(Base_Periodo1[[#This Row],[CONTA]],BaseContasDRE[#All],4,FALSE)),"Fora do DRE",VLOOKUP(Base_Periodo1[[#This Row],[CONTA]],BaseContasDRE[#All],4,FALSE))</f>
        <v>Fora do DRE</v>
      </c>
      <c r="T3953" s="3" t="str">
        <f>IF(ISERROR(VLOOKUP(Base_Periodo1[[#This Row],[CONTA]],BaseContasDRE[#All],5,FALSE)),"Fora do DRE",VLOOKUP(Base_Periodo1[[#This Row],[CONTA]],BaseContasDRE[#All],6,FALSE))</f>
        <v>Fora do DRE</v>
      </c>
      <c r="U3953" s="3" t="str">
        <f>IF(ISERROR(VLOOKUP(Base_Periodo1[[#This Row],[CONTA]],BaseContasDRE[#All],7,FALSE)),"Fora do DRE",VLOOKUP(Base_Periodo1[[#This Row],[CONTA]],BaseContasDRE[#All],7,FALSE))</f>
        <v>Fora do DRE</v>
      </c>
      <c r="V3953" s="3" t="str">
        <f>IF(Base_Periodo1[[#This Row],[Tipo_Linha]]="Fora do DRE","Fora do DRE","( "&amp;Base_Periodo1[[#This Row],[Tipo_Linha]]&amp;" ) "&amp;Base_Periodo1[[#This Row],[Filtro]])</f>
        <v>Fora do DRE</v>
      </c>
      <c r="W3953" s="3" t="str">
        <f>LEFT(Base_Periodo1[[#This Row],[CLASS]],3)</f>
        <v>2.1</v>
      </c>
    </row>
    <row r="3954" spans="1:23" hidden="1">
      <c r="A3954" s="3" t="str">
        <f t="shared" si="61"/>
        <v>Período 1</v>
      </c>
      <c r="B3954">
        <v>30342</v>
      </c>
      <c r="C3954" t="s">
        <v>2010</v>
      </c>
      <c r="D3954" t="s">
        <v>6521</v>
      </c>
      <c r="E3954" s="3" t="str">
        <f>IF(LEN(Base_Periodo1[[#This Row],[CLASS]])&gt;=7,LEFT(Base_Periodo1[[#This Row],[CLASS]],7),"")</f>
        <v>2.1.2.2</v>
      </c>
      <c r="F3954" s="3" t="str">
        <f>VLOOKUP(Base_Periodo1[[#This Row],[Aux]],Base_Contas_Balanco[#All],2,FALSE)</f>
        <v>Fornecedores Não Cooperados</v>
      </c>
      <c r="G3954" s="1">
        <v>42860</v>
      </c>
      <c r="I3954" s="225">
        <v>117.75</v>
      </c>
      <c r="J3954" s="225">
        <v>117.75</v>
      </c>
      <c r="K3954" s="225">
        <v>0</v>
      </c>
      <c r="L39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54" s="225">
        <f>ROUND(IF(AND(Base_Periodo1[[#This Row],[Tipo_Linha]]="-",Base_Periodo1[[#This Row],[TIPOSALDO]]="D"),Base_Periodo1[[#This Row],[SALDO_ATUAL]]*-1,Base_Periodo1[[#This Row],[SALDO_ATUAL]]),4)</f>
        <v>0</v>
      </c>
      <c r="N3954" t="s">
        <v>116</v>
      </c>
      <c r="O3954" t="s">
        <v>436</v>
      </c>
      <c r="P3954" t="s">
        <v>436</v>
      </c>
      <c r="Q3954">
        <v>7</v>
      </c>
      <c r="R3954" s="225">
        <f>Base_Periodo1[[#This Row],[CREDITOS]]-Base_Periodo1[[#This Row],[DEBITOS]]</f>
        <v>0</v>
      </c>
      <c r="S3954" s="3" t="str">
        <f>IF(ISERROR(VLOOKUP(Base_Periodo1[[#This Row],[CONTA]],BaseContasDRE[#All],4,FALSE)),"Fora do DRE",VLOOKUP(Base_Periodo1[[#This Row],[CONTA]],BaseContasDRE[#All],4,FALSE))</f>
        <v>Fora do DRE</v>
      </c>
      <c r="T3954" s="3" t="str">
        <f>IF(ISERROR(VLOOKUP(Base_Periodo1[[#This Row],[CONTA]],BaseContasDRE[#All],5,FALSE)),"Fora do DRE",VLOOKUP(Base_Periodo1[[#This Row],[CONTA]],BaseContasDRE[#All],6,FALSE))</f>
        <v>Fora do DRE</v>
      </c>
      <c r="U3954" s="3" t="str">
        <f>IF(ISERROR(VLOOKUP(Base_Periodo1[[#This Row],[CONTA]],BaseContasDRE[#All],7,FALSE)),"Fora do DRE",VLOOKUP(Base_Periodo1[[#This Row],[CONTA]],BaseContasDRE[#All],7,FALSE))</f>
        <v>Fora do DRE</v>
      </c>
      <c r="V3954" s="3" t="str">
        <f>IF(Base_Periodo1[[#This Row],[Tipo_Linha]]="Fora do DRE","Fora do DRE","( "&amp;Base_Periodo1[[#This Row],[Tipo_Linha]]&amp;" ) "&amp;Base_Periodo1[[#This Row],[Filtro]])</f>
        <v>Fora do DRE</v>
      </c>
      <c r="W3954" s="3" t="str">
        <f>LEFT(Base_Periodo1[[#This Row],[CLASS]],3)</f>
        <v>2.1</v>
      </c>
    </row>
    <row r="3955" spans="1:23" hidden="1">
      <c r="A3955" s="3" t="str">
        <f t="shared" si="61"/>
        <v>Período 1</v>
      </c>
      <c r="B3955">
        <v>58803</v>
      </c>
      <c r="C3955" t="s">
        <v>2010</v>
      </c>
      <c r="D3955" t="s">
        <v>7134</v>
      </c>
      <c r="E3955" s="3" t="str">
        <f>IF(LEN(Base_Periodo1[[#This Row],[CLASS]])&gt;=7,LEFT(Base_Periodo1[[#This Row],[CLASS]],7),"")</f>
        <v>2.1.2.2</v>
      </c>
      <c r="F3955" s="3" t="str">
        <f>VLOOKUP(Base_Periodo1[[#This Row],[Aux]],Base_Contas_Balanco[#All],2,FALSE)</f>
        <v>Fornecedores Não Cooperados</v>
      </c>
      <c r="G3955" s="1">
        <v>42860</v>
      </c>
      <c r="I3955" s="225">
        <v>28.49</v>
      </c>
      <c r="J3955" s="225">
        <v>28.49</v>
      </c>
      <c r="K3955" s="225">
        <v>0</v>
      </c>
      <c r="L39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55" s="225">
        <f>ROUND(IF(AND(Base_Periodo1[[#This Row],[Tipo_Linha]]="-",Base_Periodo1[[#This Row],[TIPOSALDO]]="D"),Base_Periodo1[[#This Row],[SALDO_ATUAL]]*-1,Base_Periodo1[[#This Row],[SALDO_ATUAL]]),4)</f>
        <v>0</v>
      </c>
      <c r="N3955" t="s">
        <v>116</v>
      </c>
      <c r="O3955" t="s">
        <v>436</v>
      </c>
      <c r="P3955" t="s">
        <v>436</v>
      </c>
      <c r="Q3955">
        <v>7</v>
      </c>
      <c r="R3955" s="225">
        <f>Base_Periodo1[[#This Row],[CREDITOS]]-Base_Periodo1[[#This Row],[DEBITOS]]</f>
        <v>0</v>
      </c>
      <c r="S3955" s="3" t="str">
        <f>IF(ISERROR(VLOOKUP(Base_Periodo1[[#This Row],[CONTA]],BaseContasDRE[#All],4,FALSE)),"Fora do DRE",VLOOKUP(Base_Periodo1[[#This Row],[CONTA]],BaseContasDRE[#All],4,FALSE))</f>
        <v>Fora do DRE</v>
      </c>
      <c r="T3955" s="3" t="str">
        <f>IF(ISERROR(VLOOKUP(Base_Periodo1[[#This Row],[CONTA]],BaseContasDRE[#All],5,FALSE)),"Fora do DRE",VLOOKUP(Base_Periodo1[[#This Row],[CONTA]],BaseContasDRE[#All],6,FALSE))</f>
        <v>Fora do DRE</v>
      </c>
      <c r="U3955" s="3" t="str">
        <f>IF(ISERROR(VLOOKUP(Base_Periodo1[[#This Row],[CONTA]],BaseContasDRE[#All],7,FALSE)),"Fora do DRE",VLOOKUP(Base_Periodo1[[#This Row],[CONTA]],BaseContasDRE[#All],7,FALSE))</f>
        <v>Fora do DRE</v>
      </c>
      <c r="V3955" s="3" t="str">
        <f>IF(Base_Periodo1[[#This Row],[Tipo_Linha]]="Fora do DRE","Fora do DRE","( "&amp;Base_Periodo1[[#This Row],[Tipo_Linha]]&amp;" ) "&amp;Base_Periodo1[[#This Row],[Filtro]])</f>
        <v>Fora do DRE</v>
      </c>
      <c r="W3955" s="3" t="str">
        <f>LEFT(Base_Periodo1[[#This Row],[CLASS]],3)</f>
        <v>2.1</v>
      </c>
    </row>
    <row r="3956" spans="1:23" hidden="1">
      <c r="A3956" s="3" t="str">
        <f t="shared" si="61"/>
        <v>Período 1</v>
      </c>
      <c r="B3956">
        <v>43548</v>
      </c>
      <c r="C3956" t="s">
        <v>2010</v>
      </c>
      <c r="D3956" t="s">
        <v>852</v>
      </c>
      <c r="E3956" s="3" t="str">
        <f>IF(LEN(Base_Periodo1[[#This Row],[CLASS]])&gt;=7,LEFT(Base_Periodo1[[#This Row],[CLASS]],7),"")</f>
        <v>2.1.2.2</v>
      </c>
      <c r="F3956" s="3" t="str">
        <f>VLOOKUP(Base_Periodo1[[#This Row],[Aux]],Base_Contas_Balanco[#All],2,FALSE)</f>
        <v>Fornecedores Não Cooperados</v>
      </c>
      <c r="G3956" s="1">
        <v>42867</v>
      </c>
      <c r="I3956" s="225">
        <v>129.69</v>
      </c>
      <c r="J3956" s="225">
        <v>0</v>
      </c>
      <c r="K3956" s="225">
        <v>129.69</v>
      </c>
      <c r="L39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-129.69</v>
      </c>
      <c r="M3956" s="225">
        <f>ROUND(IF(AND(Base_Periodo1[[#This Row],[Tipo_Linha]]="-",Base_Periodo1[[#This Row],[TIPOSALDO]]="D"),Base_Periodo1[[#This Row],[SALDO_ATUAL]]*-1,Base_Periodo1[[#This Row],[SALDO_ATUAL]]),4)</f>
        <v>129.69</v>
      </c>
      <c r="N3956" t="s">
        <v>116</v>
      </c>
      <c r="O3956" t="s">
        <v>436</v>
      </c>
      <c r="P3956" t="s">
        <v>397</v>
      </c>
      <c r="Q3956">
        <v>7</v>
      </c>
      <c r="R3956" s="225">
        <f>Base_Periodo1[[#This Row],[CREDITOS]]-Base_Periodo1[[#This Row],[DEBITOS]]</f>
        <v>-129.69</v>
      </c>
      <c r="S3956" s="3" t="str">
        <f>IF(ISERROR(VLOOKUP(Base_Periodo1[[#This Row],[CONTA]],BaseContasDRE[#All],4,FALSE)),"Fora do DRE",VLOOKUP(Base_Periodo1[[#This Row],[CONTA]],BaseContasDRE[#All],4,FALSE))</f>
        <v>Fora do DRE</v>
      </c>
      <c r="T3956" s="3" t="str">
        <f>IF(ISERROR(VLOOKUP(Base_Periodo1[[#This Row],[CONTA]],BaseContasDRE[#All],5,FALSE)),"Fora do DRE",VLOOKUP(Base_Periodo1[[#This Row],[CONTA]],BaseContasDRE[#All],6,FALSE))</f>
        <v>Fora do DRE</v>
      </c>
      <c r="U3956" s="3" t="str">
        <f>IF(ISERROR(VLOOKUP(Base_Periodo1[[#This Row],[CONTA]],BaseContasDRE[#All],7,FALSE)),"Fora do DRE",VLOOKUP(Base_Periodo1[[#This Row],[CONTA]],BaseContasDRE[#All],7,FALSE))</f>
        <v>Fora do DRE</v>
      </c>
      <c r="V3956" s="3" t="str">
        <f>IF(Base_Periodo1[[#This Row],[Tipo_Linha]]="Fora do DRE","Fora do DRE","( "&amp;Base_Periodo1[[#This Row],[Tipo_Linha]]&amp;" ) "&amp;Base_Periodo1[[#This Row],[Filtro]])</f>
        <v>Fora do DRE</v>
      </c>
      <c r="W3956" s="3" t="str">
        <f>LEFT(Base_Periodo1[[#This Row],[CLASS]],3)</f>
        <v>2.1</v>
      </c>
    </row>
    <row r="3957" spans="1:23" hidden="1">
      <c r="A3957" s="3" t="str">
        <f t="shared" si="61"/>
        <v>Período 1</v>
      </c>
      <c r="B3957">
        <v>11089</v>
      </c>
      <c r="C3957" t="s">
        <v>2010</v>
      </c>
      <c r="D3957" t="s">
        <v>2122</v>
      </c>
      <c r="E3957" s="3" t="str">
        <f>IF(LEN(Base_Periodo1[[#This Row],[CLASS]])&gt;=7,LEFT(Base_Periodo1[[#This Row],[CLASS]],7),"")</f>
        <v>2.1.2.2</v>
      </c>
      <c r="F3957" s="3" t="str">
        <f>VLOOKUP(Base_Periodo1[[#This Row],[Aux]],Base_Contas_Balanco[#All],2,FALSE)</f>
        <v>Fornecedores Não Cooperados</v>
      </c>
      <c r="G3957" s="1">
        <v>42884</v>
      </c>
      <c r="H3957" s="225">
        <v>1807.2400000000198</v>
      </c>
      <c r="I3957" s="225">
        <v>1996.04</v>
      </c>
      <c r="J3957" s="225">
        <v>1414.4299999999998</v>
      </c>
      <c r="K3957" s="225">
        <v>1225.6300000000197</v>
      </c>
      <c r="L39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1225.6300000000001</v>
      </c>
      <c r="M3957" s="225">
        <f>ROUND(IF(AND(Base_Periodo1[[#This Row],[Tipo_Linha]]="-",Base_Periodo1[[#This Row],[TIPOSALDO]]="D"),Base_Periodo1[[#This Row],[SALDO_ATUAL]]*-1,Base_Periodo1[[#This Row],[SALDO_ATUAL]]),4)</f>
        <v>1225.6300000000001</v>
      </c>
      <c r="N3957" t="s">
        <v>116</v>
      </c>
      <c r="O3957" t="s">
        <v>459</v>
      </c>
      <c r="P3957" t="s">
        <v>459</v>
      </c>
      <c r="Q3957">
        <v>7</v>
      </c>
      <c r="R3957" s="225">
        <f>Base_Periodo1[[#This Row],[CREDITOS]]-Base_Periodo1[[#This Row],[DEBITOS]]</f>
        <v>-581.61000000000013</v>
      </c>
      <c r="S3957" s="3" t="str">
        <f>IF(ISERROR(VLOOKUP(Base_Periodo1[[#This Row],[CONTA]],BaseContasDRE[#All],4,FALSE)),"Fora do DRE",VLOOKUP(Base_Periodo1[[#This Row],[CONTA]],BaseContasDRE[#All],4,FALSE))</f>
        <v>Fora do DRE</v>
      </c>
      <c r="T3957" s="3" t="str">
        <f>IF(ISERROR(VLOOKUP(Base_Periodo1[[#This Row],[CONTA]],BaseContasDRE[#All],5,FALSE)),"Fora do DRE",VLOOKUP(Base_Periodo1[[#This Row],[CONTA]],BaseContasDRE[#All],6,FALSE))</f>
        <v>Fora do DRE</v>
      </c>
      <c r="U3957" s="3" t="str">
        <f>IF(ISERROR(VLOOKUP(Base_Periodo1[[#This Row],[CONTA]],BaseContasDRE[#All],7,FALSE)),"Fora do DRE",VLOOKUP(Base_Periodo1[[#This Row],[CONTA]],BaseContasDRE[#All],7,FALSE))</f>
        <v>Fora do DRE</v>
      </c>
      <c r="V3957" s="3" t="str">
        <f>IF(Base_Periodo1[[#This Row],[Tipo_Linha]]="Fora do DRE","Fora do DRE","( "&amp;Base_Periodo1[[#This Row],[Tipo_Linha]]&amp;" ) "&amp;Base_Periodo1[[#This Row],[Filtro]])</f>
        <v>Fora do DRE</v>
      </c>
      <c r="W3957" s="3" t="str">
        <f>LEFT(Base_Periodo1[[#This Row],[CLASS]],3)</f>
        <v>2.1</v>
      </c>
    </row>
    <row r="3958" spans="1:23" hidden="1">
      <c r="A3958" s="3" t="str">
        <f t="shared" si="61"/>
        <v>Período 1</v>
      </c>
      <c r="B3958">
        <v>35743</v>
      </c>
      <c r="C3958" t="s">
        <v>2010</v>
      </c>
      <c r="D3958" t="s">
        <v>7135</v>
      </c>
      <c r="E3958" s="3" t="str">
        <f>IF(LEN(Base_Periodo1[[#This Row],[CLASS]])&gt;=7,LEFT(Base_Periodo1[[#This Row],[CLASS]],7),"")</f>
        <v>2.1.2.2</v>
      </c>
      <c r="F3958" s="3" t="str">
        <f>VLOOKUP(Base_Periodo1[[#This Row],[Aux]],Base_Contas_Balanco[#All],2,FALSE)</f>
        <v>Fornecedores Não Cooperados</v>
      </c>
      <c r="G3958" s="1">
        <v>42886</v>
      </c>
      <c r="I3958" s="225">
        <v>0</v>
      </c>
      <c r="J3958" s="225">
        <v>273.95</v>
      </c>
      <c r="K3958" s="225">
        <v>273.95</v>
      </c>
      <c r="L39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273.95</v>
      </c>
      <c r="M3958" s="225">
        <f>ROUND(IF(AND(Base_Periodo1[[#This Row],[Tipo_Linha]]="-",Base_Periodo1[[#This Row],[TIPOSALDO]]="D"),Base_Periodo1[[#This Row],[SALDO_ATUAL]]*-1,Base_Periodo1[[#This Row],[SALDO_ATUAL]]),4)</f>
        <v>273.95</v>
      </c>
      <c r="N3958" t="s">
        <v>116</v>
      </c>
      <c r="O3958" t="s">
        <v>436</v>
      </c>
      <c r="P3958" t="s">
        <v>459</v>
      </c>
      <c r="Q3958">
        <v>7</v>
      </c>
      <c r="R3958" s="225">
        <f>Base_Periodo1[[#This Row],[CREDITOS]]-Base_Periodo1[[#This Row],[DEBITOS]]</f>
        <v>273.95</v>
      </c>
      <c r="S3958" s="3" t="str">
        <f>IF(ISERROR(VLOOKUP(Base_Periodo1[[#This Row],[CONTA]],BaseContasDRE[#All],4,FALSE)),"Fora do DRE",VLOOKUP(Base_Periodo1[[#This Row],[CONTA]],BaseContasDRE[#All],4,FALSE))</f>
        <v>Fora do DRE</v>
      </c>
      <c r="T3958" s="3" t="str">
        <f>IF(ISERROR(VLOOKUP(Base_Periodo1[[#This Row],[CONTA]],BaseContasDRE[#All],5,FALSE)),"Fora do DRE",VLOOKUP(Base_Periodo1[[#This Row],[CONTA]],BaseContasDRE[#All],6,FALSE))</f>
        <v>Fora do DRE</v>
      </c>
      <c r="U3958" s="3" t="str">
        <f>IF(ISERROR(VLOOKUP(Base_Periodo1[[#This Row],[CONTA]],BaseContasDRE[#All],7,FALSE)),"Fora do DRE",VLOOKUP(Base_Periodo1[[#This Row],[CONTA]],BaseContasDRE[#All],7,FALSE))</f>
        <v>Fora do DRE</v>
      </c>
      <c r="V3958" s="3" t="str">
        <f>IF(Base_Periodo1[[#This Row],[Tipo_Linha]]="Fora do DRE","Fora do DRE","( "&amp;Base_Periodo1[[#This Row],[Tipo_Linha]]&amp;" ) "&amp;Base_Periodo1[[#This Row],[Filtro]])</f>
        <v>Fora do DRE</v>
      </c>
      <c r="W3958" s="3" t="str">
        <f>LEFT(Base_Periodo1[[#This Row],[CLASS]],3)</f>
        <v>2.1</v>
      </c>
    </row>
    <row r="3959" spans="1:23" hidden="1">
      <c r="A3959" s="3" t="str">
        <f t="shared" si="61"/>
        <v>Período 1</v>
      </c>
      <c r="B3959">
        <v>7629</v>
      </c>
      <c r="C3959" t="s">
        <v>2010</v>
      </c>
      <c r="D3959" t="s">
        <v>7136</v>
      </c>
      <c r="E3959" s="3" t="str">
        <f>IF(LEN(Base_Periodo1[[#This Row],[CLASS]])&gt;=7,LEFT(Base_Periodo1[[#This Row],[CLASS]],7),"")</f>
        <v>2.1.2.2</v>
      </c>
      <c r="F3959" s="3" t="str">
        <f>VLOOKUP(Base_Periodo1[[#This Row],[Aux]],Base_Contas_Balanco[#All],2,FALSE)</f>
        <v>Fornecedores Não Cooperados</v>
      </c>
      <c r="G3959" s="1">
        <v>42885</v>
      </c>
      <c r="I3959" s="225">
        <v>2599.16</v>
      </c>
      <c r="J3959" s="225">
        <v>2599.16</v>
      </c>
      <c r="K3959" s="225">
        <v>1.4551915228366852E-11</v>
      </c>
      <c r="L39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59" s="225">
        <f>ROUND(IF(AND(Base_Periodo1[[#This Row],[Tipo_Linha]]="-",Base_Periodo1[[#This Row],[TIPOSALDO]]="D"),Base_Periodo1[[#This Row],[SALDO_ATUAL]]*-1,Base_Periodo1[[#This Row],[SALDO_ATUAL]]),4)</f>
        <v>0</v>
      </c>
      <c r="N3959" t="s">
        <v>116</v>
      </c>
      <c r="O3959" t="s">
        <v>436</v>
      </c>
      <c r="P3959" t="s">
        <v>436</v>
      </c>
      <c r="Q3959">
        <v>7</v>
      </c>
      <c r="R3959" s="225">
        <f>Base_Periodo1[[#This Row],[CREDITOS]]-Base_Periodo1[[#This Row],[DEBITOS]]</f>
        <v>0</v>
      </c>
      <c r="S3959" s="3" t="str">
        <f>IF(ISERROR(VLOOKUP(Base_Periodo1[[#This Row],[CONTA]],BaseContasDRE[#All],4,FALSE)),"Fora do DRE",VLOOKUP(Base_Periodo1[[#This Row],[CONTA]],BaseContasDRE[#All],4,FALSE))</f>
        <v>Fora do DRE</v>
      </c>
      <c r="T3959" s="3" t="str">
        <f>IF(ISERROR(VLOOKUP(Base_Periodo1[[#This Row],[CONTA]],BaseContasDRE[#All],5,FALSE)),"Fora do DRE",VLOOKUP(Base_Periodo1[[#This Row],[CONTA]],BaseContasDRE[#All],6,FALSE))</f>
        <v>Fora do DRE</v>
      </c>
      <c r="U3959" s="3" t="str">
        <f>IF(ISERROR(VLOOKUP(Base_Periodo1[[#This Row],[CONTA]],BaseContasDRE[#All],7,FALSE)),"Fora do DRE",VLOOKUP(Base_Periodo1[[#This Row],[CONTA]],BaseContasDRE[#All],7,FALSE))</f>
        <v>Fora do DRE</v>
      </c>
      <c r="V3959" s="3" t="str">
        <f>IF(Base_Periodo1[[#This Row],[Tipo_Linha]]="Fora do DRE","Fora do DRE","( "&amp;Base_Periodo1[[#This Row],[Tipo_Linha]]&amp;" ) "&amp;Base_Periodo1[[#This Row],[Filtro]])</f>
        <v>Fora do DRE</v>
      </c>
      <c r="W3959" s="3" t="str">
        <f>LEFT(Base_Periodo1[[#This Row],[CLASS]],3)</f>
        <v>2.1</v>
      </c>
    </row>
    <row r="3960" spans="1:23" hidden="1">
      <c r="A3960" s="3" t="str">
        <f t="shared" si="61"/>
        <v>Período 1</v>
      </c>
      <c r="B3960">
        <v>12488</v>
      </c>
      <c r="C3960" t="s">
        <v>2010</v>
      </c>
      <c r="D3960" t="s">
        <v>7137</v>
      </c>
      <c r="E3960" s="3" t="str">
        <f>IF(LEN(Base_Periodo1[[#This Row],[CLASS]])&gt;=7,LEFT(Base_Periodo1[[#This Row],[CLASS]],7),"")</f>
        <v>2.1.2.2</v>
      </c>
      <c r="F3960" s="3" t="str">
        <f>VLOOKUP(Base_Periodo1[[#This Row],[Aux]],Base_Contas_Balanco[#All],2,FALSE)</f>
        <v>Fornecedores Não Cooperados</v>
      </c>
      <c r="G3960" s="1">
        <v>42872</v>
      </c>
      <c r="I3960" s="225">
        <v>280</v>
      </c>
      <c r="J3960" s="225">
        <v>280</v>
      </c>
      <c r="K3960" s="225">
        <v>0</v>
      </c>
      <c r="L39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60" s="225">
        <f>ROUND(IF(AND(Base_Periodo1[[#This Row],[Tipo_Linha]]="-",Base_Periodo1[[#This Row],[TIPOSALDO]]="D"),Base_Periodo1[[#This Row],[SALDO_ATUAL]]*-1,Base_Periodo1[[#This Row],[SALDO_ATUAL]]),4)</f>
        <v>0</v>
      </c>
      <c r="N3960" t="s">
        <v>116</v>
      </c>
      <c r="O3960" t="s">
        <v>436</v>
      </c>
      <c r="P3960" t="s">
        <v>436</v>
      </c>
      <c r="Q3960">
        <v>7</v>
      </c>
      <c r="R3960" s="225">
        <f>Base_Periodo1[[#This Row],[CREDITOS]]-Base_Periodo1[[#This Row],[DEBITOS]]</f>
        <v>0</v>
      </c>
      <c r="S3960" s="3" t="str">
        <f>IF(ISERROR(VLOOKUP(Base_Periodo1[[#This Row],[CONTA]],BaseContasDRE[#All],4,FALSE)),"Fora do DRE",VLOOKUP(Base_Periodo1[[#This Row],[CONTA]],BaseContasDRE[#All],4,FALSE))</f>
        <v>Fora do DRE</v>
      </c>
      <c r="T3960" s="3" t="str">
        <f>IF(ISERROR(VLOOKUP(Base_Periodo1[[#This Row],[CONTA]],BaseContasDRE[#All],5,FALSE)),"Fora do DRE",VLOOKUP(Base_Periodo1[[#This Row],[CONTA]],BaseContasDRE[#All],6,FALSE))</f>
        <v>Fora do DRE</v>
      </c>
      <c r="U3960" s="3" t="str">
        <f>IF(ISERROR(VLOOKUP(Base_Periodo1[[#This Row],[CONTA]],BaseContasDRE[#All],7,FALSE)),"Fora do DRE",VLOOKUP(Base_Periodo1[[#This Row],[CONTA]],BaseContasDRE[#All],7,FALSE))</f>
        <v>Fora do DRE</v>
      </c>
      <c r="V3960" s="3" t="str">
        <f>IF(Base_Periodo1[[#This Row],[Tipo_Linha]]="Fora do DRE","Fora do DRE","( "&amp;Base_Periodo1[[#This Row],[Tipo_Linha]]&amp;" ) "&amp;Base_Periodo1[[#This Row],[Filtro]])</f>
        <v>Fora do DRE</v>
      </c>
      <c r="W3960" s="3" t="str">
        <f>LEFT(Base_Periodo1[[#This Row],[CLASS]],3)</f>
        <v>2.1</v>
      </c>
    </row>
    <row r="3961" spans="1:23" hidden="1">
      <c r="A3961" s="3" t="str">
        <f t="shared" si="61"/>
        <v>Período 1</v>
      </c>
      <c r="B3961">
        <v>11125</v>
      </c>
      <c r="C3961" t="s">
        <v>2010</v>
      </c>
      <c r="D3961" t="s">
        <v>5499</v>
      </c>
      <c r="E3961" s="3" t="str">
        <f>IF(LEN(Base_Periodo1[[#This Row],[CLASS]])&gt;=7,LEFT(Base_Periodo1[[#This Row],[CLASS]],7),"")</f>
        <v>2.1.2.2</v>
      </c>
      <c r="F3961" s="3" t="str">
        <f>VLOOKUP(Base_Periodo1[[#This Row],[Aux]],Base_Contas_Balanco[#All],2,FALSE)</f>
        <v>Fornecedores Não Cooperados</v>
      </c>
      <c r="G3961" s="1">
        <v>42863</v>
      </c>
      <c r="I3961" s="225">
        <v>65265.57</v>
      </c>
      <c r="J3961" s="225">
        <v>65265.57</v>
      </c>
      <c r="K3961" s="225">
        <v>0</v>
      </c>
      <c r="L39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61" s="225">
        <f>ROUND(IF(AND(Base_Periodo1[[#This Row],[Tipo_Linha]]="-",Base_Periodo1[[#This Row],[TIPOSALDO]]="D"),Base_Periodo1[[#This Row],[SALDO_ATUAL]]*-1,Base_Periodo1[[#This Row],[SALDO_ATUAL]]),4)</f>
        <v>0</v>
      </c>
      <c r="N3961" t="s">
        <v>116</v>
      </c>
      <c r="O3961" t="s">
        <v>436</v>
      </c>
      <c r="P3961" t="s">
        <v>436</v>
      </c>
      <c r="Q3961">
        <v>7</v>
      </c>
      <c r="R3961" s="225">
        <f>Base_Periodo1[[#This Row],[CREDITOS]]-Base_Periodo1[[#This Row],[DEBITOS]]</f>
        <v>0</v>
      </c>
      <c r="S3961" s="3" t="str">
        <f>IF(ISERROR(VLOOKUP(Base_Periodo1[[#This Row],[CONTA]],BaseContasDRE[#All],4,FALSE)),"Fora do DRE",VLOOKUP(Base_Periodo1[[#This Row],[CONTA]],BaseContasDRE[#All],4,FALSE))</f>
        <v>Fora do DRE</v>
      </c>
      <c r="T3961" s="3" t="str">
        <f>IF(ISERROR(VLOOKUP(Base_Periodo1[[#This Row],[CONTA]],BaseContasDRE[#All],5,FALSE)),"Fora do DRE",VLOOKUP(Base_Periodo1[[#This Row],[CONTA]],BaseContasDRE[#All],6,FALSE))</f>
        <v>Fora do DRE</v>
      </c>
      <c r="U3961" s="3" t="str">
        <f>IF(ISERROR(VLOOKUP(Base_Periodo1[[#This Row],[CONTA]],BaseContasDRE[#All],7,FALSE)),"Fora do DRE",VLOOKUP(Base_Periodo1[[#This Row],[CONTA]],BaseContasDRE[#All],7,FALSE))</f>
        <v>Fora do DRE</v>
      </c>
      <c r="V3961" s="3" t="str">
        <f>IF(Base_Periodo1[[#This Row],[Tipo_Linha]]="Fora do DRE","Fora do DRE","( "&amp;Base_Periodo1[[#This Row],[Tipo_Linha]]&amp;" ) "&amp;Base_Periodo1[[#This Row],[Filtro]])</f>
        <v>Fora do DRE</v>
      </c>
      <c r="W3961" s="3" t="str">
        <f>LEFT(Base_Periodo1[[#This Row],[CLASS]],3)</f>
        <v>2.1</v>
      </c>
    </row>
    <row r="3962" spans="1:23" hidden="1">
      <c r="A3962" s="3" t="str">
        <f t="shared" si="61"/>
        <v>Período 1</v>
      </c>
      <c r="B3962">
        <v>57541</v>
      </c>
      <c r="C3962" t="s">
        <v>2010</v>
      </c>
      <c r="D3962" t="s">
        <v>7138</v>
      </c>
      <c r="E3962" s="3" t="str">
        <f>IF(LEN(Base_Periodo1[[#This Row],[CLASS]])&gt;=7,LEFT(Base_Periodo1[[#This Row],[CLASS]],7),"")</f>
        <v>2.1.2.2</v>
      </c>
      <c r="F3962" s="3" t="str">
        <f>VLOOKUP(Base_Periodo1[[#This Row],[Aux]],Base_Contas_Balanco[#All],2,FALSE)</f>
        <v>Fornecedores Não Cooperados</v>
      </c>
      <c r="G3962" s="1">
        <v>42885</v>
      </c>
      <c r="I3962" s="225">
        <v>15147</v>
      </c>
      <c r="J3962" s="225">
        <v>15147</v>
      </c>
      <c r="K3962" s="225">
        <v>0</v>
      </c>
      <c r="L39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62" s="225">
        <f>ROUND(IF(AND(Base_Periodo1[[#This Row],[Tipo_Linha]]="-",Base_Periodo1[[#This Row],[TIPOSALDO]]="D"),Base_Periodo1[[#This Row],[SALDO_ATUAL]]*-1,Base_Periodo1[[#This Row],[SALDO_ATUAL]]),4)</f>
        <v>0</v>
      </c>
      <c r="N3962" t="s">
        <v>116</v>
      </c>
      <c r="O3962" t="s">
        <v>436</v>
      </c>
      <c r="P3962" t="s">
        <v>436</v>
      </c>
      <c r="Q3962">
        <v>7</v>
      </c>
      <c r="R3962" s="225">
        <f>Base_Periodo1[[#This Row],[CREDITOS]]-Base_Periodo1[[#This Row],[DEBITOS]]</f>
        <v>0</v>
      </c>
      <c r="S3962" s="3" t="str">
        <f>IF(ISERROR(VLOOKUP(Base_Periodo1[[#This Row],[CONTA]],BaseContasDRE[#All],4,FALSE)),"Fora do DRE",VLOOKUP(Base_Periodo1[[#This Row],[CONTA]],BaseContasDRE[#All],4,FALSE))</f>
        <v>Fora do DRE</v>
      </c>
      <c r="T3962" s="3" t="str">
        <f>IF(ISERROR(VLOOKUP(Base_Periodo1[[#This Row],[CONTA]],BaseContasDRE[#All],5,FALSE)),"Fora do DRE",VLOOKUP(Base_Periodo1[[#This Row],[CONTA]],BaseContasDRE[#All],6,FALSE))</f>
        <v>Fora do DRE</v>
      </c>
      <c r="U3962" s="3" t="str">
        <f>IF(ISERROR(VLOOKUP(Base_Periodo1[[#This Row],[CONTA]],BaseContasDRE[#All],7,FALSE)),"Fora do DRE",VLOOKUP(Base_Periodo1[[#This Row],[CONTA]],BaseContasDRE[#All],7,FALSE))</f>
        <v>Fora do DRE</v>
      </c>
      <c r="V3962" s="3" t="str">
        <f>IF(Base_Periodo1[[#This Row],[Tipo_Linha]]="Fora do DRE","Fora do DRE","( "&amp;Base_Periodo1[[#This Row],[Tipo_Linha]]&amp;" ) "&amp;Base_Periodo1[[#This Row],[Filtro]])</f>
        <v>Fora do DRE</v>
      </c>
      <c r="W3962" s="3" t="str">
        <f>LEFT(Base_Periodo1[[#This Row],[CLASS]],3)</f>
        <v>2.1</v>
      </c>
    </row>
    <row r="3963" spans="1:23" hidden="1">
      <c r="A3963" s="3" t="str">
        <f t="shared" si="61"/>
        <v>Período 1</v>
      </c>
      <c r="B3963">
        <v>18348</v>
      </c>
      <c r="C3963" t="s">
        <v>2010</v>
      </c>
      <c r="D3963" t="s">
        <v>6201</v>
      </c>
      <c r="E3963" s="3" t="str">
        <f>IF(LEN(Base_Periodo1[[#This Row],[CLASS]])&gt;=7,LEFT(Base_Periodo1[[#This Row],[CLASS]],7),"")</f>
        <v>2.1.2.2</v>
      </c>
      <c r="F3963" s="3" t="str">
        <f>VLOOKUP(Base_Periodo1[[#This Row],[Aux]],Base_Contas_Balanco[#All],2,FALSE)</f>
        <v>Fornecedores Não Cooperados</v>
      </c>
      <c r="G3963" s="1">
        <v>42857</v>
      </c>
      <c r="I3963" s="225">
        <v>0</v>
      </c>
      <c r="J3963" s="225">
        <v>7999.6</v>
      </c>
      <c r="K3963" s="225">
        <v>7999.6</v>
      </c>
      <c r="L39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7999.6</v>
      </c>
      <c r="M3963" s="225">
        <f>ROUND(IF(AND(Base_Periodo1[[#This Row],[Tipo_Linha]]="-",Base_Periodo1[[#This Row],[TIPOSALDO]]="D"),Base_Periodo1[[#This Row],[SALDO_ATUAL]]*-1,Base_Periodo1[[#This Row],[SALDO_ATUAL]]),4)</f>
        <v>7999.6</v>
      </c>
      <c r="N3963" t="s">
        <v>116</v>
      </c>
      <c r="O3963" t="s">
        <v>436</v>
      </c>
      <c r="P3963" t="s">
        <v>459</v>
      </c>
      <c r="Q3963">
        <v>7</v>
      </c>
      <c r="R3963" s="225">
        <f>Base_Periodo1[[#This Row],[CREDITOS]]-Base_Periodo1[[#This Row],[DEBITOS]]</f>
        <v>7999.6</v>
      </c>
      <c r="S3963" s="3" t="str">
        <f>IF(ISERROR(VLOOKUP(Base_Periodo1[[#This Row],[CONTA]],BaseContasDRE[#All],4,FALSE)),"Fora do DRE",VLOOKUP(Base_Periodo1[[#This Row],[CONTA]],BaseContasDRE[#All],4,FALSE))</f>
        <v>Fora do DRE</v>
      </c>
      <c r="T3963" s="3" t="str">
        <f>IF(ISERROR(VLOOKUP(Base_Periodo1[[#This Row],[CONTA]],BaseContasDRE[#All],5,FALSE)),"Fora do DRE",VLOOKUP(Base_Periodo1[[#This Row],[CONTA]],BaseContasDRE[#All],6,FALSE))</f>
        <v>Fora do DRE</v>
      </c>
      <c r="U3963" s="3" t="str">
        <f>IF(ISERROR(VLOOKUP(Base_Periodo1[[#This Row],[CONTA]],BaseContasDRE[#All],7,FALSE)),"Fora do DRE",VLOOKUP(Base_Periodo1[[#This Row],[CONTA]],BaseContasDRE[#All],7,FALSE))</f>
        <v>Fora do DRE</v>
      </c>
      <c r="V3963" s="3" t="str">
        <f>IF(Base_Periodo1[[#This Row],[Tipo_Linha]]="Fora do DRE","Fora do DRE","( "&amp;Base_Periodo1[[#This Row],[Tipo_Linha]]&amp;" ) "&amp;Base_Periodo1[[#This Row],[Filtro]])</f>
        <v>Fora do DRE</v>
      </c>
      <c r="W3963" s="3" t="str">
        <f>LEFT(Base_Periodo1[[#This Row],[CLASS]],3)</f>
        <v>2.1</v>
      </c>
    </row>
    <row r="3964" spans="1:23" hidden="1">
      <c r="A3964" s="3" t="str">
        <f t="shared" si="61"/>
        <v>Período 1</v>
      </c>
      <c r="B3964">
        <v>27938</v>
      </c>
      <c r="C3964" t="s">
        <v>2010</v>
      </c>
      <c r="D3964" t="s">
        <v>6202</v>
      </c>
      <c r="E3964" s="3" t="str">
        <f>IF(LEN(Base_Periodo1[[#This Row],[CLASS]])&gt;=7,LEFT(Base_Periodo1[[#This Row],[CLASS]],7),"")</f>
        <v>2.1.2.2</v>
      </c>
      <c r="F3964" s="3" t="str">
        <f>VLOOKUP(Base_Periodo1[[#This Row],[Aux]],Base_Contas_Balanco[#All],2,FALSE)</f>
        <v>Fornecedores Não Cooperados</v>
      </c>
      <c r="G3964" s="1">
        <v>42879</v>
      </c>
      <c r="I3964" s="225">
        <v>0</v>
      </c>
      <c r="J3964" s="225">
        <v>6272</v>
      </c>
      <c r="K3964" s="225">
        <v>6271.9999999999854</v>
      </c>
      <c r="L39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6272</v>
      </c>
      <c r="M3964" s="225">
        <f>ROUND(IF(AND(Base_Periodo1[[#This Row],[Tipo_Linha]]="-",Base_Periodo1[[#This Row],[TIPOSALDO]]="D"),Base_Periodo1[[#This Row],[SALDO_ATUAL]]*-1,Base_Periodo1[[#This Row],[SALDO_ATUAL]]),4)</f>
        <v>6272</v>
      </c>
      <c r="N3964" t="s">
        <v>116</v>
      </c>
      <c r="O3964" t="s">
        <v>436</v>
      </c>
      <c r="P3964" t="s">
        <v>459</v>
      </c>
      <c r="Q3964">
        <v>7</v>
      </c>
      <c r="R3964" s="225">
        <f>Base_Periodo1[[#This Row],[CREDITOS]]-Base_Periodo1[[#This Row],[DEBITOS]]</f>
        <v>6272</v>
      </c>
      <c r="S3964" s="3" t="str">
        <f>IF(ISERROR(VLOOKUP(Base_Periodo1[[#This Row],[CONTA]],BaseContasDRE[#All],4,FALSE)),"Fora do DRE",VLOOKUP(Base_Periodo1[[#This Row],[CONTA]],BaseContasDRE[#All],4,FALSE))</f>
        <v>Fora do DRE</v>
      </c>
      <c r="T3964" s="3" t="str">
        <f>IF(ISERROR(VLOOKUP(Base_Periodo1[[#This Row],[CONTA]],BaseContasDRE[#All],5,FALSE)),"Fora do DRE",VLOOKUP(Base_Periodo1[[#This Row],[CONTA]],BaseContasDRE[#All],6,FALSE))</f>
        <v>Fora do DRE</v>
      </c>
      <c r="U3964" s="3" t="str">
        <f>IF(ISERROR(VLOOKUP(Base_Periodo1[[#This Row],[CONTA]],BaseContasDRE[#All],7,FALSE)),"Fora do DRE",VLOOKUP(Base_Periodo1[[#This Row],[CONTA]],BaseContasDRE[#All],7,FALSE))</f>
        <v>Fora do DRE</v>
      </c>
      <c r="V3964" s="3" t="str">
        <f>IF(Base_Periodo1[[#This Row],[Tipo_Linha]]="Fora do DRE","Fora do DRE","( "&amp;Base_Periodo1[[#This Row],[Tipo_Linha]]&amp;" ) "&amp;Base_Periodo1[[#This Row],[Filtro]])</f>
        <v>Fora do DRE</v>
      </c>
      <c r="W3964" s="3" t="str">
        <f>LEFT(Base_Periodo1[[#This Row],[CLASS]],3)</f>
        <v>2.1</v>
      </c>
    </row>
    <row r="3965" spans="1:23" hidden="1">
      <c r="A3965" s="3" t="str">
        <f t="shared" si="61"/>
        <v>Período 1</v>
      </c>
      <c r="B3965">
        <v>8675</v>
      </c>
      <c r="C3965" t="s">
        <v>2010</v>
      </c>
      <c r="D3965" t="s">
        <v>2123</v>
      </c>
      <c r="E3965" s="3" t="str">
        <f>IF(LEN(Base_Periodo1[[#This Row],[CLASS]])&gt;=7,LEFT(Base_Periodo1[[#This Row],[CLASS]],7),"")</f>
        <v>2.1.2.2</v>
      </c>
      <c r="F3965" s="3" t="str">
        <f>VLOOKUP(Base_Periodo1[[#This Row],[Aux]],Base_Contas_Balanco[#All],2,FALSE)</f>
        <v>Fornecedores Não Cooperados</v>
      </c>
      <c r="G3965" s="1">
        <v>42885</v>
      </c>
      <c r="H3965" s="225">
        <v>702</v>
      </c>
      <c r="I3965" s="225">
        <v>992</v>
      </c>
      <c r="J3965" s="225">
        <v>4441</v>
      </c>
      <c r="K3965" s="225">
        <v>4151</v>
      </c>
      <c r="L39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4151</v>
      </c>
      <c r="M3965" s="225">
        <f>ROUND(IF(AND(Base_Periodo1[[#This Row],[Tipo_Linha]]="-",Base_Periodo1[[#This Row],[TIPOSALDO]]="D"),Base_Periodo1[[#This Row],[SALDO_ATUAL]]*-1,Base_Periodo1[[#This Row],[SALDO_ATUAL]]),4)</f>
        <v>4151</v>
      </c>
      <c r="N3965" t="s">
        <v>116</v>
      </c>
      <c r="O3965" t="s">
        <v>459</v>
      </c>
      <c r="P3965" t="s">
        <v>459</v>
      </c>
      <c r="Q3965">
        <v>7</v>
      </c>
      <c r="R3965" s="225">
        <f>Base_Periodo1[[#This Row],[CREDITOS]]-Base_Periodo1[[#This Row],[DEBITOS]]</f>
        <v>3449</v>
      </c>
      <c r="S3965" s="3" t="str">
        <f>IF(ISERROR(VLOOKUP(Base_Periodo1[[#This Row],[CONTA]],BaseContasDRE[#All],4,FALSE)),"Fora do DRE",VLOOKUP(Base_Periodo1[[#This Row],[CONTA]],BaseContasDRE[#All],4,FALSE))</f>
        <v>Fora do DRE</v>
      </c>
      <c r="T3965" s="3" t="str">
        <f>IF(ISERROR(VLOOKUP(Base_Periodo1[[#This Row],[CONTA]],BaseContasDRE[#All],5,FALSE)),"Fora do DRE",VLOOKUP(Base_Periodo1[[#This Row],[CONTA]],BaseContasDRE[#All],6,FALSE))</f>
        <v>Fora do DRE</v>
      </c>
      <c r="U3965" s="3" t="str">
        <f>IF(ISERROR(VLOOKUP(Base_Periodo1[[#This Row],[CONTA]],BaseContasDRE[#All],7,FALSE)),"Fora do DRE",VLOOKUP(Base_Periodo1[[#This Row],[CONTA]],BaseContasDRE[#All],7,FALSE))</f>
        <v>Fora do DRE</v>
      </c>
      <c r="V3965" s="3" t="str">
        <f>IF(Base_Periodo1[[#This Row],[Tipo_Linha]]="Fora do DRE","Fora do DRE","( "&amp;Base_Periodo1[[#This Row],[Tipo_Linha]]&amp;" ) "&amp;Base_Periodo1[[#This Row],[Filtro]])</f>
        <v>Fora do DRE</v>
      </c>
      <c r="W3965" s="3" t="str">
        <f>LEFT(Base_Periodo1[[#This Row],[CLASS]],3)</f>
        <v>2.1</v>
      </c>
    </row>
    <row r="3966" spans="1:23" hidden="1">
      <c r="A3966" s="3" t="str">
        <f t="shared" si="61"/>
        <v>Período 1</v>
      </c>
      <c r="B3966">
        <v>38232</v>
      </c>
      <c r="C3966" t="s">
        <v>2010</v>
      </c>
      <c r="D3966" t="s">
        <v>5881</v>
      </c>
      <c r="E3966" s="3" t="str">
        <f>IF(LEN(Base_Periodo1[[#This Row],[CLASS]])&gt;=7,LEFT(Base_Periodo1[[#This Row],[CLASS]],7),"")</f>
        <v>2.1.2.2</v>
      </c>
      <c r="F3966" s="3" t="str">
        <f>VLOOKUP(Base_Periodo1[[#This Row],[Aux]],Base_Contas_Balanco[#All],2,FALSE)</f>
        <v>Fornecedores Não Cooperados</v>
      </c>
      <c r="G3966" s="1">
        <v>42877</v>
      </c>
      <c r="I3966" s="225">
        <v>59440</v>
      </c>
      <c r="J3966" s="225">
        <v>93040</v>
      </c>
      <c r="K3966" s="225">
        <v>33600</v>
      </c>
      <c r="L39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33600</v>
      </c>
      <c r="M3966" s="225">
        <f>ROUND(IF(AND(Base_Periodo1[[#This Row],[Tipo_Linha]]="-",Base_Periodo1[[#This Row],[TIPOSALDO]]="D"),Base_Periodo1[[#This Row],[SALDO_ATUAL]]*-1,Base_Periodo1[[#This Row],[SALDO_ATUAL]]),4)</f>
        <v>33600</v>
      </c>
      <c r="N3966" t="s">
        <v>116</v>
      </c>
      <c r="O3966" t="s">
        <v>436</v>
      </c>
      <c r="P3966" t="s">
        <v>459</v>
      </c>
      <c r="Q3966">
        <v>7</v>
      </c>
      <c r="R3966" s="225">
        <f>Base_Periodo1[[#This Row],[CREDITOS]]-Base_Periodo1[[#This Row],[DEBITOS]]</f>
        <v>33600</v>
      </c>
      <c r="S3966" s="3" t="str">
        <f>IF(ISERROR(VLOOKUP(Base_Periodo1[[#This Row],[CONTA]],BaseContasDRE[#All],4,FALSE)),"Fora do DRE",VLOOKUP(Base_Periodo1[[#This Row],[CONTA]],BaseContasDRE[#All],4,FALSE))</f>
        <v>Fora do DRE</v>
      </c>
      <c r="T3966" s="3" t="str">
        <f>IF(ISERROR(VLOOKUP(Base_Periodo1[[#This Row],[CONTA]],BaseContasDRE[#All],5,FALSE)),"Fora do DRE",VLOOKUP(Base_Periodo1[[#This Row],[CONTA]],BaseContasDRE[#All],6,FALSE))</f>
        <v>Fora do DRE</v>
      </c>
      <c r="U3966" s="3" t="str">
        <f>IF(ISERROR(VLOOKUP(Base_Periodo1[[#This Row],[CONTA]],BaseContasDRE[#All],7,FALSE)),"Fora do DRE",VLOOKUP(Base_Periodo1[[#This Row],[CONTA]],BaseContasDRE[#All],7,FALSE))</f>
        <v>Fora do DRE</v>
      </c>
      <c r="V3966" s="3" t="str">
        <f>IF(Base_Periodo1[[#This Row],[Tipo_Linha]]="Fora do DRE","Fora do DRE","( "&amp;Base_Periodo1[[#This Row],[Tipo_Linha]]&amp;" ) "&amp;Base_Periodo1[[#This Row],[Filtro]])</f>
        <v>Fora do DRE</v>
      </c>
      <c r="W3966" s="3" t="str">
        <f>LEFT(Base_Periodo1[[#This Row],[CLASS]],3)</f>
        <v>2.1</v>
      </c>
    </row>
    <row r="3967" spans="1:23" hidden="1">
      <c r="A3967" s="3" t="str">
        <f t="shared" si="61"/>
        <v>Período 1</v>
      </c>
      <c r="B3967">
        <v>30872</v>
      </c>
      <c r="C3967" t="s">
        <v>2010</v>
      </c>
      <c r="D3967" t="s">
        <v>2124</v>
      </c>
      <c r="E3967" s="3" t="str">
        <f>IF(LEN(Base_Periodo1[[#This Row],[CLASS]])&gt;=7,LEFT(Base_Periodo1[[#This Row],[CLASS]],7),"")</f>
        <v>2.1.2.2</v>
      </c>
      <c r="F3967" s="3" t="str">
        <f>VLOOKUP(Base_Periodo1[[#This Row],[Aux]],Base_Contas_Balanco[#All],2,FALSE)</f>
        <v>Fornecedores Não Cooperados</v>
      </c>
      <c r="G3967" s="1">
        <v>42865</v>
      </c>
      <c r="I3967" s="225">
        <v>2028.97</v>
      </c>
      <c r="J3967" s="225">
        <v>2028.97</v>
      </c>
      <c r="K3967" s="225">
        <v>-2.1827872842550278E-11</v>
      </c>
      <c r="L39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67" s="225">
        <f>ROUND(IF(AND(Base_Periodo1[[#This Row],[Tipo_Linha]]="-",Base_Periodo1[[#This Row],[TIPOSALDO]]="D"),Base_Periodo1[[#This Row],[SALDO_ATUAL]]*-1,Base_Periodo1[[#This Row],[SALDO_ATUAL]]),4)</f>
        <v>0</v>
      </c>
      <c r="N3967" t="s">
        <v>116</v>
      </c>
      <c r="O3967" t="s">
        <v>436</v>
      </c>
      <c r="P3967" t="s">
        <v>436</v>
      </c>
      <c r="Q3967">
        <v>7</v>
      </c>
      <c r="R3967" s="225">
        <f>Base_Periodo1[[#This Row],[CREDITOS]]-Base_Periodo1[[#This Row],[DEBITOS]]</f>
        <v>0</v>
      </c>
      <c r="S3967" s="3" t="str">
        <f>IF(ISERROR(VLOOKUP(Base_Periodo1[[#This Row],[CONTA]],BaseContasDRE[#All],4,FALSE)),"Fora do DRE",VLOOKUP(Base_Periodo1[[#This Row],[CONTA]],BaseContasDRE[#All],4,FALSE))</f>
        <v>Fora do DRE</v>
      </c>
      <c r="T3967" s="3" t="str">
        <f>IF(ISERROR(VLOOKUP(Base_Periodo1[[#This Row],[CONTA]],BaseContasDRE[#All],5,FALSE)),"Fora do DRE",VLOOKUP(Base_Periodo1[[#This Row],[CONTA]],BaseContasDRE[#All],6,FALSE))</f>
        <v>Fora do DRE</v>
      </c>
      <c r="U3967" s="3" t="str">
        <f>IF(ISERROR(VLOOKUP(Base_Periodo1[[#This Row],[CONTA]],BaseContasDRE[#All],7,FALSE)),"Fora do DRE",VLOOKUP(Base_Periodo1[[#This Row],[CONTA]],BaseContasDRE[#All],7,FALSE))</f>
        <v>Fora do DRE</v>
      </c>
      <c r="V3967" s="3" t="str">
        <f>IF(Base_Periodo1[[#This Row],[Tipo_Linha]]="Fora do DRE","Fora do DRE","( "&amp;Base_Periodo1[[#This Row],[Tipo_Linha]]&amp;" ) "&amp;Base_Periodo1[[#This Row],[Filtro]])</f>
        <v>Fora do DRE</v>
      </c>
      <c r="W3967" s="3" t="str">
        <f>LEFT(Base_Periodo1[[#This Row],[CLASS]],3)</f>
        <v>2.1</v>
      </c>
    </row>
    <row r="3968" spans="1:23" hidden="1">
      <c r="A3968" s="3" t="str">
        <f t="shared" si="61"/>
        <v>Período 1</v>
      </c>
      <c r="B3968">
        <v>50033</v>
      </c>
      <c r="C3968" t="s">
        <v>2010</v>
      </c>
      <c r="D3968" t="s">
        <v>7139</v>
      </c>
      <c r="E3968" s="3" t="str">
        <f>IF(LEN(Base_Periodo1[[#This Row],[CLASS]])&gt;=7,LEFT(Base_Periodo1[[#This Row],[CLASS]],7),"")</f>
        <v>2.1.2.2</v>
      </c>
      <c r="F3968" s="3" t="str">
        <f>VLOOKUP(Base_Periodo1[[#This Row],[Aux]],Base_Contas_Balanco[#All],2,FALSE)</f>
        <v>Fornecedores Não Cooperados</v>
      </c>
      <c r="G3968" s="1">
        <v>42871</v>
      </c>
      <c r="I3968" s="225">
        <v>22</v>
      </c>
      <c r="J3968" s="225">
        <v>22</v>
      </c>
      <c r="K3968" s="225">
        <v>0</v>
      </c>
      <c r="L39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68" s="225">
        <f>ROUND(IF(AND(Base_Periodo1[[#This Row],[Tipo_Linha]]="-",Base_Periodo1[[#This Row],[TIPOSALDO]]="D"),Base_Periodo1[[#This Row],[SALDO_ATUAL]]*-1,Base_Periodo1[[#This Row],[SALDO_ATUAL]]),4)</f>
        <v>0</v>
      </c>
      <c r="N3968" t="s">
        <v>116</v>
      </c>
      <c r="O3968" t="s">
        <v>436</v>
      </c>
      <c r="P3968" t="s">
        <v>436</v>
      </c>
      <c r="Q3968">
        <v>7</v>
      </c>
      <c r="R3968" s="225">
        <f>Base_Periodo1[[#This Row],[CREDITOS]]-Base_Periodo1[[#This Row],[DEBITOS]]</f>
        <v>0</v>
      </c>
      <c r="S3968" s="3" t="str">
        <f>IF(ISERROR(VLOOKUP(Base_Periodo1[[#This Row],[CONTA]],BaseContasDRE[#All],4,FALSE)),"Fora do DRE",VLOOKUP(Base_Periodo1[[#This Row],[CONTA]],BaseContasDRE[#All],4,FALSE))</f>
        <v>Fora do DRE</v>
      </c>
      <c r="T3968" s="3" t="str">
        <f>IF(ISERROR(VLOOKUP(Base_Periodo1[[#This Row],[CONTA]],BaseContasDRE[#All],5,FALSE)),"Fora do DRE",VLOOKUP(Base_Periodo1[[#This Row],[CONTA]],BaseContasDRE[#All],6,FALSE))</f>
        <v>Fora do DRE</v>
      </c>
      <c r="U3968" s="3" t="str">
        <f>IF(ISERROR(VLOOKUP(Base_Periodo1[[#This Row],[CONTA]],BaseContasDRE[#All],7,FALSE)),"Fora do DRE",VLOOKUP(Base_Periodo1[[#This Row],[CONTA]],BaseContasDRE[#All],7,FALSE))</f>
        <v>Fora do DRE</v>
      </c>
      <c r="V3968" s="3" t="str">
        <f>IF(Base_Periodo1[[#This Row],[Tipo_Linha]]="Fora do DRE","Fora do DRE","( "&amp;Base_Periodo1[[#This Row],[Tipo_Linha]]&amp;" ) "&amp;Base_Periodo1[[#This Row],[Filtro]])</f>
        <v>Fora do DRE</v>
      </c>
      <c r="W3968" s="3" t="str">
        <f>LEFT(Base_Periodo1[[#This Row],[CLASS]],3)</f>
        <v>2.1</v>
      </c>
    </row>
    <row r="3969" spans="1:23" hidden="1">
      <c r="A3969" s="3" t="str">
        <f t="shared" si="61"/>
        <v>Período 1</v>
      </c>
      <c r="B3969">
        <v>34071</v>
      </c>
      <c r="C3969" t="s">
        <v>2010</v>
      </c>
      <c r="D3969" t="s">
        <v>6522</v>
      </c>
      <c r="E3969" s="3" t="str">
        <f>IF(LEN(Base_Periodo1[[#This Row],[CLASS]])&gt;=7,LEFT(Base_Periodo1[[#This Row],[CLASS]],7),"")</f>
        <v>2.1.2.2</v>
      </c>
      <c r="F3969" s="3" t="str">
        <f>VLOOKUP(Base_Periodo1[[#This Row],[Aux]],Base_Contas_Balanco[#All],2,FALSE)</f>
        <v>Fornecedores Não Cooperados</v>
      </c>
      <c r="G3969" s="1">
        <v>42858</v>
      </c>
      <c r="H3969" s="225">
        <v>450</v>
      </c>
      <c r="I3969" s="225">
        <v>450</v>
      </c>
      <c r="J3969" s="225">
        <v>0</v>
      </c>
      <c r="K3969" s="225">
        <v>0</v>
      </c>
      <c r="L39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69" s="225">
        <f>ROUND(IF(AND(Base_Periodo1[[#This Row],[Tipo_Linha]]="-",Base_Periodo1[[#This Row],[TIPOSALDO]]="D"),Base_Periodo1[[#This Row],[SALDO_ATUAL]]*-1,Base_Periodo1[[#This Row],[SALDO_ATUAL]]),4)</f>
        <v>0</v>
      </c>
      <c r="N3969" t="s">
        <v>116</v>
      </c>
      <c r="O3969" t="s">
        <v>459</v>
      </c>
      <c r="P3969" t="s">
        <v>436</v>
      </c>
      <c r="Q3969">
        <v>7</v>
      </c>
      <c r="R3969" s="225">
        <f>Base_Periodo1[[#This Row],[CREDITOS]]-Base_Periodo1[[#This Row],[DEBITOS]]</f>
        <v>-450</v>
      </c>
      <c r="S3969" s="3" t="str">
        <f>IF(ISERROR(VLOOKUP(Base_Periodo1[[#This Row],[CONTA]],BaseContasDRE[#All],4,FALSE)),"Fora do DRE",VLOOKUP(Base_Periodo1[[#This Row],[CONTA]],BaseContasDRE[#All],4,FALSE))</f>
        <v>Fora do DRE</v>
      </c>
      <c r="T3969" s="3" t="str">
        <f>IF(ISERROR(VLOOKUP(Base_Periodo1[[#This Row],[CONTA]],BaseContasDRE[#All],5,FALSE)),"Fora do DRE",VLOOKUP(Base_Periodo1[[#This Row],[CONTA]],BaseContasDRE[#All],6,FALSE))</f>
        <v>Fora do DRE</v>
      </c>
      <c r="U3969" s="3" t="str">
        <f>IF(ISERROR(VLOOKUP(Base_Periodo1[[#This Row],[CONTA]],BaseContasDRE[#All],7,FALSE)),"Fora do DRE",VLOOKUP(Base_Periodo1[[#This Row],[CONTA]],BaseContasDRE[#All],7,FALSE))</f>
        <v>Fora do DRE</v>
      </c>
      <c r="V3969" s="3" t="str">
        <f>IF(Base_Periodo1[[#This Row],[Tipo_Linha]]="Fora do DRE","Fora do DRE","( "&amp;Base_Periodo1[[#This Row],[Tipo_Linha]]&amp;" ) "&amp;Base_Periodo1[[#This Row],[Filtro]])</f>
        <v>Fora do DRE</v>
      </c>
      <c r="W3969" s="3" t="str">
        <f>LEFT(Base_Periodo1[[#This Row],[CLASS]],3)</f>
        <v>2.1</v>
      </c>
    </row>
    <row r="3970" spans="1:23" hidden="1">
      <c r="A3970" s="3" t="str">
        <f t="shared" si="61"/>
        <v>Período 1</v>
      </c>
      <c r="B3970">
        <v>39181</v>
      </c>
      <c r="C3970" t="s">
        <v>2010</v>
      </c>
      <c r="D3970" t="s">
        <v>6523</v>
      </c>
      <c r="E3970" s="3" t="str">
        <f>IF(LEN(Base_Periodo1[[#This Row],[CLASS]])&gt;=7,LEFT(Base_Periodo1[[#This Row],[CLASS]],7),"")</f>
        <v>2.1.2.2</v>
      </c>
      <c r="F3970" s="3" t="str">
        <f>VLOOKUP(Base_Periodo1[[#This Row],[Aux]],Base_Contas_Balanco[#All],2,FALSE)</f>
        <v>Fornecedores Não Cooperados</v>
      </c>
      <c r="G3970" s="1">
        <v>42878</v>
      </c>
      <c r="H3970" s="225">
        <v>11585.099999999999</v>
      </c>
      <c r="I3970" s="225">
        <v>11585.1</v>
      </c>
      <c r="J3970" s="225">
        <v>0</v>
      </c>
      <c r="K3970" s="225">
        <v>1.8189894035458565E-12</v>
      </c>
      <c r="L39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70" s="225">
        <f>ROUND(IF(AND(Base_Periodo1[[#This Row],[Tipo_Linha]]="-",Base_Periodo1[[#This Row],[TIPOSALDO]]="D"),Base_Periodo1[[#This Row],[SALDO_ATUAL]]*-1,Base_Periodo1[[#This Row],[SALDO_ATUAL]]),4)</f>
        <v>0</v>
      </c>
      <c r="N3970" t="s">
        <v>116</v>
      </c>
      <c r="O3970" t="s">
        <v>459</v>
      </c>
      <c r="P3970" t="s">
        <v>436</v>
      </c>
      <c r="Q3970">
        <v>7</v>
      </c>
      <c r="R3970" s="225">
        <f>Base_Periodo1[[#This Row],[CREDITOS]]-Base_Periodo1[[#This Row],[DEBITOS]]</f>
        <v>-11585.1</v>
      </c>
      <c r="S3970" s="3" t="str">
        <f>IF(ISERROR(VLOOKUP(Base_Periodo1[[#This Row],[CONTA]],BaseContasDRE[#All],4,FALSE)),"Fora do DRE",VLOOKUP(Base_Periodo1[[#This Row],[CONTA]],BaseContasDRE[#All],4,FALSE))</f>
        <v>Fora do DRE</v>
      </c>
      <c r="T3970" s="3" t="str">
        <f>IF(ISERROR(VLOOKUP(Base_Periodo1[[#This Row],[CONTA]],BaseContasDRE[#All],5,FALSE)),"Fora do DRE",VLOOKUP(Base_Periodo1[[#This Row],[CONTA]],BaseContasDRE[#All],6,FALSE))</f>
        <v>Fora do DRE</v>
      </c>
      <c r="U3970" s="3" t="str">
        <f>IF(ISERROR(VLOOKUP(Base_Periodo1[[#This Row],[CONTA]],BaseContasDRE[#All],7,FALSE)),"Fora do DRE",VLOOKUP(Base_Periodo1[[#This Row],[CONTA]],BaseContasDRE[#All],7,FALSE))</f>
        <v>Fora do DRE</v>
      </c>
      <c r="V3970" s="3" t="str">
        <f>IF(Base_Periodo1[[#This Row],[Tipo_Linha]]="Fora do DRE","Fora do DRE","( "&amp;Base_Periodo1[[#This Row],[Tipo_Linha]]&amp;" ) "&amp;Base_Periodo1[[#This Row],[Filtro]])</f>
        <v>Fora do DRE</v>
      </c>
      <c r="W3970" s="3" t="str">
        <f>LEFT(Base_Periodo1[[#This Row],[CLASS]],3)</f>
        <v>2.1</v>
      </c>
    </row>
    <row r="3971" spans="1:23" hidden="1">
      <c r="A3971" s="3" t="str">
        <f t="shared" si="61"/>
        <v>Período 1</v>
      </c>
      <c r="B3971">
        <v>56013</v>
      </c>
      <c r="C3971" t="s">
        <v>2010</v>
      </c>
      <c r="D3971" t="s">
        <v>6524</v>
      </c>
      <c r="E3971" s="3" t="str">
        <f>IF(LEN(Base_Periodo1[[#This Row],[CLASS]])&gt;=7,LEFT(Base_Periodo1[[#This Row],[CLASS]],7),"")</f>
        <v>2.1.2.2</v>
      </c>
      <c r="F3971" s="3" t="str">
        <f>VLOOKUP(Base_Periodo1[[#This Row],[Aux]],Base_Contas_Balanco[#All],2,FALSE)</f>
        <v>Fornecedores Não Cooperados</v>
      </c>
      <c r="G3971" s="1">
        <v>42886</v>
      </c>
      <c r="I3971" s="225">
        <v>4261.5</v>
      </c>
      <c r="J3971" s="225">
        <v>5361.5</v>
      </c>
      <c r="K3971" s="225">
        <v>1100</v>
      </c>
      <c r="L39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1100</v>
      </c>
      <c r="M3971" s="225">
        <f>ROUND(IF(AND(Base_Periodo1[[#This Row],[Tipo_Linha]]="-",Base_Periodo1[[#This Row],[TIPOSALDO]]="D"),Base_Periodo1[[#This Row],[SALDO_ATUAL]]*-1,Base_Periodo1[[#This Row],[SALDO_ATUAL]]),4)</f>
        <v>1100</v>
      </c>
      <c r="N3971" t="s">
        <v>116</v>
      </c>
      <c r="O3971" t="s">
        <v>436</v>
      </c>
      <c r="P3971" t="s">
        <v>459</v>
      </c>
      <c r="Q3971">
        <v>7</v>
      </c>
      <c r="R3971" s="225">
        <f>Base_Periodo1[[#This Row],[CREDITOS]]-Base_Periodo1[[#This Row],[DEBITOS]]</f>
        <v>1100</v>
      </c>
      <c r="S3971" s="3" t="str">
        <f>IF(ISERROR(VLOOKUP(Base_Periodo1[[#This Row],[CONTA]],BaseContasDRE[#All],4,FALSE)),"Fora do DRE",VLOOKUP(Base_Periodo1[[#This Row],[CONTA]],BaseContasDRE[#All],4,FALSE))</f>
        <v>Fora do DRE</v>
      </c>
      <c r="T3971" s="3" t="str">
        <f>IF(ISERROR(VLOOKUP(Base_Periodo1[[#This Row],[CONTA]],BaseContasDRE[#All],5,FALSE)),"Fora do DRE",VLOOKUP(Base_Periodo1[[#This Row],[CONTA]],BaseContasDRE[#All],6,FALSE))</f>
        <v>Fora do DRE</v>
      </c>
      <c r="U3971" s="3" t="str">
        <f>IF(ISERROR(VLOOKUP(Base_Periodo1[[#This Row],[CONTA]],BaseContasDRE[#All],7,FALSE)),"Fora do DRE",VLOOKUP(Base_Periodo1[[#This Row],[CONTA]],BaseContasDRE[#All],7,FALSE))</f>
        <v>Fora do DRE</v>
      </c>
      <c r="V3971" s="3" t="str">
        <f>IF(Base_Periodo1[[#This Row],[Tipo_Linha]]="Fora do DRE","Fora do DRE","( "&amp;Base_Periodo1[[#This Row],[Tipo_Linha]]&amp;" ) "&amp;Base_Periodo1[[#This Row],[Filtro]])</f>
        <v>Fora do DRE</v>
      </c>
      <c r="W3971" s="3" t="str">
        <f>LEFT(Base_Periodo1[[#This Row],[CLASS]],3)</f>
        <v>2.1</v>
      </c>
    </row>
    <row r="3972" spans="1:23" hidden="1">
      <c r="A3972" s="3" t="str">
        <f t="shared" si="61"/>
        <v>Período 1</v>
      </c>
      <c r="B3972">
        <v>23662</v>
      </c>
      <c r="C3972" t="s">
        <v>2010</v>
      </c>
      <c r="D3972" t="s">
        <v>2125</v>
      </c>
      <c r="E3972" s="3" t="str">
        <f>IF(LEN(Base_Periodo1[[#This Row],[CLASS]])&gt;=7,LEFT(Base_Periodo1[[#This Row],[CLASS]],7),"")</f>
        <v>2.1.2.2</v>
      </c>
      <c r="F3972" s="3" t="str">
        <f>VLOOKUP(Base_Periodo1[[#This Row],[Aux]],Base_Contas_Balanco[#All],2,FALSE)</f>
        <v>Fornecedores Não Cooperados</v>
      </c>
      <c r="G3972" s="1">
        <v>42884</v>
      </c>
      <c r="I3972" s="225">
        <v>1000</v>
      </c>
      <c r="J3972" s="225">
        <v>1000</v>
      </c>
      <c r="K3972" s="225">
        <v>7.2759576141834259E-12</v>
      </c>
      <c r="L39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72" s="225">
        <f>ROUND(IF(AND(Base_Periodo1[[#This Row],[Tipo_Linha]]="-",Base_Periodo1[[#This Row],[TIPOSALDO]]="D"),Base_Periodo1[[#This Row],[SALDO_ATUAL]]*-1,Base_Periodo1[[#This Row],[SALDO_ATUAL]]),4)</f>
        <v>0</v>
      </c>
      <c r="N3972" t="s">
        <v>116</v>
      </c>
      <c r="O3972" t="s">
        <v>436</v>
      </c>
      <c r="P3972" t="s">
        <v>436</v>
      </c>
      <c r="Q3972">
        <v>7</v>
      </c>
      <c r="R3972" s="225">
        <f>Base_Periodo1[[#This Row],[CREDITOS]]-Base_Periodo1[[#This Row],[DEBITOS]]</f>
        <v>0</v>
      </c>
      <c r="S3972" s="3" t="str">
        <f>IF(ISERROR(VLOOKUP(Base_Periodo1[[#This Row],[CONTA]],BaseContasDRE[#All],4,FALSE)),"Fora do DRE",VLOOKUP(Base_Periodo1[[#This Row],[CONTA]],BaseContasDRE[#All],4,FALSE))</f>
        <v>Fora do DRE</v>
      </c>
      <c r="T3972" s="3" t="str">
        <f>IF(ISERROR(VLOOKUP(Base_Periodo1[[#This Row],[CONTA]],BaseContasDRE[#All],5,FALSE)),"Fora do DRE",VLOOKUP(Base_Periodo1[[#This Row],[CONTA]],BaseContasDRE[#All],6,FALSE))</f>
        <v>Fora do DRE</v>
      </c>
      <c r="U3972" s="3" t="str">
        <f>IF(ISERROR(VLOOKUP(Base_Periodo1[[#This Row],[CONTA]],BaseContasDRE[#All],7,FALSE)),"Fora do DRE",VLOOKUP(Base_Periodo1[[#This Row],[CONTA]],BaseContasDRE[#All],7,FALSE))</f>
        <v>Fora do DRE</v>
      </c>
      <c r="V3972" s="3" t="str">
        <f>IF(Base_Periodo1[[#This Row],[Tipo_Linha]]="Fora do DRE","Fora do DRE","( "&amp;Base_Periodo1[[#This Row],[Tipo_Linha]]&amp;" ) "&amp;Base_Periodo1[[#This Row],[Filtro]])</f>
        <v>Fora do DRE</v>
      </c>
      <c r="W3972" s="3" t="str">
        <f>LEFT(Base_Periodo1[[#This Row],[CLASS]],3)</f>
        <v>2.1</v>
      </c>
    </row>
    <row r="3973" spans="1:23" hidden="1">
      <c r="A3973" s="3" t="str">
        <f t="shared" si="61"/>
        <v>Período 1</v>
      </c>
      <c r="B3973">
        <v>51674</v>
      </c>
      <c r="C3973" t="s">
        <v>2010</v>
      </c>
      <c r="D3973" t="s">
        <v>6785</v>
      </c>
      <c r="E3973" s="3" t="str">
        <f>IF(LEN(Base_Periodo1[[#This Row],[CLASS]])&gt;=7,LEFT(Base_Periodo1[[#This Row],[CLASS]],7),"")</f>
        <v>2.1.2.2</v>
      </c>
      <c r="F3973" s="3" t="str">
        <f>VLOOKUP(Base_Periodo1[[#This Row],[Aux]],Base_Contas_Balanco[#All],2,FALSE)</f>
        <v>Fornecedores Não Cooperados</v>
      </c>
      <c r="G3973" s="1">
        <v>42879</v>
      </c>
      <c r="I3973" s="225">
        <v>38500</v>
      </c>
      <c r="J3973" s="225">
        <v>38500</v>
      </c>
      <c r="K3973" s="225">
        <v>0</v>
      </c>
      <c r="L39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73" s="225">
        <f>ROUND(IF(AND(Base_Periodo1[[#This Row],[Tipo_Linha]]="-",Base_Periodo1[[#This Row],[TIPOSALDO]]="D"),Base_Periodo1[[#This Row],[SALDO_ATUAL]]*-1,Base_Periodo1[[#This Row],[SALDO_ATUAL]]),4)</f>
        <v>0</v>
      </c>
      <c r="N3973" t="s">
        <v>116</v>
      </c>
      <c r="O3973" t="s">
        <v>436</v>
      </c>
      <c r="P3973" t="s">
        <v>436</v>
      </c>
      <c r="Q3973">
        <v>7</v>
      </c>
      <c r="R3973" s="225">
        <f>Base_Periodo1[[#This Row],[CREDITOS]]-Base_Periodo1[[#This Row],[DEBITOS]]</f>
        <v>0</v>
      </c>
      <c r="S3973" s="3" t="str">
        <f>IF(ISERROR(VLOOKUP(Base_Periodo1[[#This Row],[CONTA]],BaseContasDRE[#All],4,FALSE)),"Fora do DRE",VLOOKUP(Base_Periodo1[[#This Row],[CONTA]],BaseContasDRE[#All],4,FALSE))</f>
        <v>Fora do DRE</v>
      </c>
      <c r="T3973" s="3" t="str">
        <f>IF(ISERROR(VLOOKUP(Base_Periodo1[[#This Row],[CONTA]],BaseContasDRE[#All],5,FALSE)),"Fora do DRE",VLOOKUP(Base_Periodo1[[#This Row],[CONTA]],BaseContasDRE[#All],6,FALSE))</f>
        <v>Fora do DRE</v>
      </c>
      <c r="U3973" s="3" t="str">
        <f>IF(ISERROR(VLOOKUP(Base_Periodo1[[#This Row],[CONTA]],BaseContasDRE[#All],7,FALSE)),"Fora do DRE",VLOOKUP(Base_Periodo1[[#This Row],[CONTA]],BaseContasDRE[#All],7,FALSE))</f>
        <v>Fora do DRE</v>
      </c>
      <c r="V3973" s="3" t="str">
        <f>IF(Base_Periodo1[[#This Row],[Tipo_Linha]]="Fora do DRE","Fora do DRE","( "&amp;Base_Periodo1[[#This Row],[Tipo_Linha]]&amp;" ) "&amp;Base_Periodo1[[#This Row],[Filtro]])</f>
        <v>Fora do DRE</v>
      </c>
      <c r="W3973" s="3" t="str">
        <f>LEFT(Base_Periodo1[[#This Row],[CLASS]],3)</f>
        <v>2.1</v>
      </c>
    </row>
    <row r="3974" spans="1:23" hidden="1">
      <c r="A3974" s="3" t="str">
        <f t="shared" ref="A3974:A4037" si="62">"Período 1"</f>
        <v>Período 1</v>
      </c>
      <c r="B3974">
        <v>59153</v>
      </c>
      <c r="C3974" t="s">
        <v>2010</v>
      </c>
      <c r="D3974" t="s">
        <v>7140</v>
      </c>
      <c r="E3974" s="3" t="str">
        <f>IF(LEN(Base_Periodo1[[#This Row],[CLASS]])&gt;=7,LEFT(Base_Periodo1[[#This Row],[CLASS]],7),"")</f>
        <v>2.1.2.2</v>
      </c>
      <c r="F3974" s="3" t="str">
        <f>VLOOKUP(Base_Periodo1[[#This Row],[Aux]],Base_Contas_Balanco[#All],2,FALSE)</f>
        <v>Fornecedores Não Cooperados</v>
      </c>
      <c r="G3974" s="1">
        <v>42878</v>
      </c>
      <c r="I3974" s="225">
        <v>82788.3</v>
      </c>
      <c r="J3974" s="225">
        <v>82788.3</v>
      </c>
      <c r="K3974" s="225">
        <v>0</v>
      </c>
      <c r="L39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74" s="225">
        <f>ROUND(IF(AND(Base_Periodo1[[#This Row],[Tipo_Linha]]="-",Base_Periodo1[[#This Row],[TIPOSALDO]]="D"),Base_Periodo1[[#This Row],[SALDO_ATUAL]]*-1,Base_Periodo1[[#This Row],[SALDO_ATUAL]]),4)</f>
        <v>0</v>
      </c>
      <c r="N3974" t="s">
        <v>116</v>
      </c>
      <c r="O3974" t="s">
        <v>436</v>
      </c>
      <c r="P3974" t="s">
        <v>436</v>
      </c>
      <c r="Q3974">
        <v>7</v>
      </c>
      <c r="R3974" s="225">
        <f>Base_Periodo1[[#This Row],[CREDITOS]]-Base_Periodo1[[#This Row],[DEBITOS]]</f>
        <v>0</v>
      </c>
      <c r="S3974" s="3" t="str">
        <f>IF(ISERROR(VLOOKUP(Base_Periodo1[[#This Row],[CONTA]],BaseContasDRE[#All],4,FALSE)),"Fora do DRE",VLOOKUP(Base_Periodo1[[#This Row],[CONTA]],BaseContasDRE[#All],4,FALSE))</f>
        <v>Fora do DRE</v>
      </c>
      <c r="T3974" s="3" t="str">
        <f>IF(ISERROR(VLOOKUP(Base_Periodo1[[#This Row],[CONTA]],BaseContasDRE[#All],5,FALSE)),"Fora do DRE",VLOOKUP(Base_Periodo1[[#This Row],[CONTA]],BaseContasDRE[#All],6,FALSE))</f>
        <v>Fora do DRE</v>
      </c>
      <c r="U3974" s="3" t="str">
        <f>IF(ISERROR(VLOOKUP(Base_Periodo1[[#This Row],[CONTA]],BaseContasDRE[#All],7,FALSE)),"Fora do DRE",VLOOKUP(Base_Periodo1[[#This Row],[CONTA]],BaseContasDRE[#All],7,FALSE))</f>
        <v>Fora do DRE</v>
      </c>
      <c r="V3974" s="3" t="str">
        <f>IF(Base_Periodo1[[#This Row],[Tipo_Linha]]="Fora do DRE","Fora do DRE","( "&amp;Base_Periodo1[[#This Row],[Tipo_Linha]]&amp;" ) "&amp;Base_Periodo1[[#This Row],[Filtro]])</f>
        <v>Fora do DRE</v>
      </c>
      <c r="W3974" s="3" t="str">
        <f>LEFT(Base_Periodo1[[#This Row],[CLASS]],3)</f>
        <v>2.1</v>
      </c>
    </row>
    <row r="3975" spans="1:23" hidden="1">
      <c r="A3975" s="3" t="str">
        <f t="shared" si="62"/>
        <v>Período 1</v>
      </c>
      <c r="B3975">
        <v>7386</v>
      </c>
      <c r="C3975" t="s">
        <v>2010</v>
      </c>
      <c r="D3975" t="s">
        <v>6525</v>
      </c>
      <c r="E3975" s="3" t="str">
        <f>IF(LEN(Base_Periodo1[[#This Row],[CLASS]])&gt;=7,LEFT(Base_Periodo1[[#This Row],[CLASS]],7),"")</f>
        <v>2.1.2.2</v>
      </c>
      <c r="F3975" s="3" t="str">
        <f>VLOOKUP(Base_Periodo1[[#This Row],[Aux]],Base_Contas_Balanco[#All],2,FALSE)</f>
        <v>Fornecedores Não Cooperados</v>
      </c>
      <c r="G3975" s="1">
        <v>42871</v>
      </c>
      <c r="I3975" s="225">
        <v>157</v>
      </c>
      <c r="J3975" s="225">
        <v>157</v>
      </c>
      <c r="K3975" s="225">
        <v>2.9103830456733704E-11</v>
      </c>
      <c r="L39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75" s="225">
        <f>ROUND(IF(AND(Base_Periodo1[[#This Row],[Tipo_Linha]]="-",Base_Periodo1[[#This Row],[TIPOSALDO]]="D"),Base_Periodo1[[#This Row],[SALDO_ATUAL]]*-1,Base_Periodo1[[#This Row],[SALDO_ATUAL]]),4)</f>
        <v>0</v>
      </c>
      <c r="N3975" t="s">
        <v>116</v>
      </c>
      <c r="O3975" t="s">
        <v>436</v>
      </c>
      <c r="P3975" t="s">
        <v>436</v>
      </c>
      <c r="Q3975">
        <v>7</v>
      </c>
      <c r="R3975" s="225">
        <f>Base_Periodo1[[#This Row],[CREDITOS]]-Base_Periodo1[[#This Row],[DEBITOS]]</f>
        <v>0</v>
      </c>
      <c r="S3975" s="3" t="str">
        <f>IF(ISERROR(VLOOKUP(Base_Periodo1[[#This Row],[CONTA]],BaseContasDRE[#All],4,FALSE)),"Fora do DRE",VLOOKUP(Base_Periodo1[[#This Row],[CONTA]],BaseContasDRE[#All],4,FALSE))</f>
        <v>Fora do DRE</v>
      </c>
      <c r="T3975" s="3" t="str">
        <f>IF(ISERROR(VLOOKUP(Base_Periodo1[[#This Row],[CONTA]],BaseContasDRE[#All],5,FALSE)),"Fora do DRE",VLOOKUP(Base_Periodo1[[#This Row],[CONTA]],BaseContasDRE[#All],6,FALSE))</f>
        <v>Fora do DRE</v>
      </c>
      <c r="U3975" s="3" t="str">
        <f>IF(ISERROR(VLOOKUP(Base_Periodo1[[#This Row],[CONTA]],BaseContasDRE[#All],7,FALSE)),"Fora do DRE",VLOOKUP(Base_Periodo1[[#This Row],[CONTA]],BaseContasDRE[#All],7,FALSE))</f>
        <v>Fora do DRE</v>
      </c>
      <c r="V3975" s="3" t="str">
        <f>IF(Base_Periodo1[[#This Row],[Tipo_Linha]]="Fora do DRE","Fora do DRE","( "&amp;Base_Periodo1[[#This Row],[Tipo_Linha]]&amp;" ) "&amp;Base_Periodo1[[#This Row],[Filtro]])</f>
        <v>Fora do DRE</v>
      </c>
      <c r="W3975" s="3" t="str">
        <f>LEFT(Base_Periodo1[[#This Row],[CLASS]],3)</f>
        <v>2.1</v>
      </c>
    </row>
    <row r="3976" spans="1:23" hidden="1">
      <c r="A3976" s="3" t="str">
        <f t="shared" si="62"/>
        <v>Período 1</v>
      </c>
      <c r="B3976">
        <v>41128</v>
      </c>
      <c r="C3976" t="s">
        <v>2010</v>
      </c>
      <c r="D3976" t="s">
        <v>859</v>
      </c>
      <c r="E3976" s="3" t="str">
        <f>IF(LEN(Base_Periodo1[[#This Row],[CLASS]])&gt;=7,LEFT(Base_Periodo1[[#This Row],[CLASS]],7),"")</f>
        <v>2.1.2.2</v>
      </c>
      <c r="F3976" s="3" t="str">
        <f>VLOOKUP(Base_Periodo1[[#This Row],[Aux]],Base_Contas_Balanco[#All],2,FALSE)</f>
        <v>Fornecedores Não Cooperados</v>
      </c>
      <c r="G3976" s="1">
        <v>42242</v>
      </c>
      <c r="H3976" s="225">
        <v>891.42000000000007</v>
      </c>
      <c r="I3976" s="225">
        <v>0</v>
      </c>
      <c r="J3976" s="225">
        <v>0</v>
      </c>
      <c r="K3976" s="225">
        <v>891.42000000000007</v>
      </c>
      <c r="L39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891.42</v>
      </c>
      <c r="M3976" s="225">
        <f>ROUND(IF(AND(Base_Periodo1[[#This Row],[Tipo_Linha]]="-",Base_Periodo1[[#This Row],[TIPOSALDO]]="D"),Base_Periodo1[[#This Row],[SALDO_ATUAL]]*-1,Base_Periodo1[[#This Row],[SALDO_ATUAL]]),4)</f>
        <v>891.42</v>
      </c>
      <c r="N3976" t="s">
        <v>116</v>
      </c>
      <c r="O3976" t="s">
        <v>459</v>
      </c>
      <c r="P3976" t="s">
        <v>459</v>
      </c>
      <c r="Q3976">
        <v>7</v>
      </c>
      <c r="R3976" s="225">
        <f>Base_Periodo1[[#This Row],[CREDITOS]]-Base_Periodo1[[#This Row],[DEBITOS]]</f>
        <v>0</v>
      </c>
      <c r="S3976" s="3" t="str">
        <f>IF(ISERROR(VLOOKUP(Base_Periodo1[[#This Row],[CONTA]],BaseContasDRE[#All],4,FALSE)),"Fora do DRE",VLOOKUP(Base_Periodo1[[#This Row],[CONTA]],BaseContasDRE[#All],4,FALSE))</f>
        <v>Fora do DRE</v>
      </c>
      <c r="T3976" s="3" t="str">
        <f>IF(ISERROR(VLOOKUP(Base_Periodo1[[#This Row],[CONTA]],BaseContasDRE[#All],5,FALSE)),"Fora do DRE",VLOOKUP(Base_Periodo1[[#This Row],[CONTA]],BaseContasDRE[#All],6,FALSE))</f>
        <v>Fora do DRE</v>
      </c>
      <c r="U3976" s="3" t="str">
        <f>IF(ISERROR(VLOOKUP(Base_Periodo1[[#This Row],[CONTA]],BaseContasDRE[#All],7,FALSE)),"Fora do DRE",VLOOKUP(Base_Periodo1[[#This Row],[CONTA]],BaseContasDRE[#All],7,FALSE))</f>
        <v>Fora do DRE</v>
      </c>
      <c r="V3976" s="3" t="str">
        <f>IF(Base_Periodo1[[#This Row],[Tipo_Linha]]="Fora do DRE","Fora do DRE","( "&amp;Base_Periodo1[[#This Row],[Tipo_Linha]]&amp;" ) "&amp;Base_Periodo1[[#This Row],[Filtro]])</f>
        <v>Fora do DRE</v>
      </c>
      <c r="W3976" s="3" t="str">
        <f>LEFT(Base_Periodo1[[#This Row],[CLASS]],3)</f>
        <v>2.1</v>
      </c>
    </row>
    <row r="3977" spans="1:23" hidden="1">
      <c r="A3977" s="3" t="str">
        <f t="shared" si="62"/>
        <v>Período 1</v>
      </c>
      <c r="B3977">
        <v>43428</v>
      </c>
      <c r="C3977" t="s">
        <v>2010</v>
      </c>
      <c r="D3977" t="s">
        <v>2126</v>
      </c>
      <c r="E3977" s="3" t="str">
        <f>IF(LEN(Base_Periodo1[[#This Row],[CLASS]])&gt;=7,LEFT(Base_Periodo1[[#This Row],[CLASS]],7),"")</f>
        <v>2.1.2.2</v>
      </c>
      <c r="F3977" s="3" t="str">
        <f>VLOOKUP(Base_Periodo1[[#This Row],[Aux]],Base_Contas_Balanco[#All],2,FALSE)</f>
        <v>Fornecedores Não Cooperados</v>
      </c>
      <c r="G3977" s="1"/>
      <c r="H3977" s="225">
        <v>50</v>
      </c>
      <c r="I3977" s="225">
        <v>0</v>
      </c>
      <c r="J3977" s="225">
        <v>0</v>
      </c>
      <c r="K3977" s="225">
        <v>50</v>
      </c>
      <c r="L39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3977" s="225">
        <f>ROUND(IF(AND(Base_Periodo1[[#This Row],[Tipo_Linha]]="-",Base_Periodo1[[#This Row],[TIPOSALDO]]="D"),Base_Periodo1[[#This Row],[SALDO_ATUAL]]*-1,Base_Periodo1[[#This Row],[SALDO_ATUAL]]),4)</f>
        <v>50</v>
      </c>
      <c r="N3977" t="s">
        <v>116</v>
      </c>
      <c r="O3977" t="s">
        <v>459</v>
      </c>
      <c r="P3977" t="s">
        <v>459</v>
      </c>
      <c r="Q3977">
        <v>7</v>
      </c>
      <c r="R3977" s="225">
        <f>Base_Periodo1[[#This Row],[CREDITOS]]-Base_Periodo1[[#This Row],[DEBITOS]]</f>
        <v>0</v>
      </c>
      <c r="S3977" s="3" t="str">
        <f>IF(ISERROR(VLOOKUP(Base_Periodo1[[#This Row],[CONTA]],BaseContasDRE[#All],4,FALSE)),"Fora do DRE",VLOOKUP(Base_Periodo1[[#This Row],[CONTA]],BaseContasDRE[#All],4,FALSE))</f>
        <v>Fora do DRE</v>
      </c>
      <c r="T3977" s="3" t="str">
        <f>IF(ISERROR(VLOOKUP(Base_Periodo1[[#This Row],[CONTA]],BaseContasDRE[#All],5,FALSE)),"Fora do DRE",VLOOKUP(Base_Periodo1[[#This Row],[CONTA]],BaseContasDRE[#All],6,FALSE))</f>
        <v>Fora do DRE</v>
      </c>
      <c r="U3977" s="3" t="str">
        <f>IF(ISERROR(VLOOKUP(Base_Periodo1[[#This Row],[CONTA]],BaseContasDRE[#All],7,FALSE)),"Fora do DRE",VLOOKUP(Base_Periodo1[[#This Row],[CONTA]],BaseContasDRE[#All],7,FALSE))</f>
        <v>Fora do DRE</v>
      </c>
      <c r="V3977" s="3" t="str">
        <f>IF(Base_Periodo1[[#This Row],[Tipo_Linha]]="Fora do DRE","Fora do DRE","( "&amp;Base_Periodo1[[#This Row],[Tipo_Linha]]&amp;" ) "&amp;Base_Periodo1[[#This Row],[Filtro]])</f>
        <v>Fora do DRE</v>
      </c>
      <c r="W3977" s="3" t="str">
        <f>LEFT(Base_Periodo1[[#This Row],[CLASS]],3)</f>
        <v>2.1</v>
      </c>
    </row>
    <row r="3978" spans="1:23" hidden="1">
      <c r="A3978" s="3" t="str">
        <f t="shared" si="62"/>
        <v>Período 1</v>
      </c>
      <c r="B3978">
        <v>58124</v>
      </c>
      <c r="C3978" t="s">
        <v>2010</v>
      </c>
      <c r="D3978" t="s">
        <v>7141</v>
      </c>
      <c r="E3978" s="3" t="str">
        <f>IF(LEN(Base_Periodo1[[#This Row],[CLASS]])&gt;=7,LEFT(Base_Periodo1[[#This Row],[CLASS]],7),"")</f>
        <v>2.1.2.2</v>
      </c>
      <c r="F3978" s="3" t="str">
        <f>VLOOKUP(Base_Periodo1[[#This Row],[Aux]],Base_Contas_Balanco[#All],2,FALSE)</f>
        <v>Fornecedores Não Cooperados</v>
      </c>
      <c r="G3978" s="1">
        <v>42885</v>
      </c>
      <c r="I3978" s="225">
        <v>4778.6799999999994</v>
      </c>
      <c r="J3978" s="225">
        <v>4778.68</v>
      </c>
      <c r="K3978" s="225">
        <v>-9.0949470177292824E-13</v>
      </c>
      <c r="L39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78" s="225">
        <f>ROUND(IF(AND(Base_Periodo1[[#This Row],[Tipo_Linha]]="-",Base_Periodo1[[#This Row],[TIPOSALDO]]="D"),Base_Periodo1[[#This Row],[SALDO_ATUAL]]*-1,Base_Periodo1[[#This Row],[SALDO_ATUAL]]),4)</f>
        <v>0</v>
      </c>
      <c r="N3978" t="s">
        <v>116</v>
      </c>
      <c r="O3978" t="s">
        <v>436</v>
      </c>
      <c r="P3978" t="s">
        <v>436</v>
      </c>
      <c r="Q3978">
        <v>7</v>
      </c>
      <c r="R3978" s="225">
        <f>Base_Periodo1[[#This Row],[CREDITOS]]-Base_Periodo1[[#This Row],[DEBITOS]]</f>
        <v>0</v>
      </c>
      <c r="S3978" s="3" t="str">
        <f>IF(ISERROR(VLOOKUP(Base_Periodo1[[#This Row],[CONTA]],BaseContasDRE[#All],4,FALSE)),"Fora do DRE",VLOOKUP(Base_Periodo1[[#This Row],[CONTA]],BaseContasDRE[#All],4,FALSE))</f>
        <v>Fora do DRE</v>
      </c>
      <c r="T3978" s="3" t="str">
        <f>IF(ISERROR(VLOOKUP(Base_Periodo1[[#This Row],[CONTA]],BaseContasDRE[#All],5,FALSE)),"Fora do DRE",VLOOKUP(Base_Periodo1[[#This Row],[CONTA]],BaseContasDRE[#All],6,FALSE))</f>
        <v>Fora do DRE</v>
      </c>
      <c r="U3978" s="3" t="str">
        <f>IF(ISERROR(VLOOKUP(Base_Periodo1[[#This Row],[CONTA]],BaseContasDRE[#All],7,FALSE)),"Fora do DRE",VLOOKUP(Base_Periodo1[[#This Row],[CONTA]],BaseContasDRE[#All],7,FALSE))</f>
        <v>Fora do DRE</v>
      </c>
      <c r="V3978" s="3" t="str">
        <f>IF(Base_Periodo1[[#This Row],[Tipo_Linha]]="Fora do DRE","Fora do DRE","( "&amp;Base_Periodo1[[#This Row],[Tipo_Linha]]&amp;" ) "&amp;Base_Periodo1[[#This Row],[Filtro]])</f>
        <v>Fora do DRE</v>
      </c>
      <c r="W3978" s="3" t="str">
        <f>LEFT(Base_Periodo1[[#This Row],[CLASS]],3)</f>
        <v>2.1</v>
      </c>
    </row>
    <row r="3979" spans="1:23" hidden="1">
      <c r="A3979" s="3" t="str">
        <f t="shared" si="62"/>
        <v>Período 1</v>
      </c>
      <c r="B3979">
        <v>58674</v>
      </c>
      <c r="C3979" t="s">
        <v>2010</v>
      </c>
      <c r="D3979" t="s">
        <v>6526</v>
      </c>
      <c r="E3979" s="3" t="str">
        <f>IF(LEN(Base_Periodo1[[#This Row],[CLASS]])&gt;=7,LEFT(Base_Periodo1[[#This Row],[CLASS]],7),"")</f>
        <v>2.1.2.2</v>
      </c>
      <c r="F3979" s="3" t="str">
        <f>VLOOKUP(Base_Periodo1[[#This Row],[Aux]],Base_Contas_Balanco[#All],2,FALSE)</f>
        <v>Fornecedores Não Cooperados</v>
      </c>
      <c r="G3979" s="1">
        <v>42858</v>
      </c>
      <c r="H3979" s="225">
        <v>150</v>
      </c>
      <c r="I3979" s="225">
        <v>150</v>
      </c>
      <c r="J3979" s="225">
        <v>0</v>
      </c>
      <c r="K3979" s="225">
        <v>0</v>
      </c>
      <c r="L39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79" s="225">
        <f>ROUND(IF(AND(Base_Periodo1[[#This Row],[Tipo_Linha]]="-",Base_Periodo1[[#This Row],[TIPOSALDO]]="D"),Base_Periodo1[[#This Row],[SALDO_ATUAL]]*-1,Base_Periodo1[[#This Row],[SALDO_ATUAL]]),4)</f>
        <v>0</v>
      </c>
      <c r="N3979" t="s">
        <v>116</v>
      </c>
      <c r="O3979" t="s">
        <v>459</v>
      </c>
      <c r="P3979" t="s">
        <v>436</v>
      </c>
      <c r="Q3979">
        <v>7</v>
      </c>
      <c r="R3979" s="225">
        <f>Base_Periodo1[[#This Row],[CREDITOS]]-Base_Periodo1[[#This Row],[DEBITOS]]</f>
        <v>-150</v>
      </c>
      <c r="S3979" s="3" t="str">
        <f>IF(ISERROR(VLOOKUP(Base_Periodo1[[#This Row],[CONTA]],BaseContasDRE[#All],4,FALSE)),"Fora do DRE",VLOOKUP(Base_Periodo1[[#This Row],[CONTA]],BaseContasDRE[#All],4,FALSE))</f>
        <v>Fora do DRE</v>
      </c>
      <c r="T3979" s="3" t="str">
        <f>IF(ISERROR(VLOOKUP(Base_Periodo1[[#This Row],[CONTA]],BaseContasDRE[#All],5,FALSE)),"Fora do DRE",VLOOKUP(Base_Periodo1[[#This Row],[CONTA]],BaseContasDRE[#All],6,FALSE))</f>
        <v>Fora do DRE</v>
      </c>
      <c r="U3979" s="3" t="str">
        <f>IF(ISERROR(VLOOKUP(Base_Periodo1[[#This Row],[CONTA]],BaseContasDRE[#All],7,FALSE)),"Fora do DRE",VLOOKUP(Base_Periodo1[[#This Row],[CONTA]],BaseContasDRE[#All],7,FALSE))</f>
        <v>Fora do DRE</v>
      </c>
      <c r="V3979" s="3" t="str">
        <f>IF(Base_Periodo1[[#This Row],[Tipo_Linha]]="Fora do DRE","Fora do DRE","( "&amp;Base_Periodo1[[#This Row],[Tipo_Linha]]&amp;" ) "&amp;Base_Periodo1[[#This Row],[Filtro]])</f>
        <v>Fora do DRE</v>
      </c>
      <c r="W3979" s="3" t="str">
        <f>LEFT(Base_Periodo1[[#This Row],[CLASS]],3)</f>
        <v>2.1</v>
      </c>
    </row>
    <row r="3980" spans="1:23" hidden="1">
      <c r="A3980" s="3" t="str">
        <f t="shared" si="62"/>
        <v>Período 1</v>
      </c>
      <c r="B3980">
        <v>14654</v>
      </c>
      <c r="C3980" t="s">
        <v>2010</v>
      </c>
      <c r="D3980" t="s">
        <v>4463</v>
      </c>
      <c r="E3980" s="3" t="str">
        <f>IF(LEN(Base_Periodo1[[#This Row],[CLASS]])&gt;=7,LEFT(Base_Periodo1[[#This Row],[CLASS]],7),"")</f>
        <v>2.1.2.2</v>
      </c>
      <c r="F3980" s="3" t="str">
        <f>VLOOKUP(Base_Periodo1[[#This Row],[Aux]],Base_Contas_Balanco[#All],2,FALSE)</f>
        <v>Fornecedores Não Cooperados</v>
      </c>
      <c r="G3980" s="1">
        <v>42863</v>
      </c>
      <c r="I3980" s="225">
        <v>340.34000000000003</v>
      </c>
      <c r="J3980" s="225">
        <v>340.34000000000003</v>
      </c>
      <c r="K3980" s="225">
        <v>3.637978807091713E-12</v>
      </c>
      <c r="L39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80" s="225">
        <f>ROUND(IF(AND(Base_Periodo1[[#This Row],[Tipo_Linha]]="-",Base_Periodo1[[#This Row],[TIPOSALDO]]="D"),Base_Periodo1[[#This Row],[SALDO_ATUAL]]*-1,Base_Periodo1[[#This Row],[SALDO_ATUAL]]),4)</f>
        <v>0</v>
      </c>
      <c r="N3980" t="s">
        <v>116</v>
      </c>
      <c r="O3980" t="s">
        <v>436</v>
      </c>
      <c r="P3980" t="s">
        <v>436</v>
      </c>
      <c r="Q3980">
        <v>7</v>
      </c>
      <c r="R3980" s="225">
        <f>Base_Periodo1[[#This Row],[CREDITOS]]-Base_Periodo1[[#This Row],[DEBITOS]]</f>
        <v>0</v>
      </c>
      <c r="S3980" s="3" t="str">
        <f>IF(ISERROR(VLOOKUP(Base_Periodo1[[#This Row],[CONTA]],BaseContasDRE[#All],4,FALSE)),"Fora do DRE",VLOOKUP(Base_Periodo1[[#This Row],[CONTA]],BaseContasDRE[#All],4,FALSE))</f>
        <v>Fora do DRE</v>
      </c>
      <c r="T3980" s="3" t="str">
        <f>IF(ISERROR(VLOOKUP(Base_Periodo1[[#This Row],[CONTA]],BaseContasDRE[#All],5,FALSE)),"Fora do DRE",VLOOKUP(Base_Periodo1[[#This Row],[CONTA]],BaseContasDRE[#All],6,FALSE))</f>
        <v>Fora do DRE</v>
      </c>
      <c r="U3980" s="3" t="str">
        <f>IF(ISERROR(VLOOKUP(Base_Periodo1[[#This Row],[CONTA]],BaseContasDRE[#All],7,FALSE)),"Fora do DRE",VLOOKUP(Base_Periodo1[[#This Row],[CONTA]],BaseContasDRE[#All],7,FALSE))</f>
        <v>Fora do DRE</v>
      </c>
      <c r="V3980" s="3" t="str">
        <f>IF(Base_Periodo1[[#This Row],[Tipo_Linha]]="Fora do DRE","Fora do DRE","( "&amp;Base_Periodo1[[#This Row],[Tipo_Linha]]&amp;" ) "&amp;Base_Periodo1[[#This Row],[Filtro]])</f>
        <v>Fora do DRE</v>
      </c>
      <c r="W3980" s="3" t="str">
        <f>LEFT(Base_Periodo1[[#This Row],[CLASS]],3)</f>
        <v>2.1</v>
      </c>
    </row>
    <row r="3981" spans="1:23" hidden="1">
      <c r="A3981" s="3" t="str">
        <f t="shared" si="62"/>
        <v>Período 1</v>
      </c>
      <c r="B3981">
        <v>50942</v>
      </c>
      <c r="C3981" t="s">
        <v>2010</v>
      </c>
      <c r="D3981" t="s">
        <v>6000</v>
      </c>
      <c r="E3981" s="3" t="str">
        <f>IF(LEN(Base_Periodo1[[#This Row],[CLASS]])&gt;=7,LEFT(Base_Periodo1[[#This Row],[CLASS]],7),"")</f>
        <v>2.1.2.2</v>
      </c>
      <c r="F3981" s="3" t="str">
        <f>VLOOKUP(Base_Periodo1[[#This Row],[Aux]],Base_Contas_Balanco[#All],2,FALSE)</f>
        <v>Fornecedores Não Cooperados</v>
      </c>
      <c r="G3981" s="1">
        <v>42881</v>
      </c>
      <c r="H3981" s="225">
        <v>19486.830000000016</v>
      </c>
      <c r="I3981" s="225">
        <v>31879.74</v>
      </c>
      <c r="J3981" s="225">
        <v>17322.260000000002</v>
      </c>
      <c r="K3981" s="225">
        <v>4929.3500000000167</v>
      </c>
      <c r="L39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4929.3500000000004</v>
      </c>
      <c r="M3981" s="225">
        <f>ROUND(IF(AND(Base_Periodo1[[#This Row],[Tipo_Linha]]="-",Base_Periodo1[[#This Row],[TIPOSALDO]]="D"),Base_Periodo1[[#This Row],[SALDO_ATUAL]]*-1,Base_Periodo1[[#This Row],[SALDO_ATUAL]]),4)</f>
        <v>4929.3500000000004</v>
      </c>
      <c r="N3981" t="s">
        <v>116</v>
      </c>
      <c r="O3981" t="s">
        <v>459</v>
      </c>
      <c r="P3981" t="s">
        <v>459</v>
      </c>
      <c r="Q3981">
        <v>7</v>
      </c>
      <c r="R3981" s="225">
        <f>Base_Periodo1[[#This Row],[CREDITOS]]-Base_Periodo1[[#This Row],[DEBITOS]]</f>
        <v>-14557.48</v>
      </c>
      <c r="S3981" s="3" t="str">
        <f>IF(ISERROR(VLOOKUP(Base_Periodo1[[#This Row],[CONTA]],BaseContasDRE[#All],4,FALSE)),"Fora do DRE",VLOOKUP(Base_Periodo1[[#This Row],[CONTA]],BaseContasDRE[#All],4,FALSE))</f>
        <v>Fora do DRE</v>
      </c>
      <c r="T3981" s="3" t="str">
        <f>IF(ISERROR(VLOOKUP(Base_Periodo1[[#This Row],[CONTA]],BaseContasDRE[#All],5,FALSE)),"Fora do DRE",VLOOKUP(Base_Periodo1[[#This Row],[CONTA]],BaseContasDRE[#All],6,FALSE))</f>
        <v>Fora do DRE</v>
      </c>
      <c r="U3981" s="3" t="str">
        <f>IF(ISERROR(VLOOKUP(Base_Periodo1[[#This Row],[CONTA]],BaseContasDRE[#All],7,FALSE)),"Fora do DRE",VLOOKUP(Base_Periodo1[[#This Row],[CONTA]],BaseContasDRE[#All],7,FALSE))</f>
        <v>Fora do DRE</v>
      </c>
      <c r="V3981" s="3" t="str">
        <f>IF(Base_Periodo1[[#This Row],[Tipo_Linha]]="Fora do DRE","Fora do DRE","( "&amp;Base_Periodo1[[#This Row],[Tipo_Linha]]&amp;" ) "&amp;Base_Periodo1[[#This Row],[Filtro]])</f>
        <v>Fora do DRE</v>
      </c>
      <c r="W3981" s="3" t="str">
        <f>LEFT(Base_Periodo1[[#This Row],[CLASS]],3)</f>
        <v>2.1</v>
      </c>
    </row>
    <row r="3982" spans="1:23" hidden="1">
      <c r="A3982" s="3" t="str">
        <f t="shared" si="62"/>
        <v>Período 1</v>
      </c>
      <c r="B3982">
        <v>26473</v>
      </c>
      <c r="C3982" t="s">
        <v>2010</v>
      </c>
      <c r="D3982" t="s">
        <v>2127</v>
      </c>
      <c r="E3982" s="3" t="str">
        <f>IF(LEN(Base_Periodo1[[#This Row],[CLASS]])&gt;=7,LEFT(Base_Periodo1[[#This Row],[CLASS]],7),"")</f>
        <v>2.1.2.2</v>
      </c>
      <c r="F3982" s="3" t="str">
        <f>VLOOKUP(Base_Periodo1[[#This Row],[Aux]],Base_Contas_Balanco[#All],2,FALSE)</f>
        <v>Fornecedores Não Cooperados</v>
      </c>
      <c r="G3982" s="1">
        <v>42879</v>
      </c>
      <c r="I3982" s="225">
        <v>314426.62</v>
      </c>
      <c r="J3982" s="225">
        <v>314426.61999999994</v>
      </c>
      <c r="K3982" s="225">
        <v>5.8207660913467407E-11</v>
      </c>
      <c r="L39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82" s="225">
        <f>ROUND(IF(AND(Base_Periodo1[[#This Row],[Tipo_Linha]]="-",Base_Periodo1[[#This Row],[TIPOSALDO]]="D"),Base_Periodo1[[#This Row],[SALDO_ATUAL]]*-1,Base_Periodo1[[#This Row],[SALDO_ATUAL]]),4)</f>
        <v>0</v>
      </c>
      <c r="N3982" t="s">
        <v>116</v>
      </c>
      <c r="O3982" t="s">
        <v>436</v>
      </c>
      <c r="P3982" t="s">
        <v>436</v>
      </c>
      <c r="Q3982">
        <v>7</v>
      </c>
      <c r="R3982" s="225">
        <f>Base_Periodo1[[#This Row],[CREDITOS]]-Base_Periodo1[[#This Row],[DEBITOS]]</f>
        <v>0</v>
      </c>
      <c r="S3982" s="3" t="str">
        <f>IF(ISERROR(VLOOKUP(Base_Periodo1[[#This Row],[CONTA]],BaseContasDRE[#All],4,FALSE)),"Fora do DRE",VLOOKUP(Base_Periodo1[[#This Row],[CONTA]],BaseContasDRE[#All],4,FALSE))</f>
        <v>Fora do DRE</v>
      </c>
      <c r="T3982" s="3" t="str">
        <f>IF(ISERROR(VLOOKUP(Base_Periodo1[[#This Row],[CONTA]],BaseContasDRE[#All],5,FALSE)),"Fora do DRE",VLOOKUP(Base_Periodo1[[#This Row],[CONTA]],BaseContasDRE[#All],6,FALSE))</f>
        <v>Fora do DRE</v>
      </c>
      <c r="U3982" s="3" t="str">
        <f>IF(ISERROR(VLOOKUP(Base_Periodo1[[#This Row],[CONTA]],BaseContasDRE[#All],7,FALSE)),"Fora do DRE",VLOOKUP(Base_Periodo1[[#This Row],[CONTA]],BaseContasDRE[#All],7,FALSE))</f>
        <v>Fora do DRE</v>
      </c>
      <c r="V3982" s="3" t="str">
        <f>IF(Base_Periodo1[[#This Row],[Tipo_Linha]]="Fora do DRE","Fora do DRE","( "&amp;Base_Periodo1[[#This Row],[Tipo_Linha]]&amp;" ) "&amp;Base_Periodo1[[#This Row],[Filtro]])</f>
        <v>Fora do DRE</v>
      </c>
      <c r="W3982" s="3" t="str">
        <f>LEFT(Base_Periodo1[[#This Row],[CLASS]],3)</f>
        <v>2.1</v>
      </c>
    </row>
    <row r="3983" spans="1:23" hidden="1">
      <c r="A3983" s="3" t="str">
        <f t="shared" si="62"/>
        <v>Período 1</v>
      </c>
      <c r="B3983">
        <v>9921</v>
      </c>
      <c r="C3983" t="s">
        <v>2010</v>
      </c>
      <c r="D3983" t="s">
        <v>2128</v>
      </c>
      <c r="E3983" s="3" t="str">
        <f>IF(LEN(Base_Periodo1[[#This Row],[CLASS]])&gt;=7,LEFT(Base_Periodo1[[#This Row],[CLASS]],7),"")</f>
        <v>2.1.2.2</v>
      </c>
      <c r="F3983" s="3" t="str">
        <f>VLOOKUP(Base_Periodo1[[#This Row],[Aux]],Base_Contas_Balanco[#All],2,FALSE)</f>
        <v>Fornecedores Não Cooperados</v>
      </c>
      <c r="G3983" s="1">
        <v>42867</v>
      </c>
      <c r="I3983" s="225">
        <v>554</v>
      </c>
      <c r="J3983" s="225">
        <v>554</v>
      </c>
      <c r="K3983" s="225">
        <v>0</v>
      </c>
      <c r="L39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83" s="225">
        <f>ROUND(IF(AND(Base_Periodo1[[#This Row],[Tipo_Linha]]="-",Base_Periodo1[[#This Row],[TIPOSALDO]]="D"),Base_Periodo1[[#This Row],[SALDO_ATUAL]]*-1,Base_Periodo1[[#This Row],[SALDO_ATUAL]]),4)</f>
        <v>0</v>
      </c>
      <c r="N3983" t="s">
        <v>116</v>
      </c>
      <c r="O3983" t="s">
        <v>436</v>
      </c>
      <c r="P3983" t="s">
        <v>436</v>
      </c>
      <c r="Q3983">
        <v>7</v>
      </c>
      <c r="R3983" s="225">
        <f>Base_Periodo1[[#This Row],[CREDITOS]]-Base_Periodo1[[#This Row],[DEBITOS]]</f>
        <v>0</v>
      </c>
      <c r="S3983" s="3" t="str">
        <f>IF(ISERROR(VLOOKUP(Base_Periodo1[[#This Row],[CONTA]],BaseContasDRE[#All],4,FALSE)),"Fora do DRE",VLOOKUP(Base_Periodo1[[#This Row],[CONTA]],BaseContasDRE[#All],4,FALSE))</f>
        <v>Fora do DRE</v>
      </c>
      <c r="T3983" s="3" t="str">
        <f>IF(ISERROR(VLOOKUP(Base_Periodo1[[#This Row],[CONTA]],BaseContasDRE[#All],5,FALSE)),"Fora do DRE",VLOOKUP(Base_Periodo1[[#This Row],[CONTA]],BaseContasDRE[#All],6,FALSE))</f>
        <v>Fora do DRE</v>
      </c>
      <c r="U3983" s="3" t="str">
        <f>IF(ISERROR(VLOOKUP(Base_Periodo1[[#This Row],[CONTA]],BaseContasDRE[#All],7,FALSE)),"Fora do DRE",VLOOKUP(Base_Periodo1[[#This Row],[CONTA]],BaseContasDRE[#All],7,FALSE))</f>
        <v>Fora do DRE</v>
      </c>
      <c r="V3983" s="3" t="str">
        <f>IF(Base_Periodo1[[#This Row],[Tipo_Linha]]="Fora do DRE","Fora do DRE","( "&amp;Base_Periodo1[[#This Row],[Tipo_Linha]]&amp;" ) "&amp;Base_Periodo1[[#This Row],[Filtro]])</f>
        <v>Fora do DRE</v>
      </c>
      <c r="W3983" s="3" t="str">
        <f>LEFT(Base_Periodo1[[#This Row],[CLASS]],3)</f>
        <v>2.1</v>
      </c>
    </row>
    <row r="3984" spans="1:23" hidden="1">
      <c r="A3984" s="3" t="str">
        <f t="shared" si="62"/>
        <v>Período 1</v>
      </c>
      <c r="B3984">
        <v>9937</v>
      </c>
      <c r="C3984" t="s">
        <v>2010</v>
      </c>
      <c r="D3984" t="s">
        <v>2129</v>
      </c>
      <c r="E3984" s="3" t="str">
        <f>IF(LEN(Base_Periodo1[[#This Row],[CLASS]])&gt;=7,LEFT(Base_Periodo1[[#This Row],[CLASS]],7),"")</f>
        <v>2.1.2.2</v>
      </c>
      <c r="F3984" s="3" t="str">
        <f>VLOOKUP(Base_Periodo1[[#This Row],[Aux]],Base_Contas_Balanco[#All],2,FALSE)</f>
        <v>Fornecedores Não Cooperados</v>
      </c>
      <c r="G3984" s="1">
        <v>42867</v>
      </c>
      <c r="I3984" s="225">
        <v>493.27</v>
      </c>
      <c r="J3984" s="225">
        <v>493.27</v>
      </c>
      <c r="K3984" s="225">
        <v>0</v>
      </c>
      <c r="L39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84" s="225">
        <f>ROUND(IF(AND(Base_Periodo1[[#This Row],[Tipo_Linha]]="-",Base_Periodo1[[#This Row],[TIPOSALDO]]="D"),Base_Periodo1[[#This Row],[SALDO_ATUAL]]*-1,Base_Periodo1[[#This Row],[SALDO_ATUAL]]),4)</f>
        <v>0</v>
      </c>
      <c r="N3984" t="s">
        <v>116</v>
      </c>
      <c r="O3984" t="s">
        <v>436</v>
      </c>
      <c r="P3984" t="s">
        <v>436</v>
      </c>
      <c r="Q3984">
        <v>7</v>
      </c>
      <c r="R3984" s="225">
        <f>Base_Periodo1[[#This Row],[CREDITOS]]-Base_Periodo1[[#This Row],[DEBITOS]]</f>
        <v>0</v>
      </c>
      <c r="S3984" s="3" t="str">
        <f>IF(ISERROR(VLOOKUP(Base_Periodo1[[#This Row],[CONTA]],BaseContasDRE[#All],4,FALSE)),"Fora do DRE",VLOOKUP(Base_Periodo1[[#This Row],[CONTA]],BaseContasDRE[#All],4,FALSE))</f>
        <v>Fora do DRE</v>
      </c>
      <c r="T3984" s="3" t="str">
        <f>IF(ISERROR(VLOOKUP(Base_Periodo1[[#This Row],[CONTA]],BaseContasDRE[#All],5,FALSE)),"Fora do DRE",VLOOKUP(Base_Periodo1[[#This Row],[CONTA]],BaseContasDRE[#All],6,FALSE))</f>
        <v>Fora do DRE</v>
      </c>
      <c r="U3984" s="3" t="str">
        <f>IF(ISERROR(VLOOKUP(Base_Periodo1[[#This Row],[CONTA]],BaseContasDRE[#All],7,FALSE)),"Fora do DRE",VLOOKUP(Base_Periodo1[[#This Row],[CONTA]],BaseContasDRE[#All],7,FALSE))</f>
        <v>Fora do DRE</v>
      </c>
      <c r="V3984" s="3" t="str">
        <f>IF(Base_Periodo1[[#This Row],[Tipo_Linha]]="Fora do DRE","Fora do DRE","( "&amp;Base_Periodo1[[#This Row],[Tipo_Linha]]&amp;" ) "&amp;Base_Periodo1[[#This Row],[Filtro]])</f>
        <v>Fora do DRE</v>
      </c>
      <c r="W3984" s="3" t="str">
        <f>LEFT(Base_Periodo1[[#This Row],[CLASS]],3)</f>
        <v>2.1</v>
      </c>
    </row>
    <row r="3985" spans="1:23" hidden="1">
      <c r="A3985" s="3" t="str">
        <f t="shared" si="62"/>
        <v>Período 1</v>
      </c>
      <c r="B3985">
        <v>10553</v>
      </c>
      <c r="C3985" t="s">
        <v>2010</v>
      </c>
      <c r="D3985" t="s">
        <v>2130</v>
      </c>
      <c r="E3985" s="3" t="str">
        <f>IF(LEN(Base_Periodo1[[#This Row],[CLASS]])&gt;=7,LEFT(Base_Periodo1[[#This Row],[CLASS]],7),"")</f>
        <v>2.1.2.2</v>
      </c>
      <c r="F3985" s="3" t="str">
        <f>VLOOKUP(Base_Periodo1[[#This Row],[Aux]],Base_Contas_Balanco[#All],2,FALSE)</f>
        <v>Fornecedores Não Cooperados</v>
      </c>
      <c r="G3985" s="1">
        <v>42863</v>
      </c>
      <c r="I3985" s="225">
        <v>907.92000000000007</v>
      </c>
      <c r="J3985" s="225">
        <v>907.92000000000007</v>
      </c>
      <c r="K3985" s="225">
        <v>-1.4551915228366852E-11</v>
      </c>
      <c r="L39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85" s="225">
        <f>ROUND(IF(AND(Base_Periodo1[[#This Row],[Tipo_Linha]]="-",Base_Periodo1[[#This Row],[TIPOSALDO]]="D"),Base_Periodo1[[#This Row],[SALDO_ATUAL]]*-1,Base_Periodo1[[#This Row],[SALDO_ATUAL]]),4)</f>
        <v>0</v>
      </c>
      <c r="N3985" t="s">
        <v>116</v>
      </c>
      <c r="O3985" t="s">
        <v>436</v>
      </c>
      <c r="P3985" t="s">
        <v>436</v>
      </c>
      <c r="Q3985">
        <v>7</v>
      </c>
      <c r="R3985" s="225">
        <f>Base_Periodo1[[#This Row],[CREDITOS]]-Base_Periodo1[[#This Row],[DEBITOS]]</f>
        <v>0</v>
      </c>
      <c r="S3985" s="3" t="str">
        <f>IF(ISERROR(VLOOKUP(Base_Periodo1[[#This Row],[CONTA]],BaseContasDRE[#All],4,FALSE)),"Fora do DRE",VLOOKUP(Base_Periodo1[[#This Row],[CONTA]],BaseContasDRE[#All],4,FALSE))</f>
        <v>Fora do DRE</v>
      </c>
      <c r="T3985" s="3" t="str">
        <f>IF(ISERROR(VLOOKUP(Base_Periodo1[[#This Row],[CONTA]],BaseContasDRE[#All],5,FALSE)),"Fora do DRE",VLOOKUP(Base_Periodo1[[#This Row],[CONTA]],BaseContasDRE[#All],6,FALSE))</f>
        <v>Fora do DRE</v>
      </c>
      <c r="U3985" s="3" t="str">
        <f>IF(ISERROR(VLOOKUP(Base_Periodo1[[#This Row],[CONTA]],BaseContasDRE[#All],7,FALSE)),"Fora do DRE",VLOOKUP(Base_Periodo1[[#This Row],[CONTA]],BaseContasDRE[#All],7,FALSE))</f>
        <v>Fora do DRE</v>
      </c>
      <c r="V3985" s="3" t="str">
        <f>IF(Base_Periodo1[[#This Row],[Tipo_Linha]]="Fora do DRE","Fora do DRE","( "&amp;Base_Periodo1[[#This Row],[Tipo_Linha]]&amp;" ) "&amp;Base_Periodo1[[#This Row],[Filtro]])</f>
        <v>Fora do DRE</v>
      </c>
      <c r="W3985" s="3" t="str">
        <f>LEFT(Base_Periodo1[[#This Row],[CLASS]],3)</f>
        <v>2.1</v>
      </c>
    </row>
    <row r="3986" spans="1:23" hidden="1">
      <c r="A3986" s="3" t="str">
        <f t="shared" si="62"/>
        <v>Período 1</v>
      </c>
      <c r="B3986">
        <v>18441</v>
      </c>
      <c r="C3986" t="s">
        <v>2010</v>
      </c>
      <c r="D3986" t="s">
        <v>6528</v>
      </c>
      <c r="E3986" s="3" t="str">
        <f>IF(LEN(Base_Periodo1[[#This Row],[CLASS]])&gt;=7,LEFT(Base_Periodo1[[#This Row],[CLASS]],7),"")</f>
        <v>2.1.2.2</v>
      </c>
      <c r="F3986" s="3" t="str">
        <f>VLOOKUP(Base_Periodo1[[#This Row],[Aux]],Base_Contas_Balanco[#All],2,FALSE)</f>
        <v>Fornecedores Não Cooperados</v>
      </c>
      <c r="G3986" s="1">
        <v>42858</v>
      </c>
      <c r="H3986" s="225">
        <v>215</v>
      </c>
      <c r="I3986" s="225">
        <v>264</v>
      </c>
      <c r="J3986" s="225">
        <v>49</v>
      </c>
      <c r="K3986" s="225">
        <v>0</v>
      </c>
      <c r="L39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86" s="225">
        <f>ROUND(IF(AND(Base_Periodo1[[#This Row],[Tipo_Linha]]="-",Base_Periodo1[[#This Row],[TIPOSALDO]]="D"),Base_Periodo1[[#This Row],[SALDO_ATUAL]]*-1,Base_Periodo1[[#This Row],[SALDO_ATUAL]]),4)</f>
        <v>0</v>
      </c>
      <c r="N3986" t="s">
        <v>116</v>
      </c>
      <c r="O3986" t="s">
        <v>459</v>
      </c>
      <c r="P3986" t="s">
        <v>436</v>
      </c>
      <c r="Q3986">
        <v>7</v>
      </c>
      <c r="R3986" s="225">
        <f>Base_Periodo1[[#This Row],[CREDITOS]]-Base_Periodo1[[#This Row],[DEBITOS]]</f>
        <v>-215</v>
      </c>
      <c r="S3986" s="3" t="str">
        <f>IF(ISERROR(VLOOKUP(Base_Periodo1[[#This Row],[CONTA]],BaseContasDRE[#All],4,FALSE)),"Fora do DRE",VLOOKUP(Base_Periodo1[[#This Row],[CONTA]],BaseContasDRE[#All],4,FALSE))</f>
        <v>Fora do DRE</v>
      </c>
      <c r="T3986" s="3" t="str">
        <f>IF(ISERROR(VLOOKUP(Base_Periodo1[[#This Row],[CONTA]],BaseContasDRE[#All],5,FALSE)),"Fora do DRE",VLOOKUP(Base_Periodo1[[#This Row],[CONTA]],BaseContasDRE[#All],6,FALSE))</f>
        <v>Fora do DRE</v>
      </c>
      <c r="U3986" s="3" t="str">
        <f>IF(ISERROR(VLOOKUP(Base_Periodo1[[#This Row],[CONTA]],BaseContasDRE[#All],7,FALSE)),"Fora do DRE",VLOOKUP(Base_Periodo1[[#This Row],[CONTA]],BaseContasDRE[#All],7,FALSE))</f>
        <v>Fora do DRE</v>
      </c>
      <c r="V3986" s="3" t="str">
        <f>IF(Base_Periodo1[[#This Row],[Tipo_Linha]]="Fora do DRE","Fora do DRE","( "&amp;Base_Periodo1[[#This Row],[Tipo_Linha]]&amp;" ) "&amp;Base_Periodo1[[#This Row],[Filtro]])</f>
        <v>Fora do DRE</v>
      </c>
      <c r="W3986" s="3" t="str">
        <f>LEFT(Base_Periodo1[[#This Row],[CLASS]],3)</f>
        <v>2.1</v>
      </c>
    </row>
    <row r="3987" spans="1:23" hidden="1">
      <c r="A3987" s="3" t="str">
        <f t="shared" si="62"/>
        <v>Período 1</v>
      </c>
      <c r="B3987">
        <v>10078</v>
      </c>
      <c r="C3987" t="s">
        <v>2010</v>
      </c>
      <c r="D3987" t="s">
        <v>2131</v>
      </c>
      <c r="E3987" s="3" t="str">
        <f>IF(LEN(Base_Periodo1[[#This Row],[CLASS]])&gt;=7,LEFT(Base_Periodo1[[#This Row],[CLASS]],7),"")</f>
        <v>2.1.2.2</v>
      </c>
      <c r="F3987" s="3" t="str">
        <f>VLOOKUP(Base_Periodo1[[#This Row],[Aux]],Base_Contas_Balanco[#All],2,FALSE)</f>
        <v>Fornecedores Não Cooperados</v>
      </c>
      <c r="G3987" s="1">
        <v>42863</v>
      </c>
      <c r="I3987" s="225">
        <v>2376</v>
      </c>
      <c r="J3987" s="225">
        <v>2376</v>
      </c>
      <c r="K3987" s="225">
        <v>2.9103830456733704E-11</v>
      </c>
      <c r="L39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87" s="225">
        <f>ROUND(IF(AND(Base_Periodo1[[#This Row],[Tipo_Linha]]="-",Base_Periodo1[[#This Row],[TIPOSALDO]]="D"),Base_Periodo1[[#This Row],[SALDO_ATUAL]]*-1,Base_Periodo1[[#This Row],[SALDO_ATUAL]]),4)</f>
        <v>0</v>
      </c>
      <c r="N3987" t="s">
        <v>116</v>
      </c>
      <c r="O3987" t="s">
        <v>436</v>
      </c>
      <c r="P3987" t="s">
        <v>436</v>
      </c>
      <c r="Q3987">
        <v>7</v>
      </c>
      <c r="R3987" s="225">
        <f>Base_Periodo1[[#This Row],[CREDITOS]]-Base_Periodo1[[#This Row],[DEBITOS]]</f>
        <v>0</v>
      </c>
      <c r="S3987" s="3" t="str">
        <f>IF(ISERROR(VLOOKUP(Base_Periodo1[[#This Row],[CONTA]],BaseContasDRE[#All],4,FALSE)),"Fora do DRE",VLOOKUP(Base_Periodo1[[#This Row],[CONTA]],BaseContasDRE[#All],4,FALSE))</f>
        <v>Fora do DRE</v>
      </c>
      <c r="T3987" s="3" t="str">
        <f>IF(ISERROR(VLOOKUP(Base_Periodo1[[#This Row],[CONTA]],BaseContasDRE[#All],5,FALSE)),"Fora do DRE",VLOOKUP(Base_Periodo1[[#This Row],[CONTA]],BaseContasDRE[#All],6,FALSE))</f>
        <v>Fora do DRE</v>
      </c>
      <c r="U3987" s="3" t="str">
        <f>IF(ISERROR(VLOOKUP(Base_Periodo1[[#This Row],[CONTA]],BaseContasDRE[#All],7,FALSE)),"Fora do DRE",VLOOKUP(Base_Periodo1[[#This Row],[CONTA]],BaseContasDRE[#All],7,FALSE))</f>
        <v>Fora do DRE</v>
      </c>
      <c r="V3987" s="3" t="str">
        <f>IF(Base_Periodo1[[#This Row],[Tipo_Linha]]="Fora do DRE","Fora do DRE","( "&amp;Base_Periodo1[[#This Row],[Tipo_Linha]]&amp;" ) "&amp;Base_Periodo1[[#This Row],[Filtro]])</f>
        <v>Fora do DRE</v>
      </c>
      <c r="W3987" s="3" t="str">
        <f>LEFT(Base_Periodo1[[#This Row],[CLASS]],3)</f>
        <v>2.1</v>
      </c>
    </row>
    <row r="3988" spans="1:23" hidden="1">
      <c r="A3988" s="3" t="str">
        <f t="shared" si="62"/>
        <v>Período 1</v>
      </c>
      <c r="B3988">
        <v>56931</v>
      </c>
      <c r="C3988" t="s">
        <v>2010</v>
      </c>
      <c r="D3988" t="s">
        <v>6529</v>
      </c>
      <c r="E3988" s="3" t="str">
        <f>IF(LEN(Base_Periodo1[[#This Row],[CLASS]])&gt;=7,LEFT(Base_Periodo1[[#This Row],[CLASS]],7),"")</f>
        <v>2.1.2.2</v>
      </c>
      <c r="F3988" s="3" t="str">
        <f>VLOOKUP(Base_Periodo1[[#This Row],[Aux]],Base_Contas_Balanco[#All],2,FALSE)</f>
        <v>Fornecedores Não Cooperados</v>
      </c>
      <c r="G3988" s="1">
        <v>42885</v>
      </c>
      <c r="H3988" s="225">
        <v>436.69999999999993</v>
      </c>
      <c r="I3988" s="225">
        <v>436.7</v>
      </c>
      <c r="J3988" s="225">
        <v>449.83</v>
      </c>
      <c r="K3988" s="225">
        <v>449.82999999999993</v>
      </c>
      <c r="L39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449.83</v>
      </c>
      <c r="M3988" s="225">
        <f>ROUND(IF(AND(Base_Periodo1[[#This Row],[Tipo_Linha]]="-",Base_Periodo1[[#This Row],[TIPOSALDO]]="D"),Base_Periodo1[[#This Row],[SALDO_ATUAL]]*-1,Base_Periodo1[[#This Row],[SALDO_ATUAL]]),4)</f>
        <v>449.83</v>
      </c>
      <c r="N3988" t="s">
        <v>116</v>
      </c>
      <c r="O3988" t="s">
        <v>459</v>
      </c>
      <c r="P3988" t="s">
        <v>459</v>
      </c>
      <c r="Q3988">
        <v>7</v>
      </c>
      <c r="R3988" s="225">
        <f>Base_Periodo1[[#This Row],[CREDITOS]]-Base_Periodo1[[#This Row],[DEBITOS]]</f>
        <v>13.129999999999995</v>
      </c>
      <c r="S3988" s="3" t="str">
        <f>IF(ISERROR(VLOOKUP(Base_Periodo1[[#This Row],[CONTA]],BaseContasDRE[#All],4,FALSE)),"Fora do DRE",VLOOKUP(Base_Periodo1[[#This Row],[CONTA]],BaseContasDRE[#All],4,FALSE))</f>
        <v>Fora do DRE</v>
      </c>
      <c r="T3988" s="3" t="str">
        <f>IF(ISERROR(VLOOKUP(Base_Periodo1[[#This Row],[CONTA]],BaseContasDRE[#All],5,FALSE)),"Fora do DRE",VLOOKUP(Base_Periodo1[[#This Row],[CONTA]],BaseContasDRE[#All],6,FALSE))</f>
        <v>Fora do DRE</v>
      </c>
      <c r="U3988" s="3" t="str">
        <f>IF(ISERROR(VLOOKUP(Base_Periodo1[[#This Row],[CONTA]],BaseContasDRE[#All],7,FALSE)),"Fora do DRE",VLOOKUP(Base_Periodo1[[#This Row],[CONTA]],BaseContasDRE[#All],7,FALSE))</f>
        <v>Fora do DRE</v>
      </c>
      <c r="V3988" s="3" t="str">
        <f>IF(Base_Periodo1[[#This Row],[Tipo_Linha]]="Fora do DRE","Fora do DRE","( "&amp;Base_Periodo1[[#This Row],[Tipo_Linha]]&amp;" ) "&amp;Base_Periodo1[[#This Row],[Filtro]])</f>
        <v>Fora do DRE</v>
      </c>
      <c r="W3988" s="3" t="str">
        <f>LEFT(Base_Periodo1[[#This Row],[CLASS]],3)</f>
        <v>2.1</v>
      </c>
    </row>
    <row r="3989" spans="1:23" hidden="1">
      <c r="A3989" s="3" t="str">
        <f t="shared" si="62"/>
        <v>Período 1</v>
      </c>
      <c r="B3989">
        <v>55919</v>
      </c>
      <c r="C3989" t="s">
        <v>2010</v>
      </c>
      <c r="D3989" t="s">
        <v>7142</v>
      </c>
      <c r="E3989" s="3" t="str">
        <f>IF(LEN(Base_Periodo1[[#This Row],[CLASS]])&gt;=7,LEFT(Base_Periodo1[[#This Row],[CLASS]],7),"")</f>
        <v>2.1.2.2</v>
      </c>
      <c r="F3989" s="3" t="str">
        <f>VLOOKUP(Base_Periodo1[[#This Row],[Aux]],Base_Contas_Balanco[#All],2,FALSE)</f>
        <v>Fornecedores Não Cooperados</v>
      </c>
      <c r="G3989" s="1">
        <v>42884</v>
      </c>
      <c r="I3989" s="225">
        <v>570</v>
      </c>
      <c r="J3989" s="225">
        <v>570</v>
      </c>
      <c r="K3989" s="225">
        <v>0</v>
      </c>
      <c r="L39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89" s="225">
        <f>ROUND(IF(AND(Base_Periodo1[[#This Row],[Tipo_Linha]]="-",Base_Periodo1[[#This Row],[TIPOSALDO]]="D"),Base_Periodo1[[#This Row],[SALDO_ATUAL]]*-1,Base_Periodo1[[#This Row],[SALDO_ATUAL]]),4)</f>
        <v>0</v>
      </c>
      <c r="N3989" t="s">
        <v>116</v>
      </c>
      <c r="O3989" t="s">
        <v>436</v>
      </c>
      <c r="P3989" t="s">
        <v>436</v>
      </c>
      <c r="Q3989">
        <v>7</v>
      </c>
      <c r="R3989" s="225">
        <f>Base_Periodo1[[#This Row],[CREDITOS]]-Base_Periodo1[[#This Row],[DEBITOS]]</f>
        <v>0</v>
      </c>
      <c r="S3989" s="3" t="str">
        <f>IF(ISERROR(VLOOKUP(Base_Periodo1[[#This Row],[CONTA]],BaseContasDRE[#All],4,FALSE)),"Fora do DRE",VLOOKUP(Base_Periodo1[[#This Row],[CONTA]],BaseContasDRE[#All],4,FALSE))</f>
        <v>Fora do DRE</v>
      </c>
      <c r="T3989" s="3" t="str">
        <f>IF(ISERROR(VLOOKUP(Base_Periodo1[[#This Row],[CONTA]],BaseContasDRE[#All],5,FALSE)),"Fora do DRE",VLOOKUP(Base_Periodo1[[#This Row],[CONTA]],BaseContasDRE[#All],6,FALSE))</f>
        <v>Fora do DRE</v>
      </c>
      <c r="U3989" s="3" t="str">
        <f>IF(ISERROR(VLOOKUP(Base_Periodo1[[#This Row],[CONTA]],BaseContasDRE[#All],7,FALSE)),"Fora do DRE",VLOOKUP(Base_Periodo1[[#This Row],[CONTA]],BaseContasDRE[#All],7,FALSE))</f>
        <v>Fora do DRE</v>
      </c>
      <c r="V3989" s="3" t="str">
        <f>IF(Base_Periodo1[[#This Row],[Tipo_Linha]]="Fora do DRE","Fora do DRE","( "&amp;Base_Periodo1[[#This Row],[Tipo_Linha]]&amp;" ) "&amp;Base_Periodo1[[#This Row],[Filtro]])</f>
        <v>Fora do DRE</v>
      </c>
      <c r="W3989" s="3" t="str">
        <f>LEFT(Base_Periodo1[[#This Row],[CLASS]],3)</f>
        <v>2.1</v>
      </c>
    </row>
    <row r="3990" spans="1:23" hidden="1">
      <c r="A3990" s="3" t="str">
        <f t="shared" si="62"/>
        <v>Período 1</v>
      </c>
      <c r="B3990">
        <v>12324</v>
      </c>
      <c r="C3990" t="s">
        <v>2010</v>
      </c>
      <c r="D3990" t="s">
        <v>5500</v>
      </c>
      <c r="E3990" s="3" t="str">
        <f>IF(LEN(Base_Periodo1[[#This Row],[CLASS]])&gt;=7,LEFT(Base_Periodo1[[#This Row],[CLASS]],7),"")</f>
        <v>2.1.2.2</v>
      </c>
      <c r="F3990" s="3" t="str">
        <f>VLOOKUP(Base_Periodo1[[#This Row],[Aux]],Base_Contas_Balanco[#All],2,FALSE)</f>
        <v>Fornecedores Não Cooperados</v>
      </c>
      <c r="G3990" s="1">
        <v>42886</v>
      </c>
      <c r="I3990" s="225">
        <v>6024</v>
      </c>
      <c r="J3990" s="225">
        <v>6024</v>
      </c>
      <c r="K3990" s="225">
        <v>0</v>
      </c>
      <c r="L39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90" s="225">
        <f>ROUND(IF(AND(Base_Periodo1[[#This Row],[Tipo_Linha]]="-",Base_Periodo1[[#This Row],[TIPOSALDO]]="D"),Base_Periodo1[[#This Row],[SALDO_ATUAL]]*-1,Base_Periodo1[[#This Row],[SALDO_ATUAL]]),4)</f>
        <v>0</v>
      </c>
      <c r="N3990" t="s">
        <v>116</v>
      </c>
      <c r="O3990" t="s">
        <v>436</v>
      </c>
      <c r="P3990" t="s">
        <v>436</v>
      </c>
      <c r="Q3990">
        <v>7</v>
      </c>
      <c r="R3990" s="225">
        <f>Base_Periodo1[[#This Row],[CREDITOS]]-Base_Periodo1[[#This Row],[DEBITOS]]</f>
        <v>0</v>
      </c>
      <c r="S3990" s="3" t="str">
        <f>IF(ISERROR(VLOOKUP(Base_Periodo1[[#This Row],[CONTA]],BaseContasDRE[#All],4,FALSE)),"Fora do DRE",VLOOKUP(Base_Periodo1[[#This Row],[CONTA]],BaseContasDRE[#All],4,FALSE))</f>
        <v>Fora do DRE</v>
      </c>
      <c r="T3990" s="3" t="str">
        <f>IF(ISERROR(VLOOKUP(Base_Periodo1[[#This Row],[CONTA]],BaseContasDRE[#All],5,FALSE)),"Fora do DRE",VLOOKUP(Base_Periodo1[[#This Row],[CONTA]],BaseContasDRE[#All],6,FALSE))</f>
        <v>Fora do DRE</v>
      </c>
      <c r="U3990" s="3" t="str">
        <f>IF(ISERROR(VLOOKUP(Base_Periodo1[[#This Row],[CONTA]],BaseContasDRE[#All],7,FALSE)),"Fora do DRE",VLOOKUP(Base_Periodo1[[#This Row],[CONTA]],BaseContasDRE[#All],7,FALSE))</f>
        <v>Fora do DRE</v>
      </c>
      <c r="V3990" s="3" t="str">
        <f>IF(Base_Periodo1[[#This Row],[Tipo_Linha]]="Fora do DRE","Fora do DRE","( "&amp;Base_Periodo1[[#This Row],[Tipo_Linha]]&amp;" ) "&amp;Base_Periodo1[[#This Row],[Filtro]])</f>
        <v>Fora do DRE</v>
      </c>
      <c r="W3990" s="3" t="str">
        <f>LEFT(Base_Periodo1[[#This Row],[CLASS]],3)</f>
        <v>2.1</v>
      </c>
    </row>
    <row r="3991" spans="1:23" hidden="1">
      <c r="A3991" s="3" t="str">
        <f t="shared" si="62"/>
        <v>Período 1</v>
      </c>
      <c r="B3991">
        <v>4701</v>
      </c>
      <c r="C3991" t="s">
        <v>2010</v>
      </c>
      <c r="D3991" t="s">
        <v>978</v>
      </c>
      <c r="E3991" s="3" t="str">
        <f>IF(LEN(Base_Periodo1[[#This Row],[CLASS]])&gt;=7,LEFT(Base_Periodo1[[#This Row],[CLASS]],7),"")</f>
        <v>2.1.2.2</v>
      </c>
      <c r="F3991" s="3" t="str">
        <f>VLOOKUP(Base_Periodo1[[#This Row],[Aux]],Base_Contas_Balanco[#All],2,FALSE)</f>
        <v>Fornecedores Não Cooperados</v>
      </c>
      <c r="G3991" s="1">
        <v>42884</v>
      </c>
      <c r="H3991" s="225">
        <v>111176.00000000047</v>
      </c>
      <c r="I3991" s="225">
        <v>155616</v>
      </c>
      <c r="J3991" s="225">
        <v>44440</v>
      </c>
      <c r="K3991" s="225">
        <v>-4.6566128730773926E-10</v>
      </c>
      <c r="L39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91" s="225">
        <f>ROUND(IF(AND(Base_Periodo1[[#This Row],[Tipo_Linha]]="-",Base_Periodo1[[#This Row],[TIPOSALDO]]="D"),Base_Periodo1[[#This Row],[SALDO_ATUAL]]*-1,Base_Periodo1[[#This Row],[SALDO_ATUAL]]),4)</f>
        <v>0</v>
      </c>
      <c r="N3991" t="s">
        <v>116</v>
      </c>
      <c r="O3991" t="s">
        <v>459</v>
      </c>
      <c r="P3991" t="s">
        <v>436</v>
      </c>
      <c r="Q3991">
        <v>7</v>
      </c>
      <c r="R3991" s="225">
        <f>Base_Periodo1[[#This Row],[CREDITOS]]-Base_Periodo1[[#This Row],[DEBITOS]]</f>
        <v>-111176</v>
      </c>
      <c r="S3991" s="3" t="str">
        <f>IF(ISERROR(VLOOKUP(Base_Periodo1[[#This Row],[CONTA]],BaseContasDRE[#All],4,FALSE)),"Fora do DRE",VLOOKUP(Base_Periodo1[[#This Row],[CONTA]],BaseContasDRE[#All],4,FALSE))</f>
        <v>Fora do DRE</v>
      </c>
      <c r="T3991" s="3" t="str">
        <f>IF(ISERROR(VLOOKUP(Base_Periodo1[[#This Row],[CONTA]],BaseContasDRE[#All],5,FALSE)),"Fora do DRE",VLOOKUP(Base_Periodo1[[#This Row],[CONTA]],BaseContasDRE[#All],6,FALSE))</f>
        <v>Fora do DRE</v>
      </c>
      <c r="U3991" s="3" t="str">
        <f>IF(ISERROR(VLOOKUP(Base_Periodo1[[#This Row],[CONTA]],BaseContasDRE[#All],7,FALSE)),"Fora do DRE",VLOOKUP(Base_Periodo1[[#This Row],[CONTA]],BaseContasDRE[#All],7,FALSE))</f>
        <v>Fora do DRE</v>
      </c>
      <c r="V3991" s="3" t="str">
        <f>IF(Base_Periodo1[[#This Row],[Tipo_Linha]]="Fora do DRE","Fora do DRE","( "&amp;Base_Periodo1[[#This Row],[Tipo_Linha]]&amp;" ) "&amp;Base_Periodo1[[#This Row],[Filtro]])</f>
        <v>Fora do DRE</v>
      </c>
      <c r="W3991" s="3" t="str">
        <f>LEFT(Base_Periodo1[[#This Row],[CLASS]],3)</f>
        <v>2.1</v>
      </c>
    </row>
    <row r="3992" spans="1:23" hidden="1">
      <c r="A3992" s="3" t="str">
        <f t="shared" si="62"/>
        <v>Período 1</v>
      </c>
      <c r="B3992">
        <v>12332</v>
      </c>
      <c r="C3992" t="s">
        <v>2010</v>
      </c>
      <c r="D3992" t="s">
        <v>4697</v>
      </c>
      <c r="E3992" s="3" t="str">
        <f>IF(LEN(Base_Periodo1[[#This Row],[CLASS]])&gt;=7,LEFT(Base_Periodo1[[#This Row],[CLASS]],7),"")</f>
        <v>2.1.2.2</v>
      </c>
      <c r="F3992" s="3" t="str">
        <f>VLOOKUP(Base_Periodo1[[#This Row],[Aux]],Base_Contas_Balanco[#All],2,FALSE)</f>
        <v>Fornecedores Não Cooperados</v>
      </c>
      <c r="G3992" s="1">
        <v>42885</v>
      </c>
      <c r="I3992" s="225">
        <v>456</v>
      </c>
      <c r="J3992" s="225">
        <v>456</v>
      </c>
      <c r="K3992" s="225">
        <v>1.0913936421275139E-11</v>
      </c>
      <c r="L39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92" s="225">
        <f>ROUND(IF(AND(Base_Periodo1[[#This Row],[Tipo_Linha]]="-",Base_Periodo1[[#This Row],[TIPOSALDO]]="D"),Base_Periodo1[[#This Row],[SALDO_ATUAL]]*-1,Base_Periodo1[[#This Row],[SALDO_ATUAL]]),4)</f>
        <v>0</v>
      </c>
      <c r="N3992" t="s">
        <v>116</v>
      </c>
      <c r="O3992" t="s">
        <v>436</v>
      </c>
      <c r="P3992" t="s">
        <v>436</v>
      </c>
      <c r="Q3992">
        <v>7</v>
      </c>
      <c r="R3992" s="225">
        <f>Base_Periodo1[[#This Row],[CREDITOS]]-Base_Periodo1[[#This Row],[DEBITOS]]</f>
        <v>0</v>
      </c>
      <c r="S3992" s="3" t="str">
        <f>IF(ISERROR(VLOOKUP(Base_Periodo1[[#This Row],[CONTA]],BaseContasDRE[#All],4,FALSE)),"Fora do DRE",VLOOKUP(Base_Periodo1[[#This Row],[CONTA]],BaseContasDRE[#All],4,FALSE))</f>
        <v>Fora do DRE</v>
      </c>
      <c r="T3992" s="3" t="str">
        <f>IF(ISERROR(VLOOKUP(Base_Periodo1[[#This Row],[CONTA]],BaseContasDRE[#All],5,FALSE)),"Fora do DRE",VLOOKUP(Base_Periodo1[[#This Row],[CONTA]],BaseContasDRE[#All],6,FALSE))</f>
        <v>Fora do DRE</v>
      </c>
      <c r="U3992" s="3" t="str">
        <f>IF(ISERROR(VLOOKUP(Base_Periodo1[[#This Row],[CONTA]],BaseContasDRE[#All],7,FALSE)),"Fora do DRE",VLOOKUP(Base_Periodo1[[#This Row],[CONTA]],BaseContasDRE[#All],7,FALSE))</f>
        <v>Fora do DRE</v>
      </c>
      <c r="V3992" s="3" t="str">
        <f>IF(Base_Periodo1[[#This Row],[Tipo_Linha]]="Fora do DRE","Fora do DRE","( "&amp;Base_Periodo1[[#This Row],[Tipo_Linha]]&amp;" ) "&amp;Base_Periodo1[[#This Row],[Filtro]])</f>
        <v>Fora do DRE</v>
      </c>
      <c r="W3992" s="3" t="str">
        <f>LEFT(Base_Periodo1[[#This Row],[CLASS]],3)</f>
        <v>2.1</v>
      </c>
    </row>
    <row r="3993" spans="1:23" hidden="1">
      <c r="A3993" s="3" t="str">
        <f t="shared" si="62"/>
        <v>Período 1</v>
      </c>
      <c r="B3993">
        <v>57763</v>
      </c>
      <c r="C3993" t="s">
        <v>2010</v>
      </c>
      <c r="D3993" t="s">
        <v>6103</v>
      </c>
      <c r="E3993" s="3" t="str">
        <f>IF(LEN(Base_Periodo1[[#This Row],[CLASS]])&gt;=7,LEFT(Base_Periodo1[[#This Row],[CLASS]],7),"")</f>
        <v>2.1.2.2</v>
      </c>
      <c r="F3993" s="3" t="str">
        <f>VLOOKUP(Base_Periodo1[[#This Row],[Aux]],Base_Contas_Balanco[#All],2,FALSE)</f>
        <v>Fornecedores Não Cooperados</v>
      </c>
      <c r="G3993" s="1">
        <v>42885</v>
      </c>
      <c r="I3993" s="225">
        <v>0</v>
      </c>
      <c r="J3993" s="225">
        <v>63640</v>
      </c>
      <c r="K3993" s="225">
        <v>63640</v>
      </c>
      <c r="L39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63640</v>
      </c>
      <c r="M3993" s="225">
        <f>ROUND(IF(AND(Base_Periodo1[[#This Row],[Tipo_Linha]]="-",Base_Periodo1[[#This Row],[TIPOSALDO]]="D"),Base_Periodo1[[#This Row],[SALDO_ATUAL]]*-1,Base_Periodo1[[#This Row],[SALDO_ATUAL]]),4)</f>
        <v>63640</v>
      </c>
      <c r="N3993" t="s">
        <v>116</v>
      </c>
      <c r="O3993" t="s">
        <v>436</v>
      </c>
      <c r="P3993" t="s">
        <v>459</v>
      </c>
      <c r="Q3993">
        <v>7</v>
      </c>
      <c r="R3993" s="225">
        <f>Base_Periodo1[[#This Row],[CREDITOS]]-Base_Periodo1[[#This Row],[DEBITOS]]</f>
        <v>63640</v>
      </c>
      <c r="S3993" s="3" t="str">
        <f>IF(ISERROR(VLOOKUP(Base_Periodo1[[#This Row],[CONTA]],BaseContasDRE[#All],4,FALSE)),"Fora do DRE",VLOOKUP(Base_Periodo1[[#This Row],[CONTA]],BaseContasDRE[#All],4,FALSE))</f>
        <v>Fora do DRE</v>
      </c>
      <c r="T3993" s="3" t="str">
        <f>IF(ISERROR(VLOOKUP(Base_Periodo1[[#This Row],[CONTA]],BaseContasDRE[#All],5,FALSE)),"Fora do DRE",VLOOKUP(Base_Periodo1[[#This Row],[CONTA]],BaseContasDRE[#All],6,FALSE))</f>
        <v>Fora do DRE</v>
      </c>
      <c r="U3993" s="3" t="str">
        <f>IF(ISERROR(VLOOKUP(Base_Periodo1[[#This Row],[CONTA]],BaseContasDRE[#All],7,FALSE)),"Fora do DRE",VLOOKUP(Base_Periodo1[[#This Row],[CONTA]],BaseContasDRE[#All],7,FALSE))</f>
        <v>Fora do DRE</v>
      </c>
      <c r="V3993" s="3" t="str">
        <f>IF(Base_Periodo1[[#This Row],[Tipo_Linha]]="Fora do DRE","Fora do DRE","( "&amp;Base_Periodo1[[#This Row],[Tipo_Linha]]&amp;" ) "&amp;Base_Periodo1[[#This Row],[Filtro]])</f>
        <v>Fora do DRE</v>
      </c>
      <c r="W3993" s="3" t="str">
        <f>LEFT(Base_Periodo1[[#This Row],[CLASS]],3)</f>
        <v>2.1</v>
      </c>
    </row>
    <row r="3994" spans="1:23" hidden="1">
      <c r="A3994" s="3" t="str">
        <f t="shared" si="62"/>
        <v>Período 1</v>
      </c>
      <c r="B3994">
        <v>15123</v>
      </c>
      <c r="C3994" t="s">
        <v>2010</v>
      </c>
      <c r="D3994" t="s">
        <v>6530</v>
      </c>
      <c r="E3994" s="3" t="str">
        <f>IF(LEN(Base_Periodo1[[#This Row],[CLASS]])&gt;=7,LEFT(Base_Periodo1[[#This Row],[CLASS]],7),"")</f>
        <v>2.1.2.2</v>
      </c>
      <c r="F3994" s="3" t="str">
        <f>VLOOKUP(Base_Periodo1[[#This Row],[Aux]],Base_Contas_Balanco[#All],2,FALSE)</f>
        <v>Fornecedores Não Cooperados</v>
      </c>
      <c r="G3994" s="1">
        <v>42886</v>
      </c>
      <c r="H3994" s="225">
        <v>2060</v>
      </c>
      <c r="I3994" s="225">
        <v>2860</v>
      </c>
      <c r="J3994" s="225">
        <v>800</v>
      </c>
      <c r="K3994" s="225">
        <v>0</v>
      </c>
      <c r="L39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94" s="225">
        <f>ROUND(IF(AND(Base_Periodo1[[#This Row],[Tipo_Linha]]="-",Base_Periodo1[[#This Row],[TIPOSALDO]]="D"),Base_Periodo1[[#This Row],[SALDO_ATUAL]]*-1,Base_Periodo1[[#This Row],[SALDO_ATUAL]]),4)</f>
        <v>0</v>
      </c>
      <c r="N3994" t="s">
        <v>116</v>
      </c>
      <c r="O3994" t="s">
        <v>459</v>
      </c>
      <c r="P3994" t="s">
        <v>436</v>
      </c>
      <c r="Q3994">
        <v>7</v>
      </c>
      <c r="R3994" s="225">
        <f>Base_Periodo1[[#This Row],[CREDITOS]]-Base_Periodo1[[#This Row],[DEBITOS]]</f>
        <v>-2060</v>
      </c>
      <c r="S3994" s="3" t="str">
        <f>IF(ISERROR(VLOOKUP(Base_Periodo1[[#This Row],[CONTA]],BaseContasDRE[#All],4,FALSE)),"Fora do DRE",VLOOKUP(Base_Periodo1[[#This Row],[CONTA]],BaseContasDRE[#All],4,FALSE))</f>
        <v>Fora do DRE</v>
      </c>
      <c r="T3994" s="3" t="str">
        <f>IF(ISERROR(VLOOKUP(Base_Periodo1[[#This Row],[CONTA]],BaseContasDRE[#All],5,FALSE)),"Fora do DRE",VLOOKUP(Base_Periodo1[[#This Row],[CONTA]],BaseContasDRE[#All],6,FALSE))</f>
        <v>Fora do DRE</v>
      </c>
      <c r="U3994" s="3" t="str">
        <f>IF(ISERROR(VLOOKUP(Base_Periodo1[[#This Row],[CONTA]],BaseContasDRE[#All],7,FALSE)),"Fora do DRE",VLOOKUP(Base_Periodo1[[#This Row],[CONTA]],BaseContasDRE[#All],7,FALSE))</f>
        <v>Fora do DRE</v>
      </c>
      <c r="V3994" s="3" t="str">
        <f>IF(Base_Periodo1[[#This Row],[Tipo_Linha]]="Fora do DRE","Fora do DRE","( "&amp;Base_Periodo1[[#This Row],[Tipo_Linha]]&amp;" ) "&amp;Base_Periodo1[[#This Row],[Filtro]])</f>
        <v>Fora do DRE</v>
      </c>
      <c r="W3994" s="3" t="str">
        <f>LEFT(Base_Periodo1[[#This Row],[CLASS]],3)</f>
        <v>2.1</v>
      </c>
    </row>
    <row r="3995" spans="1:23" hidden="1">
      <c r="A3995" s="3" t="str">
        <f t="shared" si="62"/>
        <v>Período 1</v>
      </c>
      <c r="B3995">
        <v>34251</v>
      </c>
      <c r="C3995" t="s">
        <v>2010</v>
      </c>
      <c r="D3995" t="s">
        <v>2132</v>
      </c>
      <c r="E3995" s="3" t="str">
        <f>IF(LEN(Base_Periodo1[[#This Row],[CLASS]])&gt;=7,LEFT(Base_Periodo1[[#This Row],[CLASS]],7),"")</f>
        <v>2.1.2.2</v>
      </c>
      <c r="F3995" s="3" t="str">
        <f>VLOOKUP(Base_Periodo1[[#This Row],[Aux]],Base_Contas_Balanco[#All],2,FALSE)</f>
        <v>Fornecedores Não Cooperados</v>
      </c>
      <c r="G3995" s="1">
        <v>42884</v>
      </c>
      <c r="H3995" s="225">
        <v>4646.8599999999569</v>
      </c>
      <c r="I3995" s="225">
        <v>24163.67</v>
      </c>
      <c r="J3995" s="225">
        <v>22816.080000000002</v>
      </c>
      <c r="K3995" s="225">
        <v>3299.2699999999604</v>
      </c>
      <c r="L39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3299.27</v>
      </c>
      <c r="M3995" s="225">
        <f>ROUND(IF(AND(Base_Periodo1[[#This Row],[Tipo_Linha]]="-",Base_Periodo1[[#This Row],[TIPOSALDO]]="D"),Base_Periodo1[[#This Row],[SALDO_ATUAL]]*-1,Base_Periodo1[[#This Row],[SALDO_ATUAL]]),4)</f>
        <v>3299.27</v>
      </c>
      <c r="N3995" t="s">
        <v>116</v>
      </c>
      <c r="O3995" t="s">
        <v>459</v>
      </c>
      <c r="P3995" t="s">
        <v>459</v>
      </c>
      <c r="Q3995">
        <v>7</v>
      </c>
      <c r="R3995" s="225">
        <f>Base_Periodo1[[#This Row],[CREDITOS]]-Base_Periodo1[[#This Row],[DEBITOS]]</f>
        <v>-1347.5899999999965</v>
      </c>
      <c r="S3995" s="3" t="str">
        <f>IF(ISERROR(VLOOKUP(Base_Periodo1[[#This Row],[CONTA]],BaseContasDRE[#All],4,FALSE)),"Fora do DRE",VLOOKUP(Base_Periodo1[[#This Row],[CONTA]],BaseContasDRE[#All],4,FALSE))</f>
        <v>Fora do DRE</v>
      </c>
      <c r="T3995" s="3" t="str">
        <f>IF(ISERROR(VLOOKUP(Base_Periodo1[[#This Row],[CONTA]],BaseContasDRE[#All],5,FALSE)),"Fora do DRE",VLOOKUP(Base_Periodo1[[#This Row],[CONTA]],BaseContasDRE[#All],6,FALSE))</f>
        <v>Fora do DRE</v>
      </c>
      <c r="U3995" s="3" t="str">
        <f>IF(ISERROR(VLOOKUP(Base_Periodo1[[#This Row],[CONTA]],BaseContasDRE[#All],7,FALSE)),"Fora do DRE",VLOOKUP(Base_Periodo1[[#This Row],[CONTA]],BaseContasDRE[#All],7,FALSE))</f>
        <v>Fora do DRE</v>
      </c>
      <c r="V3995" s="3" t="str">
        <f>IF(Base_Periodo1[[#This Row],[Tipo_Linha]]="Fora do DRE","Fora do DRE","( "&amp;Base_Periodo1[[#This Row],[Tipo_Linha]]&amp;" ) "&amp;Base_Periodo1[[#This Row],[Filtro]])</f>
        <v>Fora do DRE</v>
      </c>
      <c r="W3995" s="3" t="str">
        <f>LEFT(Base_Periodo1[[#This Row],[CLASS]],3)</f>
        <v>2.1</v>
      </c>
    </row>
    <row r="3996" spans="1:23" hidden="1">
      <c r="A3996" s="3" t="str">
        <f t="shared" si="62"/>
        <v>Período 1</v>
      </c>
      <c r="B3996">
        <v>59198</v>
      </c>
      <c r="C3996" t="s">
        <v>2010</v>
      </c>
      <c r="D3996" t="s">
        <v>7143</v>
      </c>
      <c r="E3996" s="3" t="str">
        <f>IF(LEN(Base_Periodo1[[#This Row],[CLASS]])&gt;=7,LEFT(Base_Periodo1[[#This Row],[CLASS]],7),"")</f>
        <v>2.1.2.2</v>
      </c>
      <c r="F3996" s="3" t="str">
        <f>VLOOKUP(Base_Periodo1[[#This Row],[Aux]],Base_Contas_Balanco[#All],2,FALSE)</f>
        <v>Fornecedores Não Cooperados</v>
      </c>
      <c r="G3996" s="1">
        <v>42879</v>
      </c>
      <c r="I3996" s="225">
        <v>174.23</v>
      </c>
      <c r="J3996" s="225">
        <v>174.23</v>
      </c>
      <c r="K3996" s="225">
        <v>0</v>
      </c>
      <c r="L39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96" s="225">
        <f>ROUND(IF(AND(Base_Periodo1[[#This Row],[Tipo_Linha]]="-",Base_Periodo1[[#This Row],[TIPOSALDO]]="D"),Base_Periodo1[[#This Row],[SALDO_ATUAL]]*-1,Base_Periodo1[[#This Row],[SALDO_ATUAL]]),4)</f>
        <v>0</v>
      </c>
      <c r="N3996" t="s">
        <v>116</v>
      </c>
      <c r="O3996" t="s">
        <v>436</v>
      </c>
      <c r="P3996" t="s">
        <v>436</v>
      </c>
      <c r="Q3996">
        <v>7</v>
      </c>
      <c r="R3996" s="225">
        <f>Base_Periodo1[[#This Row],[CREDITOS]]-Base_Periodo1[[#This Row],[DEBITOS]]</f>
        <v>0</v>
      </c>
      <c r="S3996" s="3" t="str">
        <f>IF(ISERROR(VLOOKUP(Base_Periodo1[[#This Row],[CONTA]],BaseContasDRE[#All],4,FALSE)),"Fora do DRE",VLOOKUP(Base_Periodo1[[#This Row],[CONTA]],BaseContasDRE[#All],4,FALSE))</f>
        <v>Fora do DRE</v>
      </c>
      <c r="T3996" s="3" t="str">
        <f>IF(ISERROR(VLOOKUP(Base_Periodo1[[#This Row],[CONTA]],BaseContasDRE[#All],5,FALSE)),"Fora do DRE",VLOOKUP(Base_Periodo1[[#This Row],[CONTA]],BaseContasDRE[#All],6,FALSE))</f>
        <v>Fora do DRE</v>
      </c>
      <c r="U3996" s="3" t="str">
        <f>IF(ISERROR(VLOOKUP(Base_Periodo1[[#This Row],[CONTA]],BaseContasDRE[#All],7,FALSE)),"Fora do DRE",VLOOKUP(Base_Periodo1[[#This Row],[CONTA]],BaseContasDRE[#All],7,FALSE))</f>
        <v>Fora do DRE</v>
      </c>
      <c r="V3996" s="3" t="str">
        <f>IF(Base_Periodo1[[#This Row],[Tipo_Linha]]="Fora do DRE","Fora do DRE","( "&amp;Base_Periodo1[[#This Row],[Tipo_Linha]]&amp;" ) "&amp;Base_Periodo1[[#This Row],[Filtro]])</f>
        <v>Fora do DRE</v>
      </c>
      <c r="W3996" s="3" t="str">
        <f>LEFT(Base_Periodo1[[#This Row],[CLASS]],3)</f>
        <v>2.1</v>
      </c>
    </row>
    <row r="3997" spans="1:23" hidden="1">
      <c r="A3997" s="3" t="str">
        <f t="shared" si="62"/>
        <v>Período 1</v>
      </c>
      <c r="B3997">
        <v>12632</v>
      </c>
      <c r="C3997" t="s">
        <v>2010</v>
      </c>
      <c r="D3997" t="s">
        <v>6531</v>
      </c>
      <c r="E3997" s="3" t="str">
        <f>IF(LEN(Base_Periodo1[[#This Row],[CLASS]])&gt;=7,LEFT(Base_Periodo1[[#This Row],[CLASS]],7),"")</f>
        <v>2.1.2.2</v>
      </c>
      <c r="F3997" s="3" t="str">
        <f>VLOOKUP(Base_Periodo1[[#This Row],[Aux]],Base_Contas_Balanco[#All],2,FALSE)</f>
        <v>Fornecedores Não Cooperados</v>
      </c>
      <c r="G3997" s="1">
        <v>42884</v>
      </c>
      <c r="H3997" s="225">
        <v>200</v>
      </c>
      <c r="I3997" s="225">
        <v>200</v>
      </c>
      <c r="J3997" s="225">
        <v>50</v>
      </c>
      <c r="K3997" s="225">
        <v>50</v>
      </c>
      <c r="L39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3997" s="225">
        <f>ROUND(IF(AND(Base_Periodo1[[#This Row],[Tipo_Linha]]="-",Base_Periodo1[[#This Row],[TIPOSALDO]]="D"),Base_Periodo1[[#This Row],[SALDO_ATUAL]]*-1,Base_Periodo1[[#This Row],[SALDO_ATUAL]]),4)</f>
        <v>50</v>
      </c>
      <c r="N3997" t="s">
        <v>116</v>
      </c>
      <c r="O3997" t="s">
        <v>459</v>
      </c>
      <c r="P3997" t="s">
        <v>459</v>
      </c>
      <c r="Q3997">
        <v>7</v>
      </c>
      <c r="R3997" s="225">
        <f>Base_Periodo1[[#This Row],[CREDITOS]]-Base_Periodo1[[#This Row],[DEBITOS]]</f>
        <v>-150</v>
      </c>
      <c r="S3997" s="3" t="str">
        <f>IF(ISERROR(VLOOKUP(Base_Periodo1[[#This Row],[CONTA]],BaseContasDRE[#All],4,FALSE)),"Fora do DRE",VLOOKUP(Base_Periodo1[[#This Row],[CONTA]],BaseContasDRE[#All],4,FALSE))</f>
        <v>Fora do DRE</v>
      </c>
      <c r="T3997" s="3" t="str">
        <f>IF(ISERROR(VLOOKUP(Base_Periodo1[[#This Row],[CONTA]],BaseContasDRE[#All],5,FALSE)),"Fora do DRE",VLOOKUP(Base_Periodo1[[#This Row],[CONTA]],BaseContasDRE[#All],6,FALSE))</f>
        <v>Fora do DRE</v>
      </c>
      <c r="U3997" s="3" t="str">
        <f>IF(ISERROR(VLOOKUP(Base_Periodo1[[#This Row],[CONTA]],BaseContasDRE[#All],7,FALSE)),"Fora do DRE",VLOOKUP(Base_Periodo1[[#This Row],[CONTA]],BaseContasDRE[#All],7,FALSE))</f>
        <v>Fora do DRE</v>
      </c>
      <c r="V3997" s="3" t="str">
        <f>IF(Base_Periodo1[[#This Row],[Tipo_Linha]]="Fora do DRE","Fora do DRE","( "&amp;Base_Periodo1[[#This Row],[Tipo_Linha]]&amp;" ) "&amp;Base_Periodo1[[#This Row],[Filtro]])</f>
        <v>Fora do DRE</v>
      </c>
      <c r="W3997" s="3" t="str">
        <f>LEFT(Base_Periodo1[[#This Row],[CLASS]],3)</f>
        <v>2.1</v>
      </c>
    </row>
    <row r="3998" spans="1:23" hidden="1">
      <c r="A3998" s="3" t="str">
        <f t="shared" si="62"/>
        <v>Período 1</v>
      </c>
      <c r="B3998">
        <v>58614</v>
      </c>
      <c r="C3998" t="s">
        <v>2010</v>
      </c>
      <c r="D3998" t="s">
        <v>6532</v>
      </c>
      <c r="E3998" s="3" t="str">
        <f>IF(LEN(Base_Periodo1[[#This Row],[CLASS]])&gt;=7,LEFT(Base_Periodo1[[#This Row],[CLASS]],7),"")</f>
        <v>2.1.2.2</v>
      </c>
      <c r="F3998" s="3" t="str">
        <f>VLOOKUP(Base_Periodo1[[#This Row],[Aux]],Base_Contas_Balanco[#All],2,FALSE)</f>
        <v>Fornecedores Não Cooperados</v>
      </c>
      <c r="G3998" s="1">
        <v>42860</v>
      </c>
      <c r="H3998" s="225">
        <v>1551.5</v>
      </c>
      <c r="I3998" s="225">
        <v>1551.5</v>
      </c>
      <c r="J3998" s="225">
        <v>0</v>
      </c>
      <c r="K3998" s="225">
        <v>0</v>
      </c>
      <c r="L39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98" s="225">
        <f>ROUND(IF(AND(Base_Periodo1[[#This Row],[Tipo_Linha]]="-",Base_Periodo1[[#This Row],[TIPOSALDO]]="D"),Base_Periodo1[[#This Row],[SALDO_ATUAL]]*-1,Base_Periodo1[[#This Row],[SALDO_ATUAL]]),4)</f>
        <v>0</v>
      </c>
      <c r="N3998" t="s">
        <v>116</v>
      </c>
      <c r="O3998" t="s">
        <v>459</v>
      </c>
      <c r="P3998" t="s">
        <v>436</v>
      </c>
      <c r="Q3998">
        <v>7</v>
      </c>
      <c r="R3998" s="225">
        <f>Base_Periodo1[[#This Row],[CREDITOS]]-Base_Periodo1[[#This Row],[DEBITOS]]</f>
        <v>-1551.5</v>
      </c>
      <c r="S3998" s="3" t="str">
        <f>IF(ISERROR(VLOOKUP(Base_Periodo1[[#This Row],[CONTA]],BaseContasDRE[#All],4,FALSE)),"Fora do DRE",VLOOKUP(Base_Periodo1[[#This Row],[CONTA]],BaseContasDRE[#All],4,FALSE))</f>
        <v>Fora do DRE</v>
      </c>
      <c r="T3998" s="3" t="str">
        <f>IF(ISERROR(VLOOKUP(Base_Periodo1[[#This Row],[CONTA]],BaseContasDRE[#All],5,FALSE)),"Fora do DRE",VLOOKUP(Base_Periodo1[[#This Row],[CONTA]],BaseContasDRE[#All],6,FALSE))</f>
        <v>Fora do DRE</v>
      </c>
      <c r="U3998" s="3" t="str">
        <f>IF(ISERROR(VLOOKUP(Base_Periodo1[[#This Row],[CONTA]],BaseContasDRE[#All],7,FALSE)),"Fora do DRE",VLOOKUP(Base_Periodo1[[#This Row],[CONTA]],BaseContasDRE[#All],7,FALSE))</f>
        <v>Fora do DRE</v>
      </c>
      <c r="V3998" s="3" t="str">
        <f>IF(Base_Periodo1[[#This Row],[Tipo_Linha]]="Fora do DRE","Fora do DRE","( "&amp;Base_Periodo1[[#This Row],[Tipo_Linha]]&amp;" ) "&amp;Base_Periodo1[[#This Row],[Filtro]])</f>
        <v>Fora do DRE</v>
      </c>
      <c r="W3998" s="3" t="str">
        <f>LEFT(Base_Periodo1[[#This Row],[CLASS]],3)</f>
        <v>2.1</v>
      </c>
    </row>
    <row r="3999" spans="1:23" hidden="1">
      <c r="A3999" s="3" t="str">
        <f t="shared" si="62"/>
        <v>Período 1</v>
      </c>
      <c r="B3999">
        <v>57007</v>
      </c>
      <c r="C3999" t="s">
        <v>2010</v>
      </c>
      <c r="D3999" t="s">
        <v>6533</v>
      </c>
      <c r="E3999" s="3" t="str">
        <f>IF(LEN(Base_Periodo1[[#This Row],[CLASS]])&gt;=7,LEFT(Base_Periodo1[[#This Row],[CLASS]],7),"")</f>
        <v>2.1.2.2</v>
      </c>
      <c r="F3999" s="3" t="str">
        <f>VLOOKUP(Base_Periodo1[[#This Row],[Aux]],Base_Contas_Balanco[#All],2,FALSE)</f>
        <v>Fornecedores Não Cooperados</v>
      </c>
      <c r="G3999" s="1">
        <v>42860</v>
      </c>
      <c r="I3999" s="225">
        <v>2715</v>
      </c>
      <c r="J3999" s="225">
        <v>2715</v>
      </c>
      <c r="K3999" s="225">
        <v>0</v>
      </c>
      <c r="L39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3999" s="225">
        <f>ROUND(IF(AND(Base_Periodo1[[#This Row],[Tipo_Linha]]="-",Base_Periodo1[[#This Row],[TIPOSALDO]]="D"),Base_Periodo1[[#This Row],[SALDO_ATUAL]]*-1,Base_Periodo1[[#This Row],[SALDO_ATUAL]]),4)</f>
        <v>0</v>
      </c>
      <c r="N3999" t="s">
        <v>116</v>
      </c>
      <c r="O3999" t="s">
        <v>436</v>
      </c>
      <c r="P3999" t="s">
        <v>436</v>
      </c>
      <c r="Q3999">
        <v>7</v>
      </c>
      <c r="R3999" s="225">
        <f>Base_Periodo1[[#This Row],[CREDITOS]]-Base_Periodo1[[#This Row],[DEBITOS]]</f>
        <v>0</v>
      </c>
      <c r="S3999" s="3" t="str">
        <f>IF(ISERROR(VLOOKUP(Base_Periodo1[[#This Row],[CONTA]],BaseContasDRE[#All],4,FALSE)),"Fora do DRE",VLOOKUP(Base_Periodo1[[#This Row],[CONTA]],BaseContasDRE[#All],4,FALSE))</f>
        <v>Fora do DRE</v>
      </c>
      <c r="T3999" s="3" t="str">
        <f>IF(ISERROR(VLOOKUP(Base_Periodo1[[#This Row],[CONTA]],BaseContasDRE[#All],5,FALSE)),"Fora do DRE",VLOOKUP(Base_Periodo1[[#This Row],[CONTA]],BaseContasDRE[#All],6,FALSE))</f>
        <v>Fora do DRE</v>
      </c>
      <c r="U3999" s="3" t="str">
        <f>IF(ISERROR(VLOOKUP(Base_Periodo1[[#This Row],[CONTA]],BaseContasDRE[#All],7,FALSE)),"Fora do DRE",VLOOKUP(Base_Periodo1[[#This Row],[CONTA]],BaseContasDRE[#All],7,FALSE))</f>
        <v>Fora do DRE</v>
      </c>
      <c r="V3999" s="3" t="str">
        <f>IF(Base_Periodo1[[#This Row],[Tipo_Linha]]="Fora do DRE","Fora do DRE","( "&amp;Base_Periodo1[[#This Row],[Tipo_Linha]]&amp;" ) "&amp;Base_Periodo1[[#This Row],[Filtro]])</f>
        <v>Fora do DRE</v>
      </c>
      <c r="W3999" s="3" t="str">
        <f>LEFT(Base_Periodo1[[#This Row],[CLASS]],3)</f>
        <v>2.1</v>
      </c>
    </row>
    <row r="4000" spans="1:23" hidden="1">
      <c r="A4000" s="3" t="str">
        <f t="shared" si="62"/>
        <v>Período 1</v>
      </c>
      <c r="B4000">
        <v>4717</v>
      </c>
      <c r="C4000" t="s">
        <v>2010</v>
      </c>
      <c r="D4000" t="s">
        <v>4960</v>
      </c>
      <c r="E4000" s="3" t="str">
        <f>IF(LEN(Base_Periodo1[[#This Row],[CLASS]])&gt;=7,LEFT(Base_Periodo1[[#This Row],[CLASS]],7),"")</f>
        <v>2.1.2.2</v>
      </c>
      <c r="F4000" s="3" t="str">
        <f>VLOOKUP(Base_Periodo1[[#This Row],[Aux]],Base_Contas_Balanco[#All],2,FALSE)</f>
        <v>Fornecedores Não Cooperados</v>
      </c>
      <c r="G4000" s="1">
        <v>42885</v>
      </c>
      <c r="H4000" s="225">
        <v>231712.50000000012</v>
      </c>
      <c r="I4000" s="225">
        <v>712877.52</v>
      </c>
      <c r="J4000" s="225">
        <v>712877.52</v>
      </c>
      <c r="K4000" s="225">
        <v>231712.50000000012</v>
      </c>
      <c r="L40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231712.5</v>
      </c>
      <c r="M4000" s="225">
        <f>ROUND(IF(AND(Base_Periodo1[[#This Row],[Tipo_Linha]]="-",Base_Periodo1[[#This Row],[TIPOSALDO]]="D"),Base_Periodo1[[#This Row],[SALDO_ATUAL]]*-1,Base_Periodo1[[#This Row],[SALDO_ATUAL]]),4)</f>
        <v>231712.5</v>
      </c>
      <c r="N4000" t="s">
        <v>116</v>
      </c>
      <c r="O4000" t="s">
        <v>459</v>
      </c>
      <c r="P4000" t="s">
        <v>459</v>
      </c>
      <c r="Q4000">
        <v>7</v>
      </c>
      <c r="R4000" s="225">
        <f>Base_Periodo1[[#This Row],[CREDITOS]]-Base_Periodo1[[#This Row],[DEBITOS]]</f>
        <v>0</v>
      </c>
      <c r="S4000" s="3" t="str">
        <f>IF(ISERROR(VLOOKUP(Base_Periodo1[[#This Row],[CONTA]],BaseContasDRE[#All],4,FALSE)),"Fora do DRE",VLOOKUP(Base_Periodo1[[#This Row],[CONTA]],BaseContasDRE[#All],4,FALSE))</f>
        <v>Fora do DRE</v>
      </c>
      <c r="T4000" s="3" t="str">
        <f>IF(ISERROR(VLOOKUP(Base_Periodo1[[#This Row],[CONTA]],BaseContasDRE[#All],5,FALSE)),"Fora do DRE",VLOOKUP(Base_Periodo1[[#This Row],[CONTA]],BaseContasDRE[#All],6,FALSE))</f>
        <v>Fora do DRE</v>
      </c>
      <c r="U4000" s="3" t="str">
        <f>IF(ISERROR(VLOOKUP(Base_Periodo1[[#This Row],[CONTA]],BaseContasDRE[#All],7,FALSE)),"Fora do DRE",VLOOKUP(Base_Periodo1[[#This Row],[CONTA]],BaseContasDRE[#All],7,FALSE))</f>
        <v>Fora do DRE</v>
      </c>
      <c r="V4000" s="3" t="str">
        <f>IF(Base_Periodo1[[#This Row],[Tipo_Linha]]="Fora do DRE","Fora do DRE","( "&amp;Base_Periodo1[[#This Row],[Tipo_Linha]]&amp;" ) "&amp;Base_Periodo1[[#This Row],[Filtro]])</f>
        <v>Fora do DRE</v>
      </c>
      <c r="W4000" s="3" t="str">
        <f>LEFT(Base_Periodo1[[#This Row],[CLASS]],3)</f>
        <v>2.1</v>
      </c>
    </row>
    <row r="4001" spans="1:23" hidden="1">
      <c r="A4001" s="3" t="str">
        <f t="shared" si="62"/>
        <v>Período 1</v>
      </c>
      <c r="B4001">
        <v>7842</v>
      </c>
      <c r="C4001" t="s">
        <v>2010</v>
      </c>
      <c r="D4001" t="s">
        <v>4960</v>
      </c>
      <c r="E4001" s="3" t="str">
        <f>IF(LEN(Base_Periodo1[[#This Row],[CLASS]])&gt;=7,LEFT(Base_Periodo1[[#This Row],[CLASS]],7),"")</f>
        <v>2.1.2.2</v>
      </c>
      <c r="F4001" s="3" t="str">
        <f>VLOOKUP(Base_Periodo1[[#This Row],[Aux]],Base_Contas_Balanco[#All],2,FALSE)</f>
        <v>Fornecedores Não Cooperados</v>
      </c>
      <c r="G4001" s="1">
        <v>42872</v>
      </c>
      <c r="H4001" s="225">
        <v>136663.19999999925</v>
      </c>
      <c r="I4001" s="225">
        <v>6680.62</v>
      </c>
      <c r="J4001" s="225">
        <v>6680.62</v>
      </c>
      <c r="K4001" s="225">
        <v>136663.19999999925</v>
      </c>
      <c r="L40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136663.20000000001</v>
      </c>
      <c r="M4001" s="225">
        <f>ROUND(IF(AND(Base_Periodo1[[#This Row],[Tipo_Linha]]="-",Base_Periodo1[[#This Row],[TIPOSALDO]]="D"),Base_Periodo1[[#This Row],[SALDO_ATUAL]]*-1,Base_Periodo1[[#This Row],[SALDO_ATUAL]]),4)</f>
        <v>136663.20000000001</v>
      </c>
      <c r="N4001" t="s">
        <v>116</v>
      </c>
      <c r="O4001" t="s">
        <v>459</v>
      </c>
      <c r="P4001" t="s">
        <v>459</v>
      </c>
      <c r="Q4001">
        <v>7</v>
      </c>
      <c r="R4001" s="225">
        <f>Base_Periodo1[[#This Row],[CREDITOS]]-Base_Periodo1[[#This Row],[DEBITOS]]</f>
        <v>0</v>
      </c>
      <c r="S4001" s="3" t="str">
        <f>IF(ISERROR(VLOOKUP(Base_Periodo1[[#This Row],[CONTA]],BaseContasDRE[#All],4,FALSE)),"Fora do DRE",VLOOKUP(Base_Periodo1[[#This Row],[CONTA]],BaseContasDRE[#All],4,FALSE))</f>
        <v>Fora do DRE</v>
      </c>
      <c r="T4001" s="3" t="str">
        <f>IF(ISERROR(VLOOKUP(Base_Periodo1[[#This Row],[CONTA]],BaseContasDRE[#All],5,FALSE)),"Fora do DRE",VLOOKUP(Base_Periodo1[[#This Row],[CONTA]],BaseContasDRE[#All],6,FALSE))</f>
        <v>Fora do DRE</v>
      </c>
      <c r="U4001" s="3" t="str">
        <f>IF(ISERROR(VLOOKUP(Base_Periodo1[[#This Row],[CONTA]],BaseContasDRE[#All],7,FALSE)),"Fora do DRE",VLOOKUP(Base_Periodo1[[#This Row],[CONTA]],BaseContasDRE[#All],7,FALSE))</f>
        <v>Fora do DRE</v>
      </c>
      <c r="V4001" s="3" t="str">
        <f>IF(Base_Periodo1[[#This Row],[Tipo_Linha]]="Fora do DRE","Fora do DRE","( "&amp;Base_Periodo1[[#This Row],[Tipo_Linha]]&amp;" ) "&amp;Base_Periodo1[[#This Row],[Filtro]])</f>
        <v>Fora do DRE</v>
      </c>
      <c r="W4001" s="3" t="str">
        <f>LEFT(Base_Periodo1[[#This Row],[CLASS]],3)</f>
        <v>2.1</v>
      </c>
    </row>
    <row r="4002" spans="1:23" hidden="1">
      <c r="A4002" s="3" t="str">
        <f t="shared" si="62"/>
        <v>Período 1</v>
      </c>
      <c r="B4002">
        <v>7838</v>
      </c>
      <c r="C4002" t="s">
        <v>2010</v>
      </c>
      <c r="D4002" t="s">
        <v>4960</v>
      </c>
      <c r="E4002" s="3" t="str">
        <f>IF(LEN(Base_Periodo1[[#This Row],[CLASS]])&gt;=7,LEFT(Base_Periodo1[[#This Row],[CLASS]],7),"")</f>
        <v>2.1.2.2</v>
      </c>
      <c r="F4002" s="3" t="str">
        <f>VLOOKUP(Base_Periodo1[[#This Row],[Aux]],Base_Contas_Balanco[#All],2,FALSE)</f>
        <v>Fornecedores Não Cooperados</v>
      </c>
      <c r="G4002" s="1">
        <v>42879</v>
      </c>
      <c r="H4002" s="225">
        <v>191751.33999990672</v>
      </c>
      <c r="I4002" s="225">
        <v>118680</v>
      </c>
      <c r="J4002" s="225">
        <v>0</v>
      </c>
      <c r="K4002" s="225">
        <v>73071.339999906719</v>
      </c>
      <c r="L40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73071.34</v>
      </c>
      <c r="M4002" s="225">
        <f>ROUND(IF(AND(Base_Periodo1[[#This Row],[Tipo_Linha]]="-",Base_Periodo1[[#This Row],[TIPOSALDO]]="D"),Base_Periodo1[[#This Row],[SALDO_ATUAL]]*-1,Base_Periodo1[[#This Row],[SALDO_ATUAL]]),4)</f>
        <v>73071.34</v>
      </c>
      <c r="N4002" t="s">
        <v>116</v>
      </c>
      <c r="O4002" t="s">
        <v>459</v>
      </c>
      <c r="P4002" t="s">
        <v>459</v>
      </c>
      <c r="Q4002">
        <v>7</v>
      </c>
      <c r="R4002" s="225">
        <f>Base_Periodo1[[#This Row],[CREDITOS]]-Base_Periodo1[[#This Row],[DEBITOS]]</f>
        <v>-118680</v>
      </c>
      <c r="S4002" s="3" t="str">
        <f>IF(ISERROR(VLOOKUP(Base_Periodo1[[#This Row],[CONTA]],BaseContasDRE[#All],4,FALSE)),"Fora do DRE",VLOOKUP(Base_Periodo1[[#This Row],[CONTA]],BaseContasDRE[#All],4,FALSE))</f>
        <v>Fora do DRE</v>
      </c>
      <c r="T4002" s="3" t="str">
        <f>IF(ISERROR(VLOOKUP(Base_Periodo1[[#This Row],[CONTA]],BaseContasDRE[#All],5,FALSE)),"Fora do DRE",VLOOKUP(Base_Periodo1[[#This Row],[CONTA]],BaseContasDRE[#All],6,FALSE))</f>
        <v>Fora do DRE</v>
      </c>
      <c r="U4002" s="3" t="str">
        <f>IF(ISERROR(VLOOKUP(Base_Periodo1[[#This Row],[CONTA]],BaseContasDRE[#All],7,FALSE)),"Fora do DRE",VLOOKUP(Base_Periodo1[[#This Row],[CONTA]],BaseContasDRE[#All],7,FALSE))</f>
        <v>Fora do DRE</v>
      </c>
      <c r="V4002" s="3" t="str">
        <f>IF(Base_Periodo1[[#This Row],[Tipo_Linha]]="Fora do DRE","Fora do DRE","( "&amp;Base_Periodo1[[#This Row],[Tipo_Linha]]&amp;" ) "&amp;Base_Periodo1[[#This Row],[Filtro]])</f>
        <v>Fora do DRE</v>
      </c>
      <c r="W4002" s="3" t="str">
        <f>LEFT(Base_Periodo1[[#This Row],[CLASS]],3)</f>
        <v>2.1</v>
      </c>
    </row>
    <row r="4003" spans="1:23" hidden="1">
      <c r="A4003" s="3" t="str">
        <f t="shared" si="62"/>
        <v>Período 1</v>
      </c>
      <c r="B4003">
        <v>30135</v>
      </c>
      <c r="C4003" t="s">
        <v>2010</v>
      </c>
      <c r="D4003" t="s">
        <v>979</v>
      </c>
      <c r="E4003" s="3" t="str">
        <f>IF(LEN(Base_Periodo1[[#This Row],[CLASS]])&gt;=7,LEFT(Base_Periodo1[[#This Row],[CLASS]],7),"")</f>
        <v>2.1.2.2</v>
      </c>
      <c r="F4003" s="3" t="str">
        <f>VLOOKUP(Base_Periodo1[[#This Row],[Aux]],Base_Contas_Balanco[#All],2,FALSE)</f>
        <v>Fornecedores Não Cooperados</v>
      </c>
      <c r="G4003" s="1">
        <v>42885</v>
      </c>
      <c r="H4003" s="225">
        <v>265011.74999999907</v>
      </c>
      <c r="I4003" s="225">
        <v>370634.49</v>
      </c>
      <c r="J4003" s="225">
        <v>420307.49</v>
      </c>
      <c r="K4003" s="225">
        <v>314684.74999999907</v>
      </c>
      <c r="L40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314684.75</v>
      </c>
      <c r="M4003" s="225">
        <f>ROUND(IF(AND(Base_Periodo1[[#This Row],[Tipo_Linha]]="-",Base_Periodo1[[#This Row],[TIPOSALDO]]="D"),Base_Periodo1[[#This Row],[SALDO_ATUAL]]*-1,Base_Periodo1[[#This Row],[SALDO_ATUAL]]),4)</f>
        <v>314684.75</v>
      </c>
      <c r="N4003" t="s">
        <v>116</v>
      </c>
      <c r="O4003" t="s">
        <v>459</v>
      </c>
      <c r="P4003" t="s">
        <v>459</v>
      </c>
      <c r="Q4003">
        <v>7</v>
      </c>
      <c r="R4003" s="225">
        <f>Base_Periodo1[[#This Row],[CREDITOS]]-Base_Periodo1[[#This Row],[DEBITOS]]</f>
        <v>49673</v>
      </c>
      <c r="S4003" s="3" t="str">
        <f>IF(ISERROR(VLOOKUP(Base_Periodo1[[#This Row],[CONTA]],BaseContasDRE[#All],4,FALSE)),"Fora do DRE",VLOOKUP(Base_Periodo1[[#This Row],[CONTA]],BaseContasDRE[#All],4,FALSE))</f>
        <v>Fora do DRE</v>
      </c>
      <c r="T4003" s="3" t="str">
        <f>IF(ISERROR(VLOOKUP(Base_Periodo1[[#This Row],[CONTA]],BaseContasDRE[#All],5,FALSE)),"Fora do DRE",VLOOKUP(Base_Periodo1[[#This Row],[CONTA]],BaseContasDRE[#All],6,FALSE))</f>
        <v>Fora do DRE</v>
      </c>
      <c r="U4003" s="3" t="str">
        <f>IF(ISERROR(VLOOKUP(Base_Periodo1[[#This Row],[CONTA]],BaseContasDRE[#All],7,FALSE)),"Fora do DRE",VLOOKUP(Base_Periodo1[[#This Row],[CONTA]],BaseContasDRE[#All],7,FALSE))</f>
        <v>Fora do DRE</v>
      </c>
      <c r="V4003" s="3" t="str">
        <f>IF(Base_Periodo1[[#This Row],[Tipo_Linha]]="Fora do DRE","Fora do DRE","( "&amp;Base_Periodo1[[#This Row],[Tipo_Linha]]&amp;" ) "&amp;Base_Periodo1[[#This Row],[Filtro]])</f>
        <v>Fora do DRE</v>
      </c>
      <c r="W4003" s="3" t="str">
        <f>LEFT(Base_Periodo1[[#This Row],[CLASS]],3)</f>
        <v>2.1</v>
      </c>
    </row>
    <row r="4004" spans="1:23" hidden="1">
      <c r="A4004" s="3" t="str">
        <f t="shared" si="62"/>
        <v>Período 1</v>
      </c>
      <c r="B4004">
        <v>4713</v>
      </c>
      <c r="C4004" t="s">
        <v>2010</v>
      </c>
      <c r="D4004" t="s">
        <v>979</v>
      </c>
      <c r="E4004" s="3" t="str">
        <f>IF(LEN(Base_Periodo1[[#This Row],[CLASS]])&gt;=7,LEFT(Base_Periodo1[[#This Row],[CLASS]],7),"")</f>
        <v>2.1.2.2</v>
      </c>
      <c r="F4004" s="3" t="str">
        <f>VLOOKUP(Base_Periodo1[[#This Row],[Aux]],Base_Contas_Balanco[#All],2,FALSE)</f>
        <v>Fornecedores Não Cooperados</v>
      </c>
      <c r="G4004" s="1">
        <v>42864</v>
      </c>
      <c r="H4004" s="225">
        <v>174362.04000000004</v>
      </c>
      <c r="I4004" s="225">
        <v>10080</v>
      </c>
      <c r="J4004" s="225">
        <v>0</v>
      </c>
      <c r="K4004" s="225">
        <v>164282.04000000004</v>
      </c>
      <c r="L40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164282.04</v>
      </c>
      <c r="M4004" s="225">
        <f>ROUND(IF(AND(Base_Periodo1[[#This Row],[Tipo_Linha]]="-",Base_Periodo1[[#This Row],[TIPOSALDO]]="D"),Base_Periodo1[[#This Row],[SALDO_ATUAL]]*-1,Base_Periodo1[[#This Row],[SALDO_ATUAL]]),4)</f>
        <v>164282.04</v>
      </c>
      <c r="N4004" t="s">
        <v>116</v>
      </c>
      <c r="O4004" t="s">
        <v>459</v>
      </c>
      <c r="P4004" t="s">
        <v>459</v>
      </c>
      <c r="Q4004">
        <v>7</v>
      </c>
      <c r="R4004" s="225">
        <f>Base_Periodo1[[#This Row],[CREDITOS]]-Base_Periodo1[[#This Row],[DEBITOS]]</f>
        <v>-10080</v>
      </c>
      <c r="S4004" s="3" t="str">
        <f>IF(ISERROR(VLOOKUP(Base_Periodo1[[#This Row],[CONTA]],BaseContasDRE[#All],4,FALSE)),"Fora do DRE",VLOOKUP(Base_Periodo1[[#This Row],[CONTA]],BaseContasDRE[#All],4,FALSE))</f>
        <v>Fora do DRE</v>
      </c>
      <c r="T4004" s="3" t="str">
        <f>IF(ISERROR(VLOOKUP(Base_Periodo1[[#This Row],[CONTA]],BaseContasDRE[#All],5,FALSE)),"Fora do DRE",VLOOKUP(Base_Periodo1[[#This Row],[CONTA]],BaseContasDRE[#All],6,FALSE))</f>
        <v>Fora do DRE</v>
      </c>
      <c r="U4004" s="3" t="str">
        <f>IF(ISERROR(VLOOKUP(Base_Periodo1[[#This Row],[CONTA]],BaseContasDRE[#All],7,FALSE)),"Fora do DRE",VLOOKUP(Base_Periodo1[[#This Row],[CONTA]],BaseContasDRE[#All],7,FALSE))</f>
        <v>Fora do DRE</v>
      </c>
      <c r="V4004" s="3" t="str">
        <f>IF(Base_Periodo1[[#This Row],[Tipo_Linha]]="Fora do DRE","Fora do DRE","( "&amp;Base_Periodo1[[#This Row],[Tipo_Linha]]&amp;" ) "&amp;Base_Periodo1[[#This Row],[Filtro]])</f>
        <v>Fora do DRE</v>
      </c>
      <c r="W4004" s="3" t="str">
        <f>LEFT(Base_Periodo1[[#This Row],[CLASS]],3)</f>
        <v>2.1</v>
      </c>
    </row>
    <row r="4005" spans="1:23" hidden="1">
      <c r="A4005" s="3" t="str">
        <f t="shared" si="62"/>
        <v>Período 1</v>
      </c>
      <c r="B4005">
        <v>29850</v>
      </c>
      <c r="C4005" t="s">
        <v>2010</v>
      </c>
      <c r="D4005" t="s">
        <v>979</v>
      </c>
      <c r="E4005" s="3" t="str">
        <f>IF(LEN(Base_Periodo1[[#This Row],[CLASS]])&gt;=7,LEFT(Base_Periodo1[[#This Row],[CLASS]],7),"")</f>
        <v>2.1.2.2</v>
      </c>
      <c r="F4005" s="3" t="str">
        <f>VLOOKUP(Base_Periodo1[[#This Row],[Aux]],Base_Contas_Balanco[#All],2,FALSE)</f>
        <v>Fornecedores Não Cooperados</v>
      </c>
      <c r="G4005" s="1">
        <v>42656</v>
      </c>
      <c r="H4005" s="225">
        <v>104760</v>
      </c>
      <c r="I4005" s="225">
        <v>0</v>
      </c>
      <c r="J4005" s="225">
        <v>0</v>
      </c>
      <c r="K4005" s="225">
        <v>104760</v>
      </c>
      <c r="L40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104760</v>
      </c>
      <c r="M4005" s="225">
        <f>ROUND(IF(AND(Base_Periodo1[[#This Row],[Tipo_Linha]]="-",Base_Periodo1[[#This Row],[TIPOSALDO]]="D"),Base_Periodo1[[#This Row],[SALDO_ATUAL]]*-1,Base_Periodo1[[#This Row],[SALDO_ATUAL]]),4)</f>
        <v>104760</v>
      </c>
      <c r="N4005" t="s">
        <v>116</v>
      </c>
      <c r="O4005" t="s">
        <v>459</v>
      </c>
      <c r="P4005" t="s">
        <v>459</v>
      </c>
      <c r="Q4005">
        <v>7</v>
      </c>
      <c r="R4005" s="225">
        <f>Base_Periodo1[[#This Row],[CREDITOS]]-Base_Periodo1[[#This Row],[DEBITOS]]</f>
        <v>0</v>
      </c>
      <c r="S4005" s="3" t="str">
        <f>IF(ISERROR(VLOOKUP(Base_Periodo1[[#This Row],[CONTA]],BaseContasDRE[#All],4,FALSE)),"Fora do DRE",VLOOKUP(Base_Periodo1[[#This Row],[CONTA]],BaseContasDRE[#All],4,FALSE))</f>
        <v>Fora do DRE</v>
      </c>
      <c r="T4005" s="3" t="str">
        <f>IF(ISERROR(VLOOKUP(Base_Periodo1[[#This Row],[CONTA]],BaseContasDRE[#All],5,FALSE)),"Fora do DRE",VLOOKUP(Base_Periodo1[[#This Row],[CONTA]],BaseContasDRE[#All],6,FALSE))</f>
        <v>Fora do DRE</v>
      </c>
      <c r="U4005" s="3" t="str">
        <f>IF(ISERROR(VLOOKUP(Base_Periodo1[[#This Row],[CONTA]],BaseContasDRE[#All],7,FALSE)),"Fora do DRE",VLOOKUP(Base_Periodo1[[#This Row],[CONTA]],BaseContasDRE[#All],7,FALSE))</f>
        <v>Fora do DRE</v>
      </c>
      <c r="V4005" s="3" t="str">
        <f>IF(Base_Periodo1[[#This Row],[Tipo_Linha]]="Fora do DRE","Fora do DRE","( "&amp;Base_Periodo1[[#This Row],[Tipo_Linha]]&amp;" ) "&amp;Base_Periodo1[[#This Row],[Filtro]])</f>
        <v>Fora do DRE</v>
      </c>
      <c r="W4005" s="3" t="str">
        <f>LEFT(Base_Periodo1[[#This Row],[CLASS]],3)</f>
        <v>2.1</v>
      </c>
    </row>
    <row r="4006" spans="1:23" hidden="1">
      <c r="A4006" s="3" t="str">
        <f t="shared" si="62"/>
        <v>Período 1</v>
      </c>
      <c r="B4006">
        <v>29854</v>
      </c>
      <c r="C4006" t="s">
        <v>2010</v>
      </c>
      <c r="D4006" t="s">
        <v>979</v>
      </c>
      <c r="E4006" s="3" t="str">
        <f>IF(LEN(Base_Periodo1[[#This Row],[CLASS]])&gt;=7,LEFT(Base_Periodo1[[#This Row],[CLASS]],7),"")</f>
        <v>2.1.2.2</v>
      </c>
      <c r="F4006" s="3" t="str">
        <f>VLOOKUP(Base_Periodo1[[#This Row],[Aux]],Base_Contas_Balanco[#All],2,FALSE)</f>
        <v>Fornecedores Não Cooperados</v>
      </c>
      <c r="G4006" s="1">
        <v>42697</v>
      </c>
      <c r="H4006" s="225">
        <v>332550.00000000186</v>
      </c>
      <c r="I4006" s="225">
        <v>0</v>
      </c>
      <c r="J4006" s="225">
        <v>0</v>
      </c>
      <c r="K4006" s="225">
        <v>332550.00000000186</v>
      </c>
      <c r="L40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332550</v>
      </c>
      <c r="M4006" s="225">
        <f>ROUND(IF(AND(Base_Periodo1[[#This Row],[Tipo_Linha]]="-",Base_Periodo1[[#This Row],[TIPOSALDO]]="D"),Base_Periodo1[[#This Row],[SALDO_ATUAL]]*-1,Base_Periodo1[[#This Row],[SALDO_ATUAL]]),4)</f>
        <v>332550</v>
      </c>
      <c r="N4006" t="s">
        <v>116</v>
      </c>
      <c r="O4006" t="s">
        <v>459</v>
      </c>
      <c r="P4006" t="s">
        <v>459</v>
      </c>
      <c r="Q4006">
        <v>7</v>
      </c>
      <c r="R4006" s="225">
        <f>Base_Periodo1[[#This Row],[CREDITOS]]-Base_Periodo1[[#This Row],[DEBITOS]]</f>
        <v>0</v>
      </c>
      <c r="S4006" s="3" t="str">
        <f>IF(ISERROR(VLOOKUP(Base_Periodo1[[#This Row],[CONTA]],BaseContasDRE[#All],4,FALSE)),"Fora do DRE",VLOOKUP(Base_Periodo1[[#This Row],[CONTA]],BaseContasDRE[#All],4,FALSE))</f>
        <v>Fora do DRE</v>
      </c>
      <c r="T4006" s="3" t="str">
        <f>IF(ISERROR(VLOOKUP(Base_Periodo1[[#This Row],[CONTA]],BaseContasDRE[#All],5,FALSE)),"Fora do DRE",VLOOKUP(Base_Periodo1[[#This Row],[CONTA]],BaseContasDRE[#All],6,FALSE))</f>
        <v>Fora do DRE</v>
      </c>
      <c r="U4006" s="3" t="str">
        <f>IF(ISERROR(VLOOKUP(Base_Periodo1[[#This Row],[CONTA]],BaseContasDRE[#All],7,FALSE)),"Fora do DRE",VLOOKUP(Base_Periodo1[[#This Row],[CONTA]],BaseContasDRE[#All],7,FALSE))</f>
        <v>Fora do DRE</v>
      </c>
      <c r="V4006" s="3" t="str">
        <f>IF(Base_Periodo1[[#This Row],[Tipo_Linha]]="Fora do DRE","Fora do DRE","( "&amp;Base_Periodo1[[#This Row],[Tipo_Linha]]&amp;" ) "&amp;Base_Periodo1[[#This Row],[Filtro]])</f>
        <v>Fora do DRE</v>
      </c>
      <c r="W4006" s="3" t="str">
        <f>LEFT(Base_Periodo1[[#This Row],[CLASS]],3)</f>
        <v>2.1</v>
      </c>
    </row>
    <row r="4007" spans="1:23" hidden="1">
      <c r="A4007" s="3" t="str">
        <f t="shared" si="62"/>
        <v>Período 1</v>
      </c>
      <c r="B4007">
        <v>48610</v>
      </c>
      <c r="C4007" t="s">
        <v>2010</v>
      </c>
      <c r="D4007" t="s">
        <v>979</v>
      </c>
      <c r="E4007" s="3" t="str">
        <f>IF(LEN(Base_Periodo1[[#This Row],[CLASS]])&gt;=7,LEFT(Base_Periodo1[[#This Row],[CLASS]],7),"")</f>
        <v>2.1.2.2</v>
      </c>
      <c r="F4007" s="3" t="str">
        <f>VLOOKUP(Base_Periodo1[[#This Row],[Aux]],Base_Contas_Balanco[#All],2,FALSE)</f>
        <v>Fornecedores Não Cooperados</v>
      </c>
      <c r="G4007" s="1">
        <v>42674</v>
      </c>
      <c r="H4007" s="225">
        <v>32737.5</v>
      </c>
      <c r="I4007" s="225">
        <v>0</v>
      </c>
      <c r="J4007" s="225">
        <v>0</v>
      </c>
      <c r="K4007" s="225">
        <v>32737.5</v>
      </c>
      <c r="L40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32737.5</v>
      </c>
      <c r="M4007" s="225">
        <f>ROUND(IF(AND(Base_Periodo1[[#This Row],[Tipo_Linha]]="-",Base_Periodo1[[#This Row],[TIPOSALDO]]="D"),Base_Periodo1[[#This Row],[SALDO_ATUAL]]*-1,Base_Periodo1[[#This Row],[SALDO_ATUAL]]),4)</f>
        <v>32737.5</v>
      </c>
      <c r="N4007" t="s">
        <v>116</v>
      </c>
      <c r="O4007" t="s">
        <v>459</v>
      </c>
      <c r="P4007" t="s">
        <v>459</v>
      </c>
      <c r="Q4007">
        <v>7</v>
      </c>
      <c r="R4007" s="225">
        <f>Base_Periodo1[[#This Row],[CREDITOS]]-Base_Periodo1[[#This Row],[DEBITOS]]</f>
        <v>0</v>
      </c>
      <c r="S4007" s="3" t="str">
        <f>IF(ISERROR(VLOOKUP(Base_Periodo1[[#This Row],[CONTA]],BaseContasDRE[#All],4,FALSE)),"Fora do DRE",VLOOKUP(Base_Periodo1[[#This Row],[CONTA]],BaseContasDRE[#All],4,FALSE))</f>
        <v>Fora do DRE</v>
      </c>
      <c r="T4007" s="3" t="str">
        <f>IF(ISERROR(VLOOKUP(Base_Periodo1[[#This Row],[CONTA]],BaseContasDRE[#All],5,FALSE)),"Fora do DRE",VLOOKUP(Base_Periodo1[[#This Row],[CONTA]],BaseContasDRE[#All],6,FALSE))</f>
        <v>Fora do DRE</v>
      </c>
      <c r="U4007" s="3" t="str">
        <f>IF(ISERROR(VLOOKUP(Base_Periodo1[[#This Row],[CONTA]],BaseContasDRE[#All],7,FALSE)),"Fora do DRE",VLOOKUP(Base_Periodo1[[#This Row],[CONTA]],BaseContasDRE[#All],7,FALSE))</f>
        <v>Fora do DRE</v>
      </c>
      <c r="V4007" s="3" t="str">
        <f>IF(Base_Periodo1[[#This Row],[Tipo_Linha]]="Fora do DRE","Fora do DRE","( "&amp;Base_Periodo1[[#This Row],[Tipo_Linha]]&amp;" ) "&amp;Base_Periodo1[[#This Row],[Filtro]])</f>
        <v>Fora do DRE</v>
      </c>
      <c r="W4007" s="3" t="str">
        <f>LEFT(Base_Periodo1[[#This Row],[CLASS]],3)</f>
        <v>2.1</v>
      </c>
    </row>
    <row r="4008" spans="1:23" hidden="1">
      <c r="A4008" s="3" t="str">
        <f t="shared" si="62"/>
        <v>Período 1</v>
      </c>
      <c r="B4008">
        <v>35283</v>
      </c>
      <c r="C4008" t="s">
        <v>2010</v>
      </c>
      <c r="D4008" t="s">
        <v>979</v>
      </c>
      <c r="E4008" s="3" t="str">
        <f>IF(LEN(Base_Periodo1[[#This Row],[CLASS]])&gt;=7,LEFT(Base_Periodo1[[#This Row],[CLASS]],7),"")</f>
        <v>2.1.2.2</v>
      </c>
      <c r="F4008" s="3" t="str">
        <f>VLOOKUP(Base_Periodo1[[#This Row],[Aux]],Base_Contas_Balanco[#All],2,FALSE)</f>
        <v>Fornecedores Não Cooperados</v>
      </c>
      <c r="G4008" s="1">
        <v>42710</v>
      </c>
      <c r="H4008" s="225">
        <v>251819.99999999988</v>
      </c>
      <c r="I4008" s="225">
        <v>0</v>
      </c>
      <c r="J4008" s="225">
        <v>0</v>
      </c>
      <c r="K4008" s="225">
        <v>251819.99999999988</v>
      </c>
      <c r="L40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251820</v>
      </c>
      <c r="M4008" s="225">
        <f>ROUND(IF(AND(Base_Periodo1[[#This Row],[Tipo_Linha]]="-",Base_Periodo1[[#This Row],[TIPOSALDO]]="D"),Base_Periodo1[[#This Row],[SALDO_ATUAL]]*-1,Base_Periodo1[[#This Row],[SALDO_ATUAL]]),4)</f>
        <v>251820</v>
      </c>
      <c r="N4008" t="s">
        <v>116</v>
      </c>
      <c r="O4008" t="s">
        <v>459</v>
      </c>
      <c r="P4008" t="s">
        <v>459</v>
      </c>
      <c r="Q4008">
        <v>7</v>
      </c>
      <c r="R4008" s="225">
        <f>Base_Periodo1[[#This Row],[CREDITOS]]-Base_Periodo1[[#This Row],[DEBITOS]]</f>
        <v>0</v>
      </c>
      <c r="S4008" s="3" t="str">
        <f>IF(ISERROR(VLOOKUP(Base_Periodo1[[#This Row],[CONTA]],BaseContasDRE[#All],4,FALSE)),"Fora do DRE",VLOOKUP(Base_Periodo1[[#This Row],[CONTA]],BaseContasDRE[#All],4,FALSE))</f>
        <v>Fora do DRE</v>
      </c>
      <c r="T4008" s="3" t="str">
        <f>IF(ISERROR(VLOOKUP(Base_Periodo1[[#This Row],[CONTA]],BaseContasDRE[#All],5,FALSE)),"Fora do DRE",VLOOKUP(Base_Periodo1[[#This Row],[CONTA]],BaseContasDRE[#All],6,FALSE))</f>
        <v>Fora do DRE</v>
      </c>
      <c r="U4008" s="3" t="str">
        <f>IF(ISERROR(VLOOKUP(Base_Periodo1[[#This Row],[CONTA]],BaseContasDRE[#All],7,FALSE)),"Fora do DRE",VLOOKUP(Base_Periodo1[[#This Row],[CONTA]],BaseContasDRE[#All],7,FALSE))</f>
        <v>Fora do DRE</v>
      </c>
      <c r="V4008" s="3" t="str">
        <f>IF(Base_Periodo1[[#This Row],[Tipo_Linha]]="Fora do DRE","Fora do DRE","( "&amp;Base_Periodo1[[#This Row],[Tipo_Linha]]&amp;" ) "&amp;Base_Periodo1[[#This Row],[Filtro]])</f>
        <v>Fora do DRE</v>
      </c>
      <c r="W4008" s="3" t="str">
        <f>LEFT(Base_Periodo1[[#This Row],[CLASS]],3)</f>
        <v>2.1</v>
      </c>
    </row>
    <row r="4009" spans="1:23" hidden="1">
      <c r="A4009" s="3" t="str">
        <f t="shared" si="62"/>
        <v>Período 1</v>
      </c>
      <c r="B4009">
        <v>36249</v>
      </c>
      <c r="C4009" t="s">
        <v>2010</v>
      </c>
      <c r="D4009" t="s">
        <v>4961</v>
      </c>
      <c r="E4009" s="3" t="str">
        <f>IF(LEN(Base_Periodo1[[#This Row],[CLASS]])&gt;=7,LEFT(Base_Periodo1[[#This Row],[CLASS]],7),"")</f>
        <v>2.1.2.2</v>
      </c>
      <c r="F4009" s="3" t="str">
        <f>VLOOKUP(Base_Periodo1[[#This Row],[Aux]],Base_Contas_Balanco[#All],2,FALSE)</f>
        <v>Fornecedores Não Cooperados</v>
      </c>
      <c r="G4009" s="1">
        <v>42804</v>
      </c>
      <c r="H4009" s="225">
        <v>4999.9999999995343</v>
      </c>
      <c r="I4009" s="225">
        <v>0</v>
      </c>
      <c r="J4009" s="225">
        <v>0</v>
      </c>
      <c r="K4009" s="225">
        <v>4999.9999999995343</v>
      </c>
      <c r="L40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5000</v>
      </c>
      <c r="M4009" s="225">
        <f>ROUND(IF(AND(Base_Periodo1[[#This Row],[Tipo_Linha]]="-",Base_Periodo1[[#This Row],[TIPOSALDO]]="D"),Base_Periodo1[[#This Row],[SALDO_ATUAL]]*-1,Base_Periodo1[[#This Row],[SALDO_ATUAL]]),4)</f>
        <v>5000</v>
      </c>
      <c r="N4009" t="s">
        <v>116</v>
      </c>
      <c r="O4009" t="s">
        <v>459</v>
      </c>
      <c r="P4009" t="s">
        <v>459</v>
      </c>
      <c r="Q4009">
        <v>7</v>
      </c>
      <c r="R4009" s="225">
        <f>Base_Periodo1[[#This Row],[CREDITOS]]-Base_Periodo1[[#This Row],[DEBITOS]]</f>
        <v>0</v>
      </c>
      <c r="S4009" s="3" t="str">
        <f>IF(ISERROR(VLOOKUP(Base_Periodo1[[#This Row],[CONTA]],BaseContasDRE[#All],4,FALSE)),"Fora do DRE",VLOOKUP(Base_Periodo1[[#This Row],[CONTA]],BaseContasDRE[#All],4,FALSE))</f>
        <v>Fora do DRE</v>
      </c>
      <c r="T4009" s="3" t="str">
        <f>IF(ISERROR(VLOOKUP(Base_Periodo1[[#This Row],[CONTA]],BaseContasDRE[#All],5,FALSE)),"Fora do DRE",VLOOKUP(Base_Periodo1[[#This Row],[CONTA]],BaseContasDRE[#All],6,FALSE))</f>
        <v>Fora do DRE</v>
      </c>
      <c r="U4009" s="3" t="str">
        <f>IF(ISERROR(VLOOKUP(Base_Periodo1[[#This Row],[CONTA]],BaseContasDRE[#All],7,FALSE)),"Fora do DRE",VLOOKUP(Base_Periodo1[[#This Row],[CONTA]],BaseContasDRE[#All],7,FALSE))</f>
        <v>Fora do DRE</v>
      </c>
      <c r="V4009" s="3" t="str">
        <f>IF(Base_Periodo1[[#This Row],[Tipo_Linha]]="Fora do DRE","Fora do DRE","( "&amp;Base_Periodo1[[#This Row],[Tipo_Linha]]&amp;" ) "&amp;Base_Periodo1[[#This Row],[Filtro]])</f>
        <v>Fora do DRE</v>
      </c>
      <c r="W4009" s="3" t="str">
        <f>LEFT(Base_Periodo1[[#This Row],[CLASS]],3)</f>
        <v>2.1</v>
      </c>
    </row>
    <row r="4010" spans="1:23" hidden="1">
      <c r="A4010" s="3" t="str">
        <f t="shared" si="62"/>
        <v>Período 1</v>
      </c>
      <c r="B4010">
        <v>20262</v>
      </c>
      <c r="C4010" t="s">
        <v>2010</v>
      </c>
      <c r="D4010" t="s">
        <v>7144</v>
      </c>
      <c r="E4010" s="3" t="str">
        <f>IF(LEN(Base_Periodo1[[#This Row],[CLASS]])&gt;=7,LEFT(Base_Periodo1[[#This Row],[CLASS]],7),"")</f>
        <v>2.1.2.2</v>
      </c>
      <c r="F4010" s="3" t="str">
        <f>VLOOKUP(Base_Periodo1[[#This Row],[Aux]],Base_Contas_Balanco[#All],2,FALSE)</f>
        <v>Fornecedores Não Cooperados</v>
      </c>
      <c r="G4010" s="1">
        <v>42885</v>
      </c>
      <c r="I4010" s="225">
        <v>53.9</v>
      </c>
      <c r="J4010" s="225">
        <v>53.9</v>
      </c>
      <c r="K4010" s="225">
        <v>0</v>
      </c>
      <c r="L40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10" s="225">
        <f>ROUND(IF(AND(Base_Periodo1[[#This Row],[Tipo_Linha]]="-",Base_Periodo1[[#This Row],[TIPOSALDO]]="D"),Base_Periodo1[[#This Row],[SALDO_ATUAL]]*-1,Base_Periodo1[[#This Row],[SALDO_ATUAL]]),4)</f>
        <v>0</v>
      </c>
      <c r="N4010" t="s">
        <v>116</v>
      </c>
      <c r="O4010" t="s">
        <v>436</v>
      </c>
      <c r="P4010" t="s">
        <v>436</v>
      </c>
      <c r="Q4010">
        <v>7</v>
      </c>
      <c r="R4010" s="225">
        <f>Base_Periodo1[[#This Row],[CREDITOS]]-Base_Periodo1[[#This Row],[DEBITOS]]</f>
        <v>0</v>
      </c>
      <c r="S4010" s="3" t="str">
        <f>IF(ISERROR(VLOOKUP(Base_Periodo1[[#This Row],[CONTA]],BaseContasDRE[#All],4,FALSE)),"Fora do DRE",VLOOKUP(Base_Periodo1[[#This Row],[CONTA]],BaseContasDRE[#All],4,FALSE))</f>
        <v>Fora do DRE</v>
      </c>
      <c r="T4010" s="3" t="str">
        <f>IF(ISERROR(VLOOKUP(Base_Periodo1[[#This Row],[CONTA]],BaseContasDRE[#All],5,FALSE)),"Fora do DRE",VLOOKUP(Base_Periodo1[[#This Row],[CONTA]],BaseContasDRE[#All],6,FALSE))</f>
        <v>Fora do DRE</v>
      </c>
      <c r="U4010" s="3" t="str">
        <f>IF(ISERROR(VLOOKUP(Base_Periodo1[[#This Row],[CONTA]],BaseContasDRE[#All],7,FALSE)),"Fora do DRE",VLOOKUP(Base_Periodo1[[#This Row],[CONTA]],BaseContasDRE[#All],7,FALSE))</f>
        <v>Fora do DRE</v>
      </c>
      <c r="V4010" s="3" t="str">
        <f>IF(Base_Periodo1[[#This Row],[Tipo_Linha]]="Fora do DRE","Fora do DRE","( "&amp;Base_Periodo1[[#This Row],[Tipo_Linha]]&amp;" ) "&amp;Base_Periodo1[[#This Row],[Filtro]])</f>
        <v>Fora do DRE</v>
      </c>
      <c r="W4010" s="3" t="str">
        <f>LEFT(Base_Periodo1[[#This Row],[CLASS]],3)</f>
        <v>2.1</v>
      </c>
    </row>
    <row r="4011" spans="1:23" hidden="1">
      <c r="A4011" s="3" t="str">
        <f t="shared" si="62"/>
        <v>Período 1</v>
      </c>
      <c r="B4011">
        <v>31833</v>
      </c>
      <c r="C4011" t="s">
        <v>2010</v>
      </c>
      <c r="D4011" t="s">
        <v>2133</v>
      </c>
      <c r="E4011" s="3" t="str">
        <f>IF(LEN(Base_Periodo1[[#This Row],[CLASS]])&gt;=7,LEFT(Base_Periodo1[[#This Row],[CLASS]],7),"")</f>
        <v>2.1.2.2</v>
      </c>
      <c r="F4011" s="3" t="str">
        <f>VLOOKUP(Base_Periodo1[[#This Row],[Aux]],Base_Contas_Balanco[#All],2,FALSE)</f>
        <v>Fornecedores Não Cooperados</v>
      </c>
      <c r="G4011" s="1">
        <v>42858</v>
      </c>
      <c r="I4011" s="225">
        <v>512837.72</v>
      </c>
      <c r="J4011" s="225">
        <v>512837.72</v>
      </c>
      <c r="K4011" s="225">
        <v>0</v>
      </c>
      <c r="L40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11" s="225">
        <f>ROUND(IF(AND(Base_Periodo1[[#This Row],[Tipo_Linha]]="-",Base_Periodo1[[#This Row],[TIPOSALDO]]="D"),Base_Periodo1[[#This Row],[SALDO_ATUAL]]*-1,Base_Periodo1[[#This Row],[SALDO_ATUAL]]),4)</f>
        <v>0</v>
      </c>
      <c r="N4011" t="s">
        <v>116</v>
      </c>
      <c r="O4011" t="s">
        <v>436</v>
      </c>
      <c r="P4011" t="s">
        <v>436</v>
      </c>
      <c r="Q4011">
        <v>7</v>
      </c>
      <c r="R4011" s="225">
        <f>Base_Periodo1[[#This Row],[CREDITOS]]-Base_Periodo1[[#This Row],[DEBITOS]]</f>
        <v>0</v>
      </c>
      <c r="S4011" s="3" t="str">
        <f>IF(ISERROR(VLOOKUP(Base_Periodo1[[#This Row],[CONTA]],BaseContasDRE[#All],4,FALSE)),"Fora do DRE",VLOOKUP(Base_Periodo1[[#This Row],[CONTA]],BaseContasDRE[#All],4,FALSE))</f>
        <v>Fora do DRE</v>
      </c>
      <c r="T4011" s="3" t="str">
        <f>IF(ISERROR(VLOOKUP(Base_Periodo1[[#This Row],[CONTA]],BaseContasDRE[#All],5,FALSE)),"Fora do DRE",VLOOKUP(Base_Periodo1[[#This Row],[CONTA]],BaseContasDRE[#All],6,FALSE))</f>
        <v>Fora do DRE</v>
      </c>
      <c r="U4011" s="3" t="str">
        <f>IF(ISERROR(VLOOKUP(Base_Periodo1[[#This Row],[CONTA]],BaseContasDRE[#All],7,FALSE)),"Fora do DRE",VLOOKUP(Base_Periodo1[[#This Row],[CONTA]],BaseContasDRE[#All],7,FALSE))</f>
        <v>Fora do DRE</v>
      </c>
      <c r="V4011" s="3" t="str">
        <f>IF(Base_Periodo1[[#This Row],[Tipo_Linha]]="Fora do DRE","Fora do DRE","( "&amp;Base_Periodo1[[#This Row],[Tipo_Linha]]&amp;" ) "&amp;Base_Periodo1[[#This Row],[Filtro]])</f>
        <v>Fora do DRE</v>
      </c>
      <c r="W4011" s="3" t="str">
        <f>LEFT(Base_Periodo1[[#This Row],[CLASS]],3)</f>
        <v>2.1</v>
      </c>
    </row>
    <row r="4012" spans="1:23" hidden="1">
      <c r="A4012" s="3" t="str">
        <f t="shared" si="62"/>
        <v>Período 1</v>
      </c>
      <c r="B4012">
        <v>37359</v>
      </c>
      <c r="C4012" t="s">
        <v>2010</v>
      </c>
      <c r="D4012" t="s">
        <v>2134</v>
      </c>
      <c r="E4012" s="3" t="str">
        <f>IF(LEN(Base_Periodo1[[#This Row],[CLASS]])&gt;=7,LEFT(Base_Periodo1[[#This Row],[CLASS]],7),"")</f>
        <v>2.1.2.2</v>
      </c>
      <c r="F4012" s="3" t="str">
        <f>VLOOKUP(Base_Periodo1[[#This Row],[Aux]],Base_Contas_Balanco[#All],2,FALSE)</f>
        <v>Fornecedores Não Cooperados</v>
      </c>
      <c r="G4012" s="1">
        <v>42880</v>
      </c>
      <c r="I4012" s="225">
        <v>15453.439999999999</v>
      </c>
      <c r="J4012" s="225">
        <v>15453.439999999999</v>
      </c>
      <c r="K4012" s="225">
        <v>-1.1641532182693481E-10</v>
      </c>
      <c r="L40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12" s="225">
        <f>ROUND(IF(AND(Base_Periodo1[[#This Row],[Tipo_Linha]]="-",Base_Periodo1[[#This Row],[TIPOSALDO]]="D"),Base_Periodo1[[#This Row],[SALDO_ATUAL]]*-1,Base_Periodo1[[#This Row],[SALDO_ATUAL]]),4)</f>
        <v>0</v>
      </c>
      <c r="N4012" t="s">
        <v>116</v>
      </c>
      <c r="O4012" t="s">
        <v>436</v>
      </c>
      <c r="P4012" t="s">
        <v>436</v>
      </c>
      <c r="Q4012">
        <v>7</v>
      </c>
      <c r="R4012" s="225">
        <f>Base_Periodo1[[#This Row],[CREDITOS]]-Base_Periodo1[[#This Row],[DEBITOS]]</f>
        <v>0</v>
      </c>
      <c r="S4012" s="3" t="str">
        <f>IF(ISERROR(VLOOKUP(Base_Periodo1[[#This Row],[CONTA]],BaseContasDRE[#All],4,FALSE)),"Fora do DRE",VLOOKUP(Base_Periodo1[[#This Row],[CONTA]],BaseContasDRE[#All],4,FALSE))</f>
        <v>Fora do DRE</v>
      </c>
      <c r="T4012" s="3" t="str">
        <f>IF(ISERROR(VLOOKUP(Base_Periodo1[[#This Row],[CONTA]],BaseContasDRE[#All],5,FALSE)),"Fora do DRE",VLOOKUP(Base_Periodo1[[#This Row],[CONTA]],BaseContasDRE[#All],6,FALSE))</f>
        <v>Fora do DRE</v>
      </c>
      <c r="U4012" s="3" t="str">
        <f>IF(ISERROR(VLOOKUP(Base_Periodo1[[#This Row],[CONTA]],BaseContasDRE[#All],7,FALSE)),"Fora do DRE",VLOOKUP(Base_Periodo1[[#This Row],[CONTA]],BaseContasDRE[#All],7,FALSE))</f>
        <v>Fora do DRE</v>
      </c>
      <c r="V4012" s="3" t="str">
        <f>IF(Base_Periodo1[[#This Row],[Tipo_Linha]]="Fora do DRE","Fora do DRE","( "&amp;Base_Periodo1[[#This Row],[Tipo_Linha]]&amp;" ) "&amp;Base_Periodo1[[#This Row],[Filtro]])</f>
        <v>Fora do DRE</v>
      </c>
      <c r="W4012" s="3" t="str">
        <f>LEFT(Base_Periodo1[[#This Row],[CLASS]],3)</f>
        <v>2.1</v>
      </c>
    </row>
    <row r="4013" spans="1:23" hidden="1">
      <c r="A4013" s="3" t="str">
        <f t="shared" si="62"/>
        <v>Período 1</v>
      </c>
      <c r="B4013">
        <v>16776</v>
      </c>
      <c r="C4013" t="s">
        <v>2010</v>
      </c>
      <c r="D4013" t="s">
        <v>6534</v>
      </c>
      <c r="E4013" s="3" t="str">
        <f>IF(LEN(Base_Periodo1[[#This Row],[CLASS]])&gt;=7,LEFT(Base_Periodo1[[#This Row],[CLASS]],7),"")</f>
        <v>2.1.2.2</v>
      </c>
      <c r="F4013" s="3" t="str">
        <f>VLOOKUP(Base_Periodo1[[#This Row],[Aux]],Base_Contas_Balanco[#All],2,FALSE)</f>
        <v>Fornecedores Não Cooperados</v>
      </c>
      <c r="G4013" s="1">
        <v>42873</v>
      </c>
      <c r="I4013" s="225">
        <v>5363.64</v>
      </c>
      <c r="J4013" s="225">
        <v>5363.64</v>
      </c>
      <c r="K4013" s="225">
        <v>-1.8189894035458565E-12</v>
      </c>
      <c r="L40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13" s="225">
        <f>ROUND(IF(AND(Base_Periodo1[[#This Row],[Tipo_Linha]]="-",Base_Periodo1[[#This Row],[TIPOSALDO]]="D"),Base_Periodo1[[#This Row],[SALDO_ATUAL]]*-1,Base_Periodo1[[#This Row],[SALDO_ATUAL]]),4)</f>
        <v>0</v>
      </c>
      <c r="N4013" t="s">
        <v>116</v>
      </c>
      <c r="O4013" t="s">
        <v>436</v>
      </c>
      <c r="P4013" t="s">
        <v>436</v>
      </c>
      <c r="Q4013">
        <v>7</v>
      </c>
      <c r="R4013" s="225">
        <f>Base_Periodo1[[#This Row],[CREDITOS]]-Base_Periodo1[[#This Row],[DEBITOS]]</f>
        <v>0</v>
      </c>
      <c r="S4013" s="3" t="str">
        <f>IF(ISERROR(VLOOKUP(Base_Periodo1[[#This Row],[CONTA]],BaseContasDRE[#All],4,FALSE)),"Fora do DRE",VLOOKUP(Base_Periodo1[[#This Row],[CONTA]],BaseContasDRE[#All],4,FALSE))</f>
        <v>Fora do DRE</v>
      </c>
      <c r="T4013" s="3" t="str">
        <f>IF(ISERROR(VLOOKUP(Base_Periodo1[[#This Row],[CONTA]],BaseContasDRE[#All],5,FALSE)),"Fora do DRE",VLOOKUP(Base_Periodo1[[#This Row],[CONTA]],BaseContasDRE[#All],6,FALSE))</f>
        <v>Fora do DRE</v>
      </c>
      <c r="U4013" s="3" t="str">
        <f>IF(ISERROR(VLOOKUP(Base_Periodo1[[#This Row],[CONTA]],BaseContasDRE[#All],7,FALSE)),"Fora do DRE",VLOOKUP(Base_Periodo1[[#This Row],[CONTA]],BaseContasDRE[#All],7,FALSE))</f>
        <v>Fora do DRE</v>
      </c>
      <c r="V4013" s="3" t="str">
        <f>IF(Base_Periodo1[[#This Row],[Tipo_Linha]]="Fora do DRE","Fora do DRE","( "&amp;Base_Periodo1[[#This Row],[Tipo_Linha]]&amp;" ) "&amp;Base_Periodo1[[#This Row],[Filtro]])</f>
        <v>Fora do DRE</v>
      </c>
      <c r="W4013" s="3" t="str">
        <f>LEFT(Base_Periodo1[[#This Row],[CLASS]],3)</f>
        <v>2.1</v>
      </c>
    </row>
    <row r="4014" spans="1:23" hidden="1">
      <c r="A4014" s="3" t="str">
        <f t="shared" si="62"/>
        <v>Período 1</v>
      </c>
      <c r="B4014">
        <v>30485</v>
      </c>
      <c r="C4014" t="s">
        <v>2010</v>
      </c>
      <c r="D4014" t="s">
        <v>7145</v>
      </c>
      <c r="E4014" s="3" t="str">
        <f>IF(LEN(Base_Periodo1[[#This Row],[CLASS]])&gt;=7,LEFT(Base_Periodo1[[#This Row],[CLASS]],7),"")</f>
        <v>2.1.2.2</v>
      </c>
      <c r="F4014" s="3" t="str">
        <f>VLOOKUP(Base_Periodo1[[#This Row],[Aux]],Base_Contas_Balanco[#All],2,FALSE)</f>
        <v>Fornecedores Não Cooperados</v>
      </c>
      <c r="G4014" s="1">
        <v>42872</v>
      </c>
      <c r="I4014" s="225">
        <v>6237.5800000000008</v>
      </c>
      <c r="J4014" s="225">
        <v>6237.58</v>
      </c>
      <c r="K4014" s="225">
        <v>9.0949470177292824E-13</v>
      </c>
      <c r="L40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14" s="225">
        <f>ROUND(IF(AND(Base_Periodo1[[#This Row],[Tipo_Linha]]="-",Base_Periodo1[[#This Row],[TIPOSALDO]]="D"),Base_Periodo1[[#This Row],[SALDO_ATUAL]]*-1,Base_Periodo1[[#This Row],[SALDO_ATUAL]]),4)</f>
        <v>0</v>
      </c>
      <c r="N4014" t="s">
        <v>116</v>
      </c>
      <c r="O4014" t="s">
        <v>436</v>
      </c>
      <c r="P4014" t="s">
        <v>436</v>
      </c>
      <c r="Q4014">
        <v>7</v>
      </c>
      <c r="R4014" s="225">
        <f>Base_Periodo1[[#This Row],[CREDITOS]]-Base_Periodo1[[#This Row],[DEBITOS]]</f>
        <v>0</v>
      </c>
      <c r="S4014" s="3" t="str">
        <f>IF(ISERROR(VLOOKUP(Base_Periodo1[[#This Row],[CONTA]],BaseContasDRE[#All],4,FALSE)),"Fora do DRE",VLOOKUP(Base_Periodo1[[#This Row],[CONTA]],BaseContasDRE[#All],4,FALSE))</f>
        <v>Fora do DRE</v>
      </c>
      <c r="T4014" s="3" t="str">
        <f>IF(ISERROR(VLOOKUP(Base_Periodo1[[#This Row],[CONTA]],BaseContasDRE[#All],5,FALSE)),"Fora do DRE",VLOOKUP(Base_Periodo1[[#This Row],[CONTA]],BaseContasDRE[#All],6,FALSE))</f>
        <v>Fora do DRE</v>
      </c>
      <c r="U4014" s="3" t="str">
        <f>IF(ISERROR(VLOOKUP(Base_Periodo1[[#This Row],[CONTA]],BaseContasDRE[#All],7,FALSE)),"Fora do DRE",VLOOKUP(Base_Periodo1[[#This Row],[CONTA]],BaseContasDRE[#All],7,FALSE))</f>
        <v>Fora do DRE</v>
      </c>
      <c r="V4014" s="3" t="str">
        <f>IF(Base_Periodo1[[#This Row],[Tipo_Linha]]="Fora do DRE","Fora do DRE","( "&amp;Base_Periodo1[[#This Row],[Tipo_Linha]]&amp;" ) "&amp;Base_Periodo1[[#This Row],[Filtro]])</f>
        <v>Fora do DRE</v>
      </c>
      <c r="W4014" s="3" t="str">
        <f>LEFT(Base_Periodo1[[#This Row],[CLASS]],3)</f>
        <v>2.1</v>
      </c>
    </row>
    <row r="4015" spans="1:23" hidden="1">
      <c r="A4015" s="3" t="str">
        <f t="shared" si="62"/>
        <v>Período 1</v>
      </c>
      <c r="B4015">
        <v>4721</v>
      </c>
      <c r="C4015" t="s">
        <v>2010</v>
      </c>
      <c r="D4015" t="s">
        <v>4195</v>
      </c>
      <c r="E4015" s="3" t="str">
        <f>IF(LEN(Base_Periodo1[[#This Row],[CLASS]])&gt;=7,LEFT(Base_Periodo1[[#This Row],[CLASS]],7),"")</f>
        <v>2.1.2.2</v>
      </c>
      <c r="F4015" s="3" t="str">
        <f>VLOOKUP(Base_Periodo1[[#This Row],[Aux]],Base_Contas_Balanco[#All],2,FALSE)</f>
        <v>Fornecedores Não Cooperados</v>
      </c>
      <c r="G4015" s="1">
        <v>42880</v>
      </c>
      <c r="H4015" s="225">
        <v>181779.83000000007</v>
      </c>
      <c r="I4015" s="225">
        <v>1290499.9999999995</v>
      </c>
      <c r="J4015" s="225">
        <v>1108720.17</v>
      </c>
      <c r="K4015" s="225">
        <v>-4.6566128730773926E-10</v>
      </c>
      <c r="L40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15" s="225">
        <f>ROUND(IF(AND(Base_Periodo1[[#This Row],[Tipo_Linha]]="-",Base_Periodo1[[#This Row],[TIPOSALDO]]="D"),Base_Periodo1[[#This Row],[SALDO_ATUAL]]*-1,Base_Periodo1[[#This Row],[SALDO_ATUAL]]),4)</f>
        <v>0</v>
      </c>
      <c r="N4015" t="s">
        <v>116</v>
      </c>
      <c r="O4015" t="s">
        <v>459</v>
      </c>
      <c r="P4015" t="s">
        <v>436</v>
      </c>
      <c r="Q4015">
        <v>7</v>
      </c>
      <c r="R4015" s="225">
        <f>Base_Periodo1[[#This Row],[CREDITOS]]-Base_Periodo1[[#This Row],[DEBITOS]]</f>
        <v>-181779.82999999961</v>
      </c>
      <c r="S4015" s="3" t="str">
        <f>IF(ISERROR(VLOOKUP(Base_Periodo1[[#This Row],[CONTA]],BaseContasDRE[#All],4,FALSE)),"Fora do DRE",VLOOKUP(Base_Periodo1[[#This Row],[CONTA]],BaseContasDRE[#All],4,FALSE))</f>
        <v>Fora do DRE</v>
      </c>
      <c r="T4015" s="3" t="str">
        <f>IF(ISERROR(VLOOKUP(Base_Periodo1[[#This Row],[CONTA]],BaseContasDRE[#All],5,FALSE)),"Fora do DRE",VLOOKUP(Base_Periodo1[[#This Row],[CONTA]],BaseContasDRE[#All],6,FALSE))</f>
        <v>Fora do DRE</v>
      </c>
      <c r="U4015" s="3" t="str">
        <f>IF(ISERROR(VLOOKUP(Base_Periodo1[[#This Row],[CONTA]],BaseContasDRE[#All],7,FALSE)),"Fora do DRE",VLOOKUP(Base_Periodo1[[#This Row],[CONTA]],BaseContasDRE[#All],7,FALSE))</f>
        <v>Fora do DRE</v>
      </c>
      <c r="V4015" s="3" t="str">
        <f>IF(Base_Periodo1[[#This Row],[Tipo_Linha]]="Fora do DRE","Fora do DRE","( "&amp;Base_Periodo1[[#This Row],[Tipo_Linha]]&amp;" ) "&amp;Base_Periodo1[[#This Row],[Filtro]])</f>
        <v>Fora do DRE</v>
      </c>
      <c r="W4015" s="3" t="str">
        <f>LEFT(Base_Periodo1[[#This Row],[CLASS]],3)</f>
        <v>2.1</v>
      </c>
    </row>
    <row r="4016" spans="1:23" hidden="1">
      <c r="A4016" s="3" t="str">
        <f t="shared" si="62"/>
        <v>Período 1</v>
      </c>
      <c r="B4016">
        <v>40102</v>
      </c>
      <c r="C4016" t="s">
        <v>2010</v>
      </c>
      <c r="D4016" t="s">
        <v>6001</v>
      </c>
      <c r="E4016" s="3" t="str">
        <f>IF(LEN(Base_Periodo1[[#This Row],[CLASS]])&gt;=7,LEFT(Base_Periodo1[[#This Row],[CLASS]],7),"")</f>
        <v>2.1.2.2</v>
      </c>
      <c r="F4016" s="3" t="str">
        <f>VLOOKUP(Base_Periodo1[[#This Row],[Aux]],Base_Contas_Balanco[#All],2,FALSE)</f>
        <v>Fornecedores Não Cooperados</v>
      </c>
      <c r="G4016" s="1">
        <v>42885</v>
      </c>
      <c r="H4016" s="225">
        <v>8874.8399999999674</v>
      </c>
      <c r="I4016" s="225">
        <v>21516.649999999998</v>
      </c>
      <c r="J4016" s="225">
        <v>12641.81</v>
      </c>
      <c r="K4016" s="225">
        <v>3.092281986027956E-11</v>
      </c>
      <c r="L40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16" s="225">
        <f>ROUND(IF(AND(Base_Periodo1[[#This Row],[Tipo_Linha]]="-",Base_Periodo1[[#This Row],[TIPOSALDO]]="D"),Base_Periodo1[[#This Row],[SALDO_ATUAL]]*-1,Base_Periodo1[[#This Row],[SALDO_ATUAL]]),4)</f>
        <v>0</v>
      </c>
      <c r="N4016" t="s">
        <v>116</v>
      </c>
      <c r="O4016" t="s">
        <v>459</v>
      </c>
      <c r="P4016" t="s">
        <v>436</v>
      </c>
      <c r="Q4016">
        <v>7</v>
      </c>
      <c r="R4016" s="225">
        <f>Base_Periodo1[[#This Row],[CREDITOS]]-Base_Periodo1[[#This Row],[DEBITOS]]</f>
        <v>-8874.8399999999983</v>
      </c>
      <c r="S4016" s="3" t="str">
        <f>IF(ISERROR(VLOOKUP(Base_Periodo1[[#This Row],[CONTA]],BaseContasDRE[#All],4,FALSE)),"Fora do DRE",VLOOKUP(Base_Periodo1[[#This Row],[CONTA]],BaseContasDRE[#All],4,FALSE))</f>
        <v>Fora do DRE</v>
      </c>
      <c r="T4016" s="3" t="str">
        <f>IF(ISERROR(VLOOKUP(Base_Periodo1[[#This Row],[CONTA]],BaseContasDRE[#All],5,FALSE)),"Fora do DRE",VLOOKUP(Base_Periodo1[[#This Row],[CONTA]],BaseContasDRE[#All],6,FALSE))</f>
        <v>Fora do DRE</v>
      </c>
      <c r="U4016" s="3" t="str">
        <f>IF(ISERROR(VLOOKUP(Base_Periodo1[[#This Row],[CONTA]],BaseContasDRE[#All],7,FALSE)),"Fora do DRE",VLOOKUP(Base_Periodo1[[#This Row],[CONTA]],BaseContasDRE[#All],7,FALSE))</f>
        <v>Fora do DRE</v>
      </c>
      <c r="V4016" s="3" t="str">
        <f>IF(Base_Periodo1[[#This Row],[Tipo_Linha]]="Fora do DRE","Fora do DRE","( "&amp;Base_Periodo1[[#This Row],[Tipo_Linha]]&amp;" ) "&amp;Base_Periodo1[[#This Row],[Filtro]])</f>
        <v>Fora do DRE</v>
      </c>
      <c r="W4016" s="3" t="str">
        <f>LEFT(Base_Periodo1[[#This Row],[CLASS]],3)</f>
        <v>2.1</v>
      </c>
    </row>
    <row r="4017" spans="1:23" hidden="1">
      <c r="A4017" s="3" t="str">
        <f t="shared" si="62"/>
        <v>Período 1</v>
      </c>
      <c r="B4017">
        <v>12864</v>
      </c>
      <c r="C4017" t="s">
        <v>2010</v>
      </c>
      <c r="D4017" t="s">
        <v>5442</v>
      </c>
      <c r="E4017" s="3" t="str">
        <f>IF(LEN(Base_Periodo1[[#This Row],[CLASS]])&gt;=7,LEFT(Base_Periodo1[[#This Row],[CLASS]],7),"")</f>
        <v>2.1.2.2</v>
      </c>
      <c r="F4017" s="3" t="str">
        <f>VLOOKUP(Base_Periodo1[[#This Row],[Aux]],Base_Contas_Balanco[#All],2,FALSE)</f>
        <v>Fornecedores Não Cooperados</v>
      </c>
      <c r="G4017" s="1">
        <v>42871</v>
      </c>
      <c r="I4017" s="225">
        <v>316.61</v>
      </c>
      <c r="J4017" s="225">
        <v>316.61</v>
      </c>
      <c r="K4017" s="225">
        <v>2.9103830456733704E-11</v>
      </c>
      <c r="L40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17" s="225">
        <f>ROUND(IF(AND(Base_Periodo1[[#This Row],[Tipo_Linha]]="-",Base_Periodo1[[#This Row],[TIPOSALDO]]="D"),Base_Periodo1[[#This Row],[SALDO_ATUAL]]*-1,Base_Periodo1[[#This Row],[SALDO_ATUAL]]),4)</f>
        <v>0</v>
      </c>
      <c r="N4017" t="s">
        <v>116</v>
      </c>
      <c r="O4017" t="s">
        <v>436</v>
      </c>
      <c r="P4017" t="s">
        <v>436</v>
      </c>
      <c r="Q4017">
        <v>7</v>
      </c>
      <c r="R4017" s="225">
        <f>Base_Periodo1[[#This Row],[CREDITOS]]-Base_Periodo1[[#This Row],[DEBITOS]]</f>
        <v>0</v>
      </c>
      <c r="S4017" s="3" t="str">
        <f>IF(ISERROR(VLOOKUP(Base_Periodo1[[#This Row],[CONTA]],BaseContasDRE[#All],4,FALSE)),"Fora do DRE",VLOOKUP(Base_Periodo1[[#This Row],[CONTA]],BaseContasDRE[#All],4,FALSE))</f>
        <v>Fora do DRE</v>
      </c>
      <c r="T4017" s="3" t="str">
        <f>IF(ISERROR(VLOOKUP(Base_Periodo1[[#This Row],[CONTA]],BaseContasDRE[#All],5,FALSE)),"Fora do DRE",VLOOKUP(Base_Periodo1[[#This Row],[CONTA]],BaseContasDRE[#All],6,FALSE))</f>
        <v>Fora do DRE</v>
      </c>
      <c r="U4017" s="3" t="str">
        <f>IF(ISERROR(VLOOKUP(Base_Periodo1[[#This Row],[CONTA]],BaseContasDRE[#All],7,FALSE)),"Fora do DRE",VLOOKUP(Base_Periodo1[[#This Row],[CONTA]],BaseContasDRE[#All],7,FALSE))</f>
        <v>Fora do DRE</v>
      </c>
      <c r="V4017" s="3" t="str">
        <f>IF(Base_Periodo1[[#This Row],[Tipo_Linha]]="Fora do DRE","Fora do DRE","( "&amp;Base_Periodo1[[#This Row],[Tipo_Linha]]&amp;" ) "&amp;Base_Periodo1[[#This Row],[Filtro]])</f>
        <v>Fora do DRE</v>
      </c>
      <c r="W4017" s="3" t="str">
        <f>LEFT(Base_Periodo1[[#This Row],[CLASS]],3)</f>
        <v>2.1</v>
      </c>
    </row>
    <row r="4018" spans="1:23" hidden="1">
      <c r="A4018" s="3" t="str">
        <f t="shared" si="62"/>
        <v>Período 1</v>
      </c>
      <c r="B4018">
        <v>38228</v>
      </c>
      <c r="C4018" t="s">
        <v>2010</v>
      </c>
      <c r="D4018" t="s">
        <v>6535</v>
      </c>
      <c r="E4018" s="3" t="str">
        <f>IF(LEN(Base_Periodo1[[#This Row],[CLASS]])&gt;=7,LEFT(Base_Periodo1[[#This Row],[CLASS]],7),"")</f>
        <v>2.1.2.2</v>
      </c>
      <c r="F4018" s="3" t="str">
        <f>VLOOKUP(Base_Periodo1[[#This Row],[Aux]],Base_Contas_Balanco[#All],2,FALSE)</f>
        <v>Fornecedores Não Cooperados</v>
      </c>
      <c r="G4018" s="1">
        <v>42878</v>
      </c>
      <c r="I4018" s="225">
        <v>35897.599999999999</v>
      </c>
      <c r="J4018" s="225">
        <v>35897.599999999999</v>
      </c>
      <c r="K4018" s="225">
        <v>7.2759576141834259E-12</v>
      </c>
      <c r="L40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18" s="225">
        <f>ROUND(IF(AND(Base_Periodo1[[#This Row],[Tipo_Linha]]="-",Base_Periodo1[[#This Row],[TIPOSALDO]]="D"),Base_Periodo1[[#This Row],[SALDO_ATUAL]]*-1,Base_Periodo1[[#This Row],[SALDO_ATUAL]]),4)</f>
        <v>0</v>
      </c>
      <c r="N4018" t="s">
        <v>116</v>
      </c>
      <c r="O4018" t="s">
        <v>436</v>
      </c>
      <c r="P4018" t="s">
        <v>436</v>
      </c>
      <c r="Q4018">
        <v>7</v>
      </c>
      <c r="R4018" s="225">
        <f>Base_Periodo1[[#This Row],[CREDITOS]]-Base_Periodo1[[#This Row],[DEBITOS]]</f>
        <v>0</v>
      </c>
      <c r="S4018" s="3" t="str">
        <f>IF(ISERROR(VLOOKUP(Base_Periodo1[[#This Row],[CONTA]],BaseContasDRE[#All],4,FALSE)),"Fora do DRE",VLOOKUP(Base_Periodo1[[#This Row],[CONTA]],BaseContasDRE[#All],4,FALSE))</f>
        <v>Fora do DRE</v>
      </c>
      <c r="T4018" s="3" t="str">
        <f>IF(ISERROR(VLOOKUP(Base_Periodo1[[#This Row],[CONTA]],BaseContasDRE[#All],5,FALSE)),"Fora do DRE",VLOOKUP(Base_Periodo1[[#This Row],[CONTA]],BaseContasDRE[#All],6,FALSE))</f>
        <v>Fora do DRE</v>
      </c>
      <c r="U4018" s="3" t="str">
        <f>IF(ISERROR(VLOOKUP(Base_Periodo1[[#This Row],[CONTA]],BaseContasDRE[#All],7,FALSE)),"Fora do DRE",VLOOKUP(Base_Periodo1[[#This Row],[CONTA]],BaseContasDRE[#All],7,FALSE))</f>
        <v>Fora do DRE</v>
      </c>
      <c r="V4018" s="3" t="str">
        <f>IF(Base_Periodo1[[#This Row],[Tipo_Linha]]="Fora do DRE","Fora do DRE","( "&amp;Base_Periodo1[[#This Row],[Tipo_Linha]]&amp;" ) "&amp;Base_Periodo1[[#This Row],[Filtro]])</f>
        <v>Fora do DRE</v>
      </c>
      <c r="W4018" s="3" t="str">
        <f>LEFT(Base_Periodo1[[#This Row],[CLASS]],3)</f>
        <v>2.1</v>
      </c>
    </row>
    <row r="4019" spans="1:23" hidden="1">
      <c r="A4019" s="3" t="str">
        <f t="shared" si="62"/>
        <v>Período 1</v>
      </c>
      <c r="B4019">
        <v>39153</v>
      </c>
      <c r="C4019" t="s">
        <v>2010</v>
      </c>
      <c r="D4019" t="s">
        <v>4864</v>
      </c>
      <c r="E4019" s="3" t="str">
        <f>IF(LEN(Base_Periodo1[[#This Row],[CLASS]])&gt;=7,LEFT(Base_Periodo1[[#This Row],[CLASS]],7),"")</f>
        <v>2.1.2.2</v>
      </c>
      <c r="F4019" s="3" t="str">
        <f>VLOOKUP(Base_Periodo1[[#This Row],[Aux]],Base_Contas_Balanco[#All],2,FALSE)</f>
        <v>Fornecedores Não Cooperados</v>
      </c>
      <c r="G4019" s="1">
        <v>42880</v>
      </c>
      <c r="I4019" s="225">
        <v>5784.63</v>
      </c>
      <c r="J4019" s="225">
        <v>5784.6299999999992</v>
      </c>
      <c r="K4019" s="225">
        <v>9.0949470177292824E-13</v>
      </c>
      <c r="L40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19" s="225">
        <f>ROUND(IF(AND(Base_Periodo1[[#This Row],[Tipo_Linha]]="-",Base_Periodo1[[#This Row],[TIPOSALDO]]="D"),Base_Periodo1[[#This Row],[SALDO_ATUAL]]*-1,Base_Periodo1[[#This Row],[SALDO_ATUAL]]),4)</f>
        <v>0</v>
      </c>
      <c r="N4019" t="s">
        <v>116</v>
      </c>
      <c r="O4019" t="s">
        <v>436</v>
      </c>
      <c r="P4019" t="s">
        <v>436</v>
      </c>
      <c r="Q4019">
        <v>7</v>
      </c>
      <c r="R4019" s="225">
        <f>Base_Periodo1[[#This Row],[CREDITOS]]-Base_Periodo1[[#This Row],[DEBITOS]]</f>
        <v>0</v>
      </c>
      <c r="S4019" s="3" t="str">
        <f>IF(ISERROR(VLOOKUP(Base_Periodo1[[#This Row],[CONTA]],BaseContasDRE[#All],4,FALSE)),"Fora do DRE",VLOOKUP(Base_Periodo1[[#This Row],[CONTA]],BaseContasDRE[#All],4,FALSE))</f>
        <v>Fora do DRE</v>
      </c>
      <c r="T4019" s="3" t="str">
        <f>IF(ISERROR(VLOOKUP(Base_Periodo1[[#This Row],[CONTA]],BaseContasDRE[#All],5,FALSE)),"Fora do DRE",VLOOKUP(Base_Periodo1[[#This Row],[CONTA]],BaseContasDRE[#All],6,FALSE))</f>
        <v>Fora do DRE</v>
      </c>
      <c r="U4019" s="3" t="str">
        <f>IF(ISERROR(VLOOKUP(Base_Periodo1[[#This Row],[CONTA]],BaseContasDRE[#All],7,FALSE)),"Fora do DRE",VLOOKUP(Base_Periodo1[[#This Row],[CONTA]],BaseContasDRE[#All],7,FALSE))</f>
        <v>Fora do DRE</v>
      </c>
      <c r="V4019" s="3" t="str">
        <f>IF(Base_Periodo1[[#This Row],[Tipo_Linha]]="Fora do DRE","Fora do DRE","( "&amp;Base_Periodo1[[#This Row],[Tipo_Linha]]&amp;" ) "&amp;Base_Periodo1[[#This Row],[Filtro]])</f>
        <v>Fora do DRE</v>
      </c>
      <c r="W4019" s="3" t="str">
        <f>LEFT(Base_Periodo1[[#This Row],[CLASS]],3)</f>
        <v>2.1</v>
      </c>
    </row>
    <row r="4020" spans="1:23" hidden="1">
      <c r="A4020" s="3" t="str">
        <f t="shared" si="62"/>
        <v>Período 1</v>
      </c>
      <c r="B4020">
        <v>17113</v>
      </c>
      <c r="C4020" t="s">
        <v>2010</v>
      </c>
      <c r="D4020" t="s">
        <v>980</v>
      </c>
      <c r="E4020" s="3" t="str">
        <f>IF(LEN(Base_Periodo1[[#This Row],[CLASS]])&gt;=7,LEFT(Base_Periodo1[[#This Row],[CLASS]],7),"")</f>
        <v>2.1.2.2</v>
      </c>
      <c r="F4020" s="3" t="str">
        <f>VLOOKUP(Base_Periodo1[[#This Row],[Aux]],Base_Contas_Balanco[#All],2,FALSE)</f>
        <v>Fornecedores Não Cooperados</v>
      </c>
      <c r="G4020" s="1">
        <v>42884</v>
      </c>
      <c r="H4020" s="225">
        <v>92238.000000003725</v>
      </c>
      <c r="I4020" s="225">
        <v>98630</v>
      </c>
      <c r="J4020" s="225">
        <v>65592</v>
      </c>
      <c r="K4020" s="225">
        <v>59200.000000003725</v>
      </c>
      <c r="L40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59200</v>
      </c>
      <c r="M4020" s="225">
        <f>ROUND(IF(AND(Base_Periodo1[[#This Row],[Tipo_Linha]]="-",Base_Periodo1[[#This Row],[TIPOSALDO]]="D"),Base_Periodo1[[#This Row],[SALDO_ATUAL]]*-1,Base_Periodo1[[#This Row],[SALDO_ATUAL]]),4)</f>
        <v>59200</v>
      </c>
      <c r="N4020" t="s">
        <v>116</v>
      </c>
      <c r="O4020" t="s">
        <v>459</v>
      </c>
      <c r="P4020" t="s">
        <v>459</v>
      </c>
      <c r="Q4020">
        <v>7</v>
      </c>
      <c r="R4020" s="225">
        <f>Base_Periodo1[[#This Row],[CREDITOS]]-Base_Periodo1[[#This Row],[DEBITOS]]</f>
        <v>-33038</v>
      </c>
      <c r="S4020" s="3" t="str">
        <f>IF(ISERROR(VLOOKUP(Base_Periodo1[[#This Row],[CONTA]],BaseContasDRE[#All],4,FALSE)),"Fora do DRE",VLOOKUP(Base_Periodo1[[#This Row],[CONTA]],BaseContasDRE[#All],4,FALSE))</f>
        <v>Fora do DRE</v>
      </c>
      <c r="T4020" s="3" t="str">
        <f>IF(ISERROR(VLOOKUP(Base_Periodo1[[#This Row],[CONTA]],BaseContasDRE[#All],5,FALSE)),"Fora do DRE",VLOOKUP(Base_Periodo1[[#This Row],[CONTA]],BaseContasDRE[#All],6,FALSE))</f>
        <v>Fora do DRE</v>
      </c>
      <c r="U4020" s="3" t="str">
        <f>IF(ISERROR(VLOOKUP(Base_Periodo1[[#This Row],[CONTA]],BaseContasDRE[#All],7,FALSE)),"Fora do DRE",VLOOKUP(Base_Periodo1[[#This Row],[CONTA]],BaseContasDRE[#All],7,FALSE))</f>
        <v>Fora do DRE</v>
      </c>
      <c r="V4020" s="3" t="str">
        <f>IF(Base_Periodo1[[#This Row],[Tipo_Linha]]="Fora do DRE","Fora do DRE","( "&amp;Base_Periodo1[[#This Row],[Tipo_Linha]]&amp;" ) "&amp;Base_Periodo1[[#This Row],[Filtro]])</f>
        <v>Fora do DRE</v>
      </c>
      <c r="W4020" s="3" t="str">
        <f>LEFT(Base_Periodo1[[#This Row],[CLASS]],3)</f>
        <v>2.1</v>
      </c>
    </row>
    <row r="4021" spans="1:23" hidden="1">
      <c r="A4021" s="3" t="str">
        <f t="shared" si="62"/>
        <v>Período 1</v>
      </c>
      <c r="B4021">
        <v>54548</v>
      </c>
      <c r="C4021" t="s">
        <v>2010</v>
      </c>
      <c r="D4021" t="s">
        <v>6536</v>
      </c>
      <c r="E4021" s="3" t="str">
        <f>IF(LEN(Base_Periodo1[[#This Row],[CLASS]])&gt;=7,LEFT(Base_Periodo1[[#This Row],[CLASS]],7),"")</f>
        <v>2.1.2.2</v>
      </c>
      <c r="F4021" s="3" t="str">
        <f>VLOOKUP(Base_Periodo1[[#This Row],[Aux]],Base_Contas_Balanco[#All],2,FALSE)</f>
        <v>Fornecedores Não Cooperados</v>
      </c>
      <c r="G4021" s="1">
        <v>42867</v>
      </c>
      <c r="H4021" s="225">
        <v>2577.269999999975</v>
      </c>
      <c r="I4021" s="225">
        <v>2577.27</v>
      </c>
      <c r="J4021" s="225">
        <v>0</v>
      </c>
      <c r="K4021" s="225">
        <v>2.5011104298755527E-11</v>
      </c>
      <c r="L40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21" s="225">
        <f>ROUND(IF(AND(Base_Periodo1[[#This Row],[Tipo_Linha]]="-",Base_Periodo1[[#This Row],[TIPOSALDO]]="D"),Base_Periodo1[[#This Row],[SALDO_ATUAL]]*-1,Base_Periodo1[[#This Row],[SALDO_ATUAL]]),4)</f>
        <v>0</v>
      </c>
      <c r="N4021" t="s">
        <v>116</v>
      </c>
      <c r="O4021" t="s">
        <v>459</v>
      </c>
      <c r="P4021" t="s">
        <v>436</v>
      </c>
      <c r="Q4021">
        <v>7</v>
      </c>
      <c r="R4021" s="225">
        <f>Base_Periodo1[[#This Row],[CREDITOS]]-Base_Periodo1[[#This Row],[DEBITOS]]</f>
        <v>-2577.27</v>
      </c>
      <c r="S4021" s="3" t="str">
        <f>IF(ISERROR(VLOOKUP(Base_Periodo1[[#This Row],[CONTA]],BaseContasDRE[#All],4,FALSE)),"Fora do DRE",VLOOKUP(Base_Periodo1[[#This Row],[CONTA]],BaseContasDRE[#All],4,FALSE))</f>
        <v>Fora do DRE</v>
      </c>
      <c r="T4021" s="3" t="str">
        <f>IF(ISERROR(VLOOKUP(Base_Periodo1[[#This Row],[CONTA]],BaseContasDRE[#All],5,FALSE)),"Fora do DRE",VLOOKUP(Base_Periodo1[[#This Row],[CONTA]],BaseContasDRE[#All],6,FALSE))</f>
        <v>Fora do DRE</v>
      </c>
      <c r="U4021" s="3" t="str">
        <f>IF(ISERROR(VLOOKUP(Base_Periodo1[[#This Row],[CONTA]],BaseContasDRE[#All],7,FALSE)),"Fora do DRE",VLOOKUP(Base_Periodo1[[#This Row],[CONTA]],BaseContasDRE[#All],7,FALSE))</f>
        <v>Fora do DRE</v>
      </c>
      <c r="V4021" s="3" t="str">
        <f>IF(Base_Periodo1[[#This Row],[Tipo_Linha]]="Fora do DRE","Fora do DRE","( "&amp;Base_Periodo1[[#This Row],[Tipo_Linha]]&amp;" ) "&amp;Base_Periodo1[[#This Row],[Filtro]])</f>
        <v>Fora do DRE</v>
      </c>
      <c r="W4021" s="3" t="str">
        <f>LEFT(Base_Periodo1[[#This Row],[CLASS]],3)</f>
        <v>2.1</v>
      </c>
    </row>
    <row r="4022" spans="1:23" hidden="1">
      <c r="A4022" s="3" t="str">
        <f t="shared" si="62"/>
        <v>Período 1</v>
      </c>
      <c r="B4022">
        <v>49250</v>
      </c>
      <c r="C4022" t="s">
        <v>2010</v>
      </c>
      <c r="D4022" t="s">
        <v>4297</v>
      </c>
      <c r="E4022" s="3" t="str">
        <f>IF(LEN(Base_Periodo1[[#This Row],[CLASS]])&gt;=7,LEFT(Base_Periodo1[[#This Row],[CLASS]],7),"")</f>
        <v>2.1.2.2</v>
      </c>
      <c r="F4022" s="3" t="str">
        <f>VLOOKUP(Base_Periodo1[[#This Row],[Aux]],Base_Contas_Balanco[#All],2,FALSE)</f>
        <v>Fornecedores Não Cooperados</v>
      </c>
      <c r="G4022" s="1">
        <v>42871</v>
      </c>
      <c r="I4022" s="225">
        <v>552.15</v>
      </c>
      <c r="J4022" s="225">
        <v>552.15</v>
      </c>
      <c r="K4022" s="225">
        <v>1.8189894035458565E-12</v>
      </c>
      <c r="L40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22" s="225">
        <f>ROUND(IF(AND(Base_Periodo1[[#This Row],[Tipo_Linha]]="-",Base_Periodo1[[#This Row],[TIPOSALDO]]="D"),Base_Periodo1[[#This Row],[SALDO_ATUAL]]*-1,Base_Periodo1[[#This Row],[SALDO_ATUAL]]),4)</f>
        <v>0</v>
      </c>
      <c r="N4022" t="s">
        <v>116</v>
      </c>
      <c r="O4022" t="s">
        <v>436</v>
      </c>
      <c r="P4022" t="s">
        <v>436</v>
      </c>
      <c r="Q4022">
        <v>7</v>
      </c>
      <c r="R4022" s="225">
        <f>Base_Periodo1[[#This Row],[CREDITOS]]-Base_Periodo1[[#This Row],[DEBITOS]]</f>
        <v>0</v>
      </c>
      <c r="S4022" s="3" t="str">
        <f>IF(ISERROR(VLOOKUP(Base_Periodo1[[#This Row],[CONTA]],BaseContasDRE[#All],4,FALSE)),"Fora do DRE",VLOOKUP(Base_Periodo1[[#This Row],[CONTA]],BaseContasDRE[#All],4,FALSE))</f>
        <v>Fora do DRE</v>
      </c>
      <c r="T4022" s="3" t="str">
        <f>IF(ISERROR(VLOOKUP(Base_Periodo1[[#This Row],[CONTA]],BaseContasDRE[#All],5,FALSE)),"Fora do DRE",VLOOKUP(Base_Periodo1[[#This Row],[CONTA]],BaseContasDRE[#All],6,FALSE))</f>
        <v>Fora do DRE</v>
      </c>
      <c r="U4022" s="3" t="str">
        <f>IF(ISERROR(VLOOKUP(Base_Periodo1[[#This Row],[CONTA]],BaseContasDRE[#All],7,FALSE)),"Fora do DRE",VLOOKUP(Base_Periodo1[[#This Row],[CONTA]],BaseContasDRE[#All],7,FALSE))</f>
        <v>Fora do DRE</v>
      </c>
      <c r="V4022" s="3" t="str">
        <f>IF(Base_Periodo1[[#This Row],[Tipo_Linha]]="Fora do DRE","Fora do DRE","( "&amp;Base_Periodo1[[#This Row],[Tipo_Linha]]&amp;" ) "&amp;Base_Periodo1[[#This Row],[Filtro]])</f>
        <v>Fora do DRE</v>
      </c>
      <c r="W4022" s="3" t="str">
        <f>LEFT(Base_Periodo1[[#This Row],[CLASS]],3)</f>
        <v>2.1</v>
      </c>
    </row>
    <row r="4023" spans="1:23" hidden="1">
      <c r="A4023" s="3" t="str">
        <f t="shared" si="62"/>
        <v>Período 1</v>
      </c>
      <c r="B4023">
        <v>30606</v>
      </c>
      <c r="C4023" t="s">
        <v>2010</v>
      </c>
      <c r="D4023" t="s">
        <v>7146</v>
      </c>
      <c r="E4023" s="3" t="str">
        <f>IF(LEN(Base_Periodo1[[#This Row],[CLASS]])&gt;=7,LEFT(Base_Periodo1[[#This Row],[CLASS]],7),"")</f>
        <v>2.1.2.2</v>
      </c>
      <c r="F4023" s="3" t="str">
        <f>VLOOKUP(Base_Periodo1[[#This Row],[Aux]],Base_Contas_Balanco[#All],2,FALSE)</f>
        <v>Fornecedores Não Cooperados</v>
      </c>
      <c r="G4023" s="1">
        <v>42865</v>
      </c>
      <c r="I4023" s="225">
        <v>1154.9000000000001</v>
      </c>
      <c r="J4023" s="225">
        <v>1154.9000000000001</v>
      </c>
      <c r="K4023" s="225">
        <v>-7.2759576141834259E-12</v>
      </c>
      <c r="L40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23" s="225">
        <f>ROUND(IF(AND(Base_Periodo1[[#This Row],[Tipo_Linha]]="-",Base_Periodo1[[#This Row],[TIPOSALDO]]="D"),Base_Periodo1[[#This Row],[SALDO_ATUAL]]*-1,Base_Periodo1[[#This Row],[SALDO_ATUAL]]),4)</f>
        <v>0</v>
      </c>
      <c r="N4023" t="s">
        <v>116</v>
      </c>
      <c r="O4023" t="s">
        <v>436</v>
      </c>
      <c r="P4023" t="s">
        <v>436</v>
      </c>
      <c r="Q4023">
        <v>7</v>
      </c>
      <c r="R4023" s="225">
        <f>Base_Periodo1[[#This Row],[CREDITOS]]-Base_Periodo1[[#This Row],[DEBITOS]]</f>
        <v>0</v>
      </c>
      <c r="S4023" s="3" t="str">
        <f>IF(ISERROR(VLOOKUP(Base_Periodo1[[#This Row],[CONTA]],BaseContasDRE[#All],4,FALSE)),"Fora do DRE",VLOOKUP(Base_Periodo1[[#This Row],[CONTA]],BaseContasDRE[#All],4,FALSE))</f>
        <v>Fora do DRE</v>
      </c>
      <c r="T4023" s="3" t="str">
        <f>IF(ISERROR(VLOOKUP(Base_Periodo1[[#This Row],[CONTA]],BaseContasDRE[#All],5,FALSE)),"Fora do DRE",VLOOKUP(Base_Periodo1[[#This Row],[CONTA]],BaseContasDRE[#All],6,FALSE))</f>
        <v>Fora do DRE</v>
      </c>
      <c r="U4023" s="3" t="str">
        <f>IF(ISERROR(VLOOKUP(Base_Periodo1[[#This Row],[CONTA]],BaseContasDRE[#All],7,FALSE)),"Fora do DRE",VLOOKUP(Base_Periodo1[[#This Row],[CONTA]],BaseContasDRE[#All],7,FALSE))</f>
        <v>Fora do DRE</v>
      </c>
      <c r="V4023" s="3" t="str">
        <f>IF(Base_Periodo1[[#This Row],[Tipo_Linha]]="Fora do DRE","Fora do DRE","( "&amp;Base_Periodo1[[#This Row],[Tipo_Linha]]&amp;" ) "&amp;Base_Periodo1[[#This Row],[Filtro]])</f>
        <v>Fora do DRE</v>
      </c>
      <c r="W4023" s="3" t="str">
        <f>LEFT(Base_Periodo1[[#This Row],[CLASS]],3)</f>
        <v>2.1</v>
      </c>
    </row>
    <row r="4024" spans="1:23" hidden="1">
      <c r="A4024" s="3" t="str">
        <f t="shared" si="62"/>
        <v>Período 1</v>
      </c>
      <c r="B4024">
        <v>56046</v>
      </c>
      <c r="C4024" t="s">
        <v>2010</v>
      </c>
      <c r="D4024" t="s">
        <v>6109</v>
      </c>
      <c r="E4024" s="3" t="str">
        <f>IF(LEN(Base_Periodo1[[#This Row],[CLASS]])&gt;=7,LEFT(Base_Periodo1[[#This Row],[CLASS]],7),"")</f>
        <v>2.1.2.2</v>
      </c>
      <c r="F4024" s="3" t="str">
        <f>VLOOKUP(Base_Periodo1[[#This Row],[Aux]],Base_Contas_Balanco[#All],2,FALSE)</f>
        <v>Fornecedores Não Cooperados</v>
      </c>
      <c r="G4024" s="1">
        <v>42877</v>
      </c>
      <c r="H4024" s="225">
        <v>8581.4700000000012</v>
      </c>
      <c r="I4024" s="225">
        <v>9924.4699999999993</v>
      </c>
      <c r="J4024" s="225">
        <v>1343.02</v>
      </c>
      <c r="K4024" s="225">
        <v>2.00000000018008E-2</v>
      </c>
      <c r="L40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4024" s="225">
        <f>ROUND(IF(AND(Base_Periodo1[[#This Row],[Tipo_Linha]]="-",Base_Periodo1[[#This Row],[TIPOSALDO]]="D"),Base_Periodo1[[#This Row],[SALDO_ATUAL]]*-1,Base_Periodo1[[#This Row],[SALDO_ATUAL]]),4)</f>
        <v>0.02</v>
      </c>
      <c r="N4024" t="s">
        <v>116</v>
      </c>
      <c r="O4024" t="s">
        <v>459</v>
      </c>
      <c r="P4024" t="s">
        <v>459</v>
      </c>
      <c r="Q4024">
        <v>7</v>
      </c>
      <c r="R4024" s="225">
        <f>Base_Periodo1[[#This Row],[CREDITOS]]-Base_Periodo1[[#This Row],[DEBITOS]]</f>
        <v>-8581.4499999999989</v>
      </c>
      <c r="S4024" s="3" t="str">
        <f>IF(ISERROR(VLOOKUP(Base_Periodo1[[#This Row],[CONTA]],BaseContasDRE[#All],4,FALSE)),"Fora do DRE",VLOOKUP(Base_Periodo1[[#This Row],[CONTA]],BaseContasDRE[#All],4,FALSE))</f>
        <v>Fora do DRE</v>
      </c>
      <c r="T4024" s="3" t="str">
        <f>IF(ISERROR(VLOOKUP(Base_Periodo1[[#This Row],[CONTA]],BaseContasDRE[#All],5,FALSE)),"Fora do DRE",VLOOKUP(Base_Periodo1[[#This Row],[CONTA]],BaseContasDRE[#All],6,FALSE))</f>
        <v>Fora do DRE</v>
      </c>
      <c r="U4024" s="3" t="str">
        <f>IF(ISERROR(VLOOKUP(Base_Periodo1[[#This Row],[CONTA]],BaseContasDRE[#All],7,FALSE)),"Fora do DRE",VLOOKUP(Base_Periodo1[[#This Row],[CONTA]],BaseContasDRE[#All],7,FALSE))</f>
        <v>Fora do DRE</v>
      </c>
      <c r="V4024" s="3" t="str">
        <f>IF(Base_Periodo1[[#This Row],[Tipo_Linha]]="Fora do DRE","Fora do DRE","( "&amp;Base_Periodo1[[#This Row],[Tipo_Linha]]&amp;" ) "&amp;Base_Periodo1[[#This Row],[Filtro]])</f>
        <v>Fora do DRE</v>
      </c>
      <c r="W4024" s="3" t="str">
        <f>LEFT(Base_Periodo1[[#This Row],[CLASS]],3)</f>
        <v>2.1</v>
      </c>
    </row>
    <row r="4025" spans="1:23" hidden="1">
      <c r="A4025" s="3" t="str">
        <f t="shared" si="62"/>
        <v>Período 1</v>
      </c>
      <c r="B4025">
        <v>57177</v>
      </c>
      <c r="C4025" t="s">
        <v>2010</v>
      </c>
      <c r="D4025" t="s">
        <v>6537</v>
      </c>
      <c r="E4025" s="3" t="str">
        <f>IF(LEN(Base_Periodo1[[#This Row],[CLASS]])&gt;=7,LEFT(Base_Periodo1[[#This Row],[CLASS]],7),"")</f>
        <v>2.1.2.2</v>
      </c>
      <c r="F4025" s="3" t="str">
        <f>VLOOKUP(Base_Periodo1[[#This Row],[Aux]],Base_Contas_Balanco[#All],2,FALSE)</f>
        <v>Fornecedores Não Cooperados</v>
      </c>
      <c r="G4025" s="1">
        <v>42865</v>
      </c>
      <c r="H4025" s="225">
        <v>15000</v>
      </c>
      <c r="I4025" s="225">
        <v>10000</v>
      </c>
      <c r="J4025" s="225">
        <v>0</v>
      </c>
      <c r="K4025" s="225">
        <v>5000</v>
      </c>
      <c r="L40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5000</v>
      </c>
      <c r="M4025" s="225">
        <f>ROUND(IF(AND(Base_Periodo1[[#This Row],[Tipo_Linha]]="-",Base_Periodo1[[#This Row],[TIPOSALDO]]="D"),Base_Periodo1[[#This Row],[SALDO_ATUAL]]*-1,Base_Periodo1[[#This Row],[SALDO_ATUAL]]),4)</f>
        <v>5000</v>
      </c>
      <c r="N4025" t="s">
        <v>116</v>
      </c>
      <c r="O4025" t="s">
        <v>459</v>
      </c>
      <c r="P4025" t="s">
        <v>459</v>
      </c>
      <c r="Q4025">
        <v>7</v>
      </c>
      <c r="R4025" s="225">
        <f>Base_Periodo1[[#This Row],[CREDITOS]]-Base_Periodo1[[#This Row],[DEBITOS]]</f>
        <v>-10000</v>
      </c>
      <c r="S4025" s="3" t="str">
        <f>IF(ISERROR(VLOOKUP(Base_Periodo1[[#This Row],[CONTA]],BaseContasDRE[#All],4,FALSE)),"Fora do DRE",VLOOKUP(Base_Periodo1[[#This Row],[CONTA]],BaseContasDRE[#All],4,FALSE))</f>
        <v>Fora do DRE</v>
      </c>
      <c r="T4025" s="3" t="str">
        <f>IF(ISERROR(VLOOKUP(Base_Periodo1[[#This Row],[CONTA]],BaseContasDRE[#All],5,FALSE)),"Fora do DRE",VLOOKUP(Base_Periodo1[[#This Row],[CONTA]],BaseContasDRE[#All],6,FALSE))</f>
        <v>Fora do DRE</v>
      </c>
      <c r="U4025" s="3" t="str">
        <f>IF(ISERROR(VLOOKUP(Base_Periodo1[[#This Row],[CONTA]],BaseContasDRE[#All],7,FALSE)),"Fora do DRE",VLOOKUP(Base_Periodo1[[#This Row],[CONTA]],BaseContasDRE[#All],7,FALSE))</f>
        <v>Fora do DRE</v>
      </c>
      <c r="V4025" s="3" t="str">
        <f>IF(Base_Periodo1[[#This Row],[Tipo_Linha]]="Fora do DRE","Fora do DRE","( "&amp;Base_Periodo1[[#This Row],[Tipo_Linha]]&amp;" ) "&amp;Base_Periodo1[[#This Row],[Filtro]])</f>
        <v>Fora do DRE</v>
      </c>
      <c r="W4025" s="3" t="str">
        <f>LEFT(Base_Periodo1[[#This Row],[CLASS]],3)</f>
        <v>2.1</v>
      </c>
    </row>
    <row r="4026" spans="1:23" hidden="1">
      <c r="A4026" s="3" t="str">
        <f t="shared" si="62"/>
        <v>Período 1</v>
      </c>
      <c r="B4026">
        <v>15311</v>
      </c>
      <c r="C4026" t="s">
        <v>2010</v>
      </c>
      <c r="D4026" t="s">
        <v>5730</v>
      </c>
      <c r="E4026" s="3" t="str">
        <f>IF(LEN(Base_Periodo1[[#This Row],[CLASS]])&gt;=7,LEFT(Base_Periodo1[[#This Row],[CLASS]],7),"")</f>
        <v>2.1.2.2</v>
      </c>
      <c r="F4026" s="3" t="str">
        <f>VLOOKUP(Base_Periodo1[[#This Row],[Aux]],Base_Contas_Balanco[#All],2,FALSE)</f>
        <v>Fornecedores Não Cooperados</v>
      </c>
      <c r="G4026" s="1">
        <v>42886</v>
      </c>
      <c r="I4026" s="225">
        <v>602.4</v>
      </c>
      <c r="J4026" s="225">
        <v>602.4</v>
      </c>
      <c r="K4026" s="225">
        <v>0</v>
      </c>
      <c r="L40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26" s="225">
        <f>ROUND(IF(AND(Base_Periodo1[[#This Row],[Tipo_Linha]]="-",Base_Periodo1[[#This Row],[TIPOSALDO]]="D"),Base_Periodo1[[#This Row],[SALDO_ATUAL]]*-1,Base_Periodo1[[#This Row],[SALDO_ATUAL]]),4)</f>
        <v>0</v>
      </c>
      <c r="N4026" t="s">
        <v>116</v>
      </c>
      <c r="O4026" t="s">
        <v>436</v>
      </c>
      <c r="P4026" t="s">
        <v>436</v>
      </c>
      <c r="Q4026">
        <v>7</v>
      </c>
      <c r="R4026" s="225">
        <f>Base_Periodo1[[#This Row],[CREDITOS]]-Base_Periodo1[[#This Row],[DEBITOS]]</f>
        <v>0</v>
      </c>
      <c r="S4026" s="3" t="str">
        <f>IF(ISERROR(VLOOKUP(Base_Periodo1[[#This Row],[CONTA]],BaseContasDRE[#All],4,FALSE)),"Fora do DRE",VLOOKUP(Base_Periodo1[[#This Row],[CONTA]],BaseContasDRE[#All],4,FALSE))</f>
        <v>Fora do DRE</v>
      </c>
      <c r="T4026" s="3" t="str">
        <f>IF(ISERROR(VLOOKUP(Base_Periodo1[[#This Row],[CONTA]],BaseContasDRE[#All],5,FALSE)),"Fora do DRE",VLOOKUP(Base_Periodo1[[#This Row],[CONTA]],BaseContasDRE[#All],6,FALSE))</f>
        <v>Fora do DRE</v>
      </c>
      <c r="U4026" s="3" t="str">
        <f>IF(ISERROR(VLOOKUP(Base_Periodo1[[#This Row],[CONTA]],BaseContasDRE[#All],7,FALSE)),"Fora do DRE",VLOOKUP(Base_Periodo1[[#This Row],[CONTA]],BaseContasDRE[#All],7,FALSE))</f>
        <v>Fora do DRE</v>
      </c>
      <c r="V4026" s="3" t="str">
        <f>IF(Base_Periodo1[[#This Row],[Tipo_Linha]]="Fora do DRE","Fora do DRE","( "&amp;Base_Periodo1[[#This Row],[Tipo_Linha]]&amp;" ) "&amp;Base_Periodo1[[#This Row],[Filtro]])</f>
        <v>Fora do DRE</v>
      </c>
      <c r="W4026" s="3" t="str">
        <f>LEFT(Base_Periodo1[[#This Row],[CLASS]],3)</f>
        <v>2.1</v>
      </c>
    </row>
    <row r="4027" spans="1:23" hidden="1">
      <c r="A4027" s="3" t="str">
        <f t="shared" si="62"/>
        <v>Período 1</v>
      </c>
      <c r="B4027">
        <v>29427</v>
      </c>
      <c r="C4027" t="s">
        <v>2010</v>
      </c>
      <c r="D4027" t="s">
        <v>6538</v>
      </c>
      <c r="E4027" s="3" t="str">
        <f>IF(LEN(Base_Periodo1[[#This Row],[CLASS]])&gt;=7,LEFT(Base_Periodo1[[#This Row],[CLASS]],7),"")</f>
        <v>2.1.2.2</v>
      </c>
      <c r="F4027" s="3" t="str">
        <f>VLOOKUP(Base_Periodo1[[#This Row],[Aux]],Base_Contas_Balanco[#All],2,FALSE)</f>
        <v>Fornecedores Não Cooperados</v>
      </c>
      <c r="G4027" s="1">
        <v>42857</v>
      </c>
      <c r="H4027" s="225">
        <v>166.49</v>
      </c>
      <c r="I4027" s="225">
        <v>166.49</v>
      </c>
      <c r="J4027" s="225">
        <v>0</v>
      </c>
      <c r="K4027" s="225">
        <v>0</v>
      </c>
      <c r="L40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27" s="225">
        <f>ROUND(IF(AND(Base_Periodo1[[#This Row],[Tipo_Linha]]="-",Base_Periodo1[[#This Row],[TIPOSALDO]]="D"),Base_Periodo1[[#This Row],[SALDO_ATUAL]]*-1,Base_Periodo1[[#This Row],[SALDO_ATUAL]]),4)</f>
        <v>0</v>
      </c>
      <c r="N4027" t="s">
        <v>116</v>
      </c>
      <c r="O4027" t="s">
        <v>459</v>
      </c>
      <c r="P4027" t="s">
        <v>436</v>
      </c>
      <c r="Q4027">
        <v>7</v>
      </c>
      <c r="R4027" s="225">
        <f>Base_Periodo1[[#This Row],[CREDITOS]]-Base_Periodo1[[#This Row],[DEBITOS]]</f>
        <v>-166.49</v>
      </c>
      <c r="S4027" s="3" t="str">
        <f>IF(ISERROR(VLOOKUP(Base_Periodo1[[#This Row],[CONTA]],BaseContasDRE[#All],4,FALSE)),"Fora do DRE",VLOOKUP(Base_Periodo1[[#This Row],[CONTA]],BaseContasDRE[#All],4,FALSE))</f>
        <v>Fora do DRE</v>
      </c>
      <c r="T4027" s="3" t="str">
        <f>IF(ISERROR(VLOOKUP(Base_Periodo1[[#This Row],[CONTA]],BaseContasDRE[#All],5,FALSE)),"Fora do DRE",VLOOKUP(Base_Periodo1[[#This Row],[CONTA]],BaseContasDRE[#All],6,FALSE))</f>
        <v>Fora do DRE</v>
      </c>
      <c r="U4027" s="3" t="str">
        <f>IF(ISERROR(VLOOKUP(Base_Periodo1[[#This Row],[CONTA]],BaseContasDRE[#All],7,FALSE)),"Fora do DRE",VLOOKUP(Base_Periodo1[[#This Row],[CONTA]],BaseContasDRE[#All],7,FALSE))</f>
        <v>Fora do DRE</v>
      </c>
      <c r="V4027" s="3" t="str">
        <f>IF(Base_Periodo1[[#This Row],[Tipo_Linha]]="Fora do DRE","Fora do DRE","( "&amp;Base_Periodo1[[#This Row],[Tipo_Linha]]&amp;" ) "&amp;Base_Periodo1[[#This Row],[Filtro]])</f>
        <v>Fora do DRE</v>
      </c>
      <c r="W4027" s="3" t="str">
        <f>LEFT(Base_Periodo1[[#This Row],[CLASS]],3)</f>
        <v>2.1</v>
      </c>
    </row>
    <row r="4028" spans="1:23" hidden="1">
      <c r="A4028" s="3" t="str">
        <f t="shared" si="62"/>
        <v>Período 1</v>
      </c>
      <c r="B4028">
        <v>19457</v>
      </c>
      <c r="C4028" t="s">
        <v>2010</v>
      </c>
      <c r="D4028" t="s">
        <v>7147</v>
      </c>
      <c r="E4028" s="3" t="str">
        <f>IF(LEN(Base_Periodo1[[#This Row],[CLASS]])&gt;=7,LEFT(Base_Periodo1[[#This Row],[CLASS]],7),"")</f>
        <v>2.1.2.2</v>
      </c>
      <c r="F4028" s="3" t="str">
        <f>VLOOKUP(Base_Periodo1[[#This Row],[Aux]],Base_Contas_Balanco[#All],2,FALSE)</f>
        <v>Fornecedores Não Cooperados</v>
      </c>
      <c r="G4028" s="1">
        <v>42886</v>
      </c>
      <c r="I4028" s="225">
        <v>245</v>
      </c>
      <c r="J4028" s="225">
        <v>355.25</v>
      </c>
      <c r="K4028" s="225">
        <v>110.25</v>
      </c>
      <c r="L40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110.25</v>
      </c>
      <c r="M4028" s="225">
        <f>ROUND(IF(AND(Base_Periodo1[[#This Row],[Tipo_Linha]]="-",Base_Periodo1[[#This Row],[TIPOSALDO]]="D"),Base_Periodo1[[#This Row],[SALDO_ATUAL]]*-1,Base_Periodo1[[#This Row],[SALDO_ATUAL]]),4)</f>
        <v>110.25</v>
      </c>
      <c r="N4028" t="s">
        <v>116</v>
      </c>
      <c r="O4028" t="s">
        <v>436</v>
      </c>
      <c r="P4028" t="s">
        <v>459</v>
      </c>
      <c r="Q4028">
        <v>7</v>
      </c>
      <c r="R4028" s="225">
        <f>Base_Periodo1[[#This Row],[CREDITOS]]-Base_Periodo1[[#This Row],[DEBITOS]]</f>
        <v>110.25</v>
      </c>
      <c r="S4028" s="3" t="str">
        <f>IF(ISERROR(VLOOKUP(Base_Periodo1[[#This Row],[CONTA]],BaseContasDRE[#All],4,FALSE)),"Fora do DRE",VLOOKUP(Base_Periodo1[[#This Row],[CONTA]],BaseContasDRE[#All],4,FALSE))</f>
        <v>Fora do DRE</v>
      </c>
      <c r="T4028" s="3" t="str">
        <f>IF(ISERROR(VLOOKUP(Base_Periodo1[[#This Row],[CONTA]],BaseContasDRE[#All],5,FALSE)),"Fora do DRE",VLOOKUP(Base_Periodo1[[#This Row],[CONTA]],BaseContasDRE[#All],6,FALSE))</f>
        <v>Fora do DRE</v>
      </c>
      <c r="U4028" s="3" t="str">
        <f>IF(ISERROR(VLOOKUP(Base_Periodo1[[#This Row],[CONTA]],BaseContasDRE[#All],7,FALSE)),"Fora do DRE",VLOOKUP(Base_Periodo1[[#This Row],[CONTA]],BaseContasDRE[#All],7,FALSE))</f>
        <v>Fora do DRE</v>
      </c>
      <c r="V4028" s="3" t="str">
        <f>IF(Base_Periodo1[[#This Row],[Tipo_Linha]]="Fora do DRE","Fora do DRE","( "&amp;Base_Periodo1[[#This Row],[Tipo_Linha]]&amp;" ) "&amp;Base_Periodo1[[#This Row],[Filtro]])</f>
        <v>Fora do DRE</v>
      </c>
      <c r="W4028" s="3" t="str">
        <f>LEFT(Base_Periodo1[[#This Row],[CLASS]],3)</f>
        <v>2.1</v>
      </c>
    </row>
    <row r="4029" spans="1:23" hidden="1">
      <c r="A4029" s="3" t="str">
        <f t="shared" si="62"/>
        <v>Período 1</v>
      </c>
      <c r="B4029">
        <v>29578</v>
      </c>
      <c r="C4029" t="s">
        <v>2010</v>
      </c>
      <c r="D4029" t="s">
        <v>5731</v>
      </c>
      <c r="E4029" s="3" t="str">
        <f>IF(LEN(Base_Periodo1[[#This Row],[CLASS]])&gt;=7,LEFT(Base_Periodo1[[#This Row],[CLASS]],7),"")</f>
        <v>2.1.2.2</v>
      </c>
      <c r="F4029" s="3" t="str">
        <f>VLOOKUP(Base_Periodo1[[#This Row],[Aux]],Base_Contas_Balanco[#All],2,FALSE)</f>
        <v>Fornecedores Não Cooperados</v>
      </c>
      <c r="G4029" s="1">
        <v>42885</v>
      </c>
      <c r="I4029" s="225">
        <v>460</v>
      </c>
      <c r="J4029" s="225">
        <v>684</v>
      </c>
      <c r="K4029" s="225">
        <v>224</v>
      </c>
      <c r="L40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224</v>
      </c>
      <c r="M4029" s="225">
        <f>ROUND(IF(AND(Base_Periodo1[[#This Row],[Tipo_Linha]]="-",Base_Periodo1[[#This Row],[TIPOSALDO]]="D"),Base_Periodo1[[#This Row],[SALDO_ATUAL]]*-1,Base_Periodo1[[#This Row],[SALDO_ATUAL]]),4)</f>
        <v>224</v>
      </c>
      <c r="N4029" t="s">
        <v>116</v>
      </c>
      <c r="O4029" t="s">
        <v>436</v>
      </c>
      <c r="P4029" t="s">
        <v>459</v>
      </c>
      <c r="Q4029">
        <v>7</v>
      </c>
      <c r="R4029" s="225">
        <f>Base_Periodo1[[#This Row],[CREDITOS]]-Base_Periodo1[[#This Row],[DEBITOS]]</f>
        <v>224</v>
      </c>
      <c r="S4029" s="3" t="str">
        <f>IF(ISERROR(VLOOKUP(Base_Periodo1[[#This Row],[CONTA]],BaseContasDRE[#All],4,FALSE)),"Fora do DRE",VLOOKUP(Base_Periodo1[[#This Row],[CONTA]],BaseContasDRE[#All],4,FALSE))</f>
        <v>Fora do DRE</v>
      </c>
      <c r="T4029" s="3" t="str">
        <f>IF(ISERROR(VLOOKUP(Base_Periodo1[[#This Row],[CONTA]],BaseContasDRE[#All],5,FALSE)),"Fora do DRE",VLOOKUP(Base_Periodo1[[#This Row],[CONTA]],BaseContasDRE[#All],6,FALSE))</f>
        <v>Fora do DRE</v>
      </c>
      <c r="U4029" s="3" t="str">
        <f>IF(ISERROR(VLOOKUP(Base_Periodo1[[#This Row],[CONTA]],BaseContasDRE[#All],7,FALSE)),"Fora do DRE",VLOOKUP(Base_Periodo1[[#This Row],[CONTA]],BaseContasDRE[#All],7,FALSE))</f>
        <v>Fora do DRE</v>
      </c>
      <c r="V4029" s="3" t="str">
        <f>IF(Base_Periodo1[[#This Row],[Tipo_Linha]]="Fora do DRE","Fora do DRE","( "&amp;Base_Periodo1[[#This Row],[Tipo_Linha]]&amp;" ) "&amp;Base_Periodo1[[#This Row],[Filtro]])</f>
        <v>Fora do DRE</v>
      </c>
      <c r="W4029" s="3" t="str">
        <f>LEFT(Base_Periodo1[[#This Row],[CLASS]],3)</f>
        <v>2.1</v>
      </c>
    </row>
    <row r="4030" spans="1:23" hidden="1">
      <c r="A4030" s="3" t="str">
        <f t="shared" si="62"/>
        <v>Período 1</v>
      </c>
      <c r="B4030">
        <v>5161</v>
      </c>
      <c r="C4030" t="s">
        <v>2010</v>
      </c>
      <c r="D4030" t="s">
        <v>4345</v>
      </c>
      <c r="E4030" s="3" t="str">
        <f>IF(LEN(Base_Periodo1[[#This Row],[CLASS]])&gt;=7,LEFT(Base_Periodo1[[#This Row],[CLASS]],7),"")</f>
        <v>2.1.2.2</v>
      </c>
      <c r="F4030" s="3" t="str">
        <f>VLOOKUP(Base_Periodo1[[#This Row],[Aux]],Base_Contas_Balanco[#All],2,FALSE)</f>
        <v>Fornecedores Não Cooperados</v>
      </c>
      <c r="G4030" s="1">
        <v>42885</v>
      </c>
      <c r="H4030" s="225">
        <v>23030</v>
      </c>
      <c r="I4030" s="225">
        <v>23030</v>
      </c>
      <c r="J4030" s="225">
        <v>0</v>
      </c>
      <c r="K4030" s="225">
        <v>0</v>
      </c>
      <c r="L40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30" s="225">
        <f>ROUND(IF(AND(Base_Periodo1[[#This Row],[Tipo_Linha]]="-",Base_Periodo1[[#This Row],[TIPOSALDO]]="D"),Base_Periodo1[[#This Row],[SALDO_ATUAL]]*-1,Base_Periodo1[[#This Row],[SALDO_ATUAL]]),4)</f>
        <v>0</v>
      </c>
      <c r="N4030" t="s">
        <v>116</v>
      </c>
      <c r="O4030" t="s">
        <v>459</v>
      </c>
      <c r="P4030" t="s">
        <v>436</v>
      </c>
      <c r="Q4030">
        <v>7</v>
      </c>
      <c r="R4030" s="225">
        <f>Base_Periodo1[[#This Row],[CREDITOS]]-Base_Periodo1[[#This Row],[DEBITOS]]</f>
        <v>-23030</v>
      </c>
      <c r="S4030" s="3" t="str">
        <f>IF(ISERROR(VLOOKUP(Base_Periodo1[[#This Row],[CONTA]],BaseContasDRE[#All],4,FALSE)),"Fora do DRE",VLOOKUP(Base_Periodo1[[#This Row],[CONTA]],BaseContasDRE[#All],4,FALSE))</f>
        <v>Fora do DRE</v>
      </c>
      <c r="T4030" s="3" t="str">
        <f>IF(ISERROR(VLOOKUP(Base_Periodo1[[#This Row],[CONTA]],BaseContasDRE[#All],5,FALSE)),"Fora do DRE",VLOOKUP(Base_Periodo1[[#This Row],[CONTA]],BaseContasDRE[#All],6,FALSE))</f>
        <v>Fora do DRE</v>
      </c>
      <c r="U4030" s="3" t="str">
        <f>IF(ISERROR(VLOOKUP(Base_Periodo1[[#This Row],[CONTA]],BaseContasDRE[#All],7,FALSE)),"Fora do DRE",VLOOKUP(Base_Periodo1[[#This Row],[CONTA]],BaseContasDRE[#All],7,FALSE))</f>
        <v>Fora do DRE</v>
      </c>
      <c r="V4030" s="3" t="str">
        <f>IF(Base_Periodo1[[#This Row],[Tipo_Linha]]="Fora do DRE","Fora do DRE","( "&amp;Base_Periodo1[[#This Row],[Tipo_Linha]]&amp;" ) "&amp;Base_Periodo1[[#This Row],[Filtro]])</f>
        <v>Fora do DRE</v>
      </c>
      <c r="W4030" s="3" t="str">
        <f>LEFT(Base_Periodo1[[#This Row],[CLASS]],3)</f>
        <v>2.1</v>
      </c>
    </row>
    <row r="4031" spans="1:23" hidden="1">
      <c r="A4031" s="3" t="str">
        <f t="shared" si="62"/>
        <v>Período 1</v>
      </c>
      <c r="B4031">
        <v>9933</v>
      </c>
      <c r="C4031" t="s">
        <v>2010</v>
      </c>
      <c r="D4031" t="s">
        <v>2135</v>
      </c>
      <c r="E4031" s="3" t="str">
        <f>IF(LEN(Base_Periodo1[[#This Row],[CLASS]])&gt;=7,LEFT(Base_Periodo1[[#This Row],[CLASS]],7),"")</f>
        <v>2.1.2.2</v>
      </c>
      <c r="F4031" s="3" t="str">
        <f>VLOOKUP(Base_Periodo1[[#This Row],[Aux]],Base_Contas_Balanco[#All],2,FALSE)</f>
        <v>Fornecedores Não Cooperados</v>
      </c>
      <c r="G4031" s="1">
        <v>42870</v>
      </c>
      <c r="H4031" s="225">
        <v>75544.240000001621</v>
      </c>
      <c r="I4031" s="225">
        <v>75544.240000000005</v>
      </c>
      <c r="J4031" s="225">
        <v>0</v>
      </c>
      <c r="K4031" s="225">
        <v>-1.6152625903487206E-9</v>
      </c>
      <c r="L40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31" s="225">
        <f>ROUND(IF(AND(Base_Periodo1[[#This Row],[Tipo_Linha]]="-",Base_Periodo1[[#This Row],[TIPOSALDO]]="D"),Base_Periodo1[[#This Row],[SALDO_ATUAL]]*-1,Base_Periodo1[[#This Row],[SALDO_ATUAL]]),4)</f>
        <v>0</v>
      </c>
      <c r="N4031" t="s">
        <v>116</v>
      </c>
      <c r="O4031" t="s">
        <v>459</v>
      </c>
      <c r="P4031" t="s">
        <v>436</v>
      </c>
      <c r="Q4031">
        <v>7</v>
      </c>
      <c r="R4031" s="225">
        <f>Base_Periodo1[[#This Row],[CREDITOS]]-Base_Periodo1[[#This Row],[DEBITOS]]</f>
        <v>-75544.240000000005</v>
      </c>
      <c r="S4031" s="3" t="str">
        <f>IF(ISERROR(VLOOKUP(Base_Periodo1[[#This Row],[CONTA]],BaseContasDRE[#All],4,FALSE)),"Fora do DRE",VLOOKUP(Base_Periodo1[[#This Row],[CONTA]],BaseContasDRE[#All],4,FALSE))</f>
        <v>Fora do DRE</v>
      </c>
      <c r="T4031" s="3" t="str">
        <f>IF(ISERROR(VLOOKUP(Base_Periodo1[[#This Row],[CONTA]],BaseContasDRE[#All],5,FALSE)),"Fora do DRE",VLOOKUP(Base_Periodo1[[#This Row],[CONTA]],BaseContasDRE[#All],6,FALSE))</f>
        <v>Fora do DRE</v>
      </c>
      <c r="U4031" s="3" t="str">
        <f>IF(ISERROR(VLOOKUP(Base_Periodo1[[#This Row],[CONTA]],BaseContasDRE[#All],7,FALSE)),"Fora do DRE",VLOOKUP(Base_Periodo1[[#This Row],[CONTA]],BaseContasDRE[#All],7,FALSE))</f>
        <v>Fora do DRE</v>
      </c>
      <c r="V4031" s="3" t="str">
        <f>IF(Base_Periodo1[[#This Row],[Tipo_Linha]]="Fora do DRE","Fora do DRE","( "&amp;Base_Periodo1[[#This Row],[Tipo_Linha]]&amp;" ) "&amp;Base_Periodo1[[#This Row],[Filtro]])</f>
        <v>Fora do DRE</v>
      </c>
      <c r="W4031" s="3" t="str">
        <f>LEFT(Base_Periodo1[[#This Row],[CLASS]],3)</f>
        <v>2.1</v>
      </c>
    </row>
    <row r="4032" spans="1:23" hidden="1">
      <c r="A4032" s="3" t="str">
        <f t="shared" si="62"/>
        <v>Período 1</v>
      </c>
      <c r="B4032">
        <v>58457</v>
      </c>
      <c r="C4032" t="s">
        <v>2010</v>
      </c>
      <c r="D4032" t="s">
        <v>7148</v>
      </c>
      <c r="E4032" s="3" t="str">
        <f>IF(LEN(Base_Periodo1[[#This Row],[CLASS]])&gt;=7,LEFT(Base_Periodo1[[#This Row],[CLASS]],7),"")</f>
        <v>2.1.2.2</v>
      </c>
      <c r="F4032" s="3" t="str">
        <f>VLOOKUP(Base_Periodo1[[#This Row],[Aux]],Base_Contas_Balanco[#All],2,FALSE)</f>
        <v>Fornecedores Não Cooperados</v>
      </c>
      <c r="G4032" s="1">
        <v>42884</v>
      </c>
      <c r="I4032" s="225">
        <v>2232</v>
      </c>
      <c r="J4032" s="225">
        <v>2232</v>
      </c>
      <c r="K4032" s="225">
        <v>0</v>
      </c>
      <c r="L40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32" s="225">
        <f>ROUND(IF(AND(Base_Periodo1[[#This Row],[Tipo_Linha]]="-",Base_Periodo1[[#This Row],[TIPOSALDO]]="D"),Base_Periodo1[[#This Row],[SALDO_ATUAL]]*-1,Base_Periodo1[[#This Row],[SALDO_ATUAL]]),4)</f>
        <v>0</v>
      </c>
      <c r="N4032" t="s">
        <v>116</v>
      </c>
      <c r="O4032" t="s">
        <v>436</v>
      </c>
      <c r="P4032" t="s">
        <v>436</v>
      </c>
      <c r="Q4032">
        <v>7</v>
      </c>
      <c r="R4032" s="225">
        <f>Base_Periodo1[[#This Row],[CREDITOS]]-Base_Periodo1[[#This Row],[DEBITOS]]</f>
        <v>0</v>
      </c>
      <c r="S4032" s="3" t="str">
        <f>IF(ISERROR(VLOOKUP(Base_Periodo1[[#This Row],[CONTA]],BaseContasDRE[#All],4,FALSE)),"Fora do DRE",VLOOKUP(Base_Periodo1[[#This Row],[CONTA]],BaseContasDRE[#All],4,FALSE))</f>
        <v>Fora do DRE</v>
      </c>
      <c r="T4032" s="3" t="str">
        <f>IF(ISERROR(VLOOKUP(Base_Periodo1[[#This Row],[CONTA]],BaseContasDRE[#All],5,FALSE)),"Fora do DRE",VLOOKUP(Base_Periodo1[[#This Row],[CONTA]],BaseContasDRE[#All],6,FALSE))</f>
        <v>Fora do DRE</v>
      </c>
      <c r="U4032" s="3" t="str">
        <f>IF(ISERROR(VLOOKUP(Base_Periodo1[[#This Row],[CONTA]],BaseContasDRE[#All],7,FALSE)),"Fora do DRE",VLOOKUP(Base_Periodo1[[#This Row],[CONTA]],BaseContasDRE[#All],7,FALSE))</f>
        <v>Fora do DRE</v>
      </c>
      <c r="V4032" s="3" t="str">
        <f>IF(Base_Periodo1[[#This Row],[Tipo_Linha]]="Fora do DRE","Fora do DRE","( "&amp;Base_Periodo1[[#This Row],[Tipo_Linha]]&amp;" ) "&amp;Base_Periodo1[[#This Row],[Filtro]])</f>
        <v>Fora do DRE</v>
      </c>
      <c r="W4032" s="3" t="str">
        <f>LEFT(Base_Periodo1[[#This Row],[CLASS]],3)</f>
        <v>2.1</v>
      </c>
    </row>
    <row r="4033" spans="1:23" hidden="1">
      <c r="A4033" s="3" t="str">
        <f t="shared" si="62"/>
        <v>Período 1</v>
      </c>
      <c r="B4033">
        <v>51067</v>
      </c>
      <c r="C4033" t="s">
        <v>2010</v>
      </c>
      <c r="D4033" t="s">
        <v>6539</v>
      </c>
      <c r="E4033" s="3" t="str">
        <f>IF(LEN(Base_Periodo1[[#This Row],[CLASS]])&gt;=7,LEFT(Base_Periodo1[[#This Row],[CLASS]],7),"")</f>
        <v>2.1.2.2</v>
      </c>
      <c r="F4033" s="3" t="str">
        <f>VLOOKUP(Base_Periodo1[[#This Row],[Aux]],Base_Contas_Balanco[#All],2,FALSE)</f>
        <v>Fornecedores Não Cooperados</v>
      </c>
      <c r="G4033" s="1">
        <v>42858</v>
      </c>
      <c r="H4033" s="225">
        <v>15049</v>
      </c>
      <c r="I4033" s="225">
        <v>15049</v>
      </c>
      <c r="J4033" s="225">
        <v>0</v>
      </c>
      <c r="K4033" s="225">
        <v>0</v>
      </c>
      <c r="L40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33" s="225">
        <f>ROUND(IF(AND(Base_Periodo1[[#This Row],[Tipo_Linha]]="-",Base_Periodo1[[#This Row],[TIPOSALDO]]="D"),Base_Periodo1[[#This Row],[SALDO_ATUAL]]*-1,Base_Periodo1[[#This Row],[SALDO_ATUAL]]),4)</f>
        <v>0</v>
      </c>
      <c r="N4033" t="s">
        <v>116</v>
      </c>
      <c r="O4033" t="s">
        <v>459</v>
      </c>
      <c r="P4033" t="s">
        <v>436</v>
      </c>
      <c r="Q4033">
        <v>7</v>
      </c>
      <c r="R4033" s="225">
        <f>Base_Periodo1[[#This Row],[CREDITOS]]-Base_Periodo1[[#This Row],[DEBITOS]]</f>
        <v>-15049</v>
      </c>
      <c r="S4033" s="3" t="str">
        <f>IF(ISERROR(VLOOKUP(Base_Periodo1[[#This Row],[CONTA]],BaseContasDRE[#All],4,FALSE)),"Fora do DRE",VLOOKUP(Base_Periodo1[[#This Row],[CONTA]],BaseContasDRE[#All],4,FALSE))</f>
        <v>Fora do DRE</v>
      </c>
      <c r="T4033" s="3" t="str">
        <f>IF(ISERROR(VLOOKUP(Base_Periodo1[[#This Row],[CONTA]],BaseContasDRE[#All],5,FALSE)),"Fora do DRE",VLOOKUP(Base_Periodo1[[#This Row],[CONTA]],BaseContasDRE[#All],6,FALSE))</f>
        <v>Fora do DRE</v>
      </c>
      <c r="U4033" s="3" t="str">
        <f>IF(ISERROR(VLOOKUP(Base_Periodo1[[#This Row],[CONTA]],BaseContasDRE[#All],7,FALSE)),"Fora do DRE",VLOOKUP(Base_Periodo1[[#This Row],[CONTA]],BaseContasDRE[#All],7,FALSE))</f>
        <v>Fora do DRE</v>
      </c>
      <c r="V4033" s="3" t="str">
        <f>IF(Base_Periodo1[[#This Row],[Tipo_Linha]]="Fora do DRE","Fora do DRE","( "&amp;Base_Periodo1[[#This Row],[Tipo_Linha]]&amp;" ) "&amp;Base_Periodo1[[#This Row],[Filtro]])</f>
        <v>Fora do DRE</v>
      </c>
      <c r="W4033" s="3" t="str">
        <f>LEFT(Base_Periodo1[[#This Row],[CLASS]],3)</f>
        <v>2.1</v>
      </c>
    </row>
    <row r="4034" spans="1:23" hidden="1">
      <c r="A4034" s="3" t="str">
        <f t="shared" si="62"/>
        <v>Período 1</v>
      </c>
      <c r="B4034">
        <v>48517</v>
      </c>
      <c r="C4034" t="s">
        <v>2010</v>
      </c>
      <c r="D4034" t="s">
        <v>4865</v>
      </c>
      <c r="E4034" s="3" t="str">
        <f>IF(LEN(Base_Periodo1[[#This Row],[CLASS]])&gt;=7,LEFT(Base_Periodo1[[#This Row],[CLASS]],7),"")</f>
        <v>2.1.2.2</v>
      </c>
      <c r="F4034" s="3" t="str">
        <f>VLOOKUP(Base_Periodo1[[#This Row],[Aux]],Base_Contas_Balanco[#All],2,FALSE)</f>
        <v>Fornecedores Não Cooperados</v>
      </c>
      <c r="G4034" s="1">
        <v>42886</v>
      </c>
      <c r="I4034" s="225">
        <v>5900</v>
      </c>
      <c r="J4034" s="225">
        <v>5900</v>
      </c>
      <c r="K4034" s="225">
        <v>0</v>
      </c>
      <c r="L40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34" s="225">
        <f>ROUND(IF(AND(Base_Periodo1[[#This Row],[Tipo_Linha]]="-",Base_Periodo1[[#This Row],[TIPOSALDO]]="D"),Base_Periodo1[[#This Row],[SALDO_ATUAL]]*-1,Base_Periodo1[[#This Row],[SALDO_ATUAL]]),4)</f>
        <v>0</v>
      </c>
      <c r="N4034" t="s">
        <v>116</v>
      </c>
      <c r="O4034" t="s">
        <v>436</v>
      </c>
      <c r="P4034" t="s">
        <v>436</v>
      </c>
      <c r="Q4034">
        <v>7</v>
      </c>
      <c r="R4034" s="225">
        <f>Base_Periodo1[[#This Row],[CREDITOS]]-Base_Periodo1[[#This Row],[DEBITOS]]</f>
        <v>0</v>
      </c>
      <c r="S4034" s="3" t="str">
        <f>IF(ISERROR(VLOOKUP(Base_Periodo1[[#This Row],[CONTA]],BaseContasDRE[#All],4,FALSE)),"Fora do DRE",VLOOKUP(Base_Periodo1[[#This Row],[CONTA]],BaseContasDRE[#All],4,FALSE))</f>
        <v>Fora do DRE</v>
      </c>
      <c r="T4034" s="3" t="str">
        <f>IF(ISERROR(VLOOKUP(Base_Periodo1[[#This Row],[CONTA]],BaseContasDRE[#All],5,FALSE)),"Fora do DRE",VLOOKUP(Base_Periodo1[[#This Row],[CONTA]],BaseContasDRE[#All],6,FALSE))</f>
        <v>Fora do DRE</v>
      </c>
      <c r="U4034" s="3" t="str">
        <f>IF(ISERROR(VLOOKUP(Base_Periodo1[[#This Row],[CONTA]],BaseContasDRE[#All],7,FALSE)),"Fora do DRE",VLOOKUP(Base_Periodo1[[#This Row],[CONTA]],BaseContasDRE[#All],7,FALSE))</f>
        <v>Fora do DRE</v>
      </c>
      <c r="V4034" s="3" t="str">
        <f>IF(Base_Periodo1[[#This Row],[Tipo_Linha]]="Fora do DRE","Fora do DRE","( "&amp;Base_Periodo1[[#This Row],[Tipo_Linha]]&amp;" ) "&amp;Base_Periodo1[[#This Row],[Filtro]])</f>
        <v>Fora do DRE</v>
      </c>
      <c r="W4034" s="3" t="str">
        <f>LEFT(Base_Periodo1[[#This Row],[CLASS]],3)</f>
        <v>2.1</v>
      </c>
    </row>
    <row r="4035" spans="1:23" hidden="1">
      <c r="A4035" s="3" t="str">
        <f t="shared" si="62"/>
        <v>Período 1</v>
      </c>
      <c r="B4035">
        <v>14966</v>
      </c>
      <c r="C4035" t="s">
        <v>2010</v>
      </c>
      <c r="D4035" t="s">
        <v>5532</v>
      </c>
      <c r="E4035" s="3" t="str">
        <f>IF(LEN(Base_Periodo1[[#This Row],[CLASS]])&gt;=7,LEFT(Base_Periodo1[[#This Row],[CLASS]],7),"")</f>
        <v>2.1.2.2</v>
      </c>
      <c r="F4035" s="3" t="str">
        <f>VLOOKUP(Base_Periodo1[[#This Row],[Aux]],Base_Contas_Balanco[#All],2,FALSE)</f>
        <v>Fornecedores Não Cooperados</v>
      </c>
      <c r="G4035" s="1">
        <v>42870</v>
      </c>
      <c r="H4035" s="225">
        <v>1333.320000000007</v>
      </c>
      <c r="I4035" s="225">
        <v>1333.34</v>
      </c>
      <c r="J4035" s="225">
        <v>0.02</v>
      </c>
      <c r="K4035" s="225">
        <v>-7.0667742491092866E-12</v>
      </c>
      <c r="L40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35" s="225">
        <f>ROUND(IF(AND(Base_Periodo1[[#This Row],[Tipo_Linha]]="-",Base_Periodo1[[#This Row],[TIPOSALDO]]="D"),Base_Periodo1[[#This Row],[SALDO_ATUAL]]*-1,Base_Periodo1[[#This Row],[SALDO_ATUAL]]),4)</f>
        <v>0</v>
      </c>
      <c r="N4035" t="s">
        <v>116</v>
      </c>
      <c r="O4035" t="s">
        <v>459</v>
      </c>
      <c r="P4035" t="s">
        <v>436</v>
      </c>
      <c r="Q4035">
        <v>7</v>
      </c>
      <c r="R4035" s="225">
        <f>Base_Periodo1[[#This Row],[CREDITOS]]-Base_Periodo1[[#This Row],[DEBITOS]]</f>
        <v>-1333.32</v>
      </c>
      <c r="S4035" s="3" t="str">
        <f>IF(ISERROR(VLOOKUP(Base_Periodo1[[#This Row],[CONTA]],BaseContasDRE[#All],4,FALSE)),"Fora do DRE",VLOOKUP(Base_Periodo1[[#This Row],[CONTA]],BaseContasDRE[#All],4,FALSE))</f>
        <v>Fora do DRE</v>
      </c>
      <c r="T4035" s="3" t="str">
        <f>IF(ISERROR(VLOOKUP(Base_Periodo1[[#This Row],[CONTA]],BaseContasDRE[#All],5,FALSE)),"Fora do DRE",VLOOKUP(Base_Periodo1[[#This Row],[CONTA]],BaseContasDRE[#All],6,FALSE))</f>
        <v>Fora do DRE</v>
      </c>
      <c r="U4035" s="3" t="str">
        <f>IF(ISERROR(VLOOKUP(Base_Periodo1[[#This Row],[CONTA]],BaseContasDRE[#All],7,FALSE)),"Fora do DRE",VLOOKUP(Base_Periodo1[[#This Row],[CONTA]],BaseContasDRE[#All],7,FALSE))</f>
        <v>Fora do DRE</v>
      </c>
      <c r="V4035" s="3" t="str">
        <f>IF(Base_Periodo1[[#This Row],[Tipo_Linha]]="Fora do DRE","Fora do DRE","( "&amp;Base_Periodo1[[#This Row],[Tipo_Linha]]&amp;" ) "&amp;Base_Periodo1[[#This Row],[Filtro]])</f>
        <v>Fora do DRE</v>
      </c>
      <c r="W4035" s="3" t="str">
        <f>LEFT(Base_Periodo1[[#This Row],[CLASS]],3)</f>
        <v>2.1</v>
      </c>
    </row>
    <row r="4036" spans="1:23" hidden="1">
      <c r="A4036" s="3" t="str">
        <f t="shared" si="62"/>
        <v>Período 1</v>
      </c>
      <c r="B4036">
        <v>59157</v>
      </c>
      <c r="C4036" t="s">
        <v>2010</v>
      </c>
      <c r="D4036" t="s">
        <v>7149</v>
      </c>
      <c r="E4036" s="3" t="str">
        <f>IF(LEN(Base_Periodo1[[#This Row],[CLASS]])&gt;=7,LEFT(Base_Periodo1[[#This Row],[CLASS]],7),"")</f>
        <v>2.1.2.2</v>
      </c>
      <c r="F4036" s="3" t="str">
        <f>VLOOKUP(Base_Periodo1[[#This Row],[Aux]],Base_Contas_Balanco[#All],2,FALSE)</f>
        <v>Fornecedores Não Cooperados</v>
      </c>
      <c r="G4036" s="1">
        <v>42878</v>
      </c>
      <c r="I4036" s="225">
        <v>10358.11</v>
      </c>
      <c r="J4036" s="225">
        <v>10358.11</v>
      </c>
      <c r="K4036" s="225">
        <v>0</v>
      </c>
      <c r="L40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36" s="225">
        <f>ROUND(IF(AND(Base_Periodo1[[#This Row],[Tipo_Linha]]="-",Base_Periodo1[[#This Row],[TIPOSALDO]]="D"),Base_Periodo1[[#This Row],[SALDO_ATUAL]]*-1,Base_Periodo1[[#This Row],[SALDO_ATUAL]]),4)</f>
        <v>0</v>
      </c>
      <c r="N4036" t="s">
        <v>116</v>
      </c>
      <c r="O4036" t="s">
        <v>436</v>
      </c>
      <c r="P4036" t="s">
        <v>436</v>
      </c>
      <c r="Q4036">
        <v>7</v>
      </c>
      <c r="R4036" s="225">
        <f>Base_Periodo1[[#This Row],[CREDITOS]]-Base_Periodo1[[#This Row],[DEBITOS]]</f>
        <v>0</v>
      </c>
      <c r="S4036" s="3" t="str">
        <f>IF(ISERROR(VLOOKUP(Base_Periodo1[[#This Row],[CONTA]],BaseContasDRE[#All],4,FALSE)),"Fora do DRE",VLOOKUP(Base_Periodo1[[#This Row],[CONTA]],BaseContasDRE[#All],4,FALSE))</f>
        <v>Fora do DRE</v>
      </c>
      <c r="T4036" s="3" t="str">
        <f>IF(ISERROR(VLOOKUP(Base_Periodo1[[#This Row],[CONTA]],BaseContasDRE[#All],5,FALSE)),"Fora do DRE",VLOOKUP(Base_Periodo1[[#This Row],[CONTA]],BaseContasDRE[#All],6,FALSE))</f>
        <v>Fora do DRE</v>
      </c>
      <c r="U4036" s="3" t="str">
        <f>IF(ISERROR(VLOOKUP(Base_Periodo1[[#This Row],[CONTA]],BaseContasDRE[#All],7,FALSE)),"Fora do DRE",VLOOKUP(Base_Periodo1[[#This Row],[CONTA]],BaseContasDRE[#All],7,FALSE))</f>
        <v>Fora do DRE</v>
      </c>
      <c r="V4036" s="3" t="str">
        <f>IF(Base_Periodo1[[#This Row],[Tipo_Linha]]="Fora do DRE","Fora do DRE","( "&amp;Base_Periodo1[[#This Row],[Tipo_Linha]]&amp;" ) "&amp;Base_Periodo1[[#This Row],[Filtro]])</f>
        <v>Fora do DRE</v>
      </c>
      <c r="W4036" s="3" t="str">
        <f>LEFT(Base_Periodo1[[#This Row],[CLASS]],3)</f>
        <v>2.1</v>
      </c>
    </row>
    <row r="4037" spans="1:23" hidden="1">
      <c r="A4037" s="3" t="str">
        <f t="shared" si="62"/>
        <v>Período 1</v>
      </c>
      <c r="B4037">
        <v>44972</v>
      </c>
      <c r="C4037" t="s">
        <v>2010</v>
      </c>
      <c r="D4037" t="s">
        <v>868</v>
      </c>
      <c r="E4037" s="3" t="str">
        <f>IF(LEN(Base_Periodo1[[#This Row],[CLASS]])&gt;=7,LEFT(Base_Periodo1[[#This Row],[CLASS]],7),"")</f>
        <v>2.1.2.2</v>
      </c>
      <c r="F4037" s="3" t="str">
        <f>VLOOKUP(Base_Periodo1[[#This Row],[Aux]],Base_Contas_Balanco[#All],2,FALSE)</f>
        <v>Fornecedores Não Cooperados</v>
      </c>
      <c r="G4037" s="1">
        <v>42794</v>
      </c>
      <c r="H4037" s="225">
        <v>71.430000000000007</v>
      </c>
      <c r="I4037" s="225">
        <v>0</v>
      </c>
      <c r="J4037" s="225">
        <v>0</v>
      </c>
      <c r="K4037" s="225">
        <v>71.430000000000007</v>
      </c>
      <c r="L40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71.430000000000007</v>
      </c>
      <c r="M4037" s="225">
        <f>ROUND(IF(AND(Base_Periodo1[[#This Row],[Tipo_Linha]]="-",Base_Periodo1[[#This Row],[TIPOSALDO]]="D"),Base_Periodo1[[#This Row],[SALDO_ATUAL]]*-1,Base_Periodo1[[#This Row],[SALDO_ATUAL]]),4)</f>
        <v>71.430000000000007</v>
      </c>
      <c r="N4037" t="s">
        <v>116</v>
      </c>
      <c r="O4037" t="s">
        <v>459</v>
      </c>
      <c r="P4037" t="s">
        <v>459</v>
      </c>
      <c r="Q4037">
        <v>7</v>
      </c>
      <c r="R4037" s="225">
        <f>Base_Periodo1[[#This Row],[CREDITOS]]-Base_Periodo1[[#This Row],[DEBITOS]]</f>
        <v>0</v>
      </c>
      <c r="S4037" s="3" t="str">
        <f>IF(ISERROR(VLOOKUP(Base_Periodo1[[#This Row],[CONTA]],BaseContasDRE[#All],4,FALSE)),"Fora do DRE",VLOOKUP(Base_Periodo1[[#This Row],[CONTA]],BaseContasDRE[#All],4,FALSE))</f>
        <v>Fora do DRE</v>
      </c>
      <c r="T4037" s="3" t="str">
        <f>IF(ISERROR(VLOOKUP(Base_Periodo1[[#This Row],[CONTA]],BaseContasDRE[#All],5,FALSE)),"Fora do DRE",VLOOKUP(Base_Periodo1[[#This Row],[CONTA]],BaseContasDRE[#All],6,FALSE))</f>
        <v>Fora do DRE</v>
      </c>
      <c r="U4037" s="3" t="str">
        <f>IF(ISERROR(VLOOKUP(Base_Periodo1[[#This Row],[CONTA]],BaseContasDRE[#All],7,FALSE)),"Fora do DRE",VLOOKUP(Base_Periodo1[[#This Row],[CONTA]],BaseContasDRE[#All],7,FALSE))</f>
        <v>Fora do DRE</v>
      </c>
      <c r="V4037" s="3" t="str">
        <f>IF(Base_Periodo1[[#This Row],[Tipo_Linha]]="Fora do DRE","Fora do DRE","( "&amp;Base_Periodo1[[#This Row],[Tipo_Linha]]&amp;" ) "&amp;Base_Periodo1[[#This Row],[Filtro]])</f>
        <v>Fora do DRE</v>
      </c>
      <c r="W4037" s="3" t="str">
        <f>LEFT(Base_Periodo1[[#This Row],[CLASS]],3)</f>
        <v>2.1</v>
      </c>
    </row>
    <row r="4038" spans="1:23" hidden="1">
      <c r="A4038" s="3" t="str">
        <f t="shared" ref="A4038:A4101" si="63">"Período 1"</f>
        <v>Período 1</v>
      </c>
      <c r="B4038">
        <v>7637</v>
      </c>
      <c r="C4038" t="s">
        <v>2010</v>
      </c>
      <c r="D4038" t="s">
        <v>5533</v>
      </c>
      <c r="E4038" s="3" t="str">
        <f>IF(LEN(Base_Periodo1[[#This Row],[CLASS]])&gt;=7,LEFT(Base_Periodo1[[#This Row],[CLASS]],7),"")</f>
        <v>2.1.2.2</v>
      </c>
      <c r="F4038" s="3" t="str">
        <f>VLOOKUP(Base_Periodo1[[#This Row],[Aux]],Base_Contas_Balanco[#All],2,FALSE)</f>
        <v>Fornecedores Não Cooperados</v>
      </c>
      <c r="G4038" s="1">
        <v>42879</v>
      </c>
      <c r="I4038" s="225">
        <v>3206.2</v>
      </c>
      <c r="J4038" s="225">
        <v>3206.2</v>
      </c>
      <c r="K4038" s="225">
        <v>0</v>
      </c>
      <c r="L40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38" s="225">
        <f>ROUND(IF(AND(Base_Periodo1[[#This Row],[Tipo_Linha]]="-",Base_Periodo1[[#This Row],[TIPOSALDO]]="D"),Base_Periodo1[[#This Row],[SALDO_ATUAL]]*-1,Base_Periodo1[[#This Row],[SALDO_ATUAL]]),4)</f>
        <v>0</v>
      </c>
      <c r="N4038" t="s">
        <v>116</v>
      </c>
      <c r="O4038" t="s">
        <v>436</v>
      </c>
      <c r="P4038" t="s">
        <v>436</v>
      </c>
      <c r="Q4038">
        <v>7</v>
      </c>
      <c r="R4038" s="225">
        <f>Base_Periodo1[[#This Row],[CREDITOS]]-Base_Periodo1[[#This Row],[DEBITOS]]</f>
        <v>0</v>
      </c>
      <c r="S4038" s="3" t="str">
        <f>IF(ISERROR(VLOOKUP(Base_Periodo1[[#This Row],[CONTA]],BaseContasDRE[#All],4,FALSE)),"Fora do DRE",VLOOKUP(Base_Periodo1[[#This Row],[CONTA]],BaseContasDRE[#All],4,FALSE))</f>
        <v>Fora do DRE</v>
      </c>
      <c r="T4038" s="3" t="str">
        <f>IF(ISERROR(VLOOKUP(Base_Periodo1[[#This Row],[CONTA]],BaseContasDRE[#All],5,FALSE)),"Fora do DRE",VLOOKUP(Base_Periodo1[[#This Row],[CONTA]],BaseContasDRE[#All],6,FALSE))</f>
        <v>Fora do DRE</v>
      </c>
      <c r="U4038" s="3" t="str">
        <f>IF(ISERROR(VLOOKUP(Base_Periodo1[[#This Row],[CONTA]],BaseContasDRE[#All],7,FALSE)),"Fora do DRE",VLOOKUP(Base_Periodo1[[#This Row],[CONTA]],BaseContasDRE[#All],7,FALSE))</f>
        <v>Fora do DRE</v>
      </c>
      <c r="V4038" s="3" t="str">
        <f>IF(Base_Periodo1[[#This Row],[Tipo_Linha]]="Fora do DRE","Fora do DRE","( "&amp;Base_Periodo1[[#This Row],[Tipo_Linha]]&amp;" ) "&amp;Base_Periodo1[[#This Row],[Filtro]])</f>
        <v>Fora do DRE</v>
      </c>
      <c r="W4038" s="3" t="str">
        <f>LEFT(Base_Periodo1[[#This Row],[CLASS]],3)</f>
        <v>2.1</v>
      </c>
    </row>
    <row r="4039" spans="1:23" hidden="1">
      <c r="A4039" s="3" t="str">
        <f t="shared" si="63"/>
        <v>Período 1</v>
      </c>
      <c r="B4039">
        <v>57405</v>
      </c>
      <c r="C4039" t="s">
        <v>2010</v>
      </c>
      <c r="D4039" t="s">
        <v>7150</v>
      </c>
      <c r="E4039" s="3" t="str">
        <f>IF(LEN(Base_Periodo1[[#This Row],[CLASS]])&gt;=7,LEFT(Base_Periodo1[[#This Row],[CLASS]],7),"")</f>
        <v>2.1.2.2</v>
      </c>
      <c r="F4039" s="3" t="str">
        <f>VLOOKUP(Base_Periodo1[[#This Row],[Aux]],Base_Contas_Balanco[#All],2,FALSE)</f>
        <v>Fornecedores Não Cooperados</v>
      </c>
      <c r="G4039" s="1">
        <v>42884</v>
      </c>
      <c r="I4039" s="225">
        <v>1502.9299999999998</v>
      </c>
      <c r="J4039" s="225">
        <v>1502.93</v>
      </c>
      <c r="K4039" s="225">
        <v>-2.2737367544323206E-13</v>
      </c>
      <c r="L40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39" s="225">
        <f>ROUND(IF(AND(Base_Periodo1[[#This Row],[Tipo_Linha]]="-",Base_Periodo1[[#This Row],[TIPOSALDO]]="D"),Base_Periodo1[[#This Row],[SALDO_ATUAL]]*-1,Base_Periodo1[[#This Row],[SALDO_ATUAL]]),4)</f>
        <v>0</v>
      </c>
      <c r="N4039" t="s">
        <v>116</v>
      </c>
      <c r="O4039" t="s">
        <v>436</v>
      </c>
      <c r="P4039" t="s">
        <v>436</v>
      </c>
      <c r="Q4039">
        <v>7</v>
      </c>
      <c r="R4039" s="225">
        <f>Base_Periodo1[[#This Row],[CREDITOS]]-Base_Periodo1[[#This Row],[DEBITOS]]</f>
        <v>0</v>
      </c>
      <c r="S4039" s="3" t="str">
        <f>IF(ISERROR(VLOOKUP(Base_Periodo1[[#This Row],[CONTA]],BaseContasDRE[#All],4,FALSE)),"Fora do DRE",VLOOKUP(Base_Periodo1[[#This Row],[CONTA]],BaseContasDRE[#All],4,FALSE))</f>
        <v>Fora do DRE</v>
      </c>
      <c r="T4039" s="3" t="str">
        <f>IF(ISERROR(VLOOKUP(Base_Periodo1[[#This Row],[CONTA]],BaseContasDRE[#All],5,FALSE)),"Fora do DRE",VLOOKUP(Base_Periodo1[[#This Row],[CONTA]],BaseContasDRE[#All],6,FALSE))</f>
        <v>Fora do DRE</v>
      </c>
      <c r="U4039" s="3" t="str">
        <f>IF(ISERROR(VLOOKUP(Base_Periodo1[[#This Row],[CONTA]],BaseContasDRE[#All],7,FALSE)),"Fora do DRE",VLOOKUP(Base_Periodo1[[#This Row],[CONTA]],BaseContasDRE[#All],7,FALSE))</f>
        <v>Fora do DRE</v>
      </c>
      <c r="V4039" s="3" t="str">
        <f>IF(Base_Periodo1[[#This Row],[Tipo_Linha]]="Fora do DRE","Fora do DRE","( "&amp;Base_Periodo1[[#This Row],[Tipo_Linha]]&amp;" ) "&amp;Base_Periodo1[[#This Row],[Filtro]])</f>
        <v>Fora do DRE</v>
      </c>
      <c r="W4039" s="3" t="str">
        <f>LEFT(Base_Periodo1[[#This Row],[CLASS]],3)</f>
        <v>2.1</v>
      </c>
    </row>
    <row r="4040" spans="1:23" hidden="1">
      <c r="A4040" s="3" t="str">
        <f t="shared" si="63"/>
        <v>Período 1</v>
      </c>
      <c r="B4040">
        <v>58922</v>
      </c>
      <c r="C4040" t="s">
        <v>2010</v>
      </c>
      <c r="D4040" t="s">
        <v>7151</v>
      </c>
      <c r="E4040" s="3" t="str">
        <f>IF(LEN(Base_Periodo1[[#This Row],[CLASS]])&gt;=7,LEFT(Base_Periodo1[[#This Row],[CLASS]],7),"")</f>
        <v>2.1.2.2</v>
      </c>
      <c r="F4040" s="3" t="str">
        <f>VLOOKUP(Base_Periodo1[[#This Row],[Aux]],Base_Contas_Balanco[#All],2,FALSE)</f>
        <v>Fornecedores Não Cooperados</v>
      </c>
      <c r="G4040" s="1">
        <v>42873</v>
      </c>
      <c r="I4040" s="225">
        <v>1899.8</v>
      </c>
      <c r="J4040" s="225">
        <v>1899.8</v>
      </c>
      <c r="K4040" s="225">
        <v>0</v>
      </c>
      <c r="L40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40" s="225">
        <f>ROUND(IF(AND(Base_Periodo1[[#This Row],[Tipo_Linha]]="-",Base_Periodo1[[#This Row],[TIPOSALDO]]="D"),Base_Periodo1[[#This Row],[SALDO_ATUAL]]*-1,Base_Periodo1[[#This Row],[SALDO_ATUAL]]),4)</f>
        <v>0</v>
      </c>
      <c r="N4040" t="s">
        <v>116</v>
      </c>
      <c r="O4040" t="s">
        <v>436</v>
      </c>
      <c r="P4040" t="s">
        <v>436</v>
      </c>
      <c r="Q4040">
        <v>7</v>
      </c>
      <c r="R4040" s="225">
        <f>Base_Periodo1[[#This Row],[CREDITOS]]-Base_Periodo1[[#This Row],[DEBITOS]]</f>
        <v>0</v>
      </c>
      <c r="S4040" s="3" t="str">
        <f>IF(ISERROR(VLOOKUP(Base_Periodo1[[#This Row],[CONTA]],BaseContasDRE[#All],4,FALSE)),"Fora do DRE",VLOOKUP(Base_Periodo1[[#This Row],[CONTA]],BaseContasDRE[#All],4,FALSE))</f>
        <v>Fora do DRE</v>
      </c>
      <c r="T4040" s="3" t="str">
        <f>IF(ISERROR(VLOOKUP(Base_Periodo1[[#This Row],[CONTA]],BaseContasDRE[#All],5,FALSE)),"Fora do DRE",VLOOKUP(Base_Periodo1[[#This Row],[CONTA]],BaseContasDRE[#All],6,FALSE))</f>
        <v>Fora do DRE</v>
      </c>
      <c r="U4040" s="3" t="str">
        <f>IF(ISERROR(VLOOKUP(Base_Periodo1[[#This Row],[CONTA]],BaseContasDRE[#All],7,FALSE)),"Fora do DRE",VLOOKUP(Base_Periodo1[[#This Row],[CONTA]],BaseContasDRE[#All],7,FALSE))</f>
        <v>Fora do DRE</v>
      </c>
      <c r="V4040" s="3" t="str">
        <f>IF(Base_Periodo1[[#This Row],[Tipo_Linha]]="Fora do DRE","Fora do DRE","( "&amp;Base_Periodo1[[#This Row],[Tipo_Linha]]&amp;" ) "&amp;Base_Periodo1[[#This Row],[Filtro]])</f>
        <v>Fora do DRE</v>
      </c>
      <c r="W4040" s="3" t="str">
        <f>LEFT(Base_Periodo1[[#This Row],[CLASS]],3)</f>
        <v>2.1</v>
      </c>
    </row>
    <row r="4041" spans="1:23" hidden="1">
      <c r="A4041" s="3" t="str">
        <f t="shared" si="63"/>
        <v>Período 1</v>
      </c>
      <c r="B4041">
        <v>58965</v>
      </c>
      <c r="C4041" t="s">
        <v>2010</v>
      </c>
      <c r="D4041" t="s">
        <v>7152</v>
      </c>
      <c r="E4041" s="3" t="str">
        <f>IF(LEN(Base_Periodo1[[#This Row],[CLASS]])&gt;=7,LEFT(Base_Periodo1[[#This Row],[CLASS]],7),"")</f>
        <v>2.1.2.2</v>
      </c>
      <c r="F4041" s="3" t="str">
        <f>VLOOKUP(Base_Periodo1[[#This Row],[Aux]],Base_Contas_Balanco[#All],2,FALSE)</f>
        <v>Fornecedores Não Cooperados</v>
      </c>
      <c r="G4041" s="1">
        <v>42885</v>
      </c>
      <c r="I4041" s="225">
        <v>10858.759999999998</v>
      </c>
      <c r="J4041" s="225">
        <v>10858.76</v>
      </c>
      <c r="K4041" s="225">
        <v>-1.8189894035458565E-12</v>
      </c>
      <c r="L40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41" s="225">
        <f>ROUND(IF(AND(Base_Periodo1[[#This Row],[Tipo_Linha]]="-",Base_Periodo1[[#This Row],[TIPOSALDO]]="D"),Base_Periodo1[[#This Row],[SALDO_ATUAL]]*-1,Base_Periodo1[[#This Row],[SALDO_ATUAL]]),4)</f>
        <v>0</v>
      </c>
      <c r="N4041" t="s">
        <v>116</v>
      </c>
      <c r="O4041" t="s">
        <v>436</v>
      </c>
      <c r="P4041" t="s">
        <v>436</v>
      </c>
      <c r="Q4041">
        <v>7</v>
      </c>
      <c r="R4041" s="225">
        <f>Base_Periodo1[[#This Row],[CREDITOS]]-Base_Periodo1[[#This Row],[DEBITOS]]</f>
        <v>0</v>
      </c>
      <c r="S4041" s="3" t="str">
        <f>IF(ISERROR(VLOOKUP(Base_Periodo1[[#This Row],[CONTA]],BaseContasDRE[#All],4,FALSE)),"Fora do DRE",VLOOKUP(Base_Periodo1[[#This Row],[CONTA]],BaseContasDRE[#All],4,FALSE))</f>
        <v>Fora do DRE</v>
      </c>
      <c r="T4041" s="3" t="str">
        <f>IF(ISERROR(VLOOKUP(Base_Periodo1[[#This Row],[CONTA]],BaseContasDRE[#All],5,FALSE)),"Fora do DRE",VLOOKUP(Base_Periodo1[[#This Row],[CONTA]],BaseContasDRE[#All],6,FALSE))</f>
        <v>Fora do DRE</v>
      </c>
      <c r="U4041" s="3" t="str">
        <f>IF(ISERROR(VLOOKUP(Base_Periodo1[[#This Row],[CONTA]],BaseContasDRE[#All],7,FALSE)),"Fora do DRE",VLOOKUP(Base_Periodo1[[#This Row],[CONTA]],BaseContasDRE[#All],7,FALSE))</f>
        <v>Fora do DRE</v>
      </c>
      <c r="V4041" s="3" t="str">
        <f>IF(Base_Periodo1[[#This Row],[Tipo_Linha]]="Fora do DRE","Fora do DRE","( "&amp;Base_Periodo1[[#This Row],[Tipo_Linha]]&amp;" ) "&amp;Base_Periodo1[[#This Row],[Filtro]])</f>
        <v>Fora do DRE</v>
      </c>
      <c r="W4041" s="3" t="str">
        <f>LEFT(Base_Periodo1[[#This Row],[CLASS]],3)</f>
        <v>2.1</v>
      </c>
    </row>
    <row r="4042" spans="1:23" hidden="1">
      <c r="A4042" s="3" t="str">
        <f t="shared" si="63"/>
        <v>Período 1</v>
      </c>
      <c r="B4042">
        <v>11338</v>
      </c>
      <c r="C4042" t="s">
        <v>2010</v>
      </c>
      <c r="D4042" t="s">
        <v>7153</v>
      </c>
      <c r="E4042" s="3" t="str">
        <f>IF(LEN(Base_Periodo1[[#This Row],[CLASS]])&gt;=7,LEFT(Base_Periodo1[[#This Row],[CLASS]],7),"")</f>
        <v>2.1.2.2</v>
      </c>
      <c r="F4042" s="3" t="str">
        <f>VLOOKUP(Base_Periodo1[[#This Row],[Aux]],Base_Contas_Balanco[#All],2,FALSE)</f>
        <v>Fornecedores Não Cooperados</v>
      </c>
      <c r="G4042" s="1">
        <v>42878</v>
      </c>
      <c r="I4042" s="225">
        <v>225</v>
      </c>
      <c r="J4042" s="225">
        <v>225</v>
      </c>
      <c r="K4042" s="225">
        <v>0</v>
      </c>
      <c r="L40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42" s="225">
        <f>ROUND(IF(AND(Base_Periodo1[[#This Row],[Tipo_Linha]]="-",Base_Periodo1[[#This Row],[TIPOSALDO]]="D"),Base_Periodo1[[#This Row],[SALDO_ATUAL]]*-1,Base_Periodo1[[#This Row],[SALDO_ATUAL]]),4)</f>
        <v>0</v>
      </c>
      <c r="N4042" t="s">
        <v>116</v>
      </c>
      <c r="O4042" t="s">
        <v>436</v>
      </c>
      <c r="P4042" t="s">
        <v>436</v>
      </c>
      <c r="Q4042">
        <v>7</v>
      </c>
      <c r="R4042" s="225">
        <f>Base_Periodo1[[#This Row],[CREDITOS]]-Base_Periodo1[[#This Row],[DEBITOS]]</f>
        <v>0</v>
      </c>
      <c r="S4042" s="3" t="str">
        <f>IF(ISERROR(VLOOKUP(Base_Periodo1[[#This Row],[CONTA]],BaseContasDRE[#All],4,FALSE)),"Fora do DRE",VLOOKUP(Base_Periodo1[[#This Row],[CONTA]],BaseContasDRE[#All],4,FALSE))</f>
        <v>Fora do DRE</v>
      </c>
      <c r="T4042" s="3" t="str">
        <f>IF(ISERROR(VLOOKUP(Base_Periodo1[[#This Row],[CONTA]],BaseContasDRE[#All],5,FALSE)),"Fora do DRE",VLOOKUP(Base_Periodo1[[#This Row],[CONTA]],BaseContasDRE[#All],6,FALSE))</f>
        <v>Fora do DRE</v>
      </c>
      <c r="U4042" s="3" t="str">
        <f>IF(ISERROR(VLOOKUP(Base_Periodo1[[#This Row],[CONTA]],BaseContasDRE[#All],7,FALSE)),"Fora do DRE",VLOOKUP(Base_Periodo1[[#This Row],[CONTA]],BaseContasDRE[#All],7,FALSE))</f>
        <v>Fora do DRE</v>
      </c>
      <c r="V4042" s="3" t="str">
        <f>IF(Base_Periodo1[[#This Row],[Tipo_Linha]]="Fora do DRE","Fora do DRE","( "&amp;Base_Periodo1[[#This Row],[Tipo_Linha]]&amp;" ) "&amp;Base_Periodo1[[#This Row],[Filtro]])</f>
        <v>Fora do DRE</v>
      </c>
      <c r="W4042" s="3" t="str">
        <f>LEFT(Base_Periodo1[[#This Row],[CLASS]],3)</f>
        <v>2.1</v>
      </c>
    </row>
    <row r="4043" spans="1:23" hidden="1">
      <c r="A4043" s="3" t="str">
        <f t="shared" si="63"/>
        <v>Período 1</v>
      </c>
      <c r="B4043">
        <v>9625</v>
      </c>
      <c r="C4043" t="s">
        <v>2010</v>
      </c>
      <c r="D4043" t="s">
        <v>5670</v>
      </c>
      <c r="E4043" s="3" t="str">
        <f>IF(LEN(Base_Periodo1[[#This Row],[CLASS]])&gt;=7,LEFT(Base_Periodo1[[#This Row],[CLASS]],7),"")</f>
        <v>2.1.2.2</v>
      </c>
      <c r="F4043" s="3" t="str">
        <f>VLOOKUP(Base_Periodo1[[#This Row],[Aux]],Base_Contas_Balanco[#All],2,FALSE)</f>
        <v>Fornecedores Não Cooperados</v>
      </c>
      <c r="G4043" s="1">
        <v>42879</v>
      </c>
      <c r="I4043" s="225">
        <v>59142.780000000006</v>
      </c>
      <c r="J4043" s="225">
        <v>59142.78</v>
      </c>
      <c r="K4043" s="225">
        <v>-9.2404661700129509E-10</v>
      </c>
      <c r="L40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43" s="225">
        <f>ROUND(IF(AND(Base_Periodo1[[#This Row],[Tipo_Linha]]="-",Base_Periodo1[[#This Row],[TIPOSALDO]]="D"),Base_Periodo1[[#This Row],[SALDO_ATUAL]]*-1,Base_Periodo1[[#This Row],[SALDO_ATUAL]]),4)</f>
        <v>0</v>
      </c>
      <c r="N4043" t="s">
        <v>116</v>
      </c>
      <c r="O4043" t="s">
        <v>436</v>
      </c>
      <c r="P4043" t="s">
        <v>436</v>
      </c>
      <c r="Q4043">
        <v>7</v>
      </c>
      <c r="R4043" s="225">
        <f>Base_Periodo1[[#This Row],[CREDITOS]]-Base_Periodo1[[#This Row],[DEBITOS]]</f>
        <v>0</v>
      </c>
      <c r="S4043" s="3" t="str">
        <f>IF(ISERROR(VLOOKUP(Base_Periodo1[[#This Row],[CONTA]],BaseContasDRE[#All],4,FALSE)),"Fora do DRE",VLOOKUP(Base_Periodo1[[#This Row],[CONTA]],BaseContasDRE[#All],4,FALSE))</f>
        <v>Fora do DRE</v>
      </c>
      <c r="T4043" s="3" t="str">
        <f>IF(ISERROR(VLOOKUP(Base_Periodo1[[#This Row],[CONTA]],BaseContasDRE[#All],5,FALSE)),"Fora do DRE",VLOOKUP(Base_Periodo1[[#This Row],[CONTA]],BaseContasDRE[#All],6,FALSE))</f>
        <v>Fora do DRE</v>
      </c>
      <c r="U4043" s="3" t="str">
        <f>IF(ISERROR(VLOOKUP(Base_Periodo1[[#This Row],[CONTA]],BaseContasDRE[#All],7,FALSE)),"Fora do DRE",VLOOKUP(Base_Periodo1[[#This Row],[CONTA]],BaseContasDRE[#All],7,FALSE))</f>
        <v>Fora do DRE</v>
      </c>
      <c r="V4043" s="3" t="str">
        <f>IF(Base_Periodo1[[#This Row],[Tipo_Linha]]="Fora do DRE","Fora do DRE","( "&amp;Base_Periodo1[[#This Row],[Tipo_Linha]]&amp;" ) "&amp;Base_Periodo1[[#This Row],[Filtro]])</f>
        <v>Fora do DRE</v>
      </c>
      <c r="W4043" s="3" t="str">
        <f>LEFT(Base_Periodo1[[#This Row],[CLASS]],3)</f>
        <v>2.1</v>
      </c>
    </row>
    <row r="4044" spans="1:23" hidden="1">
      <c r="A4044" s="3" t="str">
        <f t="shared" si="63"/>
        <v>Período 1</v>
      </c>
      <c r="B4044">
        <v>17758</v>
      </c>
      <c r="C4044" t="s">
        <v>2010</v>
      </c>
      <c r="D4044" t="s">
        <v>6002</v>
      </c>
      <c r="E4044" s="3" t="str">
        <f>IF(LEN(Base_Periodo1[[#This Row],[CLASS]])&gt;=7,LEFT(Base_Periodo1[[#This Row],[CLASS]],7),"")</f>
        <v>2.1.2.2</v>
      </c>
      <c r="F4044" s="3" t="str">
        <f>VLOOKUP(Base_Periodo1[[#This Row],[Aux]],Base_Contas_Balanco[#All],2,FALSE)</f>
        <v>Fornecedores Não Cooperados</v>
      </c>
      <c r="G4044" s="1">
        <v>42886</v>
      </c>
      <c r="H4044" s="225">
        <v>2452.9999999999964</v>
      </c>
      <c r="I4044" s="225">
        <v>2453</v>
      </c>
      <c r="J4044" s="225">
        <v>464</v>
      </c>
      <c r="K4044" s="225">
        <v>463.99999999999636</v>
      </c>
      <c r="L40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464</v>
      </c>
      <c r="M4044" s="225">
        <f>ROUND(IF(AND(Base_Periodo1[[#This Row],[Tipo_Linha]]="-",Base_Periodo1[[#This Row],[TIPOSALDO]]="D"),Base_Periodo1[[#This Row],[SALDO_ATUAL]]*-1,Base_Periodo1[[#This Row],[SALDO_ATUAL]]),4)</f>
        <v>464</v>
      </c>
      <c r="N4044" t="s">
        <v>116</v>
      </c>
      <c r="O4044" t="s">
        <v>459</v>
      </c>
      <c r="P4044" t="s">
        <v>459</v>
      </c>
      <c r="Q4044">
        <v>7</v>
      </c>
      <c r="R4044" s="225">
        <f>Base_Periodo1[[#This Row],[CREDITOS]]-Base_Periodo1[[#This Row],[DEBITOS]]</f>
        <v>-1989</v>
      </c>
      <c r="S4044" s="3" t="str">
        <f>IF(ISERROR(VLOOKUP(Base_Periodo1[[#This Row],[CONTA]],BaseContasDRE[#All],4,FALSE)),"Fora do DRE",VLOOKUP(Base_Periodo1[[#This Row],[CONTA]],BaseContasDRE[#All],4,FALSE))</f>
        <v>Fora do DRE</v>
      </c>
      <c r="T4044" s="3" t="str">
        <f>IF(ISERROR(VLOOKUP(Base_Periodo1[[#This Row],[CONTA]],BaseContasDRE[#All],5,FALSE)),"Fora do DRE",VLOOKUP(Base_Periodo1[[#This Row],[CONTA]],BaseContasDRE[#All],6,FALSE))</f>
        <v>Fora do DRE</v>
      </c>
      <c r="U4044" s="3" t="str">
        <f>IF(ISERROR(VLOOKUP(Base_Periodo1[[#This Row],[CONTA]],BaseContasDRE[#All],7,FALSE)),"Fora do DRE",VLOOKUP(Base_Periodo1[[#This Row],[CONTA]],BaseContasDRE[#All],7,FALSE))</f>
        <v>Fora do DRE</v>
      </c>
      <c r="V4044" s="3" t="str">
        <f>IF(Base_Periodo1[[#This Row],[Tipo_Linha]]="Fora do DRE","Fora do DRE","( "&amp;Base_Periodo1[[#This Row],[Tipo_Linha]]&amp;" ) "&amp;Base_Periodo1[[#This Row],[Filtro]])</f>
        <v>Fora do DRE</v>
      </c>
      <c r="W4044" s="3" t="str">
        <f>LEFT(Base_Periodo1[[#This Row],[CLASS]],3)</f>
        <v>2.1</v>
      </c>
    </row>
    <row r="4045" spans="1:23" hidden="1">
      <c r="A4045" s="3" t="str">
        <f t="shared" si="63"/>
        <v>Período 1</v>
      </c>
      <c r="B4045">
        <v>13545</v>
      </c>
      <c r="C4045" t="s">
        <v>2010</v>
      </c>
      <c r="D4045" t="s">
        <v>6348</v>
      </c>
      <c r="E4045" s="3" t="str">
        <f>IF(LEN(Base_Periodo1[[#This Row],[CLASS]])&gt;=7,LEFT(Base_Periodo1[[#This Row],[CLASS]],7),"")</f>
        <v>2.1.2.2</v>
      </c>
      <c r="F4045" s="3" t="str">
        <f>VLOOKUP(Base_Periodo1[[#This Row],[Aux]],Base_Contas_Balanco[#All],2,FALSE)</f>
        <v>Fornecedores Não Cooperados</v>
      </c>
      <c r="G4045" s="1">
        <v>42825</v>
      </c>
      <c r="H4045" s="225">
        <v>33741.090000000026</v>
      </c>
      <c r="I4045" s="225">
        <v>0</v>
      </c>
      <c r="J4045" s="225">
        <v>0</v>
      </c>
      <c r="K4045" s="225">
        <v>33741.090000000026</v>
      </c>
      <c r="L40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-33741.089999999997</v>
      </c>
      <c r="M4045" s="225">
        <f>ROUND(IF(AND(Base_Periodo1[[#This Row],[Tipo_Linha]]="-",Base_Periodo1[[#This Row],[TIPOSALDO]]="D"),Base_Periodo1[[#This Row],[SALDO_ATUAL]]*-1,Base_Periodo1[[#This Row],[SALDO_ATUAL]]),4)</f>
        <v>33741.089999999997</v>
      </c>
      <c r="N4045" t="s">
        <v>116</v>
      </c>
      <c r="O4045" t="s">
        <v>397</v>
      </c>
      <c r="P4045" t="s">
        <v>397</v>
      </c>
      <c r="Q4045">
        <v>7</v>
      </c>
      <c r="R4045" s="225">
        <f>Base_Periodo1[[#This Row],[CREDITOS]]-Base_Periodo1[[#This Row],[DEBITOS]]</f>
        <v>0</v>
      </c>
      <c r="S4045" s="3" t="str">
        <f>IF(ISERROR(VLOOKUP(Base_Periodo1[[#This Row],[CONTA]],BaseContasDRE[#All],4,FALSE)),"Fora do DRE",VLOOKUP(Base_Periodo1[[#This Row],[CONTA]],BaseContasDRE[#All],4,FALSE))</f>
        <v>Fora do DRE</v>
      </c>
      <c r="T4045" s="3" t="str">
        <f>IF(ISERROR(VLOOKUP(Base_Periodo1[[#This Row],[CONTA]],BaseContasDRE[#All],5,FALSE)),"Fora do DRE",VLOOKUP(Base_Periodo1[[#This Row],[CONTA]],BaseContasDRE[#All],6,FALSE))</f>
        <v>Fora do DRE</v>
      </c>
      <c r="U4045" s="3" t="str">
        <f>IF(ISERROR(VLOOKUP(Base_Periodo1[[#This Row],[CONTA]],BaseContasDRE[#All],7,FALSE)),"Fora do DRE",VLOOKUP(Base_Periodo1[[#This Row],[CONTA]],BaseContasDRE[#All],7,FALSE))</f>
        <v>Fora do DRE</v>
      </c>
      <c r="V4045" s="3" t="str">
        <f>IF(Base_Periodo1[[#This Row],[Tipo_Linha]]="Fora do DRE","Fora do DRE","( "&amp;Base_Periodo1[[#This Row],[Tipo_Linha]]&amp;" ) "&amp;Base_Periodo1[[#This Row],[Filtro]])</f>
        <v>Fora do DRE</v>
      </c>
      <c r="W4045" s="3" t="str">
        <f>LEFT(Base_Periodo1[[#This Row],[CLASS]],3)</f>
        <v>2.1</v>
      </c>
    </row>
    <row r="4046" spans="1:23" hidden="1">
      <c r="A4046" s="3" t="str">
        <f t="shared" si="63"/>
        <v>Período 1</v>
      </c>
      <c r="B4046">
        <v>26950</v>
      </c>
      <c r="C4046" t="s">
        <v>2010</v>
      </c>
      <c r="D4046" t="s">
        <v>6540</v>
      </c>
      <c r="E4046" s="3" t="str">
        <f>IF(LEN(Base_Periodo1[[#This Row],[CLASS]])&gt;=7,LEFT(Base_Periodo1[[#This Row],[CLASS]],7),"")</f>
        <v>2.1.2.2</v>
      </c>
      <c r="F4046" s="3" t="str">
        <f>VLOOKUP(Base_Periodo1[[#This Row],[Aux]],Base_Contas_Balanco[#All],2,FALSE)</f>
        <v>Fornecedores Não Cooperados</v>
      </c>
      <c r="G4046" s="1">
        <v>42863</v>
      </c>
      <c r="H4046" s="225">
        <v>35</v>
      </c>
      <c r="I4046" s="225">
        <v>35</v>
      </c>
      <c r="J4046" s="225">
        <v>0</v>
      </c>
      <c r="K4046" s="225">
        <v>0</v>
      </c>
      <c r="L40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46" s="225">
        <f>ROUND(IF(AND(Base_Periodo1[[#This Row],[Tipo_Linha]]="-",Base_Periodo1[[#This Row],[TIPOSALDO]]="D"),Base_Periodo1[[#This Row],[SALDO_ATUAL]]*-1,Base_Periodo1[[#This Row],[SALDO_ATUAL]]),4)</f>
        <v>0</v>
      </c>
      <c r="N4046" t="s">
        <v>116</v>
      </c>
      <c r="O4046" t="s">
        <v>459</v>
      </c>
      <c r="P4046" t="s">
        <v>436</v>
      </c>
      <c r="Q4046">
        <v>7</v>
      </c>
      <c r="R4046" s="225">
        <f>Base_Periodo1[[#This Row],[CREDITOS]]-Base_Periodo1[[#This Row],[DEBITOS]]</f>
        <v>-35</v>
      </c>
      <c r="S4046" s="3" t="str">
        <f>IF(ISERROR(VLOOKUP(Base_Periodo1[[#This Row],[CONTA]],BaseContasDRE[#All],4,FALSE)),"Fora do DRE",VLOOKUP(Base_Periodo1[[#This Row],[CONTA]],BaseContasDRE[#All],4,FALSE))</f>
        <v>Fora do DRE</v>
      </c>
      <c r="T4046" s="3" t="str">
        <f>IF(ISERROR(VLOOKUP(Base_Periodo1[[#This Row],[CONTA]],BaseContasDRE[#All],5,FALSE)),"Fora do DRE",VLOOKUP(Base_Periodo1[[#This Row],[CONTA]],BaseContasDRE[#All],6,FALSE))</f>
        <v>Fora do DRE</v>
      </c>
      <c r="U4046" s="3" t="str">
        <f>IF(ISERROR(VLOOKUP(Base_Periodo1[[#This Row],[CONTA]],BaseContasDRE[#All],7,FALSE)),"Fora do DRE",VLOOKUP(Base_Periodo1[[#This Row],[CONTA]],BaseContasDRE[#All],7,FALSE))</f>
        <v>Fora do DRE</v>
      </c>
      <c r="V4046" s="3" t="str">
        <f>IF(Base_Periodo1[[#This Row],[Tipo_Linha]]="Fora do DRE","Fora do DRE","( "&amp;Base_Periodo1[[#This Row],[Tipo_Linha]]&amp;" ) "&amp;Base_Periodo1[[#This Row],[Filtro]])</f>
        <v>Fora do DRE</v>
      </c>
      <c r="W4046" s="3" t="str">
        <f>LEFT(Base_Periodo1[[#This Row],[CLASS]],3)</f>
        <v>2.1</v>
      </c>
    </row>
    <row r="4047" spans="1:23" hidden="1">
      <c r="A4047" s="3" t="str">
        <f t="shared" si="63"/>
        <v>Período 1</v>
      </c>
      <c r="B4047">
        <v>32552</v>
      </c>
      <c r="C4047" t="s">
        <v>2010</v>
      </c>
      <c r="D4047" t="s">
        <v>6003</v>
      </c>
      <c r="E4047" s="3" t="str">
        <f>IF(LEN(Base_Periodo1[[#This Row],[CLASS]])&gt;=7,LEFT(Base_Periodo1[[#This Row],[CLASS]],7),"")</f>
        <v>2.1.2.2</v>
      </c>
      <c r="F4047" s="3" t="str">
        <f>VLOOKUP(Base_Periodo1[[#This Row],[Aux]],Base_Contas_Balanco[#All],2,FALSE)</f>
        <v>Fornecedores Não Cooperados</v>
      </c>
      <c r="G4047" s="1">
        <v>42886</v>
      </c>
      <c r="I4047" s="225">
        <v>21539.84</v>
      </c>
      <c r="J4047" s="225">
        <v>21539.84</v>
      </c>
      <c r="K4047" s="225">
        <v>1.1641532182693481E-10</v>
      </c>
      <c r="L40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47" s="225">
        <f>ROUND(IF(AND(Base_Periodo1[[#This Row],[Tipo_Linha]]="-",Base_Periodo1[[#This Row],[TIPOSALDO]]="D"),Base_Periodo1[[#This Row],[SALDO_ATUAL]]*-1,Base_Periodo1[[#This Row],[SALDO_ATUAL]]),4)</f>
        <v>0</v>
      </c>
      <c r="N4047" t="s">
        <v>116</v>
      </c>
      <c r="O4047" t="s">
        <v>436</v>
      </c>
      <c r="P4047" t="s">
        <v>436</v>
      </c>
      <c r="Q4047">
        <v>7</v>
      </c>
      <c r="R4047" s="225">
        <f>Base_Periodo1[[#This Row],[CREDITOS]]-Base_Periodo1[[#This Row],[DEBITOS]]</f>
        <v>0</v>
      </c>
      <c r="S4047" s="3" t="str">
        <f>IF(ISERROR(VLOOKUP(Base_Periodo1[[#This Row],[CONTA]],BaseContasDRE[#All],4,FALSE)),"Fora do DRE",VLOOKUP(Base_Periodo1[[#This Row],[CONTA]],BaseContasDRE[#All],4,FALSE))</f>
        <v>Fora do DRE</v>
      </c>
      <c r="T4047" s="3" t="str">
        <f>IF(ISERROR(VLOOKUP(Base_Periodo1[[#This Row],[CONTA]],BaseContasDRE[#All],5,FALSE)),"Fora do DRE",VLOOKUP(Base_Periodo1[[#This Row],[CONTA]],BaseContasDRE[#All],6,FALSE))</f>
        <v>Fora do DRE</v>
      </c>
      <c r="U4047" s="3" t="str">
        <f>IF(ISERROR(VLOOKUP(Base_Periodo1[[#This Row],[CONTA]],BaseContasDRE[#All],7,FALSE)),"Fora do DRE",VLOOKUP(Base_Periodo1[[#This Row],[CONTA]],BaseContasDRE[#All],7,FALSE))</f>
        <v>Fora do DRE</v>
      </c>
      <c r="V4047" s="3" t="str">
        <f>IF(Base_Periodo1[[#This Row],[Tipo_Linha]]="Fora do DRE","Fora do DRE","( "&amp;Base_Periodo1[[#This Row],[Tipo_Linha]]&amp;" ) "&amp;Base_Periodo1[[#This Row],[Filtro]])</f>
        <v>Fora do DRE</v>
      </c>
      <c r="W4047" s="3" t="str">
        <f>LEFT(Base_Periodo1[[#This Row],[CLASS]],3)</f>
        <v>2.1</v>
      </c>
    </row>
    <row r="4048" spans="1:23" hidden="1">
      <c r="A4048" s="3" t="str">
        <f t="shared" si="63"/>
        <v>Período 1</v>
      </c>
      <c r="B4048">
        <v>4417</v>
      </c>
      <c r="C4048" t="s">
        <v>2010</v>
      </c>
      <c r="D4048" t="s">
        <v>7154</v>
      </c>
      <c r="E4048" s="3" t="str">
        <f>IF(LEN(Base_Periodo1[[#This Row],[CLASS]])&gt;=7,LEFT(Base_Periodo1[[#This Row],[CLASS]],7),"")</f>
        <v>2.1.2.2</v>
      </c>
      <c r="F4048" s="3" t="str">
        <f>VLOOKUP(Base_Periodo1[[#This Row],[Aux]],Base_Contas_Balanco[#All],2,FALSE)</f>
        <v>Fornecedores Não Cooperados</v>
      </c>
      <c r="G4048" s="1">
        <v>42886</v>
      </c>
      <c r="I4048" s="225">
        <v>1802.16</v>
      </c>
      <c r="J4048" s="225">
        <v>78355</v>
      </c>
      <c r="K4048" s="225">
        <v>76552.839999999764</v>
      </c>
      <c r="L40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76552.84</v>
      </c>
      <c r="M4048" s="225">
        <f>ROUND(IF(AND(Base_Periodo1[[#This Row],[Tipo_Linha]]="-",Base_Periodo1[[#This Row],[TIPOSALDO]]="D"),Base_Periodo1[[#This Row],[SALDO_ATUAL]]*-1,Base_Periodo1[[#This Row],[SALDO_ATUAL]]),4)</f>
        <v>76552.84</v>
      </c>
      <c r="N4048" t="s">
        <v>116</v>
      </c>
      <c r="O4048" t="s">
        <v>436</v>
      </c>
      <c r="P4048" t="s">
        <v>459</v>
      </c>
      <c r="Q4048">
        <v>7</v>
      </c>
      <c r="R4048" s="225">
        <f>Base_Periodo1[[#This Row],[CREDITOS]]-Base_Periodo1[[#This Row],[DEBITOS]]</f>
        <v>76552.84</v>
      </c>
      <c r="S4048" s="3" t="str">
        <f>IF(ISERROR(VLOOKUP(Base_Periodo1[[#This Row],[CONTA]],BaseContasDRE[#All],4,FALSE)),"Fora do DRE",VLOOKUP(Base_Periodo1[[#This Row],[CONTA]],BaseContasDRE[#All],4,FALSE))</f>
        <v>Fora do DRE</v>
      </c>
      <c r="T4048" s="3" t="str">
        <f>IF(ISERROR(VLOOKUP(Base_Periodo1[[#This Row],[CONTA]],BaseContasDRE[#All],5,FALSE)),"Fora do DRE",VLOOKUP(Base_Periodo1[[#This Row],[CONTA]],BaseContasDRE[#All],6,FALSE))</f>
        <v>Fora do DRE</v>
      </c>
      <c r="U4048" s="3" t="str">
        <f>IF(ISERROR(VLOOKUP(Base_Periodo1[[#This Row],[CONTA]],BaseContasDRE[#All],7,FALSE)),"Fora do DRE",VLOOKUP(Base_Periodo1[[#This Row],[CONTA]],BaseContasDRE[#All],7,FALSE))</f>
        <v>Fora do DRE</v>
      </c>
      <c r="V4048" s="3" t="str">
        <f>IF(Base_Periodo1[[#This Row],[Tipo_Linha]]="Fora do DRE","Fora do DRE","( "&amp;Base_Periodo1[[#This Row],[Tipo_Linha]]&amp;" ) "&amp;Base_Periodo1[[#This Row],[Filtro]])</f>
        <v>Fora do DRE</v>
      </c>
      <c r="W4048" s="3" t="str">
        <f>LEFT(Base_Periodo1[[#This Row],[CLASS]],3)</f>
        <v>2.1</v>
      </c>
    </row>
    <row r="4049" spans="1:23" hidden="1">
      <c r="A4049" s="3" t="str">
        <f t="shared" si="63"/>
        <v>Período 1</v>
      </c>
      <c r="B4049">
        <v>26884</v>
      </c>
      <c r="C4049" t="s">
        <v>2010</v>
      </c>
      <c r="D4049" t="s">
        <v>6004</v>
      </c>
      <c r="E4049" s="3" t="str">
        <f>IF(LEN(Base_Periodo1[[#This Row],[CLASS]])&gt;=7,LEFT(Base_Periodo1[[#This Row],[CLASS]],7),"")</f>
        <v>2.1.2.2</v>
      </c>
      <c r="F4049" s="3" t="str">
        <f>VLOOKUP(Base_Periodo1[[#This Row],[Aux]],Base_Contas_Balanco[#All],2,FALSE)</f>
        <v>Fornecedores Não Cooperados</v>
      </c>
      <c r="G4049" s="1">
        <v>42871</v>
      </c>
      <c r="I4049" s="225">
        <v>0</v>
      </c>
      <c r="J4049" s="225">
        <v>450</v>
      </c>
      <c r="K4049" s="225">
        <v>450</v>
      </c>
      <c r="L40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450</v>
      </c>
      <c r="M4049" s="225">
        <f>ROUND(IF(AND(Base_Periodo1[[#This Row],[Tipo_Linha]]="-",Base_Periodo1[[#This Row],[TIPOSALDO]]="D"),Base_Periodo1[[#This Row],[SALDO_ATUAL]]*-1,Base_Periodo1[[#This Row],[SALDO_ATUAL]]),4)</f>
        <v>450</v>
      </c>
      <c r="N4049" t="s">
        <v>116</v>
      </c>
      <c r="O4049" t="s">
        <v>436</v>
      </c>
      <c r="P4049" t="s">
        <v>459</v>
      </c>
      <c r="Q4049">
        <v>7</v>
      </c>
      <c r="R4049" s="225">
        <f>Base_Periodo1[[#This Row],[CREDITOS]]-Base_Periodo1[[#This Row],[DEBITOS]]</f>
        <v>450</v>
      </c>
      <c r="S4049" s="3" t="str">
        <f>IF(ISERROR(VLOOKUP(Base_Periodo1[[#This Row],[CONTA]],BaseContasDRE[#All],4,FALSE)),"Fora do DRE",VLOOKUP(Base_Periodo1[[#This Row],[CONTA]],BaseContasDRE[#All],4,FALSE))</f>
        <v>Fora do DRE</v>
      </c>
      <c r="T4049" s="3" t="str">
        <f>IF(ISERROR(VLOOKUP(Base_Periodo1[[#This Row],[CONTA]],BaseContasDRE[#All],5,FALSE)),"Fora do DRE",VLOOKUP(Base_Periodo1[[#This Row],[CONTA]],BaseContasDRE[#All],6,FALSE))</f>
        <v>Fora do DRE</v>
      </c>
      <c r="U4049" s="3" t="str">
        <f>IF(ISERROR(VLOOKUP(Base_Periodo1[[#This Row],[CONTA]],BaseContasDRE[#All],7,FALSE)),"Fora do DRE",VLOOKUP(Base_Periodo1[[#This Row],[CONTA]],BaseContasDRE[#All],7,FALSE))</f>
        <v>Fora do DRE</v>
      </c>
      <c r="V4049" s="3" t="str">
        <f>IF(Base_Periodo1[[#This Row],[Tipo_Linha]]="Fora do DRE","Fora do DRE","( "&amp;Base_Periodo1[[#This Row],[Tipo_Linha]]&amp;" ) "&amp;Base_Periodo1[[#This Row],[Filtro]])</f>
        <v>Fora do DRE</v>
      </c>
      <c r="W4049" s="3" t="str">
        <f>LEFT(Base_Periodo1[[#This Row],[CLASS]],3)</f>
        <v>2.1</v>
      </c>
    </row>
    <row r="4050" spans="1:23" hidden="1">
      <c r="A4050" s="3" t="str">
        <f t="shared" si="63"/>
        <v>Período 1</v>
      </c>
      <c r="B4050">
        <v>58949</v>
      </c>
      <c r="C4050" t="s">
        <v>2010</v>
      </c>
      <c r="D4050" t="s">
        <v>7155</v>
      </c>
      <c r="E4050" s="3" t="str">
        <f>IF(LEN(Base_Periodo1[[#This Row],[CLASS]])&gt;=7,LEFT(Base_Periodo1[[#This Row],[CLASS]],7),"")</f>
        <v>2.1.2.2</v>
      </c>
      <c r="F4050" s="3" t="str">
        <f>VLOOKUP(Base_Periodo1[[#This Row],[Aux]],Base_Contas_Balanco[#All],2,FALSE)</f>
        <v>Fornecedores Não Cooperados</v>
      </c>
      <c r="G4050" s="1">
        <v>42872</v>
      </c>
      <c r="I4050" s="225">
        <v>26429.200000000001</v>
      </c>
      <c r="J4050" s="225">
        <v>26429.200000000001</v>
      </c>
      <c r="K4050" s="225">
        <v>0</v>
      </c>
      <c r="L40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50" s="225">
        <f>ROUND(IF(AND(Base_Periodo1[[#This Row],[Tipo_Linha]]="-",Base_Periodo1[[#This Row],[TIPOSALDO]]="D"),Base_Periodo1[[#This Row],[SALDO_ATUAL]]*-1,Base_Periodo1[[#This Row],[SALDO_ATUAL]]),4)</f>
        <v>0</v>
      </c>
      <c r="N4050" t="s">
        <v>116</v>
      </c>
      <c r="O4050" t="s">
        <v>436</v>
      </c>
      <c r="P4050" t="s">
        <v>436</v>
      </c>
      <c r="Q4050">
        <v>7</v>
      </c>
      <c r="R4050" s="225">
        <f>Base_Periodo1[[#This Row],[CREDITOS]]-Base_Periodo1[[#This Row],[DEBITOS]]</f>
        <v>0</v>
      </c>
      <c r="S4050" s="3" t="str">
        <f>IF(ISERROR(VLOOKUP(Base_Periodo1[[#This Row],[CONTA]],BaseContasDRE[#All],4,FALSE)),"Fora do DRE",VLOOKUP(Base_Periodo1[[#This Row],[CONTA]],BaseContasDRE[#All],4,FALSE))</f>
        <v>Fora do DRE</v>
      </c>
      <c r="T4050" s="3" t="str">
        <f>IF(ISERROR(VLOOKUP(Base_Periodo1[[#This Row],[CONTA]],BaseContasDRE[#All],5,FALSE)),"Fora do DRE",VLOOKUP(Base_Periodo1[[#This Row],[CONTA]],BaseContasDRE[#All],6,FALSE))</f>
        <v>Fora do DRE</v>
      </c>
      <c r="U4050" s="3" t="str">
        <f>IF(ISERROR(VLOOKUP(Base_Periodo1[[#This Row],[CONTA]],BaseContasDRE[#All],7,FALSE)),"Fora do DRE",VLOOKUP(Base_Periodo1[[#This Row],[CONTA]],BaseContasDRE[#All],7,FALSE))</f>
        <v>Fora do DRE</v>
      </c>
      <c r="V4050" s="3" t="str">
        <f>IF(Base_Periodo1[[#This Row],[Tipo_Linha]]="Fora do DRE","Fora do DRE","( "&amp;Base_Periodo1[[#This Row],[Tipo_Linha]]&amp;" ) "&amp;Base_Periodo1[[#This Row],[Filtro]])</f>
        <v>Fora do DRE</v>
      </c>
      <c r="W4050" s="3" t="str">
        <f>LEFT(Base_Periodo1[[#This Row],[CLASS]],3)</f>
        <v>2.1</v>
      </c>
    </row>
    <row r="4051" spans="1:23" hidden="1">
      <c r="A4051" s="3" t="str">
        <f t="shared" si="63"/>
        <v>Período 1</v>
      </c>
      <c r="B4051">
        <v>17224</v>
      </c>
      <c r="C4051" t="s">
        <v>2010</v>
      </c>
      <c r="D4051" t="s">
        <v>6205</v>
      </c>
      <c r="E4051" s="3" t="str">
        <f>IF(LEN(Base_Periodo1[[#This Row],[CLASS]])&gt;=7,LEFT(Base_Periodo1[[#This Row],[CLASS]],7),"")</f>
        <v>2.1.2.2</v>
      </c>
      <c r="F4051" s="3" t="str">
        <f>VLOOKUP(Base_Periodo1[[#This Row],[Aux]],Base_Contas_Balanco[#All],2,FALSE)</f>
        <v>Fornecedores Não Cooperados</v>
      </c>
      <c r="G4051" s="1">
        <v>42877</v>
      </c>
      <c r="I4051" s="225">
        <v>2300</v>
      </c>
      <c r="J4051" s="225">
        <v>2300</v>
      </c>
      <c r="K4051" s="225">
        <v>0</v>
      </c>
      <c r="L40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51" s="225">
        <f>ROUND(IF(AND(Base_Periodo1[[#This Row],[Tipo_Linha]]="-",Base_Periodo1[[#This Row],[TIPOSALDO]]="D"),Base_Periodo1[[#This Row],[SALDO_ATUAL]]*-1,Base_Periodo1[[#This Row],[SALDO_ATUAL]]),4)</f>
        <v>0</v>
      </c>
      <c r="N4051" t="s">
        <v>116</v>
      </c>
      <c r="O4051" t="s">
        <v>436</v>
      </c>
      <c r="P4051" t="s">
        <v>436</v>
      </c>
      <c r="Q4051">
        <v>7</v>
      </c>
      <c r="R4051" s="225">
        <f>Base_Periodo1[[#This Row],[CREDITOS]]-Base_Periodo1[[#This Row],[DEBITOS]]</f>
        <v>0</v>
      </c>
      <c r="S4051" s="3" t="str">
        <f>IF(ISERROR(VLOOKUP(Base_Periodo1[[#This Row],[CONTA]],BaseContasDRE[#All],4,FALSE)),"Fora do DRE",VLOOKUP(Base_Periodo1[[#This Row],[CONTA]],BaseContasDRE[#All],4,FALSE))</f>
        <v>Fora do DRE</v>
      </c>
      <c r="T4051" s="3" t="str">
        <f>IF(ISERROR(VLOOKUP(Base_Periodo1[[#This Row],[CONTA]],BaseContasDRE[#All],5,FALSE)),"Fora do DRE",VLOOKUP(Base_Periodo1[[#This Row],[CONTA]],BaseContasDRE[#All],6,FALSE))</f>
        <v>Fora do DRE</v>
      </c>
      <c r="U4051" s="3" t="str">
        <f>IF(ISERROR(VLOOKUP(Base_Periodo1[[#This Row],[CONTA]],BaseContasDRE[#All],7,FALSE)),"Fora do DRE",VLOOKUP(Base_Periodo1[[#This Row],[CONTA]],BaseContasDRE[#All],7,FALSE))</f>
        <v>Fora do DRE</v>
      </c>
      <c r="V4051" s="3" t="str">
        <f>IF(Base_Periodo1[[#This Row],[Tipo_Linha]]="Fora do DRE","Fora do DRE","( "&amp;Base_Periodo1[[#This Row],[Tipo_Linha]]&amp;" ) "&amp;Base_Periodo1[[#This Row],[Filtro]])</f>
        <v>Fora do DRE</v>
      </c>
      <c r="W4051" s="3" t="str">
        <f>LEFT(Base_Periodo1[[#This Row],[CLASS]],3)</f>
        <v>2.1</v>
      </c>
    </row>
    <row r="4052" spans="1:23" hidden="1">
      <c r="A4052" s="3" t="str">
        <f t="shared" si="63"/>
        <v>Período 1</v>
      </c>
      <c r="B4052">
        <v>27833</v>
      </c>
      <c r="C4052" t="s">
        <v>2010</v>
      </c>
      <c r="D4052" t="s">
        <v>2136</v>
      </c>
      <c r="E4052" s="3" t="str">
        <f>IF(LEN(Base_Periodo1[[#This Row],[CLASS]])&gt;=7,LEFT(Base_Periodo1[[#This Row],[CLASS]],7),"")</f>
        <v>2.1.2.2</v>
      </c>
      <c r="F4052" s="3" t="str">
        <f>VLOOKUP(Base_Periodo1[[#This Row],[Aux]],Base_Contas_Balanco[#All],2,FALSE)</f>
        <v>Fornecedores Não Cooperados</v>
      </c>
      <c r="G4052" s="1">
        <v>42886</v>
      </c>
      <c r="H4052" s="225">
        <v>8398.4999999997672</v>
      </c>
      <c r="I4052" s="225">
        <v>13696.960000000001</v>
      </c>
      <c r="J4052" s="225">
        <v>9567.5600000000013</v>
      </c>
      <c r="K4052" s="225">
        <v>4269.0999999997675</v>
      </c>
      <c r="L40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4269.1000000000004</v>
      </c>
      <c r="M4052" s="225">
        <f>ROUND(IF(AND(Base_Periodo1[[#This Row],[Tipo_Linha]]="-",Base_Periodo1[[#This Row],[TIPOSALDO]]="D"),Base_Periodo1[[#This Row],[SALDO_ATUAL]]*-1,Base_Periodo1[[#This Row],[SALDO_ATUAL]]),4)</f>
        <v>4269.1000000000004</v>
      </c>
      <c r="N4052" t="s">
        <v>116</v>
      </c>
      <c r="O4052" t="s">
        <v>459</v>
      </c>
      <c r="P4052" t="s">
        <v>459</v>
      </c>
      <c r="Q4052">
        <v>7</v>
      </c>
      <c r="R4052" s="225">
        <f>Base_Periodo1[[#This Row],[CREDITOS]]-Base_Periodo1[[#This Row],[DEBITOS]]</f>
        <v>-4129.3999999999996</v>
      </c>
      <c r="S4052" s="3" t="str">
        <f>IF(ISERROR(VLOOKUP(Base_Periodo1[[#This Row],[CONTA]],BaseContasDRE[#All],4,FALSE)),"Fora do DRE",VLOOKUP(Base_Periodo1[[#This Row],[CONTA]],BaseContasDRE[#All],4,FALSE))</f>
        <v>Fora do DRE</v>
      </c>
      <c r="T4052" s="3" t="str">
        <f>IF(ISERROR(VLOOKUP(Base_Periodo1[[#This Row],[CONTA]],BaseContasDRE[#All],5,FALSE)),"Fora do DRE",VLOOKUP(Base_Periodo1[[#This Row],[CONTA]],BaseContasDRE[#All],6,FALSE))</f>
        <v>Fora do DRE</v>
      </c>
      <c r="U4052" s="3" t="str">
        <f>IF(ISERROR(VLOOKUP(Base_Periodo1[[#This Row],[CONTA]],BaseContasDRE[#All],7,FALSE)),"Fora do DRE",VLOOKUP(Base_Periodo1[[#This Row],[CONTA]],BaseContasDRE[#All],7,FALSE))</f>
        <v>Fora do DRE</v>
      </c>
      <c r="V4052" s="3" t="str">
        <f>IF(Base_Periodo1[[#This Row],[Tipo_Linha]]="Fora do DRE","Fora do DRE","( "&amp;Base_Periodo1[[#This Row],[Tipo_Linha]]&amp;" ) "&amp;Base_Periodo1[[#This Row],[Filtro]])</f>
        <v>Fora do DRE</v>
      </c>
      <c r="W4052" s="3" t="str">
        <f>LEFT(Base_Periodo1[[#This Row],[CLASS]],3)</f>
        <v>2.1</v>
      </c>
    </row>
    <row r="4053" spans="1:23" hidden="1">
      <c r="A4053" s="3" t="str">
        <f t="shared" si="63"/>
        <v>Período 1</v>
      </c>
      <c r="B4053">
        <v>54128</v>
      </c>
      <c r="C4053" t="s">
        <v>2010</v>
      </c>
      <c r="D4053" t="s">
        <v>6206</v>
      </c>
      <c r="E4053" s="3" t="str">
        <f>IF(LEN(Base_Periodo1[[#This Row],[CLASS]])&gt;=7,LEFT(Base_Periodo1[[#This Row],[CLASS]],7),"")</f>
        <v>2.1.2.2</v>
      </c>
      <c r="F4053" s="3" t="str">
        <f>VLOOKUP(Base_Periodo1[[#This Row],[Aux]],Base_Contas_Balanco[#All],2,FALSE)</f>
        <v>Fornecedores Não Cooperados</v>
      </c>
      <c r="G4053" s="1">
        <v>42879</v>
      </c>
      <c r="I4053" s="225">
        <v>650</v>
      </c>
      <c r="J4053" s="225">
        <v>650</v>
      </c>
      <c r="K4053" s="225">
        <v>0</v>
      </c>
      <c r="L40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53" s="225">
        <f>ROUND(IF(AND(Base_Periodo1[[#This Row],[Tipo_Linha]]="-",Base_Periodo1[[#This Row],[TIPOSALDO]]="D"),Base_Periodo1[[#This Row],[SALDO_ATUAL]]*-1,Base_Periodo1[[#This Row],[SALDO_ATUAL]]),4)</f>
        <v>0</v>
      </c>
      <c r="N4053" t="s">
        <v>116</v>
      </c>
      <c r="O4053" t="s">
        <v>436</v>
      </c>
      <c r="P4053" t="s">
        <v>436</v>
      </c>
      <c r="Q4053">
        <v>7</v>
      </c>
      <c r="R4053" s="225">
        <f>Base_Periodo1[[#This Row],[CREDITOS]]-Base_Periodo1[[#This Row],[DEBITOS]]</f>
        <v>0</v>
      </c>
      <c r="S4053" s="3" t="str">
        <f>IF(ISERROR(VLOOKUP(Base_Periodo1[[#This Row],[CONTA]],BaseContasDRE[#All],4,FALSE)),"Fora do DRE",VLOOKUP(Base_Periodo1[[#This Row],[CONTA]],BaseContasDRE[#All],4,FALSE))</f>
        <v>Fora do DRE</v>
      </c>
      <c r="T4053" s="3" t="str">
        <f>IF(ISERROR(VLOOKUP(Base_Periodo1[[#This Row],[CONTA]],BaseContasDRE[#All],5,FALSE)),"Fora do DRE",VLOOKUP(Base_Periodo1[[#This Row],[CONTA]],BaseContasDRE[#All],6,FALSE))</f>
        <v>Fora do DRE</v>
      </c>
      <c r="U4053" s="3" t="str">
        <f>IF(ISERROR(VLOOKUP(Base_Periodo1[[#This Row],[CONTA]],BaseContasDRE[#All],7,FALSE)),"Fora do DRE",VLOOKUP(Base_Periodo1[[#This Row],[CONTA]],BaseContasDRE[#All],7,FALSE))</f>
        <v>Fora do DRE</v>
      </c>
      <c r="V4053" s="3" t="str">
        <f>IF(Base_Periodo1[[#This Row],[Tipo_Linha]]="Fora do DRE","Fora do DRE","( "&amp;Base_Periodo1[[#This Row],[Tipo_Linha]]&amp;" ) "&amp;Base_Periodo1[[#This Row],[Filtro]])</f>
        <v>Fora do DRE</v>
      </c>
      <c r="W4053" s="3" t="str">
        <f>LEFT(Base_Periodo1[[#This Row],[CLASS]],3)</f>
        <v>2.1</v>
      </c>
    </row>
    <row r="4054" spans="1:23" hidden="1">
      <c r="A4054" s="3" t="str">
        <f t="shared" si="63"/>
        <v>Período 1</v>
      </c>
      <c r="B4054">
        <v>12027</v>
      </c>
      <c r="C4054" t="s">
        <v>2010</v>
      </c>
      <c r="D4054" t="s">
        <v>6005</v>
      </c>
      <c r="E4054" s="3" t="str">
        <f>IF(LEN(Base_Periodo1[[#This Row],[CLASS]])&gt;=7,LEFT(Base_Periodo1[[#This Row],[CLASS]],7),"")</f>
        <v>2.1.2.2</v>
      </c>
      <c r="F4054" s="3" t="str">
        <f>VLOOKUP(Base_Periodo1[[#This Row],[Aux]],Base_Contas_Balanco[#All],2,FALSE)</f>
        <v>Fornecedores Não Cooperados</v>
      </c>
      <c r="G4054" s="1">
        <v>42865</v>
      </c>
      <c r="I4054" s="225">
        <v>18860</v>
      </c>
      <c r="J4054" s="225">
        <v>18860</v>
      </c>
      <c r="K4054" s="225">
        <v>0</v>
      </c>
      <c r="L40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54" s="225">
        <f>ROUND(IF(AND(Base_Periodo1[[#This Row],[Tipo_Linha]]="-",Base_Periodo1[[#This Row],[TIPOSALDO]]="D"),Base_Periodo1[[#This Row],[SALDO_ATUAL]]*-1,Base_Periodo1[[#This Row],[SALDO_ATUAL]]),4)</f>
        <v>0</v>
      </c>
      <c r="N4054" t="s">
        <v>116</v>
      </c>
      <c r="O4054" t="s">
        <v>436</v>
      </c>
      <c r="P4054" t="s">
        <v>436</v>
      </c>
      <c r="Q4054">
        <v>7</v>
      </c>
      <c r="R4054" s="225">
        <f>Base_Periodo1[[#This Row],[CREDITOS]]-Base_Periodo1[[#This Row],[DEBITOS]]</f>
        <v>0</v>
      </c>
      <c r="S4054" s="3" t="str">
        <f>IF(ISERROR(VLOOKUP(Base_Periodo1[[#This Row],[CONTA]],BaseContasDRE[#All],4,FALSE)),"Fora do DRE",VLOOKUP(Base_Periodo1[[#This Row],[CONTA]],BaseContasDRE[#All],4,FALSE))</f>
        <v>Fora do DRE</v>
      </c>
      <c r="T4054" s="3" t="str">
        <f>IF(ISERROR(VLOOKUP(Base_Periodo1[[#This Row],[CONTA]],BaseContasDRE[#All],5,FALSE)),"Fora do DRE",VLOOKUP(Base_Periodo1[[#This Row],[CONTA]],BaseContasDRE[#All],6,FALSE))</f>
        <v>Fora do DRE</v>
      </c>
      <c r="U4054" s="3" t="str">
        <f>IF(ISERROR(VLOOKUP(Base_Periodo1[[#This Row],[CONTA]],BaseContasDRE[#All],7,FALSE)),"Fora do DRE",VLOOKUP(Base_Periodo1[[#This Row],[CONTA]],BaseContasDRE[#All],7,FALSE))</f>
        <v>Fora do DRE</v>
      </c>
      <c r="V4054" s="3" t="str">
        <f>IF(Base_Periodo1[[#This Row],[Tipo_Linha]]="Fora do DRE","Fora do DRE","( "&amp;Base_Periodo1[[#This Row],[Tipo_Linha]]&amp;" ) "&amp;Base_Periodo1[[#This Row],[Filtro]])</f>
        <v>Fora do DRE</v>
      </c>
      <c r="W4054" s="3" t="str">
        <f>LEFT(Base_Periodo1[[#This Row],[CLASS]],3)</f>
        <v>2.1</v>
      </c>
    </row>
    <row r="4055" spans="1:23" hidden="1">
      <c r="A4055" s="3" t="str">
        <f t="shared" si="63"/>
        <v>Período 1</v>
      </c>
      <c r="B4055">
        <v>39492</v>
      </c>
      <c r="C4055" t="s">
        <v>2010</v>
      </c>
      <c r="D4055" t="s">
        <v>5342</v>
      </c>
      <c r="E4055" s="3" t="str">
        <f>IF(LEN(Base_Periodo1[[#This Row],[CLASS]])&gt;=7,LEFT(Base_Periodo1[[#This Row],[CLASS]],7),"")</f>
        <v>2.1.2.2</v>
      </c>
      <c r="F4055" s="3" t="str">
        <f>VLOOKUP(Base_Periodo1[[#This Row],[Aux]],Base_Contas_Balanco[#All],2,FALSE)</f>
        <v>Fornecedores Não Cooperados</v>
      </c>
      <c r="G4055" s="1">
        <v>42865</v>
      </c>
      <c r="I4055" s="225">
        <v>45</v>
      </c>
      <c r="J4055" s="225">
        <v>45</v>
      </c>
      <c r="K4055" s="225">
        <v>0</v>
      </c>
      <c r="L40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55" s="225">
        <f>ROUND(IF(AND(Base_Periodo1[[#This Row],[Tipo_Linha]]="-",Base_Periodo1[[#This Row],[TIPOSALDO]]="D"),Base_Periodo1[[#This Row],[SALDO_ATUAL]]*-1,Base_Periodo1[[#This Row],[SALDO_ATUAL]]),4)</f>
        <v>0</v>
      </c>
      <c r="N4055" t="s">
        <v>116</v>
      </c>
      <c r="O4055" t="s">
        <v>436</v>
      </c>
      <c r="P4055" t="s">
        <v>436</v>
      </c>
      <c r="Q4055">
        <v>7</v>
      </c>
      <c r="R4055" s="225">
        <f>Base_Periodo1[[#This Row],[CREDITOS]]-Base_Periodo1[[#This Row],[DEBITOS]]</f>
        <v>0</v>
      </c>
      <c r="S4055" s="3" t="str">
        <f>IF(ISERROR(VLOOKUP(Base_Periodo1[[#This Row],[CONTA]],BaseContasDRE[#All],4,FALSE)),"Fora do DRE",VLOOKUP(Base_Periodo1[[#This Row],[CONTA]],BaseContasDRE[#All],4,FALSE))</f>
        <v>Fora do DRE</v>
      </c>
      <c r="T4055" s="3" t="str">
        <f>IF(ISERROR(VLOOKUP(Base_Periodo1[[#This Row],[CONTA]],BaseContasDRE[#All],5,FALSE)),"Fora do DRE",VLOOKUP(Base_Periodo1[[#This Row],[CONTA]],BaseContasDRE[#All],6,FALSE))</f>
        <v>Fora do DRE</v>
      </c>
      <c r="U4055" s="3" t="str">
        <f>IF(ISERROR(VLOOKUP(Base_Periodo1[[#This Row],[CONTA]],BaseContasDRE[#All],7,FALSE)),"Fora do DRE",VLOOKUP(Base_Periodo1[[#This Row],[CONTA]],BaseContasDRE[#All],7,FALSE))</f>
        <v>Fora do DRE</v>
      </c>
      <c r="V4055" s="3" t="str">
        <f>IF(Base_Periodo1[[#This Row],[Tipo_Linha]]="Fora do DRE","Fora do DRE","( "&amp;Base_Periodo1[[#This Row],[Tipo_Linha]]&amp;" ) "&amp;Base_Periodo1[[#This Row],[Filtro]])</f>
        <v>Fora do DRE</v>
      </c>
      <c r="W4055" s="3" t="str">
        <f>LEFT(Base_Periodo1[[#This Row],[CLASS]],3)</f>
        <v>2.1</v>
      </c>
    </row>
    <row r="4056" spans="1:23" hidden="1">
      <c r="A4056" s="3" t="str">
        <f t="shared" si="63"/>
        <v>Período 1</v>
      </c>
      <c r="B4056">
        <v>37210</v>
      </c>
      <c r="C4056" t="s">
        <v>2010</v>
      </c>
      <c r="D4056" t="s">
        <v>6006</v>
      </c>
      <c r="E4056" s="3" t="str">
        <f>IF(LEN(Base_Periodo1[[#This Row],[CLASS]])&gt;=7,LEFT(Base_Periodo1[[#This Row],[CLASS]],7),"")</f>
        <v>2.1.2.2</v>
      </c>
      <c r="F4056" s="3" t="str">
        <f>VLOOKUP(Base_Periodo1[[#This Row],[Aux]],Base_Contas_Balanco[#All],2,FALSE)</f>
        <v>Fornecedores Não Cooperados</v>
      </c>
      <c r="G4056" s="1">
        <v>42860</v>
      </c>
      <c r="I4056" s="225">
        <v>1353.6</v>
      </c>
      <c r="J4056" s="225">
        <v>1353.6</v>
      </c>
      <c r="K4056" s="225">
        <v>-1.8189894035458565E-12</v>
      </c>
      <c r="L40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56" s="225">
        <f>ROUND(IF(AND(Base_Periodo1[[#This Row],[Tipo_Linha]]="-",Base_Periodo1[[#This Row],[TIPOSALDO]]="D"),Base_Periodo1[[#This Row],[SALDO_ATUAL]]*-1,Base_Periodo1[[#This Row],[SALDO_ATUAL]]),4)</f>
        <v>0</v>
      </c>
      <c r="N4056" t="s">
        <v>116</v>
      </c>
      <c r="O4056" t="s">
        <v>436</v>
      </c>
      <c r="P4056" t="s">
        <v>436</v>
      </c>
      <c r="Q4056">
        <v>7</v>
      </c>
      <c r="R4056" s="225">
        <f>Base_Periodo1[[#This Row],[CREDITOS]]-Base_Periodo1[[#This Row],[DEBITOS]]</f>
        <v>0</v>
      </c>
      <c r="S4056" s="3" t="str">
        <f>IF(ISERROR(VLOOKUP(Base_Periodo1[[#This Row],[CONTA]],BaseContasDRE[#All],4,FALSE)),"Fora do DRE",VLOOKUP(Base_Periodo1[[#This Row],[CONTA]],BaseContasDRE[#All],4,FALSE))</f>
        <v>Fora do DRE</v>
      </c>
      <c r="T4056" s="3" t="str">
        <f>IF(ISERROR(VLOOKUP(Base_Periodo1[[#This Row],[CONTA]],BaseContasDRE[#All],5,FALSE)),"Fora do DRE",VLOOKUP(Base_Periodo1[[#This Row],[CONTA]],BaseContasDRE[#All],6,FALSE))</f>
        <v>Fora do DRE</v>
      </c>
      <c r="U4056" s="3" t="str">
        <f>IF(ISERROR(VLOOKUP(Base_Periodo1[[#This Row],[CONTA]],BaseContasDRE[#All],7,FALSE)),"Fora do DRE",VLOOKUP(Base_Periodo1[[#This Row],[CONTA]],BaseContasDRE[#All],7,FALSE))</f>
        <v>Fora do DRE</v>
      </c>
      <c r="V4056" s="3" t="str">
        <f>IF(Base_Periodo1[[#This Row],[Tipo_Linha]]="Fora do DRE","Fora do DRE","( "&amp;Base_Periodo1[[#This Row],[Tipo_Linha]]&amp;" ) "&amp;Base_Periodo1[[#This Row],[Filtro]])</f>
        <v>Fora do DRE</v>
      </c>
      <c r="W4056" s="3" t="str">
        <f>LEFT(Base_Periodo1[[#This Row],[CLASS]],3)</f>
        <v>2.1</v>
      </c>
    </row>
    <row r="4057" spans="1:23" hidden="1">
      <c r="A4057" s="3" t="str">
        <f t="shared" si="63"/>
        <v>Período 1</v>
      </c>
      <c r="B4057">
        <v>33909</v>
      </c>
      <c r="C4057" t="s">
        <v>2010</v>
      </c>
      <c r="D4057" t="s">
        <v>7156</v>
      </c>
      <c r="E4057" s="3" t="str">
        <f>IF(LEN(Base_Periodo1[[#This Row],[CLASS]])&gt;=7,LEFT(Base_Periodo1[[#This Row],[CLASS]],7),"")</f>
        <v>2.1.2.2</v>
      </c>
      <c r="F4057" s="3" t="str">
        <f>VLOOKUP(Base_Periodo1[[#This Row],[Aux]],Base_Contas_Balanco[#All],2,FALSE)</f>
        <v>Fornecedores Não Cooperados</v>
      </c>
      <c r="G4057" s="1">
        <v>42881</v>
      </c>
      <c r="I4057" s="225">
        <v>417</v>
      </c>
      <c r="J4057" s="225">
        <v>417</v>
      </c>
      <c r="K4057" s="225">
        <v>0</v>
      </c>
      <c r="L40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57" s="225">
        <f>ROUND(IF(AND(Base_Periodo1[[#This Row],[Tipo_Linha]]="-",Base_Periodo1[[#This Row],[TIPOSALDO]]="D"),Base_Periodo1[[#This Row],[SALDO_ATUAL]]*-1,Base_Periodo1[[#This Row],[SALDO_ATUAL]]),4)</f>
        <v>0</v>
      </c>
      <c r="N4057" t="s">
        <v>116</v>
      </c>
      <c r="O4057" t="s">
        <v>436</v>
      </c>
      <c r="P4057" t="s">
        <v>436</v>
      </c>
      <c r="Q4057">
        <v>7</v>
      </c>
      <c r="R4057" s="225">
        <f>Base_Periodo1[[#This Row],[CREDITOS]]-Base_Periodo1[[#This Row],[DEBITOS]]</f>
        <v>0</v>
      </c>
      <c r="S4057" s="3" t="str">
        <f>IF(ISERROR(VLOOKUP(Base_Periodo1[[#This Row],[CONTA]],BaseContasDRE[#All],4,FALSE)),"Fora do DRE",VLOOKUP(Base_Periodo1[[#This Row],[CONTA]],BaseContasDRE[#All],4,FALSE))</f>
        <v>Fora do DRE</v>
      </c>
      <c r="T4057" s="3" t="str">
        <f>IF(ISERROR(VLOOKUP(Base_Periodo1[[#This Row],[CONTA]],BaseContasDRE[#All],5,FALSE)),"Fora do DRE",VLOOKUP(Base_Periodo1[[#This Row],[CONTA]],BaseContasDRE[#All],6,FALSE))</f>
        <v>Fora do DRE</v>
      </c>
      <c r="U4057" s="3" t="str">
        <f>IF(ISERROR(VLOOKUP(Base_Periodo1[[#This Row],[CONTA]],BaseContasDRE[#All],7,FALSE)),"Fora do DRE",VLOOKUP(Base_Periodo1[[#This Row],[CONTA]],BaseContasDRE[#All],7,FALSE))</f>
        <v>Fora do DRE</v>
      </c>
      <c r="V4057" s="3" t="str">
        <f>IF(Base_Periodo1[[#This Row],[Tipo_Linha]]="Fora do DRE","Fora do DRE","( "&amp;Base_Periodo1[[#This Row],[Tipo_Linha]]&amp;" ) "&amp;Base_Periodo1[[#This Row],[Filtro]])</f>
        <v>Fora do DRE</v>
      </c>
      <c r="W4057" s="3" t="str">
        <f>LEFT(Base_Periodo1[[#This Row],[CLASS]],3)</f>
        <v>2.1</v>
      </c>
    </row>
    <row r="4058" spans="1:23" hidden="1">
      <c r="A4058" s="3" t="str">
        <f t="shared" si="63"/>
        <v>Período 1</v>
      </c>
      <c r="B4058">
        <v>4753</v>
      </c>
      <c r="C4058" t="s">
        <v>2010</v>
      </c>
      <c r="D4058" t="s">
        <v>7157</v>
      </c>
      <c r="E4058" s="3" t="str">
        <f>IF(LEN(Base_Periodo1[[#This Row],[CLASS]])&gt;=7,LEFT(Base_Periodo1[[#This Row],[CLASS]],7),"")</f>
        <v>2.1.2.2</v>
      </c>
      <c r="F4058" s="3" t="str">
        <f>VLOOKUP(Base_Periodo1[[#This Row],[Aux]],Base_Contas_Balanco[#All],2,FALSE)</f>
        <v>Fornecedores Não Cooperados</v>
      </c>
      <c r="G4058" s="1">
        <v>42859</v>
      </c>
      <c r="I4058" s="225">
        <v>8910</v>
      </c>
      <c r="J4058" s="225">
        <v>8910</v>
      </c>
      <c r="K4058" s="225">
        <v>0</v>
      </c>
      <c r="L40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58" s="225">
        <f>ROUND(IF(AND(Base_Periodo1[[#This Row],[Tipo_Linha]]="-",Base_Periodo1[[#This Row],[TIPOSALDO]]="D"),Base_Periodo1[[#This Row],[SALDO_ATUAL]]*-1,Base_Periodo1[[#This Row],[SALDO_ATUAL]]),4)</f>
        <v>0</v>
      </c>
      <c r="N4058" t="s">
        <v>116</v>
      </c>
      <c r="O4058" t="s">
        <v>436</v>
      </c>
      <c r="P4058" t="s">
        <v>436</v>
      </c>
      <c r="Q4058">
        <v>7</v>
      </c>
      <c r="R4058" s="225">
        <f>Base_Periodo1[[#This Row],[CREDITOS]]-Base_Periodo1[[#This Row],[DEBITOS]]</f>
        <v>0</v>
      </c>
      <c r="S4058" s="3" t="str">
        <f>IF(ISERROR(VLOOKUP(Base_Periodo1[[#This Row],[CONTA]],BaseContasDRE[#All],4,FALSE)),"Fora do DRE",VLOOKUP(Base_Periodo1[[#This Row],[CONTA]],BaseContasDRE[#All],4,FALSE))</f>
        <v>Fora do DRE</v>
      </c>
      <c r="T4058" s="3" t="str">
        <f>IF(ISERROR(VLOOKUP(Base_Periodo1[[#This Row],[CONTA]],BaseContasDRE[#All],5,FALSE)),"Fora do DRE",VLOOKUP(Base_Periodo1[[#This Row],[CONTA]],BaseContasDRE[#All],6,FALSE))</f>
        <v>Fora do DRE</v>
      </c>
      <c r="U4058" s="3" t="str">
        <f>IF(ISERROR(VLOOKUP(Base_Periodo1[[#This Row],[CONTA]],BaseContasDRE[#All],7,FALSE)),"Fora do DRE",VLOOKUP(Base_Periodo1[[#This Row],[CONTA]],BaseContasDRE[#All],7,FALSE))</f>
        <v>Fora do DRE</v>
      </c>
      <c r="V4058" s="3" t="str">
        <f>IF(Base_Periodo1[[#This Row],[Tipo_Linha]]="Fora do DRE","Fora do DRE","( "&amp;Base_Periodo1[[#This Row],[Tipo_Linha]]&amp;" ) "&amp;Base_Periodo1[[#This Row],[Filtro]])</f>
        <v>Fora do DRE</v>
      </c>
      <c r="W4058" s="3" t="str">
        <f>LEFT(Base_Periodo1[[#This Row],[CLASS]],3)</f>
        <v>2.1</v>
      </c>
    </row>
    <row r="4059" spans="1:23" hidden="1">
      <c r="A4059" s="3" t="str">
        <f t="shared" si="63"/>
        <v>Período 1</v>
      </c>
      <c r="B4059">
        <v>47597</v>
      </c>
      <c r="C4059" t="s">
        <v>2010</v>
      </c>
      <c r="D4059" t="s">
        <v>7158</v>
      </c>
      <c r="E4059" s="3" t="str">
        <f>IF(LEN(Base_Periodo1[[#This Row],[CLASS]])&gt;=7,LEFT(Base_Periodo1[[#This Row],[CLASS]],7),"")</f>
        <v>2.1.2.2</v>
      </c>
      <c r="F4059" s="3" t="str">
        <f>VLOOKUP(Base_Periodo1[[#This Row],[Aux]],Base_Contas_Balanco[#All],2,FALSE)</f>
        <v>Fornecedores Não Cooperados</v>
      </c>
      <c r="G4059" s="1">
        <v>42873</v>
      </c>
      <c r="I4059" s="225">
        <v>370.61</v>
      </c>
      <c r="J4059" s="225">
        <v>370.61</v>
      </c>
      <c r="K4059" s="225">
        <v>0</v>
      </c>
      <c r="L40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59" s="225">
        <f>ROUND(IF(AND(Base_Periodo1[[#This Row],[Tipo_Linha]]="-",Base_Periodo1[[#This Row],[TIPOSALDO]]="D"),Base_Periodo1[[#This Row],[SALDO_ATUAL]]*-1,Base_Periodo1[[#This Row],[SALDO_ATUAL]]),4)</f>
        <v>0</v>
      </c>
      <c r="N4059" t="s">
        <v>116</v>
      </c>
      <c r="O4059" t="s">
        <v>436</v>
      </c>
      <c r="P4059" t="s">
        <v>436</v>
      </c>
      <c r="Q4059">
        <v>7</v>
      </c>
      <c r="R4059" s="225">
        <f>Base_Periodo1[[#This Row],[CREDITOS]]-Base_Periodo1[[#This Row],[DEBITOS]]</f>
        <v>0</v>
      </c>
      <c r="S4059" s="3" t="str">
        <f>IF(ISERROR(VLOOKUP(Base_Periodo1[[#This Row],[CONTA]],BaseContasDRE[#All],4,FALSE)),"Fora do DRE",VLOOKUP(Base_Periodo1[[#This Row],[CONTA]],BaseContasDRE[#All],4,FALSE))</f>
        <v>Fora do DRE</v>
      </c>
      <c r="T4059" s="3" t="str">
        <f>IF(ISERROR(VLOOKUP(Base_Periodo1[[#This Row],[CONTA]],BaseContasDRE[#All],5,FALSE)),"Fora do DRE",VLOOKUP(Base_Periodo1[[#This Row],[CONTA]],BaseContasDRE[#All],6,FALSE))</f>
        <v>Fora do DRE</v>
      </c>
      <c r="U4059" s="3" t="str">
        <f>IF(ISERROR(VLOOKUP(Base_Periodo1[[#This Row],[CONTA]],BaseContasDRE[#All],7,FALSE)),"Fora do DRE",VLOOKUP(Base_Periodo1[[#This Row],[CONTA]],BaseContasDRE[#All],7,FALSE))</f>
        <v>Fora do DRE</v>
      </c>
      <c r="V4059" s="3" t="str">
        <f>IF(Base_Periodo1[[#This Row],[Tipo_Linha]]="Fora do DRE","Fora do DRE","( "&amp;Base_Periodo1[[#This Row],[Tipo_Linha]]&amp;" ) "&amp;Base_Periodo1[[#This Row],[Filtro]])</f>
        <v>Fora do DRE</v>
      </c>
      <c r="W4059" s="3" t="str">
        <f>LEFT(Base_Periodo1[[#This Row],[CLASS]],3)</f>
        <v>2.1</v>
      </c>
    </row>
    <row r="4060" spans="1:23" hidden="1">
      <c r="A4060" s="3" t="str">
        <f t="shared" si="63"/>
        <v>Período 1</v>
      </c>
      <c r="B4060">
        <v>58379</v>
      </c>
      <c r="C4060" t="s">
        <v>2010</v>
      </c>
      <c r="D4060" t="s">
        <v>7159</v>
      </c>
      <c r="E4060" s="3" t="str">
        <f>IF(LEN(Base_Periodo1[[#This Row],[CLASS]])&gt;=7,LEFT(Base_Periodo1[[#This Row],[CLASS]],7),"")</f>
        <v>2.1.2.2</v>
      </c>
      <c r="F4060" s="3" t="str">
        <f>VLOOKUP(Base_Periodo1[[#This Row],[Aux]],Base_Contas_Balanco[#All],2,FALSE)</f>
        <v>Fornecedores Não Cooperados</v>
      </c>
      <c r="G4060" s="1">
        <v>42871</v>
      </c>
      <c r="I4060" s="225">
        <v>14482.720000000001</v>
      </c>
      <c r="J4060" s="225">
        <v>14482.72</v>
      </c>
      <c r="K4060" s="225">
        <v>1.8189894035458565E-12</v>
      </c>
      <c r="L40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60" s="225">
        <f>ROUND(IF(AND(Base_Periodo1[[#This Row],[Tipo_Linha]]="-",Base_Periodo1[[#This Row],[TIPOSALDO]]="D"),Base_Periodo1[[#This Row],[SALDO_ATUAL]]*-1,Base_Periodo1[[#This Row],[SALDO_ATUAL]]),4)</f>
        <v>0</v>
      </c>
      <c r="N4060" t="s">
        <v>116</v>
      </c>
      <c r="O4060" t="s">
        <v>436</v>
      </c>
      <c r="P4060" t="s">
        <v>436</v>
      </c>
      <c r="Q4060">
        <v>7</v>
      </c>
      <c r="R4060" s="225">
        <f>Base_Periodo1[[#This Row],[CREDITOS]]-Base_Periodo1[[#This Row],[DEBITOS]]</f>
        <v>0</v>
      </c>
      <c r="S4060" s="3" t="str">
        <f>IF(ISERROR(VLOOKUP(Base_Periodo1[[#This Row],[CONTA]],BaseContasDRE[#All],4,FALSE)),"Fora do DRE",VLOOKUP(Base_Periodo1[[#This Row],[CONTA]],BaseContasDRE[#All],4,FALSE))</f>
        <v>Fora do DRE</v>
      </c>
      <c r="T4060" s="3" t="str">
        <f>IF(ISERROR(VLOOKUP(Base_Periodo1[[#This Row],[CONTA]],BaseContasDRE[#All],5,FALSE)),"Fora do DRE",VLOOKUP(Base_Periodo1[[#This Row],[CONTA]],BaseContasDRE[#All],6,FALSE))</f>
        <v>Fora do DRE</v>
      </c>
      <c r="U4060" s="3" t="str">
        <f>IF(ISERROR(VLOOKUP(Base_Periodo1[[#This Row],[CONTA]],BaseContasDRE[#All],7,FALSE)),"Fora do DRE",VLOOKUP(Base_Periodo1[[#This Row],[CONTA]],BaseContasDRE[#All],7,FALSE))</f>
        <v>Fora do DRE</v>
      </c>
      <c r="V4060" s="3" t="str">
        <f>IF(Base_Periodo1[[#This Row],[Tipo_Linha]]="Fora do DRE","Fora do DRE","( "&amp;Base_Periodo1[[#This Row],[Tipo_Linha]]&amp;" ) "&amp;Base_Periodo1[[#This Row],[Filtro]])</f>
        <v>Fora do DRE</v>
      </c>
      <c r="W4060" s="3" t="str">
        <f>LEFT(Base_Periodo1[[#This Row],[CLASS]],3)</f>
        <v>2.1</v>
      </c>
    </row>
    <row r="4061" spans="1:23" hidden="1">
      <c r="A4061" s="3" t="str">
        <f t="shared" si="63"/>
        <v>Período 1</v>
      </c>
      <c r="B4061">
        <v>30537</v>
      </c>
      <c r="C4061" t="s">
        <v>2010</v>
      </c>
      <c r="D4061" t="s">
        <v>4776</v>
      </c>
      <c r="E4061" s="3" t="str">
        <f>IF(LEN(Base_Periodo1[[#This Row],[CLASS]])&gt;=7,LEFT(Base_Periodo1[[#This Row],[CLASS]],7),"")</f>
        <v>2.1.2.2</v>
      </c>
      <c r="F4061" s="3" t="str">
        <f>VLOOKUP(Base_Periodo1[[#This Row],[Aux]],Base_Contas_Balanco[#All],2,FALSE)</f>
        <v>Fornecedores Não Cooperados</v>
      </c>
      <c r="G4061" s="1">
        <v>42881</v>
      </c>
      <c r="H4061" s="225">
        <v>1060</v>
      </c>
      <c r="I4061" s="225">
        <v>1236</v>
      </c>
      <c r="J4061" s="225">
        <v>1186</v>
      </c>
      <c r="K4061" s="225">
        <v>1010</v>
      </c>
      <c r="L40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1010</v>
      </c>
      <c r="M4061" s="225">
        <f>ROUND(IF(AND(Base_Periodo1[[#This Row],[Tipo_Linha]]="-",Base_Periodo1[[#This Row],[TIPOSALDO]]="D"),Base_Periodo1[[#This Row],[SALDO_ATUAL]]*-1,Base_Periodo1[[#This Row],[SALDO_ATUAL]]),4)</f>
        <v>1010</v>
      </c>
      <c r="N4061" t="s">
        <v>116</v>
      </c>
      <c r="O4061" t="s">
        <v>459</v>
      </c>
      <c r="P4061" t="s">
        <v>459</v>
      </c>
      <c r="Q4061">
        <v>7</v>
      </c>
      <c r="R4061" s="225">
        <f>Base_Periodo1[[#This Row],[CREDITOS]]-Base_Periodo1[[#This Row],[DEBITOS]]</f>
        <v>-50</v>
      </c>
      <c r="S4061" s="3" t="str">
        <f>IF(ISERROR(VLOOKUP(Base_Periodo1[[#This Row],[CONTA]],BaseContasDRE[#All],4,FALSE)),"Fora do DRE",VLOOKUP(Base_Periodo1[[#This Row],[CONTA]],BaseContasDRE[#All],4,FALSE))</f>
        <v>Fora do DRE</v>
      </c>
      <c r="T4061" s="3" t="str">
        <f>IF(ISERROR(VLOOKUP(Base_Periodo1[[#This Row],[CONTA]],BaseContasDRE[#All],5,FALSE)),"Fora do DRE",VLOOKUP(Base_Periodo1[[#This Row],[CONTA]],BaseContasDRE[#All],6,FALSE))</f>
        <v>Fora do DRE</v>
      </c>
      <c r="U4061" s="3" t="str">
        <f>IF(ISERROR(VLOOKUP(Base_Periodo1[[#This Row],[CONTA]],BaseContasDRE[#All],7,FALSE)),"Fora do DRE",VLOOKUP(Base_Periodo1[[#This Row],[CONTA]],BaseContasDRE[#All],7,FALSE))</f>
        <v>Fora do DRE</v>
      </c>
      <c r="V4061" s="3" t="str">
        <f>IF(Base_Periodo1[[#This Row],[Tipo_Linha]]="Fora do DRE","Fora do DRE","( "&amp;Base_Periodo1[[#This Row],[Tipo_Linha]]&amp;" ) "&amp;Base_Periodo1[[#This Row],[Filtro]])</f>
        <v>Fora do DRE</v>
      </c>
      <c r="W4061" s="3" t="str">
        <f>LEFT(Base_Periodo1[[#This Row],[CLASS]],3)</f>
        <v>2.1</v>
      </c>
    </row>
    <row r="4062" spans="1:23" hidden="1">
      <c r="A4062" s="3" t="str">
        <f t="shared" si="63"/>
        <v>Período 1</v>
      </c>
      <c r="B4062">
        <v>9613</v>
      </c>
      <c r="C4062" t="s">
        <v>2010</v>
      </c>
      <c r="D4062" t="s">
        <v>2137</v>
      </c>
      <c r="E4062" s="3" t="str">
        <f>IF(LEN(Base_Periodo1[[#This Row],[CLASS]])&gt;=7,LEFT(Base_Periodo1[[#This Row],[CLASS]],7),"")</f>
        <v>2.1.2.2</v>
      </c>
      <c r="F4062" s="3" t="str">
        <f>VLOOKUP(Base_Periodo1[[#This Row],[Aux]],Base_Contas_Balanco[#All],2,FALSE)</f>
        <v>Fornecedores Não Cooperados</v>
      </c>
      <c r="G4062" s="1">
        <v>42432</v>
      </c>
      <c r="H4062" s="225">
        <v>388.04000000000815</v>
      </c>
      <c r="I4062" s="225">
        <v>0</v>
      </c>
      <c r="J4062" s="225">
        <v>0</v>
      </c>
      <c r="K4062" s="225">
        <v>388.04000000000815</v>
      </c>
      <c r="L40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388.04</v>
      </c>
      <c r="M4062" s="225">
        <f>ROUND(IF(AND(Base_Periodo1[[#This Row],[Tipo_Linha]]="-",Base_Periodo1[[#This Row],[TIPOSALDO]]="D"),Base_Periodo1[[#This Row],[SALDO_ATUAL]]*-1,Base_Periodo1[[#This Row],[SALDO_ATUAL]]),4)</f>
        <v>388.04</v>
      </c>
      <c r="N4062" t="s">
        <v>116</v>
      </c>
      <c r="O4062" t="s">
        <v>459</v>
      </c>
      <c r="P4062" t="s">
        <v>459</v>
      </c>
      <c r="Q4062">
        <v>7</v>
      </c>
      <c r="R4062" s="225">
        <f>Base_Periodo1[[#This Row],[CREDITOS]]-Base_Periodo1[[#This Row],[DEBITOS]]</f>
        <v>0</v>
      </c>
      <c r="S4062" s="3" t="str">
        <f>IF(ISERROR(VLOOKUP(Base_Periodo1[[#This Row],[CONTA]],BaseContasDRE[#All],4,FALSE)),"Fora do DRE",VLOOKUP(Base_Periodo1[[#This Row],[CONTA]],BaseContasDRE[#All],4,FALSE))</f>
        <v>Fora do DRE</v>
      </c>
      <c r="T4062" s="3" t="str">
        <f>IF(ISERROR(VLOOKUP(Base_Periodo1[[#This Row],[CONTA]],BaseContasDRE[#All],5,FALSE)),"Fora do DRE",VLOOKUP(Base_Periodo1[[#This Row],[CONTA]],BaseContasDRE[#All],6,FALSE))</f>
        <v>Fora do DRE</v>
      </c>
      <c r="U4062" s="3" t="str">
        <f>IF(ISERROR(VLOOKUP(Base_Periodo1[[#This Row],[CONTA]],BaseContasDRE[#All],7,FALSE)),"Fora do DRE",VLOOKUP(Base_Periodo1[[#This Row],[CONTA]],BaseContasDRE[#All],7,FALSE))</f>
        <v>Fora do DRE</v>
      </c>
      <c r="V4062" s="3" t="str">
        <f>IF(Base_Periodo1[[#This Row],[Tipo_Linha]]="Fora do DRE","Fora do DRE","( "&amp;Base_Periodo1[[#This Row],[Tipo_Linha]]&amp;" ) "&amp;Base_Periodo1[[#This Row],[Filtro]])</f>
        <v>Fora do DRE</v>
      </c>
      <c r="W4062" s="3" t="str">
        <f>LEFT(Base_Periodo1[[#This Row],[CLASS]],3)</f>
        <v>2.1</v>
      </c>
    </row>
    <row r="4063" spans="1:23" hidden="1">
      <c r="A4063" s="3" t="str">
        <f t="shared" si="63"/>
        <v>Período 1</v>
      </c>
      <c r="B4063">
        <v>42708</v>
      </c>
      <c r="C4063" t="s">
        <v>2010</v>
      </c>
      <c r="D4063" t="s">
        <v>2138</v>
      </c>
      <c r="E4063" s="3" t="str">
        <f>IF(LEN(Base_Periodo1[[#This Row],[CLASS]])&gt;=7,LEFT(Base_Periodo1[[#This Row],[CLASS]],7),"")</f>
        <v>2.1.2.2</v>
      </c>
      <c r="F4063" s="3" t="str">
        <f>VLOOKUP(Base_Periodo1[[#This Row],[Aux]],Base_Contas_Balanco[#All],2,FALSE)</f>
        <v>Fornecedores Não Cooperados</v>
      </c>
      <c r="G4063" s="1">
        <v>42642</v>
      </c>
      <c r="H4063" s="225">
        <v>11698.26</v>
      </c>
      <c r="I4063" s="225">
        <v>0</v>
      </c>
      <c r="J4063" s="225">
        <v>0</v>
      </c>
      <c r="K4063" s="225">
        <v>11698.26</v>
      </c>
      <c r="L40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11698.26</v>
      </c>
      <c r="M4063" s="225">
        <f>ROUND(IF(AND(Base_Periodo1[[#This Row],[Tipo_Linha]]="-",Base_Periodo1[[#This Row],[TIPOSALDO]]="D"),Base_Periodo1[[#This Row],[SALDO_ATUAL]]*-1,Base_Periodo1[[#This Row],[SALDO_ATUAL]]),4)</f>
        <v>11698.26</v>
      </c>
      <c r="N4063" t="s">
        <v>116</v>
      </c>
      <c r="O4063" t="s">
        <v>459</v>
      </c>
      <c r="P4063" t="s">
        <v>459</v>
      </c>
      <c r="Q4063">
        <v>7</v>
      </c>
      <c r="R4063" s="225">
        <f>Base_Periodo1[[#This Row],[CREDITOS]]-Base_Periodo1[[#This Row],[DEBITOS]]</f>
        <v>0</v>
      </c>
      <c r="S4063" s="3" t="str">
        <f>IF(ISERROR(VLOOKUP(Base_Periodo1[[#This Row],[CONTA]],BaseContasDRE[#All],4,FALSE)),"Fora do DRE",VLOOKUP(Base_Periodo1[[#This Row],[CONTA]],BaseContasDRE[#All],4,FALSE))</f>
        <v>Fora do DRE</v>
      </c>
      <c r="T4063" s="3" t="str">
        <f>IF(ISERROR(VLOOKUP(Base_Periodo1[[#This Row],[CONTA]],BaseContasDRE[#All],5,FALSE)),"Fora do DRE",VLOOKUP(Base_Periodo1[[#This Row],[CONTA]],BaseContasDRE[#All],6,FALSE))</f>
        <v>Fora do DRE</v>
      </c>
      <c r="U4063" s="3" t="str">
        <f>IF(ISERROR(VLOOKUP(Base_Periodo1[[#This Row],[CONTA]],BaseContasDRE[#All],7,FALSE)),"Fora do DRE",VLOOKUP(Base_Periodo1[[#This Row],[CONTA]],BaseContasDRE[#All],7,FALSE))</f>
        <v>Fora do DRE</v>
      </c>
      <c r="V4063" s="3" t="str">
        <f>IF(Base_Periodo1[[#This Row],[Tipo_Linha]]="Fora do DRE","Fora do DRE","( "&amp;Base_Periodo1[[#This Row],[Tipo_Linha]]&amp;" ) "&amp;Base_Periodo1[[#This Row],[Filtro]])</f>
        <v>Fora do DRE</v>
      </c>
      <c r="W4063" s="3" t="str">
        <f>LEFT(Base_Periodo1[[#This Row],[CLASS]],3)</f>
        <v>2.1</v>
      </c>
    </row>
    <row r="4064" spans="1:23" hidden="1">
      <c r="A4064" s="3" t="str">
        <f t="shared" si="63"/>
        <v>Período 1</v>
      </c>
      <c r="B4064">
        <v>29924</v>
      </c>
      <c r="C4064" t="s">
        <v>2010</v>
      </c>
      <c r="D4064" t="s">
        <v>2139</v>
      </c>
      <c r="E4064" s="3" t="str">
        <f>IF(LEN(Base_Periodo1[[#This Row],[CLASS]])&gt;=7,LEFT(Base_Periodo1[[#This Row],[CLASS]],7),"")</f>
        <v>2.1.2.2</v>
      </c>
      <c r="F4064" s="3" t="str">
        <f>VLOOKUP(Base_Periodo1[[#This Row],[Aux]],Base_Contas_Balanco[#All],2,FALSE)</f>
        <v>Fornecedores Não Cooperados</v>
      </c>
      <c r="G4064" s="1">
        <v>42877</v>
      </c>
      <c r="H4064" s="225">
        <v>153464.65000000922</v>
      </c>
      <c r="I4064" s="225">
        <v>24792.730000000003</v>
      </c>
      <c r="J4064" s="225">
        <v>3803.2799999999997</v>
      </c>
      <c r="K4064" s="225">
        <v>132475.20000000921</v>
      </c>
      <c r="L40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132475.20000000001</v>
      </c>
      <c r="M4064" s="225">
        <f>ROUND(IF(AND(Base_Periodo1[[#This Row],[Tipo_Linha]]="-",Base_Periodo1[[#This Row],[TIPOSALDO]]="D"),Base_Periodo1[[#This Row],[SALDO_ATUAL]]*-1,Base_Periodo1[[#This Row],[SALDO_ATUAL]]),4)</f>
        <v>132475.20000000001</v>
      </c>
      <c r="N4064" t="s">
        <v>116</v>
      </c>
      <c r="O4064" t="s">
        <v>459</v>
      </c>
      <c r="P4064" t="s">
        <v>459</v>
      </c>
      <c r="Q4064">
        <v>7</v>
      </c>
      <c r="R4064" s="225">
        <f>Base_Periodo1[[#This Row],[CREDITOS]]-Base_Periodo1[[#This Row],[DEBITOS]]</f>
        <v>-20989.450000000004</v>
      </c>
      <c r="S4064" s="3" t="str">
        <f>IF(ISERROR(VLOOKUP(Base_Periodo1[[#This Row],[CONTA]],BaseContasDRE[#All],4,FALSE)),"Fora do DRE",VLOOKUP(Base_Periodo1[[#This Row],[CONTA]],BaseContasDRE[#All],4,FALSE))</f>
        <v>Fora do DRE</v>
      </c>
      <c r="T4064" s="3" t="str">
        <f>IF(ISERROR(VLOOKUP(Base_Periodo1[[#This Row],[CONTA]],BaseContasDRE[#All],5,FALSE)),"Fora do DRE",VLOOKUP(Base_Periodo1[[#This Row],[CONTA]],BaseContasDRE[#All],6,FALSE))</f>
        <v>Fora do DRE</v>
      </c>
      <c r="U4064" s="3" t="str">
        <f>IF(ISERROR(VLOOKUP(Base_Periodo1[[#This Row],[CONTA]],BaseContasDRE[#All],7,FALSE)),"Fora do DRE",VLOOKUP(Base_Periodo1[[#This Row],[CONTA]],BaseContasDRE[#All],7,FALSE))</f>
        <v>Fora do DRE</v>
      </c>
      <c r="V4064" s="3" t="str">
        <f>IF(Base_Periodo1[[#This Row],[Tipo_Linha]]="Fora do DRE","Fora do DRE","( "&amp;Base_Periodo1[[#This Row],[Tipo_Linha]]&amp;" ) "&amp;Base_Periodo1[[#This Row],[Filtro]])</f>
        <v>Fora do DRE</v>
      </c>
      <c r="W4064" s="3" t="str">
        <f>LEFT(Base_Periodo1[[#This Row],[CLASS]],3)</f>
        <v>2.1</v>
      </c>
    </row>
    <row r="4065" spans="1:23" hidden="1">
      <c r="A4065" s="3" t="str">
        <f t="shared" si="63"/>
        <v>Período 1</v>
      </c>
      <c r="B4065">
        <v>28762</v>
      </c>
      <c r="C4065" t="s">
        <v>2010</v>
      </c>
      <c r="D4065" t="s">
        <v>4464</v>
      </c>
      <c r="E4065" s="3" t="str">
        <f>IF(LEN(Base_Periodo1[[#This Row],[CLASS]])&gt;=7,LEFT(Base_Periodo1[[#This Row],[CLASS]],7),"")</f>
        <v>2.1.2.2</v>
      </c>
      <c r="F4065" s="3" t="str">
        <f>VLOOKUP(Base_Periodo1[[#This Row],[Aux]],Base_Contas_Balanco[#All],2,FALSE)</f>
        <v>Fornecedores Não Cooperados</v>
      </c>
      <c r="G4065" s="1">
        <v>42886</v>
      </c>
      <c r="H4065" s="225">
        <v>178359.41999999934</v>
      </c>
      <c r="I4065" s="225">
        <v>15701.279999999999</v>
      </c>
      <c r="J4065" s="225">
        <v>205263.3600000001</v>
      </c>
      <c r="K4065" s="225">
        <v>367921.49999999942</v>
      </c>
      <c r="L40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367921.5</v>
      </c>
      <c r="M4065" s="225">
        <f>ROUND(IF(AND(Base_Periodo1[[#This Row],[Tipo_Linha]]="-",Base_Periodo1[[#This Row],[TIPOSALDO]]="D"),Base_Periodo1[[#This Row],[SALDO_ATUAL]]*-1,Base_Periodo1[[#This Row],[SALDO_ATUAL]]),4)</f>
        <v>367921.5</v>
      </c>
      <c r="N4065" t="s">
        <v>116</v>
      </c>
      <c r="O4065" t="s">
        <v>459</v>
      </c>
      <c r="P4065" t="s">
        <v>459</v>
      </c>
      <c r="Q4065">
        <v>7</v>
      </c>
      <c r="R4065" s="225">
        <f>Base_Periodo1[[#This Row],[CREDITOS]]-Base_Periodo1[[#This Row],[DEBITOS]]</f>
        <v>189562.0800000001</v>
      </c>
      <c r="S4065" s="3" t="str">
        <f>IF(ISERROR(VLOOKUP(Base_Periodo1[[#This Row],[CONTA]],BaseContasDRE[#All],4,FALSE)),"Fora do DRE",VLOOKUP(Base_Periodo1[[#This Row],[CONTA]],BaseContasDRE[#All],4,FALSE))</f>
        <v>Fora do DRE</v>
      </c>
      <c r="T4065" s="3" t="str">
        <f>IF(ISERROR(VLOOKUP(Base_Periodo1[[#This Row],[CONTA]],BaseContasDRE[#All],5,FALSE)),"Fora do DRE",VLOOKUP(Base_Periodo1[[#This Row],[CONTA]],BaseContasDRE[#All],6,FALSE))</f>
        <v>Fora do DRE</v>
      </c>
      <c r="U4065" s="3" t="str">
        <f>IF(ISERROR(VLOOKUP(Base_Periodo1[[#This Row],[CONTA]],BaseContasDRE[#All],7,FALSE)),"Fora do DRE",VLOOKUP(Base_Periodo1[[#This Row],[CONTA]],BaseContasDRE[#All],7,FALSE))</f>
        <v>Fora do DRE</v>
      </c>
      <c r="V4065" s="3" t="str">
        <f>IF(Base_Periodo1[[#This Row],[Tipo_Linha]]="Fora do DRE","Fora do DRE","( "&amp;Base_Periodo1[[#This Row],[Tipo_Linha]]&amp;" ) "&amp;Base_Periodo1[[#This Row],[Filtro]])</f>
        <v>Fora do DRE</v>
      </c>
      <c r="W4065" s="3" t="str">
        <f>LEFT(Base_Periodo1[[#This Row],[CLASS]],3)</f>
        <v>2.1</v>
      </c>
    </row>
    <row r="4066" spans="1:23" hidden="1">
      <c r="A4066" s="3" t="str">
        <f t="shared" si="63"/>
        <v>Período 1</v>
      </c>
      <c r="B4066">
        <v>56823</v>
      </c>
      <c r="C4066" t="s">
        <v>2010</v>
      </c>
      <c r="D4066" t="s">
        <v>6541</v>
      </c>
      <c r="E4066" s="3" t="str">
        <f>IF(LEN(Base_Periodo1[[#This Row],[CLASS]])&gt;=7,LEFT(Base_Periodo1[[#This Row],[CLASS]],7),"")</f>
        <v>2.1.2.2</v>
      </c>
      <c r="F4066" s="3" t="str">
        <f>VLOOKUP(Base_Periodo1[[#This Row],[Aux]],Base_Contas_Balanco[#All],2,FALSE)</f>
        <v>Fornecedores Não Cooperados</v>
      </c>
      <c r="G4066" s="1">
        <v>42860</v>
      </c>
      <c r="I4066" s="225">
        <v>8492.1999999999989</v>
      </c>
      <c r="J4066" s="225">
        <v>8492.2000000000007</v>
      </c>
      <c r="K4066" s="225">
        <v>-1.8189894035458565E-12</v>
      </c>
      <c r="L40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66" s="225">
        <f>ROUND(IF(AND(Base_Periodo1[[#This Row],[Tipo_Linha]]="-",Base_Periodo1[[#This Row],[TIPOSALDO]]="D"),Base_Periodo1[[#This Row],[SALDO_ATUAL]]*-1,Base_Periodo1[[#This Row],[SALDO_ATUAL]]),4)</f>
        <v>0</v>
      </c>
      <c r="N4066" t="s">
        <v>116</v>
      </c>
      <c r="O4066" t="s">
        <v>436</v>
      </c>
      <c r="P4066" t="s">
        <v>436</v>
      </c>
      <c r="Q4066">
        <v>7</v>
      </c>
      <c r="R4066" s="225">
        <f>Base_Periodo1[[#This Row],[CREDITOS]]-Base_Periodo1[[#This Row],[DEBITOS]]</f>
        <v>0</v>
      </c>
      <c r="S4066" s="3" t="str">
        <f>IF(ISERROR(VLOOKUP(Base_Periodo1[[#This Row],[CONTA]],BaseContasDRE[#All],4,FALSE)),"Fora do DRE",VLOOKUP(Base_Periodo1[[#This Row],[CONTA]],BaseContasDRE[#All],4,FALSE))</f>
        <v>Fora do DRE</v>
      </c>
      <c r="T4066" s="3" t="str">
        <f>IF(ISERROR(VLOOKUP(Base_Periodo1[[#This Row],[CONTA]],BaseContasDRE[#All],5,FALSE)),"Fora do DRE",VLOOKUP(Base_Periodo1[[#This Row],[CONTA]],BaseContasDRE[#All],6,FALSE))</f>
        <v>Fora do DRE</v>
      </c>
      <c r="U4066" s="3" t="str">
        <f>IF(ISERROR(VLOOKUP(Base_Periodo1[[#This Row],[CONTA]],BaseContasDRE[#All],7,FALSE)),"Fora do DRE",VLOOKUP(Base_Periodo1[[#This Row],[CONTA]],BaseContasDRE[#All],7,FALSE))</f>
        <v>Fora do DRE</v>
      </c>
      <c r="V4066" s="3" t="str">
        <f>IF(Base_Periodo1[[#This Row],[Tipo_Linha]]="Fora do DRE","Fora do DRE","( "&amp;Base_Periodo1[[#This Row],[Tipo_Linha]]&amp;" ) "&amp;Base_Periodo1[[#This Row],[Filtro]])</f>
        <v>Fora do DRE</v>
      </c>
      <c r="W4066" s="3" t="str">
        <f>LEFT(Base_Periodo1[[#This Row],[CLASS]],3)</f>
        <v>2.1</v>
      </c>
    </row>
    <row r="4067" spans="1:23" hidden="1">
      <c r="A4067" s="3" t="str">
        <f t="shared" si="63"/>
        <v>Período 1</v>
      </c>
      <c r="B4067">
        <v>17456</v>
      </c>
      <c r="C4067" t="s">
        <v>2010</v>
      </c>
      <c r="D4067" t="s">
        <v>7160</v>
      </c>
      <c r="E4067" s="3" t="str">
        <f>IF(LEN(Base_Periodo1[[#This Row],[CLASS]])&gt;=7,LEFT(Base_Periodo1[[#This Row],[CLASS]],7),"")</f>
        <v>2.1.2.2</v>
      </c>
      <c r="F4067" s="3" t="str">
        <f>VLOOKUP(Base_Periodo1[[#This Row],[Aux]],Base_Contas_Balanco[#All],2,FALSE)</f>
        <v>Fornecedores Não Cooperados</v>
      </c>
      <c r="G4067" s="1">
        <v>42880</v>
      </c>
      <c r="I4067" s="225">
        <v>310</v>
      </c>
      <c r="J4067" s="225">
        <v>310</v>
      </c>
      <c r="K4067" s="225">
        <v>0</v>
      </c>
      <c r="L40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67" s="225">
        <f>ROUND(IF(AND(Base_Periodo1[[#This Row],[Tipo_Linha]]="-",Base_Periodo1[[#This Row],[TIPOSALDO]]="D"),Base_Periodo1[[#This Row],[SALDO_ATUAL]]*-1,Base_Periodo1[[#This Row],[SALDO_ATUAL]]),4)</f>
        <v>0</v>
      </c>
      <c r="N4067" t="s">
        <v>116</v>
      </c>
      <c r="O4067" t="s">
        <v>436</v>
      </c>
      <c r="P4067" t="s">
        <v>436</v>
      </c>
      <c r="Q4067">
        <v>7</v>
      </c>
      <c r="R4067" s="225">
        <f>Base_Periodo1[[#This Row],[CREDITOS]]-Base_Periodo1[[#This Row],[DEBITOS]]</f>
        <v>0</v>
      </c>
      <c r="S4067" s="3" t="str">
        <f>IF(ISERROR(VLOOKUP(Base_Periodo1[[#This Row],[CONTA]],BaseContasDRE[#All],4,FALSE)),"Fora do DRE",VLOOKUP(Base_Periodo1[[#This Row],[CONTA]],BaseContasDRE[#All],4,FALSE))</f>
        <v>Fora do DRE</v>
      </c>
      <c r="T4067" s="3" t="str">
        <f>IF(ISERROR(VLOOKUP(Base_Periodo1[[#This Row],[CONTA]],BaseContasDRE[#All],5,FALSE)),"Fora do DRE",VLOOKUP(Base_Periodo1[[#This Row],[CONTA]],BaseContasDRE[#All],6,FALSE))</f>
        <v>Fora do DRE</v>
      </c>
      <c r="U4067" s="3" t="str">
        <f>IF(ISERROR(VLOOKUP(Base_Periodo1[[#This Row],[CONTA]],BaseContasDRE[#All],7,FALSE)),"Fora do DRE",VLOOKUP(Base_Periodo1[[#This Row],[CONTA]],BaseContasDRE[#All],7,FALSE))</f>
        <v>Fora do DRE</v>
      </c>
      <c r="V4067" s="3" t="str">
        <f>IF(Base_Periodo1[[#This Row],[Tipo_Linha]]="Fora do DRE","Fora do DRE","( "&amp;Base_Periodo1[[#This Row],[Tipo_Linha]]&amp;" ) "&amp;Base_Periodo1[[#This Row],[Filtro]])</f>
        <v>Fora do DRE</v>
      </c>
      <c r="W4067" s="3" t="str">
        <f>LEFT(Base_Periodo1[[#This Row],[CLASS]],3)</f>
        <v>2.1</v>
      </c>
    </row>
    <row r="4068" spans="1:23" hidden="1">
      <c r="A4068" s="3" t="str">
        <f t="shared" si="63"/>
        <v>Período 1</v>
      </c>
      <c r="B4068">
        <v>50200</v>
      </c>
      <c r="C4068" t="s">
        <v>2010</v>
      </c>
      <c r="D4068" t="s">
        <v>4367</v>
      </c>
      <c r="E4068" s="3" t="str">
        <f>IF(LEN(Base_Periodo1[[#This Row],[CLASS]])&gt;=7,LEFT(Base_Periodo1[[#This Row],[CLASS]],7),"")</f>
        <v>2.1.2.2</v>
      </c>
      <c r="F4068" s="3" t="str">
        <f>VLOOKUP(Base_Periodo1[[#This Row],[Aux]],Base_Contas_Balanco[#All],2,FALSE)</f>
        <v>Fornecedores Não Cooperados</v>
      </c>
      <c r="G4068" s="1">
        <v>42886</v>
      </c>
      <c r="H4068" s="225">
        <v>7092.5000000000146</v>
      </c>
      <c r="I4068" s="225">
        <v>7092.5000000000009</v>
      </c>
      <c r="J4068" s="225">
        <v>4990.0000000000009</v>
      </c>
      <c r="K4068" s="225">
        <v>4990.0000000000146</v>
      </c>
      <c r="L40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4990</v>
      </c>
      <c r="M4068" s="225">
        <f>ROUND(IF(AND(Base_Periodo1[[#This Row],[Tipo_Linha]]="-",Base_Periodo1[[#This Row],[TIPOSALDO]]="D"),Base_Periodo1[[#This Row],[SALDO_ATUAL]]*-1,Base_Periodo1[[#This Row],[SALDO_ATUAL]]),4)</f>
        <v>4990</v>
      </c>
      <c r="N4068" t="s">
        <v>116</v>
      </c>
      <c r="O4068" t="s">
        <v>459</v>
      </c>
      <c r="P4068" t="s">
        <v>459</v>
      </c>
      <c r="Q4068">
        <v>7</v>
      </c>
      <c r="R4068" s="225">
        <f>Base_Periodo1[[#This Row],[CREDITOS]]-Base_Periodo1[[#This Row],[DEBITOS]]</f>
        <v>-2102.5</v>
      </c>
      <c r="S4068" s="3" t="str">
        <f>IF(ISERROR(VLOOKUP(Base_Periodo1[[#This Row],[CONTA]],BaseContasDRE[#All],4,FALSE)),"Fora do DRE",VLOOKUP(Base_Periodo1[[#This Row],[CONTA]],BaseContasDRE[#All],4,FALSE))</f>
        <v>Fora do DRE</v>
      </c>
      <c r="T4068" s="3" t="str">
        <f>IF(ISERROR(VLOOKUP(Base_Periodo1[[#This Row],[CONTA]],BaseContasDRE[#All],5,FALSE)),"Fora do DRE",VLOOKUP(Base_Periodo1[[#This Row],[CONTA]],BaseContasDRE[#All],6,FALSE))</f>
        <v>Fora do DRE</v>
      </c>
      <c r="U4068" s="3" t="str">
        <f>IF(ISERROR(VLOOKUP(Base_Periodo1[[#This Row],[CONTA]],BaseContasDRE[#All],7,FALSE)),"Fora do DRE",VLOOKUP(Base_Periodo1[[#This Row],[CONTA]],BaseContasDRE[#All],7,FALSE))</f>
        <v>Fora do DRE</v>
      </c>
      <c r="V4068" s="3" t="str">
        <f>IF(Base_Periodo1[[#This Row],[Tipo_Linha]]="Fora do DRE","Fora do DRE","( "&amp;Base_Periodo1[[#This Row],[Tipo_Linha]]&amp;" ) "&amp;Base_Periodo1[[#This Row],[Filtro]])</f>
        <v>Fora do DRE</v>
      </c>
      <c r="W4068" s="3" t="str">
        <f>LEFT(Base_Periodo1[[#This Row],[CLASS]],3)</f>
        <v>2.1</v>
      </c>
    </row>
    <row r="4069" spans="1:23" hidden="1">
      <c r="A4069" s="3" t="str">
        <f t="shared" si="63"/>
        <v>Período 1</v>
      </c>
      <c r="B4069">
        <v>41208</v>
      </c>
      <c r="C4069" t="s">
        <v>2010</v>
      </c>
      <c r="D4069" t="s">
        <v>2140</v>
      </c>
      <c r="E4069" s="3" t="str">
        <f>IF(LEN(Base_Periodo1[[#This Row],[CLASS]])&gt;=7,LEFT(Base_Periodo1[[#This Row],[CLASS]],7),"")</f>
        <v>2.1.2.2</v>
      </c>
      <c r="F4069" s="3" t="str">
        <f>VLOOKUP(Base_Periodo1[[#This Row],[Aux]],Base_Contas_Balanco[#All],2,FALSE)</f>
        <v>Fornecedores Não Cooperados</v>
      </c>
      <c r="G4069" s="1"/>
      <c r="H4069" s="225">
        <v>240</v>
      </c>
      <c r="I4069" s="225">
        <v>0</v>
      </c>
      <c r="J4069" s="225">
        <v>0</v>
      </c>
      <c r="K4069" s="225">
        <v>240</v>
      </c>
      <c r="L40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069" s="225">
        <f>ROUND(IF(AND(Base_Periodo1[[#This Row],[Tipo_Linha]]="-",Base_Periodo1[[#This Row],[TIPOSALDO]]="D"),Base_Periodo1[[#This Row],[SALDO_ATUAL]]*-1,Base_Periodo1[[#This Row],[SALDO_ATUAL]]),4)</f>
        <v>240</v>
      </c>
      <c r="N4069" t="s">
        <v>116</v>
      </c>
      <c r="O4069" t="s">
        <v>459</v>
      </c>
      <c r="P4069" t="s">
        <v>459</v>
      </c>
      <c r="Q4069">
        <v>7</v>
      </c>
      <c r="R4069" s="225">
        <f>Base_Periodo1[[#This Row],[CREDITOS]]-Base_Periodo1[[#This Row],[DEBITOS]]</f>
        <v>0</v>
      </c>
      <c r="S4069" s="3" t="str">
        <f>IF(ISERROR(VLOOKUP(Base_Periodo1[[#This Row],[CONTA]],BaseContasDRE[#All],4,FALSE)),"Fora do DRE",VLOOKUP(Base_Periodo1[[#This Row],[CONTA]],BaseContasDRE[#All],4,FALSE))</f>
        <v>Fora do DRE</v>
      </c>
      <c r="T4069" s="3" t="str">
        <f>IF(ISERROR(VLOOKUP(Base_Periodo1[[#This Row],[CONTA]],BaseContasDRE[#All],5,FALSE)),"Fora do DRE",VLOOKUP(Base_Periodo1[[#This Row],[CONTA]],BaseContasDRE[#All],6,FALSE))</f>
        <v>Fora do DRE</v>
      </c>
      <c r="U4069" s="3" t="str">
        <f>IF(ISERROR(VLOOKUP(Base_Periodo1[[#This Row],[CONTA]],BaseContasDRE[#All],7,FALSE)),"Fora do DRE",VLOOKUP(Base_Periodo1[[#This Row],[CONTA]],BaseContasDRE[#All],7,FALSE))</f>
        <v>Fora do DRE</v>
      </c>
      <c r="V4069" s="3" t="str">
        <f>IF(Base_Periodo1[[#This Row],[Tipo_Linha]]="Fora do DRE","Fora do DRE","( "&amp;Base_Periodo1[[#This Row],[Tipo_Linha]]&amp;" ) "&amp;Base_Periodo1[[#This Row],[Filtro]])</f>
        <v>Fora do DRE</v>
      </c>
      <c r="W4069" s="3" t="str">
        <f>LEFT(Base_Periodo1[[#This Row],[CLASS]],3)</f>
        <v>2.1</v>
      </c>
    </row>
    <row r="4070" spans="1:23" hidden="1">
      <c r="A4070" s="3" t="str">
        <f t="shared" si="63"/>
        <v>Período 1</v>
      </c>
      <c r="B4070">
        <v>12968</v>
      </c>
      <c r="C4070" t="s">
        <v>2010</v>
      </c>
      <c r="D4070" t="s">
        <v>7161</v>
      </c>
      <c r="E4070" s="3" t="str">
        <f>IF(LEN(Base_Periodo1[[#This Row],[CLASS]])&gt;=7,LEFT(Base_Periodo1[[#This Row],[CLASS]],7),"")</f>
        <v>2.1.2.2</v>
      </c>
      <c r="F4070" s="3" t="str">
        <f>VLOOKUP(Base_Periodo1[[#This Row],[Aux]],Base_Contas_Balanco[#All],2,FALSE)</f>
        <v>Fornecedores Não Cooperados</v>
      </c>
      <c r="G4070" s="1">
        <v>42866</v>
      </c>
      <c r="I4070" s="225">
        <v>3000</v>
      </c>
      <c r="J4070" s="225">
        <v>3000</v>
      </c>
      <c r="K4070" s="225">
        <v>-7.2759576141834259E-12</v>
      </c>
      <c r="L40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70" s="225">
        <f>ROUND(IF(AND(Base_Periodo1[[#This Row],[Tipo_Linha]]="-",Base_Periodo1[[#This Row],[TIPOSALDO]]="D"),Base_Periodo1[[#This Row],[SALDO_ATUAL]]*-1,Base_Periodo1[[#This Row],[SALDO_ATUAL]]),4)</f>
        <v>0</v>
      </c>
      <c r="N4070" t="s">
        <v>116</v>
      </c>
      <c r="O4070" t="s">
        <v>436</v>
      </c>
      <c r="P4070" t="s">
        <v>436</v>
      </c>
      <c r="Q4070">
        <v>7</v>
      </c>
      <c r="R4070" s="225">
        <f>Base_Periodo1[[#This Row],[CREDITOS]]-Base_Periodo1[[#This Row],[DEBITOS]]</f>
        <v>0</v>
      </c>
      <c r="S4070" s="3" t="str">
        <f>IF(ISERROR(VLOOKUP(Base_Periodo1[[#This Row],[CONTA]],BaseContasDRE[#All],4,FALSE)),"Fora do DRE",VLOOKUP(Base_Periodo1[[#This Row],[CONTA]],BaseContasDRE[#All],4,FALSE))</f>
        <v>Fora do DRE</v>
      </c>
      <c r="T4070" s="3" t="str">
        <f>IF(ISERROR(VLOOKUP(Base_Periodo1[[#This Row],[CONTA]],BaseContasDRE[#All],5,FALSE)),"Fora do DRE",VLOOKUP(Base_Periodo1[[#This Row],[CONTA]],BaseContasDRE[#All],6,FALSE))</f>
        <v>Fora do DRE</v>
      </c>
      <c r="U4070" s="3" t="str">
        <f>IF(ISERROR(VLOOKUP(Base_Periodo1[[#This Row],[CONTA]],BaseContasDRE[#All],7,FALSE)),"Fora do DRE",VLOOKUP(Base_Periodo1[[#This Row],[CONTA]],BaseContasDRE[#All],7,FALSE))</f>
        <v>Fora do DRE</v>
      </c>
      <c r="V4070" s="3" t="str">
        <f>IF(Base_Periodo1[[#This Row],[Tipo_Linha]]="Fora do DRE","Fora do DRE","( "&amp;Base_Periodo1[[#This Row],[Tipo_Linha]]&amp;" ) "&amp;Base_Periodo1[[#This Row],[Filtro]])</f>
        <v>Fora do DRE</v>
      </c>
      <c r="W4070" s="3" t="str">
        <f>LEFT(Base_Periodo1[[#This Row],[CLASS]],3)</f>
        <v>2.1</v>
      </c>
    </row>
    <row r="4071" spans="1:23" hidden="1">
      <c r="A4071" s="3" t="str">
        <f t="shared" si="63"/>
        <v>Período 1</v>
      </c>
      <c r="B4071">
        <v>15725</v>
      </c>
      <c r="C4071" t="s">
        <v>2010</v>
      </c>
      <c r="D4071" t="s">
        <v>5443</v>
      </c>
      <c r="E4071" s="3" t="str">
        <f>IF(LEN(Base_Periodo1[[#This Row],[CLASS]])&gt;=7,LEFT(Base_Periodo1[[#This Row],[CLASS]],7),"")</f>
        <v>2.1.2.2</v>
      </c>
      <c r="F4071" s="3" t="str">
        <f>VLOOKUP(Base_Periodo1[[#This Row],[Aux]],Base_Contas_Balanco[#All],2,FALSE)</f>
        <v>Fornecedores Não Cooperados</v>
      </c>
      <c r="G4071" s="1">
        <v>42884</v>
      </c>
      <c r="I4071" s="225">
        <v>573.87</v>
      </c>
      <c r="J4071" s="225">
        <v>573.87</v>
      </c>
      <c r="K4071" s="225">
        <v>0</v>
      </c>
      <c r="L40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71" s="225">
        <f>ROUND(IF(AND(Base_Periodo1[[#This Row],[Tipo_Linha]]="-",Base_Periodo1[[#This Row],[TIPOSALDO]]="D"),Base_Periodo1[[#This Row],[SALDO_ATUAL]]*-1,Base_Periodo1[[#This Row],[SALDO_ATUAL]]),4)</f>
        <v>0</v>
      </c>
      <c r="N4071" t="s">
        <v>116</v>
      </c>
      <c r="O4071" t="s">
        <v>436</v>
      </c>
      <c r="P4071" t="s">
        <v>436</v>
      </c>
      <c r="Q4071">
        <v>7</v>
      </c>
      <c r="R4071" s="225">
        <f>Base_Periodo1[[#This Row],[CREDITOS]]-Base_Periodo1[[#This Row],[DEBITOS]]</f>
        <v>0</v>
      </c>
      <c r="S4071" s="3" t="str">
        <f>IF(ISERROR(VLOOKUP(Base_Periodo1[[#This Row],[CONTA]],BaseContasDRE[#All],4,FALSE)),"Fora do DRE",VLOOKUP(Base_Periodo1[[#This Row],[CONTA]],BaseContasDRE[#All],4,FALSE))</f>
        <v>Fora do DRE</v>
      </c>
      <c r="T4071" s="3" t="str">
        <f>IF(ISERROR(VLOOKUP(Base_Periodo1[[#This Row],[CONTA]],BaseContasDRE[#All],5,FALSE)),"Fora do DRE",VLOOKUP(Base_Periodo1[[#This Row],[CONTA]],BaseContasDRE[#All],6,FALSE))</f>
        <v>Fora do DRE</v>
      </c>
      <c r="U4071" s="3" t="str">
        <f>IF(ISERROR(VLOOKUP(Base_Periodo1[[#This Row],[CONTA]],BaseContasDRE[#All],7,FALSE)),"Fora do DRE",VLOOKUP(Base_Periodo1[[#This Row],[CONTA]],BaseContasDRE[#All],7,FALSE))</f>
        <v>Fora do DRE</v>
      </c>
      <c r="V4071" s="3" t="str">
        <f>IF(Base_Periodo1[[#This Row],[Tipo_Linha]]="Fora do DRE","Fora do DRE","( "&amp;Base_Periodo1[[#This Row],[Tipo_Linha]]&amp;" ) "&amp;Base_Periodo1[[#This Row],[Filtro]])</f>
        <v>Fora do DRE</v>
      </c>
      <c r="W4071" s="3" t="str">
        <f>LEFT(Base_Periodo1[[#This Row],[CLASS]],3)</f>
        <v>2.1</v>
      </c>
    </row>
    <row r="4072" spans="1:23" hidden="1">
      <c r="A4072" s="3" t="str">
        <f t="shared" si="63"/>
        <v>Período 1</v>
      </c>
      <c r="B4072">
        <v>10439</v>
      </c>
      <c r="C4072" t="s">
        <v>2010</v>
      </c>
      <c r="D4072" t="s">
        <v>5732</v>
      </c>
      <c r="E4072" s="3" t="str">
        <f>IF(LEN(Base_Periodo1[[#This Row],[CLASS]])&gt;=7,LEFT(Base_Periodo1[[#This Row],[CLASS]],7),"")</f>
        <v>2.1.2.2</v>
      </c>
      <c r="F4072" s="3" t="str">
        <f>VLOOKUP(Base_Periodo1[[#This Row],[Aux]],Base_Contas_Balanco[#All],2,FALSE)</f>
        <v>Fornecedores Não Cooperados</v>
      </c>
      <c r="G4072" s="1">
        <v>42886</v>
      </c>
      <c r="H4072" s="225">
        <v>790.00000000000728</v>
      </c>
      <c r="I4072" s="225">
        <v>790</v>
      </c>
      <c r="J4072" s="225">
        <v>750</v>
      </c>
      <c r="K4072" s="225">
        <v>750.00000000000728</v>
      </c>
      <c r="L40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750</v>
      </c>
      <c r="M4072" s="225">
        <f>ROUND(IF(AND(Base_Periodo1[[#This Row],[Tipo_Linha]]="-",Base_Periodo1[[#This Row],[TIPOSALDO]]="D"),Base_Periodo1[[#This Row],[SALDO_ATUAL]]*-1,Base_Periodo1[[#This Row],[SALDO_ATUAL]]),4)</f>
        <v>750</v>
      </c>
      <c r="N4072" t="s">
        <v>116</v>
      </c>
      <c r="O4072" t="s">
        <v>459</v>
      </c>
      <c r="P4072" t="s">
        <v>459</v>
      </c>
      <c r="Q4072">
        <v>7</v>
      </c>
      <c r="R4072" s="225">
        <f>Base_Periodo1[[#This Row],[CREDITOS]]-Base_Periodo1[[#This Row],[DEBITOS]]</f>
        <v>-40</v>
      </c>
      <c r="S4072" s="3" t="str">
        <f>IF(ISERROR(VLOOKUP(Base_Periodo1[[#This Row],[CONTA]],BaseContasDRE[#All],4,FALSE)),"Fora do DRE",VLOOKUP(Base_Periodo1[[#This Row],[CONTA]],BaseContasDRE[#All],4,FALSE))</f>
        <v>Fora do DRE</v>
      </c>
      <c r="T4072" s="3" t="str">
        <f>IF(ISERROR(VLOOKUP(Base_Periodo1[[#This Row],[CONTA]],BaseContasDRE[#All],5,FALSE)),"Fora do DRE",VLOOKUP(Base_Periodo1[[#This Row],[CONTA]],BaseContasDRE[#All],6,FALSE))</f>
        <v>Fora do DRE</v>
      </c>
      <c r="U4072" s="3" t="str">
        <f>IF(ISERROR(VLOOKUP(Base_Periodo1[[#This Row],[CONTA]],BaseContasDRE[#All],7,FALSE)),"Fora do DRE",VLOOKUP(Base_Periodo1[[#This Row],[CONTA]],BaseContasDRE[#All],7,FALSE))</f>
        <v>Fora do DRE</v>
      </c>
      <c r="V4072" s="3" t="str">
        <f>IF(Base_Periodo1[[#This Row],[Tipo_Linha]]="Fora do DRE","Fora do DRE","( "&amp;Base_Periodo1[[#This Row],[Tipo_Linha]]&amp;" ) "&amp;Base_Periodo1[[#This Row],[Filtro]])</f>
        <v>Fora do DRE</v>
      </c>
      <c r="W4072" s="3" t="str">
        <f>LEFT(Base_Periodo1[[#This Row],[CLASS]],3)</f>
        <v>2.1</v>
      </c>
    </row>
    <row r="4073" spans="1:23" hidden="1">
      <c r="A4073" s="3" t="str">
        <f t="shared" si="63"/>
        <v>Período 1</v>
      </c>
      <c r="B4073">
        <v>42756</v>
      </c>
      <c r="C4073" t="s">
        <v>2010</v>
      </c>
      <c r="D4073" t="s">
        <v>2141</v>
      </c>
      <c r="E4073" s="3" t="str">
        <f>IF(LEN(Base_Periodo1[[#This Row],[CLASS]])&gt;=7,LEFT(Base_Periodo1[[#This Row],[CLASS]],7),"")</f>
        <v>2.1.2.2</v>
      </c>
      <c r="F4073" s="3" t="str">
        <f>VLOOKUP(Base_Periodo1[[#This Row],[Aux]],Base_Contas_Balanco[#All],2,FALSE)</f>
        <v>Fornecedores Não Cooperados</v>
      </c>
      <c r="G4073" s="1">
        <v>42242</v>
      </c>
      <c r="H4073" s="225">
        <v>3585.18</v>
      </c>
      <c r="I4073" s="225">
        <v>0</v>
      </c>
      <c r="J4073" s="225">
        <v>0</v>
      </c>
      <c r="K4073" s="225">
        <v>3585.18</v>
      </c>
      <c r="L40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3585.18</v>
      </c>
      <c r="M4073" s="225">
        <f>ROUND(IF(AND(Base_Periodo1[[#This Row],[Tipo_Linha]]="-",Base_Periodo1[[#This Row],[TIPOSALDO]]="D"),Base_Periodo1[[#This Row],[SALDO_ATUAL]]*-1,Base_Periodo1[[#This Row],[SALDO_ATUAL]]),4)</f>
        <v>3585.18</v>
      </c>
      <c r="N4073" t="s">
        <v>116</v>
      </c>
      <c r="O4073" t="s">
        <v>459</v>
      </c>
      <c r="P4073" t="s">
        <v>459</v>
      </c>
      <c r="Q4073">
        <v>7</v>
      </c>
      <c r="R4073" s="225">
        <f>Base_Periodo1[[#This Row],[CREDITOS]]-Base_Periodo1[[#This Row],[DEBITOS]]</f>
        <v>0</v>
      </c>
      <c r="S4073" s="3" t="str">
        <f>IF(ISERROR(VLOOKUP(Base_Periodo1[[#This Row],[CONTA]],BaseContasDRE[#All],4,FALSE)),"Fora do DRE",VLOOKUP(Base_Periodo1[[#This Row],[CONTA]],BaseContasDRE[#All],4,FALSE))</f>
        <v>Fora do DRE</v>
      </c>
      <c r="T4073" s="3" t="str">
        <f>IF(ISERROR(VLOOKUP(Base_Periodo1[[#This Row],[CONTA]],BaseContasDRE[#All],5,FALSE)),"Fora do DRE",VLOOKUP(Base_Periodo1[[#This Row],[CONTA]],BaseContasDRE[#All],6,FALSE))</f>
        <v>Fora do DRE</v>
      </c>
      <c r="U4073" s="3" t="str">
        <f>IF(ISERROR(VLOOKUP(Base_Periodo1[[#This Row],[CONTA]],BaseContasDRE[#All],7,FALSE)),"Fora do DRE",VLOOKUP(Base_Periodo1[[#This Row],[CONTA]],BaseContasDRE[#All],7,FALSE))</f>
        <v>Fora do DRE</v>
      </c>
      <c r="V4073" s="3" t="str">
        <f>IF(Base_Periodo1[[#This Row],[Tipo_Linha]]="Fora do DRE","Fora do DRE","( "&amp;Base_Periodo1[[#This Row],[Tipo_Linha]]&amp;" ) "&amp;Base_Periodo1[[#This Row],[Filtro]])</f>
        <v>Fora do DRE</v>
      </c>
      <c r="W4073" s="3" t="str">
        <f>LEFT(Base_Periodo1[[#This Row],[CLASS]],3)</f>
        <v>2.1</v>
      </c>
    </row>
    <row r="4074" spans="1:23" hidden="1">
      <c r="A4074" s="3" t="str">
        <f t="shared" si="63"/>
        <v>Período 1</v>
      </c>
      <c r="B4074">
        <v>14486</v>
      </c>
      <c r="C4074" t="s">
        <v>2010</v>
      </c>
      <c r="D4074" t="s">
        <v>2142</v>
      </c>
      <c r="E4074" s="3" t="str">
        <f>IF(LEN(Base_Periodo1[[#This Row],[CLASS]])&gt;=7,LEFT(Base_Periodo1[[#This Row],[CLASS]],7),"")</f>
        <v>2.1.2.2</v>
      </c>
      <c r="F4074" s="3" t="str">
        <f>VLOOKUP(Base_Periodo1[[#This Row],[Aux]],Base_Contas_Balanco[#All],2,FALSE)</f>
        <v>Fornecedores Não Cooperados</v>
      </c>
      <c r="G4074" s="1">
        <v>42886</v>
      </c>
      <c r="I4074" s="225">
        <v>32373.439999999999</v>
      </c>
      <c r="J4074" s="225">
        <v>35021.14</v>
      </c>
      <c r="K4074" s="225">
        <v>2647.7000000001171</v>
      </c>
      <c r="L40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2647.7</v>
      </c>
      <c r="M4074" s="225">
        <f>ROUND(IF(AND(Base_Periodo1[[#This Row],[Tipo_Linha]]="-",Base_Periodo1[[#This Row],[TIPOSALDO]]="D"),Base_Periodo1[[#This Row],[SALDO_ATUAL]]*-1,Base_Periodo1[[#This Row],[SALDO_ATUAL]]),4)</f>
        <v>2647.7</v>
      </c>
      <c r="N4074" t="s">
        <v>116</v>
      </c>
      <c r="O4074" t="s">
        <v>436</v>
      </c>
      <c r="P4074" t="s">
        <v>459</v>
      </c>
      <c r="Q4074">
        <v>7</v>
      </c>
      <c r="R4074" s="225">
        <f>Base_Periodo1[[#This Row],[CREDITOS]]-Base_Periodo1[[#This Row],[DEBITOS]]</f>
        <v>2647.7000000000007</v>
      </c>
      <c r="S4074" s="3" t="str">
        <f>IF(ISERROR(VLOOKUP(Base_Periodo1[[#This Row],[CONTA]],BaseContasDRE[#All],4,FALSE)),"Fora do DRE",VLOOKUP(Base_Periodo1[[#This Row],[CONTA]],BaseContasDRE[#All],4,FALSE))</f>
        <v>Fora do DRE</v>
      </c>
      <c r="T4074" s="3" t="str">
        <f>IF(ISERROR(VLOOKUP(Base_Periodo1[[#This Row],[CONTA]],BaseContasDRE[#All],5,FALSE)),"Fora do DRE",VLOOKUP(Base_Periodo1[[#This Row],[CONTA]],BaseContasDRE[#All],6,FALSE))</f>
        <v>Fora do DRE</v>
      </c>
      <c r="U4074" s="3" t="str">
        <f>IF(ISERROR(VLOOKUP(Base_Periodo1[[#This Row],[CONTA]],BaseContasDRE[#All],7,FALSE)),"Fora do DRE",VLOOKUP(Base_Periodo1[[#This Row],[CONTA]],BaseContasDRE[#All],7,FALSE))</f>
        <v>Fora do DRE</v>
      </c>
      <c r="V4074" s="3" t="str">
        <f>IF(Base_Periodo1[[#This Row],[Tipo_Linha]]="Fora do DRE","Fora do DRE","( "&amp;Base_Periodo1[[#This Row],[Tipo_Linha]]&amp;" ) "&amp;Base_Periodo1[[#This Row],[Filtro]])</f>
        <v>Fora do DRE</v>
      </c>
      <c r="W4074" s="3" t="str">
        <f>LEFT(Base_Periodo1[[#This Row],[CLASS]],3)</f>
        <v>2.1</v>
      </c>
    </row>
    <row r="4075" spans="1:23" hidden="1">
      <c r="A4075" s="3" t="str">
        <f t="shared" si="63"/>
        <v>Período 1</v>
      </c>
      <c r="B4075">
        <v>13101</v>
      </c>
      <c r="C4075" t="s">
        <v>2010</v>
      </c>
      <c r="D4075" t="s">
        <v>7162</v>
      </c>
      <c r="E4075" s="3" t="str">
        <f>IF(LEN(Base_Periodo1[[#This Row],[CLASS]])&gt;=7,LEFT(Base_Periodo1[[#This Row],[CLASS]],7),"")</f>
        <v>2.1.2.2</v>
      </c>
      <c r="F4075" s="3" t="str">
        <f>VLOOKUP(Base_Periodo1[[#This Row],[Aux]],Base_Contas_Balanco[#All],2,FALSE)</f>
        <v>Fornecedores Não Cooperados</v>
      </c>
      <c r="G4075" s="1">
        <v>42872</v>
      </c>
      <c r="I4075" s="225">
        <v>2576</v>
      </c>
      <c r="J4075" s="225">
        <v>2576</v>
      </c>
      <c r="K4075" s="225">
        <v>0</v>
      </c>
      <c r="L40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75" s="225">
        <f>ROUND(IF(AND(Base_Periodo1[[#This Row],[Tipo_Linha]]="-",Base_Periodo1[[#This Row],[TIPOSALDO]]="D"),Base_Periodo1[[#This Row],[SALDO_ATUAL]]*-1,Base_Periodo1[[#This Row],[SALDO_ATUAL]]),4)</f>
        <v>0</v>
      </c>
      <c r="N4075" t="s">
        <v>116</v>
      </c>
      <c r="O4075" t="s">
        <v>436</v>
      </c>
      <c r="P4075" t="s">
        <v>436</v>
      </c>
      <c r="Q4075">
        <v>7</v>
      </c>
      <c r="R4075" s="225">
        <f>Base_Periodo1[[#This Row],[CREDITOS]]-Base_Periodo1[[#This Row],[DEBITOS]]</f>
        <v>0</v>
      </c>
      <c r="S4075" s="3" t="str">
        <f>IF(ISERROR(VLOOKUP(Base_Periodo1[[#This Row],[CONTA]],BaseContasDRE[#All],4,FALSE)),"Fora do DRE",VLOOKUP(Base_Periodo1[[#This Row],[CONTA]],BaseContasDRE[#All],4,FALSE))</f>
        <v>Fora do DRE</v>
      </c>
      <c r="T4075" s="3" t="str">
        <f>IF(ISERROR(VLOOKUP(Base_Periodo1[[#This Row],[CONTA]],BaseContasDRE[#All],5,FALSE)),"Fora do DRE",VLOOKUP(Base_Periodo1[[#This Row],[CONTA]],BaseContasDRE[#All],6,FALSE))</f>
        <v>Fora do DRE</v>
      </c>
      <c r="U4075" s="3" t="str">
        <f>IF(ISERROR(VLOOKUP(Base_Periodo1[[#This Row],[CONTA]],BaseContasDRE[#All],7,FALSE)),"Fora do DRE",VLOOKUP(Base_Periodo1[[#This Row],[CONTA]],BaseContasDRE[#All],7,FALSE))</f>
        <v>Fora do DRE</v>
      </c>
      <c r="V4075" s="3" t="str">
        <f>IF(Base_Periodo1[[#This Row],[Tipo_Linha]]="Fora do DRE","Fora do DRE","( "&amp;Base_Periodo1[[#This Row],[Tipo_Linha]]&amp;" ) "&amp;Base_Periodo1[[#This Row],[Filtro]])</f>
        <v>Fora do DRE</v>
      </c>
      <c r="W4075" s="3" t="str">
        <f>LEFT(Base_Periodo1[[#This Row],[CLASS]],3)</f>
        <v>2.1</v>
      </c>
    </row>
    <row r="4076" spans="1:23" hidden="1">
      <c r="A4076" s="3" t="str">
        <f t="shared" si="63"/>
        <v>Período 1</v>
      </c>
      <c r="B4076">
        <v>12856</v>
      </c>
      <c r="C4076" t="s">
        <v>2010</v>
      </c>
      <c r="D4076" t="s">
        <v>6542</v>
      </c>
      <c r="E4076" s="3" t="str">
        <f>IF(LEN(Base_Periodo1[[#This Row],[CLASS]])&gt;=7,LEFT(Base_Periodo1[[#This Row],[CLASS]],7),"")</f>
        <v>2.1.2.2</v>
      </c>
      <c r="F4076" s="3" t="str">
        <f>VLOOKUP(Base_Periodo1[[#This Row],[Aux]],Base_Contas_Balanco[#All],2,FALSE)</f>
        <v>Fornecedores Não Cooperados</v>
      </c>
      <c r="G4076" s="1">
        <v>42880</v>
      </c>
      <c r="I4076" s="225">
        <v>1679.77</v>
      </c>
      <c r="J4076" s="225">
        <v>1679.77</v>
      </c>
      <c r="K4076" s="225">
        <v>-3.637978807091713E-12</v>
      </c>
      <c r="L40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76" s="225">
        <f>ROUND(IF(AND(Base_Periodo1[[#This Row],[Tipo_Linha]]="-",Base_Periodo1[[#This Row],[TIPOSALDO]]="D"),Base_Periodo1[[#This Row],[SALDO_ATUAL]]*-1,Base_Periodo1[[#This Row],[SALDO_ATUAL]]),4)</f>
        <v>0</v>
      </c>
      <c r="N4076" t="s">
        <v>116</v>
      </c>
      <c r="O4076" t="s">
        <v>436</v>
      </c>
      <c r="P4076" t="s">
        <v>436</v>
      </c>
      <c r="Q4076">
        <v>7</v>
      </c>
      <c r="R4076" s="225">
        <f>Base_Periodo1[[#This Row],[CREDITOS]]-Base_Periodo1[[#This Row],[DEBITOS]]</f>
        <v>0</v>
      </c>
      <c r="S4076" s="3" t="str">
        <f>IF(ISERROR(VLOOKUP(Base_Periodo1[[#This Row],[CONTA]],BaseContasDRE[#All],4,FALSE)),"Fora do DRE",VLOOKUP(Base_Periodo1[[#This Row],[CONTA]],BaseContasDRE[#All],4,FALSE))</f>
        <v>Fora do DRE</v>
      </c>
      <c r="T4076" s="3" t="str">
        <f>IF(ISERROR(VLOOKUP(Base_Periodo1[[#This Row],[CONTA]],BaseContasDRE[#All],5,FALSE)),"Fora do DRE",VLOOKUP(Base_Periodo1[[#This Row],[CONTA]],BaseContasDRE[#All],6,FALSE))</f>
        <v>Fora do DRE</v>
      </c>
      <c r="U4076" s="3" t="str">
        <f>IF(ISERROR(VLOOKUP(Base_Periodo1[[#This Row],[CONTA]],BaseContasDRE[#All],7,FALSE)),"Fora do DRE",VLOOKUP(Base_Periodo1[[#This Row],[CONTA]],BaseContasDRE[#All],7,FALSE))</f>
        <v>Fora do DRE</v>
      </c>
      <c r="V4076" s="3" t="str">
        <f>IF(Base_Periodo1[[#This Row],[Tipo_Linha]]="Fora do DRE","Fora do DRE","( "&amp;Base_Periodo1[[#This Row],[Tipo_Linha]]&amp;" ) "&amp;Base_Periodo1[[#This Row],[Filtro]])</f>
        <v>Fora do DRE</v>
      </c>
      <c r="W4076" s="3" t="str">
        <f>LEFT(Base_Periodo1[[#This Row],[CLASS]],3)</f>
        <v>2.1</v>
      </c>
    </row>
    <row r="4077" spans="1:23" hidden="1">
      <c r="A4077" s="3" t="str">
        <f t="shared" si="63"/>
        <v>Período 1</v>
      </c>
      <c r="B4077">
        <v>57679</v>
      </c>
      <c r="C4077" t="s">
        <v>2010</v>
      </c>
      <c r="D4077" t="s">
        <v>7163</v>
      </c>
      <c r="E4077" s="3" t="str">
        <f>IF(LEN(Base_Periodo1[[#This Row],[CLASS]])&gt;=7,LEFT(Base_Periodo1[[#This Row],[CLASS]],7),"")</f>
        <v>2.1.2.2</v>
      </c>
      <c r="F4077" s="3" t="str">
        <f>VLOOKUP(Base_Periodo1[[#This Row],[Aux]],Base_Contas_Balanco[#All],2,FALSE)</f>
        <v>Fornecedores Não Cooperados</v>
      </c>
      <c r="G4077" s="1">
        <v>42879</v>
      </c>
      <c r="I4077" s="225">
        <v>1800</v>
      </c>
      <c r="J4077" s="225">
        <v>1800</v>
      </c>
      <c r="K4077" s="225">
        <v>0</v>
      </c>
      <c r="L40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77" s="225">
        <f>ROUND(IF(AND(Base_Periodo1[[#This Row],[Tipo_Linha]]="-",Base_Periodo1[[#This Row],[TIPOSALDO]]="D"),Base_Periodo1[[#This Row],[SALDO_ATUAL]]*-1,Base_Periodo1[[#This Row],[SALDO_ATUAL]]),4)</f>
        <v>0</v>
      </c>
      <c r="N4077" t="s">
        <v>116</v>
      </c>
      <c r="O4077" t="s">
        <v>436</v>
      </c>
      <c r="P4077" t="s">
        <v>436</v>
      </c>
      <c r="Q4077">
        <v>7</v>
      </c>
      <c r="R4077" s="225">
        <f>Base_Periodo1[[#This Row],[CREDITOS]]-Base_Periodo1[[#This Row],[DEBITOS]]</f>
        <v>0</v>
      </c>
      <c r="S4077" s="3" t="str">
        <f>IF(ISERROR(VLOOKUP(Base_Periodo1[[#This Row],[CONTA]],BaseContasDRE[#All],4,FALSE)),"Fora do DRE",VLOOKUP(Base_Periodo1[[#This Row],[CONTA]],BaseContasDRE[#All],4,FALSE))</f>
        <v>Fora do DRE</v>
      </c>
      <c r="T4077" s="3" t="str">
        <f>IF(ISERROR(VLOOKUP(Base_Periodo1[[#This Row],[CONTA]],BaseContasDRE[#All],5,FALSE)),"Fora do DRE",VLOOKUP(Base_Periodo1[[#This Row],[CONTA]],BaseContasDRE[#All],6,FALSE))</f>
        <v>Fora do DRE</v>
      </c>
      <c r="U4077" s="3" t="str">
        <f>IF(ISERROR(VLOOKUP(Base_Periodo1[[#This Row],[CONTA]],BaseContasDRE[#All],7,FALSE)),"Fora do DRE",VLOOKUP(Base_Periodo1[[#This Row],[CONTA]],BaseContasDRE[#All],7,FALSE))</f>
        <v>Fora do DRE</v>
      </c>
      <c r="V4077" s="3" t="str">
        <f>IF(Base_Periodo1[[#This Row],[Tipo_Linha]]="Fora do DRE","Fora do DRE","( "&amp;Base_Periodo1[[#This Row],[Tipo_Linha]]&amp;" ) "&amp;Base_Periodo1[[#This Row],[Filtro]])</f>
        <v>Fora do DRE</v>
      </c>
      <c r="W4077" s="3" t="str">
        <f>LEFT(Base_Periodo1[[#This Row],[CLASS]],3)</f>
        <v>2.1</v>
      </c>
    </row>
    <row r="4078" spans="1:23" hidden="1">
      <c r="A4078" s="3" t="str">
        <f t="shared" si="63"/>
        <v>Período 1</v>
      </c>
      <c r="B4078">
        <v>58977</v>
      </c>
      <c r="C4078" t="s">
        <v>2010</v>
      </c>
      <c r="D4078" t="s">
        <v>6209</v>
      </c>
      <c r="E4078" s="3" t="str">
        <f>IF(LEN(Base_Periodo1[[#This Row],[CLASS]])&gt;=7,LEFT(Base_Periodo1[[#This Row],[CLASS]],7),"")</f>
        <v>2.1.2.2</v>
      </c>
      <c r="F4078" s="3" t="str">
        <f>VLOOKUP(Base_Periodo1[[#This Row],[Aux]],Base_Contas_Balanco[#All],2,FALSE)</f>
        <v>Fornecedores Não Cooperados</v>
      </c>
      <c r="G4078" s="1">
        <v>42871</v>
      </c>
      <c r="I4078" s="225">
        <v>25000</v>
      </c>
      <c r="J4078" s="225">
        <v>106049.98</v>
      </c>
      <c r="K4078" s="225">
        <v>81049.98</v>
      </c>
      <c r="L40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81049.98</v>
      </c>
      <c r="M4078" s="225">
        <f>ROUND(IF(AND(Base_Periodo1[[#This Row],[Tipo_Linha]]="-",Base_Periodo1[[#This Row],[TIPOSALDO]]="D"),Base_Periodo1[[#This Row],[SALDO_ATUAL]]*-1,Base_Periodo1[[#This Row],[SALDO_ATUAL]]),4)</f>
        <v>81049.98</v>
      </c>
      <c r="N4078" t="s">
        <v>116</v>
      </c>
      <c r="O4078" t="s">
        <v>436</v>
      </c>
      <c r="P4078" t="s">
        <v>459</v>
      </c>
      <c r="Q4078">
        <v>7</v>
      </c>
      <c r="R4078" s="225">
        <f>Base_Periodo1[[#This Row],[CREDITOS]]-Base_Periodo1[[#This Row],[DEBITOS]]</f>
        <v>81049.98</v>
      </c>
      <c r="S4078" s="3" t="str">
        <f>IF(ISERROR(VLOOKUP(Base_Periodo1[[#This Row],[CONTA]],BaseContasDRE[#All],4,FALSE)),"Fora do DRE",VLOOKUP(Base_Periodo1[[#This Row],[CONTA]],BaseContasDRE[#All],4,FALSE))</f>
        <v>Fora do DRE</v>
      </c>
      <c r="T4078" s="3" t="str">
        <f>IF(ISERROR(VLOOKUP(Base_Periodo1[[#This Row],[CONTA]],BaseContasDRE[#All],5,FALSE)),"Fora do DRE",VLOOKUP(Base_Periodo1[[#This Row],[CONTA]],BaseContasDRE[#All],6,FALSE))</f>
        <v>Fora do DRE</v>
      </c>
      <c r="U4078" s="3" t="str">
        <f>IF(ISERROR(VLOOKUP(Base_Periodo1[[#This Row],[CONTA]],BaseContasDRE[#All],7,FALSE)),"Fora do DRE",VLOOKUP(Base_Periodo1[[#This Row],[CONTA]],BaseContasDRE[#All],7,FALSE))</f>
        <v>Fora do DRE</v>
      </c>
      <c r="V4078" s="3" t="str">
        <f>IF(Base_Periodo1[[#This Row],[Tipo_Linha]]="Fora do DRE","Fora do DRE","( "&amp;Base_Periodo1[[#This Row],[Tipo_Linha]]&amp;" ) "&amp;Base_Periodo1[[#This Row],[Filtro]])</f>
        <v>Fora do DRE</v>
      </c>
      <c r="W4078" s="3" t="str">
        <f>LEFT(Base_Periodo1[[#This Row],[CLASS]],3)</f>
        <v>2.1</v>
      </c>
    </row>
    <row r="4079" spans="1:23" hidden="1">
      <c r="A4079" s="3" t="str">
        <f t="shared" si="63"/>
        <v>Período 1</v>
      </c>
      <c r="B4079">
        <v>48945</v>
      </c>
      <c r="C4079" t="s">
        <v>2010</v>
      </c>
      <c r="D4079" t="s">
        <v>7164</v>
      </c>
      <c r="E4079" s="3" t="str">
        <f>IF(LEN(Base_Periodo1[[#This Row],[CLASS]])&gt;=7,LEFT(Base_Periodo1[[#This Row],[CLASS]],7),"")</f>
        <v>2.1.2.2</v>
      </c>
      <c r="F4079" s="3" t="str">
        <f>VLOOKUP(Base_Periodo1[[#This Row],[Aux]],Base_Contas_Balanco[#All],2,FALSE)</f>
        <v>Fornecedores Não Cooperados</v>
      </c>
      <c r="G4079" s="1">
        <v>42857</v>
      </c>
      <c r="I4079" s="225">
        <v>19188</v>
      </c>
      <c r="J4079" s="225">
        <v>19188</v>
      </c>
      <c r="K4079" s="225">
        <v>0</v>
      </c>
      <c r="L40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79" s="225">
        <f>ROUND(IF(AND(Base_Periodo1[[#This Row],[Tipo_Linha]]="-",Base_Periodo1[[#This Row],[TIPOSALDO]]="D"),Base_Periodo1[[#This Row],[SALDO_ATUAL]]*-1,Base_Periodo1[[#This Row],[SALDO_ATUAL]]),4)</f>
        <v>0</v>
      </c>
      <c r="N4079" t="s">
        <v>116</v>
      </c>
      <c r="O4079" t="s">
        <v>436</v>
      </c>
      <c r="P4079" t="s">
        <v>436</v>
      </c>
      <c r="Q4079">
        <v>7</v>
      </c>
      <c r="R4079" s="225">
        <f>Base_Periodo1[[#This Row],[CREDITOS]]-Base_Periodo1[[#This Row],[DEBITOS]]</f>
        <v>0</v>
      </c>
      <c r="S4079" s="3" t="str">
        <f>IF(ISERROR(VLOOKUP(Base_Periodo1[[#This Row],[CONTA]],BaseContasDRE[#All],4,FALSE)),"Fora do DRE",VLOOKUP(Base_Periodo1[[#This Row],[CONTA]],BaseContasDRE[#All],4,FALSE))</f>
        <v>Fora do DRE</v>
      </c>
      <c r="T4079" s="3" t="str">
        <f>IF(ISERROR(VLOOKUP(Base_Periodo1[[#This Row],[CONTA]],BaseContasDRE[#All],5,FALSE)),"Fora do DRE",VLOOKUP(Base_Periodo1[[#This Row],[CONTA]],BaseContasDRE[#All],6,FALSE))</f>
        <v>Fora do DRE</v>
      </c>
      <c r="U4079" s="3" t="str">
        <f>IF(ISERROR(VLOOKUP(Base_Periodo1[[#This Row],[CONTA]],BaseContasDRE[#All],7,FALSE)),"Fora do DRE",VLOOKUP(Base_Periodo1[[#This Row],[CONTA]],BaseContasDRE[#All],7,FALSE))</f>
        <v>Fora do DRE</v>
      </c>
      <c r="V4079" s="3" t="str">
        <f>IF(Base_Periodo1[[#This Row],[Tipo_Linha]]="Fora do DRE","Fora do DRE","( "&amp;Base_Periodo1[[#This Row],[Tipo_Linha]]&amp;" ) "&amp;Base_Periodo1[[#This Row],[Filtro]])</f>
        <v>Fora do DRE</v>
      </c>
      <c r="W4079" s="3" t="str">
        <f>LEFT(Base_Periodo1[[#This Row],[CLASS]],3)</f>
        <v>2.1</v>
      </c>
    </row>
    <row r="4080" spans="1:23" hidden="1">
      <c r="A4080" s="3" t="str">
        <f t="shared" si="63"/>
        <v>Período 1</v>
      </c>
      <c r="B4080">
        <v>36415</v>
      </c>
      <c r="C4080" t="s">
        <v>2010</v>
      </c>
      <c r="D4080" t="s">
        <v>2143</v>
      </c>
      <c r="E4080" s="3" t="str">
        <f>IF(LEN(Base_Periodo1[[#This Row],[CLASS]])&gt;=7,LEFT(Base_Periodo1[[#This Row],[CLASS]],7),"")</f>
        <v>2.1.2.2</v>
      </c>
      <c r="F4080" s="3" t="str">
        <f>VLOOKUP(Base_Periodo1[[#This Row],[Aux]],Base_Contas_Balanco[#All],2,FALSE)</f>
        <v>Fornecedores Não Cooperados</v>
      </c>
      <c r="G4080" s="1">
        <v>42877</v>
      </c>
      <c r="I4080" s="225">
        <v>4200.8599999999997</v>
      </c>
      <c r="J4080" s="225">
        <v>4200.8599999999997</v>
      </c>
      <c r="K4080" s="225">
        <v>7.2759576141834259E-12</v>
      </c>
      <c r="L40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80" s="225">
        <f>ROUND(IF(AND(Base_Periodo1[[#This Row],[Tipo_Linha]]="-",Base_Periodo1[[#This Row],[TIPOSALDO]]="D"),Base_Periodo1[[#This Row],[SALDO_ATUAL]]*-1,Base_Periodo1[[#This Row],[SALDO_ATUAL]]),4)</f>
        <v>0</v>
      </c>
      <c r="N4080" t="s">
        <v>116</v>
      </c>
      <c r="O4080" t="s">
        <v>436</v>
      </c>
      <c r="P4080" t="s">
        <v>436</v>
      </c>
      <c r="Q4080">
        <v>7</v>
      </c>
      <c r="R4080" s="225">
        <f>Base_Periodo1[[#This Row],[CREDITOS]]-Base_Periodo1[[#This Row],[DEBITOS]]</f>
        <v>0</v>
      </c>
      <c r="S4080" s="3" t="str">
        <f>IF(ISERROR(VLOOKUP(Base_Periodo1[[#This Row],[CONTA]],BaseContasDRE[#All],4,FALSE)),"Fora do DRE",VLOOKUP(Base_Periodo1[[#This Row],[CONTA]],BaseContasDRE[#All],4,FALSE))</f>
        <v>Fora do DRE</v>
      </c>
      <c r="T4080" s="3" t="str">
        <f>IF(ISERROR(VLOOKUP(Base_Periodo1[[#This Row],[CONTA]],BaseContasDRE[#All],5,FALSE)),"Fora do DRE",VLOOKUP(Base_Periodo1[[#This Row],[CONTA]],BaseContasDRE[#All],6,FALSE))</f>
        <v>Fora do DRE</v>
      </c>
      <c r="U4080" s="3" t="str">
        <f>IF(ISERROR(VLOOKUP(Base_Periodo1[[#This Row],[CONTA]],BaseContasDRE[#All],7,FALSE)),"Fora do DRE",VLOOKUP(Base_Periodo1[[#This Row],[CONTA]],BaseContasDRE[#All],7,FALSE))</f>
        <v>Fora do DRE</v>
      </c>
      <c r="V4080" s="3" t="str">
        <f>IF(Base_Periodo1[[#This Row],[Tipo_Linha]]="Fora do DRE","Fora do DRE","( "&amp;Base_Periodo1[[#This Row],[Tipo_Linha]]&amp;" ) "&amp;Base_Periodo1[[#This Row],[Filtro]])</f>
        <v>Fora do DRE</v>
      </c>
      <c r="W4080" s="3" t="str">
        <f>LEFT(Base_Periodo1[[#This Row],[CLASS]],3)</f>
        <v>2.1</v>
      </c>
    </row>
    <row r="4081" spans="1:23" hidden="1">
      <c r="A4081" s="3" t="str">
        <f t="shared" si="63"/>
        <v>Período 1</v>
      </c>
      <c r="B4081">
        <v>1548</v>
      </c>
      <c r="C4081" t="s">
        <v>2144</v>
      </c>
      <c r="D4081" t="s">
        <v>2145</v>
      </c>
      <c r="E4081" s="3" t="str">
        <f>IF(LEN(Base_Periodo1[[#This Row],[CLASS]])&gt;=7,LEFT(Base_Periodo1[[#This Row],[CLASS]],7),"")</f>
        <v>2.1.2.2</v>
      </c>
      <c r="F4081" s="3" t="str">
        <f>VLOOKUP(Base_Periodo1[[#This Row],[Aux]],Base_Contas_Balanco[#All],2,FALSE)</f>
        <v>Fornecedores Não Cooperados</v>
      </c>
      <c r="G4081" s="1"/>
      <c r="H4081" s="225">
        <v>1642077.2999999642</v>
      </c>
      <c r="I4081" s="225">
        <v>2649047.34</v>
      </c>
      <c r="J4081" s="225">
        <v>2672189.0700000003</v>
      </c>
      <c r="K4081" s="225">
        <v>1665219.0299999646</v>
      </c>
      <c r="L40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1665219.03</v>
      </c>
      <c r="M4081" s="225">
        <f>ROUND(IF(AND(Base_Periodo1[[#This Row],[Tipo_Linha]]="-",Base_Periodo1[[#This Row],[TIPOSALDO]]="D"),Base_Periodo1[[#This Row],[SALDO_ATUAL]]*-1,Base_Periodo1[[#This Row],[SALDO_ATUAL]]),4)</f>
        <v>1665219.03</v>
      </c>
      <c r="N4081" t="s">
        <v>396</v>
      </c>
      <c r="O4081" t="s">
        <v>459</v>
      </c>
      <c r="P4081" t="s">
        <v>459</v>
      </c>
      <c r="Q4081">
        <v>5</v>
      </c>
      <c r="R4081" s="225">
        <f>Base_Periodo1[[#This Row],[CREDITOS]]-Base_Periodo1[[#This Row],[DEBITOS]]</f>
        <v>23141.730000000447</v>
      </c>
      <c r="S4081" s="3" t="str">
        <f>IF(ISERROR(VLOOKUP(Base_Periodo1[[#This Row],[CONTA]],BaseContasDRE[#All],4,FALSE)),"Fora do DRE",VLOOKUP(Base_Periodo1[[#This Row],[CONTA]],BaseContasDRE[#All],4,FALSE))</f>
        <v>Fora do DRE</v>
      </c>
      <c r="T4081" s="3" t="str">
        <f>IF(ISERROR(VLOOKUP(Base_Periodo1[[#This Row],[CONTA]],BaseContasDRE[#All],5,FALSE)),"Fora do DRE",VLOOKUP(Base_Periodo1[[#This Row],[CONTA]],BaseContasDRE[#All],6,FALSE))</f>
        <v>Fora do DRE</v>
      </c>
      <c r="U4081" s="3" t="str">
        <f>IF(ISERROR(VLOOKUP(Base_Periodo1[[#This Row],[CONTA]],BaseContasDRE[#All],7,FALSE)),"Fora do DRE",VLOOKUP(Base_Periodo1[[#This Row],[CONTA]],BaseContasDRE[#All],7,FALSE))</f>
        <v>Fora do DRE</v>
      </c>
      <c r="V4081" s="3" t="str">
        <f>IF(Base_Periodo1[[#This Row],[Tipo_Linha]]="Fora do DRE","Fora do DRE","( "&amp;Base_Periodo1[[#This Row],[Tipo_Linha]]&amp;" ) "&amp;Base_Periodo1[[#This Row],[Filtro]])</f>
        <v>Fora do DRE</v>
      </c>
      <c r="W4081" s="3" t="str">
        <f>LEFT(Base_Periodo1[[#This Row],[CLASS]],3)</f>
        <v>2.1</v>
      </c>
    </row>
    <row r="4082" spans="1:23" hidden="1">
      <c r="A4082" s="3" t="str">
        <f t="shared" si="63"/>
        <v>Período 1</v>
      </c>
      <c r="B4082">
        <v>1552</v>
      </c>
      <c r="C4082" t="s">
        <v>2146</v>
      </c>
      <c r="D4082" t="s">
        <v>2147</v>
      </c>
      <c r="E4082" s="3" t="str">
        <f>IF(LEN(Base_Periodo1[[#This Row],[CLASS]])&gt;=7,LEFT(Base_Periodo1[[#This Row],[CLASS]],7),"")</f>
        <v>2.1.2.2</v>
      </c>
      <c r="F4082" s="3" t="str">
        <f>VLOOKUP(Base_Periodo1[[#This Row],[Aux]],Base_Contas_Balanco[#All],2,FALSE)</f>
        <v>Fornecedores Não Cooperados</v>
      </c>
      <c r="G4082" s="1"/>
      <c r="H4082" s="225">
        <v>1642077.2999999642</v>
      </c>
      <c r="I4082" s="225">
        <v>2649047.34</v>
      </c>
      <c r="J4082" s="225">
        <v>2672189.0700000003</v>
      </c>
      <c r="K4082" s="225">
        <v>1665219.0299999646</v>
      </c>
      <c r="L40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1665219.03</v>
      </c>
      <c r="M4082" s="225">
        <f>ROUND(IF(AND(Base_Periodo1[[#This Row],[Tipo_Linha]]="-",Base_Periodo1[[#This Row],[TIPOSALDO]]="D"),Base_Periodo1[[#This Row],[SALDO_ATUAL]]*-1,Base_Periodo1[[#This Row],[SALDO_ATUAL]]),4)</f>
        <v>1665219.03</v>
      </c>
      <c r="N4082" t="s">
        <v>396</v>
      </c>
      <c r="O4082" t="s">
        <v>459</v>
      </c>
      <c r="P4082" t="s">
        <v>459</v>
      </c>
      <c r="Q4082">
        <v>6</v>
      </c>
      <c r="R4082" s="225">
        <f>Base_Periodo1[[#This Row],[CREDITOS]]-Base_Periodo1[[#This Row],[DEBITOS]]</f>
        <v>23141.730000000447</v>
      </c>
      <c r="S4082" s="3" t="str">
        <f>IF(ISERROR(VLOOKUP(Base_Periodo1[[#This Row],[CONTA]],BaseContasDRE[#All],4,FALSE)),"Fora do DRE",VLOOKUP(Base_Periodo1[[#This Row],[CONTA]],BaseContasDRE[#All],4,FALSE))</f>
        <v>Fora do DRE</v>
      </c>
      <c r="T4082" s="3" t="str">
        <f>IF(ISERROR(VLOOKUP(Base_Periodo1[[#This Row],[CONTA]],BaseContasDRE[#All],5,FALSE)),"Fora do DRE",VLOOKUP(Base_Periodo1[[#This Row],[CONTA]],BaseContasDRE[#All],6,FALSE))</f>
        <v>Fora do DRE</v>
      </c>
      <c r="U4082" s="3" t="str">
        <f>IF(ISERROR(VLOOKUP(Base_Periodo1[[#This Row],[CONTA]],BaseContasDRE[#All],7,FALSE)),"Fora do DRE",VLOOKUP(Base_Periodo1[[#This Row],[CONTA]],BaseContasDRE[#All],7,FALSE))</f>
        <v>Fora do DRE</v>
      </c>
      <c r="V4082" s="3" t="str">
        <f>IF(Base_Periodo1[[#This Row],[Tipo_Linha]]="Fora do DRE","Fora do DRE","( "&amp;Base_Periodo1[[#This Row],[Tipo_Linha]]&amp;" ) "&amp;Base_Periodo1[[#This Row],[Filtro]])</f>
        <v>Fora do DRE</v>
      </c>
      <c r="W4082" s="3" t="str">
        <f>LEFT(Base_Periodo1[[#This Row],[CLASS]],3)</f>
        <v>2.1</v>
      </c>
    </row>
    <row r="4083" spans="1:23" hidden="1">
      <c r="A4083" s="3" t="str">
        <f t="shared" si="63"/>
        <v>Período 1</v>
      </c>
      <c r="B4083">
        <v>53274</v>
      </c>
      <c r="C4083" t="s">
        <v>2148</v>
      </c>
      <c r="D4083" t="s">
        <v>7165</v>
      </c>
      <c r="E4083" s="3" t="str">
        <f>IF(LEN(Base_Periodo1[[#This Row],[CLASS]])&gt;=7,LEFT(Base_Periodo1[[#This Row],[CLASS]],7),"")</f>
        <v>2.1.2.2</v>
      </c>
      <c r="F4083" s="3" t="str">
        <f>VLOOKUP(Base_Periodo1[[#This Row],[Aux]],Base_Contas_Balanco[#All],2,FALSE)</f>
        <v>Fornecedores Não Cooperados</v>
      </c>
      <c r="G4083" s="1">
        <v>42865</v>
      </c>
      <c r="I4083" s="225">
        <v>0</v>
      </c>
      <c r="J4083" s="225">
        <v>16800</v>
      </c>
      <c r="K4083" s="225">
        <v>16800</v>
      </c>
      <c r="L40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16800</v>
      </c>
      <c r="M4083" s="225">
        <f>ROUND(IF(AND(Base_Periodo1[[#This Row],[Tipo_Linha]]="-",Base_Periodo1[[#This Row],[TIPOSALDO]]="D"),Base_Periodo1[[#This Row],[SALDO_ATUAL]]*-1,Base_Periodo1[[#This Row],[SALDO_ATUAL]]),4)</f>
        <v>16800</v>
      </c>
      <c r="N4083" t="s">
        <v>116</v>
      </c>
      <c r="O4083" t="s">
        <v>436</v>
      </c>
      <c r="P4083" t="s">
        <v>459</v>
      </c>
      <c r="Q4083">
        <v>7</v>
      </c>
      <c r="R4083" s="225">
        <f>Base_Periodo1[[#This Row],[CREDITOS]]-Base_Periodo1[[#This Row],[DEBITOS]]</f>
        <v>16800</v>
      </c>
      <c r="S4083" s="3" t="str">
        <f>IF(ISERROR(VLOOKUP(Base_Periodo1[[#This Row],[CONTA]],BaseContasDRE[#All],4,FALSE)),"Fora do DRE",VLOOKUP(Base_Periodo1[[#This Row],[CONTA]],BaseContasDRE[#All],4,FALSE))</f>
        <v>Fora do DRE</v>
      </c>
      <c r="T4083" s="3" t="str">
        <f>IF(ISERROR(VLOOKUP(Base_Periodo1[[#This Row],[CONTA]],BaseContasDRE[#All],5,FALSE)),"Fora do DRE",VLOOKUP(Base_Periodo1[[#This Row],[CONTA]],BaseContasDRE[#All],6,FALSE))</f>
        <v>Fora do DRE</v>
      </c>
      <c r="U4083" s="3" t="str">
        <f>IF(ISERROR(VLOOKUP(Base_Periodo1[[#This Row],[CONTA]],BaseContasDRE[#All],7,FALSE)),"Fora do DRE",VLOOKUP(Base_Periodo1[[#This Row],[CONTA]],BaseContasDRE[#All],7,FALSE))</f>
        <v>Fora do DRE</v>
      </c>
      <c r="V4083" s="3" t="str">
        <f>IF(Base_Periodo1[[#This Row],[Tipo_Linha]]="Fora do DRE","Fora do DRE","( "&amp;Base_Periodo1[[#This Row],[Tipo_Linha]]&amp;" ) "&amp;Base_Periodo1[[#This Row],[Filtro]])</f>
        <v>Fora do DRE</v>
      </c>
      <c r="W4083" s="3" t="str">
        <f>LEFT(Base_Periodo1[[#This Row],[CLASS]],3)</f>
        <v>2.1</v>
      </c>
    </row>
    <row r="4084" spans="1:23" hidden="1">
      <c r="A4084" s="3" t="str">
        <f t="shared" si="63"/>
        <v>Período 1</v>
      </c>
      <c r="B4084">
        <v>29460</v>
      </c>
      <c r="C4084" t="s">
        <v>2148</v>
      </c>
      <c r="D4084" t="s">
        <v>6007</v>
      </c>
      <c r="E4084" s="3" t="str">
        <f>IF(LEN(Base_Periodo1[[#This Row],[CLASS]])&gt;=7,LEFT(Base_Periodo1[[#This Row],[CLASS]],7),"")</f>
        <v>2.1.2.2</v>
      </c>
      <c r="F4084" s="3" t="str">
        <f>VLOOKUP(Base_Periodo1[[#This Row],[Aux]],Base_Contas_Balanco[#All],2,FALSE)</f>
        <v>Fornecedores Não Cooperados</v>
      </c>
      <c r="G4084" s="1">
        <v>42884</v>
      </c>
      <c r="I4084" s="225">
        <v>90946.2</v>
      </c>
      <c r="J4084" s="225">
        <v>90946.2</v>
      </c>
      <c r="K4084" s="225">
        <v>7.4505805969238281E-9</v>
      </c>
      <c r="L40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84" s="225">
        <f>ROUND(IF(AND(Base_Periodo1[[#This Row],[Tipo_Linha]]="-",Base_Periodo1[[#This Row],[TIPOSALDO]]="D"),Base_Periodo1[[#This Row],[SALDO_ATUAL]]*-1,Base_Periodo1[[#This Row],[SALDO_ATUAL]]),4)</f>
        <v>0</v>
      </c>
      <c r="N4084" t="s">
        <v>116</v>
      </c>
      <c r="O4084" t="s">
        <v>436</v>
      </c>
      <c r="P4084" t="s">
        <v>436</v>
      </c>
      <c r="Q4084">
        <v>7</v>
      </c>
      <c r="R4084" s="225">
        <f>Base_Periodo1[[#This Row],[CREDITOS]]-Base_Periodo1[[#This Row],[DEBITOS]]</f>
        <v>0</v>
      </c>
      <c r="S4084" s="3" t="str">
        <f>IF(ISERROR(VLOOKUP(Base_Periodo1[[#This Row],[CONTA]],BaseContasDRE[#All],4,FALSE)),"Fora do DRE",VLOOKUP(Base_Periodo1[[#This Row],[CONTA]],BaseContasDRE[#All],4,FALSE))</f>
        <v>Fora do DRE</v>
      </c>
      <c r="T4084" s="3" t="str">
        <f>IF(ISERROR(VLOOKUP(Base_Periodo1[[#This Row],[CONTA]],BaseContasDRE[#All],5,FALSE)),"Fora do DRE",VLOOKUP(Base_Periodo1[[#This Row],[CONTA]],BaseContasDRE[#All],6,FALSE))</f>
        <v>Fora do DRE</v>
      </c>
      <c r="U4084" s="3" t="str">
        <f>IF(ISERROR(VLOOKUP(Base_Periodo1[[#This Row],[CONTA]],BaseContasDRE[#All],7,FALSE)),"Fora do DRE",VLOOKUP(Base_Periodo1[[#This Row],[CONTA]],BaseContasDRE[#All],7,FALSE))</f>
        <v>Fora do DRE</v>
      </c>
      <c r="V4084" s="3" t="str">
        <f>IF(Base_Periodo1[[#This Row],[Tipo_Linha]]="Fora do DRE","Fora do DRE","( "&amp;Base_Periodo1[[#This Row],[Tipo_Linha]]&amp;" ) "&amp;Base_Periodo1[[#This Row],[Filtro]])</f>
        <v>Fora do DRE</v>
      </c>
      <c r="W4084" s="3" t="str">
        <f>LEFT(Base_Periodo1[[#This Row],[CLASS]],3)</f>
        <v>2.1</v>
      </c>
    </row>
    <row r="4085" spans="1:23" hidden="1">
      <c r="A4085" s="3" t="str">
        <f t="shared" si="63"/>
        <v>Período 1</v>
      </c>
      <c r="B4085">
        <v>3702</v>
      </c>
      <c r="C4085" t="s">
        <v>2148</v>
      </c>
      <c r="D4085" t="s">
        <v>2149</v>
      </c>
      <c r="E4085" s="3" t="str">
        <f>IF(LEN(Base_Periodo1[[#This Row],[CLASS]])&gt;=7,LEFT(Base_Periodo1[[#This Row],[CLASS]],7),"")</f>
        <v>2.1.2.2</v>
      </c>
      <c r="F4085" s="3" t="str">
        <f>VLOOKUP(Base_Periodo1[[#This Row],[Aux]],Base_Contas_Balanco[#All],2,FALSE)</f>
        <v>Fornecedores Não Cooperados</v>
      </c>
      <c r="G4085" s="1">
        <v>40822</v>
      </c>
      <c r="H4085" s="225">
        <v>1800</v>
      </c>
      <c r="I4085" s="225">
        <v>0</v>
      </c>
      <c r="J4085" s="225">
        <v>0</v>
      </c>
      <c r="K4085" s="225">
        <v>1800</v>
      </c>
      <c r="L40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1800</v>
      </c>
      <c r="M4085" s="225">
        <f>ROUND(IF(AND(Base_Periodo1[[#This Row],[Tipo_Linha]]="-",Base_Periodo1[[#This Row],[TIPOSALDO]]="D"),Base_Periodo1[[#This Row],[SALDO_ATUAL]]*-1,Base_Periodo1[[#This Row],[SALDO_ATUAL]]),4)</f>
        <v>1800</v>
      </c>
      <c r="N4085" t="s">
        <v>116</v>
      </c>
      <c r="O4085" t="s">
        <v>459</v>
      </c>
      <c r="P4085" t="s">
        <v>459</v>
      </c>
      <c r="Q4085">
        <v>7</v>
      </c>
      <c r="R4085" s="225">
        <f>Base_Periodo1[[#This Row],[CREDITOS]]-Base_Periodo1[[#This Row],[DEBITOS]]</f>
        <v>0</v>
      </c>
      <c r="S4085" s="3" t="str">
        <f>IF(ISERROR(VLOOKUP(Base_Periodo1[[#This Row],[CONTA]],BaseContasDRE[#All],4,FALSE)),"Fora do DRE",VLOOKUP(Base_Periodo1[[#This Row],[CONTA]],BaseContasDRE[#All],4,FALSE))</f>
        <v>Fora do DRE</v>
      </c>
      <c r="T4085" s="3" t="str">
        <f>IF(ISERROR(VLOOKUP(Base_Periodo1[[#This Row],[CONTA]],BaseContasDRE[#All],5,FALSE)),"Fora do DRE",VLOOKUP(Base_Periodo1[[#This Row],[CONTA]],BaseContasDRE[#All],6,FALSE))</f>
        <v>Fora do DRE</v>
      </c>
      <c r="U4085" s="3" t="str">
        <f>IF(ISERROR(VLOOKUP(Base_Periodo1[[#This Row],[CONTA]],BaseContasDRE[#All],7,FALSE)),"Fora do DRE",VLOOKUP(Base_Periodo1[[#This Row],[CONTA]],BaseContasDRE[#All],7,FALSE))</f>
        <v>Fora do DRE</v>
      </c>
      <c r="V4085" s="3" t="str">
        <f>IF(Base_Periodo1[[#This Row],[Tipo_Linha]]="Fora do DRE","Fora do DRE","( "&amp;Base_Periodo1[[#This Row],[Tipo_Linha]]&amp;" ) "&amp;Base_Periodo1[[#This Row],[Filtro]])</f>
        <v>Fora do DRE</v>
      </c>
      <c r="W4085" s="3" t="str">
        <f>LEFT(Base_Periodo1[[#This Row],[CLASS]],3)</f>
        <v>2.1</v>
      </c>
    </row>
    <row r="4086" spans="1:23" hidden="1">
      <c r="A4086" s="3" t="str">
        <f t="shared" si="63"/>
        <v>Período 1</v>
      </c>
      <c r="B4086">
        <v>22687</v>
      </c>
      <c r="C4086" t="s">
        <v>2148</v>
      </c>
      <c r="D4086" t="s">
        <v>2150</v>
      </c>
      <c r="E4086" s="3" t="str">
        <f>IF(LEN(Base_Periodo1[[#This Row],[CLASS]])&gt;=7,LEFT(Base_Periodo1[[#This Row],[CLASS]],7),"")</f>
        <v>2.1.2.2</v>
      </c>
      <c r="F4086" s="3" t="str">
        <f>VLOOKUP(Base_Periodo1[[#This Row],[Aux]],Base_Contas_Balanco[#All],2,FALSE)</f>
        <v>Fornecedores Não Cooperados</v>
      </c>
      <c r="G4086" s="1">
        <v>41933</v>
      </c>
      <c r="H4086" s="225">
        <v>0.17000000001280569</v>
      </c>
      <c r="I4086" s="225">
        <v>0</v>
      </c>
      <c r="J4086" s="225">
        <v>0</v>
      </c>
      <c r="K4086" s="225">
        <v>0.17000000001280569</v>
      </c>
      <c r="L40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0.17</v>
      </c>
      <c r="M4086" s="225">
        <f>ROUND(IF(AND(Base_Periodo1[[#This Row],[Tipo_Linha]]="-",Base_Periodo1[[#This Row],[TIPOSALDO]]="D"),Base_Periodo1[[#This Row],[SALDO_ATUAL]]*-1,Base_Periodo1[[#This Row],[SALDO_ATUAL]]),4)</f>
        <v>0.17</v>
      </c>
      <c r="N4086" t="s">
        <v>116</v>
      </c>
      <c r="O4086" t="s">
        <v>459</v>
      </c>
      <c r="P4086" t="s">
        <v>459</v>
      </c>
      <c r="Q4086">
        <v>7</v>
      </c>
      <c r="R4086" s="225">
        <f>Base_Periodo1[[#This Row],[CREDITOS]]-Base_Periodo1[[#This Row],[DEBITOS]]</f>
        <v>0</v>
      </c>
      <c r="S4086" s="3" t="str">
        <f>IF(ISERROR(VLOOKUP(Base_Periodo1[[#This Row],[CONTA]],BaseContasDRE[#All],4,FALSE)),"Fora do DRE",VLOOKUP(Base_Periodo1[[#This Row],[CONTA]],BaseContasDRE[#All],4,FALSE))</f>
        <v>Fora do DRE</v>
      </c>
      <c r="T4086" s="3" t="str">
        <f>IF(ISERROR(VLOOKUP(Base_Periodo1[[#This Row],[CONTA]],BaseContasDRE[#All],5,FALSE)),"Fora do DRE",VLOOKUP(Base_Periodo1[[#This Row],[CONTA]],BaseContasDRE[#All],6,FALSE))</f>
        <v>Fora do DRE</v>
      </c>
      <c r="U4086" s="3" t="str">
        <f>IF(ISERROR(VLOOKUP(Base_Periodo1[[#This Row],[CONTA]],BaseContasDRE[#All],7,FALSE)),"Fora do DRE",VLOOKUP(Base_Periodo1[[#This Row],[CONTA]],BaseContasDRE[#All],7,FALSE))</f>
        <v>Fora do DRE</v>
      </c>
      <c r="V4086" s="3" t="str">
        <f>IF(Base_Periodo1[[#This Row],[Tipo_Linha]]="Fora do DRE","Fora do DRE","( "&amp;Base_Periodo1[[#This Row],[Tipo_Linha]]&amp;" ) "&amp;Base_Periodo1[[#This Row],[Filtro]])</f>
        <v>Fora do DRE</v>
      </c>
      <c r="W4086" s="3" t="str">
        <f>LEFT(Base_Periodo1[[#This Row],[CLASS]],3)</f>
        <v>2.1</v>
      </c>
    </row>
    <row r="4087" spans="1:23" hidden="1">
      <c r="A4087" s="3" t="str">
        <f t="shared" si="63"/>
        <v>Período 1</v>
      </c>
      <c r="B4087">
        <v>21992</v>
      </c>
      <c r="C4087" t="s">
        <v>2148</v>
      </c>
      <c r="D4087" t="s">
        <v>2151</v>
      </c>
      <c r="E4087" s="3" t="str">
        <f>IF(LEN(Base_Periodo1[[#This Row],[CLASS]])&gt;=7,LEFT(Base_Periodo1[[#This Row],[CLASS]],7),"")</f>
        <v>2.1.2.2</v>
      </c>
      <c r="F4087" s="3" t="str">
        <f>VLOOKUP(Base_Periodo1[[#This Row],[Aux]],Base_Contas_Balanco[#All],2,FALSE)</f>
        <v>Fornecedores Não Cooperados</v>
      </c>
      <c r="G4087" s="1">
        <v>42277</v>
      </c>
      <c r="H4087" s="225">
        <v>1.0000000000218279E-2</v>
      </c>
      <c r="I4087" s="225">
        <v>0</v>
      </c>
      <c r="J4087" s="225">
        <v>0</v>
      </c>
      <c r="K4087" s="225">
        <v>1.0000000000218279E-2</v>
      </c>
      <c r="L40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087" s="225">
        <f>ROUND(IF(AND(Base_Periodo1[[#This Row],[Tipo_Linha]]="-",Base_Periodo1[[#This Row],[TIPOSALDO]]="D"),Base_Periodo1[[#This Row],[SALDO_ATUAL]]*-1,Base_Periodo1[[#This Row],[SALDO_ATUAL]]),4)</f>
        <v>0.01</v>
      </c>
      <c r="N4087" t="s">
        <v>116</v>
      </c>
      <c r="O4087" t="s">
        <v>459</v>
      </c>
      <c r="P4087" t="s">
        <v>459</v>
      </c>
      <c r="Q4087">
        <v>7</v>
      </c>
      <c r="R4087" s="225">
        <f>Base_Periodo1[[#This Row],[CREDITOS]]-Base_Periodo1[[#This Row],[DEBITOS]]</f>
        <v>0</v>
      </c>
      <c r="S4087" s="3" t="str">
        <f>IF(ISERROR(VLOOKUP(Base_Periodo1[[#This Row],[CONTA]],BaseContasDRE[#All],4,FALSE)),"Fora do DRE",VLOOKUP(Base_Periodo1[[#This Row],[CONTA]],BaseContasDRE[#All],4,FALSE))</f>
        <v>Fora do DRE</v>
      </c>
      <c r="T4087" s="3" t="str">
        <f>IF(ISERROR(VLOOKUP(Base_Periodo1[[#This Row],[CONTA]],BaseContasDRE[#All],5,FALSE)),"Fora do DRE",VLOOKUP(Base_Periodo1[[#This Row],[CONTA]],BaseContasDRE[#All],6,FALSE))</f>
        <v>Fora do DRE</v>
      </c>
      <c r="U4087" s="3" t="str">
        <f>IF(ISERROR(VLOOKUP(Base_Periodo1[[#This Row],[CONTA]],BaseContasDRE[#All],7,FALSE)),"Fora do DRE",VLOOKUP(Base_Periodo1[[#This Row],[CONTA]],BaseContasDRE[#All],7,FALSE))</f>
        <v>Fora do DRE</v>
      </c>
      <c r="V4087" s="3" t="str">
        <f>IF(Base_Periodo1[[#This Row],[Tipo_Linha]]="Fora do DRE","Fora do DRE","( "&amp;Base_Periodo1[[#This Row],[Tipo_Linha]]&amp;" ) "&amp;Base_Periodo1[[#This Row],[Filtro]])</f>
        <v>Fora do DRE</v>
      </c>
      <c r="W4087" s="3" t="str">
        <f>LEFT(Base_Periodo1[[#This Row],[CLASS]],3)</f>
        <v>2.1</v>
      </c>
    </row>
    <row r="4088" spans="1:23" hidden="1">
      <c r="A4088" s="3" t="str">
        <f t="shared" si="63"/>
        <v>Período 1</v>
      </c>
      <c r="B4088">
        <v>20560</v>
      </c>
      <c r="C4088" t="s">
        <v>2148</v>
      </c>
      <c r="D4088" t="s">
        <v>4698</v>
      </c>
      <c r="E4088" s="3" t="str">
        <f>IF(LEN(Base_Periodo1[[#This Row],[CLASS]])&gt;=7,LEFT(Base_Periodo1[[#This Row],[CLASS]],7),"")</f>
        <v>2.1.2.2</v>
      </c>
      <c r="F4088" s="3" t="str">
        <f>VLOOKUP(Base_Periodo1[[#This Row],[Aux]],Base_Contas_Balanco[#All],2,FALSE)</f>
        <v>Fornecedores Não Cooperados</v>
      </c>
      <c r="G4088" s="1">
        <v>42690</v>
      </c>
      <c r="H4088" s="225">
        <v>390.93000000000029</v>
      </c>
      <c r="I4088" s="225">
        <v>0</v>
      </c>
      <c r="J4088" s="225">
        <v>0</v>
      </c>
      <c r="K4088" s="225">
        <v>390.93000000000029</v>
      </c>
      <c r="L40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390.93</v>
      </c>
      <c r="M4088" s="225">
        <f>ROUND(IF(AND(Base_Periodo1[[#This Row],[Tipo_Linha]]="-",Base_Periodo1[[#This Row],[TIPOSALDO]]="D"),Base_Periodo1[[#This Row],[SALDO_ATUAL]]*-1,Base_Periodo1[[#This Row],[SALDO_ATUAL]]),4)</f>
        <v>390.93</v>
      </c>
      <c r="N4088" t="s">
        <v>116</v>
      </c>
      <c r="O4088" t="s">
        <v>459</v>
      </c>
      <c r="P4088" t="s">
        <v>459</v>
      </c>
      <c r="Q4088">
        <v>7</v>
      </c>
      <c r="R4088" s="225">
        <f>Base_Periodo1[[#This Row],[CREDITOS]]-Base_Periodo1[[#This Row],[DEBITOS]]</f>
        <v>0</v>
      </c>
      <c r="S4088" s="3" t="str">
        <f>IF(ISERROR(VLOOKUP(Base_Periodo1[[#This Row],[CONTA]],BaseContasDRE[#All],4,FALSE)),"Fora do DRE",VLOOKUP(Base_Periodo1[[#This Row],[CONTA]],BaseContasDRE[#All],4,FALSE))</f>
        <v>Fora do DRE</v>
      </c>
      <c r="T4088" s="3" t="str">
        <f>IF(ISERROR(VLOOKUP(Base_Periodo1[[#This Row],[CONTA]],BaseContasDRE[#All],5,FALSE)),"Fora do DRE",VLOOKUP(Base_Periodo1[[#This Row],[CONTA]],BaseContasDRE[#All],6,FALSE))</f>
        <v>Fora do DRE</v>
      </c>
      <c r="U4088" s="3" t="str">
        <f>IF(ISERROR(VLOOKUP(Base_Periodo1[[#This Row],[CONTA]],BaseContasDRE[#All],7,FALSE)),"Fora do DRE",VLOOKUP(Base_Periodo1[[#This Row],[CONTA]],BaseContasDRE[#All],7,FALSE))</f>
        <v>Fora do DRE</v>
      </c>
      <c r="V4088" s="3" t="str">
        <f>IF(Base_Periodo1[[#This Row],[Tipo_Linha]]="Fora do DRE","Fora do DRE","( "&amp;Base_Periodo1[[#This Row],[Tipo_Linha]]&amp;" ) "&amp;Base_Periodo1[[#This Row],[Filtro]])</f>
        <v>Fora do DRE</v>
      </c>
      <c r="W4088" s="3" t="str">
        <f>LEFT(Base_Periodo1[[#This Row],[CLASS]],3)</f>
        <v>2.1</v>
      </c>
    </row>
    <row r="4089" spans="1:23" hidden="1">
      <c r="A4089" s="3" t="str">
        <f t="shared" si="63"/>
        <v>Período 1</v>
      </c>
      <c r="B4089">
        <v>20878</v>
      </c>
      <c r="C4089" t="s">
        <v>2148</v>
      </c>
      <c r="D4089" t="s">
        <v>2152</v>
      </c>
      <c r="E4089" s="3" t="str">
        <f>IF(LEN(Base_Periodo1[[#This Row],[CLASS]])&gt;=7,LEFT(Base_Periodo1[[#This Row],[CLASS]],7),"")</f>
        <v>2.1.2.2</v>
      </c>
      <c r="F4089" s="3" t="str">
        <f>VLOOKUP(Base_Periodo1[[#This Row],[Aux]],Base_Contas_Balanco[#All],2,FALSE)</f>
        <v>Fornecedores Não Cooperados</v>
      </c>
      <c r="G4089" s="1">
        <v>41122</v>
      </c>
      <c r="H4089" s="225">
        <v>4.9999999999272404E-2</v>
      </c>
      <c r="I4089" s="225">
        <v>0</v>
      </c>
      <c r="J4089" s="225">
        <v>0</v>
      </c>
      <c r="K4089" s="225">
        <v>4.9999999999272404E-2</v>
      </c>
      <c r="L40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0.05</v>
      </c>
      <c r="M4089" s="225">
        <f>ROUND(IF(AND(Base_Periodo1[[#This Row],[Tipo_Linha]]="-",Base_Periodo1[[#This Row],[TIPOSALDO]]="D"),Base_Periodo1[[#This Row],[SALDO_ATUAL]]*-1,Base_Periodo1[[#This Row],[SALDO_ATUAL]]),4)</f>
        <v>0.05</v>
      </c>
      <c r="N4089" t="s">
        <v>116</v>
      </c>
      <c r="O4089" t="s">
        <v>459</v>
      </c>
      <c r="P4089" t="s">
        <v>459</v>
      </c>
      <c r="Q4089">
        <v>7</v>
      </c>
      <c r="R4089" s="225">
        <f>Base_Periodo1[[#This Row],[CREDITOS]]-Base_Periodo1[[#This Row],[DEBITOS]]</f>
        <v>0</v>
      </c>
      <c r="S4089" s="3" t="str">
        <f>IF(ISERROR(VLOOKUP(Base_Periodo1[[#This Row],[CONTA]],BaseContasDRE[#All],4,FALSE)),"Fora do DRE",VLOOKUP(Base_Periodo1[[#This Row],[CONTA]],BaseContasDRE[#All],4,FALSE))</f>
        <v>Fora do DRE</v>
      </c>
      <c r="T4089" s="3" t="str">
        <f>IF(ISERROR(VLOOKUP(Base_Periodo1[[#This Row],[CONTA]],BaseContasDRE[#All],5,FALSE)),"Fora do DRE",VLOOKUP(Base_Periodo1[[#This Row],[CONTA]],BaseContasDRE[#All],6,FALSE))</f>
        <v>Fora do DRE</v>
      </c>
      <c r="U4089" s="3" t="str">
        <f>IF(ISERROR(VLOOKUP(Base_Periodo1[[#This Row],[CONTA]],BaseContasDRE[#All],7,FALSE)),"Fora do DRE",VLOOKUP(Base_Periodo1[[#This Row],[CONTA]],BaseContasDRE[#All],7,FALSE))</f>
        <v>Fora do DRE</v>
      </c>
      <c r="V4089" s="3" t="str">
        <f>IF(Base_Periodo1[[#This Row],[Tipo_Linha]]="Fora do DRE","Fora do DRE","( "&amp;Base_Periodo1[[#This Row],[Tipo_Linha]]&amp;" ) "&amp;Base_Periodo1[[#This Row],[Filtro]])</f>
        <v>Fora do DRE</v>
      </c>
      <c r="W4089" s="3" t="str">
        <f>LEFT(Base_Periodo1[[#This Row],[CLASS]],3)</f>
        <v>2.1</v>
      </c>
    </row>
    <row r="4090" spans="1:23" hidden="1">
      <c r="A4090" s="3" t="str">
        <f t="shared" si="63"/>
        <v>Período 1</v>
      </c>
      <c r="B4090">
        <v>29891</v>
      </c>
      <c r="C4090" t="s">
        <v>2148</v>
      </c>
      <c r="D4090" t="s">
        <v>5237</v>
      </c>
      <c r="E4090" s="3" t="str">
        <f>IF(LEN(Base_Periodo1[[#This Row],[CLASS]])&gt;=7,LEFT(Base_Periodo1[[#This Row],[CLASS]],7),"")</f>
        <v>2.1.2.2</v>
      </c>
      <c r="F4090" s="3" t="str">
        <f>VLOOKUP(Base_Periodo1[[#This Row],[Aux]],Base_Contas_Balanco[#All],2,FALSE)</f>
        <v>Fornecedores Não Cooperados</v>
      </c>
      <c r="G4090" s="1">
        <v>42852</v>
      </c>
      <c r="H4090" s="225">
        <v>99572</v>
      </c>
      <c r="I4090" s="225">
        <v>0</v>
      </c>
      <c r="J4090" s="225">
        <v>0</v>
      </c>
      <c r="K4090" s="225">
        <v>99572</v>
      </c>
      <c r="L40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99572</v>
      </c>
      <c r="M4090" s="225">
        <f>ROUND(IF(AND(Base_Periodo1[[#This Row],[Tipo_Linha]]="-",Base_Periodo1[[#This Row],[TIPOSALDO]]="D"),Base_Periodo1[[#This Row],[SALDO_ATUAL]]*-1,Base_Periodo1[[#This Row],[SALDO_ATUAL]]),4)</f>
        <v>99572</v>
      </c>
      <c r="N4090" t="s">
        <v>116</v>
      </c>
      <c r="O4090" t="s">
        <v>459</v>
      </c>
      <c r="P4090" t="s">
        <v>459</v>
      </c>
      <c r="Q4090">
        <v>7</v>
      </c>
      <c r="R4090" s="225">
        <f>Base_Periodo1[[#This Row],[CREDITOS]]-Base_Periodo1[[#This Row],[DEBITOS]]</f>
        <v>0</v>
      </c>
      <c r="S4090" s="3" t="str">
        <f>IF(ISERROR(VLOOKUP(Base_Periodo1[[#This Row],[CONTA]],BaseContasDRE[#All],4,FALSE)),"Fora do DRE",VLOOKUP(Base_Periodo1[[#This Row],[CONTA]],BaseContasDRE[#All],4,FALSE))</f>
        <v>Fora do DRE</v>
      </c>
      <c r="T4090" s="3" t="str">
        <f>IF(ISERROR(VLOOKUP(Base_Periodo1[[#This Row],[CONTA]],BaseContasDRE[#All],5,FALSE)),"Fora do DRE",VLOOKUP(Base_Periodo1[[#This Row],[CONTA]],BaseContasDRE[#All],6,FALSE))</f>
        <v>Fora do DRE</v>
      </c>
      <c r="U4090" s="3" t="str">
        <f>IF(ISERROR(VLOOKUP(Base_Periodo1[[#This Row],[CONTA]],BaseContasDRE[#All],7,FALSE)),"Fora do DRE",VLOOKUP(Base_Periodo1[[#This Row],[CONTA]],BaseContasDRE[#All],7,FALSE))</f>
        <v>Fora do DRE</v>
      </c>
      <c r="V4090" s="3" t="str">
        <f>IF(Base_Periodo1[[#This Row],[Tipo_Linha]]="Fora do DRE","Fora do DRE","( "&amp;Base_Periodo1[[#This Row],[Tipo_Linha]]&amp;" ) "&amp;Base_Periodo1[[#This Row],[Filtro]])</f>
        <v>Fora do DRE</v>
      </c>
      <c r="W4090" s="3" t="str">
        <f>LEFT(Base_Periodo1[[#This Row],[CLASS]],3)</f>
        <v>2.1</v>
      </c>
    </row>
    <row r="4091" spans="1:23" hidden="1">
      <c r="A4091" s="3" t="str">
        <f t="shared" si="63"/>
        <v>Período 1</v>
      </c>
      <c r="B4091">
        <v>58579</v>
      </c>
      <c r="C4091" t="s">
        <v>2148</v>
      </c>
      <c r="D4091" t="s">
        <v>6543</v>
      </c>
      <c r="E4091" s="3" t="str">
        <f>IF(LEN(Base_Periodo1[[#This Row],[CLASS]])&gt;=7,LEFT(Base_Periodo1[[#This Row],[CLASS]],7),"")</f>
        <v>2.1.2.2</v>
      </c>
      <c r="F4091" s="3" t="str">
        <f>VLOOKUP(Base_Periodo1[[#This Row],[Aux]],Base_Contas_Balanco[#All],2,FALSE)</f>
        <v>Fornecedores Não Cooperados</v>
      </c>
      <c r="G4091" s="1"/>
      <c r="H4091" s="225">
        <v>137200</v>
      </c>
      <c r="I4091" s="225">
        <v>0</v>
      </c>
      <c r="J4091" s="225">
        <v>7200</v>
      </c>
      <c r="K4091" s="225">
        <v>144400</v>
      </c>
      <c r="L40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144400</v>
      </c>
      <c r="M4091" s="225">
        <f>ROUND(IF(AND(Base_Periodo1[[#This Row],[Tipo_Linha]]="-",Base_Periodo1[[#This Row],[TIPOSALDO]]="D"),Base_Periodo1[[#This Row],[SALDO_ATUAL]]*-1,Base_Periodo1[[#This Row],[SALDO_ATUAL]]),4)</f>
        <v>144400</v>
      </c>
      <c r="N4091" t="s">
        <v>116</v>
      </c>
      <c r="O4091" t="s">
        <v>459</v>
      </c>
      <c r="P4091" t="s">
        <v>459</v>
      </c>
      <c r="Q4091">
        <v>7</v>
      </c>
      <c r="R4091" s="225">
        <f>Base_Periodo1[[#This Row],[CREDITOS]]-Base_Periodo1[[#This Row],[DEBITOS]]</f>
        <v>7200</v>
      </c>
      <c r="S4091" s="3" t="str">
        <f>IF(ISERROR(VLOOKUP(Base_Periodo1[[#This Row],[CONTA]],BaseContasDRE[#All],4,FALSE)),"Fora do DRE",VLOOKUP(Base_Periodo1[[#This Row],[CONTA]],BaseContasDRE[#All],4,FALSE))</f>
        <v>Fora do DRE</v>
      </c>
      <c r="T4091" s="3" t="str">
        <f>IF(ISERROR(VLOOKUP(Base_Periodo1[[#This Row],[CONTA]],BaseContasDRE[#All],5,FALSE)),"Fora do DRE",VLOOKUP(Base_Periodo1[[#This Row],[CONTA]],BaseContasDRE[#All],6,FALSE))</f>
        <v>Fora do DRE</v>
      </c>
      <c r="U4091" s="3" t="str">
        <f>IF(ISERROR(VLOOKUP(Base_Periodo1[[#This Row],[CONTA]],BaseContasDRE[#All],7,FALSE)),"Fora do DRE",VLOOKUP(Base_Periodo1[[#This Row],[CONTA]],BaseContasDRE[#All],7,FALSE))</f>
        <v>Fora do DRE</v>
      </c>
      <c r="V4091" s="3" t="str">
        <f>IF(Base_Periodo1[[#This Row],[Tipo_Linha]]="Fora do DRE","Fora do DRE","( "&amp;Base_Periodo1[[#This Row],[Tipo_Linha]]&amp;" ) "&amp;Base_Periodo1[[#This Row],[Filtro]])</f>
        <v>Fora do DRE</v>
      </c>
      <c r="W4091" s="3" t="str">
        <f>LEFT(Base_Periodo1[[#This Row],[CLASS]],3)</f>
        <v>2.1</v>
      </c>
    </row>
    <row r="4092" spans="1:23" hidden="1">
      <c r="A4092" s="3" t="str">
        <f t="shared" si="63"/>
        <v>Período 1</v>
      </c>
      <c r="B4092">
        <v>57780</v>
      </c>
      <c r="C4092" t="s">
        <v>2148</v>
      </c>
      <c r="D4092" t="s">
        <v>7166</v>
      </c>
      <c r="E4092" s="3" t="str">
        <f>IF(LEN(Base_Periodo1[[#This Row],[CLASS]])&gt;=7,LEFT(Base_Periodo1[[#This Row],[CLASS]],7),"")</f>
        <v>2.1.2.2</v>
      </c>
      <c r="F4092" s="3" t="str">
        <f>VLOOKUP(Base_Periodo1[[#This Row],[Aux]],Base_Contas_Balanco[#All],2,FALSE)</f>
        <v>Fornecedores Não Cooperados</v>
      </c>
      <c r="G4092" s="1"/>
      <c r="I4092" s="225">
        <v>0</v>
      </c>
      <c r="J4092" s="225">
        <v>30000</v>
      </c>
      <c r="K4092" s="225">
        <v>30000</v>
      </c>
      <c r="L40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30000</v>
      </c>
      <c r="M4092" s="225">
        <f>ROUND(IF(AND(Base_Periodo1[[#This Row],[Tipo_Linha]]="-",Base_Periodo1[[#This Row],[TIPOSALDO]]="D"),Base_Periodo1[[#This Row],[SALDO_ATUAL]]*-1,Base_Periodo1[[#This Row],[SALDO_ATUAL]]),4)</f>
        <v>30000</v>
      </c>
      <c r="N4092" t="s">
        <v>116</v>
      </c>
      <c r="O4092" t="s">
        <v>436</v>
      </c>
      <c r="P4092" t="s">
        <v>459</v>
      </c>
      <c r="Q4092">
        <v>7</v>
      </c>
      <c r="R4092" s="225">
        <f>Base_Periodo1[[#This Row],[CREDITOS]]-Base_Periodo1[[#This Row],[DEBITOS]]</f>
        <v>30000</v>
      </c>
      <c r="S4092" s="3" t="str">
        <f>IF(ISERROR(VLOOKUP(Base_Periodo1[[#This Row],[CONTA]],BaseContasDRE[#All],4,FALSE)),"Fora do DRE",VLOOKUP(Base_Periodo1[[#This Row],[CONTA]],BaseContasDRE[#All],4,FALSE))</f>
        <v>Fora do DRE</v>
      </c>
      <c r="T4092" s="3" t="str">
        <f>IF(ISERROR(VLOOKUP(Base_Periodo1[[#This Row],[CONTA]],BaseContasDRE[#All],5,FALSE)),"Fora do DRE",VLOOKUP(Base_Periodo1[[#This Row],[CONTA]],BaseContasDRE[#All],6,FALSE))</f>
        <v>Fora do DRE</v>
      </c>
      <c r="U4092" s="3" t="str">
        <f>IF(ISERROR(VLOOKUP(Base_Periodo1[[#This Row],[CONTA]],BaseContasDRE[#All],7,FALSE)),"Fora do DRE",VLOOKUP(Base_Periodo1[[#This Row],[CONTA]],BaseContasDRE[#All],7,FALSE))</f>
        <v>Fora do DRE</v>
      </c>
      <c r="V4092" s="3" t="str">
        <f>IF(Base_Periodo1[[#This Row],[Tipo_Linha]]="Fora do DRE","Fora do DRE","( "&amp;Base_Periodo1[[#This Row],[Tipo_Linha]]&amp;" ) "&amp;Base_Periodo1[[#This Row],[Filtro]])</f>
        <v>Fora do DRE</v>
      </c>
      <c r="W4092" s="3" t="str">
        <f>LEFT(Base_Periodo1[[#This Row],[CLASS]],3)</f>
        <v>2.1</v>
      </c>
    </row>
    <row r="4093" spans="1:23" hidden="1">
      <c r="A4093" s="3" t="str">
        <f t="shared" si="63"/>
        <v>Período 1</v>
      </c>
      <c r="B4093">
        <v>40897</v>
      </c>
      <c r="C4093" t="s">
        <v>2148</v>
      </c>
      <c r="D4093" t="s">
        <v>5419</v>
      </c>
      <c r="E4093" s="3" t="str">
        <f>IF(LEN(Base_Periodo1[[#This Row],[CLASS]])&gt;=7,LEFT(Base_Periodo1[[#This Row],[CLASS]],7),"")</f>
        <v>2.1.2.2</v>
      </c>
      <c r="F4093" s="3" t="str">
        <f>VLOOKUP(Base_Periodo1[[#This Row],[Aux]],Base_Contas_Balanco[#All],2,FALSE)</f>
        <v>Fornecedores Não Cooperados</v>
      </c>
      <c r="G4093" s="1">
        <v>42884</v>
      </c>
      <c r="I4093" s="225">
        <v>133570.45000000001</v>
      </c>
      <c r="J4093" s="225">
        <v>133571.29999999999</v>
      </c>
      <c r="K4093" s="225">
        <v>0.84999999997671694</v>
      </c>
      <c r="L40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0.85</v>
      </c>
      <c r="M4093" s="225">
        <f>ROUND(IF(AND(Base_Periodo1[[#This Row],[Tipo_Linha]]="-",Base_Periodo1[[#This Row],[TIPOSALDO]]="D"),Base_Periodo1[[#This Row],[SALDO_ATUAL]]*-1,Base_Periodo1[[#This Row],[SALDO_ATUAL]]),4)</f>
        <v>0.85</v>
      </c>
      <c r="N4093" t="s">
        <v>116</v>
      </c>
      <c r="O4093" t="s">
        <v>436</v>
      </c>
      <c r="P4093" t="s">
        <v>459</v>
      </c>
      <c r="Q4093">
        <v>7</v>
      </c>
      <c r="R4093" s="225">
        <f>Base_Periodo1[[#This Row],[CREDITOS]]-Base_Periodo1[[#This Row],[DEBITOS]]</f>
        <v>0.84999999997671694</v>
      </c>
      <c r="S4093" s="3" t="str">
        <f>IF(ISERROR(VLOOKUP(Base_Periodo1[[#This Row],[CONTA]],BaseContasDRE[#All],4,FALSE)),"Fora do DRE",VLOOKUP(Base_Periodo1[[#This Row],[CONTA]],BaseContasDRE[#All],4,FALSE))</f>
        <v>Fora do DRE</v>
      </c>
      <c r="T4093" s="3" t="str">
        <f>IF(ISERROR(VLOOKUP(Base_Periodo1[[#This Row],[CONTA]],BaseContasDRE[#All],5,FALSE)),"Fora do DRE",VLOOKUP(Base_Periodo1[[#This Row],[CONTA]],BaseContasDRE[#All],6,FALSE))</f>
        <v>Fora do DRE</v>
      </c>
      <c r="U4093" s="3" t="str">
        <f>IF(ISERROR(VLOOKUP(Base_Periodo1[[#This Row],[CONTA]],BaseContasDRE[#All],7,FALSE)),"Fora do DRE",VLOOKUP(Base_Periodo1[[#This Row],[CONTA]],BaseContasDRE[#All],7,FALSE))</f>
        <v>Fora do DRE</v>
      </c>
      <c r="V4093" s="3" t="str">
        <f>IF(Base_Periodo1[[#This Row],[Tipo_Linha]]="Fora do DRE","Fora do DRE","( "&amp;Base_Periodo1[[#This Row],[Tipo_Linha]]&amp;" ) "&amp;Base_Periodo1[[#This Row],[Filtro]])</f>
        <v>Fora do DRE</v>
      </c>
      <c r="W4093" s="3" t="str">
        <f>LEFT(Base_Periodo1[[#This Row],[CLASS]],3)</f>
        <v>2.1</v>
      </c>
    </row>
    <row r="4094" spans="1:23" hidden="1">
      <c r="A4094" s="3" t="str">
        <f t="shared" si="63"/>
        <v>Período 1</v>
      </c>
      <c r="B4094">
        <v>2458</v>
      </c>
      <c r="C4094" t="s">
        <v>2148</v>
      </c>
      <c r="D4094" t="s">
        <v>2153</v>
      </c>
      <c r="E4094" s="3" t="str">
        <f>IF(LEN(Base_Periodo1[[#This Row],[CLASS]])&gt;=7,LEFT(Base_Periodo1[[#This Row],[CLASS]],7),"")</f>
        <v>2.1.2.2</v>
      </c>
      <c r="F4094" s="3" t="str">
        <f>VLOOKUP(Base_Periodo1[[#This Row],[Aux]],Base_Contas_Balanco[#All],2,FALSE)</f>
        <v>Fornecedores Não Cooperados</v>
      </c>
      <c r="G4094" s="1">
        <v>41929</v>
      </c>
      <c r="H4094" s="225">
        <v>0.13999999998486601</v>
      </c>
      <c r="I4094" s="225">
        <v>0</v>
      </c>
      <c r="J4094" s="225">
        <v>0</v>
      </c>
      <c r="K4094" s="225">
        <v>0.13999999998486601</v>
      </c>
      <c r="L40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0.14000000000000001</v>
      </c>
      <c r="M4094" s="225">
        <f>ROUND(IF(AND(Base_Periodo1[[#This Row],[Tipo_Linha]]="-",Base_Periodo1[[#This Row],[TIPOSALDO]]="D"),Base_Periodo1[[#This Row],[SALDO_ATUAL]]*-1,Base_Periodo1[[#This Row],[SALDO_ATUAL]]),4)</f>
        <v>0.14000000000000001</v>
      </c>
      <c r="N4094" t="s">
        <v>116</v>
      </c>
      <c r="O4094" t="s">
        <v>459</v>
      </c>
      <c r="P4094" t="s">
        <v>459</v>
      </c>
      <c r="Q4094">
        <v>7</v>
      </c>
      <c r="R4094" s="225">
        <f>Base_Periodo1[[#This Row],[CREDITOS]]-Base_Periodo1[[#This Row],[DEBITOS]]</f>
        <v>0</v>
      </c>
      <c r="S4094" s="3" t="str">
        <f>IF(ISERROR(VLOOKUP(Base_Periodo1[[#This Row],[CONTA]],BaseContasDRE[#All],4,FALSE)),"Fora do DRE",VLOOKUP(Base_Periodo1[[#This Row],[CONTA]],BaseContasDRE[#All],4,FALSE))</f>
        <v>Fora do DRE</v>
      </c>
      <c r="T4094" s="3" t="str">
        <f>IF(ISERROR(VLOOKUP(Base_Periodo1[[#This Row],[CONTA]],BaseContasDRE[#All],5,FALSE)),"Fora do DRE",VLOOKUP(Base_Periodo1[[#This Row],[CONTA]],BaseContasDRE[#All],6,FALSE))</f>
        <v>Fora do DRE</v>
      </c>
      <c r="U4094" s="3" t="str">
        <f>IF(ISERROR(VLOOKUP(Base_Periodo1[[#This Row],[CONTA]],BaseContasDRE[#All],7,FALSE)),"Fora do DRE",VLOOKUP(Base_Periodo1[[#This Row],[CONTA]],BaseContasDRE[#All],7,FALSE))</f>
        <v>Fora do DRE</v>
      </c>
      <c r="V4094" s="3" t="str">
        <f>IF(Base_Periodo1[[#This Row],[Tipo_Linha]]="Fora do DRE","Fora do DRE","( "&amp;Base_Periodo1[[#This Row],[Tipo_Linha]]&amp;" ) "&amp;Base_Periodo1[[#This Row],[Filtro]])</f>
        <v>Fora do DRE</v>
      </c>
      <c r="W4094" s="3" t="str">
        <f>LEFT(Base_Periodo1[[#This Row],[CLASS]],3)</f>
        <v>2.1</v>
      </c>
    </row>
    <row r="4095" spans="1:23" hidden="1">
      <c r="A4095" s="3" t="str">
        <f t="shared" si="63"/>
        <v>Período 1</v>
      </c>
      <c r="B4095">
        <v>40861</v>
      </c>
      <c r="C4095" t="s">
        <v>2148</v>
      </c>
      <c r="D4095" t="s">
        <v>1757</v>
      </c>
      <c r="E4095" s="3" t="str">
        <f>IF(LEN(Base_Periodo1[[#This Row],[CLASS]])&gt;=7,LEFT(Base_Periodo1[[#This Row],[CLASS]],7),"")</f>
        <v>2.1.2.2</v>
      </c>
      <c r="F4095" s="3" t="str">
        <f>VLOOKUP(Base_Periodo1[[#This Row],[Aux]],Base_Contas_Balanco[#All],2,FALSE)</f>
        <v>Fornecedores Não Cooperados</v>
      </c>
      <c r="G4095" s="1">
        <v>42724</v>
      </c>
      <c r="H4095" s="225">
        <v>9.9999999999909051E-3</v>
      </c>
      <c r="I4095" s="225">
        <v>0</v>
      </c>
      <c r="J4095" s="225">
        <v>0</v>
      </c>
      <c r="K4095" s="225">
        <v>9.9999999999909051E-3</v>
      </c>
      <c r="L40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095" s="225">
        <f>ROUND(IF(AND(Base_Periodo1[[#This Row],[Tipo_Linha]]="-",Base_Periodo1[[#This Row],[TIPOSALDO]]="D"),Base_Periodo1[[#This Row],[SALDO_ATUAL]]*-1,Base_Periodo1[[#This Row],[SALDO_ATUAL]]),4)</f>
        <v>0.01</v>
      </c>
      <c r="N4095" t="s">
        <v>116</v>
      </c>
      <c r="O4095" t="s">
        <v>459</v>
      </c>
      <c r="P4095" t="s">
        <v>459</v>
      </c>
      <c r="Q4095">
        <v>7</v>
      </c>
      <c r="R4095" s="225">
        <f>Base_Periodo1[[#This Row],[CREDITOS]]-Base_Periodo1[[#This Row],[DEBITOS]]</f>
        <v>0</v>
      </c>
      <c r="S4095" s="3" t="str">
        <f>IF(ISERROR(VLOOKUP(Base_Periodo1[[#This Row],[CONTA]],BaseContasDRE[#All],4,FALSE)),"Fora do DRE",VLOOKUP(Base_Periodo1[[#This Row],[CONTA]],BaseContasDRE[#All],4,FALSE))</f>
        <v>Fora do DRE</v>
      </c>
      <c r="T4095" s="3" t="str">
        <f>IF(ISERROR(VLOOKUP(Base_Periodo1[[#This Row],[CONTA]],BaseContasDRE[#All],5,FALSE)),"Fora do DRE",VLOOKUP(Base_Periodo1[[#This Row],[CONTA]],BaseContasDRE[#All],6,FALSE))</f>
        <v>Fora do DRE</v>
      </c>
      <c r="U4095" s="3" t="str">
        <f>IF(ISERROR(VLOOKUP(Base_Periodo1[[#This Row],[CONTA]],BaseContasDRE[#All],7,FALSE)),"Fora do DRE",VLOOKUP(Base_Periodo1[[#This Row],[CONTA]],BaseContasDRE[#All],7,FALSE))</f>
        <v>Fora do DRE</v>
      </c>
      <c r="V4095" s="3" t="str">
        <f>IF(Base_Periodo1[[#This Row],[Tipo_Linha]]="Fora do DRE","Fora do DRE","( "&amp;Base_Periodo1[[#This Row],[Tipo_Linha]]&amp;" ) "&amp;Base_Periodo1[[#This Row],[Filtro]])</f>
        <v>Fora do DRE</v>
      </c>
      <c r="W4095" s="3" t="str">
        <f>LEFT(Base_Periodo1[[#This Row],[CLASS]],3)</f>
        <v>2.1</v>
      </c>
    </row>
    <row r="4096" spans="1:23" hidden="1">
      <c r="A4096" s="3" t="str">
        <f t="shared" si="63"/>
        <v>Período 1</v>
      </c>
      <c r="B4096">
        <v>39837</v>
      </c>
      <c r="C4096" t="s">
        <v>2148</v>
      </c>
      <c r="D4096" t="s">
        <v>7167</v>
      </c>
      <c r="E4096" s="3" t="str">
        <f>IF(LEN(Base_Periodo1[[#This Row],[CLASS]])&gt;=7,LEFT(Base_Periodo1[[#This Row],[CLASS]],7),"")</f>
        <v>2.1.2.2</v>
      </c>
      <c r="F4096" s="3" t="str">
        <f>VLOOKUP(Base_Periodo1[[#This Row],[Aux]],Base_Contas_Balanco[#All],2,FALSE)</f>
        <v>Fornecedores Não Cooperados</v>
      </c>
      <c r="G4096" s="1">
        <v>42864</v>
      </c>
      <c r="I4096" s="225">
        <v>2780</v>
      </c>
      <c r="J4096" s="225">
        <v>2780</v>
      </c>
      <c r="K4096" s="225">
        <v>0</v>
      </c>
      <c r="L40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96" s="225">
        <f>ROUND(IF(AND(Base_Periodo1[[#This Row],[Tipo_Linha]]="-",Base_Periodo1[[#This Row],[TIPOSALDO]]="D"),Base_Periodo1[[#This Row],[SALDO_ATUAL]]*-1,Base_Periodo1[[#This Row],[SALDO_ATUAL]]),4)</f>
        <v>0</v>
      </c>
      <c r="N4096" t="s">
        <v>116</v>
      </c>
      <c r="O4096" t="s">
        <v>436</v>
      </c>
      <c r="P4096" t="s">
        <v>436</v>
      </c>
      <c r="Q4096">
        <v>7</v>
      </c>
      <c r="R4096" s="225">
        <f>Base_Periodo1[[#This Row],[CREDITOS]]-Base_Periodo1[[#This Row],[DEBITOS]]</f>
        <v>0</v>
      </c>
      <c r="S4096" s="3" t="str">
        <f>IF(ISERROR(VLOOKUP(Base_Periodo1[[#This Row],[CONTA]],BaseContasDRE[#All],4,FALSE)),"Fora do DRE",VLOOKUP(Base_Periodo1[[#This Row],[CONTA]],BaseContasDRE[#All],4,FALSE))</f>
        <v>Fora do DRE</v>
      </c>
      <c r="T4096" s="3" t="str">
        <f>IF(ISERROR(VLOOKUP(Base_Periodo1[[#This Row],[CONTA]],BaseContasDRE[#All],5,FALSE)),"Fora do DRE",VLOOKUP(Base_Periodo1[[#This Row],[CONTA]],BaseContasDRE[#All],6,FALSE))</f>
        <v>Fora do DRE</v>
      </c>
      <c r="U4096" s="3" t="str">
        <f>IF(ISERROR(VLOOKUP(Base_Periodo1[[#This Row],[CONTA]],BaseContasDRE[#All],7,FALSE)),"Fora do DRE",VLOOKUP(Base_Periodo1[[#This Row],[CONTA]],BaseContasDRE[#All],7,FALSE))</f>
        <v>Fora do DRE</v>
      </c>
      <c r="V4096" s="3" t="str">
        <f>IF(Base_Periodo1[[#This Row],[Tipo_Linha]]="Fora do DRE","Fora do DRE","( "&amp;Base_Periodo1[[#This Row],[Tipo_Linha]]&amp;" ) "&amp;Base_Periodo1[[#This Row],[Filtro]])</f>
        <v>Fora do DRE</v>
      </c>
      <c r="W4096" s="3" t="str">
        <f>LEFT(Base_Periodo1[[#This Row],[CLASS]],3)</f>
        <v>2.1</v>
      </c>
    </row>
    <row r="4097" spans="1:23" hidden="1">
      <c r="A4097" s="3" t="str">
        <f t="shared" si="63"/>
        <v>Período 1</v>
      </c>
      <c r="B4097">
        <v>44949</v>
      </c>
      <c r="C4097" t="s">
        <v>2148</v>
      </c>
      <c r="D4097" t="s">
        <v>4603</v>
      </c>
      <c r="E4097" s="3" t="str">
        <f>IF(LEN(Base_Periodo1[[#This Row],[CLASS]])&gt;=7,LEFT(Base_Periodo1[[#This Row],[CLASS]],7),"")</f>
        <v>2.1.2.2</v>
      </c>
      <c r="F4097" s="3" t="str">
        <f>VLOOKUP(Base_Periodo1[[#This Row],[Aux]],Base_Contas_Balanco[#All],2,FALSE)</f>
        <v>Fornecedores Não Cooperados</v>
      </c>
      <c r="G4097" s="1">
        <v>42641</v>
      </c>
      <c r="H4097" s="225">
        <v>125.5</v>
      </c>
      <c r="I4097" s="225">
        <v>0</v>
      </c>
      <c r="J4097" s="225">
        <v>0</v>
      </c>
      <c r="K4097" s="225">
        <v>125.5</v>
      </c>
      <c r="L40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125.5</v>
      </c>
      <c r="M4097" s="225">
        <f>ROUND(IF(AND(Base_Periodo1[[#This Row],[Tipo_Linha]]="-",Base_Periodo1[[#This Row],[TIPOSALDO]]="D"),Base_Periodo1[[#This Row],[SALDO_ATUAL]]*-1,Base_Periodo1[[#This Row],[SALDO_ATUAL]]),4)</f>
        <v>125.5</v>
      </c>
      <c r="N4097" t="s">
        <v>116</v>
      </c>
      <c r="O4097" t="s">
        <v>459</v>
      </c>
      <c r="P4097" t="s">
        <v>459</v>
      </c>
      <c r="Q4097">
        <v>7</v>
      </c>
      <c r="R4097" s="225">
        <f>Base_Periodo1[[#This Row],[CREDITOS]]-Base_Periodo1[[#This Row],[DEBITOS]]</f>
        <v>0</v>
      </c>
      <c r="S4097" s="3" t="str">
        <f>IF(ISERROR(VLOOKUP(Base_Periodo1[[#This Row],[CONTA]],BaseContasDRE[#All],4,FALSE)),"Fora do DRE",VLOOKUP(Base_Periodo1[[#This Row],[CONTA]],BaseContasDRE[#All],4,FALSE))</f>
        <v>Fora do DRE</v>
      </c>
      <c r="T4097" s="3" t="str">
        <f>IF(ISERROR(VLOOKUP(Base_Periodo1[[#This Row],[CONTA]],BaseContasDRE[#All],5,FALSE)),"Fora do DRE",VLOOKUP(Base_Periodo1[[#This Row],[CONTA]],BaseContasDRE[#All],6,FALSE))</f>
        <v>Fora do DRE</v>
      </c>
      <c r="U4097" s="3" t="str">
        <f>IF(ISERROR(VLOOKUP(Base_Periodo1[[#This Row],[CONTA]],BaseContasDRE[#All],7,FALSE)),"Fora do DRE",VLOOKUP(Base_Periodo1[[#This Row],[CONTA]],BaseContasDRE[#All],7,FALSE))</f>
        <v>Fora do DRE</v>
      </c>
      <c r="V4097" s="3" t="str">
        <f>IF(Base_Periodo1[[#This Row],[Tipo_Linha]]="Fora do DRE","Fora do DRE","( "&amp;Base_Periodo1[[#This Row],[Tipo_Linha]]&amp;" ) "&amp;Base_Periodo1[[#This Row],[Filtro]])</f>
        <v>Fora do DRE</v>
      </c>
      <c r="W4097" s="3" t="str">
        <f>LEFT(Base_Periodo1[[#This Row],[CLASS]],3)</f>
        <v>2.1</v>
      </c>
    </row>
    <row r="4098" spans="1:23" hidden="1">
      <c r="A4098" s="3" t="str">
        <f t="shared" si="63"/>
        <v>Período 1</v>
      </c>
      <c r="B4098">
        <v>58800</v>
      </c>
      <c r="C4098" t="s">
        <v>2148</v>
      </c>
      <c r="D4098" t="s">
        <v>7168</v>
      </c>
      <c r="E4098" s="3" t="str">
        <f>IF(LEN(Base_Periodo1[[#This Row],[CLASS]])&gt;=7,LEFT(Base_Periodo1[[#This Row],[CLASS]],7),"")</f>
        <v>2.1.2.2</v>
      </c>
      <c r="F4098" s="3" t="str">
        <f>VLOOKUP(Base_Periodo1[[#This Row],[Aux]],Base_Contas_Balanco[#All],2,FALSE)</f>
        <v>Fornecedores Não Cooperados</v>
      </c>
      <c r="G4098" s="1">
        <v>42882</v>
      </c>
      <c r="I4098" s="225">
        <v>1300000</v>
      </c>
      <c r="J4098" s="225">
        <v>1300000</v>
      </c>
      <c r="K4098" s="225">
        <v>0</v>
      </c>
      <c r="L40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098" s="225">
        <f>ROUND(IF(AND(Base_Periodo1[[#This Row],[Tipo_Linha]]="-",Base_Periodo1[[#This Row],[TIPOSALDO]]="D"),Base_Periodo1[[#This Row],[SALDO_ATUAL]]*-1,Base_Periodo1[[#This Row],[SALDO_ATUAL]]),4)</f>
        <v>0</v>
      </c>
      <c r="N4098" t="s">
        <v>116</v>
      </c>
      <c r="O4098" t="s">
        <v>436</v>
      </c>
      <c r="P4098" t="s">
        <v>436</v>
      </c>
      <c r="Q4098">
        <v>7</v>
      </c>
      <c r="R4098" s="225">
        <f>Base_Periodo1[[#This Row],[CREDITOS]]-Base_Periodo1[[#This Row],[DEBITOS]]</f>
        <v>0</v>
      </c>
      <c r="S4098" s="3" t="str">
        <f>IF(ISERROR(VLOOKUP(Base_Periodo1[[#This Row],[CONTA]],BaseContasDRE[#All],4,FALSE)),"Fora do DRE",VLOOKUP(Base_Periodo1[[#This Row],[CONTA]],BaseContasDRE[#All],4,FALSE))</f>
        <v>Fora do DRE</v>
      </c>
      <c r="T4098" s="3" t="str">
        <f>IF(ISERROR(VLOOKUP(Base_Periodo1[[#This Row],[CONTA]],BaseContasDRE[#All],5,FALSE)),"Fora do DRE",VLOOKUP(Base_Periodo1[[#This Row],[CONTA]],BaseContasDRE[#All],6,FALSE))</f>
        <v>Fora do DRE</v>
      </c>
      <c r="U4098" s="3" t="str">
        <f>IF(ISERROR(VLOOKUP(Base_Periodo1[[#This Row],[CONTA]],BaseContasDRE[#All],7,FALSE)),"Fora do DRE",VLOOKUP(Base_Periodo1[[#This Row],[CONTA]],BaseContasDRE[#All],7,FALSE))</f>
        <v>Fora do DRE</v>
      </c>
      <c r="V4098" s="3" t="str">
        <f>IF(Base_Periodo1[[#This Row],[Tipo_Linha]]="Fora do DRE","Fora do DRE","( "&amp;Base_Periodo1[[#This Row],[Tipo_Linha]]&amp;" ) "&amp;Base_Periodo1[[#This Row],[Filtro]])</f>
        <v>Fora do DRE</v>
      </c>
      <c r="W4098" s="3" t="str">
        <f>LEFT(Base_Periodo1[[#This Row],[CLASS]],3)</f>
        <v>2.1</v>
      </c>
    </row>
    <row r="4099" spans="1:23" hidden="1">
      <c r="A4099" s="3" t="str">
        <f t="shared" si="63"/>
        <v>Período 1</v>
      </c>
      <c r="B4099">
        <v>55524</v>
      </c>
      <c r="C4099" t="s">
        <v>2148</v>
      </c>
      <c r="D4099" t="s">
        <v>7169</v>
      </c>
      <c r="E4099" s="3" t="str">
        <f>IF(LEN(Base_Periodo1[[#This Row],[CLASS]])&gt;=7,LEFT(Base_Periodo1[[#This Row],[CLASS]],7),"")</f>
        <v>2.1.2.2</v>
      </c>
      <c r="F4099" s="3" t="str">
        <f>VLOOKUP(Base_Periodo1[[#This Row],[Aux]],Base_Contas_Balanco[#All],2,FALSE)</f>
        <v>Fornecedores Não Cooperados</v>
      </c>
      <c r="G4099" s="1">
        <v>42859</v>
      </c>
      <c r="I4099" s="225">
        <v>0</v>
      </c>
      <c r="J4099" s="225">
        <v>18498.939999999999</v>
      </c>
      <c r="K4099" s="225">
        <v>18498.939999999999</v>
      </c>
      <c r="L40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18498.939999999999</v>
      </c>
      <c r="M4099" s="225">
        <f>ROUND(IF(AND(Base_Periodo1[[#This Row],[Tipo_Linha]]="-",Base_Periodo1[[#This Row],[TIPOSALDO]]="D"),Base_Periodo1[[#This Row],[SALDO_ATUAL]]*-1,Base_Periodo1[[#This Row],[SALDO_ATUAL]]),4)</f>
        <v>18498.939999999999</v>
      </c>
      <c r="N4099" t="s">
        <v>116</v>
      </c>
      <c r="O4099" t="s">
        <v>436</v>
      </c>
      <c r="P4099" t="s">
        <v>459</v>
      </c>
      <c r="Q4099">
        <v>7</v>
      </c>
      <c r="R4099" s="225">
        <f>Base_Periodo1[[#This Row],[CREDITOS]]-Base_Periodo1[[#This Row],[DEBITOS]]</f>
        <v>18498.939999999999</v>
      </c>
      <c r="S4099" s="3" t="str">
        <f>IF(ISERROR(VLOOKUP(Base_Periodo1[[#This Row],[CONTA]],BaseContasDRE[#All],4,FALSE)),"Fora do DRE",VLOOKUP(Base_Periodo1[[#This Row],[CONTA]],BaseContasDRE[#All],4,FALSE))</f>
        <v>Fora do DRE</v>
      </c>
      <c r="T4099" s="3" t="str">
        <f>IF(ISERROR(VLOOKUP(Base_Periodo1[[#This Row],[CONTA]],BaseContasDRE[#All],5,FALSE)),"Fora do DRE",VLOOKUP(Base_Periodo1[[#This Row],[CONTA]],BaseContasDRE[#All],6,FALSE))</f>
        <v>Fora do DRE</v>
      </c>
      <c r="U4099" s="3" t="str">
        <f>IF(ISERROR(VLOOKUP(Base_Periodo1[[#This Row],[CONTA]],BaseContasDRE[#All],7,FALSE)),"Fora do DRE",VLOOKUP(Base_Periodo1[[#This Row],[CONTA]],BaseContasDRE[#All],7,FALSE))</f>
        <v>Fora do DRE</v>
      </c>
      <c r="V4099" s="3" t="str">
        <f>IF(Base_Periodo1[[#This Row],[Tipo_Linha]]="Fora do DRE","Fora do DRE","( "&amp;Base_Periodo1[[#This Row],[Tipo_Linha]]&amp;" ) "&amp;Base_Periodo1[[#This Row],[Filtro]])</f>
        <v>Fora do DRE</v>
      </c>
      <c r="W4099" s="3" t="str">
        <f>LEFT(Base_Periodo1[[#This Row],[CLASS]],3)</f>
        <v>2.1</v>
      </c>
    </row>
    <row r="4100" spans="1:23" hidden="1">
      <c r="A4100" s="3" t="str">
        <f t="shared" si="63"/>
        <v>Período 1</v>
      </c>
      <c r="B4100">
        <v>14663</v>
      </c>
      <c r="C4100" t="s">
        <v>2148</v>
      </c>
      <c r="D4100" t="s">
        <v>2154</v>
      </c>
      <c r="E4100" s="3" t="str">
        <f>IF(LEN(Base_Periodo1[[#This Row],[CLASS]])&gt;=7,LEFT(Base_Periodo1[[#This Row],[CLASS]],7),"")</f>
        <v>2.1.2.2</v>
      </c>
      <c r="F4100" s="3" t="str">
        <f>VLOOKUP(Base_Periodo1[[#This Row],[Aux]],Base_Contas_Balanco[#All],2,FALSE)</f>
        <v>Fornecedores Não Cooperados</v>
      </c>
      <c r="G4100" s="1"/>
      <c r="H4100" s="225">
        <v>1020</v>
      </c>
      <c r="I4100" s="225">
        <v>0</v>
      </c>
      <c r="J4100" s="225">
        <v>0</v>
      </c>
      <c r="K4100" s="225">
        <v>1020</v>
      </c>
      <c r="L41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1020</v>
      </c>
      <c r="M4100" s="225">
        <f>ROUND(IF(AND(Base_Periodo1[[#This Row],[Tipo_Linha]]="-",Base_Periodo1[[#This Row],[TIPOSALDO]]="D"),Base_Periodo1[[#This Row],[SALDO_ATUAL]]*-1,Base_Periodo1[[#This Row],[SALDO_ATUAL]]),4)</f>
        <v>1020</v>
      </c>
      <c r="N4100" t="s">
        <v>116</v>
      </c>
      <c r="O4100" t="s">
        <v>459</v>
      </c>
      <c r="P4100" t="s">
        <v>459</v>
      </c>
      <c r="Q4100">
        <v>7</v>
      </c>
      <c r="R4100" s="225">
        <f>Base_Periodo1[[#This Row],[CREDITOS]]-Base_Periodo1[[#This Row],[DEBITOS]]</f>
        <v>0</v>
      </c>
      <c r="S4100" s="3" t="str">
        <f>IF(ISERROR(VLOOKUP(Base_Periodo1[[#This Row],[CONTA]],BaseContasDRE[#All],4,FALSE)),"Fora do DRE",VLOOKUP(Base_Periodo1[[#This Row],[CONTA]],BaseContasDRE[#All],4,FALSE))</f>
        <v>Fora do DRE</v>
      </c>
      <c r="T4100" s="3" t="str">
        <f>IF(ISERROR(VLOOKUP(Base_Periodo1[[#This Row],[CONTA]],BaseContasDRE[#All],5,FALSE)),"Fora do DRE",VLOOKUP(Base_Periodo1[[#This Row],[CONTA]],BaseContasDRE[#All],6,FALSE))</f>
        <v>Fora do DRE</v>
      </c>
      <c r="U4100" s="3" t="str">
        <f>IF(ISERROR(VLOOKUP(Base_Periodo1[[#This Row],[CONTA]],BaseContasDRE[#All],7,FALSE)),"Fora do DRE",VLOOKUP(Base_Periodo1[[#This Row],[CONTA]],BaseContasDRE[#All],7,FALSE))</f>
        <v>Fora do DRE</v>
      </c>
      <c r="V4100" s="3" t="str">
        <f>IF(Base_Periodo1[[#This Row],[Tipo_Linha]]="Fora do DRE","Fora do DRE","( "&amp;Base_Periodo1[[#This Row],[Tipo_Linha]]&amp;" ) "&amp;Base_Periodo1[[#This Row],[Filtro]])</f>
        <v>Fora do DRE</v>
      </c>
      <c r="W4100" s="3" t="str">
        <f>LEFT(Base_Periodo1[[#This Row],[CLASS]],3)</f>
        <v>2.1</v>
      </c>
    </row>
    <row r="4101" spans="1:23" hidden="1">
      <c r="A4101" s="3" t="str">
        <f t="shared" si="63"/>
        <v>Período 1</v>
      </c>
      <c r="B4101">
        <v>40121</v>
      </c>
      <c r="C4101" t="s">
        <v>2148</v>
      </c>
      <c r="D4101" t="s">
        <v>5534</v>
      </c>
      <c r="E4101" s="3" t="str">
        <f>IF(LEN(Base_Periodo1[[#This Row],[CLASS]])&gt;=7,LEFT(Base_Periodo1[[#This Row],[CLASS]],7),"")</f>
        <v>2.1.2.2</v>
      </c>
      <c r="F4101" s="3" t="str">
        <f>VLOOKUP(Base_Periodo1[[#This Row],[Aux]],Base_Contas_Balanco[#All],2,FALSE)</f>
        <v>Fornecedores Não Cooperados</v>
      </c>
      <c r="G4101" s="1">
        <v>42710</v>
      </c>
      <c r="H4101" s="225">
        <v>4693</v>
      </c>
      <c r="I4101" s="225">
        <v>0</v>
      </c>
      <c r="J4101" s="225">
        <v>0</v>
      </c>
      <c r="K4101" s="225">
        <v>4693</v>
      </c>
      <c r="L41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4693</v>
      </c>
      <c r="M4101" s="225">
        <f>ROUND(IF(AND(Base_Periodo1[[#This Row],[Tipo_Linha]]="-",Base_Periodo1[[#This Row],[TIPOSALDO]]="D"),Base_Periodo1[[#This Row],[SALDO_ATUAL]]*-1,Base_Periodo1[[#This Row],[SALDO_ATUAL]]),4)</f>
        <v>4693</v>
      </c>
      <c r="N4101" t="s">
        <v>116</v>
      </c>
      <c r="O4101" t="s">
        <v>459</v>
      </c>
      <c r="P4101" t="s">
        <v>459</v>
      </c>
      <c r="Q4101">
        <v>7</v>
      </c>
      <c r="R4101" s="225">
        <f>Base_Periodo1[[#This Row],[CREDITOS]]-Base_Periodo1[[#This Row],[DEBITOS]]</f>
        <v>0</v>
      </c>
      <c r="S4101" s="3" t="str">
        <f>IF(ISERROR(VLOOKUP(Base_Periodo1[[#This Row],[CONTA]],BaseContasDRE[#All],4,FALSE)),"Fora do DRE",VLOOKUP(Base_Periodo1[[#This Row],[CONTA]],BaseContasDRE[#All],4,FALSE))</f>
        <v>Fora do DRE</v>
      </c>
      <c r="T4101" s="3" t="str">
        <f>IF(ISERROR(VLOOKUP(Base_Periodo1[[#This Row],[CONTA]],BaseContasDRE[#All],5,FALSE)),"Fora do DRE",VLOOKUP(Base_Periodo1[[#This Row],[CONTA]],BaseContasDRE[#All],6,FALSE))</f>
        <v>Fora do DRE</v>
      </c>
      <c r="U4101" s="3" t="str">
        <f>IF(ISERROR(VLOOKUP(Base_Periodo1[[#This Row],[CONTA]],BaseContasDRE[#All],7,FALSE)),"Fora do DRE",VLOOKUP(Base_Periodo1[[#This Row],[CONTA]],BaseContasDRE[#All],7,FALSE))</f>
        <v>Fora do DRE</v>
      </c>
      <c r="V4101" s="3" t="str">
        <f>IF(Base_Periodo1[[#This Row],[Tipo_Linha]]="Fora do DRE","Fora do DRE","( "&amp;Base_Periodo1[[#This Row],[Tipo_Linha]]&amp;" ) "&amp;Base_Periodo1[[#This Row],[Filtro]])</f>
        <v>Fora do DRE</v>
      </c>
      <c r="W4101" s="3" t="str">
        <f>LEFT(Base_Periodo1[[#This Row],[CLASS]],3)</f>
        <v>2.1</v>
      </c>
    </row>
    <row r="4102" spans="1:23" hidden="1">
      <c r="A4102" s="3" t="str">
        <f t="shared" ref="A4102:A4165" si="64">"Período 1"</f>
        <v>Período 1</v>
      </c>
      <c r="B4102">
        <v>29121</v>
      </c>
      <c r="C4102" t="s">
        <v>2148</v>
      </c>
      <c r="D4102" t="s">
        <v>2155</v>
      </c>
      <c r="E4102" s="3" t="str">
        <f>IF(LEN(Base_Periodo1[[#This Row],[CLASS]])&gt;=7,LEFT(Base_Periodo1[[#This Row],[CLASS]],7),"")</f>
        <v>2.1.2.2</v>
      </c>
      <c r="F4102" s="3" t="str">
        <f>VLOOKUP(Base_Periodo1[[#This Row],[Aux]],Base_Contas_Balanco[#All],2,FALSE)</f>
        <v>Fornecedores Não Cooperados</v>
      </c>
      <c r="G4102" s="1">
        <v>42306</v>
      </c>
      <c r="H4102" s="225">
        <v>75.049999999995634</v>
      </c>
      <c r="I4102" s="225">
        <v>0</v>
      </c>
      <c r="J4102" s="225">
        <v>0</v>
      </c>
      <c r="K4102" s="225">
        <v>75.049999999995634</v>
      </c>
      <c r="L41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75.05</v>
      </c>
      <c r="M4102" s="225">
        <f>ROUND(IF(AND(Base_Periodo1[[#This Row],[Tipo_Linha]]="-",Base_Periodo1[[#This Row],[TIPOSALDO]]="D"),Base_Periodo1[[#This Row],[SALDO_ATUAL]]*-1,Base_Periodo1[[#This Row],[SALDO_ATUAL]]),4)</f>
        <v>75.05</v>
      </c>
      <c r="N4102" t="s">
        <v>116</v>
      </c>
      <c r="O4102" t="s">
        <v>459</v>
      </c>
      <c r="P4102" t="s">
        <v>459</v>
      </c>
      <c r="Q4102">
        <v>7</v>
      </c>
      <c r="R4102" s="225">
        <f>Base_Periodo1[[#This Row],[CREDITOS]]-Base_Periodo1[[#This Row],[DEBITOS]]</f>
        <v>0</v>
      </c>
      <c r="S4102" s="3" t="str">
        <f>IF(ISERROR(VLOOKUP(Base_Periodo1[[#This Row],[CONTA]],BaseContasDRE[#All],4,FALSE)),"Fora do DRE",VLOOKUP(Base_Periodo1[[#This Row],[CONTA]],BaseContasDRE[#All],4,FALSE))</f>
        <v>Fora do DRE</v>
      </c>
      <c r="T4102" s="3" t="str">
        <f>IF(ISERROR(VLOOKUP(Base_Periodo1[[#This Row],[CONTA]],BaseContasDRE[#All],5,FALSE)),"Fora do DRE",VLOOKUP(Base_Periodo1[[#This Row],[CONTA]],BaseContasDRE[#All],6,FALSE))</f>
        <v>Fora do DRE</v>
      </c>
      <c r="U4102" s="3" t="str">
        <f>IF(ISERROR(VLOOKUP(Base_Periodo1[[#This Row],[CONTA]],BaseContasDRE[#All],7,FALSE)),"Fora do DRE",VLOOKUP(Base_Periodo1[[#This Row],[CONTA]],BaseContasDRE[#All],7,FALSE))</f>
        <v>Fora do DRE</v>
      </c>
      <c r="V4102" s="3" t="str">
        <f>IF(Base_Periodo1[[#This Row],[Tipo_Linha]]="Fora do DRE","Fora do DRE","( "&amp;Base_Periodo1[[#This Row],[Tipo_Linha]]&amp;" ) "&amp;Base_Periodo1[[#This Row],[Filtro]])</f>
        <v>Fora do DRE</v>
      </c>
      <c r="W4102" s="3" t="str">
        <f>LEFT(Base_Periodo1[[#This Row],[CLASS]],3)</f>
        <v>2.1</v>
      </c>
    </row>
    <row r="4103" spans="1:23" hidden="1">
      <c r="A4103" s="3" t="str">
        <f t="shared" si="64"/>
        <v>Período 1</v>
      </c>
      <c r="B4103">
        <v>56844</v>
      </c>
      <c r="C4103" t="s">
        <v>2148</v>
      </c>
      <c r="D4103" t="s">
        <v>6544</v>
      </c>
      <c r="E4103" s="3" t="str">
        <f>IF(LEN(Base_Periodo1[[#This Row],[CLASS]])&gt;=7,LEFT(Base_Periodo1[[#This Row],[CLASS]],7),"")</f>
        <v>2.1.2.2</v>
      </c>
      <c r="F4103" s="3" t="str">
        <f>VLOOKUP(Base_Periodo1[[#This Row],[Aux]],Base_Contas_Balanco[#All],2,FALSE)</f>
        <v>Fornecedores Não Cooperados</v>
      </c>
      <c r="G4103" s="1">
        <v>42866</v>
      </c>
      <c r="H4103" s="225">
        <v>27720</v>
      </c>
      <c r="I4103" s="225">
        <v>27720</v>
      </c>
      <c r="J4103" s="225">
        <v>0</v>
      </c>
      <c r="K4103" s="225">
        <v>0</v>
      </c>
      <c r="L41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03" s="225">
        <f>ROUND(IF(AND(Base_Periodo1[[#This Row],[Tipo_Linha]]="-",Base_Periodo1[[#This Row],[TIPOSALDO]]="D"),Base_Periodo1[[#This Row],[SALDO_ATUAL]]*-1,Base_Periodo1[[#This Row],[SALDO_ATUAL]]),4)</f>
        <v>0</v>
      </c>
      <c r="N4103" t="s">
        <v>116</v>
      </c>
      <c r="O4103" t="s">
        <v>459</v>
      </c>
      <c r="P4103" t="s">
        <v>436</v>
      </c>
      <c r="Q4103">
        <v>7</v>
      </c>
      <c r="R4103" s="225">
        <f>Base_Periodo1[[#This Row],[CREDITOS]]-Base_Periodo1[[#This Row],[DEBITOS]]</f>
        <v>-27720</v>
      </c>
      <c r="S4103" s="3" t="str">
        <f>IF(ISERROR(VLOOKUP(Base_Periodo1[[#This Row],[CONTA]],BaseContasDRE[#All],4,FALSE)),"Fora do DRE",VLOOKUP(Base_Periodo1[[#This Row],[CONTA]],BaseContasDRE[#All],4,FALSE))</f>
        <v>Fora do DRE</v>
      </c>
      <c r="T4103" s="3" t="str">
        <f>IF(ISERROR(VLOOKUP(Base_Periodo1[[#This Row],[CONTA]],BaseContasDRE[#All],5,FALSE)),"Fora do DRE",VLOOKUP(Base_Periodo1[[#This Row],[CONTA]],BaseContasDRE[#All],6,FALSE))</f>
        <v>Fora do DRE</v>
      </c>
      <c r="U4103" s="3" t="str">
        <f>IF(ISERROR(VLOOKUP(Base_Periodo1[[#This Row],[CONTA]],BaseContasDRE[#All],7,FALSE)),"Fora do DRE",VLOOKUP(Base_Periodo1[[#This Row],[CONTA]],BaseContasDRE[#All],7,FALSE))</f>
        <v>Fora do DRE</v>
      </c>
      <c r="V4103" s="3" t="str">
        <f>IF(Base_Periodo1[[#This Row],[Tipo_Linha]]="Fora do DRE","Fora do DRE","( "&amp;Base_Periodo1[[#This Row],[Tipo_Linha]]&amp;" ) "&amp;Base_Periodo1[[#This Row],[Filtro]])</f>
        <v>Fora do DRE</v>
      </c>
      <c r="W4103" s="3" t="str">
        <f>LEFT(Base_Periodo1[[#This Row],[CLASS]],3)</f>
        <v>2.1</v>
      </c>
    </row>
    <row r="4104" spans="1:23" hidden="1">
      <c r="A4104" s="3" t="str">
        <f t="shared" si="64"/>
        <v>Período 1</v>
      </c>
      <c r="B4104">
        <v>54228</v>
      </c>
      <c r="C4104" t="s">
        <v>2148</v>
      </c>
      <c r="D4104" t="s">
        <v>5086</v>
      </c>
      <c r="E4104" s="3" t="str">
        <f>IF(LEN(Base_Periodo1[[#This Row],[CLASS]])&gt;=7,LEFT(Base_Periodo1[[#This Row],[CLASS]],7),"")</f>
        <v>2.1.2.2</v>
      </c>
      <c r="F4104" s="3" t="str">
        <f>VLOOKUP(Base_Periodo1[[#This Row],[Aux]],Base_Contas_Balanco[#All],2,FALSE)</f>
        <v>Fornecedores Não Cooperados</v>
      </c>
      <c r="G4104" s="1">
        <v>42811</v>
      </c>
      <c r="H4104" s="225">
        <v>1.9999999989522621E-2</v>
      </c>
      <c r="I4104" s="225">
        <v>0</v>
      </c>
      <c r="J4104" s="225">
        <v>0</v>
      </c>
      <c r="K4104" s="225">
        <v>1.9999999989522621E-2</v>
      </c>
      <c r="L41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4104" s="225">
        <f>ROUND(IF(AND(Base_Periodo1[[#This Row],[Tipo_Linha]]="-",Base_Periodo1[[#This Row],[TIPOSALDO]]="D"),Base_Periodo1[[#This Row],[SALDO_ATUAL]]*-1,Base_Periodo1[[#This Row],[SALDO_ATUAL]]),4)</f>
        <v>0.02</v>
      </c>
      <c r="N4104" t="s">
        <v>116</v>
      </c>
      <c r="O4104" t="s">
        <v>459</v>
      </c>
      <c r="P4104" t="s">
        <v>459</v>
      </c>
      <c r="Q4104">
        <v>7</v>
      </c>
      <c r="R4104" s="225">
        <f>Base_Periodo1[[#This Row],[CREDITOS]]-Base_Periodo1[[#This Row],[DEBITOS]]</f>
        <v>0</v>
      </c>
      <c r="S4104" s="3" t="str">
        <f>IF(ISERROR(VLOOKUP(Base_Periodo1[[#This Row],[CONTA]],BaseContasDRE[#All],4,FALSE)),"Fora do DRE",VLOOKUP(Base_Periodo1[[#This Row],[CONTA]],BaseContasDRE[#All],4,FALSE))</f>
        <v>Fora do DRE</v>
      </c>
      <c r="T4104" s="3" t="str">
        <f>IF(ISERROR(VLOOKUP(Base_Periodo1[[#This Row],[CONTA]],BaseContasDRE[#All],5,FALSE)),"Fora do DRE",VLOOKUP(Base_Periodo1[[#This Row],[CONTA]],BaseContasDRE[#All],6,FALSE))</f>
        <v>Fora do DRE</v>
      </c>
      <c r="U4104" s="3" t="str">
        <f>IF(ISERROR(VLOOKUP(Base_Periodo1[[#This Row],[CONTA]],BaseContasDRE[#All],7,FALSE)),"Fora do DRE",VLOOKUP(Base_Periodo1[[#This Row],[CONTA]],BaseContasDRE[#All],7,FALSE))</f>
        <v>Fora do DRE</v>
      </c>
      <c r="V4104" s="3" t="str">
        <f>IF(Base_Periodo1[[#This Row],[Tipo_Linha]]="Fora do DRE","Fora do DRE","( "&amp;Base_Periodo1[[#This Row],[Tipo_Linha]]&amp;" ) "&amp;Base_Periodo1[[#This Row],[Filtro]])</f>
        <v>Fora do DRE</v>
      </c>
      <c r="W4104" s="3" t="str">
        <f>LEFT(Base_Periodo1[[#This Row],[CLASS]],3)</f>
        <v>2.1</v>
      </c>
    </row>
    <row r="4105" spans="1:23" hidden="1">
      <c r="A4105" s="3" t="str">
        <f t="shared" si="64"/>
        <v>Período 1</v>
      </c>
      <c r="B4105">
        <v>22767</v>
      </c>
      <c r="C4105" t="s">
        <v>2148</v>
      </c>
      <c r="D4105" t="s">
        <v>2156</v>
      </c>
      <c r="E4105" s="3" t="str">
        <f>IF(LEN(Base_Periodo1[[#This Row],[CLASS]])&gt;=7,LEFT(Base_Periodo1[[#This Row],[CLASS]],7),"")</f>
        <v>2.1.2.2</v>
      </c>
      <c r="F4105" s="3" t="str">
        <f>VLOOKUP(Base_Periodo1[[#This Row],[Aux]],Base_Contas_Balanco[#All],2,FALSE)</f>
        <v>Fornecedores Não Cooperados</v>
      </c>
      <c r="G4105" s="1">
        <v>41201</v>
      </c>
      <c r="H4105" s="225">
        <v>3.999999999996362E-2</v>
      </c>
      <c r="I4105" s="225">
        <v>0</v>
      </c>
      <c r="J4105" s="225">
        <v>0</v>
      </c>
      <c r="K4105" s="225">
        <v>3.999999999996362E-2</v>
      </c>
      <c r="L41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0.04</v>
      </c>
      <c r="M4105" s="225">
        <f>ROUND(IF(AND(Base_Periodo1[[#This Row],[Tipo_Linha]]="-",Base_Periodo1[[#This Row],[TIPOSALDO]]="D"),Base_Periodo1[[#This Row],[SALDO_ATUAL]]*-1,Base_Periodo1[[#This Row],[SALDO_ATUAL]]),4)</f>
        <v>0.04</v>
      </c>
      <c r="N4105" t="s">
        <v>116</v>
      </c>
      <c r="O4105" t="s">
        <v>459</v>
      </c>
      <c r="P4105" t="s">
        <v>459</v>
      </c>
      <c r="Q4105">
        <v>7</v>
      </c>
      <c r="R4105" s="225">
        <f>Base_Periodo1[[#This Row],[CREDITOS]]-Base_Periodo1[[#This Row],[DEBITOS]]</f>
        <v>0</v>
      </c>
      <c r="S4105" s="3" t="str">
        <f>IF(ISERROR(VLOOKUP(Base_Periodo1[[#This Row],[CONTA]],BaseContasDRE[#All],4,FALSE)),"Fora do DRE",VLOOKUP(Base_Periodo1[[#This Row],[CONTA]],BaseContasDRE[#All],4,FALSE))</f>
        <v>Fora do DRE</v>
      </c>
      <c r="T4105" s="3" t="str">
        <f>IF(ISERROR(VLOOKUP(Base_Periodo1[[#This Row],[CONTA]],BaseContasDRE[#All],5,FALSE)),"Fora do DRE",VLOOKUP(Base_Periodo1[[#This Row],[CONTA]],BaseContasDRE[#All],6,FALSE))</f>
        <v>Fora do DRE</v>
      </c>
      <c r="U4105" s="3" t="str">
        <f>IF(ISERROR(VLOOKUP(Base_Periodo1[[#This Row],[CONTA]],BaseContasDRE[#All],7,FALSE)),"Fora do DRE",VLOOKUP(Base_Periodo1[[#This Row],[CONTA]],BaseContasDRE[#All],7,FALSE))</f>
        <v>Fora do DRE</v>
      </c>
      <c r="V4105" s="3" t="str">
        <f>IF(Base_Periodo1[[#This Row],[Tipo_Linha]]="Fora do DRE","Fora do DRE","( "&amp;Base_Periodo1[[#This Row],[Tipo_Linha]]&amp;" ) "&amp;Base_Periodo1[[#This Row],[Filtro]])</f>
        <v>Fora do DRE</v>
      </c>
      <c r="W4105" s="3" t="str">
        <f>LEFT(Base_Periodo1[[#This Row],[CLASS]],3)</f>
        <v>2.1</v>
      </c>
    </row>
    <row r="4106" spans="1:23" hidden="1">
      <c r="A4106" s="3" t="str">
        <f t="shared" si="64"/>
        <v>Período 1</v>
      </c>
      <c r="B4106">
        <v>41821</v>
      </c>
      <c r="C4106" t="s">
        <v>2148</v>
      </c>
      <c r="D4106" t="s">
        <v>1802</v>
      </c>
      <c r="E4106" s="3" t="str">
        <f>IF(LEN(Base_Periodo1[[#This Row],[CLASS]])&gt;=7,LEFT(Base_Periodo1[[#This Row],[CLASS]],7),"")</f>
        <v>2.1.2.2</v>
      </c>
      <c r="F4106" s="3" t="str">
        <f>VLOOKUP(Base_Periodo1[[#This Row],[Aux]],Base_Contas_Balanco[#All],2,FALSE)</f>
        <v>Fornecedores Não Cooperados</v>
      </c>
      <c r="G4106" s="1"/>
      <c r="I4106" s="225">
        <v>0</v>
      </c>
      <c r="J4106" s="225">
        <v>114.66</v>
      </c>
      <c r="K4106" s="225">
        <v>114.66</v>
      </c>
      <c r="L41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114.66</v>
      </c>
      <c r="M4106" s="225">
        <f>ROUND(IF(AND(Base_Periodo1[[#This Row],[Tipo_Linha]]="-",Base_Periodo1[[#This Row],[TIPOSALDO]]="D"),Base_Periodo1[[#This Row],[SALDO_ATUAL]]*-1,Base_Periodo1[[#This Row],[SALDO_ATUAL]]),4)</f>
        <v>114.66</v>
      </c>
      <c r="N4106" t="s">
        <v>116</v>
      </c>
      <c r="O4106" t="s">
        <v>436</v>
      </c>
      <c r="P4106" t="s">
        <v>459</v>
      </c>
      <c r="Q4106">
        <v>7</v>
      </c>
      <c r="R4106" s="225">
        <f>Base_Periodo1[[#This Row],[CREDITOS]]-Base_Periodo1[[#This Row],[DEBITOS]]</f>
        <v>114.66</v>
      </c>
      <c r="S4106" s="3" t="str">
        <f>IF(ISERROR(VLOOKUP(Base_Periodo1[[#This Row],[CONTA]],BaseContasDRE[#All],4,FALSE)),"Fora do DRE",VLOOKUP(Base_Periodo1[[#This Row],[CONTA]],BaseContasDRE[#All],4,FALSE))</f>
        <v>Fora do DRE</v>
      </c>
      <c r="T4106" s="3" t="str">
        <f>IF(ISERROR(VLOOKUP(Base_Periodo1[[#This Row],[CONTA]],BaseContasDRE[#All],5,FALSE)),"Fora do DRE",VLOOKUP(Base_Periodo1[[#This Row],[CONTA]],BaseContasDRE[#All],6,FALSE))</f>
        <v>Fora do DRE</v>
      </c>
      <c r="U4106" s="3" t="str">
        <f>IF(ISERROR(VLOOKUP(Base_Periodo1[[#This Row],[CONTA]],BaseContasDRE[#All],7,FALSE)),"Fora do DRE",VLOOKUP(Base_Periodo1[[#This Row],[CONTA]],BaseContasDRE[#All],7,FALSE))</f>
        <v>Fora do DRE</v>
      </c>
      <c r="V4106" s="3" t="str">
        <f>IF(Base_Periodo1[[#This Row],[Tipo_Linha]]="Fora do DRE","Fora do DRE","( "&amp;Base_Periodo1[[#This Row],[Tipo_Linha]]&amp;" ) "&amp;Base_Periodo1[[#This Row],[Filtro]])</f>
        <v>Fora do DRE</v>
      </c>
      <c r="W4106" s="3" t="str">
        <f>LEFT(Base_Periodo1[[#This Row],[CLASS]],3)</f>
        <v>2.1</v>
      </c>
    </row>
    <row r="4107" spans="1:23" hidden="1">
      <c r="A4107" s="3" t="str">
        <f t="shared" si="64"/>
        <v>Período 1</v>
      </c>
      <c r="B4107">
        <v>10095</v>
      </c>
      <c r="C4107" t="s">
        <v>2148</v>
      </c>
      <c r="D4107" t="s">
        <v>2157</v>
      </c>
      <c r="E4107" s="3" t="str">
        <f>IF(LEN(Base_Periodo1[[#This Row],[CLASS]])&gt;=7,LEFT(Base_Periodo1[[#This Row],[CLASS]],7),"")</f>
        <v>2.1.2.2</v>
      </c>
      <c r="F4107" s="3" t="str">
        <f>VLOOKUP(Base_Periodo1[[#This Row],[Aux]],Base_Contas_Balanco[#All],2,FALSE)</f>
        <v>Fornecedores Não Cooperados</v>
      </c>
      <c r="G4107" s="1">
        <v>42496</v>
      </c>
      <c r="H4107" s="225">
        <v>18564</v>
      </c>
      <c r="I4107" s="225">
        <v>0</v>
      </c>
      <c r="J4107" s="225">
        <v>0</v>
      </c>
      <c r="K4107" s="225">
        <v>18564</v>
      </c>
      <c r="L41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18564</v>
      </c>
      <c r="M4107" s="225">
        <f>ROUND(IF(AND(Base_Periodo1[[#This Row],[Tipo_Linha]]="-",Base_Periodo1[[#This Row],[TIPOSALDO]]="D"),Base_Periodo1[[#This Row],[SALDO_ATUAL]]*-1,Base_Periodo1[[#This Row],[SALDO_ATUAL]]),4)</f>
        <v>18564</v>
      </c>
      <c r="N4107" t="s">
        <v>116</v>
      </c>
      <c r="O4107" t="s">
        <v>459</v>
      </c>
      <c r="P4107" t="s">
        <v>459</v>
      </c>
      <c r="Q4107">
        <v>7</v>
      </c>
      <c r="R4107" s="225">
        <f>Base_Periodo1[[#This Row],[CREDITOS]]-Base_Periodo1[[#This Row],[DEBITOS]]</f>
        <v>0</v>
      </c>
      <c r="S4107" s="3" t="str">
        <f>IF(ISERROR(VLOOKUP(Base_Periodo1[[#This Row],[CONTA]],BaseContasDRE[#All],4,FALSE)),"Fora do DRE",VLOOKUP(Base_Periodo1[[#This Row],[CONTA]],BaseContasDRE[#All],4,FALSE))</f>
        <v>Fora do DRE</v>
      </c>
      <c r="T4107" s="3" t="str">
        <f>IF(ISERROR(VLOOKUP(Base_Periodo1[[#This Row],[CONTA]],BaseContasDRE[#All],5,FALSE)),"Fora do DRE",VLOOKUP(Base_Periodo1[[#This Row],[CONTA]],BaseContasDRE[#All],6,FALSE))</f>
        <v>Fora do DRE</v>
      </c>
      <c r="U4107" s="3" t="str">
        <f>IF(ISERROR(VLOOKUP(Base_Periodo1[[#This Row],[CONTA]],BaseContasDRE[#All],7,FALSE)),"Fora do DRE",VLOOKUP(Base_Periodo1[[#This Row],[CONTA]],BaseContasDRE[#All],7,FALSE))</f>
        <v>Fora do DRE</v>
      </c>
      <c r="V4107" s="3" t="str">
        <f>IF(Base_Periodo1[[#This Row],[Tipo_Linha]]="Fora do DRE","Fora do DRE","( "&amp;Base_Periodo1[[#This Row],[Tipo_Linha]]&amp;" ) "&amp;Base_Periodo1[[#This Row],[Filtro]])</f>
        <v>Fora do DRE</v>
      </c>
      <c r="W4107" s="3" t="str">
        <f>LEFT(Base_Periodo1[[#This Row],[CLASS]],3)</f>
        <v>2.1</v>
      </c>
    </row>
    <row r="4108" spans="1:23" hidden="1">
      <c r="A4108" s="3" t="str">
        <f t="shared" si="64"/>
        <v>Período 1</v>
      </c>
      <c r="B4108">
        <v>43301</v>
      </c>
      <c r="C4108" t="s">
        <v>2148</v>
      </c>
      <c r="D4108" t="s">
        <v>2158</v>
      </c>
      <c r="E4108" s="3" t="str">
        <f>IF(LEN(Base_Periodo1[[#This Row],[CLASS]])&gt;=7,LEFT(Base_Periodo1[[#This Row],[CLASS]],7),"")</f>
        <v>2.1.2.2</v>
      </c>
      <c r="F4108" s="3" t="str">
        <f>VLOOKUP(Base_Periodo1[[#This Row],[Aux]],Base_Contas_Balanco[#All],2,FALSE)</f>
        <v>Fornecedores Não Cooperados</v>
      </c>
      <c r="G4108" s="1"/>
      <c r="H4108" s="225">
        <v>457.25</v>
      </c>
      <c r="I4108" s="225">
        <v>0</v>
      </c>
      <c r="J4108" s="225">
        <v>0</v>
      </c>
      <c r="K4108" s="225">
        <v>457.25</v>
      </c>
      <c r="L41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457.25</v>
      </c>
      <c r="M4108" s="225">
        <f>ROUND(IF(AND(Base_Periodo1[[#This Row],[Tipo_Linha]]="-",Base_Periodo1[[#This Row],[TIPOSALDO]]="D"),Base_Periodo1[[#This Row],[SALDO_ATUAL]]*-1,Base_Periodo1[[#This Row],[SALDO_ATUAL]]),4)</f>
        <v>457.25</v>
      </c>
      <c r="N4108" t="s">
        <v>116</v>
      </c>
      <c r="O4108" t="s">
        <v>459</v>
      </c>
      <c r="P4108" t="s">
        <v>459</v>
      </c>
      <c r="Q4108">
        <v>7</v>
      </c>
      <c r="R4108" s="225">
        <f>Base_Periodo1[[#This Row],[CREDITOS]]-Base_Periodo1[[#This Row],[DEBITOS]]</f>
        <v>0</v>
      </c>
      <c r="S4108" s="3" t="str">
        <f>IF(ISERROR(VLOOKUP(Base_Periodo1[[#This Row],[CONTA]],BaseContasDRE[#All],4,FALSE)),"Fora do DRE",VLOOKUP(Base_Periodo1[[#This Row],[CONTA]],BaseContasDRE[#All],4,FALSE))</f>
        <v>Fora do DRE</v>
      </c>
      <c r="T4108" s="3" t="str">
        <f>IF(ISERROR(VLOOKUP(Base_Periodo1[[#This Row],[CONTA]],BaseContasDRE[#All],5,FALSE)),"Fora do DRE",VLOOKUP(Base_Periodo1[[#This Row],[CONTA]],BaseContasDRE[#All],6,FALSE))</f>
        <v>Fora do DRE</v>
      </c>
      <c r="U4108" s="3" t="str">
        <f>IF(ISERROR(VLOOKUP(Base_Periodo1[[#This Row],[CONTA]],BaseContasDRE[#All],7,FALSE)),"Fora do DRE",VLOOKUP(Base_Periodo1[[#This Row],[CONTA]],BaseContasDRE[#All],7,FALSE))</f>
        <v>Fora do DRE</v>
      </c>
      <c r="V4108" s="3" t="str">
        <f>IF(Base_Periodo1[[#This Row],[Tipo_Linha]]="Fora do DRE","Fora do DRE","( "&amp;Base_Periodo1[[#This Row],[Tipo_Linha]]&amp;" ) "&amp;Base_Periodo1[[#This Row],[Filtro]])</f>
        <v>Fora do DRE</v>
      </c>
      <c r="W4108" s="3" t="str">
        <f>LEFT(Base_Periodo1[[#This Row],[CLASS]],3)</f>
        <v>2.1</v>
      </c>
    </row>
    <row r="4109" spans="1:23" hidden="1">
      <c r="A4109" s="3" t="str">
        <f t="shared" si="64"/>
        <v>Período 1</v>
      </c>
      <c r="B4109">
        <v>33372</v>
      </c>
      <c r="C4109" t="s">
        <v>2148</v>
      </c>
      <c r="D4109" t="s">
        <v>7170</v>
      </c>
      <c r="E4109" s="3" t="str">
        <f>IF(LEN(Base_Periodo1[[#This Row],[CLASS]])&gt;=7,LEFT(Base_Periodo1[[#This Row],[CLASS]],7),"")</f>
        <v>2.1.2.2</v>
      </c>
      <c r="F4109" s="3" t="str">
        <f>VLOOKUP(Base_Periodo1[[#This Row],[Aux]],Base_Contas_Balanco[#All],2,FALSE)</f>
        <v>Fornecedores Não Cooperados</v>
      </c>
      <c r="G4109" s="1">
        <v>42880</v>
      </c>
      <c r="I4109" s="225">
        <v>13927.74</v>
      </c>
      <c r="J4109" s="225">
        <v>38811.54</v>
      </c>
      <c r="K4109" s="225">
        <v>24883.800000000003</v>
      </c>
      <c r="L41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24883.8</v>
      </c>
      <c r="M4109" s="225">
        <f>ROUND(IF(AND(Base_Periodo1[[#This Row],[Tipo_Linha]]="-",Base_Periodo1[[#This Row],[TIPOSALDO]]="D"),Base_Periodo1[[#This Row],[SALDO_ATUAL]]*-1,Base_Periodo1[[#This Row],[SALDO_ATUAL]]),4)</f>
        <v>24883.8</v>
      </c>
      <c r="N4109" t="s">
        <v>116</v>
      </c>
      <c r="O4109" t="s">
        <v>436</v>
      </c>
      <c r="P4109" t="s">
        <v>459</v>
      </c>
      <c r="Q4109">
        <v>7</v>
      </c>
      <c r="R4109" s="225">
        <f>Base_Periodo1[[#This Row],[CREDITOS]]-Base_Periodo1[[#This Row],[DEBITOS]]</f>
        <v>24883.800000000003</v>
      </c>
      <c r="S4109" s="3" t="str">
        <f>IF(ISERROR(VLOOKUP(Base_Periodo1[[#This Row],[CONTA]],BaseContasDRE[#All],4,FALSE)),"Fora do DRE",VLOOKUP(Base_Periodo1[[#This Row],[CONTA]],BaseContasDRE[#All],4,FALSE))</f>
        <v>Fora do DRE</v>
      </c>
      <c r="T4109" s="3" t="str">
        <f>IF(ISERROR(VLOOKUP(Base_Periodo1[[#This Row],[CONTA]],BaseContasDRE[#All],5,FALSE)),"Fora do DRE",VLOOKUP(Base_Periodo1[[#This Row],[CONTA]],BaseContasDRE[#All],6,FALSE))</f>
        <v>Fora do DRE</v>
      </c>
      <c r="U4109" s="3" t="str">
        <f>IF(ISERROR(VLOOKUP(Base_Periodo1[[#This Row],[CONTA]],BaseContasDRE[#All],7,FALSE)),"Fora do DRE",VLOOKUP(Base_Periodo1[[#This Row],[CONTA]],BaseContasDRE[#All],7,FALSE))</f>
        <v>Fora do DRE</v>
      </c>
      <c r="V4109" s="3" t="str">
        <f>IF(Base_Periodo1[[#This Row],[Tipo_Linha]]="Fora do DRE","Fora do DRE","( "&amp;Base_Periodo1[[#This Row],[Tipo_Linha]]&amp;" ) "&amp;Base_Periodo1[[#This Row],[Filtro]])</f>
        <v>Fora do DRE</v>
      </c>
      <c r="W4109" s="3" t="str">
        <f>LEFT(Base_Periodo1[[#This Row],[CLASS]],3)</f>
        <v>2.1</v>
      </c>
    </row>
    <row r="4110" spans="1:23" hidden="1">
      <c r="A4110" s="3" t="str">
        <f t="shared" si="64"/>
        <v>Período 1</v>
      </c>
      <c r="B4110">
        <v>51313</v>
      </c>
      <c r="C4110" t="s">
        <v>2148</v>
      </c>
      <c r="D4110" t="s">
        <v>6545</v>
      </c>
      <c r="E4110" s="3" t="str">
        <f>IF(LEN(Base_Periodo1[[#This Row],[CLASS]])&gt;=7,LEFT(Base_Periodo1[[#This Row],[CLASS]],7),"")</f>
        <v>2.1.2.2</v>
      </c>
      <c r="F4110" s="3" t="str">
        <f>VLOOKUP(Base_Periodo1[[#This Row],[Aux]],Base_Contas_Balanco[#All],2,FALSE)</f>
        <v>Fornecedores Não Cooperados</v>
      </c>
      <c r="G4110" s="1">
        <v>42858</v>
      </c>
      <c r="H4110" s="225">
        <v>3566.24</v>
      </c>
      <c r="I4110" s="225">
        <v>7132.48</v>
      </c>
      <c r="J4110" s="225">
        <v>3566.24</v>
      </c>
      <c r="K4110" s="225">
        <v>0</v>
      </c>
      <c r="L41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10" s="225">
        <f>ROUND(IF(AND(Base_Periodo1[[#This Row],[Tipo_Linha]]="-",Base_Periodo1[[#This Row],[TIPOSALDO]]="D"),Base_Periodo1[[#This Row],[SALDO_ATUAL]]*-1,Base_Periodo1[[#This Row],[SALDO_ATUAL]]),4)</f>
        <v>0</v>
      </c>
      <c r="N4110" t="s">
        <v>116</v>
      </c>
      <c r="O4110" t="s">
        <v>459</v>
      </c>
      <c r="P4110" t="s">
        <v>436</v>
      </c>
      <c r="Q4110">
        <v>7</v>
      </c>
      <c r="R4110" s="225">
        <f>Base_Periodo1[[#This Row],[CREDITOS]]-Base_Periodo1[[#This Row],[DEBITOS]]</f>
        <v>-3566.24</v>
      </c>
      <c r="S4110" s="3" t="str">
        <f>IF(ISERROR(VLOOKUP(Base_Periodo1[[#This Row],[CONTA]],BaseContasDRE[#All],4,FALSE)),"Fora do DRE",VLOOKUP(Base_Periodo1[[#This Row],[CONTA]],BaseContasDRE[#All],4,FALSE))</f>
        <v>Fora do DRE</v>
      </c>
      <c r="T4110" s="3" t="str">
        <f>IF(ISERROR(VLOOKUP(Base_Periodo1[[#This Row],[CONTA]],BaseContasDRE[#All],5,FALSE)),"Fora do DRE",VLOOKUP(Base_Periodo1[[#This Row],[CONTA]],BaseContasDRE[#All],6,FALSE))</f>
        <v>Fora do DRE</v>
      </c>
      <c r="U4110" s="3" t="str">
        <f>IF(ISERROR(VLOOKUP(Base_Periodo1[[#This Row],[CONTA]],BaseContasDRE[#All],7,FALSE)),"Fora do DRE",VLOOKUP(Base_Periodo1[[#This Row],[CONTA]],BaseContasDRE[#All],7,FALSE))</f>
        <v>Fora do DRE</v>
      </c>
      <c r="V4110" s="3" t="str">
        <f>IF(Base_Periodo1[[#This Row],[Tipo_Linha]]="Fora do DRE","Fora do DRE","( "&amp;Base_Periodo1[[#This Row],[Tipo_Linha]]&amp;" ) "&amp;Base_Periodo1[[#This Row],[Filtro]])</f>
        <v>Fora do DRE</v>
      </c>
      <c r="W4110" s="3" t="str">
        <f>LEFT(Base_Periodo1[[#This Row],[CLASS]],3)</f>
        <v>2.1</v>
      </c>
    </row>
    <row r="4111" spans="1:23" hidden="1">
      <c r="A4111" s="3" t="str">
        <f t="shared" si="64"/>
        <v>Período 1</v>
      </c>
      <c r="B4111">
        <v>23204</v>
      </c>
      <c r="C4111" t="s">
        <v>2148</v>
      </c>
      <c r="D4111" t="s">
        <v>6546</v>
      </c>
      <c r="E4111" s="3" t="str">
        <f>IF(LEN(Base_Periodo1[[#This Row],[CLASS]])&gt;=7,LEFT(Base_Periodo1[[#This Row],[CLASS]],7),"")</f>
        <v>2.1.2.2</v>
      </c>
      <c r="F4111" s="3" t="str">
        <f>VLOOKUP(Base_Periodo1[[#This Row],[Aux]],Base_Contas_Balanco[#All],2,FALSE)</f>
        <v>Fornecedores Não Cooperados</v>
      </c>
      <c r="G4111" s="1">
        <v>42829</v>
      </c>
      <c r="H4111" s="225">
        <v>1097.5400000000009</v>
      </c>
      <c r="I4111" s="225">
        <v>0</v>
      </c>
      <c r="J4111" s="225">
        <v>0</v>
      </c>
      <c r="K4111" s="225">
        <v>1097.5400000000009</v>
      </c>
      <c r="L41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1097.54</v>
      </c>
      <c r="M4111" s="225">
        <f>ROUND(IF(AND(Base_Periodo1[[#This Row],[Tipo_Linha]]="-",Base_Periodo1[[#This Row],[TIPOSALDO]]="D"),Base_Periodo1[[#This Row],[SALDO_ATUAL]]*-1,Base_Periodo1[[#This Row],[SALDO_ATUAL]]),4)</f>
        <v>1097.54</v>
      </c>
      <c r="N4111" t="s">
        <v>116</v>
      </c>
      <c r="O4111" t="s">
        <v>459</v>
      </c>
      <c r="P4111" t="s">
        <v>459</v>
      </c>
      <c r="Q4111">
        <v>7</v>
      </c>
      <c r="R4111" s="225">
        <f>Base_Periodo1[[#This Row],[CREDITOS]]-Base_Periodo1[[#This Row],[DEBITOS]]</f>
        <v>0</v>
      </c>
      <c r="S4111" s="3" t="str">
        <f>IF(ISERROR(VLOOKUP(Base_Periodo1[[#This Row],[CONTA]],BaseContasDRE[#All],4,FALSE)),"Fora do DRE",VLOOKUP(Base_Periodo1[[#This Row],[CONTA]],BaseContasDRE[#All],4,FALSE))</f>
        <v>Fora do DRE</v>
      </c>
      <c r="T4111" s="3" t="str">
        <f>IF(ISERROR(VLOOKUP(Base_Periodo1[[#This Row],[CONTA]],BaseContasDRE[#All],5,FALSE)),"Fora do DRE",VLOOKUP(Base_Periodo1[[#This Row],[CONTA]],BaseContasDRE[#All],6,FALSE))</f>
        <v>Fora do DRE</v>
      </c>
      <c r="U4111" s="3" t="str">
        <f>IF(ISERROR(VLOOKUP(Base_Periodo1[[#This Row],[CONTA]],BaseContasDRE[#All],7,FALSE)),"Fora do DRE",VLOOKUP(Base_Periodo1[[#This Row],[CONTA]],BaseContasDRE[#All],7,FALSE))</f>
        <v>Fora do DRE</v>
      </c>
      <c r="V4111" s="3" t="str">
        <f>IF(Base_Periodo1[[#This Row],[Tipo_Linha]]="Fora do DRE","Fora do DRE","( "&amp;Base_Periodo1[[#This Row],[Tipo_Linha]]&amp;" ) "&amp;Base_Periodo1[[#This Row],[Filtro]])</f>
        <v>Fora do DRE</v>
      </c>
      <c r="W4111" s="3" t="str">
        <f>LEFT(Base_Periodo1[[#This Row],[CLASS]],3)</f>
        <v>2.1</v>
      </c>
    </row>
    <row r="4112" spans="1:23" hidden="1">
      <c r="A4112" s="3" t="str">
        <f t="shared" si="64"/>
        <v>Período 1</v>
      </c>
      <c r="B4112">
        <v>37763</v>
      </c>
      <c r="C4112" t="s">
        <v>2148</v>
      </c>
      <c r="D4112" t="s">
        <v>2159</v>
      </c>
      <c r="E4112" s="3" t="str">
        <f>IF(LEN(Base_Periodo1[[#This Row],[CLASS]])&gt;=7,LEFT(Base_Periodo1[[#This Row],[CLASS]],7),"")</f>
        <v>2.1.2.2</v>
      </c>
      <c r="F4112" s="3" t="str">
        <f>VLOOKUP(Base_Periodo1[[#This Row],[Aux]],Base_Contas_Balanco[#All],2,FALSE)</f>
        <v>Fornecedores Não Cooperados</v>
      </c>
      <c r="G4112" s="1">
        <v>42646</v>
      </c>
      <c r="H4112" s="225">
        <v>1.0000000009313226E-2</v>
      </c>
      <c r="I4112" s="225">
        <v>0</v>
      </c>
      <c r="J4112" s="225">
        <v>0</v>
      </c>
      <c r="K4112" s="225">
        <v>1.0000000009313226E-2</v>
      </c>
      <c r="L41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112" s="225">
        <f>ROUND(IF(AND(Base_Periodo1[[#This Row],[Tipo_Linha]]="-",Base_Periodo1[[#This Row],[TIPOSALDO]]="D"),Base_Periodo1[[#This Row],[SALDO_ATUAL]]*-1,Base_Periodo1[[#This Row],[SALDO_ATUAL]]),4)</f>
        <v>0.01</v>
      </c>
      <c r="N4112" t="s">
        <v>116</v>
      </c>
      <c r="O4112" t="s">
        <v>459</v>
      </c>
      <c r="P4112" t="s">
        <v>459</v>
      </c>
      <c r="Q4112">
        <v>7</v>
      </c>
      <c r="R4112" s="225">
        <f>Base_Periodo1[[#This Row],[CREDITOS]]-Base_Periodo1[[#This Row],[DEBITOS]]</f>
        <v>0</v>
      </c>
      <c r="S4112" s="3" t="str">
        <f>IF(ISERROR(VLOOKUP(Base_Periodo1[[#This Row],[CONTA]],BaseContasDRE[#All],4,FALSE)),"Fora do DRE",VLOOKUP(Base_Periodo1[[#This Row],[CONTA]],BaseContasDRE[#All],4,FALSE))</f>
        <v>Fora do DRE</v>
      </c>
      <c r="T4112" s="3" t="str">
        <f>IF(ISERROR(VLOOKUP(Base_Periodo1[[#This Row],[CONTA]],BaseContasDRE[#All],5,FALSE)),"Fora do DRE",VLOOKUP(Base_Periodo1[[#This Row],[CONTA]],BaseContasDRE[#All],6,FALSE))</f>
        <v>Fora do DRE</v>
      </c>
      <c r="U4112" s="3" t="str">
        <f>IF(ISERROR(VLOOKUP(Base_Periodo1[[#This Row],[CONTA]],BaseContasDRE[#All],7,FALSE)),"Fora do DRE",VLOOKUP(Base_Periodo1[[#This Row],[CONTA]],BaseContasDRE[#All],7,FALSE))</f>
        <v>Fora do DRE</v>
      </c>
      <c r="V4112" s="3" t="str">
        <f>IF(Base_Periodo1[[#This Row],[Tipo_Linha]]="Fora do DRE","Fora do DRE","( "&amp;Base_Periodo1[[#This Row],[Tipo_Linha]]&amp;" ) "&amp;Base_Periodo1[[#This Row],[Filtro]])</f>
        <v>Fora do DRE</v>
      </c>
      <c r="W4112" s="3" t="str">
        <f>LEFT(Base_Periodo1[[#This Row],[CLASS]],3)</f>
        <v>2.1</v>
      </c>
    </row>
    <row r="4113" spans="1:23" hidden="1">
      <c r="A4113" s="3" t="str">
        <f t="shared" si="64"/>
        <v>Período 1</v>
      </c>
      <c r="B4113">
        <v>9590</v>
      </c>
      <c r="C4113" t="s">
        <v>2148</v>
      </c>
      <c r="D4113" t="s">
        <v>2160</v>
      </c>
      <c r="E4113" s="3" t="str">
        <f>IF(LEN(Base_Periodo1[[#This Row],[CLASS]])&gt;=7,LEFT(Base_Periodo1[[#This Row],[CLASS]],7),"")</f>
        <v>2.1.2.2</v>
      </c>
      <c r="F4113" s="3" t="str">
        <f>VLOOKUP(Base_Periodo1[[#This Row],[Aux]],Base_Contas_Balanco[#All],2,FALSE)</f>
        <v>Fornecedores Não Cooperados</v>
      </c>
      <c r="G4113" s="1">
        <v>40953</v>
      </c>
      <c r="H4113" s="225">
        <v>1.0000000000218279E-2</v>
      </c>
      <c r="I4113" s="225">
        <v>0</v>
      </c>
      <c r="J4113" s="225">
        <v>0</v>
      </c>
      <c r="K4113" s="225">
        <v>1.0000000000218279E-2</v>
      </c>
      <c r="L41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113" s="225">
        <f>ROUND(IF(AND(Base_Periodo1[[#This Row],[Tipo_Linha]]="-",Base_Periodo1[[#This Row],[TIPOSALDO]]="D"),Base_Periodo1[[#This Row],[SALDO_ATUAL]]*-1,Base_Periodo1[[#This Row],[SALDO_ATUAL]]),4)</f>
        <v>0.01</v>
      </c>
      <c r="N4113" t="s">
        <v>116</v>
      </c>
      <c r="O4113" t="s">
        <v>459</v>
      </c>
      <c r="P4113" t="s">
        <v>459</v>
      </c>
      <c r="Q4113">
        <v>7</v>
      </c>
      <c r="R4113" s="225">
        <f>Base_Periodo1[[#This Row],[CREDITOS]]-Base_Periodo1[[#This Row],[DEBITOS]]</f>
        <v>0</v>
      </c>
      <c r="S4113" s="3" t="str">
        <f>IF(ISERROR(VLOOKUP(Base_Periodo1[[#This Row],[CONTA]],BaseContasDRE[#All],4,FALSE)),"Fora do DRE",VLOOKUP(Base_Periodo1[[#This Row],[CONTA]],BaseContasDRE[#All],4,FALSE))</f>
        <v>Fora do DRE</v>
      </c>
      <c r="T4113" s="3" t="str">
        <f>IF(ISERROR(VLOOKUP(Base_Periodo1[[#This Row],[CONTA]],BaseContasDRE[#All],5,FALSE)),"Fora do DRE",VLOOKUP(Base_Periodo1[[#This Row],[CONTA]],BaseContasDRE[#All],6,FALSE))</f>
        <v>Fora do DRE</v>
      </c>
      <c r="U4113" s="3" t="str">
        <f>IF(ISERROR(VLOOKUP(Base_Periodo1[[#This Row],[CONTA]],BaseContasDRE[#All],7,FALSE)),"Fora do DRE",VLOOKUP(Base_Periodo1[[#This Row],[CONTA]],BaseContasDRE[#All],7,FALSE))</f>
        <v>Fora do DRE</v>
      </c>
      <c r="V4113" s="3" t="str">
        <f>IF(Base_Periodo1[[#This Row],[Tipo_Linha]]="Fora do DRE","Fora do DRE","( "&amp;Base_Periodo1[[#This Row],[Tipo_Linha]]&amp;" ) "&amp;Base_Periodo1[[#This Row],[Filtro]])</f>
        <v>Fora do DRE</v>
      </c>
      <c r="W4113" s="3" t="str">
        <f>LEFT(Base_Periodo1[[#This Row],[CLASS]],3)</f>
        <v>2.1</v>
      </c>
    </row>
    <row r="4114" spans="1:23" hidden="1">
      <c r="A4114" s="3" t="str">
        <f t="shared" si="64"/>
        <v>Período 1</v>
      </c>
      <c r="B4114">
        <v>41169</v>
      </c>
      <c r="C4114" t="s">
        <v>2148</v>
      </c>
      <c r="D4114" t="s">
        <v>1821</v>
      </c>
      <c r="E4114" s="3" t="str">
        <f>IF(LEN(Base_Periodo1[[#This Row],[CLASS]])&gt;=7,LEFT(Base_Periodo1[[#This Row],[CLASS]],7),"")</f>
        <v>2.1.2.2</v>
      </c>
      <c r="F4114" s="3" t="str">
        <f>VLOOKUP(Base_Periodo1[[#This Row],[Aux]],Base_Contas_Balanco[#All],2,FALSE)</f>
        <v>Fornecedores Não Cooperados</v>
      </c>
      <c r="G4114" s="1"/>
      <c r="H4114" s="225">
        <v>0.02</v>
      </c>
      <c r="I4114" s="225">
        <v>0</v>
      </c>
      <c r="J4114" s="225">
        <v>0</v>
      </c>
      <c r="K4114" s="225">
        <v>0.02</v>
      </c>
      <c r="L41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4114" s="225">
        <f>ROUND(IF(AND(Base_Periodo1[[#This Row],[Tipo_Linha]]="-",Base_Periodo1[[#This Row],[TIPOSALDO]]="D"),Base_Periodo1[[#This Row],[SALDO_ATUAL]]*-1,Base_Periodo1[[#This Row],[SALDO_ATUAL]]),4)</f>
        <v>0.02</v>
      </c>
      <c r="N4114" t="s">
        <v>116</v>
      </c>
      <c r="O4114" t="s">
        <v>459</v>
      </c>
      <c r="P4114" t="s">
        <v>459</v>
      </c>
      <c r="Q4114">
        <v>7</v>
      </c>
      <c r="R4114" s="225">
        <f>Base_Periodo1[[#This Row],[CREDITOS]]-Base_Periodo1[[#This Row],[DEBITOS]]</f>
        <v>0</v>
      </c>
      <c r="S4114" s="3" t="str">
        <f>IF(ISERROR(VLOOKUP(Base_Periodo1[[#This Row],[CONTA]],BaseContasDRE[#All],4,FALSE)),"Fora do DRE",VLOOKUP(Base_Periodo1[[#This Row],[CONTA]],BaseContasDRE[#All],4,FALSE))</f>
        <v>Fora do DRE</v>
      </c>
      <c r="T4114" s="3" t="str">
        <f>IF(ISERROR(VLOOKUP(Base_Periodo1[[#This Row],[CONTA]],BaseContasDRE[#All],5,FALSE)),"Fora do DRE",VLOOKUP(Base_Periodo1[[#This Row],[CONTA]],BaseContasDRE[#All],6,FALSE))</f>
        <v>Fora do DRE</v>
      </c>
      <c r="U4114" s="3" t="str">
        <f>IF(ISERROR(VLOOKUP(Base_Periodo1[[#This Row],[CONTA]],BaseContasDRE[#All],7,FALSE)),"Fora do DRE",VLOOKUP(Base_Periodo1[[#This Row],[CONTA]],BaseContasDRE[#All],7,FALSE))</f>
        <v>Fora do DRE</v>
      </c>
      <c r="V4114" s="3" t="str">
        <f>IF(Base_Periodo1[[#This Row],[Tipo_Linha]]="Fora do DRE","Fora do DRE","( "&amp;Base_Periodo1[[#This Row],[Tipo_Linha]]&amp;" ) "&amp;Base_Periodo1[[#This Row],[Filtro]])</f>
        <v>Fora do DRE</v>
      </c>
      <c r="W4114" s="3" t="str">
        <f>LEFT(Base_Periodo1[[#This Row],[CLASS]],3)</f>
        <v>2.1</v>
      </c>
    </row>
    <row r="4115" spans="1:23" hidden="1">
      <c r="A4115" s="3" t="str">
        <f t="shared" si="64"/>
        <v>Período 1</v>
      </c>
      <c r="B4115">
        <v>2858</v>
      </c>
      <c r="C4115" t="s">
        <v>2148</v>
      </c>
      <c r="D4115" t="s">
        <v>2161</v>
      </c>
      <c r="E4115" s="3" t="str">
        <f>IF(LEN(Base_Periodo1[[#This Row],[CLASS]])&gt;=7,LEFT(Base_Periodo1[[#This Row],[CLASS]],7),"")</f>
        <v>2.1.2.2</v>
      </c>
      <c r="F4115" s="3" t="str">
        <f>VLOOKUP(Base_Periodo1[[#This Row],[Aux]],Base_Contas_Balanco[#All],2,FALSE)</f>
        <v>Fornecedores Não Cooperados</v>
      </c>
      <c r="G4115" s="1"/>
      <c r="H4115" s="225">
        <v>44</v>
      </c>
      <c r="I4115" s="225">
        <v>0</v>
      </c>
      <c r="J4115" s="225">
        <v>0</v>
      </c>
      <c r="K4115" s="225">
        <v>44</v>
      </c>
      <c r="L41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</v>
      </c>
      <c r="M4115" s="225">
        <f>ROUND(IF(AND(Base_Periodo1[[#This Row],[Tipo_Linha]]="-",Base_Periodo1[[#This Row],[TIPOSALDO]]="D"),Base_Periodo1[[#This Row],[SALDO_ATUAL]]*-1,Base_Periodo1[[#This Row],[SALDO_ATUAL]]),4)</f>
        <v>44</v>
      </c>
      <c r="N4115" t="s">
        <v>116</v>
      </c>
      <c r="O4115" t="s">
        <v>459</v>
      </c>
      <c r="P4115" t="s">
        <v>459</v>
      </c>
      <c r="Q4115">
        <v>7</v>
      </c>
      <c r="R4115" s="225">
        <f>Base_Periodo1[[#This Row],[CREDITOS]]-Base_Periodo1[[#This Row],[DEBITOS]]</f>
        <v>0</v>
      </c>
      <c r="S4115" s="3" t="str">
        <f>IF(ISERROR(VLOOKUP(Base_Periodo1[[#This Row],[CONTA]],BaseContasDRE[#All],4,FALSE)),"Fora do DRE",VLOOKUP(Base_Periodo1[[#This Row],[CONTA]],BaseContasDRE[#All],4,FALSE))</f>
        <v>Fora do DRE</v>
      </c>
      <c r="T4115" s="3" t="str">
        <f>IF(ISERROR(VLOOKUP(Base_Periodo1[[#This Row],[CONTA]],BaseContasDRE[#All],5,FALSE)),"Fora do DRE",VLOOKUP(Base_Periodo1[[#This Row],[CONTA]],BaseContasDRE[#All],6,FALSE))</f>
        <v>Fora do DRE</v>
      </c>
      <c r="U4115" s="3" t="str">
        <f>IF(ISERROR(VLOOKUP(Base_Periodo1[[#This Row],[CONTA]],BaseContasDRE[#All],7,FALSE)),"Fora do DRE",VLOOKUP(Base_Periodo1[[#This Row],[CONTA]],BaseContasDRE[#All],7,FALSE))</f>
        <v>Fora do DRE</v>
      </c>
      <c r="V4115" s="3" t="str">
        <f>IF(Base_Periodo1[[#This Row],[Tipo_Linha]]="Fora do DRE","Fora do DRE","( "&amp;Base_Periodo1[[#This Row],[Tipo_Linha]]&amp;" ) "&amp;Base_Periodo1[[#This Row],[Filtro]])</f>
        <v>Fora do DRE</v>
      </c>
      <c r="W4115" s="3" t="str">
        <f>LEFT(Base_Periodo1[[#This Row],[CLASS]],3)</f>
        <v>2.1</v>
      </c>
    </row>
    <row r="4116" spans="1:23" hidden="1">
      <c r="A4116" s="3" t="str">
        <f t="shared" si="64"/>
        <v>Período 1</v>
      </c>
      <c r="B4116">
        <v>42457</v>
      </c>
      <c r="C4116" t="s">
        <v>2148</v>
      </c>
      <c r="D4116" t="s">
        <v>6868</v>
      </c>
      <c r="E4116" s="3" t="str">
        <f>IF(LEN(Base_Periodo1[[#This Row],[CLASS]])&gt;=7,LEFT(Base_Periodo1[[#This Row],[CLASS]],7),"")</f>
        <v>2.1.2.2</v>
      </c>
      <c r="F4116" s="3" t="str">
        <f>VLOOKUP(Base_Periodo1[[#This Row],[Aux]],Base_Contas_Balanco[#All],2,FALSE)</f>
        <v>Fornecedores Não Cooperados</v>
      </c>
      <c r="G4116" s="1">
        <v>42884</v>
      </c>
      <c r="I4116" s="225">
        <v>114301.09</v>
      </c>
      <c r="J4116" s="225">
        <v>114301.09</v>
      </c>
      <c r="K4116" s="225">
        <v>0</v>
      </c>
      <c r="L41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16" s="225">
        <f>ROUND(IF(AND(Base_Periodo1[[#This Row],[Tipo_Linha]]="-",Base_Periodo1[[#This Row],[TIPOSALDO]]="D"),Base_Periodo1[[#This Row],[SALDO_ATUAL]]*-1,Base_Periodo1[[#This Row],[SALDO_ATUAL]]),4)</f>
        <v>0</v>
      </c>
      <c r="N4116" t="s">
        <v>116</v>
      </c>
      <c r="O4116" t="s">
        <v>436</v>
      </c>
      <c r="P4116" t="s">
        <v>436</v>
      </c>
      <c r="Q4116">
        <v>7</v>
      </c>
      <c r="R4116" s="225">
        <f>Base_Periodo1[[#This Row],[CREDITOS]]-Base_Periodo1[[#This Row],[DEBITOS]]</f>
        <v>0</v>
      </c>
      <c r="S4116" s="3" t="str">
        <f>IF(ISERROR(VLOOKUP(Base_Periodo1[[#This Row],[CONTA]],BaseContasDRE[#All],4,FALSE)),"Fora do DRE",VLOOKUP(Base_Periodo1[[#This Row],[CONTA]],BaseContasDRE[#All],4,FALSE))</f>
        <v>Fora do DRE</v>
      </c>
      <c r="T4116" s="3" t="str">
        <f>IF(ISERROR(VLOOKUP(Base_Periodo1[[#This Row],[CONTA]],BaseContasDRE[#All],5,FALSE)),"Fora do DRE",VLOOKUP(Base_Periodo1[[#This Row],[CONTA]],BaseContasDRE[#All],6,FALSE))</f>
        <v>Fora do DRE</v>
      </c>
      <c r="U4116" s="3" t="str">
        <f>IF(ISERROR(VLOOKUP(Base_Periodo1[[#This Row],[CONTA]],BaseContasDRE[#All],7,FALSE)),"Fora do DRE",VLOOKUP(Base_Periodo1[[#This Row],[CONTA]],BaseContasDRE[#All],7,FALSE))</f>
        <v>Fora do DRE</v>
      </c>
      <c r="V4116" s="3" t="str">
        <f>IF(Base_Periodo1[[#This Row],[Tipo_Linha]]="Fora do DRE","Fora do DRE","( "&amp;Base_Periodo1[[#This Row],[Tipo_Linha]]&amp;" ) "&amp;Base_Periodo1[[#This Row],[Filtro]])</f>
        <v>Fora do DRE</v>
      </c>
      <c r="W4116" s="3" t="str">
        <f>LEFT(Base_Periodo1[[#This Row],[CLASS]],3)</f>
        <v>2.1</v>
      </c>
    </row>
    <row r="4117" spans="1:23" hidden="1">
      <c r="A4117" s="3" t="str">
        <f t="shared" si="64"/>
        <v>Período 1</v>
      </c>
      <c r="B4117">
        <v>29344</v>
      </c>
      <c r="C4117" t="s">
        <v>2148</v>
      </c>
      <c r="D4117" t="s">
        <v>5445</v>
      </c>
      <c r="E4117" s="3" t="str">
        <f>IF(LEN(Base_Periodo1[[#This Row],[CLASS]])&gt;=7,LEFT(Base_Periodo1[[#This Row],[CLASS]],7),"")</f>
        <v>2.1.2.2</v>
      </c>
      <c r="F4117" s="3" t="str">
        <f>VLOOKUP(Base_Periodo1[[#This Row],[Aux]],Base_Contas_Balanco[#All],2,FALSE)</f>
        <v>Fornecedores Não Cooperados</v>
      </c>
      <c r="G4117" s="1">
        <v>42690</v>
      </c>
      <c r="H4117" s="225">
        <v>59.719999999999345</v>
      </c>
      <c r="I4117" s="225">
        <v>0</v>
      </c>
      <c r="J4117" s="225">
        <v>0</v>
      </c>
      <c r="K4117" s="225">
        <v>59.719999999999345</v>
      </c>
      <c r="L41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59.72</v>
      </c>
      <c r="M4117" s="225">
        <f>ROUND(IF(AND(Base_Periodo1[[#This Row],[Tipo_Linha]]="-",Base_Periodo1[[#This Row],[TIPOSALDO]]="D"),Base_Periodo1[[#This Row],[SALDO_ATUAL]]*-1,Base_Periodo1[[#This Row],[SALDO_ATUAL]]),4)</f>
        <v>59.72</v>
      </c>
      <c r="N4117" t="s">
        <v>116</v>
      </c>
      <c r="O4117" t="s">
        <v>459</v>
      </c>
      <c r="P4117" t="s">
        <v>459</v>
      </c>
      <c r="Q4117">
        <v>7</v>
      </c>
      <c r="R4117" s="225">
        <f>Base_Periodo1[[#This Row],[CREDITOS]]-Base_Periodo1[[#This Row],[DEBITOS]]</f>
        <v>0</v>
      </c>
      <c r="S4117" s="3" t="str">
        <f>IF(ISERROR(VLOOKUP(Base_Periodo1[[#This Row],[CONTA]],BaseContasDRE[#All],4,FALSE)),"Fora do DRE",VLOOKUP(Base_Periodo1[[#This Row],[CONTA]],BaseContasDRE[#All],4,FALSE))</f>
        <v>Fora do DRE</v>
      </c>
      <c r="T4117" s="3" t="str">
        <f>IF(ISERROR(VLOOKUP(Base_Periodo1[[#This Row],[CONTA]],BaseContasDRE[#All],5,FALSE)),"Fora do DRE",VLOOKUP(Base_Periodo1[[#This Row],[CONTA]],BaseContasDRE[#All],6,FALSE))</f>
        <v>Fora do DRE</v>
      </c>
      <c r="U4117" s="3" t="str">
        <f>IF(ISERROR(VLOOKUP(Base_Periodo1[[#This Row],[CONTA]],BaseContasDRE[#All],7,FALSE)),"Fora do DRE",VLOOKUP(Base_Periodo1[[#This Row],[CONTA]],BaseContasDRE[#All],7,FALSE))</f>
        <v>Fora do DRE</v>
      </c>
      <c r="V4117" s="3" t="str">
        <f>IF(Base_Periodo1[[#This Row],[Tipo_Linha]]="Fora do DRE","Fora do DRE","( "&amp;Base_Periodo1[[#This Row],[Tipo_Linha]]&amp;" ) "&amp;Base_Periodo1[[#This Row],[Filtro]])</f>
        <v>Fora do DRE</v>
      </c>
      <c r="W4117" s="3" t="str">
        <f>LEFT(Base_Periodo1[[#This Row],[CLASS]],3)</f>
        <v>2.1</v>
      </c>
    </row>
    <row r="4118" spans="1:23" hidden="1">
      <c r="A4118" s="3" t="str">
        <f t="shared" si="64"/>
        <v>Período 1</v>
      </c>
      <c r="B4118">
        <v>13254</v>
      </c>
      <c r="C4118" t="s">
        <v>2148</v>
      </c>
      <c r="D4118" t="s">
        <v>2162</v>
      </c>
      <c r="E4118" s="3" t="str">
        <f>IF(LEN(Base_Periodo1[[#This Row],[CLASS]])&gt;=7,LEFT(Base_Periodo1[[#This Row],[CLASS]],7),"")</f>
        <v>2.1.2.2</v>
      </c>
      <c r="F4118" s="3" t="str">
        <f>VLOOKUP(Base_Periodo1[[#This Row],[Aux]],Base_Contas_Balanco[#All],2,FALSE)</f>
        <v>Fornecedores Não Cooperados</v>
      </c>
      <c r="G4118" s="1">
        <v>42017</v>
      </c>
      <c r="H4118" s="225">
        <v>430.42000000000553</v>
      </c>
      <c r="I4118" s="225">
        <v>0</v>
      </c>
      <c r="J4118" s="225">
        <v>0</v>
      </c>
      <c r="K4118" s="225">
        <v>430.42000000000553</v>
      </c>
      <c r="L41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430.42</v>
      </c>
      <c r="M4118" s="225">
        <f>ROUND(IF(AND(Base_Periodo1[[#This Row],[Tipo_Linha]]="-",Base_Periodo1[[#This Row],[TIPOSALDO]]="D"),Base_Periodo1[[#This Row],[SALDO_ATUAL]]*-1,Base_Periodo1[[#This Row],[SALDO_ATUAL]]),4)</f>
        <v>430.42</v>
      </c>
      <c r="N4118" t="s">
        <v>116</v>
      </c>
      <c r="O4118" t="s">
        <v>459</v>
      </c>
      <c r="P4118" t="s">
        <v>459</v>
      </c>
      <c r="Q4118">
        <v>7</v>
      </c>
      <c r="R4118" s="225">
        <f>Base_Periodo1[[#This Row],[CREDITOS]]-Base_Periodo1[[#This Row],[DEBITOS]]</f>
        <v>0</v>
      </c>
      <c r="S4118" s="3" t="str">
        <f>IF(ISERROR(VLOOKUP(Base_Periodo1[[#This Row],[CONTA]],BaseContasDRE[#All],4,FALSE)),"Fora do DRE",VLOOKUP(Base_Periodo1[[#This Row],[CONTA]],BaseContasDRE[#All],4,FALSE))</f>
        <v>Fora do DRE</v>
      </c>
      <c r="T4118" s="3" t="str">
        <f>IF(ISERROR(VLOOKUP(Base_Periodo1[[#This Row],[CONTA]],BaseContasDRE[#All],5,FALSE)),"Fora do DRE",VLOOKUP(Base_Periodo1[[#This Row],[CONTA]],BaseContasDRE[#All],6,FALSE))</f>
        <v>Fora do DRE</v>
      </c>
      <c r="U4118" s="3" t="str">
        <f>IF(ISERROR(VLOOKUP(Base_Periodo1[[#This Row],[CONTA]],BaseContasDRE[#All],7,FALSE)),"Fora do DRE",VLOOKUP(Base_Periodo1[[#This Row],[CONTA]],BaseContasDRE[#All],7,FALSE))</f>
        <v>Fora do DRE</v>
      </c>
      <c r="V4118" s="3" t="str">
        <f>IF(Base_Periodo1[[#This Row],[Tipo_Linha]]="Fora do DRE","Fora do DRE","( "&amp;Base_Periodo1[[#This Row],[Tipo_Linha]]&amp;" ) "&amp;Base_Periodo1[[#This Row],[Filtro]])</f>
        <v>Fora do DRE</v>
      </c>
      <c r="W4118" s="3" t="str">
        <f>LEFT(Base_Periodo1[[#This Row],[CLASS]],3)</f>
        <v>2.1</v>
      </c>
    </row>
    <row r="4119" spans="1:23" hidden="1">
      <c r="A4119" s="3" t="str">
        <f t="shared" si="64"/>
        <v>Período 1</v>
      </c>
      <c r="B4119">
        <v>29750</v>
      </c>
      <c r="C4119" t="s">
        <v>2148</v>
      </c>
      <c r="D4119" t="s">
        <v>5475</v>
      </c>
      <c r="E4119" s="3" t="str">
        <f>IF(LEN(Base_Periodo1[[#This Row],[CLASS]])&gt;=7,LEFT(Base_Periodo1[[#This Row],[CLASS]],7),"")</f>
        <v>2.1.2.2</v>
      </c>
      <c r="F4119" s="3" t="str">
        <f>VLOOKUP(Base_Periodo1[[#This Row],[Aux]],Base_Contas_Balanco[#All],2,FALSE)</f>
        <v>Fornecedores Não Cooperados</v>
      </c>
      <c r="G4119" s="1">
        <v>42223</v>
      </c>
      <c r="H4119" s="225">
        <v>270053.69999999995</v>
      </c>
      <c r="I4119" s="225">
        <v>0</v>
      </c>
      <c r="J4119" s="225">
        <v>0</v>
      </c>
      <c r="K4119" s="225">
        <v>270053.69999999995</v>
      </c>
      <c r="L41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270053.7</v>
      </c>
      <c r="M4119" s="225">
        <f>ROUND(IF(AND(Base_Periodo1[[#This Row],[Tipo_Linha]]="-",Base_Periodo1[[#This Row],[TIPOSALDO]]="D"),Base_Periodo1[[#This Row],[SALDO_ATUAL]]*-1,Base_Periodo1[[#This Row],[SALDO_ATUAL]]),4)</f>
        <v>270053.7</v>
      </c>
      <c r="N4119" t="s">
        <v>116</v>
      </c>
      <c r="O4119" t="s">
        <v>459</v>
      </c>
      <c r="P4119" t="s">
        <v>459</v>
      </c>
      <c r="Q4119">
        <v>7</v>
      </c>
      <c r="R4119" s="225">
        <f>Base_Periodo1[[#This Row],[CREDITOS]]-Base_Periodo1[[#This Row],[DEBITOS]]</f>
        <v>0</v>
      </c>
      <c r="S4119" s="3" t="str">
        <f>IF(ISERROR(VLOOKUP(Base_Periodo1[[#This Row],[CONTA]],BaseContasDRE[#All],4,FALSE)),"Fora do DRE",VLOOKUP(Base_Periodo1[[#This Row],[CONTA]],BaseContasDRE[#All],4,FALSE))</f>
        <v>Fora do DRE</v>
      </c>
      <c r="T4119" s="3" t="str">
        <f>IF(ISERROR(VLOOKUP(Base_Periodo1[[#This Row],[CONTA]],BaseContasDRE[#All],5,FALSE)),"Fora do DRE",VLOOKUP(Base_Periodo1[[#This Row],[CONTA]],BaseContasDRE[#All],6,FALSE))</f>
        <v>Fora do DRE</v>
      </c>
      <c r="U4119" s="3" t="str">
        <f>IF(ISERROR(VLOOKUP(Base_Periodo1[[#This Row],[CONTA]],BaseContasDRE[#All],7,FALSE)),"Fora do DRE",VLOOKUP(Base_Periodo1[[#This Row],[CONTA]],BaseContasDRE[#All],7,FALSE))</f>
        <v>Fora do DRE</v>
      </c>
      <c r="V4119" s="3" t="str">
        <f>IF(Base_Periodo1[[#This Row],[Tipo_Linha]]="Fora do DRE","Fora do DRE","( "&amp;Base_Periodo1[[#This Row],[Tipo_Linha]]&amp;" ) "&amp;Base_Periodo1[[#This Row],[Filtro]])</f>
        <v>Fora do DRE</v>
      </c>
      <c r="W4119" s="3" t="str">
        <f>LEFT(Base_Periodo1[[#This Row],[CLASS]],3)</f>
        <v>2.1</v>
      </c>
    </row>
    <row r="4120" spans="1:23" hidden="1">
      <c r="A4120" s="3" t="str">
        <f t="shared" si="64"/>
        <v>Período 1</v>
      </c>
      <c r="B4120">
        <v>23467</v>
      </c>
      <c r="C4120" t="s">
        <v>2148</v>
      </c>
      <c r="D4120" t="s">
        <v>2163</v>
      </c>
      <c r="E4120" s="3" t="str">
        <f>IF(LEN(Base_Periodo1[[#This Row],[CLASS]])&gt;=7,LEFT(Base_Periodo1[[#This Row],[CLASS]],7),"")</f>
        <v>2.1.2.2</v>
      </c>
      <c r="F4120" s="3" t="str">
        <f>VLOOKUP(Base_Periodo1[[#This Row],[Aux]],Base_Contas_Balanco[#All],2,FALSE)</f>
        <v>Fornecedores Não Cooperados</v>
      </c>
      <c r="G4120" s="1">
        <v>41582</v>
      </c>
      <c r="H4120" s="225">
        <v>2.0000000000436557E-2</v>
      </c>
      <c r="I4120" s="225">
        <v>0</v>
      </c>
      <c r="J4120" s="225">
        <v>0</v>
      </c>
      <c r="K4120" s="225">
        <v>2.0000000000436557E-2</v>
      </c>
      <c r="L41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4120" s="225">
        <f>ROUND(IF(AND(Base_Periodo1[[#This Row],[Tipo_Linha]]="-",Base_Periodo1[[#This Row],[TIPOSALDO]]="D"),Base_Periodo1[[#This Row],[SALDO_ATUAL]]*-1,Base_Periodo1[[#This Row],[SALDO_ATUAL]]),4)</f>
        <v>0.02</v>
      </c>
      <c r="N4120" t="s">
        <v>116</v>
      </c>
      <c r="O4120" t="s">
        <v>459</v>
      </c>
      <c r="P4120" t="s">
        <v>459</v>
      </c>
      <c r="Q4120">
        <v>7</v>
      </c>
      <c r="R4120" s="225">
        <f>Base_Periodo1[[#This Row],[CREDITOS]]-Base_Periodo1[[#This Row],[DEBITOS]]</f>
        <v>0</v>
      </c>
      <c r="S4120" s="3" t="str">
        <f>IF(ISERROR(VLOOKUP(Base_Periodo1[[#This Row],[CONTA]],BaseContasDRE[#All],4,FALSE)),"Fora do DRE",VLOOKUP(Base_Periodo1[[#This Row],[CONTA]],BaseContasDRE[#All],4,FALSE))</f>
        <v>Fora do DRE</v>
      </c>
      <c r="T4120" s="3" t="str">
        <f>IF(ISERROR(VLOOKUP(Base_Periodo1[[#This Row],[CONTA]],BaseContasDRE[#All],5,FALSE)),"Fora do DRE",VLOOKUP(Base_Periodo1[[#This Row],[CONTA]],BaseContasDRE[#All],6,FALSE))</f>
        <v>Fora do DRE</v>
      </c>
      <c r="U4120" s="3" t="str">
        <f>IF(ISERROR(VLOOKUP(Base_Periodo1[[#This Row],[CONTA]],BaseContasDRE[#All],7,FALSE)),"Fora do DRE",VLOOKUP(Base_Periodo1[[#This Row],[CONTA]],BaseContasDRE[#All],7,FALSE))</f>
        <v>Fora do DRE</v>
      </c>
      <c r="V4120" s="3" t="str">
        <f>IF(Base_Periodo1[[#This Row],[Tipo_Linha]]="Fora do DRE","Fora do DRE","( "&amp;Base_Periodo1[[#This Row],[Tipo_Linha]]&amp;" ) "&amp;Base_Periodo1[[#This Row],[Filtro]])</f>
        <v>Fora do DRE</v>
      </c>
      <c r="W4120" s="3" t="str">
        <f>LEFT(Base_Periodo1[[#This Row],[CLASS]],3)</f>
        <v>2.1</v>
      </c>
    </row>
    <row r="4121" spans="1:23" hidden="1">
      <c r="A4121" s="3" t="str">
        <f t="shared" si="64"/>
        <v>Período 1</v>
      </c>
      <c r="B4121">
        <v>33591</v>
      </c>
      <c r="C4121" t="s">
        <v>2148</v>
      </c>
      <c r="D4121" t="s">
        <v>5088</v>
      </c>
      <c r="E4121" s="3" t="str">
        <f>IF(LEN(Base_Periodo1[[#This Row],[CLASS]])&gt;=7,LEFT(Base_Periodo1[[#This Row],[CLASS]],7),"")</f>
        <v>2.1.2.2</v>
      </c>
      <c r="F4121" s="3" t="str">
        <f>VLOOKUP(Base_Periodo1[[#This Row],[Aux]],Base_Contas_Balanco[#All],2,FALSE)</f>
        <v>Fornecedores Não Cooperados</v>
      </c>
      <c r="G4121" s="1">
        <v>42690</v>
      </c>
      <c r="H4121" s="225">
        <v>492.05999999999995</v>
      </c>
      <c r="I4121" s="225">
        <v>0</v>
      </c>
      <c r="J4121" s="225">
        <v>0</v>
      </c>
      <c r="K4121" s="225">
        <v>492.05999999999995</v>
      </c>
      <c r="L41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492.06</v>
      </c>
      <c r="M4121" s="225">
        <f>ROUND(IF(AND(Base_Periodo1[[#This Row],[Tipo_Linha]]="-",Base_Periodo1[[#This Row],[TIPOSALDO]]="D"),Base_Periodo1[[#This Row],[SALDO_ATUAL]]*-1,Base_Periodo1[[#This Row],[SALDO_ATUAL]]),4)</f>
        <v>492.06</v>
      </c>
      <c r="N4121" t="s">
        <v>116</v>
      </c>
      <c r="O4121" t="s">
        <v>459</v>
      </c>
      <c r="P4121" t="s">
        <v>459</v>
      </c>
      <c r="Q4121">
        <v>7</v>
      </c>
      <c r="R4121" s="225">
        <f>Base_Periodo1[[#This Row],[CREDITOS]]-Base_Periodo1[[#This Row],[DEBITOS]]</f>
        <v>0</v>
      </c>
      <c r="S4121" s="3" t="str">
        <f>IF(ISERROR(VLOOKUP(Base_Periodo1[[#This Row],[CONTA]],BaseContasDRE[#All],4,FALSE)),"Fora do DRE",VLOOKUP(Base_Periodo1[[#This Row],[CONTA]],BaseContasDRE[#All],4,FALSE))</f>
        <v>Fora do DRE</v>
      </c>
      <c r="T4121" s="3" t="str">
        <f>IF(ISERROR(VLOOKUP(Base_Periodo1[[#This Row],[CONTA]],BaseContasDRE[#All],5,FALSE)),"Fora do DRE",VLOOKUP(Base_Periodo1[[#This Row],[CONTA]],BaseContasDRE[#All],6,FALSE))</f>
        <v>Fora do DRE</v>
      </c>
      <c r="U4121" s="3" t="str">
        <f>IF(ISERROR(VLOOKUP(Base_Periodo1[[#This Row],[CONTA]],BaseContasDRE[#All],7,FALSE)),"Fora do DRE",VLOOKUP(Base_Periodo1[[#This Row],[CONTA]],BaseContasDRE[#All],7,FALSE))</f>
        <v>Fora do DRE</v>
      </c>
      <c r="V4121" s="3" t="str">
        <f>IF(Base_Periodo1[[#This Row],[Tipo_Linha]]="Fora do DRE","Fora do DRE","( "&amp;Base_Periodo1[[#This Row],[Tipo_Linha]]&amp;" ) "&amp;Base_Periodo1[[#This Row],[Filtro]])</f>
        <v>Fora do DRE</v>
      </c>
      <c r="W4121" s="3" t="str">
        <f>LEFT(Base_Periodo1[[#This Row],[CLASS]],3)</f>
        <v>2.1</v>
      </c>
    </row>
    <row r="4122" spans="1:23" hidden="1">
      <c r="A4122" s="3" t="str">
        <f t="shared" si="64"/>
        <v>Período 1</v>
      </c>
      <c r="B4122">
        <v>58169</v>
      </c>
      <c r="C4122" t="s">
        <v>2148</v>
      </c>
      <c r="D4122" t="s">
        <v>6547</v>
      </c>
      <c r="E4122" s="3" t="str">
        <f>IF(LEN(Base_Periodo1[[#This Row],[CLASS]])&gt;=7,LEFT(Base_Periodo1[[#This Row],[CLASS]],7),"")</f>
        <v>2.1.2.2</v>
      </c>
      <c r="F4122" s="3" t="str">
        <f>VLOOKUP(Base_Periodo1[[#This Row],[Aux]],Base_Contas_Balanco[#All],2,FALSE)</f>
        <v>Fornecedores Não Cooperados</v>
      </c>
      <c r="G4122" s="1">
        <v>42885</v>
      </c>
      <c r="H4122" s="225">
        <v>3521.44</v>
      </c>
      <c r="I4122" s="225">
        <v>10564.32</v>
      </c>
      <c r="J4122" s="225">
        <v>7042.88</v>
      </c>
      <c r="K4122" s="225">
        <v>-9.0949470177292824E-13</v>
      </c>
      <c r="L41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22" s="225">
        <f>ROUND(IF(AND(Base_Periodo1[[#This Row],[Tipo_Linha]]="-",Base_Periodo1[[#This Row],[TIPOSALDO]]="D"),Base_Periodo1[[#This Row],[SALDO_ATUAL]]*-1,Base_Periodo1[[#This Row],[SALDO_ATUAL]]),4)</f>
        <v>0</v>
      </c>
      <c r="N4122" t="s">
        <v>116</v>
      </c>
      <c r="O4122" t="s">
        <v>459</v>
      </c>
      <c r="P4122" t="s">
        <v>436</v>
      </c>
      <c r="Q4122">
        <v>7</v>
      </c>
      <c r="R4122" s="225">
        <f>Base_Periodo1[[#This Row],[CREDITOS]]-Base_Periodo1[[#This Row],[DEBITOS]]</f>
        <v>-3521.4399999999996</v>
      </c>
      <c r="S4122" s="3" t="str">
        <f>IF(ISERROR(VLOOKUP(Base_Periodo1[[#This Row],[CONTA]],BaseContasDRE[#All],4,FALSE)),"Fora do DRE",VLOOKUP(Base_Periodo1[[#This Row],[CONTA]],BaseContasDRE[#All],4,FALSE))</f>
        <v>Fora do DRE</v>
      </c>
      <c r="T4122" s="3" t="str">
        <f>IF(ISERROR(VLOOKUP(Base_Periodo1[[#This Row],[CONTA]],BaseContasDRE[#All],5,FALSE)),"Fora do DRE",VLOOKUP(Base_Periodo1[[#This Row],[CONTA]],BaseContasDRE[#All],6,FALSE))</f>
        <v>Fora do DRE</v>
      </c>
      <c r="U4122" s="3" t="str">
        <f>IF(ISERROR(VLOOKUP(Base_Periodo1[[#This Row],[CONTA]],BaseContasDRE[#All],7,FALSE)),"Fora do DRE",VLOOKUP(Base_Periodo1[[#This Row],[CONTA]],BaseContasDRE[#All],7,FALSE))</f>
        <v>Fora do DRE</v>
      </c>
      <c r="V4122" s="3" t="str">
        <f>IF(Base_Periodo1[[#This Row],[Tipo_Linha]]="Fora do DRE","Fora do DRE","( "&amp;Base_Periodo1[[#This Row],[Tipo_Linha]]&amp;" ) "&amp;Base_Periodo1[[#This Row],[Filtro]])</f>
        <v>Fora do DRE</v>
      </c>
      <c r="W4122" s="3" t="str">
        <f>LEFT(Base_Periodo1[[#This Row],[CLASS]],3)</f>
        <v>2.1</v>
      </c>
    </row>
    <row r="4123" spans="1:23" hidden="1">
      <c r="A4123" s="3" t="str">
        <f t="shared" si="64"/>
        <v>Período 1</v>
      </c>
      <c r="B4123">
        <v>2594</v>
      </c>
      <c r="C4123" t="s">
        <v>2148</v>
      </c>
      <c r="D4123" t="s">
        <v>2165</v>
      </c>
      <c r="E4123" s="3" t="str">
        <f>IF(LEN(Base_Periodo1[[#This Row],[CLASS]])&gt;=7,LEFT(Base_Periodo1[[#This Row],[CLASS]],7),"")</f>
        <v>2.1.2.2</v>
      </c>
      <c r="F4123" s="3" t="str">
        <f>VLOOKUP(Base_Periodo1[[#This Row],[Aux]],Base_Contas_Balanco[#All],2,FALSE)</f>
        <v>Fornecedores Não Cooperados</v>
      </c>
      <c r="G4123" s="1">
        <v>42723</v>
      </c>
      <c r="H4123" s="225">
        <v>0.77999999996973202</v>
      </c>
      <c r="I4123" s="225">
        <v>0</v>
      </c>
      <c r="J4123" s="225">
        <v>0</v>
      </c>
      <c r="K4123" s="225">
        <v>0.77999999996973202</v>
      </c>
      <c r="L41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0.78</v>
      </c>
      <c r="M4123" s="225">
        <f>ROUND(IF(AND(Base_Periodo1[[#This Row],[Tipo_Linha]]="-",Base_Periodo1[[#This Row],[TIPOSALDO]]="D"),Base_Periodo1[[#This Row],[SALDO_ATUAL]]*-1,Base_Periodo1[[#This Row],[SALDO_ATUAL]]),4)</f>
        <v>0.78</v>
      </c>
      <c r="N4123" t="s">
        <v>116</v>
      </c>
      <c r="O4123" t="s">
        <v>459</v>
      </c>
      <c r="P4123" t="s">
        <v>459</v>
      </c>
      <c r="Q4123">
        <v>7</v>
      </c>
      <c r="R4123" s="225">
        <f>Base_Periodo1[[#This Row],[CREDITOS]]-Base_Periodo1[[#This Row],[DEBITOS]]</f>
        <v>0</v>
      </c>
      <c r="S4123" s="3" t="str">
        <f>IF(ISERROR(VLOOKUP(Base_Periodo1[[#This Row],[CONTA]],BaseContasDRE[#All],4,FALSE)),"Fora do DRE",VLOOKUP(Base_Periodo1[[#This Row],[CONTA]],BaseContasDRE[#All],4,FALSE))</f>
        <v>Fora do DRE</v>
      </c>
      <c r="T4123" s="3" t="str">
        <f>IF(ISERROR(VLOOKUP(Base_Periodo1[[#This Row],[CONTA]],BaseContasDRE[#All],5,FALSE)),"Fora do DRE",VLOOKUP(Base_Periodo1[[#This Row],[CONTA]],BaseContasDRE[#All],6,FALSE))</f>
        <v>Fora do DRE</v>
      </c>
      <c r="U4123" s="3" t="str">
        <f>IF(ISERROR(VLOOKUP(Base_Periodo1[[#This Row],[CONTA]],BaseContasDRE[#All],7,FALSE)),"Fora do DRE",VLOOKUP(Base_Periodo1[[#This Row],[CONTA]],BaseContasDRE[#All],7,FALSE))</f>
        <v>Fora do DRE</v>
      </c>
      <c r="V4123" s="3" t="str">
        <f>IF(Base_Periodo1[[#This Row],[Tipo_Linha]]="Fora do DRE","Fora do DRE","( "&amp;Base_Periodo1[[#This Row],[Tipo_Linha]]&amp;" ) "&amp;Base_Periodo1[[#This Row],[Filtro]])</f>
        <v>Fora do DRE</v>
      </c>
      <c r="W4123" s="3" t="str">
        <f>LEFT(Base_Periodo1[[#This Row],[CLASS]],3)</f>
        <v>2.1</v>
      </c>
    </row>
    <row r="4124" spans="1:23" hidden="1">
      <c r="A4124" s="3" t="str">
        <f t="shared" si="64"/>
        <v>Período 1</v>
      </c>
      <c r="B4124">
        <v>4414</v>
      </c>
      <c r="C4124" t="s">
        <v>2148</v>
      </c>
      <c r="D4124" t="s">
        <v>5446</v>
      </c>
      <c r="E4124" s="3" t="str">
        <f>IF(LEN(Base_Periodo1[[#This Row],[CLASS]])&gt;=7,LEFT(Base_Periodo1[[#This Row],[CLASS]],7),"")</f>
        <v>2.1.2.2</v>
      </c>
      <c r="F4124" s="3" t="str">
        <f>VLOOKUP(Base_Periodo1[[#This Row],[Aux]],Base_Contas_Balanco[#All],2,FALSE)</f>
        <v>Fornecedores Não Cooperados</v>
      </c>
      <c r="G4124" s="1">
        <v>42788</v>
      </c>
      <c r="H4124" s="225">
        <v>7334.1799999999348</v>
      </c>
      <c r="I4124" s="225">
        <v>0</v>
      </c>
      <c r="J4124" s="225">
        <v>0</v>
      </c>
      <c r="K4124" s="225">
        <v>7334.1799999999348</v>
      </c>
      <c r="L41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7334.18</v>
      </c>
      <c r="M4124" s="225">
        <f>ROUND(IF(AND(Base_Periodo1[[#This Row],[Tipo_Linha]]="-",Base_Periodo1[[#This Row],[TIPOSALDO]]="D"),Base_Periodo1[[#This Row],[SALDO_ATUAL]]*-1,Base_Periodo1[[#This Row],[SALDO_ATUAL]]),4)</f>
        <v>7334.18</v>
      </c>
      <c r="N4124" t="s">
        <v>116</v>
      </c>
      <c r="O4124" t="s">
        <v>459</v>
      </c>
      <c r="P4124" t="s">
        <v>459</v>
      </c>
      <c r="Q4124">
        <v>7</v>
      </c>
      <c r="R4124" s="225">
        <f>Base_Periodo1[[#This Row],[CREDITOS]]-Base_Periodo1[[#This Row],[DEBITOS]]</f>
        <v>0</v>
      </c>
      <c r="S4124" s="3" t="str">
        <f>IF(ISERROR(VLOOKUP(Base_Periodo1[[#This Row],[CONTA]],BaseContasDRE[#All],4,FALSE)),"Fora do DRE",VLOOKUP(Base_Periodo1[[#This Row],[CONTA]],BaseContasDRE[#All],4,FALSE))</f>
        <v>Fora do DRE</v>
      </c>
      <c r="T4124" s="3" t="str">
        <f>IF(ISERROR(VLOOKUP(Base_Periodo1[[#This Row],[CONTA]],BaseContasDRE[#All],5,FALSE)),"Fora do DRE",VLOOKUP(Base_Periodo1[[#This Row],[CONTA]],BaseContasDRE[#All],6,FALSE))</f>
        <v>Fora do DRE</v>
      </c>
      <c r="U4124" s="3" t="str">
        <f>IF(ISERROR(VLOOKUP(Base_Periodo1[[#This Row],[CONTA]],BaseContasDRE[#All],7,FALSE)),"Fora do DRE",VLOOKUP(Base_Periodo1[[#This Row],[CONTA]],BaseContasDRE[#All],7,FALSE))</f>
        <v>Fora do DRE</v>
      </c>
      <c r="V4124" s="3" t="str">
        <f>IF(Base_Periodo1[[#This Row],[Tipo_Linha]]="Fora do DRE","Fora do DRE","( "&amp;Base_Periodo1[[#This Row],[Tipo_Linha]]&amp;" ) "&amp;Base_Periodo1[[#This Row],[Filtro]])</f>
        <v>Fora do DRE</v>
      </c>
      <c r="W4124" s="3" t="str">
        <f>LEFT(Base_Periodo1[[#This Row],[CLASS]],3)</f>
        <v>2.1</v>
      </c>
    </row>
    <row r="4125" spans="1:23" hidden="1">
      <c r="A4125" s="3" t="str">
        <f t="shared" si="64"/>
        <v>Período 1</v>
      </c>
      <c r="B4125">
        <v>26869</v>
      </c>
      <c r="C4125" t="s">
        <v>2148</v>
      </c>
      <c r="D4125" t="s">
        <v>4866</v>
      </c>
      <c r="E4125" s="3" t="str">
        <f>IF(LEN(Base_Periodo1[[#This Row],[CLASS]])&gt;=7,LEFT(Base_Periodo1[[#This Row],[CLASS]],7),"")</f>
        <v>2.1.2.2</v>
      </c>
      <c r="F4125" s="3" t="str">
        <f>VLOOKUP(Base_Periodo1[[#This Row],[Aux]],Base_Contas_Balanco[#All],2,FALSE)</f>
        <v>Fornecedores Não Cooperados</v>
      </c>
      <c r="G4125" s="1">
        <v>42739</v>
      </c>
      <c r="H4125" s="225">
        <v>8015.1500000000015</v>
      </c>
      <c r="I4125" s="225">
        <v>0</v>
      </c>
      <c r="J4125" s="225">
        <v>0</v>
      </c>
      <c r="K4125" s="225">
        <v>8015.1500000000015</v>
      </c>
      <c r="L41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8015.15</v>
      </c>
      <c r="M4125" s="225">
        <f>ROUND(IF(AND(Base_Periodo1[[#This Row],[Tipo_Linha]]="-",Base_Periodo1[[#This Row],[TIPOSALDO]]="D"),Base_Periodo1[[#This Row],[SALDO_ATUAL]]*-1,Base_Periodo1[[#This Row],[SALDO_ATUAL]]),4)</f>
        <v>8015.15</v>
      </c>
      <c r="N4125" t="s">
        <v>116</v>
      </c>
      <c r="O4125" t="s">
        <v>459</v>
      </c>
      <c r="P4125" t="s">
        <v>459</v>
      </c>
      <c r="Q4125">
        <v>7</v>
      </c>
      <c r="R4125" s="225">
        <f>Base_Periodo1[[#This Row],[CREDITOS]]-Base_Periodo1[[#This Row],[DEBITOS]]</f>
        <v>0</v>
      </c>
      <c r="S4125" s="3" t="str">
        <f>IF(ISERROR(VLOOKUP(Base_Periodo1[[#This Row],[CONTA]],BaseContasDRE[#All],4,FALSE)),"Fora do DRE",VLOOKUP(Base_Periodo1[[#This Row],[CONTA]],BaseContasDRE[#All],4,FALSE))</f>
        <v>Fora do DRE</v>
      </c>
      <c r="T4125" s="3" t="str">
        <f>IF(ISERROR(VLOOKUP(Base_Periodo1[[#This Row],[CONTA]],BaseContasDRE[#All],5,FALSE)),"Fora do DRE",VLOOKUP(Base_Periodo1[[#This Row],[CONTA]],BaseContasDRE[#All],6,FALSE))</f>
        <v>Fora do DRE</v>
      </c>
      <c r="U4125" s="3" t="str">
        <f>IF(ISERROR(VLOOKUP(Base_Periodo1[[#This Row],[CONTA]],BaseContasDRE[#All],7,FALSE)),"Fora do DRE",VLOOKUP(Base_Periodo1[[#This Row],[CONTA]],BaseContasDRE[#All],7,FALSE))</f>
        <v>Fora do DRE</v>
      </c>
      <c r="V4125" s="3" t="str">
        <f>IF(Base_Periodo1[[#This Row],[Tipo_Linha]]="Fora do DRE","Fora do DRE","( "&amp;Base_Periodo1[[#This Row],[Tipo_Linha]]&amp;" ) "&amp;Base_Periodo1[[#This Row],[Filtro]])</f>
        <v>Fora do DRE</v>
      </c>
      <c r="W4125" s="3" t="str">
        <f>LEFT(Base_Periodo1[[#This Row],[CLASS]],3)</f>
        <v>2.1</v>
      </c>
    </row>
    <row r="4126" spans="1:23" hidden="1">
      <c r="A4126" s="3" t="str">
        <f t="shared" si="64"/>
        <v>Período 1</v>
      </c>
      <c r="B4126">
        <v>20588</v>
      </c>
      <c r="C4126" t="s">
        <v>2148</v>
      </c>
      <c r="D4126" t="s">
        <v>2166</v>
      </c>
      <c r="E4126" s="3" t="str">
        <f>IF(LEN(Base_Periodo1[[#This Row],[CLASS]])&gt;=7,LEFT(Base_Periodo1[[#This Row],[CLASS]],7),"")</f>
        <v>2.1.2.2</v>
      </c>
      <c r="F4126" s="3" t="str">
        <f>VLOOKUP(Base_Periodo1[[#This Row],[Aux]],Base_Contas_Balanco[#All],2,FALSE)</f>
        <v>Fornecedores Não Cooperados</v>
      </c>
      <c r="G4126" s="1">
        <v>41458</v>
      </c>
      <c r="H4126" s="225">
        <v>3.9999999993597157E-2</v>
      </c>
      <c r="I4126" s="225">
        <v>0</v>
      </c>
      <c r="J4126" s="225">
        <v>0</v>
      </c>
      <c r="K4126" s="225">
        <v>3.9999999993597157E-2</v>
      </c>
      <c r="L41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0.04</v>
      </c>
      <c r="M4126" s="225">
        <f>ROUND(IF(AND(Base_Periodo1[[#This Row],[Tipo_Linha]]="-",Base_Periodo1[[#This Row],[TIPOSALDO]]="D"),Base_Periodo1[[#This Row],[SALDO_ATUAL]]*-1,Base_Periodo1[[#This Row],[SALDO_ATUAL]]),4)</f>
        <v>0.04</v>
      </c>
      <c r="N4126" t="s">
        <v>116</v>
      </c>
      <c r="O4126" t="s">
        <v>459</v>
      </c>
      <c r="P4126" t="s">
        <v>459</v>
      </c>
      <c r="Q4126">
        <v>7</v>
      </c>
      <c r="R4126" s="225">
        <f>Base_Periodo1[[#This Row],[CREDITOS]]-Base_Periodo1[[#This Row],[DEBITOS]]</f>
        <v>0</v>
      </c>
      <c r="S4126" s="3" t="str">
        <f>IF(ISERROR(VLOOKUP(Base_Periodo1[[#This Row],[CONTA]],BaseContasDRE[#All],4,FALSE)),"Fora do DRE",VLOOKUP(Base_Periodo1[[#This Row],[CONTA]],BaseContasDRE[#All],4,FALSE))</f>
        <v>Fora do DRE</v>
      </c>
      <c r="T4126" s="3" t="str">
        <f>IF(ISERROR(VLOOKUP(Base_Periodo1[[#This Row],[CONTA]],BaseContasDRE[#All],5,FALSE)),"Fora do DRE",VLOOKUP(Base_Periodo1[[#This Row],[CONTA]],BaseContasDRE[#All],6,FALSE))</f>
        <v>Fora do DRE</v>
      </c>
      <c r="U4126" s="3" t="str">
        <f>IF(ISERROR(VLOOKUP(Base_Periodo1[[#This Row],[CONTA]],BaseContasDRE[#All],7,FALSE)),"Fora do DRE",VLOOKUP(Base_Periodo1[[#This Row],[CONTA]],BaseContasDRE[#All],7,FALSE))</f>
        <v>Fora do DRE</v>
      </c>
      <c r="V4126" s="3" t="str">
        <f>IF(Base_Periodo1[[#This Row],[Tipo_Linha]]="Fora do DRE","Fora do DRE","( "&amp;Base_Periodo1[[#This Row],[Tipo_Linha]]&amp;" ) "&amp;Base_Periodo1[[#This Row],[Filtro]])</f>
        <v>Fora do DRE</v>
      </c>
      <c r="W4126" s="3" t="str">
        <f>LEFT(Base_Periodo1[[#This Row],[CLASS]],3)</f>
        <v>2.1</v>
      </c>
    </row>
    <row r="4127" spans="1:23" hidden="1">
      <c r="A4127" s="3" t="str">
        <f t="shared" si="64"/>
        <v>Período 1</v>
      </c>
      <c r="B4127">
        <v>7115</v>
      </c>
      <c r="C4127" t="s">
        <v>2148</v>
      </c>
      <c r="D4127" t="s">
        <v>2167</v>
      </c>
      <c r="E4127" s="3" t="str">
        <f>IF(LEN(Base_Periodo1[[#This Row],[CLASS]])&gt;=7,LEFT(Base_Periodo1[[#This Row],[CLASS]],7),"")</f>
        <v>2.1.2.2</v>
      </c>
      <c r="F4127" s="3" t="str">
        <f>VLOOKUP(Base_Periodo1[[#This Row],[Aux]],Base_Contas_Balanco[#All],2,FALSE)</f>
        <v>Fornecedores Não Cooperados</v>
      </c>
      <c r="G4127" s="1">
        <v>42662</v>
      </c>
      <c r="H4127" s="225">
        <v>1.0000000002037268E-2</v>
      </c>
      <c r="I4127" s="225">
        <v>0</v>
      </c>
      <c r="J4127" s="225">
        <v>0</v>
      </c>
      <c r="K4127" s="225">
        <v>1.0000000002037268E-2</v>
      </c>
      <c r="L41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127" s="225">
        <f>ROUND(IF(AND(Base_Periodo1[[#This Row],[Tipo_Linha]]="-",Base_Periodo1[[#This Row],[TIPOSALDO]]="D"),Base_Periodo1[[#This Row],[SALDO_ATUAL]]*-1,Base_Periodo1[[#This Row],[SALDO_ATUAL]]),4)</f>
        <v>0.01</v>
      </c>
      <c r="N4127" t="s">
        <v>116</v>
      </c>
      <c r="O4127" t="s">
        <v>459</v>
      </c>
      <c r="P4127" t="s">
        <v>459</v>
      </c>
      <c r="Q4127">
        <v>7</v>
      </c>
      <c r="R4127" s="225">
        <f>Base_Periodo1[[#This Row],[CREDITOS]]-Base_Periodo1[[#This Row],[DEBITOS]]</f>
        <v>0</v>
      </c>
      <c r="S4127" s="3" t="str">
        <f>IF(ISERROR(VLOOKUP(Base_Periodo1[[#This Row],[CONTA]],BaseContasDRE[#All],4,FALSE)),"Fora do DRE",VLOOKUP(Base_Periodo1[[#This Row],[CONTA]],BaseContasDRE[#All],4,FALSE))</f>
        <v>Fora do DRE</v>
      </c>
      <c r="T4127" s="3" t="str">
        <f>IF(ISERROR(VLOOKUP(Base_Periodo1[[#This Row],[CONTA]],BaseContasDRE[#All],5,FALSE)),"Fora do DRE",VLOOKUP(Base_Periodo1[[#This Row],[CONTA]],BaseContasDRE[#All],6,FALSE))</f>
        <v>Fora do DRE</v>
      </c>
      <c r="U4127" s="3" t="str">
        <f>IF(ISERROR(VLOOKUP(Base_Periodo1[[#This Row],[CONTA]],BaseContasDRE[#All],7,FALSE)),"Fora do DRE",VLOOKUP(Base_Periodo1[[#This Row],[CONTA]],BaseContasDRE[#All],7,FALSE))</f>
        <v>Fora do DRE</v>
      </c>
      <c r="V4127" s="3" t="str">
        <f>IF(Base_Periodo1[[#This Row],[Tipo_Linha]]="Fora do DRE","Fora do DRE","( "&amp;Base_Periodo1[[#This Row],[Tipo_Linha]]&amp;" ) "&amp;Base_Periodo1[[#This Row],[Filtro]])</f>
        <v>Fora do DRE</v>
      </c>
      <c r="W4127" s="3" t="str">
        <f>LEFT(Base_Periodo1[[#This Row],[CLASS]],3)</f>
        <v>2.1</v>
      </c>
    </row>
    <row r="4128" spans="1:23" hidden="1">
      <c r="A4128" s="3" t="str">
        <f t="shared" si="64"/>
        <v>Período 1</v>
      </c>
      <c r="B4128">
        <v>39058</v>
      </c>
      <c r="C4128" t="s">
        <v>2148</v>
      </c>
      <c r="D4128" t="s">
        <v>2168</v>
      </c>
      <c r="E4128" s="3" t="str">
        <f>IF(LEN(Base_Periodo1[[#This Row],[CLASS]])&gt;=7,LEFT(Base_Periodo1[[#This Row],[CLASS]],7),"")</f>
        <v>2.1.2.2</v>
      </c>
      <c r="F4128" s="3" t="str">
        <f>VLOOKUP(Base_Periodo1[[#This Row],[Aux]],Base_Contas_Balanco[#All],2,FALSE)</f>
        <v>Fornecedores Não Cooperados</v>
      </c>
      <c r="G4128" s="1">
        <v>42277</v>
      </c>
      <c r="H4128" s="225">
        <v>1.0000000000218279E-2</v>
      </c>
      <c r="I4128" s="225">
        <v>0</v>
      </c>
      <c r="J4128" s="225">
        <v>0</v>
      </c>
      <c r="K4128" s="225">
        <v>1.0000000000218279E-2</v>
      </c>
      <c r="L41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128" s="225">
        <f>ROUND(IF(AND(Base_Periodo1[[#This Row],[Tipo_Linha]]="-",Base_Periodo1[[#This Row],[TIPOSALDO]]="D"),Base_Periodo1[[#This Row],[SALDO_ATUAL]]*-1,Base_Periodo1[[#This Row],[SALDO_ATUAL]]),4)</f>
        <v>0.01</v>
      </c>
      <c r="N4128" t="s">
        <v>116</v>
      </c>
      <c r="O4128" t="s">
        <v>459</v>
      </c>
      <c r="P4128" t="s">
        <v>459</v>
      </c>
      <c r="Q4128">
        <v>7</v>
      </c>
      <c r="R4128" s="225">
        <f>Base_Periodo1[[#This Row],[CREDITOS]]-Base_Periodo1[[#This Row],[DEBITOS]]</f>
        <v>0</v>
      </c>
      <c r="S4128" s="3" t="str">
        <f>IF(ISERROR(VLOOKUP(Base_Periodo1[[#This Row],[CONTA]],BaseContasDRE[#All],4,FALSE)),"Fora do DRE",VLOOKUP(Base_Periodo1[[#This Row],[CONTA]],BaseContasDRE[#All],4,FALSE))</f>
        <v>Fora do DRE</v>
      </c>
      <c r="T4128" s="3" t="str">
        <f>IF(ISERROR(VLOOKUP(Base_Periodo1[[#This Row],[CONTA]],BaseContasDRE[#All],5,FALSE)),"Fora do DRE",VLOOKUP(Base_Periodo1[[#This Row],[CONTA]],BaseContasDRE[#All],6,FALSE))</f>
        <v>Fora do DRE</v>
      </c>
      <c r="U4128" s="3" t="str">
        <f>IF(ISERROR(VLOOKUP(Base_Periodo1[[#This Row],[CONTA]],BaseContasDRE[#All],7,FALSE)),"Fora do DRE",VLOOKUP(Base_Periodo1[[#This Row],[CONTA]],BaseContasDRE[#All],7,FALSE))</f>
        <v>Fora do DRE</v>
      </c>
      <c r="V4128" s="3" t="str">
        <f>IF(Base_Periodo1[[#This Row],[Tipo_Linha]]="Fora do DRE","Fora do DRE","( "&amp;Base_Periodo1[[#This Row],[Tipo_Linha]]&amp;" ) "&amp;Base_Periodo1[[#This Row],[Filtro]])</f>
        <v>Fora do DRE</v>
      </c>
      <c r="W4128" s="3" t="str">
        <f>LEFT(Base_Periodo1[[#This Row],[CLASS]],3)</f>
        <v>2.1</v>
      </c>
    </row>
    <row r="4129" spans="1:23" hidden="1">
      <c r="A4129" s="3" t="str">
        <f t="shared" si="64"/>
        <v>Período 1</v>
      </c>
      <c r="B4129">
        <v>44125</v>
      </c>
      <c r="C4129" t="s">
        <v>2148</v>
      </c>
      <c r="D4129" t="s">
        <v>6873</v>
      </c>
      <c r="E4129" s="3" t="str">
        <f>IF(LEN(Base_Periodo1[[#This Row],[CLASS]])&gt;=7,LEFT(Base_Periodo1[[#This Row],[CLASS]],7),"")</f>
        <v>2.1.2.2</v>
      </c>
      <c r="F4129" s="3" t="str">
        <f>VLOOKUP(Base_Periodo1[[#This Row],[Aux]],Base_Contas_Balanco[#All],2,FALSE)</f>
        <v>Fornecedores Não Cooperados</v>
      </c>
      <c r="G4129" s="1">
        <v>42884</v>
      </c>
      <c r="I4129" s="225">
        <v>4410</v>
      </c>
      <c r="J4129" s="225">
        <v>4410</v>
      </c>
      <c r="K4129" s="225">
        <v>0</v>
      </c>
      <c r="L41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29" s="225">
        <f>ROUND(IF(AND(Base_Periodo1[[#This Row],[Tipo_Linha]]="-",Base_Periodo1[[#This Row],[TIPOSALDO]]="D"),Base_Periodo1[[#This Row],[SALDO_ATUAL]]*-1,Base_Periodo1[[#This Row],[SALDO_ATUAL]]),4)</f>
        <v>0</v>
      </c>
      <c r="N4129" t="s">
        <v>116</v>
      </c>
      <c r="O4129" t="s">
        <v>436</v>
      </c>
      <c r="P4129" t="s">
        <v>436</v>
      </c>
      <c r="Q4129">
        <v>7</v>
      </c>
      <c r="R4129" s="225">
        <f>Base_Periodo1[[#This Row],[CREDITOS]]-Base_Periodo1[[#This Row],[DEBITOS]]</f>
        <v>0</v>
      </c>
      <c r="S4129" s="3" t="str">
        <f>IF(ISERROR(VLOOKUP(Base_Periodo1[[#This Row],[CONTA]],BaseContasDRE[#All],4,FALSE)),"Fora do DRE",VLOOKUP(Base_Periodo1[[#This Row],[CONTA]],BaseContasDRE[#All],4,FALSE))</f>
        <v>Fora do DRE</v>
      </c>
      <c r="T4129" s="3" t="str">
        <f>IF(ISERROR(VLOOKUP(Base_Periodo1[[#This Row],[CONTA]],BaseContasDRE[#All],5,FALSE)),"Fora do DRE",VLOOKUP(Base_Periodo1[[#This Row],[CONTA]],BaseContasDRE[#All],6,FALSE))</f>
        <v>Fora do DRE</v>
      </c>
      <c r="U4129" s="3" t="str">
        <f>IF(ISERROR(VLOOKUP(Base_Periodo1[[#This Row],[CONTA]],BaseContasDRE[#All],7,FALSE)),"Fora do DRE",VLOOKUP(Base_Periodo1[[#This Row],[CONTA]],BaseContasDRE[#All],7,FALSE))</f>
        <v>Fora do DRE</v>
      </c>
      <c r="V4129" s="3" t="str">
        <f>IF(Base_Periodo1[[#This Row],[Tipo_Linha]]="Fora do DRE","Fora do DRE","( "&amp;Base_Periodo1[[#This Row],[Tipo_Linha]]&amp;" ) "&amp;Base_Periodo1[[#This Row],[Filtro]])</f>
        <v>Fora do DRE</v>
      </c>
      <c r="W4129" s="3" t="str">
        <f>LEFT(Base_Periodo1[[#This Row],[CLASS]],3)</f>
        <v>2.1</v>
      </c>
    </row>
    <row r="4130" spans="1:23" hidden="1">
      <c r="A4130" s="3" t="str">
        <f t="shared" si="64"/>
        <v>Período 1</v>
      </c>
      <c r="B4130">
        <v>27363</v>
      </c>
      <c r="C4130" t="s">
        <v>2148</v>
      </c>
      <c r="D4130" t="s">
        <v>2169</v>
      </c>
      <c r="E4130" s="3" t="str">
        <f>IF(LEN(Base_Periodo1[[#This Row],[CLASS]])&gt;=7,LEFT(Base_Periodo1[[#This Row],[CLASS]],7),"")</f>
        <v>2.1.2.2</v>
      </c>
      <c r="F4130" s="3" t="str">
        <f>VLOOKUP(Base_Periodo1[[#This Row],[Aux]],Base_Contas_Balanco[#All],2,FALSE)</f>
        <v>Fornecedores Não Cooperados</v>
      </c>
      <c r="G4130" s="1">
        <v>41802</v>
      </c>
      <c r="H4130" s="225">
        <v>4.9999999999272404E-2</v>
      </c>
      <c r="I4130" s="225">
        <v>0</v>
      </c>
      <c r="J4130" s="225">
        <v>0</v>
      </c>
      <c r="K4130" s="225">
        <v>4.9999999999272404E-2</v>
      </c>
      <c r="L41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0.05</v>
      </c>
      <c r="M4130" s="225">
        <f>ROUND(IF(AND(Base_Periodo1[[#This Row],[Tipo_Linha]]="-",Base_Periodo1[[#This Row],[TIPOSALDO]]="D"),Base_Periodo1[[#This Row],[SALDO_ATUAL]]*-1,Base_Periodo1[[#This Row],[SALDO_ATUAL]]),4)</f>
        <v>0.05</v>
      </c>
      <c r="N4130" t="s">
        <v>116</v>
      </c>
      <c r="O4130" t="s">
        <v>459</v>
      </c>
      <c r="P4130" t="s">
        <v>459</v>
      </c>
      <c r="Q4130">
        <v>7</v>
      </c>
      <c r="R4130" s="225">
        <f>Base_Periodo1[[#This Row],[CREDITOS]]-Base_Periodo1[[#This Row],[DEBITOS]]</f>
        <v>0</v>
      </c>
      <c r="S4130" s="3" t="str">
        <f>IF(ISERROR(VLOOKUP(Base_Periodo1[[#This Row],[CONTA]],BaseContasDRE[#All],4,FALSE)),"Fora do DRE",VLOOKUP(Base_Periodo1[[#This Row],[CONTA]],BaseContasDRE[#All],4,FALSE))</f>
        <v>Fora do DRE</v>
      </c>
      <c r="T4130" s="3" t="str">
        <f>IF(ISERROR(VLOOKUP(Base_Periodo1[[#This Row],[CONTA]],BaseContasDRE[#All],5,FALSE)),"Fora do DRE",VLOOKUP(Base_Periodo1[[#This Row],[CONTA]],BaseContasDRE[#All],6,FALSE))</f>
        <v>Fora do DRE</v>
      </c>
      <c r="U4130" s="3" t="str">
        <f>IF(ISERROR(VLOOKUP(Base_Periodo1[[#This Row],[CONTA]],BaseContasDRE[#All],7,FALSE)),"Fora do DRE",VLOOKUP(Base_Periodo1[[#This Row],[CONTA]],BaseContasDRE[#All],7,FALSE))</f>
        <v>Fora do DRE</v>
      </c>
      <c r="V4130" s="3" t="str">
        <f>IF(Base_Periodo1[[#This Row],[Tipo_Linha]]="Fora do DRE","Fora do DRE","( "&amp;Base_Periodo1[[#This Row],[Tipo_Linha]]&amp;" ) "&amp;Base_Periodo1[[#This Row],[Filtro]])</f>
        <v>Fora do DRE</v>
      </c>
      <c r="W4130" s="3" t="str">
        <f>LEFT(Base_Periodo1[[#This Row],[CLASS]],3)</f>
        <v>2.1</v>
      </c>
    </row>
    <row r="4131" spans="1:23" hidden="1">
      <c r="A4131" s="3" t="str">
        <f t="shared" si="64"/>
        <v>Período 1</v>
      </c>
      <c r="B4131">
        <v>42309</v>
      </c>
      <c r="C4131" t="s">
        <v>2148</v>
      </c>
      <c r="D4131" t="s">
        <v>6874</v>
      </c>
      <c r="E4131" s="3" t="str">
        <f>IF(LEN(Base_Periodo1[[#This Row],[CLASS]])&gt;=7,LEFT(Base_Periodo1[[#This Row],[CLASS]],7),"")</f>
        <v>2.1.2.2</v>
      </c>
      <c r="F4131" s="3" t="str">
        <f>VLOOKUP(Base_Periodo1[[#This Row],[Aux]],Base_Contas_Balanco[#All],2,FALSE)</f>
        <v>Fornecedores Não Cooperados</v>
      </c>
      <c r="G4131" s="1">
        <v>42885</v>
      </c>
      <c r="I4131" s="225">
        <v>19840</v>
      </c>
      <c r="J4131" s="225">
        <v>19840</v>
      </c>
      <c r="K4131" s="225">
        <v>0</v>
      </c>
      <c r="L41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31" s="225">
        <f>ROUND(IF(AND(Base_Periodo1[[#This Row],[Tipo_Linha]]="-",Base_Periodo1[[#This Row],[TIPOSALDO]]="D"),Base_Periodo1[[#This Row],[SALDO_ATUAL]]*-1,Base_Periodo1[[#This Row],[SALDO_ATUAL]]),4)</f>
        <v>0</v>
      </c>
      <c r="N4131" t="s">
        <v>116</v>
      </c>
      <c r="O4131" t="s">
        <v>436</v>
      </c>
      <c r="P4131" t="s">
        <v>436</v>
      </c>
      <c r="Q4131">
        <v>7</v>
      </c>
      <c r="R4131" s="225">
        <f>Base_Periodo1[[#This Row],[CREDITOS]]-Base_Periodo1[[#This Row],[DEBITOS]]</f>
        <v>0</v>
      </c>
      <c r="S4131" s="3" t="str">
        <f>IF(ISERROR(VLOOKUP(Base_Periodo1[[#This Row],[CONTA]],BaseContasDRE[#All],4,FALSE)),"Fora do DRE",VLOOKUP(Base_Periodo1[[#This Row],[CONTA]],BaseContasDRE[#All],4,FALSE))</f>
        <v>Fora do DRE</v>
      </c>
      <c r="T4131" s="3" t="str">
        <f>IF(ISERROR(VLOOKUP(Base_Periodo1[[#This Row],[CONTA]],BaseContasDRE[#All],5,FALSE)),"Fora do DRE",VLOOKUP(Base_Periodo1[[#This Row],[CONTA]],BaseContasDRE[#All],6,FALSE))</f>
        <v>Fora do DRE</v>
      </c>
      <c r="U4131" s="3" t="str">
        <f>IF(ISERROR(VLOOKUP(Base_Periodo1[[#This Row],[CONTA]],BaseContasDRE[#All],7,FALSE)),"Fora do DRE",VLOOKUP(Base_Periodo1[[#This Row],[CONTA]],BaseContasDRE[#All],7,FALSE))</f>
        <v>Fora do DRE</v>
      </c>
      <c r="V4131" s="3" t="str">
        <f>IF(Base_Periodo1[[#This Row],[Tipo_Linha]]="Fora do DRE","Fora do DRE","( "&amp;Base_Periodo1[[#This Row],[Tipo_Linha]]&amp;" ) "&amp;Base_Periodo1[[#This Row],[Filtro]])</f>
        <v>Fora do DRE</v>
      </c>
      <c r="W4131" s="3" t="str">
        <f>LEFT(Base_Periodo1[[#This Row],[CLASS]],3)</f>
        <v>2.1</v>
      </c>
    </row>
    <row r="4132" spans="1:23" hidden="1">
      <c r="A4132" s="3" t="str">
        <f t="shared" si="64"/>
        <v>Período 1</v>
      </c>
      <c r="B4132">
        <v>40167</v>
      </c>
      <c r="C4132" t="s">
        <v>2148</v>
      </c>
      <c r="D4132" t="s">
        <v>2170</v>
      </c>
      <c r="E4132" s="3" t="str">
        <f>IF(LEN(Base_Periodo1[[#This Row],[CLASS]])&gt;=7,LEFT(Base_Periodo1[[#This Row],[CLASS]],7),"")</f>
        <v>2.1.2.2</v>
      </c>
      <c r="F4132" s="3" t="str">
        <f>VLOOKUP(Base_Periodo1[[#This Row],[Aux]],Base_Contas_Balanco[#All],2,FALSE)</f>
        <v>Fornecedores Não Cooperados</v>
      </c>
      <c r="G4132" s="1">
        <v>42343</v>
      </c>
      <c r="H4132" s="225">
        <v>9.9999999983992893E-3</v>
      </c>
      <c r="I4132" s="225">
        <v>0</v>
      </c>
      <c r="J4132" s="225">
        <v>0</v>
      </c>
      <c r="K4132" s="225">
        <v>9.9999999983992893E-3</v>
      </c>
      <c r="L41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132" s="225">
        <f>ROUND(IF(AND(Base_Periodo1[[#This Row],[Tipo_Linha]]="-",Base_Periodo1[[#This Row],[TIPOSALDO]]="D"),Base_Periodo1[[#This Row],[SALDO_ATUAL]]*-1,Base_Periodo1[[#This Row],[SALDO_ATUAL]]),4)</f>
        <v>0.01</v>
      </c>
      <c r="N4132" t="s">
        <v>116</v>
      </c>
      <c r="O4132" t="s">
        <v>459</v>
      </c>
      <c r="P4132" t="s">
        <v>459</v>
      </c>
      <c r="Q4132">
        <v>7</v>
      </c>
      <c r="R4132" s="225">
        <f>Base_Periodo1[[#This Row],[CREDITOS]]-Base_Periodo1[[#This Row],[DEBITOS]]</f>
        <v>0</v>
      </c>
      <c r="S4132" s="3" t="str">
        <f>IF(ISERROR(VLOOKUP(Base_Periodo1[[#This Row],[CONTA]],BaseContasDRE[#All],4,FALSE)),"Fora do DRE",VLOOKUP(Base_Periodo1[[#This Row],[CONTA]],BaseContasDRE[#All],4,FALSE))</f>
        <v>Fora do DRE</v>
      </c>
      <c r="T4132" s="3" t="str">
        <f>IF(ISERROR(VLOOKUP(Base_Periodo1[[#This Row],[CONTA]],BaseContasDRE[#All],5,FALSE)),"Fora do DRE",VLOOKUP(Base_Periodo1[[#This Row],[CONTA]],BaseContasDRE[#All],6,FALSE))</f>
        <v>Fora do DRE</v>
      </c>
      <c r="U4132" s="3" t="str">
        <f>IF(ISERROR(VLOOKUP(Base_Periodo1[[#This Row],[CONTA]],BaseContasDRE[#All],7,FALSE)),"Fora do DRE",VLOOKUP(Base_Periodo1[[#This Row],[CONTA]],BaseContasDRE[#All],7,FALSE))</f>
        <v>Fora do DRE</v>
      </c>
      <c r="V4132" s="3" t="str">
        <f>IF(Base_Periodo1[[#This Row],[Tipo_Linha]]="Fora do DRE","Fora do DRE","( "&amp;Base_Periodo1[[#This Row],[Tipo_Linha]]&amp;" ) "&amp;Base_Periodo1[[#This Row],[Filtro]])</f>
        <v>Fora do DRE</v>
      </c>
      <c r="W4132" s="3" t="str">
        <f>LEFT(Base_Periodo1[[#This Row],[CLASS]],3)</f>
        <v>2.1</v>
      </c>
    </row>
    <row r="4133" spans="1:23" hidden="1">
      <c r="A4133" s="3" t="str">
        <f t="shared" si="64"/>
        <v>Período 1</v>
      </c>
      <c r="B4133">
        <v>39308</v>
      </c>
      <c r="C4133" t="s">
        <v>2148</v>
      </c>
      <c r="D4133" t="s">
        <v>7171</v>
      </c>
      <c r="E4133" s="3" t="str">
        <f>IF(LEN(Base_Periodo1[[#This Row],[CLASS]])&gt;=7,LEFT(Base_Periodo1[[#This Row],[CLASS]],7),"")</f>
        <v>2.1.2.2</v>
      </c>
      <c r="F4133" s="3" t="str">
        <f>VLOOKUP(Base_Periodo1[[#This Row],[Aux]],Base_Contas_Balanco[#All],2,FALSE)</f>
        <v>Fornecedores Não Cooperados</v>
      </c>
      <c r="G4133" s="1">
        <v>42858</v>
      </c>
      <c r="I4133" s="225">
        <v>382</v>
      </c>
      <c r="J4133" s="225">
        <v>382</v>
      </c>
      <c r="K4133" s="225">
        <v>0</v>
      </c>
      <c r="L41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33" s="225">
        <f>ROUND(IF(AND(Base_Periodo1[[#This Row],[Tipo_Linha]]="-",Base_Periodo1[[#This Row],[TIPOSALDO]]="D"),Base_Periodo1[[#This Row],[SALDO_ATUAL]]*-1,Base_Periodo1[[#This Row],[SALDO_ATUAL]]),4)</f>
        <v>0</v>
      </c>
      <c r="N4133" t="s">
        <v>116</v>
      </c>
      <c r="O4133" t="s">
        <v>436</v>
      </c>
      <c r="P4133" t="s">
        <v>436</v>
      </c>
      <c r="Q4133">
        <v>7</v>
      </c>
      <c r="R4133" s="225">
        <f>Base_Periodo1[[#This Row],[CREDITOS]]-Base_Periodo1[[#This Row],[DEBITOS]]</f>
        <v>0</v>
      </c>
      <c r="S4133" s="3" t="str">
        <f>IF(ISERROR(VLOOKUP(Base_Periodo1[[#This Row],[CONTA]],BaseContasDRE[#All],4,FALSE)),"Fora do DRE",VLOOKUP(Base_Periodo1[[#This Row],[CONTA]],BaseContasDRE[#All],4,FALSE))</f>
        <v>Fora do DRE</v>
      </c>
      <c r="T4133" s="3" t="str">
        <f>IF(ISERROR(VLOOKUP(Base_Periodo1[[#This Row],[CONTA]],BaseContasDRE[#All],5,FALSE)),"Fora do DRE",VLOOKUP(Base_Periodo1[[#This Row],[CONTA]],BaseContasDRE[#All],6,FALSE))</f>
        <v>Fora do DRE</v>
      </c>
      <c r="U4133" s="3" t="str">
        <f>IF(ISERROR(VLOOKUP(Base_Periodo1[[#This Row],[CONTA]],BaseContasDRE[#All],7,FALSE)),"Fora do DRE",VLOOKUP(Base_Periodo1[[#This Row],[CONTA]],BaseContasDRE[#All],7,FALSE))</f>
        <v>Fora do DRE</v>
      </c>
      <c r="V4133" s="3" t="str">
        <f>IF(Base_Periodo1[[#This Row],[Tipo_Linha]]="Fora do DRE","Fora do DRE","( "&amp;Base_Periodo1[[#This Row],[Tipo_Linha]]&amp;" ) "&amp;Base_Periodo1[[#This Row],[Filtro]])</f>
        <v>Fora do DRE</v>
      </c>
      <c r="W4133" s="3" t="str">
        <f>LEFT(Base_Periodo1[[#This Row],[CLASS]],3)</f>
        <v>2.1</v>
      </c>
    </row>
    <row r="4134" spans="1:23" hidden="1">
      <c r="A4134" s="3" t="str">
        <f t="shared" si="64"/>
        <v>Período 1</v>
      </c>
      <c r="B4134">
        <v>40917</v>
      </c>
      <c r="C4134" t="s">
        <v>2148</v>
      </c>
      <c r="D4134" t="s">
        <v>2171</v>
      </c>
      <c r="E4134" s="3" t="str">
        <f>IF(LEN(Base_Periodo1[[#This Row],[CLASS]])&gt;=7,LEFT(Base_Periodo1[[#This Row],[CLASS]],7),"")</f>
        <v>2.1.2.2</v>
      </c>
      <c r="F4134" s="3" t="str">
        <f>VLOOKUP(Base_Periodo1[[#This Row],[Aux]],Base_Contas_Balanco[#All],2,FALSE)</f>
        <v>Fornecedores Não Cooperados</v>
      </c>
      <c r="G4134" s="1"/>
      <c r="H4134" s="225">
        <v>35.729999999999997</v>
      </c>
      <c r="I4134" s="225">
        <v>0</v>
      </c>
      <c r="J4134" s="225">
        <v>0</v>
      </c>
      <c r="K4134" s="225">
        <v>35.729999999999997</v>
      </c>
      <c r="L41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35.729999999999997</v>
      </c>
      <c r="M4134" s="225">
        <f>ROUND(IF(AND(Base_Periodo1[[#This Row],[Tipo_Linha]]="-",Base_Periodo1[[#This Row],[TIPOSALDO]]="D"),Base_Periodo1[[#This Row],[SALDO_ATUAL]]*-1,Base_Periodo1[[#This Row],[SALDO_ATUAL]]),4)</f>
        <v>35.729999999999997</v>
      </c>
      <c r="N4134" t="s">
        <v>116</v>
      </c>
      <c r="O4134" t="s">
        <v>459</v>
      </c>
      <c r="P4134" t="s">
        <v>459</v>
      </c>
      <c r="Q4134">
        <v>7</v>
      </c>
      <c r="R4134" s="225">
        <f>Base_Periodo1[[#This Row],[CREDITOS]]-Base_Periodo1[[#This Row],[DEBITOS]]</f>
        <v>0</v>
      </c>
      <c r="S4134" s="3" t="str">
        <f>IF(ISERROR(VLOOKUP(Base_Periodo1[[#This Row],[CONTA]],BaseContasDRE[#All],4,FALSE)),"Fora do DRE",VLOOKUP(Base_Periodo1[[#This Row],[CONTA]],BaseContasDRE[#All],4,FALSE))</f>
        <v>Fora do DRE</v>
      </c>
      <c r="T4134" s="3" t="str">
        <f>IF(ISERROR(VLOOKUP(Base_Periodo1[[#This Row],[CONTA]],BaseContasDRE[#All],5,FALSE)),"Fora do DRE",VLOOKUP(Base_Periodo1[[#This Row],[CONTA]],BaseContasDRE[#All],6,FALSE))</f>
        <v>Fora do DRE</v>
      </c>
      <c r="U4134" s="3" t="str">
        <f>IF(ISERROR(VLOOKUP(Base_Periodo1[[#This Row],[CONTA]],BaseContasDRE[#All],7,FALSE)),"Fora do DRE",VLOOKUP(Base_Periodo1[[#This Row],[CONTA]],BaseContasDRE[#All],7,FALSE))</f>
        <v>Fora do DRE</v>
      </c>
      <c r="V4134" s="3" t="str">
        <f>IF(Base_Periodo1[[#This Row],[Tipo_Linha]]="Fora do DRE","Fora do DRE","( "&amp;Base_Periodo1[[#This Row],[Tipo_Linha]]&amp;" ) "&amp;Base_Periodo1[[#This Row],[Filtro]])</f>
        <v>Fora do DRE</v>
      </c>
      <c r="W4134" s="3" t="str">
        <f>LEFT(Base_Periodo1[[#This Row],[CLASS]],3)</f>
        <v>2.1</v>
      </c>
    </row>
    <row r="4135" spans="1:23" hidden="1">
      <c r="A4135" s="3" t="str">
        <f t="shared" si="64"/>
        <v>Período 1</v>
      </c>
      <c r="B4135">
        <v>29949</v>
      </c>
      <c r="C4135" t="s">
        <v>2148</v>
      </c>
      <c r="D4135" t="s">
        <v>4699</v>
      </c>
      <c r="E4135" s="3" t="str">
        <f>IF(LEN(Base_Periodo1[[#This Row],[CLASS]])&gt;=7,LEFT(Base_Periodo1[[#This Row],[CLASS]],7),"")</f>
        <v>2.1.2.2</v>
      </c>
      <c r="F4135" s="3" t="str">
        <f>VLOOKUP(Base_Periodo1[[#This Row],[Aux]],Base_Contas_Balanco[#All],2,FALSE)</f>
        <v>Fornecedores Não Cooperados</v>
      </c>
      <c r="G4135" s="1">
        <v>42465</v>
      </c>
      <c r="H4135" s="225">
        <v>470286.60999999987</v>
      </c>
      <c r="I4135" s="225">
        <v>0</v>
      </c>
      <c r="J4135" s="225">
        <v>0</v>
      </c>
      <c r="K4135" s="225">
        <v>470286.60999999987</v>
      </c>
      <c r="L41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470286.61</v>
      </c>
      <c r="M4135" s="225">
        <f>ROUND(IF(AND(Base_Periodo1[[#This Row],[Tipo_Linha]]="-",Base_Periodo1[[#This Row],[TIPOSALDO]]="D"),Base_Periodo1[[#This Row],[SALDO_ATUAL]]*-1,Base_Periodo1[[#This Row],[SALDO_ATUAL]]),4)</f>
        <v>470286.61</v>
      </c>
      <c r="N4135" t="s">
        <v>116</v>
      </c>
      <c r="O4135" t="s">
        <v>459</v>
      </c>
      <c r="P4135" t="s">
        <v>459</v>
      </c>
      <c r="Q4135">
        <v>7</v>
      </c>
      <c r="R4135" s="225">
        <f>Base_Periodo1[[#This Row],[CREDITOS]]-Base_Periodo1[[#This Row],[DEBITOS]]</f>
        <v>0</v>
      </c>
      <c r="S4135" s="3" t="str">
        <f>IF(ISERROR(VLOOKUP(Base_Periodo1[[#This Row],[CONTA]],BaseContasDRE[#All],4,FALSE)),"Fora do DRE",VLOOKUP(Base_Periodo1[[#This Row],[CONTA]],BaseContasDRE[#All],4,FALSE))</f>
        <v>Fora do DRE</v>
      </c>
      <c r="T4135" s="3" t="str">
        <f>IF(ISERROR(VLOOKUP(Base_Periodo1[[#This Row],[CONTA]],BaseContasDRE[#All],5,FALSE)),"Fora do DRE",VLOOKUP(Base_Periodo1[[#This Row],[CONTA]],BaseContasDRE[#All],6,FALSE))</f>
        <v>Fora do DRE</v>
      </c>
      <c r="U4135" s="3" t="str">
        <f>IF(ISERROR(VLOOKUP(Base_Periodo1[[#This Row],[CONTA]],BaseContasDRE[#All],7,FALSE)),"Fora do DRE",VLOOKUP(Base_Periodo1[[#This Row],[CONTA]],BaseContasDRE[#All],7,FALSE))</f>
        <v>Fora do DRE</v>
      </c>
      <c r="V4135" s="3" t="str">
        <f>IF(Base_Periodo1[[#This Row],[Tipo_Linha]]="Fora do DRE","Fora do DRE","( "&amp;Base_Periodo1[[#This Row],[Tipo_Linha]]&amp;" ) "&amp;Base_Periodo1[[#This Row],[Filtro]])</f>
        <v>Fora do DRE</v>
      </c>
      <c r="W4135" s="3" t="str">
        <f>LEFT(Base_Periodo1[[#This Row],[CLASS]],3)</f>
        <v>2.1</v>
      </c>
    </row>
    <row r="4136" spans="1:23" hidden="1">
      <c r="A4136" s="3" t="str">
        <f t="shared" si="64"/>
        <v>Período 1</v>
      </c>
      <c r="B4136">
        <v>44165</v>
      </c>
      <c r="C4136" t="s">
        <v>2148</v>
      </c>
      <c r="D4136" t="s">
        <v>2172</v>
      </c>
      <c r="E4136" s="3" t="str">
        <f>IF(LEN(Base_Periodo1[[#This Row],[CLASS]])&gt;=7,LEFT(Base_Periodo1[[#This Row],[CLASS]],7),"")</f>
        <v>2.1.2.2</v>
      </c>
      <c r="F4136" s="3" t="str">
        <f>VLOOKUP(Base_Periodo1[[#This Row],[Aux]],Base_Contas_Balanco[#All],2,FALSE)</f>
        <v>Fornecedores Não Cooperados</v>
      </c>
      <c r="G4136" s="1"/>
      <c r="H4136" s="225">
        <v>0.37</v>
      </c>
      <c r="I4136" s="225">
        <v>0</v>
      </c>
      <c r="J4136" s="225">
        <v>0</v>
      </c>
      <c r="K4136" s="225">
        <v>0.37</v>
      </c>
      <c r="L41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0.37</v>
      </c>
      <c r="M4136" s="225">
        <f>ROUND(IF(AND(Base_Periodo1[[#This Row],[Tipo_Linha]]="-",Base_Periodo1[[#This Row],[TIPOSALDO]]="D"),Base_Periodo1[[#This Row],[SALDO_ATUAL]]*-1,Base_Periodo1[[#This Row],[SALDO_ATUAL]]),4)</f>
        <v>0.37</v>
      </c>
      <c r="N4136" t="s">
        <v>116</v>
      </c>
      <c r="O4136" t="s">
        <v>459</v>
      </c>
      <c r="P4136" t="s">
        <v>459</v>
      </c>
      <c r="Q4136">
        <v>7</v>
      </c>
      <c r="R4136" s="225">
        <f>Base_Periodo1[[#This Row],[CREDITOS]]-Base_Periodo1[[#This Row],[DEBITOS]]</f>
        <v>0</v>
      </c>
      <c r="S4136" s="3" t="str">
        <f>IF(ISERROR(VLOOKUP(Base_Periodo1[[#This Row],[CONTA]],BaseContasDRE[#All],4,FALSE)),"Fora do DRE",VLOOKUP(Base_Periodo1[[#This Row],[CONTA]],BaseContasDRE[#All],4,FALSE))</f>
        <v>Fora do DRE</v>
      </c>
      <c r="T4136" s="3" t="str">
        <f>IF(ISERROR(VLOOKUP(Base_Periodo1[[#This Row],[CONTA]],BaseContasDRE[#All],5,FALSE)),"Fora do DRE",VLOOKUP(Base_Periodo1[[#This Row],[CONTA]],BaseContasDRE[#All],6,FALSE))</f>
        <v>Fora do DRE</v>
      </c>
      <c r="U4136" s="3" t="str">
        <f>IF(ISERROR(VLOOKUP(Base_Periodo1[[#This Row],[CONTA]],BaseContasDRE[#All],7,FALSE)),"Fora do DRE",VLOOKUP(Base_Periodo1[[#This Row],[CONTA]],BaseContasDRE[#All],7,FALSE))</f>
        <v>Fora do DRE</v>
      </c>
      <c r="V4136" s="3" t="str">
        <f>IF(Base_Periodo1[[#This Row],[Tipo_Linha]]="Fora do DRE","Fora do DRE","( "&amp;Base_Periodo1[[#This Row],[Tipo_Linha]]&amp;" ) "&amp;Base_Periodo1[[#This Row],[Filtro]])</f>
        <v>Fora do DRE</v>
      </c>
      <c r="W4136" s="3" t="str">
        <f>LEFT(Base_Periodo1[[#This Row],[CLASS]],3)</f>
        <v>2.1</v>
      </c>
    </row>
    <row r="4137" spans="1:23" hidden="1">
      <c r="A4137" s="3" t="str">
        <f t="shared" si="64"/>
        <v>Período 1</v>
      </c>
      <c r="B4137">
        <v>15582</v>
      </c>
      <c r="C4137" t="s">
        <v>2148</v>
      </c>
      <c r="D4137" t="s">
        <v>2173</v>
      </c>
      <c r="E4137" s="3" t="str">
        <f>IF(LEN(Base_Periodo1[[#This Row],[CLASS]])&gt;=7,LEFT(Base_Periodo1[[#This Row],[CLASS]],7),"")</f>
        <v>2.1.2.2</v>
      </c>
      <c r="F4137" s="3" t="str">
        <f>VLOOKUP(Base_Periodo1[[#This Row],[Aux]],Base_Contas_Balanco[#All],2,FALSE)</f>
        <v>Fornecedores Não Cooperados</v>
      </c>
      <c r="G4137" s="1">
        <v>41208</v>
      </c>
      <c r="H4137" s="225">
        <v>5.9999999997671694E-2</v>
      </c>
      <c r="I4137" s="225">
        <v>0</v>
      </c>
      <c r="J4137" s="225">
        <v>0</v>
      </c>
      <c r="K4137" s="225">
        <v>5.9999999997671694E-2</v>
      </c>
      <c r="L41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0.06</v>
      </c>
      <c r="M4137" s="225">
        <f>ROUND(IF(AND(Base_Periodo1[[#This Row],[Tipo_Linha]]="-",Base_Periodo1[[#This Row],[TIPOSALDO]]="D"),Base_Periodo1[[#This Row],[SALDO_ATUAL]]*-1,Base_Periodo1[[#This Row],[SALDO_ATUAL]]),4)</f>
        <v>0.06</v>
      </c>
      <c r="N4137" t="s">
        <v>116</v>
      </c>
      <c r="O4137" t="s">
        <v>459</v>
      </c>
      <c r="P4137" t="s">
        <v>459</v>
      </c>
      <c r="Q4137">
        <v>7</v>
      </c>
      <c r="R4137" s="225">
        <f>Base_Periodo1[[#This Row],[CREDITOS]]-Base_Periodo1[[#This Row],[DEBITOS]]</f>
        <v>0</v>
      </c>
      <c r="S4137" s="3" t="str">
        <f>IF(ISERROR(VLOOKUP(Base_Periodo1[[#This Row],[CONTA]],BaseContasDRE[#All],4,FALSE)),"Fora do DRE",VLOOKUP(Base_Periodo1[[#This Row],[CONTA]],BaseContasDRE[#All],4,FALSE))</f>
        <v>Fora do DRE</v>
      </c>
      <c r="T4137" s="3" t="str">
        <f>IF(ISERROR(VLOOKUP(Base_Periodo1[[#This Row],[CONTA]],BaseContasDRE[#All],5,FALSE)),"Fora do DRE",VLOOKUP(Base_Periodo1[[#This Row],[CONTA]],BaseContasDRE[#All],6,FALSE))</f>
        <v>Fora do DRE</v>
      </c>
      <c r="U4137" s="3" t="str">
        <f>IF(ISERROR(VLOOKUP(Base_Periodo1[[#This Row],[CONTA]],BaseContasDRE[#All],7,FALSE)),"Fora do DRE",VLOOKUP(Base_Periodo1[[#This Row],[CONTA]],BaseContasDRE[#All],7,FALSE))</f>
        <v>Fora do DRE</v>
      </c>
      <c r="V4137" s="3" t="str">
        <f>IF(Base_Periodo1[[#This Row],[Tipo_Linha]]="Fora do DRE","Fora do DRE","( "&amp;Base_Periodo1[[#This Row],[Tipo_Linha]]&amp;" ) "&amp;Base_Periodo1[[#This Row],[Filtro]])</f>
        <v>Fora do DRE</v>
      </c>
      <c r="W4137" s="3" t="str">
        <f>LEFT(Base_Periodo1[[#This Row],[CLASS]],3)</f>
        <v>2.1</v>
      </c>
    </row>
    <row r="4138" spans="1:23" hidden="1">
      <c r="A4138" s="3" t="str">
        <f t="shared" si="64"/>
        <v>Período 1</v>
      </c>
      <c r="B4138">
        <v>4050</v>
      </c>
      <c r="C4138" t="s">
        <v>2148</v>
      </c>
      <c r="D4138" t="s">
        <v>2174</v>
      </c>
      <c r="E4138" s="3" t="str">
        <f>IF(LEN(Base_Periodo1[[#This Row],[CLASS]])&gt;=7,LEFT(Base_Periodo1[[#This Row],[CLASS]],7),"")</f>
        <v>2.1.2.2</v>
      </c>
      <c r="F4138" s="3" t="str">
        <f>VLOOKUP(Base_Periodo1[[#This Row],[Aux]],Base_Contas_Balanco[#All],2,FALSE)</f>
        <v>Fornecedores Não Cooperados</v>
      </c>
      <c r="G4138" s="1">
        <v>41954</v>
      </c>
      <c r="H4138" s="225">
        <v>778.36000000000786</v>
      </c>
      <c r="I4138" s="225">
        <v>0</v>
      </c>
      <c r="J4138" s="225">
        <v>0</v>
      </c>
      <c r="K4138" s="225">
        <v>778.36000000000786</v>
      </c>
      <c r="L41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778.36</v>
      </c>
      <c r="M4138" s="225">
        <f>ROUND(IF(AND(Base_Periodo1[[#This Row],[Tipo_Linha]]="-",Base_Periodo1[[#This Row],[TIPOSALDO]]="D"),Base_Periodo1[[#This Row],[SALDO_ATUAL]]*-1,Base_Periodo1[[#This Row],[SALDO_ATUAL]]),4)</f>
        <v>778.36</v>
      </c>
      <c r="N4138" t="s">
        <v>116</v>
      </c>
      <c r="O4138" t="s">
        <v>459</v>
      </c>
      <c r="P4138" t="s">
        <v>459</v>
      </c>
      <c r="Q4138">
        <v>7</v>
      </c>
      <c r="R4138" s="225">
        <f>Base_Periodo1[[#This Row],[CREDITOS]]-Base_Periodo1[[#This Row],[DEBITOS]]</f>
        <v>0</v>
      </c>
      <c r="S4138" s="3" t="str">
        <f>IF(ISERROR(VLOOKUP(Base_Periodo1[[#This Row],[CONTA]],BaseContasDRE[#All],4,FALSE)),"Fora do DRE",VLOOKUP(Base_Periodo1[[#This Row],[CONTA]],BaseContasDRE[#All],4,FALSE))</f>
        <v>Fora do DRE</v>
      </c>
      <c r="T4138" s="3" t="str">
        <f>IF(ISERROR(VLOOKUP(Base_Periodo1[[#This Row],[CONTA]],BaseContasDRE[#All],5,FALSE)),"Fora do DRE",VLOOKUP(Base_Periodo1[[#This Row],[CONTA]],BaseContasDRE[#All],6,FALSE))</f>
        <v>Fora do DRE</v>
      </c>
      <c r="U4138" s="3" t="str">
        <f>IF(ISERROR(VLOOKUP(Base_Periodo1[[#This Row],[CONTA]],BaseContasDRE[#All],7,FALSE)),"Fora do DRE",VLOOKUP(Base_Periodo1[[#This Row],[CONTA]],BaseContasDRE[#All],7,FALSE))</f>
        <v>Fora do DRE</v>
      </c>
      <c r="V4138" s="3" t="str">
        <f>IF(Base_Periodo1[[#This Row],[Tipo_Linha]]="Fora do DRE","Fora do DRE","( "&amp;Base_Periodo1[[#This Row],[Tipo_Linha]]&amp;" ) "&amp;Base_Periodo1[[#This Row],[Filtro]])</f>
        <v>Fora do DRE</v>
      </c>
      <c r="W4138" s="3" t="str">
        <f>LEFT(Base_Periodo1[[#This Row],[CLASS]],3)</f>
        <v>2.1</v>
      </c>
    </row>
    <row r="4139" spans="1:23" hidden="1">
      <c r="A4139" s="3" t="str">
        <f t="shared" si="64"/>
        <v>Período 1</v>
      </c>
      <c r="B4139">
        <v>43361</v>
      </c>
      <c r="C4139" t="s">
        <v>2148</v>
      </c>
      <c r="D4139" t="s">
        <v>6875</v>
      </c>
      <c r="E4139" s="3" t="str">
        <f>IF(LEN(Base_Periodo1[[#This Row],[CLASS]])&gt;=7,LEFT(Base_Periodo1[[#This Row],[CLASS]],7),"")</f>
        <v>2.1.2.2</v>
      </c>
      <c r="F4139" s="3" t="str">
        <f>VLOOKUP(Base_Periodo1[[#This Row],[Aux]],Base_Contas_Balanco[#All],2,FALSE)</f>
        <v>Fornecedores Não Cooperados</v>
      </c>
      <c r="G4139" s="1">
        <v>42884</v>
      </c>
      <c r="I4139" s="225">
        <v>1245</v>
      </c>
      <c r="J4139" s="225">
        <v>1245</v>
      </c>
      <c r="K4139" s="225">
        <v>0</v>
      </c>
      <c r="L41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39" s="225">
        <f>ROUND(IF(AND(Base_Periodo1[[#This Row],[Tipo_Linha]]="-",Base_Periodo1[[#This Row],[TIPOSALDO]]="D"),Base_Periodo1[[#This Row],[SALDO_ATUAL]]*-1,Base_Periodo1[[#This Row],[SALDO_ATUAL]]),4)</f>
        <v>0</v>
      </c>
      <c r="N4139" t="s">
        <v>116</v>
      </c>
      <c r="O4139" t="s">
        <v>436</v>
      </c>
      <c r="P4139" t="s">
        <v>436</v>
      </c>
      <c r="Q4139">
        <v>7</v>
      </c>
      <c r="R4139" s="225">
        <f>Base_Periodo1[[#This Row],[CREDITOS]]-Base_Periodo1[[#This Row],[DEBITOS]]</f>
        <v>0</v>
      </c>
      <c r="S4139" s="3" t="str">
        <f>IF(ISERROR(VLOOKUP(Base_Periodo1[[#This Row],[CONTA]],BaseContasDRE[#All],4,FALSE)),"Fora do DRE",VLOOKUP(Base_Periodo1[[#This Row],[CONTA]],BaseContasDRE[#All],4,FALSE))</f>
        <v>Fora do DRE</v>
      </c>
      <c r="T4139" s="3" t="str">
        <f>IF(ISERROR(VLOOKUP(Base_Periodo1[[#This Row],[CONTA]],BaseContasDRE[#All],5,FALSE)),"Fora do DRE",VLOOKUP(Base_Periodo1[[#This Row],[CONTA]],BaseContasDRE[#All],6,FALSE))</f>
        <v>Fora do DRE</v>
      </c>
      <c r="U4139" s="3" t="str">
        <f>IF(ISERROR(VLOOKUP(Base_Periodo1[[#This Row],[CONTA]],BaseContasDRE[#All],7,FALSE)),"Fora do DRE",VLOOKUP(Base_Periodo1[[#This Row],[CONTA]],BaseContasDRE[#All],7,FALSE))</f>
        <v>Fora do DRE</v>
      </c>
      <c r="V4139" s="3" t="str">
        <f>IF(Base_Periodo1[[#This Row],[Tipo_Linha]]="Fora do DRE","Fora do DRE","( "&amp;Base_Periodo1[[#This Row],[Tipo_Linha]]&amp;" ) "&amp;Base_Periodo1[[#This Row],[Filtro]])</f>
        <v>Fora do DRE</v>
      </c>
      <c r="W4139" s="3" t="str">
        <f>LEFT(Base_Periodo1[[#This Row],[CLASS]],3)</f>
        <v>2.1</v>
      </c>
    </row>
    <row r="4140" spans="1:23" hidden="1">
      <c r="A4140" s="3" t="str">
        <f t="shared" si="64"/>
        <v>Período 1</v>
      </c>
      <c r="B4140">
        <v>2506</v>
      </c>
      <c r="C4140" t="s">
        <v>2148</v>
      </c>
      <c r="D4140" t="s">
        <v>2175</v>
      </c>
      <c r="E4140" s="3" t="str">
        <f>IF(LEN(Base_Periodo1[[#This Row],[CLASS]])&gt;=7,LEFT(Base_Periodo1[[#This Row],[CLASS]],7),"")</f>
        <v>2.1.2.2</v>
      </c>
      <c r="F4140" s="3" t="str">
        <f>VLOOKUP(Base_Periodo1[[#This Row],[Aux]],Base_Contas_Balanco[#All],2,FALSE)</f>
        <v>Fornecedores Não Cooperados</v>
      </c>
      <c r="G4140" s="1">
        <v>41150</v>
      </c>
      <c r="H4140" s="225">
        <v>198</v>
      </c>
      <c r="I4140" s="225">
        <v>0</v>
      </c>
      <c r="J4140" s="225">
        <v>0</v>
      </c>
      <c r="K4140" s="225">
        <v>198</v>
      </c>
      <c r="L41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198</v>
      </c>
      <c r="M4140" s="225">
        <f>ROUND(IF(AND(Base_Periodo1[[#This Row],[Tipo_Linha]]="-",Base_Periodo1[[#This Row],[TIPOSALDO]]="D"),Base_Periodo1[[#This Row],[SALDO_ATUAL]]*-1,Base_Periodo1[[#This Row],[SALDO_ATUAL]]),4)</f>
        <v>198</v>
      </c>
      <c r="N4140" t="s">
        <v>116</v>
      </c>
      <c r="O4140" t="s">
        <v>459</v>
      </c>
      <c r="P4140" t="s">
        <v>459</v>
      </c>
      <c r="Q4140">
        <v>7</v>
      </c>
      <c r="R4140" s="225">
        <f>Base_Periodo1[[#This Row],[CREDITOS]]-Base_Periodo1[[#This Row],[DEBITOS]]</f>
        <v>0</v>
      </c>
      <c r="S4140" s="3" t="str">
        <f>IF(ISERROR(VLOOKUP(Base_Periodo1[[#This Row],[CONTA]],BaseContasDRE[#All],4,FALSE)),"Fora do DRE",VLOOKUP(Base_Periodo1[[#This Row],[CONTA]],BaseContasDRE[#All],4,FALSE))</f>
        <v>Fora do DRE</v>
      </c>
      <c r="T4140" s="3" t="str">
        <f>IF(ISERROR(VLOOKUP(Base_Periodo1[[#This Row],[CONTA]],BaseContasDRE[#All],5,FALSE)),"Fora do DRE",VLOOKUP(Base_Periodo1[[#This Row],[CONTA]],BaseContasDRE[#All],6,FALSE))</f>
        <v>Fora do DRE</v>
      </c>
      <c r="U4140" s="3" t="str">
        <f>IF(ISERROR(VLOOKUP(Base_Periodo1[[#This Row],[CONTA]],BaseContasDRE[#All],7,FALSE)),"Fora do DRE",VLOOKUP(Base_Periodo1[[#This Row],[CONTA]],BaseContasDRE[#All],7,FALSE))</f>
        <v>Fora do DRE</v>
      </c>
      <c r="V4140" s="3" t="str">
        <f>IF(Base_Periodo1[[#This Row],[Tipo_Linha]]="Fora do DRE","Fora do DRE","( "&amp;Base_Periodo1[[#This Row],[Tipo_Linha]]&amp;" ) "&amp;Base_Periodo1[[#This Row],[Filtro]])</f>
        <v>Fora do DRE</v>
      </c>
      <c r="W4140" s="3" t="str">
        <f>LEFT(Base_Periodo1[[#This Row],[CLASS]],3)</f>
        <v>2.1</v>
      </c>
    </row>
    <row r="4141" spans="1:23" hidden="1">
      <c r="A4141" s="3" t="str">
        <f t="shared" si="64"/>
        <v>Período 1</v>
      </c>
      <c r="B4141">
        <v>35054</v>
      </c>
      <c r="C4141" t="s">
        <v>2148</v>
      </c>
      <c r="D4141" t="s">
        <v>2176</v>
      </c>
      <c r="E4141" s="3" t="str">
        <f>IF(LEN(Base_Periodo1[[#This Row],[CLASS]])&gt;=7,LEFT(Base_Periodo1[[#This Row],[CLASS]],7),"")</f>
        <v>2.1.2.2</v>
      </c>
      <c r="F4141" s="3" t="str">
        <f>VLOOKUP(Base_Periodo1[[#This Row],[Aux]],Base_Contas_Balanco[#All],2,FALSE)</f>
        <v>Fornecedores Não Cooperados</v>
      </c>
      <c r="G4141" s="1">
        <v>42872</v>
      </c>
      <c r="H4141" s="225">
        <v>223.57000000000698</v>
      </c>
      <c r="I4141" s="225">
        <v>447.14</v>
      </c>
      <c r="J4141" s="225">
        <v>4158.57</v>
      </c>
      <c r="K4141" s="225">
        <v>3935.0000000000068</v>
      </c>
      <c r="L41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3935</v>
      </c>
      <c r="M4141" s="225">
        <f>ROUND(IF(AND(Base_Periodo1[[#This Row],[Tipo_Linha]]="-",Base_Periodo1[[#This Row],[TIPOSALDO]]="D"),Base_Periodo1[[#This Row],[SALDO_ATUAL]]*-1,Base_Periodo1[[#This Row],[SALDO_ATUAL]]),4)</f>
        <v>3935</v>
      </c>
      <c r="N4141" t="s">
        <v>116</v>
      </c>
      <c r="O4141" t="s">
        <v>459</v>
      </c>
      <c r="P4141" t="s">
        <v>459</v>
      </c>
      <c r="Q4141">
        <v>7</v>
      </c>
      <c r="R4141" s="225">
        <f>Base_Periodo1[[#This Row],[CREDITOS]]-Base_Periodo1[[#This Row],[DEBITOS]]</f>
        <v>3711.43</v>
      </c>
      <c r="S4141" s="3" t="str">
        <f>IF(ISERROR(VLOOKUP(Base_Periodo1[[#This Row],[CONTA]],BaseContasDRE[#All],4,FALSE)),"Fora do DRE",VLOOKUP(Base_Periodo1[[#This Row],[CONTA]],BaseContasDRE[#All],4,FALSE))</f>
        <v>Fora do DRE</v>
      </c>
      <c r="T4141" s="3" t="str">
        <f>IF(ISERROR(VLOOKUP(Base_Periodo1[[#This Row],[CONTA]],BaseContasDRE[#All],5,FALSE)),"Fora do DRE",VLOOKUP(Base_Periodo1[[#This Row],[CONTA]],BaseContasDRE[#All],6,FALSE))</f>
        <v>Fora do DRE</v>
      </c>
      <c r="U4141" s="3" t="str">
        <f>IF(ISERROR(VLOOKUP(Base_Periodo1[[#This Row],[CONTA]],BaseContasDRE[#All],7,FALSE)),"Fora do DRE",VLOOKUP(Base_Periodo1[[#This Row],[CONTA]],BaseContasDRE[#All],7,FALSE))</f>
        <v>Fora do DRE</v>
      </c>
      <c r="V4141" s="3" t="str">
        <f>IF(Base_Periodo1[[#This Row],[Tipo_Linha]]="Fora do DRE","Fora do DRE","( "&amp;Base_Periodo1[[#This Row],[Tipo_Linha]]&amp;" ) "&amp;Base_Periodo1[[#This Row],[Filtro]])</f>
        <v>Fora do DRE</v>
      </c>
      <c r="W4141" s="3" t="str">
        <f>LEFT(Base_Periodo1[[#This Row],[CLASS]],3)</f>
        <v>2.1</v>
      </c>
    </row>
    <row r="4142" spans="1:23" hidden="1">
      <c r="A4142" s="3" t="str">
        <f t="shared" si="64"/>
        <v>Período 1</v>
      </c>
      <c r="B4142">
        <v>52043</v>
      </c>
      <c r="C4142" t="s">
        <v>2148</v>
      </c>
      <c r="D4142" t="s">
        <v>4777</v>
      </c>
      <c r="E4142" s="3" t="str">
        <f>IF(LEN(Base_Periodo1[[#This Row],[CLASS]])&gt;=7,LEFT(Base_Periodo1[[#This Row],[CLASS]],7),"")</f>
        <v>2.1.2.2</v>
      </c>
      <c r="F4142" s="3" t="str">
        <f>VLOOKUP(Base_Periodo1[[#This Row],[Aux]],Base_Contas_Balanco[#All],2,FALSE)</f>
        <v>Fornecedores Não Cooperados</v>
      </c>
      <c r="G4142" s="1">
        <v>42599</v>
      </c>
      <c r="H4142" s="225">
        <v>3.9999999993597157E-2</v>
      </c>
      <c r="I4142" s="225">
        <v>0</v>
      </c>
      <c r="J4142" s="225">
        <v>0</v>
      </c>
      <c r="K4142" s="225">
        <v>3.9999999993597157E-2</v>
      </c>
      <c r="L41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0.04</v>
      </c>
      <c r="M4142" s="225">
        <f>ROUND(IF(AND(Base_Periodo1[[#This Row],[Tipo_Linha]]="-",Base_Periodo1[[#This Row],[TIPOSALDO]]="D"),Base_Periodo1[[#This Row],[SALDO_ATUAL]]*-1,Base_Periodo1[[#This Row],[SALDO_ATUAL]]),4)</f>
        <v>0.04</v>
      </c>
      <c r="N4142" t="s">
        <v>116</v>
      </c>
      <c r="O4142" t="s">
        <v>459</v>
      </c>
      <c r="P4142" t="s">
        <v>459</v>
      </c>
      <c r="Q4142">
        <v>7</v>
      </c>
      <c r="R4142" s="225">
        <f>Base_Periodo1[[#This Row],[CREDITOS]]-Base_Periodo1[[#This Row],[DEBITOS]]</f>
        <v>0</v>
      </c>
      <c r="S4142" s="3" t="str">
        <f>IF(ISERROR(VLOOKUP(Base_Periodo1[[#This Row],[CONTA]],BaseContasDRE[#All],4,FALSE)),"Fora do DRE",VLOOKUP(Base_Periodo1[[#This Row],[CONTA]],BaseContasDRE[#All],4,FALSE))</f>
        <v>Fora do DRE</v>
      </c>
      <c r="T4142" s="3" t="str">
        <f>IF(ISERROR(VLOOKUP(Base_Periodo1[[#This Row],[CONTA]],BaseContasDRE[#All],5,FALSE)),"Fora do DRE",VLOOKUP(Base_Periodo1[[#This Row],[CONTA]],BaseContasDRE[#All],6,FALSE))</f>
        <v>Fora do DRE</v>
      </c>
      <c r="U4142" s="3" t="str">
        <f>IF(ISERROR(VLOOKUP(Base_Periodo1[[#This Row],[CONTA]],BaseContasDRE[#All],7,FALSE)),"Fora do DRE",VLOOKUP(Base_Periodo1[[#This Row],[CONTA]],BaseContasDRE[#All],7,FALSE))</f>
        <v>Fora do DRE</v>
      </c>
      <c r="V4142" s="3" t="str">
        <f>IF(Base_Periodo1[[#This Row],[Tipo_Linha]]="Fora do DRE","Fora do DRE","( "&amp;Base_Periodo1[[#This Row],[Tipo_Linha]]&amp;" ) "&amp;Base_Periodo1[[#This Row],[Filtro]])</f>
        <v>Fora do DRE</v>
      </c>
      <c r="W4142" s="3" t="str">
        <f>LEFT(Base_Periodo1[[#This Row],[CLASS]],3)</f>
        <v>2.1</v>
      </c>
    </row>
    <row r="4143" spans="1:23" hidden="1">
      <c r="A4143" s="3" t="str">
        <f t="shared" si="64"/>
        <v>Período 1</v>
      </c>
      <c r="B4143">
        <v>23305</v>
      </c>
      <c r="C4143" t="s">
        <v>2148</v>
      </c>
      <c r="D4143" t="s">
        <v>2177</v>
      </c>
      <c r="E4143" s="3" t="str">
        <f>IF(LEN(Base_Periodo1[[#This Row],[CLASS]])&gt;=7,LEFT(Base_Periodo1[[#This Row],[CLASS]],7),"")</f>
        <v>2.1.2.2</v>
      </c>
      <c r="F4143" s="3" t="str">
        <f>VLOOKUP(Base_Periodo1[[#This Row],[Aux]],Base_Contas_Balanco[#All],2,FALSE)</f>
        <v>Fornecedores Não Cooperados</v>
      </c>
      <c r="G4143" s="1">
        <v>41204</v>
      </c>
      <c r="H4143" s="225">
        <v>29.360000000002401</v>
      </c>
      <c r="I4143" s="225">
        <v>0</v>
      </c>
      <c r="J4143" s="225">
        <v>0</v>
      </c>
      <c r="K4143" s="225">
        <v>29.360000000002401</v>
      </c>
      <c r="L41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29.36</v>
      </c>
      <c r="M4143" s="225">
        <f>ROUND(IF(AND(Base_Periodo1[[#This Row],[Tipo_Linha]]="-",Base_Periodo1[[#This Row],[TIPOSALDO]]="D"),Base_Periodo1[[#This Row],[SALDO_ATUAL]]*-1,Base_Periodo1[[#This Row],[SALDO_ATUAL]]),4)</f>
        <v>29.36</v>
      </c>
      <c r="N4143" t="s">
        <v>116</v>
      </c>
      <c r="O4143" t="s">
        <v>459</v>
      </c>
      <c r="P4143" t="s">
        <v>459</v>
      </c>
      <c r="Q4143">
        <v>7</v>
      </c>
      <c r="R4143" s="225">
        <f>Base_Periodo1[[#This Row],[CREDITOS]]-Base_Periodo1[[#This Row],[DEBITOS]]</f>
        <v>0</v>
      </c>
      <c r="S4143" s="3" t="str">
        <f>IF(ISERROR(VLOOKUP(Base_Periodo1[[#This Row],[CONTA]],BaseContasDRE[#All],4,FALSE)),"Fora do DRE",VLOOKUP(Base_Periodo1[[#This Row],[CONTA]],BaseContasDRE[#All],4,FALSE))</f>
        <v>Fora do DRE</v>
      </c>
      <c r="T4143" s="3" t="str">
        <f>IF(ISERROR(VLOOKUP(Base_Periodo1[[#This Row],[CONTA]],BaseContasDRE[#All],5,FALSE)),"Fora do DRE",VLOOKUP(Base_Periodo1[[#This Row],[CONTA]],BaseContasDRE[#All],6,FALSE))</f>
        <v>Fora do DRE</v>
      </c>
      <c r="U4143" s="3" t="str">
        <f>IF(ISERROR(VLOOKUP(Base_Periodo1[[#This Row],[CONTA]],BaseContasDRE[#All],7,FALSE)),"Fora do DRE",VLOOKUP(Base_Periodo1[[#This Row],[CONTA]],BaseContasDRE[#All],7,FALSE))</f>
        <v>Fora do DRE</v>
      </c>
      <c r="V4143" s="3" t="str">
        <f>IF(Base_Periodo1[[#This Row],[Tipo_Linha]]="Fora do DRE","Fora do DRE","( "&amp;Base_Periodo1[[#This Row],[Tipo_Linha]]&amp;" ) "&amp;Base_Periodo1[[#This Row],[Filtro]])</f>
        <v>Fora do DRE</v>
      </c>
      <c r="W4143" s="3" t="str">
        <f>LEFT(Base_Periodo1[[#This Row],[CLASS]],3)</f>
        <v>2.1</v>
      </c>
    </row>
    <row r="4144" spans="1:23" hidden="1">
      <c r="A4144" s="3" t="str">
        <f t="shared" si="64"/>
        <v>Período 1</v>
      </c>
      <c r="B4144">
        <v>42477</v>
      </c>
      <c r="C4144" t="s">
        <v>2148</v>
      </c>
      <c r="D4144" t="s">
        <v>2178</v>
      </c>
      <c r="E4144" s="3" t="str">
        <f>IF(LEN(Base_Periodo1[[#This Row],[CLASS]])&gt;=7,LEFT(Base_Periodo1[[#This Row],[CLASS]],7),"")</f>
        <v>2.1.2.2</v>
      </c>
      <c r="F4144" s="3" t="str">
        <f>VLOOKUP(Base_Periodo1[[#This Row],[Aux]],Base_Contas_Balanco[#All],2,FALSE)</f>
        <v>Fornecedores Não Cooperados</v>
      </c>
      <c r="G4144" s="1"/>
      <c r="H4144" s="225">
        <v>56.76</v>
      </c>
      <c r="I4144" s="225">
        <v>0</v>
      </c>
      <c r="J4144" s="225">
        <v>0</v>
      </c>
      <c r="K4144" s="225">
        <v>56.76</v>
      </c>
      <c r="L41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56.76</v>
      </c>
      <c r="M4144" s="225">
        <f>ROUND(IF(AND(Base_Periodo1[[#This Row],[Tipo_Linha]]="-",Base_Periodo1[[#This Row],[TIPOSALDO]]="D"),Base_Periodo1[[#This Row],[SALDO_ATUAL]]*-1,Base_Periodo1[[#This Row],[SALDO_ATUAL]]),4)</f>
        <v>56.76</v>
      </c>
      <c r="N4144" t="s">
        <v>116</v>
      </c>
      <c r="O4144" t="s">
        <v>459</v>
      </c>
      <c r="P4144" t="s">
        <v>459</v>
      </c>
      <c r="Q4144">
        <v>7</v>
      </c>
      <c r="R4144" s="225">
        <f>Base_Periodo1[[#This Row],[CREDITOS]]-Base_Periodo1[[#This Row],[DEBITOS]]</f>
        <v>0</v>
      </c>
      <c r="S4144" s="3" t="str">
        <f>IF(ISERROR(VLOOKUP(Base_Periodo1[[#This Row],[CONTA]],BaseContasDRE[#All],4,FALSE)),"Fora do DRE",VLOOKUP(Base_Periodo1[[#This Row],[CONTA]],BaseContasDRE[#All],4,FALSE))</f>
        <v>Fora do DRE</v>
      </c>
      <c r="T4144" s="3" t="str">
        <f>IF(ISERROR(VLOOKUP(Base_Periodo1[[#This Row],[CONTA]],BaseContasDRE[#All],5,FALSE)),"Fora do DRE",VLOOKUP(Base_Periodo1[[#This Row],[CONTA]],BaseContasDRE[#All],6,FALSE))</f>
        <v>Fora do DRE</v>
      </c>
      <c r="U4144" s="3" t="str">
        <f>IF(ISERROR(VLOOKUP(Base_Periodo1[[#This Row],[CONTA]],BaseContasDRE[#All],7,FALSE)),"Fora do DRE",VLOOKUP(Base_Periodo1[[#This Row],[CONTA]],BaseContasDRE[#All],7,FALSE))</f>
        <v>Fora do DRE</v>
      </c>
      <c r="V4144" s="3" t="str">
        <f>IF(Base_Periodo1[[#This Row],[Tipo_Linha]]="Fora do DRE","Fora do DRE","( "&amp;Base_Periodo1[[#This Row],[Tipo_Linha]]&amp;" ) "&amp;Base_Periodo1[[#This Row],[Filtro]])</f>
        <v>Fora do DRE</v>
      </c>
      <c r="W4144" s="3" t="str">
        <f>LEFT(Base_Periodo1[[#This Row],[CLASS]],3)</f>
        <v>2.1</v>
      </c>
    </row>
    <row r="4145" spans="1:23" hidden="1">
      <c r="A4145" s="3" t="str">
        <f t="shared" si="64"/>
        <v>Período 1</v>
      </c>
      <c r="B4145">
        <v>50976</v>
      </c>
      <c r="C4145" t="s">
        <v>2148</v>
      </c>
      <c r="D4145" t="s">
        <v>5733</v>
      </c>
      <c r="E4145" s="3" t="str">
        <f>IF(LEN(Base_Periodo1[[#This Row],[CLASS]])&gt;=7,LEFT(Base_Periodo1[[#This Row],[CLASS]],7),"")</f>
        <v>2.1.2.2</v>
      </c>
      <c r="F4145" s="3" t="str">
        <f>VLOOKUP(Base_Periodo1[[#This Row],[Aux]],Base_Contas_Balanco[#All],2,FALSE)</f>
        <v>Fornecedores Não Cooperados</v>
      </c>
      <c r="G4145" s="1">
        <v>42706</v>
      </c>
      <c r="H4145" s="225">
        <v>9.9999999983992893E-3</v>
      </c>
      <c r="I4145" s="225">
        <v>0</v>
      </c>
      <c r="J4145" s="225">
        <v>0</v>
      </c>
      <c r="K4145" s="225">
        <v>9.9999999983992893E-3</v>
      </c>
      <c r="L41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145" s="225">
        <f>ROUND(IF(AND(Base_Periodo1[[#This Row],[Tipo_Linha]]="-",Base_Periodo1[[#This Row],[TIPOSALDO]]="D"),Base_Periodo1[[#This Row],[SALDO_ATUAL]]*-1,Base_Periodo1[[#This Row],[SALDO_ATUAL]]),4)</f>
        <v>0.01</v>
      </c>
      <c r="N4145" t="s">
        <v>116</v>
      </c>
      <c r="O4145" t="s">
        <v>459</v>
      </c>
      <c r="P4145" t="s">
        <v>459</v>
      </c>
      <c r="Q4145">
        <v>7</v>
      </c>
      <c r="R4145" s="225">
        <f>Base_Periodo1[[#This Row],[CREDITOS]]-Base_Periodo1[[#This Row],[DEBITOS]]</f>
        <v>0</v>
      </c>
      <c r="S4145" s="3" t="str">
        <f>IF(ISERROR(VLOOKUP(Base_Periodo1[[#This Row],[CONTA]],BaseContasDRE[#All],4,FALSE)),"Fora do DRE",VLOOKUP(Base_Periodo1[[#This Row],[CONTA]],BaseContasDRE[#All],4,FALSE))</f>
        <v>Fora do DRE</v>
      </c>
      <c r="T4145" s="3" t="str">
        <f>IF(ISERROR(VLOOKUP(Base_Periodo1[[#This Row],[CONTA]],BaseContasDRE[#All],5,FALSE)),"Fora do DRE",VLOOKUP(Base_Periodo1[[#This Row],[CONTA]],BaseContasDRE[#All],6,FALSE))</f>
        <v>Fora do DRE</v>
      </c>
      <c r="U4145" s="3" t="str">
        <f>IF(ISERROR(VLOOKUP(Base_Periodo1[[#This Row],[CONTA]],BaseContasDRE[#All],7,FALSE)),"Fora do DRE",VLOOKUP(Base_Periodo1[[#This Row],[CONTA]],BaseContasDRE[#All],7,FALSE))</f>
        <v>Fora do DRE</v>
      </c>
      <c r="V4145" s="3" t="str">
        <f>IF(Base_Periodo1[[#This Row],[Tipo_Linha]]="Fora do DRE","Fora do DRE","( "&amp;Base_Periodo1[[#This Row],[Tipo_Linha]]&amp;" ) "&amp;Base_Periodo1[[#This Row],[Filtro]])</f>
        <v>Fora do DRE</v>
      </c>
      <c r="W4145" s="3" t="str">
        <f>LEFT(Base_Periodo1[[#This Row],[CLASS]],3)</f>
        <v>2.1</v>
      </c>
    </row>
    <row r="4146" spans="1:23" hidden="1">
      <c r="A4146" s="3" t="str">
        <f t="shared" si="64"/>
        <v>Período 1</v>
      </c>
      <c r="B4146">
        <v>16539</v>
      </c>
      <c r="C4146" t="s">
        <v>2148</v>
      </c>
      <c r="D4146" t="s">
        <v>7172</v>
      </c>
      <c r="E4146" s="3" t="str">
        <f>IF(LEN(Base_Periodo1[[#This Row],[CLASS]])&gt;=7,LEFT(Base_Periodo1[[#This Row],[CLASS]],7),"")</f>
        <v>2.1.2.2</v>
      </c>
      <c r="F4146" s="3" t="str">
        <f>VLOOKUP(Base_Periodo1[[#This Row],[Aux]],Base_Contas_Balanco[#All],2,FALSE)</f>
        <v>Fornecedores Não Cooperados</v>
      </c>
      <c r="G4146" s="1">
        <v>42871</v>
      </c>
      <c r="I4146" s="225">
        <v>0</v>
      </c>
      <c r="J4146" s="225">
        <v>5000</v>
      </c>
      <c r="K4146" s="225">
        <v>5000</v>
      </c>
      <c r="L41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5000</v>
      </c>
      <c r="M4146" s="225">
        <f>ROUND(IF(AND(Base_Periodo1[[#This Row],[Tipo_Linha]]="-",Base_Periodo1[[#This Row],[TIPOSALDO]]="D"),Base_Periodo1[[#This Row],[SALDO_ATUAL]]*-1,Base_Periodo1[[#This Row],[SALDO_ATUAL]]),4)</f>
        <v>5000</v>
      </c>
      <c r="N4146" t="s">
        <v>116</v>
      </c>
      <c r="O4146" t="s">
        <v>436</v>
      </c>
      <c r="P4146" t="s">
        <v>459</v>
      </c>
      <c r="Q4146">
        <v>7</v>
      </c>
      <c r="R4146" s="225">
        <f>Base_Periodo1[[#This Row],[CREDITOS]]-Base_Periodo1[[#This Row],[DEBITOS]]</f>
        <v>5000</v>
      </c>
      <c r="S4146" s="3" t="str">
        <f>IF(ISERROR(VLOOKUP(Base_Periodo1[[#This Row],[CONTA]],BaseContasDRE[#All],4,FALSE)),"Fora do DRE",VLOOKUP(Base_Periodo1[[#This Row],[CONTA]],BaseContasDRE[#All],4,FALSE))</f>
        <v>Fora do DRE</v>
      </c>
      <c r="T4146" s="3" t="str">
        <f>IF(ISERROR(VLOOKUP(Base_Periodo1[[#This Row],[CONTA]],BaseContasDRE[#All],5,FALSE)),"Fora do DRE",VLOOKUP(Base_Periodo1[[#This Row],[CONTA]],BaseContasDRE[#All],6,FALSE))</f>
        <v>Fora do DRE</v>
      </c>
      <c r="U4146" s="3" t="str">
        <f>IF(ISERROR(VLOOKUP(Base_Periodo1[[#This Row],[CONTA]],BaseContasDRE[#All],7,FALSE)),"Fora do DRE",VLOOKUP(Base_Periodo1[[#This Row],[CONTA]],BaseContasDRE[#All],7,FALSE))</f>
        <v>Fora do DRE</v>
      </c>
      <c r="V4146" s="3" t="str">
        <f>IF(Base_Periodo1[[#This Row],[Tipo_Linha]]="Fora do DRE","Fora do DRE","( "&amp;Base_Periodo1[[#This Row],[Tipo_Linha]]&amp;" ) "&amp;Base_Periodo1[[#This Row],[Filtro]])</f>
        <v>Fora do DRE</v>
      </c>
      <c r="W4146" s="3" t="str">
        <f>LEFT(Base_Periodo1[[#This Row],[CLASS]],3)</f>
        <v>2.1</v>
      </c>
    </row>
    <row r="4147" spans="1:23" hidden="1">
      <c r="A4147" s="3" t="str">
        <f t="shared" si="64"/>
        <v>Período 1</v>
      </c>
      <c r="B4147">
        <v>42837</v>
      </c>
      <c r="C4147" t="s">
        <v>2148</v>
      </c>
      <c r="D4147" t="s">
        <v>1889</v>
      </c>
      <c r="E4147" s="3" t="str">
        <f>IF(LEN(Base_Periodo1[[#This Row],[CLASS]])&gt;=7,LEFT(Base_Periodo1[[#This Row],[CLASS]],7),"")</f>
        <v>2.1.2.2</v>
      </c>
      <c r="F4147" s="3" t="str">
        <f>VLOOKUP(Base_Periodo1[[#This Row],[Aux]],Base_Contas_Balanco[#All],2,FALSE)</f>
        <v>Fornecedores Não Cooperados</v>
      </c>
      <c r="G4147" s="1"/>
      <c r="I4147" s="225">
        <v>0</v>
      </c>
      <c r="J4147" s="225">
        <v>440</v>
      </c>
      <c r="K4147" s="225">
        <v>440</v>
      </c>
      <c r="L41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440</v>
      </c>
      <c r="M4147" s="225">
        <f>ROUND(IF(AND(Base_Periodo1[[#This Row],[Tipo_Linha]]="-",Base_Periodo1[[#This Row],[TIPOSALDO]]="D"),Base_Periodo1[[#This Row],[SALDO_ATUAL]]*-1,Base_Periodo1[[#This Row],[SALDO_ATUAL]]),4)</f>
        <v>440</v>
      </c>
      <c r="N4147" t="s">
        <v>116</v>
      </c>
      <c r="O4147" t="s">
        <v>436</v>
      </c>
      <c r="P4147" t="s">
        <v>459</v>
      </c>
      <c r="Q4147">
        <v>7</v>
      </c>
      <c r="R4147" s="225">
        <f>Base_Periodo1[[#This Row],[CREDITOS]]-Base_Periodo1[[#This Row],[DEBITOS]]</f>
        <v>440</v>
      </c>
      <c r="S4147" s="3" t="str">
        <f>IF(ISERROR(VLOOKUP(Base_Periodo1[[#This Row],[CONTA]],BaseContasDRE[#All],4,FALSE)),"Fora do DRE",VLOOKUP(Base_Periodo1[[#This Row],[CONTA]],BaseContasDRE[#All],4,FALSE))</f>
        <v>Fora do DRE</v>
      </c>
      <c r="T4147" s="3" t="str">
        <f>IF(ISERROR(VLOOKUP(Base_Periodo1[[#This Row],[CONTA]],BaseContasDRE[#All],5,FALSE)),"Fora do DRE",VLOOKUP(Base_Periodo1[[#This Row],[CONTA]],BaseContasDRE[#All],6,FALSE))</f>
        <v>Fora do DRE</v>
      </c>
      <c r="U4147" s="3" t="str">
        <f>IF(ISERROR(VLOOKUP(Base_Periodo1[[#This Row],[CONTA]],BaseContasDRE[#All],7,FALSE)),"Fora do DRE",VLOOKUP(Base_Periodo1[[#This Row],[CONTA]],BaseContasDRE[#All],7,FALSE))</f>
        <v>Fora do DRE</v>
      </c>
      <c r="V4147" s="3" t="str">
        <f>IF(Base_Periodo1[[#This Row],[Tipo_Linha]]="Fora do DRE","Fora do DRE","( "&amp;Base_Periodo1[[#This Row],[Tipo_Linha]]&amp;" ) "&amp;Base_Periodo1[[#This Row],[Filtro]])</f>
        <v>Fora do DRE</v>
      </c>
      <c r="W4147" s="3" t="str">
        <f>LEFT(Base_Periodo1[[#This Row],[CLASS]],3)</f>
        <v>2.1</v>
      </c>
    </row>
    <row r="4148" spans="1:23" hidden="1">
      <c r="A4148" s="3" t="str">
        <f t="shared" si="64"/>
        <v>Período 1</v>
      </c>
      <c r="B4148">
        <v>41873</v>
      </c>
      <c r="C4148" t="s">
        <v>2148</v>
      </c>
      <c r="D4148" t="s">
        <v>6882</v>
      </c>
      <c r="E4148" s="3" t="str">
        <f>IF(LEN(Base_Periodo1[[#This Row],[CLASS]])&gt;=7,LEFT(Base_Periodo1[[#This Row],[CLASS]],7),"")</f>
        <v>2.1.2.2</v>
      </c>
      <c r="F4148" s="3" t="str">
        <f>VLOOKUP(Base_Periodo1[[#This Row],[Aux]],Base_Contas_Balanco[#All],2,FALSE)</f>
        <v>Fornecedores Não Cooperados</v>
      </c>
      <c r="G4148" s="1">
        <v>42884</v>
      </c>
      <c r="I4148" s="225">
        <v>6660.48</v>
      </c>
      <c r="J4148" s="225">
        <v>6660.48</v>
      </c>
      <c r="K4148" s="225">
        <v>0</v>
      </c>
      <c r="L41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48" s="225">
        <f>ROUND(IF(AND(Base_Periodo1[[#This Row],[Tipo_Linha]]="-",Base_Periodo1[[#This Row],[TIPOSALDO]]="D"),Base_Periodo1[[#This Row],[SALDO_ATUAL]]*-1,Base_Periodo1[[#This Row],[SALDO_ATUAL]]),4)</f>
        <v>0</v>
      </c>
      <c r="N4148" t="s">
        <v>116</v>
      </c>
      <c r="O4148" t="s">
        <v>436</v>
      </c>
      <c r="P4148" t="s">
        <v>436</v>
      </c>
      <c r="Q4148">
        <v>7</v>
      </c>
      <c r="R4148" s="225">
        <f>Base_Periodo1[[#This Row],[CREDITOS]]-Base_Periodo1[[#This Row],[DEBITOS]]</f>
        <v>0</v>
      </c>
      <c r="S4148" s="3" t="str">
        <f>IF(ISERROR(VLOOKUP(Base_Periodo1[[#This Row],[CONTA]],BaseContasDRE[#All],4,FALSE)),"Fora do DRE",VLOOKUP(Base_Periodo1[[#This Row],[CONTA]],BaseContasDRE[#All],4,FALSE))</f>
        <v>Fora do DRE</v>
      </c>
      <c r="T4148" s="3" t="str">
        <f>IF(ISERROR(VLOOKUP(Base_Periodo1[[#This Row],[CONTA]],BaseContasDRE[#All],5,FALSE)),"Fora do DRE",VLOOKUP(Base_Periodo1[[#This Row],[CONTA]],BaseContasDRE[#All],6,FALSE))</f>
        <v>Fora do DRE</v>
      </c>
      <c r="U4148" s="3" t="str">
        <f>IF(ISERROR(VLOOKUP(Base_Periodo1[[#This Row],[CONTA]],BaseContasDRE[#All],7,FALSE)),"Fora do DRE",VLOOKUP(Base_Periodo1[[#This Row],[CONTA]],BaseContasDRE[#All],7,FALSE))</f>
        <v>Fora do DRE</v>
      </c>
      <c r="V4148" s="3" t="str">
        <f>IF(Base_Periodo1[[#This Row],[Tipo_Linha]]="Fora do DRE","Fora do DRE","( "&amp;Base_Periodo1[[#This Row],[Tipo_Linha]]&amp;" ) "&amp;Base_Periodo1[[#This Row],[Filtro]])</f>
        <v>Fora do DRE</v>
      </c>
      <c r="W4148" s="3" t="str">
        <f>LEFT(Base_Periodo1[[#This Row],[CLASS]],3)</f>
        <v>2.1</v>
      </c>
    </row>
    <row r="4149" spans="1:23" hidden="1">
      <c r="A4149" s="3" t="str">
        <f t="shared" si="64"/>
        <v>Período 1</v>
      </c>
      <c r="B4149">
        <v>2846</v>
      </c>
      <c r="C4149" t="s">
        <v>2148</v>
      </c>
      <c r="D4149" t="s">
        <v>2180</v>
      </c>
      <c r="E4149" s="3" t="str">
        <f>IF(LEN(Base_Periodo1[[#This Row],[CLASS]])&gt;=7,LEFT(Base_Periodo1[[#This Row],[CLASS]],7),"")</f>
        <v>2.1.2.2</v>
      </c>
      <c r="F4149" s="3" t="str">
        <f>VLOOKUP(Base_Periodo1[[#This Row],[Aux]],Base_Contas_Balanco[#All],2,FALSE)</f>
        <v>Fornecedores Não Cooperados</v>
      </c>
      <c r="G4149" s="1">
        <v>40928</v>
      </c>
      <c r="H4149" s="225">
        <v>1449.4700000000012</v>
      </c>
      <c r="I4149" s="225">
        <v>0</v>
      </c>
      <c r="J4149" s="225">
        <v>0</v>
      </c>
      <c r="K4149" s="225">
        <v>1449.4700000000012</v>
      </c>
      <c r="L41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1449.47</v>
      </c>
      <c r="M4149" s="225">
        <f>ROUND(IF(AND(Base_Periodo1[[#This Row],[Tipo_Linha]]="-",Base_Periodo1[[#This Row],[TIPOSALDO]]="D"),Base_Periodo1[[#This Row],[SALDO_ATUAL]]*-1,Base_Periodo1[[#This Row],[SALDO_ATUAL]]),4)</f>
        <v>1449.47</v>
      </c>
      <c r="N4149" t="s">
        <v>116</v>
      </c>
      <c r="O4149" t="s">
        <v>459</v>
      </c>
      <c r="P4149" t="s">
        <v>459</v>
      </c>
      <c r="Q4149">
        <v>7</v>
      </c>
      <c r="R4149" s="225">
        <f>Base_Periodo1[[#This Row],[CREDITOS]]-Base_Periodo1[[#This Row],[DEBITOS]]</f>
        <v>0</v>
      </c>
      <c r="S4149" s="3" t="str">
        <f>IF(ISERROR(VLOOKUP(Base_Periodo1[[#This Row],[CONTA]],BaseContasDRE[#All],4,FALSE)),"Fora do DRE",VLOOKUP(Base_Periodo1[[#This Row],[CONTA]],BaseContasDRE[#All],4,FALSE))</f>
        <v>Fora do DRE</v>
      </c>
      <c r="T4149" s="3" t="str">
        <f>IF(ISERROR(VLOOKUP(Base_Periodo1[[#This Row],[CONTA]],BaseContasDRE[#All],5,FALSE)),"Fora do DRE",VLOOKUP(Base_Periodo1[[#This Row],[CONTA]],BaseContasDRE[#All],6,FALSE))</f>
        <v>Fora do DRE</v>
      </c>
      <c r="U4149" s="3" t="str">
        <f>IF(ISERROR(VLOOKUP(Base_Periodo1[[#This Row],[CONTA]],BaseContasDRE[#All],7,FALSE)),"Fora do DRE",VLOOKUP(Base_Periodo1[[#This Row],[CONTA]],BaseContasDRE[#All],7,FALSE))</f>
        <v>Fora do DRE</v>
      </c>
      <c r="V4149" s="3" t="str">
        <f>IF(Base_Periodo1[[#This Row],[Tipo_Linha]]="Fora do DRE","Fora do DRE","( "&amp;Base_Periodo1[[#This Row],[Tipo_Linha]]&amp;" ) "&amp;Base_Periodo1[[#This Row],[Filtro]])</f>
        <v>Fora do DRE</v>
      </c>
      <c r="W4149" s="3" t="str">
        <f>LEFT(Base_Periodo1[[#This Row],[CLASS]],3)</f>
        <v>2.1</v>
      </c>
    </row>
    <row r="4150" spans="1:23" hidden="1">
      <c r="A4150" s="3" t="str">
        <f t="shared" si="64"/>
        <v>Período 1</v>
      </c>
      <c r="B4150">
        <v>40933</v>
      </c>
      <c r="C4150" t="s">
        <v>2148</v>
      </c>
      <c r="D4150" t="s">
        <v>6884</v>
      </c>
      <c r="E4150" s="3" t="str">
        <f>IF(LEN(Base_Periodo1[[#This Row],[CLASS]])&gt;=7,LEFT(Base_Periodo1[[#This Row],[CLASS]],7),"")</f>
        <v>2.1.2.2</v>
      </c>
      <c r="F4150" s="3" t="str">
        <f>VLOOKUP(Base_Periodo1[[#This Row],[Aux]],Base_Contas_Balanco[#All],2,FALSE)</f>
        <v>Fornecedores Não Cooperados</v>
      </c>
      <c r="G4150" s="1">
        <v>42884</v>
      </c>
      <c r="I4150" s="225">
        <v>261588.45</v>
      </c>
      <c r="J4150" s="225">
        <v>261588.45</v>
      </c>
      <c r="K4150" s="225">
        <v>0</v>
      </c>
      <c r="L41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50" s="225">
        <f>ROUND(IF(AND(Base_Periodo1[[#This Row],[Tipo_Linha]]="-",Base_Periodo1[[#This Row],[TIPOSALDO]]="D"),Base_Periodo1[[#This Row],[SALDO_ATUAL]]*-1,Base_Periodo1[[#This Row],[SALDO_ATUAL]]),4)</f>
        <v>0</v>
      </c>
      <c r="N4150" t="s">
        <v>116</v>
      </c>
      <c r="O4150" t="s">
        <v>436</v>
      </c>
      <c r="P4150" t="s">
        <v>436</v>
      </c>
      <c r="Q4150">
        <v>7</v>
      </c>
      <c r="R4150" s="225">
        <f>Base_Periodo1[[#This Row],[CREDITOS]]-Base_Periodo1[[#This Row],[DEBITOS]]</f>
        <v>0</v>
      </c>
      <c r="S4150" s="3" t="str">
        <f>IF(ISERROR(VLOOKUP(Base_Periodo1[[#This Row],[CONTA]],BaseContasDRE[#All],4,FALSE)),"Fora do DRE",VLOOKUP(Base_Periodo1[[#This Row],[CONTA]],BaseContasDRE[#All],4,FALSE))</f>
        <v>Fora do DRE</v>
      </c>
      <c r="T4150" s="3" t="str">
        <f>IF(ISERROR(VLOOKUP(Base_Periodo1[[#This Row],[CONTA]],BaseContasDRE[#All],5,FALSE)),"Fora do DRE",VLOOKUP(Base_Periodo1[[#This Row],[CONTA]],BaseContasDRE[#All],6,FALSE))</f>
        <v>Fora do DRE</v>
      </c>
      <c r="U4150" s="3" t="str">
        <f>IF(ISERROR(VLOOKUP(Base_Periodo1[[#This Row],[CONTA]],BaseContasDRE[#All],7,FALSE)),"Fora do DRE",VLOOKUP(Base_Periodo1[[#This Row],[CONTA]],BaseContasDRE[#All],7,FALSE))</f>
        <v>Fora do DRE</v>
      </c>
      <c r="V4150" s="3" t="str">
        <f>IF(Base_Periodo1[[#This Row],[Tipo_Linha]]="Fora do DRE","Fora do DRE","( "&amp;Base_Periodo1[[#This Row],[Tipo_Linha]]&amp;" ) "&amp;Base_Periodo1[[#This Row],[Filtro]])</f>
        <v>Fora do DRE</v>
      </c>
      <c r="W4150" s="3" t="str">
        <f>LEFT(Base_Periodo1[[#This Row],[CLASS]],3)</f>
        <v>2.1</v>
      </c>
    </row>
    <row r="4151" spans="1:23" hidden="1">
      <c r="A4151" s="3" t="str">
        <f t="shared" si="64"/>
        <v>Período 1</v>
      </c>
      <c r="B4151">
        <v>29766</v>
      </c>
      <c r="C4151" t="s">
        <v>2148</v>
      </c>
      <c r="D4151" t="s">
        <v>2181</v>
      </c>
      <c r="E4151" s="3" t="str">
        <f>IF(LEN(Base_Periodo1[[#This Row],[CLASS]])&gt;=7,LEFT(Base_Periodo1[[#This Row],[CLASS]],7),"")</f>
        <v>2.1.2.2</v>
      </c>
      <c r="F4151" s="3" t="str">
        <f>VLOOKUP(Base_Periodo1[[#This Row],[Aux]],Base_Contas_Balanco[#All],2,FALSE)</f>
        <v>Fornecedores Não Cooperados</v>
      </c>
      <c r="G4151" s="1">
        <v>41676</v>
      </c>
      <c r="H4151" s="225">
        <v>5.9999999999490683E-2</v>
      </c>
      <c r="I4151" s="225">
        <v>0</v>
      </c>
      <c r="J4151" s="225">
        <v>0</v>
      </c>
      <c r="K4151" s="225">
        <v>5.9999999999490683E-2</v>
      </c>
      <c r="L41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0.06</v>
      </c>
      <c r="M4151" s="225">
        <f>ROUND(IF(AND(Base_Periodo1[[#This Row],[Tipo_Linha]]="-",Base_Periodo1[[#This Row],[TIPOSALDO]]="D"),Base_Periodo1[[#This Row],[SALDO_ATUAL]]*-1,Base_Periodo1[[#This Row],[SALDO_ATUAL]]),4)</f>
        <v>0.06</v>
      </c>
      <c r="N4151" t="s">
        <v>116</v>
      </c>
      <c r="O4151" t="s">
        <v>459</v>
      </c>
      <c r="P4151" t="s">
        <v>459</v>
      </c>
      <c r="Q4151">
        <v>7</v>
      </c>
      <c r="R4151" s="225">
        <f>Base_Periodo1[[#This Row],[CREDITOS]]-Base_Periodo1[[#This Row],[DEBITOS]]</f>
        <v>0</v>
      </c>
      <c r="S4151" s="3" t="str">
        <f>IF(ISERROR(VLOOKUP(Base_Periodo1[[#This Row],[CONTA]],BaseContasDRE[#All],4,FALSE)),"Fora do DRE",VLOOKUP(Base_Periodo1[[#This Row],[CONTA]],BaseContasDRE[#All],4,FALSE))</f>
        <v>Fora do DRE</v>
      </c>
      <c r="T4151" s="3" t="str">
        <f>IF(ISERROR(VLOOKUP(Base_Periodo1[[#This Row],[CONTA]],BaseContasDRE[#All],5,FALSE)),"Fora do DRE",VLOOKUP(Base_Periodo1[[#This Row],[CONTA]],BaseContasDRE[#All],6,FALSE))</f>
        <v>Fora do DRE</v>
      </c>
      <c r="U4151" s="3" t="str">
        <f>IF(ISERROR(VLOOKUP(Base_Periodo1[[#This Row],[CONTA]],BaseContasDRE[#All],7,FALSE)),"Fora do DRE",VLOOKUP(Base_Periodo1[[#This Row],[CONTA]],BaseContasDRE[#All],7,FALSE))</f>
        <v>Fora do DRE</v>
      </c>
      <c r="V4151" s="3" t="str">
        <f>IF(Base_Periodo1[[#This Row],[Tipo_Linha]]="Fora do DRE","Fora do DRE","( "&amp;Base_Periodo1[[#This Row],[Tipo_Linha]]&amp;" ) "&amp;Base_Periodo1[[#This Row],[Filtro]])</f>
        <v>Fora do DRE</v>
      </c>
      <c r="W4151" s="3" t="str">
        <f>LEFT(Base_Periodo1[[#This Row],[CLASS]],3)</f>
        <v>2.1</v>
      </c>
    </row>
    <row r="4152" spans="1:23" hidden="1">
      <c r="A4152" s="3" t="str">
        <f t="shared" si="64"/>
        <v>Período 1</v>
      </c>
      <c r="B4152">
        <v>17827</v>
      </c>
      <c r="C4152" t="s">
        <v>2148</v>
      </c>
      <c r="D4152" t="s">
        <v>4778</v>
      </c>
      <c r="E4152" s="3" t="str">
        <f>IF(LEN(Base_Periodo1[[#This Row],[CLASS]])&gt;=7,LEFT(Base_Periodo1[[#This Row],[CLASS]],7),"")</f>
        <v>2.1.2.2</v>
      </c>
      <c r="F4152" s="3" t="str">
        <f>VLOOKUP(Base_Periodo1[[#This Row],[Aux]],Base_Contas_Balanco[#All],2,FALSE)</f>
        <v>Fornecedores Não Cooperados</v>
      </c>
      <c r="G4152" s="1">
        <v>42649</v>
      </c>
      <c r="H4152" s="225">
        <v>330</v>
      </c>
      <c r="I4152" s="225">
        <v>0</v>
      </c>
      <c r="J4152" s="225">
        <v>0</v>
      </c>
      <c r="K4152" s="225">
        <v>330</v>
      </c>
      <c r="L41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330</v>
      </c>
      <c r="M4152" s="225">
        <f>ROUND(IF(AND(Base_Periodo1[[#This Row],[Tipo_Linha]]="-",Base_Periodo1[[#This Row],[TIPOSALDO]]="D"),Base_Periodo1[[#This Row],[SALDO_ATUAL]]*-1,Base_Periodo1[[#This Row],[SALDO_ATUAL]]),4)</f>
        <v>330</v>
      </c>
      <c r="N4152" t="s">
        <v>116</v>
      </c>
      <c r="O4152" t="s">
        <v>459</v>
      </c>
      <c r="P4152" t="s">
        <v>459</v>
      </c>
      <c r="Q4152">
        <v>7</v>
      </c>
      <c r="R4152" s="225">
        <f>Base_Periodo1[[#This Row],[CREDITOS]]-Base_Periodo1[[#This Row],[DEBITOS]]</f>
        <v>0</v>
      </c>
      <c r="S4152" s="3" t="str">
        <f>IF(ISERROR(VLOOKUP(Base_Periodo1[[#This Row],[CONTA]],BaseContasDRE[#All],4,FALSE)),"Fora do DRE",VLOOKUP(Base_Periodo1[[#This Row],[CONTA]],BaseContasDRE[#All],4,FALSE))</f>
        <v>Fora do DRE</v>
      </c>
      <c r="T4152" s="3" t="str">
        <f>IF(ISERROR(VLOOKUP(Base_Periodo1[[#This Row],[CONTA]],BaseContasDRE[#All],5,FALSE)),"Fora do DRE",VLOOKUP(Base_Periodo1[[#This Row],[CONTA]],BaseContasDRE[#All],6,FALSE))</f>
        <v>Fora do DRE</v>
      </c>
      <c r="U4152" s="3" t="str">
        <f>IF(ISERROR(VLOOKUP(Base_Periodo1[[#This Row],[CONTA]],BaseContasDRE[#All],7,FALSE)),"Fora do DRE",VLOOKUP(Base_Periodo1[[#This Row],[CONTA]],BaseContasDRE[#All],7,FALSE))</f>
        <v>Fora do DRE</v>
      </c>
      <c r="V4152" s="3" t="str">
        <f>IF(Base_Periodo1[[#This Row],[Tipo_Linha]]="Fora do DRE","Fora do DRE","( "&amp;Base_Periodo1[[#This Row],[Tipo_Linha]]&amp;" ) "&amp;Base_Periodo1[[#This Row],[Filtro]])</f>
        <v>Fora do DRE</v>
      </c>
      <c r="W4152" s="3" t="str">
        <f>LEFT(Base_Periodo1[[#This Row],[CLASS]],3)</f>
        <v>2.1</v>
      </c>
    </row>
    <row r="4153" spans="1:23" hidden="1">
      <c r="A4153" s="3" t="str">
        <f t="shared" si="64"/>
        <v>Período 1</v>
      </c>
      <c r="B4153">
        <v>41005</v>
      </c>
      <c r="C4153" t="s">
        <v>2148</v>
      </c>
      <c r="D4153" t="s">
        <v>1903</v>
      </c>
      <c r="E4153" s="3" t="str">
        <f>IF(LEN(Base_Periodo1[[#This Row],[CLASS]])&gt;=7,LEFT(Base_Periodo1[[#This Row],[CLASS]],7),"")</f>
        <v>2.1.2.2</v>
      </c>
      <c r="F4153" s="3" t="str">
        <f>VLOOKUP(Base_Periodo1[[#This Row],[Aux]],Base_Contas_Balanco[#All],2,FALSE)</f>
        <v>Fornecedores Não Cooperados</v>
      </c>
      <c r="G4153" s="1"/>
      <c r="I4153" s="225">
        <v>0</v>
      </c>
      <c r="J4153" s="225">
        <v>0.12</v>
      </c>
      <c r="K4153" s="225">
        <v>0.12</v>
      </c>
      <c r="L41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0.12</v>
      </c>
      <c r="M4153" s="225">
        <f>ROUND(IF(AND(Base_Periodo1[[#This Row],[Tipo_Linha]]="-",Base_Periodo1[[#This Row],[TIPOSALDO]]="D"),Base_Periodo1[[#This Row],[SALDO_ATUAL]]*-1,Base_Periodo1[[#This Row],[SALDO_ATUAL]]),4)</f>
        <v>0.12</v>
      </c>
      <c r="N4153" t="s">
        <v>116</v>
      </c>
      <c r="O4153" t="s">
        <v>436</v>
      </c>
      <c r="P4153" t="s">
        <v>459</v>
      </c>
      <c r="Q4153">
        <v>7</v>
      </c>
      <c r="R4153" s="225">
        <f>Base_Periodo1[[#This Row],[CREDITOS]]-Base_Periodo1[[#This Row],[DEBITOS]]</f>
        <v>0.12</v>
      </c>
      <c r="S4153" s="3" t="str">
        <f>IF(ISERROR(VLOOKUP(Base_Periodo1[[#This Row],[CONTA]],BaseContasDRE[#All],4,FALSE)),"Fora do DRE",VLOOKUP(Base_Periodo1[[#This Row],[CONTA]],BaseContasDRE[#All],4,FALSE))</f>
        <v>Fora do DRE</v>
      </c>
      <c r="T4153" s="3" t="str">
        <f>IF(ISERROR(VLOOKUP(Base_Periodo1[[#This Row],[CONTA]],BaseContasDRE[#All],5,FALSE)),"Fora do DRE",VLOOKUP(Base_Periodo1[[#This Row],[CONTA]],BaseContasDRE[#All],6,FALSE))</f>
        <v>Fora do DRE</v>
      </c>
      <c r="U4153" s="3" t="str">
        <f>IF(ISERROR(VLOOKUP(Base_Periodo1[[#This Row],[CONTA]],BaseContasDRE[#All],7,FALSE)),"Fora do DRE",VLOOKUP(Base_Periodo1[[#This Row],[CONTA]],BaseContasDRE[#All],7,FALSE))</f>
        <v>Fora do DRE</v>
      </c>
      <c r="V4153" s="3" t="str">
        <f>IF(Base_Periodo1[[#This Row],[Tipo_Linha]]="Fora do DRE","Fora do DRE","( "&amp;Base_Periodo1[[#This Row],[Tipo_Linha]]&amp;" ) "&amp;Base_Periodo1[[#This Row],[Filtro]])</f>
        <v>Fora do DRE</v>
      </c>
      <c r="W4153" s="3" t="str">
        <f>LEFT(Base_Periodo1[[#This Row],[CLASS]],3)</f>
        <v>2.1</v>
      </c>
    </row>
    <row r="4154" spans="1:23" hidden="1">
      <c r="A4154" s="3" t="str">
        <f t="shared" si="64"/>
        <v>Período 1</v>
      </c>
      <c r="B4154">
        <v>24748</v>
      </c>
      <c r="C4154" t="s">
        <v>2148</v>
      </c>
      <c r="D4154" t="s">
        <v>2182</v>
      </c>
      <c r="E4154" s="3" t="str">
        <f>IF(LEN(Base_Periodo1[[#This Row],[CLASS]])&gt;=7,LEFT(Base_Periodo1[[#This Row],[CLASS]],7),"")</f>
        <v>2.1.2.2</v>
      </c>
      <c r="F4154" s="3" t="str">
        <f>VLOOKUP(Base_Periodo1[[#This Row],[Aux]],Base_Contas_Balanco[#All],2,FALSE)</f>
        <v>Fornecedores Não Cooperados</v>
      </c>
      <c r="G4154" s="1">
        <v>41918</v>
      </c>
      <c r="H4154" s="225">
        <v>0.94000000000232831</v>
      </c>
      <c r="I4154" s="225">
        <v>0</v>
      </c>
      <c r="J4154" s="225">
        <v>0</v>
      </c>
      <c r="K4154" s="225">
        <v>0.94000000000232831</v>
      </c>
      <c r="L41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0.94</v>
      </c>
      <c r="M4154" s="225">
        <f>ROUND(IF(AND(Base_Periodo1[[#This Row],[Tipo_Linha]]="-",Base_Periodo1[[#This Row],[TIPOSALDO]]="D"),Base_Periodo1[[#This Row],[SALDO_ATUAL]]*-1,Base_Periodo1[[#This Row],[SALDO_ATUAL]]),4)</f>
        <v>0.94</v>
      </c>
      <c r="N4154" t="s">
        <v>116</v>
      </c>
      <c r="O4154" t="s">
        <v>459</v>
      </c>
      <c r="P4154" t="s">
        <v>459</v>
      </c>
      <c r="Q4154">
        <v>7</v>
      </c>
      <c r="R4154" s="225">
        <f>Base_Periodo1[[#This Row],[CREDITOS]]-Base_Periodo1[[#This Row],[DEBITOS]]</f>
        <v>0</v>
      </c>
      <c r="S4154" s="3" t="str">
        <f>IF(ISERROR(VLOOKUP(Base_Periodo1[[#This Row],[CONTA]],BaseContasDRE[#All],4,FALSE)),"Fora do DRE",VLOOKUP(Base_Periodo1[[#This Row],[CONTA]],BaseContasDRE[#All],4,FALSE))</f>
        <v>Fora do DRE</v>
      </c>
      <c r="T4154" s="3" t="str">
        <f>IF(ISERROR(VLOOKUP(Base_Periodo1[[#This Row],[CONTA]],BaseContasDRE[#All],5,FALSE)),"Fora do DRE",VLOOKUP(Base_Periodo1[[#This Row],[CONTA]],BaseContasDRE[#All],6,FALSE))</f>
        <v>Fora do DRE</v>
      </c>
      <c r="U4154" s="3" t="str">
        <f>IF(ISERROR(VLOOKUP(Base_Periodo1[[#This Row],[CONTA]],BaseContasDRE[#All],7,FALSE)),"Fora do DRE",VLOOKUP(Base_Periodo1[[#This Row],[CONTA]],BaseContasDRE[#All],7,FALSE))</f>
        <v>Fora do DRE</v>
      </c>
      <c r="V4154" s="3" t="str">
        <f>IF(Base_Periodo1[[#This Row],[Tipo_Linha]]="Fora do DRE","Fora do DRE","( "&amp;Base_Periodo1[[#This Row],[Tipo_Linha]]&amp;" ) "&amp;Base_Periodo1[[#This Row],[Filtro]])</f>
        <v>Fora do DRE</v>
      </c>
      <c r="W4154" s="3" t="str">
        <f>LEFT(Base_Periodo1[[#This Row],[CLASS]],3)</f>
        <v>2.1</v>
      </c>
    </row>
    <row r="4155" spans="1:23" hidden="1">
      <c r="A4155" s="3" t="str">
        <f t="shared" si="64"/>
        <v>Período 1</v>
      </c>
      <c r="B4155">
        <v>27367</v>
      </c>
      <c r="C4155" t="s">
        <v>2148</v>
      </c>
      <c r="D4155" t="s">
        <v>4368</v>
      </c>
      <c r="E4155" s="3" t="str">
        <f>IF(LEN(Base_Periodo1[[#This Row],[CLASS]])&gt;=7,LEFT(Base_Periodo1[[#This Row],[CLASS]],7),"")</f>
        <v>2.1.2.2</v>
      </c>
      <c r="F4155" s="3" t="str">
        <f>VLOOKUP(Base_Periodo1[[#This Row],[Aux]],Base_Contas_Balanco[#All],2,FALSE)</f>
        <v>Fornecedores Não Cooperados</v>
      </c>
      <c r="G4155" s="1">
        <v>42495</v>
      </c>
      <c r="H4155" s="225">
        <v>3199.8600000000006</v>
      </c>
      <c r="I4155" s="225">
        <v>0</v>
      </c>
      <c r="J4155" s="225">
        <v>0</v>
      </c>
      <c r="K4155" s="225">
        <v>3199.8600000000006</v>
      </c>
      <c r="L41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3199.86</v>
      </c>
      <c r="M4155" s="225">
        <f>ROUND(IF(AND(Base_Periodo1[[#This Row],[Tipo_Linha]]="-",Base_Periodo1[[#This Row],[TIPOSALDO]]="D"),Base_Periodo1[[#This Row],[SALDO_ATUAL]]*-1,Base_Periodo1[[#This Row],[SALDO_ATUAL]]),4)</f>
        <v>3199.86</v>
      </c>
      <c r="N4155" t="s">
        <v>116</v>
      </c>
      <c r="O4155" t="s">
        <v>459</v>
      </c>
      <c r="P4155" t="s">
        <v>459</v>
      </c>
      <c r="Q4155">
        <v>7</v>
      </c>
      <c r="R4155" s="225">
        <f>Base_Periodo1[[#This Row],[CREDITOS]]-Base_Periodo1[[#This Row],[DEBITOS]]</f>
        <v>0</v>
      </c>
      <c r="S4155" s="3" t="str">
        <f>IF(ISERROR(VLOOKUP(Base_Periodo1[[#This Row],[CONTA]],BaseContasDRE[#All],4,FALSE)),"Fora do DRE",VLOOKUP(Base_Periodo1[[#This Row],[CONTA]],BaseContasDRE[#All],4,FALSE))</f>
        <v>Fora do DRE</v>
      </c>
      <c r="T4155" s="3" t="str">
        <f>IF(ISERROR(VLOOKUP(Base_Periodo1[[#This Row],[CONTA]],BaseContasDRE[#All],5,FALSE)),"Fora do DRE",VLOOKUP(Base_Periodo1[[#This Row],[CONTA]],BaseContasDRE[#All],6,FALSE))</f>
        <v>Fora do DRE</v>
      </c>
      <c r="U4155" s="3" t="str">
        <f>IF(ISERROR(VLOOKUP(Base_Periodo1[[#This Row],[CONTA]],BaseContasDRE[#All],7,FALSE)),"Fora do DRE",VLOOKUP(Base_Periodo1[[#This Row],[CONTA]],BaseContasDRE[#All],7,FALSE))</f>
        <v>Fora do DRE</v>
      </c>
      <c r="V4155" s="3" t="str">
        <f>IF(Base_Periodo1[[#This Row],[Tipo_Linha]]="Fora do DRE","Fora do DRE","( "&amp;Base_Periodo1[[#This Row],[Tipo_Linha]]&amp;" ) "&amp;Base_Periodo1[[#This Row],[Filtro]])</f>
        <v>Fora do DRE</v>
      </c>
      <c r="W4155" s="3" t="str">
        <f>LEFT(Base_Periodo1[[#This Row],[CLASS]],3)</f>
        <v>2.1</v>
      </c>
    </row>
    <row r="4156" spans="1:23" hidden="1">
      <c r="A4156" s="3" t="str">
        <f t="shared" si="64"/>
        <v>Período 1</v>
      </c>
      <c r="B4156">
        <v>42069</v>
      </c>
      <c r="C4156" t="s">
        <v>2148</v>
      </c>
      <c r="D4156" t="s">
        <v>4810</v>
      </c>
      <c r="E4156" s="3" t="str">
        <f>IF(LEN(Base_Periodo1[[#This Row],[CLASS]])&gt;=7,LEFT(Base_Periodo1[[#This Row],[CLASS]],7),"")</f>
        <v>2.1.2.2</v>
      </c>
      <c r="F4156" s="3" t="str">
        <f>VLOOKUP(Base_Periodo1[[#This Row],[Aux]],Base_Contas_Balanco[#All],2,FALSE)</f>
        <v>Fornecedores Não Cooperados</v>
      </c>
      <c r="G4156" s="1"/>
      <c r="H4156" s="225">
        <v>2390</v>
      </c>
      <c r="I4156" s="225">
        <v>0</v>
      </c>
      <c r="J4156" s="225">
        <v>0</v>
      </c>
      <c r="K4156" s="225">
        <v>2390</v>
      </c>
      <c r="L41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2390</v>
      </c>
      <c r="M4156" s="225">
        <f>ROUND(IF(AND(Base_Periodo1[[#This Row],[Tipo_Linha]]="-",Base_Periodo1[[#This Row],[TIPOSALDO]]="D"),Base_Periodo1[[#This Row],[SALDO_ATUAL]]*-1,Base_Periodo1[[#This Row],[SALDO_ATUAL]]),4)</f>
        <v>2390</v>
      </c>
      <c r="N4156" t="s">
        <v>116</v>
      </c>
      <c r="O4156" t="s">
        <v>459</v>
      </c>
      <c r="P4156" t="s">
        <v>459</v>
      </c>
      <c r="Q4156">
        <v>7</v>
      </c>
      <c r="R4156" s="225">
        <f>Base_Periodo1[[#This Row],[CREDITOS]]-Base_Periodo1[[#This Row],[DEBITOS]]</f>
        <v>0</v>
      </c>
      <c r="S4156" s="3" t="str">
        <f>IF(ISERROR(VLOOKUP(Base_Periodo1[[#This Row],[CONTA]],BaseContasDRE[#All],4,FALSE)),"Fora do DRE",VLOOKUP(Base_Periodo1[[#This Row],[CONTA]],BaseContasDRE[#All],4,FALSE))</f>
        <v>Fora do DRE</v>
      </c>
      <c r="T4156" s="3" t="str">
        <f>IF(ISERROR(VLOOKUP(Base_Periodo1[[#This Row],[CONTA]],BaseContasDRE[#All],5,FALSE)),"Fora do DRE",VLOOKUP(Base_Periodo1[[#This Row],[CONTA]],BaseContasDRE[#All],6,FALSE))</f>
        <v>Fora do DRE</v>
      </c>
      <c r="U4156" s="3" t="str">
        <f>IF(ISERROR(VLOOKUP(Base_Periodo1[[#This Row],[CONTA]],BaseContasDRE[#All],7,FALSE)),"Fora do DRE",VLOOKUP(Base_Periodo1[[#This Row],[CONTA]],BaseContasDRE[#All],7,FALSE))</f>
        <v>Fora do DRE</v>
      </c>
      <c r="V4156" s="3" t="str">
        <f>IF(Base_Periodo1[[#This Row],[Tipo_Linha]]="Fora do DRE","Fora do DRE","( "&amp;Base_Periodo1[[#This Row],[Tipo_Linha]]&amp;" ) "&amp;Base_Periodo1[[#This Row],[Filtro]])</f>
        <v>Fora do DRE</v>
      </c>
      <c r="W4156" s="3" t="str">
        <f>LEFT(Base_Periodo1[[#This Row],[CLASS]],3)</f>
        <v>2.1</v>
      </c>
    </row>
    <row r="4157" spans="1:23" hidden="1">
      <c r="A4157" s="3" t="str">
        <f t="shared" si="64"/>
        <v>Período 1</v>
      </c>
      <c r="B4157">
        <v>29567</v>
      </c>
      <c r="C4157" t="s">
        <v>2148</v>
      </c>
      <c r="D4157" t="s">
        <v>4700</v>
      </c>
      <c r="E4157" s="3" t="str">
        <f>IF(LEN(Base_Periodo1[[#This Row],[CLASS]])&gt;=7,LEFT(Base_Periodo1[[#This Row],[CLASS]],7),"")</f>
        <v>2.1.2.2</v>
      </c>
      <c r="F4157" s="3" t="str">
        <f>VLOOKUP(Base_Periodo1[[#This Row],[Aux]],Base_Contas_Balanco[#All],2,FALSE)</f>
        <v>Fornecedores Não Cooperados</v>
      </c>
      <c r="G4157" s="1">
        <v>42807</v>
      </c>
      <c r="H4157" s="225">
        <v>704.00000000000091</v>
      </c>
      <c r="I4157" s="225">
        <v>0</v>
      </c>
      <c r="J4157" s="225">
        <v>0</v>
      </c>
      <c r="K4157" s="225">
        <v>704.00000000000091</v>
      </c>
      <c r="L41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704</v>
      </c>
      <c r="M4157" s="225">
        <f>ROUND(IF(AND(Base_Periodo1[[#This Row],[Tipo_Linha]]="-",Base_Periodo1[[#This Row],[TIPOSALDO]]="D"),Base_Periodo1[[#This Row],[SALDO_ATUAL]]*-1,Base_Periodo1[[#This Row],[SALDO_ATUAL]]),4)</f>
        <v>704</v>
      </c>
      <c r="N4157" t="s">
        <v>116</v>
      </c>
      <c r="O4157" t="s">
        <v>459</v>
      </c>
      <c r="P4157" t="s">
        <v>459</v>
      </c>
      <c r="Q4157">
        <v>7</v>
      </c>
      <c r="R4157" s="225">
        <f>Base_Periodo1[[#This Row],[CREDITOS]]-Base_Periodo1[[#This Row],[DEBITOS]]</f>
        <v>0</v>
      </c>
      <c r="S4157" s="3" t="str">
        <f>IF(ISERROR(VLOOKUP(Base_Periodo1[[#This Row],[CONTA]],BaseContasDRE[#All],4,FALSE)),"Fora do DRE",VLOOKUP(Base_Periodo1[[#This Row],[CONTA]],BaseContasDRE[#All],4,FALSE))</f>
        <v>Fora do DRE</v>
      </c>
      <c r="T4157" s="3" t="str">
        <f>IF(ISERROR(VLOOKUP(Base_Periodo1[[#This Row],[CONTA]],BaseContasDRE[#All],5,FALSE)),"Fora do DRE",VLOOKUP(Base_Periodo1[[#This Row],[CONTA]],BaseContasDRE[#All],6,FALSE))</f>
        <v>Fora do DRE</v>
      </c>
      <c r="U4157" s="3" t="str">
        <f>IF(ISERROR(VLOOKUP(Base_Periodo1[[#This Row],[CONTA]],BaseContasDRE[#All],7,FALSE)),"Fora do DRE",VLOOKUP(Base_Periodo1[[#This Row],[CONTA]],BaseContasDRE[#All],7,FALSE))</f>
        <v>Fora do DRE</v>
      </c>
      <c r="V4157" s="3" t="str">
        <f>IF(Base_Periodo1[[#This Row],[Tipo_Linha]]="Fora do DRE","Fora do DRE","( "&amp;Base_Periodo1[[#This Row],[Tipo_Linha]]&amp;" ) "&amp;Base_Periodo1[[#This Row],[Filtro]])</f>
        <v>Fora do DRE</v>
      </c>
      <c r="W4157" s="3" t="str">
        <f>LEFT(Base_Periodo1[[#This Row],[CLASS]],3)</f>
        <v>2.1</v>
      </c>
    </row>
    <row r="4158" spans="1:23" hidden="1">
      <c r="A4158" s="3" t="str">
        <f t="shared" si="64"/>
        <v>Período 1</v>
      </c>
      <c r="B4158">
        <v>3818</v>
      </c>
      <c r="C4158" t="s">
        <v>2148</v>
      </c>
      <c r="D4158" t="s">
        <v>2183</v>
      </c>
      <c r="E4158" s="3" t="str">
        <f>IF(LEN(Base_Periodo1[[#This Row],[CLASS]])&gt;=7,LEFT(Base_Periodo1[[#This Row],[CLASS]],7),"")</f>
        <v>2.1.2.2</v>
      </c>
      <c r="F4158" s="3" t="str">
        <f>VLOOKUP(Base_Periodo1[[#This Row],[Aux]],Base_Contas_Balanco[#All],2,FALSE)</f>
        <v>Fornecedores Não Cooperados</v>
      </c>
      <c r="G4158" s="1">
        <v>42061</v>
      </c>
      <c r="H4158" s="225">
        <v>134.98999999999978</v>
      </c>
      <c r="I4158" s="225">
        <v>0</v>
      </c>
      <c r="J4158" s="225">
        <v>0</v>
      </c>
      <c r="K4158" s="225">
        <v>134.98999999999978</v>
      </c>
      <c r="L41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134.99</v>
      </c>
      <c r="M4158" s="225">
        <f>ROUND(IF(AND(Base_Periodo1[[#This Row],[Tipo_Linha]]="-",Base_Periodo1[[#This Row],[TIPOSALDO]]="D"),Base_Periodo1[[#This Row],[SALDO_ATUAL]]*-1,Base_Periodo1[[#This Row],[SALDO_ATUAL]]),4)</f>
        <v>134.99</v>
      </c>
      <c r="N4158" t="s">
        <v>116</v>
      </c>
      <c r="O4158" t="s">
        <v>459</v>
      </c>
      <c r="P4158" t="s">
        <v>459</v>
      </c>
      <c r="Q4158">
        <v>7</v>
      </c>
      <c r="R4158" s="225">
        <f>Base_Periodo1[[#This Row],[CREDITOS]]-Base_Periodo1[[#This Row],[DEBITOS]]</f>
        <v>0</v>
      </c>
      <c r="S4158" s="3" t="str">
        <f>IF(ISERROR(VLOOKUP(Base_Periodo1[[#This Row],[CONTA]],BaseContasDRE[#All],4,FALSE)),"Fora do DRE",VLOOKUP(Base_Periodo1[[#This Row],[CONTA]],BaseContasDRE[#All],4,FALSE))</f>
        <v>Fora do DRE</v>
      </c>
      <c r="T4158" s="3" t="str">
        <f>IF(ISERROR(VLOOKUP(Base_Periodo1[[#This Row],[CONTA]],BaseContasDRE[#All],5,FALSE)),"Fora do DRE",VLOOKUP(Base_Periodo1[[#This Row],[CONTA]],BaseContasDRE[#All],6,FALSE))</f>
        <v>Fora do DRE</v>
      </c>
      <c r="U4158" s="3" t="str">
        <f>IF(ISERROR(VLOOKUP(Base_Periodo1[[#This Row],[CONTA]],BaseContasDRE[#All],7,FALSE)),"Fora do DRE",VLOOKUP(Base_Periodo1[[#This Row],[CONTA]],BaseContasDRE[#All],7,FALSE))</f>
        <v>Fora do DRE</v>
      </c>
      <c r="V4158" s="3" t="str">
        <f>IF(Base_Periodo1[[#This Row],[Tipo_Linha]]="Fora do DRE","Fora do DRE","( "&amp;Base_Periodo1[[#This Row],[Tipo_Linha]]&amp;" ) "&amp;Base_Periodo1[[#This Row],[Filtro]])</f>
        <v>Fora do DRE</v>
      </c>
      <c r="W4158" s="3" t="str">
        <f>LEFT(Base_Periodo1[[#This Row],[CLASS]],3)</f>
        <v>2.1</v>
      </c>
    </row>
    <row r="4159" spans="1:23" hidden="1">
      <c r="A4159" s="3" t="str">
        <f t="shared" si="64"/>
        <v>Período 1</v>
      </c>
      <c r="B4159">
        <v>25808</v>
      </c>
      <c r="C4159" t="s">
        <v>2148</v>
      </c>
      <c r="D4159" t="s">
        <v>2184</v>
      </c>
      <c r="E4159" s="3" t="str">
        <f>IF(LEN(Base_Periodo1[[#This Row],[CLASS]])&gt;=7,LEFT(Base_Periodo1[[#This Row],[CLASS]],7),"")</f>
        <v>2.1.2.2</v>
      </c>
      <c r="F4159" s="3" t="str">
        <f>VLOOKUP(Base_Periodo1[[#This Row],[Aux]],Base_Contas_Balanco[#All],2,FALSE)</f>
        <v>Fornecedores Não Cooperados</v>
      </c>
      <c r="G4159" s="1">
        <v>42804</v>
      </c>
      <c r="H4159" s="225">
        <v>4038.0299999999988</v>
      </c>
      <c r="I4159" s="225">
        <v>0</v>
      </c>
      <c r="J4159" s="225">
        <v>0</v>
      </c>
      <c r="K4159" s="225">
        <v>4038.0299999999988</v>
      </c>
      <c r="L41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4038.03</v>
      </c>
      <c r="M4159" s="225">
        <f>ROUND(IF(AND(Base_Periodo1[[#This Row],[Tipo_Linha]]="-",Base_Periodo1[[#This Row],[TIPOSALDO]]="D"),Base_Periodo1[[#This Row],[SALDO_ATUAL]]*-1,Base_Periodo1[[#This Row],[SALDO_ATUAL]]),4)</f>
        <v>4038.03</v>
      </c>
      <c r="N4159" t="s">
        <v>116</v>
      </c>
      <c r="O4159" t="s">
        <v>459</v>
      </c>
      <c r="P4159" t="s">
        <v>459</v>
      </c>
      <c r="Q4159">
        <v>7</v>
      </c>
      <c r="R4159" s="225">
        <f>Base_Periodo1[[#This Row],[CREDITOS]]-Base_Periodo1[[#This Row],[DEBITOS]]</f>
        <v>0</v>
      </c>
      <c r="S4159" s="3" t="str">
        <f>IF(ISERROR(VLOOKUP(Base_Periodo1[[#This Row],[CONTA]],BaseContasDRE[#All],4,FALSE)),"Fora do DRE",VLOOKUP(Base_Periodo1[[#This Row],[CONTA]],BaseContasDRE[#All],4,FALSE))</f>
        <v>Fora do DRE</v>
      </c>
      <c r="T4159" s="3" t="str">
        <f>IF(ISERROR(VLOOKUP(Base_Periodo1[[#This Row],[CONTA]],BaseContasDRE[#All],5,FALSE)),"Fora do DRE",VLOOKUP(Base_Periodo1[[#This Row],[CONTA]],BaseContasDRE[#All],6,FALSE))</f>
        <v>Fora do DRE</v>
      </c>
      <c r="U4159" s="3" t="str">
        <f>IF(ISERROR(VLOOKUP(Base_Periodo1[[#This Row],[CONTA]],BaseContasDRE[#All],7,FALSE)),"Fora do DRE",VLOOKUP(Base_Periodo1[[#This Row],[CONTA]],BaseContasDRE[#All],7,FALSE))</f>
        <v>Fora do DRE</v>
      </c>
      <c r="V4159" s="3" t="str">
        <f>IF(Base_Periodo1[[#This Row],[Tipo_Linha]]="Fora do DRE","Fora do DRE","( "&amp;Base_Periodo1[[#This Row],[Tipo_Linha]]&amp;" ) "&amp;Base_Periodo1[[#This Row],[Filtro]])</f>
        <v>Fora do DRE</v>
      </c>
      <c r="W4159" s="3" t="str">
        <f>LEFT(Base_Periodo1[[#This Row],[CLASS]],3)</f>
        <v>2.1</v>
      </c>
    </row>
    <row r="4160" spans="1:23" hidden="1">
      <c r="A4160" s="3" t="str">
        <f t="shared" si="64"/>
        <v>Período 1</v>
      </c>
      <c r="B4160">
        <v>18237</v>
      </c>
      <c r="C4160" t="s">
        <v>2148</v>
      </c>
      <c r="D4160" t="s">
        <v>2185</v>
      </c>
      <c r="E4160" s="3" t="str">
        <f>IF(LEN(Base_Periodo1[[#This Row],[CLASS]])&gt;=7,LEFT(Base_Periodo1[[#This Row],[CLASS]],7),"")</f>
        <v>2.1.2.2</v>
      </c>
      <c r="F4160" s="3" t="str">
        <f>VLOOKUP(Base_Periodo1[[#This Row],[Aux]],Base_Contas_Balanco[#All],2,FALSE)</f>
        <v>Fornecedores Não Cooperados</v>
      </c>
      <c r="G4160" s="1">
        <v>42748</v>
      </c>
      <c r="H4160" s="225">
        <v>944.02000000000771</v>
      </c>
      <c r="I4160" s="225">
        <v>0</v>
      </c>
      <c r="J4160" s="225">
        <v>0</v>
      </c>
      <c r="K4160" s="225">
        <v>944.02000000000771</v>
      </c>
      <c r="L41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944.02</v>
      </c>
      <c r="M4160" s="225">
        <f>ROUND(IF(AND(Base_Periodo1[[#This Row],[Tipo_Linha]]="-",Base_Periodo1[[#This Row],[TIPOSALDO]]="D"),Base_Periodo1[[#This Row],[SALDO_ATUAL]]*-1,Base_Periodo1[[#This Row],[SALDO_ATUAL]]),4)</f>
        <v>944.02</v>
      </c>
      <c r="N4160" t="s">
        <v>116</v>
      </c>
      <c r="O4160" t="s">
        <v>459</v>
      </c>
      <c r="P4160" t="s">
        <v>459</v>
      </c>
      <c r="Q4160">
        <v>7</v>
      </c>
      <c r="R4160" s="225">
        <f>Base_Periodo1[[#This Row],[CREDITOS]]-Base_Periodo1[[#This Row],[DEBITOS]]</f>
        <v>0</v>
      </c>
      <c r="S4160" s="3" t="str">
        <f>IF(ISERROR(VLOOKUP(Base_Periodo1[[#This Row],[CONTA]],BaseContasDRE[#All],4,FALSE)),"Fora do DRE",VLOOKUP(Base_Periodo1[[#This Row],[CONTA]],BaseContasDRE[#All],4,FALSE))</f>
        <v>Fora do DRE</v>
      </c>
      <c r="T4160" s="3" t="str">
        <f>IF(ISERROR(VLOOKUP(Base_Periodo1[[#This Row],[CONTA]],BaseContasDRE[#All],5,FALSE)),"Fora do DRE",VLOOKUP(Base_Periodo1[[#This Row],[CONTA]],BaseContasDRE[#All],6,FALSE))</f>
        <v>Fora do DRE</v>
      </c>
      <c r="U4160" s="3" t="str">
        <f>IF(ISERROR(VLOOKUP(Base_Periodo1[[#This Row],[CONTA]],BaseContasDRE[#All],7,FALSE)),"Fora do DRE",VLOOKUP(Base_Periodo1[[#This Row],[CONTA]],BaseContasDRE[#All],7,FALSE))</f>
        <v>Fora do DRE</v>
      </c>
      <c r="V4160" s="3" t="str">
        <f>IF(Base_Periodo1[[#This Row],[Tipo_Linha]]="Fora do DRE","Fora do DRE","( "&amp;Base_Periodo1[[#This Row],[Tipo_Linha]]&amp;" ) "&amp;Base_Periodo1[[#This Row],[Filtro]])</f>
        <v>Fora do DRE</v>
      </c>
      <c r="W4160" s="3" t="str">
        <f>LEFT(Base_Periodo1[[#This Row],[CLASS]],3)</f>
        <v>2.1</v>
      </c>
    </row>
    <row r="4161" spans="1:23" hidden="1">
      <c r="A4161" s="3" t="str">
        <f t="shared" si="64"/>
        <v>Período 1</v>
      </c>
      <c r="B4161">
        <v>8238</v>
      </c>
      <c r="C4161" t="s">
        <v>2148</v>
      </c>
      <c r="D4161" t="s">
        <v>2186</v>
      </c>
      <c r="E4161" s="3" t="str">
        <f>IF(LEN(Base_Periodo1[[#This Row],[CLASS]])&gt;=7,LEFT(Base_Periodo1[[#This Row],[CLASS]],7),"")</f>
        <v>2.1.2.2</v>
      </c>
      <c r="F4161" s="3" t="str">
        <f>VLOOKUP(Base_Periodo1[[#This Row],[Aux]],Base_Contas_Balanco[#All],2,FALSE)</f>
        <v>Fornecedores Não Cooperados</v>
      </c>
      <c r="G4161" s="1">
        <v>41873</v>
      </c>
      <c r="H4161" s="225">
        <v>0.38999999998486601</v>
      </c>
      <c r="I4161" s="225">
        <v>0</v>
      </c>
      <c r="J4161" s="225">
        <v>0</v>
      </c>
      <c r="K4161" s="225">
        <v>0.38999999998486601</v>
      </c>
      <c r="L41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0.39</v>
      </c>
      <c r="M4161" s="225">
        <f>ROUND(IF(AND(Base_Periodo1[[#This Row],[Tipo_Linha]]="-",Base_Periodo1[[#This Row],[TIPOSALDO]]="D"),Base_Periodo1[[#This Row],[SALDO_ATUAL]]*-1,Base_Periodo1[[#This Row],[SALDO_ATUAL]]),4)</f>
        <v>0.39</v>
      </c>
      <c r="N4161" t="s">
        <v>116</v>
      </c>
      <c r="O4161" t="s">
        <v>459</v>
      </c>
      <c r="P4161" t="s">
        <v>459</v>
      </c>
      <c r="Q4161">
        <v>7</v>
      </c>
      <c r="R4161" s="225">
        <f>Base_Periodo1[[#This Row],[CREDITOS]]-Base_Periodo1[[#This Row],[DEBITOS]]</f>
        <v>0</v>
      </c>
      <c r="S4161" s="3" t="str">
        <f>IF(ISERROR(VLOOKUP(Base_Periodo1[[#This Row],[CONTA]],BaseContasDRE[#All],4,FALSE)),"Fora do DRE",VLOOKUP(Base_Periodo1[[#This Row],[CONTA]],BaseContasDRE[#All],4,FALSE))</f>
        <v>Fora do DRE</v>
      </c>
      <c r="T4161" s="3" t="str">
        <f>IF(ISERROR(VLOOKUP(Base_Periodo1[[#This Row],[CONTA]],BaseContasDRE[#All],5,FALSE)),"Fora do DRE",VLOOKUP(Base_Periodo1[[#This Row],[CONTA]],BaseContasDRE[#All],6,FALSE))</f>
        <v>Fora do DRE</v>
      </c>
      <c r="U4161" s="3" t="str">
        <f>IF(ISERROR(VLOOKUP(Base_Periodo1[[#This Row],[CONTA]],BaseContasDRE[#All],7,FALSE)),"Fora do DRE",VLOOKUP(Base_Periodo1[[#This Row],[CONTA]],BaseContasDRE[#All],7,FALSE))</f>
        <v>Fora do DRE</v>
      </c>
      <c r="V4161" s="3" t="str">
        <f>IF(Base_Periodo1[[#This Row],[Tipo_Linha]]="Fora do DRE","Fora do DRE","( "&amp;Base_Periodo1[[#This Row],[Tipo_Linha]]&amp;" ) "&amp;Base_Periodo1[[#This Row],[Filtro]])</f>
        <v>Fora do DRE</v>
      </c>
      <c r="W4161" s="3" t="str">
        <f>LEFT(Base_Periodo1[[#This Row],[CLASS]],3)</f>
        <v>2.1</v>
      </c>
    </row>
    <row r="4162" spans="1:23" hidden="1">
      <c r="A4162" s="3" t="str">
        <f t="shared" si="64"/>
        <v>Período 1</v>
      </c>
      <c r="B4162">
        <v>59102</v>
      </c>
      <c r="C4162" t="s">
        <v>2148</v>
      </c>
      <c r="D4162" t="s">
        <v>7173</v>
      </c>
      <c r="E4162" s="3" t="str">
        <f>IF(LEN(Base_Periodo1[[#This Row],[CLASS]])&gt;=7,LEFT(Base_Periodo1[[#This Row],[CLASS]],7),"")</f>
        <v>2.1.2.2</v>
      </c>
      <c r="F4162" s="3" t="str">
        <f>VLOOKUP(Base_Periodo1[[#This Row],[Aux]],Base_Contas_Balanco[#All],2,FALSE)</f>
        <v>Fornecedores Não Cooperados</v>
      </c>
      <c r="G4162" s="1"/>
      <c r="I4162" s="225">
        <v>0</v>
      </c>
      <c r="J4162" s="225">
        <v>6704</v>
      </c>
      <c r="K4162" s="225">
        <v>6704</v>
      </c>
      <c r="L41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6704</v>
      </c>
      <c r="M4162" s="225">
        <f>ROUND(IF(AND(Base_Periodo1[[#This Row],[Tipo_Linha]]="-",Base_Periodo1[[#This Row],[TIPOSALDO]]="D"),Base_Periodo1[[#This Row],[SALDO_ATUAL]]*-1,Base_Periodo1[[#This Row],[SALDO_ATUAL]]),4)</f>
        <v>6704</v>
      </c>
      <c r="N4162" t="s">
        <v>116</v>
      </c>
      <c r="O4162" t="s">
        <v>436</v>
      </c>
      <c r="P4162" t="s">
        <v>459</v>
      </c>
      <c r="Q4162">
        <v>7</v>
      </c>
      <c r="R4162" s="225">
        <f>Base_Periodo1[[#This Row],[CREDITOS]]-Base_Periodo1[[#This Row],[DEBITOS]]</f>
        <v>6704</v>
      </c>
      <c r="S4162" s="3" t="str">
        <f>IF(ISERROR(VLOOKUP(Base_Periodo1[[#This Row],[CONTA]],BaseContasDRE[#All],4,FALSE)),"Fora do DRE",VLOOKUP(Base_Periodo1[[#This Row],[CONTA]],BaseContasDRE[#All],4,FALSE))</f>
        <v>Fora do DRE</v>
      </c>
      <c r="T4162" s="3" t="str">
        <f>IF(ISERROR(VLOOKUP(Base_Periodo1[[#This Row],[CONTA]],BaseContasDRE[#All],5,FALSE)),"Fora do DRE",VLOOKUP(Base_Periodo1[[#This Row],[CONTA]],BaseContasDRE[#All],6,FALSE))</f>
        <v>Fora do DRE</v>
      </c>
      <c r="U4162" s="3" t="str">
        <f>IF(ISERROR(VLOOKUP(Base_Periodo1[[#This Row],[CONTA]],BaseContasDRE[#All],7,FALSE)),"Fora do DRE",VLOOKUP(Base_Periodo1[[#This Row],[CONTA]],BaseContasDRE[#All],7,FALSE))</f>
        <v>Fora do DRE</v>
      </c>
      <c r="V4162" s="3" t="str">
        <f>IF(Base_Periodo1[[#This Row],[Tipo_Linha]]="Fora do DRE","Fora do DRE","( "&amp;Base_Periodo1[[#This Row],[Tipo_Linha]]&amp;" ) "&amp;Base_Periodo1[[#This Row],[Filtro]])</f>
        <v>Fora do DRE</v>
      </c>
      <c r="W4162" s="3" t="str">
        <f>LEFT(Base_Periodo1[[#This Row],[CLASS]],3)</f>
        <v>2.1</v>
      </c>
    </row>
    <row r="4163" spans="1:23" hidden="1">
      <c r="A4163" s="3" t="str">
        <f t="shared" si="64"/>
        <v>Período 1</v>
      </c>
      <c r="B4163">
        <v>42001</v>
      </c>
      <c r="C4163" t="s">
        <v>2148</v>
      </c>
      <c r="D4163" t="s">
        <v>2187</v>
      </c>
      <c r="E4163" s="3" t="str">
        <f>IF(LEN(Base_Periodo1[[#This Row],[CLASS]])&gt;=7,LEFT(Base_Periodo1[[#This Row],[CLASS]],7),"")</f>
        <v>2.1.2.2</v>
      </c>
      <c r="F4163" s="3" t="str">
        <f>VLOOKUP(Base_Periodo1[[#This Row],[Aux]],Base_Contas_Balanco[#All],2,FALSE)</f>
        <v>Fornecedores Não Cooperados</v>
      </c>
      <c r="G4163" s="1"/>
      <c r="H4163" s="225">
        <v>69.680000000000007</v>
      </c>
      <c r="I4163" s="225">
        <v>0</v>
      </c>
      <c r="J4163" s="225">
        <v>0</v>
      </c>
      <c r="K4163" s="225">
        <v>69.680000000000007</v>
      </c>
      <c r="L41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69.680000000000007</v>
      </c>
      <c r="M4163" s="225">
        <f>ROUND(IF(AND(Base_Periodo1[[#This Row],[Tipo_Linha]]="-",Base_Periodo1[[#This Row],[TIPOSALDO]]="D"),Base_Periodo1[[#This Row],[SALDO_ATUAL]]*-1,Base_Periodo1[[#This Row],[SALDO_ATUAL]]),4)</f>
        <v>69.680000000000007</v>
      </c>
      <c r="N4163" t="s">
        <v>116</v>
      </c>
      <c r="O4163" t="s">
        <v>459</v>
      </c>
      <c r="P4163" t="s">
        <v>459</v>
      </c>
      <c r="Q4163">
        <v>7</v>
      </c>
      <c r="R4163" s="225">
        <f>Base_Periodo1[[#This Row],[CREDITOS]]-Base_Periodo1[[#This Row],[DEBITOS]]</f>
        <v>0</v>
      </c>
      <c r="S4163" s="3" t="str">
        <f>IF(ISERROR(VLOOKUP(Base_Periodo1[[#This Row],[CONTA]],BaseContasDRE[#All],4,FALSE)),"Fora do DRE",VLOOKUP(Base_Periodo1[[#This Row],[CONTA]],BaseContasDRE[#All],4,FALSE))</f>
        <v>Fora do DRE</v>
      </c>
      <c r="T4163" s="3" t="str">
        <f>IF(ISERROR(VLOOKUP(Base_Periodo1[[#This Row],[CONTA]],BaseContasDRE[#All],5,FALSE)),"Fora do DRE",VLOOKUP(Base_Periodo1[[#This Row],[CONTA]],BaseContasDRE[#All],6,FALSE))</f>
        <v>Fora do DRE</v>
      </c>
      <c r="U4163" s="3" t="str">
        <f>IF(ISERROR(VLOOKUP(Base_Periodo1[[#This Row],[CONTA]],BaseContasDRE[#All],7,FALSE)),"Fora do DRE",VLOOKUP(Base_Periodo1[[#This Row],[CONTA]],BaseContasDRE[#All],7,FALSE))</f>
        <v>Fora do DRE</v>
      </c>
      <c r="V4163" s="3" t="str">
        <f>IF(Base_Periodo1[[#This Row],[Tipo_Linha]]="Fora do DRE","Fora do DRE","( "&amp;Base_Periodo1[[#This Row],[Tipo_Linha]]&amp;" ) "&amp;Base_Periodo1[[#This Row],[Filtro]])</f>
        <v>Fora do DRE</v>
      </c>
      <c r="W4163" s="3" t="str">
        <f>LEFT(Base_Periodo1[[#This Row],[CLASS]],3)</f>
        <v>2.1</v>
      </c>
    </row>
    <row r="4164" spans="1:23" hidden="1">
      <c r="A4164" s="3" t="str">
        <f t="shared" si="64"/>
        <v>Período 1</v>
      </c>
      <c r="B4164">
        <v>39142</v>
      </c>
      <c r="C4164" t="s">
        <v>2148</v>
      </c>
      <c r="D4164" t="s">
        <v>2188</v>
      </c>
      <c r="E4164" s="3" t="str">
        <f>IF(LEN(Base_Periodo1[[#This Row],[CLASS]])&gt;=7,LEFT(Base_Periodo1[[#This Row],[CLASS]],7),"")</f>
        <v>2.1.2.2</v>
      </c>
      <c r="F4164" s="3" t="str">
        <f>VLOOKUP(Base_Periodo1[[#This Row],[Aux]],Base_Contas_Balanco[#All],2,FALSE)</f>
        <v>Fornecedores Não Cooperados</v>
      </c>
      <c r="G4164" s="1">
        <v>42212</v>
      </c>
      <c r="H4164" s="225">
        <v>136.76000000000022</v>
      </c>
      <c r="I4164" s="225">
        <v>0</v>
      </c>
      <c r="J4164" s="225">
        <v>0</v>
      </c>
      <c r="K4164" s="225">
        <v>136.76000000000022</v>
      </c>
      <c r="L41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136.76</v>
      </c>
      <c r="M4164" s="225">
        <f>ROUND(IF(AND(Base_Periodo1[[#This Row],[Tipo_Linha]]="-",Base_Periodo1[[#This Row],[TIPOSALDO]]="D"),Base_Periodo1[[#This Row],[SALDO_ATUAL]]*-1,Base_Periodo1[[#This Row],[SALDO_ATUAL]]),4)</f>
        <v>136.76</v>
      </c>
      <c r="N4164" t="s">
        <v>116</v>
      </c>
      <c r="O4164" t="s">
        <v>459</v>
      </c>
      <c r="P4164" t="s">
        <v>459</v>
      </c>
      <c r="Q4164">
        <v>7</v>
      </c>
      <c r="R4164" s="225">
        <f>Base_Periodo1[[#This Row],[CREDITOS]]-Base_Periodo1[[#This Row],[DEBITOS]]</f>
        <v>0</v>
      </c>
      <c r="S4164" s="3" t="str">
        <f>IF(ISERROR(VLOOKUP(Base_Periodo1[[#This Row],[CONTA]],BaseContasDRE[#All],4,FALSE)),"Fora do DRE",VLOOKUP(Base_Periodo1[[#This Row],[CONTA]],BaseContasDRE[#All],4,FALSE))</f>
        <v>Fora do DRE</v>
      </c>
      <c r="T4164" s="3" t="str">
        <f>IF(ISERROR(VLOOKUP(Base_Periodo1[[#This Row],[CONTA]],BaseContasDRE[#All],5,FALSE)),"Fora do DRE",VLOOKUP(Base_Periodo1[[#This Row],[CONTA]],BaseContasDRE[#All],6,FALSE))</f>
        <v>Fora do DRE</v>
      </c>
      <c r="U4164" s="3" t="str">
        <f>IF(ISERROR(VLOOKUP(Base_Periodo1[[#This Row],[CONTA]],BaseContasDRE[#All],7,FALSE)),"Fora do DRE",VLOOKUP(Base_Periodo1[[#This Row],[CONTA]],BaseContasDRE[#All],7,FALSE))</f>
        <v>Fora do DRE</v>
      </c>
      <c r="V4164" s="3" t="str">
        <f>IF(Base_Periodo1[[#This Row],[Tipo_Linha]]="Fora do DRE","Fora do DRE","( "&amp;Base_Periodo1[[#This Row],[Tipo_Linha]]&amp;" ) "&amp;Base_Periodo1[[#This Row],[Filtro]])</f>
        <v>Fora do DRE</v>
      </c>
      <c r="W4164" s="3" t="str">
        <f>LEFT(Base_Periodo1[[#This Row],[CLASS]],3)</f>
        <v>2.1</v>
      </c>
    </row>
    <row r="4165" spans="1:23" hidden="1">
      <c r="A4165" s="3" t="str">
        <f t="shared" si="64"/>
        <v>Período 1</v>
      </c>
      <c r="B4165">
        <v>41069</v>
      </c>
      <c r="C4165" t="s">
        <v>2148</v>
      </c>
      <c r="D4165" t="s">
        <v>2189</v>
      </c>
      <c r="E4165" s="3" t="str">
        <f>IF(LEN(Base_Periodo1[[#This Row],[CLASS]])&gt;=7,LEFT(Base_Periodo1[[#This Row],[CLASS]],7),"")</f>
        <v>2.1.2.2</v>
      </c>
      <c r="F4165" s="3" t="str">
        <f>VLOOKUP(Base_Periodo1[[#This Row],[Aux]],Base_Contas_Balanco[#All],2,FALSE)</f>
        <v>Fornecedores Não Cooperados</v>
      </c>
      <c r="G4165" s="1"/>
      <c r="H4165" s="225">
        <v>0.56999999999999995</v>
      </c>
      <c r="I4165" s="225">
        <v>0</v>
      </c>
      <c r="J4165" s="225">
        <v>0</v>
      </c>
      <c r="K4165" s="225">
        <v>0.56999999999999995</v>
      </c>
      <c r="L41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0.56999999999999995</v>
      </c>
      <c r="M4165" s="225">
        <f>ROUND(IF(AND(Base_Periodo1[[#This Row],[Tipo_Linha]]="-",Base_Periodo1[[#This Row],[TIPOSALDO]]="D"),Base_Periodo1[[#This Row],[SALDO_ATUAL]]*-1,Base_Periodo1[[#This Row],[SALDO_ATUAL]]),4)</f>
        <v>0.56999999999999995</v>
      </c>
      <c r="N4165" t="s">
        <v>116</v>
      </c>
      <c r="O4165" t="s">
        <v>459</v>
      </c>
      <c r="P4165" t="s">
        <v>459</v>
      </c>
      <c r="Q4165">
        <v>7</v>
      </c>
      <c r="R4165" s="225">
        <f>Base_Periodo1[[#This Row],[CREDITOS]]-Base_Periodo1[[#This Row],[DEBITOS]]</f>
        <v>0</v>
      </c>
      <c r="S4165" s="3" t="str">
        <f>IF(ISERROR(VLOOKUP(Base_Periodo1[[#This Row],[CONTA]],BaseContasDRE[#All],4,FALSE)),"Fora do DRE",VLOOKUP(Base_Periodo1[[#This Row],[CONTA]],BaseContasDRE[#All],4,FALSE))</f>
        <v>Fora do DRE</v>
      </c>
      <c r="T4165" s="3" t="str">
        <f>IF(ISERROR(VLOOKUP(Base_Periodo1[[#This Row],[CONTA]],BaseContasDRE[#All],5,FALSE)),"Fora do DRE",VLOOKUP(Base_Periodo1[[#This Row],[CONTA]],BaseContasDRE[#All],6,FALSE))</f>
        <v>Fora do DRE</v>
      </c>
      <c r="U4165" s="3" t="str">
        <f>IF(ISERROR(VLOOKUP(Base_Periodo1[[#This Row],[CONTA]],BaseContasDRE[#All],7,FALSE)),"Fora do DRE",VLOOKUP(Base_Periodo1[[#This Row],[CONTA]],BaseContasDRE[#All],7,FALSE))</f>
        <v>Fora do DRE</v>
      </c>
      <c r="V4165" s="3" t="str">
        <f>IF(Base_Periodo1[[#This Row],[Tipo_Linha]]="Fora do DRE","Fora do DRE","( "&amp;Base_Periodo1[[#This Row],[Tipo_Linha]]&amp;" ) "&amp;Base_Periodo1[[#This Row],[Filtro]])</f>
        <v>Fora do DRE</v>
      </c>
      <c r="W4165" s="3" t="str">
        <f>LEFT(Base_Periodo1[[#This Row],[CLASS]],3)</f>
        <v>2.1</v>
      </c>
    </row>
    <row r="4166" spans="1:23" hidden="1">
      <c r="A4166" s="3" t="str">
        <f t="shared" ref="A4166:A4229" si="65">"Período 1"</f>
        <v>Período 1</v>
      </c>
      <c r="B4166">
        <v>34811</v>
      </c>
      <c r="C4166" t="s">
        <v>2148</v>
      </c>
      <c r="D4166" t="s">
        <v>2191</v>
      </c>
      <c r="E4166" s="3" t="str">
        <f>IF(LEN(Base_Periodo1[[#This Row],[CLASS]])&gt;=7,LEFT(Base_Periodo1[[#This Row],[CLASS]],7),"")</f>
        <v>2.1.2.2</v>
      </c>
      <c r="F4166" s="3" t="str">
        <f>VLOOKUP(Base_Periodo1[[#This Row],[Aux]],Base_Contas_Balanco[#All],2,FALSE)</f>
        <v>Fornecedores Não Cooperados</v>
      </c>
      <c r="G4166" s="1">
        <v>42272</v>
      </c>
      <c r="H4166" s="225">
        <v>5.1999999999989086</v>
      </c>
      <c r="I4166" s="225">
        <v>0</v>
      </c>
      <c r="J4166" s="225">
        <v>0</v>
      </c>
      <c r="K4166" s="225">
        <v>5.1999999999989086</v>
      </c>
      <c r="L41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5.2</v>
      </c>
      <c r="M4166" s="225">
        <f>ROUND(IF(AND(Base_Periodo1[[#This Row],[Tipo_Linha]]="-",Base_Periodo1[[#This Row],[TIPOSALDO]]="D"),Base_Periodo1[[#This Row],[SALDO_ATUAL]]*-1,Base_Periodo1[[#This Row],[SALDO_ATUAL]]),4)</f>
        <v>5.2</v>
      </c>
      <c r="N4166" t="s">
        <v>116</v>
      </c>
      <c r="O4166" t="s">
        <v>459</v>
      </c>
      <c r="P4166" t="s">
        <v>459</v>
      </c>
      <c r="Q4166">
        <v>7</v>
      </c>
      <c r="R4166" s="225">
        <f>Base_Periodo1[[#This Row],[CREDITOS]]-Base_Periodo1[[#This Row],[DEBITOS]]</f>
        <v>0</v>
      </c>
      <c r="S4166" s="3" t="str">
        <f>IF(ISERROR(VLOOKUP(Base_Periodo1[[#This Row],[CONTA]],BaseContasDRE[#All],4,FALSE)),"Fora do DRE",VLOOKUP(Base_Periodo1[[#This Row],[CONTA]],BaseContasDRE[#All],4,FALSE))</f>
        <v>Fora do DRE</v>
      </c>
      <c r="T4166" s="3" t="str">
        <f>IF(ISERROR(VLOOKUP(Base_Periodo1[[#This Row],[CONTA]],BaseContasDRE[#All],5,FALSE)),"Fora do DRE",VLOOKUP(Base_Periodo1[[#This Row],[CONTA]],BaseContasDRE[#All],6,FALSE))</f>
        <v>Fora do DRE</v>
      </c>
      <c r="U4166" s="3" t="str">
        <f>IF(ISERROR(VLOOKUP(Base_Periodo1[[#This Row],[CONTA]],BaseContasDRE[#All],7,FALSE)),"Fora do DRE",VLOOKUP(Base_Periodo1[[#This Row],[CONTA]],BaseContasDRE[#All],7,FALSE))</f>
        <v>Fora do DRE</v>
      </c>
      <c r="V4166" s="3" t="str">
        <f>IF(Base_Periodo1[[#This Row],[Tipo_Linha]]="Fora do DRE","Fora do DRE","( "&amp;Base_Periodo1[[#This Row],[Tipo_Linha]]&amp;" ) "&amp;Base_Periodo1[[#This Row],[Filtro]])</f>
        <v>Fora do DRE</v>
      </c>
      <c r="W4166" s="3" t="str">
        <f>LEFT(Base_Periodo1[[#This Row],[CLASS]],3)</f>
        <v>2.1</v>
      </c>
    </row>
    <row r="4167" spans="1:23" hidden="1">
      <c r="A4167" s="3" t="str">
        <f t="shared" si="65"/>
        <v>Período 1</v>
      </c>
      <c r="B4167">
        <v>14599</v>
      </c>
      <c r="C4167" t="s">
        <v>2148</v>
      </c>
      <c r="D4167" t="s">
        <v>6548</v>
      </c>
      <c r="E4167" s="3" t="str">
        <f>IF(LEN(Base_Periodo1[[#This Row],[CLASS]])&gt;=7,LEFT(Base_Periodo1[[#This Row],[CLASS]],7),"")</f>
        <v>2.1.2.2</v>
      </c>
      <c r="F4167" s="3" t="str">
        <f>VLOOKUP(Base_Periodo1[[#This Row],[Aux]],Base_Contas_Balanco[#All],2,FALSE)</f>
        <v>Fornecedores Não Cooperados</v>
      </c>
      <c r="G4167" s="1">
        <v>42849</v>
      </c>
      <c r="H4167" s="225">
        <v>113074.74999999953</v>
      </c>
      <c r="I4167" s="225">
        <v>0</v>
      </c>
      <c r="J4167" s="225">
        <v>0</v>
      </c>
      <c r="K4167" s="225">
        <v>113074.74999999953</v>
      </c>
      <c r="L41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113074.75</v>
      </c>
      <c r="M4167" s="225">
        <f>ROUND(IF(AND(Base_Periodo1[[#This Row],[Tipo_Linha]]="-",Base_Periodo1[[#This Row],[TIPOSALDO]]="D"),Base_Periodo1[[#This Row],[SALDO_ATUAL]]*-1,Base_Periodo1[[#This Row],[SALDO_ATUAL]]),4)</f>
        <v>113074.75</v>
      </c>
      <c r="N4167" t="s">
        <v>116</v>
      </c>
      <c r="O4167" t="s">
        <v>459</v>
      </c>
      <c r="P4167" t="s">
        <v>459</v>
      </c>
      <c r="Q4167">
        <v>7</v>
      </c>
      <c r="R4167" s="225">
        <f>Base_Periodo1[[#This Row],[CREDITOS]]-Base_Periodo1[[#This Row],[DEBITOS]]</f>
        <v>0</v>
      </c>
      <c r="S4167" s="3" t="str">
        <f>IF(ISERROR(VLOOKUP(Base_Periodo1[[#This Row],[CONTA]],BaseContasDRE[#All],4,FALSE)),"Fora do DRE",VLOOKUP(Base_Periodo1[[#This Row],[CONTA]],BaseContasDRE[#All],4,FALSE))</f>
        <v>Fora do DRE</v>
      </c>
      <c r="T4167" s="3" t="str">
        <f>IF(ISERROR(VLOOKUP(Base_Periodo1[[#This Row],[CONTA]],BaseContasDRE[#All],5,FALSE)),"Fora do DRE",VLOOKUP(Base_Periodo1[[#This Row],[CONTA]],BaseContasDRE[#All],6,FALSE))</f>
        <v>Fora do DRE</v>
      </c>
      <c r="U4167" s="3" t="str">
        <f>IF(ISERROR(VLOOKUP(Base_Periodo1[[#This Row],[CONTA]],BaseContasDRE[#All],7,FALSE)),"Fora do DRE",VLOOKUP(Base_Periodo1[[#This Row],[CONTA]],BaseContasDRE[#All],7,FALSE))</f>
        <v>Fora do DRE</v>
      </c>
      <c r="V4167" s="3" t="str">
        <f>IF(Base_Periodo1[[#This Row],[Tipo_Linha]]="Fora do DRE","Fora do DRE","( "&amp;Base_Periodo1[[#This Row],[Tipo_Linha]]&amp;" ) "&amp;Base_Periodo1[[#This Row],[Filtro]])</f>
        <v>Fora do DRE</v>
      </c>
      <c r="W4167" s="3" t="str">
        <f>LEFT(Base_Periodo1[[#This Row],[CLASS]],3)</f>
        <v>2.1</v>
      </c>
    </row>
    <row r="4168" spans="1:23" hidden="1">
      <c r="A4168" s="3" t="str">
        <f t="shared" si="65"/>
        <v>Período 1</v>
      </c>
      <c r="B4168">
        <v>30551</v>
      </c>
      <c r="C4168" t="s">
        <v>2148</v>
      </c>
      <c r="D4168" t="s">
        <v>2193</v>
      </c>
      <c r="E4168" s="3" t="str">
        <f>IF(LEN(Base_Periodo1[[#This Row],[CLASS]])&gt;=7,LEFT(Base_Periodo1[[#This Row],[CLASS]],7),"")</f>
        <v>2.1.2.2</v>
      </c>
      <c r="F4168" s="3" t="str">
        <f>VLOOKUP(Base_Periodo1[[#This Row],[Aux]],Base_Contas_Balanco[#All],2,FALSE)</f>
        <v>Fornecedores Não Cooperados</v>
      </c>
      <c r="G4168" s="1">
        <v>41823</v>
      </c>
      <c r="H4168" s="225">
        <v>86.920000000000073</v>
      </c>
      <c r="I4168" s="225">
        <v>0</v>
      </c>
      <c r="J4168" s="225">
        <v>0</v>
      </c>
      <c r="K4168" s="225">
        <v>86.920000000000073</v>
      </c>
      <c r="L41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86.92</v>
      </c>
      <c r="M4168" s="225">
        <f>ROUND(IF(AND(Base_Periodo1[[#This Row],[Tipo_Linha]]="-",Base_Periodo1[[#This Row],[TIPOSALDO]]="D"),Base_Periodo1[[#This Row],[SALDO_ATUAL]]*-1,Base_Periodo1[[#This Row],[SALDO_ATUAL]]),4)</f>
        <v>86.92</v>
      </c>
      <c r="N4168" t="s">
        <v>116</v>
      </c>
      <c r="O4168" t="s">
        <v>459</v>
      </c>
      <c r="P4168" t="s">
        <v>459</v>
      </c>
      <c r="Q4168">
        <v>7</v>
      </c>
      <c r="R4168" s="225">
        <f>Base_Periodo1[[#This Row],[CREDITOS]]-Base_Periodo1[[#This Row],[DEBITOS]]</f>
        <v>0</v>
      </c>
      <c r="S4168" s="3" t="str">
        <f>IF(ISERROR(VLOOKUP(Base_Periodo1[[#This Row],[CONTA]],BaseContasDRE[#All],4,FALSE)),"Fora do DRE",VLOOKUP(Base_Periodo1[[#This Row],[CONTA]],BaseContasDRE[#All],4,FALSE))</f>
        <v>Fora do DRE</v>
      </c>
      <c r="T4168" s="3" t="str">
        <f>IF(ISERROR(VLOOKUP(Base_Periodo1[[#This Row],[CONTA]],BaseContasDRE[#All],5,FALSE)),"Fora do DRE",VLOOKUP(Base_Periodo1[[#This Row],[CONTA]],BaseContasDRE[#All],6,FALSE))</f>
        <v>Fora do DRE</v>
      </c>
      <c r="U4168" s="3" t="str">
        <f>IF(ISERROR(VLOOKUP(Base_Periodo1[[#This Row],[CONTA]],BaseContasDRE[#All],7,FALSE)),"Fora do DRE",VLOOKUP(Base_Periodo1[[#This Row],[CONTA]],BaseContasDRE[#All],7,FALSE))</f>
        <v>Fora do DRE</v>
      </c>
      <c r="V4168" s="3" t="str">
        <f>IF(Base_Periodo1[[#This Row],[Tipo_Linha]]="Fora do DRE","Fora do DRE","( "&amp;Base_Periodo1[[#This Row],[Tipo_Linha]]&amp;" ) "&amp;Base_Periodo1[[#This Row],[Filtro]])</f>
        <v>Fora do DRE</v>
      </c>
      <c r="W4168" s="3" t="str">
        <f>LEFT(Base_Periodo1[[#This Row],[CLASS]],3)</f>
        <v>2.1</v>
      </c>
    </row>
    <row r="4169" spans="1:23" hidden="1">
      <c r="A4169" s="3" t="str">
        <f t="shared" si="65"/>
        <v>Período 1</v>
      </c>
      <c r="B4169">
        <v>54873</v>
      </c>
      <c r="C4169" t="s">
        <v>2148</v>
      </c>
      <c r="D4169" t="s">
        <v>6549</v>
      </c>
      <c r="E4169" s="3" t="str">
        <f>IF(LEN(Base_Periodo1[[#This Row],[CLASS]])&gt;=7,LEFT(Base_Periodo1[[#This Row],[CLASS]],7),"")</f>
        <v>2.1.2.2</v>
      </c>
      <c r="F4169" s="3" t="str">
        <f>VLOOKUP(Base_Periodo1[[#This Row],[Aux]],Base_Contas_Balanco[#All],2,FALSE)</f>
        <v>Fornecedores Não Cooperados</v>
      </c>
      <c r="G4169" s="1"/>
      <c r="H4169" s="225">
        <v>4039.7599999999998</v>
      </c>
      <c r="I4169" s="225">
        <v>0</v>
      </c>
      <c r="J4169" s="225">
        <v>6278.1</v>
      </c>
      <c r="K4169" s="225">
        <v>10317.86</v>
      </c>
      <c r="L41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10317.86</v>
      </c>
      <c r="M4169" s="225">
        <f>ROUND(IF(AND(Base_Periodo1[[#This Row],[Tipo_Linha]]="-",Base_Periodo1[[#This Row],[TIPOSALDO]]="D"),Base_Periodo1[[#This Row],[SALDO_ATUAL]]*-1,Base_Periodo1[[#This Row],[SALDO_ATUAL]]),4)</f>
        <v>10317.86</v>
      </c>
      <c r="N4169" t="s">
        <v>116</v>
      </c>
      <c r="O4169" t="s">
        <v>459</v>
      </c>
      <c r="P4169" t="s">
        <v>459</v>
      </c>
      <c r="Q4169">
        <v>7</v>
      </c>
      <c r="R4169" s="225">
        <f>Base_Periodo1[[#This Row],[CREDITOS]]-Base_Periodo1[[#This Row],[DEBITOS]]</f>
        <v>6278.1</v>
      </c>
      <c r="S4169" s="3" t="str">
        <f>IF(ISERROR(VLOOKUP(Base_Periodo1[[#This Row],[CONTA]],BaseContasDRE[#All],4,FALSE)),"Fora do DRE",VLOOKUP(Base_Periodo1[[#This Row],[CONTA]],BaseContasDRE[#All],4,FALSE))</f>
        <v>Fora do DRE</v>
      </c>
      <c r="T4169" s="3" t="str">
        <f>IF(ISERROR(VLOOKUP(Base_Periodo1[[#This Row],[CONTA]],BaseContasDRE[#All],5,FALSE)),"Fora do DRE",VLOOKUP(Base_Periodo1[[#This Row],[CONTA]],BaseContasDRE[#All],6,FALSE))</f>
        <v>Fora do DRE</v>
      </c>
      <c r="U4169" s="3" t="str">
        <f>IF(ISERROR(VLOOKUP(Base_Periodo1[[#This Row],[CONTA]],BaseContasDRE[#All],7,FALSE)),"Fora do DRE",VLOOKUP(Base_Periodo1[[#This Row],[CONTA]],BaseContasDRE[#All],7,FALSE))</f>
        <v>Fora do DRE</v>
      </c>
      <c r="V4169" s="3" t="str">
        <f>IF(Base_Periodo1[[#This Row],[Tipo_Linha]]="Fora do DRE","Fora do DRE","( "&amp;Base_Periodo1[[#This Row],[Tipo_Linha]]&amp;" ) "&amp;Base_Periodo1[[#This Row],[Filtro]])</f>
        <v>Fora do DRE</v>
      </c>
      <c r="W4169" s="3" t="str">
        <f>LEFT(Base_Periodo1[[#This Row],[CLASS]],3)</f>
        <v>2.1</v>
      </c>
    </row>
    <row r="4170" spans="1:23" hidden="1">
      <c r="A4170" s="3" t="str">
        <f t="shared" si="65"/>
        <v>Período 1</v>
      </c>
      <c r="B4170">
        <v>51503</v>
      </c>
      <c r="C4170" t="s">
        <v>2148</v>
      </c>
      <c r="D4170" t="s">
        <v>6550</v>
      </c>
      <c r="E4170" s="3" t="str">
        <f>IF(LEN(Base_Periodo1[[#This Row],[CLASS]])&gt;=7,LEFT(Base_Periodo1[[#This Row],[CLASS]],7),"")</f>
        <v>2.1.2.2</v>
      </c>
      <c r="F4170" s="3" t="str">
        <f>VLOOKUP(Base_Periodo1[[#This Row],[Aux]],Base_Contas_Balanco[#All],2,FALSE)</f>
        <v>Fornecedores Não Cooperados</v>
      </c>
      <c r="G4170" s="1">
        <v>42863</v>
      </c>
      <c r="H4170" s="225">
        <v>6750</v>
      </c>
      <c r="I4170" s="225">
        <v>0</v>
      </c>
      <c r="J4170" s="225">
        <v>6750</v>
      </c>
      <c r="K4170" s="225">
        <v>0</v>
      </c>
      <c r="L41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70" s="225">
        <f>ROUND(IF(AND(Base_Periodo1[[#This Row],[Tipo_Linha]]="-",Base_Periodo1[[#This Row],[TIPOSALDO]]="D"),Base_Periodo1[[#This Row],[SALDO_ATUAL]]*-1,Base_Periodo1[[#This Row],[SALDO_ATUAL]]),4)</f>
        <v>0</v>
      </c>
      <c r="N4170" t="s">
        <v>116</v>
      </c>
      <c r="O4170" t="s">
        <v>397</v>
      </c>
      <c r="P4170" t="s">
        <v>436</v>
      </c>
      <c r="Q4170">
        <v>7</v>
      </c>
      <c r="R4170" s="225">
        <f>Base_Periodo1[[#This Row],[CREDITOS]]-Base_Periodo1[[#This Row],[DEBITOS]]</f>
        <v>6750</v>
      </c>
      <c r="S4170" s="3" t="str">
        <f>IF(ISERROR(VLOOKUP(Base_Periodo1[[#This Row],[CONTA]],BaseContasDRE[#All],4,FALSE)),"Fora do DRE",VLOOKUP(Base_Periodo1[[#This Row],[CONTA]],BaseContasDRE[#All],4,FALSE))</f>
        <v>Fora do DRE</v>
      </c>
      <c r="T4170" s="3" t="str">
        <f>IF(ISERROR(VLOOKUP(Base_Periodo1[[#This Row],[CONTA]],BaseContasDRE[#All],5,FALSE)),"Fora do DRE",VLOOKUP(Base_Periodo1[[#This Row],[CONTA]],BaseContasDRE[#All],6,FALSE))</f>
        <v>Fora do DRE</v>
      </c>
      <c r="U4170" s="3" t="str">
        <f>IF(ISERROR(VLOOKUP(Base_Periodo1[[#This Row],[CONTA]],BaseContasDRE[#All],7,FALSE)),"Fora do DRE",VLOOKUP(Base_Periodo1[[#This Row],[CONTA]],BaseContasDRE[#All],7,FALSE))</f>
        <v>Fora do DRE</v>
      </c>
      <c r="V4170" s="3" t="str">
        <f>IF(Base_Periodo1[[#This Row],[Tipo_Linha]]="Fora do DRE","Fora do DRE","( "&amp;Base_Periodo1[[#This Row],[Tipo_Linha]]&amp;" ) "&amp;Base_Periodo1[[#This Row],[Filtro]])</f>
        <v>Fora do DRE</v>
      </c>
      <c r="W4170" s="3" t="str">
        <f>LEFT(Base_Periodo1[[#This Row],[CLASS]],3)</f>
        <v>2.1</v>
      </c>
    </row>
    <row r="4171" spans="1:23" hidden="1">
      <c r="A4171" s="3" t="str">
        <f t="shared" si="65"/>
        <v>Período 1</v>
      </c>
      <c r="B4171">
        <v>4206</v>
      </c>
      <c r="C4171" t="s">
        <v>2148</v>
      </c>
      <c r="D4171" t="s">
        <v>2195</v>
      </c>
      <c r="E4171" s="3" t="str">
        <f>IF(LEN(Base_Periodo1[[#This Row],[CLASS]])&gt;=7,LEFT(Base_Periodo1[[#This Row],[CLASS]],7),"")</f>
        <v>2.1.2.2</v>
      </c>
      <c r="F4171" s="3" t="str">
        <f>VLOOKUP(Base_Periodo1[[#This Row],[Aux]],Base_Contas_Balanco[#All],2,FALSE)</f>
        <v>Fornecedores Não Cooperados</v>
      </c>
      <c r="G4171" s="1">
        <v>41897</v>
      </c>
      <c r="H4171" s="225">
        <v>0.5700000001816079</v>
      </c>
      <c r="I4171" s="225">
        <v>0</v>
      </c>
      <c r="J4171" s="225">
        <v>0</v>
      </c>
      <c r="K4171" s="225">
        <v>0.5700000001816079</v>
      </c>
      <c r="L41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0.56999999999999995</v>
      </c>
      <c r="M4171" s="225">
        <f>ROUND(IF(AND(Base_Periodo1[[#This Row],[Tipo_Linha]]="-",Base_Periodo1[[#This Row],[TIPOSALDO]]="D"),Base_Periodo1[[#This Row],[SALDO_ATUAL]]*-1,Base_Periodo1[[#This Row],[SALDO_ATUAL]]),4)</f>
        <v>0.56999999999999995</v>
      </c>
      <c r="N4171" t="s">
        <v>116</v>
      </c>
      <c r="O4171" t="s">
        <v>459</v>
      </c>
      <c r="P4171" t="s">
        <v>459</v>
      </c>
      <c r="Q4171">
        <v>7</v>
      </c>
      <c r="R4171" s="225">
        <f>Base_Periodo1[[#This Row],[CREDITOS]]-Base_Periodo1[[#This Row],[DEBITOS]]</f>
        <v>0</v>
      </c>
      <c r="S4171" s="3" t="str">
        <f>IF(ISERROR(VLOOKUP(Base_Periodo1[[#This Row],[CONTA]],BaseContasDRE[#All],4,FALSE)),"Fora do DRE",VLOOKUP(Base_Periodo1[[#This Row],[CONTA]],BaseContasDRE[#All],4,FALSE))</f>
        <v>Fora do DRE</v>
      </c>
      <c r="T4171" s="3" t="str">
        <f>IF(ISERROR(VLOOKUP(Base_Periodo1[[#This Row],[CONTA]],BaseContasDRE[#All],5,FALSE)),"Fora do DRE",VLOOKUP(Base_Periodo1[[#This Row],[CONTA]],BaseContasDRE[#All],6,FALSE))</f>
        <v>Fora do DRE</v>
      </c>
      <c r="U4171" s="3" t="str">
        <f>IF(ISERROR(VLOOKUP(Base_Periodo1[[#This Row],[CONTA]],BaseContasDRE[#All],7,FALSE)),"Fora do DRE",VLOOKUP(Base_Periodo1[[#This Row],[CONTA]],BaseContasDRE[#All],7,FALSE))</f>
        <v>Fora do DRE</v>
      </c>
      <c r="V4171" s="3" t="str">
        <f>IF(Base_Periodo1[[#This Row],[Tipo_Linha]]="Fora do DRE","Fora do DRE","( "&amp;Base_Periodo1[[#This Row],[Tipo_Linha]]&amp;" ) "&amp;Base_Periodo1[[#This Row],[Filtro]])</f>
        <v>Fora do DRE</v>
      </c>
      <c r="W4171" s="3" t="str">
        <f>LEFT(Base_Periodo1[[#This Row],[CLASS]],3)</f>
        <v>2.1</v>
      </c>
    </row>
    <row r="4172" spans="1:23" hidden="1">
      <c r="A4172" s="3" t="str">
        <f t="shared" si="65"/>
        <v>Período 1</v>
      </c>
      <c r="B4172">
        <v>28308</v>
      </c>
      <c r="C4172" t="s">
        <v>2148</v>
      </c>
      <c r="D4172" t="s">
        <v>2196</v>
      </c>
      <c r="E4172" s="3" t="str">
        <f>IF(LEN(Base_Periodo1[[#This Row],[CLASS]])&gt;=7,LEFT(Base_Periodo1[[#This Row],[CLASS]],7),"")</f>
        <v>2.1.2.2</v>
      </c>
      <c r="F4172" s="3" t="str">
        <f>VLOOKUP(Base_Periodo1[[#This Row],[Aux]],Base_Contas_Balanco[#All],2,FALSE)</f>
        <v>Fornecedores Não Cooperados</v>
      </c>
      <c r="G4172" s="1">
        <v>41585</v>
      </c>
      <c r="H4172" s="225">
        <v>0.12999999999965439</v>
      </c>
      <c r="I4172" s="225">
        <v>0</v>
      </c>
      <c r="J4172" s="225">
        <v>0</v>
      </c>
      <c r="K4172" s="225">
        <v>0.12999999999965439</v>
      </c>
      <c r="L41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0.13</v>
      </c>
      <c r="M4172" s="225">
        <f>ROUND(IF(AND(Base_Periodo1[[#This Row],[Tipo_Linha]]="-",Base_Periodo1[[#This Row],[TIPOSALDO]]="D"),Base_Periodo1[[#This Row],[SALDO_ATUAL]]*-1,Base_Periodo1[[#This Row],[SALDO_ATUAL]]),4)</f>
        <v>0.13</v>
      </c>
      <c r="N4172" t="s">
        <v>116</v>
      </c>
      <c r="O4172" t="s">
        <v>459</v>
      </c>
      <c r="P4172" t="s">
        <v>459</v>
      </c>
      <c r="Q4172">
        <v>7</v>
      </c>
      <c r="R4172" s="225">
        <f>Base_Periodo1[[#This Row],[CREDITOS]]-Base_Periodo1[[#This Row],[DEBITOS]]</f>
        <v>0</v>
      </c>
      <c r="S4172" s="3" t="str">
        <f>IF(ISERROR(VLOOKUP(Base_Periodo1[[#This Row],[CONTA]],BaseContasDRE[#All],4,FALSE)),"Fora do DRE",VLOOKUP(Base_Periodo1[[#This Row],[CONTA]],BaseContasDRE[#All],4,FALSE))</f>
        <v>Fora do DRE</v>
      </c>
      <c r="T4172" s="3" t="str">
        <f>IF(ISERROR(VLOOKUP(Base_Periodo1[[#This Row],[CONTA]],BaseContasDRE[#All],5,FALSE)),"Fora do DRE",VLOOKUP(Base_Periodo1[[#This Row],[CONTA]],BaseContasDRE[#All],6,FALSE))</f>
        <v>Fora do DRE</v>
      </c>
      <c r="U4172" s="3" t="str">
        <f>IF(ISERROR(VLOOKUP(Base_Periodo1[[#This Row],[CONTA]],BaseContasDRE[#All],7,FALSE)),"Fora do DRE",VLOOKUP(Base_Periodo1[[#This Row],[CONTA]],BaseContasDRE[#All],7,FALSE))</f>
        <v>Fora do DRE</v>
      </c>
      <c r="V4172" s="3" t="str">
        <f>IF(Base_Periodo1[[#This Row],[Tipo_Linha]]="Fora do DRE","Fora do DRE","( "&amp;Base_Periodo1[[#This Row],[Tipo_Linha]]&amp;" ) "&amp;Base_Periodo1[[#This Row],[Filtro]])</f>
        <v>Fora do DRE</v>
      </c>
      <c r="W4172" s="3" t="str">
        <f>LEFT(Base_Periodo1[[#This Row],[CLASS]],3)</f>
        <v>2.1</v>
      </c>
    </row>
    <row r="4173" spans="1:23" hidden="1">
      <c r="A4173" s="3" t="str">
        <f t="shared" si="65"/>
        <v>Período 1</v>
      </c>
      <c r="B4173">
        <v>56225</v>
      </c>
      <c r="C4173" t="s">
        <v>2148</v>
      </c>
      <c r="D4173" t="s">
        <v>6551</v>
      </c>
      <c r="E4173" s="3" t="str">
        <f>IF(LEN(Base_Periodo1[[#This Row],[CLASS]])&gt;=7,LEFT(Base_Periodo1[[#This Row],[CLASS]],7),"")</f>
        <v>2.1.2.2</v>
      </c>
      <c r="F4173" s="3" t="str">
        <f>VLOOKUP(Base_Periodo1[[#This Row],[Aux]],Base_Contas_Balanco[#All],2,FALSE)</f>
        <v>Fornecedores Não Cooperados</v>
      </c>
      <c r="G4173" s="1"/>
      <c r="H4173" s="225">
        <v>14089</v>
      </c>
      <c r="I4173" s="225">
        <v>0</v>
      </c>
      <c r="J4173" s="225">
        <v>0</v>
      </c>
      <c r="K4173" s="225">
        <v>14089</v>
      </c>
      <c r="L41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14089</v>
      </c>
      <c r="M4173" s="225">
        <f>ROUND(IF(AND(Base_Periodo1[[#This Row],[Tipo_Linha]]="-",Base_Periodo1[[#This Row],[TIPOSALDO]]="D"),Base_Periodo1[[#This Row],[SALDO_ATUAL]]*-1,Base_Periodo1[[#This Row],[SALDO_ATUAL]]),4)</f>
        <v>14089</v>
      </c>
      <c r="N4173" t="s">
        <v>116</v>
      </c>
      <c r="O4173" t="s">
        <v>459</v>
      </c>
      <c r="P4173" t="s">
        <v>459</v>
      </c>
      <c r="Q4173">
        <v>7</v>
      </c>
      <c r="R4173" s="225">
        <f>Base_Periodo1[[#This Row],[CREDITOS]]-Base_Periodo1[[#This Row],[DEBITOS]]</f>
        <v>0</v>
      </c>
      <c r="S4173" s="3" t="str">
        <f>IF(ISERROR(VLOOKUP(Base_Periodo1[[#This Row],[CONTA]],BaseContasDRE[#All],4,FALSE)),"Fora do DRE",VLOOKUP(Base_Periodo1[[#This Row],[CONTA]],BaseContasDRE[#All],4,FALSE))</f>
        <v>Fora do DRE</v>
      </c>
      <c r="T4173" s="3" t="str">
        <f>IF(ISERROR(VLOOKUP(Base_Periodo1[[#This Row],[CONTA]],BaseContasDRE[#All],5,FALSE)),"Fora do DRE",VLOOKUP(Base_Periodo1[[#This Row],[CONTA]],BaseContasDRE[#All],6,FALSE))</f>
        <v>Fora do DRE</v>
      </c>
      <c r="U4173" s="3" t="str">
        <f>IF(ISERROR(VLOOKUP(Base_Periodo1[[#This Row],[CONTA]],BaseContasDRE[#All],7,FALSE)),"Fora do DRE",VLOOKUP(Base_Periodo1[[#This Row],[CONTA]],BaseContasDRE[#All],7,FALSE))</f>
        <v>Fora do DRE</v>
      </c>
      <c r="V4173" s="3" t="str">
        <f>IF(Base_Periodo1[[#This Row],[Tipo_Linha]]="Fora do DRE","Fora do DRE","( "&amp;Base_Periodo1[[#This Row],[Tipo_Linha]]&amp;" ) "&amp;Base_Periodo1[[#This Row],[Filtro]])</f>
        <v>Fora do DRE</v>
      </c>
      <c r="W4173" s="3" t="str">
        <f>LEFT(Base_Periodo1[[#This Row],[CLASS]],3)</f>
        <v>2.1</v>
      </c>
    </row>
    <row r="4174" spans="1:23" hidden="1">
      <c r="A4174" s="3" t="str">
        <f t="shared" si="65"/>
        <v>Período 1</v>
      </c>
      <c r="B4174">
        <v>3158</v>
      </c>
      <c r="C4174" t="s">
        <v>2148</v>
      </c>
      <c r="D4174" t="s">
        <v>2197</v>
      </c>
      <c r="E4174" s="3" t="str">
        <f>IF(LEN(Base_Periodo1[[#This Row],[CLASS]])&gt;=7,LEFT(Base_Periodo1[[#This Row],[CLASS]],7),"")</f>
        <v>2.1.2.2</v>
      </c>
      <c r="F4174" s="3" t="str">
        <f>VLOOKUP(Base_Periodo1[[#This Row],[Aux]],Base_Contas_Balanco[#All],2,FALSE)</f>
        <v>Fornecedores Não Cooperados</v>
      </c>
      <c r="G4174" s="1">
        <v>41554</v>
      </c>
      <c r="H4174" s="225">
        <v>0.42999999997846317</v>
      </c>
      <c r="I4174" s="225">
        <v>0</v>
      </c>
      <c r="J4174" s="225">
        <v>0</v>
      </c>
      <c r="K4174" s="225">
        <v>0.42999999997846317</v>
      </c>
      <c r="L41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0.43</v>
      </c>
      <c r="M4174" s="225">
        <f>ROUND(IF(AND(Base_Periodo1[[#This Row],[Tipo_Linha]]="-",Base_Periodo1[[#This Row],[TIPOSALDO]]="D"),Base_Periodo1[[#This Row],[SALDO_ATUAL]]*-1,Base_Periodo1[[#This Row],[SALDO_ATUAL]]),4)</f>
        <v>0.43</v>
      </c>
      <c r="N4174" t="s">
        <v>116</v>
      </c>
      <c r="O4174" t="s">
        <v>459</v>
      </c>
      <c r="P4174" t="s">
        <v>459</v>
      </c>
      <c r="Q4174">
        <v>7</v>
      </c>
      <c r="R4174" s="225">
        <f>Base_Periodo1[[#This Row],[CREDITOS]]-Base_Periodo1[[#This Row],[DEBITOS]]</f>
        <v>0</v>
      </c>
      <c r="S4174" s="3" t="str">
        <f>IF(ISERROR(VLOOKUP(Base_Periodo1[[#This Row],[CONTA]],BaseContasDRE[#All],4,FALSE)),"Fora do DRE",VLOOKUP(Base_Periodo1[[#This Row],[CONTA]],BaseContasDRE[#All],4,FALSE))</f>
        <v>Fora do DRE</v>
      </c>
      <c r="T4174" s="3" t="str">
        <f>IF(ISERROR(VLOOKUP(Base_Periodo1[[#This Row],[CONTA]],BaseContasDRE[#All],5,FALSE)),"Fora do DRE",VLOOKUP(Base_Periodo1[[#This Row],[CONTA]],BaseContasDRE[#All],6,FALSE))</f>
        <v>Fora do DRE</v>
      </c>
      <c r="U4174" s="3" t="str">
        <f>IF(ISERROR(VLOOKUP(Base_Periodo1[[#This Row],[CONTA]],BaseContasDRE[#All],7,FALSE)),"Fora do DRE",VLOOKUP(Base_Periodo1[[#This Row],[CONTA]],BaseContasDRE[#All],7,FALSE))</f>
        <v>Fora do DRE</v>
      </c>
      <c r="V4174" s="3" t="str">
        <f>IF(Base_Periodo1[[#This Row],[Tipo_Linha]]="Fora do DRE","Fora do DRE","( "&amp;Base_Periodo1[[#This Row],[Tipo_Linha]]&amp;" ) "&amp;Base_Periodo1[[#This Row],[Filtro]])</f>
        <v>Fora do DRE</v>
      </c>
      <c r="W4174" s="3" t="str">
        <f>LEFT(Base_Periodo1[[#This Row],[CLASS]],3)</f>
        <v>2.1</v>
      </c>
    </row>
    <row r="4175" spans="1:23" hidden="1">
      <c r="A4175" s="3" t="str">
        <f t="shared" si="65"/>
        <v>Período 1</v>
      </c>
      <c r="B4175">
        <v>12000</v>
      </c>
      <c r="C4175" t="s">
        <v>2148</v>
      </c>
      <c r="D4175" t="s">
        <v>4616</v>
      </c>
      <c r="E4175" s="3" t="str">
        <f>IF(LEN(Base_Periodo1[[#This Row],[CLASS]])&gt;=7,LEFT(Base_Periodo1[[#This Row],[CLASS]],7),"")</f>
        <v>2.1.2.2</v>
      </c>
      <c r="F4175" s="3" t="str">
        <f>VLOOKUP(Base_Periodo1[[#This Row],[Aux]],Base_Contas_Balanco[#All],2,FALSE)</f>
        <v>Fornecedores Não Cooperados</v>
      </c>
      <c r="G4175" s="1">
        <v>42642</v>
      </c>
      <c r="H4175" s="225">
        <v>1.9999999989522621E-2</v>
      </c>
      <c r="I4175" s="225">
        <v>0</v>
      </c>
      <c r="J4175" s="225">
        <v>0</v>
      </c>
      <c r="K4175" s="225">
        <v>1.9999999989522621E-2</v>
      </c>
      <c r="L41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4175" s="225">
        <f>ROUND(IF(AND(Base_Periodo1[[#This Row],[Tipo_Linha]]="-",Base_Periodo1[[#This Row],[TIPOSALDO]]="D"),Base_Periodo1[[#This Row],[SALDO_ATUAL]]*-1,Base_Periodo1[[#This Row],[SALDO_ATUAL]]),4)</f>
        <v>0.02</v>
      </c>
      <c r="N4175" t="s">
        <v>116</v>
      </c>
      <c r="O4175" t="s">
        <v>459</v>
      </c>
      <c r="P4175" t="s">
        <v>459</v>
      </c>
      <c r="Q4175">
        <v>7</v>
      </c>
      <c r="R4175" s="225">
        <f>Base_Periodo1[[#This Row],[CREDITOS]]-Base_Periodo1[[#This Row],[DEBITOS]]</f>
        <v>0</v>
      </c>
      <c r="S4175" s="3" t="str">
        <f>IF(ISERROR(VLOOKUP(Base_Periodo1[[#This Row],[CONTA]],BaseContasDRE[#All],4,FALSE)),"Fora do DRE",VLOOKUP(Base_Periodo1[[#This Row],[CONTA]],BaseContasDRE[#All],4,FALSE))</f>
        <v>Fora do DRE</v>
      </c>
      <c r="T4175" s="3" t="str">
        <f>IF(ISERROR(VLOOKUP(Base_Periodo1[[#This Row],[CONTA]],BaseContasDRE[#All],5,FALSE)),"Fora do DRE",VLOOKUP(Base_Periodo1[[#This Row],[CONTA]],BaseContasDRE[#All],6,FALSE))</f>
        <v>Fora do DRE</v>
      </c>
      <c r="U4175" s="3" t="str">
        <f>IF(ISERROR(VLOOKUP(Base_Periodo1[[#This Row],[CONTA]],BaseContasDRE[#All],7,FALSE)),"Fora do DRE",VLOOKUP(Base_Periodo1[[#This Row],[CONTA]],BaseContasDRE[#All],7,FALSE))</f>
        <v>Fora do DRE</v>
      </c>
      <c r="V4175" s="3" t="str">
        <f>IF(Base_Periodo1[[#This Row],[Tipo_Linha]]="Fora do DRE","Fora do DRE","( "&amp;Base_Periodo1[[#This Row],[Tipo_Linha]]&amp;" ) "&amp;Base_Periodo1[[#This Row],[Filtro]])</f>
        <v>Fora do DRE</v>
      </c>
      <c r="W4175" s="3" t="str">
        <f>LEFT(Base_Periodo1[[#This Row],[CLASS]],3)</f>
        <v>2.1</v>
      </c>
    </row>
    <row r="4176" spans="1:23" hidden="1">
      <c r="A4176" s="3" t="str">
        <f t="shared" si="65"/>
        <v>Período 1</v>
      </c>
      <c r="B4176">
        <v>41709</v>
      </c>
      <c r="C4176" t="s">
        <v>2148</v>
      </c>
      <c r="D4176" t="s">
        <v>2199</v>
      </c>
      <c r="E4176" s="3" t="str">
        <f>IF(LEN(Base_Periodo1[[#This Row],[CLASS]])&gt;=7,LEFT(Base_Periodo1[[#This Row],[CLASS]],7),"")</f>
        <v>2.1.2.2</v>
      </c>
      <c r="F4176" s="3" t="str">
        <f>VLOOKUP(Base_Periodo1[[#This Row],[Aux]],Base_Contas_Balanco[#All],2,FALSE)</f>
        <v>Fornecedores Não Cooperados</v>
      </c>
      <c r="G4176" s="1"/>
      <c r="H4176" s="225">
        <v>0.4</v>
      </c>
      <c r="I4176" s="225">
        <v>0</v>
      </c>
      <c r="J4176" s="225">
        <v>0</v>
      </c>
      <c r="K4176" s="225">
        <v>0.4</v>
      </c>
      <c r="L41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0.4</v>
      </c>
      <c r="M4176" s="225">
        <f>ROUND(IF(AND(Base_Periodo1[[#This Row],[Tipo_Linha]]="-",Base_Periodo1[[#This Row],[TIPOSALDO]]="D"),Base_Periodo1[[#This Row],[SALDO_ATUAL]]*-1,Base_Periodo1[[#This Row],[SALDO_ATUAL]]),4)</f>
        <v>0.4</v>
      </c>
      <c r="N4176" t="s">
        <v>116</v>
      </c>
      <c r="O4176" t="s">
        <v>459</v>
      </c>
      <c r="P4176" t="s">
        <v>459</v>
      </c>
      <c r="Q4176">
        <v>7</v>
      </c>
      <c r="R4176" s="225">
        <f>Base_Periodo1[[#This Row],[CREDITOS]]-Base_Periodo1[[#This Row],[DEBITOS]]</f>
        <v>0</v>
      </c>
      <c r="S4176" s="3" t="str">
        <f>IF(ISERROR(VLOOKUP(Base_Periodo1[[#This Row],[CONTA]],BaseContasDRE[#All],4,FALSE)),"Fora do DRE",VLOOKUP(Base_Periodo1[[#This Row],[CONTA]],BaseContasDRE[#All],4,FALSE))</f>
        <v>Fora do DRE</v>
      </c>
      <c r="T4176" s="3" t="str">
        <f>IF(ISERROR(VLOOKUP(Base_Periodo1[[#This Row],[CONTA]],BaseContasDRE[#All],5,FALSE)),"Fora do DRE",VLOOKUP(Base_Periodo1[[#This Row],[CONTA]],BaseContasDRE[#All],6,FALSE))</f>
        <v>Fora do DRE</v>
      </c>
      <c r="U4176" s="3" t="str">
        <f>IF(ISERROR(VLOOKUP(Base_Periodo1[[#This Row],[CONTA]],BaseContasDRE[#All],7,FALSE)),"Fora do DRE",VLOOKUP(Base_Periodo1[[#This Row],[CONTA]],BaseContasDRE[#All],7,FALSE))</f>
        <v>Fora do DRE</v>
      </c>
      <c r="V4176" s="3" t="str">
        <f>IF(Base_Periodo1[[#This Row],[Tipo_Linha]]="Fora do DRE","Fora do DRE","( "&amp;Base_Periodo1[[#This Row],[Tipo_Linha]]&amp;" ) "&amp;Base_Periodo1[[#This Row],[Filtro]])</f>
        <v>Fora do DRE</v>
      </c>
      <c r="W4176" s="3" t="str">
        <f>LEFT(Base_Periodo1[[#This Row],[CLASS]],3)</f>
        <v>2.1</v>
      </c>
    </row>
    <row r="4177" spans="1:23" hidden="1">
      <c r="A4177" s="3" t="str">
        <f t="shared" si="65"/>
        <v>Período 1</v>
      </c>
      <c r="B4177">
        <v>7763</v>
      </c>
      <c r="C4177" t="s">
        <v>2148</v>
      </c>
      <c r="D4177" t="s">
        <v>2200</v>
      </c>
      <c r="E4177" s="3" t="str">
        <f>IF(LEN(Base_Periodo1[[#This Row],[CLASS]])&gt;=7,LEFT(Base_Periodo1[[#This Row],[CLASS]],7),"")</f>
        <v>2.1.2.2</v>
      </c>
      <c r="F4177" s="3" t="str">
        <f>VLOOKUP(Base_Periodo1[[#This Row],[Aux]],Base_Contas_Balanco[#All],2,FALSE)</f>
        <v>Fornecedores Não Cooperados</v>
      </c>
      <c r="G4177" s="1">
        <v>41736</v>
      </c>
      <c r="H4177" s="225">
        <v>92.600000000005821</v>
      </c>
      <c r="I4177" s="225">
        <v>0</v>
      </c>
      <c r="J4177" s="225">
        <v>0</v>
      </c>
      <c r="K4177" s="225">
        <v>92.600000000005821</v>
      </c>
      <c r="L41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92.6</v>
      </c>
      <c r="M4177" s="225">
        <f>ROUND(IF(AND(Base_Periodo1[[#This Row],[Tipo_Linha]]="-",Base_Periodo1[[#This Row],[TIPOSALDO]]="D"),Base_Periodo1[[#This Row],[SALDO_ATUAL]]*-1,Base_Periodo1[[#This Row],[SALDO_ATUAL]]),4)</f>
        <v>92.6</v>
      </c>
      <c r="N4177" t="s">
        <v>116</v>
      </c>
      <c r="O4177" t="s">
        <v>459</v>
      </c>
      <c r="P4177" t="s">
        <v>459</v>
      </c>
      <c r="Q4177">
        <v>7</v>
      </c>
      <c r="R4177" s="225">
        <f>Base_Periodo1[[#This Row],[CREDITOS]]-Base_Periodo1[[#This Row],[DEBITOS]]</f>
        <v>0</v>
      </c>
      <c r="S4177" s="3" t="str">
        <f>IF(ISERROR(VLOOKUP(Base_Periodo1[[#This Row],[CONTA]],BaseContasDRE[#All],4,FALSE)),"Fora do DRE",VLOOKUP(Base_Periodo1[[#This Row],[CONTA]],BaseContasDRE[#All],4,FALSE))</f>
        <v>Fora do DRE</v>
      </c>
      <c r="T4177" s="3" t="str">
        <f>IF(ISERROR(VLOOKUP(Base_Periodo1[[#This Row],[CONTA]],BaseContasDRE[#All],5,FALSE)),"Fora do DRE",VLOOKUP(Base_Periodo1[[#This Row],[CONTA]],BaseContasDRE[#All],6,FALSE))</f>
        <v>Fora do DRE</v>
      </c>
      <c r="U4177" s="3" t="str">
        <f>IF(ISERROR(VLOOKUP(Base_Periodo1[[#This Row],[CONTA]],BaseContasDRE[#All],7,FALSE)),"Fora do DRE",VLOOKUP(Base_Periodo1[[#This Row],[CONTA]],BaseContasDRE[#All],7,FALSE))</f>
        <v>Fora do DRE</v>
      </c>
      <c r="V4177" s="3" t="str">
        <f>IF(Base_Periodo1[[#This Row],[Tipo_Linha]]="Fora do DRE","Fora do DRE","( "&amp;Base_Periodo1[[#This Row],[Tipo_Linha]]&amp;" ) "&amp;Base_Periodo1[[#This Row],[Filtro]])</f>
        <v>Fora do DRE</v>
      </c>
      <c r="W4177" s="3" t="str">
        <f>LEFT(Base_Periodo1[[#This Row],[CLASS]],3)</f>
        <v>2.1</v>
      </c>
    </row>
    <row r="4178" spans="1:23" hidden="1">
      <c r="A4178" s="3" t="str">
        <f t="shared" si="65"/>
        <v>Período 1</v>
      </c>
      <c r="B4178">
        <v>4670</v>
      </c>
      <c r="C4178" t="s">
        <v>2148</v>
      </c>
      <c r="D4178" t="s">
        <v>2201</v>
      </c>
      <c r="E4178" s="3" t="str">
        <f>IF(LEN(Base_Periodo1[[#This Row],[CLASS]])&gt;=7,LEFT(Base_Periodo1[[#This Row],[CLASS]],7),"")</f>
        <v>2.1.2.2</v>
      </c>
      <c r="F4178" s="3" t="str">
        <f>VLOOKUP(Base_Periodo1[[#This Row],[Aux]],Base_Contas_Balanco[#All],2,FALSE)</f>
        <v>Fornecedores Não Cooperados</v>
      </c>
      <c r="G4178" s="1">
        <v>41849</v>
      </c>
      <c r="H4178" s="225">
        <v>2.0000000000436557E-2</v>
      </c>
      <c r="I4178" s="225">
        <v>0</v>
      </c>
      <c r="J4178" s="225">
        <v>0</v>
      </c>
      <c r="K4178" s="225">
        <v>2.0000000000436557E-2</v>
      </c>
      <c r="L41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4178" s="225">
        <f>ROUND(IF(AND(Base_Periodo1[[#This Row],[Tipo_Linha]]="-",Base_Periodo1[[#This Row],[TIPOSALDO]]="D"),Base_Periodo1[[#This Row],[SALDO_ATUAL]]*-1,Base_Periodo1[[#This Row],[SALDO_ATUAL]]),4)</f>
        <v>0.02</v>
      </c>
      <c r="N4178" t="s">
        <v>116</v>
      </c>
      <c r="O4178" t="s">
        <v>459</v>
      </c>
      <c r="P4178" t="s">
        <v>459</v>
      </c>
      <c r="Q4178">
        <v>7</v>
      </c>
      <c r="R4178" s="225">
        <f>Base_Periodo1[[#This Row],[CREDITOS]]-Base_Periodo1[[#This Row],[DEBITOS]]</f>
        <v>0</v>
      </c>
      <c r="S4178" s="3" t="str">
        <f>IF(ISERROR(VLOOKUP(Base_Periodo1[[#This Row],[CONTA]],BaseContasDRE[#All],4,FALSE)),"Fora do DRE",VLOOKUP(Base_Periodo1[[#This Row],[CONTA]],BaseContasDRE[#All],4,FALSE))</f>
        <v>Fora do DRE</v>
      </c>
      <c r="T4178" s="3" t="str">
        <f>IF(ISERROR(VLOOKUP(Base_Periodo1[[#This Row],[CONTA]],BaseContasDRE[#All],5,FALSE)),"Fora do DRE",VLOOKUP(Base_Periodo1[[#This Row],[CONTA]],BaseContasDRE[#All],6,FALSE))</f>
        <v>Fora do DRE</v>
      </c>
      <c r="U4178" s="3" t="str">
        <f>IF(ISERROR(VLOOKUP(Base_Periodo1[[#This Row],[CONTA]],BaseContasDRE[#All],7,FALSE)),"Fora do DRE",VLOOKUP(Base_Periodo1[[#This Row],[CONTA]],BaseContasDRE[#All],7,FALSE))</f>
        <v>Fora do DRE</v>
      </c>
      <c r="V4178" s="3" t="str">
        <f>IF(Base_Periodo1[[#This Row],[Tipo_Linha]]="Fora do DRE","Fora do DRE","( "&amp;Base_Periodo1[[#This Row],[Tipo_Linha]]&amp;" ) "&amp;Base_Periodo1[[#This Row],[Filtro]])</f>
        <v>Fora do DRE</v>
      </c>
      <c r="W4178" s="3" t="str">
        <f>LEFT(Base_Periodo1[[#This Row],[CLASS]],3)</f>
        <v>2.1</v>
      </c>
    </row>
    <row r="4179" spans="1:23" hidden="1">
      <c r="A4179" s="3" t="str">
        <f t="shared" si="65"/>
        <v>Período 1</v>
      </c>
      <c r="B4179">
        <v>38329</v>
      </c>
      <c r="C4179" t="s">
        <v>2148</v>
      </c>
      <c r="D4179" t="s">
        <v>2202</v>
      </c>
      <c r="E4179" s="3" t="str">
        <f>IF(LEN(Base_Periodo1[[#This Row],[CLASS]])&gt;=7,LEFT(Base_Periodo1[[#This Row],[CLASS]],7),"")</f>
        <v>2.1.2.2</v>
      </c>
      <c r="F4179" s="3" t="str">
        <f>VLOOKUP(Base_Periodo1[[#This Row],[Aux]],Base_Contas_Balanco[#All],2,FALSE)</f>
        <v>Fornecedores Não Cooperados</v>
      </c>
      <c r="G4179" s="1">
        <v>42152</v>
      </c>
      <c r="H4179" s="225">
        <v>9.9999997764825821E-3</v>
      </c>
      <c r="I4179" s="225">
        <v>0</v>
      </c>
      <c r="J4179" s="225">
        <v>0</v>
      </c>
      <c r="K4179" s="225">
        <v>9.9999997764825821E-3</v>
      </c>
      <c r="L41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179" s="225">
        <f>ROUND(IF(AND(Base_Periodo1[[#This Row],[Tipo_Linha]]="-",Base_Periodo1[[#This Row],[TIPOSALDO]]="D"),Base_Periodo1[[#This Row],[SALDO_ATUAL]]*-1,Base_Periodo1[[#This Row],[SALDO_ATUAL]]),4)</f>
        <v>0.01</v>
      </c>
      <c r="N4179" t="s">
        <v>116</v>
      </c>
      <c r="O4179" t="s">
        <v>459</v>
      </c>
      <c r="P4179" t="s">
        <v>459</v>
      </c>
      <c r="Q4179">
        <v>7</v>
      </c>
      <c r="R4179" s="225">
        <f>Base_Periodo1[[#This Row],[CREDITOS]]-Base_Periodo1[[#This Row],[DEBITOS]]</f>
        <v>0</v>
      </c>
      <c r="S4179" s="3" t="str">
        <f>IF(ISERROR(VLOOKUP(Base_Periodo1[[#This Row],[CONTA]],BaseContasDRE[#All],4,FALSE)),"Fora do DRE",VLOOKUP(Base_Periodo1[[#This Row],[CONTA]],BaseContasDRE[#All],4,FALSE))</f>
        <v>Fora do DRE</v>
      </c>
      <c r="T4179" s="3" t="str">
        <f>IF(ISERROR(VLOOKUP(Base_Periodo1[[#This Row],[CONTA]],BaseContasDRE[#All],5,FALSE)),"Fora do DRE",VLOOKUP(Base_Periodo1[[#This Row],[CONTA]],BaseContasDRE[#All],6,FALSE))</f>
        <v>Fora do DRE</v>
      </c>
      <c r="U4179" s="3" t="str">
        <f>IF(ISERROR(VLOOKUP(Base_Periodo1[[#This Row],[CONTA]],BaseContasDRE[#All],7,FALSE)),"Fora do DRE",VLOOKUP(Base_Periodo1[[#This Row],[CONTA]],BaseContasDRE[#All],7,FALSE))</f>
        <v>Fora do DRE</v>
      </c>
      <c r="V4179" s="3" t="str">
        <f>IF(Base_Periodo1[[#This Row],[Tipo_Linha]]="Fora do DRE","Fora do DRE","( "&amp;Base_Periodo1[[#This Row],[Tipo_Linha]]&amp;" ) "&amp;Base_Periodo1[[#This Row],[Filtro]])</f>
        <v>Fora do DRE</v>
      </c>
      <c r="W4179" s="3" t="str">
        <f>LEFT(Base_Periodo1[[#This Row],[CLASS]],3)</f>
        <v>2.1</v>
      </c>
    </row>
    <row r="4180" spans="1:23" hidden="1">
      <c r="A4180" s="3" t="str">
        <f t="shared" si="65"/>
        <v>Período 1</v>
      </c>
      <c r="B4180">
        <v>40869</v>
      </c>
      <c r="C4180" t="s">
        <v>2148</v>
      </c>
      <c r="D4180" t="s">
        <v>6891</v>
      </c>
      <c r="E4180" s="3" t="str">
        <f>IF(LEN(Base_Periodo1[[#This Row],[CLASS]])&gt;=7,LEFT(Base_Periodo1[[#This Row],[CLASS]],7),"")</f>
        <v>2.1.2.2</v>
      </c>
      <c r="F4180" s="3" t="str">
        <f>VLOOKUP(Base_Periodo1[[#This Row],[Aux]],Base_Contas_Balanco[#All],2,FALSE)</f>
        <v>Fornecedores Não Cooperados</v>
      </c>
      <c r="G4180" s="1">
        <v>42884</v>
      </c>
      <c r="I4180" s="225">
        <v>336.92</v>
      </c>
      <c r="J4180" s="225">
        <v>336.92</v>
      </c>
      <c r="K4180" s="225">
        <v>0</v>
      </c>
      <c r="L41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80" s="225">
        <f>ROUND(IF(AND(Base_Periodo1[[#This Row],[Tipo_Linha]]="-",Base_Periodo1[[#This Row],[TIPOSALDO]]="D"),Base_Periodo1[[#This Row],[SALDO_ATUAL]]*-1,Base_Periodo1[[#This Row],[SALDO_ATUAL]]),4)</f>
        <v>0</v>
      </c>
      <c r="N4180" t="s">
        <v>116</v>
      </c>
      <c r="O4180" t="s">
        <v>436</v>
      </c>
      <c r="P4180" t="s">
        <v>436</v>
      </c>
      <c r="Q4180">
        <v>7</v>
      </c>
      <c r="R4180" s="225">
        <f>Base_Periodo1[[#This Row],[CREDITOS]]-Base_Periodo1[[#This Row],[DEBITOS]]</f>
        <v>0</v>
      </c>
      <c r="S4180" s="3" t="str">
        <f>IF(ISERROR(VLOOKUP(Base_Periodo1[[#This Row],[CONTA]],BaseContasDRE[#All],4,FALSE)),"Fora do DRE",VLOOKUP(Base_Periodo1[[#This Row],[CONTA]],BaseContasDRE[#All],4,FALSE))</f>
        <v>Fora do DRE</v>
      </c>
      <c r="T4180" s="3" t="str">
        <f>IF(ISERROR(VLOOKUP(Base_Periodo1[[#This Row],[CONTA]],BaseContasDRE[#All],5,FALSE)),"Fora do DRE",VLOOKUP(Base_Periodo1[[#This Row],[CONTA]],BaseContasDRE[#All],6,FALSE))</f>
        <v>Fora do DRE</v>
      </c>
      <c r="U4180" s="3" t="str">
        <f>IF(ISERROR(VLOOKUP(Base_Periodo1[[#This Row],[CONTA]],BaseContasDRE[#All],7,FALSE)),"Fora do DRE",VLOOKUP(Base_Periodo1[[#This Row],[CONTA]],BaseContasDRE[#All],7,FALSE))</f>
        <v>Fora do DRE</v>
      </c>
      <c r="V4180" s="3" t="str">
        <f>IF(Base_Periodo1[[#This Row],[Tipo_Linha]]="Fora do DRE","Fora do DRE","( "&amp;Base_Periodo1[[#This Row],[Tipo_Linha]]&amp;" ) "&amp;Base_Periodo1[[#This Row],[Filtro]])</f>
        <v>Fora do DRE</v>
      </c>
      <c r="W4180" s="3" t="str">
        <f>LEFT(Base_Periodo1[[#This Row],[CLASS]],3)</f>
        <v>2.1</v>
      </c>
    </row>
    <row r="4181" spans="1:23" hidden="1">
      <c r="A4181" s="3" t="str">
        <f t="shared" si="65"/>
        <v>Período 1</v>
      </c>
      <c r="B4181">
        <v>41581</v>
      </c>
      <c r="C4181" t="s">
        <v>2148</v>
      </c>
      <c r="D4181" t="s">
        <v>6892</v>
      </c>
      <c r="E4181" s="3" t="str">
        <f>IF(LEN(Base_Periodo1[[#This Row],[CLASS]])&gt;=7,LEFT(Base_Periodo1[[#This Row],[CLASS]],7),"")</f>
        <v>2.1.2.2</v>
      </c>
      <c r="F4181" s="3" t="str">
        <f>VLOOKUP(Base_Periodo1[[#This Row],[Aux]],Base_Contas_Balanco[#All],2,FALSE)</f>
        <v>Fornecedores Não Cooperados</v>
      </c>
      <c r="G4181" s="1">
        <v>42884</v>
      </c>
      <c r="I4181" s="225">
        <v>214202.32</v>
      </c>
      <c r="J4181" s="225">
        <v>214202.32</v>
      </c>
      <c r="K4181" s="225">
        <v>0</v>
      </c>
      <c r="L41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81" s="225">
        <f>ROUND(IF(AND(Base_Periodo1[[#This Row],[Tipo_Linha]]="-",Base_Periodo1[[#This Row],[TIPOSALDO]]="D"),Base_Periodo1[[#This Row],[SALDO_ATUAL]]*-1,Base_Periodo1[[#This Row],[SALDO_ATUAL]]),4)</f>
        <v>0</v>
      </c>
      <c r="N4181" t="s">
        <v>116</v>
      </c>
      <c r="O4181" t="s">
        <v>436</v>
      </c>
      <c r="P4181" t="s">
        <v>436</v>
      </c>
      <c r="Q4181">
        <v>7</v>
      </c>
      <c r="R4181" s="225">
        <f>Base_Periodo1[[#This Row],[CREDITOS]]-Base_Periodo1[[#This Row],[DEBITOS]]</f>
        <v>0</v>
      </c>
      <c r="S4181" s="3" t="str">
        <f>IF(ISERROR(VLOOKUP(Base_Periodo1[[#This Row],[CONTA]],BaseContasDRE[#All],4,FALSE)),"Fora do DRE",VLOOKUP(Base_Periodo1[[#This Row],[CONTA]],BaseContasDRE[#All],4,FALSE))</f>
        <v>Fora do DRE</v>
      </c>
      <c r="T4181" s="3" t="str">
        <f>IF(ISERROR(VLOOKUP(Base_Periodo1[[#This Row],[CONTA]],BaseContasDRE[#All],5,FALSE)),"Fora do DRE",VLOOKUP(Base_Periodo1[[#This Row],[CONTA]],BaseContasDRE[#All],6,FALSE))</f>
        <v>Fora do DRE</v>
      </c>
      <c r="U4181" s="3" t="str">
        <f>IF(ISERROR(VLOOKUP(Base_Periodo1[[#This Row],[CONTA]],BaseContasDRE[#All],7,FALSE)),"Fora do DRE",VLOOKUP(Base_Periodo1[[#This Row],[CONTA]],BaseContasDRE[#All],7,FALSE))</f>
        <v>Fora do DRE</v>
      </c>
      <c r="V4181" s="3" t="str">
        <f>IF(Base_Periodo1[[#This Row],[Tipo_Linha]]="Fora do DRE","Fora do DRE","( "&amp;Base_Periodo1[[#This Row],[Tipo_Linha]]&amp;" ) "&amp;Base_Periodo1[[#This Row],[Filtro]])</f>
        <v>Fora do DRE</v>
      </c>
      <c r="W4181" s="3" t="str">
        <f>LEFT(Base_Periodo1[[#This Row],[CLASS]],3)</f>
        <v>2.1</v>
      </c>
    </row>
    <row r="4182" spans="1:23" hidden="1">
      <c r="A4182" s="3" t="str">
        <f t="shared" si="65"/>
        <v>Período 1</v>
      </c>
      <c r="B4182">
        <v>37902</v>
      </c>
      <c r="C4182" t="s">
        <v>2148</v>
      </c>
      <c r="D4182" t="s">
        <v>6552</v>
      </c>
      <c r="E4182" s="3" t="str">
        <f>IF(LEN(Base_Periodo1[[#This Row],[CLASS]])&gt;=7,LEFT(Base_Periodo1[[#This Row],[CLASS]],7),"")</f>
        <v>2.1.2.2</v>
      </c>
      <c r="F4182" s="3" t="str">
        <f>VLOOKUP(Base_Periodo1[[#This Row],[Aux]],Base_Contas_Balanco[#All],2,FALSE)</f>
        <v>Fornecedores Não Cooperados</v>
      </c>
      <c r="G4182" s="1"/>
      <c r="H4182" s="225">
        <v>18900</v>
      </c>
      <c r="I4182" s="225">
        <v>0</v>
      </c>
      <c r="J4182" s="225">
        <v>0</v>
      </c>
      <c r="K4182" s="225">
        <v>18900</v>
      </c>
      <c r="L41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18900</v>
      </c>
      <c r="M4182" s="225">
        <f>ROUND(IF(AND(Base_Periodo1[[#This Row],[Tipo_Linha]]="-",Base_Periodo1[[#This Row],[TIPOSALDO]]="D"),Base_Periodo1[[#This Row],[SALDO_ATUAL]]*-1,Base_Periodo1[[#This Row],[SALDO_ATUAL]]),4)</f>
        <v>18900</v>
      </c>
      <c r="N4182" t="s">
        <v>116</v>
      </c>
      <c r="O4182" t="s">
        <v>459</v>
      </c>
      <c r="P4182" t="s">
        <v>459</v>
      </c>
      <c r="Q4182">
        <v>7</v>
      </c>
      <c r="R4182" s="225">
        <f>Base_Periodo1[[#This Row],[CREDITOS]]-Base_Periodo1[[#This Row],[DEBITOS]]</f>
        <v>0</v>
      </c>
      <c r="S4182" s="3" t="str">
        <f>IF(ISERROR(VLOOKUP(Base_Periodo1[[#This Row],[CONTA]],BaseContasDRE[#All],4,FALSE)),"Fora do DRE",VLOOKUP(Base_Periodo1[[#This Row],[CONTA]],BaseContasDRE[#All],4,FALSE))</f>
        <v>Fora do DRE</v>
      </c>
      <c r="T4182" s="3" t="str">
        <f>IF(ISERROR(VLOOKUP(Base_Periodo1[[#This Row],[CONTA]],BaseContasDRE[#All],5,FALSE)),"Fora do DRE",VLOOKUP(Base_Periodo1[[#This Row],[CONTA]],BaseContasDRE[#All],6,FALSE))</f>
        <v>Fora do DRE</v>
      </c>
      <c r="U4182" s="3" t="str">
        <f>IF(ISERROR(VLOOKUP(Base_Periodo1[[#This Row],[CONTA]],BaseContasDRE[#All],7,FALSE)),"Fora do DRE",VLOOKUP(Base_Periodo1[[#This Row],[CONTA]],BaseContasDRE[#All],7,FALSE))</f>
        <v>Fora do DRE</v>
      </c>
      <c r="V4182" s="3" t="str">
        <f>IF(Base_Periodo1[[#This Row],[Tipo_Linha]]="Fora do DRE","Fora do DRE","( "&amp;Base_Periodo1[[#This Row],[Tipo_Linha]]&amp;" ) "&amp;Base_Periodo1[[#This Row],[Filtro]])</f>
        <v>Fora do DRE</v>
      </c>
      <c r="W4182" s="3" t="str">
        <f>LEFT(Base_Periodo1[[#This Row],[CLASS]],3)</f>
        <v>2.1</v>
      </c>
    </row>
    <row r="4183" spans="1:23" hidden="1">
      <c r="A4183" s="3" t="str">
        <f t="shared" si="65"/>
        <v>Período 1</v>
      </c>
      <c r="B4183">
        <v>19696</v>
      </c>
      <c r="C4183" t="s">
        <v>2148</v>
      </c>
      <c r="D4183" t="s">
        <v>6553</v>
      </c>
      <c r="E4183" s="3" t="str">
        <f>IF(LEN(Base_Periodo1[[#This Row],[CLASS]])&gt;=7,LEFT(Base_Periodo1[[#This Row],[CLASS]],7),"")</f>
        <v>2.1.2.2</v>
      </c>
      <c r="F4183" s="3" t="str">
        <f>VLOOKUP(Base_Periodo1[[#This Row],[Aux]],Base_Contas_Balanco[#All],2,FALSE)</f>
        <v>Fornecedores Não Cooperados</v>
      </c>
      <c r="G4183" s="1">
        <v>42860</v>
      </c>
      <c r="I4183" s="225">
        <v>34563.480000000003</v>
      </c>
      <c r="J4183" s="225">
        <v>34563.479999999996</v>
      </c>
      <c r="K4183" s="225">
        <v>7.2759576141834259E-12</v>
      </c>
      <c r="L41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83" s="225">
        <f>ROUND(IF(AND(Base_Periodo1[[#This Row],[Tipo_Linha]]="-",Base_Periodo1[[#This Row],[TIPOSALDO]]="D"),Base_Periodo1[[#This Row],[SALDO_ATUAL]]*-1,Base_Periodo1[[#This Row],[SALDO_ATUAL]]),4)</f>
        <v>0</v>
      </c>
      <c r="N4183" t="s">
        <v>116</v>
      </c>
      <c r="O4183" t="s">
        <v>436</v>
      </c>
      <c r="P4183" t="s">
        <v>436</v>
      </c>
      <c r="Q4183">
        <v>7</v>
      </c>
      <c r="R4183" s="225">
        <f>Base_Periodo1[[#This Row],[CREDITOS]]-Base_Periodo1[[#This Row],[DEBITOS]]</f>
        <v>0</v>
      </c>
      <c r="S4183" s="3" t="str">
        <f>IF(ISERROR(VLOOKUP(Base_Periodo1[[#This Row],[CONTA]],BaseContasDRE[#All],4,FALSE)),"Fora do DRE",VLOOKUP(Base_Periodo1[[#This Row],[CONTA]],BaseContasDRE[#All],4,FALSE))</f>
        <v>Fora do DRE</v>
      </c>
      <c r="T4183" s="3" t="str">
        <f>IF(ISERROR(VLOOKUP(Base_Periodo1[[#This Row],[CONTA]],BaseContasDRE[#All],5,FALSE)),"Fora do DRE",VLOOKUP(Base_Periodo1[[#This Row],[CONTA]],BaseContasDRE[#All],6,FALSE))</f>
        <v>Fora do DRE</v>
      </c>
      <c r="U4183" s="3" t="str">
        <f>IF(ISERROR(VLOOKUP(Base_Periodo1[[#This Row],[CONTA]],BaseContasDRE[#All],7,FALSE)),"Fora do DRE",VLOOKUP(Base_Periodo1[[#This Row],[CONTA]],BaseContasDRE[#All],7,FALSE))</f>
        <v>Fora do DRE</v>
      </c>
      <c r="V4183" s="3" t="str">
        <f>IF(Base_Periodo1[[#This Row],[Tipo_Linha]]="Fora do DRE","Fora do DRE","( "&amp;Base_Periodo1[[#This Row],[Tipo_Linha]]&amp;" ) "&amp;Base_Periodo1[[#This Row],[Filtro]])</f>
        <v>Fora do DRE</v>
      </c>
      <c r="W4183" s="3" t="str">
        <f>LEFT(Base_Periodo1[[#This Row],[CLASS]],3)</f>
        <v>2.1</v>
      </c>
    </row>
    <row r="4184" spans="1:23" hidden="1">
      <c r="A4184" s="3" t="str">
        <f t="shared" si="65"/>
        <v>Período 1</v>
      </c>
      <c r="B4184">
        <v>41613</v>
      </c>
      <c r="C4184" t="s">
        <v>2148</v>
      </c>
      <c r="D4184" t="s">
        <v>2203</v>
      </c>
      <c r="E4184" s="3" t="str">
        <f>IF(LEN(Base_Periodo1[[#This Row],[CLASS]])&gt;=7,LEFT(Base_Periodo1[[#This Row],[CLASS]],7),"")</f>
        <v>2.1.2.2</v>
      </c>
      <c r="F4184" s="3" t="str">
        <f>VLOOKUP(Base_Periodo1[[#This Row],[Aux]],Base_Contas_Balanco[#All],2,FALSE)</f>
        <v>Fornecedores Não Cooperados</v>
      </c>
      <c r="G4184" s="1"/>
      <c r="H4184" s="225">
        <v>256.60000000000002</v>
      </c>
      <c r="I4184" s="225">
        <v>0</v>
      </c>
      <c r="J4184" s="225">
        <v>0</v>
      </c>
      <c r="K4184" s="225">
        <v>256.60000000000002</v>
      </c>
      <c r="L41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256.60000000000002</v>
      </c>
      <c r="M4184" s="225">
        <f>ROUND(IF(AND(Base_Periodo1[[#This Row],[Tipo_Linha]]="-",Base_Periodo1[[#This Row],[TIPOSALDO]]="D"),Base_Periodo1[[#This Row],[SALDO_ATUAL]]*-1,Base_Periodo1[[#This Row],[SALDO_ATUAL]]),4)</f>
        <v>256.60000000000002</v>
      </c>
      <c r="N4184" t="s">
        <v>116</v>
      </c>
      <c r="O4184" t="s">
        <v>459</v>
      </c>
      <c r="P4184" t="s">
        <v>459</v>
      </c>
      <c r="Q4184">
        <v>7</v>
      </c>
      <c r="R4184" s="225">
        <f>Base_Periodo1[[#This Row],[CREDITOS]]-Base_Periodo1[[#This Row],[DEBITOS]]</f>
        <v>0</v>
      </c>
      <c r="S4184" s="3" t="str">
        <f>IF(ISERROR(VLOOKUP(Base_Periodo1[[#This Row],[CONTA]],BaseContasDRE[#All],4,FALSE)),"Fora do DRE",VLOOKUP(Base_Periodo1[[#This Row],[CONTA]],BaseContasDRE[#All],4,FALSE))</f>
        <v>Fora do DRE</v>
      </c>
      <c r="T4184" s="3" t="str">
        <f>IF(ISERROR(VLOOKUP(Base_Periodo1[[#This Row],[CONTA]],BaseContasDRE[#All],5,FALSE)),"Fora do DRE",VLOOKUP(Base_Periodo1[[#This Row],[CONTA]],BaseContasDRE[#All],6,FALSE))</f>
        <v>Fora do DRE</v>
      </c>
      <c r="U4184" s="3" t="str">
        <f>IF(ISERROR(VLOOKUP(Base_Periodo1[[#This Row],[CONTA]],BaseContasDRE[#All],7,FALSE)),"Fora do DRE",VLOOKUP(Base_Periodo1[[#This Row],[CONTA]],BaseContasDRE[#All],7,FALSE))</f>
        <v>Fora do DRE</v>
      </c>
      <c r="V4184" s="3" t="str">
        <f>IF(Base_Periodo1[[#This Row],[Tipo_Linha]]="Fora do DRE","Fora do DRE","( "&amp;Base_Periodo1[[#This Row],[Tipo_Linha]]&amp;" ) "&amp;Base_Periodo1[[#This Row],[Filtro]])</f>
        <v>Fora do DRE</v>
      </c>
      <c r="W4184" s="3" t="str">
        <f>LEFT(Base_Periodo1[[#This Row],[CLASS]],3)</f>
        <v>2.1</v>
      </c>
    </row>
    <row r="4185" spans="1:23" hidden="1">
      <c r="A4185" s="3" t="str">
        <f t="shared" si="65"/>
        <v>Período 1</v>
      </c>
      <c r="B4185">
        <v>37775</v>
      </c>
      <c r="C4185" t="s">
        <v>2148</v>
      </c>
      <c r="D4185" t="s">
        <v>7174</v>
      </c>
      <c r="E4185" s="3" t="str">
        <f>IF(LEN(Base_Periodo1[[#This Row],[CLASS]])&gt;=7,LEFT(Base_Periodo1[[#This Row],[CLASS]],7),"")</f>
        <v>2.1.2.2</v>
      </c>
      <c r="F4185" s="3" t="str">
        <f>VLOOKUP(Base_Periodo1[[#This Row],[Aux]],Base_Contas_Balanco[#All],2,FALSE)</f>
        <v>Fornecedores Não Cooperados</v>
      </c>
      <c r="G4185" s="1"/>
      <c r="H4185" s="225">
        <v>3955.24</v>
      </c>
      <c r="I4185" s="225">
        <v>0</v>
      </c>
      <c r="J4185" s="225">
        <v>0</v>
      </c>
      <c r="K4185" s="225">
        <v>3955.24</v>
      </c>
      <c r="L41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3955.24</v>
      </c>
      <c r="M4185" s="225">
        <f>ROUND(IF(AND(Base_Periodo1[[#This Row],[Tipo_Linha]]="-",Base_Periodo1[[#This Row],[TIPOSALDO]]="D"),Base_Periodo1[[#This Row],[SALDO_ATUAL]]*-1,Base_Periodo1[[#This Row],[SALDO_ATUAL]]),4)</f>
        <v>3955.24</v>
      </c>
      <c r="N4185" t="s">
        <v>116</v>
      </c>
      <c r="O4185" t="s">
        <v>459</v>
      </c>
      <c r="P4185" t="s">
        <v>459</v>
      </c>
      <c r="Q4185">
        <v>7</v>
      </c>
      <c r="R4185" s="225">
        <f>Base_Periodo1[[#This Row],[CREDITOS]]-Base_Periodo1[[#This Row],[DEBITOS]]</f>
        <v>0</v>
      </c>
      <c r="S4185" s="3" t="str">
        <f>IF(ISERROR(VLOOKUP(Base_Periodo1[[#This Row],[CONTA]],BaseContasDRE[#All],4,FALSE)),"Fora do DRE",VLOOKUP(Base_Periodo1[[#This Row],[CONTA]],BaseContasDRE[#All],4,FALSE))</f>
        <v>Fora do DRE</v>
      </c>
      <c r="T4185" s="3" t="str">
        <f>IF(ISERROR(VLOOKUP(Base_Periodo1[[#This Row],[CONTA]],BaseContasDRE[#All],5,FALSE)),"Fora do DRE",VLOOKUP(Base_Periodo1[[#This Row],[CONTA]],BaseContasDRE[#All],6,FALSE))</f>
        <v>Fora do DRE</v>
      </c>
      <c r="U4185" s="3" t="str">
        <f>IF(ISERROR(VLOOKUP(Base_Periodo1[[#This Row],[CONTA]],BaseContasDRE[#All],7,FALSE)),"Fora do DRE",VLOOKUP(Base_Periodo1[[#This Row],[CONTA]],BaseContasDRE[#All],7,FALSE))</f>
        <v>Fora do DRE</v>
      </c>
      <c r="V4185" s="3" t="str">
        <f>IF(Base_Periodo1[[#This Row],[Tipo_Linha]]="Fora do DRE","Fora do DRE","( "&amp;Base_Periodo1[[#This Row],[Tipo_Linha]]&amp;" ) "&amp;Base_Periodo1[[#This Row],[Filtro]])</f>
        <v>Fora do DRE</v>
      </c>
      <c r="W4185" s="3" t="str">
        <f>LEFT(Base_Periodo1[[#This Row],[CLASS]],3)</f>
        <v>2.1</v>
      </c>
    </row>
    <row r="4186" spans="1:23" hidden="1">
      <c r="A4186" s="3" t="str">
        <f t="shared" si="65"/>
        <v>Período 1</v>
      </c>
      <c r="B4186">
        <v>19888</v>
      </c>
      <c r="C4186" t="s">
        <v>2148</v>
      </c>
      <c r="D4186" t="s">
        <v>4867</v>
      </c>
      <c r="E4186" s="3" t="str">
        <f>IF(LEN(Base_Periodo1[[#This Row],[CLASS]])&gt;=7,LEFT(Base_Periodo1[[#This Row],[CLASS]],7),"")</f>
        <v>2.1.2.2</v>
      </c>
      <c r="F4186" s="3" t="str">
        <f>VLOOKUP(Base_Periodo1[[#This Row],[Aux]],Base_Contas_Balanco[#All],2,FALSE)</f>
        <v>Fornecedores Não Cooperados</v>
      </c>
      <c r="G4186" s="1">
        <v>42640</v>
      </c>
      <c r="H4186" s="225">
        <v>1.0000000000218279E-2</v>
      </c>
      <c r="I4186" s="225">
        <v>0</v>
      </c>
      <c r="J4186" s="225">
        <v>0</v>
      </c>
      <c r="K4186" s="225">
        <v>1.0000000000218279E-2</v>
      </c>
      <c r="L41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186" s="225">
        <f>ROUND(IF(AND(Base_Periodo1[[#This Row],[Tipo_Linha]]="-",Base_Periodo1[[#This Row],[TIPOSALDO]]="D"),Base_Periodo1[[#This Row],[SALDO_ATUAL]]*-1,Base_Periodo1[[#This Row],[SALDO_ATUAL]]),4)</f>
        <v>0.01</v>
      </c>
      <c r="N4186" t="s">
        <v>116</v>
      </c>
      <c r="O4186" t="s">
        <v>459</v>
      </c>
      <c r="P4186" t="s">
        <v>459</v>
      </c>
      <c r="Q4186">
        <v>7</v>
      </c>
      <c r="R4186" s="225">
        <f>Base_Periodo1[[#This Row],[CREDITOS]]-Base_Periodo1[[#This Row],[DEBITOS]]</f>
        <v>0</v>
      </c>
      <c r="S4186" s="3" t="str">
        <f>IF(ISERROR(VLOOKUP(Base_Periodo1[[#This Row],[CONTA]],BaseContasDRE[#All],4,FALSE)),"Fora do DRE",VLOOKUP(Base_Periodo1[[#This Row],[CONTA]],BaseContasDRE[#All],4,FALSE))</f>
        <v>Fora do DRE</v>
      </c>
      <c r="T4186" s="3" t="str">
        <f>IF(ISERROR(VLOOKUP(Base_Periodo1[[#This Row],[CONTA]],BaseContasDRE[#All],5,FALSE)),"Fora do DRE",VLOOKUP(Base_Periodo1[[#This Row],[CONTA]],BaseContasDRE[#All],6,FALSE))</f>
        <v>Fora do DRE</v>
      </c>
      <c r="U4186" s="3" t="str">
        <f>IF(ISERROR(VLOOKUP(Base_Periodo1[[#This Row],[CONTA]],BaseContasDRE[#All],7,FALSE)),"Fora do DRE",VLOOKUP(Base_Periodo1[[#This Row],[CONTA]],BaseContasDRE[#All],7,FALSE))</f>
        <v>Fora do DRE</v>
      </c>
      <c r="V4186" s="3" t="str">
        <f>IF(Base_Periodo1[[#This Row],[Tipo_Linha]]="Fora do DRE","Fora do DRE","( "&amp;Base_Periodo1[[#This Row],[Tipo_Linha]]&amp;" ) "&amp;Base_Periodo1[[#This Row],[Filtro]])</f>
        <v>Fora do DRE</v>
      </c>
      <c r="W4186" s="3" t="str">
        <f>LEFT(Base_Periodo1[[#This Row],[CLASS]],3)</f>
        <v>2.1</v>
      </c>
    </row>
    <row r="4187" spans="1:23" hidden="1">
      <c r="A4187" s="3" t="str">
        <f t="shared" si="65"/>
        <v>Período 1</v>
      </c>
      <c r="B4187">
        <v>2478</v>
      </c>
      <c r="C4187" t="s">
        <v>2148</v>
      </c>
      <c r="D4187" t="s">
        <v>2204</v>
      </c>
      <c r="E4187" s="3" t="str">
        <f>IF(LEN(Base_Periodo1[[#This Row],[CLASS]])&gt;=7,LEFT(Base_Periodo1[[#This Row],[CLASS]],7),"")</f>
        <v>2.1.2.2</v>
      </c>
      <c r="F4187" s="3" t="str">
        <f>VLOOKUP(Base_Periodo1[[#This Row],[Aux]],Base_Contas_Balanco[#All],2,FALSE)</f>
        <v>Fornecedores Não Cooperados</v>
      </c>
      <c r="G4187" s="1">
        <v>41144</v>
      </c>
      <c r="H4187" s="225">
        <v>9.9999999983992893E-3</v>
      </c>
      <c r="I4187" s="225">
        <v>0</v>
      </c>
      <c r="J4187" s="225">
        <v>0</v>
      </c>
      <c r="K4187" s="225">
        <v>9.9999999983992893E-3</v>
      </c>
      <c r="L41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187" s="225">
        <f>ROUND(IF(AND(Base_Periodo1[[#This Row],[Tipo_Linha]]="-",Base_Periodo1[[#This Row],[TIPOSALDO]]="D"),Base_Periodo1[[#This Row],[SALDO_ATUAL]]*-1,Base_Periodo1[[#This Row],[SALDO_ATUAL]]),4)</f>
        <v>0.01</v>
      </c>
      <c r="N4187" t="s">
        <v>116</v>
      </c>
      <c r="O4187" t="s">
        <v>459</v>
      </c>
      <c r="P4187" t="s">
        <v>459</v>
      </c>
      <c r="Q4187">
        <v>7</v>
      </c>
      <c r="R4187" s="225">
        <f>Base_Periodo1[[#This Row],[CREDITOS]]-Base_Periodo1[[#This Row],[DEBITOS]]</f>
        <v>0</v>
      </c>
      <c r="S4187" s="3" t="str">
        <f>IF(ISERROR(VLOOKUP(Base_Periodo1[[#This Row],[CONTA]],BaseContasDRE[#All],4,FALSE)),"Fora do DRE",VLOOKUP(Base_Periodo1[[#This Row],[CONTA]],BaseContasDRE[#All],4,FALSE))</f>
        <v>Fora do DRE</v>
      </c>
      <c r="T4187" s="3" t="str">
        <f>IF(ISERROR(VLOOKUP(Base_Periodo1[[#This Row],[CONTA]],BaseContasDRE[#All],5,FALSE)),"Fora do DRE",VLOOKUP(Base_Periodo1[[#This Row],[CONTA]],BaseContasDRE[#All],6,FALSE))</f>
        <v>Fora do DRE</v>
      </c>
      <c r="U4187" s="3" t="str">
        <f>IF(ISERROR(VLOOKUP(Base_Periodo1[[#This Row],[CONTA]],BaseContasDRE[#All],7,FALSE)),"Fora do DRE",VLOOKUP(Base_Periodo1[[#This Row],[CONTA]],BaseContasDRE[#All],7,FALSE))</f>
        <v>Fora do DRE</v>
      </c>
      <c r="V4187" s="3" t="str">
        <f>IF(Base_Periodo1[[#This Row],[Tipo_Linha]]="Fora do DRE","Fora do DRE","( "&amp;Base_Periodo1[[#This Row],[Tipo_Linha]]&amp;" ) "&amp;Base_Periodo1[[#This Row],[Filtro]])</f>
        <v>Fora do DRE</v>
      </c>
      <c r="W4187" s="3" t="str">
        <f>LEFT(Base_Periodo1[[#This Row],[CLASS]],3)</f>
        <v>2.1</v>
      </c>
    </row>
    <row r="4188" spans="1:23" hidden="1">
      <c r="A4188" s="3" t="str">
        <f t="shared" si="65"/>
        <v>Período 1</v>
      </c>
      <c r="B4188">
        <v>55240</v>
      </c>
      <c r="C4188" t="s">
        <v>2148</v>
      </c>
      <c r="D4188" t="s">
        <v>5343</v>
      </c>
      <c r="E4188" s="3" t="str">
        <f>IF(LEN(Base_Periodo1[[#This Row],[CLASS]])&gt;=7,LEFT(Base_Periodo1[[#This Row],[CLASS]],7),"")</f>
        <v>2.1.2.2</v>
      </c>
      <c r="F4188" s="3" t="str">
        <f>VLOOKUP(Base_Periodo1[[#This Row],[Aux]],Base_Contas_Balanco[#All],2,FALSE)</f>
        <v>Fornecedores Não Cooperados</v>
      </c>
      <c r="G4188" s="1">
        <v>42782</v>
      </c>
      <c r="H4188" s="225">
        <v>3695.1200000000026</v>
      </c>
      <c r="I4188" s="225">
        <v>0</v>
      </c>
      <c r="J4188" s="225">
        <v>0</v>
      </c>
      <c r="K4188" s="225">
        <v>3695.1200000000026</v>
      </c>
      <c r="L41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3695.12</v>
      </c>
      <c r="M4188" s="225">
        <f>ROUND(IF(AND(Base_Periodo1[[#This Row],[Tipo_Linha]]="-",Base_Periodo1[[#This Row],[TIPOSALDO]]="D"),Base_Periodo1[[#This Row],[SALDO_ATUAL]]*-1,Base_Periodo1[[#This Row],[SALDO_ATUAL]]),4)</f>
        <v>3695.12</v>
      </c>
      <c r="N4188" t="s">
        <v>116</v>
      </c>
      <c r="O4188" t="s">
        <v>459</v>
      </c>
      <c r="P4188" t="s">
        <v>459</v>
      </c>
      <c r="Q4188">
        <v>7</v>
      </c>
      <c r="R4188" s="225">
        <f>Base_Periodo1[[#This Row],[CREDITOS]]-Base_Periodo1[[#This Row],[DEBITOS]]</f>
        <v>0</v>
      </c>
      <c r="S4188" s="3" t="str">
        <f>IF(ISERROR(VLOOKUP(Base_Periodo1[[#This Row],[CONTA]],BaseContasDRE[#All],4,FALSE)),"Fora do DRE",VLOOKUP(Base_Periodo1[[#This Row],[CONTA]],BaseContasDRE[#All],4,FALSE))</f>
        <v>Fora do DRE</v>
      </c>
      <c r="T4188" s="3" t="str">
        <f>IF(ISERROR(VLOOKUP(Base_Periodo1[[#This Row],[CONTA]],BaseContasDRE[#All],5,FALSE)),"Fora do DRE",VLOOKUP(Base_Periodo1[[#This Row],[CONTA]],BaseContasDRE[#All],6,FALSE))</f>
        <v>Fora do DRE</v>
      </c>
      <c r="U4188" s="3" t="str">
        <f>IF(ISERROR(VLOOKUP(Base_Periodo1[[#This Row],[CONTA]],BaseContasDRE[#All],7,FALSE)),"Fora do DRE",VLOOKUP(Base_Periodo1[[#This Row],[CONTA]],BaseContasDRE[#All],7,FALSE))</f>
        <v>Fora do DRE</v>
      </c>
      <c r="V4188" s="3" t="str">
        <f>IF(Base_Periodo1[[#This Row],[Tipo_Linha]]="Fora do DRE","Fora do DRE","( "&amp;Base_Periodo1[[#This Row],[Tipo_Linha]]&amp;" ) "&amp;Base_Periodo1[[#This Row],[Filtro]])</f>
        <v>Fora do DRE</v>
      </c>
      <c r="W4188" s="3" t="str">
        <f>LEFT(Base_Periodo1[[#This Row],[CLASS]],3)</f>
        <v>2.1</v>
      </c>
    </row>
    <row r="4189" spans="1:23" hidden="1">
      <c r="A4189" s="3" t="str">
        <f t="shared" si="65"/>
        <v>Período 1</v>
      </c>
      <c r="B4189">
        <v>41293</v>
      </c>
      <c r="C4189" t="s">
        <v>2148</v>
      </c>
      <c r="D4189" t="s">
        <v>1970</v>
      </c>
      <c r="E4189" s="3" t="str">
        <f>IF(LEN(Base_Periodo1[[#This Row],[CLASS]])&gt;=7,LEFT(Base_Periodo1[[#This Row],[CLASS]],7),"")</f>
        <v>2.1.2.2</v>
      </c>
      <c r="F4189" s="3" t="str">
        <f>VLOOKUP(Base_Periodo1[[#This Row],[Aux]],Base_Contas_Balanco[#All],2,FALSE)</f>
        <v>Fornecedores Não Cooperados</v>
      </c>
      <c r="G4189" s="1">
        <v>42885</v>
      </c>
      <c r="I4189" s="225">
        <v>885.5</v>
      </c>
      <c r="J4189" s="225">
        <v>1610.31</v>
      </c>
      <c r="K4189" s="225">
        <v>724.81</v>
      </c>
      <c r="L41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724.81</v>
      </c>
      <c r="M4189" s="225">
        <f>ROUND(IF(AND(Base_Periodo1[[#This Row],[Tipo_Linha]]="-",Base_Periodo1[[#This Row],[TIPOSALDO]]="D"),Base_Periodo1[[#This Row],[SALDO_ATUAL]]*-1,Base_Periodo1[[#This Row],[SALDO_ATUAL]]),4)</f>
        <v>724.81</v>
      </c>
      <c r="N4189" t="s">
        <v>116</v>
      </c>
      <c r="O4189" t="s">
        <v>436</v>
      </c>
      <c r="P4189" t="s">
        <v>459</v>
      </c>
      <c r="Q4189">
        <v>7</v>
      </c>
      <c r="R4189" s="225">
        <f>Base_Periodo1[[#This Row],[CREDITOS]]-Base_Periodo1[[#This Row],[DEBITOS]]</f>
        <v>724.81</v>
      </c>
      <c r="S4189" s="3" t="str">
        <f>IF(ISERROR(VLOOKUP(Base_Periodo1[[#This Row],[CONTA]],BaseContasDRE[#All],4,FALSE)),"Fora do DRE",VLOOKUP(Base_Periodo1[[#This Row],[CONTA]],BaseContasDRE[#All],4,FALSE))</f>
        <v>Fora do DRE</v>
      </c>
      <c r="T4189" s="3" t="str">
        <f>IF(ISERROR(VLOOKUP(Base_Periodo1[[#This Row],[CONTA]],BaseContasDRE[#All],5,FALSE)),"Fora do DRE",VLOOKUP(Base_Periodo1[[#This Row],[CONTA]],BaseContasDRE[#All],6,FALSE))</f>
        <v>Fora do DRE</v>
      </c>
      <c r="U4189" s="3" t="str">
        <f>IF(ISERROR(VLOOKUP(Base_Periodo1[[#This Row],[CONTA]],BaseContasDRE[#All],7,FALSE)),"Fora do DRE",VLOOKUP(Base_Periodo1[[#This Row],[CONTA]],BaseContasDRE[#All],7,FALSE))</f>
        <v>Fora do DRE</v>
      </c>
      <c r="V4189" s="3" t="str">
        <f>IF(Base_Periodo1[[#This Row],[Tipo_Linha]]="Fora do DRE","Fora do DRE","( "&amp;Base_Periodo1[[#This Row],[Tipo_Linha]]&amp;" ) "&amp;Base_Periodo1[[#This Row],[Filtro]])</f>
        <v>Fora do DRE</v>
      </c>
      <c r="W4189" s="3" t="str">
        <f>LEFT(Base_Periodo1[[#This Row],[CLASS]],3)</f>
        <v>2.1</v>
      </c>
    </row>
    <row r="4190" spans="1:23" hidden="1">
      <c r="A4190" s="3" t="str">
        <f t="shared" si="65"/>
        <v>Período 1</v>
      </c>
      <c r="B4190">
        <v>9982</v>
      </c>
      <c r="C4190" t="s">
        <v>2148</v>
      </c>
      <c r="D4190" t="s">
        <v>2206</v>
      </c>
      <c r="E4190" s="3" t="str">
        <f>IF(LEN(Base_Periodo1[[#This Row],[CLASS]])&gt;=7,LEFT(Base_Periodo1[[#This Row],[CLASS]],7),"")</f>
        <v>2.1.2.2</v>
      </c>
      <c r="F4190" s="3" t="str">
        <f>VLOOKUP(Base_Periodo1[[#This Row],[Aux]],Base_Contas_Balanco[#All],2,FALSE)</f>
        <v>Fornecedores Não Cooperados</v>
      </c>
      <c r="G4190" s="1">
        <v>41849</v>
      </c>
      <c r="H4190" s="225">
        <v>4.5299999999988358</v>
      </c>
      <c r="I4190" s="225">
        <v>0</v>
      </c>
      <c r="J4190" s="225">
        <v>0</v>
      </c>
      <c r="K4190" s="225">
        <v>4.5299999999988358</v>
      </c>
      <c r="L41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4.53</v>
      </c>
      <c r="M4190" s="225">
        <f>ROUND(IF(AND(Base_Periodo1[[#This Row],[Tipo_Linha]]="-",Base_Periodo1[[#This Row],[TIPOSALDO]]="D"),Base_Periodo1[[#This Row],[SALDO_ATUAL]]*-1,Base_Periodo1[[#This Row],[SALDO_ATUAL]]),4)</f>
        <v>4.53</v>
      </c>
      <c r="N4190" t="s">
        <v>116</v>
      </c>
      <c r="O4190" t="s">
        <v>459</v>
      </c>
      <c r="P4190" t="s">
        <v>459</v>
      </c>
      <c r="Q4190">
        <v>7</v>
      </c>
      <c r="R4190" s="225">
        <f>Base_Periodo1[[#This Row],[CREDITOS]]-Base_Periodo1[[#This Row],[DEBITOS]]</f>
        <v>0</v>
      </c>
      <c r="S4190" s="3" t="str">
        <f>IF(ISERROR(VLOOKUP(Base_Periodo1[[#This Row],[CONTA]],BaseContasDRE[#All],4,FALSE)),"Fora do DRE",VLOOKUP(Base_Periodo1[[#This Row],[CONTA]],BaseContasDRE[#All],4,FALSE))</f>
        <v>Fora do DRE</v>
      </c>
      <c r="T4190" s="3" t="str">
        <f>IF(ISERROR(VLOOKUP(Base_Periodo1[[#This Row],[CONTA]],BaseContasDRE[#All],5,FALSE)),"Fora do DRE",VLOOKUP(Base_Periodo1[[#This Row],[CONTA]],BaseContasDRE[#All],6,FALSE))</f>
        <v>Fora do DRE</v>
      </c>
      <c r="U4190" s="3" t="str">
        <f>IF(ISERROR(VLOOKUP(Base_Periodo1[[#This Row],[CONTA]],BaseContasDRE[#All],7,FALSE)),"Fora do DRE",VLOOKUP(Base_Periodo1[[#This Row],[CONTA]],BaseContasDRE[#All],7,FALSE))</f>
        <v>Fora do DRE</v>
      </c>
      <c r="V4190" s="3" t="str">
        <f>IF(Base_Periodo1[[#This Row],[Tipo_Linha]]="Fora do DRE","Fora do DRE","( "&amp;Base_Periodo1[[#This Row],[Tipo_Linha]]&amp;" ) "&amp;Base_Periodo1[[#This Row],[Filtro]])</f>
        <v>Fora do DRE</v>
      </c>
      <c r="W4190" s="3" t="str">
        <f>LEFT(Base_Periodo1[[#This Row],[CLASS]],3)</f>
        <v>2.1</v>
      </c>
    </row>
    <row r="4191" spans="1:23" hidden="1">
      <c r="A4191" s="3" t="str">
        <f t="shared" si="65"/>
        <v>Período 1</v>
      </c>
      <c r="B4191">
        <v>39158</v>
      </c>
      <c r="C4191" t="s">
        <v>2148</v>
      </c>
      <c r="D4191" t="s">
        <v>4299</v>
      </c>
      <c r="E4191" s="3" t="str">
        <f>IF(LEN(Base_Periodo1[[#This Row],[CLASS]])&gt;=7,LEFT(Base_Periodo1[[#This Row],[CLASS]],7),"")</f>
        <v>2.1.2.2</v>
      </c>
      <c r="F4191" s="3" t="str">
        <f>VLOOKUP(Base_Periodo1[[#This Row],[Aux]],Base_Contas_Balanco[#All],2,FALSE)</f>
        <v>Fornecedores Não Cooperados</v>
      </c>
      <c r="G4191" s="1">
        <v>42873</v>
      </c>
      <c r="H4191" s="225">
        <v>2679.6900000000169</v>
      </c>
      <c r="I4191" s="225">
        <v>0</v>
      </c>
      <c r="J4191" s="225">
        <v>3250.76</v>
      </c>
      <c r="K4191" s="225">
        <v>5930.4500000000171</v>
      </c>
      <c r="L41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5930.45</v>
      </c>
      <c r="M4191" s="225">
        <f>ROUND(IF(AND(Base_Periodo1[[#This Row],[Tipo_Linha]]="-",Base_Periodo1[[#This Row],[TIPOSALDO]]="D"),Base_Periodo1[[#This Row],[SALDO_ATUAL]]*-1,Base_Periodo1[[#This Row],[SALDO_ATUAL]]),4)</f>
        <v>5930.45</v>
      </c>
      <c r="N4191" t="s">
        <v>116</v>
      </c>
      <c r="O4191" t="s">
        <v>459</v>
      </c>
      <c r="P4191" t="s">
        <v>459</v>
      </c>
      <c r="Q4191">
        <v>7</v>
      </c>
      <c r="R4191" s="225">
        <f>Base_Periodo1[[#This Row],[CREDITOS]]-Base_Periodo1[[#This Row],[DEBITOS]]</f>
        <v>3250.76</v>
      </c>
      <c r="S4191" s="3" t="str">
        <f>IF(ISERROR(VLOOKUP(Base_Periodo1[[#This Row],[CONTA]],BaseContasDRE[#All],4,FALSE)),"Fora do DRE",VLOOKUP(Base_Periodo1[[#This Row],[CONTA]],BaseContasDRE[#All],4,FALSE))</f>
        <v>Fora do DRE</v>
      </c>
      <c r="T4191" s="3" t="str">
        <f>IF(ISERROR(VLOOKUP(Base_Periodo1[[#This Row],[CONTA]],BaseContasDRE[#All],5,FALSE)),"Fora do DRE",VLOOKUP(Base_Periodo1[[#This Row],[CONTA]],BaseContasDRE[#All],6,FALSE))</f>
        <v>Fora do DRE</v>
      </c>
      <c r="U4191" s="3" t="str">
        <f>IF(ISERROR(VLOOKUP(Base_Periodo1[[#This Row],[CONTA]],BaseContasDRE[#All],7,FALSE)),"Fora do DRE",VLOOKUP(Base_Periodo1[[#This Row],[CONTA]],BaseContasDRE[#All],7,FALSE))</f>
        <v>Fora do DRE</v>
      </c>
      <c r="V4191" s="3" t="str">
        <f>IF(Base_Periodo1[[#This Row],[Tipo_Linha]]="Fora do DRE","Fora do DRE","( "&amp;Base_Periodo1[[#This Row],[Tipo_Linha]]&amp;" ) "&amp;Base_Periodo1[[#This Row],[Filtro]])</f>
        <v>Fora do DRE</v>
      </c>
      <c r="W4191" s="3" t="str">
        <f>LEFT(Base_Periodo1[[#This Row],[CLASS]],3)</f>
        <v>2.1</v>
      </c>
    </row>
    <row r="4192" spans="1:23" hidden="1">
      <c r="A4192" s="3" t="str">
        <f t="shared" si="65"/>
        <v>Período 1</v>
      </c>
      <c r="B4192">
        <v>39030</v>
      </c>
      <c r="C4192" t="s">
        <v>2148</v>
      </c>
      <c r="D4192" t="s">
        <v>2207</v>
      </c>
      <c r="E4192" s="3" t="str">
        <f>IF(LEN(Base_Periodo1[[#This Row],[CLASS]])&gt;=7,LEFT(Base_Periodo1[[#This Row],[CLASS]],7),"")</f>
        <v>2.1.2.2</v>
      </c>
      <c r="F4192" s="3" t="str">
        <f>VLOOKUP(Base_Periodo1[[#This Row],[Aux]],Base_Contas_Balanco[#All],2,FALSE)</f>
        <v>Fornecedores Não Cooperados</v>
      </c>
      <c r="G4192" s="1">
        <v>42866</v>
      </c>
      <c r="H4192" s="225">
        <v>15083.109999999986</v>
      </c>
      <c r="I4192" s="225">
        <v>7651</v>
      </c>
      <c r="J4192" s="225">
        <v>0</v>
      </c>
      <c r="K4192" s="225">
        <v>7432.109999999986</v>
      </c>
      <c r="L41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7432.11</v>
      </c>
      <c r="M4192" s="225">
        <f>ROUND(IF(AND(Base_Periodo1[[#This Row],[Tipo_Linha]]="-",Base_Periodo1[[#This Row],[TIPOSALDO]]="D"),Base_Periodo1[[#This Row],[SALDO_ATUAL]]*-1,Base_Periodo1[[#This Row],[SALDO_ATUAL]]),4)</f>
        <v>7432.11</v>
      </c>
      <c r="N4192" t="s">
        <v>116</v>
      </c>
      <c r="O4192" t="s">
        <v>459</v>
      </c>
      <c r="P4192" t="s">
        <v>459</v>
      </c>
      <c r="Q4192">
        <v>7</v>
      </c>
      <c r="R4192" s="225">
        <f>Base_Periodo1[[#This Row],[CREDITOS]]-Base_Periodo1[[#This Row],[DEBITOS]]</f>
        <v>-7651</v>
      </c>
      <c r="S4192" s="3" t="str">
        <f>IF(ISERROR(VLOOKUP(Base_Periodo1[[#This Row],[CONTA]],BaseContasDRE[#All],4,FALSE)),"Fora do DRE",VLOOKUP(Base_Periodo1[[#This Row],[CONTA]],BaseContasDRE[#All],4,FALSE))</f>
        <v>Fora do DRE</v>
      </c>
      <c r="T4192" s="3" t="str">
        <f>IF(ISERROR(VLOOKUP(Base_Periodo1[[#This Row],[CONTA]],BaseContasDRE[#All],5,FALSE)),"Fora do DRE",VLOOKUP(Base_Periodo1[[#This Row],[CONTA]],BaseContasDRE[#All],6,FALSE))</f>
        <v>Fora do DRE</v>
      </c>
      <c r="U4192" s="3" t="str">
        <f>IF(ISERROR(VLOOKUP(Base_Periodo1[[#This Row],[CONTA]],BaseContasDRE[#All],7,FALSE)),"Fora do DRE",VLOOKUP(Base_Periodo1[[#This Row],[CONTA]],BaseContasDRE[#All],7,FALSE))</f>
        <v>Fora do DRE</v>
      </c>
      <c r="V4192" s="3" t="str">
        <f>IF(Base_Periodo1[[#This Row],[Tipo_Linha]]="Fora do DRE","Fora do DRE","( "&amp;Base_Periodo1[[#This Row],[Tipo_Linha]]&amp;" ) "&amp;Base_Periodo1[[#This Row],[Filtro]])</f>
        <v>Fora do DRE</v>
      </c>
      <c r="W4192" s="3" t="str">
        <f>LEFT(Base_Periodo1[[#This Row],[CLASS]],3)</f>
        <v>2.1</v>
      </c>
    </row>
    <row r="4193" spans="1:23" hidden="1">
      <c r="A4193" s="3" t="str">
        <f t="shared" si="65"/>
        <v>Período 1</v>
      </c>
      <c r="B4193">
        <v>7959</v>
      </c>
      <c r="C4193" t="s">
        <v>2148</v>
      </c>
      <c r="D4193" t="s">
        <v>4212</v>
      </c>
      <c r="E4193" s="3" t="str">
        <f>IF(LEN(Base_Periodo1[[#This Row],[CLASS]])&gt;=7,LEFT(Base_Periodo1[[#This Row],[CLASS]],7),"")</f>
        <v>2.1.2.2</v>
      </c>
      <c r="F4193" s="3" t="str">
        <f>VLOOKUP(Base_Periodo1[[#This Row],[Aux]],Base_Contas_Balanco[#All],2,FALSE)</f>
        <v>Fornecedores Não Cooperados</v>
      </c>
      <c r="G4193" s="1">
        <v>42307</v>
      </c>
      <c r="H4193" s="225">
        <v>24000</v>
      </c>
      <c r="I4193" s="225">
        <v>0</v>
      </c>
      <c r="J4193" s="225">
        <v>0</v>
      </c>
      <c r="K4193" s="225">
        <v>24000</v>
      </c>
      <c r="L41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24000</v>
      </c>
      <c r="M4193" s="225">
        <f>ROUND(IF(AND(Base_Periodo1[[#This Row],[Tipo_Linha]]="-",Base_Periodo1[[#This Row],[TIPOSALDO]]="D"),Base_Periodo1[[#This Row],[SALDO_ATUAL]]*-1,Base_Periodo1[[#This Row],[SALDO_ATUAL]]),4)</f>
        <v>24000</v>
      </c>
      <c r="N4193" t="s">
        <v>116</v>
      </c>
      <c r="O4193" t="s">
        <v>459</v>
      </c>
      <c r="P4193" t="s">
        <v>459</v>
      </c>
      <c r="Q4193">
        <v>7</v>
      </c>
      <c r="R4193" s="225">
        <f>Base_Periodo1[[#This Row],[CREDITOS]]-Base_Periodo1[[#This Row],[DEBITOS]]</f>
        <v>0</v>
      </c>
      <c r="S4193" s="3" t="str">
        <f>IF(ISERROR(VLOOKUP(Base_Periodo1[[#This Row],[CONTA]],BaseContasDRE[#All],4,FALSE)),"Fora do DRE",VLOOKUP(Base_Periodo1[[#This Row],[CONTA]],BaseContasDRE[#All],4,FALSE))</f>
        <v>Fora do DRE</v>
      </c>
      <c r="T4193" s="3" t="str">
        <f>IF(ISERROR(VLOOKUP(Base_Periodo1[[#This Row],[CONTA]],BaseContasDRE[#All],5,FALSE)),"Fora do DRE",VLOOKUP(Base_Periodo1[[#This Row],[CONTA]],BaseContasDRE[#All],6,FALSE))</f>
        <v>Fora do DRE</v>
      </c>
      <c r="U4193" s="3" t="str">
        <f>IF(ISERROR(VLOOKUP(Base_Periodo1[[#This Row],[CONTA]],BaseContasDRE[#All],7,FALSE)),"Fora do DRE",VLOOKUP(Base_Periodo1[[#This Row],[CONTA]],BaseContasDRE[#All],7,FALSE))</f>
        <v>Fora do DRE</v>
      </c>
      <c r="V4193" s="3" t="str">
        <f>IF(Base_Periodo1[[#This Row],[Tipo_Linha]]="Fora do DRE","Fora do DRE","( "&amp;Base_Periodo1[[#This Row],[Tipo_Linha]]&amp;" ) "&amp;Base_Periodo1[[#This Row],[Filtro]])</f>
        <v>Fora do DRE</v>
      </c>
      <c r="W4193" s="3" t="str">
        <f>LEFT(Base_Periodo1[[#This Row],[CLASS]],3)</f>
        <v>2.1</v>
      </c>
    </row>
    <row r="4194" spans="1:23" hidden="1">
      <c r="A4194" s="3" t="str">
        <f t="shared" si="65"/>
        <v>Período 1</v>
      </c>
      <c r="B4194">
        <v>56820</v>
      </c>
      <c r="C4194" t="s">
        <v>2148</v>
      </c>
      <c r="D4194" t="s">
        <v>6554</v>
      </c>
      <c r="E4194" s="3" t="str">
        <f>IF(LEN(Base_Periodo1[[#This Row],[CLASS]])&gt;=7,LEFT(Base_Periodo1[[#This Row],[CLASS]],7),"")</f>
        <v>2.1.2.2</v>
      </c>
      <c r="F4194" s="3" t="str">
        <f>VLOOKUP(Base_Periodo1[[#This Row],[Aux]],Base_Contas_Balanco[#All],2,FALSE)</f>
        <v>Fornecedores Não Cooperados</v>
      </c>
      <c r="G4194" s="1">
        <v>42865</v>
      </c>
      <c r="H4194" s="225">
        <v>12720</v>
      </c>
      <c r="I4194" s="225">
        <v>63600</v>
      </c>
      <c r="J4194" s="225">
        <v>50880</v>
      </c>
      <c r="K4194" s="225">
        <v>0</v>
      </c>
      <c r="L41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94" s="225">
        <f>ROUND(IF(AND(Base_Periodo1[[#This Row],[Tipo_Linha]]="-",Base_Periodo1[[#This Row],[TIPOSALDO]]="D"),Base_Periodo1[[#This Row],[SALDO_ATUAL]]*-1,Base_Periodo1[[#This Row],[SALDO_ATUAL]]),4)</f>
        <v>0</v>
      </c>
      <c r="N4194" t="s">
        <v>116</v>
      </c>
      <c r="O4194" t="s">
        <v>459</v>
      </c>
      <c r="P4194" t="s">
        <v>436</v>
      </c>
      <c r="Q4194">
        <v>7</v>
      </c>
      <c r="R4194" s="225">
        <f>Base_Periodo1[[#This Row],[CREDITOS]]-Base_Periodo1[[#This Row],[DEBITOS]]</f>
        <v>-12720</v>
      </c>
      <c r="S4194" s="3" t="str">
        <f>IF(ISERROR(VLOOKUP(Base_Periodo1[[#This Row],[CONTA]],BaseContasDRE[#All],4,FALSE)),"Fora do DRE",VLOOKUP(Base_Periodo1[[#This Row],[CONTA]],BaseContasDRE[#All],4,FALSE))</f>
        <v>Fora do DRE</v>
      </c>
      <c r="T4194" s="3" t="str">
        <f>IF(ISERROR(VLOOKUP(Base_Periodo1[[#This Row],[CONTA]],BaseContasDRE[#All],5,FALSE)),"Fora do DRE",VLOOKUP(Base_Periodo1[[#This Row],[CONTA]],BaseContasDRE[#All],6,FALSE))</f>
        <v>Fora do DRE</v>
      </c>
      <c r="U4194" s="3" t="str">
        <f>IF(ISERROR(VLOOKUP(Base_Periodo1[[#This Row],[CONTA]],BaseContasDRE[#All],7,FALSE)),"Fora do DRE",VLOOKUP(Base_Periodo1[[#This Row],[CONTA]],BaseContasDRE[#All],7,FALSE))</f>
        <v>Fora do DRE</v>
      </c>
      <c r="V4194" s="3" t="str">
        <f>IF(Base_Periodo1[[#This Row],[Tipo_Linha]]="Fora do DRE","Fora do DRE","( "&amp;Base_Periodo1[[#This Row],[Tipo_Linha]]&amp;" ) "&amp;Base_Periodo1[[#This Row],[Filtro]])</f>
        <v>Fora do DRE</v>
      </c>
      <c r="W4194" s="3" t="str">
        <f>LEFT(Base_Periodo1[[#This Row],[CLASS]],3)</f>
        <v>2.1</v>
      </c>
    </row>
    <row r="4195" spans="1:23" hidden="1">
      <c r="A4195" s="3" t="str">
        <f t="shared" si="65"/>
        <v>Período 1</v>
      </c>
      <c r="B4195">
        <v>11126</v>
      </c>
      <c r="C4195" t="s">
        <v>2148</v>
      </c>
      <c r="D4195" t="s">
        <v>6555</v>
      </c>
      <c r="E4195" s="3" t="str">
        <f>IF(LEN(Base_Periodo1[[#This Row],[CLASS]])&gt;=7,LEFT(Base_Periodo1[[#This Row],[CLASS]],7),"")</f>
        <v>2.1.2.2</v>
      </c>
      <c r="F4195" s="3" t="str">
        <f>VLOOKUP(Base_Periodo1[[#This Row],[Aux]],Base_Contas_Balanco[#All],2,FALSE)</f>
        <v>Fornecedores Não Cooperados</v>
      </c>
      <c r="G4195" s="1">
        <v>42881</v>
      </c>
      <c r="I4195" s="225">
        <v>16608</v>
      </c>
      <c r="J4195" s="225">
        <v>16608</v>
      </c>
      <c r="K4195" s="225">
        <v>0</v>
      </c>
      <c r="L41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195" s="225">
        <f>ROUND(IF(AND(Base_Periodo1[[#This Row],[Tipo_Linha]]="-",Base_Periodo1[[#This Row],[TIPOSALDO]]="D"),Base_Periodo1[[#This Row],[SALDO_ATUAL]]*-1,Base_Periodo1[[#This Row],[SALDO_ATUAL]]),4)</f>
        <v>0</v>
      </c>
      <c r="N4195" t="s">
        <v>116</v>
      </c>
      <c r="O4195" t="s">
        <v>436</v>
      </c>
      <c r="P4195" t="s">
        <v>436</v>
      </c>
      <c r="Q4195">
        <v>7</v>
      </c>
      <c r="R4195" s="225">
        <f>Base_Periodo1[[#This Row],[CREDITOS]]-Base_Periodo1[[#This Row],[DEBITOS]]</f>
        <v>0</v>
      </c>
      <c r="S4195" s="3" t="str">
        <f>IF(ISERROR(VLOOKUP(Base_Periodo1[[#This Row],[CONTA]],BaseContasDRE[#All],4,FALSE)),"Fora do DRE",VLOOKUP(Base_Periodo1[[#This Row],[CONTA]],BaseContasDRE[#All],4,FALSE))</f>
        <v>Fora do DRE</v>
      </c>
      <c r="T4195" s="3" t="str">
        <f>IF(ISERROR(VLOOKUP(Base_Periodo1[[#This Row],[CONTA]],BaseContasDRE[#All],5,FALSE)),"Fora do DRE",VLOOKUP(Base_Periodo1[[#This Row],[CONTA]],BaseContasDRE[#All],6,FALSE))</f>
        <v>Fora do DRE</v>
      </c>
      <c r="U4195" s="3" t="str">
        <f>IF(ISERROR(VLOOKUP(Base_Periodo1[[#This Row],[CONTA]],BaseContasDRE[#All],7,FALSE)),"Fora do DRE",VLOOKUP(Base_Periodo1[[#This Row],[CONTA]],BaseContasDRE[#All],7,FALSE))</f>
        <v>Fora do DRE</v>
      </c>
      <c r="V4195" s="3" t="str">
        <f>IF(Base_Periodo1[[#This Row],[Tipo_Linha]]="Fora do DRE","Fora do DRE","( "&amp;Base_Periodo1[[#This Row],[Tipo_Linha]]&amp;" ) "&amp;Base_Periodo1[[#This Row],[Filtro]])</f>
        <v>Fora do DRE</v>
      </c>
      <c r="W4195" s="3" t="str">
        <f>LEFT(Base_Periodo1[[#This Row],[CLASS]],3)</f>
        <v>2.1</v>
      </c>
    </row>
    <row r="4196" spans="1:23" hidden="1">
      <c r="A4196" s="3" t="str">
        <f t="shared" si="65"/>
        <v>Período 1</v>
      </c>
      <c r="B4196">
        <v>38233</v>
      </c>
      <c r="C4196" t="s">
        <v>2148</v>
      </c>
      <c r="D4196" t="s">
        <v>7175</v>
      </c>
      <c r="E4196" s="3" t="str">
        <f>IF(LEN(Base_Periodo1[[#This Row],[CLASS]])&gt;=7,LEFT(Base_Periodo1[[#This Row],[CLASS]],7),"")</f>
        <v>2.1.2.2</v>
      </c>
      <c r="F4196" s="3" t="str">
        <f>VLOOKUP(Base_Periodo1[[#This Row],[Aux]],Base_Contas_Balanco[#All],2,FALSE)</f>
        <v>Fornecedores Não Cooperados</v>
      </c>
      <c r="G4196" s="1">
        <v>42873</v>
      </c>
      <c r="I4196" s="225">
        <v>0</v>
      </c>
      <c r="J4196" s="225">
        <v>20600</v>
      </c>
      <c r="K4196" s="225">
        <v>20600</v>
      </c>
      <c r="L41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20600</v>
      </c>
      <c r="M4196" s="225">
        <f>ROUND(IF(AND(Base_Periodo1[[#This Row],[Tipo_Linha]]="-",Base_Periodo1[[#This Row],[TIPOSALDO]]="D"),Base_Periodo1[[#This Row],[SALDO_ATUAL]]*-1,Base_Periodo1[[#This Row],[SALDO_ATUAL]]),4)</f>
        <v>20600</v>
      </c>
      <c r="N4196" t="s">
        <v>116</v>
      </c>
      <c r="O4196" t="s">
        <v>436</v>
      </c>
      <c r="P4196" t="s">
        <v>459</v>
      </c>
      <c r="Q4196">
        <v>7</v>
      </c>
      <c r="R4196" s="225">
        <f>Base_Periodo1[[#This Row],[CREDITOS]]-Base_Periodo1[[#This Row],[DEBITOS]]</f>
        <v>20600</v>
      </c>
      <c r="S4196" s="3" t="str">
        <f>IF(ISERROR(VLOOKUP(Base_Periodo1[[#This Row],[CONTA]],BaseContasDRE[#All],4,FALSE)),"Fora do DRE",VLOOKUP(Base_Periodo1[[#This Row],[CONTA]],BaseContasDRE[#All],4,FALSE))</f>
        <v>Fora do DRE</v>
      </c>
      <c r="T4196" s="3" t="str">
        <f>IF(ISERROR(VLOOKUP(Base_Periodo1[[#This Row],[CONTA]],BaseContasDRE[#All],5,FALSE)),"Fora do DRE",VLOOKUP(Base_Periodo1[[#This Row],[CONTA]],BaseContasDRE[#All],6,FALSE))</f>
        <v>Fora do DRE</v>
      </c>
      <c r="U4196" s="3" t="str">
        <f>IF(ISERROR(VLOOKUP(Base_Periodo1[[#This Row],[CONTA]],BaseContasDRE[#All],7,FALSE)),"Fora do DRE",VLOOKUP(Base_Periodo1[[#This Row],[CONTA]],BaseContasDRE[#All],7,FALSE))</f>
        <v>Fora do DRE</v>
      </c>
      <c r="V4196" s="3" t="str">
        <f>IF(Base_Periodo1[[#This Row],[Tipo_Linha]]="Fora do DRE","Fora do DRE","( "&amp;Base_Periodo1[[#This Row],[Tipo_Linha]]&amp;" ) "&amp;Base_Periodo1[[#This Row],[Filtro]])</f>
        <v>Fora do DRE</v>
      </c>
      <c r="W4196" s="3" t="str">
        <f>LEFT(Base_Periodo1[[#This Row],[CLASS]],3)</f>
        <v>2.1</v>
      </c>
    </row>
    <row r="4197" spans="1:23" hidden="1">
      <c r="A4197" s="3" t="str">
        <f t="shared" si="65"/>
        <v>Período 1</v>
      </c>
      <c r="B4197">
        <v>15494</v>
      </c>
      <c r="C4197" t="s">
        <v>2148</v>
      </c>
      <c r="D4197" t="s">
        <v>2208</v>
      </c>
      <c r="E4197" s="3" t="str">
        <f>IF(LEN(Base_Periodo1[[#This Row],[CLASS]])&gt;=7,LEFT(Base_Periodo1[[#This Row],[CLASS]],7),"")</f>
        <v>2.1.2.2</v>
      </c>
      <c r="F4197" s="3" t="str">
        <f>VLOOKUP(Base_Periodo1[[#This Row],[Aux]],Base_Contas_Balanco[#All],2,FALSE)</f>
        <v>Fornecedores Não Cooperados</v>
      </c>
      <c r="G4197" s="1">
        <v>42417</v>
      </c>
      <c r="H4197" s="225">
        <v>3.0000000000582077</v>
      </c>
      <c r="I4197" s="225">
        <v>0</v>
      </c>
      <c r="J4197" s="225">
        <v>0</v>
      </c>
      <c r="K4197" s="225">
        <v>3.0000000000582077</v>
      </c>
      <c r="L41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</v>
      </c>
      <c r="M4197" s="225">
        <f>ROUND(IF(AND(Base_Periodo1[[#This Row],[Tipo_Linha]]="-",Base_Periodo1[[#This Row],[TIPOSALDO]]="D"),Base_Periodo1[[#This Row],[SALDO_ATUAL]]*-1,Base_Periodo1[[#This Row],[SALDO_ATUAL]]),4)</f>
        <v>3</v>
      </c>
      <c r="N4197" t="s">
        <v>116</v>
      </c>
      <c r="O4197" t="s">
        <v>459</v>
      </c>
      <c r="P4197" t="s">
        <v>459</v>
      </c>
      <c r="Q4197">
        <v>7</v>
      </c>
      <c r="R4197" s="225">
        <f>Base_Periodo1[[#This Row],[CREDITOS]]-Base_Periodo1[[#This Row],[DEBITOS]]</f>
        <v>0</v>
      </c>
      <c r="S4197" s="3" t="str">
        <f>IF(ISERROR(VLOOKUP(Base_Periodo1[[#This Row],[CONTA]],BaseContasDRE[#All],4,FALSE)),"Fora do DRE",VLOOKUP(Base_Periodo1[[#This Row],[CONTA]],BaseContasDRE[#All],4,FALSE))</f>
        <v>Fora do DRE</v>
      </c>
      <c r="T4197" s="3" t="str">
        <f>IF(ISERROR(VLOOKUP(Base_Periodo1[[#This Row],[CONTA]],BaseContasDRE[#All],5,FALSE)),"Fora do DRE",VLOOKUP(Base_Periodo1[[#This Row],[CONTA]],BaseContasDRE[#All],6,FALSE))</f>
        <v>Fora do DRE</v>
      </c>
      <c r="U4197" s="3" t="str">
        <f>IF(ISERROR(VLOOKUP(Base_Periodo1[[#This Row],[CONTA]],BaseContasDRE[#All],7,FALSE)),"Fora do DRE",VLOOKUP(Base_Periodo1[[#This Row],[CONTA]],BaseContasDRE[#All],7,FALSE))</f>
        <v>Fora do DRE</v>
      </c>
      <c r="V4197" s="3" t="str">
        <f>IF(Base_Periodo1[[#This Row],[Tipo_Linha]]="Fora do DRE","Fora do DRE","( "&amp;Base_Periodo1[[#This Row],[Tipo_Linha]]&amp;" ) "&amp;Base_Periodo1[[#This Row],[Filtro]])</f>
        <v>Fora do DRE</v>
      </c>
      <c r="W4197" s="3" t="str">
        <f>LEFT(Base_Periodo1[[#This Row],[CLASS]],3)</f>
        <v>2.1</v>
      </c>
    </row>
    <row r="4198" spans="1:23" hidden="1">
      <c r="A4198" s="3" t="str">
        <f t="shared" si="65"/>
        <v>Período 1</v>
      </c>
      <c r="B4198">
        <v>41045</v>
      </c>
      <c r="C4198" t="s">
        <v>2148</v>
      </c>
      <c r="D4198" t="s">
        <v>1984</v>
      </c>
      <c r="E4198" s="3" t="str">
        <f>IF(LEN(Base_Periodo1[[#This Row],[CLASS]])&gt;=7,LEFT(Base_Periodo1[[#This Row],[CLASS]],7),"")</f>
        <v>2.1.2.2</v>
      </c>
      <c r="F4198" s="3" t="str">
        <f>VLOOKUP(Base_Periodo1[[#This Row],[Aux]],Base_Contas_Balanco[#All],2,FALSE)</f>
        <v>Fornecedores Não Cooperados</v>
      </c>
      <c r="G4198" s="1">
        <v>42884</v>
      </c>
      <c r="I4198" s="225">
        <v>120</v>
      </c>
      <c r="J4198" s="225">
        <v>120.01</v>
      </c>
      <c r="K4198" s="225">
        <v>1.0000000000005116E-2</v>
      </c>
      <c r="L41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198" s="225">
        <f>ROUND(IF(AND(Base_Periodo1[[#This Row],[Tipo_Linha]]="-",Base_Periodo1[[#This Row],[TIPOSALDO]]="D"),Base_Periodo1[[#This Row],[SALDO_ATUAL]]*-1,Base_Periodo1[[#This Row],[SALDO_ATUAL]]),4)</f>
        <v>0.01</v>
      </c>
      <c r="N4198" t="s">
        <v>116</v>
      </c>
      <c r="O4198" t="s">
        <v>436</v>
      </c>
      <c r="P4198" t="s">
        <v>459</v>
      </c>
      <c r="Q4198">
        <v>7</v>
      </c>
      <c r="R4198" s="225">
        <f>Base_Periodo1[[#This Row],[CREDITOS]]-Base_Periodo1[[#This Row],[DEBITOS]]</f>
        <v>1.0000000000005116E-2</v>
      </c>
      <c r="S4198" s="3" t="str">
        <f>IF(ISERROR(VLOOKUP(Base_Periodo1[[#This Row],[CONTA]],BaseContasDRE[#All],4,FALSE)),"Fora do DRE",VLOOKUP(Base_Periodo1[[#This Row],[CONTA]],BaseContasDRE[#All],4,FALSE))</f>
        <v>Fora do DRE</v>
      </c>
      <c r="T4198" s="3" t="str">
        <f>IF(ISERROR(VLOOKUP(Base_Periodo1[[#This Row],[CONTA]],BaseContasDRE[#All],5,FALSE)),"Fora do DRE",VLOOKUP(Base_Periodo1[[#This Row],[CONTA]],BaseContasDRE[#All],6,FALSE))</f>
        <v>Fora do DRE</v>
      </c>
      <c r="U4198" s="3" t="str">
        <f>IF(ISERROR(VLOOKUP(Base_Periodo1[[#This Row],[CONTA]],BaseContasDRE[#All],7,FALSE)),"Fora do DRE",VLOOKUP(Base_Periodo1[[#This Row],[CONTA]],BaseContasDRE[#All],7,FALSE))</f>
        <v>Fora do DRE</v>
      </c>
      <c r="V4198" s="3" t="str">
        <f>IF(Base_Periodo1[[#This Row],[Tipo_Linha]]="Fora do DRE","Fora do DRE","( "&amp;Base_Periodo1[[#This Row],[Tipo_Linha]]&amp;" ) "&amp;Base_Periodo1[[#This Row],[Filtro]])</f>
        <v>Fora do DRE</v>
      </c>
      <c r="W4198" s="3" t="str">
        <f>LEFT(Base_Periodo1[[#This Row],[CLASS]],3)</f>
        <v>2.1</v>
      </c>
    </row>
    <row r="4199" spans="1:23" hidden="1">
      <c r="A4199" s="3" t="str">
        <f t="shared" si="65"/>
        <v>Período 1</v>
      </c>
      <c r="B4199">
        <v>4698</v>
      </c>
      <c r="C4199" t="s">
        <v>2148</v>
      </c>
      <c r="D4199" t="s">
        <v>5734</v>
      </c>
      <c r="E4199" s="3" t="str">
        <f>IF(LEN(Base_Periodo1[[#This Row],[CLASS]])&gt;=7,LEFT(Base_Periodo1[[#This Row],[CLASS]],7),"")</f>
        <v>2.1.2.2</v>
      </c>
      <c r="F4199" s="3" t="str">
        <f>VLOOKUP(Base_Periodo1[[#This Row],[Aux]],Base_Contas_Balanco[#All],2,FALSE)</f>
        <v>Fornecedores Não Cooperados</v>
      </c>
      <c r="G4199" s="1">
        <v>42766</v>
      </c>
      <c r="H4199" s="225">
        <v>42000</v>
      </c>
      <c r="I4199" s="225">
        <v>0</v>
      </c>
      <c r="J4199" s="225">
        <v>0</v>
      </c>
      <c r="K4199" s="225">
        <v>42000</v>
      </c>
      <c r="L41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42000</v>
      </c>
      <c r="M4199" s="225">
        <f>ROUND(IF(AND(Base_Periodo1[[#This Row],[Tipo_Linha]]="-",Base_Periodo1[[#This Row],[TIPOSALDO]]="D"),Base_Periodo1[[#This Row],[SALDO_ATUAL]]*-1,Base_Periodo1[[#This Row],[SALDO_ATUAL]]),4)</f>
        <v>42000</v>
      </c>
      <c r="N4199" t="s">
        <v>116</v>
      </c>
      <c r="O4199" t="s">
        <v>459</v>
      </c>
      <c r="P4199" t="s">
        <v>459</v>
      </c>
      <c r="Q4199">
        <v>7</v>
      </c>
      <c r="R4199" s="225">
        <f>Base_Periodo1[[#This Row],[CREDITOS]]-Base_Periodo1[[#This Row],[DEBITOS]]</f>
        <v>0</v>
      </c>
      <c r="S4199" s="3" t="str">
        <f>IF(ISERROR(VLOOKUP(Base_Periodo1[[#This Row],[CONTA]],BaseContasDRE[#All],4,FALSE)),"Fora do DRE",VLOOKUP(Base_Periodo1[[#This Row],[CONTA]],BaseContasDRE[#All],4,FALSE))</f>
        <v>Fora do DRE</v>
      </c>
      <c r="T4199" s="3" t="str">
        <f>IF(ISERROR(VLOOKUP(Base_Periodo1[[#This Row],[CONTA]],BaseContasDRE[#All],5,FALSE)),"Fora do DRE",VLOOKUP(Base_Periodo1[[#This Row],[CONTA]],BaseContasDRE[#All],6,FALSE))</f>
        <v>Fora do DRE</v>
      </c>
      <c r="U4199" s="3" t="str">
        <f>IF(ISERROR(VLOOKUP(Base_Periodo1[[#This Row],[CONTA]],BaseContasDRE[#All],7,FALSE)),"Fora do DRE",VLOOKUP(Base_Periodo1[[#This Row],[CONTA]],BaseContasDRE[#All],7,FALSE))</f>
        <v>Fora do DRE</v>
      </c>
      <c r="V4199" s="3" t="str">
        <f>IF(Base_Periodo1[[#This Row],[Tipo_Linha]]="Fora do DRE","Fora do DRE","( "&amp;Base_Periodo1[[#This Row],[Tipo_Linha]]&amp;" ) "&amp;Base_Periodo1[[#This Row],[Filtro]])</f>
        <v>Fora do DRE</v>
      </c>
      <c r="W4199" s="3" t="str">
        <f>LEFT(Base_Periodo1[[#This Row],[CLASS]],3)</f>
        <v>2.1</v>
      </c>
    </row>
    <row r="4200" spans="1:23" hidden="1">
      <c r="A4200" s="3" t="str">
        <f t="shared" si="65"/>
        <v>Período 1</v>
      </c>
      <c r="B4200">
        <v>4702</v>
      </c>
      <c r="C4200" t="s">
        <v>2148</v>
      </c>
      <c r="D4200" t="s">
        <v>6556</v>
      </c>
      <c r="E4200" s="3" t="str">
        <f>IF(LEN(Base_Periodo1[[#This Row],[CLASS]])&gt;=7,LEFT(Base_Periodo1[[#This Row],[CLASS]],7),"")</f>
        <v>2.1.2.2</v>
      </c>
      <c r="F4200" s="3" t="str">
        <f>VLOOKUP(Base_Periodo1[[#This Row],[Aux]],Base_Contas_Balanco[#All],2,FALSE)</f>
        <v>Fornecedores Não Cooperados</v>
      </c>
      <c r="G4200" s="1">
        <v>42860</v>
      </c>
      <c r="H4200" s="225">
        <v>44000</v>
      </c>
      <c r="I4200" s="225">
        <v>44000</v>
      </c>
      <c r="J4200" s="225">
        <v>0</v>
      </c>
      <c r="K4200" s="225">
        <v>0</v>
      </c>
      <c r="L42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200" s="225">
        <f>ROUND(IF(AND(Base_Periodo1[[#This Row],[Tipo_Linha]]="-",Base_Periodo1[[#This Row],[TIPOSALDO]]="D"),Base_Periodo1[[#This Row],[SALDO_ATUAL]]*-1,Base_Periodo1[[#This Row],[SALDO_ATUAL]]),4)</f>
        <v>0</v>
      </c>
      <c r="N4200" t="s">
        <v>116</v>
      </c>
      <c r="O4200" t="s">
        <v>459</v>
      </c>
      <c r="P4200" t="s">
        <v>436</v>
      </c>
      <c r="Q4200">
        <v>7</v>
      </c>
      <c r="R4200" s="225">
        <f>Base_Periodo1[[#This Row],[CREDITOS]]-Base_Periodo1[[#This Row],[DEBITOS]]</f>
        <v>-44000</v>
      </c>
      <c r="S4200" s="3" t="str">
        <f>IF(ISERROR(VLOOKUP(Base_Periodo1[[#This Row],[CONTA]],BaseContasDRE[#All],4,FALSE)),"Fora do DRE",VLOOKUP(Base_Periodo1[[#This Row],[CONTA]],BaseContasDRE[#All],4,FALSE))</f>
        <v>Fora do DRE</v>
      </c>
      <c r="T4200" s="3" t="str">
        <f>IF(ISERROR(VLOOKUP(Base_Periodo1[[#This Row],[CONTA]],BaseContasDRE[#All],5,FALSE)),"Fora do DRE",VLOOKUP(Base_Periodo1[[#This Row],[CONTA]],BaseContasDRE[#All],6,FALSE))</f>
        <v>Fora do DRE</v>
      </c>
      <c r="U4200" s="3" t="str">
        <f>IF(ISERROR(VLOOKUP(Base_Periodo1[[#This Row],[CONTA]],BaseContasDRE[#All],7,FALSE)),"Fora do DRE",VLOOKUP(Base_Periodo1[[#This Row],[CONTA]],BaseContasDRE[#All],7,FALSE))</f>
        <v>Fora do DRE</v>
      </c>
      <c r="V4200" s="3" t="str">
        <f>IF(Base_Periodo1[[#This Row],[Tipo_Linha]]="Fora do DRE","Fora do DRE","( "&amp;Base_Periodo1[[#This Row],[Tipo_Linha]]&amp;" ) "&amp;Base_Periodo1[[#This Row],[Filtro]])</f>
        <v>Fora do DRE</v>
      </c>
      <c r="W4200" s="3" t="str">
        <f>LEFT(Base_Periodo1[[#This Row],[CLASS]],3)</f>
        <v>2.1</v>
      </c>
    </row>
    <row r="4201" spans="1:23" hidden="1">
      <c r="A4201" s="3" t="str">
        <f t="shared" si="65"/>
        <v>Período 1</v>
      </c>
      <c r="B4201">
        <v>48073</v>
      </c>
      <c r="C4201" t="s">
        <v>2148</v>
      </c>
      <c r="D4201" t="s">
        <v>6557</v>
      </c>
      <c r="E4201" s="3" t="str">
        <f>IF(LEN(Base_Periodo1[[#This Row],[CLASS]])&gt;=7,LEFT(Base_Periodo1[[#This Row],[CLASS]],7),"")</f>
        <v>2.1.2.2</v>
      </c>
      <c r="F4201" s="3" t="str">
        <f>VLOOKUP(Base_Periodo1[[#This Row],[Aux]],Base_Contas_Balanco[#All],2,FALSE)</f>
        <v>Fornecedores Não Cooperados</v>
      </c>
      <c r="G4201" s="1">
        <v>42880</v>
      </c>
      <c r="H4201" s="225">
        <v>85166.599999999977</v>
      </c>
      <c r="I4201" s="225">
        <v>173859.02000000002</v>
      </c>
      <c r="J4201" s="225">
        <v>220556.03</v>
      </c>
      <c r="K4201" s="225">
        <v>131863.60999999996</v>
      </c>
      <c r="L42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131863.60999999999</v>
      </c>
      <c r="M4201" s="225">
        <f>ROUND(IF(AND(Base_Periodo1[[#This Row],[Tipo_Linha]]="-",Base_Periodo1[[#This Row],[TIPOSALDO]]="D"),Base_Periodo1[[#This Row],[SALDO_ATUAL]]*-1,Base_Periodo1[[#This Row],[SALDO_ATUAL]]),4)</f>
        <v>131863.60999999999</v>
      </c>
      <c r="N4201" t="s">
        <v>116</v>
      </c>
      <c r="O4201" t="s">
        <v>459</v>
      </c>
      <c r="P4201" t="s">
        <v>459</v>
      </c>
      <c r="Q4201">
        <v>7</v>
      </c>
      <c r="R4201" s="225">
        <f>Base_Periodo1[[#This Row],[CREDITOS]]-Base_Periodo1[[#This Row],[DEBITOS]]</f>
        <v>46697.00999999998</v>
      </c>
      <c r="S4201" s="3" t="str">
        <f>IF(ISERROR(VLOOKUP(Base_Periodo1[[#This Row],[CONTA]],BaseContasDRE[#All],4,FALSE)),"Fora do DRE",VLOOKUP(Base_Periodo1[[#This Row],[CONTA]],BaseContasDRE[#All],4,FALSE))</f>
        <v>Fora do DRE</v>
      </c>
      <c r="T4201" s="3" t="str">
        <f>IF(ISERROR(VLOOKUP(Base_Periodo1[[#This Row],[CONTA]],BaseContasDRE[#All],5,FALSE)),"Fora do DRE",VLOOKUP(Base_Periodo1[[#This Row],[CONTA]],BaseContasDRE[#All],6,FALSE))</f>
        <v>Fora do DRE</v>
      </c>
      <c r="U4201" s="3" t="str">
        <f>IF(ISERROR(VLOOKUP(Base_Periodo1[[#This Row],[CONTA]],BaseContasDRE[#All],7,FALSE)),"Fora do DRE",VLOOKUP(Base_Periodo1[[#This Row],[CONTA]],BaseContasDRE[#All],7,FALSE))</f>
        <v>Fora do DRE</v>
      </c>
      <c r="V4201" s="3" t="str">
        <f>IF(Base_Periodo1[[#This Row],[Tipo_Linha]]="Fora do DRE","Fora do DRE","( "&amp;Base_Periodo1[[#This Row],[Tipo_Linha]]&amp;" ) "&amp;Base_Periodo1[[#This Row],[Filtro]])</f>
        <v>Fora do DRE</v>
      </c>
      <c r="W4201" s="3" t="str">
        <f>LEFT(Base_Periodo1[[#This Row],[CLASS]],3)</f>
        <v>2.1</v>
      </c>
    </row>
    <row r="4202" spans="1:23" hidden="1">
      <c r="A4202" s="3" t="str">
        <f t="shared" si="65"/>
        <v>Período 1</v>
      </c>
      <c r="B4202">
        <v>5162</v>
      </c>
      <c r="C4202" t="s">
        <v>2148</v>
      </c>
      <c r="D4202" t="s">
        <v>5238</v>
      </c>
      <c r="E4202" s="3" t="str">
        <f>IF(LEN(Base_Periodo1[[#This Row],[CLASS]])&gt;=7,LEFT(Base_Periodo1[[#This Row],[CLASS]],7),"")</f>
        <v>2.1.2.2</v>
      </c>
      <c r="F4202" s="3" t="str">
        <f>VLOOKUP(Base_Periodo1[[#This Row],[Aux]],Base_Contas_Balanco[#All],2,FALSE)</f>
        <v>Fornecedores Não Cooperados</v>
      </c>
      <c r="G4202" s="1">
        <v>42867</v>
      </c>
      <c r="H4202" s="225">
        <v>81334.100000000559</v>
      </c>
      <c r="I4202" s="225">
        <v>87167.99</v>
      </c>
      <c r="J4202" s="225">
        <v>5833.91</v>
      </c>
      <c r="K4202" s="225">
        <v>2.0000000553409336E-2</v>
      </c>
      <c r="L42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0.02</v>
      </c>
      <c r="M4202" s="225">
        <f>ROUND(IF(AND(Base_Periodo1[[#This Row],[Tipo_Linha]]="-",Base_Periodo1[[#This Row],[TIPOSALDO]]="D"),Base_Periodo1[[#This Row],[SALDO_ATUAL]]*-1,Base_Periodo1[[#This Row],[SALDO_ATUAL]]),4)</f>
        <v>0.02</v>
      </c>
      <c r="N4202" t="s">
        <v>116</v>
      </c>
      <c r="O4202" t="s">
        <v>459</v>
      </c>
      <c r="P4202" t="s">
        <v>459</v>
      </c>
      <c r="Q4202">
        <v>7</v>
      </c>
      <c r="R4202" s="225">
        <f>Base_Periodo1[[#This Row],[CREDITOS]]-Base_Periodo1[[#This Row],[DEBITOS]]</f>
        <v>-81334.080000000002</v>
      </c>
      <c r="S4202" s="3" t="str">
        <f>IF(ISERROR(VLOOKUP(Base_Periodo1[[#This Row],[CONTA]],BaseContasDRE[#All],4,FALSE)),"Fora do DRE",VLOOKUP(Base_Periodo1[[#This Row],[CONTA]],BaseContasDRE[#All],4,FALSE))</f>
        <v>Fora do DRE</v>
      </c>
      <c r="T4202" s="3" t="str">
        <f>IF(ISERROR(VLOOKUP(Base_Periodo1[[#This Row],[CONTA]],BaseContasDRE[#All],5,FALSE)),"Fora do DRE",VLOOKUP(Base_Periodo1[[#This Row],[CONTA]],BaseContasDRE[#All],6,FALSE))</f>
        <v>Fora do DRE</v>
      </c>
      <c r="U4202" s="3" t="str">
        <f>IF(ISERROR(VLOOKUP(Base_Periodo1[[#This Row],[CONTA]],BaseContasDRE[#All],7,FALSE)),"Fora do DRE",VLOOKUP(Base_Periodo1[[#This Row],[CONTA]],BaseContasDRE[#All],7,FALSE))</f>
        <v>Fora do DRE</v>
      </c>
      <c r="V4202" s="3" t="str">
        <f>IF(Base_Periodo1[[#This Row],[Tipo_Linha]]="Fora do DRE","Fora do DRE","( "&amp;Base_Periodo1[[#This Row],[Tipo_Linha]]&amp;" ) "&amp;Base_Periodo1[[#This Row],[Filtro]])</f>
        <v>Fora do DRE</v>
      </c>
      <c r="W4202" s="3" t="str">
        <f>LEFT(Base_Periodo1[[#This Row],[CLASS]],3)</f>
        <v>2.1</v>
      </c>
    </row>
    <row r="4203" spans="1:23" hidden="1">
      <c r="A4203" s="3" t="str">
        <f t="shared" si="65"/>
        <v>Período 1</v>
      </c>
      <c r="B4203">
        <v>18999</v>
      </c>
      <c r="C4203" t="s">
        <v>2148</v>
      </c>
      <c r="D4203" t="s">
        <v>4213</v>
      </c>
      <c r="E4203" s="3" t="str">
        <f>IF(LEN(Base_Periodo1[[#This Row],[CLASS]])&gt;=7,LEFT(Base_Periodo1[[#This Row],[CLASS]],7),"")</f>
        <v>2.1.2.2</v>
      </c>
      <c r="F4203" s="3" t="str">
        <f>VLOOKUP(Base_Periodo1[[#This Row],[Aux]],Base_Contas_Balanco[#All],2,FALSE)</f>
        <v>Fornecedores Não Cooperados</v>
      </c>
      <c r="G4203" s="1">
        <v>42845</v>
      </c>
      <c r="H4203" s="225">
        <v>145.29999999999563</v>
      </c>
      <c r="I4203" s="225">
        <v>0</v>
      </c>
      <c r="J4203" s="225">
        <v>0</v>
      </c>
      <c r="K4203" s="225">
        <v>145.29999999999563</v>
      </c>
      <c r="L42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145.30000000000001</v>
      </c>
      <c r="M4203" s="225">
        <f>ROUND(IF(AND(Base_Periodo1[[#This Row],[Tipo_Linha]]="-",Base_Periodo1[[#This Row],[TIPOSALDO]]="D"),Base_Periodo1[[#This Row],[SALDO_ATUAL]]*-1,Base_Periodo1[[#This Row],[SALDO_ATUAL]]),4)</f>
        <v>145.30000000000001</v>
      </c>
      <c r="N4203" t="s">
        <v>116</v>
      </c>
      <c r="O4203" t="s">
        <v>459</v>
      </c>
      <c r="P4203" t="s">
        <v>459</v>
      </c>
      <c r="Q4203">
        <v>7</v>
      </c>
      <c r="R4203" s="225">
        <f>Base_Periodo1[[#This Row],[CREDITOS]]-Base_Periodo1[[#This Row],[DEBITOS]]</f>
        <v>0</v>
      </c>
      <c r="S4203" s="3" t="str">
        <f>IF(ISERROR(VLOOKUP(Base_Periodo1[[#This Row],[CONTA]],BaseContasDRE[#All],4,FALSE)),"Fora do DRE",VLOOKUP(Base_Periodo1[[#This Row],[CONTA]],BaseContasDRE[#All],4,FALSE))</f>
        <v>Fora do DRE</v>
      </c>
      <c r="T4203" s="3" t="str">
        <f>IF(ISERROR(VLOOKUP(Base_Periodo1[[#This Row],[CONTA]],BaseContasDRE[#All],5,FALSE)),"Fora do DRE",VLOOKUP(Base_Periodo1[[#This Row],[CONTA]],BaseContasDRE[#All],6,FALSE))</f>
        <v>Fora do DRE</v>
      </c>
      <c r="U4203" s="3" t="str">
        <f>IF(ISERROR(VLOOKUP(Base_Periodo1[[#This Row],[CONTA]],BaseContasDRE[#All],7,FALSE)),"Fora do DRE",VLOOKUP(Base_Periodo1[[#This Row],[CONTA]],BaseContasDRE[#All],7,FALSE))</f>
        <v>Fora do DRE</v>
      </c>
      <c r="V4203" s="3" t="str">
        <f>IF(Base_Periodo1[[#This Row],[Tipo_Linha]]="Fora do DRE","Fora do DRE","( "&amp;Base_Periodo1[[#This Row],[Tipo_Linha]]&amp;" ) "&amp;Base_Periodo1[[#This Row],[Filtro]])</f>
        <v>Fora do DRE</v>
      </c>
      <c r="W4203" s="3" t="str">
        <f>LEFT(Base_Periodo1[[#This Row],[CLASS]],3)</f>
        <v>2.1</v>
      </c>
    </row>
    <row r="4204" spans="1:23" hidden="1">
      <c r="A4204" s="3" t="str">
        <f t="shared" si="65"/>
        <v>Período 1</v>
      </c>
      <c r="B4204">
        <v>54372</v>
      </c>
      <c r="C4204" t="s">
        <v>2148</v>
      </c>
      <c r="D4204" t="s">
        <v>5239</v>
      </c>
      <c r="E4204" s="3" t="str">
        <f>IF(LEN(Base_Periodo1[[#This Row],[CLASS]])&gt;=7,LEFT(Base_Periodo1[[#This Row],[CLASS]],7),"")</f>
        <v>2.1.2.2</v>
      </c>
      <c r="F4204" s="3" t="str">
        <f>VLOOKUP(Base_Periodo1[[#This Row],[Aux]],Base_Contas_Balanco[#All],2,FALSE)</f>
        <v>Fornecedores Não Cooperados</v>
      </c>
      <c r="G4204" s="1">
        <v>42679</v>
      </c>
      <c r="H4204" s="225">
        <v>4405.8500000000022</v>
      </c>
      <c r="I4204" s="225">
        <v>0</v>
      </c>
      <c r="J4204" s="225">
        <v>0</v>
      </c>
      <c r="K4204" s="225">
        <v>4405.8500000000022</v>
      </c>
      <c r="L42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4405.8500000000004</v>
      </c>
      <c r="M4204" s="225">
        <f>ROUND(IF(AND(Base_Periodo1[[#This Row],[Tipo_Linha]]="-",Base_Periodo1[[#This Row],[TIPOSALDO]]="D"),Base_Periodo1[[#This Row],[SALDO_ATUAL]]*-1,Base_Periodo1[[#This Row],[SALDO_ATUAL]]),4)</f>
        <v>4405.8500000000004</v>
      </c>
      <c r="N4204" t="s">
        <v>116</v>
      </c>
      <c r="O4204" t="s">
        <v>459</v>
      </c>
      <c r="P4204" t="s">
        <v>459</v>
      </c>
      <c r="Q4204">
        <v>7</v>
      </c>
      <c r="R4204" s="225">
        <f>Base_Periodo1[[#This Row],[CREDITOS]]-Base_Periodo1[[#This Row],[DEBITOS]]</f>
        <v>0</v>
      </c>
      <c r="S4204" s="3" t="str">
        <f>IF(ISERROR(VLOOKUP(Base_Periodo1[[#This Row],[CONTA]],BaseContasDRE[#All],4,FALSE)),"Fora do DRE",VLOOKUP(Base_Periodo1[[#This Row],[CONTA]],BaseContasDRE[#All],4,FALSE))</f>
        <v>Fora do DRE</v>
      </c>
      <c r="T4204" s="3" t="str">
        <f>IF(ISERROR(VLOOKUP(Base_Periodo1[[#This Row],[CONTA]],BaseContasDRE[#All],5,FALSE)),"Fora do DRE",VLOOKUP(Base_Periodo1[[#This Row],[CONTA]],BaseContasDRE[#All],6,FALSE))</f>
        <v>Fora do DRE</v>
      </c>
      <c r="U4204" s="3" t="str">
        <f>IF(ISERROR(VLOOKUP(Base_Periodo1[[#This Row],[CONTA]],BaseContasDRE[#All],7,FALSE)),"Fora do DRE",VLOOKUP(Base_Periodo1[[#This Row],[CONTA]],BaseContasDRE[#All],7,FALSE))</f>
        <v>Fora do DRE</v>
      </c>
      <c r="V4204" s="3" t="str">
        <f>IF(Base_Periodo1[[#This Row],[Tipo_Linha]]="Fora do DRE","Fora do DRE","( "&amp;Base_Periodo1[[#This Row],[Tipo_Linha]]&amp;" ) "&amp;Base_Periodo1[[#This Row],[Filtro]])</f>
        <v>Fora do DRE</v>
      </c>
      <c r="W4204" s="3" t="str">
        <f>LEFT(Base_Periodo1[[#This Row],[CLASS]],3)</f>
        <v>2.1</v>
      </c>
    </row>
    <row r="4205" spans="1:23" hidden="1">
      <c r="A4205" s="3" t="str">
        <f t="shared" si="65"/>
        <v>Período 1</v>
      </c>
      <c r="B4205">
        <v>12084</v>
      </c>
      <c r="C4205" t="s">
        <v>2148</v>
      </c>
      <c r="D4205" t="s">
        <v>6558</v>
      </c>
      <c r="E4205" s="3" t="str">
        <f>IF(LEN(Base_Periodo1[[#This Row],[CLASS]])&gt;=7,LEFT(Base_Periodo1[[#This Row],[CLASS]],7),"")</f>
        <v>2.1.2.2</v>
      </c>
      <c r="F4205" s="3" t="str">
        <f>VLOOKUP(Base_Periodo1[[#This Row],[Aux]],Base_Contas_Balanco[#All],2,FALSE)</f>
        <v>Fornecedores Não Cooperados</v>
      </c>
      <c r="G4205" s="1">
        <v>42850</v>
      </c>
      <c r="H4205" s="225">
        <v>50025.41</v>
      </c>
      <c r="I4205" s="225">
        <v>0</v>
      </c>
      <c r="J4205" s="225">
        <v>0</v>
      </c>
      <c r="K4205" s="225">
        <v>50025.41</v>
      </c>
      <c r="L42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50025.41</v>
      </c>
      <c r="M4205" s="225">
        <f>ROUND(IF(AND(Base_Periodo1[[#This Row],[Tipo_Linha]]="-",Base_Periodo1[[#This Row],[TIPOSALDO]]="D"),Base_Periodo1[[#This Row],[SALDO_ATUAL]]*-1,Base_Periodo1[[#This Row],[SALDO_ATUAL]]),4)</f>
        <v>50025.41</v>
      </c>
      <c r="N4205" t="s">
        <v>116</v>
      </c>
      <c r="O4205" t="s">
        <v>459</v>
      </c>
      <c r="P4205" t="s">
        <v>459</v>
      </c>
      <c r="Q4205">
        <v>7</v>
      </c>
      <c r="R4205" s="225">
        <f>Base_Periodo1[[#This Row],[CREDITOS]]-Base_Periodo1[[#This Row],[DEBITOS]]</f>
        <v>0</v>
      </c>
      <c r="S4205" s="3" t="str">
        <f>IF(ISERROR(VLOOKUP(Base_Periodo1[[#This Row],[CONTA]],BaseContasDRE[#All],4,FALSE)),"Fora do DRE",VLOOKUP(Base_Periodo1[[#This Row],[CONTA]],BaseContasDRE[#All],4,FALSE))</f>
        <v>Fora do DRE</v>
      </c>
      <c r="T4205" s="3" t="str">
        <f>IF(ISERROR(VLOOKUP(Base_Periodo1[[#This Row],[CONTA]],BaseContasDRE[#All],5,FALSE)),"Fora do DRE",VLOOKUP(Base_Periodo1[[#This Row],[CONTA]],BaseContasDRE[#All],6,FALSE))</f>
        <v>Fora do DRE</v>
      </c>
      <c r="U4205" s="3" t="str">
        <f>IF(ISERROR(VLOOKUP(Base_Periodo1[[#This Row],[CONTA]],BaseContasDRE[#All],7,FALSE)),"Fora do DRE",VLOOKUP(Base_Periodo1[[#This Row],[CONTA]],BaseContasDRE[#All],7,FALSE))</f>
        <v>Fora do DRE</v>
      </c>
      <c r="V4205" s="3" t="str">
        <f>IF(Base_Periodo1[[#This Row],[Tipo_Linha]]="Fora do DRE","Fora do DRE","( "&amp;Base_Periodo1[[#This Row],[Tipo_Linha]]&amp;" ) "&amp;Base_Periodo1[[#This Row],[Filtro]])</f>
        <v>Fora do DRE</v>
      </c>
      <c r="W4205" s="3" t="str">
        <f>LEFT(Base_Periodo1[[#This Row],[CLASS]],3)</f>
        <v>2.1</v>
      </c>
    </row>
    <row r="4206" spans="1:23" hidden="1">
      <c r="A4206" s="3" t="str">
        <f t="shared" si="65"/>
        <v>Período 1</v>
      </c>
      <c r="B4206">
        <v>7003</v>
      </c>
      <c r="C4206" t="s">
        <v>2148</v>
      </c>
      <c r="D4206" t="s">
        <v>2210</v>
      </c>
      <c r="E4206" s="3" t="str">
        <f>IF(LEN(Base_Periodo1[[#This Row],[CLASS]])&gt;=7,LEFT(Base_Periodo1[[#This Row],[CLASS]],7),"")</f>
        <v>2.1.2.2</v>
      </c>
      <c r="F4206" s="3" t="str">
        <f>VLOOKUP(Base_Periodo1[[#This Row],[Aux]],Base_Contas_Balanco[#All],2,FALSE)</f>
        <v>Fornecedores Não Cooperados</v>
      </c>
      <c r="G4206" s="1">
        <v>40896</v>
      </c>
      <c r="H4206" s="225">
        <v>58.1400000000001</v>
      </c>
      <c r="I4206" s="225">
        <v>0</v>
      </c>
      <c r="J4206" s="225">
        <v>0</v>
      </c>
      <c r="K4206" s="225">
        <v>58.1400000000001</v>
      </c>
      <c r="L42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58.14</v>
      </c>
      <c r="M4206" s="225">
        <f>ROUND(IF(AND(Base_Periodo1[[#This Row],[Tipo_Linha]]="-",Base_Periodo1[[#This Row],[TIPOSALDO]]="D"),Base_Periodo1[[#This Row],[SALDO_ATUAL]]*-1,Base_Periodo1[[#This Row],[SALDO_ATUAL]]),4)</f>
        <v>58.14</v>
      </c>
      <c r="N4206" t="s">
        <v>116</v>
      </c>
      <c r="O4206" t="s">
        <v>459</v>
      </c>
      <c r="P4206" t="s">
        <v>459</v>
      </c>
      <c r="Q4206">
        <v>7</v>
      </c>
      <c r="R4206" s="225">
        <f>Base_Periodo1[[#This Row],[CREDITOS]]-Base_Periodo1[[#This Row],[DEBITOS]]</f>
        <v>0</v>
      </c>
      <c r="S4206" s="3" t="str">
        <f>IF(ISERROR(VLOOKUP(Base_Periodo1[[#This Row],[CONTA]],BaseContasDRE[#All],4,FALSE)),"Fora do DRE",VLOOKUP(Base_Periodo1[[#This Row],[CONTA]],BaseContasDRE[#All],4,FALSE))</f>
        <v>Fora do DRE</v>
      </c>
      <c r="T4206" s="3" t="str">
        <f>IF(ISERROR(VLOOKUP(Base_Periodo1[[#This Row],[CONTA]],BaseContasDRE[#All],5,FALSE)),"Fora do DRE",VLOOKUP(Base_Periodo1[[#This Row],[CONTA]],BaseContasDRE[#All],6,FALSE))</f>
        <v>Fora do DRE</v>
      </c>
      <c r="U4206" s="3" t="str">
        <f>IF(ISERROR(VLOOKUP(Base_Periodo1[[#This Row],[CONTA]],BaseContasDRE[#All],7,FALSE)),"Fora do DRE",VLOOKUP(Base_Periodo1[[#This Row],[CONTA]],BaseContasDRE[#All],7,FALSE))</f>
        <v>Fora do DRE</v>
      </c>
      <c r="V4206" s="3" t="str">
        <f>IF(Base_Periodo1[[#This Row],[Tipo_Linha]]="Fora do DRE","Fora do DRE","( "&amp;Base_Periodo1[[#This Row],[Tipo_Linha]]&amp;" ) "&amp;Base_Periodo1[[#This Row],[Filtro]])</f>
        <v>Fora do DRE</v>
      </c>
      <c r="W4206" s="3" t="str">
        <f>LEFT(Base_Periodo1[[#This Row],[CLASS]],3)</f>
        <v>2.1</v>
      </c>
    </row>
    <row r="4207" spans="1:23" hidden="1">
      <c r="A4207" s="3" t="str">
        <f t="shared" si="65"/>
        <v>Período 1</v>
      </c>
      <c r="B4207">
        <v>9626</v>
      </c>
      <c r="C4207" t="s">
        <v>2148</v>
      </c>
      <c r="D4207" t="s">
        <v>6559</v>
      </c>
      <c r="E4207" s="3" t="str">
        <f>IF(LEN(Base_Periodo1[[#This Row],[CLASS]])&gt;=7,LEFT(Base_Periodo1[[#This Row],[CLASS]],7),"")</f>
        <v>2.1.2.2</v>
      </c>
      <c r="F4207" s="3" t="str">
        <f>VLOOKUP(Base_Periodo1[[#This Row],[Aux]],Base_Contas_Balanco[#All],2,FALSE)</f>
        <v>Fornecedores Não Cooperados</v>
      </c>
      <c r="G4207" s="1">
        <v>42830</v>
      </c>
      <c r="H4207" s="225">
        <v>54817.8</v>
      </c>
      <c r="I4207" s="225">
        <v>0</v>
      </c>
      <c r="J4207" s="225">
        <v>0</v>
      </c>
      <c r="K4207" s="225">
        <v>54817.8</v>
      </c>
      <c r="L42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54817.8</v>
      </c>
      <c r="M4207" s="225">
        <f>ROUND(IF(AND(Base_Periodo1[[#This Row],[Tipo_Linha]]="-",Base_Periodo1[[#This Row],[TIPOSALDO]]="D"),Base_Periodo1[[#This Row],[SALDO_ATUAL]]*-1,Base_Periodo1[[#This Row],[SALDO_ATUAL]]),4)</f>
        <v>54817.8</v>
      </c>
      <c r="N4207" t="s">
        <v>116</v>
      </c>
      <c r="O4207" t="s">
        <v>459</v>
      </c>
      <c r="P4207" t="s">
        <v>459</v>
      </c>
      <c r="Q4207">
        <v>7</v>
      </c>
      <c r="R4207" s="225">
        <f>Base_Periodo1[[#This Row],[CREDITOS]]-Base_Periodo1[[#This Row],[DEBITOS]]</f>
        <v>0</v>
      </c>
      <c r="S4207" s="3" t="str">
        <f>IF(ISERROR(VLOOKUP(Base_Periodo1[[#This Row],[CONTA]],BaseContasDRE[#All],4,FALSE)),"Fora do DRE",VLOOKUP(Base_Periodo1[[#This Row],[CONTA]],BaseContasDRE[#All],4,FALSE))</f>
        <v>Fora do DRE</v>
      </c>
      <c r="T4207" s="3" t="str">
        <f>IF(ISERROR(VLOOKUP(Base_Periodo1[[#This Row],[CONTA]],BaseContasDRE[#All],5,FALSE)),"Fora do DRE",VLOOKUP(Base_Periodo1[[#This Row],[CONTA]],BaseContasDRE[#All],6,FALSE))</f>
        <v>Fora do DRE</v>
      </c>
      <c r="U4207" s="3" t="str">
        <f>IF(ISERROR(VLOOKUP(Base_Periodo1[[#This Row],[CONTA]],BaseContasDRE[#All],7,FALSE)),"Fora do DRE",VLOOKUP(Base_Periodo1[[#This Row],[CONTA]],BaseContasDRE[#All],7,FALSE))</f>
        <v>Fora do DRE</v>
      </c>
      <c r="V4207" s="3" t="str">
        <f>IF(Base_Periodo1[[#This Row],[Tipo_Linha]]="Fora do DRE","Fora do DRE","( "&amp;Base_Periodo1[[#This Row],[Tipo_Linha]]&amp;" ) "&amp;Base_Periodo1[[#This Row],[Filtro]])</f>
        <v>Fora do DRE</v>
      </c>
      <c r="W4207" s="3" t="str">
        <f>LEFT(Base_Periodo1[[#This Row],[CLASS]],3)</f>
        <v>2.1</v>
      </c>
    </row>
    <row r="4208" spans="1:23" hidden="1">
      <c r="A4208" s="3" t="str">
        <f t="shared" si="65"/>
        <v>Período 1</v>
      </c>
      <c r="B4208">
        <v>7923</v>
      </c>
      <c r="C4208" t="s">
        <v>2148</v>
      </c>
      <c r="D4208" t="s">
        <v>2211</v>
      </c>
      <c r="E4208" s="3" t="str">
        <f>IF(LEN(Base_Periodo1[[#This Row],[CLASS]])&gt;=7,LEFT(Base_Periodo1[[#This Row],[CLASS]],7),"")</f>
        <v>2.1.2.2</v>
      </c>
      <c r="F4208" s="3" t="str">
        <f>VLOOKUP(Base_Periodo1[[#This Row],[Aux]],Base_Contas_Balanco[#All],2,FALSE)</f>
        <v>Fornecedores Não Cooperados</v>
      </c>
      <c r="G4208" s="1">
        <v>41207</v>
      </c>
      <c r="H4208" s="225">
        <v>5.0100000000020373</v>
      </c>
      <c r="I4208" s="225">
        <v>0</v>
      </c>
      <c r="J4208" s="225">
        <v>0</v>
      </c>
      <c r="K4208" s="225">
        <v>5.0100000000020373</v>
      </c>
      <c r="L42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5.01</v>
      </c>
      <c r="M4208" s="225">
        <f>ROUND(IF(AND(Base_Periodo1[[#This Row],[Tipo_Linha]]="-",Base_Periodo1[[#This Row],[TIPOSALDO]]="D"),Base_Periodo1[[#This Row],[SALDO_ATUAL]]*-1,Base_Periodo1[[#This Row],[SALDO_ATUAL]]),4)</f>
        <v>5.01</v>
      </c>
      <c r="N4208" t="s">
        <v>116</v>
      </c>
      <c r="O4208" t="s">
        <v>459</v>
      </c>
      <c r="P4208" t="s">
        <v>459</v>
      </c>
      <c r="Q4208">
        <v>7</v>
      </c>
      <c r="R4208" s="225">
        <f>Base_Periodo1[[#This Row],[CREDITOS]]-Base_Periodo1[[#This Row],[DEBITOS]]</f>
        <v>0</v>
      </c>
      <c r="S4208" s="3" t="str">
        <f>IF(ISERROR(VLOOKUP(Base_Periodo1[[#This Row],[CONTA]],BaseContasDRE[#All],4,FALSE)),"Fora do DRE",VLOOKUP(Base_Periodo1[[#This Row],[CONTA]],BaseContasDRE[#All],4,FALSE))</f>
        <v>Fora do DRE</v>
      </c>
      <c r="T4208" s="3" t="str">
        <f>IF(ISERROR(VLOOKUP(Base_Periodo1[[#This Row],[CONTA]],BaseContasDRE[#All],5,FALSE)),"Fora do DRE",VLOOKUP(Base_Periodo1[[#This Row],[CONTA]],BaseContasDRE[#All],6,FALSE))</f>
        <v>Fora do DRE</v>
      </c>
      <c r="U4208" s="3" t="str">
        <f>IF(ISERROR(VLOOKUP(Base_Periodo1[[#This Row],[CONTA]],BaseContasDRE[#All],7,FALSE)),"Fora do DRE",VLOOKUP(Base_Periodo1[[#This Row],[CONTA]],BaseContasDRE[#All],7,FALSE))</f>
        <v>Fora do DRE</v>
      </c>
      <c r="V4208" s="3" t="str">
        <f>IF(Base_Periodo1[[#This Row],[Tipo_Linha]]="Fora do DRE","Fora do DRE","( "&amp;Base_Periodo1[[#This Row],[Tipo_Linha]]&amp;" ) "&amp;Base_Periodo1[[#This Row],[Filtro]])</f>
        <v>Fora do DRE</v>
      </c>
      <c r="W4208" s="3" t="str">
        <f>LEFT(Base_Periodo1[[#This Row],[CLASS]],3)</f>
        <v>2.1</v>
      </c>
    </row>
    <row r="4209" spans="1:23" hidden="1">
      <c r="A4209" s="3" t="str">
        <f t="shared" si="65"/>
        <v>Período 1</v>
      </c>
      <c r="B4209">
        <v>27302</v>
      </c>
      <c r="C4209" t="s">
        <v>2148</v>
      </c>
      <c r="D4209" t="s">
        <v>2212</v>
      </c>
      <c r="E4209" s="3" t="str">
        <f>IF(LEN(Base_Periodo1[[#This Row],[CLASS]])&gt;=7,LEFT(Base_Periodo1[[#This Row],[CLASS]],7),"")</f>
        <v>2.1.2.2</v>
      </c>
      <c r="F4209" s="3" t="str">
        <f>VLOOKUP(Base_Periodo1[[#This Row],[Aux]],Base_Contas_Balanco[#All],2,FALSE)</f>
        <v>Fornecedores Não Cooperados</v>
      </c>
      <c r="G4209" s="1">
        <v>41542</v>
      </c>
      <c r="H4209" s="225">
        <v>2.9999999999745341E-2</v>
      </c>
      <c r="I4209" s="225">
        <v>0</v>
      </c>
      <c r="J4209" s="225">
        <v>0</v>
      </c>
      <c r="K4209" s="225">
        <v>2.9999999999745341E-2</v>
      </c>
      <c r="L42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0.03</v>
      </c>
      <c r="M4209" s="225">
        <f>ROUND(IF(AND(Base_Periodo1[[#This Row],[Tipo_Linha]]="-",Base_Periodo1[[#This Row],[TIPOSALDO]]="D"),Base_Periodo1[[#This Row],[SALDO_ATUAL]]*-1,Base_Periodo1[[#This Row],[SALDO_ATUAL]]),4)</f>
        <v>0.03</v>
      </c>
      <c r="N4209" t="s">
        <v>116</v>
      </c>
      <c r="O4209" t="s">
        <v>459</v>
      </c>
      <c r="P4209" t="s">
        <v>459</v>
      </c>
      <c r="Q4209">
        <v>7</v>
      </c>
      <c r="R4209" s="225">
        <f>Base_Periodo1[[#This Row],[CREDITOS]]-Base_Periodo1[[#This Row],[DEBITOS]]</f>
        <v>0</v>
      </c>
      <c r="S4209" s="3" t="str">
        <f>IF(ISERROR(VLOOKUP(Base_Periodo1[[#This Row],[CONTA]],BaseContasDRE[#All],4,FALSE)),"Fora do DRE",VLOOKUP(Base_Periodo1[[#This Row],[CONTA]],BaseContasDRE[#All],4,FALSE))</f>
        <v>Fora do DRE</v>
      </c>
      <c r="T4209" s="3" t="str">
        <f>IF(ISERROR(VLOOKUP(Base_Periodo1[[#This Row],[CONTA]],BaseContasDRE[#All],5,FALSE)),"Fora do DRE",VLOOKUP(Base_Periodo1[[#This Row],[CONTA]],BaseContasDRE[#All],6,FALSE))</f>
        <v>Fora do DRE</v>
      </c>
      <c r="U4209" s="3" t="str">
        <f>IF(ISERROR(VLOOKUP(Base_Periodo1[[#This Row],[CONTA]],BaseContasDRE[#All],7,FALSE)),"Fora do DRE",VLOOKUP(Base_Periodo1[[#This Row],[CONTA]],BaseContasDRE[#All],7,FALSE))</f>
        <v>Fora do DRE</v>
      </c>
      <c r="V4209" s="3" t="str">
        <f>IF(Base_Periodo1[[#This Row],[Tipo_Linha]]="Fora do DRE","Fora do DRE","( "&amp;Base_Periodo1[[#This Row],[Tipo_Linha]]&amp;" ) "&amp;Base_Periodo1[[#This Row],[Filtro]])</f>
        <v>Fora do DRE</v>
      </c>
      <c r="W4209" s="3" t="str">
        <f>LEFT(Base_Periodo1[[#This Row],[CLASS]],3)</f>
        <v>2.1</v>
      </c>
    </row>
    <row r="4210" spans="1:23" hidden="1">
      <c r="A4210" s="3" t="str">
        <f t="shared" si="65"/>
        <v>Período 1</v>
      </c>
      <c r="B4210">
        <v>4418</v>
      </c>
      <c r="C4210" t="s">
        <v>2148</v>
      </c>
      <c r="D4210" t="s">
        <v>2213</v>
      </c>
      <c r="E4210" s="3" t="str">
        <f>IF(LEN(Base_Periodo1[[#This Row],[CLASS]])&gt;=7,LEFT(Base_Periodo1[[#This Row],[CLASS]],7),"")</f>
        <v>2.1.2.2</v>
      </c>
      <c r="F4210" s="3" t="str">
        <f>VLOOKUP(Base_Periodo1[[#This Row],[Aux]],Base_Contas_Balanco[#All],2,FALSE)</f>
        <v>Fornecedores Não Cooperados</v>
      </c>
      <c r="G4210" s="1">
        <v>41617</v>
      </c>
      <c r="H4210" s="225">
        <v>0.32999999999447027</v>
      </c>
      <c r="I4210" s="225">
        <v>0</v>
      </c>
      <c r="J4210" s="225">
        <v>0</v>
      </c>
      <c r="K4210" s="225">
        <v>0.32999999999447027</v>
      </c>
      <c r="L42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0.33</v>
      </c>
      <c r="M4210" s="225">
        <f>ROUND(IF(AND(Base_Periodo1[[#This Row],[Tipo_Linha]]="-",Base_Periodo1[[#This Row],[TIPOSALDO]]="D"),Base_Periodo1[[#This Row],[SALDO_ATUAL]]*-1,Base_Periodo1[[#This Row],[SALDO_ATUAL]]),4)</f>
        <v>0.33</v>
      </c>
      <c r="N4210" t="s">
        <v>116</v>
      </c>
      <c r="O4210" t="s">
        <v>459</v>
      </c>
      <c r="P4210" t="s">
        <v>459</v>
      </c>
      <c r="Q4210">
        <v>7</v>
      </c>
      <c r="R4210" s="225">
        <f>Base_Periodo1[[#This Row],[CREDITOS]]-Base_Periodo1[[#This Row],[DEBITOS]]</f>
        <v>0</v>
      </c>
      <c r="S4210" s="3" t="str">
        <f>IF(ISERROR(VLOOKUP(Base_Periodo1[[#This Row],[CONTA]],BaseContasDRE[#All],4,FALSE)),"Fora do DRE",VLOOKUP(Base_Periodo1[[#This Row],[CONTA]],BaseContasDRE[#All],4,FALSE))</f>
        <v>Fora do DRE</v>
      </c>
      <c r="T4210" s="3" t="str">
        <f>IF(ISERROR(VLOOKUP(Base_Periodo1[[#This Row],[CONTA]],BaseContasDRE[#All],5,FALSE)),"Fora do DRE",VLOOKUP(Base_Periodo1[[#This Row],[CONTA]],BaseContasDRE[#All],6,FALSE))</f>
        <v>Fora do DRE</v>
      </c>
      <c r="U4210" s="3" t="str">
        <f>IF(ISERROR(VLOOKUP(Base_Periodo1[[#This Row],[CONTA]],BaseContasDRE[#All],7,FALSE)),"Fora do DRE",VLOOKUP(Base_Periodo1[[#This Row],[CONTA]],BaseContasDRE[#All],7,FALSE))</f>
        <v>Fora do DRE</v>
      </c>
      <c r="V4210" s="3" t="str">
        <f>IF(Base_Periodo1[[#This Row],[Tipo_Linha]]="Fora do DRE","Fora do DRE","( "&amp;Base_Periodo1[[#This Row],[Tipo_Linha]]&amp;" ) "&amp;Base_Periodo1[[#This Row],[Filtro]])</f>
        <v>Fora do DRE</v>
      </c>
      <c r="W4210" s="3" t="str">
        <f>LEFT(Base_Periodo1[[#This Row],[CLASS]],3)</f>
        <v>2.1</v>
      </c>
    </row>
    <row r="4211" spans="1:23" hidden="1">
      <c r="A4211" s="3" t="str">
        <f t="shared" si="65"/>
        <v>Período 1</v>
      </c>
      <c r="B4211">
        <v>43485</v>
      </c>
      <c r="C4211" t="s">
        <v>2148</v>
      </c>
      <c r="D4211" t="s">
        <v>6896</v>
      </c>
      <c r="E4211" s="3" t="str">
        <f>IF(LEN(Base_Periodo1[[#This Row],[CLASS]])&gt;=7,LEFT(Base_Periodo1[[#This Row],[CLASS]],7),"")</f>
        <v>2.1.2.2</v>
      </c>
      <c r="F4211" s="3" t="str">
        <f>VLOOKUP(Base_Periodo1[[#This Row],[Aux]],Base_Contas_Balanco[#All],2,FALSE)</f>
        <v>Fornecedores Não Cooperados</v>
      </c>
      <c r="G4211" s="1">
        <v>42885</v>
      </c>
      <c r="I4211" s="225">
        <v>10537.76</v>
      </c>
      <c r="J4211" s="225">
        <v>10537.76</v>
      </c>
      <c r="K4211" s="225">
        <v>0</v>
      </c>
      <c r="L42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211" s="225">
        <f>ROUND(IF(AND(Base_Periodo1[[#This Row],[Tipo_Linha]]="-",Base_Periodo1[[#This Row],[TIPOSALDO]]="D"),Base_Periodo1[[#This Row],[SALDO_ATUAL]]*-1,Base_Periodo1[[#This Row],[SALDO_ATUAL]]),4)</f>
        <v>0</v>
      </c>
      <c r="N4211" t="s">
        <v>116</v>
      </c>
      <c r="O4211" t="s">
        <v>436</v>
      </c>
      <c r="P4211" t="s">
        <v>436</v>
      </c>
      <c r="Q4211">
        <v>7</v>
      </c>
      <c r="R4211" s="225">
        <f>Base_Periodo1[[#This Row],[CREDITOS]]-Base_Periodo1[[#This Row],[DEBITOS]]</f>
        <v>0</v>
      </c>
      <c r="S4211" s="3" t="str">
        <f>IF(ISERROR(VLOOKUP(Base_Periodo1[[#This Row],[CONTA]],BaseContasDRE[#All],4,FALSE)),"Fora do DRE",VLOOKUP(Base_Periodo1[[#This Row],[CONTA]],BaseContasDRE[#All],4,FALSE))</f>
        <v>Fora do DRE</v>
      </c>
      <c r="T4211" s="3" t="str">
        <f>IF(ISERROR(VLOOKUP(Base_Periodo1[[#This Row],[CONTA]],BaseContasDRE[#All],5,FALSE)),"Fora do DRE",VLOOKUP(Base_Periodo1[[#This Row],[CONTA]],BaseContasDRE[#All],6,FALSE))</f>
        <v>Fora do DRE</v>
      </c>
      <c r="U4211" s="3" t="str">
        <f>IF(ISERROR(VLOOKUP(Base_Periodo1[[#This Row],[CONTA]],BaseContasDRE[#All],7,FALSE)),"Fora do DRE",VLOOKUP(Base_Periodo1[[#This Row],[CONTA]],BaseContasDRE[#All],7,FALSE))</f>
        <v>Fora do DRE</v>
      </c>
      <c r="V4211" s="3" t="str">
        <f>IF(Base_Periodo1[[#This Row],[Tipo_Linha]]="Fora do DRE","Fora do DRE","( "&amp;Base_Periodo1[[#This Row],[Tipo_Linha]]&amp;" ) "&amp;Base_Periodo1[[#This Row],[Filtro]])</f>
        <v>Fora do DRE</v>
      </c>
      <c r="W4211" s="3" t="str">
        <f>LEFT(Base_Periodo1[[#This Row],[CLASS]],3)</f>
        <v>2.1</v>
      </c>
    </row>
    <row r="4212" spans="1:23" hidden="1">
      <c r="A4212" s="3" t="str">
        <f t="shared" si="65"/>
        <v>Período 1</v>
      </c>
      <c r="B4212">
        <v>2574</v>
      </c>
      <c r="C4212" t="s">
        <v>2148</v>
      </c>
      <c r="D4212" t="s">
        <v>2215</v>
      </c>
      <c r="E4212" s="3" t="str">
        <f>IF(LEN(Base_Periodo1[[#This Row],[CLASS]])&gt;=7,LEFT(Base_Periodo1[[#This Row],[CLASS]],7),"")</f>
        <v>2.1.2.2</v>
      </c>
      <c r="F4212" s="3" t="str">
        <f>VLOOKUP(Base_Periodo1[[#This Row],[Aux]],Base_Contas_Balanco[#All],2,FALSE)</f>
        <v>Fornecedores Não Cooperados</v>
      </c>
      <c r="G4212" s="1">
        <v>41916</v>
      </c>
      <c r="H4212" s="225">
        <v>2179.3000000000029</v>
      </c>
      <c r="I4212" s="225">
        <v>0</v>
      </c>
      <c r="J4212" s="225">
        <v>0</v>
      </c>
      <c r="K4212" s="225">
        <v>2179.3000000000029</v>
      </c>
      <c r="L42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2179.3000000000002</v>
      </c>
      <c r="M4212" s="225">
        <f>ROUND(IF(AND(Base_Periodo1[[#This Row],[Tipo_Linha]]="-",Base_Periodo1[[#This Row],[TIPOSALDO]]="D"),Base_Periodo1[[#This Row],[SALDO_ATUAL]]*-1,Base_Periodo1[[#This Row],[SALDO_ATUAL]]),4)</f>
        <v>2179.3000000000002</v>
      </c>
      <c r="N4212" t="s">
        <v>116</v>
      </c>
      <c r="O4212" t="s">
        <v>459</v>
      </c>
      <c r="P4212" t="s">
        <v>459</v>
      </c>
      <c r="Q4212">
        <v>7</v>
      </c>
      <c r="R4212" s="225">
        <f>Base_Periodo1[[#This Row],[CREDITOS]]-Base_Periodo1[[#This Row],[DEBITOS]]</f>
        <v>0</v>
      </c>
      <c r="S4212" s="3" t="str">
        <f>IF(ISERROR(VLOOKUP(Base_Periodo1[[#This Row],[CONTA]],BaseContasDRE[#All],4,FALSE)),"Fora do DRE",VLOOKUP(Base_Periodo1[[#This Row],[CONTA]],BaseContasDRE[#All],4,FALSE))</f>
        <v>Fora do DRE</v>
      </c>
      <c r="T4212" s="3" t="str">
        <f>IF(ISERROR(VLOOKUP(Base_Periodo1[[#This Row],[CONTA]],BaseContasDRE[#All],5,FALSE)),"Fora do DRE",VLOOKUP(Base_Periodo1[[#This Row],[CONTA]],BaseContasDRE[#All],6,FALSE))</f>
        <v>Fora do DRE</v>
      </c>
      <c r="U4212" s="3" t="str">
        <f>IF(ISERROR(VLOOKUP(Base_Periodo1[[#This Row],[CONTA]],BaseContasDRE[#All],7,FALSE)),"Fora do DRE",VLOOKUP(Base_Periodo1[[#This Row],[CONTA]],BaseContasDRE[#All],7,FALSE))</f>
        <v>Fora do DRE</v>
      </c>
      <c r="V4212" s="3" t="str">
        <f>IF(Base_Periodo1[[#This Row],[Tipo_Linha]]="Fora do DRE","Fora do DRE","( "&amp;Base_Periodo1[[#This Row],[Tipo_Linha]]&amp;" ) "&amp;Base_Periodo1[[#This Row],[Filtro]])</f>
        <v>Fora do DRE</v>
      </c>
      <c r="W4212" s="3" t="str">
        <f>LEFT(Base_Periodo1[[#This Row],[CLASS]],3)</f>
        <v>2.1</v>
      </c>
    </row>
    <row r="4213" spans="1:23" hidden="1">
      <c r="A4213" s="3" t="str">
        <f t="shared" si="65"/>
        <v>Período 1</v>
      </c>
      <c r="B4213">
        <v>2338</v>
      </c>
      <c r="C4213" t="s">
        <v>2148</v>
      </c>
      <c r="D4213" t="s">
        <v>2216</v>
      </c>
      <c r="E4213" s="3" t="str">
        <f>IF(LEN(Base_Periodo1[[#This Row],[CLASS]])&gt;=7,LEFT(Base_Periodo1[[#This Row],[CLASS]],7),"")</f>
        <v>2.1.2.2</v>
      </c>
      <c r="F4213" s="3" t="str">
        <f>VLOOKUP(Base_Periodo1[[#This Row],[Aux]],Base_Contas_Balanco[#All],2,FALSE)</f>
        <v>Fornecedores Não Cooperados</v>
      </c>
      <c r="G4213" s="1">
        <v>42290</v>
      </c>
      <c r="H4213" s="225">
        <v>759.62000000005355</v>
      </c>
      <c r="I4213" s="225">
        <v>0</v>
      </c>
      <c r="J4213" s="225">
        <v>0</v>
      </c>
      <c r="K4213" s="225">
        <v>759.62000000005355</v>
      </c>
      <c r="L42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759.62</v>
      </c>
      <c r="M4213" s="225">
        <f>ROUND(IF(AND(Base_Periodo1[[#This Row],[Tipo_Linha]]="-",Base_Periodo1[[#This Row],[TIPOSALDO]]="D"),Base_Periodo1[[#This Row],[SALDO_ATUAL]]*-1,Base_Periodo1[[#This Row],[SALDO_ATUAL]]),4)</f>
        <v>759.62</v>
      </c>
      <c r="N4213" t="s">
        <v>116</v>
      </c>
      <c r="O4213" t="s">
        <v>459</v>
      </c>
      <c r="P4213" t="s">
        <v>459</v>
      </c>
      <c r="Q4213">
        <v>7</v>
      </c>
      <c r="R4213" s="225">
        <f>Base_Periodo1[[#This Row],[CREDITOS]]-Base_Periodo1[[#This Row],[DEBITOS]]</f>
        <v>0</v>
      </c>
      <c r="S4213" s="3" t="str">
        <f>IF(ISERROR(VLOOKUP(Base_Periodo1[[#This Row],[CONTA]],BaseContasDRE[#All],4,FALSE)),"Fora do DRE",VLOOKUP(Base_Periodo1[[#This Row],[CONTA]],BaseContasDRE[#All],4,FALSE))</f>
        <v>Fora do DRE</v>
      </c>
      <c r="T4213" s="3" t="str">
        <f>IF(ISERROR(VLOOKUP(Base_Periodo1[[#This Row],[CONTA]],BaseContasDRE[#All],5,FALSE)),"Fora do DRE",VLOOKUP(Base_Periodo1[[#This Row],[CONTA]],BaseContasDRE[#All],6,FALSE))</f>
        <v>Fora do DRE</v>
      </c>
      <c r="U4213" s="3" t="str">
        <f>IF(ISERROR(VLOOKUP(Base_Periodo1[[#This Row],[CONTA]],BaseContasDRE[#All],7,FALSE)),"Fora do DRE",VLOOKUP(Base_Periodo1[[#This Row],[CONTA]],BaseContasDRE[#All],7,FALSE))</f>
        <v>Fora do DRE</v>
      </c>
      <c r="V4213" s="3" t="str">
        <f>IF(Base_Periodo1[[#This Row],[Tipo_Linha]]="Fora do DRE","Fora do DRE","( "&amp;Base_Periodo1[[#This Row],[Tipo_Linha]]&amp;" ) "&amp;Base_Periodo1[[#This Row],[Filtro]])</f>
        <v>Fora do DRE</v>
      </c>
      <c r="W4213" s="3" t="str">
        <f>LEFT(Base_Periodo1[[#This Row],[CLASS]],3)</f>
        <v>2.1</v>
      </c>
    </row>
    <row r="4214" spans="1:23" hidden="1">
      <c r="A4214" s="3" t="str">
        <f t="shared" si="65"/>
        <v>Período 1</v>
      </c>
      <c r="B4214">
        <v>25357</v>
      </c>
      <c r="C4214" t="s">
        <v>2148</v>
      </c>
      <c r="D4214" t="s">
        <v>2217</v>
      </c>
      <c r="E4214" s="3" t="str">
        <f>IF(LEN(Base_Periodo1[[#This Row],[CLASS]])&gt;=7,LEFT(Base_Periodo1[[#This Row],[CLASS]],7),"")</f>
        <v>2.1.2.2</v>
      </c>
      <c r="F4214" s="3" t="str">
        <f>VLOOKUP(Base_Periodo1[[#This Row],[Aux]],Base_Contas_Balanco[#All],2,FALSE)</f>
        <v>Fornecedores Não Cooperados</v>
      </c>
      <c r="G4214" s="1">
        <v>41457</v>
      </c>
      <c r="H4214" s="225">
        <v>0.14000000000032742</v>
      </c>
      <c r="I4214" s="225">
        <v>0</v>
      </c>
      <c r="J4214" s="225">
        <v>0</v>
      </c>
      <c r="K4214" s="225">
        <v>0.14000000000032742</v>
      </c>
      <c r="L42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0.14000000000000001</v>
      </c>
      <c r="M4214" s="225">
        <f>ROUND(IF(AND(Base_Periodo1[[#This Row],[Tipo_Linha]]="-",Base_Periodo1[[#This Row],[TIPOSALDO]]="D"),Base_Periodo1[[#This Row],[SALDO_ATUAL]]*-1,Base_Periodo1[[#This Row],[SALDO_ATUAL]]),4)</f>
        <v>0.14000000000000001</v>
      </c>
      <c r="N4214" t="s">
        <v>116</v>
      </c>
      <c r="O4214" t="s">
        <v>459</v>
      </c>
      <c r="P4214" t="s">
        <v>459</v>
      </c>
      <c r="Q4214">
        <v>7</v>
      </c>
      <c r="R4214" s="225">
        <f>Base_Periodo1[[#This Row],[CREDITOS]]-Base_Periodo1[[#This Row],[DEBITOS]]</f>
        <v>0</v>
      </c>
      <c r="S4214" s="3" t="str">
        <f>IF(ISERROR(VLOOKUP(Base_Periodo1[[#This Row],[CONTA]],BaseContasDRE[#All],4,FALSE)),"Fora do DRE",VLOOKUP(Base_Periodo1[[#This Row],[CONTA]],BaseContasDRE[#All],4,FALSE))</f>
        <v>Fora do DRE</v>
      </c>
      <c r="T4214" s="3" t="str">
        <f>IF(ISERROR(VLOOKUP(Base_Periodo1[[#This Row],[CONTA]],BaseContasDRE[#All],5,FALSE)),"Fora do DRE",VLOOKUP(Base_Periodo1[[#This Row],[CONTA]],BaseContasDRE[#All],6,FALSE))</f>
        <v>Fora do DRE</v>
      </c>
      <c r="U4214" s="3" t="str">
        <f>IF(ISERROR(VLOOKUP(Base_Periodo1[[#This Row],[CONTA]],BaseContasDRE[#All],7,FALSE)),"Fora do DRE",VLOOKUP(Base_Periodo1[[#This Row],[CONTA]],BaseContasDRE[#All],7,FALSE))</f>
        <v>Fora do DRE</v>
      </c>
      <c r="V4214" s="3" t="str">
        <f>IF(Base_Periodo1[[#This Row],[Tipo_Linha]]="Fora do DRE","Fora do DRE","( "&amp;Base_Periodo1[[#This Row],[Tipo_Linha]]&amp;" ) "&amp;Base_Periodo1[[#This Row],[Filtro]])</f>
        <v>Fora do DRE</v>
      </c>
      <c r="W4214" s="3" t="str">
        <f>LEFT(Base_Periodo1[[#This Row],[CLASS]],3)</f>
        <v>2.1</v>
      </c>
    </row>
    <row r="4215" spans="1:23" hidden="1">
      <c r="A4215" s="3" t="str">
        <f t="shared" si="65"/>
        <v>Período 1</v>
      </c>
      <c r="B4215">
        <v>22248</v>
      </c>
      <c r="C4215" t="s">
        <v>2148</v>
      </c>
      <c r="D4215" t="s">
        <v>2218</v>
      </c>
      <c r="E4215" s="3" t="str">
        <f>IF(LEN(Base_Periodo1[[#This Row],[CLASS]])&gt;=7,LEFT(Base_Periodo1[[#This Row],[CLASS]],7),"")</f>
        <v>2.1.2.2</v>
      </c>
      <c r="F4215" s="3" t="str">
        <f>VLOOKUP(Base_Periodo1[[#This Row],[Aux]],Base_Contas_Balanco[#All],2,FALSE)</f>
        <v>Fornecedores Não Cooperados</v>
      </c>
      <c r="G4215" s="1">
        <v>41477</v>
      </c>
      <c r="H4215" s="225">
        <v>8.999999999650754E-2</v>
      </c>
      <c r="I4215" s="225">
        <v>0</v>
      </c>
      <c r="J4215" s="225">
        <v>0</v>
      </c>
      <c r="K4215" s="225">
        <v>8.999999999650754E-2</v>
      </c>
      <c r="L42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0.09</v>
      </c>
      <c r="M4215" s="225">
        <f>ROUND(IF(AND(Base_Periodo1[[#This Row],[Tipo_Linha]]="-",Base_Periodo1[[#This Row],[TIPOSALDO]]="D"),Base_Periodo1[[#This Row],[SALDO_ATUAL]]*-1,Base_Periodo1[[#This Row],[SALDO_ATUAL]]),4)</f>
        <v>0.09</v>
      </c>
      <c r="N4215" t="s">
        <v>116</v>
      </c>
      <c r="O4215" t="s">
        <v>459</v>
      </c>
      <c r="P4215" t="s">
        <v>459</v>
      </c>
      <c r="Q4215">
        <v>7</v>
      </c>
      <c r="R4215" s="225">
        <f>Base_Periodo1[[#This Row],[CREDITOS]]-Base_Periodo1[[#This Row],[DEBITOS]]</f>
        <v>0</v>
      </c>
      <c r="S4215" s="3" t="str">
        <f>IF(ISERROR(VLOOKUP(Base_Periodo1[[#This Row],[CONTA]],BaseContasDRE[#All],4,FALSE)),"Fora do DRE",VLOOKUP(Base_Periodo1[[#This Row],[CONTA]],BaseContasDRE[#All],4,FALSE))</f>
        <v>Fora do DRE</v>
      </c>
      <c r="T4215" s="3" t="str">
        <f>IF(ISERROR(VLOOKUP(Base_Periodo1[[#This Row],[CONTA]],BaseContasDRE[#All],5,FALSE)),"Fora do DRE",VLOOKUP(Base_Periodo1[[#This Row],[CONTA]],BaseContasDRE[#All],6,FALSE))</f>
        <v>Fora do DRE</v>
      </c>
      <c r="U4215" s="3" t="str">
        <f>IF(ISERROR(VLOOKUP(Base_Periodo1[[#This Row],[CONTA]],BaseContasDRE[#All],7,FALSE)),"Fora do DRE",VLOOKUP(Base_Periodo1[[#This Row],[CONTA]],BaseContasDRE[#All],7,FALSE))</f>
        <v>Fora do DRE</v>
      </c>
      <c r="V4215" s="3" t="str">
        <f>IF(Base_Periodo1[[#This Row],[Tipo_Linha]]="Fora do DRE","Fora do DRE","( "&amp;Base_Periodo1[[#This Row],[Tipo_Linha]]&amp;" ) "&amp;Base_Periodo1[[#This Row],[Filtro]])</f>
        <v>Fora do DRE</v>
      </c>
      <c r="W4215" s="3" t="str">
        <f>LEFT(Base_Periodo1[[#This Row],[CLASS]],3)</f>
        <v>2.1</v>
      </c>
    </row>
    <row r="4216" spans="1:23" hidden="1">
      <c r="A4216" s="3" t="str">
        <f t="shared" si="65"/>
        <v>Período 1</v>
      </c>
      <c r="B4216">
        <v>58278</v>
      </c>
      <c r="C4216" t="s">
        <v>2148</v>
      </c>
      <c r="D4216" t="s">
        <v>7176</v>
      </c>
      <c r="E4216" s="3" t="str">
        <f>IF(LEN(Base_Periodo1[[#This Row],[CLASS]])&gt;=7,LEFT(Base_Periodo1[[#This Row],[CLASS]],7),"")</f>
        <v>2.1.2.2</v>
      </c>
      <c r="F4216" s="3" t="str">
        <f>VLOOKUP(Base_Periodo1[[#This Row],[Aux]],Base_Contas_Balanco[#All],2,FALSE)</f>
        <v>Fornecedores Não Cooperados</v>
      </c>
      <c r="G4216" s="1"/>
      <c r="I4216" s="225">
        <v>0</v>
      </c>
      <c r="J4216" s="225">
        <v>6000</v>
      </c>
      <c r="K4216" s="225">
        <v>6000</v>
      </c>
      <c r="L42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6000</v>
      </c>
      <c r="M4216" s="225">
        <f>ROUND(IF(AND(Base_Periodo1[[#This Row],[Tipo_Linha]]="-",Base_Periodo1[[#This Row],[TIPOSALDO]]="D"),Base_Periodo1[[#This Row],[SALDO_ATUAL]]*-1,Base_Periodo1[[#This Row],[SALDO_ATUAL]]),4)</f>
        <v>6000</v>
      </c>
      <c r="N4216" t="s">
        <v>116</v>
      </c>
      <c r="O4216" t="s">
        <v>436</v>
      </c>
      <c r="P4216" t="s">
        <v>459</v>
      </c>
      <c r="Q4216">
        <v>7</v>
      </c>
      <c r="R4216" s="225">
        <f>Base_Periodo1[[#This Row],[CREDITOS]]-Base_Periodo1[[#This Row],[DEBITOS]]</f>
        <v>6000</v>
      </c>
      <c r="S4216" s="3" t="str">
        <f>IF(ISERROR(VLOOKUP(Base_Periodo1[[#This Row],[CONTA]],BaseContasDRE[#All],4,FALSE)),"Fora do DRE",VLOOKUP(Base_Periodo1[[#This Row],[CONTA]],BaseContasDRE[#All],4,FALSE))</f>
        <v>Fora do DRE</v>
      </c>
      <c r="T4216" s="3" t="str">
        <f>IF(ISERROR(VLOOKUP(Base_Periodo1[[#This Row],[CONTA]],BaseContasDRE[#All],5,FALSE)),"Fora do DRE",VLOOKUP(Base_Periodo1[[#This Row],[CONTA]],BaseContasDRE[#All],6,FALSE))</f>
        <v>Fora do DRE</v>
      </c>
      <c r="U4216" s="3" t="str">
        <f>IF(ISERROR(VLOOKUP(Base_Periodo1[[#This Row],[CONTA]],BaseContasDRE[#All],7,FALSE)),"Fora do DRE",VLOOKUP(Base_Periodo1[[#This Row],[CONTA]],BaseContasDRE[#All],7,FALSE))</f>
        <v>Fora do DRE</v>
      </c>
      <c r="V4216" s="3" t="str">
        <f>IF(Base_Periodo1[[#This Row],[Tipo_Linha]]="Fora do DRE","Fora do DRE","( "&amp;Base_Periodo1[[#This Row],[Tipo_Linha]]&amp;" ) "&amp;Base_Periodo1[[#This Row],[Filtro]])</f>
        <v>Fora do DRE</v>
      </c>
      <c r="W4216" s="3" t="str">
        <f>LEFT(Base_Periodo1[[#This Row],[CLASS]],3)</f>
        <v>2.1</v>
      </c>
    </row>
    <row r="4217" spans="1:23" hidden="1">
      <c r="A4217" s="3" t="str">
        <f t="shared" si="65"/>
        <v>Período 1</v>
      </c>
      <c r="B4217">
        <v>8003</v>
      </c>
      <c r="C4217" t="s">
        <v>2148</v>
      </c>
      <c r="D4217" t="s">
        <v>2219</v>
      </c>
      <c r="E4217" s="3" t="str">
        <f>IF(LEN(Base_Periodo1[[#This Row],[CLASS]])&gt;=7,LEFT(Base_Periodo1[[#This Row],[CLASS]],7),"")</f>
        <v>2.1.2.2</v>
      </c>
      <c r="F4217" s="3" t="str">
        <f>VLOOKUP(Base_Periodo1[[#This Row],[Aux]],Base_Contas_Balanco[#All],2,FALSE)</f>
        <v>Fornecedores Não Cooperados</v>
      </c>
      <c r="G4217" s="1">
        <v>41521</v>
      </c>
      <c r="H4217" s="225">
        <v>1.2400000000052387</v>
      </c>
      <c r="I4217" s="225">
        <v>0</v>
      </c>
      <c r="J4217" s="225">
        <v>0</v>
      </c>
      <c r="K4217" s="225">
        <v>1.2400000000052387</v>
      </c>
      <c r="L42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1.24</v>
      </c>
      <c r="M4217" s="225">
        <f>ROUND(IF(AND(Base_Periodo1[[#This Row],[Tipo_Linha]]="-",Base_Periodo1[[#This Row],[TIPOSALDO]]="D"),Base_Periodo1[[#This Row],[SALDO_ATUAL]]*-1,Base_Periodo1[[#This Row],[SALDO_ATUAL]]),4)</f>
        <v>1.24</v>
      </c>
      <c r="N4217" t="s">
        <v>116</v>
      </c>
      <c r="O4217" t="s">
        <v>459</v>
      </c>
      <c r="P4217" t="s">
        <v>459</v>
      </c>
      <c r="Q4217">
        <v>7</v>
      </c>
      <c r="R4217" s="225">
        <f>Base_Periodo1[[#This Row],[CREDITOS]]-Base_Periodo1[[#This Row],[DEBITOS]]</f>
        <v>0</v>
      </c>
      <c r="S4217" s="3" t="str">
        <f>IF(ISERROR(VLOOKUP(Base_Periodo1[[#This Row],[CONTA]],BaseContasDRE[#All],4,FALSE)),"Fora do DRE",VLOOKUP(Base_Periodo1[[#This Row],[CONTA]],BaseContasDRE[#All],4,FALSE))</f>
        <v>Fora do DRE</v>
      </c>
      <c r="T4217" s="3" t="str">
        <f>IF(ISERROR(VLOOKUP(Base_Periodo1[[#This Row],[CONTA]],BaseContasDRE[#All],5,FALSE)),"Fora do DRE",VLOOKUP(Base_Periodo1[[#This Row],[CONTA]],BaseContasDRE[#All],6,FALSE))</f>
        <v>Fora do DRE</v>
      </c>
      <c r="U4217" s="3" t="str">
        <f>IF(ISERROR(VLOOKUP(Base_Periodo1[[#This Row],[CONTA]],BaseContasDRE[#All],7,FALSE)),"Fora do DRE",VLOOKUP(Base_Periodo1[[#This Row],[CONTA]],BaseContasDRE[#All],7,FALSE))</f>
        <v>Fora do DRE</v>
      </c>
      <c r="V4217" s="3" t="str">
        <f>IF(Base_Periodo1[[#This Row],[Tipo_Linha]]="Fora do DRE","Fora do DRE","( "&amp;Base_Periodo1[[#This Row],[Tipo_Linha]]&amp;" ) "&amp;Base_Periodo1[[#This Row],[Filtro]])</f>
        <v>Fora do DRE</v>
      </c>
      <c r="W4217" s="3" t="str">
        <f>LEFT(Base_Periodo1[[#This Row],[CLASS]],3)</f>
        <v>2.1</v>
      </c>
    </row>
    <row r="4218" spans="1:23" hidden="1">
      <c r="A4218" s="3" t="str">
        <f t="shared" si="65"/>
        <v>Período 1</v>
      </c>
      <c r="B4218">
        <v>1555</v>
      </c>
      <c r="C4218" t="s">
        <v>2220</v>
      </c>
      <c r="D4218" t="s">
        <v>2221</v>
      </c>
      <c r="E4218" s="3" t="str">
        <f>IF(LEN(Base_Periodo1[[#This Row],[CLASS]])&gt;=7,LEFT(Base_Periodo1[[#This Row],[CLASS]],7),"")</f>
        <v>2.1.2.2</v>
      </c>
      <c r="F4218" s="3" t="str">
        <f>VLOOKUP(Base_Periodo1[[#This Row],[Aux]],Base_Contas_Balanco[#All],2,FALSE)</f>
        <v>Fornecedores Não Cooperados</v>
      </c>
      <c r="G4218" s="1"/>
      <c r="H4218" s="225">
        <v>24071.220000001602</v>
      </c>
      <c r="I4218" s="225">
        <v>384140.6</v>
      </c>
      <c r="J4218" s="225">
        <v>424196.60000000003</v>
      </c>
      <c r="K4218" s="225">
        <v>64127.22000000166</v>
      </c>
      <c r="L42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64127.22</v>
      </c>
      <c r="M4218" s="225">
        <f>ROUND(IF(AND(Base_Periodo1[[#This Row],[Tipo_Linha]]="-",Base_Periodo1[[#This Row],[TIPOSALDO]]="D"),Base_Periodo1[[#This Row],[SALDO_ATUAL]]*-1,Base_Periodo1[[#This Row],[SALDO_ATUAL]]),4)</f>
        <v>64127.22</v>
      </c>
      <c r="N4218" t="s">
        <v>396</v>
      </c>
      <c r="O4218" t="s">
        <v>459</v>
      </c>
      <c r="P4218" t="s">
        <v>459</v>
      </c>
      <c r="Q4218">
        <v>5</v>
      </c>
      <c r="R4218" s="225">
        <f>Base_Periodo1[[#This Row],[CREDITOS]]-Base_Periodo1[[#This Row],[DEBITOS]]</f>
        <v>40056.000000000058</v>
      </c>
      <c r="S4218" s="3" t="str">
        <f>IF(ISERROR(VLOOKUP(Base_Periodo1[[#This Row],[CONTA]],BaseContasDRE[#All],4,FALSE)),"Fora do DRE",VLOOKUP(Base_Periodo1[[#This Row],[CONTA]],BaseContasDRE[#All],4,FALSE))</f>
        <v>Fora do DRE</v>
      </c>
      <c r="T4218" s="3" t="str">
        <f>IF(ISERROR(VLOOKUP(Base_Periodo1[[#This Row],[CONTA]],BaseContasDRE[#All],5,FALSE)),"Fora do DRE",VLOOKUP(Base_Periodo1[[#This Row],[CONTA]],BaseContasDRE[#All],6,FALSE))</f>
        <v>Fora do DRE</v>
      </c>
      <c r="U4218" s="3" t="str">
        <f>IF(ISERROR(VLOOKUP(Base_Periodo1[[#This Row],[CONTA]],BaseContasDRE[#All],7,FALSE)),"Fora do DRE",VLOOKUP(Base_Periodo1[[#This Row],[CONTA]],BaseContasDRE[#All],7,FALSE))</f>
        <v>Fora do DRE</v>
      </c>
      <c r="V4218" s="3" t="str">
        <f>IF(Base_Periodo1[[#This Row],[Tipo_Linha]]="Fora do DRE","Fora do DRE","( "&amp;Base_Periodo1[[#This Row],[Tipo_Linha]]&amp;" ) "&amp;Base_Periodo1[[#This Row],[Filtro]])</f>
        <v>Fora do DRE</v>
      </c>
      <c r="W4218" s="3" t="str">
        <f>LEFT(Base_Periodo1[[#This Row],[CLASS]],3)</f>
        <v>2.1</v>
      </c>
    </row>
    <row r="4219" spans="1:23" hidden="1">
      <c r="A4219" s="3" t="str">
        <f t="shared" si="65"/>
        <v>Período 1</v>
      </c>
      <c r="B4219">
        <v>1556</v>
      </c>
      <c r="C4219" t="s">
        <v>2222</v>
      </c>
      <c r="D4219" t="s">
        <v>2223</v>
      </c>
      <c r="E4219" s="3" t="str">
        <f>IF(LEN(Base_Periodo1[[#This Row],[CLASS]])&gt;=7,LEFT(Base_Periodo1[[#This Row],[CLASS]],7),"")</f>
        <v>2.1.2.2</v>
      </c>
      <c r="F4219" s="3" t="str">
        <f>VLOOKUP(Base_Periodo1[[#This Row],[Aux]],Base_Contas_Balanco[#All],2,FALSE)</f>
        <v>Fornecedores Não Cooperados</v>
      </c>
      <c r="G4219" s="1">
        <v>42885</v>
      </c>
      <c r="H4219" s="225">
        <v>24071.220000001602</v>
      </c>
      <c r="I4219" s="225">
        <v>384140.6</v>
      </c>
      <c r="J4219" s="225">
        <v>424196.60000000003</v>
      </c>
      <c r="K4219" s="225">
        <v>64127.22000000166</v>
      </c>
      <c r="L42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64127.22</v>
      </c>
      <c r="M4219" s="225">
        <f>ROUND(IF(AND(Base_Periodo1[[#This Row],[Tipo_Linha]]="-",Base_Periodo1[[#This Row],[TIPOSALDO]]="D"),Base_Periodo1[[#This Row],[SALDO_ATUAL]]*-1,Base_Periodo1[[#This Row],[SALDO_ATUAL]]),4)</f>
        <v>64127.22</v>
      </c>
      <c r="N4219" t="s">
        <v>116</v>
      </c>
      <c r="O4219" t="s">
        <v>459</v>
      </c>
      <c r="P4219" t="s">
        <v>459</v>
      </c>
      <c r="Q4219">
        <v>6</v>
      </c>
      <c r="R4219" s="225">
        <f>Base_Periodo1[[#This Row],[CREDITOS]]-Base_Periodo1[[#This Row],[DEBITOS]]</f>
        <v>40056.000000000058</v>
      </c>
      <c r="S4219" s="3" t="str">
        <f>IF(ISERROR(VLOOKUP(Base_Periodo1[[#This Row],[CONTA]],BaseContasDRE[#All],4,FALSE)),"Fora do DRE",VLOOKUP(Base_Periodo1[[#This Row],[CONTA]],BaseContasDRE[#All],4,FALSE))</f>
        <v>Fora do DRE</v>
      </c>
      <c r="T4219" s="3" t="str">
        <f>IF(ISERROR(VLOOKUP(Base_Periodo1[[#This Row],[CONTA]],BaseContasDRE[#All],5,FALSE)),"Fora do DRE",VLOOKUP(Base_Periodo1[[#This Row],[CONTA]],BaseContasDRE[#All],6,FALSE))</f>
        <v>Fora do DRE</v>
      </c>
      <c r="U4219" s="3" t="str">
        <f>IF(ISERROR(VLOOKUP(Base_Periodo1[[#This Row],[CONTA]],BaseContasDRE[#All],7,FALSE)),"Fora do DRE",VLOOKUP(Base_Periodo1[[#This Row],[CONTA]],BaseContasDRE[#All],7,FALSE))</f>
        <v>Fora do DRE</v>
      </c>
      <c r="V4219" s="3" t="str">
        <f>IF(Base_Periodo1[[#This Row],[Tipo_Linha]]="Fora do DRE","Fora do DRE","( "&amp;Base_Periodo1[[#This Row],[Tipo_Linha]]&amp;" ) "&amp;Base_Periodo1[[#This Row],[Filtro]])</f>
        <v>Fora do DRE</v>
      </c>
      <c r="W4219" s="3" t="str">
        <f>LEFT(Base_Periodo1[[#This Row],[CLASS]],3)</f>
        <v>2.1</v>
      </c>
    </row>
    <row r="4220" spans="1:23" hidden="1">
      <c r="A4220" s="3" t="str">
        <f t="shared" si="65"/>
        <v>Período 1</v>
      </c>
      <c r="B4220">
        <v>1557</v>
      </c>
      <c r="C4220" t="s">
        <v>2224</v>
      </c>
      <c r="D4220" t="s">
        <v>2225</v>
      </c>
      <c r="E4220" s="3" t="str">
        <f>IF(LEN(Base_Periodo1[[#This Row],[CLASS]])&gt;=7,LEFT(Base_Periodo1[[#This Row],[CLASS]],7),"")</f>
        <v/>
      </c>
      <c r="F4220" s="3" t="e">
        <f>VLOOKUP(Base_Periodo1[[#This Row],[Aux]],Base_Contas_Balanco[#All],2,FALSE)</f>
        <v>#N/A</v>
      </c>
      <c r="G4220" s="1"/>
      <c r="H4220" s="225">
        <v>96894.53999955568</v>
      </c>
      <c r="I4220" s="225">
        <v>2785068.0100000002</v>
      </c>
      <c r="J4220" s="225">
        <v>2948004.0800000024</v>
      </c>
      <c r="K4220" s="225">
        <v>259830.60999955796</v>
      </c>
      <c r="L42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259830.61</v>
      </c>
      <c r="M4220" s="225">
        <f>ROUND(IF(AND(Base_Periodo1[[#This Row],[Tipo_Linha]]="-",Base_Periodo1[[#This Row],[TIPOSALDO]]="D"),Base_Periodo1[[#This Row],[SALDO_ATUAL]]*-1,Base_Periodo1[[#This Row],[SALDO_ATUAL]]),4)</f>
        <v>259830.61</v>
      </c>
      <c r="N4220" t="s">
        <v>396</v>
      </c>
      <c r="O4220" t="s">
        <v>459</v>
      </c>
      <c r="P4220" t="s">
        <v>459</v>
      </c>
      <c r="Q4220">
        <v>3</v>
      </c>
      <c r="R4220" s="225">
        <f>Base_Periodo1[[#This Row],[CREDITOS]]-Base_Periodo1[[#This Row],[DEBITOS]]</f>
        <v>162936.07000000216</v>
      </c>
      <c r="S4220" s="3" t="str">
        <f>IF(ISERROR(VLOOKUP(Base_Periodo1[[#This Row],[CONTA]],BaseContasDRE[#All],4,FALSE)),"Fora do DRE",VLOOKUP(Base_Periodo1[[#This Row],[CONTA]],BaseContasDRE[#All],4,FALSE))</f>
        <v>Fora do DRE</v>
      </c>
      <c r="T4220" s="3" t="str">
        <f>IF(ISERROR(VLOOKUP(Base_Periodo1[[#This Row],[CONTA]],BaseContasDRE[#All],5,FALSE)),"Fora do DRE",VLOOKUP(Base_Periodo1[[#This Row],[CONTA]],BaseContasDRE[#All],6,FALSE))</f>
        <v>Fora do DRE</v>
      </c>
      <c r="U4220" s="3" t="str">
        <f>IF(ISERROR(VLOOKUP(Base_Periodo1[[#This Row],[CONTA]],BaseContasDRE[#All],7,FALSE)),"Fora do DRE",VLOOKUP(Base_Periodo1[[#This Row],[CONTA]],BaseContasDRE[#All],7,FALSE))</f>
        <v>Fora do DRE</v>
      </c>
      <c r="V4220" s="3" t="str">
        <f>IF(Base_Periodo1[[#This Row],[Tipo_Linha]]="Fora do DRE","Fora do DRE","( "&amp;Base_Periodo1[[#This Row],[Tipo_Linha]]&amp;" ) "&amp;Base_Periodo1[[#This Row],[Filtro]])</f>
        <v>Fora do DRE</v>
      </c>
      <c r="W4220" s="3" t="str">
        <f>LEFT(Base_Periodo1[[#This Row],[CLASS]],3)</f>
        <v>2.1</v>
      </c>
    </row>
    <row r="4221" spans="1:23" hidden="1">
      <c r="A4221" s="3" t="str">
        <f t="shared" si="65"/>
        <v>Período 1</v>
      </c>
      <c r="B4221">
        <v>1558</v>
      </c>
      <c r="C4221" t="s">
        <v>44</v>
      </c>
      <c r="D4221" t="s">
        <v>45</v>
      </c>
      <c r="E4221" s="3" t="str">
        <f>IF(LEN(Base_Periodo1[[#This Row],[CLASS]])&gt;=7,LEFT(Base_Periodo1[[#This Row],[CLASS]],7),"")</f>
        <v>2.1.4.1</v>
      </c>
      <c r="F4221" s="3" t="str">
        <f>VLOOKUP(Base_Periodo1[[#This Row],[Aux]],Base_Contas_Balanco[#All],2,FALSE)</f>
        <v>Tributos Federais</v>
      </c>
      <c r="G4221" s="1"/>
      <c r="H4221" s="225">
        <v>86163.630000001169</v>
      </c>
      <c r="I4221" s="225">
        <v>86411.33</v>
      </c>
      <c r="J4221" s="225">
        <v>248066.44999999998</v>
      </c>
      <c r="K4221" s="225">
        <v>247818.75000000116</v>
      </c>
      <c r="L42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247818.75</v>
      </c>
      <c r="M4221" s="225">
        <f>ROUND(IF(AND(Base_Periodo1[[#This Row],[Tipo_Linha]]="-",Base_Periodo1[[#This Row],[TIPOSALDO]]="D"),Base_Periodo1[[#This Row],[SALDO_ATUAL]]*-1,Base_Periodo1[[#This Row],[SALDO_ATUAL]]),4)</f>
        <v>247818.75</v>
      </c>
      <c r="N4221" t="s">
        <v>396</v>
      </c>
      <c r="O4221" t="s">
        <v>459</v>
      </c>
      <c r="P4221" t="s">
        <v>459</v>
      </c>
      <c r="Q4221">
        <v>4</v>
      </c>
      <c r="R4221" s="225">
        <f>Base_Periodo1[[#This Row],[CREDITOS]]-Base_Periodo1[[#This Row],[DEBITOS]]</f>
        <v>161655.12</v>
      </c>
      <c r="S4221" s="3" t="str">
        <f>IF(ISERROR(VLOOKUP(Base_Periodo1[[#This Row],[CONTA]],BaseContasDRE[#All],4,FALSE)),"Fora do DRE",VLOOKUP(Base_Periodo1[[#This Row],[CONTA]],BaseContasDRE[#All],4,FALSE))</f>
        <v>Fora do DRE</v>
      </c>
      <c r="T4221" s="3" t="str">
        <f>IF(ISERROR(VLOOKUP(Base_Periodo1[[#This Row],[CONTA]],BaseContasDRE[#All],5,FALSE)),"Fora do DRE",VLOOKUP(Base_Periodo1[[#This Row],[CONTA]],BaseContasDRE[#All],6,FALSE))</f>
        <v>Fora do DRE</v>
      </c>
      <c r="U4221" s="3" t="str">
        <f>IF(ISERROR(VLOOKUP(Base_Periodo1[[#This Row],[CONTA]],BaseContasDRE[#All],7,FALSE)),"Fora do DRE",VLOOKUP(Base_Periodo1[[#This Row],[CONTA]],BaseContasDRE[#All],7,FALSE))</f>
        <v>Fora do DRE</v>
      </c>
      <c r="V4221" s="3" t="str">
        <f>IF(Base_Periodo1[[#This Row],[Tipo_Linha]]="Fora do DRE","Fora do DRE","( "&amp;Base_Periodo1[[#This Row],[Tipo_Linha]]&amp;" ) "&amp;Base_Periodo1[[#This Row],[Filtro]])</f>
        <v>Fora do DRE</v>
      </c>
      <c r="W4221" s="3" t="str">
        <f>LEFT(Base_Periodo1[[#This Row],[CLASS]],3)</f>
        <v>2.1</v>
      </c>
    </row>
    <row r="4222" spans="1:23" hidden="1">
      <c r="A4222" s="3" t="str">
        <f t="shared" si="65"/>
        <v>Período 1</v>
      </c>
      <c r="B4222">
        <v>1559</v>
      </c>
      <c r="C4222" t="s">
        <v>7231</v>
      </c>
      <c r="D4222" t="s">
        <v>7232</v>
      </c>
      <c r="E4222" s="3" t="str">
        <f>IF(LEN(Base_Periodo1[[#This Row],[CLASS]])&gt;=7,LEFT(Base_Periodo1[[#This Row],[CLASS]],7),"")</f>
        <v>2.1.4.1</v>
      </c>
      <c r="F4222" s="3" t="str">
        <f>VLOOKUP(Base_Periodo1[[#This Row],[Aux]],Base_Contas_Balanco[#All],2,FALSE)</f>
        <v>Tributos Federais</v>
      </c>
      <c r="G4222" s="1">
        <v>42886</v>
      </c>
      <c r="I4222" s="225">
        <v>0</v>
      </c>
      <c r="J4222" s="225">
        <v>89604.11</v>
      </c>
      <c r="K4222" s="225">
        <v>89604.109999999535</v>
      </c>
      <c r="L42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89604.11</v>
      </c>
      <c r="M4222" s="225">
        <f>ROUND(IF(AND(Base_Periodo1[[#This Row],[Tipo_Linha]]="-",Base_Periodo1[[#This Row],[TIPOSALDO]]="D"),Base_Periodo1[[#This Row],[SALDO_ATUAL]]*-1,Base_Periodo1[[#This Row],[SALDO_ATUAL]]),4)</f>
        <v>89604.11</v>
      </c>
      <c r="N4222" t="s">
        <v>116</v>
      </c>
      <c r="O4222" t="s">
        <v>436</v>
      </c>
      <c r="P4222" t="s">
        <v>459</v>
      </c>
      <c r="Q4222">
        <v>5</v>
      </c>
      <c r="R4222" s="225">
        <f>Base_Periodo1[[#This Row],[CREDITOS]]-Base_Periodo1[[#This Row],[DEBITOS]]</f>
        <v>89604.11</v>
      </c>
      <c r="S4222" s="3" t="str">
        <f>IF(ISERROR(VLOOKUP(Base_Periodo1[[#This Row],[CONTA]],BaseContasDRE[#All],4,FALSE)),"Fora do DRE",VLOOKUP(Base_Periodo1[[#This Row],[CONTA]],BaseContasDRE[#All],4,FALSE))</f>
        <v>Fora do DRE</v>
      </c>
      <c r="T4222" s="3" t="str">
        <f>IF(ISERROR(VLOOKUP(Base_Periodo1[[#This Row],[CONTA]],BaseContasDRE[#All],5,FALSE)),"Fora do DRE",VLOOKUP(Base_Periodo1[[#This Row],[CONTA]],BaseContasDRE[#All],6,FALSE))</f>
        <v>Fora do DRE</v>
      </c>
      <c r="U4222" s="3" t="str">
        <f>IF(ISERROR(VLOOKUP(Base_Periodo1[[#This Row],[CONTA]],BaseContasDRE[#All],7,FALSE)),"Fora do DRE",VLOOKUP(Base_Periodo1[[#This Row],[CONTA]],BaseContasDRE[#All],7,FALSE))</f>
        <v>Fora do DRE</v>
      </c>
      <c r="V4222" s="3" t="str">
        <f>IF(Base_Periodo1[[#This Row],[Tipo_Linha]]="Fora do DRE","Fora do DRE","( "&amp;Base_Periodo1[[#This Row],[Tipo_Linha]]&amp;" ) "&amp;Base_Periodo1[[#This Row],[Filtro]])</f>
        <v>Fora do DRE</v>
      </c>
      <c r="W4222" s="3" t="str">
        <f>LEFT(Base_Periodo1[[#This Row],[CLASS]],3)</f>
        <v>2.1</v>
      </c>
    </row>
    <row r="4223" spans="1:23" hidden="1">
      <c r="A4223" s="3" t="str">
        <f t="shared" si="65"/>
        <v>Período 1</v>
      </c>
      <c r="B4223">
        <v>1560</v>
      </c>
      <c r="C4223" t="s">
        <v>2226</v>
      </c>
      <c r="D4223" t="s">
        <v>2227</v>
      </c>
      <c r="E4223" s="3" t="str">
        <f>IF(LEN(Base_Periodo1[[#This Row],[CLASS]])&gt;=7,LEFT(Base_Periodo1[[#This Row],[CLASS]],7),"")</f>
        <v>2.1.4.1</v>
      </c>
      <c r="F4223" s="3" t="str">
        <f>VLOOKUP(Base_Periodo1[[#This Row],[Aux]],Base_Contas_Balanco[#All],2,FALSE)</f>
        <v>Tributos Federais</v>
      </c>
      <c r="G4223" s="1">
        <v>42886</v>
      </c>
      <c r="H4223" s="225">
        <v>203.51999999256805</v>
      </c>
      <c r="I4223" s="225">
        <v>0</v>
      </c>
      <c r="J4223" s="225">
        <v>57992.140000000014</v>
      </c>
      <c r="K4223" s="225">
        <v>57788.620000007446</v>
      </c>
      <c r="L42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57788.62</v>
      </c>
      <c r="M4223" s="225">
        <f>ROUND(IF(AND(Base_Periodo1[[#This Row],[Tipo_Linha]]="-",Base_Periodo1[[#This Row],[TIPOSALDO]]="D"),Base_Periodo1[[#This Row],[SALDO_ATUAL]]*-1,Base_Periodo1[[#This Row],[SALDO_ATUAL]]),4)</f>
        <v>57788.62</v>
      </c>
      <c r="N4223" t="s">
        <v>116</v>
      </c>
      <c r="O4223" t="s">
        <v>397</v>
      </c>
      <c r="P4223" t="s">
        <v>459</v>
      </c>
      <c r="Q4223">
        <v>5</v>
      </c>
      <c r="R4223" s="225">
        <f>Base_Periodo1[[#This Row],[CREDITOS]]-Base_Periodo1[[#This Row],[DEBITOS]]</f>
        <v>57992.140000000014</v>
      </c>
      <c r="S4223" s="3" t="str">
        <f>IF(ISERROR(VLOOKUP(Base_Periodo1[[#This Row],[CONTA]],BaseContasDRE[#All],4,FALSE)),"Fora do DRE",VLOOKUP(Base_Periodo1[[#This Row],[CONTA]],BaseContasDRE[#All],4,FALSE))</f>
        <v>Fora do DRE</v>
      </c>
      <c r="T4223" s="3" t="str">
        <f>IF(ISERROR(VLOOKUP(Base_Periodo1[[#This Row],[CONTA]],BaseContasDRE[#All],5,FALSE)),"Fora do DRE",VLOOKUP(Base_Periodo1[[#This Row],[CONTA]],BaseContasDRE[#All],6,FALSE))</f>
        <v>Fora do DRE</v>
      </c>
      <c r="U4223" s="3" t="str">
        <f>IF(ISERROR(VLOOKUP(Base_Periodo1[[#This Row],[CONTA]],BaseContasDRE[#All],7,FALSE)),"Fora do DRE",VLOOKUP(Base_Periodo1[[#This Row],[CONTA]],BaseContasDRE[#All],7,FALSE))</f>
        <v>Fora do DRE</v>
      </c>
      <c r="V4223" s="3" t="str">
        <f>IF(Base_Periodo1[[#This Row],[Tipo_Linha]]="Fora do DRE","Fora do DRE","( "&amp;Base_Periodo1[[#This Row],[Tipo_Linha]]&amp;" ) "&amp;Base_Periodo1[[#This Row],[Filtro]])</f>
        <v>Fora do DRE</v>
      </c>
      <c r="W4223" s="3" t="str">
        <f>LEFT(Base_Periodo1[[#This Row],[CLASS]],3)</f>
        <v>2.1</v>
      </c>
    </row>
    <row r="4224" spans="1:23" hidden="1">
      <c r="A4224" s="3" t="str">
        <f t="shared" si="65"/>
        <v>Período 1</v>
      </c>
      <c r="B4224">
        <v>1561</v>
      </c>
      <c r="C4224" t="s">
        <v>2228</v>
      </c>
      <c r="D4224" t="s">
        <v>2229</v>
      </c>
      <c r="E4224" s="3" t="str">
        <f>IF(LEN(Base_Periodo1[[#This Row],[CLASS]])&gt;=7,LEFT(Base_Periodo1[[#This Row],[CLASS]],7),"")</f>
        <v>2.1.4.1</v>
      </c>
      <c r="F4224" s="3" t="str">
        <f>VLOOKUP(Base_Periodo1[[#This Row],[Aux]],Base_Contas_Balanco[#All],2,FALSE)</f>
        <v>Tributos Federais</v>
      </c>
      <c r="G4224" s="1">
        <v>42886</v>
      </c>
      <c r="H4224" s="225">
        <v>44.180000001913868</v>
      </c>
      <c r="I4224" s="225">
        <v>0</v>
      </c>
      <c r="J4224" s="225">
        <v>12590.399999999992</v>
      </c>
      <c r="K4224" s="225">
        <v>12546.219999998078</v>
      </c>
      <c r="L42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12546.22</v>
      </c>
      <c r="M4224" s="225">
        <f>ROUND(IF(AND(Base_Periodo1[[#This Row],[Tipo_Linha]]="-",Base_Periodo1[[#This Row],[TIPOSALDO]]="D"),Base_Periodo1[[#This Row],[SALDO_ATUAL]]*-1,Base_Periodo1[[#This Row],[SALDO_ATUAL]]),4)</f>
        <v>12546.22</v>
      </c>
      <c r="N4224" t="s">
        <v>116</v>
      </c>
      <c r="O4224" t="s">
        <v>397</v>
      </c>
      <c r="P4224" t="s">
        <v>459</v>
      </c>
      <c r="Q4224">
        <v>5</v>
      </c>
      <c r="R4224" s="225">
        <f>Base_Periodo1[[#This Row],[CREDITOS]]-Base_Periodo1[[#This Row],[DEBITOS]]</f>
        <v>12590.399999999992</v>
      </c>
      <c r="S4224" s="3" t="str">
        <f>IF(ISERROR(VLOOKUP(Base_Periodo1[[#This Row],[CONTA]],BaseContasDRE[#All],4,FALSE)),"Fora do DRE",VLOOKUP(Base_Periodo1[[#This Row],[CONTA]],BaseContasDRE[#All],4,FALSE))</f>
        <v>Fora do DRE</v>
      </c>
      <c r="T4224" s="3" t="str">
        <f>IF(ISERROR(VLOOKUP(Base_Periodo1[[#This Row],[CONTA]],BaseContasDRE[#All],5,FALSE)),"Fora do DRE",VLOOKUP(Base_Periodo1[[#This Row],[CONTA]],BaseContasDRE[#All],6,FALSE))</f>
        <v>Fora do DRE</v>
      </c>
      <c r="U4224" s="3" t="str">
        <f>IF(ISERROR(VLOOKUP(Base_Periodo1[[#This Row],[CONTA]],BaseContasDRE[#All],7,FALSE)),"Fora do DRE",VLOOKUP(Base_Periodo1[[#This Row],[CONTA]],BaseContasDRE[#All],7,FALSE))</f>
        <v>Fora do DRE</v>
      </c>
      <c r="V4224" s="3" t="str">
        <f>IF(Base_Periodo1[[#This Row],[Tipo_Linha]]="Fora do DRE","Fora do DRE","( "&amp;Base_Periodo1[[#This Row],[Tipo_Linha]]&amp;" ) "&amp;Base_Periodo1[[#This Row],[Filtro]])</f>
        <v>Fora do DRE</v>
      </c>
      <c r="W4224" s="3" t="str">
        <f>LEFT(Base_Periodo1[[#This Row],[CLASS]],3)</f>
        <v>2.1</v>
      </c>
    </row>
    <row r="4225" spans="1:23" hidden="1">
      <c r="A4225" s="3" t="str">
        <f t="shared" si="65"/>
        <v>Período 1</v>
      </c>
      <c r="B4225">
        <v>1562</v>
      </c>
      <c r="C4225" t="s">
        <v>5841</v>
      </c>
      <c r="D4225" t="s">
        <v>5842</v>
      </c>
      <c r="E4225" s="3" t="str">
        <f>IF(LEN(Base_Periodo1[[#This Row],[CLASS]])&gt;=7,LEFT(Base_Periodo1[[#This Row],[CLASS]],7),"")</f>
        <v>2.1.4.1</v>
      </c>
      <c r="F4225" s="3" t="str">
        <f>VLOOKUP(Base_Periodo1[[#This Row],[Aux]],Base_Contas_Balanco[#All],2,FALSE)</f>
        <v>Tributos Federais</v>
      </c>
      <c r="G4225" s="1">
        <v>42886</v>
      </c>
      <c r="H4225" s="225">
        <v>132.81999999959953</v>
      </c>
      <c r="I4225" s="225">
        <v>132.82</v>
      </c>
      <c r="J4225" s="225">
        <v>34284.67</v>
      </c>
      <c r="K4225" s="225">
        <v>34284.669999999598</v>
      </c>
      <c r="L42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34284.67</v>
      </c>
      <c r="M4225" s="225">
        <f>ROUND(IF(AND(Base_Periodo1[[#This Row],[Tipo_Linha]]="-",Base_Periodo1[[#This Row],[TIPOSALDO]]="D"),Base_Periodo1[[#This Row],[SALDO_ATUAL]]*-1,Base_Periodo1[[#This Row],[SALDO_ATUAL]]),4)</f>
        <v>34284.67</v>
      </c>
      <c r="N4225" t="s">
        <v>116</v>
      </c>
      <c r="O4225" t="s">
        <v>459</v>
      </c>
      <c r="P4225" t="s">
        <v>459</v>
      </c>
      <c r="Q4225">
        <v>5</v>
      </c>
      <c r="R4225" s="225">
        <f>Base_Periodo1[[#This Row],[CREDITOS]]-Base_Periodo1[[#This Row],[DEBITOS]]</f>
        <v>34151.85</v>
      </c>
      <c r="S4225" s="3" t="str">
        <f>IF(ISERROR(VLOOKUP(Base_Periodo1[[#This Row],[CONTA]],BaseContasDRE[#All],4,FALSE)),"Fora do DRE",VLOOKUP(Base_Periodo1[[#This Row],[CONTA]],BaseContasDRE[#All],4,FALSE))</f>
        <v>Fora do DRE</v>
      </c>
      <c r="T4225" s="3" t="str">
        <f>IF(ISERROR(VLOOKUP(Base_Periodo1[[#This Row],[CONTA]],BaseContasDRE[#All],5,FALSE)),"Fora do DRE",VLOOKUP(Base_Periodo1[[#This Row],[CONTA]],BaseContasDRE[#All],6,FALSE))</f>
        <v>Fora do DRE</v>
      </c>
      <c r="U4225" s="3" t="str">
        <f>IF(ISERROR(VLOOKUP(Base_Periodo1[[#This Row],[CONTA]],BaseContasDRE[#All],7,FALSE)),"Fora do DRE",VLOOKUP(Base_Periodo1[[#This Row],[CONTA]],BaseContasDRE[#All],7,FALSE))</f>
        <v>Fora do DRE</v>
      </c>
      <c r="V4225" s="3" t="str">
        <f>IF(Base_Periodo1[[#This Row],[Tipo_Linha]]="Fora do DRE","Fora do DRE","( "&amp;Base_Periodo1[[#This Row],[Tipo_Linha]]&amp;" ) "&amp;Base_Periodo1[[#This Row],[Filtro]])</f>
        <v>Fora do DRE</v>
      </c>
      <c r="W4225" s="3" t="str">
        <f>LEFT(Base_Periodo1[[#This Row],[CLASS]],3)</f>
        <v>2.1</v>
      </c>
    </row>
    <row r="4226" spans="1:23" hidden="1">
      <c r="A4226" s="3" t="str">
        <f t="shared" si="65"/>
        <v>Período 1</v>
      </c>
      <c r="B4226">
        <v>1563</v>
      </c>
      <c r="C4226" t="s">
        <v>2230</v>
      </c>
      <c r="D4226" t="s">
        <v>2231</v>
      </c>
      <c r="E4226" s="3" t="str">
        <f>IF(LEN(Base_Periodo1[[#This Row],[CLASS]])&gt;=7,LEFT(Base_Periodo1[[#This Row],[CLASS]],7),"")</f>
        <v>2.1.4.1</v>
      </c>
      <c r="F4226" s="3" t="str">
        <f>VLOOKUP(Base_Periodo1[[#This Row],[Aux]],Base_Contas_Balanco[#All],2,FALSE)</f>
        <v>Tributos Federais</v>
      </c>
      <c r="G4226" s="1">
        <v>42886</v>
      </c>
      <c r="H4226" s="225">
        <v>21300.139999995939</v>
      </c>
      <c r="I4226" s="225">
        <v>21300.14</v>
      </c>
      <c r="J4226" s="225">
        <v>12911.76</v>
      </c>
      <c r="K4226" s="225">
        <v>12911.75999999594</v>
      </c>
      <c r="L42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12911.76</v>
      </c>
      <c r="M4226" s="225">
        <f>ROUND(IF(AND(Base_Periodo1[[#This Row],[Tipo_Linha]]="-",Base_Periodo1[[#This Row],[TIPOSALDO]]="D"),Base_Periodo1[[#This Row],[SALDO_ATUAL]]*-1,Base_Periodo1[[#This Row],[SALDO_ATUAL]]),4)</f>
        <v>12911.76</v>
      </c>
      <c r="N4226" t="s">
        <v>116</v>
      </c>
      <c r="O4226" t="s">
        <v>459</v>
      </c>
      <c r="P4226" t="s">
        <v>459</v>
      </c>
      <c r="Q4226">
        <v>5</v>
      </c>
      <c r="R4226" s="225">
        <f>Base_Periodo1[[#This Row],[CREDITOS]]-Base_Periodo1[[#This Row],[DEBITOS]]</f>
        <v>-8388.3799999999992</v>
      </c>
      <c r="S4226" s="3" t="str">
        <f>IF(ISERROR(VLOOKUP(Base_Periodo1[[#This Row],[CONTA]],BaseContasDRE[#All],4,FALSE)),"Fora do DRE",VLOOKUP(Base_Periodo1[[#This Row],[CONTA]],BaseContasDRE[#All],4,FALSE))</f>
        <v>Fora do DRE</v>
      </c>
      <c r="T4226" s="3" t="str">
        <f>IF(ISERROR(VLOOKUP(Base_Periodo1[[#This Row],[CONTA]],BaseContasDRE[#All],5,FALSE)),"Fora do DRE",VLOOKUP(Base_Periodo1[[#This Row],[CONTA]],BaseContasDRE[#All],6,FALSE))</f>
        <v>Fora do DRE</v>
      </c>
      <c r="U4226" s="3" t="str">
        <f>IF(ISERROR(VLOOKUP(Base_Periodo1[[#This Row],[CONTA]],BaseContasDRE[#All],7,FALSE)),"Fora do DRE",VLOOKUP(Base_Periodo1[[#This Row],[CONTA]],BaseContasDRE[#All],7,FALSE))</f>
        <v>Fora do DRE</v>
      </c>
      <c r="V4226" s="3" t="str">
        <f>IF(Base_Periodo1[[#This Row],[Tipo_Linha]]="Fora do DRE","Fora do DRE","( "&amp;Base_Periodo1[[#This Row],[Tipo_Linha]]&amp;" ) "&amp;Base_Periodo1[[#This Row],[Filtro]])</f>
        <v>Fora do DRE</v>
      </c>
      <c r="W4226" s="3" t="str">
        <f>LEFT(Base_Periodo1[[#This Row],[CLASS]],3)</f>
        <v>2.1</v>
      </c>
    </row>
    <row r="4227" spans="1:23" hidden="1">
      <c r="A4227" s="3" t="str">
        <f t="shared" si="65"/>
        <v>Período 1</v>
      </c>
      <c r="B4227">
        <v>10841</v>
      </c>
      <c r="C4227" t="s">
        <v>2232</v>
      </c>
      <c r="D4227" t="s">
        <v>2233</v>
      </c>
      <c r="E4227" s="3" t="str">
        <f>IF(LEN(Base_Periodo1[[#This Row],[CLASS]])&gt;=7,LEFT(Base_Periodo1[[#This Row],[CLASS]],7),"")</f>
        <v>2.1.4.1</v>
      </c>
      <c r="F4227" s="3" t="str">
        <f>VLOOKUP(Base_Periodo1[[#This Row],[Aux]],Base_Contas_Balanco[#All],2,FALSE)</f>
        <v>Tributos Federais</v>
      </c>
      <c r="G4227" s="1">
        <v>42880</v>
      </c>
      <c r="H4227" s="225">
        <v>64978.370000000577</v>
      </c>
      <c r="I4227" s="225">
        <v>64978.37</v>
      </c>
      <c r="J4227" s="225">
        <v>40683.369999999995</v>
      </c>
      <c r="K4227" s="225">
        <v>40683.37000000057</v>
      </c>
      <c r="L42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40683.370000000003</v>
      </c>
      <c r="M4227" s="225">
        <f>ROUND(IF(AND(Base_Periodo1[[#This Row],[Tipo_Linha]]="-",Base_Periodo1[[#This Row],[TIPOSALDO]]="D"),Base_Periodo1[[#This Row],[SALDO_ATUAL]]*-1,Base_Periodo1[[#This Row],[SALDO_ATUAL]]),4)</f>
        <v>40683.370000000003</v>
      </c>
      <c r="N4227" t="s">
        <v>116</v>
      </c>
      <c r="O4227" t="s">
        <v>459</v>
      </c>
      <c r="P4227" t="s">
        <v>459</v>
      </c>
      <c r="Q4227">
        <v>5</v>
      </c>
      <c r="R4227" s="225">
        <f>Base_Periodo1[[#This Row],[CREDITOS]]-Base_Periodo1[[#This Row],[DEBITOS]]</f>
        <v>-24295.000000000007</v>
      </c>
      <c r="S4227" s="3" t="str">
        <f>IF(ISERROR(VLOOKUP(Base_Periodo1[[#This Row],[CONTA]],BaseContasDRE[#All],4,FALSE)),"Fora do DRE",VLOOKUP(Base_Periodo1[[#This Row],[CONTA]],BaseContasDRE[#All],4,FALSE))</f>
        <v>Fora do DRE</v>
      </c>
      <c r="T4227" s="3" t="str">
        <f>IF(ISERROR(VLOOKUP(Base_Periodo1[[#This Row],[CONTA]],BaseContasDRE[#All],5,FALSE)),"Fora do DRE",VLOOKUP(Base_Periodo1[[#This Row],[CONTA]],BaseContasDRE[#All],6,FALSE))</f>
        <v>Fora do DRE</v>
      </c>
      <c r="U4227" s="3" t="str">
        <f>IF(ISERROR(VLOOKUP(Base_Periodo1[[#This Row],[CONTA]],BaseContasDRE[#All],7,FALSE)),"Fora do DRE",VLOOKUP(Base_Periodo1[[#This Row],[CONTA]],BaseContasDRE[#All],7,FALSE))</f>
        <v>Fora do DRE</v>
      </c>
      <c r="V4227" s="3" t="str">
        <f>IF(Base_Periodo1[[#This Row],[Tipo_Linha]]="Fora do DRE","Fora do DRE","( "&amp;Base_Periodo1[[#This Row],[Tipo_Linha]]&amp;" ) "&amp;Base_Periodo1[[#This Row],[Filtro]])</f>
        <v>Fora do DRE</v>
      </c>
      <c r="W4227" s="3" t="str">
        <f>LEFT(Base_Periodo1[[#This Row],[CLASS]],3)</f>
        <v>2.1</v>
      </c>
    </row>
    <row r="4228" spans="1:23" hidden="1">
      <c r="A4228" s="3" t="str">
        <f t="shared" si="65"/>
        <v>Período 1</v>
      </c>
      <c r="B4228">
        <v>1565</v>
      </c>
      <c r="C4228" t="s">
        <v>46</v>
      </c>
      <c r="D4228" t="s">
        <v>47</v>
      </c>
      <c r="E4228" s="3" t="str">
        <f>IF(LEN(Base_Periodo1[[#This Row],[CLASS]])&gt;=7,LEFT(Base_Periodo1[[#This Row],[CLASS]],7),"")</f>
        <v>2.1.4.2</v>
      </c>
      <c r="F4228" s="3" t="str">
        <f>VLOOKUP(Base_Periodo1[[#This Row],[Aux]],Base_Contas_Balanco[#All],2,FALSE)</f>
        <v>Tributos Estaduais</v>
      </c>
      <c r="G4228" s="1"/>
      <c r="I4228" s="225">
        <v>2687925.6</v>
      </c>
      <c r="J4228" s="225">
        <v>2687925.6000000029</v>
      </c>
      <c r="K4228" s="225">
        <v>4.4424086809158325E-7</v>
      </c>
      <c r="L42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228" s="225">
        <f>ROUND(IF(AND(Base_Periodo1[[#This Row],[Tipo_Linha]]="-",Base_Periodo1[[#This Row],[TIPOSALDO]]="D"),Base_Periodo1[[#This Row],[SALDO_ATUAL]]*-1,Base_Periodo1[[#This Row],[SALDO_ATUAL]]),4)</f>
        <v>0</v>
      </c>
      <c r="N4228" t="s">
        <v>396</v>
      </c>
      <c r="O4228" t="s">
        <v>436</v>
      </c>
      <c r="P4228" t="s">
        <v>436</v>
      </c>
      <c r="Q4228">
        <v>4</v>
      </c>
      <c r="R4228" s="225">
        <f>Base_Periodo1[[#This Row],[CREDITOS]]-Base_Periodo1[[#This Row],[DEBITOS]]</f>
        <v>0</v>
      </c>
      <c r="S4228" s="3" t="str">
        <f>IF(ISERROR(VLOOKUP(Base_Periodo1[[#This Row],[CONTA]],BaseContasDRE[#All],4,FALSE)),"Fora do DRE",VLOOKUP(Base_Periodo1[[#This Row],[CONTA]],BaseContasDRE[#All],4,FALSE))</f>
        <v>Fora do DRE</v>
      </c>
      <c r="T4228" s="3" t="str">
        <f>IF(ISERROR(VLOOKUP(Base_Periodo1[[#This Row],[CONTA]],BaseContasDRE[#All],5,FALSE)),"Fora do DRE",VLOOKUP(Base_Periodo1[[#This Row],[CONTA]],BaseContasDRE[#All],6,FALSE))</f>
        <v>Fora do DRE</v>
      </c>
      <c r="U4228" s="3" t="str">
        <f>IF(ISERROR(VLOOKUP(Base_Periodo1[[#This Row],[CONTA]],BaseContasDRE[#All],7,FALSE)),"Fora do DRE",VLOOKUP(Base_Periodo1[[#This Row],[CONTA]],BaseContasDRE[#All],7,FALSE))</f>
        <v>Fora do DRE</v>
      </c>
      <c r="V4228" s="3" t="str">
        <f>IF(Base_Periodo1[[#This Row],[Tipo_Linha]]="Fora do DRE","Fora do DRE","( "&amp;Base_Periodo1[[#This Row],[Tipo_Linha]]&amp;" ) "&amp;Base_Periodo1[[#This Row],[Filtro]])</f>
        <v>Fora do DRE</v>
      </c>
      <c r="W4228" s="3" t="str">
        <f>LEFT(Base_Periodo1[[#This Row],[CLASS]],3)</f>
        <v>2.1</v>
      </c>
    </row>
    <row r="4229" spans="1:23" hidden="1">
      <c r="A4229" s="3" t="str">
        <f t="shared" si="65"/>
        <v>Período 1</v>
      </c>
      <c r="B4229">
        <v>1566</v>
      </c>
      <c r="C4229" t="s">
        <v>2234</v>
      </c>
      <c r="D4229" t="s">
        <v>2235</v>
      </c>
      <c r="E4229" s="3" t="str">
        <f>IF(LEN(Base_Periodo1[[#This Row],[CLASS]])&gt;=7,LEFT(Base_Periodo1[[#This Row],[CLASS]],7),"")</f>
        <v>2.1.4.2</v>
      </c>
      <c r="F4229" s="3" t="str">
        <f>VLOOKUP(Base_Periodo1[[#This Row],[Aux]],Base_Contas_Balanco[#All],2,FALSE)</f>
        <v>Tributos Estaduais</v>
      </c>
      <c r="G4229" s="1">
        <v>42886</v>
      </c>
      <c r="I4229" s="225">
        <v>2687925.6</v>
      </c>
      <c r="J4229" s="225">
        <v>2687925.6000000029</v>
      </c>
      <c r="K4229" s="225">
        <v>4.4424086809158325E-7</v>
      </c>
      <c r="L42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229" s="225">
        <f>ROUND(IF(AND(Base_Periodo1[[#This Row],[Tipo_Linha]]="-",Base_Periodo1[[#This Row],[TIPOSALDO]]="D"),Base_Periodo1[[#This Row],[SALDO_ATUAL]]*-1,Base_Periodo1[[#This Row],[SALDO_ATUAL]]),4)</f>
        <v>0</v>
      </c>
      <c r="N4229" t="s">
        <v>116</v>
      </c>
      <c r="O4229" t="s">
        <v>436</v>
      </c>
      <c r="P4229" t="s">
        <v>436</v>
      </c>
      <c r="Q4229">
        <v>5</v>
      </c>
      <c r="R4229" s="225">
        <f>Base_Periodo1[[#This Row],[CREDITOS]]-Base_Periodo1[[#This Row],[DEBITOS]]</f>
        <v>0</v>
      </c>
      <c r="S4229" s="3" t="str">
        <f>IF(ISERROR(VLOOKUP(Base_Periodo1[[#This Row],[CONTA]],BaseContasDRE[#All],4,FALSE)),"Fora do DRE",VLOOKUP(Base_Periodo1[[#This Row],[CONTA]],BaseContasDRE[#All],4,FALSE))</f>
        <v>Fora do DRE</v>
      </c>
      <c r="T4229" s="3" t="str">
        <f>IF(ISERROR(VLOOKUP(Base_Periodo1[[#This Row],[CONTA]],BaseContasDRE[#All],5,FALSE)),"Fora do DRE",VLOOKUP(Base_Periodo1[[#This Row],[CONTA]],BaseContasDRE[#All],6,FALSE))</f>
        <v>Fora do DRE</v>
      </c>
      <c r="U4229" s="3" t="str">
        <f>IF(ISERROR(VLOOKUP(Base_Periodo1[[#This Row],[CONTA]],BaseContasDRE[#All],7,FALSE)),"Fora do DRE",VLOOKUP(Base_Periodo1[[#This Row],[CONTA]],BaseContasDRE[#All],7,FALSE))</f>
        <v>Fora do DRE</v>
      </c>
      <c r="V4229" s="3" t="str">
        <f>IF(Base_Periodo1[[#This Row],[Tipo_Linha]]="Fora do DRE","Fora do DRE","( "&amp;Base_Periodo1[[#This Row],[Tipo_Linha]]&amp;" ) "&amp;Base_Periodo1[[#This Row],[Filtro]])</f>
        <v>Fora do DRE</v>
      </c>
      <c r="W4229" s="3" t="str">
        <f>LEFT(Base_Periodo1[[#This Row],[CLASS]],3)</f>
        <v>2.1</v>
      </c>
    </row>
    <row r="4230" spans="1:23" hidden="1">
      <c r="A4230" s="3" t="str">
        <f t="shared" ref="A4230:A4293" si="66">"Período 1"</f>
        <v>Período 1</v>
      </c>
      <c r="B4230">
        <v>1568</v>
      </c>
      <c r="C4230" t="s">
        <v>48</v>
      </c>
      <c r="D4230" t="s">
        <v>49</v>
      </c>
      <c r="E4230" s="3" t="str">
        <f>IF(LEN(Base_Periodo1[[#This Row],[CLASS]])&gt;=7,LEFT(Base_Periodo1[[#This Row],[CLASS]],7),"")</f>
        <v>2.1.4.3</v>
      </c>
      <c r="F4230" s="3" t="str">
        <f>VLOOKUP(Base_Periodo1[[#This Row],[Aux]],Base_Contas_Balanco[#All],2,FALSE)</f>
        <v>Tributos Municipais</v>
      </c>
      <c r="G4230" s="1"/>
      <c r="H4230" s="225">
        <v>10730.910000001546</v>
      </c>
      <c r="I4230" s="225">
        <v>10731.080000000002</v>
      </c>
      <c r="J4230" s="225">
        <v>12012.030000000002</v>
      </c>
      <c r="K4230" s="225">
        <v>12011.860000001547</v>
      </c>
      <c r="L42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12011.86</v>
      </c>
      <c r="M4230" s="225">
        <f>ROUND(IF(AND(Base_Periodo1[[#This Row],[Tipo_Linha]]="-",Base_Periodo1[[#This Row],[TIPOSALDO]]="D"),Base_Periodo1[[#This Row],[SALDO_ATUAL]]*-1,Base_Periodo1[[#This Row],[SALDO_ATUAL]]),4)</f>
        <v>12011.86</v>
      </c>
      <c r="N4230" t="s">
        <v>396</v>
      </c>
      <c r="O4230" t="s">
        <v>459</v>
      </c>
      <c r="P4230" t="s">
        <v>459</v>
      </c>
      <c r="Q4230">
        <v>4</v>
      </c>
      <c r="R4230" s="225">
        <f>Base_Periodo1[[#This Row],[CREDITOS]]-Base_Periodo1[[#This Row],[DEBITOS]]</f>
        <v>1280.9500000000007</v>
      </c>
      <c r="S4230" s="3" t="str">
        <f>IF(ISERROR(VLOOKUP(Base_Periodo1[[#This Row],[CONTA]],BaseContasDRE[#All],4,FALSE)),"Fora do DRE",VLOOKUP(Base_Periodo1[[#This Row],[CONTA]],BaseContasDRE[#All],4,FALSE))</f>
        <v>Fora do DRE</v>
      </c>
      <c r="T4230" s="3" t="str">
        <f>IF(ISERROR(VLOOKUP(Base_Periodo1[[#This Row],[CONTA]],BaseContasDRE[#All],5,FALSE)),"Fora do DRE",VLOOKUP(Base_Periodo1[[#This Row],[CONTA]],BaseContasDRE[#All],6,FALSE))</f>
        <v>Fora do DRE</v>
      </c>
      <c r="U4230" s="3" t="str">
        <f>IF(ISERROR(VLOOKUP(Base_Periodo1[[#This Row],[CONTA]],BaseContasDRE[#All],7,FALSE)),"Fora do DRE",VLOOKUP(Base_Periodo1[[#This Row],[CONTA]],BaseContasDRE[#All],7,FALSE))</f>
        <v>Fora do DRE</v>
      </c>
      <c r="V4230" s="3" t="str">
        <f>IF(Base_Periodo1[[#This Row],[Tipo_Linha]]="Fora do DRE","Fora do DRE","( "&amp;Base_Periodo1[[#This Row],[Tipo_Linha]]&amp;" ) "&amp;Base_Periodo1[[#This Row],[Filtro]])</f>
        <v>Fora do DRE</v>
      </c>
      <c r="W4230" s="3" t="str">
        <f>LEFT(Base_Periodo1[[#This Row],[CLASS]],3)</f>
        <v>2.1</v>
      </c>
    </row>
    <row r="4231" spans="1:23" hidden="1">
      <c r="A4231" s="3" t="str">
        <f t="shared" si="66"/>
        <v>Período 1</v>
      </c>
      <c r="B4231">
        <v>1569</v>
      </c>
      <c r="C4231" t="s">
        <v>2236</v>
      </c>
      <c r="D4231" t="s">
        <v>2237</v>
      </c>
      <c r="E4231" s="3" t="str">
        <f>IF(LEN(Base_Periodo1[[#This Row],[CLASS]])&gt;=7,LEFT(Base_Periodo1[[#This Row],[CLASS]],7),"")</f>
        <v>2.1.4.3</v>
      </c>
      <c r="F4231" s="3" t="str">
        <f>VLOOKUP(Base_Periodo1[[#This Row],[Aux]],Base_Contas_Balanco[#All],2,FALSE)</f>
        <v>Tributos Municipais</v>
      </c>
      <c r="G4231" s="1">
        <v>42886</v>
      </c>
      <c r="H4231" s="225">
        <v>10730.910000001546</v>
      </c>
      <c r="I4231" s="225">
        <v>10731.080000000002</v>
      </c>
      <c r="J4231" s="225">
        <v>12012.030000000002</v>
      </c>
      <c r="K4231" s="225">
        <v>12011.860000001547</v>
      </c>
      <c r="L42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12011.86</v>
      </c>
      <c r="M4231" s="225">
        <f>ROUND(IF(AND(Base_Periodo1[[#This Row],[Tipo_Linha]]="-",Base_Periodo1[[#This Row],[TIPOSALDO]]="D"),Base_Periodo1[[#This Row],[SALDO_ATUAL]]*-1,Base_Periodo1[[#This Row],[SALDO_ATUAL]]),4)</f>
        <v>12011.86</v>
      </c>
      <c r="N4231" t="s">
        <v>116</v>
      </c>
      <c r="O4231" t="s">
        <v>459</v>
      </c>
      <c r="P4231" t="s">
        <v>459</v>
      </c>
      <c r="Q4231">
        <v>5</v>
      </c>
      <c r="R4231" s="225">
        <f>Base_Periodo1[[#This Row],[CREDITOS]]-Base_Periodo1[[#This Row],[DEBITOS]]</f>
        <v>1280.9500000000007</v>
      </c>
      <c r="S4231" s="3" t="str">
        <f>IF(ISERROR(VLOOKUP(Base_Periodo1[[#This Row],[CONTA]],BaseContasDRE[#All],4,FALSE)),"Fora do DRE",VLOOKUP(Base_Periodo1[[#This Row],[CONTA]],BaseContasDRE[#All],4,FALSE))</f>
        <v>Fora do DRE</v>
      </c>
      <c r="T4231" s="3" t="str">
        <f>IF(ISERROR(VLOOKUP(Base_Periodo1[[#This Row],[CONTA]],BaseContasDRE[#All],5,FALSE)),"Fora do DRE",VLOOKUP(Base_Periodo1[[#This Row],[CONTA]],BaseContasDRE[#All],6,FALSE))</f>
        <v>Fora do DRE</v>
      </c>
      <c r="U4231" s="3" t="str">
        <f>IF(ISERROR(VLOOKUP(Base_Periodo1[[#This Row],[CONTA]],BaseContasDRE[#All],7,FALSE)),"Fora do DRE",VLOOKUP(Base_Periodo1[[#This Row],[CONTA]],BaseContasDRE[#All],7,FALSE))</f>
        <v>Fora do DRE</v>
      </c>
      <c r="V4231" s="3" t="str">
        <f>IF(Base_Periodo1[[#This Row],[Tipo_Linha]]="Fora do DRE","Fora do DRE","( "&amp;Base_Periodo1[[#This Row],[Tipo_Linha]]&amp;" ) "&amp;Base_Periodo1[[#This Row],[Filtro]])</f>
        <v>Fora do DRE</v>
      </c>
      <c r="W4231" s="3" t="str">
        <f>LEFT(Base_Periodo1[[#This Row],[CLASS]],3)</f>
        <v>2.1</v>
      </c>
    </row>
    <row r="4232" spans="1:23" hidden="1">
      <c r="A4232" s="3" t="str">
        <f t="shared" si="66"/>
        <v>Período 1</v>
      </c>
      <c r="B4232">
        <v>1570</v>
      </c>
      <c r="C4232" t="s">
        <v>2238</v>
      </c>
      <c r="D4232" t="s">
        <v>2239</v>
      </c>
      <c r="E4232" s="3" t="str">
        <f>IF(LEN(Base_Periodo1[[#This Row],[CLASS]])&gt;=7,LEFT(Base_Periodo1[[#This Row],[CLASS]],7),"")</f>
        <v/>
      </c>
      <c r="F4232" s="3" t="e">
        <f>VLOOKUP(Base_Periodo1[[#This Row],[Aux]],Base_Contas_Balanco[#All],2,FALSE)</f>
        <v>#N/A</v>
      </c>
      <c r="G4232" s="1"/>
      <c r="H4232" s="225">
        <v>3902806.4200003422</v>
      </c>
      <c r="I4232" s="225">
        <v>2152119.9799999995</v>
      </c>
      <c r="J4232" s="225">
        <v>2230684.8299999996</v>
      </c>
      <c r="K4232" s="225">
        <v>3981371.2700003423</v>
      </c>
      <c r="L42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3981371.27</v>
      </c>
      <c r="M4232" s="225">
        <f>ROUND(IF(AND(Base_Periodo1[[#This Row],[Tipo_Linha]]="-",Base_Periodo1[[#This Row],[TIPOSALDO]]="D"),Base_Periodo1[[#This Row],[SALDO_ATUAL]]*-1,Base_Periodo1[[#This Row],[SALDO_ATUAL]]),4)</f>
        <v>3981371.27</v>
      </c>
      <c r="N4232" t="s">
        <v>396</v>
      </c>
      <c r="O4232" t="s">
        <v>459</v>
      </c>
      <c r="P4232" t="s">
        <v>459</v>
      </c>
      <c r="Q4232">
        <v>3</v>
      </c>
      <c r="R4232" s="225">
        <f>Base_Periodo1[[#This Row],[CREDITOS]]-Base_Periodo1[[#This Row],[DEBITOS]]</f>
        <v>78564.850000000093</v>
      </c>
      <c r="S4232" s="3" t="str">
        <f>IF(ISERROR(VLOOKUP(Base_Periodo1[[#This Row],[CONTA]],BaseContasDRE[#All],4,FALSE)),"Fora do DRE",VLOOKUP(Base_Periodo1[[#This Row],[CONTA]],BaseContasDRE[#All],4,FALSE))</f>
        <v>Fora do DRE</v>
      </c>
      <c r="T4232" s="3" t="str">
        <f>IF(ISERROR(VLOOKUP(Base_Periodo1[[#This Row],[CONTA]],BaseContasDRE[#All],5,FALSE)),"Fora do DRE",VLOOKUP(Base_Periodo1[[#This Row],[CONTA]],BaseContasDRE[#All],6,FALSE))</f>
        <v>Fora do DRE</v>
      </c>
      <c r="U4232" s="3" t="str">
        <f>IF(ISERROR(VLOOKUP(Base_Periodo1[[#This Row],[CONTA]],BaseContasDRE[#All],7,FALSE)),"Fora do DRE",VLOOKUP(Base_Periodo1[[#This Row],[CONTA]],BaseContasDRE[#All],7,FALSE))</f>
        <v>Fora do DRE</v>
      </c>
      <c r="V4232" s="3" t="str">
        <f>IF(Base_Periodo1[[#This Row],[Tipo_Linha]]="Fora do DRE","Fora do DRE","( "&amp;Base_Periodo1[[#This Row],[Tipo_Linha]]&amp;" ) "&amp;Base_Periodo1[[#This Row],[Filtro]])</f>
        <v>Fora do DRE</v>
      </c>
      <c r="W4232" s="3" t="str">
        <f>LEFT(Base_Periodo1[[#This Row],[CLASS]],3)</f>
        <v>2.1</v>
      </c>
    </row>
    <row r="4233" spans="1:23" hidden="1">
      <c r="A4233" s="3" t="str">
        <f t="shared" si="66"/>
        <v>Período 1</v>
      </c>
      <c r="B4233">
        <v>1571</v>
      </c>
      <c r="C4233" t="s">
        <v>50</v>
      </c>
      <c r="D4233" t="s">
        <v>51</v>
      </c>
      <c r="E4233" s="3" t="str">
        <f>IF(LEN(Base_Periodo1[[#This Row],[CLASS]])&gt;=7,LEFT(Base_Periodo1[[#This Row],[CLASS]],7),"")</f>
        <v>2.1.5.1</v>
      </c>
      <c r="F4233" s="3" t="str">
        <f>VLOOKUP(Base_Periodo1[[#This Row],[Aux]],Base_Contas_Balanco[#All],2,FALSE)</f>
        <v>Encargos Trabalhistas</v>
      </c>
      <c r="G4233" s="1"/>
      <c r="H4233" s="225">
        <v>1229338.0700002699</v>
      </c>
      <c r="I4233" s="225">
        <v>1133490.9599999997</v>
      </c>
      <c r="J4233" s="225">
        <v>1087900.9199999995</v>
      </c>
      <c r="K4233" s="225">
        <v>1183748.0300002696</v>
      </c>
      <c r="L42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1183748.03</v>
      </c>
      <c r="M4233" s="225">
        <f>ROUND(IF(AND(Base_Periodo1[[#This Row],[Tipo_Linha]]="-",Base_Periodo1[[#This Row],[TIPOSALDO]]="D"),Base_Periodo1[[#This Row],[SALDO_ATUAL]]*-1,Base_Periodo1[[#This Row],[SALDO_ATUAL]]),4)</f>
        <v>1183748.03</v>
      </c>
      <c r="N4233" t="s">
        <v>396</v>
      </c>
      <c r="O4233" t="s">
        <v>459</v>
      </c>
      <c r="P4233" t="s">
        <v>459</v>
      </c>
      <c r="Q4233">
        <v>4</v>
      </c>
      <c r="R4233" s="225">
        <f>Base_Periodo1[[#This Row],[CREDITOS]]-Base_Periodo1[[#This Row],[DEBITOS]]</f>
        <v>-45590.04000000027</v>
      </c>
      <c r="S4233" s="3" t="str">
        <f>IF(ISERROR(VLOOKUP(Base_Periodo1[[#This Row],[CONTA]],BaseContasDRE[#All],4,FALSE)),"Fora do DRE",VLOOKUP(Base_Periodo1[[#This Row],[CONTA]],BaseContasDRE[#All],4,FALSE))</f>
        <v>Fora do DRE</v>
      </c>
      <c r="T4233" s="3" t="str">
        <f>IF(ISERROR(VLOOKUP(Base_Periodo1[[#This Row],[CONTA]],BaseContasDRE[#All],5,FALSE)),"Fora do DRE",VLOOKUP(Base_Periodo1[[#This Row],[CONTA]],BaseContasDRE[#All],6,FALSE))</f>
        <v>Fora do DRE</v>
      </c>
      <c r="U4233" s="3" t="str">
        <f>IF(ISERROR(VLOOKUP(Base_Periodo1[[#This Row],[CONTA]],BaseContasDRE[#All],7,FALSE)),"Fora do DRE",VLOOKUP(Base_Periodo1[[#This Row],[CONTA]],BaseContasDRE[#All],7,FALSE))</f>
        <v>Fora do DRE</v>
      </c>
      <c r="V4233" s="3" t="str">
        <f>IF(Base_Periodo1[[#This Row],[Tipo_Linha]]="Fora do DRE","Fora do DRE","( "&amp;Base_Periodo1[[#This Row],[Tipo_Linha]]&amp;" ) "&amp;Base_Periodo1[[#This Row],[Filtro]])</f>
        <v>Fora do DRE</v>
      </c>
      <c r="W4233" s="3" t="str">
        <f>LEFT(Base_Periodo1[[#This Row],[CLASS]],3)</f>
        <v>2.1</v>
      </c>
    </row>
    <row r="4234" spans="1:23" hidden="1">
      <c r="A4234" s="3" t="str">
        <f t="shared" si="66"/>
        <v>Período 1</v>
      </c>
      <c r="B4234">
        <v>1572</v>
      </c>
      <c r="C4234" t="s">
        <v>2240</v>
      </c>
      <c r="D4234" t="s">
        <v>2241</v>
      </c>
      <c r="E4234" s="3" t="str">
        <f>IF(LEN(Base_Periodo1[[#This Row],[CLASS]])&gt;=7,LEFT(Base_Periodo1[[#This Row],[CLASS]],7),"")</f>
        <v>2.1.5.1</v>
      </c>
      <c r="F4234" s="3" t="str">
        <f>VLOOKUP(Base_Periodo1[[#This Row],[Aux]],Base_Contas_Balanco[#All],2,FALSE)</f>
        <v>Encargos Trabalhistas</v>
      </c>
      <c r="G4234" s="1">
        <v>42886</v>
      </c>
      <c r="H4234" s="225">
        <v>753813.04000027478</v>
      </c>
      <c r="I4234" s="225">
        <v>972387.16999999981</v>
      </c>
      <c r="J4234" s="225">
        <v>939549.71999999939</v>
      </c>
      <c r="K4234" s="225">
        <v>720975.59000027436</v>
      </c>
      <c r="L42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720975.59</v>
      </c>
      <c r="M4234" s="225">
        <f>ROUND(IF(AND(Base_Periodo1[[#This Row],[Tipo_Linha]]="-",Base_Periodo1[[#This Row],[TIPOSALDO]]="D"),Base_Periodo1[[#This Row],[SALDO_ATUAL]]*-1,Base_Periodo1[[#This Row],[SALDO_ATUAL]]),4)</f>
        <v>720975.59</v>
      </c>
      <c r="N4234" t="s">
        <v>116</v>
      </c>
      <c r="O4234" t="s">
        <v>459</v>
      </c>
      <c r="P4234" t="s">
        <v>459</v>
      </c>
      <c r="Q4234">
        <v>5</v>
      </c>
      <c r="R4234" s="225">
        <f>Base_Periodo1[[#This Row],[CREDITOS]]-Base_Periodo1[[#This Row],[DEBITOS]]</f>
        <v>-32837.450000000419</v>
      </c>
      <c r="S4234" s="3" t="str">
        <f>IF(ISERROR(VLOOKUP(Base_Periodo1[[#This Row],[CONTA]],BaseContasDRE[#All],4,FALSE)),"Fora do DRE",VLOOKUP(Base_Periodo1[[#This Row],[CONTA]],BaseContasDRE[#All],4,FALSE))</f>
        <v>Fora do DRE</v>
      </c>
      <c r="T4234" s="3" t="str">
        <f>IF(ISERROR(VLOOKUP(Base_Periodo1[[#This Row],[CONTA]],BaseContasDRE[#All],5,FALSE)),"Fora do DRE",VLOOKUP(Base_Periodo1[[#This Row],[CONTA]],BaseContasDRE[#All],6,FALSE))</f>
        <v>Fora do DRE</v>
      </c>
      <c r="U4234" s="3" t="str">
        <f>IF(ISERROR(VLOOKUP(Base_Periodo1[[#This Row],[CONTA]],BaseContasDRE[#All],7,FALSE)),"Fora do DRE",VLOOKUP(Base_Periodo1[[#This Row],[CONTA]],BaseContasDRE[#All],7,FALSE))</f>
        <v>Fora do DRE</v>
      </c>
      <c r="V4234" s="3" t="str">
        <f>IF(Base_Periodo1[[#This Row],[Tipo_Linha]]="Fora do DRE","Fora do DRE","( "&amp;Base_Periodo1[[#This Row],[Tipo_Linha]]&amp;" ) "&amp;Base_Periodo1[[#This Row],[Filtro]])</f>
        <v>Fora do DRE</v>
      </c>
      <c r="W4234" s="3" t="str">
        <f>LEFT(Base_Periodo1[[#This Row],[CLASS]],3)</f>
        <v>2.1</v>
      </c>
    </row>
    <row r="4235" spans="1:23" hidden="1">
      <c r="A4235" s="3" t="str">
        <f t="shared" si="66"/>
        <v>Período 1</v>
      </c>
      <c r="B4235">
        <v>1573</v>
      </c>
      <c r="C4235" t="s">
        <v>2242</v>
      </c>
      <c r="D4235" t="s">
        <v>2243</v>
      </c>
      <c r="E4235" s="3" t="str">
        <f>IF(LEN(Base_Periodo1[[#This Row],[CLASS]])&gt;=7,LEFT(Base_Periodo1[[#This Row],[CLASS]],7),"")</f>
        <v>2.1.5.1</v>
      </c>
      <c r="F4235" s="3" t="str">
        <f>VLOOKUP(Base_Periodo1[[#This Row],[Aux]],Base_Contas_Balanco[#All],2,FALSE)</f>
        <v>Encargos Trabalhistas</v>
      </c>
      <c r="G4235" s="1">
        <v>42886</v>
      </c>
      <c r="H4235" s="225">
        <v>73051.469999998808</v>
      </c>
      <c r="I4235" s="225">
        <v>88895.590000000011</v>
      </c>
      <c r="J4235" s="225">
        <v>80469.450000000012</v>
      </c>
      <c r="K4235" s="225">
        <v>64625.329999998808</v>
      </c>
      <c r="L42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64625.33</v>
      </c>
      <c r="M4235" s="225">
        <f>ROUND(IF(AND(Base_Periodo1[[#This Row],[Tipo_Linha]]="-",Base_Periodo1[[#This Row],[TIPOSALDO]]="D"),Base_Periodo1[[#This Row],[SALDO_ATUAL]]*-1,Base_Periodo1[[#This Row],[SALDO_ATUAL]]),4)</f>
        <v>64625.33</v>
      </c>
      <c r="N4235" t="s">
        <v>116</v>
      </c>
      <c r="O4235" t="s">
        <v>459</v>
      </c>
      <c r="P4235" t="s">
        <v>459</v>
      </c>
      <c r="Q4235">
        <v>5</v>
      </c>
      <c r="R4235" s="225">
        <f>Base_Periodo1[[#This Row],[CREDITOS]]-Base_Periodo1[[#This Row],[DEBITOS]]</f>
        <v>-8426.14</v>
      </c>
      <c r="S4235" s="3" t="str">
        <f>IF(ISERROR(VLOOKUP(Base_Periodo1[[#This Row],[CONTA]],BaseContasDRE[#All],4,FALSE)),"Fora do DRE",VLOOKUP(Base_Periodo1[[#This Row],[CONTA]],BaseContasDRE[#All],4,FALSE))</f>
        <v>Fora do DRE</v>
      </c>
      <c r="T4235" s="3" t="str">
        <f>IF(ISERROR(VLOOKUP(Base_Periodo1[[#This Row],[CONTA]],BaseContasDRE[#All],5,FALSE)),"Fora do DRE",VLOOKUP(Base_Periodo1[[#This Row],[CONTA]],BaseContasDRE[#All],6,FALSE))</f>
        <v>Fora do DRE</v>
      </c>
      <c r="U4235" s="3" t="str">
        <f>IF(ISERROR(VLOOKUP(Base_Periodo1[[#This Row],[CONTA]],BaseContasDRE[#All],7,FALSE)),"Fora do DRE",VLOOKUP(Base_Periodo1[[#This Row],[CONTA]],BaseContasDRE[#All],7,FALSE))</f>
        <v>Fora do DRE</v>
      </c>
      <c r="V4235" s="3" t="str">
        <f>IF(Base_Periodo1[[#This Row],[Tipo_Linha]]="Fora do DRE","Fora do DRE","( "&amp;Base_Periodo1[[#This Row],[Tipo_Linha]]&amp;" ) "&amp;Base_Periodo1[[#This Row],[Filtro]])</f>
        <v>Fora do DRE</v>
      </c>
      <c r="W4235" s="3" t="str">
        <f>LEFT(Base_Periodo1[[#This Row],[CLASS]],3)</f>
        <v>2.1</v>
      </c>
    </row>
    <row r="4236" spans="1:23" hidden="1">
      <c r="A4236" s="3" t="str">
        <f t="shared" si="66"/>
        <v>Período 1</v>
      </c>
      <c r="B4236">
        <v>1574</v>
      </c>
      <c r="C4236" t="s">
        <v>2244</v>
      </c>
      <c r="D4236" t="s">
        <v>2245</v>
      </c>
      <c r="E4236" s="3" t="str">
        <f>IF(LEN(Base_Periodo1[[#This Row],[CLASS]])&gt;=7,LEFT(Base_Periodo1[[#This Row],[CLASS]],7),"")</f>
        <v>2.1.5.1</v>
      </c>
      <c r="F4236" s="3" t="str">
        <f>VLOOKUP(Base_Periodo1[[#This Row],[Aux]],Base_Contas_Balanco[#All],2,FALSE)</f>
        <v>Encargos Trabalhistas</v>
      </c>
      <c r="G4236" s="1">
        <v>42886</v>
      </c>
      <c r="H4236" s="225">
        <v>13630.14999999688</v>
      </c>
      <c r="I4236" s="225">
        <v>52522.709999999985</v>
      </c>
      <c r="J4236" s="225">
        <v>47582.260000000017</v>
      </c>
      <c r="K4236" s="225">
        <v>8689.6999999969121</v>
      </c>
      <c r="L42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8689.7000000000007</v>
      </c>
      <c r="M4236" s="225">
        <f>ROUND(IF(AND(Base_Periodo1[[#This Row],[Tipo_Linha]]="-",Base_Periodo1[[#This Row],[TIPOSALDO]]="D"),Base_Periodo1[[#This Row],[SALDO_ATUAL]]*-1,Base_Periodo1[[#This Row],[SALDO_ATUAL]]),4)</f>
        <v>8689.7000000000007</v>
      </c>
      <c r="N4236" t="s">
        <v>116</v>
      </c>
      <c r="O4236" t="s">
        <v>459</v>
      </c>
      <c r="P4236" t="s">
        <v>459</v>
      </c>
      <c r="Q4236">
        <v>5</v>
      </c>
      <c r="R4236" s="225">
        <f>Base_Periodo1[[#This Row],[CREDITOS]]-Base_Periodo1[[#This Row],[DEBITOS]]</f>
        <v>-4940.449999999968</v>
      </c>
      <c r="S4236" s="3" t="str">
        <f>IF(ISERROR(VLOOKUP(Base_Periodo1[[#This Row],[CONTA]],BaseContasDRE[#All],4,FALSE)),"Fora do DRE",VLOOKUP(Base_Periodo1[[#This Row],[CONTA]],BaseContasDRE[#All],4,FALSE))</f>
        <v>Fora do DRE</v>
      </c>
      <c r="T4236" s="3" t="str">
        <f>IF(ISERROR(VLOOKUP(Base_Periodo1[[#This Row],[CONTA]],BaseContasDRE[#All],5,FALSE)),"Fora do DRE",VLOOKUP(Base_Periodo1[[#This Row],[CONTA]],BaseContasDRE[#All],6,FALSE))</f>
        <v>Fora do DRE</v>
      </c>
      <c r="U4236" s="3" t="str">
        <f>IF(ISERROR(VLOOKUP(Base_Periodo1[[#This Row],[CONTA]],BaseContasDRE[#All],7,FALSE)),"Fora do DRE",VLOOKUP(Base_Periodo1[[#This Row],[CONTA]],BaseContasDRE[#All],7,FALSE))</f>
        <v>Fora do DRE</v>
      </c>
      <c r="V4236" s="3" t="str">
        <f>IF(Base_Periodo1[[#This Row],[Tipo_Linha]]="Fora do DRE","Fora do DRE","( "&amp;Base_Periodo1[[#This Row],[Tipo_Linha]]&amp;" ) "&amp;Base_Periodo1[[#This Row],[Filtro]])</f>
        <v>Fora do DRE</v>
      </c>
      <c r="W4236" s="3" t="str">
        <f>LEFT(Base_Periodo1[[#This Row],[CLASS]],3)</f>
        <v>2.1</v>
      </c>
    </row>
    <row r="4237" spans="1:23" hidden="1">
      <c r="A4237" s="3" t="str">
        <f t="shared" si="66"/>
        <v>Período 1</v>
      </c>
      <c r="B4237">
        <v>1577</v>
      </c>
      <c r="C4237" t="s">
        <v>5627</v>
      </c>
      <c r="D4237" t="s">
        <v>5628</v>
      </c>
      <c r="E4237" s="3" t="str">
        <f>IF(LEN(Base_Periodo1[[#This Row],[CLASS]])&gt;=7,LEFT(Base_Periodo1[[#This Row],[CLASS]],7),"")</f>
        <v>2.1.5.1</v>
      </c>
      <c r="F4237" s="3" t="str">
        <f>VLOOKUP(Base_Periodo1[[#This Row],[Aux]],Base_Contas_Balanco[#All],2,FALSE)</f>
        <v>Encargos Trabalhistas</v>
      </c>
      <c r="G4237" s="1"/>
      <c r="H4237" s="225">
        <v>388229.41</v>
      </c>
      <c r="I4237" s="225">
        <v>0</v>
      </c>
      <c r="J4237" s="225">
        <v>0</v>
      </c>
      <c r="K4237" s="225">
        <v>388229.41</v>
      </c>
      <c r="L42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388229.41</v>
      </c>
      <c r="M4237" s="225">
        <f>ROUND(IF(AND(Base_Periodo1[[#This Row],[Tipo_Linha]]="-",Base_Periodo1[[#This Row],[TIPOSALDO]]="D"),Base_Periodo1[[#This Row],[SALDO_ATUAL]]*-1,Base_Periodo1[[#This Row],[SALDO_ATUAL]]),4)</f>
        <v>388229.41</v>
      </c>
      <c r="N4237" t="s">
        <v>116</v>
      </c>
      <c r="O4237" t="s">
        <v>459</v>
      </c>
      <c r="P4237" t="s">
        <v>459</v>
      </c>
      <c r="Q4237">
        <v>5</v>
      </c>
      <c r="R4237" s="225">
        <f>Base_Periodo1[[#This Row],[CREDITOS]]-Base_Periodo1[[#This Row],[DEBITOS]]</f>
        <v>0</v>
      </c>
      <c r="S4237" s="3" t="str">
        <f>IF(ISERROR(VLOOKUP(Base_Periodo1[[#This Row],[CONTA]],BaseContasDRE[#All],4,FALSE)),"Fora do DRE",VLOOKUP(Base_Periodo1[[#This Row],[CONTA]],BaseContasDRE[#All],4,FALSE))</f>
        <v>Fora do DRE</v>
      </c>
      <c r="T4237" s="3" t="str">
        <f>IF(ISERROR(VLOOKUP(Base_Periodo1[[#This Row],[CONTA]],BaseContasDRE[#All],5,FALSE)),"Fora do DRE",VLOOKUP(Base_Periodo1[[#This Row],[CONTA]],BaseContasDRE[#All],6,FALSE))</f>
        <v>Fora do DRE</v>
      </c>
      <c r="U4237" s="3" t="str">
        <f>IF(ISERROR(VLOOKUP(Base_Periodo1[[#This Row],[CONTA]],BaseContasDRE[#All],7,FALSE)),"Fora do DRE",VLOOKUP(Base_Periodo1[[#This Row],[CONTA]],BaseContasDRE[#All],7,FALSE))</f>
        <v>Fora do DRE</v>
      </c>
      <c r="V4237" s="3" t="str">
        <f>IF(Base_Periodo1[[#This Row],[Tipo_Linha]]="Fora do DRE","Fora do DRE","( "&amp;Base_Periodo1[[#This Row],[Tipo_Linha]]&amp;" ) "&amp;Base_Periodo1[[#This Row],[Filtro]])</f>
        <v>Fora do DRE</v>
      </c>
      <c r="W4237" s="3" t="str">
        <f>LEFT(Base_Periodo1[[#This Row],[CLASS]],3)</f>
        <v>2.1</v>
      </c>
    </row>
    <row r="4238" spans="1:23" hidden="1">
      <c r="A4238" s="3" t="str">
        <f t="shared" si="66"/>
        <v>Período 1</v>
      </c>
      <c r="B4238">
        <v>36104</v>
      </c>
      <c r="C4238" t="s">
        <v>2246</v>
      </c>
      <c r="D4238" t="s">
        <v>2247</v>
      </c>
      <c r="E4238" s="3" t="str">
        <f>IF(LEN(Base_Periodo1[[#This Row],[CLASS]])&gt;=7,LEFT(Base_Periodo1[[#This Row],[CLASS]],7),"")</f>
        <v>2.1.5.1</v>
      </c>
      <c r="F4238" s="3" t="str">
        <f>VLOOKUP(Base_Periodo1[[#This Row],[Aux]],Base_Contas_Balanco[#All],2,FALSE)</f>
        <v>Encargos Trabalhistas</v>
      </c>
      <c r="G4238" s="1">
        <v>42886</v>
      </c>
      <c r="H4238" s="225">
        <v>614</v>
      </c>
      <c r="I4238" s="225">
        <v>0</v>
      </c>
      <c r="J4238" s="225">
        <v>614</v>
      </c>
      <c r="K4238" s="225">
        <v>1228</v>
      </c>
      <c r="L42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1228</v>
      </c>
      <c r="M4238" s="225">
        <f>ROUND(IF(AND(Base_Periodo1[[#This Row],[Tipo_Linha]]="-",Base_Periodo1[[#This Row],[TIPOSALDO]]="D"),Base_Periodo1[[#This Row],[SALDO_ATUAL]]*-1,Base_Periodo1[[#This Row],[SALDO_ATUAL]]),4)</f>
        <v>1228</v>
      </c>
      <c r="N4238" t="s">
        <v>116</v>
      </c>
      <c r="O4238" t="s">
        <v>459</v>
      </c>
      <c r="P4238" t="s">
        <v>459</v>
      </c>
      <c r="Q4238">
        <v>5</v>
      </c>
      <c r="R4238" s="225">
        <f>Base_Periodo1[[#This Row],[CREDITOS]]-Base_Periodo1[[#This Row],[DEBITOS]]</f>
        <v>614</v>
      </c>
      <c r="S4238" s="3" t="str">
        <f>IF(ISERROR(VLOOKUP(Base_Periodo1[[#This Row],[CONTA]],BaseContasDRE[#All],4,FALSE)),"Fora do DRE",VLOOKUP(Base_Periodo1[[#This Row],[CONTA]],BaseContasDRE[#All],4,FALSE))</f>
        <v>Fora do DRE</v>
      </c>
      <c r="T4238" s="3" t="str">
        <f>IF(ISERROR(VLOOKUP(Base_Periodo1[[#This Row],[CONTA]],BaseContasDRE[#All],5,FALSE)),"Fora do DRE",VLOOKUP(Base_Periodo1[[#This Row],[CONTA]],BaseContasDRE[#All],6,FALSE))</f>
        <v>Fora do DRE</v>
      </c>
      <c r="U4238" s="3" t="str">
        <f>IF(ISERROR(VLOOKUP(Base_Periodo1[[#This Row],[CONTA]],BaseContasDRE[#All],7,FALSE)),"Fora do DRE",VLOOKUP(Base_Periodo1[[#This Row],[CONTA]],BaseContasDRE[#All],7,FALSE))</f>
        <v>Fora do DRE</v>
      </c>
      <c r="V4238" s="3" t="str">
        <f>IF(Base_Periodo1[[#This Row],[Tipo_Linha]]="Fora do DRE","Fora do DRE","( "&amp;Base_Periodo1[[#This Row],[Tipo_Linha]]&amp;" ) "&amp;Base_Periodo1[[#This Row],[Filtro]])</f>
        <v>Fora do DRE</v>
      </c>
      <c r="W4238" s="3" t="str">
        <f>LEFT(Base_Periodo1[[#This Row],[CLASS]],3)</f>
        <v>2.1</v>
      </c>
    </row>
    <row r="4239" spans="1:23" hidden="1">
      <c r="A4239" s="3" t="str">
        <f t="shared" si="66"/>
        <v>Período 1</v>
      </c>
      <c r="B4239">
        <v>52472</v>
      </c>
      <c r="C4239" t="s">
        <v>4868</v>
      </c>
      <c r="D4239" t="s">
        <v>4869</v>
      </c>
      <c r="E4239" s="3" t="str">
        <f>IF(LEN(Base_Periodo1[[#This Row],[CLASS]])&gt;=7,LEFT(Base_Periodo1[[#This Row],[CLASS]],7),"")</f>
        <v>2.1.5.1</v>
      </c>
      <c r="F4239" s="3" t="str">
        <f>VLOOKUP(Base_Periodo1[[#This Row],[Aux]],Base_Contas_Balanco[#All],2,FALSE)</f>
        <v>Encargos Trabalhistas</v>
      </c>
      <c r="G4239" s="1">
        <v>42884</v>
      </c>
      <c r="I4239" s="225">
        <v>19685.489999999998</v>
      </c>
      <c r="J4239" s="225">
        <v>19685.490000000002</v>
      </c>
      <c r="K4239" s="225">
        <v>-3.637978807091713E-12</v>
      </c>
      <c r="L42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4239" s="225">
        <f>ROUND(IF(AND(Base_Periodo1[[#This Row],[Tipo_Linha]]="-",Base_Periodo1[[#This Row],[TIPOSALDO]]="D"),Base_Periodo1[[#This Row],[SALDO_ATUAL]]*-1,Base_Periodo1[[#This Row],[SALDO_ATUAL]]),4)</f>
        <v>0</v>
      </c>
      <c r="N4239" t="s">
        <v>116</v>
      </c>
      <c r="O4239" t="s">
        <v>436</v>
      </c>
      <c r="P4239" t="s">
        <v>436</v>
      </c>
      <c r="Q4239">
        <v>5</v>
      </c>
      <c r="R4239" s="225">
        <f>Base_Periodo1[[#This Row],[CREDITOS]]-Base_Periodo1[[#This Row],[DEBITOS]]</f>
        <v>0</v>
      </c>
      <c r="S4239" s="3" t="str">
        <f>IF(ISERROR(VLOOKUP(Base_Periodo1[[#This Row],[CONTA]],BaseContasDRE[#All],4,FALSE)),"Fora do DRE",VLOOKUP(Base_Periodo1[[#This Row],[CONTA]],BaseContasDRE[#All],4,FALSE))</f>
        <v>Fora do DRE</v>
      </c>
      <c r="T4239" s="3" t="str">
        <f>IF(ISERROR(VLOOKUP(Base_Periodo1[[#This Row],[CONTA]],BaseContasDRE[#All],5,FALSE)),"Fora do DRE",VLOOKUP(Base_Periodo1[[#This Row],[CONTA]],BaseContasDRE[#All],6,FALSE))</f>
        <v>Fora do DRE</v>
      </c>
      <c r="U4239" s="3" t="str">
        <f>IF(ISERROR(VLOOKUP(Base_Periodo1[[#This Row],[CONTA]],BaseContasDRE[#All],7,FALSE)),"Fora do DRE",VLOOKUP(Base_Periodo1[[#This Row],[CONTA]],BaseContasDRE[#All],7,FALSE))</f>
        <v>Fora do DRE</v>
      </c>
      <c r="V4239" s="3" t="str">
        <f>IF(Base_Periodo1[[#This Row],[Tipo_Linha]]="Fora do DRE","Fora do DRE","( "&amp;Base_Periodo1[[#This Row],[Tipo_Linha]]&amp;" ) "&amp;Base_Periodo1[[#This Row],[Filtro]])</f>
        <v>Fora do DRE</v>
      </c>
      <c r="W4239" s="3" t="str">
        <f>LEFT(Base_Periodo1[[#This Row],[CLASS]],3)</f>
        <v>2.1</v>
      </c>
    </row>
    <row r="4240" spans="1:23" hidden="1">
      <c r="A4240" s="3" t="str">
        <f t="shared" si="66"/>
        <v>Período 1</v>
      </c>
      <c r="B4240">
        <v>1578</v>
      </c>
      <c r="C4240" t="s">
        <v>52</v>
      </c>
      <c r="D4240" t="s">
        <v>53</v>
      </c>
      <c r="E4240" s="3" t="str">
        <f>IF(LEN(Base_Periodo1[[#This Row],[CLASS]])&gt;=7,LEFT(Base_Periodo1[[#This Row],[CLASS]],7),"")</f>
        <v>2.1.5.2</v>
      </c>
      <c r="F4240" s="3" t="str">
        <f>VLOOKUP(Base_Periodo1[[#This Row],[Aux]],Base_Contas_Balanco[#All],2,FALSE)</f>
        <v>Encargos Sociais</v>
      </c>
      <c r="G4240" s="1"/>
      <c r="H4240" s="225">
        <v>846320.84000007447</v>
      </c>
      <c r="I4240" s="225">
        <v>926935.84</v>
      </c>
      <c r="J4240" s="225">
        <v>889826.0899999995</v>
      </c>
      <c r="K4240" s="225">
        <v>809211.09000007401</v>
      </c>
      <c r="L42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809211.09</v>
      </c>
      <c r="M4240" s="225">
        <f>ROUND(IF(AND(Base_Periodo1[[#This Row],[Tipo_Linha]]="-",Base_Periodo1[[#This Row],[TIPOSALDO]]="D"),Base_Periodo1[[#This Row],[SALDO_ATUAL]]*-1,Base_Periodo1[[#This Row],[SALDO_ATUAL]]),4)</f>
        <v>809211.09</v>
      </c>
      <c r="N4240" t="s">
        <v>396</v>
      </c>
      <c r="O4240" t="s">
        <v>459</v>
      </c>
      <c r="P4240" t="s">
        <v>459</v>
      </c>
      <c r="Q4240">
        <v>4</v>
      </c>
      <c r="R4240" s="225">
        <f>Base_Periodo1[[#This Row],[CREDITOS]]-Base_Periodo1[[#This Row],[DEBITOS]]</f>
        <v>-37109.750000000466</v>
      </c>
      <c r="S4240" s="3" t="str">
        <f>IF(ISERROR(VLOOKUP(Base_Periodo1[[#This Row],[CONTA]],BaseContasDRE[#All],4,FALSE)),"Fora do DRE",VLOOKUP(Base_Periodo1[[#This Row],[CONTA]],BaseContasDRE[#All],4,FALSE))</f>
        <v>Fora do DRE</v>
      </c>
      <c r="T4240" s="3" t="str">
        <f>IF(ISERROR(VLOOKUP(Base_Periodo1[[#This Row],[CONTA]],BaseContasDRE[#All],5,FALSE)),"Fora do DRE",VLOOKUP(Base_Periodo1[[#This Row],[CONTA]],BaseContasDRE[#All],6,FALSE))</f>
        <v>Fora do DRE</v>
      </c>
      <c r="U4240" s="3" t="str">
        <f>IF(ISERROR(VLOOKUP(Base_Periodo1[[#This Row],[CONTA]],BaseContasDRE[#All],7,FALSE)),"Fora do DRE",VLOOKUP(Base_Periodo1[[#This Row],[CONTA]],BaseContasDRE[#All],7,FALSE))</f>
        <v>Fora do DRE</v>
      </c>
      <c r="V4240" s="3" t="str">
        <f>IF(Base_Periodo1[[#This Row],[Tipo_Linha]]="Fora do DRE","Fora do DRE","( "&amp;Base_Periodo1[[#This Row],[Tipo_Linha]]&amp;" ) "&amp;Base_Periodo1[[#This Row],[Filtro]])</f>
        <v>Fora do DRE</v>
      </c>
      <c r="W4240" s="3" t="str">
        <f>LEFT(Base_Periodo1[[#This Row],[CLASS]],3)</f>
        <v>2.1</v>
      </c>
    </row>
    <row r="4241" spans="1:23" hidden="1">
      <c r="A4241" s="3" t="str">
        <f t="shared" si="66"/>
        <v>Período 1</v>
      </c>
      <c r="B4241">
        <v>1579</v>
      </c>
      <c r="C4241" t="s">
        <v>2248</v>
      </c>
      <c r="D4241" t="s">
        <v>2249</v>
      </c>
      <c r="E4241" s="3" t="str">
        <f>IF(LEN(Base_Periodo1[[#This Row],[CLASS]])&gt;=7,LEFT(Base_Periodo1[[#This Row],[CLASS]],7),"")</f>
        <v>2.1.5.2</v>
      </c>
      <c r="F4241" s="3" t="str">
        <f>VLOOKUP(Base_Periodo1[[#This Row],[Aux]],Base_Contas_Balanco[#All],2,FALSE)</f>
        <v>Encargos Sociais</v>
      </c>
      <c r="G4241" s="1">
        <v>42886</v>
      </c>
      <c r="H4241" s="225">
        <v>351934.38000002503</v>
      </c>
      <c r="I4241" s="225">
        <v>350301.06</v>
      </c>
      <c r="J4241" s="225">
        <v>348493.44999999995</v>
      </c>
      <c r="K4241" s="225">
        <v>350126.77000002499</v>
      </c>
      <c r="L42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350126.77</v>
      </c>
      <c r="M4241" s="225">
        <f>ROUND(IF(AND(Base_Periodo1[[#This Row],[Tipo_Linha]]="-",Base_Periodo1[[#This Row],[TIPOSALDO]]="D"),Base_Periodo1[[#This Row],[SALDO_ATUAL]]*-1,Base_Periodo1[[#This Row],[SALDO_ATUAL]]),4)</f>
        <v>350126.77</v>
      </c>
      <c r="N4241" t="s">
        <v>116</v>
      </c>
      <c r="O4241" t="s">
        <v>459</v>
      </c>
      <c r="P4241" t="s">
        <v>459</v>
      </c>
      <c r="Q4241">
        <v>5</v>
      </c>
      <c r="R4241" s="225">
        <f>Base_Periodo1[[#This Row],[CREDITOS]]-Base_Periodo1[[#This Row],[DEBITOS]]</f>
        <v>-1807.6100000000442</v>
      </c>
      <c r="S4241" s="3" t="str">
        <f>IF(ISERROR(VLOOKUP(Base_Periodo1[[#This Row],[CONTA]],BaseContasDRE[#All],4,FALSE)),"Fora do DRE",VLOOKUP(Base_Periodo1[[#This Row],[CONTA]],BaseContasDRE[#All],4,FALSE))</f>
        <v>Fora do DRE</v>
      </c>
      <c r="T4241" s="3" t="str">
        <f>IF(ISERROR(VLOOKUP(Base_Periodo1[[#This Row],[CONTA]],BaseContasDRE[#All],5,FALSE)),"Fora do DRE",VLOOKUP(Base_Periodo1[[#This Row],[CONTA]],BaseContasDRE[#All],6,FALSE))</f>
        <v>Fora do DRE</v>
      </c>
      <c r="U4241" s="3" t="str">
        <f>IF(ISERROR(VLOOKUP(Base_Periodo1[[#This Row],[CONTA]],BaseContasDRE[#All],7,FALSE)),"Fora do DRE",VLOOKUP(Base_Periodo1[[#This Row],[CONTA]],BaseContasDRE[#All],7,FALSE))</f>
        <v>Fora do DRE</v>
      </c>
      <c r="V4241" s="3" t="str">
        <f>IF(Base_Periodo1[[#This Row],[Tipo_Linha]]="Fora do DRE","Fora do DRE","( "&amp;Base_Periodo1[[#This Row],[Tipo_Linha]]&amp;" ) "&amp;Base_Periodo1[[#This Row],[Filtro]])</f>
        <v>Fora do DRE</v>
      </c>
      <c r="W4241" s="3" t="str">
        <f>LEFT(Base_Periodo1[[#This Row],[CLASS]],3)</f>
        <v>2.1</v>
      </c>
    </row>
    <row r="4242" spans="1:23" hidden="1">
      <c r="A4242" s="3" t="str">
        <f t="shared" si="66"/>
        <v>Período 1</v>
      </c>
      <c r="B4242">
        <v>1580</v>
      </c>
      <c r="C4242" t="s">
        <v>2250</v>
      </c>
      <c r="D4242" t="s">
        <v>2251</v>
      </c>
      <c r="E4242" s="3" t="str">
        <f>IF(LEN(Base_Periodo1[[#This Row],[CLASS]])&gt;=7,LEFT(Base_Periodo1[[#This Row],[CLASS]],7),"")</f>
        <v>2.1.5.2</v>
      </c>
      <c r="F4242" s="3" t="str">
        <f>VLOOKUP(Base_Periodo1[[#This Row],[Aux]],Base_Contas_Balanco[#All],2,FALSE)</f>
        <v>Encargos Sociais</v>
      </c>
      <c r="G4242" s="1">
        <v>42886</v>
      </c>
      <c r="H4242" s="225">
        <v>423206.64000004902</v>
      </c>
      <c r="I4242" s="225">
        <v>423171.89</v>
      </c>
      <c r="J4242" s="225">
        <v>388219.80999999959</v>
      </c>
      <c r="K4242" s="225">
        <v>388254.5600000486</v>
      </c>
      <c r="L42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388254.56</v>
      </c>
      <c r="M4242" s="225">
        <f>ROUND(IF(AND(Base_Periodo1[[#This Row],[Tipo_Linha]]="-",Base_Periodo1[[#This Row],[TIPOSALDO]]="D"),Base_Periodo1[[#This Row],[SALDO_ATUAL]]*-1,Base_Periodo1[[#This Row],[SALDO_ATUAL]]),4)</f>
        <v>388254.56</v>
      </c>
      <c r="N4242" t="s">
        <v>116</v>
      </c>
      <c r="O4242" t="s">
        <v>459</v>
      </c>
      <c r="P4242" t="s">
        <v>459</v>
      </c>
      <c r="Q4242">
        <v>5</v>
      </c>
      <c r="R4242" s="225">
        <f>Base_Periodo1[[#This Row],[CREDITOS]]-Base_Periodo1[[#This Row],[DEBITOS]]</f>
        <v>-34952.080000000424</v>
      </c>
      <c r="S4242" s="3" t="str">
        <f>IF(ISERROR(VLOOKUP(Base_Periodo1[[#This Row],[CONTA]],BaseContasDRE[#All],4,FALSE)),"Fora do DRE",VLOOKUP(Base_Periodo1[[#This Row],[CONTA]],BaseContasDRE[#All],4,FALSE))</f>
        <v>Fora do DRE</v>
      </c>
      <c r="T4242" s="3" t="str">
        <f>IF(ISERROR(VLOOKUP(Base_Periodo1[[#This Row],[CONTA]],BaseContasDRE[#All],5,FALSE)),"Fora do DRE",VLOOKUP(Base_Periodo1[[#This Row],[CONTA]],BaseContasDRE[#All],6,FALSE))</f>
        <v>Fora do DRE</v>
      </c>
      <c r="U4242" s="3" t="str">
        <f>IF(ISERROR(VLOOKUP(Base_Periodo1[[#This Row],[CONTA]],BaseContasDRE[#All],7,FALSE)),"Fora do DRE",VLOOKUP(Base_Periodo1[[#This Row],[CONTA]],BaseContasDRE[#All],7,FALSE))</f>
        <v>Fora do DRE</v>
      </c>
      <c r="V4242" s="3" t="str">
        <f>IF(Base_Periodo1[[#This Row],[Tipo_Linha]]="Fora do DRE","Fora do DRE","( "&amp;Base_Periodo1[[#This Row],[Tipo_Linha]]&amp;" ) "&amp;Base_Periodo1[[#This Row],[Filtro]])</f>
        <v>Fora do DRE</v>
      </c>
      <c r="W4242" s="3" t="str">
        <f>LEFT(Base_Periodo1[[#This Row],[CLASS]],3)</f>
        <v>2.1</v>
      </c>
    </row>
    <row r="4243" spans="1:23" hidden="1">
      <c r="A4243" s="3" t="str">
        <f t="shared" si="66"/>
        <v>Período 1</v>
      </c>
      <c r="B4243">
        <v>1581</v>
      </c>
      <c r="C4243" t="s">
        <v>2252</v>
      </c>
      <c r="D4243" t="s">
        <v>2253</v>
      </c>
      <c r="E4243" s="3" t="str">
        <f>IF(LEN(Base_Periodo1[[#This Row],[CLASS]])&gt;=7,LEFT(Base_Periodo1[[#This Row],[CLASS]],7),"")</f>
        <v>2.1.5.2</v>
      </c>
      <c r="F4243" s="3" t="str">
        <f>VLOOKUP(Base_Periodo1[[#This Row],[Aux]],Base_Contas_Balanco[#All],2,FALSE)</f>
        <v>Encargos Sociais</v>
      </c>
      <c r="G4243" s="1">
        <v>42886</v>
      </c>
      <c r="H4243" s="225">
        <v>9515.9500000000698</v>
      </c>
      <c r="I4243" s="225">
        <v>9515.9500000000007</v>
      </c>
      <c r="J4243" s="225">
        <v>9429.4900000000016</v>
      </c>
      <c r="K4243" s="225">
        <v>9429.4900000000707</v>
      </c>
      <c r="L42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9429.49</v>
      </c>
      <c r="M4243" s="225">
        <f>ROUND(IF(AND(Base_Periodo1[[#This Row],[Tipo_Linha]]="-",Base_Periodo1[[#This Row],[TIPOSALDO]]="D"),Base_Periodo1[[#This Row],[SALDO_ATUAL]]*-1,Base_Periodo1[[#This Row],[SALDO_ATUAL]]),4)</f>
        <v>9429.49</v>
      </c>
      <c r="N4243" t="s">
        <v>116</v>
      </c>
      <c r="O4243" t="s">
        <v>459</v>
      </c>
      <c r="P4243" t="s">
        <v>459</v>
      </c>
      <c r="Q4243">
        <v>5</v>
      </c>
      <c r="R4243" s="225">
        <f>Base_Periodo1[[#This Row],[CREDITOS]]-Base_Periodo1[[#This Row],[DEBITOS]]</f>
        <v>-86.459999999999127</v>
      </c>
      <c r="S4243" s="3" t="str">
        <f>IF(ISERROR(VLOOKUP(Base_Periodo1[[#This Row],[CONTA]],BaseContasDRE[#All],4,FALSE)),"Fora do DRE",VLOOKUP(Base_Periodo1[[#This Row],[CONTA]],BaseContasDRE[#All],4,FALSE))</f>
        <v>Fora do DRE</v>
      </c>
      <c r="T4243" s="3" t="str">
        <f>IF(ISERROR(VLOOKUP(Base_Periodo1[[#This Row],[CONTA]],BaseContasDRE[#All],5,FALSE)),"Fora do DRE",VLOOKUP(Base_Periodo1[[#This Row],[CONTA]],BaseContasDRE[#All],6,FALSE))</f>
        <v>Fora do DRE</v>
      </c>
      <c r="U4243" s="3" t="str">
        <f>IF(ISERROR(VLOOKUP(Base_Periodo1[[#This Row],[CONTA]],BaseContasDRE[#All],7,FALSE)),"Fora do DRE",VLOOKUP(Base_Periodo1[[#This Row],[CONTA]],BaseContasDRE[#All],7,FALSE))</f>
        <v>Fora do DRE</v>
      </c>
      <c r="V4243" s="3" t="str">
        <f>IF(Base_Periodo1[[#This Row],[Tipo_Linha]]="Fora do DRE","Fora do DRE","( "&amp;Base_Periodo1[[#This Row],[Tipo_Linha]]&amp;" ) "&amp;Base_Periodo1[[#This Row],[Filtro]])</f>
        <v>Fora do DRE</v>
      </c>
      <c r="W4243" s="3" t="str">
        <f>LEFT(Base_Periodo1[[#This Row],[CLASS]],3)</f>
        <v>2.1</v>
      </c>
    </row>
    <row r="4244" spans="1:23" hidden="1">
      <c r="A4244" s="3" t="str">
        <f t="shared" si="66"/>
        <v>Período 1</v>
      </c>
      <c r="B4244">
        <v>1582</v>
      </c>
      <c r="C4244" t="s">
        <v>2254</v>
      </c>
      <c r="D4244" t="s">
        <v>2255</v>
      </c>
      <c r="E4244" s="3" t="str">
        <f>IF(LEN(Base_Periodo1[[#This Row],[CLASS]])&gt;=7,LEFT(Base_Periodo1[[#This Row],[CLASS]],7),"")</f>
        <v>2.1.5.2</v>
      </c>
      <c r="F4244" s="3" t="str">
        <f>VLOOKUP(Base_Periodo1[[#This Row],[Aux]],Base_Contas_Balanco[#All],2,FALSE)</f>
        <v>Encargos Sociais</v>
      </c>
      <c r="G4244" s="1">
        <v>42886</v>
      </c>
      <c r="H4244" s="225">
        <v>3744.5100000003586</v>
      </c>
      <c r="I4244" s="225">
        <v>3624.2599999999998</v>
      </c>
      <c r="J4244" s="225">
        <v>3729.2400000000002</v>
      </c>
      <c r="K4244" s="225">
        <v>3849.490000000359</v>
      </c>
      <c r="L42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3849.49</v>
      </c>
      <c r="M4244" s="225">
        <f>ROUND(IF(AND(Base_Periodo1[[#This Row],[Tipo_Linha]]="-",Base_Periodo1[[#This Row],[TIPOSALDO]]="D"),Base_Periodo1[[#This Row],[SALDO_ATUAL]]*-1,Base_Periodo1[[#This Row],[SALDO_ATUAL]]),4)</f>
        <v>3849.49</v>
      </c>
      <c r="N4244" t="s">
        <v>116</v>
      </c>
      <c r="O4244" t="s">
        <v>459</v>
      </c>
      <c r="P4244" t="s">
        <v>459</v>
      </c>
      <c r="Q4244">
        <v>5</v>
      </c>
      <c r="R4244" s="225">
        <f>Base_Periodo1[[#This Row],[CREDITOS]]-Base_Periodo1[[#This Row],[DEBITOS]]</f>
        <v>104.98000000000047</v>
      </c>
      <c r="S4244" s="3" t="str">
        <f>IF(ISERROR(VLOOKUP(Base_Periodo1[[#This Row],[CONTA]],BaseContasDRE[#All],4,FALSE)),"Fora do DRE",VLOOKUP(Base_Periodo1[[#This Row],[CONTA]],BaseContasDRE[#All],4,FALSE))</f>
        <v>Fora do DRE</v>
      </c>
      <c r="T4244" s="3" t="str">
        <f>IF(ISERROR(VLOOKUP(Base_Periodo1[[#This Row],[CONTA]],BaseContasDRE[#All],5,FALSE)),"Fora do DRE",VLOOKUP(Base_Periodo1[[#This Row],[CONTA]],BaseContasDRE[#All],6,FALSE))</f>
        <v>Fora do DRE</v>
      </c>
      <c r="U4244" s="3" t="str">
        <f>IF(ISERROR(VLOOKUP(Base_Periodo1[[#This Row],[CONTA]],BaseContasDRE[#All],7,FALSE)),"Fora do DRE",VLOOKUP(Base_Periodo1[[#This Row],[CONTA]],BaseContasDRE[#All],7,FALSE))</f>
        <v>Fora do DRE</v>
      </c>
      <c r="V4244" s="3" t="str">
        <f>IF(Base_Periodo1[[#This Row],[Tipo_Linha]]="Fora do DRE","Fora do DRE","( "&amp;Base_Periodo1[[#This Row],[Tipo_Linha]]&amp;" ) "&amp;Base_Periodo1[[#This Row],[Filtro]])</f>
        <v>Fora do DRE</v>
      </c>
      <c r="W4244" s="3" t="str">
        <f>LEFT(Base_Periodo1[[#This Row],[CLASS]],3)</f>
        <v>2.1</v>
      </c>
    </row>
    <row r="4245" spans="1:23" hidden="1">
      <c r="A4245" s="3" t="str">
        <f t="shared" si="66"/>
        <v>Período 1</v>
      </c>
      <c r="B4245">
        <v>1584</v>
      </c>
      <c r="C4245" t="s">
        <v>2256</v>
      </c>
      <c r="D4245" t="s">
        <v>2257</v>
      </c>
      <c r="E4245" s="3" t="str">
        <f>IF(LEN(Base_Periodo1[[#This Row],[CLASS]])&gt;=7,LEFT(Base_Periodo1[[#This Row],[CLASS]],7),"")</f>
        <v>2.1.5.2</v>
      </c>
      <c r="F4245" s="3" t="str">
        <f>VLOOKUP(Base_Periodo1[[#This Row],[Aux]],Base_Contas_Balanco[#All],2,FALSE)</f>
        <v>Encargos Sociais</v>
      </c>
      <c r="G4245" s="1">
        <v>42655</v>
      </c>
      <c r="H4245" s="225">
        <v>1.0000000012951205E-2</v>
      </c>
      <c r="I4245" s="225">
        <v>0</v>
      </c>
      <c r="J4245" s="225">
        <v>0</v>
      </c>
      <c r="K4245" s="225">
        <v>1.0000000012951205E-2</v>
      </c>
      <c r="L42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-0.01</v>
      </c>
      <c r="M4245" s="225">
        <f>ROUND(IF(AND(Base_Periodo1[[#This Row],[Tipo_Linha]]="-",Base_Periodo1[[#This Row],[TIPOSALDO]]="D"),Base_Periodo1[[#This Row],[SALDO_ATUAL]]*-1,Base_Periodo1[[#This Row],[SALDO_ATUAL]]),4)</f>
        <v>0.01</v>
      </c>
      <c r="N4245" t="s">
        <v>116</v>
      </c>
      <c r="O4245" t="s">
        <v>397</v>
      </c>
      <c r="P4245" t="s">
        <v>397</v>
      </c>
      <c r="Q4245">
        <v>5</v>
      </c>
      <c r="R4245" s="225">
        <f>Base_Periodo1[[#This Row],[CREDITOS]]-Base_Periodo1[[#This Row],[DEBITOS]]</f>
        <v>0</v>
      </c>
      <c r="S4245" s="3" t="str">
        <f>IF(ISERROR(VLOOKUP(Base_Periodo1[[#This Row],[CONTA]],BaseContasDRE[#All],4,FALSE)),"Fora do DRE",VLOOKUP(Base_Periodo1[[#This Row],[CONTA]],BaseContasDRE[#All],4,FALSE))</f>
        <v>Fora do DRE</v>
      </c>
      <c r="T4245" s="3" t="str">
        <f>IF(ISERROR(VLOOKUP(Base_Periodo1[[#This Row],[CONTA]],BaseContasDRE[#All],5,FALSE)),"Fora do DRE",VLOOKUP(Base_Periodo1[[#This Row],[CONTA]],BaseContasDRE[#All],6,FALSE))</f>
        <v>Fora do DRE</v>
      </c>
      <c r="U4245" s="3" t="str">
        <f>IF(ISERROR(VLOOKUP(Base_Periodo1[[#This Row],[CONTA]],BaseContasDRE[#All],7,FALSE)),"Fora do DRE",VLOOKUP(Base_Periodo1[[#This Row],[CONTA]],BaseContasDRE[#All],7,FALSE))</f>
        <v>Fora do DRE</v>
      </c>
      <c r="V4245" s="3" t="str">
        <f>IF(Base_Periodo1[[#This Row],[Tipo_Linha]]="Fora do DRE","Fora do DRE","( "&amp;Base_Periodo1[[#This Row],[Tipo_Linha]]&amp;" ) "&amp;Base_Periodo1[[#This Row],[Filtro]])</f>
        <v>Fora do DRE</v>
      </c>
      <c r="W4245" s="3" t="str">
        <f>LEFT(Base_Periodo1[[#This Row],[CLASS]],3)</f>
        <v>2.1</v>
      </c>
    </row>
    <row r="4246" spans="1:23" hidden="1">
      <c r="A4246" s="3" t="str">
        <f t="shared" si="66"/>
        <v>Período 1</v>
      </c>
      <c r="B4246">
        <v>56699</v>
      </c>
      <c r="C4246" t="s">
        <v>5735</v>
      </c>
      <c r="D4246" t="s">
        <v>5736</v>
      </c>
      <c r="E4246" s="3" t="str">
        <f>IF(LEN(Base_Periodo1[[#This Row],[CLASS]])&gt;=7,LEFT(Base_Periodo1[[#This Row],[CLASS]],7),"")</f>
        <v>2.1.5.2</v>
      </c>
      <c r="F4246" s="3" t="str">
        <f>VLOOKUP(Base_Periodo1[[#This Row],[Aux]],Base_Contas_Balanco[#All],2,FALSE)</f>
        <v>Encargos Sociais</v>
      </c>
      <c r="G4246" s="1">
        <v>42886</v>
      </c>
      <c r="H4246" s="225">
        <v>40366.790000000037</v>
      </c>
      <c r="I4246" s="225">
        <v>40366.79</v>
      </c>
      <c r="J4246" s="225">
        <v>38634.470000000008</v>
      </c>
      <c r="K4246" s="225">
        <v>38634.470000000045</v>
      </c>
      <c r="L42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38634.47</v>
      </c>
      <c r="M4246" s="225">
        <f>ROUND(IF(AND(Base_Periodo1[[#This Row],[Tipo_Linha]]="-",Base_Periodo1[[#This Row],[TIPOSALDO]]="D"),Base_Periodo1[[#This Row],[SALDO_ATUAL]]*-1,Base_Periodo1[[#This Row],[SALDO_ATUAL]]),4)</f>
        <v>38634.47</v>
      </c>
      <c r="N4246" t="s">
        <v>116</v>
      </c>
      <c r="O4246" t="s">
        <v>459</v>
      </c>
      <c r="P4246" t="s">
        <v>459</v>
      </c>
      <c r="Q4246">
        <v>5</v>
      </c>
      <c r="R4246" s="225">
        <f>Base_Periodo1[[#This Row],[CREDITOS]]-Base_Periodo1[[#This Row],[DEBITOS]]</f>
        <v>-1732.3199999999924</v>
      </c>
      <c r="S4246" s="3" t="str">
        <f>IF(ISERROR(VLOOKUP(Base_Periodo1[[#This Row],[CONTA]],BaseContasDRE[#All],4,FALSE)),"Fora do DRE",VLOOKUP(Base_Periodo1[[#This Row],[CONTA]],BaseContasDRE[#All],4,FALSE))</f>
        <v>Fora do DRE</v>
      </c>
      <c r="T4246" s="3" t="str">
        <f>IF(ISERROR(VLOOKUP(Base_Periodo1[[#This Row],[CONTA]],BaseContasDRE[#All],5,FALSE)),"Fora do DRE",VLOOKUP(Base_Periodo1[[#This Row],[CONTA]],BaseContasDRE[#All],6,FALSE))</f>
        <v>Fora do DRE</v>
      </c>
      <c r="U4246" s="3" t="str">
        <f>IF(ISERROR(VLOOKUP(Base_Periodo1[[#This Row],[CONTA]],BaseContasDRE[#All],7,FALSE)),"Fora do DRE",VLOOKUP(Base_Periodo1[[#This Row],[CONTA]],BaseContasDRE[#All],7,FALSE))</f>
        <v>Fora do DRE</v>
      </c>
      <c r="V4246" s="3" t="str">
        <f>IF(Base_Periodo1[[#This Row],[Tipo_Linha]]="Fora do DRE","Fora do DRE","( "&amp;Base_Periodo1[[#This Row],[Tipo_Linha]]&amp;" ) "&amp;Base_Periodo1[[#This Row],[Filtro]])</f>
        <v>Fora do DRE</v>
      </c>
      <c r="W4246" s="3" t="str">
        <f>LEFT(Base_Periodo1[[#This Row],[CLASS]],3)</f>
        <v>2.1</v>
      </c>
    </row>
    <row r="4247" spans="1:23" hidden="1">
      <c r="A4247" s="3" t="str">
        <f t="shared" si="66"/>
        <v>Período 1</v>
      </c>
      <c r="B4247">
        <v>52473</v>
      </c>
      <c r="C4247" t="s">
        <v>4779</v>
      </c>
      <c r="D4247" t="s">
        <v>4780</v>
      </c>
      <c r="E4247" s="3" t="str">
        <f>IF(LEN(Base_Periodo1[[#This Row],[CLASS]])&gt;=7,LEFT(Base_Periodo1[[#This Row],[CLASS]],7),"")</f>
        <v>2.1.5.2</v>
      </c>
      <c r="F4247" s="3" t="str">
        <f>VLOOKUP(Base_Periodo1[[#This Row],[Aux]],Base_Contas_Balanco[#All],2,FALSE)</f>
        <v>Encargos Sociais</v>
      </c>
      <c r="G4247" s="1">
        <v>42884</v>
      </c>
      <c r="H4247" s="225">
        <v>17552.579999999958</v>
      </c>
      <c r="I4247" s="225">
        <v>99955.89</v>
      </c>
      <c r="J4247" s="225">
        <v>101319.63000000003</v>
      </c>
      <c r="K4247" s="225">
        <v>18916.319999999992</v>
      </c>
      <c r="L42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18916.32</v>
      </c>
      <c r="M4247" s="225">
        <f>ROUND(IF(AND(Base_Periodo1[[#This Row],[Tipo_Linha]]="-",Base_Periodo1[[#This Row],[TIPOSALDO]]="D"),Base_Periodo1[[#This Row],[SALDO_ATUAL]]*-1,Base_Periodo1[[#This Row],[SALDO_ATUAL]]),4)</f>
        <v>18916.32</v>
      </c>
      <c r="N4247" t="s">
        <v>116</v>
      </c>
      <c r="O4247" t="s">
        <v>459</v>
      </c>
      <c r="P4247" t="s">
        <v>459</v>
      </c>
      <c r="Q4247">
        <v>5</v>
      </c>
      <c r="R4247" s="225">
        <f>Base_Periodo1[[#This Row],[CREDITOS]]-Base_Periodo1[[#This Row],[DEBITOS]]</f>
        <v>1363.7400000000343</v>
      </c>
      <c r="S4247" s="3" t="str">
        <f>IF(ISERROR(VLOOKUP(Base_Periodo1[[#This Row],[CONTA]],BaseContasDRE[#All],4,FALSE)),"Fora do DRE",VLOOKUP(Base_Periodo1[[#This Row],[CONTA]],BaseContasDRE[#All],4,FALSE))</f>
        <v>Fora do DRE</v>
      </c>
      <c r="T4247" s="3" t="str">
        <f>IF(ISERROR(VLOOKUP(Base_Periodo1[[#This Row],[CONTA]],BaseContasDRE[#All],5,FALSE)),"Fora do DRE",VLOOKUP(Base_Periodo1[[#This Row],[CONTA]],BaseContasDRE[#All],6,FALSE))</f>
        <v>Fora do DRE</v>
      </c>
      <c r="U4247" s="3" t="str">
        <f>IF(ISERROR(VLOOKUP(Base_Periodo1[[#This Row],[CONTA]],BaseContasDRE[#All],7,FALSE)),"Fora do DRE",VLOOKUP(Base_Periodo1[[#This Row],[CONTA]],BaseContasDRE[#All],7,FALSE))</f>
        <v>Fora do DRE</v>
      </c>
      <c r="V4247" s="3" t="str">
        <f>IF(Base_Periodo1[[#This Row],[Tipo_Linha]]="Fora do DRE","Fora do DRE","( "&amp;Base_Periodo1[[#This Row],[Tipo_Linha]]&amp;" ) "&amp;Base_Periodo1[[#This Row],[Filtro]])</f>
        <v>Fora do DRE</v>
      </c>
      <c r="W4247" s="3" t="str">
        <f>LEFT(Base_Periodo1[[#This Row],[CLASS]],3)</f>
        <v>2.1</v>
      </c>
    </row>
    <row r="4248" spans="1:23" hidden="1">
      <c r="A4248" s="3" t="str">
        <f t="shared" si="66"/>
        <v>Período 1</v>
      </c>
      <c r="B4248">
        <v>1586</v>
      </c>
      <c r="C4248" t="s">
        <v>54</v>
      </c>
      <c r="D4248" t="s">
        <v>55</v>
      </c>
      <c r="E4248" s="3" t="str">
        <f>IF(LEN(Base_Periodo1[[#This Row],[CLASS]])&gt;=7,LEFT(Base_Periodo1[[#This Row],[CLASS]],7),"")</f>
        <v>2.1.5.3</v>
      </c>
      <c r="F4248" s="3" t="str">
        <f>VLOOKUP(Base_Periodo1[[#This Row],[Aux]],Base_Contas_Balanco[#All],2,FALSE)</f>
        <v>Provisoes Sociais</v>
      </c>
      <c r="G4248" s="1"/>
      <c r="H4248" s="225">
        <v>1827147.5099999979</v>
      </c>
      <c r="I4248" s="225">
        <v>91693.18</v>
      </c>
      <c r="J4248" s="225">
        <v>252957.82</v>
      </c>
      <c r="K4248" s="225">
        <v>1988412.149999998</v>
      </c>
      <c r="L42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1988412.15</v>
      </c>
      <c r="M4248" s="225">
        <f>ROUND(IF(AND(Base_Periodo1[[#This Row],[Tipo_Linha]]="-",Base_Periodo1[[#This Row],[TIPOSALDO]]="D"),Base_Periodo1[[#This Row],[SALDO_ATUAL]]*-1,Base_Periodo1[[#This Row],[SALDO_ATUAL]]),4)</f>
        <v>1988412.15</v>
      </c>
      <c r="N4248" t="s">
        <v>396</v>
      </c>
      <c r="O4248" t="s">
        <v>459</v>
      </c>
      <c r="P4248" t="s">
        <v>459</v>
      </c>
      <c r="Q4248">
        <v>4</v>
      </c>
      <c r="R4248" s="225">
        <f>Base_Periodo1[[#This Row],[CREDITOS]]-Base_Periodo1[[#This Row],[DEBITOS]]</f>
        <v>161264.64000000001</v>
      </c>
      <c r="S4248" s="3" t="str">
        <f>IF(ISERROR(VLOOKUP(Base_Periodo1[[#This Row],[CONTA]],BaseContasDRE[#All],4,FALSE)),"Fora do DRE",VLOOKUP(Base_Periodo1[[#This Row],[CONTA]],BaseContasDRE[#All],4,FALSE))</f>
        <v>Fora do DRE</v>
      </c>
      <c r="T4248" s="3" t="str">
        <f>IF(ISERROR(VLOOKUP(Base_Periodo1[[#This Row],[CONTA]],BaseContasDRE[#All],5,FALSE)),"Fora do DRE",VLOOKUP(Base_Periodo1[[#This Row],[CONTA]],BaseContasDRE[#All],6,FALSE))</f>
        <v>Fora do DRE</v>
      </c>
      <c r="U4248" s="3" t="str">
        <f>IF(ISERROR(VLOOKUP(Base_Periodo1[[#This Row],[CONTA]],BaseContasDRE[#All],7,FALSE)),"Fora do DRE",VLOOKUP(Base_Periodo1[[#This Row],[CONTA]],BaseContasDRE[#All],7,FALSE))</f>
        <v>Fora do DRE</v>
      </c>
      <c r="V4248" s="3" t="str">
        <f>IF(Base_Periodo1[[#This Row],[Tipo_Linha]]="Fora do DRE","Fora do DRE","( "&amp;Base_Periodo1[[#This Row],[Tipo_Linha]]&amp;" ) "&amp;Base_Periodo1[[#This Row],[Filtro]])</f>
        <v>Fora do DRE</v>
      </c>
      <c r="W4248" s="3" t="str">
        <f>LEFT(Base_Periodo1[[#This Row],[CLASS]],3)</f>
        <v>2.1</v>
      </c>
    </row>
    <row r="4249" spans="1:23" hidden="1">
      <c r="A4249" s="3" t="str">
        <f t="shared" si="66"/>
        <v>Período 1</v>
      </c>
      <c r="B4249">
        <v>50766</v>
      </c>
      <c r="C4249" t="s">
        <v>2258</v>
      </c>
      <c r="D4249" t="s">
        <v>4369</v>
      </c>
      <c r="E4249" s="3" t="str">
        <f>IF(LEN(Base_Periodo1[[#This Row],[CLASS]])&gt;=7,LEFT(Base_Periodo1[[#This Row],[CLASS]],7),"")</f>
        <v>2.1.5.3</v>
      </c>
      <c r="F4249" s="3" t="str">
        <f>VLOOKUP(Base_Periodo1[[#This Row],[Aux]],Base_Contas_Balanco[#All],2,FALSE)</f>
        <v>Provisoes Sociais</v>
      </c>
      <c r="G4249" s="1"/>
      <c r="H4249" s="225">
        <v>370773.34999999974</v>
      </c>
      <c r="I4249" s="225">
        <v>9457</v>
      </c>
      <c r="J4249" s="225">
        <v>101865.67</v>
      </c>
      <c r="K4249" s="225">
        <v>463182.01999999973</v>
      </c>
      <c r="L42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463182.02</v>
      </c>
      <c r="M4249" s="225">
        <f>ROUND(IF(AND(Base_Periodo1[[#This Row],[Tipo_Linha]]="-",Base_Periodo1[[#This Row],[TIPOSALDO]]="D"),Base_Periodo1[[#This Row],[SALDO_ATUAL]]*-1,Base_Periodo1[[#This Row],[SALDO_ATUAL]]),4)</f>
        <v>463182.02</v>
      </c>
      <c r="N4249" t="s">
        <v>396</v>
      </c>
      <c r="O4249" t="s">
        <v>459</v>
      </c>
      <c r="P4249" t="s">
        <v>459</v>
      </c>
      <c r="Q4249">
        <v>5</v>
      </c>
      <c r="R4249" s="225">
        <f>Base_Periodo1[[#This Row],[CREDITOS]]-Base_Periodo1[[#This Row],[DEBITOS]]</f>
        <v>92408.67</v>
      </c>
      <c r="S4249" s="3" t="str">
        <f>IF(ISERROR(VLOOKUP(Base_Periodo1[[#This Row],[CONTA]],BaseContasDRE[#All],4,FALSE)),"Fora do DRE",VLOOKUP(Base_Periodo1[[#This Row],[CONTA]],BaseContasDRE[#All],4,FALSE))</f>
        <v>Fora do DRE</v>
      </c>
      <c r="T4249" s="3" t="str">
        <f>IF(ISERROR(VLOOKUP(Base_Periodo1[[#This Row],[CONTA]],BaseContasDRE[#All],5,FALSE)),"Fora do DRE",VLOOKUP(Base_Periodo1[[#This Row],[CONTA]],BaseContasDRE[#All],6,FALSE))</f>
        <v>Fora do DRE</v>
      </c>
      <c r="U4249" s="3" t="str">
        <f>IF(ISERROR(VLOOKUP(Base_Periodo1[[#This Row],[CONTA]],BaseContasDRE[#All],7,FALSE)),"Fora do DRE",VLOOKUP(Base_Periodo1[[#This Row],[CONTA]],BaseContasDRE[#All],7,FALSE))</f>
        <v>Fora do DRE</v>
      </c>
      <c r="V4249" s="3" t="str">
        <f>IF(Base_Periodo1[[#This Row],[Tipo_Linha]]="Fora do DRE","Fora do DRE","( "&amp;Base_Periodo1[[#This Row],[Tipo_Linha]]&amp;" ) "&amp;Base_Periodo1[[#This Row],[Filtro]])</f>
        <v>Fora do DRE</v>
      </c>
      <c r="W4249" s="3" t="str">
        <f>LEFT(Base_Periodo1[[#This Row],[CLASS]],3)</f>
        <v>2.1</v>
      </c>
    </row>
    <row r="4250" spans="1:23" hidden="1">
      <c r="A4250" s="3" t="str">
        <f t="shared" si="66"/>
        <v>Período 1</v>
      </c>
      <c r="B4250">
        <v>1588</v>
      </c>
      <c r="C4250" t="s">
        <v>4370</v>
      </c>
      <c r="D4250" t="s">
        <v>2261</v>
      </c>
      <c r="E4250" s="3" t="str">
        <f>IF(LEN(Base_Periodo1[[#This Row],[CLASS]])&gt;=7,LEFT(Base_Periodo1[[#This Row],[CLASS]],7),"")</f>
        <v>2.1.5.3</v>
      </c>
      <c r="F4250" s="3" t="str">
        <f>VLOOKUP(Base_Periodo1[[#This Row],[Aux]],Base_Contas_Balanco[#All],2,FALSE)</f>
        <v>Provisoes Sociais</v>
      </c>
      <c r="G4250" s="1">
        <v>42886</v>
      </c>
      <c r="H4250" s="225">
        <v>268716.4299999997</v>
      </c>
      <c r="I4250" s="225">
        <v>6862.8600000000006</v>
      </c>
      <c r="J4250" s="225">
        <v>73895.070000000007</v>
      </c>
      <c r="K4250" s="225">
        <v>335748.63999999972</v>
      </c>
      <c r="L42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335748.64</v>
      </c>
      <c r="M4250" s="225">
        <f>ROUND(IF(AND(Base_Periodo1[[#This Row],[Tipo_Linha]]="-",Base_Periodo1[[#This Row],[TIPOSALDO]]="D"),Base_Periodo1[[#This Row],[SALDO_ATUAL]]*-1,Base_Periodo1[[#This Row],[SALDO_ATUAL]]),4)</f>
        <v>335748.64</v>
      </c>
      <c r="N4250" t="s">
        <v>116</v>
      </c>
      <c r="O4250" t="s">
        <v>459</v>
      </c>
      <c r="P4250" t="s">
        <v>459</v>
      </c>
      <c r="Q4250">
        <v>6</v>
      </c>
      <c r="R4250" s="225">
        <f>Base_Periodo1[[#This Row],[CREDITOS]]-Base_Periodo1[[#This Row],[DEBITOS]]</f>
        <v>67032.210000000006</v>
      </c>
      <c r="S4250" s="3" t="str">
        <f>IF(ISERROR(VLOOKUP(Base_Periodo1[[#This Row],[CONTA]],BaseContasDRE[#All],4,FALSE)),"Fora do DRE",VLOOKUP(Base_Periodo1[[#This Row],[CONTA]],BaseContasDRE[#All],4,FALSE))</f>
        <v>Fora do DRE</v>
      </c>
      <c r="T4250" s="3" t="str">
        <f>IF(ISERROR(VLOOKUP(Base_Periodo1[[#This Row],[CONTA]],BaseContasDRE[#All],5,FALSE)),"Fora do DRE",VLOOKUP(Base_Periodo1[[#This Row],[CONTA]],BaseContasDRE[#All],6,FALSE))</f>
        <v>Fora do DRE</v>
      </c>
      <c r="U4250" s="3" t="str">
        <f>IF(ISERROR(VLOOKUP(Base_Periodo1[[#This Row],[CONTA]],BaseContasDRE[#All],7,FALSE)),"Fora do DRE",VLOOKUP(Base_Periodo1[[#This Row],[CONTA]],BaseContasDRE[#All],7,FALSE))</f>
        <v>Fora do DRE</v>
      </c>
      <c r="V4250" s="3" t="str">
        <f>IF(Base_Periodo1[[#This Row],[Tipo_Linha]]="Fora do DRE","Fora do DRE","( "&amp;Base_Periodo1[[#This Row],[Tipo_Linha]]&amp;" ) "&amp;Base_Periodo1[[#This Row],[Filtro]])</f>
        <v>Fora do DRE</v>
      </c>
      <c r="W4250" s="3" t="str">
        <f>LEFT(Base_Periodo1[[#This Row],[CLASS]],3)</f>
        <v>2.1</v>
      </c>
    </row>
    <row r="4251" spans="1:23" hidden="1">
      <c r="A4251" s="3" t="str">
        <f t="shared" si="66"/>
        <v>Período 1</v>
      </c>
      <c r="B4251">
        <v>53431</v>
      </c>
      <c r="C4251" t="s">
        <v>4870</v>
      </c>
      <c r="D4251" t="s">
        <v>4871</v>
      </c>
      <c r="E4251" s="3" t="str">
        <f>IF(LEN(Base_Periodo1[[#This Row],[CLASS]])&gt;=7,LEFT(Base_Periodo1[[#This Row],[CLASS]],7),"")</f>
        <v>2.1.5.3</v>
      </c>
      <c r="F4251" s="3" t="str">
        <f>VLOOKUP(Base_Periodo1[[#This Row],[Aux]],Base_Contas_Balanco[#All],2,FALSE)</f>
        <v>Provisoes Sociais</v>
      </c>
      <c r="G4251" s="1">
        <v>42886</v>
      </c>
      <c r="H4251" s="225">
        <v>21598.249999999985</v>
      </c>
      <c r="I4251" s="225">
        <v>548.99</v>
      </c>
      <c r="J4251" s="225">
        <v>5919.7</v>
      </c>
      <c r="K4251" s="225">
        <v>26968.959999999985</v>
      </c>
      <c r="L42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26968.959999999999</v>
      </c>
      <c r="M4251" s="225">
        <f>ROUND(IF(AND(Base_Periodo1[[#This Row],[Tipo_Linha]]="-",Base_Periodo1[[#This Row],[TIPOSALDO]]="D"),Base_Periodo1[[#This Row],[SALDO_ATUAL]]*-1,Base_Periodo1[[#This Row],[SALDO_ATUAL]]),4)</f>
        <v>26968.959999999999</v>
      </c>
      <c r="N4251" t="s">
        <v>116</v>
      </c>
      <c r="O4251" t="s">
        <v>459</v>
      </c>
      <c r="P4251" t="s">
        <v>459</v>
      </c>
      <c r="Q4251">
        <v>6</v>
      </c>
      <c r="R4251" s="225">
        <f>Base_Periodo1[[#This Row],[CREDITOS]]-Base_Periodo1[[#This Row],[DEBITOS]]</f>
        <v>5370.71</v>
      </c>
      <c r="S4251" s="3" t="str">
        <f>IF(ISERROR(VLOOKUP(Base_Periodo1[[#This Row],[CONTA]],BaseContasDRE[#All],4,FALSE)),"Fora do DRE",VLOOKUP(Base_Periodo1[[#This Row],[CONTA]],BaseContasDRE[#All],4,FALSE))</f>
        <v>Fora do DRE</v>
      </c>
      <c r="T4251" s="3" t="str">
        <f>IF(ISERROR(VLOOKUP(Base_Periodo1[[#This Row],[CONTA]],BaseContasDRE[#All],5,FALSE)),"Fora do DRE",VLOOKUP(Base_Periodo1[[#This Row],[CONTA]],BaseContasDRE[#All],6,FALSE))</f>
        <v>Fora do DRE</v>
      </c>
      <c r="U4251" s="3" t="str">
        <f>IF(ISERROR(VLOOKUP(Base_Periodo1[[#This Row],[CONTA]],BaseContasDRE[#All],7,FALSE)),"Fora do DRE",VLOOKUP(Base_Periodo1[[#This Row],[CONTA]],BaseContasDRE[#All],7,FALSE))</f>
        <v>Fora do DRE</v>
      </c>
      <c r="V4251" s="3" t="str">
        <f>IF(Base_Periodo1[[#This Row],[Tipo_Linha]]="Fora do DRE","Fora do DRE","( "&amp;Base_Periodo1[[#This Row],[Tipo_Linha]]&amp;" ) "&amp;Base_Periodo1[[#This Row],[Filtro]])</f>
        <v>Fora do DRE</v>
      </c>
      <c r="W4251" s="3" t="str">
        <f>LEFT(Base_Periodo1[[#This Row],[CLASS]],3)</f>
        <v>2.1</v>
      </c>
    </row>
    <row r="4252" spans="1:23" hidden="1">
      <c r="A4252" s="3" t="str">
        <f t="shared" si="66"/>
        <v>Período 1</v>
      </c>
      <c r="B4252">
        <v>53432</v>
      </c>
      <c r="C4252" t="s">
        <v>4872</v>
      </c>
      <c r="D4252" t="s">
        <v>4873</v>
      </c>
      <c r="E4252" s="3" t="str">
        <f>IF(LEN(Base_Periodo1[[#This Row],[CLASS]])&gt;=7,LEFT(Base_Periodo1[[#This Row],[CLASS]],7),"")</f>
        <v>2.1.5.3</v>
      </c>
      <c r="F4252" s="3" t="str">
        <f>VLOOKUP(Base_Periodo1[[#This Row],[Aux]],Base_Contas_Balanco[#All],2,FALSE)</f>
        <v>Provisoes Sociais</v>
      </c>
      <c r="G4252" s="1">
        <v>42886</v>
      </c>
      <c r="H4252" s="225">
        <v>77758.770000000135</v>
      </c>
      <c r="I4252" s="225">
        <v>1976.51</v>
      </c>
      <c r="J4252" s="225">
        <v>21310.78</v>
      </c>
      <c r="K4252" s="225">
        <v>97093.040000000139</v>
      </c>
      <c r="L42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97093.04</v>
      </c>
      <c r="M4252" s="225">
        <f>ROUND(IF(AND(Base_Periodo1[[#This Row],[Tipo_Linha]]="-",Base_Periodo1[[#This Row],[TIPOSALDO]]="D"),Base_Periodo1[[#This Row],[SALDO_ATUAL]]*-1,Base_Periodo1[[#This Row],[SALDO_ATUAL]]),4)</f>
        <v>97093.04</v>
      </c>
      <c r="N4252" t="s">
        <v>116</v>
      </c>
      <c r="O4252" t="s">
        <v>459</v>
      </c>
      <c r="P4252" t="s">
        <v>459</v>
      </c>
      <c r="Q4252">
        <v>6</v>
      </c>
      <c r="R4252" s="225">
        <f>Base_Periodo1[[#This Row],[CREDITOS]]-Base_Periodo1[[#This Row],[DEBITOS]]</f>
        <v>19334.27</v>
      </c>
      <c r="S4252" s="3" t="str">
        <f>IF(ISERROR(VLOOKUP(Base_Periodo1[[#This Row],[CONTA]],BaseContasDRE[#All],4,FALSE)),"Fora do DRE",VLOOKUP(Base_Periodo1[[#This Row],[CONTA]],BaseContasDRE[#All],4,FALSE))</f>
        <v>Fora do DRE</v>
      </c>
      <c r="T4252" s="3" t="str">
        <f>IF(ISERROR(VLOOKUP(Base_Periodo1[[#This Row],[CONTA]],BaseContasDRE[#All],5,FALSE)),"Fora do DRE",VLOOKUP(Base_Periodo1[[#This Row],[CONTA]],BaseContasDRE[#All],6,FALSE))</f>
        <v>Fora do DRE</v>
      </c>
      <c r="U4252" s="3" t="str">
        <f>IF(ISERROR(VLOOKUP(Base_Periodo1[[#This Row],[CONTA]],BaseContasDRE[#All],7,FALSE)),"Fora do DRE",VLOOKUP(Base_Periodo1[[#This Row],[CONTA]],BaseContasDRE[#All],7,FALSE))</f>
        <v>Fora do DRE</v>
      </c>
      <c r="V4252" s="3" t="str">
        <f>IF(Base_Periodo1[[#This Row],[Tipo_Linha]]="Fora do DRE","Fora do DRE","( "&amp;Base_Periodo1[[#This Row],[Tipo_Linha]]&amp;" ) "&amp;Base_Periodo1[[#This Row],[Filtro]])</f>
        <v>Fora do DRE</v>
      </c>
      <c r="W4252" s="3" t="str">
        <f>LEFT(Base_Periodo1[[#This Row],[CLASS]],3)</f>
        <v>2.1</v>
      </c>
    </row>
    <row r="4253" spans="1:23" hidden="1">
      <c r="A4253" s="3" t="str">
        <f t="shared" si="66"/>
        <v>Período 1</v>
      </c>
      <c r="B4253">
        <v>53433</v>
      </c>
      <c r="C4253" t="s">
        <v>4874</v>
      </c>
      <c r="D4253" t="s">
        <v>4875</v>
      </c>
      <c r="E4253" s="3" t="str">
        <f>IF(LEN(Base_Periodo1[[#This Row],[CLASS]])&gt;=7,LEFT(Base_Periodo1[[#This Row],[CLASS]],7),"")</f>
        <v>2.1.5.3</v>
      </c>
      <c r="F4253" s="3" t="str">
        <f>VLOOKUP(Base_Periodo1[[#This Row],[Aux]],Base_Contas_Balanco[#All],2,FALSE)</f>
        <v>Provisoes Sociais</v>
      </c>
      <c r="G4253" s="1">
        <v>42886</v>
      </c>
      <c r="H4253" s="225">
        <v>2699.9000000000106</v>
      </c>
      <c r="I4253" s="225">
        <v>68.64</v>
      </c>
      <c r="J4253" s="225">
        <v>740.11999999999978</v>
      </c>
      <c r="K4253" s="225">
        <v>3371.3800000000106</v>
      </c>
      <c r="L42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3371.38</v>
      </c>
      <c r="M4253" s="225">
        <f>ROUND(IF(AND(Base_Periodo1[[#This Row],[Tipo_Linha]]="-",Base_Periodo1[[#This Row],[TIPOSALDO]]="D"),Base_Periodo1[[#This Row],[SALDO_ATUAL]]*-1,Base_Periodo1[[#This Row],[SALDO_ATUAL]]),4)</f>
        <v>3371.38</v>
      </c>
      <c r="N4253" t="s">
        <v>116</v>
      </c>
      <c r="O4253" t="s">
        <v>459</v>
      </c>
      <c r="P4253" t="s">
        <v>459</v>
      </c>
      <c r="Q4253">
        <v>6</v>
      </c>
      <c r="R4253" s="225">
        <f>Base_Periodo1[[#This Row],[CREDITOS]]-Base_Periodo1[[#This Row],[DEBITOS]]</f>
        <v>671.47999999999979</v>
      </c>
      <c r="S4253" s="3" t="str">
        <f>IF(ISERROR(VLOOKUP(Base_Periodo1[[#This Row],[CONTA]],BaseContasDRE[#All],4,FALSE)),"Fora do DRE",VLOOKUP(Base_Periodo1[[#This Row],[CONTA]],BaseContasDRE[#All],4,FALSE))</f>
        <v>Fora do DRE</v>
      </c>
      <c r="T4253" s="3" t="str">
        <f>IF(ISERROR(VLOOKUP(Base_Periodo1[[#This Row],[CONTA]],BaseContasDRE[#All],5,FALSE)),"Fora do DRE",VLOOKUP(Base_Periodo1[[#This Row],[CONTA]],BaseContasDRE[#All],6,FALSE))</f>
        <v>Fora do DRE</v>
      </c>
      <c r="U4253" s="3" t="str">
        <f>IF(ISERROR(VLOOKUP(Base_Periodo1[[#This Row],[CONTA]],BaseContasDRE[#All],7,FALSE)),"Fora do DRE",VLOOKUP(Base_Periodo1[[#This Row],[CONTA]],BaseContasDRE[#All],7,FALSE))</f>
        <v>Fora do DRE</v>
      </c>
      <c r="V4253" s="3" t="str">
        <f>IF(Base_Periodo1[[#This Row],[Tipo_Linha]]="Fora do DRE","Fora do DRE","( "&amp;Base_Periodo1[[#This Row],[Tipo_Linha]]&amp;" ) "&amp;Base_Periodo1[[#This Row],[Filtro]])</f>
        <v>Fora do DRE</v>
      </c>
      <c r="W4253" s="3" t="str">
        <f>LEFT(Base_Periodo1[[#This Row],[CLASS]],3)</f>
        <v>2.1</v>
      </c>
    </row>
    <row r="4254" spans="1:23" hidden="1">
      <c r="A4254" s="3" t="str">
        <f t="shared" si="66"/>
        <v>Período 1</v>
      </c>
      <c r="B4254">
        <v>50767</v>
      </c>
      <c r="C4254" t="s">
        <v>2260</v>
      </c>
      <c r="D4254" t="s">
        <v>3818</v>
      </c>
      <c r="E4254" s="3" t="str">
        <f>IF(LEN(Base_Periodo1[[#This Row],[CLASS]])&gt;=7,LEFT(Base_Periodo1[[#This Row],[CLASS]],7),"")</f>
        <v>2.1.5.3</v>
      </c>
      <c r="F4254" s="3" t="str">
        <f>VLOOKUP(Base_Periodo1[[#This Row],[Aux]],Base_Contas_Balanco[#All],2,FALSE)</f>
        <v>Provisoes Sociais</v>
      </c>
      <c r="G4254" s="1"/>
      <c r="H4254" s="225">
        <v>1456374.1599999983</v>
      </c>
      <c r="I4254" s="225">
        <v>82236.179999999993</v>
      </c>
      <c r="J4254" s="225">
        <v>151092.15000000002</v>
      </c>
      <c r="K4254" s="225">
        <v>1525230.1299999985</v>
      </c>
      <c r="L42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1525230.13</v>
      </c>
      <c r="M4254" s="225">
        <f>ROUND(IF(AND(Base_Periodo1[[#This Row],[Tipo_Linha]]="-",Base_Periodo1[[#This Row],[TIPOSALDO]]="D"),Base_Periodo1[[#This Row],[SALDO_ATUAL]]*-1,Base_Periodo1[[#This Row],[SALDO_ATUAL]]),4)</f>
        <v>1525230.13</v>
      </c>
      <c r="N4254" t="s">
        <v>396</v>
      </c>
      <c r="O4254" t="s">
        <v>459</v>
      </c>
      <c r="P4254" t="s">
        <v>459</v>
      </c>
      <c r="Q4254">
        <v>5</v>
      </c>
      <c r="R4254" s="225">
        <f>Base_Periodo1[[#This Row],[CREDITOS]]-Base_Periodo1[[#This Row],[DEBITOS]]</f>
        <v>68855.97000000003</v>
      </c>
      <c r="S4254" s="3" t="str">
        <f>IF(ISERROR(VLOOKUP(Base_Periodo1[[#This Row],[CONTA]],BaseContasDRE[#All],4,FALSE)),"Fora do DRE",VLOOKUP(Base_Periodo1[[#This Row],[CONTA]],BaseContasDRE[#All],4,FALSE))</f>
        <v>Fora do DRE</v>
      </c>
      <c r="T4254" s="3" t="str">
        <f>IF(ISERROR(VLOOKUP(Base_Periodo1[[#This Row],[CONTA]],BaseContasDRE[#All],5,FALSE)),"Fora do DRE",VLOOKUP(Base_Periodo1[[#This Row],[CONTA]],BaseContasDRE[#All],6,FALSE))</f>
        <v>Fora do DRE</v>
      </c>
      <c r="U4254" s="3" t="str">
        <f>IF(ISERROR(VLOOKUP(Base_Periodo1[[#This Row],[CONTA]],BaseContasDRE[#All],7,FALSE)),"Fora do DRE",VLOOKUP(Base_Periodo1[[#This Row],[CONTA]],BaseContasDRE[#All],7,FALSE))</f>
        <v>Fora do DRE</v>
      </c>
      <c r="V4254" s="3" t="str">
        <f>IF(Base_Periodo1[[#This Row],[Tipo_Linha]]="Fora do DRE","Fora do DRE","( "&amp;Base_Periodo1[[#This Row],[Tipo_Linha]]&amp;" ) "&amp;Base_Periodo1[[#This Row],[Filtro]])</f>
        <v>Fora do DRE</v>
      </c>
      <c r="W4254" s="3" t="str">
        <f>LEFT(Base_Periodo1[[#This Row],[CLASS]],3)</f>
        <v>2.1</v>
      </c>
    </row>
    <row r="4255" spans="1:23" hidden="1">
      <c r="A4255" s="3" t="str">
        <f t="shared" si="66"/>
        <v>Período 1</v>
      </c>
      <c r="B4255">
        <v>1587</v>
      </c>
      <c r="C4255" t="s">
        <v>4371</v>
      </c>
      <c r="D4255" t="s">
        <v>2259</v>
      </c>
      <c r="E4255" s="3" t="str">
        <f>IF(LEN(Base_Periodo1[[#This Row],[CLASS]])&gt;=7,LEFT(Base_Periodo1[[#This Row],[CLASS]],7),"")</f>
        <v>2.1.5.3</v>
      </c>
      <c r="F4255" s="3" t="str">
        <f>VLOOKUP(Base_Periodo1[[#This Row],[Aux]],Base_Contas_Balanco[#All],2,FALSE)</f>
        <v>Provisoes Sociais</v>
      </c>
      <c r="G4255" s="1">
        <v>42886</v>
      </c>
      <c r="H4255" s="225">
        <v>1056876.3999999985</v>
      </c>
      <c r="I4255" s="225">
        <v>59677.979999999996</v>
      </c>
      <c r="J4255" s="225">
        <v>109646.04</v>
      </c>
      <c r="K4255" s="225">
        <v>1106844.4599999986</v>
      </c>
      <c r="L42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1106844.46</v>
      </c>
      <c r="M4255" s="225">
        <f>ROUND(IF(AND(Base_Periodo1[[#This Row],[Tipo_Linha]]="-",Base_Periodo1[[#This Row],[TIPOSALDO]]="D"),Base_Periodo1[[#This Row],[SALDO_ATUAL]]*-1,Base_Periodo1[[#This Row],[SALDO_ATUAL]]),4)</f>
        <v>1106844.46</v>
      </c>
      <c r="N4255" t="s">
        <v>116</v>
      </c>
      <c r="O4255" t="s">
        <v>459</v>
      </c>
      <c r="P4255" t="s">
        <v>459</v>
      </c>
      <c r="Q4255">
        <v>6</v>
      </c>
      <c r="R4255" s="225">
        <f>Base_Periodo1[[#This Row],[CREDITOS]]-Base_Periodo1[[#This Row],[DEBITOS]]</f>
        <v>49968.06</v>
      </c>
      <c r="S4255" s="3" t="str">
        <f>IF(ISERROR(VLOOKUP(Base_Periodo1[[#This Row],[CONTA]],BaseContasDRE[#All],4,FALSE)),"Fora do DRE",VLOOKUP(Base_Periodo1[[#This Row],[CONTA]],BaseContasDRE[#All],4,FALSE))</f>
        <v>Fora do DRE</v>
      </c>
      <c r="T4255" s="3" t="str">
        <f>IF(ISERROR(VLOOKUP(Base_Periodo1[[#This Row],[CONTA]],BaseContasDRE[#All],5,FALSE)),"Fora do DRE",VLOOKUP(Base_Periodo1[[#This Row],[CONTA]],BaseContasDRE[#All],6,FALSE))</f>
        <v>Fora do DRE</v>
      </c>
      <c r="U4255" s="3" t="str">
        <f>IF(ISERROR(VLOOKUP(Base_Periodo1[[#This Row],[CONTA]],BaseContasDRE[#All],7,FALSE)),"Fora do DRE",VLOOKUP(Base_Periodo1[[#This Row],[CONTA]],BaseContasDRE[#All],7,FALSE))</f>
        <v>Fora do DRE</v>
      </c>
      <c r="V4255" s="3" t="str">
        <f>IF(Base_Periodo1[[#This Row],[Tipo_Linha]]="Fora do DRE","Fora do DRE","( "&amp;Base_Periodo1[[#This Row],[Tipo_Linha]]&amp;" ) "&amp;Base_Periodo1[[#This Row],[Filtro]])</f>
        <v>Fora do DRE</v>
      </c>
      <c r="W4255" s="3" t="str">
        <f>LEFT(Base_Periodo1[[#This Row],[CLASS]],3)</f>
        <v>2.1</v>
      </c>
    </row>
    <row r="4256" spans="1:23" hidden="1">
      <c r="A4256" s="3" t="str">
        <f t="shared" si="66"/>
        <v>Período 1</v>
      </c>
      <c r="B4256">
        <v>53434</v>
      </c>
      <c r="C4256" t="s">
        <v>4876</v>
      </c>
      <c r="D4256" t="s">
        <v>4871</v>
      </c>
      <c r="E4256" s="3" t="str">
        <f>IF(LEN(Base_Periodo1[[#This Row],[CLASS]])&gt;=7,LEFT(Base_Periodo1[[#This Row],[CLASS]],7),"")</f>
        <v>2.1.5.3</v>
      </c>
      <c r="F4256" s="3" t="str">
        <f>VLOOKUP(Base_Periodo1[[#This Row],[Aux]],Base_Contas_Balanco[#All],2,FALSE)</f>
        <v>Provisoes Sociais</v>
      </c>
      <c r="G4256" s="1">
        <v>42886</v>
      </c>
      <c r="H4256" s="225">
        <v>84548.750000000058</v>
      </c>
      <c r="I4256" s="225">
        <v>4774.1599999999989</v>
      </c>
      <c r="J4256" s="225">
        <v>8771.52</v>
      </c>
      <c r="K4256" s="225">
        <v>88546.110000000059</v>
      </c>
      <c r="L42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88546.11</v>
      </c>
      <c r="M4256" s="225">
        <f>ROUND(IF(AND(Base_Periodo1[[#This Row],[Tipo_Linha]]="-",Base_Periodo1[[#This Row],[TIPOSALDO]]="D"),Base_Periodo1[[#This Row],[SALDO_ATUAL]]*-1,Base_Periodo1[[#This Row],[SALDO_ATUAL]]),4)</f>
        <v>88546.11</v>
      </c>
      <c r="N4256" t="s">
        <v>116</v>
      </c>
      <c r="O4256" t="s">
        <v>459</v>
      </c>
      <c r="P4256" t="s">
        <v>459</v>
      </c>
      <c r="Q4256">
        <v>6</v>
      </c>
      <c r="R4256" s="225">
        <f>Base_Periodo1[[#This Row],[CREDITOS]]-Base_Periodo1[[#This Row],[DEBITOS]]</f>
        <v>3997.3600000000015</v>
      </c>
      <c r="S4256" s="3" t="str">
        <f>IF(ISERROR(VLOOKUP(Base_Periodo1[[#This Row],[CONTA]],BaseContasDRE[#All],4,FALSE)),"Fora do DRE",VLOOKUP(Base_Periodo1[[#This Row],[CONTA]],BaseContasDRE[#All],4,FALSE))</f>
        <v>Fora do DRE</v>
      </c>
      <c r="T4256" s="3" t="str">
        <f>IF(ISERROR(VLOOKUP(Base_Periodo1[[#This Row],[CONTA]],BaseContasDRE[#All],5,FALSE)),"Fora do DRE",VLOOKUP(Base_Periodo1[[#This Row],[CONTA]],BaseContasDRE[#All],6,FALSE))</f>
        <v>Fora do DRE</v>
      </c>
      <c r="U4256" s="3" t="str">
        <f>IF(ISERROR(VLOOKUP(Base_Periodo1[[#This Row],[CONTA]],BaseContasDRE[#All],7,FALSE)),"Fora do DRE",VLOOKUP(Base_Periodo1[[#This Row],[CONTA]],BaseContasDRE[#All],7,FALSE))</f>
        <v>Fora do DRE</v>
      </c>
      <c r="V4256" s="3" t="str">
        <f>IF(Base_Periodo1[[#This Row],[Tipo_Linha]]="Fora do DRE","Fora do DRE","( "&amp;Base_Periodo1[[#This Row],[Tipo_Linha]]&amp;" ) "&amp;Base_Periodo1[[#This Row],[Filtro]])</f>
        <v>Fora do DRE</v>
      </c>
      <c r="W4256" s="3" t="str">
        <f>LEFT(Base_Periodo1[[#This Row],[CLASS]],3)</f>
        <v>2.1</v>
      </c>
    </row>
    <row r="4257" spans="1:23" hidden="1">
      <c r="A4257" s="3" t="str">
        <f t="shared" si="66"/>
        <v>Período 1</v>
      </c>
      <c r="B4257">
        <v>53435</v>
      </c>
      <c r="C4257" t="s">
        <v>4877</v>
      </c>
      <c r="D4257" t="s">
        <v>4873</v>
      </c>
      <c r="E4257" s="3" t="str">
        <f>IF(LEN(Base_Periodo1[[#This Row],[CLASS]])&gt;=7,LEFT(Base_Periodo1[[#This Row],[CLASS]],7),"")</f>
        <v>2.1.5.3</v>
      </c>
      <c r="F4257" s="3" t="str">
        <f>VLOOKUP(Base_Periodo1[[#This Row],[Aux]],Base_Contas_Balanco[#All],2,FALSE)</f>
        <v>Provisoes Sociais</v>
      </c>
      <c r="G4257" s="1">
        <v>42886</v>
      </c>
      <c r="H4257" s="225">
        <v>304380.30000000005</v>
      </c>
      <c r="I4257" s="225">
        <v>17187.260000000002</v>
      </c>
      <c r="J4257" s="225">
        <v>31578.14</v>
      </c>
      <c r="K4257" s="225">
        <v>318771.18000000005</v>
      </c>
      <c r="L42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318771.18</v>
      </c>
      <c r="M4257" s="225">
        <f>ROUND(IF(AND(Base_Periodo1[[#This Row],[Tipo_Linha]]="-",Base_Periodo1[[#This Row],[TIPOSALDO]]="D"),Base_Periodo1[[#This Row],[SALDO_ATUAL]]*-1,Base_Periodo1[[#This Row],[SALDO_ATUAL]]),4)</f>
        <v>318771.18</v>
      </c>
      <c r="N4257" t="s">
        <v>116</v>
      </c>
      <c r="O4257" t="s">
        <v>459</v>
      </c>
      <c r="P4257" t="s">
        <v>459</v>
      </c>
      <c r="Q4257">
        <v>6</v>
      </c>
      <c r="R4257" s="225">
        <f>Base_Periodo1[[#This Row],[CREDITOS]]-Base_Periodo1[[#This Row],[DEBITOS]]</f>
        <v>14390.879999999997</v>
      </c>
      <c r="S4257" s="3" t="str">
        <f>IF(ISERROR(VLOOKUP(Base_Periodo1[[#This Row],[CONTA]],BaseContasDRE[#All],4,FALSE)),"Fora do DRE",VLOOKUP(Base_Periodo1[[#This Row],[CONTA]],BaseContasDRE[#All],4,FALSE))</f>
        <v>Fora do DRE</v>
      </c>
      <c r="T4257" s="3" t="str">
        <f>IF(ISERROR(VLOOKUP(Base_Periodo1[[#This Row],[CONTA]],BaseContasDRE[#All],5,FALSE)),"Fora do DRE",VLOOKUP(Base_Periodo1[[#This Row],[CONTA]],BaseContasDRE[#All],6,FALSE))</f>
        <v>Fora do DRE</v>
      </c>
      <c r="U4257" s="3" t="str">
        <f>IF(ISERROR(VLOOKUP(Base_Periodo1[[#This Row],[CONTA]],BaseContasDRE[#All],7,FALSE)),"Fora do DRE",VLOOKUP(Base_Periodo1[[#This Row],[CONTA]],BaseContasDRE[#All],7,FALSE))</f>
        <v>Fora do DRE</v>
      </c>
      <c r="V4257" s="3" t="str">
        <f>IF(Base_Periodo1[[#This Row],[Tipo_Linha]]="Fora do DRE","Fora do DRE","( "&amp;Base_Periodo1[[#This Row],[Tipo_Linha]]&amp;" ) "&amp;Base_Periodo1[[#This Row],[Filtro]])</f>
        <v>Fora do DRE</v>
      </c>
      <c r="W4257" s="3" t="str">
        <f>LEFT(Base_Periodo1[[#This Row],[CLASS]],3)</f>
        <v>2.1</v>
      </c>
    </row>
    <row r="4258" spans="1:23" hidden="1">
      <c r="A4258" s="3" t="str">
        <f t="shared" si="66"/>
        <v>Período 1</v>
      </c>
      <c r="B4258">
        <v>53436</v>
      </c>
      <c r="C4258" t="s">
        <v>4878</v>
      </c>
      <c r="D4258" t="s">
        <v>4875</v>
      </c>
      <c r="E4258" s="3" t="str">
        <f>IF(LEN(Base_Periodo1[[#This Row],[CLASS]])&gt;=7,LEFT(Base_Periodo1[[#This Row],[CLASS]],7),"")</f>
        <v>2.1.5.3</v>
      </c>
      <c r="F4258" s="3" t="str">
        <f>VLOOKUP(Base_Periodo1[[#This Row],[Aux]],Base_Contas_Balanco[#All],2,FALSE)</f>
        <v>Provisoes Sociais</v>
      </c>
      <c r="G4258" s="1">
        <v>42886</v>
      </c>
      <c r="H4258" s="225">
        <v>10568.709999999985</v>
      </c>
      <c r="I4258" s="225">
        <v>596.78000000000009</v>
      </c>
      <c r="J4258" s="225">
        <v>1096.4499999999996</v>
      </c>
      <c r="K4258" s="225">
        <v>11068.379999999983</v>
      </c>
      <c r="L42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11068.38</v>
      </c>
      <c r="M4258" s="225">
        <f>ROUND(IF(AND(Base_Periodo1[[#This Row],[Tipo_Linha]]="-",Base_Periodo1[[#This Row],[TIPOSALDO]]="D"),Base_Periodo1[[#This Row],[SALDO_ATUAL]]*-1,Base_Periodo1[[#This Row],[SALDO_ATUAL]]),4)</f>
        <v>11068.38</v>
      </c>
      <c r="N4258" t="s">
        <v>116</v>
      </c>
      <c r="O4258" t="s">
        <v>459</v>
      </c>
      <c r="P4258" t="s">
        <v>459</v>
      </c>
      <c r="Q4258">
        <v>6</v>
      </c>
      <c r="R4258" s="225">
        <f>Base_Periodo1[[#This Row],[CREDITOS]]-Base_Periodo1[[#This Row],[DEBITOS]]</f>
        <v>499.6699999999995</v>
      </c>
      <c r="S4258" s="3" t="str">
        <f>IF(ISERROR(VLOOKUP(Base_Periodo1[[#This Row],[CONTA]],BaseContasDRE[#All],4,FALSE)),"Fora do DRE",VLOOKUP(Base_Periodo1[[#This Row],[CONTA]],BaseContasDRE[#All],4,FALSE))</f>
        <v>Fora do DRE</v>
      </c>
      <c r="T4258" s="3" t="str">
        <f>IF(ISERROR(VLOOKUP(Base_Periodo1[[#This Row],[CONTA]],BaseContasDRE[#All],5,FALSE)),"Fora do DRE",VLOOKUP(Base_Periodo1[[#This Row],[CONTA]],BaseContasDRE[#All],6,FALSE))</f>
        <v>Fora do DRE</v>
      </c>
      <c r="U4258" s="3" t="str">
        <f>IF(ISERROR(VLOOKUP(Base_Periodo1[[#This Row],[CONTA]],BaseContasDRE[#All],7,FALSE)),"Fora do DRE",VLOOKUP(Base_Periodo1[[#This Row],[CONTA]],BaseContasDRE[#All],7,FALSE))</f>
        <v>Fora do DRE</v>
      </c>
      <c r="V4258" s="3" t="str">
        <f>IF(Base_Periodo1[[#This Row],[Tipo_Linha]]="Fora do DRE","Fora do DRE","( "&amp;Base_Periodo1[[#This Row],[Tipo_Linha]]&amp;" ) "&amp;Base_Periodo1[[#This Row],[Filtro]])</f>
        <v>Fora do DRE</v>
      </c>
      <c r="W4258" s="3" t="str">
        <f>LEFT(Base_Periodo1[[#This Row],[CLASS]],3)</f>
        <v>2.1</v>
      </c>
    </row>
    <row r="4259" spans="1:23" hidden="1">
      <c r="A4259" s="3" t="str">
        <f t="shared" si="66"/>
        <v>Período 1</v>
      </c>
      <c r="B4259">
        <v>1593</v>
      </c>
      <c r="C4259" t="s">
        <v>2262</v>
      </c>
      <c r="D4259" t="s">
        <v>2263</v>
      </c>
      <c r="E4259" s="3" t="str">
        <f>IF(LEN(Base_Periodo1[[#This Row],[CLASS]])&gt;=7,LEFT(Base_Periodo1[[#This Row],[CLASS]],7),"")</f>
        <v/>
      </c>
      <c r="F4259" s="3" t="e">
        <f>VLOOKUP(Base_Periodo1[[#This Row],[Aux]],Base_Contas_Balanco[#All],2,FALSE)</f>
        <v>#N/A</v>
      </c>
      <c r="G4259" s="1"/>
      <c r="H4259" s="225">
        <v>86773473.579998091</v>
      </c>
      <c r="I4259" s="225">
        <v>72751758.290000007</v>
      </c>
      <c r="J4259" s="225">
        <v>56284396.269999988</v>
      </c>
      <c r="K4259" s="225">
        <v>70306111.559998065</v>
      </c>
      <c r="L42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70306111.560000002</v>
      </c>
      <c r="M4259" s="225">
        <f>ROUND(IF(AND(Base_Periodo1[[#This Row],[Tipo_Linha]]="-",Base_Periodo1[[#This Row],[TIPOSALDO]]="D"),Base_Periodo1[[#This Row],[SALDO_ATUAL]]*-1,Base_Periodo1[[#This Row],[SALDO_ATUAL]]),4)</f>
        <v>70306111.560000002</v>
      </c>
      <c r="N4259" t="s">
        <v>396</v>
      </c>
      <c r="O4259" t="s">
        <v>459</v>
      </c>
      <c r="P4259" t="s">
        <v>459</v>
      </c>
      <c r="Q4259">
        <v>3</v>
      </c>
      <c r="R4259" s="225">
        <f>Base_Periodo1[[#This Row],[CREDITOS]]-Base_Periodo1[[#This Row],[DEBITOS]]</f>
        <v>-16467362.020000018</v>
      </c>
      <c r="S4259" s="3" t="str">
        <f>IF(ISERROR(VLOOKUP(Base_Periodo1[[#This Row],[CONTA]],BaseContasDRE[#All],4,FALSE)),"Fora do DRE",VLOOKUP(Base_Periodo1[[#This Row],[CONTA]],BaseContasDRE[#All],4,FALSE))</f>
        <v>Fora do DRE</v>
      </c>
      <c r="T4259" s="3" t="str">
        <f>IF(ISERROR(VLOOKUP(Base_Periodo1[[#This Row],[CONTA]],BaseContasDRE[#All],5,FALSE)),"Fora do DRE",VLOOKUP(Base_Periodo1[[#This Row],[CONTA]],BaseContasDRE[#All],6,FALSE))</f>
        <v>Fora do DRE</v>
      </c>
      <c r="U4259" s="3" t="str">
        <f>IF(ISERROR(VLOOKUP(Base_Periodo1[[#This Row],[CONTA]],BaseContasDRE[#All],7,FALSE)),"Fora do DRE",VLOOKUP(Base_Periodo1[[#This Row],[CONTA]],BaseContasDRE[#All],7,FALSE))</f>
        <v>Fora do DRE</v>
      </c>
      <c r="V4259" s="3" t="str">
        <f>IF(Base_Periodo1[[#This Row],[Tipo_Linha]]="Fora do DRE","Fora do DRE","( "&amp;Base_Periodo1[[#This Row],[Tipo_Linha]]&amp;" ) "&amp;Base_Periodo1[[#This Row],[Filtro]])</f>
        <v>Fora do DRE</v>
      </c>
      <c r="W4259" s="3" t="str">
        <f>LEFT(Base_Periodo1[[#This Row],[CLASS]],3)</f>
        <v>2.1</v>
      </c>
    </row>
    <row r="4260" spans="1:23" hidden="1">
      <c r="A4260" s="3" t="str">
        <f t="shared" si="66"/>
        <v>Período 1</v>
      </c>
      <c r="B4260">
        <v>1594</v>
      </c>
      <c r="C4260" t="s">
        <v>56</v>
      </c>
      <c r="D4260" t="s">
        <v>57</v>
      </c>
      <c r="E4260" s="3" t="str">
        <f>IF(LEN(Base_Periodo1[[#This Row],[CLASS]])&gt;=7,LEFT(Base_Periodo1[[#This Row],[CLASS]],7),"")</f>
        <v>2.1.8.1</v>
      </c>
      <c r="F4260" s="3" t="str">
        <f>VLOOKUP(Base_Periodo1[[#This Row],[Aux]],Base_Contas_Balanco[#All],2,FALSE)</f>
        <v>Obrigacoes Diversas</v>
      </c>
      <c r="G4260" s="1"/>
      <c r="H4260" s="225">
        <v>86599115.029998079</v>
      </c>
      <c r="I4260" s="225">
        <v>72702913.74000001</v>
      </c>
      <c r="J4260" s="225">
        <v>56235551.719999991</v>
      </c>
      <c r="K4260" s="225">
        <v>70131753.009998053</v>
      </c>
      <c r="L42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70131753.010000005</v>
      </c>
      <c r="M4260" s="225">
        <f>ROUND(IF(AND(Base_Periodo1[[#This Row],[Tipo_Linha]]="-",Base_Periodo1[[#This Row],[TIPOSALDO]]="D"),Base_Periodo1[[#This Row],[SALDO_ATUAL]]*-1,Base_Periodo1[[#This Row],[SALDO_ATUAL]]),4)</f>
        <v>70131753.010000005</v>
      </c>
      <c r="N4260" t="s">
        <v>396</v>
      </c>
      <c r="O4260" t="s">
        <v>459</v>
      </c>
      <c r="P4260" t="s">
        <v>459</v>
      </c>
      <c r="Q4260">
        <v>4</v>
      </c>
      <c r="R4260" s="225">
        <f>Base_Periodo1[[#This Row],[CREDITOS]]-Base_Periodo1[[#This Row],[DEBITOS]]</f>
        <v>-16467362.020000018</v>
      </c>
      <c r="S4260" s="3" t="str">
        <f>IF(ISERROR(VLOOKUP(Base_Periodo1[[#This Row],[CONTA]],BaseContasDRE[#All],4,FALSE)),"Fora do DRE",VLOOKUP(Base_Periodo1[[#This Row],[CONTA]],BaseContasDRE[#All],4,FALSE))</f>
        <v>Fora do DRE</v>
      </c>
      <c r="T4260" s="3" t="str">
        <f>IF(ISERROR(VLOOKUP(Base_Periodo1[[#This Row],[CONTA]],BaseContasDRE[#All],5,FALSE)),"Fora do DRE",VLOOKUP(Base_Periodo1[[#This Row],[CONTA]],BaseContasDRE[#All],6,FALSE))</f>
        <v>Fora do DRE</v>
      </c>
      <c r="U4260" s="3" t="str">
        <f>IF(ISERROR(VLOOKUP(Base_Periodo1[[#This Row],[CONTA]],BaseContasDRE[#All],7,FALSE)),"Fora do DRE",VLOOKUP(Base_Periodo1[[#This Row],[CONTA]],BaseContasDRE[#All],7,FALSE))</f>
        <v>Fora do DRE</v>
      </c>
      <c r="V4260" s="3" t="str">
        <f>IF(Base_Periodo1[[#This Row],[Tipo_Linha]]="Fora do DRE","Fora do DRE","( "&amp;Base_Periodo1[[#This Row],[Tipo_Linha]]&amp;" ) "&amp;Base_Periodo1[[#This Row],[Filtro]])</f>
        <v>Fora do DRE</v>
      </c>
      <c r="W4260" s="3" t="str">
        <f>LEFT(Base_Periodo1[[#This Row],[CLASS]],3)</f>
        <v>2.1</v>
      </c>
    </row>
    <row r="4261" spans="1:23" hidden="1">
      <c r="A4261" s="3" t="str">
        <f t="shared" si="66"/>
        <v>Período 1</v>
      </c>
      <c r="B4261">
        <v>1595</v>
      </c>
      <c r="C4261" t="s">
        <v>5447</v>
      </c>
      <c r="D4261" t="s">
        <v>5448</v>
      </c>
      <c r="E4261" s="3" t="str">
        <f>IF(LEN(Base_Periodo1[[#This Row],[CLASS]])&gt;=7,LEFT(Base_Periodo1[[#This Row],[CLASS]],7),"")</f>
        <v>2.1.8.1</v>
      </c>
      <c r="F4261" s="3" t="str">
        <f>VLOOKUP(Base_Periodo1[[#This Row],[Aux]],Base_Contas_Balanco[#All],2,FALSE)</f>
        <v>Obrigacoes Diversas</v>
      </c>
      <c r="G4261" s="1">
        <v>42880</v>
      </c>
      <c r="H4261" s="225">
        <v>610811.39999999991</v>
      </c>
      <c r="I4261" s="225">
        <v>189154</v>
      </c>
      <c r="J4261" s="225">
        <v>172580</v>
      </c>
      <c r="K4261" s="225">
        <v>594237.39999999991</v>
      </c>
      <c r="L42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594237.4</v>
      </c>
      <c r="M4261" s="225">
        <f>ROUND(IF(AND(Base_Periodo1[[#This Row],[Tipo_Linha]]="-",Base_Periodo1[[#This Row],[TIPOSALDO]]="D"),Base_Periodo1[[#This Row],[SALDO_ATUAL]]*-1,Base_Periodo1[[#This Row],[SALDO_ATUAL]]),4)</f>
        <v>594237.4</v>
      </c>
      <c r="N4261" t="s">
        <v>116</v>
      </c>
      <c r="O4261" t="s">
        <v>459</v>
      </c>
      <c r="P4261" t="s">
        <v>459</v>
      </c>
      <c r="Q4261">
        <v>5</v>
      </c>
      <c r="R4261" s="225">
        <f>Base_Periodo1[[#This Row],[CREDITOS]]-Base_Periodo1[[#This Row],[DEBITOS]]</f>
        <v>-16574</v>
      </c>
      <c r="S4261" s="3" t="str">
        <f>IF(ISERROR(VLOOKUP(Base_Periodo1[[#This Row],[CONTA]],BaseContasDRE[#All],4,FALSE)),"Fora do DRE",VLOOKUP(Base_Periodo1[[#This Row],[CONTA]],BaseContasDRE[#All],4,FALSE))</f>
        <v>Fora do DRE</v>
      </c>
      <c r="T4261" s="3" t="str">
        <f>IF(ISERROR(VLOOKUP(Base_Periodo1[[#This Row],[CONTA]],BaseContasDRE[#All],5,FALSE)),"Fora do DRE",VLOOKUP(Base_Periodo1[[#This Row],[CONTA]],BaseContasDRE[#All],6,FALSE))</f>
        <v>Fora do DRE</v>
      </c>
      <c r="U4261" s="3" t="str">
        <f>IF(ISERROR(VLOOKUP(Base_Periodo1[[#This Row],[CONTA]],BaseContasDRE[#All],7,FALSE)),"Fora do DRE",VLOOKUP(Base_Periodo1[[#This Row],[CONTA]],BaseContasDRE[#All],7,FALSE))</f>
        <v>Fora do DRE</v>
      </c>
      <c r="V4261" s="3" t="str">
        <f>IF(Base_Periodo1[[#This Row],[Tipo_Linha]]="Fora do DRE","Fora do DRE","( "&amp;Base_Periodo1[[#This Row],[Tipo_Linha]]&amp;" ) "&amp;Base_Periodo1[[#This Row],[Filtro]])</f>
        <v>Fora do DRE</v>
      </c>
      <c r="W4261" s="3" t="str">
        <f>LEFT(Base_Periodo1[[#This Row],[CLASS]],3)</f>
        <v>2.1</v>
      </c>
    </row>
    <row r="4262" spans="1:23" hidden="1">
      <c r="A4262" s="3" t="str">
        <f t="shared" si="66"/>
        <v>Período 1</v>
      </c>
      <c r="B4262">
        <v>1597</v>
      </c>
      <c r="C4262" t="s">
        <v>2264</v>
      </c>
      <c r="D4262" t="s">
        <v>2265</v>
      </c>
      <c r="E4262" s="3" t="str">
        <f>IF(LEN(Base_Periodo1[[#This Row],[CLASS]])&gt;=7,LEFT(Base_Periodo1[[#This Row],[CLASS]],7),"")</f>
        <v>2.1.8.1</v>
      </c>
      <c r="F4262" s="3" t="str">
        <f>VLOOKUP(Base_Periodo1[[#This Row],[Aux]],Base_Contas_Balanco[#All],2,FALSE)</f>
        <v>Obrigacoes Diversas</v>
      </c>
      <c r="G4262" s="1">
        <v>42851</v>
      </c>
      <c r="H4262" s="225">
        <v>1649.9799999991665</v>
      </c>
      <c r="I4262" s="225">
        <v>0</v>
      </c>
      <c r="J4262" s="225">
        <v>0</v>
      </c>
      <c r="K4262" s="225">
        <v>1649.9799999991665</v>
      </c>
      <c r="L42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1649.98</v>
      </c>
      <c r="M4262" s="225">
        <f>ROUND(IF(AND(Base_Periodo1[[#This Row],[Tipo_Linha]]="-",Base_Periodo1[[#This Row],[TIPOSALDO]]="D"),Base_Periodo1[[#This Row],[SALDO_ATUAL]]*-1,Base_Periodo1[[#This Row],[SALDO_ATUAL]]),4)</f>
        <v>1649.98</v>
      </c>
      <c r="N4262" t="s">
        <v>116</v>
      </c>
      <c r="O4262" t="s">
        <v>459</v>
      </c>
      <c r="P4262" t="s">
        <v>459</v>
      </c>
      <c r="Q4262">
        <v>5</v>
      </c>
      <c r="R4262" s="225">
        <f>Base_Periodo1[[#This Row],[CREDITOS]]-Base_Periodo1[[#This Row],[DEBITOS]]</f>
        <v>0</v>
      </c>
      <c r="S4262" s="3" t="str">
        <f>IF(ISERROR(VLOOKUP(Base_Periodo1[[#This Row],[CONTA]],BaseContasDRE[#All],4,FALSE)),"Fora do DRE",VLOOKUP(Base_Periodo1[[#This Row],[CONTA]],BaseContasDRE[#All],4,FALSE))</f>
        <v>Fora do DRE</v>
      </c>
      <c r="T4262" s="3" t="str">
        <f>IF(ISERROR(VLOOKUP(Base_Periodo1[[#This Row],[CONTA]],BaseContasDRE[#All],5,FALSE)),"Fora do DRE",VLOOKUP(Base_Periodo1[[#This Row],[CONTA]],BaseContasDRE[#All],6,FALSE))</f>
        <v>Fora do DRE</v>
      </c>
      <c r="U4262" s="3" t="str">
        <f>IF(ISERROR(VLOOKUP(Base_Periodo1[[#This Row],[CONTA]],BaseContasDRE[#All],7,FALSE)),"Fora do DRE",VLOOKUP(Base_Periodo1[[#This Row],[CONTA]],BaseContasDRE[#All],7,FALSE))</f>
        <v>Fora do DRE</v>
      </c>
      <c r="V4262" s="3" t="str">
        <f>IF(Base_Periodo1[[#This Row],[Tipo_Linha]]="Fora do DRE","Fora do DRE","( "&amp;Base_Periodo1[[#This Row],[Tipo_Linha]]&amp;" ) "&amp;Base_Periodo1[[#This Row],[Filtro]])</f>
        <v>Fora do DRE</v>
      </c>
      <c r="W4262" s="3" t="str">
        <f>LEFT(Base_Periodo1[[#This Row],[CLASS]],3)</f>
        <v>2.1</v>
      </c>
    </row>
    <row r="4263" spans="1:23" hidden="1">
      <c r="A4263" s="3" t="str">
        <f t="shared" si="66"/>
        <v>Período 1</v>
      </c>
      <c r="B4263">
        <v>1598</v>
      </c>
      <c r="C4263" t="s">
        <v>2266</v>
      </c>
      <c r="D4263" t="s">
        <v>2267</v>
      </c>
      <c r="E4263" s="3" t="str">
        <f>IF(LEN(Base_Periodo1[[#This Row],[CLASS]])&gt;=7,LEFT(Base_Periodo1[[#This Row],[CLASS]],7),"")</f>
        <v>2.1.8.1</v>
      </c>
      <c r="F4263" s="3" t="str">
        <f>VLOOKUP(Base_Periodo1[[#This Row],[Aux]],Base_Contas_Balanco[#All],2,FALSE)</f>
        <v>Obrigacoes Diversas</v>
      </c>
      <c r="G4263" s="1">
        <v>42886</v>
      </c>
      <c r="H4263" s="225">
        <v>27506747.709999815</v>
      </c>
      <c r="I4263" s="225">
        <v>8983438.9199999999</v>
      </c>
      <c r="J4263" s="225">
        <v>49943.55</v>
      </c>
      <c r="K4263" s="225">
        <v>18573252.339999814</v>
      </c>
      <c r="L42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18573252.34</v>
      </c>
      <c r="M4263" s="225">
        <f>ROUND(IF(AND(Base_Periodo1[[#This Row],[Tipo_Linha]]="-",Base_Periodo1[[#This Row],[TIPOSALDO]]="D"),Base_Periodo1[[#This Row],[SALDO_ATUAL]]*-1,Base_Periodo1[[#This Row],[SALDO_ATUAL]]),4)</f>
        <v>18573252.34</v>
      </c>
      <c r="N4263" t="s">
        <v>116</v>
      </c>
      <c r="O4263" t="s">
        <v>459</v>
      </c>
      <c r="P4263" t="s">
        <v>459</v>
      </c>
      <c r="Q4263">
        <v>5</v>
      </c>
      <c r="R4263" s="225">
        <f>Base_Periodo1[[#This Row],[CREDITOS]]-Base_Periodo1[[#This Row],[DEBITOS]]</f>
        <v>-8933495.3699999992</v>
      </c>
      <c r="S4263" s="3" t="str">
        <f>IF(ISERROR(VLOOKUP(Base_Periodo1[[#This Row],[CONTA]],BaseContasDRE[#All],4,FALSE)),"Fora do DRE",VLOOKUP(Base_Periodo1[[#This Row],[CONTA]],BaseContasDRE[#All],4,FALSE))</f>
        <v>Fora do DRE</v>
      </c>
      <c r="T4263" s="3" t="str">
        <f>IF(ISERROR(VLOOKUP(Base_Periodo1[[#This Row],[CONTA]],BaseContasDRE[#All],5,FALSE)),"Fora do DRE",VLOOKUP(Base_Periodo1[[#This Row],[CONTA]],BaseContasDRE[#All],6,FALSE))</f>
        <v>Fora do DRE</v>
      </c>
      <c r="U4263" s="3" t="str">
        <f>IF(ISERROR(VLOOKUP(Base_Periodo1[[#This Row],[CONTA]],BaseContasDRE[#All],7,FALSE)),"Fora do DRE",VLOOKUP(Base_Periodo1[[#This Row],[CONTA]],BaseContasDRE[#All],7,FALSE))</f>
        <v>Fora do DRE</v>
      </c>
      <c r="V4263" s="3" t="str">
        <f>IF(Base_Periodo1[[#This Row],[Tipo_Linha]]="Fora do DRE","Fora do DRE","( "&amp;Base_Periodo1[[#This Row],[Tipo_Linha]]&amp;" ) "&amp;Base_Periodo1[[#This Row],[Filtro]])</f>
        <v>Fora do DRE</v>
      </c>
      <c r="W4263" s="3" t="str">
        <f>LEFT(Base_Periodo1[[#This Row],[CLASS]],3)</f>
        <v>2.1</v>
      </c>
    </row>
    <row r="4264" spans="1:23" hidden="1">
      <c r="A4264" s="3" t="str">
        <f t="shared" si="66"/>
        <v>Período 1</v>
      </c>
      <c r="B4264">
        <v>30457</v>
      </c>
      <c r="C4264" t="s">
        <v>5449</v>
      </c>
      <c r="D4264" t="s">
        <v>5450</v>
      </c>
      <c r="E4264" s="3" t="str">
        <f>IF(LEN(Base_Periodo1[[#This Row],[CLASS]])&gt;=7,LEFT(Base_Periodo1[[#This Row],[CLASS]],7),"")</f>
        <v>2.1.8.1</v>
      </c>
      <c r="F4264" s="3" t="str">
        <f>VLOOKUP(Base_Periodo1[[#This Row],[Aux]],Base_Contas_Balanco[#All],2,FALSE)</f>
        <v>Obrigacoes Diversas</v>
      </c>
      <c r="G4264" s="1">
        <v>42697</v>
      </c>
      <c r="H4264" s="225">
        <v>389306</v>
      </c>
      <c r="I4264" s="225">
        <v>0</v>
      </c>
      <c r="J4264" s="225">
        <v>0</v>
      </c>
      <c r="K4264" s="225">
        <v>389306</v>
      </c>
      <c r="L42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389306</v>
      </c>
      <c r="M4264" s="225">
        <f>ROUND(IF(AND(Base_Periodo1[[#This Row],[Tipo_Linha]]="-",Base_Periodo1[[#This Row],[TIPOSALDO]]="D"),Base_Periodo1[[#This Row],[SALDO_ATUAL]]*-1,Base_Periodo1[[#This Row],[SALDO_ATUAL]]),4)</f>
        <v>389306</v>
      </c>
      <c r="N4264" t="s">
        <v>116</v>
      </c>
      <c r="O4264" t="s">
        <v>459</v>
      </c>
      <c r="P4264" t="s">
        <v>459</v>
      </c>
      <c r="Q4264">
        <v>5</v>
      </c>
      <c r="R4264" s="225">
        <f>Base_Periodo1[[#This Row],[CREDITOS]]-Base_Periodo1[[#This Row],[DEBITOS]]</f>
        <v>0</v>
      </c>
      <c r="S4264" s="3" t="str">
        <f>IF(ISERROR(VLOOKUP(Base_Periodo1[[#This Row],[CONTA]],BaseContasDRE[#All],4,FALSE)),"Fora do DRE",VLOOKUP(Base_Periodo1[[#This Row],[CONTA]],BaseContasDRE[#All],4,FALSE))</f>
        <v>Fora do DRE</v>
      </c>
      <c r="T4264" s="3" t="str">
        <f>IF(ISERROR(VLOOKUP(Base_Periodo1[[#This Row],[CONTA]],BaseContasDRE[#All],5,FALSE)),"Fora do DRE",VLOOKUP(Base_Periodo1[[#This Row],[CONTA]],BaseContasDRE[#All],6,FALSE))</f>
        <v>Fora do DRE</v>
      </c>
      <c r="U4264" s="3" t="str">
        <f>IF(ISERROR(VLOOKUP(Base_Periodo1[[#This Row],[CONTA]],BaseContasDRE[#All],7,FALSE)),"Fora do DRE",VLOOKUP(Base_Periodo1[[#This Row],[CONTA]],BaseContasDRE[#All],7,FALSE))</f>
        <v>Fora do DRE</v>
      </c>
      <c r="V4264" s="3" t="str">
        <f>IF(Base_Periodo1[[#This Row],[Tipo_Linha]]="Fora do DRE","Fora do DRE","( "&amp;Base_Periodo1[[#This Row],[Tipo_Linha]]&amp;" ) "&amp;Base_Periodo1[[#This Row],[Filtro]])</f>
        <v>Fora do DRE</v>
      </c>
      <c r="W4264" s="3" t="str">
        <f>LEFT(Base_Periodo1[[#This Row],[CLASS]],3)</f>
        <v>2.1</v>
      </c>
    </row>
    <row r="4265" spans="1:23" hidden="1">
      <c r="A4265" s="3" t="str">
        <f t="shared" si="66"/>
        <v>Período 1</v>
      </c>
      <c r="B4265">
        <v>1599</v>
      </c>
      <c r="C4265" t="s">
        <v>2268</v>
      </c>
      <c r="D4265" t="s">
        <v>2269</v>
      </c>
      <c r="E4265" s="3" t="str">
        <f>IF(LEN(Base_Periodo1[[#This Row],[CLASS]])&gt;=7,LEFT(Base_Periodo1[[#This Row],[CLASS]],7),"")</f>
        <v>2.1.8.1</v>
      </c>
      <c r="F4265" s="3" t="str">
        <f>VLOOKUP(Base_Periodo1[[#This Row],[Aux]],Base_Contas_Balanco[#All],2,FALSE)</f>
        <v>Obrigacoes Diversas</v>
      </c>
      <c r="G4265" s="1">
        <v>42886</v>
      </c>
      <c r="H4265" s="225">
        <v>58084735.809998274</v>
      </c>
      <c r="I4265" s="225">
        <v>63530320.820000008</v>
      </c>
      <c r="J4265" s="225">
        <v>56013028.169999994</v>
      </c>
      <c r="K4265" s="225">
        <v>50567443.15999826</v>
      </c>
      <c r="L42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50567443.159999996</v>
      </c>
      <c r="M4265" s="225">
        <f>ROUND(IF(AND(Base_Periodo1[[#This Row],[Tipo_Linha]]="-",Base_Periodo1[[#This Row],[TIPOSALDO]]="D"),Base_Periodo1[[#This Row],[SALDO_ATUAL]]*-1,Base_Periodo1[[#This Row],[SALDO_ATUAL]]),4)</f>
        <v>50567443.159999996</v>
      </c>
      <c r="N4265" t="s">
        <v>116</v>
      </c>
      <c r="O4265" t="s">
        <v>459</v>
      </c>
      <c r="P4265" t="s">
        <v>459</v>
      </c>
      <c r="Q4265">
        <v>5</v>
      </c>
      <c r="R4265" s="225">
        <f>Base_Periodo1[[#This Row],[CREDITOS]]-Base_Periodo1[[#This Row],[DEBITOS]]</f>
        <v>-7517292.6500000134</v>
      </c>
      <c r="S4265" s="3" t="str">
        <f>IF(ISERROR(VLOOKUP(Base_Periodo1[[#This Row],[CONTA]],BaseContasDRE[#All],4,FALSE)),"Fora do DRE",VLOOKUP(Base_Periodo1[[#This Row],[CONTA]],BaseContasDRE[#All],4,FALSE))</f>
        <v>Fora do DRE</v>
      </c>
      <c r="T4265" s="3" t="str">
        <f>IF(ISERROR(VLOOKUP(Base_Periodo1[[#This Row],[CONTA]],BaseContasDRE[#All],5,FALSE)),"Fora do DRE",VLOOKUP(Base_Periodo1[[#This Row],[CONTA]],BaseContasDRE[#All],6,FALSE))</f>
        <v>Fora do DRE</v>
      </c>
      <c r="U4265" s="3" t="str">
        <f>IF(ISERROR(VLOOKUP(Base_Periodo1[[#This Row],[CONTA]],BaseContasDRE[#All],7,FALSE)),"Fora do DRE",VLOOKUP(Base_Periodo1[[#This Row],[CONTA]],BaseContasDRE[#All],7,FALSE))</f>
        <v>Fora do DRE</v>
      </c>
      <c r="V4265" s="3" t="str">
        <f>IF(Base_Periodo1[[#This Row],[Tipo_Linha]]="Fora do DRE","Fora do DRE","( "&amp;Base_Periodo1[[#This Row],[Tipo_Linha]]&amp;" ) "&amp;Base_Periodo1[[#This Row],[Filtro]])</f>
        <v>Fora do DRE</v>
      </c>
      <c r="W4265" s="3" t="str">
        <f>LEFT(Base_Periodo1[[#This Row],[CLASS]],3)</f>
        <v>2.1</v>
      </c>
    </row>
    <row r="4266" spans="1:23" hidden="1">
      <c r="A4266" s="3" t="str">
        <f t="shared" si="66"/>
        <v>Período 1</v>
      </c>
      <c r="B4266">
        <v>1601</v>
      </c>
      <c r="C4266" t="s">
        <v>4465</v>
      </c>
      <c r="D4266" t="s">
        <v>4466</v>
      </c>
      <c r="E4266" s="3" t="str">
        <f>IF(LEN(Base_Periodo1[[#This Row],[CLASS]])&gt;=7,LEFT(Base_Periodo1[[#This Row],[CLASS]],7),"")</f>
        <v>2.1.8.1</v>
      </c>
      <c r="F4266" s="3" t="str">
        <f>VLOOKUP(Base_Periodo1[[#This Row],[Aux]],Base_Contas_Balanco[#All],2,FALSE)</f>
        <v>Obrigacoes Diversas</v>
      </c>
      <c r="G4266" s="1">
        <v>42794</v>
      </c>
      <c r="H4266" s="225">
        <v>5864.1299999991897</v>
      </c>
      <c r="I4266" s="225">
        <v>0</v>
      </c>
      <c r="J4266" s="225">
        <v>0</v>
      </c>
      <c r="K4266" s="225">
        <v>5864.1299999991897</v>
      </c>
      <c r="L42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5864.13</v>
      </c>
      <c r="M4266" s="225">
        <f>ROUND(IF(AND(Base_Periodo1[[#This Row],[Tipo_Linha]]="-",Base_Periodo1[[#This Row],[TIPOSALDO]]="D"),Base_Periodo1[[#This Row],[SALDO_ATUAL]]*-1,Base_Periodo1[[#This Row],[SALDO_ATUAL]]),4)</f>
        <v>5864.13</v>
      </c>
      <c r="N4266" t="s">
        <v>116</v>
      </c>
      <c r="O4266" t="s">
        <v>459</v>
      </c>
      <c r="P4266" t="s">
        <v>459</v>
      </c>
      <c r="Q4266">
        <v>5</v>
      </c>
      <c r="R4266" s="225">
        <f>Base_Periodo1[[#This Row],[CREDITOS]]-Base_Periodo1[[#This Row],[DEBITOS]]</f>
        <v>0</v>
      </c>
      <c r="S4266" s="3" t="str">
        <f>IF(ISERROR(VLOOKUP(Base_Periodo1[[#This Row],[CONTA]],BaseContasDRE[#All],4,FALSE)),"Fora do DRE",VLOOKUP(Base_Periodo1[[#This Row],[CONTA]],BaseContasDRE[#All],4,FALSE))</f>
        <v>Fora do DRE</v>
      </c>
      <c r="T4266" s="3" t="str">
        <f>IF(ISERROR(VLOOKUP(Base_Periodo1[[#This Row],[CONTA]],BaseContasDRE[#All],5,FALSE)),"Fora do DRE",VLOOKUP(Base_Periodo1[[#This Row],[CONTA]],BaseContasDRE[#All],6,FALSE))</f>
        <v>Fora do DRE</v>
      </c>
      <c r="U4266" s="3" t="str">
        <f>IF(ISERROR(VLOOKUP(Base_Periodo1[[#This Row],[CONTA]],BaseContasDRE[#All],7,FALSE)),"Fora do DRE",VLOOKUP(Base_Periodo1[[#This Row],[CONTA]],BaseContasDRE[#All],7,FALSE))</f>
        <v>Fora do DRE</v>
      </c>
      <c r="V4266" s="3" t="str">
        <f>IF(Base_Periodo1[[#This Row],[Tipo_Linha]]="Fora do DRE","Fora do DRE","( "&amp;Base_Periodo1[[#This Row],[Tipo_Linha]]&amp;" ) "&amp;Base_Periodo1[[#This Row],[Filtro]])</f>
        <v>Fora do DRE</v>
      </c>
      <c r="W4266" s="3" t="str">
        <f>LEFT(Base_Periodo1[[#This Row],[CLASS]],3)</f>
        <v>2.1</v>
      </c>
    </row>
    <row r="4267" spans="1:23" hidden="1">
      <c r="A4267" s="3" t="str">
        <f t="shared" si="66"/>
        <v>Período 1</v>
      </c>
      <c r="B4267">
        <v>1603</v>
      </c>
      <c r="C4267" t="s">
        <v>58</v>
      </c>
      <c r="D4267" t="s">
        <v>59</v>
      </c>
      <c r="E4267" s="3" t="str">
        <f>IF(LEN(Base_Periodo1[[#This Row],[CLASS]])&gt;=7,LEFT(Base_Periodo1[[#This Row],[CLASS]],7),"")</f>
        <v>2.1.8.2</v>
      </c>
      <c r="F4267" s="3" t="str">
        <f>VLOOKUP(Base_Periodo1[[#This Row],[Aux]],Base_Contas_Balanco[#All],2,FALSE)</f>
        <v>Vendas A Entregar</v>
      </c>
      <c r="G4267" s="1"/>
      <c r="H4267" s="225">
        <v>174358.55000001192</v>
      </c>
      <c r="I4267" s="225">
        <v>48844.55</v>
      </c>
      <c r="J4267" s="225">
        <v>48844.55</v>
      </c>
      <c r="K4267" s="225">
        <v>174358.55000001192</v>
      </c>
      <c r="L42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174358.55</v>
      </c>
      <c r="M4267" s="225">
        <f>ROUND(IF(AND(Base_Periodo1[[#This Row],[Tipo_Linha]]="-",Base_Periodo1[[#This Row],[TIPOSALDO]]="D"),Base_Periodo1[[#This Row],[SALDO_ATUAL]]*-1,Base_Periodo1[[#This Row],[SALDO_ATUAL]]),4)</f>
        <v>174358.55</v>
      </c>
      <c r="N4267" t="s">
        <v>396</v>
      </c>
      <c r="O4267" t="s">
        <v>459</v>
      </c>
      <c r="P4267" t="s">
        <v>459</v>
      </c>
      <c r="Q4267">
        <v>4</v>
      </c>
      <c r="R4267" s="225">
        <f>Base_Periodo1[[#This Row],[CREDITOS]]-Base_Periodo1[[#This Row],[DEBITOS]]</f>
        <v>0</v>
      </c>
      <c r="S4267" s="3" t="str">
        <f>IF(ISERROR(VLOOKUP(Base_Periodo1[[#This Row],[CONTA]],BaseContasDRE[#All],4,FALSE)),"Fora do DRE",VLOOKUP(Base_Periodo1[[#This Row],[CONTA]],BaseContasDRE[#All],4,FALSE))</f>
        <v>Fora do DRE</v>
      </c>
      <c r="T4267" s="3" t="str">
        <f>IF(ISERROR(VLOOKUP(Base_Periodo1[[#This Row],[CONTA]],BaseContasDRE[#All],5,FALSE)),"Fora do DRE",VLOOKUP(Base_Periodo1[[#This Row],[CONTA]],BaseContasDRE[#All],6,FALSE))</f>
        <v>Fora do DRE</v>
      </c>
      <c r="U4267" s="3" t="str">
        <f>IF(ISERROR(VLOOKUP(Base_Periodo1[[#This Row],[CONTA]],BaseContasDRE[#All],7,FALSE)),"Fora do DRE",VLOOKUP(Base_Periodo1[[#This Row],[CONTA]],BaseContasDRE[#All],7,FALSE))</f>
        <v>Fora do DRE</v>
      </c>
      <c r="V4267" s="3" t="str">
        <f>IF(Base_Periodo1[[#This Row],[Tipo_Linha]]="Fora do DRE","Fora do DRE","( "&amp;Base_Periodo1[[#This Row],[Tipo_Linha]]&amp;" ) "&amp;Base_Periodo1[[#This Row],[Filtro]])</f>
        <v>Fora do DRE</v>
      </c>
      <c r="W4267" s="3" t="str">
        <f>LEFT(Base_Periodo1[[#This Row],[CLASS]],3)</f>
        <v>2.1</v>
      </c>
    </row>
    <row r="4268" spans="1:23" hidden="1">
      <c r="A4268" s="3" t="str">
        <f t="shared" si="66"/>
        <v>Período 1</v>
      </c>
      <c r="B4268">
        <v>1604</v>
      </c>
      <c r="C4268" t="s">
        <v>2270</v>
      </c>
      <c r="D4268" t="s">
        <v>2271</v>
      </c>
      <c r="E4268" s="3" t="str">
        <f>IF(LEN(Base_Periodo1[[#This Row],[CLASS]])&gt;=7,LEFT(Base_Periodo1[[#This Row],[CLASS]],7),"")</f>
        <v>2.1.8.2</v>
      </c>
      <c r="F4268" s="3" t="str">
        <f>VLOOKUP(Base_Periodo1[[#This Row],[Aux]],Base_Contas_Balanco[#All],2,FALSE)</f>
        <v>Vendas A Entregar</v>
      </c>
      <c r="G4268" s="1">
        <v>42881</v>
      </c>
      <c r="H4268" s="225">
        <v>61148.150000013411</v>
      </c>
      <c r="I4268" s="225">
        <v>12000</v>
      </c>
      <c r="J4268" s="225">
        <v>12000</v>
      </c>
      <c r="K4268" s="225">
        <v>61148.150000013411</v>
      </c>
      <c r="L42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61148.15</v>
      </c>
      <c r="M4268" s="225">
        <f>ROUND(IF(AND(Base_Periodo1[[#This Row],[Tipo_Linha]]="-",Base_Periodo1[[#This Row],[TIPOSALDO]]="D"),Base_Periodo1[[#This Row],[SALDO_ATUAL]]*-1,Base_Periodo1[[#This Row],[SALDO_ATUAL]]),4)</f>
        <v>61148.15</v>
      </c>
      <c r="N4268" t="s">
        <v>116</v>
      </c>
      <c r="O4268" t="s">
        <v>459</v>
      </c>
      <c r="P4268" t="s">
        <v>459</v>
      </c>
      <c r="Q4268">
        <v>5</v>
      </c>
      <c r="R4268" s="225">
        <f>Base_Periodo1[[#This Row],[CREDITOS]]-Base_Periodo1[[#This Row],[DEBITOS]]</f>
        <v>0</v>
      </c>
      <c r="S4268" s="3" t="str">
        <f>IF(ISERROR(VLOOKUP(Base_Periodo1[[#This Row],[CONTA]],BaseContasDRE[#All],4,FALSE)),"Fora do DRE",VLOOKUP(Base_Periodo1[[#This Row],[CONTA]],BaseContasDRE[#All],4,FALSE))</f>
        <v>Fora do DRE</v>
      </c>
      <c r="T4268" s="3" t="str">
        <f>IF(ISERROR(VLOOKUP(Base_Periodo1[[#This Row],[CONTA]],BaseContasDRE[#All],5,FALSE)),"Fora do DRE",VLOOKUP(Base_Periodo1[[#This Row],[CONTA]],BaseContasDRE[#All],6,FALSE))</f>
        <v>Fora do DRE</v>
      </c>
      <c r="U4268" s="3" t="str">
        <f>IF(ISERROR(VLOOKUP(Base_Periodo1[[#This Row],[CONTA]],BaseContasDRE[#All],7,FALSE)),"Fora do DRE",VLOOKUP(Base_Periodo1[[#This Row],[CONTA]],BaseContasDRE[#All],7,FALSE))</f>
        <v>Fora do DRE</v>
      </c>
      <c r="V4268" s="3" t="str">
        <f>IF(Base_Periodo1[[#This Row],[Tipo_Linha]]="Fora do DRE","Fora do DRE","( "&amp;Base_Periodo1[[#This Row],[Tipo_Linha]]&amp;" ) "&amp;Base_Periodo1[[#This Row],[Filtro]])</f>
        <v>Fora do DRE</v>
      </c>
      <c r="W4268" s="3" t="str">
        <f>LEFT(Base_Periodo1[[#This Row],[CLASS]],3)</f>
        <v>2.1</v>
      </c>
    </row>
    <row r="4269" spans="1:23" hidden="1">
      <c r="A4269" s="3" t="str">
        <f t="shared" si="66"/>
        <v>Período 1</v>
      </c>
      <c r="B4269">
        <v>1605</v>
      </c>
      <c r="C4269" t="s">
        <v>6008</v>
      </c>
      <c r="D4269" t="s">
        <v>6009</v>
      </c>
      <c r="E4269" s="3" t="str">
        <f>IF(LEN(Base_Periodo1[[#This Row],[CLASS]])&gt;=7,LEFT(Base_Periodo1[[#This Row],[CLASS]],7),"")</f>
        <v>2.1.8.2</v>
      </c>
      <c r="F4269" s="3" t="str">
        <f>VLOOKUP(Base_Periodo1[[#This Row],[Aux]],Base_Contas_Balanco[#All],2,FALSE)</f>
        <v>Vendas A Entregar</v>
      </c>
      <c r="G4269" s="1">
        <v>42859</v>
      </c>
      <c r="H4269" s="225">
        <v>113210.39999999851</v>
      </c>
      <c r="I4269" s="225">
        <v>36844.550000000003</v>
      </c>
      <c r="J4269" s="225">
        <v>36844.550000000003</v>
      </c>
      <c r="K4269" s="225">
        <v>113210.39999999851</v>
      </c>
      <c r="L42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113210.4</v>
      </c>
      <c r="M4269" s="225">
        <f>ROUND(IF(AND(Base_Periodo1[[#This Row],[Tipo_Linha]]="-",Base_Periodo1[[#This Row],[TIPOSALDO]]="D"),Base_Periodo1[[#This Row],[SALDO_ATUAL]]*-1,Base_Periodo1[[#This Row],[SALDO_ATUAL]]),4)</f>
        <v>113210.4</v>
      </c>
      <c r="N4269" t="s">
        <v>116</v>
      </c>
      <c r="O4269" t="s">
        <v>459</v>
      </c>
      <c r="P4269" t="s">
        <v>459</v>
      </c>
      <c r="Q4269">
        <v>5</v>
      </c>
      <c r="R4269" s="225">
        <f>Base_Periodo1[[#This Row],[CREDITOS]]-Base_Periodo1[[#This Row],[DEBITOS]]</f>
        <v>0</v>
      </c>
      <c r="S4269" s="3" t="str">
        <f>IF(ISERROR(VLOOKUP(Base_Periodo1[[#This Row],[CONTA]],BaseContasDRE[#All],4,FALSE)),"Fora do DRE",VLOOKUP(Base_Periodo1[[#This Row],[CONTA]],BaseContasDRE[#All],4,FALSE))</f>
        <v>Fora do DRE</v>
      </c>
      <c r="T4269" s="3" t="str">
        <f>IF(ISERROR(VLOOKUP(Base_Periodo1[[#This Row],[CONTA]],BaseContasDRE[#All],5,FALSE)),"Fora do DRE",VLOOKUP(Base_Periodo1[[#This Row],[CONTA]],BaseContasDRE[#All],6,FALSE))</f>
        <v>Fora do DRE</v>
      </c>
      <c r="U4269" s="3" t="str">
        <f>IF(ISERROR(VLOOKUP(Base_Periodo1[[#This Row],[CONTA]],BaseContasDRE[#All],7,FALSE)),"Fora do DRE",VLOOKUP(Base_Periodo1[[#This Row],[CONTA]],BaseContasDRE[#All],7,FALSE))</f>
        <v>Fora do DRE</v>
      </c>
      <c r="V4269" s="3" t="str">
        <f>IF(Base_Periodo1[[#This Row],[Tipo_Linha]]="Fora do DRE","Fora do DRE","( "&amp;Base_Periodo1[[#This Row],[Tipo_Linha]]&amp;" ) "&amp;Base_Periodo1[[#This Row],[Filtro]])</f>
        <v>Fora do DRE</v>
      </c>
      <c r="W4269" s="3" t="str">
        <f>LEFT(Base_Periodo1[[#This Row],[CLASS]],3)</f>
        <v>2.1</v>
      </c>
    </row>
    <row r="4270" spans="1:23" hidden="1">
      <c r="A4270" s="3" t="str">
        <f t="shared" si="66"/>
        <v>Período 1</v>
      </c>
      <c r="B4270">
        <v>1606</v>
      </c>
      <c r="C4270" t="s">
        <v>2272</v>
      </c>
      <c r="D4270" t="s">
        <v>2273</v>
      </c>
      <c r="E4270" s="3" t="str">
        <f>IF(LEN(Base_Periodo1[[#This Row],[CLASS]])&gt;=7,LEFT(Base_Periodo1[[#This Row],[CLASS]],7),"")</f>
        <v/>
      </c>
      <c r="F4270" s="3" t="e">
        <f>VLOOKUP(Base_Periodo1[[#This Row],[Aux]],Base_Contas_Balanco[#All],2,FALSE)</f>
        <v>#N/A</v>
      </c>
      <c r="G4270" s="1"/>
      <c r="H4270" s="225">
        <v>92396616.04999873</v>
      </c>
      <c r="I4270" s="225">
        <v>20602223.329999998</v>
      </c>
      <c r="J4270" s="225">
        <v>12278777.899999999</v>
      </c>
      <c r="K4270" s="225">
        <v>84073170.619998723</v>
      </c>
      <c r="L42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84073170.620000005</v>
      </c>
      <c r="M4270" s="225">
        <f>ROUND(IF(AND(Base_Periodo1[[#This Row],[Tipo_Linha]]="-",Base_Periodo1[[#This Row],[TIPOSALDO]]="D"),Base_Periodo1[[#This Row],[SALDO_ATUAL]]*-1,Base_Periodo1[[#This Row],[SALDO_ATUAL]]),4)</f>
        <v>84073170.620000005</v>
      </c>
      <c r="N4270" t="s">
        <v>396</v>
      </c>
      <c r="O4270" t="s">
        <v>459</v>
      </c>
      <c r="P4270" t="s">
        <v>459</v>
      </c>
      <c r="Q4270">
        <v>3</v>
      </c>
      <c r="R4270" s="225">
        <f>Base_Periodo1[[#This Row],[CREDITOS]]-Base_Periodo1[[#This Row],[DEBITOS]]</f>
        <v>-8323445.4299999997</v>
      </c>
      <c r="S4270" s="3" t="str">
        <f>IF(ISERROR(VLOOKUP(Base_Periodo1[[#This Row],[CONTA]],BaseContasDRE[#All],4,FALSE)),"Fora do DRE",VLOOKUP(Base_Periodo1[[#This Row],[CONTA]],BaseContasDRE[#All],4,FALSE))</f>
        <v>Fora do DRE</v>
      </c>
      <c r="T4270" s="3" t="str">
        <f>IF(ISERROR(VLOOKUP(Base_Periodo1[[#This Row],[CONTA]],BaseContasDRE[#All],5,FALSE)),"Fora do DRE",VLOOKUP(Base_Periodo1[[#This Row],[CONTA]],BaseContasDRE[#All],6,FALSE))</f>
        <v>Fora do DRE</v>
      </c>
      <c r="U4270" s="3" t="str">
        <f>IF(ISERROR(VLOOKUP(Base_Periodo1[[#This Row],[CONTA]],BaseContasDRE[#All],7,FALSE)),"Fora do DRE",VLOOKUP(Base_Periodo1[[#This Row],[CONTA]],BaseContasDRE[#All],7,FALSE))</f>
        <v>Fora do DRE</v>
      </c>
      <c r="V4270" s="3" t="str">
        <f>IF(Base_Periodo1[[#This Row],[Tipo_Linha]]="Fora do DRE","Fora do DRE","( "&amp;Base_Periodo1[[#This Row],[Tipo_Linha]]&amp;" ) "&amp;Base_Periodo1[[#This Row],[Filtro]])</f>
        <v>Fora do DRE</v>
      </c>
      <c r="W4270" s="3" t="str">
        <f>LEFT(Base_Periodo1[[#This Row],[CLASS]],3)</f>
        <v>2.1</v>
      </c>
    </row>
    <row r="4271" spans="1:23" hidden="1">
      <c r="A4271" s="3" t="str">
        <f t="shared" si="66"/>
        <v>Período 1</v>
      </c>
      <c r="B4271">
        <v>1607</v>
      </c>
      <c r="C4271" t="s">
        <v>60</v>
      </c>
      <c r="D4271" t="s">
        <v>61</v>
      </c>
      <c r="E4271" s="3" t="str">
        <f>IF(LEN(Base_Periodo1[[#This Row],[CLASS]])&gt;=7,LEFT(Base_Periodo1[[#This Row],[CLASS]],7),"")</f>
        <v>2.1.9.1</v>
      </c>
      <c r="F4271" s="3" t="str">
        <f>VLOOKUP(Base_Periodo1[[#This Row],[Aux]],Base_Contas_Balanco[#All],2,FALSE)</f>
        <v>Produtos A Fixar</v>
      </c>
      <c r="G4271" s="1"/>
      <c r="H4271" s="225">
        <v>92396616.04999873</v>
      </c>
      <c r="I4271" s="225">
        <v>20602223.329999998</v>
      </c>
      <c r="J4271" s="225">
        <v>12278777.899999999</v>
      </c>
      <c r="K4271" s="225">
        <v>84073170.619998723</v>
      </c>
      <c r="L42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84073170.620000005</v>
      </c>
      <c r="M4271" s="225">
        <f>ROUND(IF(AND(Base_Periodo1[[#This Row],[Tipo_Linha]]="-",Base_Periodo1[[#This Row],[TIPOSALDO]]="D"),Base_Periodo1[[#This Row],[SALDO_ATUAL]]*-1,Base_Periodo1[[#This Row],[SALDO_ATUAL]]),4)</f>
        <v>84073170.620000005</v>
      </c>
      <c r="N4271" t="s">
        <v>396</v>
      </c>
      <c r="O4271" t="s">
        <v>459</v>
      </c>
      <c r="P4271" t="s">
        <v>459</v>
      </c>
      <c r="Q4271">
        <v>4</v>
      </c>
      <c r="R4271" s="225">
        <f>Base_Periodo1[[#This Row],[CREDITOS]]-Base_Periodo1[[#This Row],[DEBITOS]]</f>
        <v>-8323445.4299999997</v>
      </c>
      <c r="S4271" s="3" t="str">
        <f>IF(ISERROR(VLOOKUP(Base_Periodo1[[#This Row],[CONTA]],BaseContasDRE[#All],4,FALSE)),"Fora do DRE",VLOOKUP(Base_Periodo1[[#This Row],[CONTA]],BaseContasDRE[#All],4,FALSE))</f>
        <v>Fora do DRE</v>
      </c>
      <c r="T4271" s="3" t="str">
        <f>IF(ISERROR(VLOOKUP(Base_Periodo1[[#This Row],[CONTA]],BaseContasDRE[#All],5,FALSE)),"Fora do DRE",VLOOKUP(Base_Periodo1[[#This Row],[CONTA]],BaseContasDRE[#All],6,FALSE))</f>
        <v>Fora do DRE</v>
      </c>
      <c r="U4271" s="3" t="str">
        <f>IF(ISERROR(VLOOKUP(Base_Periodo1[[#This Row],[CONTA]],BaseContasDRE[#All],7,FALSE)),"Fora do DRE",VLOOKUP(Base_Periodo1[[#This Row],[CONTA]],BaseContasDRE[#All],7,FALSE))</f>
        <v>Fora do DRE</v>
      </c>
      <c r="V4271" s="3" t="str">
        <f>IF(Base_Periodo1[[#This Row],[Tipo_Linha]]="Fora do DRE","Fora do DRE","( "&amp;Base_Periodo1[[#This Row],[Tipo_Linha]]&amp;" ) "&amp;Base_Periodo1[[#This Row],[Filtro]])</f>
        <v>Fora do DRE</v>
      </c>
      <c r="W4271" s="3" t="str">
        <f>LEFT(Base_Periodo1[[#This Row],[CLASS]],3)</f>
        <v>2.1</v>
      </c>
    </row>
    <row r="4272" spans="1:23" hidden="1">
      <c r="A4272" s="3" t="str">
        <f t="shared" si="66"/>
        <v>Período 1</v>
      </c>
      <c r="B4272">
        <v>1608</v>
      </c>
      <c r="C4272" t="s">
        <v>2274</v>
      </c>
      <c r="D4272" t="s">
        <v>1048</v>
      </c>
      <c r="E4272" s="3" t="str">
        <f>IF(LEN(Base_Periodo1[[#This Row],[CLASS]])&gt;=7,LEFT(Base_Periodo1[[#This Row],[CLASS]],7),"")</f>
        <v>2.1.9.1</v>
      </c>
      <c r="F4272" s="3" t="str">
        <f>VLOOKUP(Base_Periodo1[[#This Row],[Aux]],Base_Contas_Balanco[#All],2,FALSE)</f>
        <v>Produtos A Fixar</v>
      </c>
      <c r="G4272" s="1"/>
      <c r="H4272" s="225">
        <v>92396616.04999873</v>
      </c>
      <c r="I4272" s="225">
        <v>20602223.329999998</v>
      </c>
      <c r="J4272" s="225">
        <v>12278777.899999999</v>
      </c>
      <c r="K4272" s="225">
        <v>84073170.619998723</v>
      </c>
      <c r="L42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84073170.620000005</v>
      </c>
      <c r="M4272" s="225">
        <f>ROUND(IF(AND(Base_Periodo1[[#This Row],[Tipo_Linha]]="-",Base_Periodo1[[#This Row],[TIPOSALDO]]="D"),Base_Periodo1[[#This Row],[SALDO_ATUAL]]*-1,Base_Periodo1[[#This Row],[SALDO_ATUAL]]),4)</f>
        <v>84073170.620000005</v>
      </c>
      <c r="N4272" t="s">
        <v>396</v>
      </c>
      <c r="O4272" t="s">
        <v>459</v>
      </c>
      <c r="P4272" t="s">
        <v>459</v>
      </c>
      <c r="Q4272">
        <v>5</v>
      </c>
      <c r="R4272" s="225">
        <f>Base_Periodo1[[#This Row],[CREDITOS]]-Base_Periodo1[[#This Row],[DEBITOS]]</f>
        <v>-8323445.4299999997</v>
      </c>
      <c r="S4272" s="3" t="str">
        <f>IF(ISERROR(VLOOKUP(Base_Periodo1[[#This Row],[CONTA]],BaseContasDRE[#All],4,FALSE)),"Fora do DRE",VLOOKUP(Base_Periodo1[[#This Row],[CONTA]],BaseContasDRE[#All],4,FALSE))</f>
        <v>Fora do DRE</v>
      </c>
      <c r="T4272" s="3" t="str">
        <f>IF(ISERROR(VLOOKUP(Base_Periodo1[[#This Row],[CONTA]],BaseContasDRE[#All],5,FALSE)),"Fora do DRE",VLOOKUP(Base_Periodo1[[#This Row],[CONTA]],BaseContasDRE[#All],6,FALSE))</f>
        <v>Fora do DRE</v>
      </c>
      <c r="U4272" s="3" t="str">
        <f>IF(ISERROR(VLOOKUP(Base_Periodo1[[#This Row],[CONTA]],BaseContasDRE[#All],7,FALSE)),"Fora do DRE",VLOOKUP(Base_Periodo1[[#This Row],[CONTA]],BaseContasDRE[#All],7,FALSE))</f>
        <v>Fora do DRE</v>
      </c>
      <c r="V4272" s="3" t="str">
        <f>IF(Base_Periodo1[[#This Row],[Tipo_Linha]]="Fora do DRE","Fora do DRE","( "&amp;Base_Periodo1[[#This Row],[Tipo_Linha]]&amp;" ) "&amp;Base_Periodo1[[#This Row],[Filtro]])</f>
        <v>Fora do DRE</v>
      </c>
      <c r="W4272" s="3" t="str">
        <f>LEFT(Base_Periodo1[[#This Row],[CLASS]],3)</f>
        <v>2.1</v>
      </c>
    </row>
    <row r="4273" spans="1:23" hidden="1">
      <c r="A4273" s="3" t="str">
        <f t="shared" si="66"/>
        <v>Período 1</v>
      </c>
      <c r="B4273">
        <v>1609</v>
      </c>
      <c r="C4273" t="s">
        <v>2275</v>
      </c>
      <c r="D4273" t="s">
        <v>1050</v>
      </c>
      <c r="E4273" s="3" t="str">
        <f>IF(LEN(Base_Periodo1[[#This Row],[CLASS]])&gt;=7,LEFT(Base_Periodo1[[#This Row],[CLASS]],7),"")</f>
        <v>2.1.9.1</v>
      </c>
      <c r="F4273" s="3" t="str">
        <f>VLOOKUP(Base_Periodo1[[#This Row],[Aux]],Base_Contas_Balanco[#All],2,FALSE)</f>
        <v>Produtos A Fixar</v>
      </c>
      <c r="G4273" s="1"/>
      <c r="H4273" s="225">
        <v>92396616.04999873</v>
      </c>
      <c r="I4273" s="225">
        <v>20602223.329999998</v>
      </c>
      <c r="J4273" s="225">
        <v>12278777.899999999</v>
      </c>
      <c r="K4273" s="225">
        <v>84073170.619998723</v>
      </c>
      <c r="L42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84073170.620000005</v>
      </c>
      <c r="M4273" s="225">
        <f>ROUND(IF(AND(Base_Periodo1[[#This Row],[Tipo_Linha]]="-",Base_Periodo1[[#This Row],[TIPOSALDO]]="D"),Base_Periodo1[[#This Row],[SALDO_ATUAL]]*-1,Base_Periodo1[[#This Row],[SALDO_ATUAL]]),4)</f>
        <v>84073170.620000005</v>
      </c>
      <c r="N4273" t="s">
        <v>396</v>
      </c>
      <c r="O4273" t="s">
        <v>459</v>
      </c>
      <c r="P4273" t="s">
        <v>459</v>
      </c>
      <c r="Q4273">
        <v>6</v>
      </c>
      <c r="R4273" s="225">
        <f>Base_Periodo1[[#This Row],[CREDITOS]]-Base_Periodo1[[#This Row],[DEBITOS]]</f>
        <v>-8323445.4299999997</v>
      </c>
      <c r="S4273" s="3" t="str">
        <f>IF(ISERROR(VLOOKUP(Base_Periodo1[[#This Row],[CONTA]],BaseContasDRE[#All],4,FALSE)),"Fora do DRE",VLOOKUP(Base_Periodo1[[#This Row],[CONTA]],BaseContasDRE[#All],4,FALSE))</f>
        <v>Fora do DRE</v>
      </c>
      <c r="T4273" s="3" t="str">
        <f>IF(ISERROR(VLOOKUP(Base_Periodo1[[#This Row],[CONTA]],BaseContasDRE[#All],5,FALSE)),"Fora do DRE",VLOOKUP(Base_Periodo1[[#This Row],[CONTA]],BaseContasDRE[#All],6,FALSE))</f>
        <v>Fora do DRE</v>
      </c>
      <c r="U4273" s="3" t="str">
        <f>IF(ISERROR(VLOOKUP(Base_Periodo1[[#This Row],[CONTA]],BaseContasDRE[#All],7,FALSE)),"Fora do DRE",VLOOKUP(Base_Periodo1[[#This Row],[CONTA]],BaseContasDRE[#All],7,FALSE))</f>
        <v>Fora do DRE</v>
      </c>
      <c r="V4273" s="3" t="str">
        <f>IF(Base_Periodo1[[#This Row],[Tipo_Linha]]="Fora do DRE","Fora do DRE","( "&amp;Base_Periodo1[[#This Row],[Tipo_Linha]]&amp;" ) "&amp;Base_Periodo1[[#This Row],[Filtro]])</f>
        <v>Fora do DRE</v>
      </c>
      <c r="W4273" s="3" t="str">
        <f>LEFT(Base_Periodo1[[#This Row],[CLASS]],3)</f>
        <v>2.1</v>
      </c>
    </row>
    <row r="4274" spans="1:23" hidden="1">
      <c r="A4274" s="3" t="str">
        <f t="shared" si="66"/>
        <v>Período 1</v>
      </c>
      <c r="B4274">
        <v>1610</v>
      </c>
      <c r="C4274" t="s">
        <v>2276</v>
      </c>
      <c r="D4274" t="s">
        <v>1052</v>
      </c>
      <c r="E4274" s="3" t="str">
        <f>IF(LEN(Base_Periodo1[[#This Row],[CLASS]])&gt;=7,LEFT(Base_Periodo1[[#This Row],[CLASS]],7),"")</f>
        <v>2.1.9.1</v>
      </c>
      <c r="F4274" s="3" t="str">
        <f>VLOOKUP(Base_Periodo1[[#This Row],[Aux]],Base_Contas_Balanco[#All],2,FALSE)</f>
        <v>Produtos A Fixar</v>
      </c>
      <c r="G4274" s="1"/>
      <c r="H4274" s="225">
        <v>80261198.699999914</v>
      </c>
      <c r="I4274" s="225">
        <v>15407571</v>
      </c>
      <c r="J4274" s="225">
        <v>6047235</v>
      </c>
      <c r="K4274" s="225">
        <v>70900862.699999914</v>
      </c>
      <c r="L42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70900862.700000003</v>
      </c>
      <c r="M4274" s="225">
        <f>ROUND(IF(AND(Base_Periodo1[[#This Row],[Tipo_Linha]]="-",Base_Periodo1[[#This Row],[TIPOSALDO]]="D"),Base_Periodo1[[#This Row],[SALDO_ATUAL]]*-1,Base_Periodo1[[#This Row],[SALDO_ATUAL]]),4)</f>
        <v>70900862.700000003</v>
      </c>
      <c r="N4274" t="s">
        <v>396</v>
      </c>
      <c r="O4274" t="s">
        <v>459</v>
      </c>
      <c r="P4274" t="s">
        <v>459</v>
      </c>
      <c r="Q4274">
        <v>7</v>
      </c>
      <c r="R4274" s="225">
        <f>Base_Periodo1[[#This Row],[CREDITOS]]-Base_Periodo1[[#This Row],[DEBITOS]]</f>
        <v>-9360336</v>
      </c>
      <c r="S4274" s="3" t="str">
        <f>IF(ISERROR(VLOOKUP(Base_Periodo1[[#This Row],[CONTA]],BaseContasDRE[#All],4,FALSE)),"Fora do DRE",VLOOKUP(Base_Periodo1[[#This Row],[CONTA]],BaseContasDRE[#All],4,FALSE))</f>
        <v>Fora do DRE</v>
      </c>
      <c r="T4274" s="3" t="str">
        <f>IF(ISERROR(VLOOKUP(Base_Periodo1[[#This Row],[CONTA]],BaseContasDRE[#All],5,FALSE)),"Fora do DRE",VLOOKUP(Base_Periodo1[[#This Row],[CONTA]],BaseContasDRE[#All],6,FALSE))</f>
        <v>Fora do DRE</v>
      </c>
      <c r="U4274" s="3" t="str">
        <f>IF(ISERROR(VLOOKUP(Base_Periodo1[[#This Row],[CONTA]],BaseContasDRE[#All],7,FALSE)),"Fora do DRE",VLOOKUP(Base_Periodo1[[#This Row],[CONTA]],BaseContasDRE[#All],7,FALSE))</f>
        <v>Fora do DRE</v>
      </c>
      <c r="V4274" s="3" t="str">
        <f>IF(Base_Periodo1[[#This Row],[Tipo_Linha]]="Fora do DRE","Fora do DRE","( "&amp;Base_Periodo1[[#This Row],[Tipo_Linha]]&amp;" ) "&amp;Base_Periodo1[[#This Row],[Filtro]])</f>
        <v>Fora do DRE</v>
      </c>
      <c r="W4274" s="3" t="str">
        <f>LEFT(Base_Periodo1[[#This Row],[CLASS]],3)</f>
        <v>2.1</v>
      </c>
    </row>
    <row r="4275" spans="1:23" hidden="1">
      <c r="A4275" s="3" t="str">
        <f t="shared" si="66"/>
        <v>Período 1</v>
      </c>
      <c r="B4275">
        <v>1611</v>
      </c>
      <c r="C4275" t="s">
        <v>2277</v>
      </c>
      <c r="D4275" t="s">
        <v>61</v>
      </c>
      <c r="E4275" s="3" t="str">
        <f>IF(LEN(Base_Periodo1[[#This Row],[CLASS]])&gt;=7,LEFT(Base_Periodo1[[#This Row],[CLASS]],7),"")</f>
        <v>2.1.9.1</v>
      </c>
      <c r="F4275" s="3" t="str">
        <f>VLOOKUP(Base_Periodo1[[#This Row],[Aux]],Base_Contas_Balanco[#All],2,FALSE)</f>
        <v>Produtos A Fixar</v>
      </c>
      <c r="G4275" s="1">
        <v>42886</v>
      </c>
      <c r="H4275" s="225">
        <v>72527261.959999919</v>
      </c>
      <c r="I4275" s="225">
        <v>12676314.75</v>
      </c>
      <c r="J4275" s="225">
        <v>4198041</v>
      </c>
      <c r="K4275" s="225">
        <v>64048988.209999919</v>
      </c>
      <c r="L42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64048988.210000001</v>
      </c>
      <c r="M4275" s="225">
        <f>ROUND(IF(AND(Base_Periodo1[[#This Row],[Tipo_Linha]]="-",Base_Periodo1[[#This Row],[TIPOSALDO]]="D"),Base_Periodo1[[#This Row],[SALDO_ATUAL]]*-1,Base_Periodo1[[#This Row],[SALDO_ATUAL]]),4)</f>
        <v>64048988.210000001</v>
      </c>
      <c r="N4275" t="s">
        <v>116</v>
      </c>
      <c r="O4275" t="s">
        <v>459</v>
      </c>
      <c r="P4275" t="s">
        <v>459</v>
      </c>
      <c r="Q4275">
        <v>8</v>
      </c>
      <c r="R4275" s="225">
        <f>Base_Periodo1[[#This Row],[CREDITOS]]-Base_Periodo1[[#This Row],[DEBITOS]]</f>
        <v>-8478273.75</v>
      </c>
      <c r="S4275" s="3" t="str">
        <f>IF(ISERROR(VLOOKUP(Base_Periodo1[[#This Row],[CONTA]],BaseContasDRE[#All],4,FALSE)),"Fora do DRE",VLOOKUP(Base_Periodo1[[#This Row],[CONTA]],BaseContasDRE[#All],4,FALSE))</f>
        <v>Fora do DRE</v>
      </c>
      <c r="T4275" s="3" t="str">
        <f>IF(ISERROR(VLOOKUP(Base_Periodo1[[#This Row],[CONTA]],BaseContasDRE[#All],5,FALSE)),"Fora do DRE",VLOOKUP(Base_Periodo1[[#This Row],[CONTA]],BaseContasDRE[#All],6,FALSE))</f>
        <v>Fora do DRE</v>
      </c>
      <c r="U4275" s="3" t="str">
        <f>IF(ISERROR(VLOOKUP(Base_Periodo1[[#This Row],[CONTA]],BaseContasDRE[#All],7,FALSE)),"Fora do DRE",VLOOKUP(Base_Periodo1[[#This Row],[CONTA]],BaseContasDRE[#All],7,FALSE))</f>
        <v>Fora do DRE</v>
      </c>
      <c r="V4275" s="3" t="str">
        <f>IF(Base_Periodo1[[#This Row],[Tipo_Linha]]="Fora do DRE","Fora do DRE","( "&amp;Base_Periodo1[[#This Row],[Tipo_Linha]]&amp;" ) "&amp;Base_Periodo1[[#This Row],[Filtro]])</f>
        <v>Fora do DRE</v>
      </c>
      <c r="W4275" s="3" t="str">
        <f>LEFT(Base_Periodo1[[#This Row],[CLASS]],3)</f>
        <v>2.1</v>
      </c>
    </row>
    <row r="4276" spans="1:23" hidden="1">
      <c r="A4276" s="3" t="str">
        <f t="shared" si="66"/>
        <v>Período 1</v>
      </c>
      <c r="B4276">
        <v>32090</v>
      </c>
      <c r="C4276" t="s">
        <v>2278</v>
      </c>
      <c r="D4276" t="s">
        <v>2279</v>
      </c>
      <c r="E4276" s="3" t="str">
        <f>IF(LEN(Base_Periodo1[[#This Row],[CLASS]])&gt;=7,LEFT(Base_Periodo1[[#This Row],[CLASS]],7),"")</f>
        <v>2.1.9.1</v>
      </c>
      <c r="F4276" s="3" t="str">
        <f>VLOOKUP(Base_Periodo1[[#This Row],[Aux]],Base_Contas_Balanco[#All],2,FALSE)</f>
        <v>Produtos A Fixar</v>
      </c>
      <c r="G4276" s="1">
        <v>42886</v>
      </c>
      <c r="H4276" s="225">
        <v>7733936.7399999946</v>
      </c>
      <c r="I4276" s="225">
        <v>2731256.25</v>
      </c>
      <c r="J4276" s="225">
        <v>1849194</v>
      </c>
      <c r="K4276" s="225">
        <v>6851874.4899999946</v>
      </c>
      <c r="L42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6851874.4900000002</v>
      </c>
      <c r="M4276" s="225">
        <f>ROUND(IF(AND(Base_Periodo1[[#This Row],[Tipo_Linha]]="-",Base_Periodo1[[#This Row],[TIPOSALDO]]="D"),Base_Periodo1[[#This Row],[SALDO_ATUAL]]*-1,Base_Periodo1[[#This Row],[SALDO_ATUAL]]),4)</f>
        <v>6851874.4900000002</v>
      </c>
      <c r="N4276" t="s">
        <v>116</v>
      </c>
      <c r="O4276" t="s">
        <v>459</v>
      </c>
      <c r="P4276" t="s">
        <v>459</v>
      </c>
      <c r="Q4276">
        <v>8</v>
      </c>
      <c r="R4276" s="225">
        <f>Base_Periodo1[[#This Row],[CREDITOS]]-Base_Periodo1[[#This Row],[DEBITOS]]</f>
        <v>-882062.25</v>
      </c>
      <c r="S4276" s="3" t="str">
        <f>IF(ISERROR(VLOOKUP(Base_Periodo1[[#This Row],[CONTA]],BaseContasDRE[#All],4,FALSE)),"Fora do DRE",VLOOKUP(Base_Periodo1[[#This Row],[CONTA]],BaseContasDRE[#All],4,FALSE))</f>
        <v>Fora do DRE</v>
      </c>
      <c r="T4276" s="3" t="str">
        <f>IF(ISERROR(VLOOKUP(Base_Periodo1[[#This Row],[CONTA]],BaseContasDRE[#All],5,FALSE)),"Fora do DRE",VLOOKUP(Base_Periodo1[[#This Row],[CONTA]],BaseContasDRE[#All],6,FALSE))</f>
        <v>Fora do DRE</v>
      </c>
      <c r="U4276" s="3" t="str">
        <f>IF(ISERROR(VLOOKUP(Base_Periodo1[[#This Row],[CONTA]],BaseContasDRE[#All],7,FALSE)),"Fora do DRE",VLOOKUP(Base_Periodo1[[#This Row],[CONTA]],BaseContasDRE[#All],7,FALSE))</f>
        <v>Fora do DRE</v>
      </c>
      <c r="V4276" s="3" t="str">
        <f>IF(Base_Periodo1[[#This Row],[Tipo_Linha]]="Fora do DRE","Fora do DRE","( "&amp;Base_Periodo1[[#This Row],[Tipo_Linha]]&amp;" ) "&amp;Base_Periodo1[[#This Row],[Filtro]])</f>
        <v>Fora do DRE</v>
      </c>
      <c r="W4276" s="3" t="str">
        <f>LEFT(Base_Periodo1[[#This Row],[CLASS]],3)</f>
        <v>2.1</v>
      </c>
    </row>
    <row r="4277" spans="1:23" hidden="1">
      <c r="A4277" s="3" t="str">
        <f t="shared" si="66"/>
        <v>Período 1</v>
      </c>
      <c r="B4277">
        <v>1612</v>
      </c>
      <c r="C4277" t="s">
        <v>2280</v>
      </c>
      <c r="D4277" t="s">
        <v>1076</v>
      </c>
      <c r="E4277" s="3" t="str">
        <f>IF(LEN(Base_Periodo1[[#This Row],[CLASS]])&gt;=7,LEFT(Base_Periodo1[[#This Row],[CLASS]],7),"")</f>
        <v>2.1.9.1</v>
      </c>
      <c r="F4277" s="3" t="str">
        <f>VLOOKUP(Base_Periodo1[[#This Row],[Aux]],Base_Contas_Balanco[#All],2,FALSE)</f>
        <v>Produtos A Fixar</v>
      </c>
      <c r="G4277" s="1"/>
      <c r="H4277" s="225">
        <v>9341813.7999988198</v>
      </c>
      <c r="I4277" s="225">
        <v>2350795.3299999987</v>
      </c>
      <c r="J4277" s="225">
        <v>2502440.5</v>
      </c>
      <c r="K4277" s="225">
        <v>9493458.9699988216</v>
      </c>
      <c r="L42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9493458.9700000007</v>
      </c>
      <c r="M4277" s="225">
        <f>ROUND(IF(AND(Base_Periodo1[[#This Row],[Tipo_Linha]]="-",Base_Periodo1[[#This Row],[TIPOSALDO]]="D"),Base_Periodo1[[#This Row],[SALDO_ATUAL]]*-1,Base_Periodo1[[#This Row],[SALDO_ATUAL]]),4)</f>
        <v>9493458.9700000007</v>
      </c>
      <c r="N4277" t="s">
        <v>396</v>
      </c>
      <c r="O4277" t="s">
        <v>459</v>
      </c>
      <c r="P4277" t="s">
        <v>459</v>
      </c>
      <c r="Q4277">
        <v>7</v>
      </c>
      <c r="R4277" s="225">
        <f>Base_Periodo1[[#This Row],[CREDITOS]]-Base_Periodo1[[#This Row],[DEBITOS]]</f>
        <v>151645.17000000132</v>
      </c>
      <c r="S4277" s="3" t="str">
        <f>IF(ISERROR(VLOOKUP(Base_Periodo1[[#This Row],[CONTA]],BaseContasDRE[#All],4,FALSE)),"Fora do DRE",VLOOKUP(Base_Periodo1[[#This Row],[CONTA]],BaseContasDRE[#All],4,FALSE))</f>
        <v>Fora do DRE</v>
      </c>
      <c r="T4277" s="3" t="str">
        <f>IF(ISERROR(VLOOKUP(Base_Periodo1[[#This Row],[CONTA]],BaseContasDRE[#All],5,FALSE)),"Fora do DRE",VLOOKUP(Base_Periodo1[[#This Row],[CONTA]],BaseContasDRE[#All],6,FALSE))</f>
        <v>Fora do DRE</v>
      </c>
      <c r="U4277" s="3" t="str">
        <f>IF(ISERROR(VLOOKUP(Base_Periodo1[[#This Row],[CONTA]],BaseContasDRE[#All],7,FALSE)),"Fora do DRE",VLOOKUP(Base_Periodo1[[#This Row],[CONTA]],BaseContasDRE[#All],7,FALSE))</f>
        <v>Fora do DRE</v>
      </c>
      <c r="V4277" s="3" t="str">
        <f>IF(Base_Periodo1[[#This Row],[Tipo_Linha]]="Fora do DRE","Fora do DRE","( "&amp;Base_Periodo1[[#This Row],[Tipo_Linha]]&amp;" ) "&amp;Base_Periodo1[[#This Row],[Filtro]])</f>
        <v>Fora do DRE</v>
      </c>
      <c r="W4277" s="3" t="str">
        <f>LEFT(Base_Periodo1[[#This Row],[CLASS]],3)</f>
        <v>2.1</v>
      </c>
    </row>
    <row r="4278" spans="1:23" hidden="1">
      <c r="A4278" s="3" t="str">
        <f t="shared" si="66"/>
        <v>Período 1</v>
      </c>
      <c r="B4278">
        <v>1613</v>
      </c>
      <c r="C4278" t="s">
        <v>2281</v>
      </c>
      <c r="D4278" t="s">
        <v>61</v>
      </c>
      <c r="E4278" s="3" t="str">
        <f>IF(LEN(Base_Periodo1[[#This Row],[CLASS]])&gt;=7,LEFT(Base_Periodo1[[#This Row],[CLASS]],7),"")</f>
        <v>2.1.9.1</v>
      </c>
      <c r="F4278" s="3" t="str">
        <f>VLOOKUP(Base_Periodo1[[#This Row],[Aux]],Base_Contas_Balanco[#All],2,FALSE)</f>
        <v>Produtos A Fixar</v>
      </c>
      <c r="G4278" s="1">
        <v>42886</v>
      </c>
      <c r="H4278" s="225">
        <v>9341813.7999988198</v>
      </c>
      <c r="I4278" s="225">
        <v>2350795.3299999987</v>
      </c>
      <c r="J4278" s="225">
        <v>2502440.5</v>
      </c>
      <c r="K4278" s="225">
        <v>9493458.9699988216</v>
      </c>
      <c r="L42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9493458.9700000007</v>
      </c>
      <c r="M4278" s="225">
        <f>ROUND(IF(AND(Base_Periodo1[[#This Row],[Tipo_Linha]]="-",Base_Periodo1[[#This Row],[TIPOSALDO]]="D"),Base_Periodo1[[#This Row],[SALDO_ATUAL]]*-1,Base_Periodo1[[#This Row],[SALDO_ATUAL]]),4)</f>
        <v>9493458.9700000007</v>
      </c>
      <c r="N4278" t="s">
        <v>116</v>
      </c>
      <c r="O4278" t="s">
        <v>459</v>
      </c>
      <c r="P4278" t="s">
        <v>459</v>
      </c>
      <c r="Q4278">
        <v>8</v>
      </c>
      <c r="R4278" s="225">
        <f>Base_Periodo1[[#This Row],[CREDITOS]]-Base_Periodo1[[#This Row],[DEBITOS]]</f>
        <v>151645.17000000132</v>
      </c>
      <c r="S4278" s="3" t="str">
        <f>IF(ISERROR(VLOOKUP(Base_Periodo1[[#This Row],[CONTA]],BaseContasDRE[#All],4,FALSE)),"Fora do DRE",VLOOKUP(Base_Periodo1[[#This Row],[CONTA]],BaseContasDRE[#All],4,FALSE))</f>
        <v>Fora do DRE</v>
      </c>
      <c r="T4278" s="3" t="str">
        <f>IF(ISERROR(VLOOKUP(Base_Periodo1[[#This Row],[CONTA]],BaseContasDRE[#All],5,FALSE)),"Fora do DRE",VLOOKUP(Base_Periodo1[[#This Row],[CONTA]],BaseContasDRE[#All],6,FALSE))</f>
        <v>Fora do DRE</v>
      </c>
      <c r="U4278" s="3" t="str">
        <f>IF(ISERROR(VLOOKUP(Base_Periodo1[[#This Row],[CONTA]],BaseContasDRE[#All],7,FALSE)),"Fora do DRE",VLOOKUP(Base_Periodo1[[#This Row],[CONTA]],BaseContasDRE[#All],7,FALSE))</f>
        <v>Fora do DRE</v>
      </c>
      <c r="V4278" s="3" t="str">
        <f>IF(Base_Periodo1[[#This Row],[Tipo_Linha]]="Fora do DRE","Fora do DRE","( "&amp;Base_Periodo1[[#This Row],[Tipo_Linha]]&amp;" ) "&amp;Base_Periodo1[[#This Row],[Filtro]])</f>
        <v>Fora do DRE</v>
      </c>
      <c r="W4278" s="3" t="str">
        <f>LEFT(Base_Periodo1[[#This Row],[CLASS]],3)</f>
        <v>2.1</v>
      </c>
    </row>
    <row r="4279" spans="1:23" hidden="1">
      <c r="A4279" s="3" t="str">
        <f t="shared" si="66"/>
        <v>Período 1</v>
      </c>
      <c r="B4279">
        <v>1614</v>
      </c>
      <c r="C4279" t="s">
        <v>2282</v>
      </c>
      <c r="D4279" t="s">
        <v>1088</v>
      </c>
      <c r="E4279" s="3" t="str">
        <f>IF(LEN(Base_Periodo1[[#This Row],[CLASS]])&gt;=7,LEFT(Base_Periodo1[[#This Row],[CLASS]],7),"")</f>
        <v>2.1.9.1</v>
      </c>
      <c r="F4279" s="3" t="str">
        <f>VLOOKUP(Base_Periodo1[[#This Row],[Aux]],Base_Contas_Balanco[#All],2,FALSE)</f>
        <v>Produtos A Fixar</v>
      </c>
      <c r="G4279" s="1"/>
      <c r="H4279" s="225">
        <v>2567115.5499999654</v>
      </c>
      <c r="I4279" s="225">
        <v>519855</v>
      </c>
      <c r="J4279" s="225">
        <v>31627</v>
      </c>
      <c r="K4279" s="225">
        <v>2078887.5499999654</v>
      </c>
      <c r="L42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2078887.55</v>
      </c>
      <c r="M4279" s="225">
        <f>ROUND(IF(AND(Base_Periodo1[[#This Row],[Tipo_Linha]]="-",Base_Periodo1[[#This Row],[TIPOSALDO]]="D"),Base_Periodo1[[#This Row],[SALDO_ATUAL]]*-1,Base_Periodo1[[#This Row],[SALDO_ATUAL]]),4)</f>
        <v>2078887.55</v>
      </c>
      <c r="N4279" t="s">
        <v>396</v>
      </c>
      <c r="O4279" t="s">
        <v>459</v>
      </c>
      <c r="P4279" t="s">
        <v>459</v>
      </c>
      <c r="Q4279">
        <v>7</v>
      </c>
      <c r="R4279" s="225">
        <f>Base_Periodo1[[#This Row],[CREDITOS]]-Base_Periodo1[[#This Row],[DEBITOS]]</f>
        <v>-488228</v>
      </c>
      <c r="S4279" s="3" t="str">
        <f>IF(ISERROR(VLOOKUP(Base_Periodo1[[#This Row],[CONTA]],BaseContasDRE[#All],4,FALSE)),"Fora do DRE",VLOOKUP(Base_Periodo1[[#This Row],[CONTA]],BaseContasDRE[#All],4,FALSE))</f>
        <v>Fora do DRE</v>
      </c>
      <c r="T4279" s="3" t="str">
        <f>IF(ISERROR(VLOOKUP(Base_Periodo1[[#This Row],[CONTA]],BaseContasDRE[#All],5,FALSE)),"Fora do DRE",VLOOKUP(Base_Periodo1[[#This Row],[CONTA]],BaseContasDRE[#All],6,FALSE))</f>
        <v>Fora do DRE</v>
      </c>
      <c r="U4279" s="3" t="str">
        <f>IF(ISERROR(VLOOKUP(Base_Periodo1[[#This Row],[CONTA]],BaseContasDRE[#All],7,FALSE)),"Fora do DRE",VLOOKUP(Base_Periodo1[[#This Row],[CONTA]],BaseContasDRE[#All],7,FALSE))</f>
        <v>Fora do DRE</v>
      </c>
      <c r="V4279" s="3" t="str">
        <f>IF(Base_Periodo1[[#This Row],[Tipo_Linha]]="Fora do DRE","Fora do DRE","( "&amp;Base_Periodo1[[#This Row],[Tipo_Linha]]&amp;" ) "&amp;Base_Periodo1[[#This Row],[Filtro]])</f>
        <v>Fora do DRE</v>
      </c>
      <c r="W4279" s="3" t="str">
        <f>LEFT(Base_Periodo1[[#This Row],[CLASS]],3)</f>
        <v>2.1</v>
      </c>
    </row>
    <row r="4280" spans="1:23" hidden="1">
      <c r="A4280" s="3" t="str">
        <f t="shared" si="66"/>
        <v>Período 1</v>
      </c>
      <c r="B4280">
        <v>1615</v>
      </c>
      <c r="C4280" t="s">
        <v>2283</v>
      </c>
      <c r="D4280" t="s">
        <v>61</v>
      </c>
      <c r="E4280" s="3" t="str">
        <f>IF(LEN(Base_Periodo1[[#This Row],[CLASS]])&gt;=7,LEFT(Base_Periodo1[[#This Row],[CLASS]],7),"")</f>
        <v>2.1.9.1</v>
      </c>
      <c r="F4280" s="3" t="str">
        <f>VLOOKUP(Base_Periodo1[[#This Row],[Aux]],Base_Contas_Balanco[#All],2,FALSE)</f>
        <v>Produtos A Fixar</v>
      </c>
      <c r="G4280" s="1">
        <v>42886</v>
      </c>
      <c r="H4280" s="225">
        <v>2489517.819999963</v>
      </c>
      <c r="I4280" s="225">
        <v>400016.5</v>
      </c>
      <c r="J4280" s="225">
        <v>31627</v>
      </c>
      <c r="K4280" s="225">
        <v>2121128.319999963</v>
      </c>
      <c r="L42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2121128.3199999998</v>
      </c>
      <c r="M4280" s="225">
        <f>ROUND(IF(AND(Base_Periodo1[[#This Row],[Tipo_Linha]]="-",Base_Periodo1[[#This Row],[TIPOSALDO]]="D"),Base_Periodo1[[#This Row],[SALDO_ATUAL]]*-1,Base_Periodo1[[#This Row],[SALDO_ATUAL]]),4)</f>
        <v>2121128.3199999998</v>
      </c>
      <c r="N4280" t="s">
        <v>116</v>
      </c>
      <c r="O4280" t="s">
        <v>459</v>
      </c>
      <c r="P4280" t="s">
        <v>459</v>
      </c>
      <c r="Q4280">
        <v>8</v>
      </c>
      <c r="R4280" s="225">
        <f>Base_Periodo1[[#This Row],[CREDITOS]]-Base_Periodo1[[#This Row],[DEBITOS]]</f>
        <v>-368389.5</v>
      </c>
      <c r="S4280" s="3" t="str">
        <f>IF(ISERROR(VLOOKUP(Base_Periodo1[[#This Row],[CONTA]],BaseContasDRE[#All],4,FALSE)),"Fora do DRE",VLOOKUP(Base_Periodo1[[#This Row],[CONTA]],BaseContasDRE[#All],4,FALSE))</f>
        <v>Fora do DRE</v>
      </c>
      <c r="T4280" s="3" t="str">
        <f>IF(ISERROR(VLOOKUP(Base_Periodo1[[#This Row],[CONTA]],BaseContasDRE[#All],5,FALSE)),"Fora do DRE",VLOOKUP(Base_Periodo1[[#This Row],[CONTA]],BaseContasDRE[#All],6,FALSE))</f>
        <v>Fora do DRE</v>
      </c>
      <c r="U4280" s="3" t="str">
        <f>IF(ISERROR(VLOOKUP(Base_Periodo1[[#This Row],[CONTA]],BaseContasDRE[#All],7,FALSE)),"Fora do DRE",VLOOKUP(Base_Periodo1[[#This Row],[CONTA]],BaseContasDRE[#All],7,FALSE))</f>
        <v>Fora do DRE</v>
      </c>
      <c r="V4280" s="3" t="str">
        <f>IF(Base_Periodo1[[#This Row],[Tipo_Linha]]="Fora do DRE","Fora do DRE","( "&amp;Base_Periodo1[[#This Row],[Tipo_Linha]]&amp;" ) "&amp;Base_Periodo1[[#This Row],[Filtro]])</f>
        <v>Fora do DRE</v>
      </c>
      <c r="W4280" s="3" t="str">
        <f>LEFT(Base_Periodo1[[#This Row],[CLASS]],3)</f>
        <v>2.1</v>
      </c>
    </row>
    <row r="4281" spans="1:23" hidden="1">
      <c r="A4281" s="3" t="str">
        <f t="shared" si="66"/>
        <v>Período 1</v>
      </c>
      <c r="B4281">
        <v>30277</v>
      </c>
      <c r="C4281" t="s">
        <v>2284</v>
      </c>
      <c r="D4281" t="s">
        <v>2285</v>
      </c>
      <c r="E4281" s="3" t="str">
        <f>IF(LEN(Base_Periodo1[[#This Row],[CLASS]])&gt;=7,LEFT(Base_Periodo1[[#This Row],[CLASS]],7),"")</f>
        <v>2.1.9.1</v>
      </c>
      <c r="F4281" s="3" t="str">
        <f>VLOOKUP(Base_Periodo1[[#This Row],[Aux]],Base_Contas_Balanco[#All],2,FALSE)</f>
        <v>Produtos A Fixar</v>
      </c>
      <c r="G4281" s="1">
        <v>42864</v>
      </c>
      <c r="H4281" s="225">
        <v>77597.73000000231</v>
      </c>
      <c r="I4281" s="225">
        <v>119838.5</v>
      </c>
      <c r="J4281" s="225">
        <v>0</v>
      </c>
      <c r="K4281" s="225">
        <v>42240.76999999769</v>
      </c>
      <c r="L42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-42240.77</v>
      </c>
      <c r="M4281" s="225">
        <f>ROUND(IF(AND(Base_Periodo1[[#This Row],[Tipo_Linha]]="-",Base_Periodo1[[#This Row],[TIPOSALDO]]="D"),Base_Periodo1[[#This Row],[SALDO_ATUAL]]*-1,Base_Periodo1[[#This Row],[SALDO_ATUAL]]),4)</f>
        <v>42240.77</v>
      </c>
      <c r="N4281" t="s">
        <v>116</v>
      </c>
      <c r="O4281" t="s">
        <v>459</v>
      </c>
      <c r="P4281" t="s">
        <v>397</v>
      </c>
      <c r="Q4281">
        <v>8</v>
      </c>
      <c r="R4281" s="225">
        <f>Base_Periodo1[[#This Row],[CREDITOS]]-Base_Periodo1[[#This Row],[DEBITOS]]</f>
        <v>-119838.5</v>
      </c>
      <c r="S4281" s="3" t="str">
        <f>IF(ISERROR(VLOOKUP(Base_Periodo1[[#This Row],[CONTA]],BaseContasDRE[#All],4,FALSE)),"Fora do DRE",VLOOKUP(Base_Periodo1[[#This Row],[CONTA]],BaseContasDRE[#All],4,FALSE))</f>
        <v>Fora do DRE</v>
      </c>
      <c r="T4281" s="3" t="str">
        <f>IF(ISERROR(VLOOKUP(Base_Periodo1[[#This Row],[CONTA]],BaseContasDRE[#All],5,FALSE)),"Fora do DRE",VLOOKUP(Base_Periodo1[[#This Row],[CONTA]],BaseContasDRE[#All],6,FALSE))</f>
        <v>Fora do DRE</v>
      </c>
      <c r="U4281" s="3" t="str">
        <f>IF(ISERROR(VLOOKUP(Base_Periodo1[[#This Row],[CONTA]],BaseContasDRE[#All],7,FALSE)),"Fora do DRE",VLOOKUP(Base_Periodo1[[#This Row],[CONTA]],BaseContasDRE[#All],7,FALSE))</f>
        <v>Fora do DRE</v>
      </c>
      <c r="V4281" s="3" t="str">
        <f>IF(Base_Periodo1[[#This Row],[Tipo_Linha]]="Fora do DRE","Fora do DRE","( "&amp;Base_Periodo1[[#This Row],[Tipo_Linha]]&amp;" ) "&amp;Base_Periodo1[[#This Row],[Filtro]])</f>
        <v>Fora do DRE</v>
      </c>
      <c r="W4281" s="3" t="str">
        <f>LEFT(Base_Periodo1[[#This Row],[CLASS]],3)</f>
        <v>2.1</v>
      </c>
    </row>
    <row r="4282" spans="1:23" hidden="1">
      <c r="A4282" s="3" t="str">
        <f t="shared" si="66"/>
        <v>Período 1</v>
      </c>
      <c r="B4282">
        <v>1622</v>
      </c>
      <c r="C4282" t="s">
        <v>2286</v>
      </c>
      <c r="D4282" t="s">
        <v>1102</v>
      </c>
      <c r="E4282" s="3" t="str">
        <f>IF(LEN(Base_Periodo1[[#This Row],[CLASS]])&gt;=7,LEFT(Base_Periodo1[[#This Row],[CLASS]],7),"")</f>
        <v>2.1.9.1</v>
      </c>
      <c r="F4282" s="3" t="str">
        <f>VLOOKUP(Base_Periodo1[[#This Row],[Aux]],Base_Contas_Balanco[#All],2,FALSE)</f>
        <v>Produtos A Fixar</v>
      </c>
      <c r="G4282" s="1"/>
      <c r="H4282" s="225">
        <v>226488.00000002701</v>
      </c>
      <c r="I4282" s="225">
        <v>2294606.4000000004</v>
      </c>
      <c r="J4282" s="225">
        <v>3667478.3999999994</v>
      </c>
      <c r="K4282" s="225">
        <v>1599360.0000000261</v>
      </c>
      <c r="L42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1599360</v>
      </c>
      <c r="M4282" s="225">
        <f>ROUND(IF(AND(Base_Periodo1[[#This Row],[Tipo_Linha]]="-",Base_Periodo1[[#This Row],[TIPOSALDO]]="D"),Base_Periodo1[[#This Row],[SALDO_ATUAL]]*-1,Base_Periodo1[[#This Row],[SALDO_ATUAL]]),4)</f>
        <v>1599360</v>
      </c>
      <c r="N4282" t="s">
        <v>396</v>
      </c>
      <c r="O4282" t="s">
        <v>459</v>
      </c>
      <c r="P4282" t="s">
        <v>459</v>
      </c>
      <c r="Q4282">
        <v>7</v>
      </c>
      <c r="R4282" s="225">
        <f>Base_Periodo1[[#This Row],[CREDITOS]]-Base_Periodo1[[#This Row],[DEBITOS]]</f>
        <v>1372871.9999999991</v>
      </c>
      <c r="S4282" s="3" t="str">
        <f>IF(ISERROR(VLOOKUP(Base_Periodo1[[#This Row],[CONTA]],BaseContasDRE[#All],4,FALSE)),"Fora do DRE",VLOOKUP(Base_Periodo1[[#This Row],[CONTA]],BaseContasDRE[#All],4,FALSE))</f>
        <v>Fora do DRE</v>
      </c>
      <c r="T4282" s="3" t="str">
        <f>IF(ISERROR(VLOOKUP(Base_Periodo1[[#This Row],[CONTA]],BaseContasDRE[#All],5,FALSE)),"Fora do DRE",VLOOKUP(Base_Periodo1[[#This Row],[CONTA]],BaseContasDRE[#All],6,FALSE))</f>
        <v>Fora do DRE</v>
      </c>
      <c r="U4282" s="3" t="str">
        <f>IF(ISERROR(VLOOKUP(Base_Periodo1[[#This Row],[CONTA]],BaseContasDRE[#All],7,FALSE)),"Fora do DRE",VLOOKUP(Base_Periodo1[[#This Row],[CONTA]],BaseContasDRE[#All],7,FALSE))</f>
        <v>Fora do DRE</v>
      </c>
      <c r="V4282" s="3" t="str">
        <f>IF(Base_Periodo1[[#This Row],[Tipo_Linha]]="Fora do DRE","Fora do DRE","( "&amp;Base_Periodo1[[#This Row],[Tipo_Linha]]&amp;" ) "&amp;Base_Periodo1[[#This Row],[Filtro]])</f>
        <v>Fora do DRE</v>
      </c>
      <c r="W4282" s="3" t="str">
        <f>LEFT(Base_Periodo1[[#This Row],[CLASS]],3)</f>
        <v>2.1</v>
      </c>
    </row>
    <row r="4283" spans="1:23" hidden="1">
      <c r="A4283" s="3" t="str">
        <f t="shared" si="66"/>
        <v>Período 1</v>
      </c>
      <c r="B4283">
        <v>1623</v>
      </c>
      <c r="C4283" t="s">
        <v>2287</v>
      </c>
      <c r="D4283" t="s">
        <v>61</v>
      </c>
      <c r="E4283" s="3" t="str">
        <f>IF(LEN(Base_Periodo1[[#This Row],[CLASS]])&gt;=7,LEFT(Base_Periodo1[[#This Row],[CLASS]],7),"")</f>
        <v>2.1.9.1</v>
      </c>
      <c r="F4283" s="3" t="str">
        <f>VLOOKUP(Base_Periodo1[[#This Row],[Aux]],Base_Contas_Balanco[#All],2,FALSE)</f>
        <v>Produtos A Fixar</v>
      </c>
      <c r="G4283" s="1">
        <v>42886</v>
      </c>
      <c r="H4283" s="225">
        <v>226488.0000000298</v>
      </c>
      <c r="I4283" s="225">
        <v>2294606.4000000004</v>
      </c>
      <c r="J4283" s="225">
        <v>3667478.3999999994</v>
      </c>
      <c r="K4283" s="225">
        <v>1599360.0000000289</v>
      </c>
      <c r="L42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1599360</v>
      </c>
      <c r="M4283" s="225">
        <f>ROUND(IF(AND(Base_Periodo1[[#This Row],[Tipo_Linha]]="-",Base_Periodo1[[#This Row],[TIPOSALDO]]="D"),Base_Periodo1[[#This Row],[SALDO_ATUAL]]*-1,Base_Periodo1[[#This Row],[SALDO_ATUAL]]),4)</f>
        <v>1599360</v>
      </c>
      <c r="N4283" t="s">
        <v>116</v>
      </c>
      <c r="O4283" t="s">
        <v>459</v>
      </c>
      <c r="P4283" t="s">
        <v>459</v>
      </c>
      <c r="Q4283">
        <v>8</v>
      </c>
      <c r="R4283" s="225">
        <f>Base_Periodo1[[#This Row],[CREDITOS]]-Base_Periodo1[[#This Row],[DEBITOS]]</f>
        <v>1372871.9999999991</v>
      </c>
      <c r="S4283" s="3" t="str">
        <f>IF(ISERROR(VLOOKUP(Base_Periodo1[[#This Row],[CONTA]],BaseContasDRE[#All],4,FALSE)),"Fora do DRE",VLOOKUP(Base_Periodo1[[#This Row],[CONTA]],BaseContasDRE[#All],4,FALSE))</f>
        <v>Fora do DRE</v>
      </c>
      <c r="T4283" s="3" t="str">
        <f>IF(ISERROR(VLOOKUP(Base_Periodo1[[#This Row],[CONTA]],BaseContasDRE[#All],5,FALSE)),"Fora do DRE",VLOOKUP(Base_Periodo1[[#This Row],[CONTA]],BaseContasDRE[#All],6,FALSE))</f>
        <v>Fora do DRE</v>
      </c>
      <c r="U4283" s="3" t="str">
        <f>IF(ISERROR(VLOOKUP(Base_Periodo1[[#This Row],[CONTA]],BaseContasDRE[#All],7,FALSE)),"Fora do DRE",VLOOKUP(Base_Periodo1[[#This Row],[CONTA]],BaseContasDRE[#All],7,FALSE))</f>
        <v>Fora do DRE</v>
      </c>
      <c r="V4283" s="3" t="str">
        <f>IF(Base_Periodo1[[#This Row],[Tipo_Linha]]="Fora do DRE","Fora do DRE","( "&amp;Base_Periodo1[[#This Row],[Tipo_Linha]]&amp;" ) "&amp;Base_Periodo1[[#This Row],[Filtro]])</f>
        <v>Fora do DRE</v>
      </c>
      <c r="W4283" s="3" t="str">
        <f>LEFT(Base_Periodo1[[#This Row],[CLASS]],3)</f>
        <v>2.1</v>
      </c>
    </row>
    <row r="4284" spans="1:23" hidden="1">
      <c r="A4284" s="3" t="str">
        <f t="shared" si="66"/>
        <v>Período 1</v>
      </c>
      <c r="B4284">
        <v>51887</v>
      </c>
      <c r="C4284" t="s">
        <v>7177</v>
      </c>
      <c r="D4284" t="s">
        <v>6827</v>
      </c>
      <c r="E4284" s="3" t="str">
        <f>IF(LEN(Base_Periodo1[[#This Row],[CLASS]])&gt;=7,LEFT(Base_Periodo1[[#This Row],[CLASS]],7),"")</f>
        <v>2.1.9.1</v>
      </c>
      <c r="F4284" s="3" t="str">
        <f>VLOOKUP(Base_Periodo1[[#This Row],[Aux]],Base_Contas_Balanco[#All],2,FALSE)</f>
        <v>Produtos A Fixar</v>
      </c>
      <c r="G4284" s="1"/>
      <c r="I4284" s="225">
        <v>29395.600000000002</v>
      </c>
      <c r="J4284" s="225">
        <v>29997.000000000004</v>
      </c>
      <c r="K4284" s="225">
        <v>601.40000000000146</v>
      </c>
      <c r="L42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601.4</v>
      </c>
      <c r="M4284" s="225">
        <f>ROUND(IF(AND(Base_Periodo1[[#This Row],[Tipo_Linha]]="-",Base_Periodo1[[#This Row],[TIPOSALDO]]="D"),Base_Periodo1[[#This Row],[SALDO_ATUAL]]*-1,Base_Periodo1[[#This Row],[SALDO_ATUAL]]),4)</f>
        <v>601.4</v>
      </c>
      <c r="N4284" t="s">
        <v>396</v>
      </c>
      <c r="O4284" t="s">
        <v>436</v>
      </c>
      <c r="P4284" t="s">
        <v>459</v>
      </c>
      <c r="Q4284">
        <v>7</v>
      </c>
      <c r="R4284" s="225">
        <f>Base_Periodo1[[#This Row],[CREDITOS]]-Base_Periodo1[[#This Row],[DEBITOS]]</f>
        <v>601.40000000000146</v>
      </c>
      <c r="S4284" s="3" t="str">
        <f>IF(ISERROR(VLOOKUP(Base_Periodo1[[#This Row],[CONTA]],BaseContasDRE[#All],4,FALSE)),"Fora do DRE",VLOOKUP(Base_Periodo1[[#This Row],[CONTA]],BaseContasDRE[#All],4,FALSE))</f>
        <v>Fora do DRE</v>
      </c>
      <c r="T4284" s="3" t="str">
        <f>IF(ISERROR(VLOOKUP(Base_Periodo1[[#This Row],[CONTA]],BaseContasDRE[#All],5,FALSE)),"Fora do DRE",VLOOKUP(Base_Periodo1[[#This Row],[CONTA]],BaseContasDRE[#All],6,FALSE))</f>
        <v>Fora do DRE</v>
      </c>
      <c r="U4284" s="3" t="str">
        <f>IF(ISERROR(VLOOKUP(Base_Periodo1[[#This Row],[CONTA]],BaseContasDRE[#All],7,FALSE)),"Fora do DRE",VLOOKUP(Base_Periodo1[[#This Row],[CONTA]],BaseContasDRE[#All],7,FALSE))</f>
        <v>Fora do DRE</v>
      </c>
      <c r="V4284" s="3" t="str">
        <f>IF(Base_Periodo1[[#This Row],[Tipo_Linha]]="Fora do DRE","Fora do DRE","( "&amp;Base_Periodo1[[#This Row],[Tipo_Linha]]&amp;" ) "&amp;Base_Periodo1[[#This Row],[Filtro]])</f>
        <v>Fora do DRE</v>
      </c>
      <c r="W4284" s="3" t="str">
        <f>LEFT(Base_Periodo1[[#This Row],[CLASS]],3)</f>
        <v>2.1</v>
      </c>
    </row>
    <row r="4285" spans="1:23" hidden="1">
      <c r="A4285" s="3" t="str">
        <f t="shared" si="66"/>
        <v>Período 1</v>
      </c>
      <c r="B4285">
        <v>51888</v>
      </c>
      <c r="C4285" t="s">
        <v>7178</v>
      </c>
      <c r="D4285" t="s">
        <v>7179</v>
      </c>
      <c r="E4285" s="3" t="str">
        <f>IF(LEN(Base_Periodo1[[#This Row],[CLASS]])&gt;=7,LEFT(Base_Periodo1[[#This Row],[CLASS]],7),"")</f>
        <v>2.1.9.1</v>
      </c>
      <c r="F4285" s="3" t="str">
        <f>VLOOKUP(Base_Periodo1[[#This Row],[Aux]],Base_Contas_Balanco[#All],2,FALSE)</f>
        <v>Produtos A Fixar</v>
      </c>
      <c r="G4285" s="1">
        <v>42881</v>
      </c>
      <c r="I4285" s="225">
        <v>29395.600000000002</v>
      </c>
      <c r="J4285" s="225">
        <v>29997.000000000004</v>
      </c>
      <c r="K4285" s="225">
        <v>601.40000000000146</v>
      </c>
      <c r="L42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601.4</v>
      </c>
      <c r="M4285" s="225">
        <f>ROUND(IF(AND(Base_Periodo1[[#This Row],[Tipo_Linha]]="-",Base_Periodo1[[#This Row],[TIPOSALDO]]="D"),Base_Periodo1[[#This Row],[SALDO_ATUAL]]*-1,Base_Periodo1[[#This Row],[SALDO_ATUAL]]),4)</f>
        <v>601.4</v>
      </c>
      <c r="N4285" t="s">
        <v>116</v>
      </c>
      <c r="O4285" t="s">
        <v>436</v>
      </c>
      <c r="P4285" t="s">
        <v>459</v>
      </c>
      <c r="Q4285">
        <v>8</v>
      </c>
      <c r="R4285" s="225">
        <f>Base_Periodo1[[#This Row],[CREDITOS]]-Base_Periodo1[[#This Row],[DEBITOS]]</f>
        <v>601.40000000000146</v>
      </c>
      <c r="S4285" s="3" t="str">
        <f>IF(ISERROR(VLOOKUP(Base_Periodo1[[#This Row],[CONTA]],BaseContasDRE[#All],4,FALSE)),"Fora do DRE",VLOOKUP(Base_Periodo1[[#This Row],[CONTA]],BaseContasDRE[#All],4,FALSE))</f>
        <v>Fora do DRE</v>
      </c>
      <c r="T4285" s="3" t="str">
        <f>IF(ISERROR(VLOOKUP(Base_Periodo1[[#This Row],[CONTA]],BaseContasDRE[#All],5,FALSE)),"Fora do DRE",VLOOKUP(Base_Periodo1[[#This Row],[CONTA]],BaseContasDRE[#All],6,FALSE))</f>
        <v>Fora do DRE</v>
      </c>
      <c r="U4285" s="3" t="str">
        <f>IF(ISERROR(VLOOKUP(Base_Periodo1[[#This Row],[CONTA]],BaseContasDRE[#All],7,FALSE)),"Fora do DRE",VLOOKUP(Base_Periodo1[[#This Row],[CONTA]],BaseContasDRE[#All],7,FALSE))</f>
        <v>Fora do DRE</v>
      </c>
      <c r="V4285" s="3" t="str">
        <f>IF(Base_Periodo1[[#This Row],[Tipo_Linha]]="Fora do DRE","Fora do DRE","( "&amp;Base_Periodo1[[#This Row],[Tipo_Linha]]&amp;" ) "&amp;Base_Periodo1[[#This Row],[Filtro]])</f>
        <v>Fora do DRE</v>
      </c>
      <c r="W4285" s="3" t="str">
        <f>LEFT(Base_Periodo1[[#This Row],[CLASS]],3)</f>
        <v>2.1</v>
      </c>
    </row>
    <row r="4286" spans="1:23" hidden="1">
      <c r="A4286" s="3" t="str">
        <f t="shared" si="66"/>
        <v>Período 1</v>
      </c>
      <c r="B4286">
        <v>1626</v>
      </c>
      <c r="C4286" t="s">
        <v>2288</v>
      </c>
      <c r="D4286" t="s">
        <v>2289</v>
      </c>
      <c r="E4286" s="3" t="str">
        <f>IF(LEN(Base_Periodo1[[#This Row],[CLASS]])&gt;=7,LEFT(Base_Periodo1[[#This Row],[CLASS]],7),"")</f>
        <v/>
      </c>
      <c r="F4286" s="3" t="e">
        <f>VLOOKUP(Base_Periodo1[[#This Row],[Aux]],Base_Contas_Balanco[#All],2,FALSE)</f>
        <v>#N/A</v>
      </c>
      <c r="G4286" s="1"/>
      <c r="H4286" s="225">
        <v>51605355.659999855</v>
      </c>
      <c r="I4286" s="225">
        <v>3302857.9299999997</v>
      </c>
      <c r="J4286" s="225">
        <v>2004017.5300000005</v>
      </c>
      <c r="K4286" s="225">
        <v>50306515.259999856</v>
      </c>
      <c r="L42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50306515.259999998</v>
      </c>
      <c r="M4286" s="225">
        <f>ROUND(IF(AND(Base_Periodo1[[#This Row],[Tipo_Linha]]="-",Base_Periodo1[[#This Row],[TIPOSALDO]]="D"),Base_Periodo1[[#This Row],[SALDO_ATUAL]]*-1,Base_Periodo1[[#This Row],[SALDO_ATUAL]]),4)</f>
        <v>50306515.259999998</v>
      </c>
      <c r="N4286" t="s">
        <v>396</v>
      </c>
      <c r="O4286" t="s">
        <v>459</v>
      </c>
      <c r="P4286" t="s">
        <v>459</v>
      </c>
      <c r="Q4286">
        <v>2</v>
      </c>
      <c r="R4286" s="225">
        <f>Base_Periodo1[[#This Row],[CREDITOS]]-Base_Periodo1[[#This Row],[DEBITOS]]</f>
        <v>-1298840.3999999992</v>
      </c>
      <c r="S4286" s="3" t="str">
        <f>IF(ISERROR(VLOOKUP(Base_Periodo1[[#This Row],[CONTA]],BaseContasDRE[#All],4,FALSE)),"Fora do DRE",VLOOKUP(Base_Periodo1[[#This Row],[CONTA]],BaseContasDRE[#All],4,FALSE))</f>
        <v>Fora do DRE</v>
      </c>
      <c r="T4286" s="3" t="str">
        <f>IF(ISERROR(VLOOKUP(Base_Periodo1[[#This Row],[CONTA]],BaseContasDRE[#All],5,FALSE)),"Fora do DRE",VLOOKUP(Base_Periodo1[[#This Row],[CONTA]],BaseContasDRE[#All],6,FALSE))</f>
        <v>Fora do DRE</v>
      </c>
      <c r="U4286" s="3" t="str">
        <f>IF(ISERROR(VLOOKUP(Base_Periodo1[[#This Row],[CONTA]],BaseContasDRE[#All],7,FALSE)),"Fora do DRE",VLOOKUP(Base_Periodo1[[#This Row],[CONTA]],BaseContasDRE[#All],7,FALSE))</f>
        <v>Fora do DRE</v>
      </c>
      <c r="V4286" s="3" t="str">
        <f>IF(Base_Periodo1[[#This Row],[Tipo_Linha]]="Fora do DRE","Fora do DRE","( "&amp;Base_Periodo1[[#This Row],[Tipo_Linha]]&amp;" ) "&amp;Base_Periodo1[[#This Row],[Filtro]])</f>
        <v>Fora do DRE</v>
      </c>
      <c r="W4286" s="3" t="str">
        <f>LEFT(Base_Periodo1[[#This Row],[CLASS]],3)</f>
        <v>2.2</v>
      </c>
    </row>
    <row r="4287" spans="1:23" hidden="1">
      <c r="A4287" s="3" t="str">
        <f t="shared" si="66"/>
        <v>Período 1</v>
      </c>
      <c r="B4287">
        <v>1627</v>
      </c>
      <c r="C4287" t="s">
        <v>2290</v>
      </c>
      <c r="D4287" t="s">
        <v>92</v>
      </c>
      <c r="E4287" s="3" t="str">
        <f>IF(LEN(Base_Periodo1[[#This Row],[CLASS]])&gt;=7,LEFT(Base_Periodo1[[#This Row],[CLASS]],7),"")</f>
        <v/>
      </c>
      <c r="F4287" s="3" t="e">
        <f>VLOOKUP(Base_Periodo1[[#This Row],[Aux]],Base_Contas_Balanco[#All],2,FALSE)</f>
        <v>#N/A</v>
      </c>
      <c r="G4287" s="1"/>
      <c r="H4287" s="225">
        <v>51605355.659999855</v>
      </c>
      <c r="I4287" s="225">
        <v>3302857.9299999997</v>
      </c>
      <c r="J4287" s="225">
        <v>2004017.5300000005</v>
      </c>
      <c r="K4287" s="225">
        <v>50306515.259999856</v>
      </c>
      <c r="L42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50306515.259999998</v>
      </c>
      <c r="M4287" s="225">
        <f>ROUND(IF(AND(Base_Periodo1[[#This Row],[Tipo_Linha]]="-",Base_Periodo1[[#This Row],[TIPOSALDO]]="D"),Base_Periodo1[[#This Row],[SALDO_ATUAL]]*-1,Base_Periodo1[[#This Row],[SALDO_ATUAL]]),4)</f>
        <v>50306515.259999998</v>
      </c>
      <c r="N4287" t="s">
        <v>396</v>
      </c>
      <c r="O4287" t="s">
        <v>459</v>
      </c>
      <c r="P4287" t="s">
        <v>459</v>
      </c>
      <c r="Q4287">
        <v>3</v>
      </c>
      <c r="R4287" s="225">
        <f>Base_Periodo1[[#This Row],[CREDITOS]]-Base_Periodo1[[#This Row],[DEBITOS]]</f>
        <v>-1298840.3999999992</v>
      </c>
      <c r="S4287" s="3" t="str">
        <f>IF(ISERROR(VLOOKUP(Base_Periodo1[[#This Row],[CONTA]],BaseContasDRE[#All],4,FALSE)),"Fora do DRE",VLOOKUP(Base_Periodo1[[#This Row],[CONTA]],BaseContasDRE[#All],4,FALSE))</f>
        <v>Fora do DRE</v>
      </c>
      <c r="T4287" s="3" t="str">
        <f>IF(ISERROR(VLOOKUP(Base_Periodo1[[#This Row],[CONTA]],BaseContasDRE[#All],5,FALSE)),"Fora do DRE",VLOOKUP(Base_Periodo1[[#This Row],[CONTA]],BaseContasDRE[#All],6,FALSE))</f>
        <v>Fora do DRE</v>
      </c>
      <c r="U4287" s="3" t="str">
        <f>IF(ISERROR(VLOOKUP(Base_Periodo1[[#This Row],[CONTA]],BaseContasDRE[#All],7,FALSE)),"Fora do DRE",VLOOKUP(Base_Periodo1[[#This Row],[CONTA]],BaseContasDRE[#All],7,FALSE))</f>
        <v>Fora do DRE</v>
      </c>
      <c r="V4287" s="3" t="str">
        <f>IF(Base_Periodo1[[#This Row],[Tipo_Linha]]="Fora do DRE","Fora do DRE","( "&amp;Base_Periodo1[[#This Row],[Tipo_Linha]]&amp;" ) "&amp;Base_Periodo1[[#This Row],[Filtro]])</f>
        <v>Fora do DRE</v>
      </c>
      <c r="W4287" s="3" t="str">
        <f>LEFT(Base_Periodo1[[#This Row],[CLASS]],3)</f>
        <v>2.2</v>
      </c>
    </row>
    <row r="4288" spans="1:23" hidden="1">
      <c r="A4288" s="3" t="str">
        <f t="shared" si="66"/>
        <v>Período 1</v>
      </c>
      <c r="B4288">
        <v>1628</v>
      </c>
      <c r="C4288" t="s">
        <v>62</v>
      </c>
      <c r="D4288" t="s">
        <v>63</v>
      </c>
      <c r="E4288" s="3" t="str">
        <f>IF(LEN(Base_Periodo1[[#This Row],[CLASS]])&gt;=7,LEFT(Base_Periodo1[[#This Row],[CLASS]],7),"")</f>
        <v>2.2.1.1</v>
      </c>
      <c r="F4288" s="3" t="str">
        <f>VLOOKUP(Base_Periodo1[[#This Row],[Aux]],Base_Contas_Balanco[#All],2,FALSE)</f>
        <v>Financiamentos Bancarios A Longo Prazo</v>
      </c>
      <c r="G4288" s="1"/>
      <c r="H4288" s="225">
        <v>51605355.659999855</v>
      </c>
      <c r="I4288" s="225">
        <v>3302857.9299999997</v>
      </c>
      <c r="J4288" s="225">
        <v>2004017.5300000005</v>
      </c>
      <c r="K4288" s="225">
        <v>50306515.259999856</v>
      </c>
      <c r="L42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50306515.259999998</v>
      </c>
      <c r="M4288" s="225">
        <f>ROUND(IF(AND(Base_Periodo1[[#This Row],[Tipo_Linha]]="-",Base_Periodo1[[#This Row],[TIPOSALDO]]="D"),Base_Periodo1[[#This Row],[SALDO_ATUAL]]*-1,Base_Periodo1[[#This Row],[SALDO_ATUAL]]),4)</f>
        <v>50306515.259999998</v>
      </c>
      <c r="N4288" t="s">
        <v>396</v>
      </c>
      <c r="O4288" t="s">
        <v>459</v>
      </c>
      <c r="P4288" t="s">
        <v>459</v>
      </c>
      <c r="Q4288">
        <v>4</v>
      </c>
      <c r="R4288" s="225">
        <f>Base_Periodo1[[#This Row],[CREDITOS]]-Base_Periodo1[[#This Row],[DEBITOS]]</f>
        <v>-1298840.3999999992</v>
      </c>
      <c r="S4288" s="3" t="str">
        <f>IF(ISERROR(VLOOKUP(Base_Periodo1[[#This Row],[CONTA]],BaseContasDRE[#All],4,FALSE)),"Fora do DRE",VLOOKUP(Base_Periodo1[[#This Row],[CONTA]],BaseContasDRE[#All],4,FALSE))</f>
        <v>Fora do DRE</v>
      </c>
      <c r="T4288" s="3" t="str">
        <f>IF(ISERROR(VLOOKUP(Base_Periodo1[[#This Row],[CONTA]],BaseContasDRE[#All],5,FALSE)),"Fora do DRE",VLOOKUP(Base_Periodo1[[#This Row],[CONTA]],BaseContasDRE[#All],6,FALSE))</f>
        <v>Fora do DRE</v>
      </c>
      <c r="U4288" s="3" t="str">
        <f>IF(ISERROR(VLOOKUP(Base_Periodo1[[#This Row],[CONTA]],BaseContasDRE[#All],7,FALSE)),"Fora do DRE",VLOOKUP(Base_Periodo1[[#This Row],[CONTA]],BaseContasDRE[#All],7,FALSE))</f>
        <v>Fora do DRE</v>
      </c>
      <c r="V4288" s="3" t="str">
        <f>IF(Base_Periodo1[[#This Row],[Tipo_Linha]]="Fora do DRE","Fora do DRE","( "&amp;Base_Periodo1[[#This Row],[Tipo_Linha]]&amp;" ) "&amp;Base_Periodo1[[#This Row],[Filtro]])</f>
        <v>Fora do DRE</v>
      </c>
      <c r="W4288" s="3" t="str">
        <f>LEFT(Base_Periodo1[[#This Row],[CLASS]],3)</f>
        <v>2.2</v>
      </c>
    </row>
    <row r="4289" spans="1:23" hidden="1">
      <c r="A4289" s="3" t="str">
        <f t="shared" si="66"/>
        <v>Período 1</v>
      </c>
      <c r="B4289">
        <v>1629</v>
      </c>
      <c r="C4289" t="s">
        <v>4781</v>
      </c>
      <c r="D4289" t="s">
        <v>2145</v>
      </c>
      <c r="E4289" s="3" t="str">
        <f>IF(LEN(Base_Periodo1[[#This Row],[CLASS]])&gt;=7,LEFT(Base_Periodo1[[#This Row],[CLASS]],7),"")</f>
        <v>2.2.1.1</v>
      </c>
      <c r="F4289" s="3" t="str">
        <f>VLOOKUP(Base_Periodo1[[#This Row],[Aux]],Base_Contas_Balanco[#All],2,FALSE)</f>
        <v>Financiamentos Bancarios A Longo Prazo</v>
      </c>
      <c r="G4289" s="1"/>
      <c r="H4289" s="225">
        <v>3136109.36</v>
      </c>
      <c r="I4289" s="225">
        <v>0</v>
      </c>
      <c r="J4289" s="225">
        <v>0</v>
      </c>
      <c r="K4289" s="225">
        <v>3136109.36</v>
      </c>
      <c r="L42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3136109.36</v>
      </c>
      <c r="M4289" s="225">
        <f>ROUND(IF(AND(Base_Periodo1[[#This Row],[Tipo_Linha]]="-",Base_Periodo1[[#This Row],[TIPOSALDO]]="D"),Base_Periodo1[[#This Row],[SALDO_ATUAL]]*-1,Base_Periodo1[[#This Row],[SALDO_ATUAL]]),4)</f>
        <v>3136109.36</v>
      </c>
      <c r="N4289" t="s">
        <v>396</v>
      </c>
      <c r="O4289" t="s">
        <v>459</v>
      </c>
      <c r="P4289" t="s">
        <v>459</v>
      </c>
      <c r="Q4289">
        <v>5</v>
      </c>
      <c r="R4289" s="225">
        <f>Base_Periodo1[[#This Row],[CREDITOS]]-Base_Periodo1[[#This Row],[DEBITOS]]</f>
        <v>0</v>
      </c>
      <c r="S4289" s="3" t="str">
        <f>IF(ISERROR(VLOOKUP(Base_Periodo1[[#This Row],[CONTA]],BaseContasDRE[#All],4,FALSE)),"Fora do DRE",VLOOKUP(Base_Periodo1[[#This Row],[CONTA]],BaseContasDRE[#All],4,FALSE))</f>
        <v>Fora do DRE</v>
      </c>
      <c r="T4289" s="3" t="str">
        <f>IF(ISERROR(VLOOKUP(Base_Periodo1[[#This Row],[CONTA]],BaseContasDRE[#All],5,FALSE)),"Fora do DRE",VLOOKUP(Base_Periodo1[[#This Row],[CONTA]],BaseContasDRE[#All],6,FALSE))</f>
        <v>Fora do DRE</v>
      </c>
      <c r="U4289" s="3" t="str">
        <f>IF(ISERROR(VLOOKUP(Base_Periodo1[[#This Row],[CONTA]],BaseContasDRE[#All],7,FALSE)),"Fora do DRE",VLOOKUP(Base_Periodo1[[#This Row],[CONTA]],BaseContasDRE[#All],7,FALSE))</f>
        <v>Fora do DRE</v>
      </c>
      <c r="V4289" s="3" t="str">
        <f>IF(Base_Periodo1[[#This Row],[Tipo_Linha]]="Fora do DRE","Fora do DRE","( "&amp;Base_Periodo1[[#This Row],[Tipo_Linha]]&amp;" ) "&amp;Base_Periodo1[[#This Row],[Filtro]])</f>
        <v>Fora do DRE</v>
      </c>
      <c r="W4289" s="3" t="str">
        <f>LEFT(Base_Periodo1[[#This Row],[CLASS]],3)</f>
        <v>2.2</v>
      </c>
    </row>
    <row r="4290" spans="1:23" hidden="1">
      <c r="A4290" s="3" t="str">
        <f t="shared" si="66"/>
        <v>Período 1</v>
      </c>
      <c r="B4290">
        <v>1630</v>
      </c>
      <c r="C4290" t="s">
        <v>4782</v>
      </c>
      <c r="D4290" t="s">
        <v>180</v>
      </c>
      <c r="E4290" s="3" t="str">
        <f>IF(LEN(Base_Periodo1[[#This Row],[CLASS]])&gt;=7,LEFT(Base_Periodo1[[#This Row],[CLASS]],7),"")</f>
        <v>2.2.1.1</v>
      </c>
      <c r="F4290" s="3" t="str">
        <f>VLOOKUP(Base_Periodo1[[#This Row],[Aux]],Base_Contas_Balanco[#All],2,FALSE)</f>
        <v>Financiamentos Bancarios A Longo Prazo</v>
      </c>
      <c r="G4290" s="1"/>
      <c r="H4290" s="225">
        <v>3136109.36</v>
      </c>
      <c r="I4290" s="225">
        <v>0</v>
      </c>
      <c r="J4290" s="225">
        <v>0</v>
      </c>
      <c r="K4290" s="225">
        <v>3136109.36</v>
      </c>
      <c r="L42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3136109.36</v>
      </c>
      <c r="M4290" s="225">
        <f>ROUND(IF(AND(Base_Periodo1[[#This Row],[Tipo_Linha]]="-",Base_Periodo1[[#This Row],[TIPOSALDO]]="D"),Base_Periodo1[[#This Row],[SALDO_ATUAL]]*-1,Base_Periodo1[[#This Row],[SALDO_ATUAL]]),4)</f>
        <v>3136109.36</v>
      </c>
      <c r="N4290" t="s">
        <v>116</v>
      </c>
      <c r="O4290" t="s">
        <v>459</v>
      </c>
      <c r="P4290" t="s">
        <v>459</v>
      </c>
      <c r="Q4290">
        <v>6</v>
      </c>
      <c r="R4290" s="225">
        <f>Base_Periodo1[[#This Row],[CREDITOS]]-Base_Periodo1[[#This Row],[DEBITOS]]</f>
        <v>0</v>
      </c>
      <c r="S4290" s="3" t="str">
        <f>IF(ISERROR(VLOOKUP(Base_Periodo1[[#This Row],[CONTA]],BaseContasDRE[#All],4,FALSE)),"Fora do DRE",VLOOKUP(Base_Periodo1[[#This Row],[CONTA]],BaseContasDRE[#All],4,FALSE))</f>
        <v>Fora do DRE</v>
      </c>
      <c r="T4290" s="3" t="str">
        <f>IF(ISERROR(VLOOKUP(Base_Periodo1[[#This Row],[CONTA]],BaseContasDRE[#All],5,FALSE)),"Fora do DRE",VLOOKUP(Base_Periodo1[[#This Row],[CONTA]],BaseContasDRE[#All],6,FALSE))</f>
        <v>Fora do DRE</v>
      </c>
      <c r="U4290" s="3" t="str">
        <f>IF(ISERROR(VLOOKUP(Base_Periodo1[[#This Row],[CONTA]],BaseContasDRE[#All],7,FALSE)),"Fora do DRE",VLOOKUP(Base_Periodo1[[#This Row],[CONTA]],BaseContasDRE[#All],7,FALSE))</f>
        <v>Fora do DRE</v>
      </c>
      <c r="V4290" s="3" t="str">
        <f>IF(Base_Periodo1[[#This Row],[Tipo_Linha]]="Fora do DRE","Fora do DRE","( "&amp;Base_Periodo1[[#This Row],[Tipo_Linha]]&amp;" ) "&amp;Base_Periodo1[[#This Row],[Filtro]])</f>
        <v>Fora do DRE</v>
      </c>
      <c r="W4290" s="3" t="str">
        <f>LEFT(Base_Periodo1[[#This Row],[CLASS]],3)</f>
        <v>2.2</v>
      </c>
    </row>
    <row r="4291" spans="1:23" hidden="1">
      <c r="A4291" s="3" t="str">
        <f t="shared" si="66"/>
        <v>Período 1</v>
      </c>
      <c r="B4291">
        <v>1631</v>
      </c>
      <c r="C4291" t="s">
        <v>2291</v>
      </c>
      <c r="D4291" t="s">
        <v>2292</v>
      </c>
      <c r="E4291" s="3" t="str">
        <f>IF(LEN(Base_Periodo1[[#This Row],[CLASS]])&gt;=7,LEFT(Base_Periodo1[[#This Row],[CLASS]],7),"")</f>
        <v>2.2.1.1</v>
      </c>
      <c r="F4291" s="3" t="str">
        <f>VLOOKUP(Base_Periodo1[[#This Row],[Aux]],Base_Contas_Balanco[#All],2,FALSE)</f>
        <v>Financiamentos Bancarios A Longo Prazo</v>
      </c>
      <c r="G4291" s="1"/>
      <c r="H4291" s="225">
        <v>48469246.299999855</v>
      </c>
      <c r="I4291" s="225">
        <v>3302857.9299999997</v>
      </c>
      <c r="J4291" s="225">
        <v>2004017.5300000005</v>
      </c>
      <c r="K4291" s="225">
        <v>47170405.899999857</v>
      </c>
      <c r="L42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47170405.899999999</v>
      </c>
      <c r="M4291" s="225">
        <f>ROUND(IF(AND(Base_Periodo1[[#This Row],[Tipo_Linha]]="-",Base_Periodo1[[#This Row],[TIPOSALDO]]="D"),Base_Periodo1[[#This Row],[SALDO_ATUAL]]*-1,Base_Periodo1[[#This Row],[SALDO_ATUAL]]),4)</f>
        <v>47170405.899999999</v>
      </c>
      <c r="N4291" t="s">
        <v>396</v>
      </c>
      <c r="O4291" t="s">
        <v>459</v>
      </c>
      <c r="P4291" t="s">
        <v>459</v>
      </c>
      <c r="Q4291">
        <v>5</v>
      </c>
      <c r="R4291" s="225">
        <f>Base_Periodo1[[#This Row],[CREDITOS]]-Base_Periodo1[[#This Row],[DEBITOS]]</f>
        <v>-1298840.3999999992</v>
      </c>
      <c r="S4291" s="3" t="str">
        <f>IF(ISERROR(VLOOKUP(Base_Periodo1[[#This Row],[CONTA]],BaseContasDRE[#All],4,FALSE)),"Fora do DRE",VLOOKUP(Base_Periodo1[[#This Row],[CONTA]],BaseContasDRE[#All],4,FALSE))</f>
        <v>Fora do DRE</v>
      </c>
      <c r="T4291" s="3" t="str">
        <f>IF(ISERROR(VLOOKUP(Base_Periodo1[[#This Row],[CONTA]],BaseContasDRE[#All],5,FALSE)),"Fora do DRE",VLOOKUP(Base_Periodo1[[#This Row],[CONTA]],BaseContasDRE[#All],6,FALSE))</f>
        <v>Fora do DRE</v>
      </c>
      <c r="U4291" s="3" t="str">
        <f>IF(ISERROR(VLOOKUP(Base_Periodo1[[#This Row],[CONTA]],BaseContasDRE[#All],7,FALSE)),"Fora do DRE",VLOOKUP(Base_Periodo1[[#This Row],[CONTA]],BaseContasDRE[#All],7,FALSE))</f>
        <v>Fora do DRE</v>
      </c>
      <c r="V4291" s="3" t="str">
        <f>IF(Base_Periodo1[[#This Row],[Tipo_Linha]]="Fora do DRE","Fora do DRE","( "&amp;Base_Periodo1[[#This Row],[Tipo_Linha]]&amp;" ) "&amp;Base_Periodo1[[#This Row],[Filtro]])</f>
        <v>Fora do DRE</v>
      </c>
      <c r="W4291" s="3" t="str">
        <f>LEFT(Base_Periodo1[[#This Row],[CLASS]],3)</f>
        <v>2.2</v>
      </c>
    </row>
    <row r="4292" spans="1:23" hidden="1">
      <c r="A4292" s="3" t="str">
        <f t="shared" si="66"/>
        <v>Período 1</v>
      </c>
      <c r="B4292">
        <v>1632</v>
      </c>
      <c r="C4292" t="s">
        <v>2293</v>
      </c>
      <c r="D4292" t="s">
        <v>1721</v>
      </c>
      <c r="E4292" s="3" t="str">
        <f>IF(LEN(Base_Periodo1[[#This Row],[CLASS]])&gt;=7,LEFT(Base_Periodo1[[#This Row],[CLASS]],7),"")</f>
        <v>2.2.1.1</v>
      </c>
      <c r="F4292" s="3" t="str">
        <f>VLOOKUP(Base_Periodo1[[#This Row],[Aux]],Base_Contas_Balanco[#All],2,FALSE)</f>
        <v>Financiamentos Bancarios A Longo Prazo</v>
      </c>
      <c r="G4292" s="1">
        <v>42886</v>
      </c>
      <c r="H4292" s="225">
        <v>3158338.0100000054</v>
      </c>
      <c r="I4292" s="225">
        <v>1615953.11</v>
      </c>
      <c r="J4292" s="225">
        <v>34032.33</v>
      </c>
      <c r="K4292" s="225">
        <v>1576417.2300000053</v>
      </c>
      <c r="L42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1576417.23</v>
      </c>
      <c r="M4292" s="225">
        <f>ROUND(IF(AND(Base_Periodo1[[#This Row],[Tipo_Linha]]="-",Base_Periodo1[[#This Row],[TIPOSALDO]]="D"),Base_Periodo1[[#This Row],[SALDO_ATUAL]]*-1,Base_Periodo1[[#This Row],[SALDO_ATUAL]]),4)</f>
        <v>1576417.23</v>
      </c>
      <c r="N4292" t="s">
        <v>116</v>
      </c>
      <c r="O4292" t="s">
        <v>459</v>
      </c>
      <c r="P4292" t="s">
        <v>459</v>
      </c>
      <c r="Q4292">
        <v>6</v>
      </c>
      <c r="R4292" s="225">
        <f>Base_Periodo1[[#This Row],[CREDITOS]]-Base_Periodo1[[#This Row],[DEBITOS]]</f>
        <v>-1581920.78</v>
      </c>
      <c r="S4292" s="3" t="str">
        <f>IF(ISERROR(VLOOKUP(Base_Periodo1[[#This Row],[CONTA]],BaseContasDRE[#All],4,FALSE)),"Fora do DRE",VLOOKUP(Base_Periodo1[[#This Row],[CONTA]],BaseContasDRE[#All],4,FALSE))</f>
        <v>Fora do DRE</v>
      </c>
      <c r="T4292" s="3" t="str">
        <f>IF(ISERROR(VLOOKUP(Base_Periodo1[[#This Row],[CONTA]],BaseContasDRE[#All],5,FALSE)),"Fora do DRE",VLOOKUP(Base_Periodo1[[#This Row],[CONTA]],BaseContasDRE[#All],6,FALSE))</f>
        <v>Fora do DRE</v>
      </c>
      <c r="U4292" s="3" t="str">
        <f>IF(ISERROR(VLOOKUP(Base_Periodo1[[#This Row],[CONTA]],BaseContasDRE[#All],7,FALSE)),"Fora do DRE",VLOOKUP(Base_Periodo1[[#This Row],[CONTA]],BaseContasDRE[#All],7,FALSE))</f>
        <v>Fora do DRE</v>
      </c>
      <c r="V4292" s="3" t="str">
        <f>IF(Base_Periodo1[[#This Row],[Tipo_Linha]]="Fora do DRE","Fora do DRE","( "&amp;Base_Periodo1[[#This Row],[Tipo_Linha]]&amp;" ) "&amp;Base_Periodo1[[#This Row],[Filtro]])</f>
        <v>Fora do DRE</v>
      </c>
      <c r="W4292" s="3" t="str">
        <f>LEFT(Base_Periodo1[[#This Row],[CLASS]],3)</f>
        <v>2.2</v>
      </c>
    </row>
    <row r="4293" spans="1:23" hidden="1">
      <c r="A4293" s="3" t="str">
        <f t="shared" si="66"/>
        <v>Período 1</v>
      </c>
      <c r="B4293">
        <v>53082</v>
      </c>
      <c r="C4293" t="s">
        <v>6088</v>
      </c>
      <c r="D4293" t="s">
        <v>6089</v>
      </c>
      <c r="E4293" s="3" t="str">
        <f>IF(LEN(Base_Periodo1[[#This Row],[CLASS]])&gt;=7,LEFT(Base_Periodo1[[#This Row],[CLASS]],7),"")</f>
        <v>2.2.1.1</v>
      </c>
      <c r="F4293" s="3" t="str">
        <f>VLOOKUP(Base_Periodo1[[#This Row],[Aux]],Base_Contas_Balanco[#All],2,FALSE)</f>
        <v>Financiamentos Bancarios A Longo Prazo</v>
      </c>
      <c r="G4293" s="1">
        <v>42855</v>
      </c>
      <c r="H4293" s="225">
        <v>5878607.7999999998</v>
      </c>
      <c r="I4293" s="225">
        <v>0</v>
      </c>
      <c r="J4293" s="225">
        <v>0</v>
      </c>
      <c r="K4293" s="225">
        <v>5878607.7999999998</v>
      </c>
      <c r="L42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5878607.7999999998</v>
      </c>
      <c r="M4293" s="225">
        <f>ROUND(IF(AND(Base_Periodo1[[#This Row],[Tipo_Linha]]="-",Base_Periodo1[[#This Row],[TIPOSALDO]]="D"),Base_Periodo1[[#This Row],[SALDO_ATUAL]]*-1,Base_Periodo1[[#This Row],[SALDO_ATUAL]]),4)</f>
        <v>5878607.7999999998</v>
      </c>
      <c r="N4293" t="s">
        <v>116</v>
      </c>
      <c r="O4293" t="s">
        <v>459</v>
      </c>
      <c r="P4293" t="s">
        <v>459</v>
      </c>
      <c r="Q4293">
        <v>6</v>
      </c>
      <c r="R4293" s="225">
        <f>Base_Periodo1[[#This Row],[CREDITOS]]-Base_Periodo1[[#This Row],[DEBITOS]]</f>
        <v>0</v>
      </c>
      <c r="S4293" s="3" t="str">
        <f>IF(ISERROR(VLOOKUP(Base_Periodo1[[#This Row],[CONTA]],BaseContasDRE[#All],4,FALSE)),"Fora do DRE",VLOOKUP(Base_Periodo1[[#This Row],[CONTA]],BaseContasDRE[#All],4,FALSE))</f>
        <v>Fora do DRE</v>
      </c>
      <c r="T4293" s="3" t="str">
        <f>IF(ISERROR(VLOOKUP(Base_Periodo1[[#This Row],[CONTA]],BaseContasDRE[#All],5,FALSE)),"Fora do DRE",VLOOKUP(Base_Periodo1[[#This Row],[CONTA]],BaseContasDRE[#All],6,FALSE))</f>
        <v>Fora do DRE</v>
      </c>
      <c r="U4293" s="3" t="str">
        <f>IF(ISERROR(VLOOKUP(Base_Periodo1[[#This Row],[CONTA]],BaseContasDRE[#All],7,FALSE)),"Fora do DRE",VLOOKUP(Base_Periodo1[[#This Row],[CONTA]],BaseContasDRE[#All],7,FALSE))</f>
        <v>Fora do DRE</v>
      </c>
      <c r="V4293" s="3" t="str">
        <f>IF(Base_Periodo1[[#This Row],[Tipo_Linha]]="Fora do DRE","Fora do DRE","( "&amp;Base_Periodo1[[#This Row],[Tipo_Linha]]&amp;" ) "&amp;Base_Periodo1[[#This Row],[Filtro]])</f>
        <v>Fora do DRE</v>
      </c>
      <c r="W4293" s="3" t="str">
        <f>LEFT(Base_Periodo1[[#This Row],[CLASS]],3)</f>
        <v>2.2</v>
      </c>
    </row>
    <row r="4294" spans="1:23" hidden="1">
      <c r="A4294" s="3" t="str">
        <f t="shared" ref="A4294:A4357" si="67">"Período 1"</f>
        <v>Período 1</v>
      </c>
      <c r="B4294">
        <v>1633</v>
      </c>
      <c r="C4294" t="s">
        <v>2294</v>
      </c>
      <c r="D4294" t="s">
        <v>1725</v>
      </c>
      <c r="E4294" s="3" t="str">
        <f>IF(LEN(Base_Periodo1[[#This Row],[CLASS]])&gt;=7,LEFT(Base_Periodo1[[#This Row],[CLASS]],7),"")</f>
        <v>2.2.1.1</v>
      </c>
      <c r="F4294" s="3" t="str">
        <f>VLOOKUP(Base_Periodo1[[#This Row],[Aux]],Base_Contas_Balanco[#All],2,FALSE)</f>
        <v>Financiamentos Bancarios A Longo Prazo</v>
      </c>
      <c r="G4294" s="1">
        <v>42886</v>
      </c>
      <c r="H4294" s="225">
        <v>39432300.489999853</v>
      </c>
      <c r="I4294" s="225">
        <v>1686904.8199999994</v>
      </c>
      <c r="J4294" s="225">
        <v>1969985.2000000004</v>
      </c>
      <c r="K4294" s="225">
        <v>39715380.869999856</v>
      </c>
      <c r="L42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39715380.869999997</v>
      </c>
      <c r="M4294" s="225">
        <f>ROUND(IF(AND(Base_Periodo1[[#This Row],[Tipo_Linha]]="-",Base_Periodo1[[#This Row],[TIPOSALDO]]="D"),Base_Periodo1[[#This Row],[SALDO_ATUAL]]*-1,Base_Periodo1[[#This Row],[SALDO_ATUAL]]),4)</f>
        <v>39715380.869999997</v>
      </c>
      <c r="N4294" t="s">
        <v>116</v>
      </c>
      <c r="O4294" t="s">
        <v>459</v>
      </c>
      <c r="P4294" t="s">
        <v>459</v>
      </c>
      <c r="Q4294">
        <v>6</v>
      </c>
      <c r="R4294" s="225">
        <f>Base_Periodo1[[#This Row],[CREDITOS]]-Base_Periodo1[[#This Row],[DEBITOS]]</f>
        <v>283080.38000000105</v>
      </c>
      <c r="S4294" s="3" t="str">
        <f>IF(ISERROR(VLOOKUP(Base_Periodo1[[#This Row],[CONTA]],BaseContasDRE[#All],4,FALSE)),"Fora do DRE",VLOOKUP(Base_Periodo1[[#This Row],[CONTA]],BaseContasDRE[#All],4,FALSE))</f>
        <v>Fora do DRE</v>
      </c>
      <c r="T4294" s="3" t="str">
        <f>IF(ISERROR(VLOOKUP(Base_Periodo1[[#This Row],[CONTA]],BaseContasDRE[#All],5,FALSE)),"Fora do DRE",VLOOKUP(Base_Periodo1[[#This Row],[CONTA]],BaseContasDRE[#All],6,FALSE))</f>
        <v>Fora do DRE</v>
      </c>
      <c r="U4294" s="3" t="str">
        <f>IF(ISERROR(VLOOKUP(Base_Periodo1[[#This Row],[CONTA]],BaseContasDRE[#All],7,FALSE)),"Fora do DRE",VLOOKUP(Base_Periodo1[[#This Row],[CONTA]],BaseContasDRE[#All],7,FALSE))</f>
        <v>Fora do DRE</v>
      </c>
      <c r="V4294" s="3" t="str">
        <f>IF(Base_Periodo1[[#This Row],[Tipo_Linha]]="Fora do DRE","Fora do DRE","( "&amp;Base_Periodo1[[#This Row],[Tipo_Linha]]&amp;" ) "&amp;Base_Periodo1[[#This Row],[Filtro]])</f>
        <v>Fora do DRE</v>
      </c>
      <c r="W4294" s="3" t="str">
        <f>LEFT(Base_Periodo1[[#This Row],[CLASS]],3)</f>
        <v>2.2</v>
      </c>
    </row>
    <row r="4295" spans="1:23" hidden="1">
      <c r="A4295" s="3" t="str">
        <f t="shared" si="67"/>
        <v>Período 1</v>
      </c>
      <c r="B4295">
        <v>1646</v>
      </c>
      <c r="C4295" t="s">
        <v>2295</v>
      </c>
      <c r="D4295" t="s">
        <v>2296</v>
      </c>
      <c r="E4295" s="3" t="str">
        <f>IF(LEN(Base_Periodo1[[#This Row],[CLASS]])&gt;=7,LEFT(Base_Periodo1[[#This Row],[CLASS]],7),"")</f>
        <v/>
      </c>
      <c r="F4295" s="3" t="e">
        <f>VLOOKUP(Base_Periodo1[[#This Row],[Aux]],Base_Contas_Balanco[#All],2,FALSE)</f>
        <v>#N/A</v>
      </c>
      <c r="G4295" s="1"/>
      <c r="H4295" s="225">
        <v>94768064.73999992</v>
      </c>
      <c r="I4295" s="225">
        <v>2119.66</v>
      </c>
      <c r="J4295" s="225">
        <v>7089.66</v>
      </c>
      <c r="K4295" s="225">
        <v>94773034.73999992</v>
      </c>
      <c r="L42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94773034.739999995</v>
      </c>
      <c r="M4295" s="225">
        <f>ROUND(IF(AND(Base_Periodo1[[#This Row],[Tipo_Linha]]="-",Base_Periodo1[[#This Row],[TIPOSALDO]]="D"),Base_Periodo1[[#This Row],[SALDO_ATUAL]]*-1,Base_Periodo1[[#This Row],[SALDO_ATUAL]]),4)</f>
        <v>94773034.739999995</v>
      </c>
      <c r="N4295" t="s">
        <v>396</v>
      </c>
      <c r="O4295" t="s">
        <v>459</v>
      </c>
      <c r="P4295" t="s">
        <v>459</v>
      </c>
      <c r="Q4295">
        <v>2</v>
      </c>
      <c r="R4295" s="225">
        <f>Base_Periodo1[[#This Row],[CREDITOS]]-Base_Periodo1[[#This Row],[DEBITOS]]</f>
        <v>4970</v>
      </c>
      <c r="S4295" s="3" t="str">
        <f>IF(ISERROR(VLOOKUP(Base_Periodo1[[#This Row],[CONTA]],BaseContasDRE[#All],4,FALSE)),"Fora do DRE",VLOOKUP(Base_Periodo1[[#This Row],[CONTA]],BaseContasDRE[#All],4,FALSE))</f>
        <v>Fora do DRE</v>
      </c>
      <c r="T4295" s="3" t="str">
        <f>IF(ISERROR(VLOOKUP(Base_Periodo1[[#This Row],[CONTA]],BaseContasDRE[#All],5,FALSE)),"Fora do DRE",VLOOKUP(Base_Periodo1[[#This Row],[CONTA]],BaseContasDRE[#All],6,FALSE))</f>
        <v>Fora do DRE</v>
      </c>
      <c r="U4295" s="3" t="str">
        <f>IF(ISERROR(VLOOKUP(Base_Periodo1[[#This Row],[CONTA]],BaseContasDRE[#All],7,FALSE)),"Fora do DRE",VLOOKUP(Base_Periodo1[[#This Row],[CONTA]],BaseContasDRE[#All],7,FALSE))</f>
        <v>Fora do DRE</v>
      </c>
      <c r="V4295" s="3" t="str">
        <f>IF(Base_Periodo1[[#This Row],[Tipo_Linha]]="Fora do DRE","Fora do DRE","( "&amp;Base_Periodo1[[#This Row],[Tipo_Linha]]&amp;" ) "&amp;Base_Periodo1[[#This Row],[Filtro]])</f>
        <v>Fora do DRE</v>
      </c>
      <c r="W4295" s="3" t="str">
        <f>LEFT(Base_Periodo1[[#This Row],[CLASS]],3)</f>
        <v>2.4</v>
      </c>
    </row>
    <row r="4296" spans="1:23" hidden="1">
      <c r="A4296" s="3" t="str">
        <f t="shared" si="67"/>
        <v>Período 1</v>
      </c>
      <c r="B4296">
        <v>1647</v>
      </c>
      <c r="C4296" t="s">
        <v>2297</v>
      </c>
      <c r="D4296" t="s">
        <v>103</v>
      </c>
      <c r="E4296" s="3" t="str">
        <f>IF(LEN(Base_Periodo1[[#This Row],[CLASS]])&gt;=7,LEFT(Base_Periodo1[[#This Row],[CLASS]],7),"")</f>
        <v/>
      </c>
      <c r="F4296" s="3" t="e">
        <f>VLOOKUP(Base_Periodo1[[#This Row],[Aux]],Base_Contas_Balanco[#All],2,FALSE)</f>
        <v>#N/A</v>
      </c>
      <c r="G4296" s="1"/>
      <c r="H4296" s="225">
        <v>3228915.0699999938</v>
      </c>
      <c r="I4296" s="225">
        <v>2119.66</v>
      </c>
      <c r="J4296" s="225">
        <v>7089.66</v>
      </c>
      <c r="K4296" s="225">
        <v>3233885.0699999938</v>
      </c>
      <c r="L42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3233885.07</v>
      </c>
      <c r="M4296" s="225">
        <f>ROUND(IF(AND(Base_Periodo1[[#This Row],[Tipo_Linha]]="-",Base_Periodo1[[#This Row],[TIPOSALDO]]="D"),Base_Periodo1[[#This Row],[SALDO_ATUAL]]*-1,Base_Periodo1[[#This Row],[SALDO_ATUAL]]),4)</f>
        <v>3233885.07</v>
      </c>
      <c r="N4296" t="s">
        <v>396</v>
      </c>
      <c r="O4296" t="s">
        <v>459</v>
      </c>
      <c r="P4296" t="s">
        <v>459</v>
      </c>
      <c r="Q4296">
        <v>3</v>
      </c>
      <c r="R4296" s="225">
        <f>Base_Periodo1[[#This Row],[CREDITOS]]-Base_Periodo1[[#This Row],[DEBITOS]]</f>
        <v>4970</v>
      </c>
      <c r="S4296" s="3" t="str">
        <f>IF(ISERROR(VLOOKUP(Base_Periodo1[[#This Row],[CONTA]],BaseContasDRE[#All],4,FALSE)),"Fora do DRE",VLOOKUP(Base_Periodo1[[#This Row],[CONTA]],BaseContasDRE[#All],4,FALSE))</f>
        <v>Fora do DRE</v>
      </c>
      <c r="T4296" s="3" t="str">
        <f>IF(ISERROR(VLOOKUP(Base_Periodo1[[#This Row],[CONTA]],BaseContasDRE[#All],5,FALSE)),"Fora do DRE",VLOOKUP(Base_Periodo1[[#This Row],[CONTA]],BaseContasDRE[#All],6,FALSE))</f>
        <v>Fora do DRE</v>
      </c>
      <c r="U4296" s="3" t="str">
        <f>IF(ISERROR(VLOOKUP(Base_Periodo1[[#This Row],[CONTA]],BaseContasDRE[#All],7,FALSE)),"Fora do DRE",VLOOKUP(Base_Periodo1[[#This Row],[CONTA]],BaseContasDRE[#All],7,FALSE))</f>
        <v>Fora do DRE</v>
      </c>
      <c r="V4296" s="3" t="str">
        <f>IF(Base_Periodo1[[#This Row],[Tipo_Linha]]="Fora do DRE","Fora do DRE","( "&amp;Base_Periodo1[[#This Row],[Tipo_Linha]]&amp;" ) "&amp;Base_Periodo1[[#This Row],[Filtro]])</f>
        <v>Fora do DRE</v>
      </c>
      <c r="W4296" s="3" t="str">
        <f>LEFT(Base_Periodo1[[#This Row],[CLASS]],3)</f>
        <v>2.4</v>
      </c>
    </row>
    <row r="4297" spans="1:23" hidden="1">
      <c r="A4297" s="3" t="str">
        <f t="shared" si="67"/>
        <v>Período 1</v>
      </c>
      <c r="B4297">
        <v>1648</v>
      </c>
      <c r="C4297" t="s">
        <v>64</v>
      </c>
      <c r="D4297" t="s">
        <v>65</v>
      </c>
      <c r="E4297" s="3" t="str">
        <f>IF(LEN(Base_Periodo1[[#This Row],[CLASS]])&gt;=7,LEFT(Base_Periodo1[[#This Row],[CLASS]],7),"")</f>
        <v>2.4.1.1</v>
      </c>
      <c r="F4297" s="3" t="str">
        <f>VLOOKUP(Base_Periodo1[[#This Row],[Aux]],Base_Contas_Balanco[#All],2,FALSE)</f>
        <v>Capital Social Realizado</v>
      </c>
      <c r="G4297" s="1"/>
      <c r="H4297" s="225">
        <v>3236755.0699999933</v>
      </c>
      <c r="I4297" s="225">
        <v>240</v>
      </c>
      <c r="J4297" s="225">
        <v>1850</v>
      </c>
      <c r="K4297" s="225">
        <v>3238365.0699999933</v>
      </c>
      <c r="L42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3238365.07</v>
      </c>
      <c r="M4297" s="225">
        <f>ROUND(IF(AND(Base_Periodo1[[#This Row],[Tipo_Linha]]="-",Base_Periodo1[[#This Row],[TIPOSALDO]]="D"),Base_Periodo1[[#This Row],[SALDO_ATUAL]]*-1,Base_Periodo1[[#This Row],[SALDO_ATUAL]]),4)</f>
        <v>3238365.07</v>
      </c>
      <c r="N4297" t="s">
        <v>396</v>
      </c>
      <c r="O4297" t="s">
        <v>459</v>
      </c>
      <c r="P4297" t="s">
        <v>459</v>
      </c>
      <c r="Q4297">
        <v>4</v>
      </c>
      <c r="R4297" s="225">
        <f>Base_Periodo1[[#This Row],[CREDITOS]]-Base_Periodo1[[#This Row],[DEBITOS]]</f>
        <v>1610</v>
      </c>
      <c r="S4297" s="3" t="str">
        <f>IF(ISERROR(VLOOKUP(Base_Periodo1[[#This Row],[CONTA]],BaseContasDRE[#All],4,FALSE)),"Fora do DRE",VLOOKUP(Base_Periodo1[[#This Row],[CONTA]],BaseContasDRE[#All],4,FALSE))</f>
        <v>Fora do DRE</v>
      </c>
      <c r="T4297" s="3" t="str">
        <f>IF(ISERROR(VLOOKUP(Base_Periodo1[[#This Row],[CONTA]],BaseContasDRE[#All],5,FALSE)),"Fora do DRE",VLOOKUP(Base_Periodo1[[#This Row],[CONTA]],BaseContasDRE[#All],6,FALSE))</f>
        <v>Fora do DRE</v>
      </c>
      <c r="U4297" s="3" t="str">
        <f>IF(ISERROR(VLOOKUP(Base_Periodo1[[#This Row],[CONTA]],BaseContasDRE[#All],7,FALSE)),"Fora do DRE",VLOOKUP(Base_Periodo1[[#This Row],[CONTA]],BaseContasDRE[#All],7,FALSE))</f>
        <v>Fora do DRE</v>
      </c>
      <c r="V4297" s="3" t="str">
        <f>IF(Base_Periodo1[[#This Row],[Tipo_Linha]]="Fora do DRE","Fora do DRE","( "&amp;Base_Periodo1[[#This Row],[Tipo_Linha]]&amp;" ) "&amp;Base_Periodo1[[#This Row],[Filtro]])</f>
        <v>Fora do DRE</v>
      </c>
      <c r="W4297" s="3" t="str">
        <f>LEFT(Base_Periodo1[[#This Row],[CLASS]],3)</f>
        <v>2.4</v>
      </c>
    </row>
    <row r="4298" spans="1:23" hidden="1">
      <c r="A4298" s="3" t="str">
        <f t="shared" si="67"/>
        <v>Período 1</v>
      </c>
      <c r="B4298">
        <v>1649</v>
      </c>
      <c r="C4298" t="s">
        <v>2298</v>
      </c>
      <c r="D4298" t="s">
        <v>2299</v>
      </c>
      <c r="E4298" s="3" t="str">
        <f>IF(LEN(Base_Periodo1[[#This Row],[CLASS]])&gt;=7,LEFT(Base_Periodo1[[#This Row],[CLASS]],7),"")</f>
        <v>2.4.1.1</v>
      </c>
      <c r="F4298" s="3" t="str">
        <f>VLOOKUP(Base_Periodo1[[#This Row],[Aux]],Base_Contas_Balanco[#All],2,FALSE)</f>
        <v>Capital Social Realizado</v>
      </c>
      <c r="G4298" s="1"/>
      <c r="H4298" s="225">
        <v>3236755.0699999933</v>
      </c>
      <c r="I4298" s="225">
        <v>240</v>
      </c>
      <c r="J4298" s="225">
        <v>1850</v>
      </c>
      <c r="K4298" s="225">
        <v>3238365.0699999933</v>
      </c>
      <c r="L42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3238365.07</v>
      </c>
      <c r="M4298" s="225">
        <f>ROUND(IF(AND(Base_Periodo1[[#This Row],[Tipo_Linha]]="-",Base_Periodo1[[#This Row],[TIPOSALDO]]="D"),Base_Periodo1[[#This Row],[SALDO_ATUAL]]*-1,Base_Periodo1[[#This Row],[SALDO_ATUAL]]),4)</f>
        <v>3238365.07</v>
      </c>
      <c r="N4298" t="s">
        <v>396</v>
      </c>
      <c r="O4298" t="s">
        <v>459</v>
      </c>
      <c r="P4298" t="s">
        <v>459</v>
      </c>
      <c r="Q4298">
        <v>5</v>
      </c>
      <c r="R4298" s="225">
        <f>Base_Periodo1[[#This Row],[CREDITOS]]-Base_Periodo1[[#This Row],[DEBITOS]]</f>
        <v>1610</v>
      </c>
      <c r="S4298" s="3" t="str">
        <f>IF(ISERROR(VLOOKUP(Base_Periodo1[[#This Row],[CONTA]],BaseContasDRE[#All],4,FALSE)),"Fora do DRE",VLOOKUP(Base_Periodo1[[#This Row],[CONTA]],BaseContasDRE[#All],4,FALSE))</f>
        <v>Fora do DRE</v>
      </c>
      <c r="T4298" s="3" t="str">
        <f>IF(ISERROR(VLOOKUP(Base_Periodo1[[#This Row],[CONTA]],BaseContasDRE[#All],5,FALSE)),"Fora do DRE",VLOOKUP(Base_Periodo1[[#This Row],[CONTA]],BaseContasDRE[#All],6,FALSE))</f>
        <v>Fora do DRE</v>
      </c>
      <c r="U4298" s="3" t="str">
        <f>IF(ISERROR(VLOOKUP(Base_Periodo1[[#This Row],[CONTA]],BaseContasDRE[#All],7,FALSE)),"Fora do DRE",VLOOKUP(Base_Periodo1[[#This Row],[CONTA]],BaseContasDRE[#All],7,FALSE))</f>
        <v>Fora do DRE</v>
      </c>
      <c r="V4298" s="3" t="str">
        <f>IF(Base_Periodo1[[#This Row],[Tipo_Linha]]="Fora do DRE","Fora do DRE","( "&amp;Base_Periodo1[[#This Row],[Tipo_Linha]]&amp;" ) "&amp;Base_Periodo1[[#This Row],[Filtro]])</f>
        <v>Fora do DRE</v>
      </c>
      <c r="W4298" s="3" t="str">
        <f>LEFT(Base_Periodo1[[#This Row],[CLASS]],3)</f>
        <v>2.4</v>
      </c>
    </row>
    <row r="4299" spans="1:23" hidden="1">
      <c r="A4299" s="3" t="str">
        <f t="shared" si="67"/>
        <v>Período 1</v>
      </c>
      <c r="B4299">
        <v>17171</v>
      </c>
      <c r="C4299" t="s">
        <v>2300</v>
      </c>
      <c r="D4299" t="s">
        <v>2301</v>
      </c>
      <c r="E4299" s="3" t="str">
        <f>IF(LEN(Base_Periodo1[[#This Row],[CLASS]])&gt;=7,LEFT(Base_Periodo1[[#This Row],[CLASS]],7),"")</f>
        <v>2.4.1.1</v>
      </c>
      <c r="F4299" s="3" t="str">
        <f>VLOOKUP(Base_Periodo1[[#This Row],[Aux]],Base_Contas_Balanco[#All],2,FALSE)</f>
        <v>Capital Social Realizado</v>
      </c>
      <c r="G4299" s="1">
        <v>42460</v>
      </c>
      <c r="H4299" s="225">
        <v>561.43000000000006</v>
      </c>
      <c r="I4299" s="225">
        <v>0</v>
      </c>
      <c r="J4299" s="225">
        <v>0</v>
      </c>
      <c r="K4299" s="225">
        <v>561.43000000000006</v>
      </c>
      <c r="L42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561.42999999999995</v>
      </c>
      <c r="M4299" s="225">
        <f>ROUND(IF(AND(Base_Periodo1[[#This Row],[Tipo_Linha]]="-",Base_Periodo1[[#This Row],[TIPOSALDO]]="D"),Base_Periodo1[[#This Row],[SALDO_ATUAL]]*-1,Base_Periodo1[[#This Row],[SALDO_ATUAL]]),4)</f>
        <v>561.42999999999995</v>
      </c>
      <c r="N4299" t="s">
        <v>116</v>
      </c>
      <c r="O4299" t="s">
        <v>459</v>
      </c>
      <c r="P4299" t="s">
        <v>459</v>
      </c>
      <c r="Q4299">
        <v>6</v>
      </c>
      <c r="R4299" s="225">
        <f>Base_Periodo1[[#This Row],[CREDITOS]]-Base_Periodo1[[#This Row],[DEBITOS]]</f>
        <v>0</v>
      </c>
      <c r="S4299" s="3" t="str">
        <f>IF(ISERROR(VLOOKUP(Base_Periodo1[[#This Row],[CONTA]],BaseContasDRE[#All],4,FALSE)),"Fora do DRE",VLOOKUP(Base_Periodo1[[#This Row],[CONTA]],BaseContasDRE[#All],4,FALSE))</f>
        <v>Fora do DRE</v>
      </c>
      <c r="T4299" s="3" t="str">
        <f>IF(ISERROR(VLOOKUP(Base_Periodo1[[#This Row],[CONTA]],BaseContasDRE[#All],5,FALSE)),"Fora do DRE",VLOOKUP(Base_Periodo1[[#This Row],[CONTA]],BaseContasDRE[#All],6,FALSE))</f>
        <v>Fora do DRE</v>
      </c>
      <c r="U4299" s="3" t="str">
        <f>IF(ISERROR(VLOOKUP(Base_Periodo1[[#This Row],[CONTA]],BaseContasDRE[#All],7,FALSE)),"Fora do DRE",VLOOKUP(Base_Periodo1[[#This Row],[CONTA]],BaseContasDRE[#All],7,FALSE))</f>
        <v>Fora do DRE</v>
      </c>
      <c r="V4299" s="3" t="str">
        <f>IF(Base_Periodo1[[#This Row],[Tipo_Linha]]="Fora do DRE","Fora do DRE","( "&amp;Base_Periodo1[[#This Row],[Tipo_Linha]]&amp;" ) "&amp;Base_Periodo1[[#This Row],[Filtro]])</f>
        <v>Fora do DRE</v>
      </c>
      <c r="W4299" s="3" t="str">
        <f>LEFT(Base_Periodo1[[#This Row],[CLASS]],3)</f>
        <v>2.4</v>
      </c>
    </row>
    <row r="4300" spans="1:23" hidden="1">
      <c r="A4300" s="3" t="str">
        <f t="shared" si="67"/>
        <v>Período 1</v>
      </c>
      <c r="B4300">
        <v>29679</v>
      </c>
      <c r="C4300" t="s">
        <v>2300</v>
      </c>
      <c r="D4300" t="s">
        <v>5344</v>
      </c>
      <c r="E4300" s="3" t="str">
        <f>IF(LEN(Base_Periodo1[[#This Row],[CLASS]])&gt;=7,LEFT(Base_Periodo1[[#This Row],[CLASS]],7),"")</f>
        <v>2.4.1.1</v>
      </c>
      <c r="F4300" s="3" t="str">
        <f>VLOOKUP(Base_Periodo1[[#This Row],[Aux]],Base_Contas_Balanco[#All],2,FALSE)</f>
        <v>Capital Social Realizado</v>
      </c>
      <c r="G4300" s="1">
        <v>42670</v>
      </c>
      <c r="H4300" s="225">
        <v>50</v>
      </c>
      <c r="I4300" s="225">
        <v>0</v>
      </c>
      <c r="J4300" s="225">
        <v>0</v>
      </c>
      <c r="K4300" s="225">
        <v>50</v>
      </c>
      <c r="L43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00" s="225">
        <f>ROUND(IF(AND(Base_Periodo1[[#This Row],[Tipo_Linha]]="-",Base_Periodo1[[#This Row],[TIPOSALDO]]="D"),Base_Periodo1[[#This Row],[SALDO_ATUAL]]*-1,Base_Periodo1[[#This Row],[SALDO_ATUAL]]),4)</f>
        <v>50</v>
      </c>
      <c r="N4300" t="s">
        <v>116</v>
      </c>
      <c r="O4300" t="s">
        <v>459</v>
      </c>
      <c r="P4300" t="s">
        <v>459</v>
      </c>
      <c r="Q4300">
        <v>6</v>
      </c>
      <c r="R4300" s="225">
        <f>Base_Periodo1[[#This Row],[CREDITOS]]-Base_Periodo1[[#This Row],[DEBITOS]]</f>
        <v>0</v>
      </c>
      <c r="S4300" s="3" t="str">
        <f>IF(ISERROR(VLOOKUP(Base_Periodo1[[#This Row],[CONTA]],BaseContasDRE[#All],4,FALSE)),"Fora do DRE",VLOOKUP(Base_Periodo1[[#This Row],[CONTA]],BaseContasDRE[#All],4,FALSE))</f>
        <v>Fora do DRE</v>
      </c>
      <c r="T4300" s="3" t="str">
        <f>IF(ISERROR(VLOOKUP(Base_Periodo1[[#This Row],[CONTA]],BaseContasDRE[#All],5,FALSE)),"Fora do DRE",VLOOKUP(Base_Periodo1[[#This Row],[CONTA]],BaseContasDRE[#All],6,FALSE))</f>
        <v>Fora do DRE</v>
      </c>
      <c r="U4300" s="3" t="str">
        <f>IF(ISERROR(VLOOKUP(Base_Periodo1[[#This Row],[CONTA]],BaseContasDRE[#All],7,FALSE)),"Fora do DRE",VLOOKUP(Base_Periodo1[[#This Row],[CONTA]],BaseContasDRE[#All],7,FALSE))</f>
        <v>Fora do DRE</v>
      </c>
      <c r="V4300" s="3" t="str">
        <f>IF(Base_Periodo1[[#This Row],[Tipo_Linha]]="Fora do DRE","Fora do DRE","( "&amp;Base_Periodo1[[#This Row],[Tipo_Linha]]&amp;" ) "&amp;Base_Periodo1[[#This Row],[Filtro]])</f>
        <v>Fora do DRE</v>
      </c>
      <c r="W4300" s="3" t="str">
        <f>LEFT(Base_Periodo1[[#This Row],[CLASS]],3)</f>
        <v>2.4</v>
      </c>
    </row>
    <row r="4301" spans="1:23" hidden="1">
      <c r="A4301" s="3" t="str">
        <f t="shared" si="67"/>
        <v>Período 1</v>
      </c>
      <c r="B4301">
        <v>25216</v>
      </c>
      <c r="C4301" t="s">
        <v>2300</v>
      </c>
      <c r="D4301" t="s">
        <v>2302</v>
      </c>
      <c r="E4301" s="3" t="str">
        <f>IF(LEN(Base_Periodo1[[#This Row],[CLASS]])&gt;=7,LEFT(Base_Periodo1[[#This Row],[CLASS]],7),"")</f>
        <v>2.4.1.1</v>
      </c>
      <c r="F4301" s="3" t="str">
        <f>VLOOKUP(Base_Periodo1[[#This Row],[Aux]],Base_Contas_Balanco[#All],2,FALSE)</f>
        <v>Capital Social Realizado</v>
      </c>
      <c r="G4301" s="1"/>
      <c r="H4301" s="225">
        <v>1479.5</v>
      </c>
      <c r="I4301" s="225">
        <v>0</v>
      </c>
      <c r="J4301" s="225">
        <v>0</v>
      </c>
      <c r="K4301" s="225">
        <v>1479.5</v>
      </c>
      <c r="L43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1479.5</v>
      </c>
      <c r="M4301" s="225">
        <f>ROUND(IF(AND(Base_Periodo1[[#This Row],[Tipo_Linha]]="-",Base_Periodo1[[#This Row],[TIPOSALDO]]="D"),Base_Periodo1[[#This Row],[SALDO_ATUAL]]*-1,Base_Periodo1[[#This Row],[SALDO_ATUAL]]),4)</f>
        <v>1479.5</v>
      </c>
      <c r="N4301" t="s">
        <v>116</v>
      </c>
      <c r="O4301" t="s">
        <v>459</v>
      </c>
      <c r="P4301" t="s">
        <v>459</v>
      </c>
      <c r="Q4301">
        <v>6</v>
      </c>
      <c r="R4301" s="225">
        <f>Base_Periodo1[[#This Row],[CREDITOS]]-Base_Periodo1[[#This Row],[DEBITOS]]</f>
        <v>0</v>
      </c>
      <c r="S4301" s="3" t="str">
        <f>IF(ISERROR(VLOOKUP(Base_Periodo1[[#This Row],[CONTA]],BaseContasDRE[#All],4,FALSE)),"Fora do DRE",VLOOKUP(Base_Periodo1[[#This Row],[CONTA]],BaseContasDRE[#All],4,FALSE))</f>
        <v>Fora do DRE</v>
      </c>
      <c r="T4301" s="3" t="str">
        <f>IF(ISERROR(VLOOKUP(Base_Periodo1[[#This Row],[CONTA]],BaseContasDRE[#All],5,FALSE)),"Fora do DRE",VLOOKUP(Base_Periodo1[[#This Row],[CONTA]],BaseContasDRE[#All],6,FALSE))</f>
        <v>Fora do DRE</v>
      </c>
      <c r="U4301" s="3" t="str">
        <f>IF(ISERROR(VLOOKUP(Base_Periodo1[[#This Row],[CONTA]],BaseContasDRE[#All],7,FALSE)),"Fora do DRE",VLOOKUP(Base_Periodo1[[#This Row],[CONTA]],BaseContasDRE[#All],7,FALSE))</f>
        <v>Fora do DRE</v>
      </c>
      <c r="V4301" s="3" t="str">
        <f>IF(Base_Periodo1[[#This Row],[Tipo_Linha]]="Fora do DRE","Fora do DRE","( "&amp;Base_Periodo1[[#This Row],[Tipo_Linha]]&amp;" ) "&amp;Base_Periodo1[[#This Row],[Filtro]])</f>
        <v>Fora do DRE</v>
      </c>
      <c r="W4301" s="3" t="str">
        <f>LEFT(Base_Periodo1[[#This Row],[CLASS]],3)</f>
        <v>2.4</v>
      </c>
    </row>
    <row r="4302" spans="1:23" hidden="1">
      <c r="A4302" s="3" t="str">
        <f t="shared" si="67"/>
        <v>Período 1</v>
      </c>
      <c r="B4302">
        <v>25676</v>
      </c>
      <c r="C4302" t="s">
        <v>2300</v>
      </c>
      <c r="D4302" t="s">
        <v>2303</v>
      </c>
      <c r="E4302" s="3" t="str">
        <f>IF(LEN(Base_Periodo1[[#This Row],[CLASS]])&gt;=7,LEFT(Base_Periodo1[[#This Row],[CLASS]],7),"")</f>
        <v>2.4.1.1</v>
      </c>
      <c r="F4302" s="3" t="str">
        <f>VLOOKUP(Base_Periodo1[[#This Row],[Aux]],Base_Contas_Balanco[#All],2,FALSE)</f>
        <v>Capital Social Realizado</v>
      </c>
      <c r="G4302" s="1"/>
      <c r="H4302" s="225">
        <v>96.259999999999991</v>
      </c>
      <c r="I4302" s="225">
        <v>0</v>
      </c>
      <c r="J4302" s="225">
        <v>0</v>
      </c>
      <c r="K4302" s="225">
        <v>96.259999999999991</v>
      </c>
      <c r="L43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96.26</v>
      </c>
      <c r="M4302" s="225">
        <f>ROUND(IF(AND(Base_Periodo1[[#This Row],[Tipo_Linha]]="-",Base_Periodo1[[#This Row],[TIPOSALDO]]="D"),Base_Periodo1[[#This Row],[SALDO_ATUAL]]*-1,Base_Periodo1[[#This Row],[SALDO_ATUAL]]),4)</f>
        <v>96.26</v>
      </c>
      <c r="N4302" t="s">
        <v>116</v>
      </c>
      <c r="O4302" t="s">
        <v>459</v>
      </c>
      <c r="P4302" t="s">
        <v>459</v>
      </c>
      <c r="Q4302">
        <v>6</v>
      </c>
      <c r="R4302" s="225">
        <f>Base_Periodo1[[#This Row],[CREDITOS]]-Base_Periodo1[[#This Row],[DEBITOS]]</f>
        <v>0</v>
      </c>
      <c r="S4302" s="3" t="str">
        <f>IF(ISERROR(VLOOKUP(Base_Periodo1[[#This Row],[CONTA]],BaseContasDRE[#All],4,FALSE)),"Fora do DRE",VLOOKUP(Base_Periodo1[[#This Row],[CONTA]],BaseContasDRE[#All],4,FALSE))</f>
        <v>Fora do DRE</v>
      </c>
      <c r="T4302" s="3" t="str">
        <f>IF(ISERROR(VLOOKUP(Base_Periodo1[[#This Row],[CONTA]],BaseContasDRE[#All],5,FALSE)),"Fora do DRE",VLOOKUP(Base_Periodo1[[#This Row],[CONTA]],BaseContasDRE[#All],6,FALSE))</f>
        <v>Fora do DRE</v>
      </c>
      <c r="U4302" s="3" t="str">
        <f>IF(ISERROR(VLOOKUP(Base_Periodo1[[#This Row],[CONTA]],BaseContasDRE[#All],7,FALSE)),"Fora do DRE",VLOOKUP(Base_Periodo1[[#This Row],[CONTA]],BaseContasDRE[#All],7,FALSE))</f>
        <v>Fora do DRE</v>
      </c>
      <c r="V4302" s="3" t="str">
        <f>IF(Base_Periodo1[[#This Row],[Tipo_Linha]]="Fora do DRE","Fora do DRE","( "&amp;Base_Periodo1[[#This Row],[Tipo_Linha]]&amp;" ) "&amp;Base_Periodo1[[#This Row],[Filtro]])</f>
        <v>Fora do DRE</v>
      </c>
      <c r="W4302" s="3" t="str">
        <f>LEFT(Base_Periodo1[[#This Row],[CLASS]],3)</f>
        <v>2.4</v>
      </c>
    </row>
    <row r="4303" spans="1:23" hidden="1">
      <c r="A4303" s="3" t="str">
        <f t="shared" si="67"/>
        <v>Período 1</v>
      </c>
      <c r="B4303">
        <v>47182</v>
      </c>
      <c r="C4303" t="s">
        <v>2300</v>
      </c>
      <c r="D4303" t="s">
        <v>2304</v>
      </c>
      <c r="E4303" s="3" t="str">
        <f>IF(LEN(Base_Periodo1[[#This Row],[CLASS]])&gt;=7,LEFT(Base_Periodo1[[#This Row],[CLASS]],7),"")</f>
        <v>2.4.1.1</v>
      </c>
      <c r="F4303" s="3" t="str">
        <f>VLOOKUP(Base_Periodo1[[#This Row],[Aux]],Base_Contas_Balanco[#All],2,FALSE)</f>
        <v>Capital Social Realizado</v>
      </c>
      <c r="G4303" s="1"/>
      <c r="H4303" s="225">
        <v>217.26</v>
      </c>
      <c r="I4303" s="225">
        <v>0</v>
      </c>
      <c r="J4303" s="225">
        <v>0</v>
      </c>
      <c r="K4303" s="225">
        <v>217.26</v>
      </c>
      <c r="L43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217.26</v>
      </c>
      <c r="M4303" s="225">
        <f>ROUND(IF(AND(Base_Periodo1[[#This Row],[Tipo_Linha]]="-",Base_Periodo1[[#This Row],[TIPOSALDO]]="D"),Base_Periodo1[[#This Row],[SALDO_ATUAL]]*-1,Base_Periodo1[[#This Row],[SALDO_ATUAL]]),4)</f>
        <v>217.26</v>
      </c>
      <c r="N4303" t="s">
        <v>116</v>
      </c>
      <c r="O4303" t="s">
        <v>459</v>
      </c>
      <c r="P4303" t="s">
        <v>459</v>
      </c>
      <c r="Q4303">
        <v>6</v>
      </c>
      <c r="R4303" s="225">
        <f>Base_Periodo1[[#This Row],[CREDITOS]]-Base_Periodo1[[#This Row],[DEBITOS]]</f>
        <v>0</v>
      </c>
      <c r="S4303" s="3" t="str">
        <f>IF(ISERROR(VLOOKUP(Base_Periodo1[[#This Row],[CONTA]],BaseContasDRE[#All],4,FALSE)),"Fora do DRE",VLOOKUP(Base_Periodo1[[#This Row],[CONTA]],BaseContasDRE[#All],4,FALSE))</f>
        <v>Fora do DRE</v>
      </c>
      <c r="T4303" s="3" t="str">
        <f>IF(ISERROR(VLOOKUP(Base_Periodo1[[#This Row],[CONTA]],BaseContasDRE[#All],5,FALSE)),"Fora do DRE",VLOOKUP(Base_Periodo1[[#This Row],[CONTA]],BaseContasDRE[#All],6,FALSE))</f>
        <v>Fora do DRE</v>
      </c>
      <c r="U4303" s="3" t="str">
        <f>IF(ISERROR(VLOOKUP(Base_Periodo1[[#This Row],[CONTA]],BaseContasDRE[#All],7,FALSE)),"Fora do DRE",VLOOKUP(Base_Periodo1[[#This Row],[CONTA]],BaseContasDRE[#All],7,FALSE))</f>
        <v>Fora do DRE</v>
      </c>
      <c r="V4303" s="3" t="str">
        <f>IF(Base_Periodo1[[#This Row],[Tipo_Linha]]="Fora do DRE","Fora do DRE","( "&amp;Base_Periodo1[[#This Row],[Tipo_Linha]]&amp;" ) "&amp;Base_Periodo1[[#This Row],[Filtro]])</f>
        <v>Fora do DRE</v>
      </c>
      <c r="W4303" s="3" t="str">
        <f>LEFT(Base_Periodo1[[#This Row],[CLASS]],3)</f>
        <v>2.4</v>
      </c>
    </row>
    <row r="4304" spans="1:23" hidden="1">
      <c r="A4304" s="3" t="str">
        <f t="shared" si="67"/>
        <v>Período 1</v>
      </c>
      <c r="B4304">
        <v>49570</v>
      </c>
      <c r="C4304" t="s">
        <v>2300</v>
      </c>
      <c r="D4304" t="s">
        <v>4300</v>
      </c>
      <c r="E4304" s="3" t="str">
        <f>IF(LEN(Base_Periodo1[[#This Row],[CLASS]])&gt;=7,LEFT(Base_Periodo1[[#This Row],[CLASS]],7),"")</f>
        <v>2.4.1.1</v>
      </c>
      <c r="F4304" s="3" t="str">
        <f>VLOOKUP(Base_Periodo1[[#This Row],[Aux]],Base_Contas_Balanco[#All],2,FALSE)</f>
        <v>Capital Social Realizado</v>
      </c>
      <c r="G4304" s="1"/>
      <c r="H4304" s="225">
        <v>75.150000000000006</v>
      </c>
      <c r="I4304" s="225">
        <v>0</v>
      </c>
      <c r="J4304" s="225">
        <v>0</v>
      </c>
      <c r="K4304" s="225">
        <v>75.150000000000006</v>
      </c>
      <c r="L43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75.150000000000006</v>
      </c>
      <c r="M4304" s="225">
        <f>ROUND(IF(AND(Base_Periodo1[[#This Row],[Tipo_Linha]]="-",Base_Periodo1[[#This Row],[TIPOSALDO]]="D"),Base_Periodo1[[#This Row],[SALDO_ATUAL]]*-1,Base_Periodo1[[#This Row],[SALDO_ATUAL]]),4)</f>
        <v>75.150000000000006</v>
      </c>
      <c r="N4304" t="s">
        <v>116</v>
      </c>
      <c r="O4304" t="s">
        <v>459</v>
      </c>
      <c r="P4304" t="s">
        <v>459</v>
      </c>
      <c r="Q4304">
        <v>6</v>
      </c>
      <c r="R4304" s="225">
        <f>Base_Periodo1[[#This Row],[CREDITOS]]-Base_Periodo1[[#This Row],[DEBITOS]]</f>
        <v>0</v>
      </c>
      <c r="S4304" s="3" t="str">
        <f>IF(ISERROR(VLOOKUP(Base_Periodo1[[#This Row],[CONTA]],BaseContasDRE[#All],4,FALSE)),"Fora do DRE",VLOOKUP(Base_Periodo1[[#This Row],[CONTA]],BaseContasDRE[#All],4,FALSE))</f>
        <v>Fora do DRE</v>
      </c>
      <c r="T4304" s="3" t="str">
        <f>IF(ISERROR(VLOOKUP(Base_Periodo1[[#This Row],[CONTA]],BaseContasDRE[#All],5,FALSE)),"Fora do DRE",VLOOKUP(Base_Periodo1[[#This Row],[CONTA]],BaseContasDRE[#All],6,FALSE))</f>
        <v>Fora do DRE</v>
      </c>
      <c r="U4304" s="3" t="str">
        <f>IF(ISERROR(VLOOKUP(Base_Periodo1[[#This Row],[CONTA]],BaseContasDRE[#All],7,FALSE)),"Fora do DRE",VLOOKUP(Base_Periodo1[[#This Row],[CONTA]],BaseContasDRE[#All],7,FALSE))</f>
        <v>Fora do DRE</v>
      </c>
      <c r="V4304" s="3" t="str">
        <f>IF(Base_Periodo1[[#This Row],[Tipo_Linha]]="Fora do DRE","Fora do DRE","( "&amp;Base_Periodo1[[#This Row],[Tipo_Linha]]&amp;" ) "&amp;Base_Periodo1[[#This Row],[Filtro]])</f>
        <v>Fora do DRE</v>
      </c>
      <c r="W4304" s="3" t="str">
        <f>LEFT(Base_Periodo1[[#This Row],[CLASS]],3)</f>
        <v>2.4</v>
      </c>
    </row>
    <row r="4305" spans="1:23" hidden="1">
      <c r="A4305" s="3" t="str">
        <f t="shared" si="67"/>
        <v>Período 1</v>
      </c>
      <c r="B4305">
        <v>19748</v>
      </c>
      <c r="C4305" t="s">
        <v>2300</v>
      </c>
      <c r="D4305" t="s">
        <v>2305</v>
      </c>
      <c r="E4305" s="3" t="str">
        <f>IF(LEN(Base_Periodo1[[#This Row],[CLASS]])&gt;=7,LEFT(Base_Periodo1[[#This Row],[CLASS]],7),"")</f>
        <v>2.4.1.1</v>
      </c>
      <c r="F4305" s="3" t="str">
        <f>VLOOKUP(Base_Periodo1[[#This Row],[Aux]],Base_Contas_Balanco[#All],2,FALSE)</f>
        <v>Capital Social Realizado</v>
      </c>
      <c r="G4305" s="1"/>
      <c r="H4305" s="225">
        <v>283.05</v>
      </c>
      <c r="I4305" s="225">
        <v>0</v>
      </c>
      <c r="J4305" s="225">
        <v>0</v>
      </c>
      <c r="K4305" s="225">
        <v>283.05</v>
      </c>
      <c r="L43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283.05</v>
      </c>
      <c r="M4305" s="225">
        <f>ROUND(IF(AND(Base_Periodo1[[#This Row],[Tipo_Linha]]="-",Base_Periodo1[[#This Row],[TIPOSALDO]]="D"),Base_Periodo1[[#This Row],[SALDO_ATUAL]]*-1,Base_Periodo1[[#This Row],[SALDO_ATUAL]]),4)</f>
        <v>283.05</v>
      </c>
      <c r="N4305" t="s">
        <v>116</v>
      </c>
      <c r="O4305" t="s">
        <v>459</v>
      </c>
      <c r="P4305" t="s">
        <v>459</v>
      </c>
      <c r="Q4305">
        <v>6</v>
      </c>
      <c r="R4305" s="225">
        <f>Base_Periodo1[[#This Row],[CREDITOS]]-Base_Periodo1[[#This Row],[DEBITOS]]</f>
        <v>0</v>
      </c>
      <c r="S4305" s="3" t="str">
        <f>IF(ISERROR(VLOOKUP(Base_Periodo1[[#This Row],[CONTA]],BaseContasDRE[#All],4,FALSE)),"Fora do DRE",VLOOKUP(Base_Periodo1[[#This Row],[CONTA]],BaseContasDRE[#All],4,FALSE))</f>
        <v>Fora do DRE</v>
      </c>
      <c r="T4305" s="3" t="str">
        <f>IF(ISERROR(VLOOKUP(Base_Periodo1[[#This Row],[CONTA]],BaseContasDRE[#All],5,FALSE)),"Fora do DRE",VLOOKUP(Base_Periodo1[[#This Row],[CONTA]],BaseContasDRE[#All],6,FALSE))</f>
        <v>Fora do DRE</v>
      </c>
      <c r="U4305" s="3" t="str">
        <f>IF(ISERROR(VLOOKUP(Base_Periodo1[[#This Row],[CONTA]],BaseContasDRE[#All],7,FALSE)),"Fora do DRE",VLOOKUP(Base_Periodo1[[#This Row],[CONTA]],BaseContasDRE[#All],7,FALSE))</f>
        <v>Fora do DRE</v>
      </c>
      <c r="V4305" s="3" t="str">
        <f>IF(Base_Periodo1[[#This Row],[Tipo_Linha]]="Fora do DRE","Fora do DRE","( "&amp;Base_Periodo1[[#This Row],[Tipo_Linha]]&amp;" ) "&amp;Base_Periodo1[[#This Row],[Filtro]])</f>
        <v>Fora do DRE</v>
      </c>
      <c r="W4305" s="3" t="str">
        <f>LEFT(Base_Periodo1[[#This Row],[CLASS]],3)</f>
        <v>2.4</v>
      </c>
    </row>
    <row r="4306" spans="1:23" hidden="1">
      <c r="A4306" s="3" t="str">
        <f t="shared" si="67"/>
        <v>Período 1</v>
      </c>
      <c r="B4306">
        <v>30657</v>
      </c>
      <c r="C4306" t="s">
        <v>2300</v>
      </c>
      <c r="D4306" t="s">
        <v>2306</v>
      </c>
      <c r="E4306" s="3" t="str">
        <f>IF(LEN(Base_Periodo1[[#This Row],[CLASS]])&gt;=7,LEFT(Base_Periodo1[[#This Row],[CLASS]],7),"")</f>
        <v>2.4.1.1</v>
      </c>
      <c r="F4306" s="3" t="str">
        <f>VLOOKUP(Base_Periodo1[[#This Row],[Aux]],Base_Contas_Balanco[#All],2,FALSE)</f>
        <v>Capital Social Realizado</v>
      </c>
      <c r="G4306" s="1"/>
      <c r="H4306" s="225">
        <v>50</v>
      </c>
      <c r="I4306" s="225">
        <v>0</v>
      </c>
      <c r="J4306" s="225">
        <v>0</v>
      </c>
      <c r="K4306" s="225">
        <v>50</v>
      </c>
      <c r="L43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06" s="225">
        <f>ROUND(IF(AND(Base_Periodo1[[#This Row],[Tipo_Linha]]="-",Base_Periodo1[[#This Row],[TIPOSALDO]]="D"),Base_Periodo1[[#This Row],[SALDO_ATUAL]]*-1,Base_Periodo1[[#This Row],[SALDO_ATUAL]]),4)</f>
        <v>50</v>
      </c>
      <c r="N4306" t="s">
        <v>116</v>
      </c>
      <c r="O4306" t="s">
        <v>459</v>
      </c>
      <c r="P4306" t="s">
        <v>459</v>
      </c>
      <c r="Q4306">
        <v>6</v>
      </c>
      <c r="R4306" s="225">
        <f>Base_Periodo1[[#This Row],[CREDITOS]]-Base_Periodo1[[#This Row],[DEBITOS]]</f>
        <v>0</v>
      </c>
      <c r="S4306" s="3" t="str">
        <f>IF(ISERROR(VLOOKUP(Base_Periodo1[[#This Row],[CONTA]],BaseContasDRE[#All],4,FALSE)),"Fora do DRE",VLOOKUP(Base_Periodo1[[#This Row],[CONTA]],BaseContasDRE[#All],4,FALSE))</f>
        <v>Fora do DRE</v>
      </c>
      <c r="T4306" s="3" t="str">
        <f>IF(ISERROR(VLOOKUP(Base_Periodo1[[#This Row],[CONTA]],BaseContasDRE[#All],5,FALSE)),"Fora do DRE",VLOOKUP(Base_Periodo1[[#This Row],[CONTA]],BaseContasDRE[#All],6,FALSE))</f>
        <v>Fora do DRE</v>
      </c>
      <c r="U4306" s="3" t="str">
        <f>IF(ISERROR(VLOOKUP(Base_Periodo1[[#This Row],[CONTA]],BaseContasDRE[#All],7,FALSE)),"Fora do DRE",VLOOKUP(Base_Periodo1[[#This Row],[CONTA]],BaseContasDRE[#All],7,FALSE))</f>
        <v>Fora do DRE</v>
      </c>
      <c r="V4306" s="3" t="str">
        <f>IF(Base_Periodo1[[#This Row],[Tipo_Linha]]="Fora do DRE","Fora do DRE","( "&amp;Base_Periodo1[[#This Row],[Tipo_Linha]]&amp;" ) "&amp;Base_Periodo1[[#This Row],[Filtro]])</f>
        <v>Fora do DRE</v>
      </c>
      <c r="W4306" s="3" t="str">
        <f>LEFT(Base_Periodo1[[#This Row],[CLASS]],3)</f>
        <v>2.4</v>
      </c>
    </row>
    <row r="4307" spans="1:23" hidden="1">
      <c r="A4307" s="3" t="str">
        <f t="shared" si="67"/>
        <v>Período 1</v>
      </c>
      <c r="B4307">
        <v>25206</v>
      </c>
      <c r="C4307" t="s">
        <v>2300</v>
      </c>
      <c r="D4307" t="s">
        <v>2307</v>
      </c>
      <c r="E4307" s="3" t="str">
        <f>IF(LEN(Base_Periodo1[[#This Row],[CLASS]])&gt;=7,LEFT(Base_Periodo1[[#This Row],[CLASS]],7),"")</f>
        <v>2.4.1.1</v>
      </c>
      <c r="F4307" s="3" t="str">
        <f>VLOOKUP(Base_Periodo1[[#This Row],[Aux]],Base_Contas_Balanco[#All],2,FALSE)</f>
        <v>Capital Social Realizado</v>
      </c>
      <c r="G4307" s="1"/>
      <c r="H4307" s="225">
        <v>495.85999999999996</v>
      </c>
      <c r="I4307" s="225">
        <v>0</v>
      </c>
      <c r="J4307" s="225">
        <v>0</v>
      </c>
      <c r="K4307" s="225">
        <v>495.85999999999996</v>
      </c>
      <c r="L43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495.86</v>
      </c>
      <c r="M4307" s="225">
        <f>ROUND(IF(AND(Base_Periodo1[[#This Row],[Tipo_Linha]]="-",Base_Periodo1[[#This Row],[TIPOSALDO]]="D"),Base_Periodo1[[#This Row],[SALDO_ATUAL]]*-1,Base_Periodo1[[#This Row],[SALDO_ATUAL]]),4)</f>
        <v>495.86</v>
      </c>
      <c r="N4307" t="s">
        <v>116</v>
      </c>
      <c r="O4307" t="s">
        <v>459</v>
      </c>
      <c r="P4307" t="s">
        <v>459</v>
      </c>
      <c r="Q4307">
        <v>6</v>
      </c>
      <c r="R4307" s="225">
        <f>Base_Periodo1[[#This Row],[CREDITOS]]-Base_Periodo1[[#This Row],[DEBITOS]]</f>
        <v>0</v>
      </c>
      <c r="S4307" s="3" t="str">
        <f>IF(ISERROR(VLOOKUP(Base_Periodo1[[#This Row],[CONTA]],BaseContasDRE[#All],4,FALSE)),"Fora do DRE",VLOOKUP(Base_Periodo1[[#This Row],[CONTA]],BaseContasDRE[#All],4,FALSE))</f>
        <v>Fora do DRE</v>
      </c>
      <c r="T4307" s="3" t="str">
        <f>IF(ISERROR(VLOOKUP(Base_Periodo1[[#This Row],[CONTA]],BaseContasDRE[#All],5,FALSE)),"Fora do DRE",VLOOKUP(Base_Periodo1[[#This Row],[CONTA]],BaseContasDRE[#All],6,FALSE))</f>
        <v>Fora do DRE</v>
      </c>
      <c r="U4307" s="3" t="str">
        <f>IF(ISERROR(VLOOKUP(Base_Periodo1[[#This Row],[CONTA]],BaseContasDRE[#All],7,FALSE)),"Fora do DRE",VLOOKUP(Base_Periodo1[[#This Row],[CONTA]],BaseContasDRE[#All],7,FALSE))</f>
        <v>Fora do DRE</v>
      </c>
      <c r="V4307" s="3" t="str">
        <f>IF(Base_Periodo1[[#This Row],[Tipo_Linha]]="Fora do DRE","Fora do DRE","( "&amp;Base_Periodo1[[#This Row],[Tipo_Linha]]&amp;" ) "&amp;Base_Periodo1[[#This Row],[Filtro]])</f>
        <v>Fora do DRE</v>
      </c>
      <c r="W4307" s="3" t="str">
        <f>LEFT(Base_Periodo1[[#This Row],[CLASS]],3)</f>
        <v>2.4</v>
      </c>
    </row>
    <row r="4308" spans="1:23" hidden="1">
      <c r="A4308" s="3" t="str">
        <f t="shared" si="67"/>
        <v>Período 1</v>
      </c>
      <c r="B4308">
        <v>40726</v>
      </c>
      <c r="C4308" t="s">
        <v>2300</v>
      </c>
      <c r="D4308" t="s">
        <v>2308</v>
      </c>
      <c r="E4308" s="3" t="str">
        <f>IF(LEN(Base_Periodo1[[#This Row],[CLASS]])&gt;=7,LEFT(Base_Periodo1[[#This Row],[CLASS]],7),"")</f>
        <v>2.4.1.1</v>
      </c>
      <c r="F4308" s="3" t="str">
        <f>VLOOKUP(Base_Periodo1[[#This Row],[Aux]],Base_Contas_Balanco[#All],2,FALSE)</f>
        <v>Capital Social Realizado</v>
      </c>
      <c r="G4308" s="1"/>
      <c r="H4308" s="225">
        <v>75.569999999999993</v>
      </c>
      <c r="I4308" s="225">
        <v>0</v>
      </c>
      <c r="J4308" s="225">
        <v>0</v>
      </c>
      <c r="K4308" s="225">
        <v>75.569999999999993</v>
      </c>
      <c r="L43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75.569999999999993</v>
      </c>
      <c r="M4308" s="225">
        <f>ROUND(IF(AND(Base_Periodo1[[#This Row],[Tipo_Linha]]="-",Base_Periodo1[[#This Row],[TIPOSALDO]]="D"),Base_Periodo1[[#This Row],[SALDO_ATUAL]]*-1,Base_Periodo1[[#This Row],[SALDO_ATUAL]]),4)</f>
        <v>75.569999999999993</v>
      </c>
      <c r="N4308" t="s">
        <v>116</v>
      </c>
      <c r="O4308" t="s">
        <v>459</v>
      </c>
      <c r="P4308" t="s">
        <v>459</v>
      </c>
      <c r="Q4308">
        <v>6</v>
      </c>
      <c r="R4308" s="225">
        <f>Base_Periodo1[[#This Row],[CREDITOS]]-Base_Periodo1[[#This Row],[DEBITOS]]</f>
        <v>0</v>
      </c>
      <c r="S4308" s="3" t="str">
        <f>IF(ISERROR(VLOOKUP(Base_Periodo1[[#This Row],[CONTA]],BaseContasDRE[#All],4,FALSE)),"Fora do DRE",VLOOKUP(Base_Periodo1[[#This Row],[CONTA]],BaseContasDRE[#All],4,FALSE))</f>
        <v>Fora do DRE</v>
      </c>
      <c r="T4308" s="3" t="str">
        <f>IF(ISERROR(VLOOKUP(Base_Periodo1[[#This Row],[CONTA]],BaseContasDRE[#All],5,FALSE)),"Fora do DRE",VLOOKUP(Base_Periodo1[[#This Row],[CONTA]],BaseContasDRE[#All],6,FALSE))</f>
        <v>Fora do DRE</v>
      </c>
      <c r="U4308" s="3" t="str">
        <f>IF(ISERROR(VLOOKUP(Base_Periodo1[[#This Row],[CONTA]],BaseContasDRE[#All],7,FALSE)),"Fora do DRE",VLOOKUP(Base_Periodo1[[#This Row],[CONTA]],BaseContasDRE[#All],7,FALSE))</f>
        <v>Fora do DRE</v>
      </c>
      <c r="V4308" s="3" t="str">
        <f>IF(Base_Periodo1[[#This Row],[Tipo_Linha]]="Fora do DRE","Fora do DRE","( "&amp;Base_Periodo1[[#This Row],[Tipo_Linha]]&amp;" ) "&amp;Base_Periodo1[[#This Row],[Filtro]])</f>
        <v>Fora do DRE</v>
      </c>
      <c r="W4308" s="3" t="str">
        <f>LEFT(Base_Periodo1[[#This Row],[CLASS]],3)</f>
        <v>2.4</v>
      </c>
    </row>
    <row r="4309" spans="1:23" hidden="1">
      <c r="A4309" s="3" t="str">
        <f t="shared" si="67"/>
        <v>Período 1</v>
      </c>
      <c r="B4309">
        <v>25515</v>
      </c>
      <c r="C4309" t="s">
        <v>2300</v>
      </c>
      <c r="D4309" t="s">
        <v>2309</v>
      </c>
      <c r="E4309" s="3" t="str">
        <f>IF(LEN(Base_Periodo1[[#This Row],[CLASS]])&gt;=7,LEFT(Base_Periodo1[[#This Row],[CLASS]],7),"")</f>
        <v>2.4.1.1</v>
      </c>
      <c r="F4309" s="3" t="str">
        <f>VLOOKUP(Base_Periodo1[[#This Row],[Aux]],Base_Contas_Balanco[#All],2,FALSE)</f>
        <v>Capital Social Realizado</v>
      </c>
      <c r="G4309" s="1"/>
      <c r="H4309" s="225">
        <v>92.610000000000014</v>
      </c>
      <c r="I4309" s="225">
        <v>0</v>
      </c>
      <c r="J4309" s="225">
        <v>0</v>
      </c>
      <c r="K4309" s="225">
        <v>92.610000000000014</v>
      </c>
      <c r="L43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92.61</v>
      </c>
      <c r="M4309" s="225">
        <f>ROUND(IF(AND(Base_Periodo1[[#This Row],[Tipo_Linha]]="-",Base_Periodo1[[#This Row],[TIPOSALDO]]="D"),Base_Periodo1[[#This Row],[SALDO_ATUAL]]*-1,Base_Periodo1[[#This Row],[SALDO_ATUAL]]),4)</f>
        <v>92.61</v>
      </c>
      <c r="N4309" t="s">
        <v>116</v>
      </c>
      <c r="O4309" t="s">
        <v>459</v>
      </c>
      <c r="P4309" t="s">
        <v>459</v>
      </c>
      <c r="Q4309">
        <v>6</v>
      </c>
      <c r="R4309" s="225">
        <f>Base_Periodo1[[#This Row],[CREDITOS]]-Base_Periodo1[[#This Row],[DEBITOS]]</f>
        <v>0</v>
      </c>
      <c r="S4309" s="3" t="str">
        <f>IF(ISERROR(VLOOKUP(Base_Periodo1[[#This Row],[CONTA]],BaseContasDRE[#All],4,FALSE)),"Fora do DRE",VLOOKUP(Base_Periodo1[[#This Row],[CONTA]],BaseContasDRE[#All],4,FALSE))</f>
        <v>Fora do DRE</v>
      </c>
      <c r="T4309" s="3" t="str">
        <f>IF(ISERROR(VLOOKUP(Base_Periodo1[[#This Row],[CONTA]],BaseContasDRE[#All],5,FALSE)),"Fora do DRE",VLOOKUP(Base_Periodo1[[#This Row],[CONTA]],BaseContasDRE[#All],6,FALSE))</f>
        <v>Fora do DRE</v>
      </c>
      <c r="U4309" s="3" t="str">
        <f>IF(ISERROR(VLOOKUP(Base_Periodo1[[#This Row],[CONTA]],BaseContasDRE[#All],7,FALSE)),"Fora do DRE",VLOOKUP(Base_Periodo1[[#This Row],[CONTA]],BaseContasDRE[#All],7,FALSE))</f>
        <v>Fora do DRE</v>
      </c>
      <c r="V4309" s="3" t="str">
        <f>IF(Base_Periodo1[[#This Row],[Tipo_Linha]]="Fora do DRE","Fora do DRE","( "&amp;Base_Periodo1[[#This Row],[Tipo_Linha]]&amp;" ) "&amp;Base_Periodo1[[#This Row],[Filtro]])</f>
        <v>Fora do DRE</v>
      </c>
      <c r="W4309" s="3" t="str">
        <f>LEFT(Base_Periodo1[[#This Row],[CLASS]],3)</f>
        <v>2.4</v>
      </c>
    </row>
    <row r="4310" spans="1:23" hidden="1">
      <c r="A4310" s="3" t="str">
        <f t="shared" si="67"/>
        <v>Período 1</v>
      </c>
      <c r="B4310">
        <v>25577</v>
      </c>
      <c r="C4310" t="s">
        <v>2300</v>
      </c>
      <c r="D4310" t="s">
        <v>2310</v>
      </c>
      <c r="E4310" s="3" t="str">
        <f>IF(LEN(Base_Periodo1[[#This Row],[CLASS]])&gt;=7,LEFT(Base_Periodo1[[#This Row],[CLASS]],7),"")</f>
        <v>2.4.1.1</v>
      </c>
      <c r="F4310" s="3" t="str">
        <f>VLOOKUP(Base_Periodo1[[#This Row],[Aux]],Base_Contas_Balanco[#All],2,FALSE)</f>
        <v>Capital Social Realizado</v>
      </c>
      <c r="G4310" s="1"/>
      <c r="H4310" s="225">
        <v>236.85</v>
      </c>
      <c r="I4310" s="225">
        <v>0</v>
      </c>
      <c r="J4310" s="225">
        <v>0</v>
      </c>
      <c r="K4310" s="225">
        <v>236.85</v>
      </c>
      <c r="L43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236.85</v>
      </c>
      <c r="M4310" s="225">
        <f>ROUND(IF(AND(Base_Periodo1[[#This Row],[Tipo_Linha]]="-",Base_Periodo1[[#This Row],[TIPOSALDO]]="D"),Base_Periodo1[[#This Row],[SALDO_ATUAL]]*-1,Base_Periodo1[[#This Row],[SALDO_ATUAL]]),4)</f>
        <v>236.85</v>
      </c>
      <c r="N4310" t="s">
        <v>116</v>
      </c>
      <c r="O4310" t="s">
        <v>459</v>
      </c>
      <c r="P4310" t="s">
        <v>459</v>
      </c>
      <c r="Q4310">
        <v>6</v>
      </c>
      <c r="R4310" s="225">
        <f>Base_Periodo1[[#This Row],[CREDITOS]]-Base_Periodo1[[#This Row],[DEBITOS]]</f>
        <v>0</v>
      </c>
      <c r="S4310" s="3" t="str">
        <f>IF(ISERROR(VLOOKUP(Base_Periodo1[[#This Row],[CONTA]],BaseContasDRE[#All],4,FALSE)),"Fora do DRE",VLOOKUP(Base_Periodo1[[#This Row],[CONTA]],BaseContasDRE[#All],4,FALSE))</f>
        <v>Fora do DRE</v>
      </c>
      <c r="T4310" s="3" t="str">
        <f>IF(ISERROR(VLOOKUP(Base_Periodo1[[#This Row],[CONTA]],BaseContasDRE[#All],5,FALSE)),"Fora do DRE",VLOOKUP(Base_Periodo1[[#This Row],[CONTA]],BaseContasDRE[#All],6,FALSE))</f>
        <v>Fora do DRE</v>
      </c>
      <c r="U4310" s="3" t="str">
        <f>IF(ISERROR(VLOOKUP(Base_Periodo1[[#This Row],[CONTA]],BaseContasDRE[#All],7,FALSE)),"Fora do DRE",VLOOKUP(Base_Periodo1[[#This Row],[CONTA]],BaseContasDRE[#All],7,FALSE))</f>
        <v>Fora do DRE</v>
      </c>
      <c r="V4310" s="3" t="str">
        <f>IF(Base_Periodo1[[#This Row],[Tipo_Linha]]="Fora do DRE","Fora do DRE","( "&amp;Base_Periodo1[[#This Row],[Tipo_Linha]]&amp;" ) "&amp;Base_Periodo1[[#This Row],[Filtro]])</f>
        <v>Fora do DRE</v>
      </c>
      <c r="W4310" s="3" t="str">
        <f>LEFT(Base_Periodo1[[#This Row],[CLASS]],3)</f>
        <v>2.4</v>
      </c>
    </row>
    <row r="4311" spans="1:23" hidden="1">
      <c r="A4311" s="3" t="str">
        <f t="shared" si="67"/>
        <v>Período 1</v>
      </c>
      <c r="B4311">
        <v>19310</v>
      </c>
      <c r="C4311" t="s">
        <v>2300</v>
      </c>
      <c r="D4311" t="s">
        <v>2311</v>
      </c>
      <c r="E4311" s="3" t="str">
        <f>IF(LEN(Base_Periodo1[[#This Row],[CLASS]])&gt;=7,LEFT(Base_Periodo1[[#This Row],[CLASS]],7),"")</f>
        <v>2.4.1.1</v>
      </c>
      <c r="F4311" s="3" t="str">
        <f>VLOOKUP(Base_Periodo1[[#This Row],[Aux]],Base_Contas_Balanco[#All],2,FALSE)</f>
        <v>Capital Social Realizado</v>
      </c>
      <c r="G4311" s="1"/>
      <c r="H4311" s="225">
        <v>1749.68</v>
      </c>
      <c r="I4311" s="225">
        <v>0</v>
      </c>
      <c r="J4311" s="225">
        <v>0</v>
      </c>
      <c r="K4311" s="225">
        <v>1749.68</v>
      </c>
      <c r="L43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1749.68</v>
      </c>
      <c r="M4311" s="225">
        <f>ROUND(IF(AND(Base_Periodo1[[#This Row],[Tipo_Linha]]="-",Base_Periodo1[[#This Row],[TIPOSALDO]]="D"),Base_Periodo1[[#This Row],[SALDO_ATUAL]]*-1,Base_Periodo1[[#This Row],[SALDO_ATUAL]]),4)</f>
        <v>1749.68</v>
      </c>
      <c r="N4311" t="s">
        <v>116</v>
      </c>
      <c r="O4311" t="s">
        <v>459</v>
      </c>
      <c r="P4311" t="s">
        <v>459</v>
      </c>
      <c r="Q4311">
        <v>6</v>
      </c>
      <c r="R4311" s="225">
        <f>Base_Periodo1[[#This Row],[CREDITOS]]-Base_Periodo1[[#This Row],[DEBITOS]]</f>
        <v>0</v>
      </c>
      <c r="S4311" s="3" t="str">
        <f>IF(ISERROR(VLOOKUP(Base_Periodo1[[#This Row],[CONTA]],BaseContasDRE[#All],4,FALSE)),"Fora do DRE",VLOOKUP(Base_Periodo1[[#This Row],[CONTA]],BaseContasDRE[#All],4,FALSE))</f>
        <v>Fora do DRE</v>
      </c>
      <c r="T4311" s="3" t="str">
        <f>IF(ISERROR(VLOOKUP(Base_Periodo1[[#This Row],[CONTA]],BaseContasDRE[#All],5,FALSE)),"Fora do DRE",VLOOKUP(Base_Periodo1[[#This Row],[CONTA]],BaseContasDRE[#All],6,FALSE))</f>
        <v>Fora do DRE</v>
      </c>
      <c r="U4311" s="3" t="str">
        <f>IF(ISERROR(VLOOKUP(Base_Periodo1[[#This Row],[CONTA]],BaseContasDRE[#All],7,FALSE)),"Fora do DRE",VLOOKUP(Base_Periodo1[[#This Row],[CONTA]],BaseContasDRE[#All],7,FALSE))</f>
        <v>Fora do DRE</v>
      </c>
      <c r="V4311" s="3" t="str">
        <f>IF(Base_Periodo1[[#This Row],[Tipo_Linha]]="Fora do DRE","Fora do DRE","( "&amp;Base_Periodo1[[#This Row],[Tipo_Linha]]&amp;" ) "&amp;Base_Periodo1[[#This Row],[Filtro]])</f>
        <v>Fora do DRE</v>
      </c>
      <c r="W4311" s="3" t="str">
        <f>LEFT(Base_Periodo1[[#This Row],[CLASS]],3)</f>
        <v>2.4</v>
      </c>
    </row>
    <row r="4312" spans="1:23" hidden="1">
      <c r="A4312" s="3" t="str">
        <f t="shared" si="67"/>
        <v>Período 1</v>
      </c>
      <c r="B4312">
        <v>25760</v>
      </c>
      <c r="C4312" t="s">
        <v>2300</v>
      </c>
      <c r="D4312" t="s">
        <v>2312</v>
      </c>
      <c r="E4312" s="3" t="str">
        <f>IF(LEN(Base_Periodo1[[#This Row],[CLASS]])&gt;=7,LEFT(Base_Periodo1[[#This Row],[CLASS]],7),"")</f>
        <v>2.4.1.1</v>
      </c>
      <c r="F4312" s="3" t="str">
        <f>VLOOKUP(Base_Periodo1[[#This Row],[Aux]],Base_Contas_Balanco[#All],2,FALSE)</f>
        <v>Capital Social Realizado</v>
      </c>
      <c r="G4312" s="1"/>
      <c r="H4312" s="225">
        <v>285</v>
      </c>
      <c r="I4312" s="225">
        <v>0</v>
      </c>
      <c r="J4312" s="225">
        <v>0</v>
      </c>
      <c r="K4312" s="225">
        <v>285</v>
      </c>
      <c r="L43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285</v>
      </c>
      <c r="M4312" s="225">
        <f>ROUND(IF(AND(Base_Periodo1[[#This Row],[Tipo_Linha]]="-",Base_Periodo1[[#This Row],[TIPOSALDO]]="D"),Base_Periodo1[[#This Row],[SALDO_ATUAL]]*-1,Base_Periodo1[[#This Row],[SALDO_ATUAL]]),4)</f>
        <v>285</v>
      </c>
      <c r="N4312" t="s">
        <v>116</v>
      </c>
      <c r="O4312" t="s">
        <v>459</v>
      </c>
      <c r="P4312" t="s">
        <v>459</v>
      </c>
      <c r="Q4312">
        <v>6</v>
      </c>
      <c r="R4312" s="225">
        <f>Base_Periodo1[[#This Row],[CREDITOS]]-Base_Periodo1[[#This Row],[DEBITOS]]</f>
        <v>0</v>
      </c>
      <c r="S4312" s="3" t="str">
        <f>IF(ISERROR(VLOOKUP(Base_Periodo1[[#This Row],[CONTA]],BaseContasDRE[#All],4,FALSE)),"Fora do DRE",VLOOKUP(Base_Periodo1[[#This Row],[CONTA]],BaseContasDRE[#All],4,FALSE))</f>
        <v>Fora do DRE</v>
      </c>
      <c r="T4312" s="3" t="str">
        <f>IF(ISERROR(VLOOKUP(Base_Periodo1[[#This Row],[CONTA]],BaseContasDRE[#All],5,FALSE)),"Fora do DRE",VLOOKUP(Base_Periodo1[[#This Row],[CONTA]],BaseContasDRE[#All],6,FALSE))</f>
        <v>Fora do DRE</v>
      </c>
      <c r="U4312" s="3" t="str">
        <f>IF(ISERROR(VLOOKUP(Base_Periodo1[[#This Row],[CONTA]],BaseContasDRE[#All],7,FALSE)),"Fora do DRE",VLOOKUP(Base_Periodo1[[#This Row],[CONTA]],BaseContasDRE[#All],7,FALSE))</f>
        <v>Fora do DRE</v>
      </c>
      <c r="V4312" s="3" t="str">
        <f>IF(Base_Periodo1[[#This Row],[Tipo_Linha]]="Fora do DRE","Fora do DRE","( "&amp;Base_Periodo1[[#This Row],[Tipo_Linha]]&amp;" ) "&amp;Base_Periodo1[[#This Row],[Filtro]])</f>
        <v>Fora do DRE</v>
      </c>
      <c r="W4312" s="3" t="str">
        <f>LEFT(Base_Periodo1[[#This Row],[CLASS]],3)</f>
        <v>2.4</v>
      </c>
    </row>
    <row r="4313" spans="1:23" hidden="1">
      <c r="A4313" s="3" t="str">
        <f t="shared" si="67"/>
        <v>Período 1</v>
      </c>
      <c r="B4313">
        <v>25236</v>
      </c>
      <c r="C4313" t="s">
        <v>2300</v>
      </c>
      <c r="D4313" t="s">
        <v>2313</v>
      </c>
      <c r="E4313" s="3" t="str">
        <f>IF(LEN(Base_Periodo1[[#This Row],[CLASS]])&gt;=7,LEFT(Base_Periodo1[[#This Row],[CLASS]],7),"")</f>
        <v>2.4.1.1</v>
      </c>
      <c r="F4313" s="3" t="str">
        <f>VLOOKUP(Base_Periodo1[[#This Row],[Aux]],Base_Contas_Balanco[#All],2,FALSE)</f>
        <v>Capital Social Realizado</v>
      </c>
      <c r="G4313" s="1"/>
      <c r="H4313" s="225">
        <v>349.83</v>
      </c>
      <c r="I4313" s="225">
        <v>0</v>
      </c>
      <c r="J4313" s="225">
        <v>0</v>
      </c>
      <c r="K4313" s="225">
        <v>349.83</v>
      </c>
      <c r="L43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349.83</v>
      </c>
      <c r="M4313" s="225">
        <f>ROUND(IF(AND(Base_Periodo1[[#This Row],[Tipo_Linha]]="-",Base_Periodo1[[#This Row],[TIPOSALDO]]="D"),Base_Periodo1[[#This Row],[SALDO_ATUAL]]*-1,Base_Periodo1[[#This Row],[SALDO_ATUAL]]),4)</f>
        <v>349.83</v>
      </c>
      <c r="N4313" t="s">
        <v>116</v>
      </c>
      <c r="O4313" t="s">
        <v>459</v>
      </c>
      <c r="P4313" t="s">
        <v>459</v>
      </c>
      <c r="Q4313">
        <v>6</v>
      </c>
      <c r="R4313" s="225">
        <f>Base_Periodo1[[#This Row],[CREDITOS]]-Base_Periodo1[[#This Row],[DEBITOS]]</f>
        <v>0</v>
      </c>
      <c r="S4313" s="3" t="str">
        <f>IF(ISERROR(VLOOKUP(Base_Periodo1[[#This Row],[CONTA]],BaseContasDRE[#All],4,FALSE)),"Fora do DRE",VLOOKUP(Base_Periodo1[[#This Row],[CONTA]],BaseContasDRE[#All],4,FALSE))</f>
        <v>Fora do DRE</v>
      </c>
      <c r="T4313" s="3" t="str">
        <f>IF(ISERROR(VLOOKUP(Base_Periodo1[[#This Row],[CONTA]],BaseContasDRE[#All],5,FALSE)),"Fora do DRE",VLOOKUP(Base_Periodo1[[#This Row],[CONTA]],BaseContasDRE[#All],6,FALSE))</f>
        <v>Fora do DRE</v>
      </c>
      <c r="U4313" s="3" t="str">
        <f>IF(ISERROR(VLOOKUP(Base_Periodo1[[#This Row],[CONTA]],BaseContasDRE[#All],7,FALSE)),"Fora do DRE",VLOOKUP(Base_Periodo1[[#This Row],[CONTA]],BaseContasDRE[#All],7,FALSE))</f>
        <v>Fora do DRE</v>
      </c>
      <c r="V4313" s="3" t="str">
        <f>IF(Base_Periodo1[[#This Row],[Tipo_Linha]]="Fora do DRE","Fora do DRE","( "&amp;Base_Periodo1[[#This Row],[Tipo_Linha]]&amp;" ) "&amp;Base_Periodo1[[#This Row],[Filtro]])</f>
        <v>Fora do DRE</v>
      </c>
      <c r="W4313" s="3" t="str">
        <f>LEFT(Base_Periodo1[[#This Row],[CLASS]],3)</f>
        <v>2.4</v>
      </c>
    </row>
    <row r="4314" spans="1:23" hidden="1">
      <c r="A4314" s="3" t="str">
        <f t="shared" si="67"/>
        <v>Período 1</v>
      </c>
      <c r="B4314">
        <v>57845</v>
      </c>
      <c r="C4314" t="s">
        <v>2300</v>
      </c>
      <c r="D4314" t="s">
        <v>6560</v>
      </c>
      <c r="E4314" s="3" t="str">
        <f>IF(LEN(Base_Periodo1[[#This Row],[CLASS]])&gt;=7,LEFT(Base_Periodo1[[#This Row],[CLASS]],7),"")</f>
        <v>2.4.1.1</v>
      </c>
      <c r="F4314" s="3" t="str">
        <f>VLOOKUP(Base_Periodo1[[#This Row],[Aux]],Base_Contas_Balanco[#All],2,FALSE)</f>
        <v>Capital Social Realizado</v>
      </c>
      <c r="G4314" s="1"/>
      <c r="H4314" s="225">
        <v>50</v>
      </c>
      <c r="I4314" s="225">
        <v>0</v>
      </c>
      <c r="J4314" s="225">
        <v>0</v>
      </c>
      <c r="K4314" s="225">
        <v>50</v>
      </c>
      <c r="L43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14" s="225">
        <f>ROUND(IF(AND(Base_Periodo1[[#This Row],[Tipo_Linha]]="-",Base_Periodo1[[#This Row],[TIPOSALDO]]="D"),Base_Periodo1[[#This Row],[SALDO_ATUAL]]*-1,Base_Periodo1[[#This Row],[SALDO_ATUAL]]),4)</f>
        <v>50</v>
      </c>
      <c r="N4314" t="s">
        <v>116</v>
      </c>
      <c r="O4314" t="s">
        <v>459</v>
      </c>
      <c r="P4314" t="s">
        <v>459</v>
      </c>
      <c r="Q4314">
        <v>6</v>
      </c>
      <c r="R4314" s="225">
        <f>Base_Periodo1[[#This Row],[CREDITOS]]-Base_Periodo1[[#This Row],[DEBITOS]]</f>
        <v>0</v>
      </c>
      <c r="S4314" s="3" t="str">
        <f>IF(ISERROR(VLOOKUP(Base_Periodo1[[#This Row],[CONTA]],BaseContasDRE[#All],4,FALSE)),"Fora do DRE",VLOOKUP(Base_Periodo1[[#This Row],[CONTA]],BaseContasDRE[#All],4,FALSE))</f>
        <v>Fora do DRE</v>
      </c>
      <c r="T4314" s="3" t="str">
        <f>IF(ISERROR(VLOOKUP(Base_Periodo1[[#This Row],[CONTA]],BaseContasDRE[#All],5,FALSE)),"Fora do DRE",VLOOKUP(Base_Periodo1[[#This Row],[CONTA]],BaseContasDRE[#All],6,FALSE))</f>
        <v>Fora do DRE</v>
      </c>
      <c r="U4314" s="3" t="str">
        <f>IF(ISERROR(VLOOKUP(Base_Periodo1[[#This Row],[CONTA]],BaseContasDRE[#All],7,FALSE)),"Fora do DRE",VLOOKUP(Base_Periodo1[[#This Row],[CONTA]],BaseContasDRE[#All],7,FALSE))</f>
        <v>Fora do DRE</v>
      </c>
      <c r="V4314" s="3" t="str">
        <f>IF(Base_Periodo1[[#This Row],[Tipo_Linha]]="Fora do DRE","Fora do DRE","( "&amp;Base_Periodo1[[#This Row],[Tipo_Linha]]&amp;" ) "&amp;Base_Periodo1[[#This Row],[Filtro]])</f>
        <v>Fora do DRE</v>
      </c>
      <c r="W4314" s="3" t="str">
        <f>LEFT(Base_Periodo1[[#This Row],[CLASS]],3)</f>
        <v>2.4</v>
      </c>
    </row>
    <row r="4315" spans="1:23" hidden="1">
      <c r="A4315" s="3" t="str">
        <f t="shared" si="67"/>
        <v>Período 1</v>
      </c>
      <c r="B4315">
        <v>16011</v>
      </c>
      <c r="C4315" t="s">
        <v>2300</v>
      </c>
      <c r="D4315" t="s">
        <v>2314</v>
      </c>
      <c r="E4315" s="3" t="str">
        <f>IF(LEN(Base_Periodo1[[#This Row],[CLASS]])&gt;=7,LEFT(Base_Periodo1[[#This Row],[CLASS]],7),"")</f>
        <v>2.4.1.1</v>
      </c>
      <c r="F4315" s="3" t="str">
        <f>VLOOKUP(Base_Periodo1[[#This Row],[Aux]],Base_Contas_Balanco[#All],2,FALSE)</f>
        <v>Capital Social Realizado</v>
      </c>
      <c r="G4315" s="1"/>
      <c r="H4315" s="225">
        <v>2697.49</v>
      </c>
      <c r="I4315" s="225">
        <v>0</v>
      </c>
      <c r="J4315" s="225">
        <v>0</v>
      </c>
      <c r="K4315" s="225">
        <v>2697.49</v>
      </c>
      <c r="L43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2697.49</v>
      </c>
      <c r="M4315" s="225">
        <f>ROUND(IF(AND(Base_Periodo1[[#This Row],[Tipo_Linha]]="-",Base_Periodo1[[#This Row],[TIPOSALDO]]="D"),Base_Periodo1[[#This Row],[SALDO_ATUAL]]*-1,Base_Periodo1[[#This Row],[SALDO_ATUAL]]),4)</f>
        <v>2697.49</v>
      </c>
      <c r="N4315" t="s">
        <v>116</v>
      </c>
      <c r="O4315" t="s">
        <v>459</v>
      </c>
      <c r="P4315" t="s">
        <v>459</v>
      </c>
      <c r="Q4315">
        <v>6</v>
      </c>
      <c r="R4315" s="225">
        <f>Base_Periodo1[[#This Row],[CREDITOS]]-Base_Periodo1[[#This Row],[DEBITOS]]</f>
        <v>0</v>
      </c>
      <c r="S4315" s="3" t="str">
        <f>IF(ISERROR(VLOOKUP(Base_Periodo1[[#This Row],[CONTA]],BaseContasDRE[#All],4,FALSE)),"Fora do DRE",VLOOKUP(Base_Periodo1[[#This Row],[CONTA]],BaseContasDRE[#All],4,FALSE))</f>
        <v>Fora do DRE</v>
      </c>
      <c r="T4315" s="3" t="str">
        <f>IF(ISERROR(VLOOKUP(Base_Periodo1[[#This Row],[CONTA]],BaseContasDRE[#All],5,FALSE)),"Fora do DRE",VLOOKUP(Base_Periodo1[[#This Row],[CONTA]],BaseContasDRE[#All],6,FALSE))</f>
        <v>Fora do DRE</v>
      </c>
      <c r="U4315" s="3" t="str">
        <f>IF(ISERROR(VLOOKUP(Base_Periodo1[[#This Row],[CONTA]],BaseContasDRE[#All],7,FALSE)),"Fora do DRE",VLOOKUP(Base_Periodo1[[#This Row],[CONTA]],BaseContasDRE[#All],7,FALSE))</f>
        <v>Fora do DRE</v>
      </c>
      <c r="V4315" s="3" t="str">
        <f>IF(Base_Periodo1[[#This Row],[Tipo_Linha]]="Fora do DRE","Fora do DRE","( "&amp;Base_Periodo1[[#This Row],[Tipo_Linha]]&amp;" ) "&amp;Base_Periodo1[[#This Row],[Filtro]])</f>
        <v>Fora do DRE</v>
      </c>
      <c r="W4315" s="3" t="str">
        <f>LEFT(Base_Periodo1[[#This Row],[CLASS]],3)</f>
        <v>2.4</v>
      </c>
    </row>
    <row r="4316" spans="1:23" hidden="1">
      <c r="A4316" s="3" t="str">
        <f t="shared" si="67"/>
        <v>Período 1</v>
      </c>
      <c r="B4316">
        <v>16218</v>
      </c>
      <c r="C4316" t="s">
        <v>2300</v>
      </c>
      <c r="D4316" t="s">
        <v>2315</v>
      </c>
      <c r="E4316" s="3" t="str">
        <f>IF(LEN(Base_Periodo1[[#This Row],[CLASS]])&gt;=7,LEFT(Base_Periodo1[[#This Row],[CLASS]],7),"")</f>
        <v>2.4.1.1</v>
      </c>
      <c r="F4316" s="3" t="str">
        <f>VLOOKUP(Base_Periodo1[[#This Row],[Aux]],Base_Contas_Balanco[#All],2,FALSE)</f>
        <v>Capital Social Realizado</v>
      </c>
      <c r="G4316" s="1"/>
      <c r="H4316" s="225">
        <v>434.59999999999997</v>
      </c>
      <c r="I4316" s="225">
        <v>0</v>
      </c>
      <c r="J4316" s="225">
        <v>0</v>
      </c>
      <c r="K4316" s="225">
        <v>434.59999999999997</v>
      </c>
      <c r="L43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434.6</v>
      </c>
      <c r="M4316" s="225">
        <f>ROUND(IF(AND(Base_Periodo1[[#This Row],[Tipo_Linha]]="-",Base_Periodo1[[#This Row],[TIPOSALDO]]="D"),Base_Periodo1[[#This Row],[SALDO_ATUAL]]*-1,Base_Periodo1[[#This Row],[SALDO_ATUAL]]),4)</f>
        <v>434.6</v>
      </c>
      <c r="N4316" t="s">
        <v>116</v>
      </c>
      <c r="O4316" t="s">
        <v>459</v>
      </c>
      <c r="P4316" t="s">
        <v>459</v>
      </c>
      <c r="Q4316">
        <v>6</v>
      </c>
      <c r="R4316" s="225">
        <f>Base_Periodo1[[#This Row],[CREDITOS]]-Base_Periodo1[[#This Row],[DEBITOS]]</f>
        <v>0</v>
      </c>
      <c r="S4316" s="3" t="str">
        <f>IF(ISERROR(VLOOKUP(Base_Periodo1[[#This Row],[CONTA]],BaseContasDRE[#All],4,FALSE)),"Fora do DRE",VLOOKUP(Base_Periodo1[[#This Row],[CONTA]],BaseContasDRE[#All],4,FALSE))</f>
        <v>Fora do DRE</v>
      </c>
      <c r="T4316" s="3" t="str">
        <f>IF(ISERROR(VLOOKUP(Base_Periodo1[[#This Row],[CONTA]],BaseContasDRE[#All],5,FALSE)),"Fora do DRE",VLOOKUP(Base_Periodo1[[#This Row],[CONTA]],BaseContasDRE[#All],6,FALSE))</f>
        <v>Fora do DRE</v>
      </c>
      <c r="U4316" s="3" t="str">
        <f>IF(ISERROR(VLOOKUP(Base_Periodo1[[#This Row],[CONTA]],BaseContasDRE[#All],7,FALSE)),"Fora do DRE",VLOOKUP(Base_Periodo1[[#This Row],[CONTA]],BaseContasDRE[#All],7,FALSE))</f>
        <v>Fora do DRE</v>
      </c>
      <c r="V4316" s="3" t="str">
        <f>IF(Base_Periodo1[[#This Row],[Tipo_Linha]]="Fora do DRE","Fora do DRE","( "&amp;Base_Periodo1[[#This Row],[Tipo_Linha]]&amp;" ) "&amp;Base_Periodo1[[#This Row],[Filtro]])</f>
        <v>Fora do DRE</v>
      </c>
      <c r="W4316" s="3" t="str">
        <f>LEFT(Base_Periodo1[[#This Row],[CLASS]],3)</f>
        <v>2.4</v>
      </c>
    </row>
    <row r="4317" spans="1:23" hidden="1">
      <c r="A4317" s="3" t="str">
        <f t="shared" si="67"/>
        <v>Período 1</v>
      </c>
      <c r="B4317">
        <v>19749</v>
      </c>
      <c r="C4317" t="s">
        <v>2300</v>
      </c>
      <c r="D4317" t="s">
        <v>2316</v>
      </c>
      <c r="E4317" s="3" t="str">
        <f>IF(LEN(Base_Periodo1[[#This Row],[CLASS]])&gt;=7,LEFT(Base_Periodo1[[#This Row],[CLASS]],7),"")</f>
        <v>2.4.1.1</v>
      </c>
      <c r="F4317" s="3" t="str">
        <f>VLOOKUP(Base_Periodo1[[#This Row],[Aux]],Base_Contas_Balanco[#All],2,FALSE)</f>
        <v>Capital Social Realizado</v>
      </c>
      <c r="G4317" s="1"/>
      <c r="H4317" s="225">
        <v>55.39</v>
      </c>
      <c r="I4317" s="225">
        <v>0</v>
      </c>
      <c r="J4317" s="225">
        <v>0</v>
      </c>
      <c r="K4317" s="225">
        <v>55.39</v>
      </c>
      <c r="L43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55.39</v>
      </c>
      <c r="M4317" s="225">
        <f>ROUND(IF(AND(Base_Periodo1[[#This Row],[Tipo_Linha]]="-",Base_Periodo1[[#This Row],[TIPOSALDO]]="D"),Base_Periodo1[[#This Row],[SALDO_ATUAL]]*-1,Base_Periodo1[[#This Row],[SALDO_ATUAL]]),4)</f>
        <v>55.39</v>
      </c>
      <c r="N4317" t="s">
        <v>116</v>
      </c>
      <c r="O4317" t="s">
        <v>459</v>
      </c>
      <c r="P4317" t="s">
        <v>459</v>
      </c>
      <c r="Q4317">
        <v>6</v>
      </c>
      <c r="R4317" s="225">
        <f>Base_Periodo1[[#This Row],[CREDITOS]]-Base_Periodo1[[#This Row],[DEBITOS]]</f>
        <v>0</v>
      </c>
      <c r="S4317" s="3" t="str">
        <f>IF(ISERROR(VLOOKUP(Base_Periodo1[[#This Row],[CONTA]],BaseContasDRE[#All],4,FALSE)),"Fora do DRE",VLOOKUP(Base_Periodo1[[#This Row],[CONTA]],BaseContasDRE[#All],4,FALSE))</f>
        <v>Fora do DRE</v>
      </c>
      <c r="T4317" s="3" t="str">
        <f>IF(ISERROR(VLOOKUP(Base_Periodo1[[#This Row],[CONTA]],BaseContasDRE[#All],5,FALSE)),"Fora do DRE",VLOOKUP(Base_Periodo1[[#This Row],[CONTA]],BaseContasDRE[#All],6,FALSE))</f>
        <v>Fora do DRE</v>
      </c>
      <c r="U4317" s="3" t="str">
        <f>IF(ISERROR(VLOOKUP(Base_Periodo1[[#This Row],[CONTA]],BaseContasDRE[#All],7,FALSE)),"Fora do DRE",VLOOKUP(Base_Periodo1[[#This Row],[CONTA]],BaseContasDRE[#All],7,FALSE))</f>
        <v>Fora do DRE</v>
      </c>
      <c r="V4317" s="3" t="str">
        <f>IF(Base_Periodo1[[#This Row],[Tipo_Linha]]="Fora do DRE","Fora do DRE","( "&amp;Base_Periodo1[[#This Row],[Tipo_Linha]]&amp;" ) "&amp;Base_Periodo1[[#This Row],[Filtro]])</f>
        <v>Fora do DRE</v>
      </c>
      <c r="W4317" s="3" t="str">
        <f>LEFT(Base_Periodo1[[#This Row],[CLASS]],3)</f>
        <v>2.4</v>
      </c>
    </row>
    <row r="4318" spans="1:23" hidden="1">
      <c r="A4318" s="3" t="str">
        <f t="shared" si="67"/>
        <v>Período 1</v>
      </c>
      <c r="B4318">
        <v>25540</v>
      </c>
      <c r="C4318" t="s">
        <v>2300</v>
      </c>
      <c r="D4318" t="s">
        <v>2317</v>
      </c>
      <c r="E4318" s="3" t="str">
        <f>IF(LEN(Base_Periodo1[[#This Row],[CLASS]])&gt;=7,LEFT(Base_Periodo1[[#This Row],[CLASS]],7),"")</f>
        <v>2.4.1.1</v>
      </c>
      <c r="F4318" s="3" t="str">
        <f>VLOOKUP(Base_Periodo1[[#This Row],[Aux]],Base_Contas_Balanco[#All],2,FALSE)</f>
        <v>Capital Social Realizado</v>
      </c>
      <c r="G4318" s="1"/>
      <c r="H4318" s="225">
        <v>50</v>
      </c>
      <c r="I4318" s="225">
        <v>0</v>
      </c>
      <c r="J4318" s="225">
        <v>0</v>
      </c>
      <c r="K4318" s="225">
        <v>50</v>
      </c>
      <c r="L43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18" s="225">
        <f>ROUND(IF(AND(Base_Periodo1[[#This Row],[Tipo_Linha]]="-",Base_Periodo1[[#This Row],[TIPOSALDO]]="D"),Base_Periodo1[[#This Row],[SALDO_ATUAL]]*-1,Base_Periodo1[[#This Row],[SALDO_ATUAL]]),4)</f>
        <v>50</v>
      </c>
      <c r="N4318" t="s">
        <v>116</v>
      </c>
      <c r="O4318" t="s">
        <v>459</v>
      </c>
      <c r="P4318" t="s">
        <v>459</v>
      </c>
      <c r="Q4318">
        <v>6</v>
      </c>
      <c r="R4318" s="225">
        <f>Base_Periodo1[[#This Row],[CREDITOS]]-Base_Periodo1[[#This Row],[DEBITOS]]</f>
        <v>0</v>
      </c>
      <c r="S4318" s="3" t="str">
        <f>IF(ISERROR(VLOOKUP(Base_Periodo1[[#This Row],[CONTA]],BaseContasDRE[#All],4,FALSE)),"Fora do DRE",VLOOKUP(Base_Periodo1[[#This Row],[CONTA]],BaseContasDRE[#All],4,FALSE))</f>
        <v>Fora do DRE</v>
      </c>
      <c r="T4318" s="3" t="str">
        <f>IF(ISERROR(VLOOKUP(Base_Periodo1[[#This Row],[CONTA]],BaseContasDRE[#All],5,FALSE)),"Fora do DRE",VLOOKUP(Base_Periodo1[[#This Row],[CONTA]],BaseContasDRE[#All],6,FALSE))</f>
        <v>Fora do DRE</v>
      </c>
      <c r="U4318" s="3" t="str">
        <f>IF(ISERROR(VLOOKUP(Base_Periodo1[[#This Row],[CONTA]],BaseContasDRE[#All],7,FALSE)),"Fora do DRE",VLOOKUP(Base_Periodo1[[#This Row],[CONTA]],BaseContasDRE[#All],7,FALSE))</f>
        <v>Fora do DRE</v>
      </c>
      <c r="V4318" s="3" t="str">
        <f>IF(Base_Periodo1[[#This Row],[Tipo_Linha]]="Fora do DRE","Fora do DRE","( "&amp;Base_Periodo1[[#This Row],[Tipo_Linha]]&amp;" ) "&amp;Base_Periodo1[[#This Row],[Filtro]])</f>
        <v>Fora do DRE</v>
      </c>
      <c r="W4318" s="3" t="str">
        <f>LEFT(Base_Periodo1[[#This Row],[CLASS]],3)</f>
        <v>2.4</v>
      </c>
    </row>
    <row r="4319" spans="1:23" hidden="1">
      <c r="A4319" s="3" t="str">
        <f t="shared" si="67"/>
        <v>Período 1</v>
      </c>
      <c r="B4319">
        <v>25501</v>
      </c>
      <c r="C4319" t="s">
        <v>2300</v>
      </c>
      <c r="D4319" t="s">
        <v>2318</v>
      </c>
      <c r="E4319" s="3" t="str">
        <f>IF(LEN(Base_Periodo1[[#This Row],[CLASS]])&gt;=7,LEFT(Base_Periodo1[[#This Row],[CLASS]],7),"")</f>
        <v>2.4.1.1</v>
      </c>
      <c r="F4319" s="3" t="str">
        <f>VLOOKUP(Base_Periodo1[[#This Row],[Aux]],Base_Contas_Balanco[#All],2,FALSE)</f>
        <v>Capital Social Realizado</v>
      </c>
      <c r="G4319" s="1">
        <v>41983</v>
      </c>
      <c r="H4319" s="225">
        <v>50</v>
      </c>
      <c r="I4319" s="225">
        <v>0</v>
      </c>
      <c r="J4319" s="225">
        <v>0</v>
      </c>
      <c r="K4319" s="225">
        <v>50</v>
      </c>
      <c r="L43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19" s="225">
        <f>ROUND(IF(AND(Base_Periodo1[[#This Row],[Tipo_Linha]]="-",Base_Periodo1[[#This Row],[TIPOSALDO]]="D"),Base_Periodo1[[#This Row],[SALDO_ATUAL]]*-1,Base_Periodo1[[#This Row],[SALDO_ATUAL]]),4)</f>
        <v>50</v>
      </c>
      <c r="N4319" t="s">
        <v>116</v>
      </c>
      <c r="O4319" t="s">
        <v>459</v>
      </c>
      <c r="P4319" t="s">
        <v>459</v>
      </c>
      <c r="Q4319">
        <v>6</v>
      </c>
      <c r="R4319" s="225">
        <f>Base_Periodo1[[#This Row],[CREDITOS]]-Base_Periodo1[[#This Row],[DEBITOS]]</f>
        <v>0</v>
      </c>
      <c r="S4319" s="3" t="str">
        <f>IF(ISERROR(VLOOKUP(Base_Periodo1[[#This Row],[CONTA]],BaseContasDRE[#All],4,FALSE)),"Fora do DRE",VLOOKUP(Base_Periodo1[[#This Row],[CONTA]],BaseContasDRE[#All],4,FALSE))</f>
        <v>Fora do DRE</v>
      </c>
      <c r="T4319" s="3" t="str">
        <f>IF(ISERROR(VLOOKUP(Base_Periodo1[[#This Row],[CONTA]],BaseContasDRE[#All],5,FALSE)),"Fora do DRE",VLOOKUP(Base_Periodo1[[#This Row],[CONTA]],BaseContasDRE[#All],6,FALSE))</f>
        <v>Fora do DRE</v>
      </c>
      <c r="U4319" s="3" t="str">
        <f>IF(ISERROR(VLOOKUP(Base_Periodo1[[#This Row],[CONTA]],BaseContasDRE[#All],7,FALSE)),"Fora do DRE",VLOOKUP(Base_Periodo1[[#This Row],[CONTA]],BaseContasDRE[#All],7,FALSE))</f>
        <v>Fora do DRE</v>
      </c>
      <c r="V4319" s="3" t="str">
        <f>IF(Base_Periodo1[[#This Row],[Tipo_Linha]]="Fora do DRE","Fora do DRE","( "&amp;Base_Periodo1[[#This Row],[Tipo_Linha]]&amp;" ) "&amp;Base_Periodo1[[#This Row],[Filtro]])</f>
        <v>Fora do DRE</v>
      </c>
      <c r="W4319" s="3" t="str">
        <f>LEFT(Base_Periodo1[[#This Row],[CLASS]],3)</f>
        <v>2.4</v>
      </c>
    </row>
    <row r="4320" spans="1:23" hidden="1">
      <c r="A4320" s="3" t="str">
        <f t="shared" si="67"/>
        <v>Período 1</v>
      </c>
      <c r="B4320">
        <v>52327</v>
      </c>
      <c r="C4320" t="s">
        <v>2300</v>
      </c>
      <c r="D4320" t="s">
        <v>4783</v>
      </c>
      <c r="E4320" s="3" t="str">
        <f>IF(LEN(Base_Periodo1[[#This Row],[CLASS]])&gt;=7,LEFT(Base_Periodo1[[#This Row],[CLASS]],7),"")</f>
        <v>2.4.1.1</v>
      </c>
      <c r="F4320" s="3" t="str">
        <f>VLOOKUP(Base_Periodo1[[#This Row],[Aux]],Base_Contas_Balanco[#All],2,FALSE)</f>
        <v>Capital Social Realizado</v>
      </c>
      <c r="G4320" s="1"/>
      <c r="H4320" s="225">
        <v>50</v>
      </c>
      <c r="I4320" s="225">
        <v>0</v>
      </c>
      <c r="J4320" s="225">
        <v>0</v>
      </c>
      <c r="K4320" s="225">
        <v>50</v>
      </c>
      <c r="L43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20" s="225">
        <f>ROUND(IF(AND(Base_Periodo1[[#This Row],[Tipo_Linha]]="-",Base_Periodo1[[#This Row],[TIPOSALDO]]="D"),Base_Periodo1[[#This Row],[SALDO_ATUAL]]*-1,Base_Periodo1[[#This Row],[SALDO_ATUAL]]),4)</f>
        <v>50</v>
      </c>
      <c r="N4320" t="s">
        <v>116</v>
      </c>
      <c r="O4320" t="s">
        <v>459</v>
      </c>
      <c r="P4320" t="s">
        <v>459</v>
      </c>
      <c r="Q4320">
        <v>6</v>
      </c>
      <c r="R4320" s="225">
        <f>Base_Periodo1[[#This Row],[CREDITOS]]-Base_Periodo1[[#This Row],[DEBITOS]]</f>
        <v>0</v>
      </c>
      <c r="S4320" s="3" t="str">
        <f>IF(ISERROR(VLOOKUP(Base_Periodo1[[#This Row],[CONTA]],BaseContasDRE[#All],4,FALSE)),"Fora do DRE",VLOOKUP(Base_Periodo1[[#This Row],[CONTA]],BaseContasDRE[#All],4,FALSE))</f>
        <v>Fora do DRE</v>
      </c>
      <c r="T4320" s="3" t="str">
        <f>IF(ISERROR(VLOOKUP(Base_Periodo1[[#This Row],[CONTA]],BaseContasDRE[#All],5,FALSE)),"Fora do DRE",VLOOKUP(Base_Periodo1[[#This Row],[CONTA]],BaseContasDRE[#All],6,FALSE))</f>
        <v>Fora do DRE</v>
      </c>
      <c r="U4320" s="3" t="str">
        <f>IF(ISERROR(VLOOKUP(Base_Periodo1[[#This Row],[CONTA]],BaseContasDRE[#All],7,FALSE)),"Fora do DRE",VLOOKUP(Base_Periodo1[[#This Row],[CONTA]],BaseContasDRE[#All],7,FALSE))</f>
        <v>Fora do DRE</v>
      </c>
      <c r="V4320" s="3" t="str">
        <f>IF(Base_Periodo1[[#This Row],[Tipo_Linha]]="Fora do DRE","Fora do DRE","( "&amp;Base_Periodo1[[#This Row],[Tipo_Linha]]&amp;" ) "&amp;Base_Periodo1[[#This Row],[Filtro]])</f>
        <v>Fora do DRE</v>
      </c>
      <c r="W4320" s="3" t="str">
        <f>LEFT(Base_Periodo1[[#This Row],[CLASS]],3)</f>
        <v>2.4</v>
      </c>
    </row>
    <row r="4321" spans="1:23" hidden="1">
      <c r="A4321" s="3" t="str">
        <f t="shared" si="67"/>
        <v>Período 1</v>
      </c>
      <c r="B4321">
        <v>19284</v>
      </c>
      <c r="C4321" t="s">
        <v>2300</v>
      </c>
      <c r="D4321" t="s">
        <v>2319</v>
      </c>
      <c r="E4321" s="3" t="str">
        <f>IF(LEN(Base_Periodo1[[#This Row],[CLASS]])&gt;=7,LEFT(Base_Periodo1[[#This Row],[CLASS]],7),"")</f>
        <v>2.4.1.1</v>
      </c>
      <c r="F4321" s="3" t="str">
        <f>VLOOKUP(Base_Periodo1[[#This Row],[Aux]],Base_Contas_Balanco[#All],2,FALSE)</f>
        <v>Capital Social Realizado</v>
      </c>
      <c r="G4321" s="1"/>
      <c r="H4321" s="225">
        <v>2313.7600000000002</v>
      </c>
      <c r="I4321" s="225">
        <v>0</v>
      </c>
      <c r="J4321" s="225">
        <v>0</v>
      </c>
      <c r="K4321" s="225">
        <v>2313.7600000000002</v>
      </c>
      <c r="L43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2313.7600000000002</v>
      </c>
      <c r="M4321" s="225">
        <f>ROUND(IF(AND(Base_Periodo1[[#This Row],[Tipo_Linha]]="-",Base_Periodo1[[#This Row],[TIPOSALDO]]="D"),Base_Periodo1[[#This Row],[SALDO_ATUAL]]*-1,Base_Periodo1[[#This Row],[SALDO_ATUAL]]),4)</f>
        <v>2313.7600000000002</v>
      </c>
      <c r="N4321" t="s">
        <v>116</v>
      </c>
      <c r="O4321" t="s">
        <v>459</v>
      </c>
      <c r="P4321" t="s">
        <v>459</v>
      </c>
      <c r="Q4321">
        <v>6</v>
      </c>
      <c r="R4321" s="225">
        <f>Base_Periodo1[[#This Row],[CREDITOS]]-Base_Periodo1[[#This Row],[DEBITOS]]</f>
        <v>0</v>
      </c>
      <c r="S4321" s="3" t="str">
        <f>IF(ISERROR(VLOOKUP(Base_Periodo1[[#This Row],[CONTA]],BaseContasDRE[#All],4,FALSE)),"Fora do DRE",VLOOKUP(Base_Periodo1[[#This Row],[CONTA]],BaseContasDRE[#All],4,FALSE))</f>
        <v>Fora do DRE</v>
      </c>
      <c r="T4321" s="3" t="str">
        <f>IF(ISERROR(VLOOKUP(Base_Periodo1[[#This Row],[CONTA]],BaseContasDRE[#All],5,FALSE)),"Fora do DRE",VLOOKUP(Base_Periodo1[[#This Row],[CONTA]],BaseContasDRE[#All],6,FALSE))</f>
        <v>Fora do DRE</v>
      </c>
      <c r="U4321" s="3" t="str">
        <f>IF(ISERROR(VLOOKUP(Base_Periodo1[[#This Row],[CONTA]],BaseContasDRE[#All],7,FALSE)),"Fora do DRE",VLOOKUP(Base_Periodo1[[#This Row],[CONTA]],BaseContasDRE[#All],7,FALSE))</f>
        <v>Fora do DRE</v>
      </c>
      <c r="V4321" s="3" t="str">
        <f>IF(Base_Periodo1[[#This Row],[Tipo_Linha]]="Fora do DRE","Fora do DRE","( "&amp;Base_Periodo1[[#This Row],[Tipo_Linha]]&amp;" ) "&amp;Base_Periodo1[[#This Row],[Filtro]])</f>
        <v>Fora do DRE</v>
      </c>
      <c r="W4321" s="3" t="str">
        <f>LEFT(Base_Periodo1[[#This Row],[CLASS]],3)</f>
        <v>2.4</v>
      </c>
    </row>
    <row r="4322" spans="1:23" hidden="1">
      <c r="A4322" s="3" t="str">
        <f t="shared" si="67"/>
        <v>Período 1</v>
      </c>
      <c r="B4322">
        <v>30658</v>
      </c>
      <c r="C4322" t="s">
        <v>2300</v>
      </c>
      <c r="D4322" t="s">
        <v>2320</v>
      </c>
      <c r="E4322" s="3" t="str">
        <f>IF(LEN(Base_Periodo1[[#This Row],[CLASS]])&gt;=7,LEFT(Base_Periodo1[[#This Row],[CLASS]],7),"")</f>
        <v>2.4.1.1</v>
      </c>
      <c r="F4322" s="3" t="str">
        <f>VLOOKUP(Base_Periodo1[[#This Row],[Aux]],Base_Contas_Balanco[#All],2,FALSE)</f>
        <v>Capital Social Realizado</v>
      </c>
      <c r="G4322" s="1"/>
      <c r="H4322" s="225">
        <v>50</v>
      </c>
      <c r="I4322" s="225">
        <v>0</v>
      </c>
      <c r="J4322" s="225">
        <v>0</v>
      </c>
      <c r="K4322" s="225">
        <v>50</v>
      </c>
      <c r="L43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22" s="225">
        <f>ROUND(IF(AND(Base_Periodo1[[#This Row],[Tipo_Linha]]="-",Base_Periodo1[[#This Row],[TIPOSALDO]]="D"),Base_Periodo1[[#This Row],[SALDO_ATUAL]]*-1,Base_Periodo1[[#This Row],[SALDO_ATUAL]]),4)</f>
        <v>50</v>
      </c>
      <c r="N4322" t="s">
        <v>116</v>
      </c>
      <c r="O4322" t="s">
        <v>459</v>
      </c>
      <c r="P4322" t="s">
        <v>459</v>
      </c>
      <c r="Q4322">
        <v>6</v>
      </c>
      <c r="R4322" s="225">
        <f>Base_Periodo1[[#This Row],[CREDITOS]]-Base_Periodo1[[#This Row],[DEBITOS]]</f>
        <v>0</v>
      </c>
      <c r="S4322" s="3" t="str">
        <f>IF(ISERROR(VLOOKUP(Base_Periodo1[[#This Row],[CONTA]],BaseContasDRE[#All],4,FALSE)),"Fora do DRE",VLOOKUP(Base_Periodo1[[#This Row],[CONTA]],BaseContasDRE[#All],4,FALSE))</f>
        <v>Fora do DRE</v>
      </c>
      <c r="T4322" s="3" t="str">
        <f>IF(ISERROR(VLOOKUP(Base_Periodo1[[#This Row],[CONTA]],BaseContasDRE[#All],5,FALSE)),"Fora do DRE",VLOOKUP(Base_Periodo1[[#This Row],[CONTA]],BaseContasDRE[#All],6,FALSE))</f>
        <v>Fora do DRE</v>
      </c>
      <c r="U4322" s="3" t="str">
        <f>IF(ISERROR(VLOOKUP(Base_Periodo1[[#This Row],[CONTA]],BaseContasDRE[#All],7,FALSE)),"Fora do DRE",VLOOKUP(Base_Periodo1[[#This Row],[CONTA]],BaseContasDRE[#All],7,FALSE))</f>
        <v>Fora do DRE</v>
      </c>
      <c r="V4322" s="3" t="str">
        <f>IF(Base_Periodo1[[#This Row],[Tipo_Linha]]="Fora do DRE","Fora do DRE","( "&amp;Base_Periodo1[[#This Row],[Tipo_Linha]]&amp;" ) "&amp;Base_Periodo1[[#This Row],[Filtro]])</f>
        <v>Fora do DRE</v>
      </c>
      <c r="W4322" s="3" t="str">
        <f>LEFT(Base_Periodo1[[#This Row],[CLASS]],3)</f>
        <v>2.4</v>
      </c>
    </row>
    <row r="4323" spans="1:23" hidden="1">
      <c r="A4323" s="3" t="str">
        <f t="shared" si="67"/>
        <v>Período 1</v>
      </c>
      <c r="B4323">
        <v>52945</v>
      </c>
      <c r="C4323" t="s">
        <v>2300</v>
      </c>
      <c r="D4323" t="s">
        <v>4879</v>
      </c>
      <c r="E4323" s="3" t="str">
        <f>IF(LEN(Base_Periodo1[[#This Row],[CLASS]])&gt;=7,LEFT(Base_Periodo1[[#This Row],[CLASS]],7),"")</f>
        <v>2.4.1.1</v>
      </c>
      <c r="F4323" s="3" t="str">
        <f>VLOOKUP(Base_Periodo1[[#This Row],[Aux]],Base_Contas_Balanco[#All],2,FALSE)</f>
        <v>Capital Social Realizado</v>
      </c>
      <c r="G4323" s="1"/>
      <c r="H4323" s="225">
        <v>240</v>
      </c>
      <c r="I4323" s="225">
        <v>0</v>
      </c>
      <c r="J4323" s="225">
        <v>0</v>
      </c>
      <c r="K4323" s="225">
        <v>240</v>
      </c>
      <c r="L43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323" s="225">
        <f>ROUND(IF(AND(Base_Periodo1[[#This Row],[Tipo_Linha]]="-",Base_Periodo1[[#This Row],[TIPOSALDO]]="D"),Base_Periodo1[[#This Row],[SALDO_ATUAL]]*-1,Base_Periodo1[[#This Row],[SALDO_ATUAL]]),4)</f>
        <v>240</v>
      </c>
      <c r="N4323" t="s">
        <v>116</v>
      </c>
      <c r="O4323" t="s">
        <v>459</v>
      </c>
      <c r="P4323" t="s">
        <v>459</v>
      </c>
      <c r="Q4323">
        <v>6</v>
      </c>
      <c r="R4323" s="225">
        <f>Base_Periodo1[[#This Row],[CREDITOS]]-Base_Periodo1[[#This Row],[DEBITOS]]</f>
        <v>0</v>
      </c>
      <c r="S4323" s="3" t="str">
        <f>IF(ISERROR(VLOOKUP(Base_Periodo1[[#This Row],[CONTA]],BaseContasDRE[#All],4,FALSE)),"Fora do DRE",VLOOKUP(Base_Periodo1[[#This Row],[CONTA]],BaseContasDRE[#All],4,FALSE))</f>
        <v>Fora do DRE</v>
      </c>
      <c r="T4323" s="3" t="str">
        <f>IF(ISERROR(VLOOKUP(Base_Periodo1[[#This Row],[CONTA]],BaseContasDRE[#All],5,FALSE)),"Fora do DRE",VLOOKUP(Base_Periodo1[[#This Row],[CONTA]],BaseContasDRE[#All],6,FALSE))</f>
        <v>Fora do DRE</v>
      </c>
      <c r="U4323" s="3" t="str">
        <f>IF(ISERROR(VLOOKUP(Base_Periodo1[[#This Row],[CONTA]],BaseContasDRE[#All],7,FALSE)),"Fora do DRE",VLOOKUP(Base_Periodo1[[#This Row],[CONTA]],BaseContasDRE[#All],7,FALSE))</f>
        <v>Fora do DRE</v>
      </c>
      <c r="V4323" s="3" t="str">
        <f>IF(Base_Periodo1[[#This Row],[Tipo_Linha]]="Fora do DRE","Fora do DRE","( "&amp;Base_Periodo1[[#This Row],[Tipo_Linha]]&amp;" ) "&amp;Base_Periodo1[[#This Row],[Filtro]])</f>
        <v>Fora do DRE</v>
      </c>
      <c r="W4323" s="3" t="str">
        <f>LEFT(Base_Periodo1[[#This Row],[CLASS]],3)</f>
        <v>2.4</v>
      </c>
    </row>
    <row r="4324" spans="1:23" hidden="1">
      <c r="A4324" s="3" t="str">
        <f t="shared" si="67"/>
        <v>Período 1</v>
      </c>
      <c r="B4324">
        <v>24619</v>
      </c>
      <c r="C4324" t="s">
        <v>2300</v>
      </c>
      <c r="D4324" t="s">
        <v>2321</v>
      </c>
      <c r="E4324" s="3" t="str">
        <f>IF(LEN(Base_Periodo1[[#This Row],[CLASS]])&gt;=7,LEFT(Base_Periodo1[[#This Row],[CLASS]],7),"")</f>
        <v>2.4.1.1</v>
      </c>
      <c r="F4324" s="3" t="str">
        <f>VLOOKUP(Base_Periodo1[[#This Row],[Aux]],Base_Contas_Balanco[#All],2,FALSE)</f>
        <v>Capital Social Realizado</v>
      </c>
      <c r="G4324" s="1"/>
      <c r="H4324" s="225">
        <v>520.79</v>
      </c>
      <c r="I4324" s="225">
        <v>0</v>
      </c>
      <c r="J4324" s="225">
        <v>0</v>
      </c>
      <c r="K4324" s="225">
        <v>520.79</v>
      </c>
      <c r="L43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520.79</v>
      </c>
      <c r="M4324" s="225">
        <f>ROUND(IF(AND(Base_Periodo1[[#This Row],[Tipo_Linha]]="-",Base_Periodo1[[#This Row],[TIPOSALDO]]="D"),Base_Periodo1[[#This Row],[SALDO_ATUAL]]*-1,Base_Periodo1[[#This Row],[SALDO_ATUAL]]),4)</f>
        <v>520.79</v>
      </c>
      <c r="N4324" t="s">
        <v>116</v>
      </c>
      <c r="O4324" t="s">
        <v>459</v>
      </c>
      <c r="P4324" t="s">
        <v>459</v>
      </c>
      <c r="Q4324">
        <v>6</v>
      </c>
      <c r="R4324" s="225">
        <f>Base_Periodo1[[#This Row],[CREDITOS]]-Base_Periodo1[[#This Row],[DEBITOS]]</f>
        <v>0</v>
      </c>
      <c r="S4324" s="3" t="str">
        <f>IF(ISERROR(VLOOKUP(Base_Periodo1[[#This Row],[CONTA]],BaseContasDRE[#All],4,FALSE)),"Fora do DRE",VLOOKUP(Base_Periodo1[[#This Row],[CONTA]],BaseContasDRE[#All],4,FALSE))</f>
        <v>Fora do DRE</v>
      </c>
      <c r="T4324" s="3" t="str">
        <f>IF(ISERROR(VLOOKUP(Base_Periodo1[[#This Row],[CONTA]],BaseContasDRE[#All],5,FALSE)),"Fora do DRE",VLOOKUP(Base_Periodo1[[#This Row],[CONTA]],BaseContasDRE[#All],6,FALSE))</f>
        <v>Fora do DRE</v>
      </c>
      <c r="U4324" s="3" t="str">
        <f>IF(ISERROR(VLOOKUP(Base_Periodo1[[#This Row],[CONTA]],BaseContasDRE[#All],7,FALSE)),"Fora do DRE",VLOOKUP(Base_Periodo1[[#This Row],[CONTA]],BaseContasDRE[#All],7,FALSE))</f>
        <v>Fora do DRE</v>
      </c>
      <c r="V4324" s="3" t="str">
        <f>IF(Base_Periodo1[[#This Row],[Tipo_Linha]]="Fora do DRE","Fora do DRE","( "&amp;Base_Periodo1[[#This Row],[Tipo_Linha]]&amp;" ) "&amp;Base_Periodo1[[#This Row],[Filtro]])</f>
        <v>Fora do DRE</v>
      </c>
      <c r="W4324" s="3" t="str">
        <f>LEFT(Base_Periodo1[[#This Row],[CLASS]],3)</f>
        <v>2.4</v>
      </c>
    </row>
    <row r="4325" spans="1:23" hidden="1">
      <c r="A4325" s="3" t="str">
        <f t="shared" si="67"/>
        <v>Período 1</v>
      </c>
      <c r="B4325">
        <v>32268</v>
      </c>
      <c r="C4325" t="s">
        <v>2300</v>
      </c>
      <c r="D4325" t="s">
        <v>2322</v>
      </c>
      <c r="E4325" s="3" t="str">
        <f>IF(LEN(Base_Periodo1[[#This Row],[CLASS]])&gt;=7,LEFT(Base_Periodo1[[#This Row],[CLASS]],7),"")</f>
        <v>2.4.1.1</v>
      </c>
      <c r="F4325" s="3" t="str">
        <f>VLOOKUP(Base_Periodo1[[#This Row],[Aux]],Base_Contas_Balanco[#All],2,FALSE)</f>
        <v>Capital Social Realizado</v>
      </c>
      <c r="G4325" s="1"/>
      <c r="H4325" s="225">
        <v>260.7</v>
      </c>
      <c r="I4325" s="225">
        <v>0</v>
      </c>
      <c r="J4325" s="225">
        <v>0</v>
      </c>
      <c r="K4325" s="225">
        <v>260.7</v>
      </c>
      <c r="L43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260.7</v>
      </c>
      <c r="M4325" s="225">
        <f>ROUND(IF(AND(Base_Periodo1[[#This Row],[Tipo_Linha]]="-",Base_Periodo1[[#This Row],[TIPOSALDO]]="D"),Base_Periodo1[[#This Row],[SALDO_ATUAL]]*-1,Base_Periodo1[[#This Row],[SALDO_ATUAL]]),4)</f>
        <v>260.7</v>
      </c>
      <c r="N4325" t="s">
        <v>116</v>
      </c>
      <c r="O4325" t="s">
        <v>459</v>
      </c>
      <c r="P4325" t="s">
        <v>459</v>
      </c>
      <c r="Q4325">
        <v>6</v>
      </c>
      <c r="R4325" s="225">
        <f>Base_Periodo1[[#This Row],[CREDITOS]]-Base_Periodo1[[#This Row],[DEBITOS]]</f>
        <v>0</v>
      </c>
      <c r="S4325" s="3" t="str">
        <f>IF(ISERROR(VLOOKUP(Base_Periodo1[[#This Row],[CONTA]],BaseContasDRE[#All],4,FALSE)),"Fora do DRE",VLOOKUP(Base_Periodo1[[#This Row],[CONTA]],BaseContasDRE[#All],4,FALSE))</f>
        <v>Fora do DRE</v>
      </c>
      <c r="T4325" s="3" t="str">
        <f>IF(ISERROR(VLOOKUP(Base_Periodo1[[#This Row],[CONTA]],BaseContasDRE[#All],5,FALSE)),"Fora do DRE",VLOOKUP(Base_Periodo1[[#This Row],[CONTA]],BaseContasDRE[#All],6,FALSE))</f>
        <v>Fora do DRE</v>
      </c>
      <c r="U4325" s="3" t="str">
        <f>IF(ISERROR(VLOOKUP(Base_Periodo1[[#This Row],[CONTA]],BaseContasDRE[#All],7,FALSE)),"Fora do DRE",VLOOKUP(Base_Periodo1[[#This Row],[CONTA]],BaseContasDRE[#All],7,FALSE))</f>
        <v>Fora do DRE</v>
      </c>
      <c r="V4325" s="3" t="str">
        <f>IF(Base_Periodo1[[#This Row],[Tipo_Linha]]="Fora do DRE","Fora do DRE","( "&amp;Base_Periodo1[[#This Row],[Tipo_Linha]]&amp;" ) "&amp;Base_Periodo1[[#This Row],[Filtro]])</f>
        <v>Fora do DRE</v>
      </c>
      <c r="W4325" s="3" t="str">
        <f>LEFT(Base_Periodo1[[#This Row],[CLASS]],3)</f>
        <v>2.4</v>
      </c>
    </row>
    <row r="4326" spans="1:23" hidden="1">
      <c r="A4326" s="3" t="str">
        <f t="shared" si="67"/>
        <v>Período 1</v>
      </c>
      <c r="B4326">
        <v>27069</v>
      </c>
      <c r="C4326" t="s">
        <v>2300</v>
      </c>
      <c r="D4326" t="s">
        <v>2323</v>
      </c>
      <c r="E4326" s="3" t="str">
        <f>IF(LEN(Base_Periodo1[[#This Row],[CLASS]])&gt;=7,LEFT(Base_Periodo1[[#This Row],[CLASS]],7),"")</f>
        <v>2.4.1.1</v>
      </c>
      <c r="F4326" s="3" t="str">
        <f>VLOOKUP(Base_Periodo1[[#This Row],[Aux]],Base_Contas_Balanco[#All],2,FALSE)</f>
        <v>Capital Social Realizado</v>
      </c>
      <c r="G4326" s="1"/>
      <c r="H4326" s="225">
        <v>195.55</v>
      </c>
      <c r="I4326" s="225">
        <v>0</v>
      </c>
      <c r="J4326" s="225">
        <v>0</v>
      </c>
      <c r="K4326" s="225">
        <v>195.55</v>
      </c>
      <c r="L43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195.55</v>
      </c>
      <c r="M4326" s="225">
        <f>ROUND(IF(AND(Base_Periodo1[[#This Row],[Tipo_Linha]]="-",Base_Periodo1[[#This Row],[TIPOSALDO]]="D"),Base_Periodo1[[#This Row],[SALDO_ATUAL]]*-1,Base_Periodo1[[#This Row],[SALDO_ATUAL]]),4)</f>
        <v>195.55</v>
      </c>
      <c r="N4326" t="s">
        <v>116</v>
      </c>
      <c r="O4326" t="s">
        <v>459</v>
      </c>
      <c r="P4326" t="s">
        <v>459</v>
      </c>
      <c r="Q4326">
        <v>6</v>
      </c>
      <c r="R4326" s="225">
        <f>Base_Periodo1[[#This Row],[CREDITOS]]-Base_Periodo1[[#This Row],[DEBITOS]]</f>
        <v>0</v>
      </c>
      <c r="S4326" s="3" t="str">
        <f>IF(ISERROR(VLOOKUP(Base_Periodo1[[#This Row],[CONTA]],BaseContasDRE[#All],4,FALSE)),"Fora do DRE",VLOOKUP(Base_Periodo1[[#This Row],[CONTA]],BaseContasDRE[#All],4,FALSE))</f>
        <v>Fora do DRE</v>
      </c>
      <c r="T4326" s="3" t="str">
        <f>IF(ISERROR(VLOOKUP(Base_Periodo1[[#This Row],[CONTA]],BaseContasDRE[#All],5,FALSE)),"Fora do DRE",VLOOKUP(Base_Periodo1[[#This Row],[CONTA]],BaseContasDRE[#All],6,FALSE))</f>
        <v>Fora do DRE</v>
      </c>
      <c r="U4326" s="3" t="str">
        <f>IF(ISERROR(VLOOKUP(Base_Periodo1[[#This Row],[CONTA]],BaseContasDRE[#All],7,FALSE)),"Fora do DRE",VLOOKUP(Base_Periodo1[[#This Row],[CONTA]],BaseContasDRE[#All],7,FALSE))</f>
        <v>Fora do DRE</v>
      </c>
      <c r="V4326" s="3" t="str">
        <f>IF(Base_Periodo1[[#This Row],[Tipo_Linha]]="Fora do DRE","Fora do DRE","( "&amp;Base_Periodo1[[#This Row],[Tipo_Linha]]&amp;" ) "&amp;Base_Periodo1[[#This Row],[Filtro]])</f>
        <v>Fora do DRE</v>
      </c>
      <c r="W4326" s="3" t="str">
        <f>LEFT(Base_Periodo1[[#This Row],[CLASS]],3)</f>
        <v>2.4</v>
      </c>
    </row>
    <row r="4327" spans="1:23" hidden="1">
      <c r="A4327" s="3" t="str">
        <f t="shared" si="67"/>
        <v>Período 1</v>
      </c>
      <c r="B4327">
        <v>25574</v>
      </c>
      <c r="C4327" t="s">
        <v>2300</v>
      </c>
      <c r="D4327" t="s">
        <v>2324</v>
      </c>
      <c r="E4327" s="3" t="str">
        <f>IF(LEN(Base_Periodo1[[#This Row],[CLASS]])&gt;=7,LEFT(Base_Periodo1[[#This Row],[CLASS]],7),"")</f>
        <v>2.4.1.1</v>
      </c>
      <c r="F4327" s="3" t="str">
        <f>VLOOKUP(Base_Periodo1[[#This Row],[Aux]],Base_Contas_Balanco[#All],2,FALSE)</f>
        <v>Capital Social Realizado</v>
      </c>
      <c r="G4327" s="1"/>
      <c r="H4327" s="225">
        <v>50</v>
      </c>
      <c r="I4327" s="225">
        <v>0</v>
      </c>
      <c r="J4327" s="225">
        <v>0</v>
      </c>
      <c r="K4327" s="225">
        <v>50</v>
      </c>
      <c r="L43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27" s="225">
        <f>ROUND(IF(AND(Base_Periodo1[[#This Row],[Tipo_Linha]]="-",Base_Periodo1[[#This Row],[TIPOSALDO]]="D"),Base_Periodo1[[#This Row],[SALDO_ATUAL]]*-1,Base_Periodo1[[#This Row],[SALDO_ATUAL]]),4)</f>
        <v>50</v>
      </c>
      <c r="N4327" t="s">
        <v>116</v>
      </c>
      <c r="O4327" t="s">
        <v>459</v>
      </c>
      <c r="P4327" t="s">
        <v>459</v>
      </c>
      <c r="Q4327">
        <v>6</v>
      </c>
      <c r="R4327" s="225">
        <f>Base_Periodo1[[#This Row],[CREDITOS]]-Base_Periodo1[[#This Row],[DEBITOS]]</f>
        <v>0</v>
      </c>
      <c r="S4327" s="3" t="str">
        <f>IF(ISERROR(VLOOKUP(Base_Periodo1[[#This Row],[CONTA]],BaseContasDRE[#All],4,FALSE)),"Fora do DRE",VLOOKUP(Base_Periodo1[[#This Row],[CONTA]],BaseContasDRE[#All],4,FALSE))</f>
        <v>Fora do DRE</v>
      </c>
      <c r="T4327" s="3" t="str">
        <f>IF(ISERROR(VLOOKUP(Base_Periodo1[[#This Row],[CONTA]],BaseContasDRE[#All],5,FALSE)),"Fora do DRE",VLOOKUP(Base_Periodo1[[#This Row],[CONTA]],BaseContasDRE[#All],6,FALSE))</f>
        <v>Fora do DRE</v>
      </c>
      <c r="U4327" s="3" t="str">
        <f>IF(ISERROR(VLOOKUP(Base_Periodo1[[#This Row],[CONTA]],BaseContasDRE[#All],7,FALSE)),"Fora do DRE",VLOOKUP(Base_Periodo1[[#This Row],[CONTA]],BaseContasDRE[#All],7,FALSE))</f>
        <v>Fora do DRE</v>
      </c>
      <c r="V4327" s="3" t="str">
        <f>IF(Base_Periodo1[[#This Row],[Tipo_Linha]]="Fora do DRE","Fora do DRE","( "&amp;Base_Periodo1[[#This Row],[Tipo_Linha]]&amp;" ) "&amp;Base_Periodo1[[#This Row],[Filtro]])</f>
        <v>Fora do DRE</v>
      </c>
      <c r="W4327" s="3" t="str">
        <f>LEFT(Base_Periodo1[[#This Row],[CLASS]],3)</f>
        <v>2.4</v>
      </c>
    </row>
    <row r="4328" spans="1:23" hidden="1">
      <c r="A4328" s="3" t="str">
        <f t="shared" si="67"/>
        <v>Período 1</v>
      </c>
      <c r="B4328">
        <v>35320</v>
      </c>
      <c r="C4328" t="s">
        <v>2300</v>
      </c>
      <c r="D4328" t="s">
        <v>2325</v>
      </c>
      <c r="E4328" s="3" t="str">
        <f>IF(LEN(Base_Periodo1[[#This Row],[CLASS]])&gt;=7,LEFT(Base_Periodo1[[#This Row],[CLASS]],7),"")</f>
        <v>2.4.1.1</v>
      </c>
      <c r="F4328" s="3" t="str">
        <f>VLOOKUP(Base_Periodo1[[#This Row],[Aux]],Base_Contas_Balanco[#All],2,FALSE)</f>
        <v>Capital Social Realizado</v>
      </c>
      <c r="G4328" s="1"/>
      <c r="H4328" s="225">
        <v>1227.17</v>
      </c>
      <c r="I4328" s="225">
        <v>0</v>
      </c>
      <c r="J4328" s="225">
        <v>0</v>
      </c>
      <c r="K4328" s="225">
        <v>1227.17</v>
      </c>
      <c r="L43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1227.17</v>
      </c>
      <c r="M4328" s="225">
        <f>ROUND(IF(AND(Base_Periodo1[[#This Row],[Tipo_Linha]]="-",Base_Periodo1[[#This Row],[TIPOSALDO]]="D"),Base_Periodo1[[#This Row],[SALDO_ATUAL]]*-1,Base_Periodo1[[#This Row],[SALDO_ATUAL]]),4)</f>
        <v>1227.17</v>
      </c>
      <c r="N4328" t="s">
        <v>116</v>
      </c>
      <c r="O4328" t="s">
        <v>459</v>
      </c>
      <c r="P4328" t="s">
        <v>459</v>
      </c>
      <c r="Q4328">
        <v>6</v>
      </c>
      <c r="R4328" s="225">
        <f>Base_Periodo1[[#This Row],[CREDITOS]]-Base_Periodo1[[#This Row],[DEBITOS]]</f>
        <v>0</v>
      </c>
      <c r="S4328" s="3" t="str">
        <f>IF(ISERROR(VLOOKUP(Base_Periodo1[[#This Row],[CONTA]],BaseContasDRE[#All],4,FALSE)),"Fora do DRE",VLOOKUP(Base_Periodo1[[#This Row],[CONTA]],BaseContasDRE[#All],4,FALSE))</f>
        <v>Fora do DRE</v>
      </c>
      <c r="T4328" s="3" t="str">
        <f>IF(ISERROR(VLOOKUP(Base_Periodo1[[#This Row],[CONTA]],BaseContasDRE[#All],5,FALSE)),"Fora do DRE",VLOOKUP(Base_Periodo1[[#This Row],[CONTA]],BaseContasDRE[#All],6,FALSE))</f>
        <v>Fora do DRE</v>
      </c>
      <c r="U4328" s="3" t="str">
        <f>IF(ISERROR(VLOOKUP(Base_Periodo1[[#This Row],[CONTA]],BaseContasDRE[#All],7,FALSE)),"Fora do DRE",VLOOKUP(Base_Periodo1[[#This Row],[CONTA]],BaseContasDRE[#All],7,FALSE))</f>
        <v>Fora do DRE</v>
      </c>
      <c r="V4328" s="3" t="str">
        <f>IF(Base_Periodo1[[#This Row],[Tipo_Linha]]="Fora do DRE","Fora do DRE","( "&amp;Base_Periodo1[[#This Row],[Tipo_Linha]]&amp;" ) "&amp;Base_Periodo1[[#This Row],[Filtro]])</f>
        <v>Fora do DRE</v>
      </c>
      <c r="W4328" s="3" t="str">
        <f>LEFT(Base_Periodo1[[#This Row],[CLASS]],3)</f>
        <v>2.4</v>
      </c>
    </row>
    <row r="4329" spans="1:23" hidden="1">
      <c r="A4329" s="3" t="str">
        <f t="shared" si="67"/>
        <v>Período 1</v>
      </c>
      <c r="B4329">
        <v>16305</v>
      </c>
      <c r="C4329" t="s">
        <v>2300</v>
      </c>
      <c r="D4329" t="s">
        <v>2326</v>
      </c>
      <c r="E4329" s="3" t="str">
        <f>IF(LEN(Base_Periodo1[[#This Row],[CLASS]])&gt;=7,LEFT(Base_Periodo1[[#This Row],[CLASS]],7),"")</f>
        <v>2.4.1.1</v>
      </c>
      <c r="F4329" s="3" t="str">
        <f>VLOOKUP(Base_Periodo1[[#This Row],[Aux]],Base_Contas_Balanco[#All],2,FALSE)</f>
        <v>Capital Social Realizado</v>
      </c>
      <c r="G4329" s="1"/>
      <c r="H4329" s="225">
        <v>85284.76</v>
      </c>
      <c r="I4329" s="225">
        <v>0</v>
      </c>
      <c r="J4329" s="225">
        <v>0</v>
      </c>
      <c r="K4329" s="225">
        <v>85284.76</v>
      </c>
      <c r="L43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85284.76</v>
      </c>
      <c r="M4329" s="225">
        <f>ROUND(IF(AND(Base_Periodo1[[#This Row],[Tipo_Linha]]="-",Base_Periodo1[[#This Row],[TIPOSALDO]]="D"),Base_Periodo1[[#This Row],[SALDO_ATUAL]]*-1,Base_Periodo1[[#This Row],[SALDO_ATUAL]]),4)</f>
        <v>85284.76</v>
      </c>
      <c r="N4329" t="s">
        <v>116</v>
      </c>
      <c r="O4329" t="s">
        <v>459</v>
      </c>
      <c r="P4329" t="s">
        <v>459</v>
      </c>
      <c r="Q4329">
        <v>6</v>
      </c>
      <c r="R4329" s="225">
        <f>Base_Periodo1[[#This Row],[CREDITOS]]-Base_Periodo1[[#This Row],[DEBITOS]]</f>
        <v>0</v>
      </c>
      <c r="S4329" s="3" t="str">
        <f>IF(ISERROR(VLOOKUP(Base_Periodo1[[#This Row],[CONTA]],BaseContasDRE[#All],4,FALSE)),"Fora do DRE",VLOOKUP(Base_Periodo1[[#This Row],[CONTA]],BaseContasDRE[#All],4,FALSE))</f>
        <v>Fora do DRE</v>
      </c>
      <c r="T4329" s="3" t="str">
        <f>IF(ISERROR(VLOOKUP(Base_Periodo1[[#This Row],[CONTA]],BaseContasDRE[#All],5,FALSE)),"Fora do DRE",VLOOKUP(Base_Periodo1[[#This Row],[CONTA]],BaseContasDRE[#All],6,FALSE))</f>
        <v>Fora do DRE</v>
      </c>
      <c r="U4329" s="3" t="str">
        <f>IF(ISERROR(VLOOKUP(Base_Periodo1[[#This Row],[CONTA]],BaseContasDRE[#All],7,FALSE)),"Fora do DRE",VLOOKUP(Base_Periodo1[[#This Row],[CONTA]],BaseContasDRE[#All],7,FALSE))</f>
        <v>Fora do DRE</v>
      </c>
      <c r="V4329" s="3" t="str">
        <f>IF(Base_Periodo1[[#This Row],[Tipo_Linha]]="Fora do DRE","Fora do DRE","( "&amp;Base_Periodo1[[#This Row],[Tipo_Linha]]&amp;" ) "&amp;Base_Periodo1[[#This Row],[Filtro]])</f>
        <v>Fora do DRE</v>
      </c>
      <c r="W4329" s="3" t="str">
        <f>LEFT(Base_Periodo1[[#This Row],[CLASS]],3)</f>
        <v>2.4</v>
      </c>
    </row>
    <row r="4330" spans="1:23" hidden="1">
      <c r="A4330" s="3" t="str">
        <f t="shared" si="67"/>
        <v>Período 1</v>
      </c>
      <c r="B4330">
        <v>16392</v>
      </c>
      <c r="C4330" t="s">
        <v>2300</v>
      </c>
      <c r="D4330" t="s">
        <v>2327</v>
      </c>
      <c r="E4330" s="3" t="str">
        <f>IF(LEN(Base_Periodo1[[#This Row],[CLASS]])&gt;=7,LEFT(Base_Periodo1[[#This Row],[CLASS]],7),"")</f>
        <v>2.4.1.1</v>
      </c>
      <c r="F4330" s="3" t="str">
        <f>VLOOKUP(Base_Periodo1[[#This Row],[Aux]],Base_Contas_Balanco[#All],2,FALSE)</f>
        <v>Capital Social Realizado</v>
      </c>
      <c r="G4330" s="1"/>
      <c r="H4330" s="225">
        <v>8121.32</v>
      </c>
      <c r="I4330" s="225">
        <v>0</v>
      </c>
      <c r="J4330" s="225">
        <v>0</v>
      </c>
      <c r="K4330" s="225">
        <v>8121.32</v>
      </c>
      <c r="L43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8121.32</v>
      </c>
      <c r="M4330" s="225">
        <f>ROUND(IF(AND(Base_Periodo1[[#This Row],[Tipo_Linha]]="-",Base_Periodo1[[#This Row],[TIPOSALDO]]="D"),Base_Periodo1[[#This Row],[SALDO_ATUAL]]*-1,Base_Periodo1[[#This Row],[SALDO_ATUAL]]),4)</f>
        <v>8121.32</v>
      </c>
      <c r="N4330" t="s">
        <v>116</v>
      </c>
      <c r="O4330" t="s">
        <v>459</v>
      </c>
      <c r="P4330" t="s">
        <v>459</v>
      </c>
      <c r="Q4330">
        <v>6</v>
      </c>
      <c r="R4330" s="225">
        <f>Base_Periodo1[[#This Row],[CREDITOS]]-Base_Periodo1[[#This Row],[DEBITOS]]</f>
        <v>0</v>
      </c>
      <c r="S4330" s="3" t="str">
        <f>IF(ISERROR(VLOOKUP(Base_Periodo1[[#This Row],[CONTA]],BaseContasDRE[#All],4,FALSE)),"Fora do DRE",VLOOKUP(Base_Periodo1[[#This Row],[CONTA]],BaseContasDRE[#All],4,FALSE))</f>
        <v>Fora do DRE</v>
      </c>
      <c r="T4330" s="3" t="str">
        <f>IF(ISERROR(VLOOKUP(Base_Periodo1[[#This Row],[CONTA]],BaseContasDRE[#All],5,FALSE)),"Fora do DRE",VLOOKUP(Base_Periodo1[[#This Row],[CONTA]],BaseContasDRE[#All],6,FALSE))</f>
        <v>Fora do DRE</v>
      </c>
      <c r="U4330" s="3" t="str">
        <f>IF(ISERROR(VLOOKUP(Base_Periodo1[[#This Row],[CONTA]],BaseContasDRE[#All],7,FALSE)),"Fora do DRE",VLOOKUP(Base_Periodo1[[#This Row],[CONTA]],BaseContasDRE[#All],7,FALSE))</f>
        <v>Fora do DRE</v>
      </c>
      <c r="V4330" s="3" t="str">
        <f>IF(Base_Periodo1[[#This Row],[Tipo_Linha]]="Fora do DRE","Fora do DRE","( "&amp;Base_Periodo1[[#This Row],[Tipo_Linha]]&amp;" ) "&amp;Base_Periodo1[[#This Row],[Filtro]])</f>
        <v>Fora do DRE</v>
      </c>
      <c r="W4330" s="3" t="str">
        <f>LEFT(Base_Periodo1[[#This Row],[CLASS]],3)</f>
        <v>2.4</v>
      </c>
    </row>
    <row r="4331" spans="1:23" hidden="1">
      <c r="A4331" s="3" t="str">
        <f t="shared" si="67"/>
        <v>Período 1</v>
      </c>
      <c r="B4331">
        <v>46849</v>
      </c>
      <c r="C4331" t="s">
        <v>2300</v>
      </c>
      <c r="D4331" t="s">
        <v>2328</v>
      </c>
      <c r="E4331" s="3" t="str">
        <f>IF(LEN(Base_Periodo1[[#This Row],[CLASS]])&gt;=7,LEFT(Base_Periodo1[[#This Row],[CLASS]],7),"")</f>
        <v>2.4.1.1</v>
      </c>
      <c r="F4331" s="3" t="str">
        <f>VLOOKUP(Base_Periodo1[[#This Row],[Aux]],Base_Contas_Balanco[#All],2,FALSE)</f>
        <v>Capital Social Realizado</v>
      </c>
      <c r="G4331" s="1"/>
      <c r="H4331" s="225">
        <v>380.15</v>
      </c>
      <c r="I4331" s="225">
        <v>0</v>
      </c>
      <c r="J4331" s="225">
        <v>0</v>
      </c>
      <c r="K4331" s="225">
        <v>380.15</v>
      </c>
      <c r="L43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380.15</v>
      </c>
      <c r="M4331" s="225">
        <f>ROUND(IF(AND(Base_Periodo1[[#This Row],[Tipo_Linha]]="-",Base_Periodo1[[#This Row],[TIPOSALDO]]="D"),Base_Periodo1[[#This Row],[SALDO_ATUAL]]*-1,Base_Periodo1[[#This Row],[SALDO_ATUAL]]),4)</f>
        <v>380.15</v>
      </c>
      <c r="N4331" t="s">
        <v>116</v>
      </c>
      <c r="O4331" t="s">
        <v>459</v>
      </c>
      <c r="P4331" t="s">
        <v>459</v>
      </c>
      <c r="Q4331">
        <v>6</v>
      </c>
      <c r="R4331" s="225">
        <f>Base_Periodo1[[#This Row],[CREDITOS]]-Base_Periodo1[[#This Row],[DEBITOS]]</f>
        <v>0</v>
      </c>
      <c r="S4331" s="3" t="str">
        <f>IF(ISERROR(VLOOKUP(Base_Periodo1[[#This Row],[CONTA]],BaseContasDRE[#All],4,FALSE)),"Fora do DRE",VLOOKUP(Base_Periodo1[[#This Row],[CONTA]],BaseContasDRE[#All],4,FALSE))</f>
        <v>Fora do DRE</v>
      </c>
      <c r="T4331" s="3" t="str">
        <f>IF(ISERROR(VLOOKUP(Base_Periodo1[[#This Row],[CONTA]],BaseContasDRE[#All],5,FALSE)),"Fora do DRE",VLOOKUP(Base_Periodo1[[#This Row],[CONTA]],BaseContasDRE[#All],6,FALSE))</f>
        <v>Fora do DRE</v>
      </c>
      <c r="U4331" s="3" t="str">
        <f>IF(ISERROR(VLOOKUP(Base_Periodo1[[#This Row],[CONTA]],BaseContasDRE[#All],7,FALSE)),"Fora do DRE",VLOOKUP(Base_Periodo1[[#This Row],[CONTA]],BaseContasDRE[#All],7,FALSE))</f>
        <v>Fora do DRE</v>
      </c>
      <c r="V4331" s="3" t="str">
        <f>IF(Base_Periodo1[[#This Row],[Tipo_Linha]]="Fora do DRE","Fora do DRE","( "&amp;Base_Periodo1[[#This Row],[Tipo_Linha]]&amp;" ) "&amp;Base_Periodo1[[#This Row],[Filtro]])</f>
        <v>Fora do DRE</v>
      </c>
      <c r="W4331" s="3" t="str">
        <f>LEFT(Base_Periodo1[[#This Row],[CLASS]],3)</f>
        <v>2.4</v>
      </c>
    </row>
    <row r="4332" spans="1:23" hidden="1">
      <c r="A4332" s="3" t="str">
        <f t="shared" si="67"/>
        <v>Período 1</v>
      </c>
      <c r="B4332">
        <v>19283</v>
      </c>
      <c r="C4332" t="s">
        <v>2300</v>
      </c>
      <c r="D4332" t="s">
        <v>2329</v>
      </c>
      <c r="E4332" s="3" t="str">
        <f>IF(LEN(Base_Periodo1[[#This Row],[CLASS]])&gt;=7,LEFT(Base_Periodo1[[#This Row],[CLASS]],7),"")</f>
        <v>2.4.1.1</v>
      </c>
      <c r="F4332" s="3" t="str">
        <f>VLOOKUP(Base_Periodo1[[#This Row],[Aux]],Base_Contas_Balanco[#All],2,FALSE)</f>
        <v>Capital Social Realizado</v>
      </c>
      <c r="G4332" s="1"/>
      <c r="H4332" s="225">
        <v>1180.21</v>
      </c>
      <c r="I4332" s="225">
        <v>0</v>
      </c>
      <c r="J4332" s="225">
        <v>0</v>
      </c>
      <c r="K4332" s="225">
        <v>1180.21</v>
      </c>
      <c r="L43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1180.21</v>
      </c>
      <c r="M4332" s="225">
        <f>ROUND(IF(AND(Base_Periodo1[[#This Row],[Tipo_Linha]]="-",Base_Periodo1[[#This Row],[TIPOSALDO]]="D"),Base_Periodo1[[#This Row],[SALDO_ATUAL]]*-1,Base_Periodo1[[#This Row],[SALDO_ATUAL]]),4)</f>
        <v>1180.21</v>
      </c>
      <c r="N4332" t="s">
        <v>116</v>
      </c>
      <c r="O4332" t="s">
        <v>459</v>
      </c>
      <c r="P4332" t="s">
        <v>459</v>
      </c>
      <c r="Q4332">
        <v>6</v>
      </c>
      <c r="R4332" s="225">
        <f>Base_Periodo1[[#This Row],[CREDITOS]]-Base_Periodo1[[#This Row],[DEBITOS]]</f>
        <v>0</v>
      </c>
      <c r="S4332" s="3" t="str">
        <f>IF(ISERROR(VLOOKUP(Base_Periodo1[[#This Row],[CONTA]],BaseContasDRE[#All],4,FALSE)),"Fora do DRE",VLOOKUP(Base_Periodo1[[#This Row],[CONTA]],BaseContasDRE[#All],4,FALSE))</f>
        <v>Fora do DRE</v>
      </c>
      <c r="T4332" s="3" t="str">
        <f>IF(ISERROR(VLOOKUP(Base_Periodo1[[#This Row],[CONTA]],BaseContasDRE[#All],5,FALSE)),"Fora do DRE",VLOOKUP(Base_Periodo1[[#This Row],[CONTA]],BaseContasDRE[#All],6,FALSE))</f>
        <v>Fora do DRE</v>
      </c>
      <c r="U4332" s="3" t="str">
        <f>IF(ISERROR(VLOOKUP(Base_Periodo1[[#This Row],[CONTA]],BaseContasDRE[#All],7,FALSE)),"Fora do DRE",VLOOKUP(Base_Periodo1[[#This Row],[CONTA]],BaseContasDRE[#All],7,FALSE))</f>
        <v>Fora do DRE</v>
      </c>
      <c r="V4332" s="3" t="str">
        <f>IF(Base_Periodo1[[#This Row],[Tipo_Linha]]="Fora do DRE","Fora do DRE","( "&amp;Base_Periodo1[[#This Row],[Tipo_Linha]]&amp;" ) "&amp;Base_Periodo1[[#This Row],[Filtro]])</f>
        <v>Fora do DRE</v>
      </c>
      <c r="W4332" s="3" t="str">
        <f>LEFT(Base_Periodo1[[#This Row],[CLASS]],3)</f>
        <v>2.4</v>
      </c>
    </row>
    <row r="4333" spans="1:23" hidden="1">
      <c r="A4333" s="3" t="str">
        <f t="shared" si="67"/>
        <v>Período 1</v>
      </c>
      <c r="B4333">
        <v>16315</v>
      </c>
      <c r="C4333" t="s">
        <v>2300</v>
      </c>
      <c r="D4333" t="s">
        <v>2330</v>
      </c>
      <c r="E4333" s="3" t="str">
        <f>IF(LEN(Base_Periodo1[[#This Row],[CLASS]])&gt;=7,LEFT(Base_Periodo1[[#This Row],[CLASS]],7),"")</f>
        <v>2.4.1.1</v>
      </c>
      <c r="F4333" s="3" t="str">
        <f>VLOOKUP(Base_Periodo1[[#This Row],[Aux]],Base_Contas_Balanco[#All],2,FALSE)</f>
        <v>Capital Social Realizado</v>
      </c>
      <c r="G4333" s="1"/>
      <c r="H4333" s="225">
        <v>3728.81</v>
      </c>
      <c r="I4333" s="225">
        <v>0</v>
      </c>
      <c r="J4333" s="225">
        <v>0</v>
      </c>
      <c r="K4333" s="225">
        <v>3728.81</v>
      </c>
      <c r="L43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3728.81</v>
      </c>
      <c r="M4333" s="225">
        <f>ROUND(IF(AND(Base_Periodo1[[#This Row],[Tipo_Linha]]="-",Base_Periodo1[[#This Row],[TIPOSALDO]]="D"),Base_Periodo1[[#This Row],[SALDO_ATUAL]]*-1,Base_Periodo1[[#This Row],[SALDO_ATUAL]]),4)</f>
        <v>3728.81</v>
      </c>
      <c r="N4333" t="s">
        <v>116</v>
      </c>
      <c r="O4333" t="s">
        <v>459</v>
      </c>
      <c r="P4333" t="s">
        <v>459</v>
      </c>
      <c r="Q4333">
        <v>6</v>
      </c>
      <c r="R4333" s="225">
        <f>Base_Periodo1[[#This Row],[CREDITOS]]-Base_Periodo1[[#This Row],[DEBITOS]]</f>
        <v>0</v>
      </c>
      <c r="S4333" s="3" t="str">
        <f>IF(ISERROR(VLOOKUP(Base_Periodo1[[#This Row],[CONTA]],BaseContasDRE[#All],4,FALSE)),"Fora do DRE",VLOOKUP(Base_Periodo1[[#This Row],[CONTA]],BaseContasDRE[#All],4,FALSE))</f>
        <v>Fora do DRE</v>
      </c>
      <c r="T4333" s="3" t="str">
        <f>IF(ISERROR(VLOOKUP(Base_Periodo1[[#This Row],[CONTA]],BaseContasDRE[#All],5,FALSE)),"Fora do DRE",VLOOKUP(Base_Periodo1[[#This Row],[CONTA]],BaseContasDRE[#All],6,FALSE))</f>
        <v>Fora do DRE</v>
      </c>
      <c r="U4333" s="3" t="str">
        <f>IF(ISERROR(VLOOKUP(Base_Periodo1[[#This Row],[CONTA]],BaseContasDRE[#All],7,FALSE)),"Fora do DRE",VLOOKUP(Base_Periodo1[[#This Row],[CONTA]],BaseContasDRE[#All],7,FALSE))</f>
        <v>Fora do DRE</v>
      </c>
      <c r="V4333" s="3" t="str">
        <f>IF(Base_Periodo1[[#This Row],[Tipo_Linha]]="Fora do DRE","Fora do DRE","( "&amp;Base_Periodo1[[#This Row],[Tipo_Linha]]&amp;" ) "&amp;Base_Periodo1[[#This Row],[Filtro]])</f>
        <v>Fora do DRE</v>
      </c>
      <c r="W4333" s="3" t="str">
        <f>LEFT(Base_Periodo1[[#This Row],[CLASS]],3)</f>
        <v>2.4</v>
      </c>
    </row>
    <row r="4334" spans="1:23" hidden="1">
      <c r="A4334" s="3" t="str">
        <f t="shared" si="67"/>
        <v>Período 1</v>
      </c>
      <c r="B4334">
        <v>39358</v>
      </c>
      <c r="C4334" t="s">
        <v>2300</v>
      </c>
      <c r="D4334" t="s">
        <v>2331</v>
      </c>
      <c r="E4334" s="3" t="str">
        <f>IF(LEN(Base_Periodo1[[#This Row],[CLASS]])&gt;=7,LEFT(Base_Periodo1[[#This Row],[CLASS]],7),"")</f>
        <v>2.4.1.1</v>
      </c>
      <c r="F4334" s="3" t="str">
        <f>VLOOKUP(Base_Periodo1[[#This Row],[Aux]],Base_Contas_Balanco[#All],2,FALSE)</f>
        <v>Capital Social Realizado</v>
      </c>
      <c r="G4334" s="1"/>
      <c r="H4334" s="225">
        <v>1013.3</v>
      </c>
      <c r="I4334" s="225">
        <v>0</v>
      </c>
      <c r="J4334" s="225">
        <v>0</v>
      </c>
      <c r="K4334" s="225">
        <v>1013.3</v>
      </c>
      <c r="L43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1013.3</v>
      </c>
      <c r="M4334" s="225">
        <f>ROUND(IF(AND(Base_Periodo1[[#This Row],[Tipo_Linha]]="-",Base_Periodo1[[#This Row],[TIPOSALDO]]="D"),Base_Periodo1[[#This Row],[SALDO_ATUAL]]*-1,Base_Periodo1[[#This Row],[SALDO_ATUAL]]),4)</f>
        <v>1013.3</v>
      </c>
      <c r="N4334" t="s">
        <v>116</v>
      </c>
      <c r="O4334" t="s">
        <v>459</v>
      </c>
      <c r="P4334" t="s">
        <v>459</v>
      </c>
      <c r="Q4334">
        <v>6</v>
      </c>
      <c r="R4334" s="225">
        <f>Base_Periodo1[[#This Row],[CREDITOS]]-Base_Periodo1[[#This Row],[DEBITOS]]</f>
        <v>0</v>
      </c>
      <c r="S4334" s="3" t="str">
        <f>IF(ISERROR(VLOOKUP(Base_Periodo1[[#This Row],[CONTA]],BaseContasDRE[#All],4,FALSE)),"Fora do DRE",VLOOKUP(Base_Periodo1[[#This Row],[CONTA]],BaseContasDRE[#All],4,FALSE))</f>
        <v>Fora do DRE</v>
      </c>
      <c r="T4334" s="3" t="str">
        <f>IF(ISERROR(VLOOKUP(Base_Periodo1[[#This Row],[CONTA]],BaseContasDRE[#All],5,FALSE)),"Fora do DRE",VLOOKUP(Base_Periodo1[[#This Row],[CONTA]],BaseContasDRE[#All],6,FALSE))</f>
        <v>Fora do DRE</v>
      </c>
      <c r="U4334" s="3" t="str">
        <f>IF(ISERROR(VLOOKUP(Base_Periodo1[[#This Row],[CONTA]],BaseContasDRE[#All],7,FALSE)),"Fora do DRE",VLOOKUP(Base_Periodo1[[#This Row],[CONTA]],BaseContasDRE[#All],7,FALSE))</f>
        <v>Fora do DRE</v>
      </c>
      <c r="V4334" s="3" t="str">
        <f>IF(Base_Periodo1[[#This Row],[Tipo_Linha]]="Fora do DRE","Fora do DRE","( "&amp;Base_Periodo1[[#This Row],[Tipo_Linha]]&amp;" ) "&amp;Base_Periodo1[[#This Row],[Filtro]])</f>
        <v>Fora do DRE</v>
      </c>
      <c r="W4334" s="3" t="str">
        <f>LEFT(Base_Periodo1[[#This Row],[CLASS]],3)</f>
        <v>2.4</v>
      </c>
    </row>
    <row r="4335" spans="1:23" hidden="1">
      <c r="A4335" s="3" t="str">
        <f t="shared" si="67"/>
        <v>Período 1</v>
      </c>
      <c r="B4335">
        <v>19337</v>
      </c>
      <c r="C4335" t="s">
        <v>2300</v>
      </c>
      <c r="D4335" t="s">
        <v>2332</v>
      </c>
      <c r="E4335" s="3" t="str">
        <f>IF(LEN(Base_Periodo1[[#This Row],[CLASS]])&gt;=7,LEFT(Base_Periodo1[[#This Row],[CLASS]],7),"")</f>
        <v>2.4.1.1</v>
      </c>
      <c r="F4335" s="3" t="str">
        <f>VLOOKUP(Base_Periodo1[[#This Row],[Aux]],Base_Contas_Balanco[#All],2,FALSE)</f>
        <v>Capital Social Realizado</v>
      </c>
      <c r="G4335" s="1"/>
      <c r="H4335" s="225">
        <v>3376.48</v>
      </c>
      <c r="I4335" s="225">
        <v>0</v>
      </c>
      <c r="J4335" s="225">
        <v>0</v>
      </c>
      <c r="K4335" s="225">
        <v>3376.48</v>
      </c>
      <c r="L43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3376.48</v>
      </c>
      <c r="M4335" s="225">
        <f>ROUND(IF(AND(Base_Periodo1[[#This Row],[Tipo_Linha]]="-",Base_Periodo1[[#This Row],[TIPOSALDO]]="D"),Base_Periodo1[[#This Row],[SALDO_ATUAL]]*-1,Base_Periodo1[[#This Row],[SALDO_ATUAL]]),4)</f>
        <v>3376.48</v>
      </c>
      <c r="N4335" t="s">
        <v>116</v>
      </c>
      <c r="O4335" t="s">
        <v>459</v>
      </c>
      <c r="P4335" t="s">
        <v>459</v>
      </c>
      <c r="Q4335">
        <v>6</v>
      </c>
      <c r="R4335" s="225">
        <f>Base_Periodo1[[#This Row],[CREDITOS]]-Base_Periodo1[[#This Row],[DEBITOS]]</f>
        <v>0</v>
      </c>
      <c r="S4335" s="3" t="str">
        <f>IF(ISERROR(VLOOKUP(Base_Periodo1[[#This Row],[CONTA]],BaseContasDRE[#All],4,FALSE)),"Fora do DRE",VLOOKUP(Base_Periodo1[[#This Row],[CONTA]],BaseContasDRE[#All],4,FALSE))</f>
        <v>Fora do DRE</v>
      </c>
      <c r="T4335" s="3" t="str">
        <f>IF(ISERROR(VLOOKUP(Base_Periodo1[[#This Row],[CONTA]],BaseContasDRE[#All],5,FALSE)),"Fora do DRE",VLOOKUP(Base_Periodo1[[#This Row],[CONTA]],BaseContasDRE[#All],6,FALSE))</f>
        <v>Fora do DRE</v>
      </c>
      <c r="U4335" s="3" t="str">
        <f>IF(ISERROR(VLOOKUP(Base_Periodo1[[#This Row],[CONTA]],BaseContasDRE[#All],7,FALSE)),"Fora do DRE",VLOOKUP(Base_Periodo1[[#This Row],[CONTA]],BaseContasDRE[#All],7,FALSE))</f>
        <v>Fora do DRE</v>
      </c>
      <c r="V4335" s="3" t="str">
        <f>IF(Base_Periodo1[[#This Row],[Tipo_Linha]]="Fora do DRE","Fora do DRE","( "&amp;Base_Periodo1[[#This Row],[Tipo_Linha]]&amp;" ) "&amp;Base_Periodo1[[#This Row],[Filtro]])</f>
        <v>Fora do DRE</v>
      </c>
      <c r="W4335" s="3" t="str">
        <f>LEFT(Base_Periodo1[[#This Row],[CLASS]],3)</f>
        <v>2.4</v>
      </c>
    </row>
    <row r="4336" spans="1:23" hidden="1">
      <c r="A4336" s="3" t="str">
        <f t="shared" si="67"/>
        <v>Período 1</v>
      </c>
      <c r="B4336">
        <v>53948</v>
      </c>
      <c r="C4336" t="s">
        <v>2300</v>
      </c>
      <c r="D4336" t="s">
        <v>5089</v>
      </c>
      <c r="E4336" s="3" t="str">
        <f>IF(LEN(Base_Periodo1[[#This Row],[CLASS]])&gt;=7,LEFT(Base_Periodo1[[#This Row],[CLASS]],7),"")</f>
        <v>2.4.1.1</v>
      </c>
      <c r="F4336" s="3" t="str">
        <f>VLOOKUP(Base_Periodo1[[#This Row],[Aux]],Base_Contas_Balanco[#All],2,FALSE)</f>
        <v>Capital Social Realizado</v>
      </c>
      <c r="G4336" s="1"/>
      <c r="H4336" s="225">
        <v>50</v>
      </c>
      <c r="I4336" s="225">
        <v>0</v>
      </c>
      <c r="J4336" s="225">
        <v>0</v>
      </c>
      <c r="K4336" s="225">
        <v>50</v>
      </c>
      <c r="L43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36" s="225">
        <f>ROUND(IF(AND(Base_Periodo1[[#This Row],[Tipo_Linha]]="-",Base_Periodo1[[#This Row],[TIPOSALDO]]="D"),Base_Periodo1[[#This Row],[SALDO_ATUAL]]*-1,Base_Periodo1[[#This Row],[SALDO_ATUAL]]),4)</f>
        <v>50</v>
      </c>
      <c r="N4336" t="s">
        <v>116</v>
      </c>
      <c r="O4336" t="s">
        <v>459</v>
      </c>
      <c r="P4336" t="s">
        <v>459</v>
      </c>
      <c r="Q4336">
        <v>6</v>
      </c>
      <c r="R4336" s="225">
        <f>Base_Periodo1[[#This Row],[CREDITOS]]-Base_Periodo1[[#This Row],[DEBITOS]]</f>
        <v>0</v>
      </c>
      <c r="S4336" s="3" t="str">
        <f>IF(ISERROR(VLOOKUP(Base_Periodo1[[#This Row],[CONTA]],BaseContasDRE[#All],4,FALSE)),"Fora do DRE",VLOOKUP(Base_Periodo1[[#This Row],[CONTA]],BaseContasDRE[#All],4,FALSE))</f>
        <v>Fora do DRE</v>
      </c>
      <c r="T4336" s="3" t="str">
        <f>IF(ISERROR(VLOOKUP(Base_Periodo1[[#This Row],[CONTA]],BaseContasDRE[#All],5,FALSE)),"Fora do DRE",VLOOKUP(Base_Periodo1[[#This Row],[CONTA]],BaseContasDRE[#All],6,FALSE))</f>
        <v>Fora do DRE</v>
      </c>
      <c r="U4336" s="3" t="str">
        <f>IF(ISERROR(VLOOKUP(Base_Periodo1[[#This Row],[CONTA]],BaseContasDRE[#All],7,FALSE)),"Fora do DRE",VLOOKUP(Base_Periodo1[[#This Row],[CONTA]],BaseContasDRE[#All],7,FALSE))</f>
        <v>Fora do DRE</v>
      </c>
      <c r="V4336" s="3" t="str">
        <f>IF(Base_Periodo1[[#This Row],[Tipo_Linha]]="Fora do DRE","Fora do DRE","( "&amp;Base_Periodo1[[#This Row],[Tipo_Linha]]&amp;" ) "&amp;Base_Periodo1[[#This Row],[Filtro]])</f>
        <v>Fora do DRE</v>
      </c>
      <c r="W4336" s="3" t="str">
        <f>LEFT(Base_Periodo1[[#This Row],[CLASS]],3)</f>
        <v>2.4</v>
      </c>
    </row>
    <row r="4337" spans="1:23" hidden="1">
      <c r="A4337" s="3" t="str">
        <f t="shared" si="67"/>
        <v>Período 1</v>
      </c>
      <c r="B4337">
        <v>40754</v>
      </c>
      <c r="C4337" t="s">
        <v>2300</v>
      </c>
      <c r="D4337" t="s">
        <v>2333</v>
      </c>
      <c r="E4337" s="3" t="str">
        <f>IF(LEN(Base_Periodo1[[#This Row],[CLASS]])&gt;=7,LEFT(Base_Periodo1[[#This Row],[CLASS]],7),"")</f>
        <v>2.4.1.1</v>
      </c>
      <c r="F4337" s="3" t="str">
        <f>VLOOKUP(Base_Periodo1[[#This Row],[Aux]],Base_Contas_Balanco[#All],2,FALSE)</f>
        <v>Capital Social Realizado</v>
      </c>
      <c r="G4337" s="1"/>
      <c r="H4337" s="225">
        <v>109.22</v>
      </c>
      <c r="I4337" s="225">
        <v>0</v>
      </c>
      <c r="J4337" s="225">
        <v>0</v>
      </c>
      <c r="K4337" s="225">
        <v>109.22</v>
      </c>
      <c r="L43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109.22</v>
      </c>
      <c r="M4337" s="225">
        <f>ROUND(IF(AND(Base_Periodo1[[#This Row],[Tipo_Linha]]="-",Base_Periodo1[[#This Row],[TIPOSALDO]]="D"),Base_Periodo1[[#This Row],[SALDO_ATUAL]]*-1,Base_Periodo1[[#This Row],[SALDO_ATUAL]]),4)</f>
        <v>109.22</v>
      </c>
      <c r="N4337" t="s">
        <v>116</v>
      </c>
      <c r="O4337" t="s">
        <v>459</v>
      </c>
      <c r="P4337" t="s">
        <v>459</v>
      </c>
      <c r="Q4337">
        <v>6</v>
      </c>
      <c r="R4337" s="225">
        <f>Base_Periodo1[[#This Row],[CREDITOS]]-Base_Periodo1[[#This Row],[DEBITOS]]</f>
        <v>0</v>
      </c>
      <c r="S4337" s="3" t="str">
        <f>IF(ISERROR(VLOOKUP(Base_Periodo1[[#This Row],[CONTA]],BaseContasDRE[#All],4,FALSE)),"Fora do DRE",VLOOKUP(Base_Periodo1[[#This Row],[CONTA]],BaseContasDRE[#All],4,FALSE))</f>
        <v>Fora do DRE</v>
      </c>
      <c r="T4337" s="3" t="str">
        <f>IF(ISERROR(VLOOKUP(Base_Periodo1[[#This Row],[CONTA]],BaseContasDRE[#All],5,FALSE)),"Fora do DRE",VLOOKUP(Base_Periodo1[[#This Row],[CONTA]],BaseContasDRE[#All],6,FALSE))</f>
        <v>Fora do DRE</v>
      </c>
      <c r="U4337" s="3" t="str">
        <f>IF(ISERROR(VLOOKUP(Base_Periodo1[[#This Row],[CONTA]],BaseContasDRE[#All],7,FALSE)),"Fora do DRE",VLOOKUP(Base_Periodo1[[#This Row],[CONTA]],BaseContasDRE[#All],7,FALSE))</f>
        <v>Fora do DRE</v>
      </c>
      <c r="V4337" s="3" t="str">
        <f>IF(Base_Periodo1[[#This Row],[Tipo_Linha]]="Fora do DRE","Fora do DRE","( "&amp;Base_Periodo1[[#This Row],[Tipo_Linha]]&amp;" ) "&amp;Base_Periodo1[[#This Row],[Filtro]])</f>
        <v>Fora do DRE</v>
      </c>
      <c r="W4337" s="3" t="str">
        <f>LEFT(Base_Periodo1[[#This Row],[CLASS]],3)</f>
        <v>2.4</v>
      </c>
    </row>
    <row r="4338" spans="1:23" hidden="1">
      <c r="A4338" s="3" t="str">
        <f t="shared" si="67"/>
        <v>Período 1</v>
      </c>
      <c r="B4338">
        <v>55883</v>
      </c>
      <c r="C4338" t="s">
        <v>2300</v>
      </c>
      <c r="D4338" t="s">
        <v>5535</v>
      </c>
      <c r="E4338" s="3" t="str">
        <f>IF(LEN(Base_Periodo1[[#This Row],[CLASS]])&gt;=7,LEFT(Base_Periodo1[[#This Row],[CLASS]],7),"")</f>
        <v>2.4.1.1</v>
      </c>
      <c r="F4338" s="3" t="str">
        <f>VLOOKUP(Base_Periodo1[[#This Row],[Aux]],Base_Contas_Balanco[#All],2,FALSE)</f>
        <v>Capital Social Realizado</v>
      </c>
      <c r="G4338" s="1"/>
      <c r="H4338" s="225">
        <v>50</v>
      </c>
      <c r="I4338" s="225">
        <v>0</v>
      </c>
      <c r="J4338" s="225">
        <v>0</v>
      </c>
      <c r="K4338" s="225">
        <v>50</v>
      </c>
      <c r="L43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38" s="225">
        <f>ROUND(IF(AND(Base_Periodo1[[#This Row],[Tipo_Linha]]="-",Base_Periodo1[[#This Row],[TIPOSALDO]]="D"),Base_Periodo1[[#This Row],[SALDO_ATUAL]]*-1,Base_Periodo1[[#This Row],[SALDO_ATUAL]]),4)</f>
        <v>50</v>
      </c>
      <c r="N4338" t="s">
        <v>116</v>
      </c>
      <c r="O4338" t="s">
        <v>459</v>
      </c>
      <c r="P4338" t="s">
        <v>459</v>
      </c>
      <c r="Q4338">
        <v>6</v>
      </c>
      <c r="R4338" s="225">
        <f>Base_Periodo1[[#This Row],[CREDITOS]]-Base_Periodo1[[#This Row],[DEBITOS]]</f>
        <v>0</v>
      </c>
      <c r="S4338" s="3" t="str">
        <f>IF(ISERROR(VLOOKUP(Base_Periodo1[[#This Row],[CONTA]],BaseContasDRE[#All],4,FALSE)),"Fora do DRE",VLOOKUP(Base_Periodo1[[#This Row],[CONTA]],BaseContasDRE[#All],4,FALSE))</f>
        <v>Fora do DRE</v>
      </c>
      <c r="T4338" s="3" t="str">
        <f>IF(ISERROR(VLOOKUP(Base_Periodo1[[#This Row],[CONTA]],BaseContasDRE[#All],5,FALSE)),"Fora do DRE",VLOOKUP(Base_Periodo1[[#This Row],[CONTA]],BaseContasDRE[#All],6,FALSE))</f>
        <v>Fora do DRE</v>
      </c>
      <c r="U4338" s="3" t="str">
        <f>IF(ISERROR(VLOOKUP(Base_Periodo1[[#This Row],[CONTA]],BaseContasDRE[#All],7,FALSE)),"Fora do DRE",VLOOKUP(Base_Periodo1[[#This Row],[CONTA]],BaseContasDRE[#All],7,FALSE))</f>
        <v>Fora do DRE</v>
      </c>
      <c r="V4338" s="3" t="str">
        <f>IF(Base_Periodo1[[#This Row],[Tipo_Linha]]="Fora do DRE","Fora do DRE","( "&amp;Base_Periodo1[[#This Row],[Tipo_Linha]]&amp;" ) "&amp;Base_Periodo1[[#This Row],[Filtro]])</f>
        <v>Fora do DRE</v>
      </c>
      <c r="W4338" s="3" t="str">
        <f>LEFT(Base_Periodo1[[#This Row],[CLASS]],3)</f>
        <v>2.4</v>
      </c>
    </row>
    <row r="4339" spans="1:23" hidden="1">
      <c r="A4339" s="3" t="str">
        <f t="shared" si="67"/>
        <v>Período 1</v>
      </c>
      <c r="B4339">
        <v>16191</v>
      </c>
      <c r="C4339" t="s">
        <v>2300</v>
      </c>
      <c r="D4339" t="s">
        <v>2334</v>
      </c>
      <c r="E4339" s="3" t="str">
        <f>IF(LEN(Base_Periodo1[[#This Row],[CLASS]])&gt;=7,LEFT(Base_Periodo1[[#This Row],[CLASS]],7),"")</f>
        <v>2.4.1.1</v>
      </c>
      <c r="F4339" s="3" t="str">
        <f>VLOOKUP(Base_Periodo1[[#This Row],[Aux]],Base_Contas_Balanco[#All],2,FALSE)</f>
        <v>Capital Social Realizado</v>
      </c>
      <c r="G4339" s="1"/>
      <c r="H4339" s="225">
        <v>5865.07</v>
      </c>
      <c r="I4339" s="225">
        <v>0</v>
      </c>
      <c r="J4339" s="225">
        <v>0</v>
      </c>
      <c r="K4339" s="225">
        <v>5865.07</v>
      </c>
      <c r="L43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5865.07</v>
      </c>
      <c r="M4339" s="225">
        <f>ROUND(IF(AND(Base_Periodo1[[#This Row],[Tipo_Linha]]="-",Base_Periodo1[[#This Row],[TIPOSALDO]]="D"),Base_Periodo1[[#This Row],[SALDO_ATUAL]]*-1,Base_Periodo1[[#This Row],[SALDO_ATUAL]]),4)</f>
        <v>5865.07</v>
      </c>
      <c r="N4339" t="s">
        <v>116</v>
      </c>
      <c r="O4339" t="s">
        <v>459</v>
      </c>
      <c r="P4339" t="s">
        <v>459</v>
      </c>
      <c r="Q4339">
        <v>6</v>
      </c>
      <c r="R4339" s="225">
        <f>Base_Periodo1[[#This Row],[CREDITOS]]-Base_Periodo1[[#This Row],[DEBITOS]]</f>
        <v>0</v>
      </c>
      <c r="S4339" s="3" t="str">
        <f>IF(ISERROR(VLOOKUP(Base_Periodo1[[#This Row],[CONTA]],BaseContasDRE[#All],4,FALSE)),"Fora do DRE",VLOOKUP(Base_Periodo1[[#This Row],[CONTA]],BaseContasDRE[#All],4,FALSE))</f>
        <v>Fora do DRE</v>
      </c>
      <c r="T4339" s="3" t="str">
        <f>IF(ISERROR(VLOOKUP(Base_Periodo1[[#This Row],[CONTA]],BaseContasDRE[#All],5,FALSE)),"Fora do DRE",VLOOKUP(Base_Periodo1[[#This Row],[CONTA]],BaseContasDRE[#All],6,FALSE))</f>
        <v>Fora do DRE</v>
      </c>
      <c r="U4339" s="3" t="str">
        <f>IF(ISERROR(VLOOKUP(Base_Periodo1[[#This Row],[CONTA]],BaseContasDRE[#All],7,FALSE)),"Fora do DRE",VLOOKUP(Base_Periodo1[[#This Row],[CONTA]],BaseContasDRE[#All],7,FALSE))</f>
        <v>Fora do DRE</v>
      </c>
      <c r="V4339" s="3" t="str">
        <f>IF(Base_Periodo1[[#This Row],[Tipo_Linha]]="Fora do DRE","Fora do DRE","( "&amp;Base_Periodo1[[#This Row],[Tipo_Linha]]&amp;" ) "&amp;Base_Periodo1[[#This Row],[Filtro]])</f>
        <v>Fora do DRE</v>
      </c>
      <c r="W4339" s="3" t="str">
        <f>LEFT(Base_Periodo1[[#This Row],[CLASS]],3)</f>
        <v>2.4</v>
      </c>
    </row>
    <row r="4340" spans="1:23" hidden="1">
      <c r="A4340" s="3" t="str">
        <f t="shared" si="67"/>
        <v>Período 1</v>
      </c>
      <c r="B4340">
        <v>52954</v>
      </c>
      <c r="C4340" t="s">
        <v>2300</v>
      </c>
      <c r="D4340" t="s">
        <v>4880</v>
      </c>
      <c r="E4340" s="3" t="str">
        <f>IF(LEN(Base_Periodo1[[#This Row],[CLASS]])&gt;=7,LEFT(Base_Periodo1[[#This Row],[CLASS]],7),"")</f>
        <v>2.4.1.1</v>
      </c>
      <c r="F4340" s="3" t="str">
        <f>VLOOKUP(Base_Periodo1[[#This Row],[Aux]],Base_Contas_Balanco[#All],2,FALSE)</f>
        <v>Capital Social Realizado</v>
      </c>
      <c r="G4340" s="1"/>
      <c r="H4340" s="225">
        <v>50</v>
      </c>
      <c r="I4340" s="225">
        <v>0</v>
      </c>
      <c r="J4340" s="225">
        <v>0</v>
      </c>
      <c r="K4340" s="225">
        <v>50</v>
      </c>
      <c r="L43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40" s="225">
        <f>ROUND(IF(AND(Base_Periodo1[[#This Row],[Tipo_Linha]]="-",Base_Periodo1[[#This Row],[TIPOSALDO]]="D"),Base_Periodo1[[#This Row],[SALDO_ATUAL]]*-1,Base_Periodo1[[#This Row],[SALDO_ATUAL]]),4)</f>
        <v>50</v>
      </c>
      <c r="N4340" t="s">
        <v>116</v>
      </c>
      <c r="O4340" t="s">
        <v>459</v>
      </c>
      <c r="P4340" t="s">
        <v>459</v>
      </c>
      <c r="Q4340">
        <v>6</v>
      </c>
      <c r="R4340" s="225">
        <f>Base_Periodo1[[#This Row],[CREDITOS]]-Base_Periodo1[[#This Row],[DEBITOS]]</f>
        <v>0</v>
      </c>
      <c r="S4340" s="3" t="str">
        <f>IF(ISERROR(VLOOKUP(Base_Periodo1[[#This Row],[CONTA]],BaseContasDRE[#All],4,FALSE)),"Fora do DRE",VLOOKUP(Base_Periodo1[[#This Row],[CONTA]],BaseContasDRE[#All],4,FALSE))</f>
        <v>Fora do DRE</v>
      </c>
      <c r="T4340" s="3" t="str">
        <f>IF(ISERROR(VLOOKUP(Base_Periodo1[[#This Row],[CONTA]],BaseContasDRE[#All],5,FALSE)),"Fora do DRE",VLOOKUP(Base_Periodo1[[#This Row],[CONTA]],BaseContasDRE[#All],6,FALSE))</f>
        <v>Fora do DRE</v>
      </c>
      <c r="U4340" s="3" t="str">
        <f>IF(ISERROR(VLOOKUP(Base_Periodo1[[#This Row],[CONTA]],BaseContasDRE[#All],7,FALSE)),"Fora do DRE",VLOOKUP(Base_Periodo1[[#This Row],[CONTA]],BaseContasDRE[#All],7,FALSE))</f>
        <v>Fora do DRE</v>
      </c>
      <c r="V4340" s="3" t="str">
        <f>IF(Base_Periodo1[[#This Row],[Tipo_Linha]]="Fora do DRE","Fora do DRE","( "&amp;Base_Periodo1[[#This Row],[Tipo_Linha]]&amp;" ) "&amp;Base_Periodo1[[#This Row],[Filtro]])</f>
        <v>Fora do DRE</v>
      </c>
      <c r="W4340" s="3" t="str">
        <f>LEFT(Base_Periodo1[[#This Row],[CLASS]],3)</f>
        <v>2.4</v>
      </c>
    </row>
    <row r="4341" spans="1:23" hidden="1">
      <c r="A4341" s="3" t="str">
        <f t="shared" si="67"/>
        <v>Período 1</v>
      </c>
      <c r="B4341">
        <v>25605</v>
      </c>
      <c r="C4341" t="s">
        <v>2300</v>
      </c>
      <c r="D4341" t="s">
        <v>2335</v>
      </c>
      <c r="E4341" s="3" t="str">
        <f>IF(LEN(Base_Periodo1[[#This Row],[CLASS]])&gt;=7,LEFT(Base_Periodo1[[#This Row],[CLASS]],7),"")</f>
        <v>2.4.1.1</v>
      </c>
      <c r="F4341" s="3" t="str">
        <f>VLOOKUP(Base_Periodo1[[#This Row],[Aux]],Base_Contas_Balanco[#All],2,FALSE)</f>
        <v>Capital Social Realizado</v>
      </c>
      <c r="G4341" s="1"/>
      <c r="H4341" s="225">
        <v>260.64</v>
      </c>
      <c r="I4341" s="225">
        <v>0</v>
      </c>
      <c r="J4341" s="225">
        <v>0</v>
      </c>
      <c r="K4341" s="225">
        <v>260.64</v>
      </c>
      <c r="L43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260.64</v>
      </c>
      <c r="M4341" s="225">
        <f>ROUND(IF(AND(Base_Periodo1[[#This Row],[Tipo_Linha]]="-",Base_Periodo1[[#This Row],[TIPOSALDO]]="D"),Base_Periodo1[[#This Row],[SALDO_ATUAL]]*-1,Base_Periodo1[[#This Row],[SALDO_ATUAL]]),4)</f>
        <v>260.64</v>
      </c>
      <c r="N4341" t="s">
        <v>116</v>
      </c>
      <c r="O4341" t="s">
        <v>459</v>
      </c>
      <c r="P4341" t="s">
        <v>459</v>
      </c>
      <c r="Q4341">
        <v>6</v>
      </c>
      <c r="R4341" s="225">
        <f>Base_Periodo1[[#This Row],[CREDITOS]]-Base_Periodo1[[#This Row],[DEBITOS]]</f>
        <v>0</v>
      </c>
      <c r="S4341" s="3" t="str">
        <f>IF(ISERROR(VLOOKUP(Base_Periodo1[[#This Row],[CONTA]],BaseContasDRE[#All],4,FALSE)),"Fora do DRE",VLOOKUP(Base_Periodo1[[#This Row],[CONTA]],BaseContasDRE[#All],4,FALSE))</f>
        <v>Fora do DRE</v>
      </c>
      <c r="T4341" s="3" t="str">
        <f>IF(ISERROR(VLOOKUP(Base_Periodo1[[#This Row],[CONTA]],BaseContasDRE[#All],5,FALSE)),"Fora do DRE",VLOOKUP(Base_Periodo1[[#This Row],[CONTA]],BaseContasDRE[#All],6,FALSE))</f>
        <v>Fora do DRE</v>
      </c>
      <c r="U4341" s="3" t="str">
        <f>IF(ISERROR(VLOOKUP(Base_Periodo1[[#This Row],[CONTA]],BaseContasDRE[#All],7,FALSE)),"Fora do DRE",VLOOKUP(Base_Periodo1[[#This Row],[CONTA]],BaseContasDRE[#All],7,FALSE))</f>
        <v>Fora do DRE</v>
      </c>
      <c r="V4341" s="3" t="str">
        <f>IF(Base_Periodo1[[#This Row],[Tipo_Linha]]="Fora do DRE","Fora do DRE","( "&amp;Base_Periodo1[[#This Row],[Tipo_Linha]]&amp;" ) "&amp;Base_Periodo1[[#This Row],[Filtro]])</f>
        <v>Fora do DRE</v>
      </c>
      <c r="W4341" s="3" t="str">
        <f>LEFT(Base_Periodo1[[#This Row],[CLASS]],3)</f>
        <v>2.4</v>
      </c>
    </row>
    <row r="4342" spans="1:23" hidden="1">
      <c r="A4342" s="3" t="str">
        <f t="shared" si="67"/>
        <v>Período 1</v>
      </c>
      <c r="B4342">
        <v>16121</v>
      </c>
      <c r="C4342" t="s">
        <v>2300</v>
      </c>
      <c r="D4342" t="s">
        <v>2336</v>
      </c>
      <c r="E4342" s="3" t="str">
        <f>IF(LEN(Base_Periodo1[[#This Row],[CLASS]])&gt;=7,LEFT(Base_Periodo1[[#This Row],[CLASS]],7),"")</f>
        <v>2.4.1.1</v>
      </c>
      <c r="F4342" s="3" t="str">
        <f>VLOOKUP(Base_Periodo1[[#This Row],[Aux]],Base_Contas_Balanco[#All],2,FALSE)</f>
        <v>Capital Social Realizado</v>
      </c>
      <c r="G4342" s="1"/>
      <c r="H4342" s="225">
        <v>9191.2000000000007</v>
      </c>
      <c r="I4342" s="225">
        <v>0</v>
      </c>
      <c r="J4342" s="225">
        <v>0</v>
      </c>
      <c r="K4342" s="225">
        <v>9191.2000000000007</v>
      </c>
      <c r="L43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9191.2000000000007</v>
      </c>
      <c r="M4342" s="225">
        <f>ROUND(IF(AND(Base_Periodo1[[#This Row],[Tipo_Linha]]="-",Base_Periodo1[[#This Row],[TIPOSALDO]]="D"),Base_Periodo1[[#This Row],[SALDO_ATUAL]]*-1,Base_Periodo1[[#This Row],[SALDO_ATUAL]]),4)</f>
        <v>9191.2000000000007</v>
      </c>
      <c r="N4342" t="s">
        <v>116</v>
      </c>
      <c r="O4342" t="s">
        <v>459</v>
      </c>
      <c r="P4342" t="s">
        <v>459</v>
      </c>
      <c r="Q4342">
        <v>6</v>
      </c>
      <c r="R4342" s="225">
        <f>Base_Periodo1[[#This Row],[CREDITOS]]-Base_Periodo1[[#This Row],[DEBITOS]]</f>
        <v>0</v>
      </c>
      <c r="S4342" s="3" t="str">
        <f>IF(ISERROR(VLOOKUP(Base_Periodo1[[#This Row],[CONTA]],BaseContasDRE[#All],4,FALSE)),"Fora do DRE",VLOOKUP(Base_Periodo1[[#This Row],[CONTA]],BaseContasDRE[#All],4,FALSE))</f>
        <v>Fora do DRE</v>
      </c>
      <c r="T4342" s="3" t="str">
        <f>IF(ISERROR(VLOOKUP(Base_Periodo1[[#This Row],[CONTA]],BaseContasDRE[#All],5,FALSE)),"Fora do DRE",VLOOKUP(Base_Periodo1[[#This Row],[CONTA]],BaseContasDRE[#All],6,FALSE))</f>
        <v>Fora do DRE</v>
      </c>
      <c r="U4342" s="3" t="str">
        <f>IF(ISERROR(VLOOKUP(Base_Periodo1[[#This Row],[CONTA]],BaseContasDRE[#All],7,FALSE)),"Fora do DRE",VLOOKUP(Base_Periodo1[[#This Row],[CONTA]],BaseContasDRE[#All],7,FALSE))</f>
        <v>Fora do DRE</v>
      </c>
      <c r="V4342" s="3" t="str">
        <f>IF(Base_Periodo1[[#This Row],[Tipo_Linha]]="Fora do DRE","Fora do DRE","( "&amp;Base_Periodo1[[#This Row],[Tipo_Linha]]&amp;" ) "&amp;Base_Periodo1[[#This Row],[Filtro]])</f>
        <v>Fora do DRE</v>
      </c>
      <c r="W4342" s="3" t="str">
        <f>LEFT(Base_Periodo1[[#This Row],[CLASS]],3)</f>
        <v>2.4</v>
      </c>
    </row>
    <row r="4343" spans="1:23" hidden="1">
      <c r="A4343" s="3" t="str">
        <f t="shared" si="67"/>
        <v>Período 1</v>
      </c>
      <c r="B4343">
        <v>54026</v>
      </c>
      <c r="C4343" t="s">
        <v>2300</v>
      </c>
      <c r="D4343" t="s">
        <v>5090</v>
      </c>
      <c r="E4343" s="3" t="str">
        <f>IF(LEN(Base_Periodo1[[#This Row],[CLASS]])&gt;=7,LEFT(Base_Periodo1[[#This Row],[CLASS]],7),"")</f>
        <v>2.4.1.1</v>
      </c>
      <c r="F4343" s="3" t="str">
        <f>VLOOKUP(Base_Periodo1[[#This Row],[Aux]],Base_Contas_Balanco[#All],2,FALSE)</f>
        <v>Capital Social Realizado</v>
      </c>
      <c r="G4343" s="1"/>
      <c r="H4343" s="225">
        <v>50</v>
      </c>
      <c r="I4343" s="225">
        <v>0</v>
      </c>
      <c r="J4343" s="225">
        <v>0</v>
      </c>
      <c r="K4343" s="225">
        <v>50</v>
      </c>
      <c r="L43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43" s="225">
        <f>ROUND(IF(AND(Base_Periodo1[[#This Row],[Tipo_Linha]]="-",Base_Periodo1[[#This Row],[TIPOSALDO]]="D"),Base_Periodo1[[#This Row],[SALDO_ATUAL]]*-1,Base_Periodo1[[#This Row],[SALDO_ATUAL]]),4)</f>
        <v>50</v>
      </c>
      <c r="N4343" t="s">
        <v>116</v>
      </c>
      <c r="O4343" t="s">
        <v>459</v>
      </c>
      <c r="P4343" t="s">
        <v>459</v>
      </c>
      <c r="Q4343">
        <v>6</v>
      </c>
      <c r="R4343" s="225">
        <f>Base_Periodo1[[#This Row],[CREDITOS]]-Base_Periodo1[[#This Row],[DEBITOS]]</f>
        <v>0</v>
      </c>
      <c r="S4343" s="3" t="str">
        <f>IF(ISERROR(VLOOKUP(Base_Periodo1[[#This Row],[CONTA]],BaseContasDRE[#All],4,FALSE)),"Fora do DRE",VLOOKUP(Base_Periodo1[[#This Row],[CONTA]],BaseContasDRE[#All],4,FALSE))</f>
        <v>Fora do DRE</v>
      </c>
      <c r="T4343" s="3" t="str">
        <f>IF(ISERROR(VLOOKUP(Base_Periodo1[[#This Row],[CONTA]],BaseContasDRE[#All],5,FALSE)),"Fora do DRE",VLOOKUP(Base_Periodo1[[#This Row],[CONTA]],BaseContasDRE[#All],6,FALSE))</f>
        <v>Fora do DRE</v>
      </c>
      <c r="U4343" s="3" t="str">
        <f>IF(ISERROR(VLOOKUP(Base_Periodo1[[#This Row],[CONTA]],BaseContasDRE[#All],7,FALSE)),"Fora do DRE",VLOOKUP(Base_Periodo1[[#This Row],[CONTA]],BaseContasDRE[#All],7,FALSE))</f>
        <v>Fora do DRE</v>
      </c>
      <c r="V4343" s="3" t="str">
        <f>IF(Base_Periodo1[[#This Row],[Tipo_Linha]]="Fora do DRE","Fora do DRE","( "&amp;Base_Periodo1[[#This Row],[Tipo_Linha]]&amp;" ) "&amp;Base_Periodo1[[#This Row],[Filtro]])</f>
        <v>Fora do DRE</v>
      </c>
      <c r="W4343" s="3" t="str">
        <f>LEFT(Base_Periodo1[[#This Row],[CLASS]],3)</f>
        <v>2.4</v>
      </c>
    </row>
    <row r="4344" spans="1:23" hidden="1">
      <c r="A4344" s="3" t="str">
        <f t="shared" si="67"/>
        <v>Período 1</v>
      </c>
      <c r="B4344">
        <v>25610</v>
      </c>
      <c r="C4344" t="s">
        <v>2300</v>
      </c>
      <c r="D4344" t="s">
        <v>2337</v>
      </c>
      <c r="E4344" s="3" t="str">
        <f>IF(LEN(Base_Periodo1[[#This Row],[CLASS]])&gt;=7,LEFT(Base_Periodo1[[#This Row],[CLASS]],7),"")</f>
        <v>2.4.1.1</v>
      </c>
      <c r="F4344" s="3" t="str">
        <f>VLOOKUP(Base_Periodo1[[#This Row],[Aux]],Base_Contas_Balanco[#All],2,FALSE)</f>
        <v>Capital Social Realizado</v>
      </c>
      <c r="G4344" s="1"/>
      <c r="H4344" s="225">
        <v>136.57</v>
      </c>
      <c r="I4344" s="225">
        <v>0</v>
      </c>
      <c r="J4344" s="225">
        <v>0</v>
      </c>
      <c r="K4344" s="225">
        <v>136.57</v>
      </c>
      <c r="L43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136.57</v>
      </c>
      <c r="M4344" s="225">
        <f>ROUND(IF(AND(Base_Periodo1[[#This Row],[Tipo_Linha]]="-",Base_Periodo1[[#This Row],[TIPOSALDO]]="D"),Base_Periodo1[[#This Row],[SALDO_ATUAL]]*-1,Base_Periodo1[[#This Row],[SALDO_ATUAL]]),4)</f>
        <v>136.57</v>
      </c>
      <c r="N4344" t="s">
        <v>116</v>
      </c>
      <c r="O4344" t="s">
        <v>459</v>
      </c>
      <c r="P4344" t="s">
        <v>459</v>
      </c>
      <c r="Q4344">
        <v>6</v>
      </c>
      <c r="R4344" s="225">
        <f>Base_Periodo1[[#This Row],[CREDITOS]]-Base_Periodo1[[#This Row],[DEBITOS]]</f>
        <v>0</v>
      </c>
      <c r="S4344" s="3" t="str">
        <f>IF(ISERROR(VLOOKUP(Base_Periodo1[[#This Row],[CONTA]],BaseContasDRE[#All],4,FALSE)),"Fora do DRE",VLOOKUP(Base_Periodo1[[#This Row],[CONTA]],BaseContasDRE[#All],4,FALSE))</f>
        <v>Fora do DRE</v>
      </c>
      <c r="T4344" s="3" t="str">
        <f>IF(ISERROR(VLOOKUP(Base_Periodo1[[#This Row],[CONTA]],BaseContasDRE[#All],5,FALSE)),"Fora do DRE",VLOOKUP(Base_Periodo1[[#This Row],[CONTA]],BaseContasDRE[#All],6,FALSE))</f>
        <v>Fora do DRE</v>
      </c>
      <c r="U4344" s="3" t="str">
        <f>IF(ISERROR(VLOOKUP(Base_Periodo1[[#This Row],[CONTA]],BaseContasDRE[#All],7,FALSE)),"Fora do DRE",VLOOKUP(Base_Periodo1[[#This Row],[CONTA]],BaseContasDRE[#All],7,FALSE))</f>
        <v>Fora do DRE</v>
      </c>
      <c r="V4344" s="3" t="str">
        <f>IF(Base_Periodo1[[#This Row],[Tipo_Linha]]="Fora do DRE","Fora do DRE","( "&amp;Base_Periodo1[[#This Row],[Tipo_Linha]]&amp;" ) "&amp;Base_Periodo1[[#This Row],[Filtro]])</f>
        <v>Fora do DRE</v>
      </c>
      <c r="W4344" s="3" t="str">
        <f>LEFT(Base_Periodo1[[#This Row],[CLASS]],3)</f>
        <v>2.4</v>
      </c>
    </row>
    <row r="4345" spans="1:23" hidden="1">
      <c r="A4345" s="3" t="str">
        <f t="shared" si="67"/>
        <v>Período 1</v>
      </c>
      <c r="B4345">
        <v>21289</v>
      </c>
      <c r="C4345" t="s">
        <v>2300</v>
      </c>
      <c r="D4345" t="s">
        <v>2338</v>
      </c>
      <c r="E4345" s="3" t="str">
        <f>IF(LEN(Base_Periodo1[[#This Row],[CLASS]])&gt;=7,LEFT(Base_Periodo1[[#This Row],[CLASS]],7),"")</f>
        <v>2.4.1.1</v>
      </c>
      <c r="F4345" s="3" t="str">
        <f>VLOOKUP(Base_Periodo1[[#This Row],[Aux]],Base_Contas_Balanco[#All],2,FALSE)</f>
        <v>Capital Social Realizado</v>
      </c>
      <c r="G4345" s="1"/>
      <c r="H4345" s="225">
        <v>1222.3899999999999</v>
      </c>
      <c r="I4345" s="225">
        <v>0</v>
      </c>
      <c r="J4345" s="225">
        <v>0</v>
      </c>
      <c r="K4345" s="225">
        <v>1222.3899999999999</v>
      </c>
      <c r="L43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1222.3900000000001</v>
      </c>
      <c r="M4345" s="225">
        <f>ROUND(IF(AND(Base_Periodo1[[#This Row],[Tipo_Linha]]="-",Base_Periodo1[[#This Row],[TIPOSALDO]]="D"),Base_Periodo1[[#This Row],[SALDO_ATUAL]]*-1,Base_Periodo1[[#This Row],[SALDO_ATUAL]]),4)</f>
        <v>1222.3900000000001</v>
      </c>
      <c r="N4345" t="s">
        <v>116</v>
      </c>
      <c r="O4345" t="s">
        <v>459</v>
      </c>
      <c r="P4345" t="s">
        <v>459</v>
      </c>
      <c r="Q4345">
        <v>6</v>
      </c>
      <c r="R4345" s="225">
        <f>Base_Periodo1[[#This Row],[CREDITOS]]-Base_Periodo1[[#This Row],[DEBITOS]]</f>
        <v>0</v>
      </c>
      <c r="S4345" s="3" t="str">
        <f>IF(ISERROR(VLOOKUP(Base_Periodo1[[#This Row],[CONTA]],BaseContasDRE[#All],4,FALSE)),"Fora do DRE",VLOOKUP(Base_Periodo1[[#This Row],[CONTA]],BaseContasDRE[#All],4,FALSE))</f>
        <v>Fora do DRE</v>
      </c>
      <c r="T4345" s="3" t="str">
        <f>IF(ISERROR(VLOOKUP(Base_Periodo1[[#This Row],[CONTA]],BaseContasDRE[#All],5,FALSE)),"Fora do DRE",VLOOKUP(Base_Periodo1[[#This Row],[CONTA]],BaseContasDRE[#All],6,FALSE))</f>
        <v>Fora do DRE</v>
      </c>
      <c r="U4345" s="3" t="str">
        <f>IF(ISERROR(VLOOKUP(Base_Periodo1[[#This Row],[CONTA]],BaseContasDRE[#All],7,FALSE)),"Fora do DRE",VLOOKUP(Base_Periodo1[[#This Row],[CONTA]],BaseContasDRE[#All],7,FALSE))</f>
        <v>Fora do DRE</v>
      </c>
      <c r="V4345" s="3" t="str">
        <f>IF(Base_Periodo1[[#This Row],[Tipo_Linha]]="Fora do DRE","Fora do DRE","( "&amp;Base_Periodo1[[#This Row],[Tipo_Linha]]&amp;" ) "&amp;Base_Periodo1[[#This Row],[Filtro]])</f>
        <v>Fora do DRE</v>
      </c>
      <c r="W4345" s="3" t="str">
        <f>LEFT(Base_Periodo1[[#This Row],[CLASS]],3)</f>
        <v>2.4</v>
      </c>
    </row>
    <row r="4346" spans="1:23" hidden="1">
      <c r="A4346" s="3" t="str">
        <f t="shared" si="67"/>
        <v>Período 1</v>
      </c>
      <c r="B4346">
        <v>26531</v>
      </c>
      <c r="C4346" t="s">
        <v>2300</v>
      </c>
      <c r="D4346" t="s">
        <v>2339</v>
      </c>
      <c r="E4346" s="3" t="str">
        <f>IF(LEN(Base_Periodo1[[#This Row],[CLASS]])&gt;=7,LEFT(Base_Periodo1[[#This Row],[CLASS]],7),"")</f>
        <v>2.4.1.1</v>
      </c>
      <c r="F4346" s="3" t="str">
        <f>VLOOKUP(Base_Periodo1[[#This Row],[Aux]],Base_Contas_Balanco[#All],2,FALSE)</f>
        <v>Capital Social Realizado</v>
      </c>
      <c r="G4346" s="1"/>
      <c r="H4346" s="225">
        <v>50</v>
      </c>
      <c r="I4346" s="225">
        <v>0</v>
      </c>
      <c r="J4346" s="225">
        <v>0</v>
      </c>
      <c r="K4346" s="225">
        <v>50</v>
      </c>
      <c r="L43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46" s="225">
        <f>ROUND(IF(AND(Base_Periodo1[[#This Row],[Tipo_Linha]]="-",Base_Periodo1[[#This Row],[TIPOSALDO]]="D"),Base_Periodo1[[#This Row],[SALDO_ATUAL]]*-1,Base_Periodo1[[#This Row],[SALDO_ATUAL]]),4)</f>
        <v>50</v>
      </c>
      <c r="N4346" t="s">
        <v>116</v>
      </c>
      <c r="O4346" t="s">
        <v>459</v>
      </c>
      <c r="P4346" t="s">
        <v>459</v>
      </c>
      <c r="Q4346">
        <v>6</v>
      </c>
      <c r="R4346" s="225">
        <f>Base_Periodo1[[#This Row],[CREDITOS]]-Base_Periodo1[[#This Row],[DEBITOS]]</f>
        <v>0</v>
      </c>
      <c r="S4346" s="3" t="str">
        <f>IF(ISERROR(VLOOKUP(Base_Periodo1[[#This Row],[CONTA]],BaseContasDRE[#All],4,FALSE)),"Fora do DRE",VLOOKUP(Base_Periodo1[[#This Row],[CONTA]],BaseContasDRE[#All],4,FALSE))</f>
        <v>Fora do DRE</v>
      </c>
      <c r="T4346" s="3" t="str">
        <f>IF(ISERROR(VLOOKUP(Base_Periodo1[[#This Row],[CONTA]],BaseContasDRE[#All],5,FALSE)),"Fora do DRE",VLOOKUP(Base_Periodo1[[#This Row],[CONTA]],BaseContasDRE[#All],6,FALSE))</f>
        <v>Fora do DRE</v>
      </c>
      <c r="U4346" s="3" t="str">
        <f>IF(ISERROR(VLOOKUP(Base_Periodo1[[#This Row],[CONTA]],BaseContasDRE[#All],7,FALSE)),"Fora do DRE",VLOOKUP(Base_Periodo1[[#This Row],[CONTA]],BaseContasDRE[#All],7,FALSE))</f>
        <v>Fora do DRE</v>
      </c>
      <c r="V4346" s="3" t="str">
        <f>IF(Base_Periodo1[[#This Row],[Tipo_Linha]]="Fora do DRE","Fora do DRE","( "&amp;Base_Periodo1[[#This Row],[Tipo_Linha]]&amp;" ) "&amp;Base_Periodo1[[#This Row],[Filtro]])</f>
        <v>Fora do DRE</v>
      </c>
      <c r="W4346" s="3" t="str">
        <f>LEFT(Base_Periodo1[[#This Row],[CLASS]],3)</f>
        <v>2.4</v>
      </c>
    </row>
    <row r="4347" spans="1:23" hidden="1">
      <c r="A4347" s="3" t="str">
        <f t="shared" si="67"/>
        <v>Período 1</v>
      </c>
      <c r="B4347">
        <v>53596</v>
      </c>
      <c r="C4347" t="s">
        <v>2300</v>
      </c>
      <c r="D4347" t="s">
        <v>4962</v>
      </c>
      <c r="E4347" s="3" t="str">
        <f>IF(LEN(Base_Periodo1[[#This Row],[CLASS]])&gt;=7,LEFT(Base_Periodo1[[#This Row],[CLASS]],7),"")</f>
        <v>2.4.1.1</v>
      </c>
      <c r="F4347" s="3" t="str">
        <f>VLOOKUP(Base_Periodo1[[#This Row],[Aux]],Base_Contas_Balanco[#All],2,FALSE)</f>
        <v>Capital Social Realizado</v>
      </c>
      <c r="G4347" s="1"/>
      <c r="H4347" s="225">
        <v>50</v>
      </c>
      <c r="I4347" s="225">
        <v>0</v>
      </c>
      <c r="J4347" s="225">
        <v>0</v>
      </c>
      <c r="K4347" s="225">
        <v>50</v>
      </c>
      <c r="L43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47" s="225">
        <f>ROUND(IF(AND(Base_Periodo1[[#This Row],[Tipo_Linha]]="-",Base_Periodo1[[#This Row],[TIPOSALDO]]="D"),Base_Periodo1[[#This Row],[SALDO_ATUAL]]*-1,Base_Periodo1[[#This Row],[SALDO_ATUAL]]),4)</f>
        <v>50</v>
      </c>
      <c r="N4347" t="s">
        <v>116</v>
      </c>
      <c r="O4347" t="s">
        <v>459</v>
      </c>
      <c r="P4347" t="s">
        <v>459</v>
      </c>
      <c r="Q4347">
        <v>6</v>
      </c>
      <c r="R4347" s="225">
        <f>Base_Periodo1[[#This Row],[CREDITOS]]-Base_Periodo1[[#This Row],[DEBITOS]]</f>
        <v>0</v>
      </c>
      <c r="S4347" s="3" t="str">
        <f>IF(ISERROR(VLOOKUP(Base_Periodo1[[#This Row],[CONTA]],BaseContasDRE[#All],4,FALSE)),"Fora do DRE",VLOOKUP(Base_Periodo1[[#This Row],[CONTA]],BaseContasDRE[#All],4,FALSE))</f>
        <v>Fora do DRE</v>
      </c>
      <c r="T4347" s="3" t="str">
        <f>IF(ISERROR(VLOOKUP(Base_Periodo1[[#This Row],[CONTA]],BaseContasDRE[#All],5,FALSE)),"Fora do DRE",VLOOKUP(Base_Periodo1[[#This Row],[CONTA]],BaseContasDRE[#All],6,FALSE))</f>
        <v>Fora do DRE</v>
      </c>
      <c r="U4347" s="3" t="str">
        <f>IF(ISERROR(VLOOKUP(Base_Periodo1[[#This Row],[CONTA]],BaseContasDRE[#All],7,FALSE)),"Fora do DRE",VLOOKUP(Base_Periodo1[[#This Row],[CONTA]],BaseContasDRE[#All],7,FALSE))</f>
        <v>Fora do DRE</v>
      </c>
      <c r="V4347" s="3" t="str">
        <f>IF(Base_Periodo1[[#This Row],[Tipo_Linha]]="Fora do DRE","Fora do DRE","( "&amp;Base_Periodo1[[#This Row],[Tipo_Linha]]&amp;" ) "&amp;Base_Periodo1[[#This Row],[Filtro]])</f>
        <v>Fora do DRE</v>
      </c>
      <c r="W4347" s="3" t="str">
        <f>LEFT(Base_Periodo1[[#This Row],[CLASS]],3)</f>
        <v>2.4</v>
      </c>
    </row>
    <row r="4348" spans="1:23" hidden="1">
      <c r="A4348" s="3" t="str">
        <f t="shared" si="67"/>
        <v>Período 1</v>
      </c>
      <c r="B4348">
        <v>55164</v>
      </c>
      <c r="C4348" t="s">
        <v>2300</v>
      </c>
      <c r="D4348" t="s">
        <v>5345</v>
      </c>
      <c r="E4348" s="3" t="str">
        <f>IF(LEN(Base_Periodo1[[#This Row],[CLASS]])&gt;=7,LEFT(Base_Periodo1[[#This Row],[CLASS]],7),"")</f>
        <v>2.4.1.1</v>
      </c>
      <c r="F4348" s="3" t="str">
        <f>VLOOKUP(Base_Periodo1[[#This Row],[Aux]],Base_Contas_Balanco[#All],2,FALSE)</f>
        <v>Capital Social Realizado</v>
      </c>
      <c r="G4348" s="1"/>
      <c r="H4348" s="225">
        <v>240</v>
      </c>
      <c r="I4348" s="225">
        <v>0</v>
      </c>
      <c r="J4348" s="225">
        <v>0</v>
      </c>
      <c r="K4348" s="225">
        <v>240</v>
      </c>
      <c r="L43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348" s="225">
        <f>ROUND(IF(AND(Base_Periodo1[[#This Row],[Tipo_Linha]]="-",Base_Periodo1[[#This Row],[TIPOSALDO]]="D"),Base_Periodo1[[#This Row],[SALDO_ATUAL]]*-1,Base_Periodo1[[#This Row],[SALDO_ATUAL]]),4)</f>
        <v>240</v>
      </c>
      <c r="N4348" t="s">
        <v>116</v>
      </c>
      <c r="O4348" t="s">
        <v>459</v>
      </c>
      <c r="P4348" t="s">
        <v>459</v>
      </c>
      <c r="Q4348">
        <v>6</v>
      </c>
      <c r="R4348" s="225">
        <f>Base_Periodo1[[#This Row],[CREDITOS]]-Base_Periodo1[[#This Row],[DEBITOS]]</f>
        <v>0</v>
      </c>
      <c r="S4348" s="3" t="str">
        <f>IF(ISERROR(VLOOKUP(Base_Periodo1[[#This Row],[CONTA]],BaseContasDRE[#All],4,FALSE)),"Fora do DRE",VLOOKUP(Base_Periodo1[[#This Row],[CONTA]],BaseContasDRE[#All],4,FALSE))</f>
        <v>Fora do DRE</v>
      </c>
      <c r="T4348" s="3" t="str">
        <f>IF(ISERROR(VLOOKUP(Base_Periodo1[[#This Row],[CONTA]],BaseContasDRE[#All],5,FALSE)),"Fora do DRE",VLOOKUP(Base_Periodo1[[#This Row],[CONTA]],BaseContasDRE[#All],6,FALSE))</f>
        <v>Fora do DRE</v>
      </c>
      <c r="U4348" s="3" t="str">
        <f>IF(ISERROR(VLOOKUP(Base_Periodo1[[#This Row],[CONTA]],BaseContasDRE[#All],7,FALSE)),"Fora do DRE",VLOOKUP(Base_Periodo1[[#This Row],[CONTA]],BaseContasDRE[#All],7,FALSE))</f>
        <v>Fora do DRE</v>
      </c>
      <c r="V4348" s="3" t="str">
        <f>IF(Base_Periodo1[[#This Row],[Tipo_Linha]]="Fora do DRE","Fora do DRE","( "&amp;Base_Periodo1[[#This Row],[Tipo_Linha]]&amp;" ) "&amp;Base_Periodo1[[#This Row],[Filtro]])</f>
        <v>Fora do DRE</v>
      </c>
      <c r="W4348" s="3" t="str">
        <f>LEFT(Base_Periodo1[[#This Row],[CLASS]],3)</f>
        <v>2.4</v>
      </c>
    </row>
    <row r="4349" spans="1:23" hidden="1">
      <c r="A4349" s="3" t="str">
        <f t="shared" si="67"/>
        <v>Período 1</v>
      </c>
      <c r="B4349">
        <v>53304</v>
      </c>
      <c r="C4349" t="s">
        <v>2300</v>
      </c>
      <c r="D4349" t="s">
        <v>4881</v>
      </c>
      <c r="E4349" s="3" t="str">
        <f>IF(LEN(Base_Periodo1[[#This Row],[CLASS]])&gt;=7,LEFT(Base_Periodo1[[#This Row],[CLASS]],7),"")</f>
        <v>2.4.1.1</v>
      </c>
      <c r="F4349" s="3" t="str">
        <f>VLOOKUP(Base_Periodo1[[#This Row],[Aux]],Base_Contas_Balanco[#All],2,FALSE)</f>
        <v>Capital Social Realizado</v>
      </c>
      <c r="G4349" s="1"/>
      <c r="H4349" s="225">
        <v>50</v>
      </c>
      <c r="I4349" s="225">
        <v>0</v>
      </c>
      <c r="J4349" s="225">
        <v>0</v>
      </c>
      <c r="K4349" s="225">
        <v>50</v>
      </c>
      <c r="L43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49" s="225">
        <f>ROUND(IF(AND(Base_Periodo1[[#This Row],[Tipo_Linha]]="-",Base_Periodo1[[#This Row],[TIPOSALDO]]="D"),Base_Periodo1[[#This Row],[SALDO_ATUAL]]*-1,Base_Periodo1[[#This Row],[SALDO_ATUAL]]),4)</f>
        <v>50</v>
      </c>
      <c r="N4349" t="s">
        <v>116</v>
      </c>
      <c r="O4349" t="s">
        <v>459</v>
      </c>
      <c r="P4349" t="s">
        <v>459</v>
      </c>
      <c r="Q4349">
        <v>6</v>
      </c>
      <c r="R4349" s="225">
        <f>Base_Periodo1[[#This Row],[CREDITOS]]-Base_Periodo1[[#This Row],[DEBITOS]]</f>
        <v>0</v>
      </c>
      <c r="S4349" s="3" t="str">
        <f>IF(ISERROR(VLOOKUP(Base_Periodo1[[#This Row],[CONTA]],BaseContasDRE[#All],4,FALSE)),"Fora do DRE",VLOOKUP(Base_Periodo1[[#This Row],[CONTA]],BaseContasDRE[#All],4,FALSE))</f>
        <v>Fora do DRE</v>
      </c>
      <c r="T4349" s="3" t="str">
        <f>IF(ISERROR(VLOOKUP(Base_Periodo1[[#This Row],[CONTA]],BaseContasDRE[#All],5,FALSE)),"Fora do DRE",VLOOKUP(Base_Periodo1[[#This Row],[CONTA]],BaseContasDRE[#All],6,FALSE))</f>
        <v>Fora do DRE</v>
      </c>
      <c r="U4349" s="3" t="str">
        <f>IF(ISERROR(VLOOKUP(Base_Periodo1[[#This Row],[CONTA]],BaseContasDRE[#All],7,FALSE)),"Fora do DRE",VLOOKUP(Base_Periodo1[[#This Row],[CONTA]],BaseContasDRE[#All],7,FALSE))</f>
        <v>Fora do DRE</v>
      </c>
      <c r="V4349" s="3" t="str">
        <f>IF(Base_Periodo1[[#This Row],[Tipo_Linha]]="Fora do DRE","Fora do DRE","( "&amp;Base_Periodo1[[#This Row],[Tipo_Linha]]&amp;" ) "&amp;Base_Periodo1[[#This Row],[Filtro]])</f>
        <v>Fora do DRE</v>
      </c>
      <c r="W4349" s="3" t="str">
        <f>LEFT(Base_Periodo1[[#This Row],[CLASS]],3)</f>
        <v>2.4</v>
      </c>
    </row>
    <row r="4350" spans="1:23" hidden="1">
      <c r="A4350" s="3" t="str">
        <f t="shared" si="67"/>
        <v>Período 1</v>
      </c>
      <c r="B4350">
        <v>15973</v>
      </c>
      <c r="C4350" t="s">
        <v>2300</v>
      </c>
      <c r="D4350" t="s">
        <v>2340</v>
      </c>
      <c r="E4350" s="3" t="str">
        <f>IF(LEN(Base_Periodo1[[#This Row],[CLASS]])&gt;=7,LEFT(Base_Periodo1[[#This Row],[CLASS]],7),"")</f>
        <v>2.4.1.1</v>
      </c>
      <c r="F4350" s="3" t="str">
        <f>VLOOKUP(Base_Periodo1[[#This Row],[Aux]],Base_Contas_Balanco[#All],2,FALSE)</f>
        <v>Capital Social Realizado</v>
      </c>
      <c r="G4350" s="1"/>
      <c r="H4350" s="225">
        <v>6472.2900000000009</v>
      </c>
      <c r="I4350" s="225">
        <v>0</v>
      </c>
      <c r="J4350" s="225">
        <v>0</v>
      </c>
      <c r="K4350" s="225">
        <v>6472.2900000000009</v>
      </c>
      <c r="L43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6472.29</v>
      </c>
      <c r="M4350" s="225">
        <f>ROUND(IF(AND(Base_Periodo1[[#This Row],[Tipo_Linha]]="-",Base_Periodo1[[#This Row],[TIPOSALDO]]="D"),Base_Periodo1[[#This Row],[SALDO_ATUAL]]*-1,Base_Periodo1[[#This Row],[SALDO_ATUAL]]),4)</f>
        <v>6472.29</v>
      </c>
      <c r="N4350" t="s">
        <v>116</v>
      </c>
      <c r="O4350" t="s">
        <v>459</v>
      </c>
      <c r="P4350" t="s">
        <v>459</v>
      </c>
      <c r="Q4350">
        <v>6</v>
      </c>
      <c r="R4350" s="225">
        <f>Base_Periodo1[[#This Row],[CREDITOS]]-Base_Periodo1[[#This Row],[DEBITOS]]</f>
        <v>0</v>
      </c>
      <c r="S4350" s="3" t="str">
        <f>IF(ISERROR(VLOOKUP(Base_Periodo1[[#This Row],[CONTA]],BaseContasDRE[#All],4,FALSE)),"Fora do DRE",VLOOKUP(Base_Periodo1[[#This Row],[CONTA]],BaseContasDRE[#All],4,FALSE))</f>
        <v>Fora do DRE</v>
      </c>
      <c r="T4350" s="3" t="str">
        <f>IF(ISERROR(VLOOKUP(Base_Periodo1[[#This Row],[CONTA]],BaseContasDRE[#All],5,FALSE)),"Fora do DRE",VLOOKUP(Base_Periodo1[[#This Row],[CONTA]],BaseContasDRE[#All],6,FALSE))</f>
        <v>Fora do DRE</v>
      </c>
      <c r="U4350" s="3" t="str">
        <f>IF(ISERROR(VLOOKUP(Base_Periodo1[[#This Row],[CONTA]],BaseContasDRE[#All],7,FALSE)),"Fora do DRE",VLOOKUP(Base_Periodo1[[#This Row],[CONTA]],BaseContasDRE[#All],7,FALSE))</f>
        <v>Fora do DRE</v>
      </c>
      <c r="V4350" s="3" t="str">
        <f>IF(Base_Periodo1[[#This Row],[Tipo_Linha]]="Fora do DRE","Fora do DRE","( "&amp;Base_Periodo1[[#This Row],[Tipo_Linha]]&amp;" ) "&amp;Base_Periodo1[[#This Row],[Filtro]])</f>
        <v>Fora do DRE</v>
      </c>
      <c r="W4350" s="3" t="str">
        <f>LEFT(Base_Periodo1[[#This Row],[CLASS]],3)</f>
        <v>2.4</v>
      </c>
    </row>
    <row r="4351" spans="1:23" hidden="1">
      <c r="A4351" s="3" t="str">
        <f t="shared" si="67"/>
        <v>Período 1</v>
      </c>
      <c r="B4351">
        <v>16120</v>
      </c>
      <c r="C4351" t="s">
        <v>2300</v>
      </c>
      <c r="D4351" t="s">
        <v>2341</v>
      </c>
      <c r="E4351" s="3" t="str">
        <f>IF(LEN(Base_Periodo1[[#This Row],[CLASS]])&gt;=7,LEFT(Base_Periodo1[[#This Row],[CLASS]],7),"")</f>
        <v>2.4.1.1</v>
      </c>
      <c r="F4351" s="3" t="str">
        <f>VLOOKUP(Base_Periodo1[[#This Row],[Aux]],Base_Contas_Balanco[#All],2,FALSE)</f>
        <v>Capital Social Realizado</v>
      </c>
      <c r="G4351" s="1"/>
      <c r="H4351" s="225">
        <v>22931.519999999997</v>
      </c>
      <c r="I4351" s="225">
        <v>0</v>
      </c>
      <c r="J4351" s="225">
        <v>0</v>
      </c>
      <c r="K4351" s="225">
        <v>22931.519999999997</v>
      </c>
      <c r="L43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22931.52</v>
      </c>
      <c r="M4351" s="225">
        <f>ROUND(IF(AND(Base_Periodo1[[#This Row],[Tipo_Linha]]="-",Base_Periodo1[[#This Row],[TIPOSALDO]]="D"),Base_Periodo1[[#This Row],[SALDO_ATUAL]]*-1,Base_Periodo1[[#This Row],[SALDO_ATUAL]]),4)</f>
        <v>22931.52</v>
      </c>
      <c r="N4351" t="s">
        <v>116</v>
      </c>
      <c r="O4351" t="s">
        <v>459</v>
      </c>
      <c r="P4351" t="s">
        <v>459</v>
      </c>
      <c r="Q4351">
        <v>6</v>
      </c>
      <c r="R4351" s="225">
        <f>Base_Periodo1[[#This Row],[CREDITOS]]-Base_Periodo1[[#This Row],[DEBITOS]]</f>
        <v>0</v>
      </c>
      <c r="S4351" s="3" t="str">
        <f>IF(ISERROR(VLOOKUP(Base_Periodo1[[#This Row],[CONTA]],BaseContasDRE[#All],4,FALSE)),"Fora do DRE",VLOOKUP(Base_Periodo1[[#This Row],[CONTA]],BaseContasDRE[#All],4,FALSE))</f>
        <v>Fora do DRE</v>
      </c>
      <c r="T4351" s="3" t="str">
        <f>IF(ISERROR(VLOOKUP(Base_Periodo1[[#This Row],[CONTA]],BaseContasDRE[#All],5,FALSE)),"Fora do DRE",VLOOKUP(Base_Periodo1[[#This Row],[CONTA]],BaseContasDRE[#All],6,FALSE))</f>
        <v>Fora do DRE</v>
      </c>
      <c r="U4351" s="3" t="str">
        <f>IF(ISERROR(VLOOKUP(Base_Periodo1[[#This Row],[CONTA]],BaseContasDRE[#All],7,FALSE)),"Fora do DRE",VLOOKUP(Base_Periodo1[[#This Row],[CONTA]],BaseContasDRE[#All],7,FALSE))</f>
        <v>Fora do DRE</v>
      </c>
      <c r="V4351" s="3" t="str">
        <f>IF(Base_Periodo1[[#This Row],[Tipo_Linha]]="Fora do DRE","Fora do DRE","( "&amp;Base_Periodo1[[#This Row],[Tipo_Linha]]&amp;" ) "&amp;Base_Periodo1[[#This Row],[Filtro]])</f>
        <v>Fora do DRE</v>
      </c>
      <c r="W4351" s="3" t="str">
        <f>LEFT(Base_Periodo1[[#This Row],[CLASS]],3)</f>
        <v>2.4</v>
      </c>
    </row>
    <row r="4352" spans="1:23" hidden="1">
      <c r="A4352" s="3" t="str">
        <f t="shared" si="67"/>
        <v>Período 1</v>
      </c>
      <c r="B4352">
        <v>21211</v>
      </c>
      <c r="C4352" t="s">
        <v>2300</v>
      </c>
      <c r="D4352" t="s">
        <v>2342</v>
      </c>
      <c r="E4352" s="3" t="str">
        <f>IF(LEN(Base_Periodo1[[#This Row],[CLASS]])&gt;=7,LEFT(Base_Periodo1[[#This Row],[CLASS]],7),"")</f>
        <v>2.4.1.1</v>
      </c>
      <c r="F4352" s="3" t="str">
        <f>VLOOKUP(Base_Periodo1[[#This Row],[Aux]],Base_Contas_Balanco[#All],2,FALSE)</f>
        <v>Capital Social Realizado</v>
      </c>
      <c r="G4352" s="1"/>
      <c r="H4352" s="225">
        <v>525.41</v>
      </c>
      <c r="I4352" s="225">
        <v>0</v>
      </c>
      <c r="J4352" s="225">
        <v>0</v>
      </c>
      <c r="K4352" s="225">
        <v>525.41</v>
      </c>
      <c r="L43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525.41</v>
      </c>
      <c r="M4352" s="225">
        <f>ROUND(IF(AND(Base_Periodo1[[#This Row],[Tipo_Linha]]="-",Base_Periodo1[[#This Row],[TIPOSALDO]]="D"),Base_Periodo1[[#This Row],[SALDO_ATUAL]]*-1,Base_Periodo1[[#This Row],[SALDO_ATUAL]]),4)</f>
        <v>525.41</v>
      </c>
      <c r="N4352" t="s">
        <v>116</v>
      </c>
      <c r="O4352" t="s">
        <v>459</v>
      </c>
      <c r="P4352" t="s">
        <v>459</v>
      </c>
      <c r="Q4352">
        <v>6</v>
      </c>
      <c r="R4352" s="225">
        <f>Base_Periodo1[[#This Row],[CREDITOS]]-Base_Periodo1[[#This Row],[DEBITOS]]</f>
        <v>0</v>
      </c>
      <c r="S4352" s="3" t="str">
        <f>IF(ISERROR(VLOOKUP(Base_Periodo1[[#This Row],[CONTA]],BaseContasDRE[#All],4,FALSE)),"Fora do DRE",VLOOKUP(Base_Periodo1[[#This Row],[CONTA]],BaseContasDRE[#All],4,FALSE))</f>
        <v>Fora do DRE</v>
      </c>
      <c r="T4352" s="3" t="str">
        <f>IF(ISERROR(VLOOKUP(Base_Periodo1[[#This Row],[CONTA]],BaseContasDRE[#All],5,FALSE)),"Fora do DRE",VLOOKUP(Base_Periodo1[[#This Row],[CONTA]],BaseContasDRE[#All],6,FALSE))</f>
        <v>Fora do DRE</v>
      </c>
      <c r="U4352" s="3" t="str">
        <f>IF(ISERROR(VLOOKUP(Base_Periodo1[[#This Row],[CONTA]],BaseContasDRE[#All],7,FALSE)),"Fora do DRE",VLOOKUP(Base_Periodo1[[#This Row],[CONTA]],BaseContasDRE[#All],7,FALSE))</f>
        <v>Fora do DRE</v>
      </c>
      <c r="V4352" s="3" t="str">
        <f>IF(Base_Periodo1[[#This Row],[Tipo_Linha]]="Fora do DRE","Fora do DRE","( "&amp;Base_Periodo1[[#This Row],[Tipo_Linha]]&amp;" ) "&amp;Base_Periodo1[[#This Row],[Filtro]])</f>
        <v>Fora do DRE</v>
      </c>
      <c r="W4352" s="3" t="str">
        <f>LEFT(Base_Periodo1[[#This Row],[CLASS]],3)</f>
        <v>2.4</v>
      </c>
    </row>
    <row r="4353" spans="1:23" hidden="1">
      <c r="A4353" s="3" t="str">
        <f t="shared" si="67"/>
        <v>Período 1</v>
      </c>
      <c r="B4353">
        <v>25690</v>
      </c>
      <c r="C4353" t="s">
        <v>2300</v>
      </c>
      <c r="D4353" t="s">
        <v>2343</v>
      </c>
      <c r="E4353" s="3" t="str">
        <f>IF(LEN(Base_Periodo1[[#This Row],[CLASS]])&gt;=7,LEFT(Base_Periodo1[[#This Row],[CLASS]],7),"")</f>
        <v>2.4.1.1</v>
      </c>
      <c r="F4353" s="3" t="str">
        <f>VLOOKUP(Base_Periodo1[[#This Row],[Aux]],Base_Contas_Balanco[#All],2,FALSE)</f>
        <v>Capital Social Realizado</v>
      </c>
      <c r="G4353" s="1"/>
      <c r="H4353" s="225">
        <v>50</v>
      </c>
      <c r="I4353" s="225">
        <v>0</v>
      </c>
      <c r="J4353" s="225">
        <v>0</v>
      </c>
      <c r="K4353" s="225">
        <v>50</v>
      </c>
      <c r="L43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53" s="225">
        <f>ROUND(IF(AND(Base_Periodo1[[#This Row],[Tipo_Linha]]="-",Base_Periodo1[[#This Row],[TIPOSALDO]]="D"),Base_Periodo1[[#This Row],[SALDO_ATUAL]]*-1,Base_Periodo1[[#This Row],[SALDO_ATUAL]]),4)</f>
        <v>50</v>
      </c>
      <c r="N4353" t="s">
        <v>116</v>
      </c>
      <c r="O4353" t="s">
        <v>459</v>
      </c>
      <c r="P4353" t="s">
        <v>459</v>
      </c>
      <c r="Q4353">
        <v>6</v>
      </c>
      <c r="R4353" s="225">
        <f>Base_Periodo1[[#This Row],[CREDITOS]]-Base_Periodo1[[#This Row],[DEBITOS]]</f>
        <v>0</v>
      </c>
      <c r="S4353" s="3" t="str">
        <f>IF(ISERROR(VLOOKUP(Base_Periodo1[[#This Row],[CONTA]],BaseContasDRE[#All],4,FALSE)),"Fora do DRE",VLOOKUP(Base_Periodo1[[#This Row],[CONTA]],BaseContasDRE[#All],4,FALSE))</f>
        <v>Fora do DRE</v>
      </c>
      <c r="T4353" s="3" t="str">
        <f>IF(ISERROR(VLOOKUP(Base_Periodo1[[#This Row],[CONTA]],BaseContasDRE[#All],5,FALSE)),"Fora do DRE",VLOOKUP(Base_Periodo1[[#This Row],[CONTA]],BaseContasDRE[#All],6,FALSE))</f>
        <v>Fora do DRE</v>
      </c>
      <c r="U4353" s="3" t="str">
        <f>IF(ISERROR(VLOOKUP(Base_Periodo1[[#This Row],[CONTA]],BaseContasDRE[#All],7,FALSE)),"Fora do DRE",VLOOKUP(Base_Periodo1[[#This Row],[CONTA]],BaseContasDRE[#All],7,FALSE))</f>
        <v>Fora do DRE</v>
      </c>
      <c r="V4353" s="3" t="str">
        <f>IF(Base_Periodo1[[#This Row],[Tipo_Linha]]="Fora do DRE","Fora do DRE","( "&amp;Base_Periodo1[[#This Row],[Tipo_Linha]]&amp;" ) "&amp;Base_Periodo1[[#This Row],[Filtro]])</f>
        <v>Fora do DRE</v>
      </c>
      <c r="W4353" s="3" t="str">
        <f>LEFT(Base_Periodo1[[#This Row],[CLASS]],3)</f>
        <v>2.4</v>
      </c>
    </row>
    <row r="4354" spans="1:23" hidden="1">
      <c r="A4354" s="3" t="str">
        <f t="shared" si="67"/>
        <v>Período 1</v>
      </c>
      <c r="B4354">
        <v>49424</v>
      </c>
      <c r="C4354" t="s">
        <v>2300</v>
      </c>
      <c r="D4354" t="s">
        <v>4301</v>
      </c>
      <c r="E4354" s="3" t="str">
        <f>IF(LEN(Base_Periodo1[[#This Row],[CLASS]])&gt;=7,LEFT(Base_Periodo1[[#This Row],[CLASS]],7),"")</f>
        <v>2.4.1.1</v>
      </c>
      <c r="F4354" s="3" t="str">
        <f>VLOOKUP(Base_Periodo1[[#This Row],[Aux]],Base_Contas_Balanco[#All],2,FALSE)</f>
        <v>Capital Social Realizado</v>
      </c>
      <c r="G4354" s="1"/>
      <c r="H4354" s="225">
        <v>50</v>
      </c>
      <c r="I4354" s="225">
        <v>0</v>
      </c>
      <c r="J4354" s="225">
        <v>0</v>
      </c>
      <c r="K4354" s="225">
        <v>50</v>
      </c>
      <c r="L43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54" s="225">
        <f>ROUND(IF(AND(Base_Periodo1[[#This Row],[Tipo_Linha]]="-",Base_Periodo1[[#This Row],[TIPOSALDO]]="D"),Base_Periodo1[[#This Row],[SALDO_ATUAL]]*-1,Base_Periodo1[[#This Row],[SALDO_ATUAL]]),4)</f>
        <v>50</v>
      </c>
      <c r="N4354" t="s">
        <v>116</v>
      </c>
      <c r="O4354" t="s">
        <v>459</v>
      </c>
      <c r="P4354" t="s">
        <v>459</v>
      </c>
      <c r="Q4354">
        <v>6</v>
      </c>
      <c r="R4354" s="225">
        <f>Base_Periodo1[[#This Row],[CREDITOS]]-Base_Periodo1[[#This Row],[DEBITOS]]</f>
        <v>0</v>
      </c>
      <c r="S4354" s="3" t="str">
        <f>IF(ISERROR(VLOOKUP(Base_Periodo1[[#This Row],[CONTA]],BaseContasDRE[#All],4,FALSE)),"Fora do DRE",VLOOKUP(Base_Periodo1[[#This Row],[CONTA]],BaseContasDRE[#All],4,FALSE))</f>
        <v>Fora do DRE</v>
      </c>
      <c r="T4354" s="3" t="str">
        <f>IF(ISERROR(VLOOKUP(Base_Periodo1[[#This Row],[CONTA]],BaseContasDRE[#All],5,FALSE)),"Fora do DRE",VLOOKUP(Base_Periodo1[[#This Row],[CONTA]],BaseContasDRE[#All],6,FALSE))</f>
        <v>Fora do DRE</v>
      </c>
      <c r="U4354" s="3" t="str">
        <f>IF(ISERROR(VLOOKUP(Base_Periodo1[[#This Row],[CONTA]],BaseContasDRE[#All],7,FALSE)),"Fora do DRE",VLOOKUP(Base_Periodo1[[#This Row],[CONTA]],BaseContasDRE[#All],7,FALSE))</f>
        <v>Fora do DRE</v>
      </c>
      <c r="V4354" s="3" t="str">
        <f>IF(Base_Periodo1[[#This Row],[Tipo_Linha]]="Fora do DRE","Fora do DRE","( "&amp;Base_Periodo1[[#This Row],[Tipo_Linha]]&amp;" ) "&amp;Base_Periodo1[[#This Row],[Filtro]])</f>
        <v>Fora do DRE</v>
      </c>
      <c r="W4354" s="3" t="str">
        <f>LEFT(Base_Periodo1[[#This Row],[CLASS]],3)</f>
        <v>2.4</v>
      </c>
    </row>
    <row r="4355" spans="1:23" hidden="1">
      <c r="A4355" s="3" t="str">
        <f t="shared" si="67"/>
        <v>Período 1</v>
      </c>
      <c r="B4355">
        <v>19338</v>
      </c>
      <c r="C4355" t="s">
        <v>2300</v>
      </c>
      <c r="D4355" t="s">
        <v>2344</v>
      </c>
      <c r="E4355" s="3" t="str">
        <f>IF(LEN(Base_Periodo1[[#This Row],[CLASS]])&gt;=7,LEFT(Base_Periodo1[[#This Row],[CLASS]],7),"")</f>
        <v>2.4.1.1</v>
      </c>
      <c r="F4355" s="3" t="str">
        <f>VLOOKUP(Base_Periodo1[[#This Row],[Aux]],Base_Contas_Balanco[#All],2,FALSE)</f>
        <v>Capital Social Realizado</v>
      </c>
      <c r="G4355" s="1"/>
      <c r="H4355" s="225">
        <v>238.03</v>
      </c>
      <c r="I4355" s="225">
        <v>0</v>
      </c>
      <c r="J4355" s="225">
        <v>0</v>
      </c>
      <c r="K4355" s="225">
        <v>238.03</v>
      </c>
      <c r="L43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238.03</v>
      </c>
      <c r="M4355" s="225">
        <f>ROUND(IF(AND(Base_Periodo1[[#This Row],[Tipo_Linha]]="-",Base_Periodo1[[#This Row],[TIPOSALDO]]="D"),Base_Periodo1[[#This Row],[SALDO_ATUAL]]*-1,Base_Periodo1[[#This Row],[SALDO_ATUAL]]),4)</f>
        <v>238.03</v>
      </c>
      <c r="N4355" t="s">
        <v>116</v>
      </c>
      <c r="O4355" t="s">
        <v>459</v>
      </c>
      <c r="P4355" t="s">
        <v>459</v>
      </c>
      <c r="Q4355">
        <v>6</v>
      </c>
      <c r="R4355" s="225">
        <f>Base_Periodo1[[#This Row],[CREDITOS]]-Base_Periodo1[[#This Row],[DEBITOS]]</f>
        <v>0</v>
      </c>
      <c r="S4355" s="3" t="str">
        <f>IF(ISERROR(VLOOKUP(Base_Periodo1[[#This Row],[CONTA]],BaseContasDRE[#All],4,FALSE)),"Fora do DRE",VLOOKUP(Base_Periodo1[[#This Row],[CONTA]],BaseContasDRE[#All],4,FALSE))</f>
        <v>Fora do DRE</v>
      </c>
      <c r="T4355" s="3" t="str">
        <f>IF(ISERROR(VLOOKUP(Base_Periodo1[[#This Row],[CONTA]],BaseContasDRE[#All],5,FALSE)),"Fora do DRE",VLOOKUP(Base_Periodo1[[#This Row],[CONTA]],BaseContasDRE[#All],6,FALSE))</f>
        <v>Fora do DRE</v>
      </c>
      <c r="U4355" s="3" t="str">
        <f>IF(ISERROR(VLOOKUP(Base_Periodo1[[#This Row],[CONTA]],BaseContasDRE[#All],7,FALSE)),"Fora do DRE",VLOOKUP(Base_Periodo1[[#This Row],[CONTA]],BaseContasDRE[#All],7,FALSE))</f>
        <v>Fora do DRE</v>
      </c>
      <c r="V4355" s="3" t="str">
        <f>IF(Base_Periodo1[[#This Row],[Tipo_Linha]]="Fora do DRE","Fora do DRE","( "&amp;Base_Periodo1[[#This Row],[Tipo_Linha]]&amp;" ) "&amp;Base_Periodo1[[#This Row],[Filtro]])</f>
        <v>Fora do DRE</v>
      </c>
      <c r="W4355" s="3" t="str">
        <f>LEFT(Base_Periodo1[[#This Row],[CLASS]],3)</f>
        <v>2.4</v>
      </c>
    </row>
    <row r="4356" spans="1:23" hidden="1">
      <c r="A4356" s="3" t="str">
        <f t="shared" si="67"/>
        <v>Período 1</v>
      </c>
      <c r="B4356">
        <v>16109</v>
      </c>
      <c r="C4356" t="s">
        <v>2300</v>
      </c>
      <c r="D4356" t="s">
        <v>2345</v>
      </c>
      <c r="E4356" s="3" t="str">
        <f>IF(LEN(Base_Periodo1[[#This Row],[CLASS]])&gt;=7,LEFT(Base_Periodo1[[#This Row],[CLASS]],7),"")</f>
        <v>2.4.1.1</v>
      </c>
      <c r="F4356" s="3" t="str">
        <f>VLOOKUP(Base_Periodo1[[#This Row],[Aux]],Base_Contas_Balanco[#All],2,FALSE)</f>
        <v>Capital Social Realizado</v>
      </c>
      <c r="G4356" s="1"/>
      <c r="H4356" s="225">
        <v>9056.3799999999992</v>
      </c>
      <c r="I4356" s="225">
        <v>0</v>
      </c>
      <c r="J4356" s="225">
        <v>0</v>
      </c>
      <c r="K4356" s="225">
        <v>9056.3799999999992</v>
      </c>
      <c r="L43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9056.3799999999992</v>
      </c>
      <c r="M4356" s="225">
        <f>ROUND(IF(AND(Base_Periodo1[[#This Row],[Tipo_Linha]]="-",Base_Periodo1[[#This Row],[TIPOSALDO]]="D"),Base_Periodo1[[#This Row],[SALDO_ATUAL]]*-1,Base_Periodo1[[#This Row],[SALDO_ATUAL]]),4)</f>
        <v>9056.3799999999992</v>
      </c>
      <c r="N4356" t="s">
        <v>116</v>
      </c>
      <c r="O4356" t="s">
        <v>459</v>
      </c>
      <c r="P4356" t="s">
        <v>459</v>
      </c>
      <c r="Q4356">
        <v>6</v>
      </c>
      <c r="R4356" s="225">
        <f>Base_Periodo1[[#This Row],[CREDITOS]]-Base_Periodo1[[#This Row],[DEBITOS]]</f>
        <v>0</v>
      </c>
      <c r="S4356" s="3" t="str">
        <f>IF(ISERROR(VLOOKUP(Base_Periodo1[[#This Row],[CONTA]],BaseContasDRE[#All],4,FALSE)),"Fora do DRE",VLOOKUP(Base_Periodo1[[#This Row],[CONTA]],BaseContasDRE[#All],4,FALSE))</f>
        <v>Fora do DRE</v>
      </c>
      <c r="T4356" s="3" t="str">
        <f>IF(ISERROR(VLOOKUP(Base_Periodo1[[#This Row],[CONTA]],BaseContasDRE[#All],5,FALSE)),"Fora do DRE",VLOOKUP(Base_Periodo1[[#This Row],[CONTA]],BaseContasDRE[#All],6,FALSE))</f>
        <v>Fora do DRE</v>
      </c>
      <c r="U4356" s="3" t="str">
        <f>IF(ISERROR(VLOOKUP(Base_Periodo1[[#This Row],[CONTA]],BaseContasDRE[#All],7,FALSE)),"Fora do DRE",VLOOKUP(Base_Periodo1[[#This Row],[CONTA]],BaseContasDRE[#All],7,FALSE))</f>
        <v>Fora do DRE</v>
      </c>
      <c r="V4356" s="3" t="str">
        <f>IF(Base_Periodo1[[#This Row],[Tipo_Linha]]="Fora do DRE","Fora do DRE","( "&amp;Base_Periodo1[[#This Row],[Tipo_Linha]]&amp;" ) "&amp;Base_Periodo1[[#This Row],[Filtro]])</f>
        <v>Fora do DRE</v>
      </c>
      <c r="W4356" s="3" t="str">
        <f>LEFT(Base_Periodo1[[#This Row],[CLASS]],3)</f>
        <v>2.4</v>
      </c>
    </row>
    <row r="4357" spans="1:23" hidden="1">
      <c r="A4357" s="3" t="str">
        <f t="shared" si="67"/>
        <v>Período 1</v>
      </c>
      <c r="B4357">
        <v>15984</v>
      </c>
      <c r="C4357" t="s">
        <v>2300</v>
      </c>
      <c r="D4357" t="s">
        <v>2346</v>
      </c>
      <c r="E4357" s="3" t="str">
        <f>IF(LEN(Base_Periodo1[[#This Row],[CLASS]])&gt;=7,LEFT(Base_Periodo1[[#This Row],[CLASS]],7),"")</f>
        <v>2.4.1.1</v>
      </c>
      <c r="F4357" s="3" t="str">
        <f>VLOOKUP(Base_Periodo1[[#This Row],[Aux]],Base_Contas_Balanco[#All],2,FALSE)</f>
        <v>Capital Social Realizado</v>
      </c>
      <c r="G4357" s="1"/>
      <c r="H4357" s="225">
        <v>2257.73</v>
      </c>
      <c r="I4357" s="225">
        <v>0</v>
      </c>
      <c r="J4357" s="225">
        <v>0</v>
      </c>
      <c r="K4357" s="225">
        <v>2257.73</v>
      </c>
      <c r="L43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2257.73</v>
      </c>
      <c r="M4357" s="225">
        <f>ROUND(IF(AND(Base_Periodo1[[#This Row],[Tipo_Linha]]="-",Base_Periodo1[[#This Row],[TIPOSALDO]]="D"),Base_Periodo1[[#This Row],[SALDO_ATUAL]]*-1,Base_Periodo1[[#This Row],[SALDO_ATUAL]]),4)</f>
        <v>2257.73</v>
      </c>
      <c r="N4357" t="s">
        <v>116</v>
      </c>
      <c r="O4357" t="s">
        <v>459</v>
      </c>
      <c r="P4357" t="s">
        <v>459</v>
      </c>
      <c r="Q4357">
        <v>6</v>
      </c>
      <c r="R4357" s="225">
        <f>Base_Periodo1[[#This Row],[CREDITOS]]-Base_Periodo1[[#This Row],[DEBITOS]]</f>
        <v>0</v>
      </c>
      <c r="S4357" s="3" t="str">
        <f>IF(ISERROR(VLOOKUP(Base_Periodo1[[#This Row],[CONTA]],BaseContasDRE[#All],4,FALSE)),"Fora do DRE",VLOOKUP(Base_Periodo1[[#This Row],[CONTA]],BaseContasDRE[#All],4,FALSE))</f>
        <v>Fora do DRE</v>
      </c>
      <c r="T4357" s="3" t="str">
        <f>IF(ISERROR(VLOOKUP(Base_Periodo1[[#This Row],[CONTA]],BaseContasDRE[#All],5,FALSE)),"Fora do DRE",VLOOKUP(Base_Periodo1[[#This Row],[CONTA]],BaseContasDRE[#All],6,FALSE))</f>
        <v>Fora do DRE</v>
      </c>
      <c r="U4357" s="3" t="str">
        <f>IF(ISERROR(VLOOKUP(Base_Periodo1[[#This Row],[CONTA]],BaseContasDRE[#All],7,FALSE)),"Fora do DRE",VLOOKUP(Base_Periodo1[[#This Row],[CONTA]],BaseContasDRE[#All],7,FALSE))</f>
        <v>Fora do DRE</v>
      </c>
      <c r="V4357" s="3" t="str">
        <f>IF(Base_Periodo1[[#This Row],[Tipo_Linha]]="Fora do DRE","Fora do DRE","( "&amp;Base_Periodo1[[#This Row],[Tipo_Linha]]&amp;" ) "&amp;Base_Periodo1[[#This Row],[Filtro]])</f>
        <v>Fora do DRE</v>
      </c>
      <c r="W4357" s="3" t="str">
        <f>LEFT(Base_Periodo1[[#This Row],[CLASS]],3)</f>
        <v>2.4</v>
      </c>
    </row>
    <row r="4358" spans="1:23" hidden="1">
      <c r="A4358" s="3" t="str">
        <f t="shared" ref="A4358:A4421" si="68">"Período 1"</f>
        <v>Período 1</v>
      </c>
      <c r="B4358">
        <v>52640</v>
      </c>
      <c r="C4358" t="s">
        <v>2300</v>
      </c>
      <c r="D4358" t="s">
        <v>4784</v>
      </c>
      <c r="E4358" s="3" t="str">
        <f>IF(LEN(Base_Periodo1[[#This Row],[CLASS]])&gt;=7,LEFT(Base_Periodo1[[#This Row],[CLASS]],7),"")</f>
        <v>2.4.1.1</v>
      </c>
      <c r="F4358" s="3" t="str">
        <f>VLOOKUP(Base_Periodo1[[#This Row],[Aux]],Base_Contas_Balanco[#All],2,FALSE)</f>
        <v>Capital Social Realizado</v>
      </c>
      <c r="G4358" s="1"/>
      <c r="H4358" s="225">
        <v>240</v>
      </c>
      <c r="I4358" s="225">
        <v>0</v>
      </c>
      <c r="J4358" s="225">
        <v>0</v>
      </c>
      <c r="K4358" s="225">
        <v>240</v>
      </c>
      <c r="L43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358" s="225">
        <f>ROUND(IF(AND(Base_Periodo1[[#This Row],[Tipo_Linha]]="-",Base_Periodo1[[#This Row],[TIPOSALDO]]="D"),Base_Periodo1[[#This Row],[SALDO_ATUAL]]*-1,Base_Periodo1[[#This Row],[SALDO_ATUAL]]),4)</f>
        <v>240</v>
      </c>
      <c r="N4358" t="s">
        <v>116</v>
      </c>
      <c r="O4358" t="s">
        <v>459</v>
      </c>
      <c r="P4358" t="s">
        <v>459</v>
      </c>
      <c r="Q4358">
        <v>6</v>
      </c>
      <c r="R4358" s="225">
        <f>Base_Periodo1[[#This Row],[CREDITOS]]-Base_Periodo1[[#This Row],[DEBITOS]]</f>
        <v>0</v>
      </c>
      <c r="S4358" s="3" t="str">
        <f>IF(ISERROR(VLOOKUP(Base_Periodo1[[#This Row],[CONTA]],BaseContasDRE[#All],4,FALSE)),"Fora do DRE",VLOOKUP(Base_Periodo1[[#This Row],[CONTA]],BaseContasDRE[#All],4,FALSE))</f>
        <v>Fora do DRE</v>
      </c>
      <c r="T4358" s="3" t="str">
        <f>IF(ISERROR(VLOOKUP(Base_Periodo1[[#This Row],[CONTA]],BaseContasDRE[#All],5,FALSE)),"Fora do DRE",VLOOKUP(Base_Periodo1[[#This Row],[CONTA]],BaseContasDRE[#All],6,FALSE))</f>
        <v>Fora do DRE</v>
      </c>
      <c r="U4358" s="3" t="str">
        <f>IF(ISERROR(VLOOKUP(Base_Periodo1[[#This Row],[CONTA]],BaseContasDRE[#All],7,FALSE)),"Fora do DRE",VLOOKUP(Base_Periodo1[[#This Row],[CONTA]],BaseContasDRE[#All],7,FALSE))</f>
        <v>Fora do DRE</v>
      </c>
      <c r="V4358" s="3" t="str">
        <f>IF(Base_Periodo1[[#This Row],[Tipo_Linha]]="Fora do DRE","Fora do DRE","( "&amp;Base_Periodo1[[#This Row],[Tipo_Linha]]&amp;" ) "&amp;Base_Periodo1[[#This Row],[Filtro]])</f>
        <v>Fora do DRE</v>
      </c>
      <c r="W4358" s="3" t="str">
        <f>LEFT(Base_Periodo1[[#This Row],[CLASS]],3)</f>
        <v>2.4</v>
      </c>
    </row>
    <row r="4359" spans="1:23" hidden="1">
      <c r="A4359" s="3" t="str">
        <f t="shared" si="68"/>
        <v>Período 1</v>
      </c>
      <c r="B4359">
        <v>48111</v>
      </c>
      <c r="C4359" t="s">
        <v>2300</v>
      </c>
      <c r="D4359" t="s">
        <v>2347</v>
      </c>
      <c r="E4359" s="3" t="str">
        <f>IF(LEN(Base_Periodo1[[#This Row],[CLASS]])&gt;=7,LEFT(Base_Periodo1[[#This Row],[CLASS]],7),"")</f>
        <v>2.4.1.1</v>
      </c>
      <c r="F4359" s="3" t="str">
        <f>VLOOKUP(Base_Periodo1[[#This Row],[Aux]],Base_Contas_Balanco[#All],2,FALSE)</f>
        <v>Capital Social Realizado</v>
      </c>
      <c r="G4359" s="1"/>
      <c r="H4359" s="225">
        <v>3415.71</v>
      </c>
      <c r="I4359" s="225">
        <v>0</v>
      </c>
      <c r="J4359" s="225">
        <v>0</v>
      </c>
      <c r="K4359" s="225">
        <v>3415.71</v>
      </c>
      <c r="L43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3415.71</v>
      </c>
      <c r="M4359" s="225">
        <f>ROUND(IF(AND(Base_Periodo1[[#This Row],[Tipo_Linha]]="-",Base_Periodo1[[#This Row],[TIPOSALDO]]="D"),Base_Periodo1[[#This Row],[SALDO_ATUAL]]*-1,Base_Periodo1[[#This Row],[SALDO_ATUAL]]),4)</f>
        <v>3415.71</v>
      </c>
      <c r="N4359" t="s">
        <v>116</v>
      </c>
      <c r="O4359" t="s">
        <v>459</v>
      </c>
      <c r="P4359" t="s">
        <v>459</v>
      </c>
      <c r="Q4359">
        <v>6</v>
      </c>
      <c r="R4359" s="225">
        <f>Base_Periodo1[[#This Row],[CREDITOS]]-Base_Periodo1[[#This Row],[DEBITOS]]</f>
        <v>0</v>
      </c>
      <c r="S4359" s="3" t="str">
        <f>IF(ISERROR(VLOOKUP(Base_Periodo1[[#This Row],[CONTA]],BaseContasDRE[#All],4,FALSE)),"Fora do DRE",VLOOKUP(Base_Periodo1[[#This Row],[CONTA]],BaseContasDRE[#All],4,FALSE))</f>
        <v>Fora do DRE</v>
      </c>
      <c r="T4359" s="3" t="str">
        <f>IF(ISERROR(VLOOKUP(Base_Periodo1[[#This Row],[CONTA]],BaseContasDRE[#All],5,FALSE)),"Fora do DRE",VLOOKUP(Base_Periodo1[[#This Row],[CONTA]],BaseContasDRE[#All],6,FALSE))</f>
        <v>Fora do DRE</v>
      </c>
      <c r="U4359" s="3" t="str">
        <f>IF(ISERROR(VLOOKUP(Base_Periodo1[[#This Row],[CONTA]],BaseContasDRE[#All],7,FALSE)),"Fora do DRE",VLOOKUP(Base_Periodo1[[#This Row],[CONTA]],BaseContasDRE[#All],7,FALSE))</f>
        <v>Fora do DRE</v>
      </c>
      <c r="V4359" s="3" t="str">
        <f>IF(Base_Periodo1[[#This Row],[Tipo_Linha]]="Fora do DRE","Fora do DRE","( "&amp;Base_Periodo1[[#This Row],[Tipo_Linha]]&amp;" ) "&amp;Base_Periodo1[[#This Row],[Filtro]])</f>
        <v>Fora do DRE</v>
      </c>
      <c r="W4359" s="3" t="str">
        <f>LEFT(Base_Periodo1[[#This Row],[CLASS]],3)</f>
        <v>2.4</v>
      </c>
    </row>
    <row r="4360" spans="1:23" hidden="1">
      <c r="A4360" s="3" t="str">
        <f t="shared" si="68"/>
        <v>Período 1</v>
      </c>
      <c r="B4360">
        <v>47399</v>
      </c>
      <c r="C4360" t="s">
        <v>2300</v>
      </c>
      <c r="D4360" t="s">
        <v>2348</v>
      </c>
      <c r="E4360" s="3" t="str">
        <f>IF(LEN(Base_Periodo1[[#This Row],[CLASS]])&gt;=7,LEFT(Base_Periodo1[[#This Row],[CLASS]],7),"")</f>
        <v>2.4.1.1</v>
      </c>
      <c r="F4360" s="3" t="str">
        <f>VLOOKUP(Base_Periodo1[[#This Row],[Aux]],Base_Contas_Balanco[#All],2,FALSE)</f>
        <v>Capital Social Realizado</v>
      </c>
      <c r="G4360" s="1"/>
      <c r="H4360" s="225">
        <v>50</v>
      </c>
      <c r="I4360" s="225">
        <v>0</v>
      </c>
      <c r="J4360" s="225">
        <v>0</v>
      </c>
      <c r="K4360" s="225">
        <v>50</v>
      </c>
      <c r="L43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60" s="225">
        <f>ROUND(IF(AND(Base_Periodo1[[#This Row],[Tipo_Linha]]="-",Base_Periodo1[[#This Row],[TIPOSALDO]]="D"),Base_Periodo1[[#This Row],[SALDO_ATUAL]]*-1,Base_Periodo1[[#This Row],[SALDO_ATUAL]]),4)</f>
        <v>50</v>
      </c>
      <c r="N4360" t="s">
        <v>116</v>
      </c>
      <c r="O4360" t="s">
        <v>459</v>
      </c>
      <c r="P4360" t="s">
        <v>459</v>
      </c>
      <c r="Q4360">
        <v>6</v>
      </c>
      <c r="R4360" s="225">
        <f>Base_Periodo1[[#This Row],[CREDITOS]]-Base_Periodo1[[#This Row],[DEBITOS]]</f>
        <v>0</v>
      </c>
      <c r="S4360" s="3" t="str">
        <f>IF(ISERROR(VLOOKUP(Base_Periodo1[[#This Row],[CONTA]],BaseContasDRE[#All],4,FALSE)),"Fora do DRE",VLOOKUP(Base_Periodo1[[#This Row],[CONTA]],BaseContasDRE[#All],4,FALSE))</f>
        <v>Fora do DRE</v>
      </c>
      <c r="T4360" s="3" t="str">
        <f>IF(ISERROR(VLOOKUP(Base_Periodo1[[#This Row],[CONTA]],BaseContasDRE[#All],5,FALSE)),"Fora do DRE",VLOOKUP(Base_Periodo1[[#This Row],[CONTA]],BaseContasDRE[#All],6,FALSE))</f>
        <v>Fora do DRE</v>
      </c>
      <c r="U4360" s="3" t="str">
        <f>IF(ISERROR(VLOOKUP(Base_Periodo1[[#This Row],[CONTA]],BaseContasDRE[#All],7,FALSE)),"Fora do DRE",VLOOKUP(Base_Periodo1[[#This Row],[CONTA]],BaseContasDRE[#All],7,FALSE))</f>
        <v>Fora do DRE</v>
      </c>
      <c r="V4360" s="3" t="str">
        <f>IF(Base_Periodo1[[#This Row],[Tipo_Linha]]="Fora do DRE","Fora do DRE","( "&amp;Base_Periodo1[[#This Row],[Tipo_Linha]]&amp;" ) "&amp;Base_Periodo1[[#This Row],[Filtro]])</f>
        <v>Fora do DRE</v>
      </c>
      <c r="W4360" s="3" t="str">
        <f>LEFT(Base_Periodo1[[#This Row],[CLASS]],3)</f>
        <v>2.4</v>
      </c>
    </row>
    <row r="4361" spans="1:23" hidden="1">
      <c r="A4361" s="3" t="str">
        <f t="shared" si="68"/>
        <v>Período 1</v>
      </c>
      <c r="B4361">
        <v>47404</v>
      </c>
      <c r="C4361" t="s">
        <v>2300</v>
      </c>
      <c r="D4361" t="s">
        <v>2348</v>
      </c>
      <c r="E4361" s="3" t="str">
        <f>IF(LEN(Base_Periodo1[[#This Row],[CLASS]])&gt;=7,LEFT(Base_Periodo1[[#This Row],[CLASS]],7),"")</f>
        <v>2.4.1.1</v>
      </c>
      <c r="F4361" s="3" t="str">
        <f>VLOOKUP(Base_Periodo1[[#This Row],[Aux]],Base_Contas_Balanco[#All],2,FALSE)</f>
        <v>Capital Social Realizado</v>
      </c>
      <c r="G4361" s="1"/>
      <c r="H4361" s="225">
        <v>4188.91</v>
      </c>
      <c r="I4361" s="225">
        <v>0</v>
      </c>
      <c r="J4361" s="225">
        <v>0</v>
      </c>
      <c r="K4361" s="225">
        <v>4188.91</v>
      </c>
      <c r="L43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4188.91</v>
      </c>
      <c r="M4361" s="225">
        <f>ROUND(IF(AND(Base_Periodo1[[#This Row],[Tipo_Linha]]="-",Base_Periodo1[[#This Row],[TIPOSALDO]]="D"),Base_Periodo1[[#This Row],[SALDO_ATUAL]]*-1,Base_Periodo1[[#This Row],[SALDO_ATUAL]]),4)</f>
        <v>4188.91</v>
      </c>
      <c r="N4361" t="s">
        <v>116</v>
      </c>
      <c r="O4361" t="s">
        <v>459</v>
      </c>
      <c r="P4361" t="s">
        <v>459</v>
      </c>
      <c r="Q4361">
        <v>6</v>
      </c>
      <c r="R4361" s="225">
        <f>Base_Periodo1[[#This Row],[CREDITOS]]-Base_Periodo1[[#This Row],[DEBITOS]]</f>
        <v>0</v>
      </c>
      <c r="S4361" s="3" t="str">
        <f>IF(ISERROR(VLOOKUP(Base_Periodo1[[#This Row],[CONTA]],BaseContasDRE[#All],4,FALSE)),"Fora do DRE",VLOOKUP(Base_Periodo1[[#This Row],[CONTA]],BaseContasDRE[#All],4,FALSE))</f>
        <v>Fora do DRE</v>
      </c>
      <c r="T4361" s="3" t="str">
        <f>IF(ISERROR(VLOOKUP(Base_Periodo1[[#This Row],[CONTA]],BaseContasDRE[#All],5,FALSE)),"Fora do DRE",VLOOKUP(Base_Periodo1[[#This Row],[CONTA]],BaseContasDRE[#All],6,FALSE))</f>
        <v>Fora do DRE</v>
      </c>
      <c r="U4361" s="3" t="str">
        <f>IF(ISERROR(VLOOKUP(Base_Periodo1[[#This Row],[CONTA]],BaseContasDRE[#All],7,FALSE)),"Fora do DRE",VLOOKUP(Base_Periodo1[[#This Row],[CONTA]],BaseContasDRE[#All],7,FALSE))</f>
        <v>Fora do DRE</v>
      </c>
      <c r="V4361" s="3" t="str">
        <f>IF(Base_Periodo1[[#This Row],[Tipo_Linha]]="Fora do DRE","Fora do DRE","( "&amp;Base_Periodo1[[#This Row],[Tipo_Linha]]&amp;" ) "&amp;Base_Periodo1[[#This Row],[Filtro]])</f>
        <v>Fora do DRE</v>
      </c>
      <c r="W4361" s="3" t="str">
        <f>LEFT(Base_Periodo1[[#This Row],[CLASS]],3)</f>
        <v>2.4</v>
      </c>
    </row>
    <row r="4362" spans="1:23" hidden="1">
      <c r="A4362" s="3" t="str">
        <f t="shared" si="68"/>
        <v>Período 1</v>
      </c>
      <c r="B4362">
        <v>50801</v>
      </c>
      <c r="C4362" t="s">
        <v>2300</v>
      </c>
      <c r="D4362" t="s">
        <v>4467</v>
      </c>
      <c r="E4362" s="3" t="str">
        <f>IF(LEN(Base_Periodo1[[#This Row],[CLASS]])&gt;=7,LEFT(Base_Periodo1[[#This Row],[CLASS]],7),"")</f>
        <v>2.4.1.1</v>
      </c>
      <c r="F4362" s="3" t="str">
        <f>VLOOKUP(Base_Periodo1[[#This Row],[Aux]],Base_Contas_Balanco[#All],2,FALSE)</f>
        <v>Capital Social Realizado</v>
      </c>
      <c r="G4362" s="1"/>
      <c r="H4362" s="225">
        <v>500</v>
      </c>
      <c r="I4362" s="225">
        <v>0</v>
      </c>
      <c r="J4362" s="225">
        <v>0</v>
      </c>
      <c r="K4362" s="225">
        <v>500</v>
      </c>
      <c r="L43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4362" s="225">
        <f>ROUND(IF(AND(Base_Periodo1[[#This Row],[Tipo_Linha]]="-",Base_Periodo1[[#This Row],[TIPOSALDO]]="D"),Base_Periodo1[[#This Row],[SALDO_ATUAL]]*-1,Base_Periodo1[[#This Row],[SALDO_ATUAL]]),4)</f>
        <v>500</v>
      </c>
      <c r="N4362" t="s">
        <v>116</v>
      </c>
      <c r="O4362" t="s">
        <v>459</v>
      </c>
      <c r="P4362" t="s">
        <v>459</v>
      </c>
      <c r="Q4362">
        <v>6</v>
      </c>
      <c r="R4362" s="225">
        <f>Base_Periodo1[[#This Row],[CREDITOS]]-Base_Periodo1[[#This Row],[DEBITOS]]</f>
        <v>0</v>
      </c>
      <c r="S4362" s="3" t="str">
        <f>IF(ISERROR(VLOOKUP(Base_Periodo1[[#This Row],[CONTA]],BaseContasDRE[#All],4,FALSE)),"Fora do DRE",VLOOKUP(Base_Periodo1[[#This Row],[CONTA]],BaseContasDRE[#All],4,FALSE))</f>
        <v>Fora do DRE</v>
      </c>
      <c r="T4362" s="3" t="str">
        <f>IF(ISERROR(VLOOKUP(Base_Periodo1[[#This Row],[CONTA]],BaseContasDRE[#All],5,FALSE)),"Fora do DRE",VLOOKUP(Base_Periodo1[[#This Row],[CONTA]],BaseContasDRE[#All],6,FALSE))</f>
        <v>Fora do DRE</v>
      </c>
      <c r="U4362" s="3" t="str">
        <f>IF(ISERROR(VLOOKUP(Base_Periodo1[[#This Row],[CONTA]],BaseContasDRE[#All],7,FALSE)),"Fora do DRE",VLOOKUP(Base_Periodo1[[#This Row],[CONTA]],BaseContasDRE[#All],7,FALSE))</f>
        <v>Fora do DRE</v>
      </c>
      <c r="V4362" s="3" t="str">
        <f>IF(Base_Periodo1[[#This Row],[Tipo_Linha]]="Fora do DRE","Fora do DRE","( "&amp;Base_Periodo1[[#This Row],[Tipo_Linha]]&amp;" ) "&amp;Base_Periodo1[[#This Row],[Filtro]])</f>
        <v>Fora do DRE</v>
      </c>
      <c r="W4362" s="3" t="str">
        <f>LEFT(Base_Periodo1[[#This Row],[CLASS]],3)</f>
        <v>2.4</v>
      </c>
    </row>
    <row r="4363" spans="1:23" hidden="1">
      <c r="A4363" s="3" t="str">
        <f t="shared" si="68"/>
        <v>Período 1</v>
      </c>
      <c r="B4363">
        <v>49096</v>
      </c>
      <c r="C4363" t="s">
        <v>2300</v>
      </c>
      <c r="D4363" t="s">
        <v>4302</v>
      </c>
      <c r="E4363" s="3" t="str">
        <f>IF(LEN(Base_Periodo1[[#This Row],[CLASS]])&gt;=7,LEFT(Base_Periodo1[[#This Row],[CLASS]],7),"")</f>
        <v>2.4.1.1</v>
      </c>
      <c r="F4363" s="3" t="str">
        <f>VLOOKUP(Base_Periodo1[[#This Row],[Aux]],Base_Contas_Balanco[#All],2,FALSE)</f>
        <v>Capital Social Realizado</v>
      </c>
      <c r="G4363" s="1"/>
      <c r="H4363" s="225">
        <v>1769.44</v>
      </c>
      <c r="I4363" s="225">
        <v>0</v>
      </c>
      <c r="J4363" s="225">
        <v>0</v>
      </c>
      <c r="K4363" s="225">
        <v>1769.44</v>
      </c>
      <c r="L43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1769.44</v>
      </c>
      <c r="M4363" s="225">
        <f>ROUND(IF(AND(Base_Periodo1[[#This Row],[Tipo_Linha]]="-",Base_Periodo1[[#This Row],[TIPOSALDO]]="D"),Base_Periodo1[[#This Row],[SALDO_ATUAL]]*-1,Base_Periodo1[[#This Row],[SALDO_ATUAL]]),4)</f>
        <v>1769.44</v>
      </c>
      <c r="N4363" t="s">
        <v>116</v>
      </c>
      <c r="O4363" t="s">
        <v>459</v>
      </c>
      <c r="P4363" t="s">
        <v>459</v>
      </c>
      <c r="Q4363">
        <v>6</v>
      </c>
      <c r="R4363" s="225">
        <f>Base_Periodo1[[#This Row],[CREDITOS]]-Base_Periodo1[[#This Row],[DEBITOS]]</f>
        <v>0</v>
      </c>
      <c r="S4363" s="3" t="str">
        <f>IF(ISERROR(VLOOKUP(Base_Periodo1[[#This Row],[CONTA]],BaseContasDRE[#All],4,FALSE)),"Fora do DRE",VLOOKUP(Base_Periodo1[[#This Row],[CONTA]],BaseContasDRE[#All],4,FALSE))</f>
        <v>Fora do DRE</v>
      </c>
      <c r="T4363" s="3" t="str">
        <f>IF(ISERROR(VLOOKUP(Base_Periodo1[[#This Row],[CONTA]],BaseContasDRE[#All],5,FALSE)),"Fora do DRE",VLOOKUP(Base_Periodo1[[#This Row],[CONTA]],BaseContasDRE[#All],6,FALSE))</f>
        <v>Fora do DRE</v>
      </c>
      <c r="U4363" s="3" t="str">
        <f>IF(ISERROR(VLOOKUP(Base_Periodo1[[#This Row],[CONTA]],BaseContasDRE[#All],7,FALSE)),"Fora do DRE",VLOOKUP(Base_Periodo1[[#This Row],[CONTA]],BaseContasDRE[#All],7,FALSE))</f>
        <v>Fora do DRE</v>
      </c>
      <c r="V4363" s="3" t="str">
        <f>IF(Base_Periodo1[[#This Row],[Tipo_Linha]]="Fora do DRE","Fora do DRE","( "&amp;Base_Periodo1[[#This Row],[Tipo_Linha]]&amp;" ) "&amp;Base_Periodo1[[#This Row],[Filtro]])</f>
        <v>Fora do DRE</v>
      </c>
      <c r="W4363" s="3" t="str">
        <f>LEFT(Base_Periodo1[[#This Row],[CLASS]],3)</f>
        <v>2.4</v>
      </c>
    </row>
    <row r="4364" spans="1:23" hidden="1">
      <c r="A4364" s="3" t="str">
        <f t="shared" si="68"/>
        <v>Período 1</v>
      </c>
      <c r="B4364">
        <v>24902</v>
      </c>
      <c r="C4364" t="s">
        <v>2300</v>
      </c>
      <c r="D4364" t="s">
        <v>2349</v>
      </c>
      <c r="E4364" s="3" t="str">
        <f>IF(LEN(Base_Periodo1[[#This Row],[CLASS]])&gt;=7,LEFT(Base_Periodo1[[#This Row],[CLASS]],7),"")</f>
        <v>2.4.1.1</v>
      </c>
      <c r="F4364" s="3" t="str">
        <f>VLOOKUP(Base_Periodo1[[#This Row],[Aux]],Base_Contas_Balanco[#All],2,FALSE)</f>
        <v>Capital Social Realizado</v>
      </c>
      <c r="G4364" s="1"/>
      <c r="H4364" s="225">
        <v>5681.96</v>
      </c>
      <c r="I4364" s="225">
        <v>0</v>
      </c>
      <c r="J4364" s="225">
        <v>0</v>
      </c>
      <c r="K4364" s="225">
        <v>5681.96</v>
      </c>
      <c r="L43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5681.96</v>
      </c>
      <c r="M4364" s="225">
        <f>ROUND(IF(AND(Base_Periodo1[[#This Row],[Tipo_Linha]]="-",Base_Periodo1[[#This Row],[TIPOSALDO]]="D"),Base_Periodo1[[#This Row],[SALDO_ATUAL]]*-1,Base_Periodo1[[#This Row],[SALDO_ATUAL]]),4)</f>
        <v>5681.96</v>
      </c>
      <c r="N4364" t="s">
        <v>116</v>
      </c>
      <c r="O4364" t="s">
        <v>459</v>
      </c>
      <c r="P4364" t="s">
        <v>459</v>
      </c>
      <c r="Q4364">
        <v>6</v>
      </c>
      <c r="R4364" s="225">
        <f>Base_Periodo1[[#This Row],[CREDITOS]]-Base_Periodo1[[#This Row],[DEBITOS]]</f>
        <v>0</v>
      </c>
      <c r="S4364" s="3" t="str">
        <f>IF(ISERROR(VLOOKUP(Base_Periodo1[[#This Row],[CONTA]],BaseContasDRE[#All],4,FALSE)),"Fora do DRE",VLOOKUP(Base_Periodo1[[#This Row],[CONTA]],BaseContasDRE[#All],4,FALSE))</f>
        <v>Fora do DRE</v>
      </c>
      <c r="T4364" s="3" t="str">
        <f>IF(ISERROR(VLOOKUP(Base_Periodo1[[#This Row],[CONTA]],BaseContasDRE[#All],5,FALSE)),"Fora do DRE",VLOOKUP(Base_Periodo1[[#This Row],[CONTA]],BaseContasDRE[#All],6,FALSE))</f>
        <v>Fora do DRE</v>
      </c>
      <c r="U4364" s="3" t="str">
        <f>IF(ISERROR(VLOOKUP(Base_Periodo1[[#This Row],[CONTA]],BaseContasDRE[#All],7,FALSE)),"Fora do DRE",VLOOKUP(Base_Periodo1[[#This Row],[CONTA]],BaseContasDRE[#All],7,FALSE))</f>
        <v>Fora do DRE</v>
      </c>
      <c r="V4364" s="3" t="str">
        <f>IF(Base_Periodo1[[#This Row],[Tipo_Linha]]="Fora do DRE","Fora do DRE","( "&amp;Base_Periodo1[[#This Row],[Tipo_Linha]]&amp;" ) "&amp;Base_Periodo1[[#This Row],[Filtro]])</f>
        <v>Fora do DRE</v>
      </c>
      <c r="W4364" s="3" t="str">
        <f>LEFT(Base_Periodo1[[#This Row],[CLASS]],3)</f>
        <v>2.4</v>
      </c>
    </row>
    <row r="4365" spans="1:23" hidden="1">
      <c r="A4365" s="3" t="str">
        <f t="shared" si="68"/>
        <v>Período 1</v>
      </c>
      <c r="B4365">
        <v>34014</v>
      </c>
      <c r="C4365" t="s">
        <v>2300</v>
      </c>
      <c r="D4365" t="s">
        <v>2350</v>
      </c>
      <c r="E4365" s="3" t="str">
        <f>IF(LEN(Base_Periodo1[[#This Row],[CLASS]])&gt;=7,LEFT(Base_Periodo1[[#This Row],[CLASS]],7),"")</f>
        <v>2.4.1.1</v>
      </c>
      <c r="F4365" s="3" t="str">
        <f>VLOOKUP(Base_Periodo1[[#This Row],[Aux]],Base_Contas_Balanco[#All],2,FALSE)</f>
        <v>Capital Social Realizado</v>
      </c>
      <c r="G4365" s="1"/>
      <c r="H4365" s="225">
        <v>3242.37</v>
      </c>
      <c r="I4365" s="225">
        <v>0</v>
      </c>
      <c r="J4365" s="225">
        <v>0</v>
      </c>
      <c r="K4365" s="225">
        <v>3242.37</v>
      </c>
      <c r="L43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3242.37</v>
      </c>
      <c r="M4365" s="225">
        <f>ROUND(IF(AND(Base_Periodo1[[#This Row],[Tipo_Linha]]="-",Base_Periodo1[[#This Row],[TIPOSALDO]]="D"),Base_Periodo1[[#This Row],[SALDO_ATUAL]]*-1,Base_Periodo1[[#This Row],[SALDO_ATUAL]]),4)</f>
        <v>3242.37</v>
      </c>
      <c r="N4365" t="s">
        <v>116</v>
      </c>
      <c r="O4365" t="s">
        <v>459</v>
      </c>
      <c r="P4365" t="s">
        <v>459</v>
      </c>
      <c r="Q4365">
        <v>6</v>
      </c>
      <c r="R4365" s="225">
        <f>Base_Periodo1[[#This Row],[CREDITOS]]-Base_Periodo1[[#This Row],[DEBITOS]]</f>
        <v>0</v>
      </c>
      <c r="S4365" s="3" t="str">
        <f>IF(ISERROR(VLOOKUP(Base_Periodo1[[#This Row],[CONTA]],BaseContasDRE[#All],4,FALSE)),"Fora do DRE",VLOOKUP(Base_Periodo1[[#This Row],[CONTA]],BaseContasDRE[#All],4,FALSE))</f>
        <v>Fora do DRE</v>
      </c>
      <c r="T4365" s="3" t="str">
        <f>IF(ISERROR(VLOOKUP(Base_Periodo1[[#This Row],[CONTA]],BaseContasDRE[#All],5,FALSE)),"Fora do DRE",VLOOKUP(Base_Periodo1[[#This Row],[CONTA]],BaseContasDRE[#All],6,FALSE))</f>
        <v>Fora do DRE</v>
      </c>
      <c r="U4365" s="3" t="str">
        <f>IF(ISERROR(VLOOKUP(Base_Periodo1[[#This Row],[CONTA]],BaseContasDRE[#All],7,FALSE)),"Fora do DRE",VLOOKUP(Base_Periodo1[[#This Row],[CONTA]],BaseContasDRE[#All],7,FALSE))</f>
        <v>Fora do DRE</v>
      </c>
      <c r="V4365" s="3" t="str">
        <f>IF(Base_Periodo1[[#This Row],[Tipo_Linha]]="Fora do DRE","Fora do DRE","( "&amp;Base_Periodo1[[#This Row],[Tipo_Linha]]&amp;" ) "&amp;Base_Periodo1[[#This Row],[Filtro]])</f>
        <v>Fora do DRE</v>
      </c>
      <c r="W4365" s="3" t="str">
        <f>LEFT(Base_Periodo1[[#This Row],[CLASS]],3)</f>
        <v>2.4</v>
      </c>
    </row>
    <row r="4366" spans="1:23" hidden="1">
      <c r="A4366" s="3" t="str">
        <f t="shared" si="68"/>
        <v>Período 1</v>
      </c>
      <c r="B4366">
        <v>16051</v>
      </c>
      <c r="C4366" t="s">
        <v>2300</v>
      </c>
      <c r="D4366" t="s">
        <v>2351</v>
      </c>
      <c r="E4366" s="3" t="str">
        <f>IF(LEN(Base_Periodo1[[#This Row],[CLASS]])&gt;=7,LEFT(Base_Periodo1[[#This Row],[CLASS]],7),"")</f>
        <v>2.4.1.1</v>
      </c>
      <c r="F4366" s="3" t="str">
        <f>VLOOKUP(Base_Periodo1[[#This Row],[Aux]],Base_Contas_Balanco[#All],2,FALSE)</f>
        <v>Capital Social Realizado</v>
      </c>
      <c r="G4366" s="1"/>
      <c r="H4366" s="225">
        <v>1435.18</v>
      </c>
      <c r="I4366" s="225">
        <v>0</v>
      </c>
      <c r="J4366" s="225">
        <v>0</v>
      </c>
      <c r="K4366" s="225">
        <v>1435.18</v>
      </c>
      <c r="L43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1435.18</v>
      </c>
      <c r="M4366" s="225">
        <f>ROUND(IF(AND(Base_Periodo1[[#This Row],[Tipo_Linha]]="-",Base_Periodo1[[#This Row],[TIPOSALDO]]="D"),Base_Periodo1[[#This Row],[SALDO_ATUAL]]*-1,Base_Periodo1[[#This Row],[SALDO_ATUAL]]),4)</f>
        <v>1435.18</v>
      </c>
      <c r="N4366" t="s">
        <v>116</v>
      </c>
      <c r="O4366" t="s">
        <v>459</v>
      </c>
      <c r="P4366" t="s">
        <v>459</v>
      </c>
      <c r="Q4366">
        <v>6</v>
      </c>
      <c r="R4366" s="225">
        <f>Base_Periodo1[[#This Row],[CREDITOS]]-Base_Periodo1[[#This Row],[DEBITOS]]</f>
        <v>0</v>
      </c>
      <c r="S4366" s="3" t="str">
        <f>IF(ISERROR(VLOOKUP(Base_Periodo1[[#This Row],[CONTA]],BaseContasDRE[#All],4,FALSE)),"Fora do DRE",VLOOKUP(Base_Periodo1[[#This Row],[CONTA]],BaseContasDRE[#All],4,FALSE))</f>
        <v>Fora do DRE</v>
      </c>
      <c r="T4366" s="3" t="str">
        <f>IF(ISERROR(VLOOKUP(Base_Periodo1[[#This Row],[CONTA]],BaseContasDRE[#All],5,FALSE)),"Fora do DRE",VLOOKUP(Base_Periodo1[[#This Row],[CONTA]],BaseContasDRE[#All],6,FALSE))</f>
        <v>Fora do DRE</v>
      </c>
      <c r="U4366" s="3" t="str">
        <f>IF(ISERROR(VLOOKUP(Base_Periodo1[[#This Row],[CONTA]],BaseContasDRE[#All],7,FALSE)),"Fora do DRE",VLOOKUP(Base_Periodo1[[#This Row],[CONTA]],BaseContasDRE[#All],7,FALSE))</f>
        <v>Fora do DRE</v>
      </c>
      <c r="V4366" s="3" t="str">
        <f>IF(Base_Periodo1[[#This Row],[Tipo_Linha]]="Fora do DRE","Fora do DRE","( "&amp;Base_Periodo1[[#This Row],[Tipo_Linha]]&amp;" ) "&amp;Base_Periodo1[[#This Row],[Filtro]])</f>
        <v>Fora do DRE</v>
      </c>
      <c r="W4366" s="3" t="str">
        <f>LEFT(Base_Periodo1[[#This Row],[CLASS]],3)</f>
        <v>2.4</v>
      </c>
    </row>
    <row r="4367" spans="1:23" hidden="1">
      <c r="A4367" s="3" t="str">
        <f t="shared" si="68"/>
        <v>Período 1</v>
      </c>
      <c r="B4367">
        <v>24587</v>
      </c>
      <c r="C4367" t="s">
        <v>2300</v>
      </c>
      <c r="D4367" t="s">
        <v>2352</v>
      </c>
      <c r="E4367" s="3" t="str">
        <f>IF(LEN(Base_Periodo1[[#This Row],[CLASS]])&gt;=7,LEFT(Base_Periodo1[[#This Row],[CLASS]],7),"")</f>
        <v>2.4.1.1</v>
      </c>
      <c r="F4367" s="3" t="str">
        <f>VLOOKUP(Base_Periodo1[[#This Row],[Aux]],Base_Contas_Balanco[#All],2,FALSE)</f>
        <v>Capital Social Realizado</v>
      </c>
      <c r="G4367" s="1"/>
      <c r="H4367" s="225">
        <v>1692.27</v>
      </c>
      <c r="I4367" s="225">
        <v>0</v>
      </c>
      <c r="J4367" s="225">
        <v>0</v>
      </c>
      <c r="K4367" s="225">
        <v>1692.27</v>
      </c>
      <c r="L43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1692.27</v>
      </c>
      <c r="M4367" s="225">
        <f>ROUND(IF(AND(Base_Periodo1[[#This Row],[Tipo_Linha]]="-",Base_Periodo1[[#This Row],[TIPOSALDO]]="D"),Base_Periodo1[[#This Row],[SALDO_ATUAL]]*-1,Base_Periodo1[[#This Row],[SALDO_ATUAL]]),4)</f>
        <v>1692.27</v>
      </c>
      <c r="N4367" t="s">
        <v>116</v>
      </c>
      <c r="O4367" t="s">
        <v>459</v>
      </c>
      <c r="P4367" t="s">
        <v>459</v>
      </c>
      <c r="Q4367">
        <v>6</v>
      </c>
      <c r="R4367" s="225">
        <f>Base_Periodo1[[#This Row],[CREDITOS]]-Base_Periodo1[[#This Row],[DEBITOS]]</f>
        <v>0</v>
      </c>
      <c r="S4367" s="3" t="str">
        <f>IF(ISERROR(VLOOKUP(Base_Periodo1[[#This Row],[CONTA]],BaseContasDRE[#All],4,FALSE)),"Fora do DRE",VLOOKUP(Base_Periodo1[[#This Row],[CONTA]],BaseContasDRE[#All],4,FALSE))</f>
        <v>Fora do DRE</v>
      </c>
      <c r="T4367" s="3" t="str">
        <f>IF(ISERROR(VLOOKUP(Base_Periodo1[[#This Row],[CONTA]],BaseContasDRE[#All],5,FALSE)),"Fora do DRE",VLOOKUP(Base_Periodo1[[#This Row],[CONTA]],BaseContasDRE[#All],6,FALSE))</f>
        <v>Fora do DRE</v>
      </c>
      <c r="U4367" s="3" t="str">
        <f>IF(ISERROR(VLOOKUP(Base_Periodo1[[#This Row],[CONTA]],BaseContasDRE[#All],7,FALSE)),"Fora do DRE",VLOOKUP(Base_Periodo1[[#This Row],[CONTA]],BaseContasDRE[#All],7,FALSE))</f>
        <v>Fora do DRE</v>
      </c>
      <c r="V4367" s="3" t="str">
        <f>IF(Base_Periodo1[[#This Row],[Tipo_Linha]]="Fora do DRE","Fora do DRE","( "&amp;Base_Periodo1[[#This Row],[Tipo_Linha]]&amp;" ) "&amp;Base_Periodo1[[#This Row],[Filtro]])</f>
        <v>Fora do DRE</v>
      </c>
      <c r="W4367" s="3" t="str">
        <f>LEFT(Base_Periodo1[[#This Row],[CLASS]],3)</f>
        <v>2.4</v>
      </c>
    </row>
    <row r="4368" spans="1:23" hidden="1">
      <c r="A4368" s="3" t="str">
        <f t="shared" si="68"/>
        <v>Período 1</v>
      </c>
      <c r="B4368">
        <v>15921</v>
      </c>
      <c r="C4368" t="s">
        <v>2300</v>
      </c>
      <c r="D4368" t="s">
        <v>2353</v>
      </c>
      <c r="E4368" s="3" t="str">
        <f>IF(LEN(Base_Periodo1[[#This Row],[CLASS]])&gt;=7,LEFT(Base_Periodo1[[#This Row],[CLASS]],7),"")</f>
        <v>2.4.1.1</v>
      </c>
      <c r="F4368" s="3" t="str">
        <f>VLOOKUP(Base_Periodo1[[#This Row],[Aux]],Base_Contas_Balanco[#All],2,FALSE)</f>
        <v>Capital Social Realizado</v>
      </c>
      <c r="G4368" s="1"/>
      <c r="H4368" s="225">
        <v>3605.85</v>
      </c>
      <c r="I4368" s="225">
        <v>0</v>
      </c>
      <c r="J4368" s="225">
        <v>0</v>
      </c>
      <c r="K4368" s="225">
        <v>3605.85</v>
      </c>
      <c r="L43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3605.85</v>
      </c>
      <c r="M4368" s="225">
        <f>ROUND(IF(AND(Base_Periodo1[[#This Row],[Tipo_Linha]]="-",Base_Periodo1[[#This Row],[TIPOSALDO]]="D"),Base_Periodo1[[#This Row],[SALDO_ATUAL]]*-1,Base_Periodo1[[#This Row],[SALDO_ATUAL]]),4)</f>
        <v>3605.85</v>
      </c>
      <c r="N4368" t="s">
        <v>116</v>
      </c>
      <c r="O4368" t="s">
        <v>459</v>
      </c>
      <c r="P4368" t="s">
        <v>459</v>
      </c>
      <c r="Q4368">
        <v>6</v>
      </c>
      <c r="R4368" s="225">
        <f>Base_Periodo1[[#This Row],[CREDITOS]]-Base_Periodo1[[#This Row],[DEBITOS]]</f>
        <v>0</v>
      </c>
      <c r="S4368" s="3" t="str">
        <f>IF(ISERROR(VLOOKUP(Base_Periodo1[[#This Row],[CONTA]],BaseContasDRE[#All],4,FALSE)),"Fora do DRE",VLOOKUP(Base_Periodo1[[#This Row],[CONTA]],BaseContasDRE[#All],4,FALSE))</f>
        <v>Fora do DRE</v>
      </c>
      <c r="T4368" s="3" t="str">
        <f>IF(ISERROR(VLOOKUP(Base_Periodo1[[#This Row],[CONTA]],BaseContasDRE[#All],5,FALSE)),"Fora do DRE",VLOOKUP(Base_Periodo1[[#This Row],[CONTA]],BaseContasDRE[#All],6,FALSE))</f>
        <v>Fora do DRE</v>
      </c>
      <c r="U4368" s="3" t="str">
        <f>IF(ISERROR(VLOOKUP(Base_Periodo1[[#This Row],[CONTA]],BaseContasDRE[#All],7,FALSE)),"Fora do DRE",VLOOKUP(Base_Periodo1[[#This Row],[CONTA]],BaseContasDRE[#All],7,FALSE))</f>
        <v>Fora do DRE</v>
      </c>
      <c r="V4368" s="3" t="str">
        <f>IF(Base_Periodo1[[#This Row],[Tipo_Linha]]="Fora do DRE","Fora do DRE","( "&amp;Base_Periodo1[[#This Row],[Tipo_Linha]]&amp;" ) "&amp;Base_Periodo1[[#This Row],[Filtro]])</f>
        <v>Fora do DRE</v>
      </c>
      <c r="W4368" s="3" t="str">
        <f>LEFT(Base_Periodo1[[#This Row],[CLASS]],3)</f>
        <v>2.4</v>
      </c>
    </row>
    <row r="4369" spans="1:23" hidden="1">
      <c r="A4369" s="3" t="str">
        <f t="shared" si="68"/>
        <v>Período 1</v>
      </c>
      <c r="B4369">
        <v>24108</v>
      </c>
      <c r="C4369" t="s">
        <v>2300</v>
      </c>
      <c r="D4369" t="s">
        <v>2354</v>
      </c>
      <c r="E4369" s="3" t="str">
        <f>IF(LEN(Base_Periodo1[[#This Row],[CLASS]])&gt;=7,LEFT(Base_Periodo1[[#This Row],[CLASS]],7),"")</f>
        <v>2.4.1.1</v>
      </c>
      <c r="F4369" s="3" t="str">
        <f>VLOOKUP(Base_Periodo1[[#This Row],[Aux]],Base_Contas_Balanco[#All],2,FALSE)</f>
        <v>Capital Social Realizado</v>
      </c>
      <c r="G4369" s="1"/>
      <c r="H4369" s="225">
        <v>3041.71</v>
      </c>
      <c r="I4369" s="225">
        <v>0</v>
      </c>
      <c r="J4369" s="225">
        <v>0</v>
      </c>
      <c r="K4369" s="225">
        <v>3041.71</v>
      </c>
      <c r="L43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3041.71</v>
      </c>
      <c r="M4369" s="225">
        <f>ROUND(IF(AND(Base_Periodo1[[#This Row],[Tipo_Linha]]="-",Base_Periodo1[[#This Row],[TIPOSALDO]]="D"),Base_Periodo1[[#This Row],[SALDO_ATUAL]]*-1,Base_Periodo1[[#This Row],[SALDO_ATUAL]]),4)</f>
        <v>3041.71</v>
      </c>
      <c r="N4369" t="s">
        <v>116</v>
      </c>
      <c r="O4369" t="s">
        <v>459</v>
      </c>
      <c r="P4369" t="s">
        <v>459</v>
      </c>
      <c r="Q4369">
        <v>6</v>
      </c>
      <c r="R4369" s="225">
        <f>Base_Periodo1[[#This Row],[CREDITOS]]-Base_Periodo1[[#This Row],[DEBITOS]]</f>
        <v>0</v>
      </c>
      <c r="S4369" s="3" t="str">
        <f>IF(ISERROR(VLOOKUP(Base_Periodo1[[#This Row],[CONTA]],BaseContasDRE[#All],4,FALSE)),"Fora do DRE",VLOOKUP(Base_Periodo1[[#This Row],[CONTA]],BaseContasDRE[#All],4,FALSE))</f>
        <v>Fora do DRE</v>
      </c>
      <c r="T4369" s="3" t="str">
        <f>IF(ISERROR(VLOOKUP(Base_Periodo1[[#This Row],[CONTA]],BaseContasDRE[#All],5,FALSE)),"Fora do DRE",VLOOKUP(Base_Periodo1[[#This Row],[CONTA]],BaseContasDRE[#All],6,FALSE))</f>
        <v>Fora do DRE</v>
      </c>
      <c r="U4369" s="3" t="str">
        <f>IF(ISERROR(VLOOKUP(Base_Periodo1[[#This Row],[CONTA]],BaseContasDRE[#All],7,FALSE)),"Fora do DRE",VLOOKUP(Base_Periodo1[[#This Row],[CONTA]],BaseContasDRE[#All],7,FALSE))</f>
        <v>Fora do DRE</v>
      </c>
      <c r="V4369" s="3" t="str">
        <f>IF(Base_Periodo1[[#This Row],[Tipo_Linha]]="Fora do DRE","Fora do DRE","( "&amp;Base_Periodo1[[#This Row],[Tipo_Linha]]&amp;" ) "&amp;Base_Periodo1[[#This Row],[Filtro]])</f>
        <v>Fora do DRE</v>
      </c>
      <c r="W4369" s="3" t="str">
        <f>LEFT(Base_Periodo1[[#This Row],[CLASS]],3)</f>
        <v>2.4</v>
      </c>
    </row>
    <row r="4370" spans="1:23" hidden="1">
      <c r="A4370" s="3" t="str">
        <f t="shared" si="68"/>
        <v>Período 1</v>
      </c>
      <c r="B4370">
        <v>47484</v>
      </c>
      <c r="C4370" t="s">
        <v>2300</v>
      </c>
      <c r="D4370" t="s">
        <v>2355</v>
      </c>
      <c r="E4370" s="3" t="str">
        <f>IF(LEN(Base_Periodo1[[#This Row],[CLASS]])&gt;=7,LEFT(Base_Periodo1[[#This Row],[CLASS]],7),"")</f>
        <v>2.4.1.1</v>
      </c>
      <c r="F4370" s="3" t="str">
        <f>VLOOKUP(Base_Periodo1[[#This Row],[Aux]],Base_Contas_Balanco[#All],2,FALSE)</f>
        <v>Capital Social Realizado</v>
      </c>
      <c r="G4370" s="1"/>
      <c r="H4370" s="225">
        <v>87.91</v>
      </c>
      <c r="I4370" s="225">
        <v>0</v>
      </c>
      <c r="J4370" s="225">
        <v>0</v>
      </c>
      <c r="K4370" s="225">
        <v>87.91</v>
      </c>
      <c r="L43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87.91</v>
      </c>
      <c r="M4370" s="225">
        <f>ROUND(IF(AND(Base_Periodo1[[#This Row],[Tipo_Linha]]="-",Base_Periodo1[[#This Row],[TIPOSALDO]]="D"),Base_Periodo1[[#This Row],[SALDO_ATUAL]]*-1,Base_Periodo1[[#This Row],[SALDO_ATUAL]]),4)</f>
        <v>87.91</v>
      </c>
      <c r="N4370" t="s">
        <v>116</v>
      </c>
      <c r="O4370" t="s">
        <v>459</v>
      </c>
      <c r="P4370" t="s">
        <v>459</v>
      </c>
      <c r="Q4370">
        <v>6</v>
      </c>
      <c r="R4370" s="225">
        <f>Base_Periodo1[[#This Row],[CREDITOS]]-Base_Periodo1[[#This Row],[DEBITOS]]</f>
        <v>0</v>
      </c>
      <c r="S4370" s="3" t="str">
        <f>IF(ISERROR(VLOOKUP(Base_Periodo1[[#This Row],[CONTA]],BaseContasDRE[#All],4,FALSE)),"Fora do DRE",VLOOKUP(Base_Periodo1[[#This Row],[CONTA]],BaseContasDRE[#All],4,FALSE))</f>
        <v>Fora do DRE</v>
      </c>
      <c r="T4370" s="3" t="str">
        <f>IF(ISERROR(VLOOKUP(Base_Periodo1[[#This Row],[CONTA]],BaseContasDRE[#All],5,FALSE)),"Fora do DRE",VLOOKUP(Base_Periodo1[[#This Row],[CONTA]],BaseContasDRE[#All],6,FALSE))</f>
        <v>Fora do DRE</v>
      </c>
      <c r="U4370" s="3" t="str">
        <f>IF(ISERROR(VLOOKUP(Base_Periodo1[[#This Row],[CONTA]],BaseContasDRE[#All],7,FALSE)),"Fora do DRE",VLOOKUP(Base_Periodo1[[#This Row],[CONTA]],BaseContasDRE[#All],7,FALSE))</f>
        <v>Fora do DRE</v>
      </c>
      <c r="V4370" s="3" t="str">
        <f>IF(Base_Periodo1[[#This Row],[Tipo_Linha]]="Fora do DRE","Fora do DRE","( "&amp;Base_Periodo1[[#This Row],[Tipo_Linha]]&amp;" ) "&amp;Base_Periodo1[[#This Row],[Filtro]])</f>
        <v>Fora do DRE</v>
      </c>
      <c r="W4370" s="3" t="str">
        <f>LEFT(Base_Periodo1[[#This Row],[CLASS]],3)</f>
        <v>2.4</v>
      </c>
    </row>
    <row r="4371" spans="1:23" hidden="1">
      <c r="A4371" s="3" t="str">
        <f t="shared" si="68"/>
        <v>Período 1</v>
      </c>
      <c r="B4371">
        <v>36190</v>
      </c>
      <c r="C4371" t="s">
        <v>2300</v>
      </c>
      <c r="D4371" t="s">
        <v>2356</v>
      </c>
      <c r="E4371" s="3" t="str">
        <f>IF(LEN(Base_Periodo1[[#This Row],[CLASS]])&gt;=7,LEFT(Base_Periodo1[[#This Row],[CLASS]],7),"")</f>
        <v>2.4.1.1</v>
      </c>
      <c r="F4371" s="3" t="str">
        <f>VLOOKUP(Base_Periodo1[[#This Row],[Aux]],Base_Contas_Balanco[#All],2,FALSE)</f>
        <v>Capital Social Realizado</v>
      </c>
      <c r="G4371" s="1"/>
      <c r="H4371" s="225">
        <v>80.930000000000007</v>
      </c>
      <c r="I4371" s="225">
        <v>0</v>
      </c>
      <c r="J4371" s="225">
        <v>0</v>
      </c>
      <c r="K4371" s="225">
        <v>80.930000000000007</v>
      </c>
      <c r="L43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80.930000000000007</v>
      </c>
      <c r="M4371" s="225">
        <f>ROUND(IF(AND(Base_Periodo1[[#This Row],[Tipo_Linha]]="-",Base_Periodo1[[#This Row],[TIPOSALDO]]="D"),Base_Periodo1[[#This Row],[SALDO_ATUAL]]*-1,Base_Periodo1[[#This Row],[SALDO_ATUAL]]),4)</f>
        <v>80.930000000000007</v>
      </c>
      <c r="N4371" t="s">
        <v>116</v>
      </c>
      <c r="O4371" t="s">
        <v>459</v>
      </c>
      <c r="P4371" t="s">
        <v>459</v>
      </c>
      <c r="Q4371">
        <v>6</v>
      </c>
      <c r="R4371" s="225">
        <f>Base_Periodo1[[#This Row],[CREDITOS]]-Base_Periodo1[[#This Row],[DEBITOS]]</f>
        <v>0</v>
      </c>
      <c r="S4371" s="3" t="str">
        <f>IF(ISERROR(VLOOKUP(Base_Periodo1[[#This Row],[CONTA]],BaseContasDRE[#All],4,FALSE)),"Fora do DRE",VLOOKUP(Base_Periodo1[[#This Row],[CONTA]],BaseContasDRE[#All],4,FALSE))</f>
        <v>Fora do DRE</v>
      </c>
      <c r="T4371" s="3" t="str">
        <f>IF(ISERROR(VLOOKUP(Base_Periodo1[[#This Row],[CONTA]],BaseContasDRE[#All],5,FALSE)),"Fora do DRE",VLOOKUP(Base_Periodo1[[#This Row],[CONTA]],BaseContasDRE[#All],6,FALSE))</f>
        <v>Fora do DRE</v>
      </c>
      <c r="U4371" s="3" t="str">
        <f>IF(ISERROR(VLOOKUP(Base_Periodo1[[#This Row],[CONTA]],BaseContasDRE[#All],7,FALSE)),"Fora do DRE",VLOOKUP(Base_Periodo1[[#This Row],[CONTA]],BaseContasDRE[#All],7,FALSE))</f>
        <v>Fora do DRE</v>
      </c>
      <c r="V4371" s="3" t="str">
        <f>IF(Base_Periodo1[[#This Row],[Tipo_Linha]]="Fora do DRE","Fora do DRE","( "&amp;Base_Periodo1[[#This Row],[Tipo_Linha]]&amp;" ) "&amp;Base_Periodo1[[#This Row],[Filtro]])</f>
        <v>Fora do DRE</v>
      </c>
      <c r="W4371" s="3" t="str">
        <f>LEFT(Base_Periodo1[[#This Row],[CLASS]],3)</f>
        <v>2.4</v>
      </c>
    </row>
    <row r="4372" spans="1:23" hidden="1">
      <c r="A4372" s="3" t="str">
        <f t="shared" si="68"/>
        <v>Período 1</v>
      </c>
      <c r="B4372">
        <v>25237</v>
      </c>
      <c r="C4372" t="s">
        <v>2300</v>
      </c>
      <c r="D4372" t="s">
        <v>2357</v>
      </c>
      <c r="E4372" s="3" t="str">
        <f>IF(LEN(Base_Periodo1[[#This Row],[CLASS]])&gt;=7,LEFT(Base_Periodo1[[#This Row],[CLASS]],7),"")</f>
        <v>2.4.1.1</v>
      </c>
      <c r="F4372" s="3" t="str">
        <f>VLOOKUP(Base_Periodo1[[#This Row],[Aux]],Base_Contas_Balanco[#All],2,FALSE)</f>
        <v>Capital Social Realizado</v>
      </c>
      <c r="G4372" s="1"/>
      <c r="H4372" s="225">
        <v>405.24</v>
      </c>
      <c r="I4372" s="225">
        <v>0</v>
      </c>
      <c r="J4372" s="225">
        <v>0</v>
      </c>
      <c r="K4372" s="225">
        <v>405.24</v>
      </c>
      <c r="L43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405.24</v>
      </c>
      <c r="M4372" s="225">
        <f>ROUND(IF(AND(Base_Periodo1[[#This Row],[Tipo_Linha]]="-",Base_Periodo1[[#This Row],[TIPOSALDO]]="D"),Base_Periodo1[[#This Row],[SALDO_ATUAL]]*-1,Base_Periodo1[[#This Row],[SALDO_ATUAL]]),4)</f>
        <v>405.24</v>
      </c>
      <c r="N4372" t="s">
        <v>116</v>
      </c>
      <c r="O4372" t="s">
        <v>459</v>
      </c>
      <c r="P4372" t="s">
        <v>459</v>
      </c>
      <c r="Q4372">
        <v>6</v>
      </c>
      <c r="R4372" s="225">
        <f>Base_Periodo1[[#This Row],[CREDITOS]]-Base_Periodo1[[#This Row],[DEBITOS]]</f>
        <v>0</v>
      </c>
      <c r="S4372" s="3" t="str">
        <f>IF(ISERROR(VLOOKUP(Base_Periodo1[[#This Row],[CONTA]],BaseContasDRE[#All],4,FALSE)),"Fora do DRE",VLOOKUP(Base_Periodo1[[#This Row],[CONTA]],BaseContasDRE[#All],4,FALSE))</f>
        <v>Fora do DRE</v>
      </c>
      <c r="T4372" s="3" t="str">
        <f>IF(ISERROR(VLOOKUP(Base_Periodo1[[#This Row],[CONTA]],BaseContasDRE[#All],5,FALSE)),"Fora do DRE",VLOOKUP(Base_Periodo1[[#This Row],[CONTA]],BaseContasDRE[#All],6,FALSE))</f>
        <v>Fora do DRE</v>
      </c>
      <c r="U4372" s="3" t="str">
        <f>IF(ISERROR(VLOOKUP(Base_Periodo1[[#This Row],[CONTA]],BaseContasDRE[#All],7,FALSE)),"Fora do DRE",VLOOKUP(Base_Periodo1[[#This Row],[CONTA]],BaseContasDRE[#All],7,FALSE))</f>
        <v>Fora do DRE</v>
      </c>
      <c r="V4372" s="3" t="str">
        <f>IF(Base_Periodo1[[#This Row],[Tipo_Linha]]="Fora do DRE","Fora do DRE","( "&amp;Base_Periodo1[[#This Row],[Tipo_Linha]]&amp;" ) "&amp;Base_Periodo1[[#This Row],[Filtro]])</f>
        <v>Fora do DRE</v>
      </c>
      <c r="W4372" s="3" t="str">
        <f>LEFT(Base_Periodo1[[#This Row],[CLASS]],3)</f>
        <v>2.4</v>
      </c>
    </row>
    <row r="4373" spans="1:23" hidden="1">
      <c r="A4373" s="3" t="str">
        <f t="shared" si="68"/>
        <v>Período 1</v>
      </c>
      <c r="B4373">
        <v>16317</v>
      </c>
      <c r="C4373" t="s">
        <v>2300</v>
      </c>
      <c r="D4373" t="s">
        <v>2358</v>
      </c>
      <c r="E4373" s="3" t="str">
        <f>IF(LEN(Base_Periodo1[[#This Row],[CLASS]])&gt;=7,LEFT(Base_Periodo1[[#This Row],[CLASS]],7),"")</f>
        <v>2.4.1.1</v>
      </c>
      <c r="F4373" s="3" t="str">
        <f>VLOOKUP(Base_Periodo1[[#This Row],[Aux]],Base_Contas_Balanco[#All],2,FALSE)</f>
        <v>Capital Social Realizado</v>
      </c>
      <c r="G4373" s="1"/>
      <c r="H4373" s="225">
        <v>2493.27</v>
      </c>
      <c r="I4373" s="225">
        <v>0</v>
      </c>
      <c r="J4373" s="225">
        <v>0</v>
      </c>
      <c r="K4373" s="225">
        <v>2493.27</v>
      </c>
      <c r="L43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2493.27</v>
      </c>
      <c r="M4373" s="225">
        <f>ROUND(IF(AND(Base_Periodo1[[#This Row],[Tipo_Linha]]="-",Base_Periodo1[[#This Row],[TIPOSALDO]]="D"),Base_Periodo1[[#This Row],[SALDO_ATUAL]]*-1,Base_Periodo1[[#This Row],[SALDO_ATUAL]]),4)</f>
        <v>2493.27</v>
      </c>
      <c r="N4373" t="s">
        <v>116</v>
      </c>
      <c r="O4373" t="s">
        <v>459</v>
      </c>
      <c r="P4373" t="s">
        <v>459</v>
      </c>
      <c r="Q4373">
        <v>6</v>
      </c>
      <c r="R4373" s="225">
        <f>Base_Periodo1[[#This Row],[CREDITOS]]-Base_Periodo1[[#This Row],[DEBITOS]]</f>
        <v>0</v>
      </c>
      <c r="S4373" s="3" t="str">
        <f>IF(ISERROR(VLOOKUP(Base_Periodo1[[#This Row],[CONTA]],BaseContasDRE[#All],4,FALSE)),"Fora do DRE",VLOOKUP(Base_Periodo1[[#This Row],[CONTA]],BaseContasDRE[#All],4,FALSE))</f>
        <v>Fora do DRE</v>
      </c>
      <c r="T4373" s="3" t="str">
        <f>IF(ISERROR(VLOOKUP(Base_Periodo1[[#This Row],[CONTA]],BaseContasDRE[#All],5,FALSE)),"Fora do DRE",VLOOKUP(Base_Periodo1[[#This Row],[CONTA]],BaseContasDRE[#All],6,FALSE))</f>
        <v>Fora do DRE</v>
      </c>
      <c r="U4373" s="3" t="str">
        <f>IF(ISERROR(VLOOKUP(Base_Periodo1[[#This Row],[CONTA]],BaseContasDRE[#All],7,FALSE)),"Fora do DRE",VLOOKUP(Base_Periodo1[[#This Row],[CONTA]],BaseContasDRE[#All],7,FALSE))</f>
        <v>Fora do DRE</v>
      </c>
      <c r="V4373" s="3" t="str">
        <f>IF(Base_Periodo1[[#This Row],[Tipo_Linha]]="Fora do DRE","Fora do DRE","( "&amp;Base_Periodo1[[#This Row],[Tipo_Linha]]&amp;" ) "&amp;Base_Periodo1[[#This Row],[Filtro]])</f>
        <v>Fora do DRE</v>
      </c>
      <c r="W4373" s="3" t="str">
        <f>LEFT(Base_Periodo1[[#This Row],[CLASS]],3)</f>
        <v>2.4</v>
      </c>
    </row>
    <row r="4374" spans="1:23" hidden="1">
      <c r="A4374" s="3" t="str">
        <f t="shared" si="68"/>
        <v>Período 1</v>
      </c>
      <c r="B4374">
        <v>16035</v>
      </c>
      <c r="C4374" t="s">
        <v>2300</v>
      </c>
      <c r="D4374" t="s">
        <v>2359</v>
      </c>
      <c r="E4374" s="3" t="str">
        <f>IF(LEN(Base_Periodo1[[#This Row],[CLASS]])&gt;=7,LEFT(Base_Periodo1[[#This Row],[CLASS]],7),"")</f>
        <v>2.4.1.1</v>
      </c>
      <c r="F4374" s="3" t="str">
        <f>VLOOKUP(Base_Periodo1[[#This Row],[Aux]],Base_Contas_Balanco[#All],2,FALSE)</f>
        <v>Capital Social Realizado</v>
      </c>
      <c r="G4374" s="1"/>
      <c r="H4374" s="225">
        <v>1407.25</v>
      </c>
      <c r="I4374" s="225">
        <v>0</v>
      </c>
      <c r="J4374" s="225">
        <v>0</v>
      </c>
      <c r="K4374" s="225">
        <v>1407.25</v>
      </c>
      <c r="L43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1407.25</v>
      </c>
      <c r="M4374" s="225">
        <f>ROUND(IF(AND(Base_Periodo1[[#This Row],[Tipo_Linha]]="-",Base_Periodo1[[#This Row],[TIPOSALDO]]="D"),Base_Periodo1[[#This Row],[SALDO_ATUAL]]*-1,Base_Periodo1[[#This Row],[SALDO_ATUAL]]),4)</f>
        <v>1407.25</v>
      </c>
      <c r="N4374" t="s">
        <v>116</v>
      </c>
      <c r="O4374" t="s">
        <v>459</v>
      </c>
      <c r="P4374" t="s">
        <v>459</v>
      </c>
      <c r="Q4374">
        <v>6</v>
      </c>
      <c r="R4374" s="225">
        <f>Base_Periodo1[[#This Row],[CREDITOS]]-Base_Periodo1[[#This Row],[DEBITOS]]</f>
        <v>0</v>
      </c>
      <c r="S4374" s="3" t="str">
        <f>IF(ISERROR(VLOOKUP(Base_Periodo1[[#This Row],[CONTA]],BaseContasDRE[#All],4,FALSE)),"Fora do DRE",VLOOKUP(Base_Periodo1[[#This Row],[CONTA]],BaseContasDRE[#All],4,FALSE))</f>
        <v>Fora do DRE</v>
      </c>
      <c r="T4374" s="3" t="str">
        <f>IF(ISERROR(VLOOKUP(Base_Periodo1[[#This Row],[CONTA]],BaseContasDRE[#All],5,FALSE)),"Fora do DRE",VLOOKUP(Base_Periodo1[[#This Row],[CONTA]],BaseContasDRE[#All],6,FALSE))</f>
        <v>Fora do DRE</v>
      </c>
      <c r="U4374" s="3" t="str">
        <f>IF(ISERROR(VLOOKUP(Base_Periodo1[[#This Row],[CONTA]],BaseContasDRE[#All],7,FALSE)),"Fora do DRE",VLOOKUP(Base_Periodo1[[#This Row],[CONTA]],BaseContasDRE[#All],7,FALSE))</f>
        <v>Fora do DRE</v>
      </c>
      <c r="V4374" s="3" t="str">
        <f>IF(Base_Periodo1[[#This Row],[Tipo_Linha]]="Fora do DRE","Fora do DRE","( "&amp;Base_Periodo1[[#This Row],[Tipo_Linha]]&amp;" ) "&amp;Base_Periodo1[[#This Row],[Filtro]])</f>
        <v>Fora do DRE</v>
      </c>
      <c r="W4374" s="3" t="str">
        <f>LEFT(Base_Periodo1[[#This Row],[CLASS]],3)</f>
        <v>2.4</v>
      </c>
    </row>
    <row r="4375" spans="1:23" hidden="1">
      <c r="A4375" s="3" t="str">
        <f t="shared" si="68"/>
        <v>Período 1</v>
      </c>
      <c r="B4375">
        <v>29674</v>
      </c>
      <c r="C4375" t="s">
        <v>2300</v>
      </c>
      <c r="D4375" t="s">
        <v>2360</v>
      </c>
      <c r="E4375" s="3" t="str">
        <f>IF(LEN(Base_Periodo1[[#This Row],[CLASS]])&gt;=7,LEFT(Base_Periodo1[[#This Row],[CLASS]],7),"")</f>
        <v>2.4.1.1</v>
      </c>
      <c r="F4375" s="3" t="str">
        <f>VLOOKUP(Base_Periodo1[[#This Row],[Aux]],Base_Contas_Balanco[#All],2,FALSE)</f>
        <v>Capital Social Realizado</v>
      </c>
      <c r="G4375" s="1"/>
      <c r="H4375" s="225">
        <v>143.82999999999998</v>
      </c>
      <c r="I4375" s="225">
        <v>0</v>
      </c>
      <c r="J4375" s="225">
        <v>0</v>
      </c>
      <c r="K4375" s="225">
        <v>143.82999999999998</v>
      </c>
      <c r="L43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143.83000000000001</v>
      </c>
      <c r="M4375" s="225">
        <f>ROUND(IF(AND(Base_Periodo1[[#This Row],[Tipo_Linha]]="-",Base_Periodo1[[#This Row],[TIPOSALDO]]="D"),Base_Periodo1[[#This Row],[SALDO_ATUAL]]*-1,Base_Periodo1[[#This Row],[SALDO_ATUAL]]),4)</f>
        <v>143.83000000000001</v>
      </c>
      <c r="N4375" t="s">
        <v>116</v>
      </c>
      <c r="O4375" t="s">
        <v>459</v>
      </c>
      <c r="P4375" t="s">
        <v>459</v>
      </c>
      <c r="Q4375">
        <v>6</v>
      </c>
      <c r="R4375" s="225">
        <f>Base_Periodo1[[#This Row],[CREDITOS]]-Base_Periodo1[[#This Row],[DEBITOS]]</f>
        <v>0</v>
      </c>
      <c r="S4375" s="3" t="str">
        <f>IF(ISERROR(VLOOKUP(Base_Periodo1[[#This Row],[CONTA]],BaseContasDRE[#All],4,FALSE)),"Fora do DRE",VLOOKUP(Base_Periodo1[[#This Row],[CONTA]],BaseContasDRE[#All],4,FALSE))</f>
        <v>Fora do DRE</v>
      </c>
      <c r="T4375" s="3" t="str">
        <f>IF(ISERROR(VLOOKUP(Base_Periodo1[[#This Row],[CONTA]],BaseContasDRE[#All],5,FALSE)),"Fora do DRE",VLOOKUP(Base_Periodo1[[#This Row],[CONTA]],BaseContasDRE[#All],6,FALSE))</f>
        <v>Fora do DRE</v>
      </c>
      <c r="U4375" s="3" t="str">
        <f>IF(ISERROR(VLOOKUP(Base_Periodo1[[#This Row],[CONTA]],BaseContasDRE[#All],7,FALSE)),"Fora do DRE",VLOOKUP(Base_Periodo1[[#This Row],[CONTA]],BaseContasDRE[#All],7,FALSE))</f>
        <v>Fora do DRE</v>
      </c>
      <c r="V4375" s="3" t="str">
        <f>IF(Base_Periodo1[[#This Row],[Tipo_Linha]]="Fora do DRE","Fora do DRE","( "&amp;Base_Periodo1[[#This Row],[Tipo_Linha]]&amp;" ) "&amp;Base_Periodo1[[#This Row],[Filtro]])</f>
        <v>Fora do DRE</v>
      </c>
      <c r="W4375" s="3" t="str">
        <f>LEFT(Base_Periodo1[[#This Row],[CLASS]],3)</f>
        <v>2.4</v>
      </c>
    </row>
    <row r="4376" spans="1:23" hidden="1">
      <c r="A4376" s="3" t="str">
        <f t="shared" si="68"/>
        <v>Período 1</v>
      </c>
      <c r="B4376">
        <v>39450</v>
      </c>
      <c r="C4376" t="s">
        <v>2300</v>
      </c>
      <c r="D4376" t="s">
        <v>2361</v>
      </c>
      <c r="E4376" s="3" t="str">
        <f>IF(LEN(Base_Periodo1[[#This Row],[CLASS]])&gt;=7,LEFT(Base_Periodo1[[#This Row],[CLASS]],7),"")</f>
        <v>2.4.1.1</v>
      </c>
      <c r="F4376" s="3" t="str">
        <f>VLOOKUP(Base_Periodo1[[#This Row],[Aux]],Base_Contas_Balanco[#All],2,FALSE)</f>
        <v>Capital Social Realizado</v>
      </c>
      <c r="G4376" s="1"/>
      <c r="H4376" s="225">
        <v>278.64999999999998</v>
      </c>
      <c r="I4376" s="225">
        <v>0</v>
      </c>
      <c r="J4376" s="225">
        <v>0</v>
      </c>
      <c r="K4376" s="225">
        <v>278.64999999999998</v>
      </c>
      <c r="L43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278.64999999999998</v>
      </c>
      <c r="M4376" s="225">
        <f>ROUND(IF(AND(Base_Periodo1[[#This Row],[Tipo_Linha]]="-",Base_Periodo1[[#This Row],[TIPOSALDO]]="D"),Base_Periodo1[[#This Row],[SALDO_ATUAL]]*-1,Base_Periodo1[[#This Row],[SALDO_ATUAL]]),4)</f>
        <v>278.64999999999998</v>
      </c>
      <c r="N4376" t="s">
        <v>116</v>
      </c>
      <c r="O4376" t="s">
        <v>459</v>
      </c>
      <c r="P4376" t="s">
        <v>459</v>
      </c>
      <c r="Q4376">
        <v>6</v>
      </c>
      <c r="R4376" s="225">
        <f>Base_Periodo1[[#This Row],[CREDITOS]]-Base_Periodo1[[#This Row],[DEBITOS]]</f>
        <v>0</v>
      </c>
      <c r="S4376" s="3" t="str">
        <f>IF(ISERROR(VLOOKUP(Base_Periodo1[[#This Row],[CONTA]],BaseContasDRE[#All],4,FALSE)),"Fora do DRE",VLOOKUP(Base_Periodo1[[#This Row],[CONTA]],BaseContasDRE[#All],4,FALSE))</f>
        <v>Fora do DRE</v>
      </c>
      <c r="T4376" s="3" t="str">
        <f>IF(ISERROR(VLOOKUP(Base_Periodo1[[#This Row],[CONTA]],BaseContasDRE[#All],5,FALSE)),"Fora do DRE",VLOOKUP(Base_Periodo1[[#This Row],[CONTA]],BaseContasDRE[#All],6,FALSE))</f>
        <v>Fora do DRE</v>
      </c>
      <c r="U4376" s="3" t="str">
        <f>IF(ISERROR(VLOOKUP(Base_Periodo1[[#This Row],[CONTA]],BaseContasDRE[#All],7,FALSE)),"Fora do DRE",VLOOKUP(Base_Periodo1[[#This Row],[CONTA]],BaseContasDRE[#All],7,FALSE))</f>
        <v>Fora do DRE</v>
      </c>
      <c r="V4376" s="3" t="str">
        <f>IF(Base_Periodo1[[#This Row],[Tipo_Linha]]="Fora do DRE","Fora do DRE","( "&amp;Base_Periodo1[[#This Row],[Tipo_Linha]]&amp;" ) "&amp;Base_Periodo1[[#This Row],[Filtro]])</f>
        <v>Fora do DRE</v>
      </c>
      <c r="W4376" s="3" t="str">
        <f>LEFT(Base_Periodo1[[#This Row],[CLASS]],3)</f>
        <v>2.4</v>
      </c>
    </row>
    <row r="4377" spans="1:23" hidden="1">
      <c r="A4377" s="3" t="str">
        <f t="shared" si="68"/>
        <v>Período 1</v>
      </c>
      <c r="B4377">
        <v>26667</v>
      </c>
      <c r="C4377" t="s">
        <v>2300</v>
      </c>
      <c r="D4377" t="s">
        <v>2362</v>
      </c>
      <c r="E4377" s="3" t="str">
        <f>IF(LEN(Base_Periodo1[[#This Row],[CLASS]])&gt;=7,LEFT(Base_Periodo1[[#This Row],[CLASS]],7),"")</f>
        <v>2.4.1.1</v>
      </c>
      <c r="F4377" s="3" t="str">
        <f>VLOOKUP(Base_Periodo1[[#This Row],[Aux]],Base_Contas_Balanco[#All],2,FALSE)</f>
        <v>Capital Social Realizado</v>
      </c>
      <c r="G4377" s="1"/>
      <c r="H4377" s="225">
        <v>249.32</v>
      </c>
      <c r="I4377" s="225">
        <v>0</v>
      </c>
      <c r="J4377" s="225">
        <v>0</v>
      </c>
      <c r="K4377" s="225">
        <v>249.32</v>
      </c>
      <c r="L43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249.32</v>
      </c>
      <c r="M4377" s="225">
        <f>ROUND(IF(AND(Base_Periodo1[[#This Row],[Tipo_Linha]]="-",Base_Periodo1[[#This Row],[TIPOSALDO]]="D"),Base_Periodo1[[#This Row],[SALDO_ATUAL]]*-1,Base_Periodo1[[#This Row],[SALDO_ATUAL]]),4)</f>
        <v>249.32</v>
      </c>
      <c r="N4377" t="s">
        <v>116</v>
      </c>
      <c r="O4377" t="s">
        <v>459</v>
      </c>
      <c r="P4377" t="s">
        <v>459</v>
      </c>
      <c r="Q4377">
        <v>6</v>
      </c>
      <c r="R4377" s="225">
        <f>Base_Periodo1[[#This Row],[CREDITOS]]-Base_Periodo1[[#This Row],[DEBITOS]]</f>
        <v>0</v>
      </c>
      <c r="S4377" s="3" t="str">
        <f>IF(ISERROR(VLOOKUP(Base_Periodo1[[#This Row],[CONTA]],BaseContasDRE[#All],4,FALSE)),"Fora do DRE",VLOOKUP(Base_Periodo1[[#This Row],[CONTA]],BaseContasDRE[#All],4,FALSE))</f>
        <v>Fora do DRE</v>
      </c>
      <c r="T4377" s="3" t="str">
        <f>IF(ISERROR(VLOOKUP(Base_Periodo1[[#This Row],[CONTA]],BaseContasDRE[#All],5,FALSE)),"Fora do DRE",VLOOKUP(Base_Periodo1[[#This Row],[CONTA]],BaseContasDRE[#All],6,FALSE))</f>
        <v>Fora do DRE</v>
      </c>
      <c r="U4377" s="3" t="str">
        <f>IF(ISERROR(VLOOKUP(Base_Periodo1[[#This Row],[CONTA]],BaseContasDRE[#All],7,FALSE)),"Fora do DRE",VLOOKUP(Base_Periodo1[[#This Row],[CONTA]],BaseContasDRE[#All],7,FALSE))</f>
        <v>Fora do DRE</v>
      </c>
      <c r="V4377" s="3" t="str">
        <f>IF(Base_Periodo1[[#This Row],[Tipo_Linha]]="Fora do DRE","Fora do DRE","( "&amp;Base_Periodo1[[#This Row],[Tipo_Linha]]&amp;" ) "&amp;Base_Periodo1[[#This Row],[Filtro]])</f>
        <v>Fora do DRE</v>
      </c>
      <c r="W4377" s="3" t="str">
        <f>LEFT(Base_Periodo1[[#This Row],[CLASS]],3)</f>
        <v>2.4</v>
      </c>
    </row>
    <row r="4378" spans="1:23" hidden="1">
      <c r="A4378" s="3" t="str">
        <f t="shared" si="68"/>
        <v>Período 1</v>
      </c>
      <c r="B4378">
        <v>16274</v>
      </c>
      <c r="C4378" t="s">
        <v>2300</v>
      </c>
      <c r="D4378" t="s">
        <v>2363</v>
      </c>
      <c r="E4378" s="3" t="str">
        <f>IF(LEN(Base_Periodo1[[#This Row],[CLASS]])&gt;=7,LEFT(Base_Periodo1[[#This Row],[CLASS]],7),"")</f>
        <v>2.4.1.1</v>
      </c>
      <c r="F4378" s="3" t="str">
        <f>VLOOKUP(Base_Periodo1[[#This Row],[Aux]],Base_Contas_Balanco[#All],2,FALSE)</f>
        <v>Capital Social Realizado</v>
      </c>
      <c r="G4378" s="1"/>
      <c r="H4378" s="225">
        <v>1292.19</v>
      </c>
      <c r="I4378" s="225">
        <v>0</v>
      </c>
      <c r="J4378" s="225">
        <v>0</v>
      </c>
      <c r="K4378" s="225">
        <v>1292.19</v>
      </c>
      <c r="L43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1292.19</v>
      </c>
      <c r="M4378" s="225">
        <f>ROUND(IF(AND(Base_Periodo1[[#This Row],[Tipo_Linha]]="-",Base_Periodo1[[#This Row],[TIPOSALDO]]="D"),Base_Periodo1[[#This Row],[SALDO_ATUAL]]*-1,Base_Periodo1[[#This Row],[SALDO_ATUAL]]),4)</f>
        <v>1292.19</v>
      </c>
      <c r="N4378" t="s">
        <v>116</v>
      </c>
      <c r="O4378" t="s">
        <v>459</v>
      </c>
      <c r="P4378" t="s">
        <v>459</v>
      </c>
      <c r="Q4378">
        <v>6</v>
      </c>
      <c r="R4378" s="225">
        <f>Base_Periodo1[[#This Row],[CREDITOS]]-Base_Periodo1[[#This Row],[DEBITOS]]</f>
        <v>0</v>
      </c>
      <c r="S4378" s="3" t="str">
        <f>IF(ISERROR(VLOOKUP(Base_Periodo1[[#This Row],[CONTA]],BaseContasDRE[#All],4,FALSE)),"Fora do DRE",VLOOKUP(Base_Periodo1[[#This Row],[CONTA]],BaseContasDRE[#All],4,FALSE))</f>
        <v>Fora do DRE</v>
      </c>
      <c r="T4378" s="3" t="str">
        <f>IF(ISERROR(VLOOKUP(Base_Periodo1[[#This Row],[CONTA]],BaseContasDRE[#All],5,FALSE)),"Fora do DRE",VLOOKUP(Base_Periodo1[[#This Row],[CONTA]],BaseContasDRE[#All],6,FALSE))</f>
        <v>Fora do DRE</v>
      </c>
      <c r="U4378" s="3" t="str">
        <f>IF(ISERROR(VLOOKUP(Base_Periodo1[[#This Row],[CONTA]],BaseContasDRE[#All],7,FALSE)),"Fora do DRE",VLOOKUP(Base_Periodo1[[#This Row],[CONTA]],BaseContasDRE[#All],7,FALSE))</f>
        <v>Fora do DRE</v>
      </c>
      <c r="V4378" s="3" t="str">
        <f>IF(Base_Periodo1[[#This Row],[Tipo_Linha]]="Fora do DRE","Fora do DRE","( "&amp;Base_Periodo1[[#This Row],[Tipo_Linha]]&amp;" ) "&amp;Base_Periodo1[[#This Row],[Filtro]])</f>
        <v>Fora do DRE</v>
      </c>
      <c r="W4378" s="3" t="str">
        <f>LEFT(Base_Periodo1[[#This Row],[CLASS]],3)</f>
        <v>2.4</v>
      </c>
    </row>
    <row r="4379" spans="1:23" hidden="1">
      <c r="A4379" s="3" t="str">
        <f t="shared" si="68"/>
        <v>Período 1</v>
      </c>
      <c r="B4379">
        <v>16194</v>
      </c>
      <c r="C4379" t="s">
        <v>2300</v>
      </c>
      <c r="D4379" t="s">
        <v>2364</v>
      </c>
      <c r="E4379" s="3" t="str">
        <f>IF(LEN(Base_Periodo1[[#This Row],[CLASS]])&gt;=7,LEFT(Base_Periodo1[[#This Row],[CLASS]],7),"")</f>
        <v>2.4.1.1</v>
      </c>
      <c r="F4379" s="3" t="str">
        <f>VLOOKUP(Base_Periodo1[[#This Row],[Aux]],Base_Contas_Balanco[#All],2,FALSE)</f>
        <v>Capital Social Realizado</v>
      </c>
      <c r="G4379" s="1"/>
      <c r="H4379" s="225">
        <v>2956.85</v>
      </c>
      <c r="I4379" s="225">
        <v>0</v>
      </c>
      <c r="J4379" s="225">
        <v>0</v>
      </c>
      <c r="K4379" s="225">
        <v>2956.85</v>
      </c>
      <c r="L43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2956.85</v>
      </c>
      <c r="M4379" s="225">
        <f>ROUND(IF(AND(Base_Periodo1[[#This Row],[Tipo_Linha]]="-",Base_Periodo1[[#This Row],[TIPOSALDO]]="D"),Base_Periodo1[[#This Row],[SALDO_ATUAL]]*-1,Base_Periodo1[[#This Row],[SALDO_ATUAL]]),4)</f>
        <v>2956.85</v>
      </c>
      <c r="N4379" t="s">
        <v>116</v>
      </c>
      <c r="O4379" t="s">
        <v>459</v>
      </c>
      <c r="P4379" t="s">
        <v>459</v>
      </c>
      <c r="Q4379">
        <v>6</v>
      </c>
      <c r="R4379" s="225">
        <f>Base_Periodo1[[#This Row],[CREDITOS]]-Base_Periodo1[[#This Row],[DEBITOS]]</f>
        <v>0</v>
      </c>
      <c r="S4379" s="3" t="str">
        <f>IF(ISERROR(VLOOKUP(Base_Periodo1[[#This Row],[CONTA]],BaseContasDRE[#All],4,FALSE)),"Fora do DRE",VLOOKUP(Base_Periodo1[[#This Row],[CONTA]],BaseContasDRE[#All],4,FALSE))</f>
        <v>Fora do DRE</v>
      </c>
      <c r="T4379" s="3" t="str">
        <f>IF(ISERROR(VLOOKUP(Base_Periodo1[[#This Row],[CONTA]],BaseContasDRE[#All],5,FALSE)),"Fora do DRE",VLOOKUP(Base_Periodo1[[#This Row],[CONTA]],BaseContasDRE[#All],6,FALSE))</f>
        <v>Fora do DRE</v>
      </c>
      <c r="U4379" s="3" t="str">
        <f>IF(ISERROR(VLOOKUP(Base_Periodo1[[#This Row],[CONTA]],BaseContasDRE[#All],7,FALSE)),"Fora do DRE",VLOOKUP(Base_Periodo1[[#This Row],[CONTA]],BaseContasDRE[#All],7,FALSE))</f>
        <v>Fora do DRE</v>
      </c>
      <c r="V4379" s="3" t="str">
        <f>IF(Base_Periodo1[[#This Row],[Tipo_Linha]]="Fora do DRE","Fora do DRE","( "&amp;Base_Periodo1[[#This Row],[Tipo_Linha]]&amp;" ) "&amp;Base_Periodo1[[#This Row],[Filtro]])</f>
        <v>Fora do DRE</v>
      </c>
      <c r="W4379" s="3" t="str">
        <f>LEFT(Base_Periodo1[[#This Row],[CLASS]],3)</f>
        <v>2.4</v>
      </c>
    </row>
    <row r="4380" spans="1:23" hidden="1">
      <c r="A4380" s="3" t="str">
        <f t="shared" si="68"/>
        <v>Período 1</v>
      </c>
      <c r="B4380">
        <v>32042</v>
      </c>
      <c r="C4380" t="s">
        <v>2300</v>
      </c>
      <c r="D4380" t="s">
        <v>2365</v>
      </c>
      <c r="E4380" s="3" t="str">
        <f>IF(LEN(Base_Periodo1[[#This Row],[CLASS]])&gt;=7,LEFT(Base_Periodo1[[#This Row],[CLASS]],7),"")</f>
        <v>2.4.1.1</v>
      </c>
      <c r="F4380" s="3" t="str">
        <f>VLOOKUP(Base_Periodo1[[#This Row],[Aux]],Base_Contas_Balanco[#All],2,FALSE)</f>
        <v>Capital Social Realizado</v>
      </c>
      <c r="G4380" s="1"/>
      <c r="H4380" s="225">
        <v>218.68</v>
      </c>
      <c r="I4380" s="225">
        <v>0</v>
      </c>
      <c r="J4380" s="225">
        <v>0</v>
      </c>
      <c r="K4380" s="225">
        <v>218.68</v>
      </c>
      <c r="L43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218.68</v>
      </c>
      <c r="M4380" s="225">
        <f>ROUND(IF(AND(Base_Periodo1[[#This Row],[Tipo_Linha]]="-",Base_Periodo1[[#This Row],[TIPOSALDO]]="D"),Base_Periodo1[[#This Row],[SALDO_ATUAL]]*-1,Base_Periodo1[[#This Row],[SALDO_ATUAL]]),4)</f>
        <v>218.68</v>
      </c>
      <c r="N4380" t="s">
        <v>116</v>
      </c>
      <c r="O4380" t="s">
        <v>459</v>
      </c>
      <c r="P4380" t="s">
        <v>459</v>
      </c>
      <c r="Q4380">
        <v>6</v>
      </c>
      <c r="R4380" s="225">
        <f>Base_Periodo1[[#This Row],[CREDITOS]]-Base_Periodo1[[#This Row],[DEBITOS]]</f>
        <v>0</v>
      </c>
      <c r="S4380" s="3" t="str">
        <f>IF(ISERROR(VLOOKUP(Base_Periodo1[[#This Row],[CONTA]],BaseContasDRE[#All],4,FALSE)),"Fora do DRE",VLOOKUP(Base_Periodo1[[#This Row],[CONTA]],BaseContasDRE[#All],4,FALSE))</f>
        <v>Fora do DRE</v>
      </c>
      <c r="T4380" s="3" t="str">
        <f>IF(ISERROR(VLOOKUP(Base_Periodo1[[#This Row],[CONTA]],BaseContasDRE[#All],5,FALSE)),"Fora do DRE",VLOOKUP(Base_Periodo1[[#This Row],[CONTA]],BaseContasDRE[#All],6,FALSE))</f>
        <v>Fora do DRE</v>
      </c>
      <c r="U4380" s="3" t="str">
        <f>IF(ISERROR(VLOOKUP(Base_Periodo1[[#This Row],[CONTA]],BaseContasDRE[#All],7,FALSE)),"Fora do DRE",VLOOKUP(Base_Periodo1[[#This Row],[CONTA]],BaseContasDRE[#All],7,FALSE))</f>
        <v>Fora do DRE</v>
      </c>
      <c r="V4380" s="3" t="str">
        <f>IF(Base_Periodo1[[#This Row],[Tipo_Linha]]="Fora do DRE","Fora do DRE","( "&amp;Base_Periodo1[[#This Row],[Tipo_Linha]]&amp;" ) "&amp;Base_Periodo1[[#This Row],[Filtro]])</f>
        <v>Fora do DRE</v>
      </c>
      <c r="W4380" s="3" t="str">
        <f>LEFT(Base_Periodo1[[#This Row],[CLASS]],3)</f>
        <v>2.4</v>
      </c>
    </row>
    <row r="4381" spans="1:23" hidden="1">
      <c r="A4381" s="3" t="str">
        <f t="shared" si="68"/>
        <v>Período 1</v>
      </c>
      <c r="B4381">
        <v>19328</v>
      </c>
      <c r="C4381" t="s">
        <v>2300</v>
      </c>
      <c r="D4381" t="s">
        <v>2366</v>
      </c>
      <c r="E4381" s="3" t="str">
        <f>IF(LEN(Base_Periodo1[[#This Row],[CLASS]])&gt;=7,LEFT(Base_Periodo1[[#This Row],[CLASS]],7),"")</f>
        <v>2.4.1.1</v>
      </c>
      <c r="F4381" s="3" t="str">
        <f>VLOOKUP(Base_Periodo1[[#This Row],[Aux]],Base_Contas_Balanco[#All],2,FALSE)</f>
        <v>Capital Social Realizado</v>
      </c>
      <c r="G4381" s="1"/>
      <c r="H4381" s="225">
        <v>127.03</v>
      </c>
      <c r="I4381" s="225">
        <v>0</v>
      </c>
      <c r="J4381" s="225">
        <v>0</v>
      </c>
      <c r="K4381" s="225">
        <v>127.03</v>
      </c>
      <c r="L43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127.03</v>
      </c>
      <c r="M4381" s="225">
        <f>ROUND(IF(AND(Base_Periodo1[[#This Row],[Tipo_Linha]]="-",Base_Periodo1[[#This Row],[TIPOSALDO]]="D"),Base_Periodo1[[#This Row],[SALDO_ATUAL]]*-1,Base_Periodo1[[#This Row],[SALDO_ATUAL]]),4)</f>
        <v>127.03</v>
      </c>
      <c r="N4381" t="s">
        <v>116</v>
      </c>
      <c r="O4381" t="s">
        <v>459</v>
      </c>
      <c r="P4381" t="s">
        <v>459</v>
      </c>
      <c r="Q4381">
        <v>6</v>
      </c>
      <c r="R4381" s="225">
        <f>Base_Periodo1[[#This Row],[CREDITOS]]-Base_Periodo1[[#This Row],[DEBITOS]]</f>
        <v>0</v>
      </c>
      <c r="S4381" s="3" t="str">
        <f>IF(ISERROR(VLOOKUP(Base_Periodo1[[#This Row],[CONTA]],BaseContasDRE[#All],4,FALSE)),"Fora do DRE",VLOOKUP(Base_Periodo1[[#This Row],[CONTA]],BaseContasDRE[#All],4,FALSE))</f>
        <v>Fora do DRE</v>
      </c>
      <c r="T4381" s="3" t="str">
        <f>IF(ISERROR(VLOOKUP(Base_Periodo1[[#This Row],[CONTA]],BaseContasDRE[#All],5,FALSE)),"Fora do DRE",VLOOKUP(Base_Periodo1[[#This Row],[CONTA]],BaseContasDRE[#All],6,FALSE))</f>
        <v>Fora do DRE</v>
      </c>
      <c r="U4381" s="3" t="str">
        <f>IF(ISERROR(VLOOKUP(Base_Periodo1[[#This Row],[CONTA]],BaseContasDRE[#All],7,FALSE)),"Fora do DRE",VLOOKUP(Base_Periodo1[[#This Row],[CONTA]],BaseContasDRE[#All],7,FALSE))</f>
        <v>Fora do DRE</v>
      </c>
      <c r="V4381" s="3" t="str">
        <f>IF(Base_Periodo1[[#This Row],[Tipo_Linha]]="Fora do DRE","Fora do DRE","( "&amp;Base_Periodo1[[#This Row],[Tipo_Linha]]&amp;" ) "&amp;Base_Periodo1[[#This Row],[Filtro]])</f>
        <v>Fora do DRE</v>
      </c>
      <c r="W4381" s="3" t="str">
        <f>LEFT(Base_Periodo1[[#This Row],[CLASS]],3)</f>
        <v>2.4</v>
      </c>
    </row>
    <row r="4382" spans="1:23" hidden="1">
      <c r="A4382" s="3" t="str">
        <f t="shared" si="68"/>
        <v>Período 1</v>
      </c>
      <c r="B4382">
        <v>24583</v>
      </c>
      <c r="C4382" t="s">
        <v>2300</v>
      </c>
      <c r="D4382" t="s">
        <v>2367</v>
      </c>
      <c r="E4382" s="3" t="str">
        <f>IF(LEN(Base_Periodo1[[#This Row],[CLASS]])&gt;=7,LEFT(Base_Periodo1[[#This Row],[CLASS]],7),"")</f>
        <v>2.4.1.1</v>
      </c>
      <c r="F4382" s="3" t="str">
        <f>VLOOKUP(Base_Periodo1[[#This Row],[Aux]],Base_Contas_Balanco[#All],2,FALSE)</f>
        <v>Capital Social Realizado</v>
      </c>
      <c r="G4382" s="1"/>
      <c r="H4382" s="225">
        <v>338.9</v>
      </c>
      <c r="I4382" s="225">
        <v>0</v>
      </c>
      <c r="J4382" s="225">
        <v>0</v>
      </c>
      <c r="K4382" s="225">
        <v>338.9</v>
      </c>
      <c r="L43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338.9</v>
      </c>
      <c r="M4382" s="225">
        <f>ROUND(IF(AND(Base_Periodo1[[#This Row],[Tipo_Linha]]="-",Base_Periodo1[[#This Row],[TIPOSALDO]]="D"),Base_Periodo1[[#This Row],[SALDO_ATUAL]]*-1,Base_Periodo1[[#This Row],[SALDO_ATUAL]]),4)</f>
        <v>338.9</v>
      </c>
      <c r="N4382" t="s">
        <v>116</v>
      </c>
      <c r="O4382" t="s">
        <v>459</v>
      </c>
      <c r="P4382" t="s">
        <v>459</v>
      </c>
      <c r="Q4382">
        <v>6</v>
      </c>
      <c r="R4382" s="225">
        <f>Base_Periodo1[[#This Row],[CREDITOS]]-Base_Periodo1[[#This Row],[DEBITOS]]</f>
        <v>0</v>
      </c>
      <c r="S4382" s="3" t="str">
        <f>IF(ISERROR(VLOOKUP(Base_Periodo1[[#This Row],[CONTA]],BaseContasDRE[#All],4,FALSE)),"Fora do DRE",VLOOKUP(Base_Periodo1[[#This Row],[CONTA]],BaseContasDRE[#All],4,FALSE))</f>
        <v>Fora do DRE</v>
      </c>
      <c r="T4382" s="3" t="str">
        <f>IF(ISERROR(VLOOKUP(Base_Periodo1[[#This Row],[CONTA]],BaseContasDRE[#All],5,FALSE)),"Fora do DRE",VLOOKUP(Base_Periodo1[[#This Row],[CONTA]],BaseContasDRE[#All],6,FALSE))</f>
        <v>Fora do DRE</v>
      </c>
      <c r="U4382" s="3" t="str">
        <f>IF(ISERROR(VLOOKUP(Base_Periodo1[[#This Row],[CONTA]],BaseContasDRE[#All],7,FALSE)),"Fora do DRE",VLOOKUP(Base_Periodo1[[#This Row],[CONTA]],BaseContasDRE[#All],7,FALSE))</f>
        <v>Fora do DRE</v>
      </c>
      <c r="V4382" s="3" t="str">
        <f>IF(Base_Periodo1[[#This Row],[Tipo_Linha]]="Fora do DRE","Fora do DRE","( "&amp;Base_Periodo1[[#This Row],[Tipo_Linha]]&amp;" ) "&amp;Base_Periodo1[[#This Row],[Filtro]])</f>
        <v>Fora do DRE</v>
      </c>
      <c r="W4382" s="3" t="str">
        <f>LEFT(Base_Periodo1[[#This Row],[CLASS]],3)</f>
        <v>2.4</v>
      </c>
    </row>
    <row r="4383" spans="1:23" hidden="1">
      <c r="A4383" s="3" t="str">
        <f t="shared" si="68"/>
        <v>Período 1</v>
      </c>
      <c r="B4383">
        <v>16134</v>
      </c>
      <c r="C4383" t="s">
        <v>2300</v>
      </c>
      <c r="D4383" t="s">
        <v>2368</v>
      </c>
      <c r="E4383" s="3" t="str">
        <f>IF(LEN(Base_Periodo1[[#This Row],[CLASS]])&gt;=7,LEFT(Base_Periodo1[[#This Row],[CLASS]],7),"")</f>
        <v>2.4.1.1</v>
      </c>
      <c r="F4383" s="3" t="str">
        <f>VLOOKUP(Base_Periodo1[[#This Row],[Aux]],Base_Contas_Balanco[#All],2,FALSE)</f>
        <v>Capital Social Realizado</v>
      </c>
      <c r="G4383" s="1"/>
      <c r="H4383" s="225">
        <v>26777.980000000003</v>
      </c>
      <c r="I4383" s="225">
        <v>0</v>
      </c>
      <c r="J4383" s="225">
        <v>0</v>
      </c>
      <c r="K4383" s="225">
        <v>26777.980000000003</v>
      </c>
      <c r="L43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26777.98</v>
      </c>
      <c r="M4383" s="225">
        <f>ROUND(IF(AND(Base_Periodo1[[#This Row],[Tipo_Linha]]="-",Base_Periodo1[[#This Row],[TIPOSALDO]]="D"),Base_Periodo1[[#This Row],[SALDO_ATUAL]]*-1,Base_Periodo1[[#This Row],[SALDO_ATUAL]]),4)</f>
        <v>26777.98</v>
      </c>
      <c r="N4383" t="s">
        <v>116</v>
      </c>
      <c r="O4383" t="s">
        <v>459</v>
      </c>
      <c r="P4383" t="s">
        <v>459</v>
      </c>
      <c r="Q4383">
        <v>6</v>
      </c>
      <c r="R4383" s="225">
        <f>Base_Periodo1[[#This Row],[CREDITOS]]-Base_Periodo1[[#This Row],[DEBITOS]]</f>
        <v>0</v>
      </c>
      <c r="S4383" s="3" t="str">
        <f>IF(ISERROR(VLOOKUP(Base_Periodo1[[#This Row],[CONTA]],BaseContasDRE[#All],4,FALSE)),"Fora do DRE",VLOOKUP(Base_Periodo1[[#This Row],[CONTA]],BaseContasDRE[#All],4,FALSE))</f>
        <v>Fora do DRE</v>
      </c>
      <c r="T4383" s="3" t="str">
        <f>IF(ISERROR(VLOOKUP(Base_Periodo1[[#This Row],[CONTA]],BaseContasDRE[#All],5,FALSE)),"Fora do DRE",VLOOKUP(Base_Periodo1[[#This Row],[CONTA]],BaseContasDRE[#All],6,FALSE))</f>
        <v>Fora do DRE</v>
      </c>
      <c r="U4383" s="3" t="str">
        <f>IF(ISERROR(VLOOKUP(Base_Periodo1[[#This Row],[CONTA]],BaseContasDRE[#All],7,FALSE)),"Fora do DRE",VLOOKUP(Base_Periodo1[[#This Row],[CONTA]],BaseContasDRE[#All],7,FALSE))</f>
        <v>Fora do DRE</v>
      </c>
      <c r="V4383" s="3" t="str">
        <f>IF(Base_Periodo1[[#This Row],[Tipo_Linha]]="Fora do DRE","Fora do DRE","( "&amp;Base_Periodo1[[#This Row],[Tipo_Linha]]&amp;" ) "&amp;Base_Periodo1[[#This Row],[Filtro]])</f>
        <v>Fora do DRE</v>
      </c>
      <c r="W4383" s="3" t="str">
        <f>LEFT(Base_Periodo1[[#This Row],[CLASS]],3)</f>
        <v>2.4</v>
      </c>
    </row>
    <row r="4384" spans="1:23" hidden="1">
      <c r="A4384" s="3" t="str">
        <f t="shared" si="68"/>
        <v>Período 1</v>
      </c>
      <c r="B4384">
        <v>52733</v>
      </c>
      <c r="C4384" t="s">
        <v>2300</v>
      </c>
      <c r="D4384" t="s">
        <v>4785</v>
      </c>
      <c r="E4384" s="3" t="str">
        <f>IF(LEN(Base_Periodo1[[#This Row],[CLASS]])&gt;=7,LEFT(Base_Periodo1[[#This Row],[CLASS]],7),"")</f>
        <v>2.4.1.1</v>
      </c>
      <c r="F4384" s="3" t="str">
        <f>VLOOKUP(Base_Periodo1[[#This Row],[Aux]],Base_Contas_Balanco[#All],2,FALSE)</f>
        <v>Capital Social Realizado</v>
      </c>
      <c r="G4384" s="1"/>
      <c r="H4384" s="225">
        <v>200</v>
      </c>
      <c r="I4384" s="225">
        <v>0</v>
      </c>
      <c r="J4384" s="225">
        <v>0</v>
      </c>
      <c r="K4384" s="225">
        <v>200</v>
      </c>
      <c r="L43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</v>
      </c>
      <c r="M4384" s="225">
        <f>ROUND(IF(AND(Base_Periodo1[[#This Row],[Tipo_Linha]]="-",Base_Periodo1[[#This Row],[TIPOSALDO]]="D"),Base_Periodo1[[#This Row],[SALDO_ATUAL]]*-1,Base_Periodo1[[#This Row],[SALDO_ATUAL]]),4)</f>
        <v>200</v>
      </c>
      <c r="N4384" t="s">
        <v>116</v>
      </c>
      <c r="O4384" t="s">
        <v>459</v>
      </c>
      <c r="P4384" t="s">
        <v>459</v>
      </c>
      <c r="Q4384">
        <v>6</v>
      </c>
      <c r="R4384" s="225">
        <f>Base_Periodo1[[#This Row],[CREDITOS]]-Base_Periodo1[[#This Row],[DEBITOS]]</f>
        <v>0</v>
      </c>
      <c r="S4384" s="3" t="str">
        <f>IF(ISERROR(VLOOKUP(Base_Periodo1[[#This Row],[CONTA]],BaseContasDRE[#All],4,FALSE)),"Fora do DRE",VLOOKUP(Base_Periodo1[[#This Row],[CONTA]],BaseContasDRE[#All],4,FALSE))</f>
        <v>Fora do DRE</v>
      </c>
      <c r="T4384" s="3" t="str">
        <f>IF(ISERROR(VLOOKUP(Base_Periodo1[[#This Row],[CONTA]],BaseContasDRE[#All],5,FALSE)),"Fora do DRE",VLOOKUP(Base_Periodo1[[#This Row],[CONTA]],BaseContasDRE[#All],6,FALSE))</f>
        <v>Fora do DRE</v>
      </c>
      <c r="U4384" s="3" t="str">
        <f>IF(ISERROR(VLOOKUP(Base_Periodo1[[#This Row],[CONTA]],BaseContasDRE[#All],7,FALSE)),"Fora do DRE",VLOOKUP(Base_Periodo1[[#This Row],[CONTA]],BaseContasDRE[#All],7,FALSE))</f>
        <v>Fora do DRE</v>
      </c>
      <c r="V4384" s="3" t="str">
        <f>IF(Base_Periodo1[[#This Row],[Tipo_Linha]]="Fora do DRE","Fora do DRE","( "&amp;Base_Periodo1[[#This Row],[Tipo_Linha]]&amp;" ) "&amp;Base_Periodo1[[#This Row],[Filtro]])</f>
        <v>Fora do DRE</v>
      </c>
      <c r="W4384" s="3" t="str">
        <f>LEFT(Base_Periodo1[[#This Row],[CLASS]],3)</f>
        <v>2.4</v>
      </c>
    </row>
    <row r="4385" spans="1:23" hidden="1">
      <c r="A4385" s="3" t="str">
        <f t="shared" si="68"/>
        <v>Período 1</v>
      </c>
      <c r="B4385">
        <v>16383</v>
      </c>
      <c r="C4385" t="s">
        <v>2300</v>
      </c>
      <c r="D4385" t="s">
        <v>2369</v>
      </c>
      <c r="E4385" s="3" t="str">
        <f>IF(LEN(Base_Periodo1[[#This Row],[CLASS]])&gt;=7,LEFT(Base_Periodo1[[#This Row],[CLASS]],7),"")</f>
        <v>2.4.1.1</v>
      </c>
      <c r="F4385" s="3" t="str">
        <f>VLOOKUP(Base_Periodo1[[#This Row],[Aux]],Base_Contas_Balanco[#All],2,FALSE)</f>
        <v>Capital Social Realizado</v>
      </c>
      <c r="G4385" s="1"/>
      <c r="H4385" s="225">
        <v>10320.799999999999</v>
      </c>
      <c r="I4385" s="225">
        <v>0</v>
      </c>
      <c r="J4385" s="225">
        <v>0</v>
      </c>
      <c r="K4385" s="225">
        <v>10320.799999999999</v>
      </c>
      <c r="L43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10320.799999999999</v>
      </c>
      <c r="M4385" s="225">
        <f>ROUND(IF(AND(Base_Periodo1[[#This Row],[Tipo_Linha]]="-",Base_Periodo1[[#This Row],[TIPOSALDO]]="D"),Base_Periodo1[[#This Row],[SALDO_ATUAL]]*-1,Base_Periodo1[[#This Row],[SALDO_ATUAL]]),4)</f>
        <v>10320.799999999999</v>
      </c>
      <c r="N4385" t="s">
        <v>116</v>
      </c>
      <c r="O4385" t="s">
        <v>459</v>
      </c>
      <c r="P4385" t="s">
        <v>459</v>
      </c>
      <c r="Q4385">
        <v>6</v>
      </c>
      <c r="R4385" s="225">
        <f>Base_Periodo1[[#This Row],[CREDITOS]]-Base_Periodo1[[#This Row],[DEBITOS]]</f>
        <v>0</v>
      </c>
      <c r="S4385" s="3" t="str">
        <f>IF(ISERROR(VLOOKUP(Base_Periodo1[[#This Row],[CONTA]],BaseContasDRE[#All],4,FALSE)),"Fora do DRE",VLOOKUP(Base_Periodo1[[#This Row],[CONTA]],BaseContasDRE[#All],4,FALSE))</f>
        <v>Fora do DRE</v>
      </c>
      <c r="T4385" s="3" t="str">
        <f>IF(ISERROR(VLOOKUP(Base_Periodo1[[#This Row],[CONTA]],BaseContasDRE[#All],5,FALSE)),"Fora do DRE",VLOOKUP(Base_Periodo1[[#This Row],[CONTA]],BaseContasDRE[#All],6,FALSE))</f>
        <v>Fora do DRE</v>
      </c>
      <c r="U4385" s="3" t="str">
        <f>IF(ISERROR(VLOOKUP(Base_Periodo1[[#This Row],[CONTA]],BaseContasDRE[#All],7,FALSE)),"Fora do DRE",VLOOKUP(Base_Periodo1[[#This Row],[CONTA]],BaseContasDRE[#All],7,FALSE))</f>
        <v>Fora do DRE</v>
      </c>
      <c r="V4385" s="3" t="str">
        <f>IF(Base_Periodo1[[#This Row],[Tipo_Linha]]="Fora do DRE","Fora do DRE","( "&amp;Base_Periodo1[[#This Row],[Tipo_Linha]]&amp;" ) "&amp;Base_Periodo1[[#This Row],[Filtro]])</f>
        <v>Fora do DRE</v>
      </c>
      <c r="W4385" s="3" t="str">
        <f>LEFT(Base_Periodo1[[#This Row],[CLASS]],3)</f>
        <v>2.4</v>
      </c>
    </row>
    <row r="4386" spans="1:23" hidden="1">
      <c r="A4386" s="3" t="str">
        <f t="shared" si="68"/>
        <v>Período 1</v>
      </c>
      <c r="B4386">
        <v>16361</v>
      </c>
      <c r="C4386" t="s">
        <v>2300</v>
      </c>
      <c r="D4386" t="s">
        <v>2370</v>
      </c>
      <c r="E4386" s="3" t="str">
        <f>IF(LEN(Base_Periodo1[[#This Row],[CLASS]])&gt;=7,LEFT(Base_Periodo1[[#This Row],[CLASS]],7),"")</f>
        <v>2.4.1.1</v>
      </c>
      <c r="F4386" s="3" t="str">
        <f>VLOOKUP(Base_Periodo1[[#This Row],[Aux]],Base_Contas_Balanco[#All],2,FALSE)</f>
        <v>Capital Social Realizado</v>
      </c>
      <c r="G4386" s="1"/>
      <c r="H4386" s="225">
        <v>559.41999999999996</v>
      </c>
      <c r="I4386" s="225">
        <v>0</v>
      </c>
      <c r="J4386" s="225">
        <v>0</v>
      </c>
      <c r="K4386" s="225">
        <v>559.41999999999996</v>
      </c>
      <c r="L43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559.41999999999996</v>
      </c>
      <c r="M4386" s="225">
        <f>ROUND(IF(AND(Base_Periodo1[[#This Row],[Tipo_Linha]]="-",Base_Periodo1[[#This Row],[TIPOSALDO]]="D"),Base_Periodo1[[#This Row],[SALDO_ATUAL]]*-1,Base_Periodo1[[#This Row],[SALDO_ATUAL]]),4)</f>
        <v>559.41999999999996</v>
      </c>
      <c r="N4386" t="s">
        <v>116</v>
      </c>
      <c r="O4386" t="s">
        <v>459</v>
      </c>
      <c r="P4386" t="s">
        <v>459</v>
      </c>
      <c r="Q4386">
        <v>6</v>
      </c>
      <c r="R4386" s="225">
        <f>Base_Periodo1[[#This Row],[CREDITOS]]-Base_Periodo1[[#This Row],[DEBITOS]]</f>
        <v>0</v>
      </c>
      <c r="S4386" s="3" t="str">
        <f>IF(ISERROR(VLOOKUP(Base_Periodo1[[#This Row],[CONTA]],BaseContasDRE[#All],4,FALSE)),"Fora do DRE",VLOOKUP(Base_Periodo1[[#This Row],[CONTA]],BaseContasDRE[#All],4,FALSE))</f>
        <v>Fora do DRE</v>
      </c>
      <c r="T4386" s="3" t="str">
        <f>IF(ISERROR(VLOOKUP(Base_Periodo1[[#This Row],[CONTA]],BaseContasDRE[#All],5,FALSE)),"Fora do DRE",VLOOKUP(Base_Periodo1[[#This Row],[CONTA]],BaseContasDRE[#All],6,FALSE))</f>
        <v>Fora do DRE</v>
      </c>
      <c r="U4386" s="3" t="str">
        <f>IF(ISERROR(VLOOKUP(Base_Periodo1[[#This Row],[CONTA]],BaseContasDRE[#All],7,FALSE)),"Fora do DRE",VLOOKUP(Base_Periodo1[[#This Row],[CONTA]],BaseContasDRE[#All],7,FALSE))</f>
        <v>Fora do DRE</v>
      </c>
      <c r="V4386" s="3" t="str">
        <f>IF(Base_Periodo1[[#This Row],[Tipo_Linha]]="Fora do DRE","Fora do DRE","( "&amp;Base_Periodo1[[#This Row],[Tipo_Linha]]&amp;" ) "&amp;Base_Periodo1[[#This Row],[Filtro]])</f>
        <v>Fora do DRE</v>
      </c>
      <c r="W4386" s="3" t="str">
        <f>LEFT(Base_Periodo1[[#This Row],[CLASS]],3)</f>
        <v>2.4</v>
      </c>
    </row>
    <row r="4387" spans="1:23" hidden="1">
      <c r="A4387" s="3" t="str">
        <f t="shared" si="68"/>
        <v>Período 1</v>
      </c>
      <c r="B4387">
        <v>16241</v>
      </c>
      <c r="C4387" t="s">
        <v>2300</v>
      </c>
      <c r="D4387" t="s">
        <v>2371</v>
      </c>
      <c r="E4387" s="3" t="str">
        <f>IF(LEN(Base_Periodo1[[#This Row],[CLASS]])&gt;=7,LEFT(Base_Periodo1[[#This Row],[CLASS]],7),"")</f>
        <v>2.4.1.1</v>
      </c>
      <c r="F4387" s="3" t="str">
        <f>VLOOKUP(Base_Periodo1[[#This Row],[Aux]],Base_Contas_Balanco[#All],2,FALSE)</f>
        <v>Capital Social Realizado</v>
      </c>
      <c r="G4387" s="1"/>
      <c r="H4387" s="225">
        <v>4438.1899999999996</v>
      </c>
      <c r="I4387" s="225">
        <v>0</v>
      </c>
      <c r="J4387" s="225">
        <v>0</v>
      </c>
      <c r="K4387" s="225">
        <v>4438.1899999999996</v>
      </c>
      <c r="L43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4438.1899999999996</v>
      </c>
      <c r="M4387" s="225">
        <f>ROUND(IF(AND(Base_Periodo1[[#This Row],[Tipo_Linha]]="-",Base_Periodo1[[#This Row],[TIPOSALDO]]="D"),Base_Periodo1[[#This Row],[SALDO_ATUAL]]*-1,Base_Periodo1[[#This Row],[SALDO_ATUAL]]),4)</f>
        <v>4438.1899999999996</v>
      </c>
      <c r="N4387" t="s">
        <v>116</v>
      </c>
      <c r="O4387" t="s">
        <v>459</v>
      </c>
      <c r="P4387" t="s">
        <v>459</v>
      </c>
      <c r="Q4387">
        <v>6</v>
      </c>
      <c r="R4387" s="225">
        <f>Base_Periodo1[[#This Row],[CREDITOS]]-Base_Periodo1[[#This Row],[DEBITOS]]</f>
        <v>0</v>
      </c>
      <c r="S4387" s="3" t="str">
        <f>IF(ISERROR(VLOOKUP(Base_Periodo1[[#This Row],[CONTA]],BaseContasDRE[#All],4,FALSE)),"Fora do DRE",VLOOKUP(Base_Periodo1[[#This Row],[CONTA]],BaseContasDRE[#All],4,FALSE))</f>
        <v>Fora do DRE</v>
      </c>
      <c r="T4387" s="3" t="str">
        <f>IF(ISERROR(VLOOKUP(Base_Periodo1[[#This Row],[CONTA]],BaseContasDRE[#All],5,FALSE)),"Fora do DRE",VLOOKUP(Base_Periodo1[[#This Row],[CONTA]],BaseContasDRE[#All],6,FALSE))</f>
        <v>Fora do DRE</v>
      </c>
      <c r="U4387" s="3" t="str">
        <f>IF(ISERROR(VLOOKUP(Base_Periodo1[[#This Row],[CONTA]],BaseContasDRE[#All],7,FALSE)),"Fora do DRE",VLOOKUP(Base_Periodo1[[#This Row],[CONTA]],BaseContasDRE[#All],7,FALSE))</f>
        <v>Fora do DRE</v>
      </c>
      <c r="V4387" s="3" t="str">
        <f>IF(Base_Periodo1[[#This Row],[Tipo_Linha]]="Fora do DRE","Fora do DRE","( "&amp;Base_Periodo1[[#This Row],[Tipo_Linha]]&amp;" ) "&amp;Base_Periodo1[[#This Row],[Filtro]])</f>
        <v>Fora do DRE</v>
      </c>
      <c r="W4387" s="3" t="str">
        <f>LEFT(Base_Periodo1[[#This Row],[CLASS]],3)</f>
        <v>2.4</v>
      </c>
    </row>
    <row r="4388" spans="1:23" hidden="1">
      <c r="A4388" s="3" t="str">
        <f t="shared" si="68"/>
        <v>Período 1</v>
      </c>
      <c r="B4388">
        <v>30479</v>
      </c>
      <c r="C4388" t="s">
        <v>2300</v>
      </c>
      <c r="D4388" t="s">
        <v>2372</v>
      </c>
      <c r="E4388" s="3" t="str">
        <f>IF(LEN(Base_Periodo1[[#This Row],[CLASS]])&gt;=7,LEFT(Base_Periodo1[[#This Row],[CLASS]],7),"")</f>
        <v>2.4.1.1</v>
      </c>
      <c r="F4388" s="3" t="str">
        <f>VLOOKUP(Base_Periodo1[[#This Row],[Aux]],Base_Contas_Balanco[#All],2,FALSE)</f>
        <v>Capital Social Realizado</v>
      </c>
      <c r="G4388" s="1"/>
      <c r="H4388" s="225">
        <v>50</v>
      </c>
      <c r="I4388" s="225">
        <v>0</v>
      </c>
      <c r="J4388" s="225">
        <v>0</v>
      </c>
      <c r="K4388" s="225">
        <v>50</v>
      </c>
      <c r="L43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388" s="225">
        <f>ROUND(IF(AND(Base_Periodo1[[#This Row],[Tipo_Linha]]="-",Base_Periodo1[[#This Row],[TIPOSALDO]]="D"),Base_Periodo1[[#This Row],[SALDO_ATUAL]]*-1,Base_Periodo1[[#This Row],[SALDO_ATUAL]]),4)</f>
        <v>50</v>
      </c>
      <c r="N4388" t="s">
        <v>116</v>
      </c>
      <c r="O4388" t="s">
        <v>459</v>
      </c>
      <c r="P4388" t="s">
        <v>459</v>
      </c>
      <c r="Q4388">
        <v>6</v>
      </c>
      <c r="R4388" s="225">
        <f>Base_Periodo1[[#This Row],[CREDITOS]]-Base_Periodo1[[#This Row],[DEBITOS]]</f>
        <v>0</v>
      </c>
      <c r="S4388" s="3" t="str">
        <f>IF(ISERROR(VLOOKUP(Base_Periodo1[[#This Row],[CONTA]],BaseContasDRE[#All],4,FALSE)),"Fora do DRE",VLOOKUP(Base_Periodo1[[#This Row],[CONTA]],BaseContasDRE[#All],4,FALSE))</f>
        <v>Fora do DRE</v>
      </c>
      <c r="T4388" s="3" t="str">
        <f>IF(ISERROR(VLOOKUP(Base_Periodo1[[#This Row],[CONTA]],BaseContasDRE[#All],5,FALSE)),"Fora do DRE",VLOOKUP(Base_Periodo1[[#This Row],[CONTA]],BaseContasDRE[#All],6,FALSE))</f>
        <v>Fora do DRE</v>
      </c>
      <c r="U4388" s="3" t="str">
        <f>IF(ISERROR(VLOOKUP(Base_Periodo1[[#This Row],[CONTA]],BaseContasDRE[#All],7,FALSE)),"Fora do DRE",VLOOKUP(Base_Periodo1[[#This Row],[CONTA]],BaseContasDRE[#All],7,FALSE))</f>
        <v>Fora do DRE</v>
      </c>
      <c r="V4388" s="3" t="str">
        <f>IF(Base_Periodo1[[#This Row],[Tipo_Linha]]="Fora do DRE","Fora do DRE","( "&amp;Base_Periodo1[[#This Row],[Tipo_Linha]]&amp;" ) "&amp;Base_Periodo1[[#This Row],[Filtro]])</f>
        <v>Fora do DRE</v>
      </c>
      <c r="W4388" s="3" t="str">
        <f>LEFT(Base_Periodo1[[#This Row],[CLASS]],3)</f>
        <v>2.4</v>
      </c>
    </row>
    <row r="4389" spans="1:23" hidden="1">
      <c r="A4389" s="3" t="str">
        <f t="shared" si="68"/>
        <v>Período 1</v>
      </c>
      <c r="B4389">
        <v>16018</v>
      </c>
      <c r="C4389" t="s">
        <v>2300</v>
      </c>
      <c r="D4389" t="s">
        <v>2373</v>
      </c>
      <c r="E4389" s="3" t="str">
        <f>IF(LEN(Base_Periodo1[[#This Row],[CLASS]])&gt;=7,LEFT(Base_Periodo1[[#This Row],[CLASS]],7),"")</f>
        <v>2.4.1.1</v>
      </c>
      <c r="F4389" s="3" t="str">
        <f>VLOOKUP(Base_Periodo1[[#This Row],[Aux]],Base_Contas_Balanco[#All],2,FALSE)</f>
        <v>Capital Social Realizado</v>
      </c>
      <c r="G4389" s="1"/>
      <c r="H4389" s="225">
        <v>7666.04</v>
      </c>
      <c r="I4389" s="225">
        <v>0</v>
      </c>
      <c r="J4389" s="225">
        <v>0</v>
      </c>
      <c r="K4389" s="225">
        <v>7666.04</v>
      </c>
      <c r="L43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7666.04</v>
      </c>
      <c r="M4389" s="225">
        <f>ROUND(IF(AND(Base_Periodo1[[#This Row],[Tipo_Linha]]="-",Base_Periodo1[[#This Row],[TIPOSALDO]]="D"),Base_Periodo1[[#This Row],[SALDO_ATUAL]]*-1,Base_Periodo1[[#This Row],[SALDO_ATUAL]]),4)</f>
        <v>7666.04</v>
      </c>
      <c r="N4389" t="s">
        <v>116</v>
      </c>
      <c r="O4389" t="s">
        <v>459</v>
      </c>
      <c r="P4389" t="s">
        <v>459</v>
      </c>
      <c r="Q4389">
        <v>6</v>
      </c>
      <c r="R4389" s="225">
        <f>Base_Periodo1[[#This Row],[CREDITOS]]-Base_Periodo1[[#This Row],[DEBITOS]]</f>
        <v>0</v>
      </c>
      <c r="S4389" s="3" t="str">
        <f>IF(ISERROR(VLOOKUP(Base_Periodo1[[#This Row],[CONTA]],BaseContasDRE[#All],4,FALSE)),"Fora do DRE",VLOOKUP(Base_Periodo1[[#This Row],[CONTA]],BaseContasDRE[#All],4,FALSE))</f>
        <v>Fora do DRE</v>
      </c>
      <c r="T4389" s="3" t="str">
        <f>IF(ISERROR(VLOOKUP(Base_Periodo1[[#This Row],[CONTA]],BaseContasDRE[#All],5,FALSE)),"Fora do DRE",VLOOKUP(Base_Periodo1[[#This Row],[CONTA]],BaseContasDRE[#All],6,FALSE))</f>
        <v>Fora do DRE</v>
      </c>
      <c r="U4389" s="3" t="str">
        <f>IF(ISERROR(VLOOKUP(Base_Periodo1[[#This Row],[CONTA]],BaseContasDRE[#All],7,FALSE)),"Fora do DRE",VLOOKUP(Base_Periodo1[[#This Row],[CONTA]],BaseContasDRE[#All],7,FALSE))</f>
        <v>Fora do DRE</v>
      </c>
      <c r="V4389" s="3" t="str">
        <f>IF(Base_Periodo1[[#This Row],[Tipo_Linha]]="Fora do DRE","Fora do DRE","( "&amp;Base_Periodo1[[#This Row],[Tipo_Linha]]&amp;" ) "&amp;Base_Periodo1[[#This Row],[Filtro]])</f>
        <v>Fora do DRE</v>
      </c>
      <c r="W4389" s="3" t="str">
        <f>LEFT(Base_Periodo1[[#This Row],[CLASS]],3)</f>
        <v>2.4</v>
      </c>
    </row>
    <row r="4390" spans="1:23" hidden="1">
      <c r="A4390" s="3" t="str">
        <f t="shared" si="68"/>
        <v>Período 1</v>
      </c>
      <c r="B4390">
        <v>25234</v>
      </c>
      <c r="C4390" t="s">
        <v>2300</v>
      </c>
      <c r="D4390" t="s">
        <v>2374</v>
      </c>
      <c r="E4390" s="3" t="str">
        <f>IF(LEN(Base_Periodo1[[#This Row],[CLASS]])&gt;=7,LEFT(Base_Periodo1[[#This Row],[CLASS]],7),"")</f>
        <v>2.4.1.1</v>
      </c>
      <c r="F4390" s="3" t="str">
        <f>VLOOKUP(Base_Periodo1[[#This Row],[Aux]],Base_Contas_Balanco[#All],2,FALSE)</f>
        <v>Capital Social Realizado</v>
      </c>
      <c r="G4390" s="1"/>
      <c r="H4390" s="225">
        <v>223.86</v>
      </c>
      <c r="I4390" s="225">
        <v>0</v>
      </c>
      <c r="J4390" s="225">
        <v>0</v>
      </c>
      <c r="K4390" s="225">
        <v>223.86</v>
      </c>
      <c r="L43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223.86</v>
      </c>
      <c r="M4390" s="225">
        <f>ROUND(IF(AND(Base_Periodo1[[#This Row],[Tipo_Linha]]="-",Base_Periodo1[[#This Row],[TIPOSALDO]]="D"),Base_Periodo1[[#This Row],[SALDO_ATUAL]]*-1,Base_Periodo1[[#This Row],[SALDO_ATUAL]]),4)</f>
        <v>223.86</v>
      </c>
      <c r="N4390" t="s">
        <v>116</v>
      </c>
      <c r="O4390" t="s">
        <v>459</v>
      </c>
      <c r="P4390" t="s">
        <v>459</v>
      </c>
      <c r="Q4390">
        <v>6</v>
      </c>
      <c r="R4390" s="225">
        <f>Base_Periodo1[[#This Row],[CREDITOS]]-Base_Periodo1[[#This Row],[DEBITOS]]</f>
        <v>0</v>
      </c>
      <c r="S4390" s="3" t="str">
        <f>IF(ISERROR(VLOOKUP(Base_Periodo1[[#This Row],[CONTA]],BaseContasDRE[#All],4,FALSE)),"Fora do DRE",VLOOKUP(Base_Periodo1[[#This Row],[CONTA]],BaseContasDRE[#All],4,FALSE))</f>
        <v>Fora do DRE</v>
      </c>
      <c r="T4390" s="3" t="str">
        <f>IF(ISERROR(VLOOKUP(Base_Periodo1[[#This Row],[CONTA]],BaseContasDRE[#All],5,FALSE)),"Fora do DRE",VLOOKUP(Base_Periodo1[[#This Row],[CONTA]],BaseContasDRE[#All],6,FALSE))</f>
        <v>Fora do DRE</v>
      </c>
      <c r="U4390" s="3" t="str">
        <f>IF(ISERROR(VLOOKUP(Base_Periodo1[[#This Row],[CONTA]],BaseContasDRE[#All],7,FALSE)),"Fora do DRE",VLOOKUP(Base_Periodo1[[#This Row],[CONTA]],BaseContasDRE[#All],7,FALSE))</f>
        <v>Fora do DRE</v>
      </c>
      <c r="V4390" s="3" t="str">
        <f>IF(Base_Periodo1[[#This Row],[Tipo_Linha]]="Fora do DRE","Fora do DRE","( "&amp;Base_Periodo1[[#This Row],[Tipo_Linha]]&amp;" ) "&amp;Base_Periodo1[[#This Row],[Filtro]])</f>
        <v>Fora do DRE</v>
      </c>
      <c r="W4390" s="3" t="str">
        <f>LEFT(Base_Periodo1[[#This Row],[CLASS]],3)</f>
        <v>2.4</v>
      </c>
    </row>
    <row r="4391" spans="1:23" hidden="1">
      <c r="A4391" s="3" t="str">
        <f t="shared" si="68"/>
        <v>Período 1</v>
      </c>
      <c r="B4391">
        <v>55605</v>
      </c>
      <c r="C4391" t="s">
        <v>2300</v>
      </c>
      <c r="D4391" t="s">
        <v>5536</v>
      </c>
      <c r="E4391" s="3" t="str">
        <f>IF(LEN(Base_Periodo1[[#This Row],[CLASS]])&gt;=7,LEFT(Base_Periodo1[[#This Row],[CLASS]],7),"")</f>
        <v>2.4.1.1</v>
      </c>
      <c r="F4391" s="3" t="str">
        <f>VLOOKUP(Base_Periodo1[[#This Row],[Aux]],Base_Contas_Balanco[#All],2,FALSE)</f>
        <v>Capital Social Realizado</v>
      </c>
      <c r="G4391" s="1"/>
      <c r="H4391" s="225">
        <v>500</v>
      </c>
      <c r="I4391" s="225">
        <v>0</v>
      </c>
      <c r="J4391" s="225">
        <v>0</v>
      </c>
      <c r="K4391" s="225">
        <v>500</v>
      </c>
      <c r="L43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4391" s="225">
        <f>ROUND(IF(AND(Base_Periodo1[[#This Row],[Tipo_Linha]]="-",Base_Periodo1[[#This Row],[TIPOSALDO]]="D"),Base_Periodo1[[#This Row],[SALDO_ATUAL]]*-1,Base_Periodo1[[#This Row],[SALDO_ATUAL]]),4)</f>
        <v>500</v>
      </c>
      <c r="N4391" t="s">
        <v>116</v>
      </c>
      <c r="O4391" t="s">
        <v>459</v>
      </c>
      <c r="P4391" t="s">
        <v>459</v>
      </c>
      <c r="Q4391">
        <v>6</v>
      </c>
      <c r="R4391" s="225">
        <f>Base_Periodo1[[#This Row],[CREDITOS]]-Base_Periodo1[[#This Row],[DEBITOS]]</f>
        <v>0</v>
      </c>
      <c r="S4391" s="3" t="str">
        <f>IF(ISERROR(VLOOKUP(Base_Periodo1[[#This Row],[CONTA]],BaseContasDRE[#All],4,FALSE)),"Fora do DRE",VLOOKUP(Base_Periodo1[[#This Row],[CONTA]],BaseContasDRE[#All],4,FALSE))</f>
        <v>Fora do DRE</v>
      </c>
      <c r="T4391" s="3" t="str">
        <f>IF(ISERROR(VLOOKUP(Base_Periodo1[[#This Row],[CONTA]],BaseContasDRE[#All],5,FALSE)),"Fora do DRE",VLOOKUP(Base_Periodo1[[#This Row],[CONTA]],BaseContasDRE[#All],6,FALSE))</f>
        <v>Fora do DRE</v>
      </c>
      <c r="U4391" s="3" t="str">
        <f>IF(ISERROR(VLOOKUP(Base_Periodo1[[#This Row],[CONTA]],BaseContasDRE[#All],7,FALSE)),"Fora do DRE",VLOOKUP(Base_Periodo1[[#This Row],[CONTA]],BaseContasDRE[#All],7,FALSE))</f>
        <v>Fora do DRE</v>
      </c>
      <c r="V4391" s="3" t="str">
        <f>IF(Base_Periodo1[[#This Row],[Tipo_Linha]]="Fora do DRE","Fora do DRE","( "&amp;Base_Periodo1[[#This Row],[Tipo_Linha]]&amp;" ) "&amp;Base_Periodo1[[#This Row],[Filtro]])</f>
        <v>Fora do DRE</v>
      </c>
      <c r="W4391" s="3" t="str">
        <f>LEFT(Base_Periodo1[[#This Row],[CLASS]],3)</f>
        <v>2.4</v>
      </c>
    </row>
    <row r="4392" spans="1:23" hidden="1">
      <c r="A4392" s="3" t="str">
        <f t="shared" si="68"/>
        <v>Período 1</v>
      </c>
      <c r="B4392">
        <v>19252</v>
      </c>
      <c r="C4392" t="s">
        <v>2300</v>
      </c>
      <c r="D4392" t="s">
        <v>2375</v>
      </c>
      <c r="E4392" s="3" t="str">
        <f>IF(LEN(Base_Periodo1[[#This Row],[CLASS]])&gt;=7,LEFT(Base_Periodo1[[#This Row],[CLASS]],7),"")</f>
        <v>2.4.1.1</v>
      </c>
      <c r="F4392" s="3" t="str">
        <f>VLOOKUP(Base_Periodo1[[#This Row],[Aux]],Base_Contas_Balanco[#All],2,FALSE)</f>
        <v>Capital Social Realizado</v>
      </c>
      <c r="G4392" s="1"/>
      <c r="H4392" s="225">
        <v>663.31000000000006</v>
      </c>
      <c r="I4392" s="225">
        <v>0</v>
      </c>
      <c r="J4392" s="225">
        <v>0</v>
      </c>
      <c r="K4392" s="225">
        <v>663.31000000000006</v>
      </c>
      <c r="L43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663.31</v>
      </c>
      <c r="M4392" s="225">
        <f>ROUND(IF(AND(Base_Periodo1[[#This Row],[Tipo_Linha]]="-",Base_Periodo1[[#This Row],[TIPOSALDO]]="D"),Base_Periodo1[[#This Row],[SALDO_ATUAL]]*-1,Base_Periodo1[[#This Row],[SALDO_ATUAL]]),4)</f>
        <v>663.31</v>
      </c>
      <c r="N4392" t="s">
        <v>116</v>
      </c>
      <c r="O4392" t="s">
        <v>459</v>
      </c>
      <c r="P4392" t="s">
        <v>459</v>
      </c>
      <c r="Q4392">
        <v>6</v>
      </c>
      <c r="R4392" s="225">
        <f>Base_Periodo1[[#This Row],[CREDITOS]]-Base_Periodo1[[#This Row],[DEBITOS]]</f>
        <v>0</v>
      </c>
      <c r="S4392" s="3" t="str">
        <f>IF(ISERROR(VLOOKUP(Base_Periodo1[[#This Row],[CONTA]],BaseContasDRE[#All],4,FALSE)),"Fora do DRE",VLOOKUP(Base_Periodo1[[#This Row],[CONTA]],BaseContasDRE[#All],4,FALSE))</f>
        <v>Fora do DRE</v>
      </c>
      <c r="T4392" s="3" t="str">
        <f>IF(ISERROR(VLOOKUP(Base_Periodo1[[#This Row],[CONTA]],BaseContasDRE[#All],5,FALSE)),"Fora do DRE",VLOOKUP(Base_Periodo1[[#This Row],[CONTA]],BaseContasDRE[#All],6,FALSE))</f>
        <v>Fora do DRE</v>
      </c>
      <c r="U4392" s="3" t="str">
        <f>IF(ISERROR(VLOOKUP(Base_Periodo1[[#This Row],[CONTA]],BaseContasDRE[#All],7,FALSE)),"Fora do DRE",VLOOKUP(Base_Periodo1[[#This Row],[CONTA]],BaseContasDRE[#All],7,FALSE))</f>
        <v>Fora do DRE</v>
      </c>
      <c r="V4392" s="3" t="str">
        <f>IF(Base_Periodo1[[#This Row],[Tipo_Linha]]="Fora do DRE","Fora do DRE","( "&amp;Base_Periodo1[[#This Row],[Tipo_Linha]]&amp;" ) "&amp;Base_Periodo1[[#This Row],[Filtro]])</f>
        <v>Fora do DRE</v>
      </c>
      <c r="W4392" s="3" t="str">
        <f>LEFT(Base_Periodo1[[#This Row],[CLASS]],3)</f>
        <v>2.4</v>
      </c>
    </row>
    <row r="4393" spans="1:23" hidden="1">
      <c r="A4393" s="3" t="str">
        <f t="shared" si="68"/>
        <v>Período 1</v>
      </c>
      <c r="B4393">
        <v>48435</v>
      </c>
      <c r="C4393" t="s">
        <v>2300</v>
      </c>
      <c r="D4393" t="s">
        <v>2376</v>
      </c>
      <c r="E4393" s="3" t="str">
        <f>IF(LEN(Base_Periodo1[[#This Row],[CLASS]])&gt;=7,LEFT(Base_Periodo1[[#This Row],[CLASS]],7),"")</f>
        <v>2.4.1.1</v>
      </c>
      <c r="F4393" s="3" t="str">
        <f>VLOOKUP(Base_Periodo1[[#This Row],[Aux]],Base_Contas_Balanco[#All],2,FALSE)</f>
        <v>Capital Social Realizado</v>
      </c>
      <c r="G4393" s="1"/>
      <c r="H4393" s="225">
        <v>61.019999999999996</v>
      </c>
      <c r="I4393" s="225">
        <v>0</v>
      </c>
      <c r="J4393" s="225">
        <v>0</v>
      </c>
      <c r="K4393" s="225">
        <v>61.019999999999996</v>
      </c>
      <c r="L43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61.02</v>
      </c>
      <c r="M4393" s="225">
        <f>ROUND(IF(AND(Base_Periodo1[[#This Row],[Tipo_Linha]]="-",Base_Periodo1[[#This Row],[TIPOSALDO]]="D"),Base_Periodo1[[#This Row],[SALDO_ATUAL]]*-1,Base_Periodo1[[#This Row],[SALDO_ATUAL]]),4)</f>
        <v>61.02</v>
      </c>
      <c r="N4393" t="s">
        <v>116</v>
      </c>
      <c r="O4393" t="s">
        <v>459</v>
      </c>
      <c r="P4393" t="s">
        <v>459</v>
      </c>
      <c r="Q4393">
        <v>6</v>
      </c>
      <c r="R4393" s="225">
        <f>Base_Periodo1[[#This Row],[CREDITOS]]-Base_Periodo1[[#This Row],[DEBITOS]]</f>
        <v>0</v>
      </c>
      <c r="S4393" s="3" t="str">
        <f>IF(ISERROR(VLOOKUP(Base_Periodo1[[#This Row],[CONTA]],BaseContasDRE[#All],4,FALSE)),"Fora do DRE",VLOOKUP(Base_Periodo1[[#This Row],[CONTA]],BaseContasDRE[#All],4,FALSE))</f>
        <v>Fora do DRE</v>
      </c>
      <c r="T4393" s="3" t="str">
        <f>IF(ISERROR(VLOOKUP(Base_Periodo1[[#This Row],[CONTA]],BaseContasDRE[#All],5,FALSE)),"Fora do DRE",VLOOKUP(Base_Periodo1[[#This Row],[CONTA]],BaseContasDRE[#All],6,FALSE))</f>
        <v>Fora do DRE</v>
      </c>
      <c r="U4393" s="3" t="str">
        <f>IF(ISERROR(VLOOKUP(Base_Periodo1[[#This Row],[CONTA]],BaseContasDRE[#All],7,FALSE)),"Fora do DRE",VLOOKUP(Base_Periodo1[[#This Row],[CONTA]],BaseContasDRE[#All],7,FALSE))</f>
        <v>Fora do DRE</v>
      </c>
      <c r="V4393" s="3" t="str">
        <f>IF(Base_Periodo1[[#This Row],[Tipo_Linha]]="Fora do DRE","Fora do DRE","( "&amp;Base_Periodo1[[#This Row],[Tipo_Linha]]&amp;" ) "&amp;Base_Periodo1[[#This Row],[Filtro]])</f>
        <v>Fora do DRE</v>
      </c>
      <c r="W4393" s="3" t="str">
        <f>LEFT(Base_Periodo1[[#This Row],[CLASS]],3)</f>
        <v>2.4</v>
      </c>
    </row>
    <row r="4394" spans="1:23" hidden="1">
      <c r="A4394" s="3" t="str">
        <f t="shared" si="68"/>
        <v>Período 1</v>
      </c>
      <c r="B4394">
        <v>19253</v>
      </c>
      <c r="C4394" t="s">
        <v>2300</v>
      </c>
      <c r="D4394" t="s">
        <v>2377</v>
      </c>
      <c r="E4394" s="3" t="str">
        <f>IF(LEN(Base_Periodo1[[#This Row],[CLASS]])&gt;=7,LEFT(Base_Periodo1[[#This Row],[CLASS]],7),"")</f>
        <v>2.4.1.1</v>
      </c>
      <c r="F4394" s="3" t="str">
        <f>VLOOKUP(Base_Periodo1[[#This Row],[Aux]],Base_Contas_Balanco[#All],2,FALSE)</f>
        <v>Capital Social Realizado</v>
      </c>
      <c r="G4394" s="1"/>
      <c r="H4394" s="225">
        <v>700.31999999999994</v>
      </c>
      <c r="I4394" s="225">
        <v>0</v>
      </c>
      <c r="J4394" s="225">
        <v>0</v>
      </c>
      <c r="K4394" s="225">
        <v>700.31999999999994</v>
      </c>
      <c r="L43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700.32</v>
      </c>
      <c r="M4394" s="225">
        <f>ROUND(IF(AND(Base_Periodo1[[#This Row],[Tipo_Linha]]="-",Base_Periodo1[[#This Row],[TIPOSALDO]]="D"),Base_Periodo1[[#This Row],[SALDO_ATUAL]]*-1,Base_Periodo1[[#This Row],[SALDO_ATUAL]]),4)</f>
        <v>700.32</v>
      </c>
      <c r="N4394" t="s">
        <v>116</v>
      </c>
      <c r="O4394" t="s">
        <v>459</v>
      </c>
      <c r="P4394" t="s">
        <v>459</v>
      </c>
      <c r="Q4394">
        <v>6</v>
      </c>
      <c r="R4394" s="225">
        <f>Base_Periodo1[[#This Row],[CREDITOS]]-Base_Periodo1[[#This Row],[DEBITOS]]</f>
        <v>0</v>
      </c>
      <c r="S4394" s="3" t="str">
        <f>IF(ISERROR(VLOOKUP(Base_Periodo1[[#This Row],[CONTA]],BaseContasDRE[#All],4,FALSE)),"Fora do DRE",VLOOKUP(Base_Periodo1[[#This Row],[CONTA]],BaseContasDRE[#All],4,FALSE))</f>
        <v>Fora do DRE</v>
      </c>
      <c r="T4394" s="3" t="str">
        <f>IF(ISERROR(VLOOKUP(Base_Periodo1[[#This Row],[CONTA]],BaseContasDRE[#All],5,FALSE)),"Fora do DRE",VLOOKUP(Base_Periodo1[[#This Row],[CONTA]],BaseContasDRE[#All],6,FALSE))</f>
        <v>Fora do DRE</v>
      </c>
      <c r="U4394" s="3" t="str">
        <f>IF(ISERROR(VLOOKUP(Base_Periodo1[[#This Row],[CONTA]],BaseContasDRE[#All],7,FALSE)),"Fora do DRE",VLOOKUP(Base_Periodo1[[#This Row],[CONTA]],BaseContasDRE[#All],7,FALSE))</f>
        <v>Fora do DRE</v>
      </c>
      <c r="V4394" s="3" t="str">
        <f>IF(Base_Periodo1[[#This Row],[Tipo_Linha]]="Fora do DRE","Fora do DRE","( "&amp;Base_Periodo1[[#This Row],[Tipo_Linha]]&amp;" ) "&amp;Base_Periodo1[[#This Row],[Filtro]])</f>
        <v>Fora do DRE</v>
      </c>
      <c r="W4394" s="3" t="str">
        <f>LEFT(Base_Periodo1[[#This Row],[CLASS]],3)</f>
        <v>2.4</v>
      </c>
    </row>
    <row r="4395" spans="1:23" hidden="1">
      <c r="A4395" s="3" t="str">
        <f t="shared" si="68"/>
        <v>Período 1</v>
      </c>
      <c r="B4395">
        <v>16053</v>
      </c>
      <c r="C4395" t="s">
        <v>2300</v>
      </c>
      <c r="D4395" t="s">
        <v>2378</v>
      </c>
      <c r="E4395" s="3" t="str">
        <f>IF(LEN(Base_Periodo1[[#This Row],[CLASS]])&gt;=7,LEFT(Base_Periodo1[[#This Row],[CLASS]],7),"")</f>
        <v>2.4.1.1</v>
      </c>
      <c r="F4395" s="3" t="str">
        <f>VLOOKUP(Base_Periodo1[[#This Row],[Aux]],Base_Contas_Balanco[#All],2,FALSE)</f>
        <v>Capital Social Realizado</v>
      </c>
      <c r="G4395" s="1"/>
      <c r="H4395" s="225">
        <v>1755.5900000000001</v>
      </c>
      <c r="I4395" s="225">
        <v>0</v>
      </c>
      <c r="J4395" s="225">
        <v>0</v>
      </c>
      <c r="K4395" s="225">
        <v>1755.5900000000001</v>
      </c>
      <c r="L43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1755.59</v>
      </c>
      <c r="M4395" s="225">
        <f>ROUND(IF(AND(Base_Periodo1[[#This Row],[Tipo_Linha]]="-",Base_Periodo1[[#This Row],[TIPOSALDO]]="D"),Base_Periodo1[[#This Row],[SALDO_ATUAL]]*-1,Base_Periodo1[[#This Row],[SALDO_ATUAL]]),4)</f>
        <v>1755.59</v>
      </c>
      <c r="N4395" t="s">
        <v>116</v>
      </c>
      <c r="O4395" t="s">
        <v>459</v>
      </c>
      <c r="P4395" t="s">
        <v>459</v>
      </c>
      <c r="Q4395">
        <v>6</v>
      </c>
      <c r="R4395" s="225">
        <f>Base_Periodo1[[#This Row],[CREDITOS]]-Base_Periodo1[[#This Row],[DEBITOS]]</f>
        <v>0</v>
      </c>
      <c r="S4395" s="3" t="str">
        <f>IF(ISERROR(VLOOKUP(Base_Periodo1[[#This Row],[CONTA]],BaseContasDRE[#All],4,FALSE)),"Fora do DRE",VLOOKUP(Base_Periodo1[[#This Row],[CONTA]],BaseContasDRE[#All],4,FALSE))</f>
        <v>Fora do DRE</v>
      </c>
      <c r="T4395" s="3" t="str">
        <f>IF(ISERROR(VLOOKUP(Base_Periodo1[[#This Row],[CONTA]],BaseContasDRE[#All],5,FALSE)),"Fora do DRE",VLOOKUP(Base_Periodo1[[#This Row],[CONTA]],BaseContasDRE[#All],6,FALSE))</f>
        <v>Fora do DRE</v>
      </c>
      <c r="U4395" s="3" t="str">
        <f>IF(ISERROR(VLOOKUP(Base_Periodo1[[#This Row],[CONTA]],BaseContasDRE[#All],7,FALSE)),"Fora do DRE",VLOOKUP(Base_Periodo1[[#This Row],[CONTA]],BaseContasDRE[#All],7,FALSE))</f>
        <v>Fora do DRE</v>
      </c>
      <c r="V4395" s="3" t="str">
        <f>IF(Base_Periodo1[[#This Row],[Tipo_Linha]]="Fora do DRE","Fora do DRE","( "&amp;Base_Periodo1[[#This Row],[Tipo_Linha]]&amp;" ) "&amp;Base_Periodo1[[#This Row],[Filtro]])</f>
        <v>Fora do DRE</v>
      </c>
      <c r="W4395" s="3" t="str">
        <f>LEFT(Base_Periodo1[[#This Row],[CLASS]],3)</f>
        <v>2.4</v>
      </c>
    </row>
    <row r="4396" spans="1:23" hidden="1">
      <c r="A4396" s="3" t="str">
        <f t="shared" si="68"/>
        <v>Período 1</v>
      </c>
      <c r="B4396">
        <v>19282</v>
      </c>
      <c r="C4396" t="s">
        <v>2300</v>
      </c>
      <c r="D4396" t="s">
        <v>2379</v>
      </c>
      <c r="E4396" s="3" t="str">
        <f>IF(LEN(Base_Periodo1[[#This Row],[CLASS]])&gt;=7,LEFT(Base_Periodo1[[#This Row],[CLASS]],7),"")</f>
        <v>2.4.1.1</v>
      </c>
      <c r="F4396" s="3" t="str">
        <f>VLOOKUP(Base_Periodo1[[#This Row],[Aux]],Base_Contas_Balanco[#All],2,FALSE)</f>
        <v>Capital Social Realizado</v>
      </c>
      <c r="G4396" s="1"/>
      <c r="H4396" s="225">
        <v>1074.0500000000002</v>
      </c>
      <c r="I4396" s="225">
        <v>0</v>
      </c>
      <c r="J4396" s="225">
        <v>0</v>
      </c>
      <c r="K4396" s="225">
        <v>1074.0500000000002</v>
      </c>
      <c r="L43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1074.05</v>
      </c>
      <c r="M4396" s="225">
        <f>ROUND(IF(AND(Base_Periodo1[[#This Row],[Tipo_Linha]]="-",Base_Periodo1[[#This Row],[TIPOSALDO]]="D"),Base_Periodo1[[#This Row],[SALDO_ATUAL]]*-1,Base_Periodo1[[#This Row],[SALDO_ATUAL]]),4)</f>
        <v>1074.05</v>
      </c>
      <c r="N4396" t="s">
        <v>116</v>
      </c>
      <c r="O4396" t="s">
        <v>459</v>
      </c>
      <c r="P4396" t="s">
        <v>459</v>
      </c>
      <c r="Q4396">
        <v>6</v>
      </c>
      <c r="R4396" s="225">
        <f>Base_Periodo1[[#This Row],[CREDITOS]]-Base_Periodo1[[#This Row],[DEBITOS]]</f>
        <v>0</v>
      </c>
      <c r="S4396" s="3" t="str">
        <f>IF(ISERROR(VLOOKUP(Base_Periodo1[[#This Row],[CONTA]],BaseContasDRE[#All],4,FALSE)),"Fora do DRE",VLOOKUP(Base_Periodo1[[#This Row],[CONTA]],BaseContasDRE[#All],4,FALSE))</f>
        <v>Fora do DRE</v>
      </c>
      <c r="T4396" s="3" t="str">
        <f>IF(ISERROR(VLOOKUP(Base_Periodo1[[#This Row],[CONTA]],BaseContasDRE[#All],5,FALSE)),"Fora do DRE",VLOOKUP(Base_Periodo1[[#This Row],[CONTA]],BaseContasDRE[#All],6,FALSE))</f>
        <v>Fora do DRE</v>
      </c>
      <c r="U4396" s="3" t="str">
        <f>IF(ISERROR(VLOOKUP(Base_Periodo1[[#This Row],[CONTA]],BaseContasDRE[#All],7,FALSE)),"Fora do DRE",VLOOKUP(Base_Periodo1[[#This Row],[CONTA]],BaseContasDRE[#All],7,FALSE))</f>
        <v>Fora do DRE</v>
      </c>
      <c r="V4396" s="3" t="str">
        <f>IF(Base_Periodo1[[#This Row],[Tipo_Linha]]="Fora do DRE","Fora do DRE","( "&amp;Base_Periodo1[[#This Row],[Tipo_Linha]]&amp;" ) "&amp;Base_Periodo1[[#This Row],[Filtro]])</f>
        <v>Fora do DRE</v>
      </c>
      <c r="W4396" s="3" t="str">
        <f>LEFT(Base_Periodo1[[#This Row],[CLASS]],3)</f>
        <v>2.4</v>
      </c>
    </row>
    <row r="4397" spans="1:23" hidden="1">
      <c r="A4397" s="3" t="str">
        <f t="shared" si="68"/>
        <v>Período 1</v>
      </c>
      <c r="B4397">
        <v>21212</v>
      </c>
      <c r="C4397" t="s">
        <v>2300</v>
      </c>
      <c r="D4397" t="s">
        <v>2380</v>
      </c>
      <c r="E4397" s="3" t="str">
        <f>IF(LEN(Base_Periodo1[[#This Row],[CLASS]])&gt;=7,LEFT(Base_Periodo1[[#This Row],[CLASS]],7),"")</f>
        <v>2.4.1.1</v>
      </c>
      <c r="F4397" s="3" t="str">
        <f>VLOOKUP(Base_Periodo1[[#This Row],[Aux]],Base_Contas_Balanco[#All],2,FALSE)</f>
        <v>Capital Social Realizado</v>
      </c>
      <c r="G4397" s="1"/>
      <c r="H4397" s="225">
        <v>83.47</v>
      </c>
      <c r="I4397" s="225">
        <v>0</v>
      </c>
      <c r="J4397" s="225">
        <v>0</v>
      </c>
      <c r="K4397" s="225">
        <v>83.47</v>
      </c>
      <c r="L43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83.47</v>
      </c>
      <c r="M4397" s="225">
        <f>ROUND(IF(AND(Base_Periodo1[[#This Row],[Tipo_Linha]]="-",Base_Periodo1[[#This Row],[TIPOSALDO]]="D"),Base_Periodo1[[#This Row],[SALDO_ATUAL]]*-1,Base_Periodo1[[#This Row],[SALDO_ATUAL]]),4)</f>
        <v>83.47</v>
      </c>
      <c r="N4397" t="s">
        <v>116</v>
      </c>
      <c r="O4397" t="s">
        <v>459</v>
      </c>
      <c r="P4397" t="s">
        <v>459</v>
      </c>
      <c r="Q4397">
        <v>6</v>
      </c>
      <c r="R4397" s="225">
        <f>Base_Periodo1[[#This Row],[CREDITOS]]-Base_Periodo1[[#This Row],[DEBITOS]]</f>
        <v>0</v>
      </c>
      <c r="S4397" s="3" t="str">
        <f>IF(ISERROR(VLOOKUP(Base_Periodo1[[#This Row],[CONTA]],BaseContasDRE[#All],4,FALSE)),"Fora do DRE",VLOOKUP(Base_Periodo1[[#This Row],[CONTA]],BaseContasDRE[#All],4,FALSE))</f>
        <v>Fora do DRE</v>
      </c>
      <c r="T4397" s="3" t="str">
        <f>IF(ISERROR(VLOOKUP(Base_Periodo1[[#This Row],[CONTA]],BaseContasDRE[#All],5,FALSE)),"Fora do DRE",VLOOKUP(Base_Periodo1[[#This Row],[CONTA]],BaseContasDRE[#All],6,FALSE))</f>
        <v>Fora do DRE</v>
      </c>
      <c r="U4397" s="3" t="str">
        <f>IF(ISERROR(VLOOKUP(Base_Periodo1[[#This Row],[CONTA]],BaseContasDRE[#All],7,FALSE)),"Fora do DRE",VLOOKUP(Base_Periodo1[[#This Row],[CONTA]],BaseContasDRE[#All],7,FALSE))</f>
        <v>Fora do DRE</v>
      </c>
      <c r="V4397" s="3" t="str">
        <f>IF(Base_Periodo1[[#This Row],[Tipo_Linha]]="Fora do DRE","Fora do DRE","( "&amp;Base_Periodo1[[#This Row],[Tipo_Linha]]&amp;" ) "&amp;Base_Periodo1[[#This Row],[Filtro]])</f>
        <v>Fora do DRE</v>
      </c>
      <c r="W4397" s="3" t="str">
        <f>LEFT(Base_Periodo1[[#This Row],[CLASS]],3)</f>
        <v>2.4</v>
      </c>
    </row>
    <row r="4398" spans="1:23" hidden="1">
      <c r="A4398" s="3" t="str">
        <f t="shared" si="68"/>
        <v>Período 1</v>
      </c>
      <c r="B4398">
        <v>25500</v>
      </c>
      <c r="C4398" t="s">
        <v>2300</v>
      </c>
      <c r="D4398" t="s">
        <v>2381</v>
      </c>
      <c r="E4398" s="3" t="str">
        <f>IF(LEN(Base_Periodo1[[#This Row],[CLASS]])&gt;=7,LEFT(Base_Periodo1[[#This Row],[CLASS]],7),"")</f>
        <v>2.4.1.1</v>
      </c>
      <c r="F4398" s="3" t="str">
        <f>VLOOKUP(Base_Periodo1[[#This Row],[Aux]],Base_Contas_Balanco[#All],2,FALSE)</f>
        <v>Capital Social Realizado</v>
      </c>
      <c r="G4398" s="1"/>
      <c r="H4398" s="225">
        <v>180.29000000000002</v>
      </c>
      <c r="I4398" s="225">
        <v>0</v>
      </c>
      <c r="J4398" s="225">
        <v>0</v>
      </c>
      <c r="K4398" s="225">
        <v>180.29000000000002</v>
      </c>
      <c r="L43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180.29</v>
      </c>
      <c r="M4398" s="225">
        <f>ROUND(IF(AND(Base_Periodo1[[#This Row],[Tipo_Linha]]="-",Base_Periodo1[[#This Row],[TIPOSALDO]]="D"),Base_Periodo1[[#This Row],[SALDO_ATUAL]]*-1,Base_Periodo1[[#This Row],[SALDO_ATUAL]]),4)</f>
        <v>180.29</v>
      </c>
      <c r="N4398" t="s">
        <v>116</v>
      </c>
      <c r="O4398" t="s">
        <v>459</v>
      </c>
      <c r="P4398" t="s">
        <v>459</v>
      </c>
      <c r="Q4398">
        <v>6</v>
      </c>
      <c r="R4398" s="225">
        <f>Base_Periodo1[[#This Row],[CREDITOS]]-Base_Periodo1[[#This Row],[DEBITOS]]</f>
        <v>0</v>
      </c>
      <c r="S4398" s="3" t="str">
        <f>IF(ISERROR(VLOOKUP(Base_Periodo1[[#This Row],[CONTA]],BaseContasDRE[#All],4,FALSE)),"Fora do DRE",VLOOKUP(Base_Periodo1[[#This Row],[CONTA]],BaseContasDRE[#All],4,FALSE))</f>
        <v>Fora do DRE</v>
      </c>
      <c r="T4398" s="3" t="str">
        <f>IF(ISERROR(VLOOKUP(Base_Periodo1[[#This Row],[CONTA]],BaseContasDRE[#All],5,FALSE)),"Fora do DRE",VLOOKUP(Base_Periodo1[[#This Row],[CONTA]],BaseContasDRE[#All],6,FALSE))</f>
        <v>Fora do DRE</v>
      </c>
      <c r="U4398" s="3" t="str">
        <f>IF(ISERROR(VLOOKUP(Base_Periodo1[[#This Row],[CONTA]],BaseContasDRE[#All],7,FALSE)),"Fora do DRE",VLOOKUP(Base_Periodo1[[#This Row],[CONTA]],BaseContasDRE[#All],7,FALSE))</f>
        <v>Fora do DRE</v>
      </c>
      <c r="V4398" s="3" t="str">
        <f>IF(Base_Periodo1[[#This Row],[Tipo_Linha]]="Fora do DRE","Fora do DRE","( "&amp;Base_Periodo1[[#This Row],[Tipo_Linha]]&amp;" ) "&amp;Base_Periodo1[[#This Row],[Filtro]])</f>
        <v>Fora do DRE</v>
      </c>
      <c r="W4398" s="3" t="str">
        <f>LEFT(Base_Periodo1[[#This Row],[CLASS]],3)</f>
        <v>2.4</v>
      </c>
    </row>
    <row r="4399" spans="1:23" hidden="1">
      <c r="A4399" s="3" t="str">
        <f t="shared" si="68"/>
        <v>Período 1</v>
      </c>
      <c r="B4399">
        <v>16019</v>
      </c>
      <c r="C4399" t="s">
        <v>2300</v>
      </c>
      <c r="D4399" t="s">
        <v>2382</v>
      </c>
      <c r="E4399" s="3" t="str">
        <f>IF(LEN(Base_Periodo1[[#This Row],[CLASS]])&gt;=7,LEFT(Base_Periodo1[[#This Row],[CLASS]],7),"")</f>
        <v>2.4.1.1</v>
      </c>
      <c r="F4399" s="3" t="str">
        <f>VLOOKUP(Base_Periodo1[[#This Row],[Aux]],Base_Contas_Balanco[#All],2,FALSE)</f>
        <v>Capital Social Realizado</v>
      </c>
      <c r="G4399" s="1"/>
      <c r="H4399" s="225">
        <v>5753.24</v>
      </c>
      <c r="I4399" s="225">
        <v>0</v>
      </c>
      <c r="J4399" s="225">
        <v>0</v>
      </c>
      <c r="K4399" s="225">
        <v>5753.24</v>
      </c>
      <c r="L43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5753.24</v>
      </c>
      <c r="M4399" s="225">
        <f>ROUND(IF(AND(Base_Periodo1[[#This Row],[Tipo_Linha]]="-",Base_Periodo1[[#This Row],[TIPOSALDO]]="D"),Base_Periodo1[[#This Row],[SALDO_ATUAL]]*-1,Base_Periodo1[[#This Row],[SALDO_ATUAL]]),4)</f>
        <v>5753.24</v>
      </c>
      <c r="N4399" t="s">
        <v>116</v>
      </c>
      <c r="O4399" t="s">
        <v>459</v>
      </c>
      <c r="P4399" t="s">
        <v>459</v>
      </c>
      <c r="Q4399">
        <v>6</v>
      </c>
      <c r="R4399" s="225">
        <f>Base_Periodo1[[#This Row],[CREDITOS]]-Base_Periodo1[[#This Row],[DEBITOS]]</f>
        <v>0</v>
      </c>
      <c r="S4399" s="3" t="str">
        <f>IF(ISERROR(VLOOKUP(Base_Periodo1[[#This Row],[CONTA]],BaseContasDRE[#All],4,FALSE)),"Fora do DRE",VLOOKUP(Base_Periodo1[[#This Row],[CONTA]],BaseContasDRE[#All],4,FALSE))</f>
        <v>Fora do DRE</v>
      </c>
      <c r="T4399" s="3" t="str">
        <f>IF(ISERROR(VLOOKUP(Base_Periodo1[[#This Row],[CONTA]],BaseContasDRE[#All],5,FALSE)),"Fora do DRE",VLOOKUP(Base_Periodo1[[#This Row],[CONTA]],BaseContasDRE[#All],6,FALSE))</f>
        <v>Fora do DRE</v>
      </c>
      <c r="U4399" s="3" t="str">
        <f>IF(ISERROR(VLOOKUP(Base_Periodo1[[#This Row],[CONTA]],BaseContasDRE[#All],7,FALSE)),"Fora do DRE",VLOOKUP(Base_Periodo1[[#This Row],[CONTA]],BaseContasDRE[#All],7,FALSE))</f>
        <v>Fora do DRE</v>
      </c>
      <c r="V4399" s="3" t="str">
        <f>IF(Base_Periodo1[[#This Row],[Tipo_Linha]]="Fora do DRE","Fora do DRE","( "&amp;Base_Periodo1[[#This Row],[Tipo_Linha]]&amp;" ) "&amp;Base_Periodo1[[#This Row],[Filtro]])</f>
        <v>Fora do DRE</v>
      </c>
      <c r="W4399" s="3" t="str">
        <f>LEFT(Base_Periodo1[[#This Row],[CLASS]],3)</f>
        <v>2.4</v>
      </c>
    </row>
    <row r="4400" spans="1:23" hidden="1">
      <c r="A4400" s="3" t="str">
        <f t="shared" si="68"/>
        <v>Período 1</v>
      </c>
      <c r="B4400">
        <v>26915</v>
      </c>
      <c r="C4400" t="s">
        <v>2300</v>
      </c>
      <c r="D4400" t="s">
        <v>2383</v>
      </c>
      <c r="E4400" s="3" t="str">
        <f>IF(LEN(Base_Periodo1[[#This Row],[CLASS]])&gt;=7,LEFT(Base_Periodo1[[#This Row],[CLASS]],7),"")</f>
        <v>2.4.1.1</v>
      </c>
      <c r="F4400" s="3" t="str">
        <f>VLOOKUP(Base_Periodo1[[#This Row],[Aux]],Base_Contas_Balanco[#All],2,FALSE)</f>
        <v>Capital Social Realizado</v>
      </c>
      <c r="G4400" s="1"/>
      <c r="H4400" s="225">
        <v>147.07</v>
      </c>
      <c r="I4400" s="225">
        <v>0</v>
      </c>
      <c r="J4400" s="225">
        <v>0</v>
      </c>
      <c r="K4400" s="225">
        <v>147.07</v>
      </c>
      <c r="L44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147.07</v>
      </c>
      <c r="M4400" s="225">
        <f>ROUND(IF(AND(Base_Periodo1[[#This Row],[Tipo_Linha]]="-",Base_Periodo1[[#This Row],[TIPOSALDO]]="D"),Base_Periodo1[[#This Row],[SALDO_ATUAL]]*-1,Base_Periodo1[[#This Row],[SALDO_ATUAL]]),4)</f>
        <v>147.07</v>
      </c>
      <c r="N4400" t="s">
        <v>116</v>
      </c>
      <c r="O4400" t="s">
        <v>459</v>
      </c>
      <c r="P4400" t="s">
        <v>459</v>
      </c>
      <c r="Q4400">
        <v>6</v>
      </c>
      <c r="R4400" s="225">
        <f>Base_Periodo1[[#This Row],[CREDITOS]]-Base_Periodo1[[#This Row],[DEBITOS]]</f>
        <v>0</v>
      </c>
      <c r="S4400" s="3" t="str">
        <f>IF(ISERROR(VLOOKUP(Base_Periodo1[[#This Row],[CONTA]],BaseContasDRE[#All],4,FALSE)),"Fora do DRE",VLOOKUP(Base_Periodo1[[#This Row],[CONTA]],BaseContasDRE[#All],4,FALSE))</f>
        <v>Fora do DRE</v>
      </c>
      <c r="T4400" s="3" t="str">
        <f>IF(ISERROR(VLOOKUP(Base_Periodo1[[#This Row],[CONTA]],BaseContasDRE[#All],5,FALSE)),"Fora do DRE",VLOOKUP(Base_Periodo1[[#This Row],[CONTA]],BaseContasDRE[#All],6,FALSE))</f>
        <v>Fora do DRE</v>
      </c>
      <c r="U4400" s="3" t="str">
        <f>IF(ISERROR(VLOOKUP(Base_Periodo1[[#This Row],[CONTA]],BaseContasDRE[#All],7,FALSE)),"Fora do DRE",VLOOKUP(Base_Periodo1[[#This Row],[CONTA]],BaseContasDRE[#All],7,FALSE))</f>
        <v>Fora do DRE</v>
      </c>
      <c r="V4400" s="3" t="str">
        <f>IF(Base_Periodo1[[#This Row],[Tipo_Linha]]="Fora do DRE","Fora do DRE","( "&amp;Base_Periodo1[[#This Row],[Tipo_Linha]]&amp;" ) "&amp;Base_Periodo1[[#This Row],[Filtro]])</f>
        <v>Fora do DRE</v>
      </c>
      <c r="W4400" s="3" t="str">
        <f>LEFT(Base_Periodo1[[#This Row],[CLASS]],3)</f>
        <v>2.4</v>
      </c>
    </row>
    <row r="4401" spans="1:23" hidden="1">
      <c r="A4401" s="3" t="str">
        <f t="shared" si="68"/>
        <v>Período 1</v>
      </c>
      <c r="B4401">
        <v>55110</v>
      </c>
      <c r="C4401" t="s">
        <v>2300</v>
      </c>
      <c r="D4401" t="s">
        <v>5346</v>
      </c>
      <c r="E4401" s="3" t="str">
        <f>IF(LEN(Base_Periodo1[[#This Row],[CLASS]])&gt;=7,LEFT(Base_Periodo1[[#This Row],[CLASS]],7),"")</f>
        <v>2.4.1.1</v>
      </c>
      <c r="F4401" s="3" t="str">
        <f>VLOOKUP(Base_Periodo1[[#This Row],[Aux]],Base_Contas_Balanco[#All],2,FALSE)</f>
        <v>Capital Social Realizado</v>
      </c>
      <c r="G4401" s="1"/>
      <c r="H4401" s="225">
        <v>2000</v>
      </c>
      <c r="I4401" s="225">
        <v>0</v>
      </c>
      <c r="J4401" s="225">
        <v>0</v>
      </c>
      <c r="K4401" s="225">
        <v>2000</v>
      </c>
      <c r="L44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2000</v>
      </c>
      <c r="M4401" s="225">
        <f>ROUND(IF(AND(Base_Periodo1[[#This Row],[Tipo_Linha]]="-",Base_Periodo1[[#This Row],[TIPOSALDO]]="D"),Base_Periodo1[[#This Row],[SALDO_ATUAL]]*-1,Base_Periodo1[[#This Row],[SALDO_ATUAL]]),4)</f>
        <v>2000</v>
      </c>
      <c r="N4401" t="s">
        <v>116</v>
      </c>
      <c r="O4401" t="s">
        <v>459</v>
      </c>
      <c r="P4401" t="s">
        <v>459</v>
      </c>
      <c r="Q4401">
        <v>6</v>
      </c>
      <c r="R4401" s="225">
        <f>Base_Periodo1[[#This Row],[CREDITOS]]-Base_Periodo1[[#This Row],[DEBITOS]]</f>
        <v>0</v>
      </c>
      <c r="S4401" s="3" t="str">
        <f>IF(ISERROR(VLOOKUP(Base_Periodo1[[#This Row],[CONTA]],BaseContasDRE[#All],4,FALSE)),"Fora do DRE",VLOOKUP(Base_Periodo1[[#This Row],[CONTA]],BaseContasDRE[#All],4,FALSE))</f>
        <v>Fora do DRE</v>
      </c>
      <c r="T4401" s="3" t="str">
        <f>IF(ISERROR(VLOOKUP(Base_Periodo1[[#This Row],[CONTA]],BaseContasDRE[#All],5,FALSE)),"Fora do DRE",VLOOKUP(Base_Periodo1[[#This Row],[CONTA]],BaseContasDRE[#All],6,FALSE))</f>
        <v>Fora do DRE</v>
      </c>
      <c r="U4401" s="3" t="str">
        <f>IF(ISERROR(VLOOKUP(Base_Periodo1[[#This Row],[CONTA]],BaseContasDRE[#All],7,FALSE)),"Fora do DRE",VLOOKUP(Base_Periodo1[[#This Row],[CONTA]],BaseContasDRE[#All],7,FALSE))</f>
        <v>Fora do DRE</v>
      </c>
      <c r="V4401" s="3" t="str">
        <f>IF(Base_Periodo1[[#This Row],[Tipo_Linha]]="Fora do DRE","Fora do DRE","( "&amp;Base_Periodo1[[#This Row],[Tipo_Linha]]&amp;" ) "&amp;Base_Periodo1[[#This Row],[Filtro]])</f>
        <v>Fora do DRE</v>
      </c>
      <c r="W4401" s="3" t="str">
        <f>LEFT(Base_Periodo1[[#This Row],[CLASS]],3)</f>
        <v>2.4</v>
      </c>
    </row>
    <row r="4402" spans="1:23" hidden="1">
      <c r="A4402" s="3" t="str">
        <f t="shared" si="68"/>
        <v>Período 1</v>
      </c>
      <c r="B4402">
        <v>37801</v>
      </c>
      <c r="C4402" t="s">
        <v>2300</v>
      </c>
      <c r="D4402" t="s">
        <v>2384</v>
      </c>
      <c r="E4402" s="3" t="str">
        <f>IF(LEN(Base_Periodo1[[#This Row],[CLASS]])&gt;=7,LEFT(Base_Periodo1[[#This Row],[CLASS]],7),"")</f>
        <v>2.4.1.1</v>
      </c>
      <c r="F4402" s="3" t="str">
        <f>VLOOKUP(Base_Periodo1[[#This Row],[Aux]],Base_Contas_Balanco[#All],2,FALSE)</f>
        <v>Capital Social Realizado</v>
      </c>
      <c r="G4402" s="1"/>
      <c r="H4402" s="225">
        <v>476.66</v>
      </c>
      <c r="I4402" s="225">
        <v>0</v>
      </c>
      <c r="J4402" s="225">
        <v>0</v>
      </c>
      <c r="K4402" s="225">
        <v>476.66</v>
      </c>
      <c r="L44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476.66</v>
      </c>
      <c r="M4402" s="225">
        <f>ROUND(IF(AND(Base_Periodo1[[#This Row],[Tipo_Linha]]="-",Base_Periodo1[[#This Row],[TIPOSALDO]]="D"),Base_Periodo1[[#This Row],[SALDO_ATUAL]]*-1,Base_Periodo1[[#This Row],[SALDO_ATUAL]]),4)</f>
        <v>476.66</v>
      </c>
      <c r="N4402" t="s">
        <v>116</v>
      </c>
      <c r="O4402" t="s">
        <v>459</v>
      </c>
      <c r="P4402" t="s">
        <v>459</v>
      </c>
      <c r="Q4402">
        <v>6</v>
      </c>
      <c r="R4402" s="225">
        <f>Base_Periodo1[[#This Row],[CREDITOS]]-Base_Periodo1[[#This Row],[DEBITOS]]</f>
        <v>0</v>
      </c>
      <c r="S4402" s="3" t="str">
        <f>IF(ISERROR(VLOOKUP(Base_Periodo1[[#This Row],[CONTA]],BaseContasDRE[#All],4,FALSE)),"Fora do DRE",VLOOKUP(Base_Periodo1[[#This Row],[CONTA]],BaseContasDRE[#All],4,FALSE))</f>
        <v>Fora do DRE</v>
      </c>
      <c r="T4402" s="3" t="str">
        <f>IF(ISERROR(VLOOKUP(Base_Periodo1[[#This Row],[CONTA]],BaseContasDRE[#All],5,FALSE)),"Fora do DRE",VLOOKUP(Base_Periodo1[[#This Row],[CONTA]],BaseContasDRE[#All],6,FALSE))</f>
        <v>Fora do DRE</v>
      </c>
      <c r="U4402" s="3" t="str">
        <f>IF(ISERROR(VLOOKUP(Base_Periodo1[[#This Row],[CONTA]],BaseContasDRE[#All],7,FALSE)),"Fora do DRE",VLOOKUP(Base_Periodo1[[#This Row],[CONTA]],BaseContasDRE[#All],7,FALSE))</f>
        <v>Fora do DRE</v>
      </c>
      <c r="V4402" s="3" t="str">
        <f>IF(Base_Periodo1[[#This Row],[Tipo_Linha]]="Fora do DRE","Fora do DRE","( "&amp;Base_Periodo1[[#This Row],[Tipo_Linha]]&amp;" ) "&amp;Base_Periodo1[[#This Row],[Filtro]])</f>
        <v>Fora do DRE</v>
      </c>
      <c r="W4402" s="3" t="str">
        <f>LEFT(Base_Periodo1[[#This Row],[CLASS]],3)</f>
        <v>2.4</v>
      </c>
    </row>
    <row r="4403" spans="1:23" hidden="1">
      <c r="A4403" s="3" t="str">
        <f t="shared" si="68"/>
        <v>Período 1</v>
      </c>
      <c r="B4403">
        <v>36189</v>
      </c>
      <c r="C4403" t="s">
        <v>2300</v>
      </c>
      <c r="D4403" t="s">
        <v>2385</v>
      </c>
      <c r="E4403" s="3" t="str">
        <f>IF(LEN(Base_Periodo1[[#This Row],[CLASS]])&gt;=7,LEFT(Base_Periodo1[[#This Row],[CLASS]],7),"")</f>
        <v>2.4.1.1</v>
      </c>
      <c r="F4403" s="3" t="str">
        <f>VLOOKUP(Base_Periodo1[[#This Row],[Aux]],Base_Contas_Balanco[#All],2,FALSE)</f>
        <v>Capital Social Realizado</v>
      </c>
      <c r="G4403" s="1"/>
      <c r="H4403" s="225">
        <v>472.57</v>
      </c>
      <c r="I4403" s="225">
        <v>0</v>
      </c>
      <c r="J4403" s="225">
        <v>0</v>
      </c>
      <c r="K4403" s="225">
        <v>472.57</v>
      </c>
      <c r="L44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472.57</v>
      </c>
      <c r="M4403" s="225">
        <f>ROUND(IF(AND(Base_Periodo1[[#This Row],[Tipo_Linha]]="-",Base_Periodo1[[#This Row],[TIPOSALDO]]="D"),Base_Periodo1[[#This Row],[SALDO_ATUAL]]*-1,Base_Periodo1[[#This Row],[SALDO_ATUAL]]),4)</f>
        <v>472.57</v>
      </c>
      <c r="N4403" t="s">
        <v>116</v>
      </c>
      <c r="O4403" t="s">
        <v>459</v>
      </c>
      <c r="P4403" t="s">
        <v>459</v>
      </c>
      <c r="Q4403">
        <v>6</v>
      </c>
      <c r="R4403" s="225">
        <f>Base_Periodo1[[#This Row],[CREDITOS]]-Base_Periodo1[[#This Row],[DEBITOS]]</f>
        <v>0</v>
      </c>
      <c r="S4403" s="3" t="str">
        <f>IF(ISERROR(VLOOKUP(Base_Periodo1[[#This Row],[CONTA]],BaseContasDRE[#All],4,FALSE)),"Fora do DRE",VLOOKUP(Base_Periodo1[[#This Row],[CONTA]],BaseContasDRE[#All],4,FALSE))</f>
        <v>Fora do DRE</v>
      </c>
      <c r="T4403" s="3" t="str">
        <f>IF(ISERROR(VLOOKUP(Base_Periodo1[[#This Row],[CONTA]],BaseContasDRE[#All],5,FALSE)),"Fora do DRE",VLOOKUP(Base_Periodo1[[#This Row],[CONTA]],BaseContasDRE[#All],6,FALSE))</f>
        <v>Fora do DRE</v>
      </c>
      <c r="U4403" s="3" t="str">
        <f>IF(ISERROR(VLOOKUP(Base_Periodo1[[#This Row],[CONTA]],BaseContasDRE[#All],7,FALSE)),"Fora do DRE",VLOOKUP(Base_Periodo1[[#This Row],[CONTA]],BaseContasDRE[#All],7,FALSE))</f>
        <v>Fora do DRE</v>
      </c>
      <c r="V4403" s="3" t="str">
        <f>IF(Base_Periodo1[[#This Row],[Tipo_Linha]]="Fora do DRE","Fora do DRE","( "&amp;Base_Periodo1[[#This Row],[Tipo_Linha]]&amp;" ) "&amp;Base_Periodo1[[#This Row],[Filtro]])</f>
        <v>Fora do DRE</v>
      </c>
      <c r="W4403" s="3" t="str">
        <f>LEFT(Base_Periodo1[[#This Row],[CLASS]],3)</f>
        <v>2.4</v>
      </c>
    </row>
    <row r="4404" spans="1:23" hidden="1">
      <c r="A4404" s="3" t="str">
        <f t="shared" si="68"/>
        <v>Período 1</v>
      </c>
      <c r="B4404">
        <v>47164</v>
      </c>
      <c r="C4404" t="s">
        <v>2300</v>
      </c>
      <c r="D4404" t="s">
        <v>2386</v>
      </c>
      <c r="E4404" s="3" t="str">
        <f>IF(LEN(Base_Periodo1[[#This Row],[CLASS]])&gt;=7,LEFT(Base_Periodo1[[#This Row],[CLASS]],7),"")</f>
        <v>2.4.1.1</v>
      </c>
      <c r="F4404" s="3" t="str">
        <f>VLOOKUP(Base_Periodo1[[#This Row],[Aux]],Base_Contas_Balanco[#All],2,FALSE)</f>
        <v>Capital Social Realizado</v>
      </c>
      <c r="G4404" s="1"/>
      <c r="H4404" s="225">
        <v>263.88</v>
      </c>
      <c r="I4404" s="225">
        <v>0</v>
      </c>
      <c r="J4404" s="225">
        <v>0</v>
      </c>
      <c r="K4404" s="225">
        <v>263.88</v>
      </c>
      <c r="L44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263.88</v>
      </c>
      <c r="M4404" s="225">
        <f>ROUND(IF(AND(Base_Periodo1[[#This Row],[Tipo_Linha]]="-",Base_Periodo1[[#This Row],[TIPOSALDO]]="D"),Base_Periodo1[[#This Row],[SALDO_ATUAL]]*-1,Base_Periodo1[[#This Row],[SALDO_ATUAL]]),4)</f>
        <v>263.88</v>
      </c>
      <c r="N4404" t="s">
        <v>116</v>
      </c>
      <c r="O4404" t="s">
        <v>459</v>
      </c>
      <c r="P4404" t="s">
        <v>459</v>
      </c>
      <c r="Q4404">
        <v>6</v>
      </c>
      <c r="R4404" s="225">
        <f>Base_Periodo1[[#This Row],[CREDITOS]]-Base_Periodo1[[#This Row],[DEBITOS]]</f>
        <v>0</v>
      </c>
      <c r="S4404" s="3" t="str">
        <f>IF(ISERROR(VLOOKUP(Base_Periodo1[[#This Row],[CONTA]],BaseContasDRE[#All],4,FALSE)),"Fora do DRE",VLOOKUP(Base_Periodo1[[#This Row],[CONTA]],BaseContasDRE[#All],4,FALSE))</f>
        <v>Fora do DRE</v>
      </c>
      <c r="T4404" s="3" t="str">
        <f>IF(ISERROR(VLOOKUP(Base_Periodo1[[#This Row],[CONTA]],BaseContasDRE[#All],5,FALSE)),"Fora do DRE",VLOOKUP(Base_Periodo1[[#This Row],[CONTA]],BaseContasDRE[#All],6,FALSE))</f>
        <v>Fora do DRE</v>
      </c>
      <c r="U4404" s="3" t="str">
        <f>IF(ISERROR(VLOOKUP(Base_Periodo1[[#This Row],[CONTA]],BaseContasDRE[#All],7,FALSE)),"Fora do DRE",VLOOKUP(Base_Periodo1[[#This Row],[CONTA]],BaseContasDRE[#All],7,FALSE))</f>
        <v>Fora do DRE</v>
      </c>
      <c r="V4404" s="3" t="str">
        <f>IF(Base_Periodo1[[#This Row],[Tipo_Linha]]="Fora do DRE","Fora do DRE","( "&amp;Base_Periodo1[[#This Row],[Tipo_Linha]]&amp;" ) "&amp;Base_Periodo1[[#This Row],[Filtro]])</f>
        <v>Fora do DRE</v>
      </c>
      <c r="W4404" s="3" t="str">
        <f>LEFT(Base_Periodo1[[#This Row],[CLASS]],3)</f>
        <v>2.4</v>
      </c>
    </row>
    <row r="4405" spans="1:23" hidden="1">
      <c r="A4405" s="3" t="str">
        <f t="shared" si="68"/>
        <v>Período 1</v>
      </c>
      <c r="B4405">
        <v>47555</v>
      </c>
      <c r="C4405" t="s">
        <v>2300</v>
      </c>
      <c r="D4405" t="s">
        <v>2387</v>
      </c>
      <c r="E4405" s="3" t="str">
        <f>IF(LEN(Base_Periodo1[[#This Row],[CLASS]])&gt;=7,LEFT(Base_Periodo1[[#This Row],[CLASS]],7),"")</f>
        <v>2.4.1.1</v>
      </c>
      <c r="F4405" s="3" t="str">
        <f>VLOOKUP(Base_Periodo1[[#This Row],[Aux]],Base_Contas_Balanco[#All],2,FALSE)</f>
        <v>Capital Social Realizado</v>
      </c>
      <c r="G4405" s="1"/>
      <c r="H4405" s="225">
        <v>105.1</v>
      </c>
      <c r="I4405" s="225">
        <v>0</v>
      </c>
      <c r="J4405" s="225">
        <v>0</v>
      </c>
      <c r="K4405" s="225">
        <v>105.1</v>
      </c>
      <c r="L44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105.1</v>
      </c>
      <c r="M4405" s="225">
        <f>ROUND(IF(AND(Base_Periodo1[[#This Row],[Tipo_Linha]]="-",Base_Periodo1[[#This Row],[TIPOSALDO]]="D"),Base_Periodo1[[#This Row],[SALDO_ATUAL]]*-1,Base_Periodo1[[#This Row],[SALDO_ATUAL]]),4)</f>
        <v>105.1</v>
      </c>
      <c r="N4405" t="s">
        <v>116</v>
      </c>
      <c r="O4405" t="s">
        <v>459</v>
      </c>
      <c r="P4405" t="s">
        <v>459</v>
      </c>
      <c r="Q4405">
        <v>6</v>
      </c>
      <c r="R4405" s="225">
        <f>Base_Periodo1[[#This Row],[CREDITOS]]-Base_Periodo1[[#This Row],[DEBITOS]]</f>
        <v>0</v>
      </c>
      <c r="S4405" s="3" t="str">
        <f>IF(ISERROR(VLOOKUP(Base_Periodo1[[#This Row],[CONTA]],BaseContasDRE[#All],4,FALSE)),"Fora do DRE",VLOOKUP(Base_Periodo1[[#This Row],[CONTA]],BaseContasDRE[#All],4,FALSE))</f>
        <v>Fora do DRE</v>
      </c>
      <c r="T4405" s="3" t="str">
        <f>IF(ISERROR(VLOOKUP(Base_Periodo1[[#This Row],[CONTA]],BaseContasDRE[#All],5,FALSE)),"Fora do DRE",VLOOKUP(Base_Periodo1[[#This Row],[CONTA]],BaseContasDRE[#All],6,FALSE))</f>
        <v>Fora do DRE</v>
      </c>
      <c r="U4405" s="3" t="str">
        <f>IF(ISERROR(VLOOKUP(Base_Periodo1[[#This Row],[CONTA]],BaseContasDRE[#All],7,FALSE)),"Fora do DRE",VLOOKUP(Base_Periodo1[[#This Row],[CONTA]],BaseContasDRE[#All],7,FALSE))</f>
        <v>Fora do DRE</v>
      </c>
      <c r="V4405" s="3" t="str">
        <f>IF(Base_Periodo1[[#This Row],[Tipo_Linha]]="Fora do DRE","Fora do DRE","( "&amp;Base_Periodo1[[#This Row],[Tipo_Linha]]&amp;" ) "&amp;Base_Periodo1[[#This Row],[Filtro]])</f>
        <v>Fora do DRE</v>
      </c>
      <c r="W4405" s="3" t="str">
        <f>LEFT(Base_Periodo1[[#This Row],[CLASS]],3)</f>
        <v>2.4</v>
      </c>
    </row>
    <row r="4406" spans="1:23" hidden="1">
      <c r="A4406" s="3" t="str">
        <f t="shared" si="68"/>
        <v>Período 1</v>
      </c>
      <c r="B4406">
        <v>16406</v>
      </c>
      <c r="C4406" t="s">
        <v>2300</v>
      </c>
      <c r="D4406" t="s">
        <v>2388</v>
      </c>
      <c r="E4406" s="3" t="str">
        <f>IF(LEN(Base_Periodo1[[#This Row],[CLASS]])&gt;=7,LEFT(Base_Periodo1[[#This Row],[CLASS]],7),"")</f>
        <v>2.4.1.1</v>
      </c>
      <c r="F4406" s="3" t="str">
        <f>VLOOKUP(Base_Periodo1[[#This Row],[Aux]],Base_Contas_Balanco[#All],2,FALSE)</f>
        <v>Capital Social Realizado</v>
      </c>
      <c r="G4406" s="1"/>
      <c r="H4406" s="225">
        <v>1927.84</v>
      </c>
      <c r="I4406" s="225">
        <v>0</v>
      </c>
      <c r="J4406" s="225">
        <v>0</v>
      </c>
      <c r="K4406" s="225">
        <v>1927.84</v>
      </c>
      <c r="L44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1927.84</v>
      </c>
      <c r="M4406" s="225">
        <f>ROUND(IF(AND(Base_Periodo1[[#This Row],[Tipo_Linha]]="-",Base_Periodo1[[#This Row],[TIPOSALDO]]="D"),Base_Periodo1[[#This Row],[SALDO_ATUAL]]*-1,Base_Periodo1[[#This Row],[SALDO_ATUAL]]),4)</f>
        <v>1927.84</v>
      </c>
      <c r="N4406" t="s">
        <v>116</v>
      </c>
      <c r="O4406" t="s">
        <v>459</v>
      </c>
      <c r="P4406" t="s">
        <v>459</v>
      </c>
      <c r="Q4406">
        <v>6</v>
      </c>
      <c r="R4406" s="225">
        <f>Base_Periodo1[[#This Row],[CREDITOS]]-Base_Periodo1[[#This Row],[DEBITOS]]</f>
        <v>0</v>
      </c>
      <c r="S4406" s="3" t="str">
        <f>IF(ISERROR(VLOOKUP(Base_Periodo1[[#This Row],[CONTA]],BaseContasDRE[#All],4,FALSE)),"Fora do DRE",VLOOKUP(Base_Periodo1[[#This Row],[CONTA]],BaseContasDRE[#All],4,FALSE))</f>
        <v>Fora do DRE</v>
      </c>
      <c r="T4406" s="3" t="str">
        <f>IF(ISERROR(VLOOKUP(Base_Periodo1[[#This Row],[CONTA]],BaseContasDRE[#All],5,FALSE)),"Fora do DRE",VLOOKUP(Base_Periodo1[[#This Row],[CONTA]],BaseContasDRE[#All],6,FALSE))</f>
        <v>Fora do DRE</v>
      </c>
      <c r="U4406" s="3" t="str">
        <f>IF(ISERROR(VLOOKUP(Base_Periodo1[[#This Row],[CONTA]],BaseContasDRE[#All],7,FALSE)),"Fora do DRE",VLOOKUP(Base_Periodo1[[#This Row],[CONTA]],BaseContasDRE[#All],7,FALSE))</f>
        <v>Fora do DRE</v>
      </c>
      <c r="V4406" s="3" t="str">
        <f>IF(Base_Periodo1[[#This Row],[Tipo_Linha]]="Fora do DRE","Fora do DRE","( "&amp;Base_Periodo1[[#This Row],[Tipo_Linha]]&amp;" ) "&amp;Base_Periodo1[[#This Row],[Filtro]])</f>
        <v>Fora do DRE</v>
      </c>
      <c r="W4406" s="3" t="str">
        <f>LEFT(Base_Periodo1[[#This Row],[CLASS]],3)</f>
        <v>2.4</v>
      </c>
    </row>
    <row r="4407" spans="1:23" hidden="1">
      <c r="A4407" s="3" t="str">
        <f t="shared" si="68"/>
        <v>Período 1</v>
      </c>
      <c r="B4407">
        <v>24620</v>
      </c>
      <c r="C4407" t="s">
        <v>2300</v>
      </c>
      <c r="D4407" t="s">
        <v>2389</v>
      </c>
      <c r="E4407" s="3" t="str">
        <f>IF(LEN(Base_Periodo1[[#This Row],[CLASS]])&gt;=7,LEFT(Base_Periodo1[[#This Row],[CLASS]],7),"")</f>
        <v>2.4.1.1</v>
      </c>
      <c r="F4407" s="3" t="str">
        <f>VLOOKUP(Base_Periodo1[[#This Row],[Aux]],Base_Contas_Balanco[#All],2,FALSE)</f>
        <v>Capital Social Realizado</v>
      </c>
      <c r="G4407" s="1"/>
      <c r="H4407" s="225">
        <v>416.63</v>
      </c>
      <c r="I4407" s="225">
        <v>0</v>
      </c>
      <c r="J4407" s="225">
        <v>0</v>
      </c>
      <c r="K4407" s="225">
        <v>416.63</v>
      </c>
      <c r="L44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416.63</v>
      </c>
      <c r="M4407" s="225">
        <f>ROUND(IF(AND(Base_Periodo1[[#This Row],[Tipo_Linha]]="-",Base_Periodo1[[#This Row],[TIPOSALDO]]="D"),Base_Periodo1[[#This Row],[SALDO_ATUAL]]*-1,Base_Periodo1[[#This Row],[SALDO_ATUAL]]),4)</f>
        <v>416.63</v>
      </c>
      <c r="N4407" t="s">
        <v>116</v>
      </c>
      <c r="O4407" t="s">
        <v>459</v>
      </c>
      <c r="P4407" t="s">
        <v>459</v>
      </c>
      <c r="Q4407">
        <v>6</v>
      </c>
      <c r="R4407" s="225">
        <f>Base_Periodo1[[#This Row],[CREDITOS]]-Base_Periodo1[[#This Row],[DEBITOS]]</f>
        <v>0</v>
      </c>
      <c r="S4407" s="3" t="str">
        <f>IF(ISERROR(VLOOKUP(Base_Periodo1[[#This Row],[CONTA]],BaseContasDRE[#All],4,FALSE)),"Fora do DRE",VLOOKUP(Base_Periodo1[[#This Row],[CONTA]],BaseContasDRE[#All],4,FALSE))</f>
        <v>Fora do DRE</v>
      </c>
      <c r="T4407" s="3" t="str">
        <f>IF(ISERROR(VLOOKUP(Base_Periodo1[[#This Row],[CONTA]],BaseContasDRE[#All],5,FALSE)),"Fora do DRE",VLOOKUP(Base_Periodo1[[#This Row],[CONTA]],BaseContasDRE[#All],6,FALSE))</f>
        <v>Fora do DRE</v>
      </c>
      <c r="U4407" s="3" t="str">
        <f>IF(ISERROR(VLOOKUP(Base_Periodo1[[#This Row],[CONTA]],BaseContasDRE[#All],7,FALSE)),"Fora do DRE",VLOOKUP(Base_Periodo1[[#This Row],[CONTA]],BaseContasDRE[#All],7,FALSE))</f>
        <v>Fora do DRE</v>
      </c>
      <c r="V4407" s="3" t="str">
        <f>IF(Base_Periodo1[[#This Row],[Tipo_Linha]]="Fora do DRE","Fora do DRE","( "&amp;Base_Periodo1[[#This Row],[Tipo_Linha]]&amp;" ) "&amp;Base_Periodo1[[#This Row],[Filtro]])</f>
        <v>Fora do DRE</v>
      </c>
      <c r="W4407" s="3" t="str">
        <f>LEFT(Base_Periodo1[[#This Row],[CLASS]],3)</f>
        <v>2.4</v>
      </c>
    </row>
    <row r="4408" spans="1:23" hidden="1">
      <c r="A4408" s="3" t="str">
        <f t="shared" si="68"/>
        <v>Período 1</v>
      </c>
      <c r="B4408">
        <v>25241</v>
      </c>
      <c r="C4408" t="s">
        <v>2300</v>
      </c>
      <c r="D4408" t="s">
        <v>2390</v>
      </c>
      <c r="E4408" s="3" t="str">
        <f>IF(LEN(Base_Periodo1[[#This Row],[CLASS]])&gt;=7,LEFT(Base_Periodo1[[#This Row],[CLASS]],7),"")</f>
        <v>2.4.1.1</v>
      </c>
      <c r="F4408" s="3" t="str">
        <f>VLOOKUP(Base_Periodo1[[#This Row],[Aux]],Base_Contas_Balanco[#All],2,FALSE)</f>
        <v>Capital Social Realizado</v>
      </c>
      <c r="G4408" s="1"/>
      <c r="H4408" s="225">
        <v>1631.3400000000001</v>
      </c>
      <c r="I4408" s="225">
        <v>0</v>
      </c>
      <c r="J4408" s="225">
        <v>0</v>
      </c>
      <c r="K4408" s="225">
        <v>1631.3400000000001</v>
      </c>
      <c r="L44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1631.34</v>
      </c>
      <c r="M4408" s="225">
        <f>ROUND(IF(AND(Base_Periodo1[[#This Row],[Tipo_Linha]]="-",Base_Periodo1[[#This Row],[TIPOSALDO]]="D"),Base_Periodo1[[#This Row],[SALDO_ATUAL]]*-1,Base_Periodo1[[#This Row],[SALDO_ATUAL]]),4)</f>
        <v>1631.34</v>
      </c>
      <c r="N4408" t="s">
        <v>116</v>
      </c>
      <c r="O4408" t="s">
        <v>459</v>
      </c>
      <c r="P4408" t="s">
        <v>459</v>
      </c>
      <c r="Q4408">
        <v>6</v>
      </c>
      <c r="R4408" s="225">
        <f>Base_Periodo1[[#This Row],[CREDITOS]]-Base_Periodo1[[#This Row],[DEBITOS]]</f>
        <v>0</v>
      </c>
      <c r="S4408" s="3" t="str">
        <f>IF(ISERROR(VLOOKUP(Base_Periodo1[[#This Row],[CONTA]],BaseContasDRE[#All],4,FALSE)),"Fora do DRE",VLOOKUP(Base_Periodo1[[#This Row],[CONTA]],BaseContasDRE[#All],4,FALSE))</f>
        <v>Fora do DRE</v>
      </c>
      <c r="T4408" s="3" t="str">
        <f>IF(ISERROR(VLOOKUP(Base_Periodo1[[#This Row],[CONTA]],BaseContasDRE[#All],5,FALSE)),"Fora do DRE",VLOOKUP(Base_Periodo1[[#This Row],[CONTA]],BaseContasDRE[#All],6,FALSE))</f>
        <v>Fora do DRE</v>
      </c>
      <c r="U4408" s="3" t="str">
        <f>IF(ISERROR(VLOOKUP(Base_Periodo1[[#This Row],[CONTA]],BaseContasDRE[#All],7,FALSE)),"Fora do DRE",VLOOKUP(Base_Periodo1[[#This Row],[CONTA]],BaseContasDRE[#All],7,FALSE))</f>
        <v>Fora do DRE</v>
      </c>
      <c r="V4408" s="3" t="str">
        <f>IF(Base_Periodo1[[#This Row],[Tipo_Linha]]="Fora do DRE","Fora do DRE","( "&amp;Base_Periodo1[[#This Row],[Tipo_Linha]]&amp;" ) "&amp;Base_Periodo1[[#This Row],[Filtro]])</f>
        <v>Fora do DRE</v>
      </c>
      <c r="W4408" s="3" t="str">
        <f>LEFT(Base_Periodo1[[#This Row],[CLASS]],3)</f>
        <v>2.4</v>
      </c>
    </row>
    <row r="4409" spans="1:23" hidden="1">
      <c r="A4409" s="3" t="str">
        <f t="shared" si="68"/>
        <v>Período 1</v>
      </c>
      <c r="B4409">
        <v>39661</v>
      </c>
      <c r="C4409" t="s">
        <v>2300</v>
      </c>
      <c r="D4409" t="s">
        <v>4617</v>
      </c>
      <c r="E4409" s="3" t="str">
        <f>IF(LEN(Base_Periodo1[[#This Row],[CLASS]])&gt;=7,LEFT(Base_Periodo1[[#This Row],[CLASS]],7),"")</f>
        <v>2.4.1.1</v>
      </c>
      <c r="F4409" s="3" t="str">
        <f>VLOOKUP(Base_Periodo1[[#This Row],[Aux]],Base_Contas_Balanco[#All],2,FALSE)</f>
        <v>Capital Social Realizado</v>
      </c>
      <c r="G4409" s="1"/>
      <c r="H4409" s="225">
        <v>75.8</v>
      </c>
      <c r="I4409" s="225">
        <v>0</v>
      </c>
      <c r="J4409" s="225">
        <v>0</v>
      </c>
      <c r="K4409" s="225">
        <v>75.8</v>
      </c>
      <c r="L44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75.8</v>
      </c>
      <c r="M4409" s="225">
        <f>ROUND(IF(AND(Base_Periodo1[[#This Row],[Tipo_Linha]]="-",Base_Periodo1[[#This Row],[TIPOSALDO]]="D"),Base_Periodo1[[#This Row],[SALDO_ATUAL]]*-1,Base_Periodo1[[#This Row],[SALDO_ATUAL]]),4)</f>
        <v>75.8</v>
      </c>
      <c r="N4409" t="s">
        <v>116</v>
      </c>
      <c r="O4409" t="s">
        <v>459</v>
      </c>
      <c r="P4409" t="s">
        <v>459</v>
      </c>
      <c r="Q4409">
        <v>6</v>
      </c>
      <c r="R4409" s="225">
        <f>Base_Periodo1[[#This Row],[CREDITOS]]-Base_Periodo1[[#This Row],[DEBITOS]]</f>
        <v>0</v>
      </c>
      <c r="S4409" s="3" t="str">
        <f>IF(ISERROR(VLOOKUP(Base_Periodo1[[#This Row],[CONTA]],BaseContasDRE[#All],4,FALSE)),"Fora do DRE",VLOOKUP(Base_Periodo1[[#This Row],[CONTA]],BaseContasDRE[#All],4,FALSE))</f>
        <v>Fora do DRE</v>
      </c>
      <c r="T4409" s="3" t="str">
        <f>IF(ISERROR(VLOOKUP(Base_Periodo1[[#This Row],[CONTA]],BaseContasDRE[#All],5,FALSE)),"Fora do DRE",VLOOKUP(Base_Periodo1[[#This Row],[CONTA]],BaseContasDRE[#All],6,FALSE))</f>
        <v>Fora do DRE</v>
      </c>
      <c r="U4409" s="3" t="str">
        <f>IF(ISERROR(VLOOKUP(Base_Periodo1[[#This Row],[CONTA]],BaseContasDRE[#All],7,FALSE)),"Fora do DRE",VLOOKUP(Base_Periodo1[[#This Row],[CONTA]],BaseContasDRE[#All],7,FALSE))</f>
        <v>Fora do DRE</v>
      </c>
      <c r="V4409" s="3" t="str">
        <f>IF(Base_Periodo1[[#This Row],[Tipo_Linha]]="Fora do DRE","Fora do DRE","( "&amp;Base_Periodo1[[#This Row],[Tipo_Linha]]&amp;" ) "&amp;Base_Periodo1[[#This Row],[Filtro]])</f>
        <v>Fora do DRE</v>
      </c>
      <c r="W4409" s="3" t="str">
        <f>LEFT(Base_Periodo1[[#This Row],[CLASS]],3)</f>
        <v>2.4</v>
      </c>
    </row>
    <row r="4410" spans="1:23" hidden="1">
      <c r="A4410" s="3" t="str">
        <f t="shared" si="68"/>
        <v>Período 1</v>
      </c>
      <c r="B4410">
        <v>55115</v>
      </c>
      <c r="C4410" t="s">
        <v>2300</v>
      </c>
      <c r="D4410" t="s">
        <v>5347</v>
      </c>
      <c r="E4410" s="3" t="str">
        <f>IF(LEN(Base_Periodo1[[#This Row],[CLASS]])&gt;=7,LEFT(Base_Periodo1[[#This Row],[CLASS]],7),"")</f>
        <v>2.4.1.1</v>
      </c>
      <c r="F4410" s="3" t="str">
        <f>VLOOKUP(Base_Periodo1[[#This Row],[Aux]],Base_Contas_Balanco[#All],2,FALSE)</f>
        <v>Capital Social Realizado</v>
      </c>
      <c r="G4410" s="1"/>
      <c r="H4410" s="225">
        <v>240</v>
      </c>
      <c r="I4410" s="225">
        <v>0</v>
      </c>
      <c r="J4410" s="225">
        <v>0</v>
      </c>
      <c r="K4410" s="225">
        <v>240</v>
      </c>
      <c r="L44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410" s="225">
        <f>ROUND(IF(AND(Base_Periodo1[[#This Row],[Tipo_Linha]]="-",Base_Periodo1[[#This Row],[TIPOSALDO]]="D"),Base_Periodo1[[#This Row],[SALDO_ATUAL]]*-1,Base_Periodo1[[#This Row],[SALDO_ATUAL]]),4)</f>
        <v>240</v>
      </c>
      <c r="N4410" t="s">
        <v>116</v>
      </c>
      <c r="O4410" t="s">
        <v>459</v>
      </c>
      <c r="P4410" t="s">
        <v>459</v>
      </c>
      <c r="Q4410">
        <v>6</v>
      </c>
      <c r="R4410" s="225">
        <f>Base_Periodo1[[#This Row],[CREDITOS]]-Base_Periodo1[[#This Row],[DEBITOS]]</f>
        <v>0</v>
      </c>
      <c r="S4410" s="3" t="str">
        <f>IF(ISERROR(VLOOKUP(Base_Periodo1[[#This Row],[CONTA]],BaseContasDRE[#All],4,FALSE)),"Fora do DRE",VLOOKUP(Base_Periodo1[[#This Row],[CONTA]],BaseContasDRE[#All],4,FALSE))</f>
        <v>Fora do DRE</v>
      </c>
      <c r="T4410" s="3" t="str">
        <f>IF(ISERROR(VLOOKUP(Base_Periodo1[[#This Row],[CONTA]],BaseContasDRE[#All],5,FALSE)),"Fora do DRE",VLOOKUP(Base_Periodo1[[#This Row],[CONTA]],BaseContasDRE[#All],6,FALSE))</f>
        <v>Fora do DRE</v>
      </c>
      <c r="U4410" s="3" t="str">
        <f>IF(ISERROR(VLOOKUP(Base_Periodo1[[#This Row],[CONTA]],BaseContasDRE[#All],7,FALSE)),"Fora do DRE",VLOOKUP(Base_Periodo1[[#This Row],[CONTA]],BaseContasDRE[#All],7,FALSE))</f>
        <v>Fora do DRE</v>
      </c>
      <c r="V4410" s="3" t="str">
        <f>IF(Base_Periodo1[[#This Row],[Tipo_Linha]]="Fora do DRE","Fora do DRE","( "&amp;Base_Periodo1[[#This Row],[Tipo_Linha]]&amp;" ) "&amp;Base_Periodo1[[#This Row],[Filtro]])</f>
        <v>Fora do DRE</v>
      </c>
      <c r="W4410" s="3" t="str">
        <f>LEFT(Base_Periodo1[[#This Row],[CLASS]],3)</f>
        <v>2.4</v>
      </c>
    </row>
    <row r="4411" spans="1:23" hidden="1">
      <c r="A4411" s="3" t="str">
        <f t="shared" si="68"/>
        <v>Período 1</v>
      </c>
      <c r="B4411">
        <v>25600</v>
      </c>
      <c r="C4411" t="s">
        <v>2300</v>
      </c>
      <c r="D4411" t="s">
        <v>2391</v>
      </c>
      <c r="E4411" s="3" t="str">
        <f>IF(LEN(Base_Periodo1[[#This Row],[CLASS]])&gt;=7,LEFT(Base_Periodo1[[#This Row],[CLASS]],7),"")</f>
        <v>2.4.1.1</v>
      </c>
      <c r="F4411" s="3" t="str">
        <f>VLOOKUP(Base_Periodo1[[#This Row],[Aux]],Base_Contas_Balanco[#All],2,FALSE)</f>
        <v>Capital Social Realizado</v>
      </c>
      <c r="G4411" s="1"/>
      <c r="H4411" s="225">
        <v>50</v>
      </c>
      <c r="I4411" s="225">
        <v>0</v>
      </c>
      <c r="J4411" s="225">
        <v>0</v>
      </c>
      <c r="K4411" s="225">
        <v>50</v>
      </c>
      <c r="L44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411" s="225">
        <f>ROUND(IF(AND(Base_Periodo1[[#This Row],[Tipo_Linha]]="-",Base_Periodo1[[#This Row],[TIPOSALDO]]="D"),Base_Periodo1[[#This Row],[SALDO_ATUAL]]*-1,Base_Periodo1[[#This Row],[SALDO_ATUAL]]),4)</f>
        <v>50</v>
      </c>
      <c r="N4411" t="s">
        <v>116</v>
      </c>
      <c r="O4411" t="s">
        <v>459</v>
      </c>
      <c r="P4411" t="s">
        <v>459</v>
      </c>
      <c r="Q4411">
        <v>6</v>
      </c>
      <c r="R4411" s="225">
        <f>Base_Periodo1[[#This Row],[CREDITOS]]-Base_Periodo1[[#This Row],[DEBITOS]]</f>
        <v>0</v>
      </c>
      <c r="S4411" s="3" t="str">
        <f>IF(ISERROR(VLOOKUP(Base_Periodo1[[#This Row],[CONTA]],BaseContasDRE[#All],4,FALSE)),"Fora do DRE",VLOOKUP(Base_Periodo1[[#This Row],[CONTA]],BaseContasDRE[#All],4,FALSE))</f>
        <v>Fora do DRE</v>
      </c>
      <c r="T4411" s="3" t="str">
        <f>IF(ISERROR(VLOOKUP(Base_Periodo1[[#This Row],[CONTA]],BaseContasDRE[#All],5,FALSE)),"Fora do DRE",VLOOKUP(Base_Periodo1[[#This Row],[CONTA]],BaseContasDRE[#All],6,FALSE))</f>
        <v>Fora do DRE</v>
      </c>
      <c r="U4411" s="3" t="str">
        <f>IF(ISERROR(VLOOKUP(Base_Periodo1[[#This Row],[CONTA]],BaseContasDRE[#All],7,FALSE)),"Fora do DRE",VLOOKUP(Base_Periodo1[[#This Row],[CONTA]],BaseContasDRE[#All],7,FALSE))</f>
        <v>Fora do DRE</v>
      </c>
      <c r="V4411" s="3" t="str">
        <f>IF(Base_Periodo1[[#This Row],[Tipo_Linha]]="Fora do DRE","Fora do DRE","( "&amp;Base_Periodo1[[#This Row],[Tipo_Linha]]&amp;" ) "&amp;Base_Periodo1[[#This Row],[Filtro]])</f>
        <v>Fora do DRE</v>
      </c>
      <c r="W4411" s="3" t="str">
        <f>LEFT(Base_Periodo1[[#This Row],[CLASS]],3)</f>
        <v>2.4</v>
      </c>
    </row>
    <row r="4412" spans="1:23" hidden="1">
      <c r="A4412" s="3" t="str">
        <f t="shared" si="68"/>
        <v>Período 1</v>
      </c>
      <c r="B4412">
        <v>16049</v>
      </c>
      <c r="C4412" t="s">
        <v>2300</v>
      </c>
      <c r="D4412" t="s">
        <v>2392</v>
      </c>
      <c r="E4412" s="3" t="str">
        <f>IF(LEN(Base_Periodo1[[#This Row],[CLASS]])&gt;=7,LEFT(Base_Periodo1[[#This Row],[CLASS]],7),"")</f>
        <v>2.4.1.1</v>
      </c>
      <c r="F4412" s="3" t="str">
        <f>VLOOKUP(Base_Periodo1[[#This Row],[Aux]],Base_Contas_Balanco[#All],2,FALSE)</f>
        <v>Capital Social Realizado</v>
      </c>
      <c r="G4412" s="1"/>
      <c r="H4412" s="225">
        <v>25526.370000000003</v>
      </c>
      <c r="I4412" s="225">
        <v>0</v>
      </c>
      <c r="J4412" s="225">
        <v>0</v>
      </c>
      <c r="K4412" s="225">
        <v>25526.370000000003</v>
      </c>
      <c r="L44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25526.37</v>
      </c>
      <c r="M4412" s="225">
        <f>ROUND(IF(AND(Base_Periodo1[[#This Row],[Tipo_Linha]]="-",Base_Periodo1[[#This Row],[TIPOSALDO]]="D"),Base_Periodo1[[#This Row],[SALDO_ATUAL]]*-1,Base_Periodo1[[#This Row],[SALDO_ATUAL]]),4)</f>
        <v>25526.37</v>
      </c>
      <c r="N4412" t="s">
        <v>116</v>
      </c>
      <c r="O4412" t="s">
        <v>459</v>
      </c>
      <c r="P4412" t="s">
        <v>459</v>
      </c>
      <c r="Q4412">
        <v>6</v>
      </c>
      <c r="R4412" s="225">
        <f>Base_Periodo1[[#This Row],[CREDITOS]]-Base_Periodo1[[#This Row],[DEBITOS]]</f>
        <v>0</v>
      </c>
      <c r="S4412" s="3" t="str">
        <f>IF(ISERROR(VLOOKUP(Base_Periodo1[[#This Row],[CONTA]],BaseContasDRE[#All],4,FALSE)),"Fora do DRE",VLOOKUP(Base_Periodo1[[#This Row],[CONTA]],BaseContasDRE[#All],4,FALSE))</f>
        <v>Fora do DRE</v>
      </c>
      <c r="T4412" s="3" t="str">
        <f>IF(ISERROR(VLOOKUP(Base_Periodo1[[#This Row],[CONTA]],BaseContasDRE[#All],5,FALSE)),"Fora do DRE",VLOOKUP(Base_Periodo1[[#This Row],[CONTA]],BaseContasDRE[#All],6,FALSE))</f>
        <v>Fora do DRE</v>
      </c>
      <c r="U4412" s="3" t="str">
        <f>IF(ISERROR(VLOOKUP(Base_Periodo1[[#This Row],[CONTA]],BaseContasDRE[#All],7,FALSE)),"Fora do DRE",VLOOKUP(Base_Periodo1[[#This Row],[CONTA]],BaseContasDRE[#All],7,FALSE))</f>
        <v>Fora do DRE</v>
      </c>
      <c r="V4412" s="3" t="str">
        <f>IF(Base_Periodo1[[#This Row],[Tipo_Linha]]="Fora do DRE","Fora do DRE","( "&amp;Base_Periodo1[[#This Row],[Tipo_Linha]]&amp;" ) "&amp;Base_Periodo1[[#This Row],[Filtro]])</f>
        <v>Fora do DRE</v>
      </c>
      <c r="W4412" s="3" t="str">
        <f>LEFT(Base_Periodo1[[#This Row],[CLASS]],3)</f>
        <v>2.4</v>
      </c>
    </row>
    <row r="4413" spans="1:23" hidden="1">
      <c r="A4413" s="3" t="str">
        <f t="shared" si="68"/>
        <v>Período 1</v>
      </c>
      <c r="B4413">
        <v>25317</v>
      </c>
      <c r="C4413" t="s">
        <v>2300</v>
      </c>
      <c r="D4413" t="s">
        <v>2393</v>
      </c>
      <c r="E4413" s="3" t="str">
        <f>IF(LEN(Base_Periodo1[[#This Row],[CLASS]])&gt;=7,LEFT(Base_Periodo1[[#This Row],[CLASS]],7),"")</f>
        <v>2.4.1.1</v>
      </c>
      <c r="F4413" s="3" t="str">
        <f>VLOOKUP(Base_Periodo1[[#This Row],[Aux]],Base_Contas_Balanco[#All],2,FALSE)</f>
        <v>Capital Social Realizado</v>
      </c>
      <c r="G4413" s="1"/>
      <c r="H4413" s="225">
        <v>1245.95</v>
      </c>
      <c r="I4413" s="225">
        <v>0</v>
      </c>
      <c r="J4413" s="225">
        <v>0</v>
      </c>
      <c r="K4413" s="225">
        <v>1245.95</v>
      </c>
      <c r="L44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1245.95</v>
      </c>
      <c r="M4413" s="225">
        <f>ROUND(IF(AND(Base_Periodo1[[#This Row],[Tipo_Linha]]="-",Base_Periodo1[[#This Row],[TIPOSALDO]]="D"),Base_Periodo1[[#This Row],[SALDO_ATUAL]]*-1,Base_Periodo1[[#This Row],[SALDO_ATUAL]]),4)</f>
        <v>1245.95</v>
      </c>
      <c r="N4413" t="s">
        <v>116</v>
      </c>
      <c r="O4413" t="s">
        <v>459</v>
      </c>
      <c r="P4413" t="s">
        <v>459</v>
      </c>
      <c r="Q4413">
        <v>6</v>
      </c>
      <c r="R4413" s="225">
        <f>Base_Periodo1[[#This Row],[CREDITOS]]-Base_Periodo1[[#This Row],[DEBITOS]]</f>
        <v>0</v>
      </c>
      <c r="S4413" s="3" t="str">
        <f>IF(ISERROR(VLOOKUP(Base_Periodo1[[#This Row],[CONTA]],BaseContasDRE[#All],4,FALSE)),"Fora do DRE",VLOOKUP(Base_Periodo1[[#This Row],[CONTA]],BaseContasDRE[#All],4,FALSE))</f>
        <v>Fora do DRE</v>
      </c>
      <c r="T4413" s="3" t="str">
        <f>IF(ISERROR(VLOOKUP(Base_Periodo1[[#This Row],[CONTA]],BaseContasDRE[#All],5,FALSE)),"Fora do DRE",VLOOKUP(Base_Periodo1[[#This Row],[CONTA]],BaseContasDRE[#All],6,FALSE))</f>
        <v>Fora do DRE</v>
      </c>
      <c r="U4413" s="3" t="str">
        <f>IF(ISERROR(VLOOKUP(Base_Periodo1[[#This Row],[CONTA]],BaseContasDRE[#All],7,FALSE)),"Fora do DRE",VLOOKUP(Base_Periodo1[[#This Row],[CONTA]],BaseContasDRE[#All],7,FALSE))</f>
        <v>Fora do DRE</v>
      </c>
      <c r="V4413" s="3" t="str">
        <f>IF(Base_Periodo1[[#This Row],[Tipo_Linha]]="Fora do DRE","Fora do DRE","( "&amp;Base_Periodo1[[#This Row],[Tipo_Linha]]&amp;" ) "&amp;Base_Periodo1[[#This Row],[Filtro]])</f>
        <v>Fora do DRE</v>
      </c>
      <c r="W4413" s="3" t="str">
        <f>LEFT(Base_Periodo1[[#This Row],[CLASS]],3)</f>
        <v>2.4</v>
      </c>
    </row>
    <row r="4414" spans="1:23" hidden="1">
      <c r="A4414" s="3" t="str">
        <f t="shared" si="68"/>
        <v>Período 1</v>
      </c>
      <c r="B4414">
        <v>16009</v>
      </c>
      <c r="C4414" t="s">
        <v>2300</v>
      </c>
      <c r="D4414" t="s">
        <v>2394</v>
      </c>
      <c r="E4414" s="3" t="str">
        <f>IF(LEN(Base_Periodo1[[#This Row],[CLASS]])&gt;=7,LEFT(Base_Periodo1[[#This Row],[CLASS]],7),"")</f>
        <v>2.4.1.1</v>
      </c>
      <c r="F4414" s="3" t="str">
        <f>VLOOKUP(Base_Periodo1[[#This Row],[Aux]],Base_Contas_Balanco[#All],2,FALSE)</f>
        <v>Capital Social Realizado</v>
      </c>
      <c r="G4414" s="1"/>
      <c r="H4414" s="225">
        <v>2694.57</v>
      </c>
      <c r="I4414" s="225">
        <v>0</v>
      </c>
      <c r="J4414" s="225">
        <v>0</v>
      </c>
      <c r="K4414" s="225">
        <v>2694.57</v>
      </c>
      <c r="L44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2694.57</v>
      </c>
      <c r="M4414" s="225">
        <f>ROUND(IF(AND(Base_Periodo1[[#This Row],[Tipo_Linha]]="-",Base_Periodo1[[#This Row],[TIPOSALDO]]="D"),Base_Periodo1[[#This Row],[SALDO_ATUAL]]*-1,Base_Periodo1[[#This Row],[SALDO_ATUAL]]),4)</f>
        <v>2694.57</v>
      </c>
      <c r="N4414" t="s">
        <v>116</v>
      </c>
      <c r="O4414" t="s">
        <v>459</v>
      </c>
      <c r="P4414" t="s">
        <v>459</v>
      </c>
      <c r="Q4414">
        <v>6</v>
      </c>
      <c r="R4414" s="225">
        <f>Base_Periodo1[[#This Row],[CREDITOS]]-Base_Periodo1[[#This Row],[DEBITOS]]</f>
        <v>0</v>
      </c>
      <c r="S4414" s="3" t="str">
        <f>IF(ISERROR(VLOOKUP(Base_Periodo1[[#This Row],[CONTA]],BaseContasDRE[#All],4,FALSE)),"Fora do DRE",VLOOKUP(Base_Periodo1[[#This Row],[CONTA]],BaseContasDRE[#All],4,FALSE))</f>
        <v>Fora do DRE</v>
      </c>
      <c r="T4414" s="3" t="str">
        <f>IF(ISERROR(VLOOKUP(Base_Periodo1[[#This Row],[CONTA]],BaseContasDRE[#All],5,FALSE)),"Fora do DRE",VLOOKUP(Base_Periodo1[[#This Row],[CONTA]],BaseContasDRE[#All],6,FALSE))</f>
        <v>Fora do DRE</v>
      </c>
      <c r="U4414" s="3" t="str">
        <f>IF(ISERROR(VLOOKUP(Base_Periodo1[[#This Row],[CONTA]],BaseContasDRE[#All],7,FALSE)),"Fora do DRE",VLOOKUP(Base_Periodo1[[#This Row],[CONTA]],BaseContasDRE[#All],7,FALSE))</f>
        <v>Fora do DRE</v>
      </c>
      <c r="V4414" s="3" t="str">
        <f>IF(Base_Periodo1[[#This Row],[Tipo_Linha]]="Fora do DRE","Fora do DRE","( "&amp;Base_Periodo1[[#This Row],[Tipo_Linha]]&amp;" ) "&amp;Base_Periodo1[[#This Row],[Filtro]])</f>
        <v>Fora do DRE</v>
      </c>
      <c r="W4414" s="3" t="str">
        <f>LEFT(Base_Periodo1[[#This Row],[CLASS]],3)</f>
        <v>2.4</v>
      </c>
    </row>
    <row r="4415" spans="1:23" hidden="1">
      <c r="A4415" s="3" t="str">
        <f t="shared" si="68"/>
        <v>Período 1</v>
      </c>
      <c r="B4415">
        <v>29909</v>
      </c>
      <c r="C4415" t="s">
        <v>2300</v>
      </c>
      <c r="D4415" t="s">
        <v>2395</v>
      </c>
      <c r="E4415" s="3" t="str">
        <f>IF(LEN(Base_Periodo1[[#This Row],[CLASS]])&gt;=7,LEFT(Base_Periodo1[[#This Row],[CLASS]],7),"")</f>
        <v>2.4.1.1</v>
      </c>
      <c r="F4415" s="3" t="str">
        <f>VLOOKUP(Base_Periodo1[[#This Row],[Aux]],Base_Contas_Balanco[#All],2,FALSE)</f>
        <v>Capital Social Realizado</v>
      </c>
      <c r="G4415" s="1"/>
      <c r="H4415" s="225">
        <v>2526.54</v>
      </c>
      <c r="I4415" s="225">
        <v>0</v>
      </c>
      <c r="J4415" s="225">
        <v>0</v>
      </c>
      <c r="K4415" s="225">
        <v>2526.54</v>
      </c>
      <c r="L44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2526.54</v>
      </c>
      <c r="M4415" s="225">
        <f>ROUND(IF(AND(Base_Periodo1[[#This Row],[Tipo_Linha]]="-",Base_Periodo1[[#This Row],[TIPOSALDO]]="D"),Base_Periodo1[[#This Row],[SALDO_ATUAL]]*-1,Base_Periodo1[[#This Row],[SALDO_ATUAL]]),4)</f>
        <v>2526.54</v>
      </c>
      <c r="N4415" t="s">
        <v>116</v>
      </c>
      <c r="O4415" t="s">
        <v>459</v>
      </c>
      <c r="P4415" t="s">
        <v>459</v>
      </c>
      <c r="Q4415">
        <v>6</v>
      </c>
      <c r="R4415" s="225">
        <f>Base_Periodo1[[#This Row],[CREDITOS]]-Base_Periodo1[[#This Row],[DEBITOS]]</f>
        <v>0</v>
      </c>
      <c r="S4415" s="3" t="str">
        <f>IF(ISERROR(VLOOKUP(Base_Periodo1[[#This Row],[CONTA]],BaseContasDRE[#All],4,FALSE)),"Fora do DRE",VLOOKUP(Base_Periodo1[[#This Row],[CONTA]],BaseContasDRE[#All],4,FALSE))</f>
        <v>Fora do DRE</v>
      </c>
      <c r="T4415" s="3" t="str">
        <f>IF(ISERROR(VLOOKUP(Base_Periodo1[[#This Row],[CONTA]],BaseContasDRE[#All],5,FALSE)),"Fora do DRE",VLOOKUP(Base_Periodo1[[#This Row],[CONTA]],BaseContasDRE[#All],6,FALSE))</f>
        <v>Fora do DRE</v>
      </c>
      <c r="U4415" s="3" t="str">
        <f>IF(ISERROR(VLOOKUP(Base_Periodo1[[#This Row],[CONTA]],BaseContasDRE[#All],7,FALSE)),"Fora do DRE",VLOOKUP(Base_Periodo1[[#This Row],[CONTA]],BaseContasDRE[#All],7,FALSE))</f>
        <v>Fora do DRE</v>
      </c>
      <c r="V4415" s="3" t="str">
        <f>IF(Base_Periodo1[[#This Row],[Tipo_Linha]]="Fora do DRE","Fora do DRE","( "&amp;Base_Periodo1[[#This Row],[Tipo_Linha]]&amp;" ) "&amp;Base_Periodo1[[#This Row],[Filtro]])</f>
        <v>Fora do DRE</v>
      </c>
      <c r="W4415" s="3" t="str">
        <f>LEFT(Base_Periodo1[[#This Row],[CLASS]],3)</f>
        <v>2.4</v>
      </c>
    </row>
    <row r="4416" spans="1:23" hidden="1">
      <c r="A4416" s="3" t="str">
        <f t="shared" si="68"/>
        <v>Período 1</v>
      </c>
      <c r="B4416">
        <v>27120</v>
      </c>
      <c r="C4416" t="s">
        <v>2300</v>
      </c>
      <c r="D4416" t="s">
        <v>2396</v>
      </c>
      <c r="E4416" s="3" t="str">
        <f>IF(LEN(Base_Periodo1[[#This Row],[CLASS]])&gt;=7,LEFT(Base_Periodo1[[#This Row],[CLASS]],7),"")</f>
        <v>2.4.1.1</v>
      </c>
      <c r="F4416" s="3" t="str">
        <f>VLOOKUP(Base_Periodo1[[#This Row],[Aux]],Base_Contas_Balanco[#All],2,FALSE)</f>
        <v>Capital Social Realizado</v>
      </c>
      <c r="G4416" s="1">
        <v>42460</v>
      </c>
      <c r="H4416" s="225">
        <v>358.56999999999994</v>
      </c>
      <c r="I4416" s="225">
        <v>0</v>
      </c>
      <c r="J4416" s="225">
        <v>0</v>
      </c>
      <c r="K4416" s="225">
        <v>358.56999999999994</v>
      </c>
      <c r="L44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358.57</v>
      </c>
      <c r="M4416" s="225">
        <f>ROUND(IF(AND(Base_Periodo1[[#This Row],[Tipo_Linha]]="-",Base_Periodo1[[#This Row],[TIPOSALDO]]="D"),Base_Periodo1[[#This Row],[SALDO_ATUAL]]*-1,Base_Periodo1[[#This Row],[SALDO_ATUAL]]),4)</f>
        <v>358.57</v>
      </c>
      <c r="N4416" t="s">
        <v>116</v>
      </c>
      <c r="O4416" t="s">
        <v>459</v>
      </c>
      <c r="P4416" t="s">
        <v>459</v>
      </c>
      <c r="Q4416">
        <v>6</v>
      </c>
      <c r="R4416" s="225">
        <f>Base_Periodo1[[#This Row],[CREDITOS]]-Base_Periodo1[[#This Row],[DEBITOS]]</f>
        <v>0</v>
      </c>
      <c r="S4416" s="3" t="str">
        <f>IF(ISERROR(VLOOKUP(Base_Periodo1[[#This Row],[CONTA]],BaseContasDRE[#All],4,FALSE)),"Fora do DRE",VLOOKUP(Base_Periodo1[[#This Row],[CONTA]],BaseContasDRE[#All],4,FALSE))</f>
        <v>Fora do DRE</v>
      </c>
      <c r="T4416" s="3" t="str">
        <f>IF(ISERROR(VLOOKUP(Base_Periodo1[[#This Row],[CONTA]],BaseContasDRE[#All],5,FALSE)),"Fora do DRE",VLOOKUP(Base_Periodo1[[#This Row],[CONTA]],BaseContasDRE[#All],6,FALSE))</f>
        <v>Fora do DRE</v>
      </c>
      <c r="U4416" s="3" t="str">
        <f>IF(ISERROR(VLOOKUP(Base_Periodo1[[#This Row],[CONTA]],BaseContasDRE[#All],7,FALSE)),"Fora do DRE",VLOOKUP(Base_Periodo1[[#This Row],[CONTA]],BaseContasDRE[#All],7,FALSE))</f>
        <v>Fora do DRE</v>
      </c>
      <c r="V4416" s="3" t="str">
        <f>IF(Base_Periodo1[[#This Row],[Tipo_Linha]]="Fora do DRE","Fora do DRE","( "&amp;Base_Periodo1[[#This Row],[Tipo_Linha]]&amp;" ) "&amp;Base_Periodo1[[#This Row],[Filtro]])</f>
        <v>Fora do DRE</v>
      </c>
      <c r="W4416" s="3" t="str">
        <f>LEFT(Base_Periodo1[[#This Row],[CLASS]],3)</f>
        <v>2.4</v>
      </c>
    </row>
    <row r="4417" spans="1:23" hidden="1">
      <c r="A4417" s="3" t="str">
        <f t="shared" si="68"/>
        <v>Período 1</v>
      </c>
      <c r="B4417">
        <v>36245</v>
      </c>
      <c r="C4417" t="s">
        <v>2300</v>
      </c>
      <c r="D4417" t="s">
        <v>2397</v>
      </c>
      <c r="E4417" s="3" t="str">
        <f>IF(LEN(Base_Periodo1[[#This Row],[CLASS]])&gt;=7,LEFT(Base_Periodo1[[#This Row],[CLASS]],7),"")</f>
        <v>2.4.1.1</v>
      </c>
      <c r="F4417" s="3" t="str">
        <f>VLOOKUP(Base_Periodo1[[#This Row],[Aux]],Base_Contas_Balanco[#All],2,FALSE)</f>
        <v>Capital Social Realizado</v>
      </c>
      <c r="G4417" s="1"/>
      <c r="H4417" s="225">
        <v>131.63</v>
      </c>
      <c r="I4417" s="225">
        <v>0</v>
      </c>
      <c r="J4417" s="225">
        <v>0</v>
      </c>
      <c r="K4417" s="225">
        <v>131.63</v>
      </c>
      <c r="L44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131.63</v>
      </c>
      <c r="M4417" s="225">
        <f>ROUND(IF(AND(Base_Periodo1[[#This Row],[Tipo_Linha]]="-",Base_Periodo1[[#This Row],[TIPOSALDO]]="D"),Base_Periodo1[[#This Row],[SALDO_ATUAL]]*-1,Base_Periodo1[[#This Row],[SALDO_ATUAL]]),4)</f>
        <v>131.63</v>
      </c>
      <c r="N4417" t="s">
        <v>116</v>
      </c>
      <c r="O4417" t="s">
        <v>459</v>
      </c>
      <c r="P4417" t="s">
        <v>459</v>
      </c>
      <c r="Q4417">
        <v>6</v>
      </c>
      <c r="R4417" s="225">
        <f>Base_Periodo1[[#This Row],[CREDITOS]]-Base_Periodo1[[#This Row],[DEBITOS]]</f>
        <v>0</v>
      </c>
      <c r="S4417" s="3" t="str">
        <f>IF(ISERROR(VLOOKUP(Base_Periodo1[[#This Row],[CONTA]],BaseContasDRE[#All],4,FALSE)),"Fora do DRE",VLOOKUP(Base_Periodo1[[#This Row],[CONTA]],BaseContasDRE[#All],4,FALSE))</f>
        <v>Fora do DRE</v>
      </c>
      <c r="T4417" s="3" t="str">
        <f>IF(ISERROR(VLOOKUP(Base_Periodo1[[#This Row],[CONTA]],BaseContasDRE[#All],5,FALSE)),"Fora do DRE",VLOOKUP(Base_Periodo1[[#This Row],[CONTA]],BaseContasDRE[#All],6,FALSE))</f>
        <v>Fora do DRE</v>
      </c>
      <c r="U4417" s="3" t="str">
        <f>IF(ISERROR(VLOOKUP(Base_Periodo1[[#This Row],[CONTA]],BaseContasDRE[#All],7,FALSE)),"Fora do DRE",VLOOKUP(Base_Periodo1[[#This Row],[CONTA]],BaseContasDRE[#All],7,FALSE))</f>
        <v>Fora do DRE</v>
      </c>
      <c r="V4417" s="3" t="str">
        <f>IF(Base_Periodo1[[#This Row],[Tipo_Linha]]="Fora do DRE","Fora do DRE","( "&amp;Base_Periodo1[[#This Row],[Tipo_Linha]]&amp;" ) "&amp;Base_Periodo1[[#This Row],[Filtro]])</f>
        <v>Fora do DRE</v>
      </c>
      <c r="W4417" s="3" t="str">
        <f>LEFT(Base_Periodo1[[#This Row],[CLASS]],3)</f>
        <v>2.4</v>
      </c>
    </row>
    <row r="4418" spans="1:23" hidden="1">
      <c r="A4418" s="3" t="str">
        <f t="shared" si="68"/>
        <v>Período 1</v>
      </c>
      <c r="B4418">
        <v>52969</v>
      </c>
      <c r="C4418" t="s">
        <v>2300</v>
      </c>
      <c r="D4418" t="s">
        <v>4882</v>
      </c>
      <c r="E4418" s="3" t="str">
        <f>IF(LEN(Base_Periodo1[[#This Row],[CLASS]])&gt;=7,LEFT(Base_Periodo1[[#This Row],[CLASS]],7),"")</f>
        <v>2.4.1.1</v>
      </c>
      <c r="F4418" s="3" t="str">
        <f>VLOOKUP(Base_Periodo1[[#This Row],[Aux]],Base_Contas_Balanco[#All],2,FALSE)</f>
        <v>Capital Social Realizado</v>
      </c>
      <c r="G4418" s="1"/>
      <c r="H4418" s="225">
        <v>50</v>
      </c>
      <c r="I4418" s="225">
        <v>0</v>
      </c>
      <c r="J4418" s="225">
        <v>0</v>
      </c>
      <c r="K4418" s="225">
        <v>50</v>
      </c>
      <c r="L44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418" s="225">
        <f>ROUND(IF(AND(Base_Periodo1[[#This Row],[Tipo_Linha]]="-",Base_Periodo1[[#This Row],[TIPOSALDO]]="D"),Base_Periodo1[[#This Row],[SALDO_ATUAL]]*-1,Base_Periodo1[[#This Row],[SALDO_ATUAL]]),4)</f>
        <v>50</v>
      </c>
      <c r="N4418" t="s">
        <v>116</v>
      </c>
      <c r="O4418" t="s">
        <v>459</v>
      </c>
      <c r="P4418" t="s">
        <v>459</v>
      </c>
      <c r="Q4418">
        <v>6</v>
      </c>
      <c r="R4418" s="225">
        <f>Base_Periodo1[[#This Row],[CREDITOS]]-Base_Periodo1[[#This Row],[DEBITOS]]</f>
        <v>0</v>
      </c>
      <c r="S4418" s="3" t="str">
        <f>IF(ISERROR(VLOOKUP(Base_Periodo1[[#This Row],[CONTA]],BaseContasDRE[#All],4,FALSE)),"Fora do DRE",VLOOKUP(Base_Periodo1[[#This Row],[CONTA]],BaseContasDRE[#All],4,FALSE))</f>
        <v>Fora do DRE</v>
      </c>
      <c r="T4418" s="3" t="str">
        <f>IF(ISERROR(VLOOKUP(Base_Periodo1[[#This Row],[CONTA]],BaseContasDRE[#All],5,FALSE)),"Fora do DRE",VLOOKUP(Base_Periodo1[[#This Row],[CONTA]],BaseContasDRE[#All],6,FALSE))</f>
        <v>Fora do DRE</v>
      </c>
      <c r="U4418" s="3" t="str">
        <f>IF(ISERROR(VLOOKUP(Base_Periodo1[[#This Row],[CONTA]],BaseContasDRE[#All],7,FALSE)),"Fora do DRE",VLOOKUP(Base_Periodo1[[#This Row],[CONTA]],BaseContasDRE[#All],7,FALSE))</f>
        <v>Fora do DRE</v>
      </c>
      <c r="V4418" s="3" t="str">
        <f>IF(Base_Periodo1[[#This Row],[Tipo_Linha]]="Fora do DRE","Fora do DRE","( "&amp;Base_Periodo1[[#This Row],[Tipo_Linha]]&amp;" ) "&amp;Base_Periodo1[[#This Row],[Filtro]])</f>
        <v>Fora do DRE</v>
      </c>
      <c r="W4418" s="3" t="str">
        <f>LEFT(Base_Periodo1[[#This Row],[CLASS]],3)</f>
        <v>2.4</v>
      </c>
    </row>
    <row r="4419" spans="1:23" hidden="1">
      <c r="A4419" s="3" t="str">
        <f t="shared" si="68"/>
        <v>Período 1</v>
      </c>
      <c r="B4419">
        <v>19750</v>
      </c>
      <c r="C4419" t="s">
        <v>2300</v>
      </c>
      <c r="D4419" t="s">
        <v>2398</v>
      </c>
      <c r="E4419" s="3" t="str">
        <f>IF(LEN(Base_Periodo1[[#This Row],[CLASS]])&gt;=7,LEFT(Base_Periodo1[[#This Row],[CLASS]],7),"")</f>
        <v>2.4.1.1</v>
      </c>
      <c r="F4419" s="3" t="str">
        <f>VLOOKUP(Base_Periodo1[[#This Row],[Aux]],Base_Contas_Balanco[#All],2,FALSE)</f>
        <v>Capital Social Realizado</v>
      </c>
      <c r="G4419" s="1"/>
      <c r="H4419" s="225">
        <v>2122.06</v>
      </c>
      <c r="I4419" s="225">
        <v>0</v>
      </c>
      <c r="J4419" s="225">
        <v>0</v>
      </c>
      <c r="K4419" s="225">
        <v>2122.06</v>
      </c>
      <c r="L44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2122.06</v>
      </c>
      <c r="M4419" s="225">
        <f>ROUND(IF(AND(Base_Periodo1[[#This Row],[Tipo_Linha]]="-",Base_Periodo1[[#This Row],[TIPOSALDO]]="D"),Base_Periodo1[[#This Row],[SALDO_ATUAL]]*-1,Base_Periodo1[[#This Row],[SALDO_ATUAL]]),4)</f>
        <v>2122.06</v>
      </c>
      <c r="N4419" t="s">
        <v>116</v>
      </c>
      <c r="O4419" t="s">
        <v>459</v>
      </c>
      <c r="P4419" t="s">
        <v>459</v>
      </c>
      <c r="Q4419">
        <v>6</v>
      </c>
      <c r="R4419" s="225">
        <f>Base_Periodo1[[#This Row],[CREDITOS]]-Base_Periodo1[[#This Row],[DEBITOS]]</f>
        <v>0</v>
      </c>
      <c r="S4419" s="3" t="str">
        <f>IF(ISERROR(VLOOKUP(Base_Periodo1[[#This Row],[CONTA]],BaseContasDRE[#All],4,FALSE)),"Fora do DRE",VLOOKUP(Base_Periodo1[[#This Row],[CONTA]],BaseContasDRE[#All],4,FALSE))</f>
        <v>Fora do DRE</v>
      </c>
      <c r="T4419" s="3" t="str">
        <f>IF(ISERROR(VLOOKUP(Base_Periodo1[[#This Row],[CONTA]],BaseContasDRE[#All],5,FALSE)),"Fora do DRE",VLOOKUP(Base_Periodo1[[#This Row],[CONTA]],BaseContasDRE[#All],6,FALSE))</f>
        <v>Fora do DRE</v>
      </c>
      <c r="U4419" s="3" t="str">
        <f>IF(ISERROR(VLOOKUP(Base_Periodo1[[#This Row],[CONTA]],BaseContasDRE[#All],7,FALSE)),"Fora do DRE",VLOOKUP(Base_Periodo1[[#This Row],[CONTA]],BaseContasDRE[#All],7,FALSE))</f>
        <v>Fora do DRE</v>
      </c>
      <c r="V4419" s="3" t="str">
        <f>IF(Base_Periodo1[[#This Row],[Tipo_Linha]]="Fora do DRE","Fora do DRE","( "&amp;Base_Periodo1[[#This Row],[Tipo_Linha]]&amp;" ) "&amp;Base_Periodo1[[#This Row],[Filtro]])</f>
        <v>Fora do DRE</v>
      </c>
      <c r="W4419" s="3" t="str">
        <f>LEFT(Base_Periodo1[[#This Row],[CLASS]],3)</f>
        <v>2.4</v>
      </c>
    </row>
    <row r="4420" spans="1:23" hidden="1">
      <c r="A4420" s="3" t="str">
        <f t="shared" si="68"/>
        <v>Período 1</v>
      </c>
      <c r="B4420">
        <v>25711</v>
      </c>
      <c r="C4420" t="s">
        <v>2300</v>
      </c>
      <c r="D4420" t="s">
        <v>2399</v>
      </c>
      <c r="E4420" s="3" t="str">
        <f>IF(LEN(Base_Periodo1[[#This Row],[CLASS]])&gt;=7,LEFT(Base_Periodo1[[#This Row],[CLASS]],7),"")</f>
        <v>2.4.1.1</v>
      </c>
      <c r="F4420" s="3" t="str">
        <f>VLOOKUP(Base_Periodo1[[#This Row],[Aux]],Base_Contas_Balanco[#All],2,FALSE)</f>
        <v>Capital Social Realizado</v>
      </c>
      <c r="G4420" s="1"/>
      <c r="H4420" s="225">
        <v>308.72000000000003</v>
      </c>
      <c r="I4420" s="225">
        <v>0</v>
      </c>
      <c r="J4420" s="225">
        <v>0</v>
      </c>
      <c r="K4420" s="225">
        <v>308.72000000000003</v>
      </c>
      <c r="L44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308.72000000000003</v>
      </c>
      <c r="M4420" s="225">
        <f>ROUND(IF(AND(Base_Periodo1[[#This Row],[Tipo_Linha]]="-",Base_Periodo1[[#This Row],[TIPOSALDO]]="D"),Base_Periodo1[[#This Row],[SALDO_ATUAL]]*-1,Base_Periodo1[[#This Row],[SALDO_ATUAL]]),4)</f>
        <v>308.72000000000003</v>
      </c>
      <c r="N4420" t="s">
        <v>116</v>
      </c>
      <c r="O4420" t="s">
        <v>459</v>
      </c>
      <c r="P4420" t="s">
        <v>459</v>
      </c>
      <c r="Q4420">
        <v>6</v>
      </c>
      <c r="R4420" s="225">
        <f>Base_Periodo1[[#This Row],[CREDITOS]]-Base_Periodo1[[#This Row],[DEBITOS]]</f>
        <v>0</v>
      </c>
      <c r="S4420" s="3" t="str">
        <f>IF(ISERROR(VLOOKUP(Base_Periodo1[[#This Row],[CONTA]],BaseContasDRE[#All],4,FALSE)),"Fora do DRE",VLOOKUP(Base_Periodo1[[#This Row],[CONTA]],BaseContasDRE[#All],4,FALSE))</f>
        <v>Fora do DRE</v>
      </c>
      <c r="T4420" s="3" t="str">
        <f>IF(ISERROR(VLOOKUP(Base_Periodo1[[#This Row],[CONTA]],BaseContasDRE[#All],5,FALSE)),"Fora do DRE",VLOOKUP(Base_Periodo1[[#This Row],[CONTA]],BaseContasDRE[#All],6,FALSE))</f>
        <v>Fora do DRE</v>
      </c>
      <c r="U4420" s="3" t="str">
        <f>IF(ISERROR(VLOOKUP(Base_Periodo1[[#This Row],[CONTA]],BaseContasDRE[#All],7,FALSE)),"Fora do DRE",VLOOKUP(Base_Periodo1[[#This Row],[CONTA]],BaseContasDRE[#All],7,FALSE))</f>
        <v>Fora do DRE</v>
      </c>
      <c r="V4420" s="3" t="str">
        <f>IF(Base_Periodo1[[#This Row],[Tipo_Linha]]="Fora do DRE","Fora do DRE","( "&amp;Base_Periodo1[[#This Row],[Tipo_Linha]]&amp;" ) "&amp;Base_Periodo1[[#This Row],[Filtro]])</f>
        <v>Fora do DRE</v>
      </c>
      <c r="W4420" s="3" t="str">
        <f>LEFT(Base_Periodo1[[#This Row],[CLASS]],3)</f>
        <v>2.4</v>
      </c>
    </row>
    <row r="4421" spans="1:23" hidden="1">
      <c r="A4421" s="3" t="str">
        <f t="shared" si="68"/>
        <v>Período 1</v>
      </c>
      <c r="B4421">
        <v>40571</v>
      </c>
      <c r="C4421" t="s">
        <v>2300</v>
      </c>
      <c r="D4421" t="s">
        <v>2400</v>
      </c>
      <c r="E4421" s="3" t="str">
        <f>IF(LEN(Base_Periodo1[[#This Row],[CLASS]])&gt;=7,LEFT(Base_Periodo1[[#This Row],[CLASS]],7),"")</f>
        <v>2.4.1.1</v>
      </c>
      <c r="F4421" s="3" t="str">
        <f>VLOOKUP(Base_Periodo1[[#This Row],[Aux]],Base_Contas_Balanco[#All],2,FALSE)</f>
        <v>Capital Social Realizado</v>
      </c>
      <c r="G4421" s="1"/>
      <c r="H4421" s="225">
        <v>379.13</v>
      </c>
      <c r="I4421" s="225">
        <v>0</v>
      </c>
      <c r="J4421" s="225">
        <v>0</v>
      </c>
      <c r="K4421" s="225">
        <v>379.13</v>
      </c>
      <c r="L44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379.13</v>
      </c>
      <c r="M4421" s="225">
        <f>ROUND(IF(AND(Base_Periodo1[[#This Row],[Tipo_Linha]]="-",Base_Periodo1[[#This Row],[TIPOSALDO]]="D"),Base_Periodo1[[#This Row],[SALDO_ATUAL]]*-1,Base_Periodo1[[#This Row],[SALDO_ATUAL]]),4)</f>
        <v>379.13</v>
      </c>
      <c r="N4421" t="s">
        <v>116</v>
      </c>
      <c r="O4421" t="s">
        <v>459</v>
      </c>
      <c r="P4421" t="s">
        <v>459</v>
      </c>
      <c r="Q4421">
        <v>6</v>
      </c>
      <c r="R4421" s="225">
        <f>Base_Periodo1[[#This Row],[CREDITOS]]-Base_Periodo1[[#This Row],[DEBITOS]]</f>
        <v>0</v>
      </c>
      <c r="S4421" s="3" t="str">
        <f>IF(ISERROR(VLOOKUP(Base_Periodo1[[#This Row],[CONTA]],BaseContasDRE[#All],4,FALSE)),"Fora do DRE",VLOOKUP(Base_Periodo1[[#This Row],[CONTA]],BaseContasDRE[#All],4,FALSE))</f>
        <v>Fora do DRE</v>
      </c>
      <c r="T4421" s="3" t="str">
        <f>IF(ISERROR(VLOOKUP(Base_Periodo1[[#This Row],[CONTA]],BaseContasDRE[#All],5,FALSE)),"Fora do DRE",VLOOKUP(Base_Periodo1[[#This Row],[CONTA]],BaseContasDRE[#All],6,FALSE))</f>
        <v>Fora do DRE</v>
      </c>
      <c r="U4421" s="3" t="str">
        <f>IF(ISERROR(VLOOKUP(Base_Periodo1[[#This Row],[CONTA]],BaseContasDRE[#All],7,FALSE)),"Fora do DRE",VLOOKUP(Base_Periodo1[[#This Row],[CONTA]],BaseContasDRE[#All],7,FALSE))</f>
        <v>Fora do DRE</v>
      </c>
      <c r="V4421" s="3" t="str">
        <f>IF(Base_Periodo1[[#This Row],[Tipo_Linha]]="Fora do DRE","Fora do DRE","( "&amp;Base_Periodo1[[#This Row],[Tipo_Linha]]&amp;" ) "&amp;Base_Periodo1[[#This Row],[Filtro]])</f>
        <v>Fora do DRE</v>
      </c>
      <c r="W4421" s="3" t="str">
        <f>LEFT(Base_Periodo1[[#This Row],[CLASS]],3)</f>
        <v>2.4</v>
      </c>
    </row>
    <row r="4422" spans="1:23" hidden="1">
      <c r="A4422" s="3" t="str">
        <f t="shared" ref="A4422:A4485" si="69">"Período 1"</f>
        <v>Período 1</v>
      </c>
      <c r="B4422">
        <v>16139</v>
      </c>
      <c r="C4422" t="s">
        <v>2300</v>
      </c>
      <c r="D4422" t="s">
        <v>2401</v>
      </c>
      <c r="E4422" s="3" t="str">
        <f>IF(LEN(Base_Periodo1[[#This Row],[CLASS]])&gt;=7,LEFT(Base_Periodo1[[#This Row],[CLASS]],7),"")</f>
        <v>2.4.1.1</v>
      </c>
      <c r="F4422" s="3" t="str">
        <f>VLOOKUP(Base_Periodo1[[#This Row],[Aux]],Base_Contas_Balanco[#All],2,FALSE)</f>
        <v>Capital Social Realizado</v>
      </c>
      <c r="G4422" s="1"/>
      <c r="H4422" s="225">
        <v>3982.74</v>
      </c>
      <c r="I4422" s="225">
        <v>0</v>
      </c>
      <c r="J4422" s="225">
        <v>0</v>
      </c>
      <c r="K4422" s="225">
        <v>3982.74</v>
      </c>
      <c r="L44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3982.74</v>
      </c>
      <c r="M4422" s="225">
        <f>ROUND(IF(AND(Base_Periodo1[[#This Row],[Tipo_Linha]]="-",Base_Periodo1[[#This Row],[TIPOSALDO]]="D"),Base_Periodo1[[#This Row],[SALDO_ATUAL]]*-1,Base_Periodo1[[#This Row],[SALDO_ATUAL]]),4)</f>
        <v>3982.74</v>
      </c>
      <c r="N4422" t="s">
        <v>116</v>
      </c>
      <c r="O4422" t="s">
        <v>459</v>
      </c>
      <c r="P4422" t="s">
        <v>459</v>
      </c>
      <c r="Q4422">
        <v>6</v>
      </c>
      <c r="R4422" s="225">
        <f>Base_Periodo1[[#This Row],[CREDITOS]]-Base_Periodo1[[#This Row],[DEBITOS]]</f>
        <v>0</v>
      </c>
      <c r="S4422" s="3" t="str">
        <f>IF(ISERROR(VLOOKUP(Base_Periodo1[[#This Row],[CONTA]],BaseContasDRE[#All],4,FALSE)),"Fora do DRE",VLOOKUP(Base_Periodo1[[#This Row],[CONTA]],BaseContasDRE[#All],4,FALSE))</f>
        <v>Fora do DRE</v>
      </c>
      <c r="T4422" s="3" t="str">
        <f>IF(ISERROR(VLOOKUP(Base_Periodo1[[#This Row],[CONTA]],BaseContasDRE[#All],5,FALSE)),"Fora do DRE",VLOOKUP(Base_Periodo1[[#This Row],[CONTA]],BaseContasDRE[#All],6,FALSE))</f>
        <v>Fora do DRE</v>
      </c>
      <c r="U4422" s="3" t="str">
        <f>IF(ISERROR(VLOOKUP(Base_Periodo1[[#This Row],[CONTA]],BaseContasDRE[#All],7,FALSE)),"Fora do DRE",VLOOKUP(Base_Periodo1[[#This Row],[CONTA]],BaseContasDRE[#All],7,FALSE))</f>
        <v>Fora do DRE</v>
      </c>
      <c r="V4422" s="3" t="str">
        <f>IF(Base_Periodo1[[#This Row],[Tipo_Linha]]="Fora do DRE","Fora do DRE","( "&amp;Base_Periodo1[[#This Row],[Tipo_Linha]]&amp;" ) "&amp;Base_Periodo1[[#This Row],[Filtro]])</f>
        <v>Fora do DRE</v>
      </c>
      <c r="W4422" s="3" t="str">
        <f>LEFT(Base_Periodo1[[#This Row],[CLASS]],3)</f>
        <v>2.4</v>
      </c>
    </row>
    <row r="4423" spans="1:23" hidden="1">
      <c r="A4423" s="3" t="str">
        <f t="shared" si="69"/>
        <v>Período 1</v>
      </c>
      <c r="B4423">
        <v>46866</v>
      </c>
      <c r="C4423" t="s">
        <v>2300</v>
      </c>
      <c r="D4423" t="s">
        <v>2402</v>
      </c>
      <c r="E4423" s="3" t="str">
        <f>IF(LEN(Base_Periodo1[[#This Row],[CLASS]])&gt;=7,LEFT(Base_Periodo1[[#This Row],[CLASS]],7),"")</f>
        <v>2.4.1.1</v>
      </c>
      <c r="F4423" s="3" t="str">
        <f>VLOOKUP(Base_Periodo1[[#This Row],[Aux]],Base_Contas_Balanco[#All],2,FALSE)</f>
        <v>Capital Social Realizado</v>
      </c>
      <c r="G4423" s="1"/>
      <c r="H4423" s="225">
        <v>62</v>
      </c>
      <c r="I4423" s="225">
        <v>0</v>
      </c>
      <c r="J4423" s="225">
        <v>0</v>
      </c>
      <c r="K4423" s="225">
        <v>62</v>
      </c>
      <c r="L44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</v>
      </c>
      <c r="M4423" s="225">
        <f>ROUND(IF(AND(Base_Periodo1[[#This Row],[Tipo_Linha]]="-",Base_Periodo1[[#This Row],[TIPOSALDO]]="D"),Base_Periodo1[[#This Row],[SALDO_ATUAL]]*-1,Base_Periodo1[[#This Row],[SALDO_ATUAL]]),4)</f>
        <v>62</v>
      </c>
      <c r="N4423" t="s">
        <v>116</v>
      </c>
      <c r="O4423" t="s">
        <v>459</v>
      </c>
      <c r="P4423" t="s">
        <v>459</v>
      </c>
      <c r="Q4423">
        <v>6</v>
      </c>
      <c r="R4423" s="225">
        <f>Base_Periodo1[[#This Row],[CREDITOS]]-Base_Periodo1[[#This Row],[DEBITOS]]</f>
        <v>0</v>
      </c>
      <c r="S4423" s="3" t="str">
        <f>IF(ISERROR(VLOOKUP(Base_Periodo1[[#This Row],[CONTA]],BaseContasDRE[#All],4,FALSE)),"Fora do DRE",VLOOKUP(Base_Periodo1[[#This Row],[CONTA]],BaseContasDRE[#All],4,FALSE))</f>
        <v>Fora do DRE</v>
      </c>
      <c r="T4423" s="3" t="str">
        <f>IF(ISERROR(VLOOKUP(Base_Periodo1[[#This Row],[CONTA]],BaseContasDRE[#All],5,FALSE)),"Fora do DRE",VLOOKUP(Base_Periodo1[[#This Row],[CONTA]],BaseContasDRE[#All],6,FALSE))</f>
        <v>Fora do DRE</v>
      </c>
      <c r="U4423" s="3" t="str">
        <f>IF(ISERROR(VLOOKUP(Base_Periodo1[[#This Row],[CONTA]],BaseContasDRE[#All],7,FALSE)),"Fora do DRE",VLOOKUP(Base_Periodo1[[#This Row],[CONTA]],BaseContasDRE[#All],7,FALSE))</f>
        <v>Fora do DRE</v>
      </c>
      <c r="V4423" s="3" t="str">
        <f>IF(Base_Periodo1[[#This Row],[Tipo_Linha]]="Fora do DRE","Fora do DRE","( "&amp;Base_Periodo1[[#This Row],[Tipo_Linha]]&amp;" ) "&amp;Base_Periodo1[[#This Row],[Filtro]])</f>
        <v>Fora do DRE</v>
      </c>
      <c r="W4423" s="3" t="str">
        <f>LEFT(Base_Periodo1[[#This Row],[CLASS]],3)</f>
        <v>2.4</v>
      </c>
    </row>
    <row r="4424" spans="1:23" hidden="1">
      <c r="A4424" s="3" t="str">
        <f t="shared" si="69"/>
        <v>Período 1</v>
      </c>
      <c r="B4424">
        <v>30662</v>
      </c>
      <c r="C4424" t="s">
        <v>2300</v>
      </c>
      <c r="D4424" t="s">
        <v>2403</v>
      </c>
      <c r="E4424" s="3" t="str">
        <f>IF(LEN(Base_Periodo1[[#This Row],[CLASS]])&gt;=7,LEFT(Base_Periodo1[[#This Row],[CLASS]],7),"")</f>
        <v>2.4.1.1</v>
      </c>
      <c r="F4424" s="3" t="str">
        <f>VLOOKUP(Base_Periodo1[[#This Row],[Aux]],Base_Contas_Balanco[#All],2,FALSE)</f>
        <v>Capital Social Realizado</v>
      </c>
      <c r="G4424" s="1"/>
      <c r="H4424" s="225">
        <v>50</v>
      </c>
      <c r="I4424" s="225">
        <v>0</v>
      </c>
      <c r="J4424" s="225">
        <v>0</v>
      </c>
      <c r="K4424" s="225">
        <v>50</v>
      </c>
      <c r="L44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424" s="225">
        <f>ROUND(IF(AND(Base_Periodo1[[#This Row],[Tipo_Linha]]="-",Base_Periodo1[[#This Row],[TIPOSALDO]]="D"),Base_Periodo1[[#This Row],[SALDO_ATUAL]]*-1,Base_Periodo1[[#This Row],[SALDO_ATUAL]]),4)</f>
        <v>50</v>
      </c>
      <c r="N4424" t="s">
        <v>116</v>
      </c>
      <c r="O4424" t="s">
        <v>459</v>
      </c>
      <c r="P4424" t="s">
        <v>459</v>
      </c>
      <c r="Q4424">
        <v>6</v>
      </c>
      <c r="R4424" s="225">
        <f>Base_Periodo1[[#This Row],[CREDITOS]]-Base_Periodo1[[#This Row],[DEBITOS]]</f>
        <v>0</v>
      </c>
      <c r="S4424" s="3" t="str">
        <f>IF(ISERROR(VLOOKUP(Base_Periodo1[[#This Row],[CONTA]],BaseContasDRE[#All],4,FALSE)),"Fora do DRE",VLOOKUP(Base_Periodo1[[#This Row],[CONTA]],BaseContasDRE[#All],4,FALSE))</f>
        <v>Fora do DRE</v>
      </c>
      <c r="T4424" s="3" t="str">
        <f>IF(ISERROR(VLOOKUP(Base_Periodo1[[#This Row],[CONTA]],BaseContasDRE[#All],5,FALSE)),"Fora do DRE",VLOOKUP(Base_Periodo1[[#This Row],[CONTA]],BaseContasDRE[#All],6,FALSE))</f>
        <v>Fora do DRE</v>
      </c>
      <c r="U4424" s="3" t="str">
        <f>IF(ISERROR(VLOOKUP(Base_Periodo1[[#This Row],[CONTA]],BaseContasDRE[#All],7,FALSE)),"Fora do DRE",VLOOKUP(Base_Periodo1[[#This Row],[CONTA]],BaseContasDRE[#All],7,FALSE))</f>
        <v>Fora do DRE</v>
      </c>
      <c r="V4424" s="3" t="str">
        <f>IF(Base_Periodo1[[#This Row],[Tipo_Linha]]="Fora do DRE","Fora do DRE","( "&amp;Base_Periodo1[[#This Row],[Tipo_Linha]]&amp;" ) "&amp;Base_Periodo1[[#This Row],[Filtro]])</f>
        <v>Fora do DRE</v>
      </c>
      <c r="W4424" s="3" t="str">
        <f>LEFT(Base_Periodo1[[#This Row],[CLASS]],3)</f>
        <v>2.4</v>
      </c>
    </row>
    <row r="4425" spans="1:23" hidden="1">
      <c r="A4425" s="3" t="str">
        <f t="shared" si="69"/>
        <v>Período 1</v>
      </c>
      <c r="B4425">
        <v>50296</v>
      </c>
      <c r="C4425" t="s">
        <v>2300</v>
      </c>
      <c r="D4425" t="s">
        <v>4372</v>
      </c>
      <c r="E4425" s="3" t="str">
        <f>IF(LEN(Base_Periodo1[[#This Row],[CLASS]])&gt;=7,LEFT(Base_Periodo1[[#This Row],[CLASS]],7),"")</f>
        <v>2.4.1.1</v>
      </c>
      <c r="F4425" s="3" t="str">
        <f>VLOOKUP(Base_Periodo1[[#This Row],[Aux]],Base_Contas_Balanco[#All],2,FALSE)</f>
        <v>Capital Social Realizado</v>
      </c>
      <c r="G4425" s="1"/>
      <c r="H4425" s="225">
        <v>240</v>
      </c>
      <c r="I4425" s="225">
        <v>0</v>
      </c>
      <c r="J4425" s="225">
        <v>0</v>
      </c>
      <c r="K4425" s="225">
        <v>240</v>
      </c>
      <c r="L44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425" s="225">
        <f>ROUND(IF(AND(Base_Periodo1[[#This Row],[Tipo_Linha]]="-",Base_Periodo1[[#This Row],[TIPOSALDO]]="D"),Base_Periodo1[[#This Row],[SALDO_ATUAL]]*-1,Base_Periodo1[[#This Row],[SALDO_ATUAL]]),4)</f>
        <v>240</v>
      </c>
      <c r="N4425" t="s">
        <v>116</v>
      </c>
      <c r="O4425" t="s">
        <v>459</v>
      </c>
      <c r="P4425" t="s">
        <v>459</v>
      </c>
      <c r="Q4425">
        <v>6</v>
      </c>
      <c r="R4425" s="225">
        <f>Base_Periodo1[[#This Row],[CREDITOS]]-Base_Periodo1[[#This Row],[DEBITOS]]</f>
        <v>0</v>
      </c>
      <c r="S4425" s="3" t="str">
        <f>IF(ISERROR(VLOOKUP(Base_Periodo1[[#This Row],[CONTA]],BaseContasDRE[#All],4,FALSE)),"Fora do DRE",VLOOKUP(Base_Periodo1[[#This Row],[CONTA]],BaseContasDRE[#All],4,FALSE))</f>
        <v>Fora do DRE</v>
      </c>
      <c r="T4425" s="3" t="str">
        <f>IF(ISERROR(VLOOKUP(Base_Periodo1[[#This Row],[CONTA]],BaseContasDRE[#All],5,FALSE)),"Fora do DRE",VLOOKUP(Base_Periodo1[[#This Row],[CONTA]],BaseContasDRE[#All],6,FALSE))</f>
        <v>Fora do DRE</v>
      </c>
      <c r="U4425" s="3" t="str">
        <f>IF(ISERROR(VLOOKUP(Base_Periodo1[[#This Row],[CONTA]],BaseContasDRE[#All],7,FALSE)),"Fora do DRE",VLOOKUP(Base_Periodo1[[#This Row],[CONTA]],BaseContasDRE[#All],7,FALSE))</f>
        <v>Fora do DRE</v>
      </c>
      <c r="V4425" s="3" t="str">
        <f>IF(Base_Periodo1[[#This Row],[Tipo_Linha]]="Fora do DRE","Fora do DRE","( "&amp;Base_Periodo1[[#This Row],[Tipo_Linha]]&amp;" ) "&amp;Base_Periodo1[[#This Row],[Filtro]])</f>
        <v>Fora do DRE</v>
      </c>
      <c r="W4425" s="3" t="str">
        <f>LEFT(Base_Periodo1[[#This Row],[CLASS]],3)</f>
        <v>2.4</v>
      </c>
    </row>
    <row r="4426" spans="1:23" hidden="1">
      <c r="A4426" s="3" t="str">
        <f t="shared" si="69"/>
        <v>Período 1</v>
      </c>
      <c r="B4426">
        <v>25666</v>
      </c>
      <c r="C4426" t="s">
        <v>2300</v>
      </c>
      <c r="D4426" t="s">
        <v>2404</v>
      </c>
      <c r="E4426" s="3" t="str">
        <f>IF(LEN(Base_Periodo1[[#This Row],[CLASS]])&gt;=7,LEFT(Base_Periodo1[[#This Row],[CLASS]],7),"")</f>
        <v>2.4.1.1</v>
      </c>
      <c r="F4426" s="3" t="str">
        <f>VLOOKUP(Base_Periodo1[[#This Row],[Aux]],Base_Contas_Balanco[#All],2,FALSE)</f>
        <v>Capital Social Realizado</v>
      </c>
      <c r="G4426" s="1"/>
      <c r="H4426" s="225">
        <v>50</v>
      </c>
      <c r="I4426" s="225">
        <v>0</v>
      </c>
      <c r="J4426" s="225">
        <v>0</v>
      </c>
      <c r="K4426" s="225">
        <v>50</v>
      </c>
      <c r="L44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426" s="225">
        <f>ROUND(IF(AND(Base_Periodo1[[#This Row],[Tipo_Linha]]="-",Base_Periodo1[[#This Row],[TIPOSALDO]]="D"),Base_Periodo1[[#This Row],[SALDO_ATUAL]]*-1,Base_Periodo1[[#This Row],[SALDO_ATUAL]]),4)</f>
        <v>50</v>
      </c>
      <c r="N4426" t="s">
        <v>116</v>
      </c>
      <c r="O4426" t="s">
        <v>459</v>
      </c>
      <c r="P4426" t="s">
        <v>459</v>
      </c>
      <c r="Q4426">
        <v>6</v>
      </c>
      <c r="R4426" s="225">
        <f>Base_Periodo1[[#This Row],[CREDITOS]]-Base_Periodo1[[#This Row],[DEBITOS]]</f>
        <v>0</v>
      </c>
      <c r="S4426" s="3" t="str">
        <f>IF(ISERROR(VLOOKUP(Base_Periodo1[[#This Row],[CONTA]],BaseContasDRE[#All],4,FALSE)),"Fora do DRE",VLOOKUP(Base_Periodo1[[#This Row],[CONTA]],BaseContasDRE[#All],4,FALSE))</f>
        <v>Fora do DRE</v>
      </c>
      <c r="T4426" s="3" t="str">
        <f>IF(ISERROR(VLOOKUP(Base_Periodo1[[#This Row],[CONTA]],BaseContasDRE[#All],5,FALSE)),"Fora do DRE",VLOOKUP(Base_Periodo1[[#This Row],[CONTA]],BaseContasDRE[#All],6,FALSE))</f>
        <v>Fora do DRE</v>
      </c>
      <c r="U4426" s="3" t="str">
        <f>IF(ISERROR(VLOOKUP(Base_Periodo1[[#This Row],[CONTA]],BaseContasDRE[#All],7,FALSE)),"Fora do DRE",VLOOKUP(Base_Periodo1[[#This Row],[CONTA]],BaseContasDRE[#All],7,FALSE))</f>
        <v>Fora do DRE</v>
      </c>
      <c r="V4426" s="3" t="str">
        <f>IF(Base_Periodo1[[#This Row],[Tipo_Linha]]="Fora do DRE","Fora do DRE","( "&amp;Base_Periodo1[[#This Row],[Tipo_Linha]]&amp;" ) "&amp;Base_Periodo1[[#This Row],[Filtro]])</f>
        <v>Fora do DRE</v>
      </c>
      <c r="W4426" s="3" t="str">
        <f>LEFT(Base_Periodo1[[#This Row],[CLASS]],3)</f>
        <v>2.4</v>
      </c>
    </row>
    <row r="4427" spans="1:23" hidden="1">
      <c r="A4427" s="3" t="str">
        <f t="shared" si="69"/>
        <v>Período 1</v>
      </c>
      <c r="B4427">
        <v>51138</v>
      </c>
      <c r="C4427" t="s">
        <v>2300</v>
      </c>
      <c r="D4427" t="s">
        <v>4618</v>
      </c>
      <c r="E4427" s="3" t="str">
        <f>IF(LEN(Base_Periodo1[[#This Row],[CLASS]])&gt;=7,LEFT(Base_Periodo1[[#This Row],[CLASS]],7),"")</f>
        <v>2.4.1.1</v>
      </c>
      <c r="F4427" s="3" t="str">
        <f>VLOOKUP(Base_Periodo1[[#This Row],[Aux]],Base_Contas_Balanco[#All],2,FALSE)</f>
        <v>Capital Social Realizado</v>
      </c>
      <c r="G4427" s="1"/>
      <c r="H4427" s="225">
        <v>50</v>
      </c>
      <c r="I4427" s="225">
        <v>0</v>
      </c>
      <c r="J4427" s="225">
        <v>0</v>
      </c>
      <c r="K4427" s="225">
        <v>50</v>
      </c>
      <c r="L44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427" s="225">
        <f>ROUND(IF(AND(Base_Periodo1[[#This Row],[Tipo_Linha]]="-",Base_Periodo1[[#This Row],[TIPOSALDO]]="D"),Base_Periodo1[[#This Row],[SALDO_ATUAL]]*-1,Base_Periodo1[[#This Row],[SALDO_ATUAL]]),4)</f>
        <v>50</v>
      </c>
      <c r="N4427" t="s">
        <v>116</v>
      </c>
      <c r="O4427" t="s">
        <v>459</v>
      </c>
      <c r="P4427" t="s">
        <v>459</v>
      </c>
      <c r="Q4427">
        <v>6</v>
      </c>
      <c r="R4427" s="225">
        <f>Base_Periodo1[[#This Row],[CREDITOS]]-Base_Periodo1[[#This Row],[DEBITOS]]</f>
        <v>0</v>
      </c>
      <c r="S4427" s="3" t="str">
        <f>IF(ISERROR(VLOOKUP(Base_Periodo1[[#This Row],[CONTA]],BaseContasDRE[#All],4,FALSE)),"Fora do DRE",VLOOKUP(Base_Periodo1[[#This Row],[CONTA]],BaseContasDRE[#All],4,FALSE))</f>
        <v>Fora do DRE</v>
      </c>
      <c r="T4427" s="3" t="str">
        <f>IF(ISERROR(VLOOKUP(Base_Periodo1[[#This Row],[CONTA]],BaseContasDRE[#All],5,FALSE)),"Fora do DRE",VLOOKUP(Base_Periodo1[[#This Row],[CONTA]],BaseContasDRE[#All],6,FALSE))</f>
        <v>Fora do DRE</v>
      </c>
      <c r="U4427" s="3" t="str">
        <f>IF(ISERROR(VLOOKUP(Base_Periodo1[[#This Row],[CONTA]],BaseContasDRE[#All],7,FALSE)),"Fora do DRE",VLOOKUP(Base_Periodo1[[#This Row],[CONTA]],BaseContasDRE[#All],7,FALSE))</f>
        <v>Fora do DRE</v>
      </c>
      <c r="V4427" s="3" t="str">
        <f>IF(Base_Periodo1[[#This Row],[Tipo_Linha]]="Fora do DRE","Fora do DRE","( "&amp;Base_Periodo1[[#This Row],[Tipo_Linha]]&amp;" ) "&amp;Base_Periodo1[[#This Row],[Filtro]])</f>
        <v>Fora do DRE</v>
      </c>
      <c r="W4427" s="3" t="str">
        <f>LEFT(Base_Periodo1[[#This Row],[CLASS]],3)</f>
        <v>2.4</v>
      </c>
    </row>
    <row r="4428" spans="1:23" hidden="1">
      <c r="A4428" s="3" t="str">
        <f t="shared" si="69"/>
        <v>Período 1</v>
      </c>
      <c r="B4428">
        <v>19299</v>
      </c>
      <c r="C4428" t="s">
        <v>2300</v>
      </c>
      <c r="D4428" t="s">
        <v>2405</v>
      </c>
      <c r="E4428" s="3" t="str">
        <f>IF(LEN(Base_Periodo1[[#This Row],[CLASS]])&gt;=7,LEFT(Base_Periodo1[[#This Row],[CLASS]],7),"")</f>
        <v>2.4.1.1</v>
      </c>
      <c r="F4428" s="3" t="str">
        <f>VLOOKUP(Base_Periodo1[[#This Row],[Aux]],Base_Contas_Balanco[#All],2,FALSE)</f>
        <v>Capital Social Realizado</v>
      </c>
      <c r="G4428" s="1"/>
      <c r="H4428" s="225">
        <v>925.72</v>
      </c>
      <c r="I4428" s="225">
        <v>0</v>
      </c>
      <c r="J4428" s="225">
        <v>0</v>
      </c>
      <c r="K4428" s="225">
        <v>925.72</v>
      </c>
      <c r="L44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925.72</v>
      </c>
      <c r="M4428" s="225">
        <f>ROUND(IF(AND(Base_Periodo1[[#This Row],[Tipo_Linha]]="-",Base_Periodo1[[#This Row],[TIPOSALDO]]="D"),Base_Periodo1[[#This Row],[SALDO_ATUAL]]*-1,Base_Periodo1[[#This Row],[SALDO_ATUAL]]),4)</f>
        <v>925.72</v>
      </c>
      <c r="N4428" t="s">
        <v>116</v>
      </c>
      <c r="O4428" t="s">
        <v>459</v>
      </c>
      <c r="P4428" t="s">
        <v>459</v>
      </c>
      <c r="Q4428">
        <v>6</v>
      </c>
      <c r="R4428" s="225">
        <f>Base_Periodo1[[#This Row],[CREDITOS]]-Base_Periodo1[[#This Row],[DEBITOS]]</f>
        <v>0</v>
      </c>
      <c r="S4428" s="3" t="str">
        <f>IF(ISERROR(VLOOKUP(Base_Periodo1[[#This Row],[CONTA]],BaseContasDRE[#All],4,FALSE)),"Fora do DRE",VLOOKUP(Base_Periodo1[[#This Row],[CONTA]],BaseContasDRE[#All],4,FALSE))</f>
        <v>Fora do DRE</v>
      </c>
      <c r="T4428" s="3" t="str">
        <f>IF(ISERROR(VLOOKUP(Base_Periodo1[[#This Row],[CONTA]],BaseContasDRE[#All],5,FALSE)),"Fora do DRE",VLOOKUP(Base_Periodo1[[#This Row],[CONTA]],BaseContasDRE[#All],6,FALSE))</f>
        <v>Fora do DRE</v>
      </c>
      <c r="U4428" s="3" t="str">
        <f>IF(ISERROR(VLOOKUP(Base_Periodo1[[#This Row],[CONTA]],BaseContasDRE[#All],7,FALSE)),"Fora do DRE",VLOOKUP(Base_Periodo1[[#This Row],[CONTA]],BaseContasDRE[#All],7,FALSE))</f>
        <v>Fora do DRE</v>
      </c>
      <c r="V4428" s="3" t="str">
        <f>IF(Base_Periodo1[[#This Row],[Tipo_Linha]]="Fora do DRE","Fora do DRE","( "&amp;Base_Periodo1[[#This Row],[Tipo_Linha]]&amp;" ) "&amp;Base_Periodo1[[#This Row],[Filtro]])</f>
        <v>Fora do DRE</v>
      </c>
      <c r="W4428" s="3" t="str">
        <f>LEFT(Base_Periodo1[[#This Row],[CLASS]],3)</f>
        <v>2.4</v>
      </c>
    </row>
    <row r="4429" spans="1:23" hidden="1">
      <c r="A4429" s="3" t="str">
        <f t="shared" si="69"/>
        <v>Período 1</v>
      </c>
      <c r="B4429">
        <v>19329</v>
      </c>
      <c r="C4429" t="s">
        <v>2300</v>
      </c>
      <c r="D4429" t="s">
        <v>2406</v>
      </c>
      <c r="E4429" s="3" t="str">
        <f>IF(LEN(Base_Periodo1[[#This Row],[CLASS]])&gt;=7,LEFT(Base_Periodo1[[#This Row],[CLASS]],7),"")</f>
        <v>2.4.1.1</v>
      </c>
      <c r="F4429" s="3" t="str">
        <f>VLOOKUP(Base_Periodo1[[#This Row],[Aux]],Base_Contas_Balanco[#All],2,FALSE)</f>
        <v>Capital Social Realizado</v>
      </c>
      <c r="G4429" s="1"/>
      <c r="H4429" s="225">
        <v>76.19</v>
      </c>
      <c r="I4429" s="225">
        <v>0</v>
      </c>
      <c r="J4429" s="225">
        <v>0</v>
      </c>
      <c r="K4429" s="225">
        <v>76.19</v>
      </c>
      <c r="L44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76.19</v>
      </c>
      <c r="M4429" s="225">
        <f>ROUND(IF(AND(Base_Periodo1[[#This Row],[Tipo_Linha]]="-",Base_Periodo1[[#This Row],[TIPOSALDO]]="D"),Base_Periodo1[[#This Row],[SALDO_ATUAL]]*-1,Base_Periodo1[[#This Row],[SALDO_ATUAL]]),4)</f>
        <v>76.19</v>
      </c>
      <c r="N4429" t="s">
        <v>116</v>
      </c>
      <c r="O4429" t="s">
        <v>459</v>
      </c>
      <c r="P4429" t="s">
        <v>459</v>
      </c>
      <c r="Q4429">
        <v>6</v>
      </c>
      <c r="R4429" s="225">
        <f>Base_Periodo1[[#This Row],[CREDITOS]]-Base_Periodo1[[#This Row],[DEBITOS]]</f>
        <v>0</v>
      </c>
      <c r="S4429" s="3" t="str">
        <f>IF(ISERROR(VLOOKUP(Base_Periodo1[[#This Row],[CONTA]],BaseContasDRE[#All],4,FALSE)),"Fora do DRE",VLOOKUP(Base_Periodo1[[#This Row],[CONTA]],BaseContasDRE[#All],4,FALSE))</f>
        <v>Fora do DRE</v>
      </c>
      <c r="T4429" s="3" t="str">
        <f>IF(ISERROR(VLOOKUP(Base_Periodo1[[#This Row],[CONTA]],BaseContasDRE[#All],5,FALSE)),"Fora do DRE",VLOOKUP(Base_Periodo1[[#This Row],[CONTA]],BaseContasDRE[#All],6,FALSE))</f>
        <v>Fora do DRE</v>
      </c>
      <c r="U4429" s="3" t="str">
        <f>IF(ISERROR(VLOOKUP(Base_Periodo1[[#This Row],[CONTA]],BaseContasDRE[#All],7,FALSE)),"Fora do DRE",VLOOKUP(Base_Periodo1[[#This Row],[CONTA]],BaseContasDRE[#All],7,FALSE))</f>
        <v>Fora do DRE</v>
      </c>
      <c r="V4429" s="3" t="str">
        <f>IF(Base_Periodo1[[#This Row],[Tipo_Linha]]="Fora do DRE","Fora do DRE","( "&amp;Base_Periodo1[[#This Row],[Tipo_Linha]]&amp;" ) "&amp;Base_Periodo1[[#This Row],[Filtro]])</f>
        <v>Fora do DRE</v>
      </c>
      <c r="W4429" s="3" t="str">
        <f>LEFT(Base_Periodo1[[#This Row],[CLASS]],3)</f>
        <v>2.4</v>
      </c>
    </row>
    <row r="4430" spans="1:23" hidden="1">
      <c r="A4430" s="3" t="str">
        <f t="shared" si="69"/>
        <v>Período 1</v>
      </c>
      <c r="B4430">
        <v>19285</v>
      </c>
      <c r="C4430" t="s">
        <v>2300</v>
      </c>
      <c r="D4430" t="s">
        <v>2407</v>
      </c>
      <c r="E4430" s="3" t="str">
        <f>IF(LEN(Base_Periodo1[[#This Row],[CLASS]])&gt;=7,LEFT(Base_Periodo1[[#This Row],[CLASS]],7),"")</f>
        <v>2.4.1.1</v>
      </c>
      <c r="F4430" s="3" t="str">
        <f>VLOOKUP(Base_Periodo1[[#This Row],[Aux]],Base_Contas_Balanco[#All],2,FALSE)</f>
        <v>Capital Social Realizado</v>
      </c>
      <c r="G4430" s="1"/>
      <c r="H4430" s="225">
        <v>156.03</v>
      </c>
      <c r="I4430" s="225">
        <v>0</v>
      </c>
      <c r="J4430" s="225">
        <v>0</v>
      </c>
      <c r="K4430" s="225">
        <v>156.03</v>
      </c>
      <c r="L44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156.03</v>
      </c>
      <c r="M4430" s="225">
        <f>ROUND(IF(AND(Base_Periodo1[[#This Row],[Tipo_Linha]]="-",Base_Periodo1[[#This Row],[TIPOSALDO]]="D"),Base_Periodo1[[#This Row],[SALDO_ATUAL]]*-1,Base_Periodo1[[#This Row],[SALDO_ATUAL]]),4)</f>
        <v>156.03</v>
      </c>
      <c r="N4430" t="s">
        <v>116</v>
      </c>
      <c r="O4430" t="s">
        <v>459</v>
      </c>
      <c r="P4430" t="s">
        <v>459</v>
      </c>
      <c r="Q4430">
        <v>6</v>
      </c>
      <c r="R4430" s="225">
        <f>Base_Periodo1[[#This Row],[CREDITOS]]-Base_Periodo1[[#This Row],[DEBITOS]]</f>
        <v>0</v>
      </c>
      <c r="S4430" s="3" t="str">
        <f>IF(ISERROR(VLOOKUP(Base_Periodo1[[#This Row],[CONTA]],BaseContasDRE[#All],4,FALSE)),"Fora do DRE",VLOOKUP(Base_Periodo1[[#This Row],[CONTA]],BaseContasDRE[#All],4,FALSE))</f>
        <v>Fora do DRE</v>
      </c>
      <c r="T4430" s="3" t="str">
        <f>IF(ISERROR(VLOOKUP(Base_Periodo1[[#This Row],[CONTA]],BaseContasDRE[#All],5,FALSE)),"Fora do DRE",VLOOKUP(Base_Periodo1[[#This Row],[CONTA]],BaseContasDRE[#All],6,FALSE))</f>
        <v>Fora do DRE</v>
      </c>
      <c r="U4430" s="3" t="str">
        <f>IF(ISERROR(VLOOKUP(Base_Periodo1[[#This Row],[CONTA]],BaseContasDRE[#All],7,FALSE)),"Fora do DRE",VLOOKUP(Base_Periodo1[[#This Row],[CONTA]],BaseContasDRE[#All],7,FALSE))</f>
        <v>Fora do DRE</v>
      </c>
      <c r="V4430" s="3" t="str">
        <f>IF(Base_Periodo1[[#This Row],[Tipo_Linha]]="Fora do DRE","Fora do DRE","( "&amp;Base_Periodo1[[#This Row],[Tipo_Linha]]&amp;" ) "&amp;Base_Periodo1[[#This Row],[Filtro]])</f>
        <v>Fora do DRE</v>
      </c>
      <c r="W4430" s="3" t="str">
        <f>LEFT(Base_Periodo1[[#This Row],[CLASS]],3)</f>
        <v>2.4</v>
      </c>
    </row>
    <row r="4431" spans="1:23" hidden="1">
      <c r="A4431" s="3" t="str">
        <f t="shared" si="69"/>
        <v>Período 1</v>
      </c>
      <c r="B4431">
        <v>39465</v>
      </c>
      <c r="C4431" t="s">
        <v>2300</v>
      </c>
      <c r="D4431" t="s">
        <v>2408</v>
      </c>
      <c r="E4431" s="3" t="str">
        <f>IF(LEN(Base_Periodo1[[#This Row],[CLASS]])&gt;=7,LEFT(Base_Periodo1[[#This Row],[CLASS]],7),"")</f>
        <v>2.4.1.1</v>
      </c>
      <c r="F4431" s="3" t="str">
        <f>VLOOKUP(Base_Periodo1[[#This Row],[Aux]],Base_Contas_Balanco[#All],2,FALSE)</f>
        <v>Capital Social Realizado</v>
      </c>
      <c r="G4431" s="1"/>
      <c r="H4431" s="225">
        <v>424.63</v>
      </c>
      <c r="I4431" s="225">
        <v>0</v>
      </c>
      <c r="J4431" s="225">
        <v>0</v>
      </c>
      <c r="K4431" s="225">
        <v>424.63</v>
      </c>
      <c r="L44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424.63</v>
      </c>
      <c r="M4431" s="225">
        <f>ROUND(IF(AND(Base_Periodo1[[#This Row],[Tipo_Linha]]="-",Base_Periodo1[[#This Row],[TIPOSALDO]]="D"),Base_Periodo1[[#This Row],[SALDO_ATUAL]]*-1,Base_Periodo1[[#This Row],[SALDO_ATUAL]]),4)</f>
        <v>424.63</v>
      </c>
      <c r="N4431" t="s">
        <v>116</v>
      </c>
      <c r="O4431" t="s">
        <v>459</v>
      </c>
      <c r="P4431" t="s">
        <v>459</v>
      </c>
      <c r="Q4431">
        <v>6</v>
      </c>
      <c r="R4431" s="225">
        <f>Base_Periodo1[[#This Row],[CREDITOS]]-Base_Periodo1[[#This Row],[DEBITOS]]</f>
        <v>0</v>
      </c>
      <c r="S4431" s="3" t="str">
        <f>IF(ISERROR(VLOOKUP(Base_Periodo1[[#This Row],[CONTA]],BaseContasDRE[#All],4,FALSE)),"Fora do DRE",VLOOKUP(Base_Periodo1[[#This Row],[CONTA]],BaseContasDRE[#All],4,FALSE))</f>
        <v>Fora do DRE</v>
      </c>
      <c r="T4431" s="3" t="str">
        <f>IF(ISERROR(VLOOKUP(Base_Periodo1[[#This Row],[CONTA]],BaseContasDRE[#All],5,FALSE)),"Fora do DRE",VLOOKUP(Base_Periodo1[[#This Row],[CONTA]],BaseContasDRE[#All],6,FALSE))</f>
        <v>Fora do DRE</v>
      </c>
      <c r="U4431" s="3" t="str">
        <f>IF(ISERROR(VLOOKUP(Base_Periodo1[[#This Row],[CONTA]],BaseContasDRE[#All],7,FALSE)),"Fora do DRE",VLOOKUP(Base_Periodo1[[#This Row],[CONTA]],BaseContasDRE[#All],7,FALSE))</f>
        <v>Fora do DRE</v>
      </c>
      <c r="V4431" s="3" t="str">
        <f>IF(Base_Periodo1[[#This Row],[Tipo_Linha]]="Fora do DRE","Fora do DRE","( "&amp;Base_Periodo1[[#This Row],[Tipo_Linha]]&amp;" ) "&amp;Base_Periodo1[[#This Row],[Filtro]])</f>
        <v>Fora do DRE</v>
      </c>
      <c r="W4431" s="3" t="str">
        <f>LEFT(Base_Periodo1[[#This Row],[CLASS]],3)</f>
        <v>2.4</v>
      </c>
    </row>
    <row r="4432" spans="1:23" hidden="1">
      <c r="A4432" s="3" t="str">
        <f t="shared" si="69"/>
        <v>Período 1</v>
      </c>
      <c r="B4432">
        <v>24621</v>
      </c>
      <c r="C4432" t="s">
        <v>2300</v>
      </c>
      <c r="D4432" t="s">
        <v>2409</v>
      </c>
      <c r="E4432" s="3" t="str">
        <f>IF(LEN(Base_Periodo1[[#This Row],[CLASS]])&gt;=7,LEFT(Base_Periodo1[[#This Row],[CLASS]],7),"")</f>
        <v>2.4.1.1</v>
      </c>
      <c r="F4432" s="3" t="str">
        <f>VLOOKUP(Base_Periodo1[[#This Row],[Aux]],Base_Contas_Balanco[#All],2,FALSE)</f>
        <v>Capital Social Realizado</v>
      </c>
      <c r="G4432" s="1"/>
      <c r="H4432" s="225">
        <v>1759.72</v>
      </c>
      <c r="I4432" s="225">
        <v>0</v>
      </c>
      <c r="J4432" s="225">
        <v>0</v>
      </c>
      <c r="K4432" s="225">
        <v>1759.72</v>
      </c>
      <c r="L44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1759.72</v>
      </c>
      <c r="M4432" s="225">
        <f>ROUND(IF(AND(Base_Periodo1[[#This Row],[Tipo_Linha]]="-",Base_Periodo1[[#This Row],[TIPOSALDO]]="D"),Base_Periodo1[[#This Row],[SALDO_ATUAL]]*-1,Base_Periodo1[[#This Row],[SALDO_ATUAL]]),4)</f>
        <v>1759.72</v>
      </c>
      <c r="N4432" t="s">
        <v>116</v>
      </c>
      <c r="O4432" t="s">
        <v>459</v>
      </c>
      <c r="P4432" t="s">
        <v>459</v>
      </c>
      <c r="Q4432">
        <v>6</v>
      </c>
      <c r="R4432" s="225">
        <f>Base_Periodo1[[#This Row],[CREDITOS]]-Base_Periodo1[[#This Row],[DEBITOS]]</f>
        <v>0</v>
      </c>
      <c r="S4432" s="3" t="str">
        <f>IF(ISERROR(VLOOKUP(Base_Periodo1[[#This Row],[CONTA]],BaseContasDRE[#All],4,FALSE)),"Fora do DRE",VLOOKUP(Base_Periodo1[[#This Row],[CONTA]],BaseContasDRE[#All],4,FALSE))</f>
        <v>Fora do DRE</v>
      </c>
      <c r="T4432" s="3" t="str">
        <f>IF(ISERROR(VLOOKUP(Base_Periodo1[[#This Row],[CONTA]],BaseContasDRE[#All],5,FALSE)),"Fora do DRE",VLOOKUP(Base_Periodo1[[#This Row],[CONTA]],BaseContasDRE[#All],6,FALSE))</f>
        <v>Fora do DRE</v>
      </c>
      <c r="U4432" s="3" t="str">
        <f>IF(ISERROR(VLOOKUP(Base_Periodo1[[#This Row],[CONTA]],BaseContasDRE[#All],7,FALSE)),"Fora do DRE",VLOOKUP(Base_Periodo1[[#This Row],[CONTA]],BaseContasDRE[#All],7,FALSE))</f>
        <v>Fora do DRE</v>
      </c>
      <c r="V4432" s="3" t="str">
        <f>IF(Base_Periodo1[[#This Row],[Tipo_Linha]]="Fora do DRE","Fora do DRE","( "&amp;Base_Periodo1[[#This Row],[Tipo_Linha]]&amp;" ) "&amp;Base_Periodo1[[#This Row],[Filtro]])</f>
        <v>Fora do DRE</v>
      </c>
      <c r="W4432" s="3" t="str">
        <f>LEFT(Base_Periodo1[[#This Row],[CLASS]],3)</f>
        <v>2.4</v>
      </c>
    </row>
    <row r="4433" spans="1:23" hidden="1">
      <c r="A4433" s="3" t="str">
        <f t="shared" si="69"/>
        <v>Período 1</v>
      </c>
      <c r="B4433">
        <v>22610</v>
      </c>
      <c r="C4433" t="s">
        <v>2300</v>
      </c>
      <c r="D4433" t="s">
        <v>2410</v>
      </c>
      <c r="E4433" s="3" t="str">
        <f>IF(LEN(Base_Periodo1[[#This Row],[CLASS]])&gt;=7,LEFT(Base_Periodo1[[#This Row],[CLASS]],7),"")</f>
        <v>2.4.1.1</v>
      </c>
      <c r="F4433" s="3" t="str">
        <f>VLOOKUP(Base_Periodo1[[#This Row],[Aux]],Base_Contas_Balanco[#All],2,FALSE)</f>
        <v>Capital Social Realizado</v>
      </c>
      <c r="G4433" s="1"/>
      <c r="H4433" s="225">
        <v>1404.2399999999998</v>
      </c>
      <c r="I4433" s="225">
        <v>0</v>
      </c>
      <c r="J4433" s="225">
        <v>0</v>
      </c>
      <c r="K4433" s="225">
        <v>1404.2399999999998</v>
      </c>
      <c r="L44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1404.24</v>
      </c>
      <c r="M4433" s="225">
        <f>ROUND(IF(AND(Base_Periodo1[[#This Row],[Tipo_Linha]]="-",Base_Periodo1[[#This Row],[TIPOSALDO]]="D"),Base_Periodo1[[#This Row],[SALDO_ATUAL]]*-1,Base_Periodo1[[#This Row],[SALDO_ATUAL]]),4)</f>
        <v>1404.24</v>
      </c>
      <c r="N4433" t="s">
        <v>116</v>
      </c>
      <c r="O4433" t="s">
        <v>459</v>
      </c>
      <c r="P4433" t="s">
        <v>459</v>
      </c>
      <c r="Q4433">
        <v>6</v>
      </c>
      <c r="R4433" s="225">
        <f>Base_Periodo1[[#This Row],[CREDITOS]]-Base_Periodo1[[#This Row],[DEBITOS]]</f>
        <v>0</v>
      </c>
      <c r="S4433" s="3" t="str">
        <f>IF(ISERROR(VLOOKUP(Base_Periodo1[[#This Row],[CONTA]],BaseContasDRE[#All],4,FALSE)),"Fora do DRE",VLOOKUP(Base_Periodo1[[#This Row],[CONTA]],BaseContasDRE[#All],4,FALSE))</f>
        <v>Fora do DRE</v>
      </c>
      <c r="T4433" s="3" t="str">
        <f>IF(ISERROR(VLOOKUP(Base_Periodo1[[#This Row],[CONTA]],BaseContasDRE[#All],5,FALSE)),"Fora do DRE",VLOOKUP(Base_Periodo1[[#This Row],[CONTA]],BaseContasDRE[#All],6,FALSE))</f>
        <v>Fora do DRE</v>
      </c>
      <c r="U4433" s="3" t="str">
        <f>IF(ISERROR(VLOOKUP(Base_Periodo1[[#This Row],[CONTA]],BaseContasDRE[#All],7,FALSE)),"Fora do DRE",VLOOKUP(Base_Periodo1[[#This Row],[CONTA]],BaseContasDRE[#All],7,FALSE))</f>
        <v>Fora do DRE</v>
      </c>
      <c r="V4433" s="3" t="str">
        <f>IF(Base_Periodo1[[#This Row],[Tipo_Linha]]="Fora do DRE","Fora do DRE","( "&amp;Base_Periodo1[[#This Row],[Tipo_Linha]]&amp;" ) "&amp;Base_Periodo1[[#This Row],[Filtro]])</f>
        <v>Fora do DRE</v>
      </c>
      <c r="W4433" s="3" t="str">
        <f>LEFT(Base_Periodo1[[#This Row],[CLASS]],3)</f>
        <v>2.4</v>
      </c>
    </row>
    <row r="4434" spans="1:23" hidden="1">
      <c r="A4434" s="3" t="str">
        <f t="shared" si="69"/>
        <v>Período 1</v>
      </c>
      <c r="B4434">
        <v>16244</v>
      </c>
      <c r="C4434" t="s">
        <v>2300</v>
      </c>
      <c r="D4434" t="s">
        <v>2411</v>
      </c>
      <c r="E4434" s="3" t="str">
        <f>IF(LEN(Base_Periodo1[[#This Row],[CLASS]])&gt;=7,LEFT(Base_Periodo1[[#This Row],[CLASS]],7),"")</f>
        <v>2.4.1.1</v>
      </c>
      <c r="F4434" s="3" t="str">
        <f>VLOOKUP(Base_Periodo1[[#This Row],[Aux]],Base_Contas_Balanco[#All],2,FALSE)</f>
        <v>Capital Social Realizado</v>
      </c>
      <c r="G4434" s="1"/>
      <c r="H4434" s="225">
        <v>5167.1500000000005</v>
      </c>
      <c r="I4434" s="225">
        <v>0</v>
      </c>
      <c r="J4434" s="225">
        <v>0</v>
      </c>
      <c r="K4434" s="225">
        <v>5167.1500000000005</v>
      </c>
      <c r="L44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5167.1499999999996</v>
      </c>
      <c r="M4434" s="225">
        <f>ROUND(IF(AND(Base_Periodo1[[#This Row],[Tipo_Linha]]="-",Base_Periodo1[[#This Row],[TIPOSALDO]]="D"),Base_Periodo1[[#This Row],[SALDO_ATUAL]]*-1,Base_Periodo1[[#This Row],[SALDO_ATUAL]]),4)</f>
        <v>5167.1499999999996</v>
      </c>
      <c r="N4434" t="s">
        <v>116</v>
      </c>
      <c r="O4434" t="s">
        <v>459</v>
      </c>
      <c r="P4434" t="s">
        <v>459</v>
      </c>
      <c r="Q4434">
        <v>6</v>
      </c>
      <c r="R4434" s="225">
        <f>Base_Periodo1[[#This Row],[CREDITOS]]-Base_Periodo1[[#This Row],[DEBITOS]]</f>
        <v>0</v>
      </c>
      <c r="S4434" s="3" t="str">
        <f>IF(ISERROR(VLOOKUP(Base_Periodo1[[#This Row],[CONTA]],BaseContasDRE[#All],4,FALSE)),"Fora do DRE",VLOOKUP(Base_Periodo1[[#This Row],[CONTA]],BaseContasDRE[#All],4,FALSE))</f>
        <v>Fora do DRE</v>
      </c>
      <c r="T4434" s="3" t="str">
        <f>IF(ISERROR(VLOOKUP(Base_Periodo1[[#This Row],[CONTA]],BaseContasDRE[#All],5,FALSE)),"Fora do DRE",VLOOKUP(Base_Periodo1[[#This Row],[CONTA]],BaseContasDRE[#All],6,FALSE))</f>
        <v>Fora do DRE</v>
      </c>
      <c r="U4434" s="3" t="str">
        <f>IF(ISERROR(VLOOKUP(Base_Periodo1[[#This Row],[CONTA]],BaseContasDRE[#All],7,FALSE)),"Fora do DRE",VLOOKUP(Base_Periodo1[[#This Row],[CONTA]],BaseContasDRE[#All],7,FALSE))</f>
        <v>Fora do DRE</v>
      </c>
      <c r="V4434" s="3" t="str">
        <f>IF(Base_Periodo1[[#This Row],[Tipo_Linha]]="Fora do DRE","Fora do DRE","( "&amp;Base_Periodo1[[#This Row],[Tipo_Linha]]&amp;" ) "&amp;Base_Periodo1[[#This Row],[Filtro]])</f>
        <v>Fora do DRE</v>
      </c>
      <c r="W4434" s="3" t="str">
        <f>LEFT(Base_Periodo1[[#This Row],[CLASS]],3)</f>
        <v>2.4</v>
      </c>
    </row>
    <row r="4435" spans="1:23" hidden="1">
      <c r="A4435" s="3" t="str">
        <f t="shared" si="69"/>
        <v>Período 1</v>
      </c>
      <c r="B4435">
        <v>25533</v>
      </c>
      <c r="C4435" t="s">
        <v>2300</v>
      </c>
      <c r="D4435" t="s">
        <v>2412</v>
      </c>
      <c r="E4435" s="3" t="str">
        <f>IF(LEN(Base_Periodo1[[#This Row],[CLASS]])&gt;=7,LEFT(Base_Periodo1[[#This Row],[CLASS]],7),"")</f>
        <v>2.4.1.1</v>
      </c>
      <c r="F4435" s="3" t="str">
        <f>VLOOKUP(Base_Periodo1[[#This Row],[Aux]],Base_Contas_Balanco[#All],2,FALSE)</f>
        <v>Capital Social Realizado</v>
      </c>
      <c r="G4435" s="1">
        <v>41963</v>
      </c>
      <c r="H4435" s="225">
        <v>165.76999999999998</v>
      </c>
      <c r="I4435" s="225">
        <v>0</v>
      </c>
      <c r="J4435" s="225">
        <v>0</v>
      </c>
      <c r="K4435" s="225">
        <v>165.76999999999998</v>
      </c>
      <c r="L44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165.77</v>
      </c>
      <c r="M4435" s="225">
        <f>ROUND(IF(AND(Base_Periodo1[[#This Row],[Tipo_Linha]]="-",Base_Periodo1[[#This Row],[TIPOSALDO]]="D"),Base_Periodo1[[#This Row],[SALDO_ATUAL]]*-1,Base_Periodo1[[#This Row],[SALDO_ATUAL]]),4)</f>
        <v>165.77</v>
      </c>
      <c r="N4435" t="s">
        <v>116</v>
      </c>
      <c r="O4435" t="s">
        <v>459</v>
      </c>
      <c r="P4435" t="s">
        <v>459</v>
      </c>
      <c r="Q4435">
        <v>6</v>
      </c>
      <c r="R4435" s="225">
        <f>Base_Periodo1[[#This Row],[CREDITOS]]-Base_Periodo1[[#This Row],[DEBITOS]]</f>
        <v>0</v>
      </c>
      <c r="S4435" s="3" t="str">
        <f>IF(ISERROR(VLOOKUP(Base_Periodo1[[#This Row],[CONTA]],BaseContasDRE[#All],4,FALSE)),"Fora do DRE",VLOOKUP(Base_Periodo1[[#This Row],[CONTA]],BaseContasDRE[#All],4,FALSE))</f>
        <v>Fora do DRE</v>
      </c>
      <c r="T4435" s="3" t="str">
        <f>IF(ISERROR(VLOOKUP(Base_Periodo1[[#This Row],[CONTA]],BaseContasDRE[#All],5,FALSE)),"Fora do DRE",VLOOKUP(Base_Periodo1[[#This Row],[CONTA]],BaseContasDRE[#All],6,FALSE))</f>
        <v>Fora do DRE</v>
      </c>
      <c r="U4435" s="3" t="str">
        <f>IF(ISERROR(VLOOKUP(Base_Periodo1[[#This Row],[CONTA]],BaseContasDRE[#All],7,FALSE)),"Fora do DRE",VLOOKUP(Base_Periodo1[[#This Row],[CONTA]],BaseContasDRE[#All],7,FALSE))</f>
        <v>Fora do DRE</v>
      </c>
      <c r="V4435" s="3" t="str">
        <f>IF(Base_Periodo1[[#This Row],[Tipo_Linha]]="Fora do DRE","Fora do DRE","( "&amp;Base_Periodo1[[#This Row],[Tipo_Linha]]&amp;" ) "&amp;Base_Periodo1[[#This Row],[Filtro]])</f>
        <v>Fora do DRE</v>
      </c>
      <c r="W4435" s="3" t="str">
        <f>LEFT(Base_Periodo1[[#This Row],[CLASS]],3)</f>
        <v>2.4</v>
      </c>
    </row>
    <row r="4436" spans="1:23" hidden="1">
      <c r="A4436" s="3" t="str">
        <f t="shared" si="69"/>
        <v>Período 1</v>
      </c>
      <c r="B4436">
        <v>19472</v>
      </c>
      <c r="C4436" t="s">
        <v>2300</v>
      </c>
      <c r="D4436" t="s">
        <v>2413</v>
      </c>
      <c r="E4436" s="3" t="str">
        <f>IF(LEN(Base_Periodo1[[#This Row],[CLASS]])&gt;=7,LEFT(Base_Periodo1[[#This Row],[CLASS]],7),"")</f>
        <v>2.4.1.1</v>
      </c>
      <c r="F4436" s="3" t="str">
        <f>VLOOKUP(Base_Periodo1[[#This Row],[Aux]],Base_Contas_Balanco[#All],2,FALSE)</f>
        <v>Capital Social Realizado</v>
      </c>
      <c r="G4436" s="1">
        <v>41625</v>
      </c>
      <c r="H4436" s="225">
        <v>240</v>
      </c>
      <c r="I4436" s="225">
        <v>0</v>
      </c>
      <c r="J4436" s="225">
        <v>0</v>
      </c>
      <c r="K4436" s="225">
        <v>240</v>
      </c>
      <c r="L44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436" s="225">
        <f>ROUND(IF(AND(Base_Periodo1[[#This Row],[Tipo_Linha]]="-",Base_Periodo1[[#This Row],[TIPOSALDO]]="D"),Base_Periodo1[[#This Row],[SALDO_ATUAL]]*-1,Base_Periodo1[[#This Row],[SALDO_ATUAL]]),4)</f>
        <v>240</v>
      </c>
      <c r="N4436" t="s">
        <v>116</v>
      </c>
      <c r="O4436" t="s">
        <v>459</v>
      </c>
      <c r="P4436" t="s">
        <v>459</v>
      </c>
      <c r="Q4436">
        <v>6</v>
      </c>
      <c r="R4436" s="225">
        <f>Base_Periodo1[[#This Row],[CREDITOS]]-Base_Periodo1[[#This Row],[DEBITOS]]</f>
        <v>0</v>
      </c>
      <c r="S4436" s="3" t="str">
        <f>IF(ISERROR(VLOOKUP(Base_Periodo1[[#This Row],[CONTA]],BaseContasDRE[#All],4,FALSE)),"Fora do DRE",VLOOKUP(Base_Periodo1[[#This Row],[CONTA]],BaseContasDRE[#All],4,FALSE))</f>
        <v>Fora do DRE</v>
      </c>
      <c r="T4436" s="3" t="str">
        <f>IF(ISERROR(VLOOKUP(Base_Periodo1[[#This Row],[CONTA]],BaseContasDRE[#All],5,FALSE)),"Fora do DRE",VLOOKUP(Base_Periodo1[[#This Row],[CONTA]],BaseContasDRE[#All],6,FALSE))</f>
        <v>Fora do DRE</v>
      </c>
      <c r="U4436" s="3" t="str">
        <f>IF(ISERROR(VLOOKUP(Base_Periodo1[[#This Row],[CONTA]],BaseContasDRE[#All],7,FALSE)),"Fora do DRE",VLOOKUP(Base_Periodo1[[#This Row],[CONTA]],BaseContasDRE[#All],7,FALSE))</f>
        <v>Fora do DRE</v>
      </c>
      <c r="V4436" s="3" t="str">
        <f>IF(Base_Periodo1[[#This Row],[Tipo_Linha]]="Fora do DRE","Fora do DRE","( "&amp;Base_Periodo1[[#This Row],[Tipo_Linha]]&amp;" ) "&amp;Base_Periodo1[[#This Row],[Filtro]])</f>
        <v>Fora do DRE</v>
      </c>
      <c r="W4436" s="3" t="str">
        <f>LEFT(Base_Periodo1[[#This Row],[CLASS]],3)</f>
        <v>2.4</v>
      </c>
    </row>
    <row r="4437" spans="1:23" hidden="1">
      <c r="A4437" s="3" t="str">
        <f t="shared" si="69"/>
        <v>Período 1</v>
      </c>
      <c r="B4437">
        <v>25539</v>
      </c>
      <c r="C4437" t="s">
        <v>2300</v>
      </c>
      <c r="D4437" t="s">
        <v>2414</v>
      </c>
      <c r="E4437" s="3" t="str">
        <f>IF(LEN(Base_Periodo1[[#This Row],[CLASS]])&gt;=7,LEFT(Base_Periodo1[[#This Row],[CLASS]],7),"")</f>
        <v>2.4.1.1</v>
      </c>
      <c r="F4437" s="3" t="str">
        <f>VLOOKUP(Base_Periodo1[[#This Row],[Aux]],Base_Contas_Balanco[#All],2,FALSE)</f>
        <v>Capital Social Realizado</v>
      </c>
      <c r="G4437" s="1"/>
      <c r="H4437" s="225">
        <v>76.42</v>
      </c>
      <c r="I4437" s="225">
        <v>0</v>
      </c>
      <c r="J4437" s="225">
        <v>0</v>
      </c>
      <c r="K4437" s="225">
        <v>76.42</v>
      </c>
      <c r="L44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76.42</v>
      </c>
      <c r="M4437" s="225">
        <f>ROUND(IF(AND(Base_Periodo1[[#This Row],[Tipo_Linha]]="-",Base_Periodo1[[#This Row],[TIPOSALDO]]="D"),Base_Periodo1[[#This Row],[SALDO_ATUAL]]*-1,Base_Periodo1[[#This Row],[SALDO_ATUAL]]),4)</f>
        <v>76.42</v>
      </c>
      <c r="N4437" t="s">
        <v>116</v>
      </c>
      <c r="O4437" t="s">
        <v>459</v>
      </c>
      <c r="P4437" t="s">
        <v>459</v>
      </c>
      <c r="Q4437">
        <v>6</v>
      </c>
      <c r="R4437" s="225">
        <f>Base_Periodo1[[#This Row],[CREDITOS]]-Base_Periodo1[[#This Row],[DEBITOS]]</f>
        <v>0</v>
      </c>
      <c r="S4437" s="3" t="str">
        <f>IF(ISERROR(VLOOKUP(Base_Periodo1[[#This Row],[CONTA]],BaseContasDRE[#All],4,FALSE)),"Fora do DRE",VLOOKUP(Base_Periodo1[[#This Row],[CONTA]],BaseContasDRE[#All],4,FALSE))</f>
        <v>Fora do DRE</v>
      </c>
      <c r="T4437" s="3" t="str">
        <f>IF(ISERROR(VLOOKUP(Base_Periodo1[[#This Row],[CONTA]],BaseContasDRE[#All],5,FALSE)),"Fora do DRE",VLOOKUP(Base_Periodo1[[#This Row],[CONTA]],BaseContasDRE[#All],6,FALSE))</f>
        <v>Fora do DRE</v>
      </c>
      <c r="U4437" s="3" t="str">
        <f>IF(ISERROR(VLOOKUP(Base_Periodo1[[#This Row],[CONTA]],BaseContasDRE[#All],7,FALSE)),"Fora do DRE",VLOOKUP(Base_Periodo1[[#This Row],[CONTA]],BaseContasDRE[#All],7,FALSE))</f>
        <v>Fora do DRE</v>
      </c>
      <c r="V4437" s="3" t="str">
        <f>IF(Base_Periodo1[[#This Row],[Tipo_Linha]]="Fora do DRE","Fora do DRE","( "&amp;Base_Periodo1[[#This Row],[Tipo_Linha]]&amp;" ) "&amp;Base_Periodo1[[#This Row],[Filtro]])</f>
        <v>Fora do DRE</v>
      </c>
      <c r="W4437" s="3" t="str">
        <f>LEFT(Base_Periodo1[[#This Row],[CLASS]],3)</f>
        <v>2.4</v>
      </c>
    </row>
    <row r="4438" spans="1:23" hidden="1">
      <c r="A4438" s="3" t="str">
        <f t="shared" si="69"/>
        <v>Período 1</v>
      </c>
      <c r="B4438">
        <v>26517</v>
      </c>
      <c r="C4438" t="s">
        <v>2300</v>
      </c>
      <c r="D4438" t="s">
        <v>2415</v>
      </c>
      <c r="E4438" s="3" t="str">
        <f>IF(LEN(Base_Periodo1[[#This Row],[CLASS]])&gt;=7,LEFT(Base_Periodo1[[#This Row],[CLASS]],7),"")</f>
        <v>2.4.1.1</v>
      </c>
      <c r="F4438" s="3" t="str">
        <f>VLOOKUP(Base_Periodo1[[#This Row],[Aux]],Base_Contas_Balanco[#All],2,FALSE)</f>
        <v>Capital Social Realizado</v>
      </c>
      <c r="G4438" s="1"/>
      <c r="H4438" s="225">
        <v>167.86</v>
      </c>
      <c r="I4438" s="225">
        <v>0</v>
      </c>
      <c r="J4438" s="225">
        <v>0</v>
      </c>
      <c r="K4438" s="225">
        <v>167.86</v>
      </c>
      <c r="L44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167.86</v>
      </c>
      <c r="M4438" s="225">
        <f>ROUND(IF(AND(Base_Periodo1[[#This Row],[Tipo_Linha]]="-",Base_Periodo1[[#This Row],[TIPOSALDO]]="D"),Base_Periodo1[[#This Row],[SALDO_ATUAL]]*-1,Base_Periodo1[[#This Row],[SALDO_ATUAL]]),4)</f>
        <v>167.86</v>
      </c>
      <c r="N4438" t="s">
        <v>116</v>
      </c>
      <c r="O4438" t="s">
        <v>459</v>
      </c>
      <c r="P4438" t="s">
        <v>459</v>
      </c>
      <c r="Q4438">
        <v>6</v>
      </c>
      <c r="R4438" s="225">
        <f>Base_Periodo1[[#This Row],[CREDITOS]]-Base_Periodo1[[#This Row],[DEBITOS]]</f>
        <v>0</v>
      </c>
      <c r="S4438" s="3" t="str">
        <f>IF(ISERROR(VLOOKUP(Base_Periodo1[[#This Row],[CONTA]],BaseContasDRE[#All],4,FALSE)),"Fora do DRE",VLOOKUP(Base_Periodo1[[#This Row],[CONTA]],BaseContasDRE[#All],4,FALSE))</f>
        <v>Fora do DRE</v>
      </c>
      <c r="T4438" s="3" t="str">
        <f>IF(ISERROR(VLOOKUP(Base_Periodo1[[#This Row],[CONTA]],BaseContasDRE[#All],5,FALSE)),"Fora do DRE",VLOOKUP(Base_Periodo1[[#This Row],[CONTA]],BaseContasDRE[#All],6,FALSE))</f>
        <v>Fora do DRE</v>
      </c>
      <c r="U4438" s="3" t="str">
        <f>IF(ISERROR(VLOOKUP(Base_Periodo1[[#This Row],[CONTA]],BaseContasDRE[#All],7,FALSE)),"Fora do DRE",VLOOKUP(Base_Periodo1[[#This Row],[CONTA]],BaseContasDRE[#All],7,FALSE))</f>
        <v>Fora do DRE</v>
      </c>
      <c r="V4438" s="3" t="str">
        <f>IF(Base_Periodo1[[#This Row],[Tipo_Linha]]="Fora do DRE","Fora do DRE","( "&amp;Base_Periodo1[[#This Row],[Tipo_Linha]]&amp;" ) "&amp;Base_Periodo1[[#This Row],[Filtro]])</f>
        <v>Fora do DRE</v>
      </c>
      <c r="W4438" s="3" t="str">
        <f>LEFT(Base_Periodo1[[#This Row],[CLASS]],3)</f>
        <v>2.4</v>
      </c>
    </row>
    <row r="4439" spans="1:23" hidden="1">
      <c r="A4439" s="3" t="str">
        <f t="shared" si="69"/>
        <v>Período 1</v>
      </c>
      <c r="B4439">
        <v>20501</v>
      </c>
      <c r="C4439" t="s">
        <v>2300</v>
      </c>
      <c r="D4439" t="s">
        <v>2416</v>
      </c>
      <c r="E4439" s="3" t="str">
        <f>IF(LEN(Base_Periodo1[[#This Row],[CLASS]])&gt;=7,LEFT(Base_Periodo1[[#This Row],[CLASS]],7),"")</f>
        <v>2.4.1.1</v>
      </c>
      <c r="F4439" s="3" t="str">
        <f>VLOOKUP(Base_Periodo1[[#This Row],[Aux]],Base_Contas_Balanco[#All],2,FALSE)</f>
        <v>Capital Social Realizado</v>
      </c>
      <c r="G4439" s="1"/>
      <c r="H4439" s="225">
        <v>2316.6400000000003</v>
      </c>
      <c r="I4439" s="225">
        <v>0</v>
      </c>
      <c r="J4439" s="225">
        <v>0</v>
      </c>
      <c r="K4439" s="225">
        <v>2316.6400000000003</v>
      </c>
      <c r="L44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2316.64</v>
      </c>
      <c r="M4439" s="225">
        <f>ROUND(IF(AND(Base_Periodo1[[#This Row],[Tipo_Linha]]="-",Base_Periodo1[[#This Row],[TIPOSALDO]]="D"),Base_Periodo1[[#This Row],[SALDO_ATUAL]]*-1,Base_Periodo1[[#This Row],[SALDO_ATUAL]]),4)</f>
        <v>2316.64</v>
      </c>
      <c r="N4439" t="s">
        <v>116</v>
      </c>
      <c r="O4439" t="s">
        <v>459</v>
      </c>
      <c r="P4439" t="s">
        <v>459</v>
      </c>
      <c r="Q4439">
        <v>6</v>
      </c>
      <c r="R4439" s="225">
        <f>Base_Periodo1[[#This Row],[CREDITOS]]-Base_Periodo1[[#This Row],[DEBITOS]]</f>
        <v>0</v>
      </c>
      <c r="S4439" s="3" t="str">
        <f>IF(ISERROR(VLOOKUP(Base_Periodo1[[#This Row],[CONTA]],BaseContasDRE[#All],4,FALSE)),"Fora do DRE",VLOOKUP(Base_Periodo1[[#This Row],[CONTA]],BaseContasDRE[#All],4,FALSE))</f>
        <v>Fora do DRE</v>
      </c>
      <c r="T4439" s="3" t="str">
        <f>IF(ISERROR(VLOOKUP(Base_Periodo1[[#This Row],[CONTA]],BaseContasDRE[#All],5,FALSE)),"Fora do DRE",VLOOKUP(Base_Periodo1[[#This Row],[CONTA]],BaseContasDRE[#All],6,FALSE))</f>
        <v>Fora do DRE</v>
      </c>
      <c r="U4439" s="3" t="str">
        <f>IF(ISERROR(VLOOKUP(Base_Periodo1[[#This Row],[CONTA]],BaseContasDRE[#All],7,FALSE)),"Fora do DRE",VLOOKUP(Base_Periodo1[[#This Row],[CONTA]],BaseContasDRE[#All],7,FALSE))</f>
        <v>Fora do DRE</v>
      </c>
      <c r="V4439" s="3" t="str">
        <f>IF(Base_Periodo1[[#This Row],[Tipo_Linha]]="Fora do DRE","Fora do DRE","( "&amp;Base_Periodo1[[#This Row],[Tipo_Linha]]&amp;" ) "&amp;Base_Periodo1[[#This Row],[Filtro]])</f>
        <v>Fora do DRE</v>
      </c>
      <c r="W4439" s="3" t="str">
        <f>LEFT(Base_Periodo1[[#This Row],[CLASS]],3)</f>
        <v>2.4</v>
      </c>
    </row>
    <row r="4440" spans="1:23" hidden="1">
      <c r="A4440" s="3" t="str">
        <f t="shared" si="69"/>
        <v>Período 1</v>
      </c>
      <c r="B4440">
        <v>25527</v>
      </c>
      <c r="C4440" t="s">
        <v>2300</v>
      </c>
      <c r="D4440" t="s">
        <v>2417</v>
      </c>
      <c r="E4440" s="3" t="str">
        <f>IF(LEN(Base_Periodo1[[#This Row],[CLASS]])&gt;=7,LEFT(Base_Periodo1[[#This Row],[CLASS]],7),"")</f>
        <v>2.4.1.1</v>
      </c>
      <c r="F4440" s="3" t="str">
        <f>VLOOKUP(Base_Periodo1[[#This Row],[Aux]],Base_Contas_Balanco[#All],2,FALSE)</f>
        <v>Capital Social Realizado</v>
      </c>
      <c r="G4440" s="1"/>
      <c r="H4440" s="225">
        <v>282.53000000000003</v>
      </c>
      <c r="I4440" s="225">
        <v>0</v>
      </c>
      <c r="J4440" s="225">
        <v>0</v>
      </c>
      <c r="K4440" s="225">
        <v>282.53000000000003</v>
      </c>
      <c r="L44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282.52999999999997</v>
      </c>
      <c r="M4440" s="225">
        <f>ROUND(IF(AND(Base_Periodo1[[#This Row],[Tipo_Linha]]="-",Base_Periodo1[[#This Row],[TIPOSALDO]]="D"),Base_Periodo1[[#This Row],[SALDO_ATUAL]]*-1,Base_Periodo1[[#This Row],[SALDO_ATUAL]]),4)</f>
        <v>282.52999999999997</v>
      </c>
      <c r="N4440" t="s">
        <v>116</v>
      </c>
      <c r="O4440" t="s">
        <v>459</v>
      </c>
      <c r="P4440" t="s">
        <v>459</v>
      </c>
      <c r="Q4440">
        <v>6</v>
      </c>
      <c r="R4440" s="225">
        <f>Base_Periodo1[[#This Row],[CREDITOS]]-Base_Periodo1[[#This Row],[DEBITOS]]</f>
        <v>0</v>
      </c>
      <c r="S4440" s="3" t="str">
        <f>IF(ISERROR(VLOOKUP(Base_Periodo1[[#This Row],[CONTA]],BaseContasDRE[#All],4,FALSE)),"Fora do DRE",VLOOKUP(Base_Periodo1[[#This Row],[CONTA]],BaseContasDRE[#All],4,FALSE))</f>
        <v>Fora do DRE</v>
      </c>
      <c r="T4440" s="3" t="str">
        <f>IF(ISERROR(VLOOKUP(Base_Periodo1[[#This Row],[CONTA]],BaseContasDRE[#All],5,FALSE)),"Fora do DRE",VLOOKUP(Base_Periodo1[[#This Row],[CONTA]],BaseContasDRE[#All],6,FALSE))</f>
        <v>Fora do DRE</v>
      </c>
      <c r="U4440" s="3" t="str">
        <f>IF(ISERROR(VLOOKUP(Base_Periodo1[[#This Row],[CONTA]],BaseContasDRE[#All],7,FALSE)),"Fora do DRE",VLOOKUP(Base_Periodo1[[#This Row],[CONTA]],BaseContasDRE[#All],7,FALSE))</f>
        <v>Fora do DRE</v>
      </c>
      <c r="V4440" s="3" t="str">
        <f>IF(Base_Periodo1[[#This Row],[Tipo_Linha]]="Fora do DRE","Fora do DRE","( "&amp;Base_Periodo1[[#This Row],[Tipo_Linha]]&amp;" ) "&amp;Base_Periodo1[[#This Row],[Filtro]])</f>
        <v>Fora do DRE</v>
      </c>
      <c r="W4440" s="3" t="str">
        <f>LEFT(Base_Periodo1[[#This Row],[CLASS]],3)</f>
        <v>2.4</v>
      </c>
    </row>
    <row r="4441" spans="1:23" hidden="1">
      <c r="A4441" s="3" t="str">
        <f t="shared" si="69"/>
        <v>Período 1</v>
      </c>
      <c r="B4441">
        <v>57677</v>
      </c>
      <c r="C4441" t="s">
        <v>2300</v>
      </c>
      <c r="D4441" t="s">
        <v>6561</v>
      </c>
      <c r="E4441" s="3" t="str">
        <f>IF(LEN(Base_Periodo1[[#This Row],[CLASS]])&gt;=7,LEFT(Base_Periodo1[[#This Row],[CLASS]],7),"")</f>
        <v>2.4.1.1</v>
      </c>
      <c r="F4441" s="3" t="str">
        <f>VLOOKUP(Base_Periodo1[[#This Row],[Aux]],Base_Contas_Balanco[#All],2,FALSE)</f>
        <v>Capital Social Realizado</v>
      </c>
      <c r="G4441" s="1"/>
      <c r="H4441" s="225">
        <v>50</v>
      </c>
      <c r="I4441" s="225">
        <v>0</v>
      </c>
      <c r="J4441" s="225">
        <v>0</v>
      </c>
      <c r="K4441" s="225">
        <v>50</v>
      </c>
      <c r="L44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441" s="225">
        <f>ROUND(IF(AND(Base_Periodo1[[#This Row],[Tipo_Linha]]="-",Base_Periodo1[[#This Row],[TIPOSALDO]]="D"),Base_Periodo1[[#This Row],[SALDO_ATUAL]]*-1,Base_Periodo1[[#This Row],[SALDO_ATUAL]]),4)</f>
        <v>50</v>
      </c>
      <c r="N4441" t="s">
        <v>116</v>
      </c>
      <c r="O4441" t="s">
        <v>459</v>
      </c>
      <c r="P4441" t="s">
        <v>459</v>
      </c>
      <c r="Q4441">
        <v>6</v>
      </c>
      <c r="R4441" s="225">
        <f>Base_Periodo1[[#This Row],[CREDITOS]]-Base_Periodo1[[#This Row],[DEBITOS]]</f>
        <v>0</v>
      </c>
      <c r="S4441" s="3" t="str">
        <f>IF(ISERROR(VLOOKUP(Base_Periodo1[[#This Row],[CONTA]],BaseContasDRE[#All],4,FALSE)),"Fora do DRE",VLOOKUP(Base_Periodo1[[#This Row],[CONTA]],BaseContasDRE[#All],4,FALSE))</f>
        <v>Fora do DRE</v>
      </c>
      <c r="T4441" s="3" t="str">
        <f>IF(ISERROR(VLOOKUP(Base_Periodo1[[#This Row],[CONTA]],BaseContasDRE[#All],5,FALSE)),"Fora do DRE",VLOOKUP(Base_Periodo1[[#This Row],[CONTA]],BaseContasDRE[#All],6,FALSE))</f>
        <v>Fora do DRE</v>
      </c>
      <c r="U4441" s="3" t="str">
        <f>IF(ISERROR(VLOOKUP(Base_Periodo1[[#This Row],[CONTA]],BaseContasDRE[#All],7,FALSE)),"Fora do DRE",VLOOKUP(Base_Periodo1[[#This Row],[CONTA]],BaseContasDRE[#All],7,FALSE))</f>
        <v>Fora do DRE</v>
      </c>
      <c r="V4441" s="3" t="str">
        <f>IF(Base_Periodo1[[#This Row],[Tipo_Linha]]="Fora do DRE","Fora do DRE","( "&amp;Base_Periodo1[[#This Row],[Tipo_Linha]]&amp;" ) "&amp;Base_Periodo1[[#This Row],[Filtro]])</f>
        <v>Fora do DRE</v>
      </c>
      <c r="W4441" s="3" t="str">
        <f>LEFT(Base_Periodo1[[#This Row],[CLASS]],3)</f>
        <v>2.4</v>
      </c>
    </row>
    <row r="4442" spans="1:23" hidden="1">
      <c r="A4442" s="3" t="str">
        <f t="shared" si="69"/>
        <v>Período 1</v>
      </c>
      <c r="B4442">
        <v>16135</v>
      </c>
      <c r="C4442" t="s">
        <v>2300</v>
      </c>
      <c r="D4442" t="s">
        <v>2418</v>
      </c>
      <c r="E4442" s="3" t="str">
        <f>IF(LEN(Base_Periodo1[[#This Row],[CLASS]])&gt;=7,LEFT(Base_Periodo1[[#This Row],[CLASS]],7),"")</f>
        <v>2.4.1.1</v>
      </c>
      <c r="F4442" s="3" t="str">
        <f>VLOOKUP(Base_Periodo1[[#This Row],[Aux]],Base_Contas_Balanco[#All],2,FALSE)</f>
        <v>Capital Social Realizado</v>
      </c>
      <c r="G4442" s="1"/>
      <c r="H4442" s="225">
        <v>1365.49</v>
      </c>
      <c r="I4442" s="225">
        <v>0</v>
      </c>
      <c r="J4442" s="225">
        <v>0</v>
      </c>
      <c r="K4442" s="225">
        <v>1365.49</v>
      </c>
      <c r="L44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1365.49</v>
      </c>
      <c r="M4442" s="225">
        <f>ROUND(IF(AND(Base_Periodo1[[#This Row],[Tipo_Linha]]="-",Base_Periodo1[[#This Row],[TIPOSALDO]]="D"),Base_Periodo1[[#This Row],[SALDO_ATUAL]]*-1,Base_Periodo1[[#This Row],[SALDO_ATUAL]]),4)</f>
        <v>1365.49</v>
      </c>
      <c r="N4442" t="s">
        <v>116</v>
      </c>
      <c r="O4442" t="s">
        <v>459</v>
      </c>
      <c r="P4442" t="s">
        <v>459</v>
      </c>
      <c r="Q4442">
        <v>6</v>
      </c>
      <c r="R4442" s="225">
        <f>Base_Periodo1[[#This Row],[CREDITOS]]-Base_Periodo1[[#This Row],[DEBITOS]]</f>
        <v>0</v>
      </c>
      <c r="S4442" s="3" t="str">
        <f>IF(ISERROR(VLOOKUP(Base_Periodo1[[#This Row],[CONTA]],BaseContasDRE[#All],4,FALSE)),"Fora do DRE",VLOOKUP(Base_Periodo1[[#This Row],[CONTA]],BaseContasDRE[#All],4,FALSE))</f>
        <v>Fora do DRE</v>
      </c>
      <c r="T4442" s="3" t="str">
        <f>IF(ISERROR(VLOOKUP(Base_Periodo1[[#This Row],[CONTA]],BaseContasDRE[#All],5,FALSE)),"Fora do DRE",VLOOKUP(Base_Periodo1[[#This Row],[CONTA]],BaseContasDRE[#All],6,FALSE))</f>
        <v>Fora do DRE</v>
      </c>
      <c r="U4442" s="3" t="str">
        <f>IF(ISERROR(VLOOKUP(Base_Periodo1[[#This Row],[CONTA]],BaseContasDRE[#All],7,FALSE)),"Fora do DRE",VLOOKUP(Base_Periodo1[[#This Row],[CONTA]],BaseContasDRE[#All],7,FALSE))</f>
        <v>Fora do DRE</v>
      </c>
      <c r="V4442" s="3" t="str">
        <f>IF(Base_Periodo1[[#This Row],[Tipo_Linha]]="Fora do DRE","Fora do DRE","( "&amp;Base_Periodo1[[#This Row],[Tipo_Linha]]&amp;" ) "&amp;Base_Periodo1[[#This Row],[Filtro]])</f>
        <v>Fora do DRE</v>
      </c>
      <c r="W4442" s="3" t="str">
        <f>LEFT(Base_Periodo1[[#This Row],[CLASS]],3)</f>
        <v>2.4</v>
      </c>
    </row>
    <row r="4443" spans="1:23" hidden="1">
      <c r="A4443" s="3" t="str">
        <f t="shared" si="69"/>
        <v>Período 1</v>
      </c>
      <c r="B4443">
        <v>46891</v>
      </c>
      <c r="C4443" t="s">
        <v>2300</v>
      </c>
      <c r="D4443" t="s">
        <v>2419</v>
      </c>
      <c r="E4443" s="3" t="str">
        <f>IF(LEN(Base_Periodo1[[#This Row],[CLASS]])&gt;=7,LEFT(Base_Periodo1[[#This Row],[CLASS]],7),"")</f>
        <v>2.4.1.1</v>
      </c>
      <c r="F4443" s="3" t="str">
        <f>VLOOKUP(Base_Periodo1[[#This Row],[Aux]],Base_Contas_Balanco[#All],2,FALSE)</f>
        <v>Capital Social Realizado</v>
      </c>
      <c r="G4443" s="1"/>
      <c r="H4443" s="225">
        <v>130.98000000000002</v>
      </c>
      <c r="I4443" s="225">
        <v>0</v>
      </c>
      <c r="J4443" s="225">
        <v>0</v>
      </c>
      <c r="K4443" s="225">
        <v>130.98000000000002</v>
      </c>
      <c r="L44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130.97999999999999</v>
      </c>
      <c r="M4443" s="225">
        <f>ROUND(IF(AND(Base_Periodo1[[#This Row],[Tipo_Linha]]="-",Base_Periodo1[[#This Row],[TIPOSALDO]]="D"),Base_Periodo1[[#This Row],[SALDO_ATUAL]]*-1,Base_Periodo1[[#This Row],[SALDO_ATUAL]]),4)</f>
        <v>130.97999999999999</v>
      </c>
      <c r="N4443" t="s">
        <v>116</v>
      </c>
      <c r="O4443" t="s">
        <v>459</v>
      </c>
      <c r="P4443" t="s">
        <v>459</v>
      </c>
      <c r="Q4443">
        <v>6</v>
      </c>
      <c r="R4443" s="225">
        <f>Base_Periodo1[[#This Row],[CREDITOS]]-Base_Periodo1[[#This Row],[DEBITOS]]</f>
        <v>0</v>
      </c>
      <c r="S4443" s="3" t="str">
        <f>IF(ISERROR(VLOOKUP(Base_Periodo1[[#This Row],[CONTA]],BaseContasDRE[#All],4,FALSE)),"Fora do DRE",VLOOKUP(Base_Periodo1[[#This Row],[CONTA]],BaseContasDRE[#All],4,FALSE))</f>
        <v>Fora do DRE</v>
      </c>
      <c r="T4443" s="3" t="str">
        <f>IF(ISERROR(VLOOKUP(Base_Periodo1[[#This Row],[CONTA]],BaseContasDRE[#All],5,FALSE)),"Fora do DRE",VLOOKUP(Base_Periodo1[[#This Row],[CONTA]],BaseContasDRE[#All],6,FALSE))</f>
        <v>Fora do DRE</v>
      </c>
      <c r="U4443" s="3" t="str">
        <f>IF(ISERROR(VLOOKUP(Base_Periodo1[[#This Row],[CONTA]],BaseContasDRE[#All],7,FALSE)),"Fora do DRE",VLOOKUP(Base_Periodo1[[#This Row],[CONTA]],BaseContasDRE[#All],7,FALSE))</f>
        <v>Fora do DRE</v>
      </c>
      <c r="V4443" s="3" t="str">
        <f>IF(Base_Periodo1[[#This Row],[Tipo_Linha]]="Fora do DRE","Fora do DRE","( "&amp;Base_Periodo1[[#This Row],[Tipo_Linha]]&amp;" ) "&amp;Base_Periodo1[[#This Row],[Filtro]])</f>
        <v>Fora do DRE</v>
      </c>
      <c r="W4443" s="3" t="str">
        <f>LEFT(Base_Periodo1[[#This Row],[CLASS]],3)</f>
        <v>2.4</v>
      </c>
    </row>
    <row r="4444" spans="1:23" hidden="1">
      <c r="A4444" s="3" t="str">
        <f t="shared" si="69"/>
        <v>Período 1</v>
      </c>
      <c r="B4444">
        <v>48440</v>
      </c>
      <c r="C4444" t="s">
        <v>2300</v>
      </c>
      <c r="D4444" t="s">
        <v>2420</v>
      </c>
      <c r="E4444" s="3" t="str">
        <f>IF(LEN(Base_Periodo1[[#This Row],[CLASS]])&gt;=7,LEFT(Base_Periodo1[[#This Row],[CLASS]],7),"")</f>
        <v>2.4.1.1</v>
      </c>
      <c r="F4444" s="3" t="str">
        <f>VLOOKUP(Base_Periodo1[[#This Row],[Aux]],Base_Contas_Balanco[#All],2,FALSE)</f>
        <v>Capital Social Realizado</v>
      </c>
      <c r="G4444" s="1"/>
      <c r="H4444" s="225">
        <v>165.79000000000002</v>
      </c>
      <c r="I4444" s="225">
        <v>0</v>
      </c>
      <c r="J4444" s="225">
        <v>0</v>
      </c>
      <c r="K4444" s="225">
        <v>165.79000000000002</v>
      </c>
      <c r="L44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165.79</v>
      </c>
      <c r="M4444" s="225">
        <f>ROUND(IF(AND(Base_Periodo1[[#This Row],[Tipo_Linha]]="-",Base_Periodo1[[#This Row],[TIPOSALDO]]="D"),Base_Periodo1[[#This Row],[SALDO_ATUAL]]*-1,Base_Periodo1[[#This Row],[SALDO_ATUAL]]),4)</f>
        <v>165.79</v>
      </c>
      <c r="N4444" t="s">
        <v>116</v>
      </c>
      <c r="O4444" t="s">
        <v>459</v>
      </c>
      <c r="P4444" t="s">
        <v>459</v>
      </c>
      <c r="Q4444">
        <v>6</v>
      </c>
      <c r="R4444" s="225">
        <f>Base_Periodo1[[#This Row],[CREDITOS]]-Base_Periodo1[[#This Row],[DEBITOS]]</f>
        <v>0</v>
      </c>
      <c r="S4444" s="3" t="str">
        <f>IF(ISERROR(VLOOKUP(Base_Periodo1[[#This Row],[CONTA]],BaseContasDRE[#All],4,FALSE)),"Fora do DRE",VLOOKUP(Base_Periodo1[[#This Row],[CONTA]],BaseContasDRE[#All],4,FALSE))</f>
        <v>Fora do DRE</v>
      </c>
      <c r="T4444" s="3" t="str">
        <f>IF(ISERROR(VLOOKUP(Base_Periodo1[[#This Row],[CONTA]],BaseContasDRE[#All],5,FALSE)),"Fora do DRE",VLOOKUP(Base_Periodo1[[#This Row],[CONTA]],BaseContasDRE[#All],6,FALSE))</f>
        <v>Fora do DRE</v>
      </c>
      <c r="U4444" s="3" t="str">
        <f>IF(ISERROR(VLOOKUP(Base_Periodo1[[#This Row],[CONTA]],BaseContasDRE[#All],7,FALSE)),"Fora do DRE",VLOOKUP(Base_Periodo1[[#This Row],[CONTA]],BaseContasDRE[#All],7,FALSE))</f>
        <v>Fora do DRE</v>
      </c>
      <c r="V4444" s="3" t="str">
        <f>IF(Base_Periodo1[[#This Row],[Tipo_Linha]]="Fora do DRE","Fora do DRE","( "&amp;Base_Periodo1[[#This Row],[Tipo_Linha]]&amp;" ) "&amp;Base_Periodo1[[#This Row],[Filtro]])</f>
        <v>Fora do DRE</v>
      </c>
      <c r="W4444" s="3" t="str">
        <f>LEFT(Base_Periodo1[[#This Row],[CLASS]],3)</f>
        <v>2.4</v>
      </c>
    </row>
    <row r="4445" spans="1:23" hidden="1">
      <c r="A4445" s="3" t="str">
        <f t="shared" si="69"/>
        <v>Período 1</v>
      </c>
      <c r="B4445">
        <v>26673</v>
      </c>
      <c r="C4445" t="s">
        <v>2300</v>
      </c>
      <c r="D4445" t="s">
        <v>2421</v>
      </c>
      <c r="E4445" s="3" t="str">
        <f>IF(LEN(Base_Periodo1[[#This Row],[CLASS]])&gt;=7,LEFT(Base_Periodo1[[#This Row],[CLASS]],7),"")</f>
        <v>2.4.1.1</v>
      </c>
      <c r="F4445" s="3" t="str">
        <f>VLOOKUP(Base_Periodo1[[#This Row],[Aux]],Base_Contas_Balanco[#All],2,FALSE)</f>
        <v>Capital Social Realizado</v>
      </c>
      <c r="G4445" s="1"/>
      <c r="H4445" s="225">
        <v>240</v>
      </c>
      <c r="I4445" s="225">
        <v>0</v>
      </c>
      <c r="J4445" s="225">
        <v>0</v>
      </c>
      <c r="K4445" s="225">
        <v>240</v>
      </c>
      <c r="L44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445" s="225">
        <f>ROUND(IF(AND(Base_Periodo1[[#This Row],[Tipo_Linha]]="-",Base_Periodo1[[#This Row],[TIPOSALDO]]="D"),Base_Periodo1[[#This Row],[SALDO_ATUAL]]*-1,Base_Periodo1[[#This Row],[SALDO_ATUAL]]),4)</f>
        <v>240</v>
      </c>
      <c r="N4445" t="s">
        <v>116</v>
      </c>
      <c r="O4445" t="s">
        <v>459</v>
      </c>
      <c r="P4445" t="s">
        <v>459</v>
      </c>
      <c r="Q4445">
        <v>6</v>
      </c>
      <c r="R4445" s="225">
        <f>Base_Periodo1[[#This Row],[CREDITOS]]-Base_Periodo1[[#This Row],[DEBITOS]]</f>
        <v>0</v>
      </c>
      <c r="S4445" s="3" t="str">
        <f>IF(ISERROR(VLOOKUP(Base_Periodo1[[#This Row],[CONTA]],BaseContasDRE[#All],4,FALSE)),"Fora do DRE",VLOOKUP(Base_Periodo1[[#This Row],[CONTA]],BaseContasDRE[#All],4,FALSE))</f>
        <v>Fora do DRE</v>
      </c>
      <c r="T4445" s="3" t="str">
        <f>IF(ISERROR(VLOOKUP(Base_Periodo1[[#This Row],[CONTA]],BaseContasDRE[#All],5,FALSE)),"Fora do DRE",VLOOKUP(Base_Periodo1[[#This Row],[CONTA]],BaseContasDRE[#All],6,FALSE))</f>
        <v>Fora do DRE</v>
      </c>
      <c r="U4445" s="3" t="str">
        <f>IF(ISERROR(VLOOKUP(Base_Periodo1[[#This Row],[CONTA]],BaseContasDRE[#All],7,FALSE)),"Fora do DRE",VLOOKUP(Base_Periodo1[[#This Row],[CONTA]],BaseContasDRE[#All],7,FALSE))</f>
        <v>Fora do DRE</v>
      </c>
      <c r="V4445" s="3" t="str">
        <f>IF(Base_Periodo1[[#This Row],[Tipo_Linha]]="Fora do DRE","Fora do DRE","( "&amp;Base_Periodo1[[#This Row],[Tipo_Linha]]&amp;" ) "&amp;Base_Periodo1[[#This Row],[Filtro]])</f>
        <v>Fora do DRE</v>
      </c>
      <c r="W4445" s="3" t="str">
        <f>LEFT(Base_Periodo1[[#This Row],[CLASS]],3)</f>
        <v>2.4</v>
      </c>
    </row>
    <row r="4446" spans="1:23" hidden="1">
      <c r="A4446" s="3" t="str">
        <f t="shared" si="69"/>
        <v>Período 1</v>
      </c>
      <c r="B4446">
        <v>19736</v>
      </c>
      <c r="C4446" t="s">
        <v>2300</v>
      </c>
      <c r="D4446" t="s">
        <v>2422</v>
      </c>
      <c r="E4446" s="3" t="str">
        <f>IF(LEN(Base_Periodo1[[#This Row],[CLASS]])&gt;=7,LEFT(Base_Periodo1[[#This Row],[CLASS]],7),"")</f>
        <v>2.4.1.1</v>
      </c>
      <c r="F4446" s="3" t="str">
        <f>VLOOKUP(Base_Periodo1[[#This Row],[Aux]],Base_Contas_Balanco[#All],2,FALSE)</f>
        <v>Capital Social Realizado</v>
      </c>
      <c r="G4446" s="1"/>
      <c r="H4446" s="225">
        <v>1763.51</v>
      </c>
      <c r="I4446" s="225">
        <v>0</v>
      </c>
      <c r="J4446" s="225">
        <v>0</v>
      </c>
      <c r="K4446" s="225">
        <v>1763.51</v>
      </c>
      <c r="L44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1763.51</v>
      </c>
      <c r="M4446" s="225">
        <f>ROUND(IF(AND(Base_Periodo1[[#This Row],[Tipo_Linha]]="-",Base_Periodo1[[#This Row],[TIPOSALDO]]="D"),Base_Periodo1[[#This Row],[SALDO_ATUAL]]*-1,Base_Periodo1[[#This Row],[SALDO_ATUAL]]),4)</f>
        <v>1763.51</v>
      </c>
      <c r="N4446" t="s">
        <v>116</v>
      </c>
      <c r="O4446" t="s">
        <v>459</v>
      </c>
      <c r="P4446" t="s">
        <v>459</v>
      </c>
      <c r="Q4446">
        <v>6</v>
      </c>
      <c r="R4446" s="225">
        <f>Base_Periodo1[[#This Row],[CREDITOS]]-Base_Periodo1[[#This Row],[DEBITOS]]</f>
        <v>0</v>
      </c>
      <c r="S4446" s="3" t="str">
        <f>IF(ISERROR(VLOOKUP(Base_Periodo1[[#This Row],[CONTA]],BaseContasDRE[#All],4,FALSE)),"Fora do DRE",VLOOKUP(Base_Periodo1[[#This Row],[CONTA]],BaseContasDRE[#All],4,FALSE))</f>
        <v>Fora do DRE</v>
      </c>
      <c r="T4446" s="3" t="str">
        <f>IF(ISERROR(VLOOKUP(Base_Periodo1[[#This Row],[CONTA]],BaseContasDRE[#All],5,FALSE)),"Fora do DRE",VLOOKUP(Base_Periodo1[[#This Row],[CONTA]],BaseContasDRE[#All],6,FALSE))</f>
        <v>Fora do DRE</v>
      </c>
      <c r="U4446" s="3" t="str">
        <f>IF(ISERROR(VLOOKUP(Base_Periodo1[[#This Row],[CONTA]],BaseContasDRE[#All],7,FALSE)),"Fora do DRE",VLOOKUP(Base_Periodo1[[#This Row],[CONTA]],BaseContasDRE[#All],7,FALSE))</f>
        <v>Fora do DRE</v>
      </c>
      <c r="V4446" s="3" t="str">
        <f>IF(Base_Periodo1[[#This Row],[Tipo_Linha]]="Fora do DRE","Fora do DRE","( "&amp;Base_Periodo1[[#This Row],[Tipo_Linha]]&amp;" ) "&amp;Base_Periodo1[[#This Row],[Filtro]])</f>
        <v>Fora do DRE</v>
      </c>
      <c r="W4446" s="3" t="str">
        <f>LEFT(Base_Periodo1[[#This Row],[CLASS]],3)</f>
        <v>2.4</v>
      </c>
    </row>
    <row r="4447" spans="1:23" hidden="1">
      <c r="A4447" s="3" t="str">
        <f t="shared" si="69"/>
        <v>Período 1</v>
      </c>
      <c r="B4447">
        <v>57850</v>
      </c>
      <c r="C4447" t="s">
        <v>2300</v>
      </c>
      <c r="D4447" t="s">
        <v>6562</v>
      </c>
      <c r="E4447" s="3" t="str">
        <f>IF(LEN(Base_Periodo1[[#This Row],[CLASS]])&gt;=7,LEFT(Base_Periodo1[[#This Row],[CLASS]],7),"")</f>
        <v>2.4.1.1</v>
      </c>
      <c r="F4447" s="3" t="str">
        <f>VLOOKUP(Base_Periodo1[[#This Row],[Aux]],Base_Contas_Balanco[#All],2,FALSE)</f>
        <v>Capital Social Realizado</v>
      </c>
      <c r="G4447" s="1"/>
      <c r="H4447" s="225">
        <v>50</v>
      </c>
      <c r="I4447" s="225">
        <v>0</v>
      </c>
      <c r="J4447" s="225">
        <v>0</v>
      </c>
      <c r="K4447" s="225">
        <v>50</v>
      </c>
      <c r="L44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447" s="225">
        <f>ROUND(IF(AND(Base_Periodo1[[#This Row],[Tipo_Linha]]="-",Base_Periodo1[[#This Row],[TIPOSALDO]]="D"),Base_Periodo1[[#This Row],[SALDO_ATUAL]]*-1,Base_Periodo1[[#This Row],[SALDO_ATUAL]]),4)</f>
        <v>50</v>
      </c>
      <c r="N4447" t="s">
        <v>116</v>
      </c>
      <c r="O4447" t="s">
        <v>459</v>
      </c>
      <c r="P4447" t="s">
        <v>459</v>
      </c>
      <c r="Q4447">
        <v>6</v>
      </c>
      <c r="R4447" s="225">
        <f>Base_Periodo1[[#This Row],[CREDITOS]]-Base_Periodo1[[#This Row],[DEBITOS]]</f>
        <v>0</v>
      </c>
      <c r="S4447" s="3" t="str">
        <f>IF(ISERROR(VLOOKUP(Base_Periodo1[[#This Row],[CONTA]],BaseContasDRE[#All],4,FALSE)),"Fora do DRE",VLOOKUP(Base_Periodo1[[#This Row],[CONTA]],BaseContasDRE[#All],4,FALSE))</f>
        <v>Fora do DRE</v>
      </c>
      <c r="T4447" s="3" t="str">
        <f>IF(ISERROR(VLOOKUP(Base_Periodo1[[#This Row],[CONTA]],BaseContasDRE[#All],5,FALSE)),"Fora do DRE",VLOOKUP(Base_Periodo1[[#This Row],[CONTA]],BaseContasDRE[#All],6,FALSE))</f>
        <v>Fora do DRE</v>
      </c>
      <c r="U4447" s="3" t="str">
        <f>IF(ISERROR(VLOOKUP(Base_Periodo1[[#This Row],[CONTA]],BaseContasDRE[#All],7,FALSE)),"Fora do DRE",VLOOKUP(Base_Periodo1[[#This Row],[CONTA]],BaseContasDRE[#All],7,FALSE))</f>
        <v>Fora do DRE</v>
      </c>
      <c r="V4447" s="3" t="str">
        <f>IF(Base_Periodo1[[#This Row],[Tipo_Linha]]="Fora do DRE","Fora do DRE","( "&amp;Base_Periodo1[[#This Row],[Tipo_Linha]]&amp;" ) "&amp;Base_Periodo1[[#This Row],[Filtro]])</f>
        <v>Fora do DRE</v>
      </c>
      <c r="W4447" s="3" t="str">
        <f>LEFT(Base_Periodo1[[#This Row],[CLASS]],3)</f>
        <v>2.4</v>
      </c>
    </row>
    <row r="4448" spans="1:23" hidden="1">
      <c r="A4448" s="3" t="str">
        <f t="shared" si="69"/>
        <v>Período 1</v>
      </c>
      <c r="B4448">
        <v>21213</v>
      </c>
      <c r="C4448" t="s">
        <v>2300</v>
      </c>
      <c r="D4448" t="s">
        <v>2423</v>
      </c>
      <c r="E4448" s="3" t="str">
        <f>IF(LEN(Base_Periodo1[[#This Row],[CLASS]])&gt;=7,LEFT(Base_Periodo1[[#This Row],[CLASS]],7),"")</f>
        <v>2.4.1.1</v>
      </c>
      <c r="F4448" s="3" t="str">
        <f>VLOOKUP(Base_Periodo1[[#This Row],[Aux]],Base_Contas_Balanco[#All],2,FALSE)</f>
        <v>Capital Social Realizado</v>
      </c>
      <c r="G4448" s="1"/>
      <c r="H4448" s="225">
        <v>1353.6</v>
      </c>
      <c r="I4448" s="225">
        <v>0</v>
      </c>
      <c r="J4448" s="225">
        <v>0</v>
      </c>
      <c r="K4448" s="225">
        <v>1353.6</v>
      </c>
      <c r="L44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1353.6</v>
      </c>
      <c r="M4448" s="225">
        <f>ROUND(IF(AND(Base_Periodo1[[#This Row],[Tipo_Linha]]="-",Base_Periodo1[[#This Row],[TIPOSALDO]]="D"),Base_Periodo1[[#This Row],[SALDO_ATUAL]]*-1,Base_Periodo1[[#This Row],[SALDO_ATUAL]]),4)</f>
        <v>1353.6</v>
      </c>
      <c r="N4448" t="s">
        <v>116</v>
      </c>
      <c r="O4448" t="s">
        <v>459</v>
      </c>
      <c r="P4448" t="s">
        <v>459</v>
      </c>
      <c r="Q4448">
        <v>6</v>
      </c>
      <c r="R4448" s="225">
        <f>Base_Periodo1[[#This Row],[CREDITOS]]-Base_Periodo1[[#This Row],[DEBITOS]]</f>
        <v>0</v>
      </c>
      <c r="S4448" s="3" t="str">
        <f>IF(ISERROR(VLOOKUP(Base_Periodo1[[#This Row],[CONTA]],BaseContasDRE[#All],4,FALSE)),"Fora do DRE",VLOOKUP(Base_Periodo1[[#This Row],[CONTA]],BaseContasDRE[#All],4,FALSE))</f>
        <v>Fora do DRE</v>
      </c>
      <c r="T4448" s="3" t="str">
        <f>IF(ISERROR(VLOOKUP(Base_Periodo1[[#This Row],[CONTA]],BaseContasDRE[#All],5,FALSE)),"Fora do DRE",VLOOKUP(Base_Periodo1[[#This Row],[CONTA]],BaseContasDRE[#All],6,FALSE))</f>
        <v>Fora do DRE</v>
      </c>
      <c r="U4448" s="3" t="str">
        <f>IF(ISERROR(VLOOKUP(Base_Periodo1[[#This Row],[CONTA]],BaseContasDRE[#All],7,FALSE)),"Fora do DRE",VLOOKUP(Base_Periodo1[[#This Row],[CONTA]],BaseContasDRE[#All],7,FALSE))</f>
        <v>Fora do DRE</v>
      </c>
      <c r="V4448" s="3" t="str">
        <f>IF(Base_Periodo1[[#This Row],[Tipo_Linha]]="Fora do DRE","Fora do DRE","( "&amp;Base_Periodo1[[#This Row],[Tipo_Linha]]&amp;" ) "&amp;Base_Periodo1[[#This Row],[Filtro]])</f>
        <v>Fora do DRE</v>
      </c>
      <c r="W4448" s="3" t="str">
        <f>LEFT(Base_Periodo1[[#This Row],[CLASS]],3)</f>
        <v>2.4</v>
      </c>
    </row>
    <row r="4449" spans="1:23" hidden="1">
      <c r="A4449" s="3" t="str">
        <f t="shared" si="69"/>
        <v>Período 1</v>
      </c>
      <c r="B4449">
        <v>39369</v>
      </c>
      <c r="C4449" t="s">
        <v>2300</v>
      </c>
      <c r="D4449" t="s">
        <v>2424</v>
      </c>
      <c r="E4449" s="3" t="str">
        <f>IF(LEN(Base_Periodo1[[#This Row],[CLASS]])&gt;=7,LEFT(Base_Periodo1[[#This Row],[CLASS]],7),"")</f>
        <v>2.4.1.1</v>
      </c>
      <c r="F4449" s="3" t="str">
        <f>VLOOKUP(Base_Periodo1[[#This Row],[Aux]],Base_Contas_Balanco[#All],2,FALSE)</f>
        <v>Capital Social Realizado</v>
      </c>
      <c r="G4449" s="1"/>
      <c r="H4449" s="225">
        <v>671.54</v>
      </c>
      <c r="I4449" s="225">
        <v>0</v>
      </c>
      <c r="J4449" s="225">
        <v>0</v>
      </c>
      <c r="K4449" s="225">
        <v>671.54</v>
      </c>
      <c r="L44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671.54</v>
      </c>
      <c r="M4449" s="225">
        <f>ROUND(IF(AND(Base_Periodo1[[#This Row],[Tipo_Linha]]="-",Base_Periodo1[[#This Row],[TIPOSALDO]]="D"),Base_Periodo1[[#This Row],[SALDO_ATUAL]]*-1,Base_Periodo1[[#This Row],[SALDO_ATUAL]]),4)</f>
        <v>671.54</v>
      </c>
      <c r="N4449" t="s">
        <v>116</v>
      </c>
      <c r="O4449" t="s">
        <v>459</v>
      </c>
      <c r="P4449" t="s">
        <v>459</v>
      </c>
      <c r="Q4449">
        <v>6</v>
      </c>
      <c r="R4449" s="225">
        <f>Base_Periodo1[[#This Row],[CREDITOS]]-Base_Periodo1[[#This Row],[DEBITOS]]</f>
        <v>0</v>
      </c>
      <c r="S4449" s="3" t="str">
        <f>IF(ISERROR(VLOOKUP(Base_Periodo1[[#This Row],[CONTA]],BaseContasDRE[#All],4,FALSE)),"Fora do DRE",VLOOKUP(Base_Periodo1[[#This Row],[CONTA]],BaseContasDRE[#All],4,FALSE))</f>
        <v>Fora do DRE</v>
      </c>
      <c r="T4449" s="3" t="str">
        <f>IF(ISERROR(VLOOKUP(Base_Periodo1[[#This Row],[CONTA]],BaseContasDRE[#All],5,FALSE)),"Fora do DRE",VLOOKUP(Base_Periodo1[[#This Row],[CONTA]],BaseContasDRE[#All],6,FALSE))</f>
        <v>Fora do DRE</v>
      </c>
      <c r="U4449" s="3" t="str">
        <f>IF(ISERROR(VLOOKUP(Base_Periodo1[[#This Row],[CONTA]],BaseContasDRE[#All],7,FALSE)),"Fora do DRE",VLOOKUP(Base_Periodo1[[#This Row],[CONTA]],BaseContasDRE[#All],7,FALSE))</f>
        <v>Fora do DRE</v>
      </c>
      <c r="V4449" s="3" t="str">
        <f>IF(Base_Periodo1[[#This Row],[Tipo_Linha]]="Fora do DRE","Fora do DRE","( "&amp;Base_Periodo1[[#This Row],[Tipo_Linha]]&amp;" ) "&amp;Base_Periodo1[[#This Row],[Filtro]])</f>
        <v>Fora do DRE</v>
      </c>
      <c r="W4449" s="3" t="str">
        <f>LEFT(Base_Periodo1[[#This Row],[CLASS]],3)</f>
        <v>2.4</v>
      </c>
    </row>
    <row r="4450" spans="1:23" hidden="1">
      <c r="A4450" s="3" t="str">
        <f t="shared" si="69"/>
        <v>Período 1</v>
      </c>
      <c r="B4450">
        <v>24109</v>
      </c>
      <c r="C4450" t="s">
        <v>2300</v>
      </c>
      <c r="D4450" t="s">
        <v>2425</v>
      </c>
      <c r="E4450" s="3" t="str">
        <f>IF(LEN(Base_Periodo1[[#This Row],[CLASS]])&gt;=7,LEFT(Base_Periodo1[[#This Row],[CLASS]],7),"")</f>
        <v>2.4.1.1</v>
      </c>
      <c r="F4450" s="3" t="str">
        <f>VLOOKUP(Base_Periodo1[[#This Row],[Aux]],Base_Contas_Balanco[#All],2,FALSE)</f>
        <v>Capital Social Realizado</v>
      </c>
      <c r="G4450" s="1"/>
      <c r="H4450" s="225">
        <v>1427.05</v>
      </c>
      <c r="I4450" s="225">
        <v>0</v>
      </c>
      <c r="J4450" s="225">
        <v>0</v>
      </c>
      <c r="K4450" s="225">
        <v>1427.05</v>
      </c>
      <c r="L44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1427.05</v>
      </c>
      <c r="M4450" s="225">
        <f>ROUND(IF(AND(Base_Periodo1[[#This Row],[Tipo_Linha]]="-",Base_Periodo1[[#This Row],[TIPOSALDO]]="D"),Base_Periodo1[[#This Row],[SALDO_ATUAL]]*-1,Base_Periodo1[[#This Row],[SALDO_ATUAL]]),4)</f>
        <v>1427.05</v>
      </c>
      <c r="N4450" t="s">
        <v>116</v>
      </c>
      <c r="O4450" t="s">
        <v>459</v>
      </c>
      <c r="P4450" t="s">
        <v>459</v>
      </c>
      <c r="Q4450">
        <v>6</v>
      </c>
      <c r="R4450" s="225">
        <f>Base_Periodo1[[#This Row],[CREDITOS]]-Base_Periodo1[[#This Row],[DEBITOS]]</f>
        <v>0</v>
      </c>
      <c r="S4450" s="3" t="str">
        <f>IF(ISERROR(VLOOKUP(Base_Periodo1[[#This Row],[CONTA]],BaseContasDRE[#All],4,FALSE)),"Fora do DRE",VLOOKUP(Base_Periodo1[[#This Row],[CONTA]],BaseContasDRE[#All],4,FALSE))</f>
        <v>Fora do DRE</v>
      </c>
      <c r="T4450" s="3" t="str">
        <f>IF(ISERROR(VLOOKUP(Base_Periodo1[[#This Row],[CONTA]],BaseContasDRE[#All],5,FALSE)),"Fora do DRE",VLOOKUP(Base_Periodo1[[#This Row],[CONTA]],BaseContasDRE[#All],6,FALSE))</f>
        <v>Fora do DRE</v>
      </c>
      <c r="U4450" s="3" t="str">
        <f>IF(ISERROR(VLOOKUP(Base_Periodo1[[#This Row],[CONTA]],BaseContasDRE[#All],7,FALSE)),"Fora do DRE",VLOOKUP(Base_Periodo1[[#This Row],[CONTA]],BaseContasDRE[#All],7,FALSE))</f>
        <v>Fora do DRE</v>
      </c>
      <c r="V4450" s="3" t="str">
        <f>IF(Base_Periodo1[[#This Row],[Tipo_Linha]]="Fora do DRE","Fora do DRE","( "&amp;Base_Periodo1[[#This Row],[Tipo_Linha]]&amp;" ) "&amp;Base_Periodo1[[#This Row],[Filtro]])</f>
        <v>Fora do DRE</v>
      </c>
      <c r="W4450" s="3" t="str">
        <f>LEFT(Base_Periodo1[[#This Row],[CLASS]],3)</f>
        <v>2.4</v>
      </c>
    </row>
    <row r="4451" spans="1:23" hidden="1">
      <c r="A4451" s="3" t="str">
        <f t="shared" si="69"/>
        <v>Período 1</v>
      </c>
      <c r="B4451">
        <v>29241</v>
      </c>
      <c r="C4451" t="s">
        <v>2300</v>
      </c>
      <c r="D4451" t="s">
        <v>4619</v>
      </c>
      <c r="E4451" s="3" t="str">
        <f>IF(LEN(Base_Periodo1[[#This Row],[CLASS]])&gt;=7,LEFT(Base_Periodo1[[#This Row],[CLASS]],7),"")</f>
        <v>2.4.1.1</v>
      </c>
      <c r="F4451" s="3" t="str">
        <f>VLOOKUP(Base_Periodo1[[#This Row],[Aux]],Base_Contas_Balanco[#All],2,FALSE)</f>
        <v>Capital Social Realizado</v>
      </c>
      <c r="G4451" s="1"/>
      <c r="H4451" s="225">
        <v>3801.62</v>
      </c>
      <c r="I4451" s="225">
        <v>0</v>
      </c>
      <c r="J4451" s="225">
        <v>0</v>
      </c>
      <c r="K4451" s="225">
        <v>3801.62</v>
      </c>
      <c r="L44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3801.62</v>
      </c>
      <c r="M4451" s="225">
        <f>ROUND(IF(AND(Base_Periodo1[[#This Row],[Tipo_Linha]]="-",Base_Periodo1[[#This Row],[TIPOSALDO]]="D"),Base_Periodo1[[#This Row],[SALDO_ATUAL]]*-1,Base_Periodo1[[#This Row],[SALDO_ATUAL]]),4)</f>
        <v>3801.62</v>
      </c>
      <c r="N4451" t="s">
        <v>116</v>
      </c>
      <c r="O4451" t="s">
        <v>459</v>
      </c>
      <c r="P4451" t="s">
        <v>459</v>
      </c>
      <c r="Q4451">
        <v>6</v>
      </c>
      <c r="R4451" s="225">
        <f>Base_Periodo1[[#This Row],[CREDITOS]]-Base_Periodo1[[#This Row],[DEBITOS]]</f>
        <v>0</v>
      </c>
      <c r="S4451" s="3" t="str">
        <f>IF(ISERROR(VLOOKUP(Base_Periodo1[[#This Row],[CONTA]],BaseContasDRE[#All],4,FALSE)),"Fora do DRE",VLOOKUP(Base_Periodo1[[#This Row],[CONTA]],BaseContasDRE[#All],4,FALSE))</f>
        <v>Fora do DRE</v>
      </c>
      <c r="T4451" s="3" t="str">
        <f>IF(ISERROR(VLOOKUP(Base_Periodo1[[#This Row],[CONTA]],BaseContasDRE[#All],5,FALSE)),"Fora do DRE",VLOOKUP(Base_Periodo1[[#This Row],[CONTA]],BaseContasDRE[#All],6,FALSE))</f>
        <v>Fora do DRE</v>
      </c>
      <c r="U4451" s="3" t="str">
        <f>IF(ISERROR(VLOOKUP(Base_Periodo1[[#This Row],[CONTA]],BaseContasDRE[#All],7,FALSE)),"Fora do DRE",VLOOKUP(Base_Periodo1[[#This Row],[CONTA]],BaseContasDRE[#All],7,FALSE))</f>
        <v>Fora do DRE</v>
      </c>
      <c r="V4451" s="3" t="str">
        <f>IF(Base_Periodo1[[#This Row],[Tipo_Linha]]="Fora do DRE","Fora do DRE","( "&amp;Base_Periodo1[[#This Row],[Tipo_Linha]]&amp;" ) "&amp;Base_Periodo1[[#This Row],[Filtro]])</f>
        <v>Fora do DRE</v>
      </c>
      <c r="W4451" s="3" t="str">
        <f>LEFT(Base_Periodo1[[#This Row],[CLASS]],3)</f>
        <v>2.4</v>
      </c>
    </row>
    <row r="4452" spans="1:23" hidden="1">
      <c r="A4452" s="3" t="str">
        <f t="shared" si="69"/>
        <v>Período 1</v>
      </c>
      <c r="B4452">
        <v>34395</v>
      </c>
      <c r="C4452" t="s">
        <v>2300</v>
      </c>
      <c r="D4452" t="s">
        <v>2426</v>
      </c>
      <c r="E4452" s="3" t="str">
        <f>IF(LEN(Base_Periodo1[[#This Row],[CLASS]])&gt;=7,LEFT(Base_Periodo1[[#This Row],[CLASS]],7),"")</f>
        <v>2.4.1.1</v>
      </c>
      <c r="F4452" s="3" t="str">
        <f>VLOOKUP(Base_Periodo1[[#This Row],[Aux]],Base_Contas_Balanco[#All],2,FALSE)</f>
        <v>Capital Social Realizado</v>
      </c>
      <c r="G4452" s="1"/>
      <c r="H4452" s="225">
        <v>327.76</v>
      </c>
      <c r="I4452" s="225">
        <v>0</v>
      </c>
      <c r="J4452" s="225">
        <v>0</v>
      </c>
      <c r="K4452" s="225">
        <v>327.76</v>
      </c>
      <c r="L44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327.76</v>
      </c>
      <c r="M4452" s="225">
        <f>ROUND(IF(AND(Base_Periodo1[[#This Row],[Tipo_Linha]]="-",Base_Periodo1[[#This Row],[TIPOSALDO]]="D"),Base_Periodo1[[#This Row],[SALDO_ATUAL]]*-1,Base_Periodo1[[#This Row],[SALDO_ATUAL]]),4)</f>
        <v>327.76</v>
      </c>
      <c r="N4452" t="s">
        <v>116</v>
      </c>
      <c r="O4452" t="s">
        <v>459</v>
      </c>
      <c r="P4452" t="s">
        <v>459</v>
      </c>
      <c r="Q4452">
        <v>6</v>
      </c>
      <c r="R4452" s="225">
        <f>Base_Periodo1[[#This Row],[CREDITOS]]-Base_Periodo1[[#This Row],[DEBITOS]]</f>
        <v>0</v>
      </c>
      <c r="S4452" s="3" t="str">
        <f>IF(ISERROR(VLOOKUP(Base_Periodo1[[#This Row],[CONTA]],BaseContasDRE[#All],4,FALSE)),"Fora do DRE",VLOOKUP(Base_Periodo1[[#This Row],[CONTA]],BaseContasDRE[#All],4,FALSE))</f>
        <v>Fora do DRE</v>
      </c>
      <c r="T4452" s="3" t="str">
        <f>IF(ISERROR(VLOOKUP(Base_Periodo1[[#This Row],[CONTA]],BaseContasDRE[#All],5,FALSE)),"Fora do DRE",VLOOKUP(Base_Periodo1[[#This Row],[CONTA]],BaseContasDRE[#All],6,FALSE))</f>
        <v>Fora do DRE</v>
      </c>
      <c r="U4452" s="3" t="str">
        <f>IF(ISERROR(VLOOKUP(Base_Periodo1[[#This Row],[CONTA]],BaseContasDRE[#All],7,FALSE)),"Fora do DRE",VLOOKUP(Base_Periodo1[[#This Row],[CONTA]],BaseContasDRE[#All],7,FALSE))</f>
        <v>Fora do DRE</v>
      </c>
      <c r="V4452" s="3" t="str">
        <f>IF(Base_Periodo1[[#This Row],[Tipo_Linha]]="Fora do DRE","Fora do DRE","( "&amp;Base_Periodo1[[#This Row],[Tipo_Linha]]&amp;" ) "&amp;Base_Periodo1[[#This Row],[Filtro]])</f>
        <v>Fora do DRE</v>
      </c>
      <c r="W4452" s="3" t="str">
        <f>LEFT(Base_Periodo1[[#This Row],[CLASS]],3)</f>
        <v>2.4</v>
      </c>
    </row>
    <row r="4453" spans="1:23" hidden="1">
      <c r="A4453" s="3" t="str">
        <f t="shared" si="69"/>
        <v>Período 1</v>
      </c>
      <c r="B4453">
        <v>24594</v>
      </c>
      <c r="C4453" t="s">
        <v>2300</v>
      </c>
      <c r="D4453" t="s">
        <v>2427</v>
      </c>
      <c r="E4453" s="3" t="str">
        <f>IF(LEN(Base_Periodo1[[#This Row],[CLASS]])&gt;=7,LEFT(Base_Periodo1[[#This Row],[CLASS]],7),"")</f>
        <v>2.4.1.1</v>
      </c>
      <c r="F4453" s="3" t="str">
        <f>VLOOKUP(Base_Periodo1[[#This Row],[Aux]],Base_Contas_Balanco[#All],2,FALSE)</f>
        <v>Capital Social Realizado</v>
      </c>
      <c r="G4453" s="1"/>
      <c r="H4453" s="225">
        <v>406.46000000000004</v>
      </c>
      <c r="I4453" s="225">
        <v>0</v>
      </c>
      <c r="J4453" s="225">
        <v>0</v>
      </c>
      <c r="K4453" s="225">
        <v>406.46000000000004</v>
      </c>
      <c r="L44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406.46</v>
      </c>
      <c r="M4453" s="225">
        <f>ROUND(IF(AND(Base_Periodo1[[#This Row],[Tipo_Linha]]="-",Base_Periodo1[[#This Row],[TIPOSALDO]]="D"),Base_Periodo1[[#This Row],[SALDO_ATUAL]]*-1,Base_Periodo1[[#This Row],[SALDO_ATUAL]]),4)</f>
        <v>406.46</v>
      </c>
      <c r="N4453" t="s">
        <v>116</v>
      </c>
      <c r="O4453" t="s">
        <v>459</v>
      </c>
      <c r="P4453" t="s">
        <v>459</v>
      </c>
      <c r="Q4453">
        <v>6</v>
      </c>
      <c r="R4453" s="225">
        <f>Base_Periodo1[[#This Row],[CREDITOS]]-Base_Periodo1[[#This Row],[DEBITOS]]</f>
        <v>0</v>
      </c>
      <c r="S4453" s="3" t="str">
        <f>IF(ISERROR(VLOOKUP(Base_Periodo1[[#This Row],[CONTA]],BaseContasDRE[#All],4,FALSE)),"Fora do DRE",VLOOKUP(Base_Periodo1[[#This Row],[CONTA]],BaseContasDRE[#All],4,FALSE))</f>
        <v>Fora do DRE</v>
      </c>
      <c r="T4453" s="3" t="str">
        <f>IF(ISERROR(VLOOKUP(Base_Periodo1[[#This Row],[CONTA]],BaseContasDRE[#All],5,FALSE)),"Fora do DRE",VLOOKUP(Base_Periodo1[[#This Row],[CONTA]],BaseContasDRE[#All],6,FALSE))</f>
        <v>Fora do DRE</v>
      </c>
      <c r="U4453" s="3" t="str">
        <f>IF(ISERROR(VLOOKUP(Base_Periodo1[[#This Row],[CONTA]],BaseContasDRE[#All],7,FALSE)),"Fora do DRE",VLOOKUP(Base_Periodo1[[#This Row],[CONTA]],BaseContasDRE[#All],7,FALSE))</f>
        <v>Fora do DRE</v>
      </c>
      <c r="V4453" s="3" t="str">
        <f>IF(Base_Periodo1[[#This Row],[Tipo_Linha]]="Fora do DRE","Fora do DRE","( "&amp;Base_Periodo1[[#This Row],[Tipo_Linha]]&amp;" ) "&amp;Base_Periodo1[[#This Row],[Filtro]])</f>
        <v>Fora do DRE</v>
      </c>
      <c r="W4453" s="3" t="str">
        <f>LEFT(Base_Periodo1[[#This Row],[CLASS]],3)</f>
        <v>2.4</v>
      </c>
    </row>
    <row r="4454" spans="1:23" hidden="1">
      <c r="A4454" s="3" t="str">
        <f t="shared" si="69"/>
        <v>Período 1</v>
      </c>
      <c r="B4454">
        <v>26360</v>
      </c>
      <c r="C4454" t="s">
        <v>2300</v>
      </c>
      <c r="D4454" t="s">
        <v>2428</v>
      </c>
      <c r="E4454" s="3" t="str">
        <f>IF(LEN(Base_Periodo1[[#This Row],[CLASS]])&gt;=7,LEFT(Base_Periodo1[[#This Row],[CLASS]],7),"")</f>
        <v>2.4.1.1</v>
      </c>
      <c r="F4454" s="3" t="str">
        <f>VLOOKUP(Base_Periodo1[[#This Row],[Aux]],Base_Contas_Balanco[#All],2,FALSE)</f>
        <v>Capital Social Realizado</v>
      </c>
      <c r="G4454" s="1"/>
      <c r="H4454" s="225">
        <v>235.92</v>
      </c>
      <c r="I4454" s="225">
        <v>0</v>
      </c>
      <c r="J4454" s="225">
        <v>0</v>
      </c>
      <c r="K4454" s="225">
        <v>235.92</v>
      </c>
      <c r="L44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235.92</v>
      </c>
      <c r="M4454" s="225">
        <f>ROUND(IF(AND(Base_Periodo1[[#This Row],[Tipo_Linha]]="-",Base_Periodo1[[#This Row],[TIPOSALDO]]="D"),Base_Periodo1[[#This Row],[SALDO_ATUAL]]*-1,Base_Periodo1[[#This Row],[SALDO_ATUAL]]),4)</f>
        <v>235.92</v>
      </c>
      <c r="N4454" t="s">
        <v>116</v>
      </c>
      <c r="O4454" t="s">
        <v>459</v>
      </c>
      <c r="P4454" t="s">
        <v>459</v>
      </c>
      <c r="Q4454">
        <v>6</v>
      </c>
      <c r="R4454" s="225">
        <f>Base_Periodo1[[#This Row],[CREDITOS]]-Base_Periodo1[[#This Row],[DEBITOS]]</f>
        <v>0</v>
      </c>
      <c r="S4454" s="3" t="str">
        <f>IF(ISERROR(VLOOKUP(Base_Periodo1[[#This Row],[CONTA]],BaseContasDRE[#All],4,FALSE)),"Fora do DRE",VLOOKUP(Base_Periodo1[[#This Row],[CONTA]],BaseContasDRE[#All],4,FALSE))</f>
        <v>Fora do DRE</v>
      </c>
      <c r="T4454" s="3" t="str">
        <f>IF(ISERROR(VLOOKUP(Base_Periodo1[[#This Row],[CONTA]],BaseContasDRE[#All],5,FALSE)),"Fora do DRE",VLOOKUP(Base_Periodo1[[#This Row],[CONTA]],BaseContasDRE[#All],6,FALSE))</f>
        <v>Fora do DRE</v>
      </c>
      <c r="U4454" s="3" t="str">
        <f>IF(ISERROR(VLOOKUP(Base_Periodo1[[#This Row],[CONTA]],BaseContasDRE[#All],7,FALSE)),"Fora do DRE",VLOOKUP(Base_Periodo1[[#This Row],[CONTA]],BaseContasDRE[#All],7,FALSE))</f>
        <v>Fora do DRE</v>
      </c>
      <c r="V4454" s="3" t="str">
        <f>IF(Base_Periodo1[[#This Row],[Tipo_Linha]]="Fora do DRE","Fora do DRE","( "&amp;Base_Periodo1[[#This Row],[Tipo_Linha]]&amp;" ) "&amp;Base_Periodo1[[#This Row],[Filtro]])</f>
        <v>Fora do DRE</v>
      </c>
      <c r="W4454" s="3" t="str">
        <f>LEFT(Base_Periodo1[[#This Row],[CLASS]],3)</f>
        <v>2.4</v>
      </c>
    </row>
    <row r="4455" spans="1:23" hidden="1">
      <c r="A4455" s="3" t="str">
        <f t="shared" si="69"/>
        <v>Período 1</v>
      </c>
      <c r="B4455">
        <v>19308</v>
      </c>
      <c r="C4455" t="s">
        <v>2300</v>
      </c>
      <c r="D4455" t="s">
        <v>2429</v>
      </c>
      <c r="E4455" s="3" t="str">
        <f>IF(LEN(Base_Periodo1[[#This Row],[CLASS]])&gt;=7,LEFT(Base_Periodo1[[#This Row],[CLASS]],7),"")</f>
        <v>2.4.1.1</v>
      </c>
      <c r="F4455" s="3" t="str">
        <f>VLOOKUP(Base_Periodo1[[#This Row],[Aux]],Base_Contas_Balanco[#All],2,FALSE)</f>
        <v>Capital Social Realizado</v>
      </c>
      <c r="G4455" s="1"/>
      <c r="H4455" s="225">
        <v>202.78</v>
      </c>
      <c r="I4455" s="225">
        <v>0</v>
      </c>
      <c r="J4455" s="225">
        <v>0</v>
      </c>
      <c r="K4455" s="225">
        <v>202.78</v>
      </c>
      <c r="L44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202.78</v>
      </c>
      <c r="M4455" s="225">
        <f>ROUND(IF(AND(Base_Periodo1[[#This Row],[Tipo_Linha]]="-",Base_Periodo1[[#This Row],[TIPOSALDO]]="D"),Base_Periodo1[[#This Row],[SALDO_ATUAL]]*-1,Base_Periodo1[[#This Row],[SALDO_ATUAL]]),4)</f>
        <v>202.78</v>
      </c>
      <c r="N4455" t="s">
        <v>116</v>
      </c>
      <c r="O4455" t="s">
        <v>459</v>
      </c>
      <c r="P4455" t="s">
        <v>459</v>
      </c>
      <c r="Q4455">
        <v>6</v>
      </c>
      <c r="R4455" s="225">
        <f>Base_Periodo1[[#This Row],[CREDITOS]]-Base_Periodo1[[#This Row],[DEBITOS]]</f>
        <v>0</v>
      </c>
      <c r="S4455" s="3" t="str">
        <f>IF(ISERROR(VLOOKUP(Base_Periodo1[[#This Row],[CONTA]],BaseContasDRE[#All],4,FALSE)),"Fora do DRE",VLOOKUP(Base_Periodo1[[#This Row],[CONTA]],BaseContasDRE[#All],4,FALSE))</f>
        <v>Fora do DRE</v>
      </c>
      <c r="T4455" s="3" t="str">
        <f>IF(ISERROR(VLOOKUP(Base_Periodo1[[#This Row],[CONTA]],BaseContasDRE[#All],5,FALSE)),"Fora do DRE",VLOOKUP(Base_Periodo1[[#This Row],[CONTA]],BaseContasDRE[#All],6,FALSE))</f>
        <v>Fora do DRE</v>
      </c>
      <c r="U4455" s="3" t="str">
        <f>IF(ISERROR(VLOOKUP(Base_Periodo1[[#This Row],[CONTA]],BaseContasDRE[#All],7,FALSE)),"Fora do DRE",VLOOKUP(Base_Periodo1[[#This Row],[CONTA]],BaseContasDRE[#All],7,FALSE))</f>
        <v>Fora do DRE</v>
      </c>
      <c r="V4455" s="3" t="str">
        <f>IF(Base_Periodo1[[#This Row],[Tipo_Linha]]="Fora do DRE","Fora do DRE","( "&amp;Base_Periodo1[[#This Row],[Tipo_Linha]]&amp;" ) "&amp;Base_Periodo1[[#This Row],[Filtro]])</f>
        <v>Fora do DRE</v>
      </c>
      <c r="W4455" s="3" t="str">
        <f>LEFT(Base_Periodo1[[#This Row],[CLASS]],3)</f>
        <v>2.4</v>
      </c>
    </row>
    <row r="4456" spans="1:23" hidden="1">
      <c r="A4456" s="3" t="str">
        <f t="shared" si="69"/>
        <v>Período 1</v>
      </c>
      <c r="B4456">
        <v>23315</v>
      </c>
      <c r="C4456" t="s">
        <v>2300</v>
      </c>
      <c r="D4456" t="s">
        <v>2430</v>
      </c>
      <c r="E4456" s="3" t="str">
        <f>IF(LEN(Base_Periodo1[[#This Row],[CLASS]])&gt;=7,LEFT(Base_Periodo1[[#This Row],[CLASS]],7),"")</f>
        <v>2.4.1.1</v>
      </c>
      <c r="F4456" s="3" t="str">
        <f>VLOOKUP(Base_Periodo1[[#This Row],[Aux]],Base_Contas_Balanco[#All],2,FALSE)</f>
        <v>Capital Social Realizado</v>
      </c>
      <c r="G4456" s="1"/>
      <c r="H4456" s="225">
        <v>3095.8</v>
      </c>
      <c r="I4456" s="225">
        <v>0</v>
      </c>
      <c r="J4456" s="225">
        <v>0</v>
      </c>
      <c r="K4456" s="225">
        <v>3095.8</v>
      </c>
      <c r="L44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3095.8</v>
      </c>
      <c r="M4456" s="225">
        <f>ROUND(IF(AND(Base_Periodo1[[#This Row],[Tipo_Linha]]="-",Base_Periodo1[[#This Row],[TIPOSALDO]]="D"),Base_Periodo1[[#This Row],[SALDO_ATUAL]]*-1,Base_Periodo1[[#This Row],[SALDO_ATUAL]]),4)</f>
        <v>3095.8</v>
      </c>
      <c r="N4456" t="s">
        <v>116</v>
      </c>
      <c r="O4456" t="s">
        <v>459</v>
      </c>
      <c r="P4456" t="s">
        <v>459</v>
      </c>
      <c r="Q4456">
        <v>6</v>
      </c>
      <c r="R4456" s="225">
        <f>Base_Periodo1[[#This Row],[CREDITOS]]-Base_Periodo1[[#This Row],[DEBITOS]]</f>
        <v>0</v>
      </c>
      <c r="S4456" s="3" t="str">
        <f>IF(ISERROR(VLOOKUP(Base_Periodo1[[#This Row],[CONTA]],BaseContasDRE[#All],4,FALSE)),"Fora do DRE",VLOOKUP(Base_Periodo1[[#This Row],[CONTA]],BaseContasDRE[#All],4,FALSE))</f>
        <v>Fora do DRE</v>
      </c>
      <c r="T4456" s="3" t="str">
        <f>IF(ISERROR(VLOOKUP(Base_Periodo1[[#This Row],[CONTA]],BaseContasDRE[#All],5,FALSE)),"Fora do DRE",VLOOKUP(Base_Periodo1[[#This Row],[CONTA]],BaseContasDRE[#All],6,FALSE))</f>
        <v>Fora do DRE</v>
      </c>
      <c r="U4456" s="3" t="str">
        <f>IF(ISERROR(VLOOKUP(Base_Periodo1[[#This Row],[CONTA]],BaseContasDRE[#All],7,FALSE)),"Fora do DRE",VLOOKUP(Base_Periodo1[[#This Row],[CONTA]],BaseContasDRE[#All],7,FALSE))</f>
        <v>Fora do DRE</v>
      </c>
      <c r="V4456" s="3" t="str">
        <f>IF(Base_Periodo1[[#This Row],[Tipo_Linha]]="Fora do DRE","Fora do DRE","( "&amp;Base_Periodo1[[#This Row],[Tipo_Linha]]&amp;" ) "&amp;Base_Periodo1[[#This Row],[Filtro]])</f>
        <v>Fora do DRE</v>
      </c>
      <c r="W4456" s="3" t="str">
        <f>LEFT(Base_Periodo1[[#This Row],[CLASS]],3)</f>
        <v>2.4</v>
      </c>
    </row>
    <row r="4457" spans="1:23" hidden="1">
      <c r="A4457" s="3" t="str">
        <f t="shared" si="69"/>
        <v>Período 1</v>
      </c>
      <c r="B4457">
        <v>16212</v>
      </c>
      <c r="C4457" t="s">
        <v>2300</v>
      </c>
      <c r="D4457" t="s">
        <v>2431</v>
      </c>
      <c r="E4457" s="3" t="str">
        <f>IF(LEN(Base_Periodo1[[#This Row],[CLASS]])&gt;=7,LEFT(Base_Periodo1[[#This Row],[CLASS]],7),"")</f>
        <v>2.4.1.1</v>
      </c>
      <c r="F4457" s="3" t="str">
        <f>VLOOKUP(Base_Periodo1[[#This Row],[Aux]],Base_Contas_Balanco[#All],2,FALSE)</f>
        <v>Capital Social Realizado</v>
      </c>
      <c r="G4457" s="1"/>
      <c r="H4457" s="225">
        <v>19305.919999999998</v>
      </c>
      <c r="I4457" s="225">
        <v>0</v>
      </c>
      <c r="J4457" s="225">
        <v>0</v>
      </c>
      <c r="K4457" s="225">
        <v>19305.919999999998</v>
      </c>
      <c r="L44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19305.919999999998</v>
      </c>
      <c r="M4457" s="225">
        <f>ROUND(IF(AND(Base_Periodo1[[#This Row],[Tipo_Linha]]="-",Base_Periodo1[[#This Row],[TIPOSALDO]]="D"),Base_Periodo1[[#This Row],[SALDO_ATUAL]]*-1,Base_Periodo1[[#This Row],[SALDO_ATUAL]]),4)</f>
        <v>19305.919999999998</v>
      </c>
      <c r="N4457" t="s">
        <v>116</v>
      </c>
      <c r="O4457" t="s">
        <v>459</v>
      </c>
      <c r="P4457" t="s">
        <v>459</v>
      </c>
      <c r="Q4457">
        <v>6</v>
      </c>
      <c r="R4457" s="225">
        <f>Base_Periodo1[[#This Row],[CREDITOS]]-Base_Periodo1[[#This Row],[DEBITOS]]</f>
        <v>0</v>
      </c>
      <c r="S4457" s="3" t="str">
        <f>IF(ISERROR(VLOOKUP(Base_Periodo1[[#This Row],[CONTA]],BaseContasDRE[#All],4,FALSE)),"Fora do DRE",VLOOKUP(Base_Periodo1[[#This Row],[CONTA]],BaseContasDRE[#All],4,FALSE))</f>
        <v>Fora do DRE</v>
      </c>
      <c r="T4457" s="3" t="str">
        <f>IF(ISERROR(VLOOKUP(Base_Periodo1[[#This Row],[CONTA]],BaseContasDRE[#All],5,FALSE)),"Fora do DRE",VLOOKUP(Base_Periodo1[[#This Row],[CONTA]],BaseContasDRE[#All],6,FALSE))</f>
        <v>Fora do DRE</v>
      </c>
      <c r="U4457" s="3" t="str">
        <f>IF(ISERROR(VLOOKUP(Base_Periodo1[[#This Row],[CONTA]],BaseContasDRE[#All],7,FALSE)),"Fora do DRE",VLOOKUP(Base_Periodo1[[#This Row],[CONTA]],BaseContasDRE[#All],7,FALSE))</f>
        <v>Fora do DRE</v>
      </c>
      <c r="V4457" s="3" t="str">
        <f>IF(Base_Periodo1[[#This Row],[Tipo_Linha]]="Fora do DRE","Fora do DRE","( "&amp;Base_Periodo1[[#This Row],[Tipo_Linha]]&amp;" ) "&amp;Base_Periodo1[[#This Row],[Filtro]])</f>
        <v>Fora do DRE</v>
      </c>
      <c r="W4457" s="3" t="str">
        <f>LEFT(Base_Periodo1[[#This Row],[CLASS]],3)</f>
        <v>2.4</v>
      </c>
    </row>
    <row r="4458" spans="1:23" hidden="1">
      <c r="A4458" s="3" t="str">
        <f t="shared" si="69"/>
        <v>Período 1</v>
      </c>
      <c r="B4458">
        <v>24110</v>
      </c>
      <c r="C4458" t="s">
        <v>2300</v>
      </c>
      <c r="D4458" t="s">
        <v>2432</v>
      </c>
      <c r="E4458" s="3" t="str">
        <f>IF(LEN(Base_Periodo1[[#This Row],[CLASS]])&gt;=7,LEFT(Base_Periodo1[[#This Row],[CLASS]],7),"")</f>
        <v>2.4.1.1</v>
      </c>
      <c r="F4458" s="3" t="str">
        <f>VLOOKUP(Base_Periodo1[[#This Row],[Aux]],Base_Contas_Balanco[#All],2,FALSE)</f>
        <v>Capital Social Realizado</v>
      </c>
      <c r="G4458" s="1"/>
      <c r="H4458" s="225">
        <v>6262.08</v>
      </c>
      <c r="I4458" s="225">
        <v>0</v>
      </c>
      <c r="J4458" s="225">
        <v>0</v>
      </c>
      <c r="K4458" s="225">
        <v>6262.08</v>
      </c>
      <c r="L44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6262.08</v>
      </c>
      <c r="M4458" s="225">
        <f>ROUND(IF(AND(Base_Periodo1[[#This Row],[Tipo_Linha]]="-",Base_Periodo1[[#This Row],[TIPOSALDO]]="D"),Base_Periodo1[[#This Row],[SALDO_ATUAL]]*-1,Base_Periodo1[[#This Row],[SALDO_ATUAL]]),4)</f>
        <v>6262.08</v>
      </c>
      <c r="N4458" t="s">
        <v>116</v>
      </c>
      <c r="O4458" t="s">
        <v>459</v>
      </c>
      <c r="P4458" t="s">
        <v>459</v>
      </c>
      <c r="Q4458">
        <v>6</v>
      </c>
      <c r="R4458" s="225">
        <f>Base_Periodo1[[#This Row],[CREDITOS]]-Base_Periodo1[[#This Row],[DEBITOS]]</f>
        <v>0</v>
      </c>
      <c r="S4458" s="3" t="str">
        <f>IF(ISERROR(VLOOKUP(Base_Periodo1[[#This Row],[CONTA]],BaseContasDRE[#All],4,FALSE)),"Fora do DRE",VLOOKUP(Base_Periodo1[[#This Row],[CONTA]],BaseContasDRE[#All],4,FALSE))</f>
        <v>Fora do DRE</v>
      </c>
      <c r="T4458" s="3" t="str">
        <f>IF(ISERROR(VLOOKUP(Base_Periodo1[[#This Row],[CONTA]],BaseContasDRE[#All],5,FALSE)),"Fora do DRE",VLOOKUP(Base_Periodo1[[#This Row],[CONTA]],BaseContasDRE[#All],6,FALSE))</f>
        <v>Fora do DRE</v>
      </c>
      <c r="U4458" s="3" t="str">
        <f>IF(ISERROR(VLOOKUP(Base_Periodo1[[#This Row],[CONTA]],BaseContasDRE[#All],7,FALSE)),"Fora do DRE",VLOOKUP(Base_Periodo1[[#This Row],[CONTA]],BaseContasDRE[#All],7,FALSE))</f>
        <v>Fora do DRE</v>
      </c>
      <c r="V4458" s="3" t="str">
        <f>IF(Base_Periodo1[[#This Row],[Tipo_Linha]]="Fora do DRE","Fora do DRE","( "&amp;Base_Periodo1[[#This Row],[Tipo_Linha]]&amp;" ) "&amp;Base_Periodo1[[#This Row],[Filtro]])</f>
        <v>Fora do DRE</v>
      </c>
      <c r="W4458" s="3" t="str">
        <f>LEFT(Base_Periodo1[[#This Row],[CLASS]],3)</f>
        <v>2.4</v>
      </c>
    </row>
    <row r="4459" spans="1:23" hidden="1">
      <c r="A4459" s="3" t="str">
        <f t="shared" si="69"/>
        <v>Período 1</v>
      </c>
      <c r="B4459">
        <v>16088</v>
      </c>
      <c r="C4459" t="s">
        <v>2300</v>
      </c>
      <c r="D4459" t="s">
        <v>2433</v>
      </c>
      <c r="E4459" s="3" t="str">
        <f>IF(LEN(Base_Periodo1[[#This Row],[CLASS]])&gt;=7,LEFT(Base_Periodo1[[#This Row],[CLASS]],7),"")</f>
        <v>2.4.1.1</v>
      </c>
      <c r="F4459" s="3" t="str">
        <f>VLOOKUP(Base_Periodo1[[#This Row],[Aux]],Base_Contas_Balanco[#All],2,FALSE)</f>
        <v>Capital Social Realizado</v>
      </c>
      <c r="G4459" s="1"/>
      <c r="H4459" s="225">
        <v>19856.16</v>
      </c>
      <c r="I4459" s="225">
        <v>0</v>
      </c>
      <c r="J4459" s="225">
        <v>0</v>
      </c>
      <c r="K4459" s="225">
        <v>19856.16</v>
      </c>
      <c r="L44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19856.16</v>
      </c>
      <c r="M4459" s="225">
        <f>ROUND(IF(AND(Base_Periodo1[[#This Row],[Tipo_Linha]]="-",Base_Periodo1[[#This Row],[TIPOSALDO]]="D"),Base_Periodo1[[#This Row],[SALDO_ATUAL]]*-1,Base_Periodo1[[#This Row],[SALDO_ATUAL]]),4)</f>
        <v>19856.16</v>
      </c>
      <c r="N4459" t="s">
        <v>116</v>
      </c>
      <c r="O4459" t="s">
        <v>459</v>
      </c>
      <c r="P4459" t="s">
        <v>459</v>
      </c>
      <c r="Q4459">
        <v>6</v>
      </c>
      <c r="R4459" s="225">
        <f>Base_Periodo1[[#This Row],[CREDITOS]]-Base_Periodo1[[#This Row],[DEBITOS]]</f>
        <v>0</v>
      </c>
      <c r="S4459" s="3" t="str">
        <f>IF(ISERROR(VLOOKUP(Base_Periodo1[[#This Row],[CONTA]],BaseContasDRE[#All],4,FALSE)),"Fora do DRE",VLOOKUP(Base_Periodo1[[#This Row],[CONTA]],BaseContasDRE[#All],4,FALSE))</f>
        <v>Fora do DRE</v>
      </c>
      <c r="T4459" s="3" t="str">
        <f>IF(ISERROR(VLOOKUP(Base_Periodo1[[#This Row],[CONTA]],BaseContasDRE[#All],5,FALSE)),"Fora do DRE",VLOOKUP(Base_Periodo1[[#This Row],[CONTA]],BaseContasDRE[#All],6,FALSE))</f>
        <v>Fora do DRE</v>
      </c>
      <c r="U4459" s="3" t="str">
        <f>IF(ISERROR(VLOOKUP(Base_Periodo1[[#This Row],[CONTA]],BaseContasDRE[#All],7,FALSE)),"Fora do DRE",VLOOKUP(Base_Periodo1[[#This Row],[CONTA]],BaseContasDRE[#All],7,FALSE))</f>
        <v>Fora do DRE</v>
      </c>
      <c r="V4459" s="3" t="str">
        <f>IF(Base_Periodo1[[#This Row],[Tipo_Linha]]="Fora do DRE","Fora do DRE","( "&amp;Base_Periodo1[[#This Row],[Tipo_Linha]]&amp;" ) "&amp;Base_Periodo1[[#This Row],[Filtro]])</f>
        <v>Fora do DRE</v>
      </c>
      <c r="W4459" s="3" t="str">
        <f>LEFT(Base_Periodo1[[#This Row],[CLASS]],3)</f>
        <v>2.4</v>
      </c>
    </row>
    <row r="4460" spans="1:23" hidden="1">
      <c r="A4460" s="3" t="str">
        <f t="shared" si="69"/>
        <v>Período 1</v>
      </c>
      <c r="B4460">
        <v>55625</v>
      </c>
      <c r="C4460" t="s">
        <v>2300</v>
      </c>
      <c r="D4460" t="s">
        <v>5451</v>
      </c>
      <c r="E4460" s="3" t="str">
        <f>IF(LEN(Base_Periodo1[[#This Row],[CLASS]])&gt;=7,LEFT(Base_Periodo1[[#This Row],[CLASS]],7),"")</f>
        <v>2.4.1.1</v>
      </c>
      <c r="F4460" s="3" t="str">
        <f>VLOOKUP(Base_Periodo1[[#This Row],[Aux]],Base_Contas_Balanco[#All],2,FALSE)</f>
        <v>Capital Social Realizado</v>
      </c>
      <c r="G4460" s="1">
        <v>42735</v>
      </c>
      <c r="H4460" s="225">
        <v>868.69</v>
      </c>
      <c r="I4460" s="225">
        <v>0</v>
      </c>
      <c r="J4460" s="225">
        <v>0</v>
      </c>
      <c r="K4460" s="225">
        <v>868.69</v>
      </c>
      <c r="L44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868.69</v>
      </c>
      <c r="M4460" s="225">
        <f>ROUND(IF(AND(Base_Periodo1[[#This Row],[Tipo_Linha]]="-",Base_Periodo1[[#This Row],[TIPOSALDO]]="D"),Base_Periodo1[[#This Row],[SALDO_ATUAL]]*-1,Base_Periodo1[[#This Row],[SALDO_ATUAL]]),4)</f>
        <v>868.69</v>
      </c>
      <c r="N4460" t="s">
        <v>116</v>
      </c>
      <c r="O4460" t="s">
        <v>459</v>
      </c>
      <c r="P4460" t="s">
        <v>459</v>
      </c>
      <c r="Q4460">
        <v>6</v>
      </c>
      <c r="R4460" s="225">
        <f>Base_Periodo1[[#This Row],[CREDITOS]]-Base_Periodo1[[#This Row],[DEBITOS]]</f>
        <v>0</v>
      </c>
      <c r="S4460" s="3" t="str">
        <f>IF(ISERROR(VLOOKUP(Base_Periodo1[[#This Row],[CONTA]],BaseContasDRE[#All],4,FALSE)),"Fora do DRE",VLOOKUP(Base_Periodo1[[#This Row],[CONTA]],BaseContasDRE[#All],4,FALSE))</f>
        <v>Fora do DRE</v>
      </c>
      <c r="T4460" s="3" t="str">
        <f>IF(ISERROR(VLOOKUP(Base_Periodo1[[#This Row],[CONTA]],BaseContasDRE[#All],5,FALSE)),"Fora do DRE",VLOOKUP(Base_Periodo1[[#This Row],[CONTA]],BaseContasDRE[#All],6,FALSE))</f>
        <v>Fora do DRE</v>
      </c>
      <c r="U4460" s="3" t="str">
        <f>IF(ISERROR(VLOOKUP(Base_Periodo1[[#This Row],[CONTA]],BaseContasDRE[#All],7,FALSE)),"Fora do DRE",VLOOKUP(Base_Periodo1[[#This Row],[CONTA]],BaseContasDRE[#All],7,FALSE))</f>
        <v>Fora do DRE</v>
      </c>
      <c r="V4460" s="3" t="str">
        <f>IF(Base_Periodo1[[#This Row],[Tipo_Linha]]="Fora do DRE","Fora do DRE","( "&amp;Base_Periodo1[[#This Row],[Tipo_Linha]]&amp;" ) "&amp;Base_Periodo1[[#This Row],[Filtro]])</f>
        <v>Fora do DRE</v>
      </c>
      <c r="W4460" s="3" t="str">
        <f>LEFT(Base_Periodo1[[#This Row],[CLASS]],3)</f>
        <v>2.4</v>
      </c>
    </row>
    <row r="4461" spans="1:23" hidden="1">
      <c r="A4461" s="3" t="str">
        <f t="shared" si="69"/>
        <v>Período 1</v>
      </c>
      <c r="B4461">
        <v>47298</v>
      </c>
      <c r="C4461" t="s">
        <v>2300</v>
      </c>
      <c r="D4461" t="s">
        <v>2434</v>
      </c>
      <c r="E4461" s="3" t="str">
        <f>IF(LEN(Base_Periodo1[[#This Row],[CLASS]])&gt;=7,LEFT(Base_Periodo1[[#This Row],[CLASS]],7),"")</f>
        <v>2.4.1.1</v>
      </c>
      <c r="F4461" s="3" t="str">
        <f>VLOOKUP(Base_Periodo1[[#This Row],[Aux]],Base_Contas_Balanco[#All],2,FALSE)</f>
        <v>Capital Social Realizado</v>
      </c>
      <c r="G4461" s="1"/>
      <c r="H4461" s="225">
        <v>80.97</v>
      </c>
      <c r="I4461" s="225">
        <v>0</v>
      </c>
      <c r="J4461" s="225">
        <v>0</v>
      </c>
      <c r="K4461" s="225">
        <v>80.97</v>
      </c>
      <c r="L44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80.97</v>
      </c>
      <c r="M4461" s="225">
        <f>ROUND(IF(AND(Base_Periodo1[[#This Row],[Tipo_Linha]]="-",Base_Periodo1[[#This Row],[TIPOSALDO]]="D"),Base_Periodo1[[#This Row],[SALDO_ATUAL]]*-1,Base_Periodo1[[#This Row],[SALDO_ATUAL]]),4)</f>
        <v>80.97</v>
      </c>
      <c r="N4461" t="s">
        <v>116</v>
      </c>
      <c r="O4461" t="s">
        <v>459</v>
      </c>
      <c r="P4461" t="s">
        <v>459</v>
      </c>
      <c r="Q4461">
        <v>6</v>
      </c>
      <c r="R4461" s="225">
        <f>Base_Periodo1[[#This Row],[CREDITOS]]-Base_Periodo1[[#This Row],[DEBITOS]]</f>
        <v>0</v>
      </c>
      <c r="S4461" s="3" t="str">
        <f>IF(ISERROR(VLOOKUP(Base_Periodo1[[#This Row],[CONTA]],BaseContasDRE[#All],4,FALSE)),"Fora do DRE",VLOOKUP(Base_Periodo1[[#This Row],[CONTA]],BaseContasDRE[#All],4,FALSE))</f>
        <v>Fora do DRE</v>
      </c>
      <c r="T4461" s="3" t="str">
        <f>IF(ISERROR(VLOOKUP(Base_Periodo1[[#This Row],[CONTA]],BaseContasDRE[#All],5,FALSE)),"Fora do DRE",VLOOKUP(Base_Periodo1[[#This Row],[CONTA]],BaseContasDRE[#All],6,FALSE))</f>
        <v>Fora do DRE</v>
      </c>
      <c r="U4461" s="3" t="str">
        <f>IF(ISERROR(VLOOKUP(Base_Periodo1[[#This Row],[CONTA]],BaseContasDRE[#All],7,FALSE)),"Fora do DRE",VLOOKUP(Base_Periodo1[[#This Row],[CONTA]],BaseContasDRE[#All],7,FALSE))</f>
        <v>Fora do DRE</v>
      </c>
      <c r="V4461" s="3" t="str">
        <f>IF(Base_Periodo1[[#This Row],[Tipo_Linha]]="Fora do DRE","Fora do DRE","( "&amp;Base_Periodo1[[#This Row],[Tipo_Linha]]&amp;" ) "&amp;Base_Periodo1[[#This Row],[Filtro]])</f>
        <v>Fora do DRE</v>
      </c>
      <c r="W4461" s="3" t="str">
        <f>LEFT(Base_Periodo1[[#This Row],[CLASS]],3)</f>
        <v>2.4</v>
      </c>
    </row>
    <row r="4462" spans="1:23" hidden="1">
      <c r="A4462" s="3" t="str">
        <f t="shared" si="69"/>
        <v>Período 1</v>
      </c>
      <c r="B4462">
        <v>16384</v>
      </c>
      <c r="C4462" t="s">
        <v>2300</v>
      </c>
      <c r="D4462" t="s">
        <v>2435</v>
      </c>
      <c r="E4462" s="3" t="str">
        <f>IF(LEN(Base_Periodo1[[#This Row],[CLASS]])&gt;=7,LEFT(Base_Periodo1[[#This Row],[CLASS]],7),"")</f>
        <v>2.4.1.1</v>
      </c>
      <c r="F4462" s="3" t="str">
        <f>VLOOKUP(Base_Periodo1[[#This Row],[Aux]],Base_Contas_Balanco[#All],2,FALSE)</f>
        <v>Capital Social Realizado</v>
      </c>
      <c r="G4462" s="1"/>
      <c r="H4462" s="225">
        <v>95.079999999999984</v>
      </c>
      <c r="I4462" s="225">
        <v>0</v>
      </c>
      <c r="J4462" s="225">
        <v>0</v>
      </c>
      <c r="K4462" s="225">
        <v>95.079999999999984</v>
      </c>
      <c r="L44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95.08</v>
      </c>
      <c r="M4462" s="225">
        <f>ROUND(IF(AND(Base_Periodo1[[#This Row],[Tipo_Linha]]="-",Base_Periodo1[[#This Row],[TIPOSALDO]]="D"),Base_Periodo1[[#This Row],[SALDO_ATUAL]]*-1,Base_Periodo1[[#This Row],[SALDO_ATUAL]]),4)</f>
        <v>95.08</v>
      </c>
      <c r="N4462" t="s">
        <v>116</v>
      </c>
      <c r="O4462" t="s">
        <v>459</v>
      </c>
      <c r="P4462" t="s">
        <v>459</v>
      </c>
      <c r="Q4462">
        <v>6</v>
      </c>
      <c r="R4462" s="225">
        <f>Base_Periodo1[[#This Row],[CREDITOS]]-Base_Periodo1[[#This Row],[DEBITOS]]</f>
        <v>0</v>
      </c>
      <c r="S4462" s="3" t="str">
        <f>IF(ISERROR(VLOOKUP(Base_Periodo1[[#This Row],[CONTA]],BaseContasDRE[#All],4,FALSE)),"Fora do DRE",VLOOKUP(Base_Periodo1[[#This Row],[CONTA]],BaseContasDRE[#All],4,FALSE))</f>
        <v>Fora do DRE</v>
      </c>
      <c r="T4462" s="3" t="str">
        <f>IF(ISERROR(VLOOKUP(Base_Periodo1[[#This Row],[CONTA]],BaseContasDRE[#All],5,FALSE)),"Fora do DRE",VLOOKUP(Base_Periodo1[[#This Row],[CONTA]],BaseContasDRE[#All],6,FALSE))</f>
        <v>Fora do DRE</v>
      </c>
      <c r="U4462" s="3" t="str">
        <f>IF(ISERROR(VLOOKUP(Base_Periodo1[[#This Row],[CONTA]],BaseContasDRE[#All],7,FALSE)),"Fora do DRE",VLOOKUP(Base_Periodo1[[#This Row],[CONTA]],BaseContasDRE[#All],7,FALSE))</f>
        <v>Fora do DRE</v>
      </c>
      <c r="V4462" s="3" t="str">
        <f>IF(Base_Periodo1[[#This Row],[Tipo_Linha]]="Fora do DRE","Fora do DRE","( "&amp;Base_Periodo1[[#This Row],[Tipo_Linha]]&amp;" ) "&amp;Base_Periodo1[[#This Row],[Filtro]])</f>
        <v>Fora do DRE</v>
      </c>
      <c r="W4462" s="3" t="str">
        <f>LEFT(Base_Periodo1[[#This Row],[CLASS]],3)</f>
        <v>2.4</v>
      </c>
    </row>
    <row r="4463" spans="1:23" hidden="1">
      <c r="A4463" s="3" t="str">
        <f t="shared" si="69"/>
        <v>Período 1</v>
      </c>
      <c r="B4463">
        <v>48783</v>
      </c>
      <c r="C4463" t="s">
        <v>2300</v>
      </c>
      <c r="D4463" t="s">
        <v>4214</v>
      </c>
      <c r="E4463" s="3" t="str">
        <f>IF(LEN(Base_Periodo1[[#This Row],[CLASS]])&gt;=7,LEFT(Base_Periodo1[[#This Row],[CLASS]],7),"")</f>
        <v>2.4.1.1</v>
      </c>
      <c r="F4463" s="3" t="str">
        <f>VLOOKUP(Base_Periodo1[[#This Row],[Aux]],Base_Contas_Balanco[#All],2,FALSE)</f>
        <v>Capital Social Realizado</v>
      </c>
      <c r="G4463" s="1"/>
      <c r="H4463" s="225">
        <v>5090.45</v>
      </c>
      <c r="I4463" s="225">
        <v>0</v>
      </c>
      <c r="J4463" s="225">
        <v>0</v>
      </c>
      <c r="K4463" s="225">
        <v>5090.45</v>
      </c>
      <c r="L44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5090.45</v>
      </c>
      <c r="M4463" s="225">
        <f>ROUND(IF(AND(Base_Periodo1[[#This Row],[Tipo_Linha]]="-",Base_Periodo1[[#This Row],[TIPOSALDO]]="D"),Base_Periodo1[[#This Row],[SALDO_ATUAL]]*-1,Base_Periodo1[[#This Row],[SALDO_ATUAL]]),4)</f>
        <v>5090.45</v>
      </c>
      <c r="N4463" t="s">
        <v>116</v>
      </c>
      <c r="O4463" t="s">
        <v>459</v>
      </c>
      <c r="P4463" t="s">
        <v>459</v>
      </c>
      <c r="Q4463">
        <v>6</v>
      </c>
      <c r="R4463" s="225">
        <f>Base_Periodo1[[#This Row],[CREDITOS]]-Base_Periodo1[[#This Row],[DEBITOS]]</f>
        <v>0</v>
      </c>
      <c r="S4463" s="3" t="str">
        <f>IF(ISERROR(VLOOKUP(Base_Periodo1[[#This Row],[CONTA]],BaseContasDRE[#All],4,FALSE)),"Fora do DRE",VLOOKUP(Base_Periodo1[[#This Row],[CONTA]],BaseContasDRE[#All],4,FALSE))</f>
        <v>Fora do DRE</v>
      </c>
      <c r="T4463" s="3" t="str">
        <f>IF(ISERROR(VLOOKUP(Base_Periodo1[[#This Row],[CONTA]],BaseContasDRE[#All],5,FALSE)),"Fora do DRE",VLOOKUP(Base_Periodo1[[#This Row],[CONTA]],BaseContasDRE[#All],6,FALSE))</f>
        <v>Fora do DRE</v>
      </c>
      <c r="U4463" s="3" t="str">
        <f>IF(ISERROR(VLOOKUP(Base_Periodo1[[#This Row],[CONTA]],BaseContasDRE[#All],7,FALSE)),"Fora do DRE",VLOOKUP(Base_Periodo1[[#This Row],[CONTA]],BaseContasDRE[#All],7,FALSE))</f>
        <v>Fora do DRE</v>
      </c>
      <c r="V4463" s="3" t="str">
        <f>IF(Base_Periodo1[[#This Row],[Tipo_Linha]]="Fora do DRE","Fora do DRE","( "&amp;Base_Periodo1[[#This Row],[Tipo_Linha]]&amp;" ) "&amp;Base_Periodo1[[#This Row],[Filtro]])</f>
        <v>Fora do DRE</v>
      </c>
      <c r="W4463" s="3" t="str">
        <f>LEFT(Base_Periodo1[[#This Row],[CLASS]],3)</f>
        <v>2.4</v>
      </c>
    </row>
    <row r="4464" spans="1:23" hidden="1">
      <c r="A4464" s="3" t="str">
        <f t="shared" si="69"/>
        <v>Período 1</v>
      </c>
      <c r="B4464">
        <v>15931</v>
      </c>
      <c r="C4464" t="s">
        <v>2300</v>
      </c>
      <c r="D4464" t="s">
        <v>2436</v>
      </c>
      <c r="E4464" s="3" t="str">
        <f>IF(LEN(Base_Periodo1[[#This Row],[CLASS]])&gt;=7,LEFT(Base_Periodo1[[#This Row],[CLASS]],7),"")</f>
        <v>2.4.1.1</v>
      </c>
      <c r="F4464" s="3" t="str">
        <f>VLOOKUP(Base_Periodo1[[#This Row],[Aux]],Base_Contas_Balanco[#All],2,FALSE)</f>
        <v>Capital Social Realizado</v>
      </c>
      <c r="G4464" s="1"/>
      <c r="H4464" s="225">
        <v>1933.36</v>
      </c>
      <c r="I4464" s="225">
        <v>0</v>
      </c>
      <c r="J4464" s="225">
        <v>0</v>
      </c>
      <c r="K4464" s="225">
        <v>1933.36</v>
      </c>
      <c r="L44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1933.36</v>
      </c>
      <c r="M4464" s="225">
        <f>ROUND(IF(AND(Base_Periodo1[[#This Row],[Tipo_Linha]]="-",Base_Periodo1[[#This Row],[TIPOSALDO]]="D"),Base_Periodo1[[#This Row],[SALDO_ATUAL]]*-1,Base_Periodo1[[#This Row],[SALDO_ATUAL]]),4)</f>
        <v>1933.36</v>
      </c>
      <c r="N4464" t="s">
        <v>116</v>
      </c>
      <c r="O4464" t="s">
        <v>459</v>
      </c>
      <c r="P4464" t="s">
        <v>459</v>
      </c>
      <c r="Q4464">
        <v>6</v>
      </c>
      <c r="R4464" s="225">
        <f>Base_Periodo1[[#This Row],[CREDITOS]]-Base_Periodo1[[#This Row],[DEBITOS]]</f>
        <v>0</v>
      </c>
      <c r="S4464" s="3" t="str">
        <f>IF(ISERROR(VLOOKUP(Base_Periodo1[[#This Row],[CONTA]],BaseContasDRE[#All],4,FALSE)),"Fora do DRE",VLOOKUP(Base_Periodo1[[#This Row],[CONTA]],BaseContasDRE[#All],4,FALSE))</f>
        <v>Fora do DRE</v>
      </c>
      <c r="T4464" s="3" t="str">
        <f>IF(ISERROR(VLOOKUP(Base_Periodo1[[#This Row],[CONTA]],BaseContasDRE[#All],5,FALSE)),"Fora do DRE",VLOOKUP(Base_Periodo1[[#This Row],[CONTA]],BaseContasDRE[#All],6,FALSE))</f>
        <v>Fora do DRE</v>
      </c>
      <c r="U4464" s="3" t="str">
        <f>IF(ISERROR(VLOOKUP(Base_Periodo1[[#This Row],[CONTA]],BaseContasDRE[#All],7,FALSE)),"Fora do DRE",VLOOKUP(Base_Periodo1[[#This Row],[CONTA]],BaseContasDRE[#All],7,FALSE))</f>
        <v>Fora do DRE</v>
      </c>
      <c r="V4464" s="3" t="str">
        <f>IF(Base_Periodo1[[#This Row],[Tipo_Linha]]="Fora do DRE","Fora do DRE","( "&amp;Base_Periodo1[[#This Row],[Tipo_Linha]]&amp;" ) "&amp;Base_Periodo1[[#This Row],[Filtro]])</f>
        <v>Fora do DRE</v>
      </c>
      <c r="W4464" s="3" t="str">
        <f>LEFT(Base_Periodo1[[#This Row],[CLASS]],3)</f>
        <v>2.4</v>
      </c>
    </row>
    <row r="4465" spans="1:23" hidden="1">
      <c r="A4465" s="3" t="str">
        <f t="shared" si="69"/>
        <v>Período 1</v>
      </c>
      <c r="B4465">
        <v>32781</v>
      </c>
      <c r="C4465" t="s">
        <v>2300</v>
      </c>
      <c r="D4465" t="s">
        <v>2437</v>
      </c>
      <c r="E4465" s="3" t="str">
        <f>IF(LEN(Base_Periodo1[[#This Row],[CLASS]])&gt;=7,LEFT(Base_Periodo1[[#This Row],[CLASS]],7),"")</f>
        <v>2.4.1.1</v>
      </c>
      <c r="F4465" s="3" t="str">
        <f>VLOOKUP(Base_Periodo1[[#This Row],[Aux]],Base_Contas_Balanco[#All],2,FALSE)</f>
        <v>Capital Social Realizado</v>
      </c>
      <c r="G4465" s="1"/>
      <c r="H4465" s="225">
        <v>240</v>
      </c>
      <c r="I4465" s="225">
        <v>0</v>
      </c>
      <c r="J4465" s="225">
        <v>0</v>
      </c>
      <c r="K4465" s="225">
        <v>240</v>
      </c>
      <c r="L44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465" s="225">
        <f>ROUND(IF(AND(Base_Periodo1[[#This Row],[Tipo_Linha]]="-",Base_Periodo1[[#This Row],[TIPOSALDO]]="D"),Base_Periodo1[[#This Row],[SALDO_ATUAL]]*-1,Base_Periodo1[[#This Row],[SALDO_ATUAL]]),4)</f>
        <v>240</v>
      </c>
      <c r="N4465" t="s">
        <v>116</v>
      </c>
      <c r="O4465" t="s">
        <v>459</v>
      </c>
      <c r="P4465" t="s">
        <v>459</v>
      </c>
      <c r="Q4465">
        <v>6</v>
      </c>
      <c r="R4465" s="225">
        <f>Base_Periodo1[[#This Row],[CREDITOS]]-Base_Periodo1[[#This Row],[DEBITOS]]</f>
        <v>0</v>
      </c>
      <c r="S4465" s="3" t="str">
        <f>IF(ISERROR(VLOOKUP(Base_Periodo1[[#This Row],[CONTA]],BaseContasDRE[#All],4,FALSE)),"Fora do DRE",VLOOKUP(Base_Periodo1[[#This Row],[CONTA]],BaseContasDRE[#All],4,FALSE))</f>
        <v>Fora do DRE</v>
      </c>
      <c r="T4465" s="3" t="str">
        <f>IF(ISERROR(VLOOKUP(Base_Periodo1[[#This Row],[CONTA]],BaseContasDRE[#All],5,FALSE)),"Fora do DRE",VLOOKUP(Base_Periodo1[[#This Row],[CONTA]],BaseContasDRE[#All],6,FALSE))</f>
        <v>Fora do DRE</v>
      </c>
      <c r="U4465" s="3" t="str">
        <f>IF(ISERROR(VLOOKUP(Base_Periodo1[[#This Row],[CONTA]],BaseContasDRE[#All],7,FALSE)),"Fora do DRE",VLOOKUP(Base_Periodo1[[#This Row],[CONTA]],BaseContasDRE[#All],7,FALSE))</f>
        <v>Fora do DRE</v>
      </c>
      <c r="V4465" s="3" t="str">
        <f>IF(Base_Periodo1[[#This Row],[Tipo_Linha]]="Fora do DRE","Fora do DRE","( "&amp;Base_Periodo1[[#This Row],[Tipo_Linha]]&amp;" ) "&amp;Base_Periodo1[[#This Row],[Filtro]])</f>
        <v>Fora do DRE</v>
      </c>
      <c r="W4465" s="3" t="str">
        <f>LEFT(Base_Periodo1[[#This Row],[CLASS]],3)</f>
        <v>2.4</v>
      </c>
    </row>
    <row r="4466" spans="1:23" hidden="1">
      <c r="A4466" s="3" t="str">
        <f t="shared" si="69"/>
        <v>Período 1</v>
      </c>
      <c r="B4466">
        <v>16298</v>
      </c>
      <c r="C4466" t="s">
        <v>2300</v>
      </c>
      <c r="D4466" t="s">
        <v>2438</v>
      </c>
      <c r="E4466" s="3" t="str">
        <f>IF(LEN(Base_Periodo1[[#This Row],[CLASS]])&gt;=7,LEFT(Base_Periodo1[[#This Row],[CLASS]],7),"")</f>
        <v>2.4.1.1</v>
      </c>
      <c r="F4466" s="3" t="str">
        <f>VLOOKUP(Base_Periodo1[[#This Row],[Aux]],Base_Contas_Balanco[#All],2,FALSE)</f>
        <v>Capital Social Realizado</v>
      </c>
      <c r="G4466" s="1"/>
      <c r="H4466" s="225">
        <v>833.89</v>
      </c>
      <c r="I4466" s="225">
        <v>0</v>
      </c>
      <c r="J4466" s="225">
        <v>0</v>
      </c>
      <c r="K4466" s="225">
        <v>833.89</v>
      </c>
      <c r="L44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833.89</v>
      </c>
      <c r="M4466" s="225">
        <f>ROUND(IF(AND(Base_Periodo1[[#This Row],[Tipo_Linha]]="-",Base_Periodo1[[#This Row],[TIPOSALDO]]="D"),Base_Periodo1[[#This Row],[SALDO_ATUAL]]*-1,Base_Periodo1[[#This Row],[SALDO_ATUAL]]),4)</f>
        <v>833.89</v>
      </c>
      <c r="N4466" t="s">
        <v>116</v>
      </c>
      <c r="O4466" t="s">
        <v>459</v>
      </c>
      <c r="P4466" t="s">
        <v>459</v>
      </c>
      <c r="Q4466">
        <v>6</v>
      </c>
      <c r="R4466" s="225">
        <f>Base_Periodo1[[#This Row],[CREDITOS]]-Base_Periodo1[[#This Row],[DEBITOS]]</f>
        <v>0</v>
      </c>
      <c r="S4466" s="3" t="str">
        <f>IF(ISERROR(VLOOKUP(Base_Periodo1[[#This Row],[CONTA]],BaseContasDRE[#All],4,FALSE)),"Fora do DRE",VLOOKUP(Base_Periodo1[[#This Row],[CONTA]],BaseContasDRE[#All],4,FALSE))</f>
        <v>Fora do DRE</v>
      </c>
      <c r="T4466" s="3" t="str">
        <f>IF(ISERROR(VLOOKUP(Base_Periodo1[[#This Row],[CONTA]],BaseContasDRE[#All],5,FALSE)),"Fora do DRE",VLOOKUP(Base_Periodo1[[#This Row],[CONTA]],BaseContasDRE[#All],6,FALSE))</f>
        <v>Fora do DRE</v>
      </c>
      <c r="U4466" s="3" t="str">
        <f>IF(ISERROR(VLOOKUP(Base_Periodo1[[#This Row],[CONTA]],BaseContasDRE[#All],7,FALSE)),"Fora do DRE",VLOOKUP(Base_Periodo1[[#This Row],[CONTA]],BaseContasDRE[#All],7,FALSE))</f>
        <v>Fora do DRE</v>
      </c>
      <c r="V4466" s="3" t="str">
        <f>IF(Base_Periodo1[[#This Row],[Tipo_Linha]]="Fora do DRE","Fora do DRE","( "&amp;Base_Periodo1[[#This Row],[Tipo_Linha]]&amp;" ) "&amp;Base_Periodo1[[#This Row],[Filtro]])</f>
        <v>Fora do DRE</v>
      </c>
      <c r="W4466" s="3" t="str">
        <f>LEFT(Base_Periodo1[[#This Row],[CLASS]],3)</f>
        <v>2.4</v>
      </c>
    </row>
    <row r="4467" spans="1:23" hidden="1">
      <c r="A4467" s="3" t="str">
        <f t="shared" si="69"/>
        <v>Período 1</v>
      </c>
      <c r="B4467">
        <v>54576</v>
      </c>
      <c r="C4467" t="s">
        <v>2300</v>
      </c>
      <c r="D4467" t="s">
        <v>5240</v>
      </c>
      <c r="E4467" s="3" t="str">
        <f>IF(LEN(Base_Periodo1[[#This Row],[CLASS]])&gt;=7,LEFT(Base_Periodo1[[#This Row],[CLASS]],7),"")</f>
        <v>2.4.1.1</v>
      </c>
      <c r="F4467" s="3" t="str">
        <f>VLOOKUP(Base_Periodo1[[#This Row],[Aux]],Base_Contas_Balanco[#All],2,FALSE)</f>
        <v>Capital Social Realizado</v>
      </c>
      <c r="G4467" s="1"/>
      <c r="H4467" s="225">
        <v>50</v>
      </c>
      <c r="I4467" s="225">
        <v>0</v>
      </c>
      <c r="J4467" s="225">
        <v>0</v>
      </c>
      <c r="K4467" s="225">
        <v>50</v>
      </c>
      <c r="L44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467" s="225">
        <f>ROUND(IF(AND(Base_Periodo1[[#This Row],[Tipo_Linha]]="-",Base_Periodo1[[#This Row],[TIPOSALDO]]="D"),Base_Periodo1[[#This Row],[SALDO_ATUAL]]*-1,Base_Periodo1[[#This Row],[SALDO_ATUAL]]),4)</f>
        <v>50</v>
      </c>
      <c r="N4467" t="s">
        <v>116</v>
      </c>
      <c r="O4467" t="s">
        <v>459</v>
      </c>
      <c r="P4467" t="s">
        <v>459</v>
      </c>
      <c r="Q4467">
        <v>6</v>
      </c>
      <c r="R4467" s="225">
        <f>Base_Periodo1[[#This Row],[CREDITOS]]-Base_Periodo1[[#This Row],[DEBITOS]]</f>
        <v>0</v>
      </c>
      <c r="S4467" s="3" t="str">
        <f>IF(ISERROR(VLOOKUP(Base_Periodo1[[#This Row],[CONTA]],BaseContasDRE[#All],4,FALSE)),"Fora do DRE",VLOOKUP(Base_Periodo1[[#This Row],[CONTA]],BaseContasDRE[#All],4,FALSE))</f>
        <v>Fora do DRE</v>
      </c>
      <c r="T4467" s="3" t="str">
        <f>IF(ISERROR(VLOOKUP(Base_Periodo1[[#This Row],[CONTA]],BaseContasDRE[#All],5,FALSE)),"Fora do DRE",VLOOKUP(Base_Periodo1[[#This Row],[CONTA]],BaseContasDRE[#All],6,FALSE))</f>
        <v>Fora do DRE</v>
      </c>
      <c r="U4467" s="3" t="str">
        <f>IF(ISERROR(VLOOKUP(Base_Periodo1[[#This Row],[CONTA]],BaseContasDRE[#All],7,FALSE)),"Fora do DRE",VLOOKUP(Base_Periodo1[[#This Row],[CONTA]],BaseContasDRE[#All],7,FALSE))</f>
        <v>Fora do DRE</v>
      </c>
      <c r="V4467" s="3" t="str">
        <f>IF(Base_Periodo1[[#This Row],[Tipo_Linha]]="Fora do DRE","Fora do DRE","( "&amp;Base_Periodo1[[#This Row],[Tipo_Linha]]&amp;" ) "&amp;Base_Periodo1[[#This Row],[Filtro]])</f>
        <v>Fora do DRE</v>
      </c>
      <c r="W4467" s="3" t="str">
        <f>LEFT(Base_Periodo1[[#This Row],[CLASS]],3)</f>
        <v>2.4</v>
      </c>
    </row>
    <row r="4468" spans="1:23" hidden="1">
      <c r="A4468" s="3" t="str">
        <f t="shared" si="69"/>
        <v>Período 1</v>
      </c>
      <c r="B4468">
        <v>25648</v>
      </c>
      <c r="C4468" t="s">
        <v>2300</v>
      </c>
      <c r="D4468" t="s">
        <v>2439</v>
      </c>
      <c r="E4468" s="3" t="str">
        <f>IF(LEN(Base_Periodo1[[#This Row],[CLASS]])&gt;=7,LEFT(Base_Periodo1[[#This Row],[CLASS]],7),"")</f>
        <v>2.4.1.1</v>
      </c>
      <c r="F4468" s="3" t="str">
        <f>VLOOKUP(Base_Periodo1[[#This Row],[Aux]],Base_Contas_Balanco[#All],2,FALSE)</f>
        <v>Capital Social Realizado</v>
      </c>
      <c r="G4468" s="1"/>
      <c r="H4468" s="225">
        <v>50</v>
      </c>
      <c r="I4468" s="225">
        <v>0</v>
      </c>
      <c r="J4468" s="225">
        <v>0</v>
      </c>
      <c r="K4468" s="225">
        <v>50</v>
      </c>
      <c r="L44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468" s="225">
        <f>ROUND(IF(AND(Base_Periodo1[[#This Row],[Tipo_Linha]]="-",Base_Periodo1[[#This Row],[TIPOSALDO]]="D"),Base_Periodo1[[#This Row],[SALDO_ATUAL]]*-1,Base_Periodo1[[#This Row],[SALDO_ATUAL]]),4)</f>
        <v>50</v>
      </c>
      <c r="N4468" t="s">
        <v>116</v>
      </c>
      <c r="O4468" t="s">
        <v>459</v>
      </c>
      <c r="P4468" t="s">
        <v>459</v>
      </c>
      <c r="Q4468">
        <v>6</v>
      </c>
      <c r="R4468" s="225">
        <f>Base_Periodo1[[#This Row],[CREDITOS]]-Base_Periodo1[[#This Row],[DEBITOS]]</f>
        <v>0</v>
      </c>
      <c r="S4468" s="3" t="str">
        <f>IF(ISERROR(VLOOKUP(Base_Periodo1[[#This Row],[CONTA]],BaseContasDRE[#All],4,FALSE)),"Fora do DRE",VLOOKUP(Base_Periodo1[[#This Row],[CONTA]],BaseContasDRE[#All],4,FALSE))</f>
        <v>Fora do DRE</v>
      </c>
      <c r="T4468" s="3" t="str">
        <f>IF(ISERROR(VLOOKUP(Base_Periodo1[[#This Row],[CONTA]],BaseContasDRE[#All],5,FALSE)),"Fora do DRE",VLOOKUP(Base_Periodo1[[#This Row],[CONTA]],BaseContasDRE[#All],6,FALSE))</f>
        <v>Fora do DRE</v>
      </c>
      <c r="U4468" s="3" t="str">
        <f>IF(ISERROR(VLOOKUP(Base_Periodo1[[#This Row],[CONTA]],BaseContasDRE[#All],7,FALSE)),"Fora do DRE",VLOOKUP(Base_Periodo1[[#This Row],[CONTA]],BaseContasDRE[#All],7,FALSE))</f>
        <v>Fora do DRE</v>
      </c>
      <c r="V4468" s="3" t="str">
        <f>IF(Base_Periodo1[[#This Row],[Tipo_Linha]]="Fora do DRE","Fora do DRE","( "&amp;Base_Periodo1[[#This Row],[Tipo_Linha]]&amp;" ) "&amp;Base_Periodo1[[#This Row],[Filtro]])</f>
        <v>Fora do DRE</v>
      </c>
      <c r="W4468" s="3" t="str">
        <f>LEFT(Base_Periodo1[[#This Row],[CLASS]],3)</f>
        <v>2.4</v>
      </c>
    </row>
    <row r="4469" spans="1:23" hidden="1">
      <c r="A4469" s="3" t="str">
        <f t="shared" si="69"/>
        <v>Período 1</v>
      </c>
      <c r="B4469">
        <v>16168</v>
      </c>
      <c r="C4469" t="s">
        <v>2300</v>
      </c>
      <c r="D4469" t="s">
        <v>2440</v>
      </c>
      <c r="E4469" s="3" t="str">
        <f>IF(LEN(Base_Periodo1[[#This Row],[CLASS]])&gt;=7,LEFT(Base_Periodo1[[#This Row],[CLASS]],7),"")</f>
        <v>2.4.1.1</v>
      </c>
      <c r="F4469" s="3" t="str">
        <f>VLOOKUP(Base_Periodo1[[#This Row],[Aux]],Base_Contas_Balanco[#All],2,FALSE)</f>
        <v>Capital Social Realizado</v>
      </c>
      <c r="G4469" s="1">
        <v>42460</v>
      </c>
      <c r="H4469" s="225">
        <v>5403.16</v>
      </c>
      <c r="I4469" s="225">
        <v>0</v>
      </c>
      <c r="J4469" s="225">
        <v>0</v>
      </c>
      <c r="K4469" s="225">
        <v>5403.16</v>
      </c>
      <c r="L44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5403.16</v>
      </c>
      <c r="M4469" s="225">
        <f>ROUND(IF(AND(Base_Periodo1[[#This Row],[Tipo_Linha]]="-",Base_Periodo1[[#This Row],[TIPOSALDO]]="D"),Base_Periodo1[[#This Row],[SALDO_ATUAL]]*-1,Base_Periodo1[[#This Row],[SALDO_ATUAL]]),4)</f>
        <v>5403.16</v>
      </c>
      <c r="N4469" t="s">
        <v>116</v>
      </c>
      <c r="O4469" t="s">
        <v>459</v>
      </c>
      <c r="P4469" t="s">
        <v>459</v>
      </c>
      <c r="Q4469">
        <v>6</v>
      </c>
      <c r="R4469" s="225">
        <f>Base_Periodo1[[#This Row],[CREDITOS]]-Base_Periodo1[[#This Row],[DEBITOS]]</f>
        <v>0</v>
      </c>
      <c r="S4469" s="3" t="str">
        <f>IF(ISERROR(VLOOKUP(Base_Periodo1[[#This Row],[CONTA]],BaseContasDRE[#All],4,FALSE)),"Fora do DRE",VLOOKUP(Base_Periodo1[[#This Row],[CONTA]],BaseContasDRE[#All],4,FALSE))</f>
        <v>Fora do DRE</v>
      </c>
      <c r="T4469" s="3" t="str">
        <f>IF(ISERROR(VLOOKUP(Base_Periodo1[[#This Row],[CONTA]],BaseContasDRE[#All],5,FALSE)),"Fora do DRE",VLOOKUP(Base_Periodo1[[#This Row],[CONTA]],BaseContasDRE[#All],6,FALSE))</f>
        <v>Fora do DRE</v>
      </c>
      <c r="U4469" s="3" t="str">
        <f>IF(ISERROR(VLOOKUP(Base_Periodo1[[#This Row],[CONTA]],BaseContasDRE[#All],7,FALSE)),"Fora do DRE",VLOOKUP(Base_Periodo1[[#This Row],[CONTA]],BaseContasDRE[#All],7,FALSE))</f>
        <v>Fora do DRE</v>
      </c>
      <c r="V4469" s="3" t="str">
        <f>IF(Base_Periodo1[[#This Row],[Tipo_Linha]]="Fora do DRE","Fora do DRE","( "&amp;Base_Periodo1[[#This Row],[Tipo_Linha]]&amp;" ) "&amp;Base_Periodo1[[#This Row],[Filtro]])</f>
        <v>Fora do DRE</v>
      </c>
      <c r="W4469" s="3" t="str">
        <f>LEFT(Base_Periodo1[[#This Row],[CLASS]],3)</f>
        <v>2.4</v>
      </c>
    </row>
    <row r="4470" spans="1:23" hidden="1">
      <c r="A4470" s="3" t="str">
        <f t="shared" si="69"/>
        <v>Período 1</v>
      </c>
      <c r="B4470">
        <v>19862</v>
      </c>
      <c r="C4470" t="s">
        <v>2300</v>
      </c>
      <c r="D4470" t="s">
        <v>2441</v>
      </c>
      <c r="E4470" s="3" t="str">
        <f>IF(LEN(Base_Periodo1[[#This Row],[CLASS]])&gt;=7,LEFT(Base_Periodo1[[#This Row],[CLASS]],7),"")</f>
        <v>2.4.1.1</v>
      </c>
      <c r="F4470" s="3" t="str">
        <f>VLOOKUP(Base_Periodo1[[#This Row],[Aux]],Base_Contas_Balanco[#All],2,FALSE)</f>
        <v>Capital Social Realizado</v>
      </c>
      <c r="G4470" s="1"/>
      <c r="H4470" s="225">
        <v>121.95</v>
      </c>
      <c r="I4470" s="225">
        <v>0</v>
      </c>
      <c r="J4470" s="225">
        <v>0</v>
      </c>
      <c r="K4470" s="225">
        <v>121.95</v>
      </c>
      <c r="L44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121.95</v>
      </c>
      <c r="M4470" s="225">
        <f>ROUND(IF(AND(Base_Periodo1[[#This Row],[Tipo_Linha]]="-",Base_Periodo1[[#This Row],[TIPOSALDO]]="D"),Base_Periodo1[[#This Row],[SALDO_ATUAL]]*-1,Base_Periodo1[[#This Row],[SALDO_ATUAL]]),4)</f>
        <v>121.95</v>
      </c>
      <c r="N4470" t="s">
        <v>116</v>
      </c>
      <c r="O4470" t="s">
        <v>459</v>
      </c>
      <c r="P4470" t="s">
        <v>459</v>
      </c>
      <c r="Q4470">
        <v>6</v>
      </c>
      <c r="R4470" s="225">
        <f>Base_Periodo1[[#This Row],[CREDITOS]]-Base_Periodo1[[#This Row],[DEBITOS]]</f>
        <v>0</v>
      </c>
      <c r="S4470" s="3" t="str">
        <f>IF(ISERROR(VLOOKUP(Base_Periodo1[[#This Row],[CONTA]],BaseContasDRE[#All],4,FALSE)),"Fora do DRE",VLOOKUP(Base_Periodo1[[#This Row],[CONTA]],BaseContasDRE[#All],4,FALSE))</f>
        <v>Fora do DRE</v>
      </c>
      <c r="T4470" s="3" t="str">
        <f>IF(ISERROR(VLOOKUP(Base_Periodo1[[#This Row],[CONTA]],BaseContasDRE[#All],5,FALSE)),"Fora do DRE",VLOOKUP(Base_Periodo1[[#This Row],[CONTA]],BaseContasDRE[#All],6,FALSE))</f>
        <v>Fora do DRE</v>
      </c>
      <c r="U4470" s="3" t="str">
        <f>IF(ISERROR(VLOOKUP(Base_Periodo1[[#This Row],[CONTA]],BaseContasDRE[#All],7,FALSE)),"Fora do DRE",VLOOKUP(Base_Periodo1[[#This Row],[CONTA]],BaseContasDRE[#All],7,FALSE))</f>
        <v>Fora do DRE</v>
      </c>
      <c r="V4470" s="3" t="str">
        <f>IF(Base_Periodo1[[#This Row],[Tipo_Linha]]="Fora do DRE","Fora do DRE","( "&amp;Base_Periodo1[[#This Row],[Tipo_Linha]]&amp;" ) "&amp;Base_Periodo1[[#This Row],[Filtro]])</f>
        <v>Fora do DRE</v>
      </c>
      <c r="W4470" s="3" t="str">
        <f>LEFT(Base_Periodo1[[#This Row],[CLASS]],3)</f>
        <v>2.4</v>
      </c>
    </row>
    <row r="4471" spans="1:23" hidden="1">
      <c r="A4471" s="3" t="str">
        <f t="shared" si="69"/>
        <v>Período 1</v>
      </c>
      <c r="B4471">
        <v>35833</v>
      </c>
      <c r="C4471" t="s">
        <v>2300</v>
      </c>
      <c r="D4471" t="s">
        <v>2442</v>
      </c>
      <c r="E4471" s="3" t="str">
        <f>IF(LEN(Base_Periodo1[[#This Row],[CLASS]])&gt;=7,LEFT(Base_Periodo1[[#This Row],[CLASS]],7),"")</f>
        <v>2.4.1.1</v>
      </c>
      <c r="F4471" s="3" t="str">
        <f>VLOOKUP(Base_Periodo1[[#This Row],[Aux]],Base_Contas_Balanco[#All],2,FALSE)</f>
        <v>Capital Social Realizado</v>
      </c>
      <c r="G4471" s="1"/>
      <c r="H4471" s="225">
        <v>213.84</v>
      </c>
      <c r="I4471" s="225">
        <v>0</v>
      </c>
      <c r="J4471" s="225">
        <v>0</v>
      </c>
      <c r="K4471" s="225">
        <v>213.84</v>
      </c>
      <c r="L44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213.84</v>
      </c>
      <c r="M4471" s="225">
        <f>ROUND(IF(AND(Base_Periodo1[[#This Row],[Tipo_Linha]]="-",Base_Periodo1[[#This Row],[TIPOSALDO]]="D"),Base_Periodo1[[#This Row],[SALDO_ATUAL]]*-1,Base_Periodo1[[#This Row],[SALDO_ATUAL]]),4)</f>
        <v>213.84</v>
      </c>
      <c r="N4471" t="s">
        <v>116</v>
      </c>
      <c r="O4471" t="s">
        <v>459</v>
      </c>
      <c r="P4471" t="s">
        <v>459</v>
      </c>
      <c r="Q4471">
        <v>6</v>
      </c>
      <c r="R4471" s="225">
        <f>Base_Periodo1[[#This Row],[CREDITOS]]-Base_Periodo1[[#This Row],[DEBITOS]]</f>
        <v>0</v>
      </c>
      <c r="S4471" s="3" t="str">
        <f>IF(ISERROR(VLOOKUP(Base_Periodo1[[#This Row],[CONTA]],BaseContasDRE[#All],4,FALSE)),"Fora do DRE",VLOOKUP(Base_Periodo1[[#This Row],[CONTA]],BaseContasDRE[#All],4,FALSE))</f>
        <v>Fora do DRE</v>
      </c>
      <c r="T4471" s="3" t="str">
        <f>IF(ISERROR(VLOOKUP(Base_Periodo1[[#This Row],[CONTA]],BaseContasDRE[#All],5,FALSE)),"Fora do DRE",VLOOKUP(Base_Periodo1[[#This Row],[CONTA]],BaseContasDRE[#All],6,FALSE))</f>
        <v>Fora do DRE</v>
      </c>
      <c r="U4471" s="3" t="str">
        <f>IF(ISERROR(VLOOKUP(Base_Periodo1[[#This Row],[CONTA]],BaseContasDRE[#All],7,FALSE)),"Fora do DRE",VLOOKUP(Base_Periodo1[[#This Row],[CONTA]],BaseContasDRE[#All],7,FALSE))</f>
        <v>Fora do DRE</v>
      </c>
      <c r="V4471" s="3" t="str">
        <f>IF(Base_Periodo1[[#This Row],[Tipo_Linha]]="Fora do DRE","Fora do DRE","( "&amp;Base_Periodo1[[#This Row],[Tipo_Linha]]&amp;" ) "&amp;Base_Periodo1[[#This Row],[Filtro]])</f>
        <v>Fora do DRE</v>
      </c>
      <c r="W4471" s="3" t="str">
        <f>LEFT(Base_Periodo1[[#This Row],[CLASS]],3)</f>
        <v>2.4</v>
      </c>
    </row>
    <row r="4472" spans="1:23" hidden="1">
      <c r="A4472" s="3" t="str">
        <f t="shared" si="69"/>
        <v>Período 1</v>
      </c>
      <c r="B4472">
        <v>31712</v>
      </c>
      <c r="C4472" t="s">
        <v>2300</v>
      </c>
      <c r="D4472" t="s">
        <v>2443</v>
      </c>
      <c r="E4472" s="3" t="str">
        <f>IF(LEN(Base_Periodo1[[#This Row],[CLASS]])&gt;=7,LEFT(Base_Periodo1[[#This Row],[CLASS]],7),"")</f>
        <v>2.4.1.1</v>
      </c>
      <c r="F4472" s="3" t="str">
        <f>VLOOKUP(Base_Periodo1[[#This Row],[Aux]],Base_Contas_Balanco[#All],2,FALSE)</f>
        <v>Capital Social Realizado</v>
      </c>
      <c r="G4472" s="1"/>
      <c r="H4472" s="225">
        <v>50</v>
      </c>
      <c r="I4472" s="225">
        <v>0</v>
      </c>
      <c r="J4472" s="225">
        <v>0</v>
      </c>
      <c r="K4472" s="225">
        <v>50</v>
      </c>
      <c r="L44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472" s="225">
        <f>ROUND(IF(AND(Base_Periodo1[[#This Row],[Tipo_Linha]]="-",Base_Periodo1[[#This Row],[TIPOSALDO]]="D"),Base_Periodo1[[#This Row],[SALDO_ATUAL]]*-1,Base_Periodo1[[#This Row],[SALDO_ATUAL]]),4)</f>
        <v>50</v>
      </c>
      <c r="N4472" t="s">
        <v>116</v>
      </c>
      <c r="O4472" t="s">
        <v>459</v>
      </c>
      <c r="P4472" t="s">
        <v>459</v>
      </c>
      <c r="Q4472">
        <v>6</v>
      </c>
      <c r="R4472" s="225">
        <f>Base_Periodo1[[#This Row],[CREDITOS]]-Base_Periodo1[[#This Row],[DEBITOS]]</f>
        <v>0</v>
      </c>
      <c r="S4472" s="3" t="str">
        <f>IF(ISERROR(VLOOKUP(Base_Periodo1[[#This Row],[CONTA]],BaseContasDRE[#All],4,FALSE)),"Fora do DRE",VLOOKUP(Base_Periodo1[[#This Row],[CONTA]],BaseContasDRE[#All],4,FALSE))</f>
        <v>Fora do DRE</v>
      </c>
      <c r="T4472" s="3" t="str">
        <f>IF(ISERROR(VLOOKUP(Base_Periodo1[[#This Row],[CONTA]],BaseContasDRE[#All],5,FALSE)),"Fora do DRE",VLOOKUP(Base_Periodo1[[#This Row],[CONTA]],BaseContasDRE[#All],6,FALSE))</f>
        <v>Fora do DRE</v>
      </c>
      <c r="U4472" s="3" t="str">
        <f>IF(ISERROR(VLOOKUP(Base_Periodo1[[#This Row],[CONTA]],BaseContasDRE[#All],7,FALSE)),"Fora do DRE",VLOOKUP(Base_Periodo1[[#This Row],[CONTA]],BaseContasDRE[#All],7,FALSE))</f>
        <v>Fora do DRE</v>
      </c>
      <c r="V4472" s="3" t="str">
        <f>IF(Base_Periodo1[[#This Row],[Tipo_Linha]]="Fora do DRE","Fora do DRE","( "&amp;Base_Periodo1[[#This Row],[Tipo_Linha]]&amp;" ) "&amp;Base_Periodo1[[#This Row],[Filtro]])</f>
        <v>Fora do DRE</v>
      </c>
      <c r="W4472" s="3" t="str">
        <f>LEFT(Base_Periodo1[[#This Row],[CLASS]],3)</f>
        <v>2.4</v>
      </c>
    </row>
    <row r="4473" spans="1:23" hidden="1">
      <c r="A4473" s="3" t="str">
        <f t="shared" si="69"/>
        <v>Período 1</v>
      </c>
      <c r="B4473">
        <v>40730</v>
      </c>
      <c r="C4473" t="s">
        <v>2300</v>
      </c>
      <c r="D4473" t="s">
        <v>2444</v>
      </c>
      <c r="E4473" s="3" t="str">
        <f>IF(LEN(Base_Periodo1[[#This Row],[CLASS]])&gt;=7,LEFT(Base_Periodo1[[#This Row],[CLASS]],7),"")</f>
        <v>2.4.1.1</v>
      </c>
      <c r="F4473" s="3" t="str">
        <f>VLOOKUP(Base_Periodo1[[#This Row],[Aux]],Base_Contas_Balanco[#All],2,FALSE)</f>
        <v>Capital Social Realizado</v>
      </c>
      <c r="G4473" s="1"/>
      <c r="H4473" s="225">
        <v>112.22999999999999</v>
      </c>
      <c r="I4473" s="225">
        <v>0</v>
      </c>
      <c r="J4473" s="225">
        <v>0</v>
      </c>
      <c r="K4473" s="225">
        <v>112.22999999999999</v>
      </c>
      <c r="L44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112.23</v>
      </c>
      <c r="M4473" s="225">
        <f>ROUND(IF(AND(Base_Periodo1[[#This Row],[Tipo_Linha]]="-",Base_Periodo1[[#This Row],[TIPOSALDO]]="D"),Base_Periodo1[[#This Row],[SALDO_ATUAL]]*-1,Base_Periodo1[[#This Row],[SALDO_ATUAL]]),4)</f>
        <v>112.23</v>
      </c>
      <c r="N4473" t="s">
        <v>116</v>
      </c>
      <c r="O4473" t="s">
        <v>459</v>
      </c>
      <c r="P4473" t="s">
        <v>459</v>
      </c>
      <c r="Q4473">
        <v>6</v>
      </c>
      <c r="R4473" s="225">
        <f>Base_Periodo1[[#This Row],[CREDITOS]]-Base_Periodo1[[#This Row],[DEBITOS]]</f>
        <v>0</v>
      </c>
      <c r="S4473" s="3" t="str">
        <f>IF(ISERROR(VLOOKUP(Base_Periodo1[[#This Row],[CONTA]],BaseContasDRE[#All],4,FALSE)),"Fora do DRE",VLOOKUP(Base_Periodo1[[#This Row],[CONTA]],BaseContasDRE[#All],4,FALSE))</f>
        <v>Fora do DRE</v>
      </c>
      <c r="T4473" s="3" t="str">
        <f>IF(ISERROR(VLOOKUP(Base_Periodo1[[#This Row],[CONTA]],BaseContasDRE[#All],5,FALSE)),"Fora do DRE",VLOOKUP(Base_Periodo1[[#This Row],[CONTA]],BaseContasDRE[#All],6,FALSE))</f>
        <v>Fora do DRE</v>
      </c>
      <c r="U4473" s="3" t="str">
        <f>IF(ISERROR(VLOOKUP(Base_Periodo1[[#This Row],[CONTA]],BaseContasDRE[#All],7,FALSE)),"Fora do DRE",VLOOKUP(Base_Periodo1[[#This Row],[CONTA]],BaseContasDRE[#All],7,FALSE))</f>
        <v>Fora do DRE</v>
      </c>
      <c r="V4473" s="3" t="str">
        <f>IF(Base_Periodo1[[#This Row],[Tipo_Linha]]="Fora do DRE","Fora do DRE","( "&amp;Base_Periodo1[[#This Row],[Tipo_Linha]]&amp;" ) "&amp;Base_Periodo1[[#This Row],[Filtro]])</f>
        <v>Fora do DRE</v>
      </c>
      <c r="W4473" s="3" t="str">
        <f>LEFT(Base_Periodo1[[#This Row],[CLASS]],3)</f>
        <v>2.4</v>
      </c>
    </row>
    <row r="4474" spans="1:23" hidden="1">
      <c r="A4474" s="3" t="str">
        <f t="shared" si="69"/>
        <v>Período 1</v>
      </c>
      <c r="B4474">
        <v>16185</v>
      </c>
      <c r="C4474" t="s">
        <v>2300</v>
      </c>
      <c r="D4474" t="s">
        <v>2445</v>
      </c>
      <c r="E4474" s="3" t="str">
        <f>IF(LEN(Base_Periodo1[[#This Row],[CLASS]])&gt;=7,LEFT(Base_Periodo1[[#This Row],[CLASS]],7),"")</f>
        <v>2.4.1.1</v>
      </c>
      <c r="F4474" s="3" t="str">
        <f>VLOOKUP(Base_Periodo1[[#This Row],[Aux]],Base_Contas_Balanco[#All],2,FALSE)</f>
        <v>Capital Social Realizado</v>
      </c>
      <c r="G4474" s="1"/>
      <c r="H4474" s="225">
        <v>3367.81</v>
      </c>
      <c r="I4474" s="225">
        <v>0</v>
      </c>
      <c r="J4474" s="225">
        <v>0</v>
      </c>
      <c r="K4474" s="225">
        <v>3367.81</v>
      </c>
      <c r="L44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3367.81</v>
      </c>
      <c r="M4474" s="225">
        <f>ROUND(IF(AND(Base_Periodo1[[#This Row],[Tipo_Linha]]="-",Base_Periodo1[[#This Row],[TIPOSALDO]]="D"),Base_Periodo1[[#This Row],[SALDO_ATUAL]]*-1,Base_Periodo1[[#This Row],[SALDO_ATUAL]]),4)</f>
        <v>3367.81</v>
      </c>
      <c r="N4474" t="s">
        <v>116</v>
      </c>
      <c r="O4474" t="s">
        <v>459</v>
      </c>
      <c r="P4474" t="s">
        <v>459</v>
      </c>
      <c r="Q4474">
        <v>6</v>
      </c>
      <c r="R4474" s="225">
        <f>Base_Periodo1[[#This Row],[CREDITOS]]-Base_Periodo1[[#This Row],[DEBITOS]]</f>
        <v>0</v>
      </c>
      <c r="S4474" s="3" t="str">
        <f>IF(ISERROR(VLOOKUP(Base_Periodo1[[#This Row],[CONTA]],BaseContasDRE[#All],4,FALSE)),"Fora do DRE",VLOOKUP(Base_Periodo1[[#This Row],[CONTA]],BaseContasDRE[#All],4,FALSE))</f>
        <v>Fora do DRE</v>
      </c>
      <c r="T4474" s="3" t="str">
        <f>IF(ISERROR(VLOOKUP(Base_Periodo1[[#This Row],[CONTA]],BaseContasDRE[#All],5,FALSE)),"Fora do DRE",VLOOKUP(Base_Periodo1[[#This Row],[CONTA]],BaseContasDRE[#All],6,FALSE))</f>
        <v>Fora do DRE</v>
      </c>
      <c r="U4474" s="3" t="str">
        <f>IF(ISERROR(VLOOKUP(Base_Periodo1[[#This Row],[CONTA]],BaseContasDRE[#All],7,FALSE)),"Fora do DRE",VLOOKUP(Base_Periodo1[[#This Row],[CONTA]],BaseContasDRE[#All],7,FALSE))</f>
        <v>Fora do DRE</v>
      </c>
      <c r="V4474" s="3" t="str">
        <f>IF(Base_Periodo1[[#This Row],[Tipo_Linha]]="Fora do DRE","Fora do DRE","( "&amp;Base_Periodo1[[#This Row],[Tipo_Linha]]&amp;" ) "&amp;Base_Periodo1[[#This Row],[Filtro]])</f>
        <v>Fora do DRE</v>
      </c>
      <c r="W4474" s="3" t="str">
        <f>LEFT(Base_Periodo1[[#This Row],[CLASS]],3)</f>
        <v>2.4</v>
      </c>
    </row>
    <row r="4475" spans="1:23" hidden="1">
      <c r="A4475" s="3" t="str">
        <f t="shared" si="69"/>
        <v>Período 1</v>
      </c>
      <c r="B4475">
        <v>16323</v>
      </c>
      <c r="C4475" t="s">
        <v>2300</v>
      </c>
      <c r="D4475" t="s">
        <v>2446</v>
      </c>
      <c r="E4475" s="3" t="str">
        <f>IF(LEN(Base_Periodo1[[#This Row],[CLASS]])&gt;=7,LEFT(Base_Periodo1[[#This Row],[CLASS]],7),"")</f>
        <v>2.4.1.1</v>
      </c>
      <c r="F4475" s="3" t="str">
        <f>VLOOKUP(Base_Periodo1[[#This Row],[Aux]],Base_Contas_Balanco[#All],2,FALSE)</f>
        <v>Capital Social Realizado</v>
      </c>
      <c r="G4475" s="1">
        <v>42460</v>
      </c>
      <c r="H4475" s="225">
        <v>5875.09</v>
      </c>
      <c r="I4475" s="225">
        <v>0</v>
      </c>
      <c r="J4475" s="225">
        <v>0</v>
      </c>
      <c r="K4475" s="225">
        <v>5875.09</v>
      </c>
      <c r="L44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5875.09</v>
      </c>
      <c r="M4475" s="225">
        <f>ROUND(IF(AND(Base_Periodo1[[#This Row],[Tipo_Linha]]="-",Base_Periodo1[[#This Row],[TIPOSALDO]]="D"),Base_Periodo1[[#This Row],[SALDO_ATUAL]]*-1,Base_Periodo1[[#This Row],[SALDO_ATUAL]]),4)</f>
        <v>5875.09</v>
      </c>
      <c r="N4475" t="s">
        <v>116</v>
      </c>
      <c r="O4475" t="s">
        <v>459</v>
      </c>
      <c r="P4475" t="s">
        <v>459</v>
      </c>
      <c r="Q4475">
        <v>6</v>
      </c>
      <c r="R4475" s="225">
        <f>Base_Periodo1[[#This Row],[CREDITOS]]-Base_Periodo1[[#This Row],[DEBITOS]]</f>
        <v>0</v>
      </c>
      <c r="S4475" s="3" t="str">
        <f>IF(ISERROR(VLOOKUP(Base_Periodo1[[#This Row],[CONTA]],BaseContasDRE[#All],4,FALSE)),"Fora do DRE",VLOOKUP(Base_Periodo1[[#This Row],[CONTA]],BaseContasDRE[#All],4,FALSE))</f>
        <v>Fora do DRE</v>
      </c>
      <c r="T4475" s="3" t="str">
        <f>IF(ISERROR(VLOOKUP(Base_Periodo1[[#This Row],[CONTA]],BaseContasDRE[#All],5,FALSE)),"Fora do DRE",VLOOKUP(Base_Periodo1[[#This Row],[CONTA]],BaseContasDRE[#All],6,FALSE))</f>
        <v>Fora do DRE</v>
      </c>
      <c r="U4475" s="3" t="str">
        <f>IF(ISERROR(VLOOKUP(Base_Periodo1[[#This Row],[CONTA]],BaseContasDRE[#All],7,FALSE)),"Fora do DRE",VLOOKUP(Base_Periodo1[[#This Row],[CONTA]],BaseContasDRE[#All],7,FALSE))</f>
        <v>Fora do DRE</v>
      </c>
      <c r="V4475" s="3" t="str">
        <f>IF(Base_Periodo1[[#This Row],[Tipo_Linha]]="Fora do DRE","Fora do DRE","( "&amp;Base_Periodo1[[#This Row],[Tipo_Linha]]&amp;" ) "&amp;Base_Periodo1[[#This Row],[Filtro]])</f>
        <v>Fora do DRE</v>
      </c>
      <c r="W4475" s="3" t="str">
        <f>LEFT(Base_Periodo1[[#This Row],[CLASS]],3)</f>
        <v>2.4</v>
      </c>
    </row>
    <row r="4476" spans="1:23" hidden="1">
      <c r="A4476" s="3" t="str">
        <f t="shared" si="69"/>
        <v>Período 1</v>
      </c>
      <c r="B4476">
        <v>15946</v>
      </c>
      <c r="C4476" t="s">
        <v>2300</v>
      </c>
      <c r="D4476" t="s">
        <v>2447</v>
      </c>
      <c r="E4476" s="3" t="str">
        <f>IF(LEN(Base_Periodo1[[#This Row],[CLASS]])&gt;=7,LEFT(Base_Periodo1[[#This Row],[CLASS]],7),"")</f>
        <v>2.4.1.1</v>
      </c>
      <c r="F4476" s="3" t="str">
        <f>VLOOKUP(Base_Periodo1[[#This Row],[Aux]],Base_Contas_Balanco[#All],2,FALSE)</f>
        <v>Capital Social Realizado</v>
      </c>
      <c r="G4476" s="1"/>
      <c r="H4476" s="225">
        <v>8258.26</v>
      </c>
      <c r="I4476" s="225">
        <v>0</v>
      </c>
      <c r="J4476" s="225">
        <v>0</v>
      </c>
      <c r="K4476" s="225">
        <v>8258.26</v>
      </c>
      <c r="L44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8258.26</v>
      </c>
      <c r="M4476" s="225">
        <f>ROUND(IF(AND(Base_Periodo1[[#This Row],[Tipo_Linha]]="-",Base_Periodo1[[#This Row],[TIPOSALDO]]="D"),Base_Periodo1[[#This Row],[SALDO_ATUAL]]*-1,Base_Periodo1[[#This Row],[SALDO_ATUAL]]),4)</f>
        <v>8258.26</v>
      </c>
      <c r="N4476" t="s">
        <v>116</v>
      </c>
      <c r="O4476" t="s">
        <v>459</v>
      </c>
      <c r="P4476" t="s">
        <v>459</v>
      </c>
      <c r="Q4476">
        <v>6</v>
      </c>
      <c r="R4476" s="225">
        <f>Base_Periodo1[[#This Row],[CREDITOS]]-Base_Periodo1[[#This Row],[DEBITOS]]</f>
        <v>0</v>
      </c>
      <c r="S4476" s="3" t="str">
        <f>IF(ISERROR(VLOOKUP(Base_Periodo1[[#This Row],[CONTA]],BaseContasDRE[#All],4,FALSE)),"Fora do DRE",VLOOKUP(Base_Periodo1[[#This Row],[CONTA]],BaseContasDRE[#All],4,FALSE))</f>
        <v>Fora do DRE</v>
      </c>
      <c r="T4476" s="3" t="str">
        <f>IF(ISERROR(VLOOKUP(Base_Periodo1[[#This Row],[CONTA]],BaseContasDRE[#All],5,FALSE)),"Fora do DRE",VLOOKUP(Base_Periodo1[[#This Row],[CONTA]],BaseContasDRE[#All],6,FALSE))</f>
        <v>Fora do DRE</v>
      </c>
      <c r="U4476" s="3" t="str">
        <f>IF(ISERROR(VLOOKUP(Base_Periodo1[[#This Row],[CONTA]],BaseContasDRE[#All],7,FALSE)),"Fora do DRE",VLOOKUP(Base_Periodo1[[#This Row],[CONTA]],BaseContasDRE[#All],7,FALSE))</f>
        <v>Fora do DRE</v>
      </c>
      <c r="V4476" s="3" t="str">
        <f>IF(Base_Periodo1[[#This Row],[Tipo_Linha]]="Fora do DRE","Fora do DRE","( "&amp;Base_Periodo1[[#This Row],[Tipo_Linha]]&amp;" ) "&amp;Base_Periodo1[[#This Row],[Filtro]])</f>
        <v>Fora do DRE</v>
      </c>
      <c r="W4476" s="3" t="str">
        <f>LEFT(Base_Periodo1[[#This Row],[CLASS]],3)</f>
        <v>2.4</v>
      </c>
    </row>
    <row r="4477" spans="1:23" hidden="1">
      <c r="A4477" s="3" t="str">
        <f t="shared" si="69"/>
        <v>Período 1</v>
      </c>
      <c r="B4477">
        <v>16324</v>
      </c>
      <c r="C4477" t="s">
        <v>2300</v>
      </c>
      <c r="D4477" t="s">
        <v>2448</v>
      </c>
      <c r="E4477" s="3" t="str">
        <f>IF(LEN(Base_Periodo1[[#This Row],[CLASS]])&gt;=7,LEFT(Base_Periodo1[[#This Row],[CLASS]],7),"")</f>
        <v>2.4.1.1</v>
      </c>
      <c r="F4477" s="3" t="str">
        <f>VLOOKUP(Base_Periodo1[[#This Row],[Aux]],Base_Contas_Balanco[#All],2,FALSE)</f>
        <v>Capital Social Realizado</v>
      </c>
      <c r="G4477" s="1"/>
      <c r="H4477" s="225">
        <v>2559.6</v>
      </c>
      <c r="I4477" s="225">
        <v>0</v>
      </c>
      <c r="J4477" s="225">
        <v>0</v>
      </c>
      <c r="K4477" s="225">
        <v>2559.6</v>
      </c>
      <c r="L44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2559.6</v>
      </c>
      <c r="M4477" s="225">
        <f>ROUND(IF(AND(Base_Periodo1[[#This Row],[Tipo_Linha]]="-",Base_Periodo1[[#This Row],[TIPOSALDO]]="D"),Base_Periodo1[[#This Row],[SALDO_ATUAL]]*-1,Base_Periodo1[[#This Row],[SALDO_ATUAL]]),4)</f>
        <v>2559.6</v>
      </c>
      <c r="N4477" t="s">
        <v>116</v>
      </c>
      <c r="O4477" t="s">
        <v>459</v>
      </c>
      <c r="P4477" t="s">
        <v>459</v>
      </c>
      <c r="Q4477">
        <v>6</v>
      </c>
      <c r="R4477" s="225">
        <f>Base_Periodo1[[#This Row],[CREDITOS]]-Base_Periodo1[[#This Row],[DEBITOS]]</f>
        <v>0</v>
      </c>
      <c r="S4477" s="3" t="str">
        <f>IF(ISERROR(VLOOKUP(Base_Periodo1[[#This Row],[CONTA]],BaseContasDRE[#All],4,FALSE)),"Fora do DRE",VLOOKUP(Base_Periodo1[[#This Row],[CONTA]],BaseContasDRE[#All],4,FALSE))</f>
        <v>Fora do DRE</v>
      </c>
      <c r="T4477" s="3" t="str">
        <f>IF(ISERROR(VLOOKUP(Base_Periodo1[[#This Row],[CONTA]],BaseContasDRE[#All],5,FALSE)),"Fora do DRE",VLOOKUP(Base_Periodo1[[#This Row],[CONTA]],BaseContasDRE[#All],6,FALSE))</f>
        <v>Fora do DRE</v>
      </c>
      <c r="U4477" s="3" t="str">
        <f>IF(ISERROR(VLOOKUP(Base_Periodo1[[#This Row],[CONTA]],BaseContasDRE[#All],7,FALSE)),"Fora do DRE",VLOOKUP(Base_Periodo1[[#This Row],[CONTA]],BaseContasDRE[#All],7,FALSE))</f>
        <v>Fora do DRE</v>
      </c>
      <c r="V4477" s="3" t="str">
        <f>IF(Base_Periodo1[[#This Row],[Tipo_Linha]]="Fora do DRE","Fora do DRE","( "&amp;Base_Periodo1[[#This Row],[Tipo_Linha]]&amp;" ) "&amp;Base_Periodo1[[#This Row],[Filtro]])</f>
        <v>Fora do DRE</v>
      </c>
      <c r="W4477" s="3" t="str">
        <f>LEFT(Base_Periodo1[[#This Row],[CLASS]],3)</f>
        <v>2.4</v>
      </c>
    </row>
    <row r="4478" spans="1:23" hidden="1">
      <c r="A4478" s="3" t="str">
        <f t="shared" si="69"/>
        <v>Período 1</v>
      </c>
      <c r="B4478">
        <v>52578</v>
      </c>
      <c r="C4478" t="s">
        <v>2300</v>
      </c>
      <c r="D4478" t="s">
        <v>4786</v>
      </c>
      <c r="E4478" s="3" t="str">
        <f>IF(LEN(Base_Periodo1[[#This Row],[CLASS]])&gt;=7,LEFT(Base_Periodo1[[#This Row],[CLASS]],7),"")</f>
        <v>2.4.1.1</v>
      </c>
      <c r="F4478" s="3" t="str">
        <f>VLOOKUP(Base_Periodo1[[#This Row],[Aux]],Base_Contas_Balanco[#All],2,FALSE)</f>
        <v>Capital Social Realizado</v>
      </c>
      <c r="G4478" s="1"/>
      <c r="H4478" s="225">
        <v>50</v>
      </c>
      <c r="I4478" s="225">
        <v>0</v>
      </c>
      <c r="J4478" s="225">
        <v>0</v>
      </c>
      <c r="K4478" s="225">
        <v>50</v>
      </c>
      <c r="L44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478" s="225">
        <f>ROUND(IF(AND(Base_Periodo1[[#This Row],[Tipo_Linha]]="-",Base_Periodo1[[#This Row],[TIPOSALDO]]="D"),Base_Periodo1[[#This Row],[SALDO_ATUAL]]*-1,Base_Periodo1[[#This Row],[SALDO_ATUAL]]),4)</f>
        <v>50</v>
      </c>
      <c r="N4478" t="s">
        <v>116</v>
      </c>
      <c r="O4478" t="s">
        <v>459</v>
      </c>
      <c r="P4478" t="s">
        <v>459</v>
      </c>
      <c r="Q4478">
        <v>6</v>
      </c>
      <c r="R4478" s="225">
        <f>Base_Periodo1[[#This Row],[CREDITOS]]-Base_Periodo1[[#This Row],[DEBITOS]]</f>
        <v>0</v>
      </c>
      <c r="S4478" s="3" t="str">
        <f>IF(ISERROR(VLOOKUP(Base_Periodo1[[#This Row],[CONTA]],BaseContasDRE[#All],4,FALSE)),"Fora do DRE",VLOOKUP(Base_Periodo1[[#This Row],[CONTA]],BaseContasDRE[#All],4,FALSE))</f>
        <v>Fora do DRE</v>
      </c>
      <c r="T4478" s="3" t="str">
        <f>IF(ISERROR(VLOOKUP(Base_Periodo1[[#This Row],[CONTA]],BaseContasDRE[#All],5,FALSE)),"Fora do DRE",VLOOKUP(Base_Periodo1[[#This Row],[CONTA]],BaseContasDRE[#All],6,FALSE))</f>
        <v>Fora do DRE</v>
      </c>
      <c r="U4478" s="3" t="str">
        <f>IF(ISERROR(VLOOKUP(Base_Periodo1[[#This Row],[CONTA]],BaseContasDRE[#All],7,FALSE)),"Fora do DRE",VLOOKUP(Base_Periodo1[[#This Row],[CONTA]],BaseContasDRE[#All],7,FALSE))</f>
        <v>Fora do DRE</v>
      </c>
      <c r="V4478" s="3" t="str">
        <f>IF(Base_Periodo1[[#This Row],[Tipo_Linha]]="Fora do DRE","Fora do DRE","( "&amp;Base_Periodo1[[#This Row],[Tipo_Linha]]&amp;" ) "&amp;Base_Periodo1[[#This Row],[Filtro]])</f>
        <v>Fora do DRE</v>
      </c>
      <c r="W4478" s="3" t="str">
        <f>LEFT(Base_Periodo1[[#This Row],[CLASS]],3)</f>
        <v>2.4</v>
      </c>
    </row>
    <row r="4479" spans="1:23" hidden="1">
      <c r="A4479" s="3" t="str">
        <f t="shared" si="69"/>
        <v>Período 1</v>
      </c>
      <c r="B4479">
        <v>16054</v>
      </c>
      <c r="C4479" t="s">
        <v>2300</v>
      </c>
      <c r="D4479" t="s">
        <v>2449</v>
      </c>
      <c r="E4479" s="3" t="str">
        <f>IF(LEN(Base_Periodo1[[#This Row],[CLASS]])&gt;=7,LEFT(Base_Periodo1[[#This Row],[CLASS]],7),"")</f>
        <v>2.4.1.1</v>
      </c>
      <c r="F4479" s="3" t="str">
        <f>VLOOKUP(Base_Periodo1[[#This Row],[Aux]],Base_Contas_Balanco[#All],2,FALSE)</f>
        <v>Capital Social Realizado</v>
      </c>
      <c r="G4479" s="1"/>
      <c r="H4479" s="225">
        <v>2296.1799999999998</v>
      </c>
      <c r="I4479" s="225">
        <v>0</v>
      </c>
      <c r="J4479" s="225">
        <v>0</v>
      </c>
      <c r="K4479" s="225">
        <v>2296.1799999999998</v>
      </c>
      <c r="L44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2296.1799999999998</v>
      </c>
      <c r="M4479" s="225">
        <f>ROUND(IF(AND(Base_Periodo1[[#This Row],[Tipo_Linha]]="-",Base_Periodo1[[#This Row],[TIPOSALDO]]="D"),Base_Periodo1[[#This Row],[SALDO_ATUAL]]*-1,Base_Periodo1[[#This Row],[SALDO_ATUAL]]),4)</f>
        <v>2296.1799999999998</v>
      </c>
      <c r="N4479" t="s">
        <v>116</v>
      </c>
      <c r="O4479" t="s">
        <v>459</v>
      </c>
      <c r="P4479" t="s">
        <v>459</v>
      </c>
      <c r="Q4479">
        <v>6</v>
      </c>
      <c r="R4479" s="225">
        <f>Base_Periodo1[[#This Row],[CREDITOS]]-Base_Periodo1[[#This Row],[DEBITOS]]</f>
        <v>0</v>
      </c>
      <c r="S4479" s="3" t="str">
        <f>IF(ISERROR(VLOOKUP(Base_Periodo1[[#This Row],[CONTA]],BaseContasDRE[#All],4,FALSE)),"Fora do DRE",VLOOKUP(Base_Periodo1[[#This Row],[CONTA]],BaseContasDRE[#All],4,FALSE))</f>
        <v>Fora do DRE</v>
      </c>
      <c r="T4479" s="3" t="str">
        <f>IF(ISERROR(VLOOKUP(Base_Periodo1[[#This Row],[CONTA]],BaseContasDRE[#All],5,FALSE)),"Fora do DRE",VLOOKUP(Base_Periodo1[[#This Row],[CONTA]],BaseContasDRE[#All],6,FALSE))</f>
        <v>Fora do DRE</v>
      </c>
      <c r="U4479" s="3" t="str">
        <f>IF(ISERROR(VLOOKUP(Base_Periodo1[[#This Row],[CONTA]],BaseContasDRE[#All],7,FALSE)),"Fora do DRE",VLOOKUP(Base_Periodo1[[#This Row],[CONTA]],BaseContasDRE[#All],7,FALSE))</f>
        <v>Fora do DRE</v>
      </c>
      <c r="V4479" s="3" t="str">
        <f>IF(Base_Periodo1[[#This Row],[Tipo_Linha]]="Fora do DRE","Fora do DRE","( "&amp;Base_Periodo1[[#This Row],[Tipo_Linha]]&amp;" ) "&amp;Base_Periodo1[[#This Row],[Filtro]])</f>
        <v>Fora do DRE</v>
      </c>
      <c r="W4479" s="3" t="str">
        <f>LEFT(Base_Periodo1[[#This Row],[CLASS]],3)</f>
        <v>2.4</v>
      </c>
    </row>
    <row r="4480" spans="1:23" hidden="1">
      <c r="A4480" s="3" t="str">
        <f t="shared" si="69"/>
        <v>Período 1</v>
      </c>
      <c r="B4480">
        <v>15972</v>
      </c>
      <c r="C4480" t="s">
        <v>2300</v>
      </c>
      <c r="D4480" t="s">
        <v>2450</v>
      </c>
      <c r="E4480" s="3" t="str">
        <f>IF(LEN(Base_Periodo1[[#This Row],[CLASS]])&gt;=7,LEFT(Base_Periodo1[[#This Row],[CLASS]],7),"")</f>
        <v>2.4.1.1</v>
      </c>
      <c r="F4480" s="3" t="str">
        <f>VLOOKUP(Base_Periodo1[[#This Row],[Aux]],Base_Contas_Balanco[#All],2,FALSE)</f>
        <v>Capital Social Realizado</v>
      </c>
      <c r="G4480" s="1"/>
      <c r="H4480" s="225">
        <v>2835.14</v>
      </c>
      <c r="I4480" s="225">
        <v>0</v>
      </c>
      <c r="J4480" s="225">
        <v>0</v>
      </c>
      <c r="K4480" s="225">
        <v>2835.14</v>
      </c>
      <c r="L44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2835.14</v>
      </c>
      <c r="M4480" s="225">
        <f>ROUND(IF(AND(Base_Periodo1[[#This Row],[Tipo_Linha]]="-",Base_Periodo1[[#This Row],[TIPOSALDO]]="D"),Base_Periodo1[[#This Row],[SALDO_ATUAL]]*-1,Base_Periodo1[[#This Row],[SALDO_ATUAL]]),4)</f>
        <v>2835.14</v>
      </c>
      <c r="N4480" t="s">
        <v>116</v>
      </c>
      <c r="O4480" t="s">
        <v>459</v>
      </c>
      <c r="P4480" t="s">
        <v>459</v>
      </c>
      <c r="Q4480">
        <v>6</v>
      </c>
      <c r="R4480" s="225">
        <f>Base_Periodo1[[#This Row],[CREDITOS]]-Base_Periodo1[[#This Row],[DEBITOS]]</f>
        <v>0</v>
      </c>
      <c r="S4480" s="3" t="str">
        <f>IF(ISERROR(VLOOKUP(Base_Periodo1[[#This Row],[CONTA]],BaseContasDRE[#All],4,FALSE)),"Fora do DRE",VLOOKUP(Base_Periodo1[[#This Row],[CONTA]],BaseContasDRE[#All],4,FALSE))</f>
        <v>Fora do DRE</v>
      </c>
      <c r="T4480" s="3" t="str">
        <f>IF(ISERROR(VLOOKUP(Base_Periodo1[[#This Row],[CONTA]],BaseContasDRE[#All],5,FALSE)),"Fora do DRE",VLOOKUP(Base_Periodo1[[#This Row],[CONTA]],BaseContasDRE[#All],6,FALSE))</f>
        <v>Fora do DRE</v>
      </c>
      <c r="U4480" s="3" t="str">
        <f>IF(ISERROR(VLOOKUP(Base_Periodo1[[#This Row],[CONTA]],BaseContasDRE[#All],7,FALSE)),"Fora do DRE",VLOOKUP(Base_Periodo1[[#This Row],[CONTA]],BaseContasDRE[#All],7,FALSE))</f>
        <v>Fora do DRE</v>
      </c>
      <c r="V4480" s="3" t="str">
        <f>IF(Base_Periodo1[[#This Row],[Tipo_Linha]]="Fora do DRE","Fora do DRE","( "&amp;Base_Periodo1[[#This Row],[Tipo_Linha]]&amp;" ) "&amp;Base_Periodo1[[#This Row],[Filtro]])</f>
        <v>Fora do DRE</v>
      </c>
      <c r="W4480" s="3" t="str">
        <f>LEFT(Base_Periodo1[[#This Row],[CLASS]],3)</f>
        <v>2.4</v>
      </c>
    </row>
    <row r="4481" spans="1:23" hidden="1">
      <c r="A4481" s="3" t="str">
        <f t="shared" si="69"/>
        <v>Período 1</v>
      </c>
      <c r="B4481">
        <v>49635</v>
      </c>
      <c r="C4481" t="s">
        <v>2300</v>
      </c>
      <c r="D4481" t="s">
        <v>4303</v>
      </c>
      <c r="E4481" s="3" t="str">
        <f>IF(LEN(Base_Periodo1[[#This Row],[CLASS]])&gt;=7,LEFT(Base_Periodo1[[#This Row],[CLASS]],7),"")</f>
        <v>2.4.1.1</v>
      </c>
      <c r="F4481" s="3" t="str">
        <f>VLOOKUP(Base_Periodo1[[#This Row],[Aux]],Base_Contas_Balanco[#All],2,FALSE)</f>
        <v>Capital Social Realizado</v>
      </c>
      <c r="G4481" s="1"/>
      <c r="H4481" s="225">
        <v>50</v>
      </c>
      <c r="I4481" s="225">
        <v>0</v>
      </c>
      <c r="J4481" s="225">
        <v>0</v>
      </c>
      <c r="K4481" s="225">
        <v>50</v>
      </c>
      <c r="L44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481" s="225">
        <f>ROUND(IF(AND(Base_Periodo1[[#This Row],[Tipo_Linha]]="-",Base_Periodo1[[#This Row],[TIPOSALDO]]="D"),Base_Periodo1[[#This Row],[SALDO_ATUAL]]*-1,Base_Periodo1[[#This Row],[SALDO_ATUAL]]),4)</f>
        <v>50</v>
      </c>
      <c r="N4481" t="s">
        <v>116</v>
      </c>
      <c r="O4481" t="s">
        <v>459</v>
      </c>
      <c r="P4481" t="s">
        <v>459</v>
      </c>
      <c r="Q4481">
        <v>6</v>
      </c>
      <c r="R4481" s="225">
        <f>Base_Periodo1[[#This Row],[CREDITOS]]-Base_Periodo1[[#This Row],[DEBITOS]]</f>
        <v>0</v>
      </c>
      <c r="S4481" s="3" t="str">
        <f>IF(ISERROR(VLOOKUP(Base_Periodo1[[#This Row],[CONTA]],BaseContasDRE[#All],4,FALSE)),"Fora do DRE",VLOOKUP(Base_Periodo1[[#This Row],[CONTA]],BaseContasDRE[#All],4,FALSE))</f>
        <v>Fora do DRE</v>
      </c>
      <c r="T4481" s="3" t="str">
        <f>IF(ISERROR(VLOOKUP(Base_Periodo1[[#This Row],[CONTA]],BaseContasDRE[#All],5,FALSE)),"Fora do DRE",VLOOKUP(Base_Periodo1[[#This Row],[CONTA]],BaseContasDRE[#All],6,FALSE))</f>
        <v>Fora do DRE</v>
      </c>
      <c r="U4481" s="3" t="str">
        <f>IF(ISERROR(VLOOKUP(Base_Periodo1[[#This Row],[CONTA]],BaseContasDRE[#All],7,FALSE)),"Fora do DRE",VLOOKUP(Base_Periodo1[[#This Row],[CONTA]],BaseContasDRE[#All],7,FALSE))</f>
        <v>Fora do DRE</v>
      </c>
      <c r="V4481" s="3" t="str">
        <f>IF(Base_Periodo1[[#This Row],[Tipo_Linha]]="Fora do DRE","Fora do DRE","( "&amp;Base_Periodo1[[#This Row],[Tipo_Linha]]&amp;" ) "&amp;Base_Periodo1[[#This Row],[Filtro]])</f>
        <v>Fora do DRE</v>
      </c>
      <c r="W4481" s="3" t="str">
        <f>LEFT(Base_Periodo1[[#This Row],[CLASS]],3)</f>
        <v>2.4</v>
      </c>
    </row>
    <row r="4482" spans="1:23" hidden="1">
      <c r="A4482" s="3" t="str">
        <f t="shared" si="69"/>
        <v>Período 1</v>
      </c>
      <c r="B4482">
        <v>25528</v>
      </c>
      <c r="C4482" t="s">
        <v>2300</v>
      </c>
      <c r="D4482" t="s">
        <v>2451</v>
      </c>
      <c r="E4482" s="3" t="str">
        <f>IF(LEN(Base_Periodo1[[#This Row],[CLASS]])&gt;=7,LEFT(Base_Periodo1[[#This Row],[CLASS]],7),"")</f>
        <v>2.4.1.1</v>
      </c>
      <c r="F4482" s="3" t="str">
        <f>VLOOKUP(Base_Periodo1[[#This Row],[Aux]],Base_Contas_Balanco[#All],2,FALSE)</f>
        <v>Capital Social Realizado</v>
      </c>
      <c r="G4482" s="1"/>
      <c r="H4482" s="225">
        <v>158.93</v>
      </c>
      <c r="I4482" s="225">
        <v>0</v>
      </c>
      <c r="J4482" s="225">
        <v>0</v>
      </c>
      <c r="K4482" s="225">
        <v>158.93</v>
      </c>
      <c r="L44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158.93</v>
      </c>
      <c r="M4482" s="225">
        <f>ROUND(IF(AND(Base_Periodo1[[#This Row],[Tipo_Linha]]="-",Base_Periodo1[[#This Row],[TIPOSALDO]]="D"),Base_Periodo1[[#This Row],[SALDO_ATUAL]]*-1,Base_Periodo1[[#This Row],[SALDO_ATUAL]]),4)</f>
        <v>158.93</v>
      </c>
      <c r="N4482" t="s">
        <v>116</v>
      </c>
      <c r="O4482" t="s">
        <v>459</v>
      </c>
      <c r="P4482" t="s">
        <v>459</v>
      </c>
      <c r="Q4482">
        <v>6</v>
      </c>
      <c r="R4482" s="225">
        <f>Base_Periodo1[[#This Row],[CREDITOS]]-Base_Periodo1[[#This Row],[DEBITOS]]</f>
        <v>0</v>
      </c>
      <c r="S4482" s="3" t="str">
        <f>IF(ISERROR(VLOOKUP(Base_Periodo1[[#This Row],[CONTA]],BaseContasDRE[#All],4,FALSE)),"Fora do DRE",VLOOKUP(Base_Periodo1[[#This Row],[CONTA]],BaseContasDRE[#All],4,FALSE))</f>
        <v>Fora do DRE</v>
      </c>
      <c r="T4482" s="3" t="str">
        <f>IF(ISERROR(VLOOKUP(Base_Periodo1[[#This Row],[CONTA]],BaseContasDRE[#All],5,FALSE)),"Fora do DRE",VLOOKUP(Base_Periodo1[[#This Row],[CONTA]],BaseContasDRE[#All],6,FALSE))</f>
        <v>Fora do DRE</v>
      </c>
      <c r="U4482" s="3" t="str">
        <f>IF(ISERROR(VLOOKUP(Base_Periodo1[[#This Row],[CONTA]],BaseContasDRE[#All],7,FALSE)),"Fora do DRE",VLOOKUP(Base_Periodo1[[#This Row],[CONTA]],BaseContasDRE[#All],7,FALSE))</f>
        <v>Fora do DRE</v>
      </c>
      <c r="V4482" s="3" t="str">
        <f>IF(Base_Periodo1[[#This Row],[Tipo_Linha]]="Fora do DRE","Fora do DRE","( "&amp;Base_Periodo1[[#This Row],[Tipo_Linha]]&amp;" ) "&amp;Base_Periodo1[[#This Row],[Filtro]])</f>
        <v>Fora do DRE</v>
      </c>
      <c r="W4482" s="3" t="str">
        <f>LEFT(Base_Periodo1[[#This Row],[CLASS]],3)</f>
        <v>2.4</v>
      </c>
    </row>
    <row r="4483" spans="1:23" hidden="1">
      <c r="A4483" s="3" t="str">
        <f t="shared" si="69"/>
        <v>Período 1</v>
      </c>
      <c r="B4483">
        <v>15991</v>
      </c>
      <c r="C4483" t="s">
        <v>2300</v>
      </c>
      <c r="D4483" t="s">
        <v>2452</v>
      </c>
      <c r="E4483" s="3" t="str">
        <f>IF(LEN(Base_Periodo1[[#This Row],[CLASS]])&gt;=7,LEFT(Base_Periodo1[[#This Row],[CLASS]],7),"")</f>
        <v>2.4.1.1</v>
      </c>
      <c r="F4483" s="3" t="str">
        <f>VLOOKUP(Base_Periodo1[[#This Row],[Aux]],Base_Contas_Balanco[#All],2,FALSE)</f>
        <v>Capital Social Realizado</v>
      </c>
      <c r="G4483" s="1"/>
      <c r="H4483" s="225">
        <v>1526.11</v>
      </c>
      <c r="I4483" s="225">
        <v>0</v>
      </c>
      <c r="J4483" s="225">
        <v>0</v>
      </c>
      <c r="K4483" s="225">
        <v>1526.11</v>
      </c>
      <c r="L44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1526.11</v>
      </c>
      <c r="M4483" s="225">
        <f>ROUND(IF(AND(Base_Periodo1[[#This Row],[Tipo_Linha]]="-",Base_Periodo1[[#This Row],[TIPOSALDO]]="D"),Base_Periodo1[[#This Row],[SALDO_ATUAL]]*-1,Base_Periodo1[[#This Row],[SALDO_ATUAL]]),4)</f>
        <v>1526.11</v>
      </c>
      <c r="N4483" t="s">
        <v>116</v>
      </c>
      <c r="O4483" t="s">
        <v>459</v>
      </c>
      <c r="P4483" t="s">
        <v>459</v>
      </c>
      <c r="Q4483">
        <v>6</v>
      </c>
      <c r="R4483" s="225">
        <f>Base_Periodo1[[#This Row],[CREDITOS]]-Base_Periodo1[[#This Row],[DEBITOS]]</f>
        <v>0</v>
      </c>
      <c r="S4483" s="3" t="str">
        <f>IF(ISERROR(VLOOKUP(Base_Periodo1[[#This Row],[CONTA]],BaseContasDRE[#All],4,FALSE)),"Fora do DRE",VLOOKUP(Base_Periodo1[[#This Row],[CONTA]],BaseContasDRE[#All],4,FALSE))</f>
        <v>Fora do DRE</v>
      </c>
      <c r="T4483" s="3" t="str">
        <f>IF(ISERROR(VLOOKUP(Base_Periodo1[[#This Row],[CONTA]],BaseContasDRE[#All],5,FALSE)),"Fora do DRE",VLOOKUP(Base_Periodo1[[#This Row],[CONTA]],BaseContasDRE[#All],6,FALSE))</f>
        <v>Fora do DRE</v>
      </c>
      <c r="U4483" s="3" t="str">
        <f>IF(ISERROR(VLOOKUP(Base_Periodo1[[#This Row],[CONTA]],BaseContasDRE[#All],7,FALSE)),"Fora do DRE",VLOOKUP(Base_Periodo1[[#This Row],[CONTA]],BaseContasDRE[#All],7,FALSE))</f>
        <v>Fora do DRE</v>
      </c>
      <c r="V4483" s="3" t="str">
        <f>IF(Base_Periodo1[[#This Row],[Tipo_Linha]]="Fora do DRE","Fora do DRE","( "&amp;Base_Periodo1[[#This Row],[Tipo_Linha]]&amp;" ) "&amp;Base_Periodo1[[#This Row],[Filtro]])</f>
        <v>Fora do DRE</v>
      </c>
      <c r="W4483" s="3" t="str">
        <f>LEFT(Base_Periodo1[[#This Row],[CLASS]],3)</f>
        <v>2.4</v>
      </c>
    </row>
    <row r="4484" spans="1:23" hidden="1">
      <c r="A4484" s="3" t="str">
        <f t="shared" si="69"/>
        <v>Período 1</v>
      </c>
      <c r="B4484">
        <v>25788</v>
      </c>
      <c r="C4484" t="s">
        <v>2300</v>
      </c>
      <c r="D4484" t="s">
        <v>2453</v>
      </c>
      <c r="E4484" s="3" t="str">
        <f>IF(LEN(Base_Periodo1[[#This Row],[CLASS]])&gt;=7,LEFT(Base_Periodo1[[#This Row],[CLASS]],7),"")</f>
        <v>2.4.1.1</v>
      </c>
      <c r="F4484" s="3" t="str">
        <f>VLOOKUP(Base_Periodo1[[#This Row],[Aux]],Base_Contas_Balanco[#All],2,FALSE)</f>
        <v>Capital Social Realizado</v>
      </c>
      <c r="G4484" s="1"/>
      <c r="H4484" s="225">
        <v>324.32</v>
      </c>
      <c r="I4484" s="225">
        <v>0</v>
      </c>
      <c r="J4484" s="225">
        <v>0</v>
      </c>
      <c r="K4484" s="225">
        <v>324.32</v>
      </c>
      <c r="L44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324.32</v>
      </c>
      <c r="M4484" s="225">
        <f>ROUND(IF(AND(Base_Periodo1[[#This Row],[Tipo_Linha]]="-",Base_Periodo1[[#This Row],[TIPOSALDO]]="D"),Base_Periodo1[[#This Row],[SALDO_ATUAL]]*-1,Base_Periodo1[[#This Row],[SALDO_ATUAL]]),4)</f>
        <v>324.32</v>
      </c>
      <c r="N4484" t="s">
        <v>116</v>
      </c>
      <c r="O4484" t="s">
        <v>459</v>
      </c>
      <c r="P4484" t="s">
        <v>459</v>
      </c>
      <c r="Q4484">
        <v>6</v>
      </c>
      <c r="R4484" s="225">
        <f>Base_Periodo1[[#This Row],[CREDITOS]]-Base_Periodo1[[#This Row],[DEBITOS]]</f>
        <v>0</v>
      </c>
      <c r="S4484" s="3" t="str">
        <f>IF(ISERROR(VLOOKUP(Base_Periodo1[[#This Row],[CONTA]],BaseContasDRE[#All],4,FALSE)),"Fora do DRE",VLOOKUP(Base_Periodo1[[#This Row],[CONTA]],BaseContasDRE[#All],4,FALSE))</f>
        <v>Fora do DRE</v>
      </c>
      <c r="T4484" s="3" t="str">
        <f>IF(ISERROR(VLOOKUP(Base_Periodo1[[#This Row],[CONTA]],BaseContasDRE[#All],5,FALSE)),"Fora do DRE",VLOOKUP(Base_Periodo1[[#This Row],[CONTA]],BaseContasDRE[#All],6,FALSE))</f>
        <v>Fora do DRE</v>
      </c>
      <c r="U4484" s="3" t="str">
        <f>IF(ISERROR(VLOOKUP(Base_Periodo1[[#This Row],[CONTA]],BaseContasDRE[#All],7,FALSE)),"Fora do DRE",VLOOKUP(Base_Periodo1[[#This Row],[CONTA]],BaseContasDRE[#All],7,FALSE))</f>
        <v>Fora do DRE</v>
      </c>
      <c r="V4484" s="3" t="str">
        <f>IF(Base_Periodo1[[#This Row],[Tipo_Linha]]="Fora do DRE","Fora do DRE","( "&amp;Base_Periodo1[[#This Row],[Tipo_Linha]]&amp;" ) "&amp;Base_Periodo1[[#This Row],[Filtro]])</f>
        <v>Fora do DRE</v>
      </c>
      <c r="W4484" s="3" t="str">
        <f>LEFT(Base_Periodo1[[#This Row],[CLASS]],3)</f>
        <v>2.4</v>
      </c>
    </row>
    <row r="4485" spans="1:23" hidden="1">
      <c r="A4485" s="3" t="str">
        <f t="shared" si="69"/>
        <v>Período 1</v>
      </c>
      <c r="B4485">
        <v>26672</v>
      </c>
      <c r="C4485" t="s">
        <v>2300</v>
      </c>
      <c r="D4485" t="s">
        <v>2454</v>
      </c>
      <c r="E4485" s="3" t="str">
        <f>IF(LEN(Base_Periodo1[[#This Row],[CLASS]])&gt;=7,LEFT(Base_Periodo1[[#This Row],[CLASS]],7),"")</f>
        <v>2.4.1.1</v>
      </c>
      <c r="F4485" s="3" t="str">
        <f>VLOOKUP(Base_Periodo1[[#This Row],[Aux]],Base_Contas_Balanco[#All],2,FALSE)</f>
        <v>Capital Social Realizado</v>
      </c>
      <c r="G4485" s="1">
        <v>42460</v>
      </c>
      <c r="H4485" s="225">
        <v>1316.4</v>
      </c>
      <c r="I4485" s="225">
        <v>0</v>
      </c>
      <c r="J4485" s="225">
        <v>0</v>
      </c>
      <c r="K4485" s="225">
        <v>1316.4</v>
      </c>
      <c r="L44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1316.4</v>
      </c>
      <c r="M4485" s="225">
        <f>ROUND(IF(AND(Base_Periodo1[[#This Row],[Tipo_Linha]]="-",Base_Periodo1[[#This Row],[TIPOSALDO]]="D"),Base_Periodo1[[#This Row],[SALDO_ATUAL]]*-1,Base_Periodo1[[#This Row],[SALDO_ATUAL]]),4)</f>
        <v>1316.4</v>
      </c>
      <c r="N4485" t="s">
        <v>116</v>
      </c>
      <c r="O4485" t="s">
        <v>459</v>
      </c>
      <c r="P4485" t="s">
        <v>459</v>
      </c>
      <c r="Q4485">
        <v>6</v>
      </c>
      <c r="R4485" s="225">
        <f>Base_Periodo1[[#This Row],[CREDITOS]]-Base_Periodo1[[#This Row],[DEBITOS]]</f>
        <v>0</v>
      </c>
      <c r="S4485" s="3" t="str">
        <f>IF(ISERROR(VLOOKUP(Base_Periodo1[[#This Row],[CONTA]],BaseContasDRE[#All],4,FALSE)),"Fora do DRE",VLOOKUP(Base_Periodo1[[#This Row],[CONTA]],BaseContasDRE[#All],4,FALSE))</f>
        <v>Fora do DRE</v>
      </c>
      <c r="T4485" s="3" t="str">
        <f>IF(ISERROR(VLOOKUP(Base_Periodo1[[#This Row],[CONTA]],BaseContasDRE[#All],5,FALSE)),"Fora do DRE",VLOOKUP(Base_Periodo1[[#This Row],[CONTA]],BaseContasDRE[#All],6,FALSE))</f>
        <v>Fora do DRE</v>
      </c>
      <c r="U4485" s="3" t="str">
        <f>IF(ISERROR(VLOOKUP(Base_Periodo1[[#This Row],[CONTA]],BaseContasDRE[#All],7,FALSE)),"Fora do DRE",VLOOKUP(Base_Periodo1[[#This Row],[CONTA]],BaseContasDRE[#All],7,FALSE))</f>
        <v>Fora do DRE</v>
      </c>
      <c r="V4485" s="3" t="str">
        <f>IF(Base_Periodo1[[#This Row],[Tipo_Linha]]="Fora do DRE","Fora do DRE","( "&amp;Base_Periodo1[[#This Row],[Tipo_Linha]]&amp;" ) "&amp;Base_Periodo1[[#This Row],[Filtro]])</f>
        <v>Fora do DRE</v>
      </c>
      <c r="W4485" s="3" t="str">
        <f>LEFT(Base_Periodo1[[#This Row],[CLASS]],3)</f>
        <v>2.4</v>
      </c>
    </row>
    <row r="4486" spans="1:23" hidden="1">
      <c r="A4486" s="3" t="str">
        <f t="shared" ref="A4486:A4549" si="70">"Período 1"</f>
        <v>Período 1</v>
      </c>
      <c r="B4486">
        <v>32779</v>
      </c>
      <c r="C4486" t="s">
        <v>2300</v>
      </c>
      <c r="D4486" t="s">
        <v>2455</v>
      </c>
      <c r="E4486" s="3" t="str">
        <f>IF(LEN(Base_Periodo1[[#This Row],[CLASS]])&gt;=7,LEFT(Base_Periodo1[[#This Row],[CLASS]],7),"")</f>
        <v>2.4.1.1</v>
      </c>
      <c r="F4486" s="3" t="str">
        <f>VLOOKUP(Base_Periodo1[[#This Row],[Aux]],Base_Contas_Balanco[#All],2,FALSE)</f>
        <v>Capital Social Realizado</v>
      </c>
      <c r="G4486" s="1"/>
      <c r="H4486" s="225">
        <v>189.22</v>
      </c>
      <c r="I4486" s="225">
        <v>0</v>
      </c>
      <c r="J4486" s="225">
        <v>0</v>
      </c>
      <c r="K4486" s="225">
        <v>189.22</v>
      </c>
      <c r="L44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189.22</v>
      </c>
      <c r="M4486" s="225">
        <f>ROUND(IF(AND(Base_Periodo1[[#This Row],[Tipo_Linha]]="-",Base_Periodo1[[#This Row],[TIPOSALDO]]="D"),Base_Periodo1[[#This Row],[SALDO_ATUAL]]*-1,Base_Periodo1[[#This Row],[SALDO_ATUAL]]),4)</f>
        <v>189.22</v>
      </c>
      <c r="N4486" t="s">
        <v>116</v>
      </c>
      <c r="O4486" t="s">
        <v>459</v>
      </c>
      <c r="P4486" t="s">
        <v>459</v>
      </c>
      <c r="Q4486">
        <v>6</v>
      </c>
      <c r="R4486" s="225">
        <f>Base_Periodo1[[#This Row],[CREDITOS]]-Base_Periodo1[[#This Row],[DEBITOS]]</f>
        <v>0</v>
      </c>
      <c r="S4486" s="3" t="str">
        <f>IF(ISERROR(VLOOKUP(Base_Periodo1[[#This Row],[CONTA]],BaseContasDRE[#All],4,FALSE)),"Fora do DRE",VLOOKUP(Base_Periodo1[[#This Row],[CONTA]],BaseContasDRE[#All],4,FALSE))</f>
        <v>Fora do DRE</v>
      </c>
      <c r="T4486" s="3" t="str">
        <f>IF(ISERROR(VLOOKUP(Base_Periodo1[[#This Row],[CONTA]],BaseContasDRE[#All],5,FALSE)),"Fora do DRE",VLOOKUP(Base_Periodo1[[#This Row],[CONTA]],BaseContasDRE[#All],6,FALSE))</f>
        <v>Fora do DRE</v>
      </c>
      <c r="U4486" s="3" t="str">
        <f>IF(ISERROR(VLOOKUP(Base_Periodo1[[#This Row],[CONTA]],BaseContasDRE[#All],7,FALSE)),"Fora do DRE",VLOOKUP(Base_Periodo1[[#This Row],[CONTA]],BaseContasDRE[#All],7,FALSE))</f>
        <v>Fora do DRE</v>
      </c>
      <c r="V4486" s="3" t="str">
        <f>IF(Base_Periodo1[[#This Row],[Tipo_Linha]]="Fora do DRE","Fora do DRE","( "&amp;Base_Periodo1[[#This Row],[Tipo_Linha]]&amp;" ) "&amp;Base_Periodo1[[#This Row],[Filtro]])</f>
        <v>Fora do DRE</v>
      </c>
      <c r="W4486" s="3" t="str">
        <f>LEFT(Base_Periodo1[[#This Row],[CLASS]],3)</f>
        <v>2.4</v>
      </c>
    </row>
    <row r="4487" spans="1:23" hidden="1">
      <c r="A4487" s="3" t="str">
        <f t="shared" si="70"/>
        <v>Período 1</v>
      </c>
      <c r="B4487">
        <v>21214</v>
      </c>
      <c r="C4487" t="s">
        <v>2300</v>
      </c>
      <c r="D4487" t="s">
        <v>2456</v>
      </c>
      <c r="E4487" s="3" t="str">
        <f>IF(LEN(Base_Periodo1[[#This Row],[CLASS]])&gt;=7,LEFT(Base_Periodo1[[#This Row],[CLASS]],7),"")</f>
        <v>2.4.1.1</v>
      </c>
      <c r="F4487" s="3" t="str">
        <f>VLOOKUP(Base_Periodo1[[#This Row],[Aux]],Base_Contas_Balanco[#All],2,FALSE)</f>
        <v>Capital Social Realizado</v>
      </c>
      <c r="G4487" s="1"/>
      <c r="H4487" s="225">
        <v>2808.69</v>
      </c>
      <c r="I4487" s="225">
        <v>0</v>
      </c>
      <c r="J4487" s="225">
        <v>0</v>
      </c>
      <c r="K4487" s="225">
        <v>2808.69</v>
      </c>
      <c r="L44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2808.69</v>
      </c>
      <c r="M4487" s="225">
        <f>ROUND(IF(AND(Base_Periodo1[[#This Row],[Tipo_Linha]]="-",Base_Periodo1[[#This Row],[TIPOSALDO]]="D"),Base_Periodo1[[#This Row],[SALDO_ATUAL]]*-1,Base_Periodo1[[#This Row],[SALDO_ATUAL]]),4)</f>
        <v>2808.69</v>
      </c>
      <c r="N4487" t="s">
        <v>116</v>
      </c>
      <c r="O4487" t="s">
        <v>459</v>
      </c>
      <c r="P4487" t="s">
        <v>459</v>
      </c>
      <c r="Q4487">
        <v>6</v>
      </c>
      <c r="R4487" s="225">
        <f>Base_Periodo1[[#This Row],[CREDITOS]]-Base_Periodo1[[#This Row],[DEBITOS]]</f>
        <v>0</v>
      </c>
      <c r="S4487" s="3" t="str">
        <f>IF(ISERROR(VLOOKUP(Base_Periodo1[[#This Row],[CONTA]],BaseContasDRE[#All],4,FALSE)),"Fora do DRE",VLOOKUP(Base_Periodo1[[#This Row],[CONTA]],BaseContasDRE[#All],4,FALSE))</f>
        <v>Fora do DRE</v>
      </c>
      <c r="T4487" s="3" t="str">
        <f>IF(ISERROR(VLOOKUP(Base_Periodo1[[#This Row],[CONTA]],BaseContasDRE[#All],5,FALSE)),"Fora do DRE",VLOOKUP(Base_Periodo1[[#This Row],[CONTA]],BaseContasDRE[#All],6,FALSE))</f>
        <v>Fora do DRE</v>
      </c>
      <c r="U4487" s="3" t="str">
        <f>IF(ISERROR(VLOOKUP(Base_Periodo1[[#This Row],[CONTA]],BaseContasDRE[#All],7,FALSE)),"Fora do DRE",VLOOKUP(Base_Periodo1[[#This Row],[CONTA]],BaseContasDRE[#All],7,FALSE))</f>
        <v>Fora do DRE</v>
      </c>
      <c r="V4487" s="3" t="str">
        <f>IF(Base_Periodo1[[#This Row],[Tipo_Linha]]="Fora do DRE","Fora do DRE","( "&amp;Base_Periodo1[[#This Row],[Tipo_Linha]]&amp;" ) "&amp;Base_Periodo1[[#This Row],[Filtro]])</f>
        <v>Fora do DRE</v>
      </c>
      <c r="W4487" s="3" t="str">
        <f>LEFT(Base_Periodo1[[#This Row],[CLASS]],3)</f>
        <v>2.4</v>
      </c>
    </row>
    <row r="4488" spans="1:23" hidden="1">
      <c r="A4488" s="3" t="str">
        <f t="shared" si="70"/>
        <v>Período 1</v>
      </c>
      <c r="B4488">
        <v>25226</v>
      </c>
      <c r="C4488" t="s">
        <v>2300</v>
      </c>
      <c r="D4488" t="s">
        <v>2457</v>
      </c>
      <c r="E4488" s="3" t="str">
        <f>IF(LEN(Base_Periodo1[[#This Row],[CLASS]])&gt;=7,LEFT(Base_Periodo1[[#This Row],[CLASS]],7),"")</f>
        <v>2.4.1.1</v>
      </c>
      <c r="F4488" s="3" t="str">
        <f>VLOOKUP(Base_Periodo1[[#This Row],[Aux]],Base_Contas_Balanco[#All],2,FALSE)</f>
        <v>Capital Social Realizado</v>
      </c>
      <c r="G4488" s="1"/>
      <c r="H4488" s="225">
        <v>56.88</v>
      </c>
      <c r="I4488" s="225">
        <v>0</v>
      </c>
      <c r="J4488" s="225">
        <v>0</v>
      </c>
      <c r="K4488" s="225">
        <v>56.88</v>
      </c>
      <c r="L44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56.88</v>
      </c>
      <c r="M4488" s="225">
        <f>ROUND(IF(AND(Base_Periodo1[[#This Row],[Tipo_Linha]]="-",Base_Periodo1[[#This Row],[TIPOSALDO]]="D"),Base_Periodo1[[#This Row],[SALDO_ATUAL]]*-1,Base_Periodo1[[#This Row],[SALDO_ATUAL]]),4)</f>
        <v>56.88</v>
      </c>
      <c r="N4488" t="s">
        <v>116</v>
      </c>
      <c r="O4488" t="s">
        <v>459</v>
      </c>
      <c r="P4488" t="s">
        <v>459</v>
      </c>
      <c r="Q4488">
        <v>6</v>
      </c>
      <c r="R4488" s="225">
        <f>Base_Periodo1[[#This Row],[CREDITOS]]-Base_Periodo1[[#This Row],[DEBITOS]]</f>
        <v>0</v>
      </c>
      <c r="S4488" s="3" t="str">
        <f>IF(ISERROR(VLOOKUP(Base_Periodo1[[#This Row],[CONTA]],BaseContasDRE[#All],4,FALSE)),"Fora do DRE",VLOOKUP(Base_Periodo1[[#This Row],[CONTA]],BaseContasDRE[#All],4,FALSE))</f>
        <v>Fora do DRE</v>
      </c>
      <c r="T4488" s="3" t="str">
        <f>IF(ISERROR(VLOOKUP(Base_Periodo1[[#This Row],[CONTA]],BaseContasDRE[#All],5,FALSE)),"Fora do DRE",VLOOKUP(Base_Periodo1[[#This Row],[CONTA]],BaseContasDRE[#All],6,FALSE))</f>
        <v>Fora do DRE</v>
      </c>
      <c r="U4488" s="3" t="str">
        <f>IF(ISERROR(VLOOKUP(Base_Periodo1[[#This Row],[CONTA]],BaseContasDRE[#All],7,FALSE)),"Fora do DRE",VLOOKUP(Base_Periodo1[[#This Row],[CONTA]],BaseContasDRE[#All],7,FALSE))</f>
        <v>Fora do DRE</v>
      </c>
      <c r="V4488" s="3" t="str">
        <f>IF(Base_Periodo1[[#This Row],[Tipo_Linha]]="Fora do DRE","Fora do DRE","( "&amp;Base_Periodo1[[#This Row],[Tipo_Linha]]&amp;" ) "&amp;Base_Periodo1[[#This Row],[Filtro]])</f>
        <v>Fora do DRE</v>
      </c>
      <c r="W4488" s="3" t="str">
        <f>LEFT(Base_Periodo1[[#This Row],[CLASS]],3)</f>
        <v>2.4</v>
      </c>
    </row>
    <row r="4489" spans="1:23" hidden="1">
      <c r="A4489" s="3" t="str">
        <f t="shared" si="70"/>
        <v>Período 1</v>
      </c>
      <c r="B4489">
        <v>47590</v>
      </c>
      <c r="C4489" t="s">
        <v>2300</v>
      </c>
      <c r="D4489" t="s">
        <v>2458</v>
      </c>
      <c r="E4489" s="3" t="str">
        <f>IF(LEN(Base_Periodo1[[#This Row],[CLASS]])&gt;=7,LEFT(Base_Periodo1[[#This Row],[CLASS]],7),"")</f>
        <v>2.4.1.1</v>
      </c>
      <c r="F4489" s="3" t="str">
        <f>VLOOKUP(Base_Periodo1[[#This Row],[Aux]],Base_Contas_Balanco[#All],2,FALSE)</f>
        <v>Capital Social Realizado</v>
      </c>
      <c r="G4489" s="1"/>
      <c r="H4489" s="225">
        <v>69.45</v>
      </c>
      <c r="I4489" s="225">
        <v>0</v>
      </c>
      <c r="J4489" s="225">
        <v>0</v>
      </c>
      <c r="K4489" s="225">
        <v>69.45</v>
      </c>
      <c r="L44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69.45</v>
      </c>
      <c r="M4489" s="225">
        <f>ROUND(IF(AND(Base_Periodo1[[#This Row],[Tipo_Linha]]="-",Base_Periodo1[[#This Row],[TIPOSALDO]]="D"),Base_Periodo1[[#This Row],[SALDO_ATUAL]]*-1,Base_Periodo1[[#This Row],[SALDO_ATUAL]]),4)</f>
        <v>69.45</v>
      </c>
      <c r="N4489" t="s">
        <v>116</v>
      </c>
      <c r="O4489" t="s">
        <v>459</v>
      </c>
      <c r="P4489" t="s">
        <v>459</v>
      </c>
      <c r="Q4489">
        <v>6</v>
      </c>
      <c r="R4489" s="225">
        <f>Base_Periodo1[[#This Row],[CREDITOS]]-Base_Periodo1[[#This Row],[DEBITOS]]</f>
        <v>0</v>
      </c>
      <c r="S4489" s="3" t="str">
        <f>IF(ISERROR(VLOOKUP(Base_Periodo1[[#This Row],[CONTA]],BaseContasDRE[#All],4,FALSE)),"Fora do DRE",VLOOKUP(Base_Periodo1[[#This Row],[CONTA]],BaseContasDRE[#All],4,FALSE))</f>
        <v>Fora do DRE</v>
      </c>
      <c r="T4489" s="3" t="str">
        <f>IF(ISERROR(VLOOKUP(Base_Periodo1[[#This Row],[CONTA]],BaseContasDRE[#All],5,FALSE)),"Fora do DRE",VLOOKUP(Base_Periodo1[[#This Row],[CONTA]],BaseContasDRE[#All],6,FALSE))</f>
        <v>Fora do DRE</v>
      </c>
      <c r="U4489" s="3" t="str">
        <f>IF(ISERROR(VLOOKUP(Base_Periodo1[[#This Row],[CONTA]],BaseContasDRE[#All],7,FALSE)),"Fora do DRE",VLOOKUP(Base_Periodo1[[#This Row],[CONTA]],BaseContasDRE[#All],7,FALSE))</f>
        <v>Fora do DRE</v>
      </c>
      <c r="V4489" s="3" t="str">
        <f>IF(Base_Periodo1[[#This Row],[Tipo_Linha]]="Fora do DRE","Fora do DRE","( "&amp;Base_Periodo1[[#This Row],[Tipo_Linha]]&amp;" ) "&amp;Base_Periodo1[[#This Row],[Filtro]])</f>
        <v>Fora do DRE</v>
      </c>
      <c r="W4489" s="3" t="str">
        <f>LEFT(Base_Periodo1[[#This Row],[CLASS]],3)</f>
        <v>2.4</v>
      </c>
    </row>
    <row r="4490" spans="1:23" hidden="1">
      <c r="A4490" s="3" t="str">
        <f t="shared" si="70"/>
        <v>Período 1</v>
      </c>
      <c r="B4490">
        <v>25843</v>
      </c>
      <c r="C4490" t="s">
        <v>2300</v>
      </c>
      <c r="D4490" t="s">
        <v>2459</v>
      </c>
      <c r="E4490" s="3" t="str">
        <f>IF(LEN(Base_Periodo1[[#This Row],[CLASS]])&gt;=7,LEFT(Base_Periodo1[[#This Row],[CLASS]],7),"")</f>
        <v>2.4.1.1</v>
      </c>
      <c r="F4490" s="3" t="str">
        <f>VLOOKUP(Base_Periodo1[[#This Row],[Aux]],Base_Contas_Balanco[#All],2,FALSE)</f>
        <v>Capital Social Realizado</v>
      </c>
      <c r="G4490" s="1"/>
      <c r="H4490" s="225">
        <v>65.72</v>
      </c>
      <c r="I4490" s="225">
        <v>0</v>
      </c>
      <c r="J4490" s="225">
        <v>0</v>
      </c>
      <c r="K4490" s="225">
        <v>65.72</v>
      </c>
      <c r="L44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65.72</v>
      </c>
      <c r="M4490" s="225">
        <f>ROUND(IF(AND(Base_Periodo1[[#This Row],[Tipo_Linha]]="-",Base_Periodo1[[#This Row],[TIPOSALDO]]="D"),Base_Periodo1[[#This Row],[SALDO_ATUAL]]*-1,Base_Periodo1[[#This Row],[SALDO_ATUAL]]),4)</f>
        <v>65.72</v>
      </c>
      <c r="N4490" t="s">
        <v>116</v>
      </c>
      <c r="O4490" t="s">
        <v>459</v>
      </c>
      <c r="P4490" t="s">
        <v>459</v>
      </c>
      <c r="Q4490">
        <v>6</v>
      </c>
      <c r="R4490" s="225">
        <f>Base_Periodo1[[#This Row],[CREDITOS]]-Base_Periodo1[[#This Row],[DEBITOS]]</f>
        <v>0</v>
      </c>
      <c r="S4490" s="3" t="str">
        <f>IF(ISERROR(VLOOKUP(Base_Periodo1[[#This Row],[CONTA]],BaseContasDRE[#All],4,FALSE)),"Fora do DRE",VLOOKUP(Base_Periodo1[[#This Row],[CONTA]],BaseContasDRE[#All],4,FALSE))</f>
        <v>Fora do DRE</v>
      </c>
      <c r="T4490" s="3" t="str">
        <f>IF(ISERROR(VLOOKUP(Base_Periodo1[[#This Row],[CONTA]],BaseContasDRE[#All],5,FALSE)),"Fora do DRE",VLOOKUP(Base_Periodo1[[#This Row],[CONTA]],BaseContasDRE[#All],6,FALSE))</f>
        <v>Fora do DRE</v>
      </c>
      <c r="U4490" s="3" t="str">
        <f>IF(ISERROR(VLOOKUP(Base_Periodo1[[#This Row],[CONTA]],BaseContasDRE[#All],7,FALSE)),"Fora do DRE",VLOOKUP(Base_Periodo1[[#This Row],[CONTA]],BaseContasDRE[#All],7,FALSE))</f>
        <v>Fora do DRE</v>
      </c>
      <c r="V4490" s="3" t="str">
        <f>IF(Base_Periodo1[[#This Row],[Tipo_Linha]]="Fora do DRE","Fora do DRE","( "&amp;Base_Periodo1[[#This Row],[Tipo_Linha]]&amp;" ) "&amp;Base_Periodo1[[#This Row],[Filtro]])</f>
        <v>Fora do DRE</v>
      </c>
      <c r="W4490" s="3" t="str">
        <f>LEFT(Base_Periodo1[[#This Row],[CLASS]],3)</f>
        <v>2.4</v>
      </c>
    </row>
    <row r="4491" spans="1:23" hidden="1">
      <c r="A4491" s="3" t="str">
        <f t="shared" si="70"/>
        <v>Período 1</v>
      </c>
      <c r="B4491">
        <v>19300</v>
      </c>
      <c r="C4491" t="s">
        <v>2300</v>
      </c>
      <c r="D4491" t="s">
        <v>2460</v>
      </c>
      <c r="E4491" s="3" t="str">
        <f>IF(LEN(Base_Periodo1[[#This Row],[CLASS]])&gt;=7,LEFT(Base_Periodo1[[#This Row],[CLASS]],7),"")</f>
        <v>2.4.1.1</v>
      </c>
      <c r="F4491" s="3" t="str">
        <f>VLOOKUP(Base_Periodo1[[#This Row],[Aux]],Base_Contas_Balanco[#All],2,FALSE)</f>
        <v>Capital Social Realizado</v>
      </c>
      <c r="G4491" s="1">
        <v>42460</v>
      </c>
      <c r="H4491" s="225">
        <v>1461.62</v>
      </c>
      <c r="I4491" s="225">
        <v>0</v>
      </c>
      <c r="J4491" s="225">
        <v>0</v>
      </c>
      <c r="K4491" s="225">
        <v>1461.62</v>
      </c>
      <c r="L44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1461.62</v>
      </c>
      <c r="M4491" s="225">
        <f>ROUND(IF(AND(Base_Periodo1[[#This Row],[Tipo_Linha]]="-",Base_Periodo1[[#This Row],[TIPOSALDO]]="D"),Base_Periodo1[[#This Row],[SALDO_ATUAL]]*-1,Base_Periodo1[[#This Row],[SALDO_ATUAL]]),4)</f>
        <v>1461.62</v>
      </c>
      <c r="N4491" t="s">
        <v>116</v>
      </c>
      <c r="O4491" t="s">
        <v>459</v>
      </c>
      <c r="P4491" t="s">
        <v>459</v>
      </c>
      <c r="Q4491">
        <v>6</v>
      </c>
      <c r="R4491" s="225">
        <f>Base_Periodo1[[#This Row],[CREDITOS]]-Base_Periodo1[[#This Row],[DEBITOS]]</f>
        <v>0</v>
      </c>
      <c r="S4491" s="3" t="str">
        <f>IF(ISERROR(VLOOKUP(Base_Periodo1[[#This Row],[CONTA]],BaseContasDRE[#All],4,FALSE)),"Fora do DRE",VLOOKUP(Base_Periodo1[[#This Row],[CONTA]],BaseContasDRE[#All],4,FALSE))</f>
        <v>Fora do DRE</v>
      </c>
      <c r="T4491" s="3" t="str">
        <f>IF(ISERROR(VLOOKUP(Base_Periodo1[[#This Row],[CONTA]],BaseContasDRE[#All],5,FALSE)),"Fora do DRE",VLOOKUP(Base_Periodo1[[#This Row],[CONTA]],BaseContasDRE[#All],6,FALSE))</f>
        <v>Fora do DRE</v>
      </c>
      <c r="U4491" s="3" t="str">
        <f>IF(ISERROR(VLOOKUP(Base_Periodo1[[#This Row],[CONTA]],BaseContasDRE[#All],7,FALSE)),"Fora do DRE",VLOOKUP(Base_Periodo1[[#This Row],[CONTA]],BaseContasDRE[#All],7,FALSE))</f>
        <v>Fora do DRE</v>
      </c>
      <c r="V4491" s="3" t="str">
        <f>IF(Base_Periodo1[[#This Row],[Tipo_Linha]]="Fora do DRE","Fora do DRE","( "&amp;Base_Periodo1[[#This Row],[Tipo_Linha]]&amp;" ) "&amp;Base_Periodo1[[#This Row],[Filtro]])</f>
        <v>Fora do DRE</v>
      </c>
      <c r="W4491" s="3" t="str">
        <f>LEFT(Base_Periodo1[[#This Row],[CLASS]],3)</f>
        <v>2.4</v>
      </c>
    </row>
    <row r="4492" spans="1:23" hidden="1">
      <c r="A4492" s="3" t="str">
        <f t="shared" si="70"/>
        <v>Período 1</v>
      </c>
      <c r="B4492">
        <v>19765</v>
      </c>
      <c r="C4492" t="s">
        <v>2300</v>
      </c>
      <c r="D4492" t="s">
        <v>2461</v>
      </c>
      <c r="E4492" s="3" t="str">
        <f>IF(LEN(Base_Periodo1[[#This Row],[CLASS]])&gt;=7,LEFT(Base_Periodo1[[#This Row],[CLASS]],7),"")</f>
        <v>2.4.1.1</v>
      </c>
      <c r="F4492" s="3" t="str">
        <f>VLOOKUP(Base_Periodo1[[#This Row],[Aux]],Base_Contas_Balanco[#All],2,FALSE)</f>
        <v>Capital Social Realizado</v>
      </c>
      <c r="G4492" s="1"/>
      <c r="H4492" s="225">
        <v>1058.71</v>
      </c>
      <c r="I4492" s="225">
        <v>0</v>
      </c>
      <c r="J4492" s="225">
        <v>0</v>
      </c>
      <c r="K4492" s="225">
        <v>1058.71</v>
      </c>
      <c r="L44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1058.71</v>
      </c>
      <c r="M4492" s="225">
        <f>ROUND(IF(AND(Base_Periodo1[[#This Row],[Tipo_Linha]]="-",Base_Periodo1[[#This Row],[TIPOSALDO]]="D"),Base_Periodo1[[#This Row],[SALDO_ATUAL]]*-1,Base_Periodo1[[#This Row],[SALDO_ATUAL]]),4)</f>
        <v>1058.71</v>
      </c>
      <c r="N4492" t="s">
        <v>116</v>
      </c>
      <c r="O4492" t="s">
        <v>459</v>
      </c>
      <c r="P4492" t="s">
        <v>459</v>
      </c>
      <c r="Q4492">
        <v>6</v>
      </c>
      <c r="R4492" s="225">
        <f>Base_Periodo1[[#This Row],[CREDITOS]]-Base_Periodo1[[#This Row],[DEBITOS]]</f>
        <v>0</v>
      </c>
      <c r="S4492" s="3" t="str">
        <f>IF(ISERROR(VLOOKUP(Base_Periodo1[[#This Row],[CONTA]],BaseContasDRE[#All],4,FALSE)),"Fora do DRE",VLOOKUP(Base_Periodo1[[#This Row],[CONTA]],BaseContasDRE[#All],4,FALSE))</f>
        <v>Fora do DRE</v>
      </c>
      <c r="T4492" s="3" t="str">
        <f>IF(ISERROR(VLOOKUP(Base_Periodo1[[#This Row],[CONTA]],BaseContasDRE[#All],5,FALSE)),"Fora do DRE",VLOOKUP(Base_Periodo1[[#This Row],[CONTA]],BaseContasDRE[#All],6,FALSE))</f>
        <v>Fora do DRE</v>
      </c>
      <c r="U4492" s="3" t="str">
        <f>IF(ISERROR(VLOOKUP(Base_Periodo1[[#This Row],[CONTA]],BaseContasDRE[#All],7,FALSE)),"Fora do DRE",VLOOKUP(Base_Periodo1[[#This Row],[CONTA]],BaseContasDRE[#All],7,FALSE))</f>
        <v>Fora do DRE</v>
      </c>
      <c r="V4492" s="3" t="str">
        <f>IF(Base_Periodo1[[#This Row],[Tipo_Linha]]="Fora do DRE","Fora do DRE","( "&amp;Base_Periodo1[[#This Row],[Tipo_Linha]]&amp;" ) "&amp;Base_Periodo1[[#This Row],[Filtro]])</f>
        <v>Fora do DRE</v>
      </c>
      <c r="W4492" s="3" t="str">
        <f>LEFT(Base_Periodo1[[#This Row],[CLASS]],3)</f>
        <v>2.4</v>
      </c>
    </row>
    <row r="4493" spans="1:23" hidden="1">
      <c r="A4493" s="3" t="str">
        <f t="shared" si="70"/>
        <v>Período 1</v>
      </c>
      <c r="B4493">
        <v>19330</v>
      </c>
      <c r="C4493" t="s">
        <v>2300</v>
      </c>
      <c r="D4493" t="s">
        <v>2462</v>
      </c>
      <c r="E4493" s="3" t="str">
        <f>IF(LEN(Base_Periodo1[[#This Row],[CLASS]])&gt;=7,LEFT(Base_Periodo1[[#This Row],[CLASS]],7),"")</f>
        <v>2.4.1.1</v>
      </c>
      <c r="F4493" s="3" t="str">
        <f>VLOOKUP(Base_Periodo1[[#This Row],[Aux]],Base_Contas_Balanco[#All],2,FALSE)</f>
        <v>Capital Social Realizado</v>
      </c>
      <c r="G4493" s="1"/>
      <c r="H4493" s="225">
        <v>2421.88</v>
      </c>
      <c r="I4493" s="225">
        <v>0</v>
      </c>
      <c r="J4493" s="225">
        <v>0</v>
      </c>
      <c r="K4493" s="225">
        <v>2421.88</v>
      </c>
      <c r="L44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2421.88</v>
      </c>
      <c r="M4493" s="225">
        <f>ROUND(IF(AND(Base_Periodo1[[#This Row],[Tipo_Linha]]="-",Base_Periodo1[[#This Row],[TIPOSALDO]]="D"),Base_Periodo1[[#This Row],[SALDO_ATUAL]]*-1,Base_Periodo1[[#This Row],[SALDO_ATUAL]]),4)</f>
        <v>2421.88</v>
      </c>
      <c r="N4493" t="s">
        <v>116</v>
      </c>
      <c r="O4493" t="s">
        <v>459</v>
      </c>
      <c r="P4493" t="s">
        <v>459</v>
      </c>
      <c r="Q4493">
        <v>6</v>
      </c>
      <c r="R4493" s="225">
        <f>Base_Periodo1[[#This Row],[CREDITOS]]-Base_Periodo1[[#This Row],[DEBITOS]]</f>
        <v>0</v>
      </c>
      <c r="S4493" s="3" t="str">
        <f>IF(ISERROR(VLOOKUP(Base_Periodo1[[#This Row],[CONTA]],BaseContasDRE[#All],4,FALSE)),"Fora do DRE",VLOOKUP(Base_Periodo1[[#This Row],[CONTA]],BaseContasDRE[#All],4,FALSE))</f>
        <v>Fora do DRE</v>
      </c>
      <c r="T4493" s="3" t="str">
        <f>IF(ISERROR(VLOOKUP(Base_Periodo1[[#This Row],[CONTA]],BaseContasDRE[#All],5,FALSE)),"Fora do DRE",VLOOKUP(Base_Periodo1[[#This Row],[CONTA]],BaseContasDRE[#All],6,FALSE))</f>
        <v>Fora do DRE</v>
      </c>
      <c r="U4493" s="3" t="str">
        <f>IF(ISERROR(VLOOKUP(Base_Periodo1[[#This Row],[CONTA]],BaseContasDRE[#All],7,FALSE)),"Fora do DRE",VLOOKUP(Base_Periodo1[[#This Row],[CONTA]],BaseContasDRE[#All],7,FALSE))</f>
        <v>Fora do DRE</v>
      </c>
      <c r="V4493" s="3" t="str">
        <f>IF(Base_Periodo1[[#This Row],[Tipo_Linha]]="Fora do DRE","Fora do DRE","( "&amp;Base_Periodo1[[#This Row],[Tipo_Linha]]&amp;" ) "&amp;Base_Periodo1[[#This Row],[Filtro]])</f>
        <v>Fora do DRE</v>
      </c>
      <c r="W4493" s="3" t="str">
        <f>LEFT(Base_Periodo1[[#This Row],[CLASS]],3)</f>
        <v>2.4</v>
      </c>
    </row>
    <row r="4494" spans="1:23" hidden="1">
      <c r="A4494" s="3" t="str">
        <f t="shared" si="70"/>
        <v>Período 1</v>
      </c>
      <c r="B4494">
        <v>16205</v>
      </c>
      <c r="C4494" t="s">
        <v>2300</v>
      </c>
      <c r="D4494" t="s">
        <v>2463</v>
      </c>
      <c r="E4494" s="3" t="str">
        <f>IF(LEN(Base_Periodo1[[#This Row],[CLASS]])&gt;=7,LEFT(Base_Periodo1[[#This Row],[CLASS]],7),"")</f>
        <v>2.4.1.1</v>
      </c>
      <c r="F4494" s="3" t="str">
        <f>VLOOKUP(Base_Periodo1[[#This Row],[Aux]],Base_Contas_Balanco[#All],2,FALSE)</f>
        <v>Capital Social Realizado</v>
      </c>
      <c r="G4494" s="1"/>
      <c r="H4494" s="225">
        <v>4817.93</v>
      </c>
      <c r="I4494" s="225">
        <v>0</v>
      </c>
      <c r="J4494" s="225">
        <v>0</v>
      </c>
      <c r="K4494" s="225">
        <v>4817.93</v>
      </c>
      <c r="L44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4817.93</v>
      </c>
      <c r="M4494" s="225">
        <f>ROUND(IF(AND(Base_Periodo1[[#This Row],[Tipo_Linha]]="-",Base_Periodo1[[#This Row],[TIPOSALDO]]="D"),Base_Periodo1[[#This Row],[SALDO_ATUAL]]*-1,Base_Periodo1[[#This Row],[SALDO_ATUAL]]),4)</f>
        <v>4817.93</v>
      </c>
      <c r="N4494" t="s">
        <v>116</v>
      </c>
      <c r="O4494" t="s">
        <v>459</v>
      </c>
      <c r="P4494" t="s">
        <v>459</v>
      </c>
      <c r="Q4494">
        <v>6</v>
      </c>
      <c r="R4494" s="225">
        <f>Base_Periodo1[[#This Row],[CREDITOS]]-Base_Periodo1[[#This Row],[DEBITOS]]</f>
        <v>0</v>
      </c>
      <c r="S4494" s="3" t="str">
        <f>IF(ISERROR(VLOOKUP(Base_Periodo1[[#This Row],[CONTA]],BaseContasDRE[#All],4,FALSE)),"Fora do DRE",VLOOKUP(Base_Periodo1[[#This Row],[CONTA]],BaseContasDRE[#All],4,FALSE))</f>
        <v>Fora do DRE</v>
      </c>
      <c r="T4494" s="3" t="str">
        <f>IF(ISERROR(VLOOKUP(Base_Periodo1[[#This Row],[CONTA]],BaseContasDRE[#All],5,FALSE)),"Fora do DRE",VLOOKUP(Base_Periodo1[[#This Row],[CONTA]],BaseContasDRE[#All],6,FALSE))</f>
        <v>Fora do DRE</v>
      </c>
      <c r="U4494" s="3" t="str">
        <f>IF(ISERROR(VLOOKUP(Base_Periodo1[[#This Row],[CONTA]],BaseContasDRE[#All],7,FALSE)),"Fora do DRE",VLOOKUP(Base_Periodo1[[#This Row],[CONTA]],BaseContasDRE[#All],7,FALSE))</f>
        <v>Fora do DRE</v>
      </c>
      <c r="V4494" s="3" t="str">
        <f>IF(Base_Periodo1[[#This Row],[Tipo_Linha]]="Fora do DRE","Fora do DRE","( "&amp;Base_Periodo1[[#This Row],[Tipo_Linha]]&amp;" ) "&amp;Base_Periodo1[[#This Row],[Filtro]])</f>
        <v>Fora do DRE</v>
      </c>
      <c r="W4494" s="3" t="str">
        <f>LEFT(Base_Periodo1[[#This Row],[CLASS]],3)</f>
        <v>2.4</v>
      </c>
    </row>
    <row r="4495" spans="1:23" hidden="1">
      <c r="A4495" s="3" t="str">
        <f t="shared" si="70"/>
        <v>Período 1</v>
      </c>
      <c r="B4495">
        <v>16146</v>
      </c>
      <c r="C4495" t="s">
        <v>2300</v>
      </c>
      <c r="D4495" t="s">
        <v>2464</v>
      </c>
      <c r="E4495" s="3" t="str">
        <f>IF(LEN(Base_Periodo1[[#This Row],[CLASS]])&gt;=7,LEFT(Base_Periodo1[[#This Row],[CLASS]],7),"")</f>
        <v>2.4.1.1</v>
      </c>
      <c r="F4495" s="3" t="str">
        <f>VLOOKUP(Base_Periodo1[[#This Row],[Aux]],Base_Contas_Balanco[#All],2,FALSE)</f>
        <v>Capital Social Realizado</v>
      </c>
      <c r="G4495" s="1"/>
      <c r="H4495" s="225">
        <v>3841.41</v>
      </c>
      <c r="I4495" s="225">
        <v>0</v>
      </c>
      <c r="J4495" s="225">
        <v>0</v>
      </c>
      <c r="K4495" s="225">
        <v>3841.41</v>
      </c>
      <c r="L44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3841.41</v>
      </c>
      <c r="M4495" s="225">
        <f>ROUND(IF(AND(Base_Periodo1[[#This Row],[Tipo_Linha]]="-",Base_Periodo1[[#This Row],[TIPOSALDO]]="D"),Base_Periodo1[[#This Row],[SALDO_ATUAL]]*-1,Base_Periodo1[[#This Row],[SALDO_ATUAL]]),4)</f>
        <v>3841.41</v>
      </c>
      <c r="N4495" t="s">
        <v>116</v>
      </c>
      <c r="O4495" t="s">
        <v>459</v>
      </c>
      <c r="P4495" t="s">
        <v>459</v>
      </c>
      <c r="Q4495">
        <v>6</v>
      </c>
      <c r="R4495" s="225">
        <f>Base_Periodo1[[#This Row],[CREDITOS]]-Base_Periodo1[[#This Row],[DEBITOS]]</f>
        <v>0</v>
      </c>
      <c r="S4495" s="3" t="str">
        <f>IF(ISERROR(VLOOKUP(Base_Periodo1[[#This Row],[CONTA]],BaseContasDRE[#All],4,FALSE)),"Fora do DRE",VLOOKUP(Base_Periodo1[[#This Row],[CONTA]],BaseContasDRE[#All],4,FALSE))</f>
        <v>Fora do DRE</v>
      </c>
      <c r="T4495" s="3" t="str">
        <f>IF(ISERROR(VLOOKUP(Base_Periodo1[[#This Row],[CONTA]],BaseContasDRE[#All],5,FALSE)),"Fora do DRE",VLOOKUP(Base_Periodo1[[#This Row],[CONTA]],BaseContasDRE[#All],6,FALSE))</f>
        <v>Fora do DRE</v>
      </c>
      <c r="U4495" s="3" t="str">
        <f>IF(ISERROR(VLOOKUP(Base_Periodo1[[#This Row],[CONTA]],BaseContasDRE[#All],7,FALSE)),"Fora do DRE",VLOOKUP(Base_Periodo1[[#This Row],[CONTA]],BaseContasDRE[#All],7,FALSE))</f>
        <v>Fora do DRE</v>
      </c>
      <c r="V4495" s="3" t="str">
        <f>IF(Base_Periodo1[[#This Row],[Tipo_Linha]]="Fora do DRE","Fora do DRE","( "&amp;Base_Periodo1[[#This Row],[Tipo_Linha]]&amp;" ) "&amp;Base_Periodo1[[#This Row],[Filtro]])</f>
        <v>Fora do DRE</v>
      </c>
      <c r="W4495" s="3" t="str">
        <f>LEFT(Base_Periodo1[[#This Row],[CLASS]],3)</f>
        <v>2.4</v>
      </c>
    </row>
    <row r="4496" spans="1:23" hidden="1">
      <c r="A4496" s="3" t="str">
        <f t="shared" si="70"/>
        <v>Período 1</v>
      </c>
      <c r="B4496">
        <v>19741</v>
      </c>
      <c r="C4496" t="s">
        <v>2300</v>
      </c>
      <c r="D4496" t="s">
        <v>2465</v>
      </c>
      <c r="E4496" s="3" t="str">
        <f>IF(LEN(Base_Periodo1[[#This Row],[CLASS]])&gt;=7,LEFT(Base_Periodo1[[#This Row],[CLASS]],7),"")</f>
        <v>2.4.1.1</v>
      </c>
      <c r="F4496" s="3" t="str">
        <f>VLOOKUP(Base_Periodo1[[#This Row],[Aux]],Base_Contas_Balanco[#All],2,FALSE)</f>
        <v>Capital Social Realizado</v>
      </c>
      <c r="G4496" s="1"/>
      <c r="H4496" s="225">
        <v>7454.32</v>
      </c>
      <c r="I4496" s="225">
        <v>0</v>
      </c>
      <c r="J4496" s="225">
        <v>0</v>
      </c>
      <c r="K4496" s="225">
        <v>7454.32</v>
      </c>
      <c r="L44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7454.32</v>
      </c>
      <c r="M4496" s="225">
        <f>ROUND(IF(AND(Base_Periodo1[[#This Row],[Tipo_Linha]]="-",Base_Periodo1[[#This Row],[TIPOSALDO]]="D"),Base_Periodo1[[#This Row],[SALDO_ATUAL]]*-1,Base_Periodo1[[#This Row],[SALDO_ATUAL]]),4)</f>
        <v>7454.32</v>
      </c>
      <c r="N4496" t="s">
        <v>116</v>
      </c>
      <c r="O4496" t="s">
        <v>459</v>
      </c>
      <c r="P4496" t="s">
        <v>459</v>
      </c>
      <c r="Q4496">
        <v>6</v>
      </c>
      <c r="R4496" s="225">
        <f>Base_Periodo1[[#This Row],[CREDITOS]]-Base_Periodo1[[#This Row],[DEBITOS]]</f>
        <v>0</v>
      </c>
      <c r="S4496" s="3" t="str">
        <f>IF(ISERROR(VLOOKUP(Base_Periodo1[[#This Row],[CONTA]],BaseContasDRE[#All],4,FALSE)),"Fora do DRE",VLOOKUP(Base_Periodo1[[#This Row],[CONTA]],BaseContasDRE[#All],4,FALSE))</f>
        <v>Fora do DRE</v>
      </c>
      <c r="T4496" s="3" t="str">
        <f>IF(ISERROR(VLOOKUP(Base_Periodo1[[#This Row],[CONTA]],BaseContasDRE[#All],5,FALSE)),"Fora do DRE",VLOOKUP(Base_Periodo1[[#This Row],[CONTA]],BaseContasDRE[#All],6,FALSE))</f>
        <v>Fora do DRE</v>
      </c>
      <c r="U4496" s="3" t="str">
        <f>IF(ISERROR(VLOOKUP(Base_Periodo1[[#This Row],[CONTA]],BaseContasDRE[#All],7,FALSE)),"Fora do DRE",VLOOKUP(Base_Periodo1[[#This Row],[CONTA]],BaseContasDRE[#All],7,FALSE))</f>
        <v>Fora do DRE</v>
      </c>
      <c r="V4496" s="3" t="str">
        <f>IF(Base_Periodo1[[#This Row],[Tipo_Linha]]="Fora do DRE","Fora do DRE","( "&amp;Base_Periodo1[[#This Row],[Tipo_Linha]]&amp;" ) "&amp;Base_Periodo1[[#This Row],[Filtro]])</f>
        <v>Fora do DRE</v>
      </c>
      <c r="W4496" s="3" t="str">
        <f>LEFT(Base_Periodo1[[#This Row],[CLASS]],3)</f>
        <v>2.4</v>
      </c>
    </row>
    <row r="4497" spans="1:23" hidden="1">
      <c r="A4497" s="3" t="str">
        <f t="shared" si="70"/>
        <v>Período 1</v>
      </c>
      <c r="B4497">
        <v>16108</v>
      </c>
      <c r="C4497" t="s">
        <v>2300</v>
      </c>
      <c r="D4497" t="s">
        <v>2466</v>
      </c>
      <c r="E4497" s="3" t="str">
        <f>IF(LEN(Base_Periodo1[[#This Row],[CLASS]])&gt;=7,LEFT(Base_Periodo1[[#This Row],[CLASS]],7),"")</f>
        <v>2.4.1.1</v>
      </c>
      <c r="F4497" s="3" t="str">
        <f>VLOOKUP(Base_Periodo1[[#This Row],[Aux]],Base_Contas_Balanco[#All],2,FALSE)</f>
        <v>Capital Social Realizado</v>
      </c>
      <c r="G4497" s="1"/>
      <c r="H4497" s="225">
        <v>21552.31</v>
      </c>
      <c r="I4497" s="225">
        <v>0</v>
      </c>
      <c r="J4497" s="225">
        <v>0</v>
      </c>
      <c r="K4497" s="225">
        <v>21552.31</v>
      </c>
      <c r="L44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21552.31</v>
      </c>
      <c r="M4497" s="225">
        <f>ROUND(IF(AND(Base_Periodo1[[#This Row],[Tipo_Linha]]="-",Base_Periodo1[[#This Row],[TIPOSALDO]]="D"),Base_Periodo1[[#This Row],[SALDO_ATUAL]]*-1,Base_Periodo1[[#This Row],[SALDO_ATUAL]]),4)</f>
        <v>21552.31</v>
      </c>
      <c r="N4497" t="s">
        <v>116</v>
      </c>
      <c r="O4497" t="s">
        <v>459</v>
      </c>
      <c r="P4497" t="s">
        <v>459</v>
      </c>
      <c r="Q4497">
        <v>6</v>
      </c>
      <c r="R4497" s="225">
        <f>Base_Periodo1[[#This Row],[CREDITOS]]-Base_Periodo1[[#This Row],[DEBITOS]]</f>
        <v>0</v>
      </c>
      <c r="S4497" s="3" t="str">
        <f>IF(ISERROR(VLOOKUP(Base_Periodo1[[#This Row],[CONTA]],BaseContasDRE[#All],4,FALSE)),"Fora do DRE",VLOOKUP(Base_Periodo1[[#This Row],[CONTA]],BaseContasDRE[#All],4,FALSE))</f>
        <v>Fora do DRE</v>
      </c>
      <c r="T4497" s="3" t="str">
        <f>IF(ISERROR(VLOOKUP(Base_Periodo1[[#This Row],[CONTA]],BaseContasDRE[#All],5,FALSE)),"Fora do DRE",VLOOKUP(Base_Periodo1[[#This Row],[CONTA]],BaseContasDRE[#All],6,FALSE))</f>
        <v>Fora do DRE</v>
      </c>
      <c r="U4497" s="3" t="str">
        <f>IF(ISERROR(VLOOKUP(Base_Periodo1[[#This Row],[CONTA]],BaseContasDRE[#All],7,FALSE)),"Fora do DRE",VLOOKUP(Base_Periodo1[[#This Row],[CONTA]],BaseContasDRE[#All],7,FALSE))</f>
        <v>Fora do DRE</v>
      </c>
      <c r="V4497" s="3" t="str">
        <f>IF(Base_Periodo1[[#This Row],[Tipo_Linha]]="Fora do DRE","Fora do DRE","( "&amp;Base_Periodo1[[#This Row],[Tipo_Linha]]&amp;" ) "&amp;Base_Periodo1[[#This Row],[Filtro]])</f>
        <v>Fora do DRE</v>
      </c>
      <c r="W4497" s="3" t="str">
        <f>LEFT(Base_Periodo1[[#This Row],[CLASS]],3)</f>
        <v>2.4</v>
      </c>
    </row>
    <row r="4498" spans="1:23" hidden="1">
      <c r="A4498" s="3" t="str">
        <f t="shared" si="70"/>
        <v>Período 1</v>
      </c>
      <c r="B4498">
        <v>16469</v>
      </c>
      <c r="C4498" t="s">
        <v>2300</v>
      </c>
      <c r="D4498" t="s">
        <v>2467</v>
      </c>
      <c r="E4498" s="3" t="str">
        <f>IF(LEN(Base_Periodo1[[#This Row],[CLASS]])&gt;=7,LEFT(Base_Periodo1[[#This Row],[CLASS]],7),"")</f>
        <v>2.4.1.1</v>
      </c>
      <c r="F4498" s="3" t="str">
        <f>VLOOKUP(Base_Periodo1[[#This Row],[Aux]],Base_Contas_Balanco[#All],2,FALSE)</f>
        <v>Capital Social Realizado</v>
      </c>
      <c r="G4498" s="1"/>
      <c r="H4498" s="225">
        <v>50.92</v>
      </c>
      <c r="I4498" s="225">
        <v>0</v>
      </c>
      <c r="J4498" s="225">
        <v>0</v>
      </c>
      <c r="K4498" s="225">
        <v>50.92</v>
      </c>
      <c r="L44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50.92</v>
      </c>
      <c r="M4498" s="225">
        <f>ROUND(IF(AND(Base_Periodo1[[#This Row],[Tipo_Linha]]="-",Base_Periodo1[[#This Row],[TIPOSALDO]]="D"),Base_Periodo1[[#This Row],[SALDO_ATUAL]]*-1,Base_Periodo1[[#This Row],[SALDO_ATUAL]]),4)</f>
        <v>50.92</v>
      </c>
      <c r="N4498" t="s">
        <v>116</v>
      </c>
      <c r="O4498" t="s">
        <v>459</v>
      </c>
      <c r="P4498" t="s">
        <v>459</v>
      </c>
      <c r="Q4498">
        <v>6</v>
      </c>
      <c r="R4498" s="225">
        <f>Base_Periodo1[[#This Row],[CREDITOS]]-Base_Periodo1[[#This Row],[DEBITOS]]</f>
        <v>0</v>
      </c>
      <c r="S4498" s="3" t="str">
        <f>IF(ISERROR(VLOOKUP(Base_Periodo1[[#This Row],[CONTA]],BaseContasDRE[#All],4,FALSE)),"Fora do DRE",VLOOKUP(Base_Periodo1[[#This Row],[CONTA]],BaseContasDRE[#All],4,FALSE))</f>
        <v>Fora do DRE</v>
      </c>
      <c r="T4498" s="3" t="str">
        <f>IF(ISERROR(VLOOKUP(Base_Periodo1[[#This Row],[CONTA]],BaseContasDRE[#All],5,FALSE)),"Fora do DRE",VLOOKUP(Base_Periodo1[[#This Row],[CONTA]],BaseContasDRE[#All],6,FALSE))</f>
        <v>Fora do DRE</v>
      </c>
      <c r="U4498" s="3" t="str">
        <f>IF(ISERROR(VLOOKUP(Base_Periodo1[[#This Row],[CONTA]],BaseContasDRE[#All],7,FALSE)),"Fora do DRE",VLOOKUP(Base_Periodo1[[#This Row],[CONTA]],BaseContasDRE[#All],7,FALSE))</f>
        <v>Fora do DRE</v>
      </c>
      <c r="V4498" s="3" t="str">
        <f>IF(Base_Periodo1[[#This Row],[Tipo_Linha]]="Fora do DRE","Fora do DRE","( "&amp;Base_Periodo1[[#This Row],[Tipo_Linha]]&amp;" ) "&amp;Base_Periodo1[[#This Row],[Filtro]])</f>
        <v>Fora do DRE</v>
      </c>
      <c r="W4498" s="3" t="str">
        <f>LEFT(Base_Periodo1[[#This Row],[CLASS]],3)</f>
        <v>2.4</v>
      </c>
    </row>
    <row r="4499" spans="1:23" hidden="1">
      <c r="A4499" s="3" t="str">
        <f t="shared" si="70"/>
        <v>Período 1</v>
      </c>
      <c r="B4499">
        <v>38821</v>
      </c>
      <c r="C4499" t="s">
        <v>2300</v>
      </c>
      <c r="D4499" t="s">
        <v>2468</v>
      </c>
      <c r="E4499" s="3" t="str">
        <f>IF(LEN(Base_Periodo1[[#This Row],[CLASS]])&gt;=7,LEFT(Base_Periodo1[[#This Row],[CLASS]],7),"")</f>
        <v>2.4.1.1</v>
      </c>
      <c r="F4499" s="3" t="str">
        <f>VLOOKUP(Base_Periodo1[[#This Row],[Aux]],Base_Contas_Balanco[#All],2,FALSE)</f>
        <v>Capital Social Realizado</v>
      </c>
      <c r="G4499" s="1"/>
      <c r="H4499" s="225">
        <v>246.54</v>
      </c>
      <c r="I4499" s="225">
        <v>0</v>
      </c>
      <c r="J4499" s="225">
        <v>0</v>
      </c>
      <c r="K4499" s="225">
        <v>246.54</v>
      </c>
      <c r="L44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246.54</v>
      </c>
      <c r="M4499" s="225">
        <f>ROUND(IF(AND(Base_Periodo1[[#This Row],[Tipo_Linha]]="-",Base_Periodo1[[#This Row],[TIPOSALDO]]="D"),Base_Periodo1[[#This Row],[SALDO_ATUAL]]*-1,Base_Periodo1[[#This Row],[SALDO_ATUAL]]),4)</f>
        <v>246.54</v>
      </c>
      <c r="N4499" t="s">
        <v>116</v>
      </c>
      <c r="O4499" t="s">
        <v>459</v>
      </c>
      <c r="P4499" t="s">
        <v>459</v>
      </c>
      <c r="Q4499">
        <v>6</v>
      </c>
      <c r="R4499" s="225">
        <f>Base_Periodo1[[#This Row],[CREDITOS]]-Base_Periodo1[[#This Row],[DEBITOS]]</f>
        <v>0</v>
      </c>
      <c r="S4499" s="3" t="str">
        <f>IF(ISERROR(VLOOKUP(Base_Periodo1[[#This Row],[CONTA]],BaseContasDRE[#All],4,FALSE)),"Fora do DRE",VLOOKUP(Base_Periodo1[[#This Row],[CONTA]],BaseContasDRE[#All],4,FALSE))</f>
        <v>Fora do DRE</v>
      </c>
      <c r="T4499" s="3" t="str">
        <f>IF(ISERROR(VLOOKUP(Base_Periodo1[[#This Row],[CONTA]],BaseContasDRE[#All],5,FALSE)),"Fora do DRE",VLOOKUP(Base_Periodo1[[#This Row],[CONTA]],BaseContasDRE[#All],6,FALSE))</f>
        <v>Fora do DRE</v>
      </c>
      <c r="U4499" s="3" t="str">
        <f>IF(ISERROR(VLOOKUP(Base_Periodo1[[#This Row],[CONTA]],BaseContasDRE[#All],7,FALSE)),"Fora do DRE",VLOOKUP(Base_Periodo1[[#This Row],[CONTA]],BaseContasDRE[#All],7,FALSE))</f>
        <v>Fora do DRE</v>
      </c>
      <c r="V4499" s="3" t="str">
        <f>IF(Base_Periodo1[[#This Row],[Tipo_Linha]]="Fora do DRE","Fora do DRE","( "&amp;Base_Periodo1[[#This Row],[Tipo_Linha]]&amp;" ) "&amp;Base_Periodo1[[#This Row],[Filtro]])</f>
        <v>Fora do DRE</v>
      </c>
      <c r="W4499" s="3" t="str">
        <f>LEFT(Base_Periodo1[[#This Row],[CLASS]],3)</f>
        <v>2.4</v>
      </c>
    </row>
    <row r="4500" spans="1:23" hidden="1">
      <c r="A4500" s="3" t="str">
        <f t="shared" si="70"/>
        <v>Período 1</v>
      </c>
      <c r="B4500">
        <v>35318</v>
      </c>
      <c r="C4500" t="s">
        <v>2300</v>
      </c>
      <c r="D4500" t="s">
        <v>2469</v>
      </c>
      <c r="E4500" s="3" t="str">
        <f>IF(LEN(Base_Periodo1[[#This Row],[CLASS]])&gt;=7,LEFT(Base_Periodo1[[#This Row],[CLASS]],7),"")</f>
        <v>2.4.1.1</v>
      </c>
      <c r="F4500" s="3" t="str">
        <f>VLOOKUP(Base_Periodo1[[#This Row],[Aux]],Base_Contas_Balanco[#All],2,FALSE)</f>
        <v>Capital Social Realizado</v>
      </c>
      <c r="G4500" s="1"/>
      <c r="H4500" s="225">
        <v>213.78</v>
      </c>
      <c r="I4500" s="225">
        <v>0</v>
      </c>
      <c r="J4500" s="225">
        <v>0</v>
      </c>
      <c r="K4500" s="225">
        <v>213.78</v>
      </c>
      <c r="L45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213.78</v>
      </c>
      <c r="M4500" s="225">
        <f>ROUND(IF(AND(Base_Periodo1[[#This Row],[Tipo_Linha]]="-",Base_Periodo1[[#This Row],[TIPOSALDO]]="D"),Base_Periodo1[[#This Row],[SALDO_ATUAL]]*-1,Base_Periodo1[[#This Row],[SALDO_ATUAL]]),4)</f>
        <v>213.78</v>
      </c>
      <c r="N4500" t="s">
        <v>116</v>
      </c>
      <c r="O4500" t="s">
        <v>459</v>
      </c>
      <c r="P4500" t="s">
        <v>459</v>
      </c>
      <c r="Q4500">
        <v>6</v>
      </c>
      <c r="R4500" s="225">
        <f>Base_Periodo1[[#This Row],[CREDITOS]]-Base_Periodo1[[#This Row],[DEBITOS]]</f>
        <v>0</v>
      </c>
      <c r="S4500" s="3" t="str">
        <f>IF(ISERROR(VLOOKUP(Base_Periodo1[[#This Row],[CONTA]],BaseContasDRE[#All],4,FALSE)),"Fora do DRE",VLOOKUP(Base_Periodo1[[#This Row],[CONTA]],BaseContasDRE[#All],4,FALSE))</f>
        <v>Fora do DRE</v>
      </c>
      <c r="T4500" s="3" t="str">
        <f>IF(ISERROR(VLOOKUP(Base_Periodo1[[#This Row],[CONTA]],BaseContasDRE[#All],5,FALSE)),"Fora do DRE",VLOOKUP(Base_Periodo1[[#This Row],[CONTA]],BaseContasDRE[#All],6,FALSE))</f>
        <v>Fora do DRE</v>
      </c>
      <c r="U4500" s="3" t="str">
        <f>IF(ISERROR(VLOOKUP(Base_Periodo1[[#This Row],[CONTA]],BaseContasDRE[#All],7,FALSE)),"Fora do DRE",VLOOKUP(Base_Periodo1[[#This Row],[CONTA]],BaseContasDRE[#All],7,FALSE))</f>
        <v>Fora do DRE</v>
      </c>
      <c r="V4500" s="3" t="str">
        <f>IF(Base_Periodo1[[#This Row],[Tipo_Linha]]="Fora do DRE","Fora do DRE","( "&amp;Base_Periodo1[[#This Row],[Tipo_Linha]]&amp;" ) "&amp;Base_Periodo1[[#This Row],[Filtro]])</f>
        <v>Fora do DRE</v>
      </c>
      <c r="W4500" s="3" t="str">
        <f>LEFT(Base_Periodo1[[#This Row],[CLASS]],3)</f>
        <v>2.4</v>
      </c>
    </row>
    <row r="4501" spans="1:23" hidden="1">
      <c r="A4501" s="3" t="str">
        <f t="shared" si="70"/>
        <v>Período 1</v>
      </c>
      <c r="B4501">
        <v>36034</v>
      </c>
      <c r="C4501" t="s">
        <v>2300</v>
      </c>
      <c r="D4501" t="s">
        <v>2470</v>
      </c>
      <c r="E4501" s="3" t="str">
        <f>IF(LEN(Base_Periodo1[[#This Row],[CLASS]])&gt;=7,LEFT(Base_Periodo1[[#This Row],[CLASS]],7),"")</f>
        <v>2.4.1.1</v>
      </c>
      <c r="F4501" s="3" t="str">
        <f>VLOOKUP(Base_Periodo1[[#This Row],[Aux]],Base_Contas_Balanco[#All],2,FALSE)</f>
        <v>Capital Social Realizado</v>
      </c>
      <c r="G4501" s="1"/>
      <c r="H4501" s="225">
        <v>50</v>
      </c>
      <c r="I4501" s="225">
        <v>0</v>
      </c>
      <c r="J4501" s="225">
        <v>0</v>
      </c>
      <c r="K4501" s="225">
        <v>50</v>
      </c>
      <c r="L45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01" s="225">
        <f>ROUND(IF(AND(Base_Periodo1[[#This Row],[Tipo_Linha]]="-",Base_Periodo1[[#This Row],[TIPOSALDO]]="D"),Base_Periodo1[[#This Row],[SALDO_ATUAL]]*-1,Base_Periodo1[[#This Row],[SALDO_ATUAL]]),4)</f>
        <v>50</v>
      </c>
      <c r="N4501" t="s">
        <v>116</v>
      </c>
      <c r="O4501" t="s">
        <v>459</v>
      </c>
      <c r="P4501" t="s">
        <v>459</v>
      </c>
      <c r="Q4501">
        <v>6</v>
      </c>
      <c r="R4501" s="225">
        <f>Base_Periodo1[[#This Row],[CREDITOS]]-Base_Periodo1[[#This Row],[DEBITOS]]</f>
        <v>0</v>
      </c>
      <c r="S4501" s="3" t="str">
        <f>IF(ISERROR(VLOOKUP(Base_Periodo1[[#This Row],[CONTA]],BaseContasDRE[#All],4,FALSE)),"Fora do DRE",VLOOKUP(Base_Periodo1[[#This Row],[CONTA]],BaseContasDRE[#All],4,FALSE))</f>
        <v>Fora do DRE</v>
      </c>
      <c r="T4501" s="3" t="str">
        <f>IF(ISERROR(VLOOKUP(Base_Periodo1[[#This Row],[CONTA]],BaseContasDRE[#All],5,FALSE)),"Fora do DRE",VLOOKUP(Base_Periodo1[[#This Row],[CONTA]],BaseContasDRE[#All],6,FALSE))</f>
        <v>Fora do DRE</v>
      </c>
      <c r="U4501" s="3" t="str">
        <f>IF(ISERROR(VLOOKUP(Base_Periodo1[[#This Row],[CONTA]],BaseContasDRE[#All],7,FALSE)),"Fora do DRE",VLOOKUP(Base_Periodo1[[#This Row],[CONTA]],BaseContasDRE[#All],7,FALSE))</f>
        <v>Fora do DRE</v>
      </c>
      <c r="V4501" s="3" t="str">
        <f>IF(Base_Periodo1[[#This Row],[Tipo_Linha]]="Fora do DRE","Fora do DRE","( "&amp;Base_Periodo1[[#This Row],[Tipo_Linha]]&amp;" ) "&amp;Base_Periodo1[[#This Row],[Filtro]])</f>
        <v>Fora do DRE</v>
      </c>
      <c r="W4501" s="3" t="str">
        <f>LEFT(Base_Periodo1[[#This Row],[CLASS]],3)</f>
        <v>2.4</v>
      </c>
    </row>
    <row r="4502" spans="1:23" hidden="1">
      <c r="A4502" s="3" t="str">
        <f t="shared" si="70"/>
        <v>Período 1</v>
      </c>
      <c r="B4502">
        <v>25738</v>
      </c>
      <c r="C4502" t="s">
        <v>2300</v>
      </c>
      <c r="D4502" t="s">
        <v>4701</v>
      </c>
      <c r="E4502" s="3" t="str">
        <f>IF(LEN(Base_Periodo1[[#This Row],[CLASS]])&gt;=7,LEFT(Base_Periodo1[[#This Row],[CLASS]],7),"")</f>
        <v>2.4.1.1</v>
      </c>
      <c r="F4502" s="3" t="str">
        <f>VLOOKUP(Base_Periodo1[[#This Row],[Aux]],Base_Contas_Balanco[#All],2,FALSE)</f>
        <v>Capital Social Realizado</v>
      </c>
      <c r="G4502" s="1"/>
      <c r="H4502" s="225">
        <v>50</v>
      </c>
      <c r="I4502" s="225">
        <v>0</v>
      </c>
      <c r="J4502" s="225">
        <v>0</v>
      </c>
      <c r="K4502" s="225">
        <v>50</v>
      </c>
      <c r="L45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02" s="225">
        <f>ROUND(IF(AND(Base_Periodo1[[#This Row],[Tipo_Linha]]="-",Base_Periodo1[[#This Row],[TIPOSALDO]]="D"),Base_Periodo1[[#This Row],[SALDO_ATUAL]]*-1,Base_Periodo1[[#This Row],[SALDO_ATUAL]]),4)</f>
        <v>50</v>
      </c>
      <c r="N4502" t="s">
        <v>116</v>
      </c>
      <c r="O4502" t="s">
        <v>459</v>
      </c>
      <c r="P4502" t="s">
        <v>459</v>
      </c>
      <c r="Q4502">
        <v>6</v>
      </c>
      <c r="R4502" s="225">
        <f>Base_Periodo1[[#This Row],[CREDITOS]]-Base_Periodo1[[#This Row],[DEBITOS]]</f>
        <v>0</v>
      </c>
      <c r="S4502" s="3" t="str">
        <f>IF(ISERROR(VLOOKUP(Base_Periodo1[[#This Row],[CONTA]],BaseContasDRE[#All],4,FALSE)),"Fora do DRE",VLOOKUP(Base_Periodo1[[#This Row],[CONTA]],BaseContasDRE[#All],4,FALSE))</f>
        <v>Fora do DRE</v>
      </c>
      <c r="T4502" s="3" t="str">
        <f>IF(ISERROR(VLOOKUP(Base_Periodo1[[#This Row],[CONTA]],BaseContasDRE[#All],5,FALSE)),"Fora do DRE",VLOOKUP(Base_Periodo1[[#This Row],[CONTA]],BaseContasDRE[#All],6,FALSE))</f>
        <v>Fora do DRE</v>
      </c>
      <c r="U4502" s="3" t="str">
        <f>IF(ISERROR(VLOOKUP(Base_Periodo1[[#This Row],[CONTA]],BaseContasDRE[#All],7,FALSE)),"Fora do DRE",VLOOKUP(Base_Periodo1[[#This Row],[CONTA]],BaseContasDRE[#All],7,FALSE))</f>
        <v>Fora do DRE</v>
      </c>
      <c r="V4502" s="3" t="str">
        <f>IF(Base_Periodo1[[#This Row],[Tipo_Linha]]="Fora do DRE","Fora do DRE","( "&amp;Base_Periodo1[[#This Row],[Tipo_Linha]]&amp;" ) "&amp;Base_Periodo1[[#This Row],[Filtro]])</f>
        <v>Fora do DRE</v>
      </c>
      <c r="W4502" s="3" t="str">
        <f>LEFT(Base_Periodo1[[#This Row],[CLASS]],3)</f>
        <v>2.4</v>
      </c>
    </row>
    <row r="4503" spans="1:23" hidden="1">
      <c r="A4503" s="3" t="str">
        <f t="shared" si="70"/>
        <v>Período 1</v>
      </c>
      <c r="B4503">
        <v>16334</v>
      </c>
      <c r="C4503" t="s">
        <v>2300</v>
      </c>
      <c r="D4503" t="s">
        <v>2471</v>
      </c>
      <c r="E4503" s="3" t="str">
        <f>IF(LEN(Base_Periodo1[[#This Row],[CLASS]])&gt;=7,LEFT(Base_Periodo1[[#This Row],[CLASS]],7),"")</f>
        <v>2.4.1.1</v>
      </c>
      <c r="F4503" s="3" t="str">
        <f>VLOOKUP(Base_Periodo1[[#This Row],[Aux]],Base_Contas_Balanco[#All],2,FALSE)</f>
        <v>Capital Social Realizado</v>
      </c>
      <c r="G4503" s="1"/>
      <c r="H4503" s="225">
        <v>1423.4099999999999</v>
      </c>
      <c r="I4503" s="225">
        <v>0</v>
      </c>
      <c r="J4503" s="225">
        <v>0</v>
      </c>
      <c r="K4503" s="225">
        <v>1423.4099999999999</v>
      </c>
      <c r="L45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1423.41</v>
      </c>
      <c r="M4503" s="225">
        <f>ROUND(IF(AND(Base_Periodo1[[#This Row],[Tipo_Linha]]="-",Base_Periodo1[[#This Row],[TIPOSALDO]]="D"),Base_Periodo1[[#This Row],[SALDO_ATUAL]]*-1,Base_Periodo1[[#This Row],[SALDO_ATUAL]]),4)</f>
        <v>1423.41</v>
      </c>
      <c r="N4503" t="s">
        <v>116</v>
      </c>
      <c r="O4503" t="s">
        <v>459</v>
      </c>
      <c r="P4503" t="s">
        <v>459</v>
      </c>
      <c r="Q4503">
        <v>6</v>
      </c>
      <c r="R4503" s="225">
        <f>Base_Periodo1[[#This Row],[CREDITOS]]-Base_Periodo1[[#This Row],[DEBITOS]]</f>
        <v>0</v>
      </c>
      <c r="S4503" s="3" t="str">
        <f>IF(ISERROR(VLOOKUP(Base_Periodo1[[#This Row],[CONTA]],BaseContasDRE[#All],4,FALSE)),"Fora do DRE",VLOOKUP(Base_Periodo1[[#This Row],[CONTA]],BaseContasDRE[#All],4,FALSE))</f>
        <v>Fora do DRE</v>
      </c>
      <c r="T4503" s="3" t="str">
        <f>IF(ISERROR(VLOOKUP(Base_Periodo1[[#This Row],[CONTA]],BaseContasDRE[#All],5,FALSE)),"Fora do DRE",VLOOKUP(Base_Periodo1[[#This Row],[CONTA]],BaseContasDRE[#All],6,FALSE))</f>
        <v>Fora do DRE</v>
      </c>
      <c r="U4503" s="3" t="str">
        <f>IF(ISERROR(VLOOKUP(Base_Periodo1[[#This Row],[CONTA]],BaseContasDRE[#All],7,FALSE)),"Fora do DRE",VLOOKUP(Base_Periodo1[[#This Row],[CONTA]],BaseContasDRE[#All],7,FALSE))</f>
        <v>Fora do DRE</v>
      </c>
      <c r="V4503" s="3" t="str">
        <f>IF(Base_Periodo1[[#This Row],[Tipo_Linha]]="Fora do DRE","Fora do DRE","( "&amp;Base_Periodo1[[#This Row],[Tipo_Linha]]&amp;" ) "&amp;Base_Periodo1[[#This Row],[Filtro]])</f>
        <v>Fora do DRE</v>
      </c>
      <c r="W4503" s="3" t="str">
        <f>LEFT(Base_Periodo1[[#This Row],[CLASS]],3)</f>
        <v>2.4</v>
      </c>
    </row>
    <row r="4504" spans="1:23" hidden="1">
      <c r="A4504" s="3" t="str">
        <f t="shared" si="70"/>
        <v>Período 1</v>
      </c>
      <c r="B4504">
        <v>55888</v>
      </c>
      <c r="C4504" t="s">
        <v>2300</v>
      </c>
      <c r="D4504" t="s">
        <v>5537</v>
      </c>
      <c r="E4504" s="3" t="str">
        <f>IF(LEN(Base_Periodo1[[#This Row],[CLASS]])&gt;=7,LEFT(Base_Periodo1[[#This Row],[CLASS]],7),"")</f>
        <v>2.4.1.1</v>
      </c>
      <c r="F4504" s="3" t="str">
        <f>VLOOKUP(Base_Periodo1[[#This Row],[Aux]],Base_Contas_Balanco[#All],2,FALSE)</f>
        <v>Capital Social Realizado</v>
      </c>
      <c r="G4504" s="1"/>
      <c r="H4504" s="225">
        <v>50</v>
      </c>
      <c r="I4504" s="225">
        <v>0</v>
      </c>
      <c r="J4504" s="225">
        <v>0</v>
      </c>
      <c r="K4504" s="225">
        <v>50</v>
      </c>
      <c r="L45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04" s="225">
        <f>ROUND(IF(AND(Base_Periodo1[[#This Row],[Tipo_Linha]]="-",Base_Periodo1[[#This Row],[TIPOSALDO]]="D"),Base_Periodo1[[#This Row],[SALDO_ATUAL]]*-1,Base_Periodo1[[#This Row],[SALDO_ATUAL]]),4)</f>
        <v>50</v>
      </c>
      <c r="N4504" t="s">
        <v>116</v>
      </c>
      <c r="O4504" t="s">
        <v>459</v>
      </c>
      <c r="P4504" t="s">
        <v>459</v>
      </c>
      <c r="Q4504">
        <v>6</v>
      </c>
      <c r="R4504" s="225">
        <f>Base_Periodo1[[#This Row],[CREDITOS]]-Base_Periodo1[[#This Row],[DEBITOS]]</f>
        <v>0</v>
      </c>
      <c r="S4504" s="3" t="str">
        <f>IF(ISERROR(VLOOKUP(Base_Periodo1[[#This Row],[CONTA]],BaseContasDRE[#All],4,FALSE)),"Fora do DRE",VLOOKUP(Base_Periodo1[[#This Row],[CONTA]],BaseContasDRE[#All],4,FALSE))</f>
        <v>Fora do DRE</v>
      </c>
      <c r="T4504" s="3" t="str">
        <f>IF(ISERROR(VLOOKUP(Base_Periodo1[[#This Row],[CONTA]],BaseContasDRE[#All],5,FALSE)),"Fora do DRE",VLOOKUP(Base_Periodo1[[#This Row],[CONTA]],BaseContasDRE[#All],6,FALSE))</f>
        <v>Fora do DRE</v>
      </c>
      <c r="U4504" s="3" t="str">
        <f>IF(ISERROR(VLOOKUP(Base_Periodo1[[#This Row],[CONTA]],BaseContasDRE[#All],7,FALSE)),"Fora do DRE",VLOOKUP(Base_Periodo1[[#This Row],[CONTA]],BaseContasDRE[#All],7,FALSE))</f>
        <v>Fora do DRE</v>
      </c>
      <c r="V4504" s="3" t="str">
        <f>IF(Base_Periodo1[[#This Row],[Tipo_Linha]]="Fora do DRE","Fora do DRE","( "&amp;Base_Periodo1[[#This Row],[Tipo_Linha]]&amp;" ) "&amp;Base_Periodo1[[#This Row],[Filtro]])</f>
        <v>Fora do DRE</v>
      </c>
      <c r="W4504" s="3" t="str">
        <f>LEFT(Base_Periodo1[[#This Row],[CLASS]],3)</f>
        <v>2.4</v>
      </c>
    </row>
    <row r="4505" spans="1:23" hidden="1">
      <c r="A4505" s="3" t="str">
        <f t="shared" si="70"/>
        <v>Período 1</v>
      </c>
      <c r="B4505">
        <v>16254</v>
      </c>
      <c r="C4505" t="s">
        <v>2300</v>
      </c>
      <c r="D4505" t="s">
        <v>2472</v>
      </c>
      <c r="E4505" s="3" t="str">
        <f>IF(LEN(Base_Periodo1[[#This Row],[CLASS]])&gt;=7,LEFT(Base_Periodo1[[#This Row],[CLASS]],7),"")</f>
        <v>2.4.1.1</v>
      </c>
      <c r="F4505" s="3" t="str">
        <f>VLOOKUP(Base_Periodo1[[#This Row],[Aux]],Base_Contas_Balanco[#All],2,FALSE)</f>
        <v>Capital Social Realizado</v>
      </c>
      <c r="G4505" s="1"/>
      <c r="H4505" s="225">
        <v>13141.45</v>
      </c>
      <c r="I4505" s="225">
        <v>0</v>
      </c>
      <c r="J4505" s="225">
        <v>0</v>
      </c>
      <c r="K4505" s="225">
        <v>13141.45</v>
      </c>
      <c r="L45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13141.45</v>
      </c>
      <c r="M4505" s="225">
        <f>ROUND(IF(AND(Base_Periodo1[[#This Row],[Tipo_Linha]]="-",Base_Periodo1[[#This Row],[TIPOSALDO]]="D"),Base_Periodo1[[#This Row],[SALDO_ATUAL]]*-1,Base_Periodo1[[#This Row],[SALDO_ATUAL]]),4)</f>
        <v>13141.45</v>
      </c>
      <c r="N4505" t="s">
        <v>116</v>
      </c>
      <c r="O4505" t="s">
        <v>459</v>
      </c>
      <c r="P4505" t="s">
        <v>459</v>
      </c>
      <c r="Q4505">
        <v>6</v>
      </c>
      <c r="R4505" s="225">
        <f>Base_Periodo1[[#This Row],[CREDITOS]]-Base_Periodo1[[#This Row],[DEBITOS]]</f>
        <v>0</v>
      </c>
      <c r="S4505" s="3" t="str">
        <f>IF(ISERROR(VLOOKUP(Base_Periodo1[[#This Row],[CONTA]],BaseContasDRE[#All],4,FALSE)),"Fora do DRE",VLOOKUP(Base_Periodo1[[#This Row],[CONTA]],BaseContasDRE[#All],4,FALSE))</f>
        <v>Fora do DRE</v>
      </c>
      <c r="T4505" s="3" t="str">
        <f>IF(ISERROR(VLOOKUP(Base_Periodo1[[#This Row],[CONTA]],BaseContasDRE[#All],5,FALSE)),"Fora do DRE",VLOOKUP(Base_Periodo1[[#This Row],[CONTA]],BaseContasDRE[#All],6,FALSE))</f>
        <v>Fora do DRE</v>
      </c>
      <c r="U4505" s="3" t="str">
        <f>IF(ISERROR(VLOOKUP(Base_Periodo1[[#This Row],[CONTA]],BaseContasDRE[#All],7,FALSE)),"Fora do DRE",VLOOKUP(Base_Periodo1[[#This Row],[CONTA]],BaseContasDRE[#All],7,FALSE))</f>
        <v>Fora do DRE</v>
      </c>
      <c r="V4505" s="3" t="str">
        <f>IF(Base_Periodo1[[#This Row],[Tipo_Linha]]="Fora do DRE","Fora do DRE","( "&amp;Base_Periodo1[[#This Row],[Tipo_Linha]]&amp;" ) "&amp;Base_Periodo1[[#This Row],[Filtro]])</f>
        <v>Fora do DRE</v>
      </c>
      <c r="W4505" s="3" t="str">
        <f>LEFT(Base_Periodo1[[#This Row],[CLASS]],3)</f>
        <v>2.4</v>
      </c>
    </row>
    <row r="4506" spans="1:23" hidden="1">
      <c r="A4506" s="3" t="str">
        <f t="shared" si="70"/>
        <v>Período 1</v>
      </c>
      <c r="B4506">
        <v>16171</v>
      </c>
      <c r="C4506" t="s">
        <v>2300</v>
      </c>
      <c r="D4506" t="s">
        <v>2473</v>
      </c>
      <c r="E4506" s="3" t="str">
        <f>IF(LEN(Base_Periodo1[[#This Row],[CLASS]])&gt;=7,LEFT(Base_Periodo1[[#This Row],[CLASS]],7),"")</f>
        <v>2.4.1.1</v>
      </c>
      <c r="F4506" s="3" t="str">
        <f>VLOOKUP(Base_Periodo1[[#This Row],[Aux]],Base_Contas_Balanco[#All],2,FALSE)</f>
        <v>Capital Social Realizado</v>
      </c>
      <c r="G4506" s="1"/>
      <c r="H4506" s="225">
        <v>1346.21</v>
      </c>
      <c r="I4506" s="225">
        <v>0</v>
      </c>
      <c r="J4506" s="225">
        <v>0</v>
      </c>
      <c r="K4506" s="225">
        <v>1346.21</v>
      </c>
      <c r="L45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1346.21</v>
      </c>
      <c r="M4506" s="225">
        <f>ROUND(IF(AND(Base_Periodo1[[#This Row],[Tipo_Linha]]="-",Base_Periodo1[[#This Row],[TIPOSALDO]]="D"),Base_Periodo1[[#This Row],[SALDO_ATUAL]]*-1,Base_Periodo1[[#This Row],[SALDO_ATUAL]]),4)</f>
        <v>1346.21</v>
      </c>
      <c r="N4506" t="s">
        <v>116</v>
      </c>
      <c r="O4506" t="s">
        <v>459</v>
      </c>
      <c r="P4506" t="s">
        <v>459</v>
      </c>
      <c r="Q4506">
        <v>6</v>
      </c>
      <c r="R4506" s="225">
        <f>Base_Periodo1[[#This Row],[CREDITOS]]-Base_Periodo1[[#This Row],[DEBITOS]]</f>
        <v>0</v>
      </c>
      <c r="S4506" s="3" t="str">
        <f>IF(ISERROR(VLOOKUP(Base_Periodo1[[#This Row],[CONTA]],BaseContasDRE[#All],4,FALSE)),"Fora do DRE",VLOOKUP(Base_Periodo1[[#This Row],[CONTA]],BaseContasDRE[#All],4,FALSE))</f>
        <v>Fora do DRE</v>
      </c>
      <c r="T4506" s="3" t="str">
        <f>IF(ISERROR(VLOOKUP(Base_Periodo1[[#This Row],[CONTA]],BaseContasDRE[#All],5,FALSE)),"Fora do DRE",VLOOKUP(Base_Periodo1[[#This Row],[CONTA]],BaseContasDRE[#All],6,FALSE))</f>
        <v>Fora do DRE</v>
      </c>
      <c r="U4506" s="3" t="str">
        <f>IF(ISERROR(VLOOKUP(Base_Periodo1[[#This Row],[CONTA]],BaseContasDRE[#All],7,FALSE)),"Fora do DRE",VLOOKUP(Base_Periodo1[[#This Row],[CONTA]],BaseContasDRE[#All],7,FALSE))</f>
        <v>Fora do DRE</v>
      </c>
      <c r="V4506" s="3" t="str">
        <f>IF(Base_Periodo1[[#This Row],[Tipo_Linha]]="Fora do DRE","Fora do DRE","( "&amp;Base_Periodo1[[#This Row],[Tipo_Linha]]&amp;" ) "&amp;Base_Periodo1[[#This Row],[Filtro]])</f>
        <v>Fora do DRE</v>
      </c>
      <c r="W4506" s="3" t="str">
        <f>LEFT(Base_Periodo1[[#This Row],[CLASS]],3)</f>
        <v>2.4</v>
      </c>
    </row>
    <row r="4507" spans="1:23" hidden="1">
      <c r="A4507" s="3" t="str">
        <f t="shared" si="70"/>
        <v>Período 1</v>
      </c>
      <c r="B4507">
        <v>16155</v>
      </c>
      <c r="C4507" t="s">
        <v>2300</v>
      </c>
      <c r="D4507" t="s">
        <v>2474</v>
      </c>
      <c r="E4507" s="3" t="str">
        <f>IF(LEN(Base_Periodo1[[#This Row],[CLASS]])&gt;=7,LEFT(Base_Periodo1[[#This Row],[CLASS]],7),"")</f>
        <v>2.4.1.1</v>
      </c>
      <c r="F4507" s="3" t="str">
        <f>VLOOKUP(Base_Periodo1[[#This Row],[Aux]],Base_Contas_Balanco[#All],2,FALSE)</f>
        <v>Capital Social Realizado</v>
      </c>
      <c r="G4507" s="1"/>
      <c r="H4507" s="225">
        <v>5939.46</v>
      </c>
      <c r="I4507" s="225">
        <v>0</v>
      </c>
      <c r="J4507" s="225">
        <v>0</v>
      </c>
      <c r="K4507" s="225">
        <v>5939.46</v>
      </c>
      <c r="L45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5939.46</v>
      </c>
      <c r="M4507" s="225">
        <f>ROUND(IF(AND(Base_Periodo1[[#This Row],[Tipo_Linha]]="-",Base_Periodo1[[#This Row],[TIPOSALDO]]="D"),Base_Periodo1[[#This Row],[SALDO_ATUAL]]*-1,Base_Periodo1[[#This Row],[SALDO_ATUAL]]),4)</f>
        <v>5939.46</v>
      </c>
      <c r="N4507" t="s">
        <v>116</v>
      </c>
      <c r="O4507" t="s">
        <v>459</v>
      </c>
      <c r="P4507" t="s">
        <v>459</v>
      </c>
      <c r="Q4507">
        <v>6</v>
      </c>
      <c r="R4507" s="225">
        <f>Base_Periodo1[[#This Row],[CREDITOS]]-Base_Periodo1[[#This Row],[DEBITOS]]</f>
        <v>0</v>
      </c>
      <c r="S4507" s="3" t="str">
        <f>IF(ISERROR(VLOOKUP(Base_Periodo1[[#This Row],[CONTA]],BaseContasDRE[#All],4,FALSE)),"Fora do DRE",VLOOKUP(Base_Periodo1[[#This Row],[CONTA]],BaseContasDRE[#All],4,FALSE))</f>
        <v>Fora do DRE</v>
      </c>
      <c r="T4507" s="3" t="str">
        <f>IF(ISERROR(VLOOKUP(Base_Periodo1[[#This Row],[CONTA]],BaseContasDRE[#All],5,FALSE)),"Fora do DRE",VLOOKUP(Base_Periodo1[[#This Row],[CONTA]],BaseContasDRE[#All],6,FALSE))</f>
        <v>Fora do DRE</v>
      </c>
      <c r="U4507" s="3" t="str">
        <f>IF(ISERROR(VLOOKUP(Base_Periodo1[[#This Row],[CONTA]],BaseContasDRE[#All],7,FALSE)),"Fora do DRE",VLOOKUP(Base_Periodo1[[#This Row],[CONTA]],BaseContasDRE[#All],7,FALSE))</f>
        <v>Fora do DRE</v>
      </c>
      <c r="V4507" s="3" t="str">
        <f>IF(Base_Periodo1[[#This Row],[Tipo_Linha]]="Fora do DRE","Fora do DRE","( "&amp;Base_Periodo1[[#This Row],[Tipo_Linha]]&amp;" ) "&amp;Base_Periodo1[[#This Row],[Filtro]])</f>
        <v>Fora do DRE</v>
      </c>
      <c r="W4507" s="3" t="str">
        <f>LEFT(Base_Periodo1[[#This Row],[CLASS]],3)</f>
        <v>2.4</v>
      </c>
    </row>
    <row r="4508" spans="1:23" hidden="1">
      <c r="A4508" s="3" t="str">
        <f t="shared" si="70"/>
        <v>Período 1</v>
      </c>
      <c r="B4508">
        <v>25554</v>
      </c>
      <c r="C4508" t="s">
        <v>2300</v>
      </c>
      <c r="D4508" t="s">
        <v>2475</v>
      </c>
      <c r="E4508" s="3" t="str">
        <f>IF(LEN(Base_Periodo1[[#This Row],[CLASS]])&gt;=7,LEFT(Base_Periodo1[[#This Row],[CLASS]],7),"")</f>
        <v>2.4.1.1</v>
      </c>
      <c r="F4508" s="3" t="str">
        <f>VLOOKUP(Base_Periodo1[[#This Row],[Aux]],Base_Contas_Balanco[#All],2,FALSE)</f>
        <v>Capital Social Realizado</v>
      </c>
      <c r="G4508" s="1"/>
      <c r="H4508" s="225">
        <v>188.42000000000002</v>
      </c>
      <c r="I4508" s="225">
        <v>0</v>
      </c>
      <c r="J4508" s="225">
        <v>0</v>
      </c>
      <c r="K4508" s="225">
        <v>188.42000000000002</v>
      </c>
      <c r="L45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188.42</v>
      </c>
      <c r="M4508" s="225">
        <f>ROUND(IF(AND(Base_Periodo1[[#This Row],[Tipo_Linha]]="-",Base_Periodo1[[#This Row],[TIPOSALDO]]="D"),Base_Periodo1[[#This Row],[SALDO_ATUAL]]*-1,Base_Periodo1[[#This Row],[SALDO_ATUAL]]),4)</f>
        <v>188.42</v>
      </c>
      <c r="N4508" t="s">
        <v>116</v>
      </c>
      <c r="O4508" t="s">
        <v>459</v>
      </c>
      <c r="P4508" t="s">
        <v>459</v>
      </c>
      <c r="Q4508">
        <v>6</v>
      </c>
      <c r="R4508" s="225">
        <f>Base_Periodo1[[#This Row],[CREDITOS]]-Base_Periodo1[[#This Row],[DEBITOS]]</f>
        <v>0</v>
      </c>
      <c r="S4508" s="3" t="str">
        <f>IF(ISERROR(VLOOKUP(Base_Periodo1[[#This Row],[CONTA]],BaseContasDRE[#All],4,FALSE)),"Fora do DRE",VLOOKUP(Base_Periodo1[[#This Row],[CONTA]],BaseContasDRE[#All],4,FALSE))</f>
        <v>Fora do DRE</v>
      </c>
      <c r="T4508" s="3" t="str">
        <f>IF(ISERROR(VLOOKUP(Base_Periodo1[[#This Row],[CONTA]],BaseContasDRE[#All],5,FALSE)),"Fora do DRE",VLOOKUP(Base_Periodo1[[#This Row],[CONTA]],BaseContasDRE[#All],6,FALSE))</f>
        <v>Fora do DRE</v>
      </c>
      <c r="U4508" s="3" t="str">
        <f>IF(ISERROR(VLOOKUP(Base_Periodo1[[#This Row],[CONTA]],BaseContasDRE[#All],7,FALSE)),"Fora do DRE",VLOOKUP(Base_Periodo1[[#This Row],[CONTA]],BaseContasDRE[#All],7,FALSE))</f>
        <v>Fora do DRE</v>
      </c>
      <c r="V4508" s="3" t="str">
        <f>IF(Base_Periodo1[[#This Row],[Tipo_Linha]]="Fora do DRE","Fora do DRE","( "&amp;Base_Periodo1[[#This Row],[Tipo_Linha]]&amp;" ) "&amp;Base_Periodo1[[#This Row],[Filtro]])</f>
        <v>Fora do DRE</v>
      </c>
      <c r="W4508" s="3" t="str">
        <f>LEFT(Base_Periodo1[[#This Row],[CLASS]],3)</f>
        <v>2.4</v>
      </c>
    </row>
    <row r="4509" spans="1:23" hidden="1">
      <c r="A4509" s="3" t="str">
        <f t="shared" si="70"/>
        <v>Período 1</v>
      </c>
      <c r="B4509">
        <v>25604</v>
      </c>
      <c r="C4509" t="s">
        <v>2300</v>
      </c>
      <c r="D4509" t="s">
        <v>2476</v>
      </c>
      <c r="E4509" s="3" t="str">
        <f>IF(LEN(Base_Periodo1[[#This Row],[CLASS]])&gt;=7,LEFT(Base_Periodo1[[#This Row],[CLASS]],7),"")</f>
        <v>2.4.1.1</v>
      </c>
      <c r="F4509" s="3" t="str">
        <f>VLOOKUP(Base_Periodo1[[#This Row],[Aux]],Base_Contas_Balanco[#All],2,FALSE)</f>
        <v>Capital Social Realizado</v>
      </c>
      <c r="G4509" s="1"/>
      <c r="H4509" s="225">
        <v>50</v>
      </c>
      <c r="I4509" s="225">
        <v>0</v>
      </c>
      <c r="J4509" s="225">
        <v>0</v>
      </c>
      <c r="K4509" s="225">
        <v>50</v>
      </c>
      <c r="L45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09" s="225">
        <f>ROUND(IF(AND(Base_Periodo1[[#This Row],[Tipo_Linha]]="-",Base_Periodo1[[#This Row],[TIPOSALDO]]="D"),Base_Periodo1[[#This Row],[SALDO_ATUAL]]*-1,Base_Periodo1[[#This Row],[SALDO_ATUAL]]),4)</f>
        <v>50</v>
      </c>
      <c r="N4509" t="s">
        <v>116</v>
      </c>
      <c r="O4509" t="s">
        <v>459</v>
      </c>
      <c r="P4509" t="s">
        <v>459</v>
      </c>
      <c r="Q4509">
        <v>6</v>
      </c>
      <c r="R4509" s="225">
        <f>Base_Periodo1[[#This Row],[CREDITOS]]-Base_Periodo1[[#This Row],[DEBITOS]]</f>
        <v>0</v>
      </c>
      <c r="S4509" s="3" t="str">
        <f>IF(ISERROR(VLOOKUP(Base_Periodo1[[#This Row],[CONTA]],BaseContasDRE[#All],4,FALSE)),"Fora do DRE",VLOOKUP(Base_Periodo1[[#This Row],[CONTA]],BaseContasDRE[#All],4,FALSE))</f>
        <v>Fora do DRE</v>
      </c>
      <c r="T4509" s="3" t="str">
        <f>IF(ISERROR(VLOOKUP(Base_Periodo1[[#This Row],[CONTA]],BaseContasDRE[#All],5,FALSE)),"Fora do DRE",VLOOKUP(Base_Periodo1[[#This Row],[CONTA]],BaseContasDRE[#All],6,FALSE))</f>
        <v>Fora do DRE</v>
      </c>
      <c r="U4509" s="3" t="str">
        <f>IF(ISERROR(VLOOKUP(Base_Periodo1[[#This Row],[CONTA]],BaseContasDRE[#All],7,FALSE)),"Fora do DRE",VLOOKUP(Base_Periodo1[[#This Row],[CONTA]],BaseContasDRE[#All],7,FALSE))</f>
        <v>Fora do DRE</v>
      </c>
      <c r="V4509" s="3" t="str">
        <f>IF(Base_Periodo1[[#This Row],[Tipo_Linha]]="Fora do DRE","Fora do DRE","( "&amp;Base_Periodo1[[#This Row],[Tipo_Linha]]&amp;" ) "&amp;Base_Periodo1[[#This Row],[Filtro]])</f>
        <v>Fora do DRE</v>
      </c>
      <c r="W4509" s="3" t="str">
        <f>LEFT(Base_Periodo1[[#This Row],[CLASS]],3)</f>
        <v>2.4</v>
      </c>
    </row>
    <row r="4510" spans="1:23" hidden="1">
      <c r="A4510" s="3" t="str">
        <f t="shared" si="70"/>
        <v>Período 1</v>
      </c>
      <c r="B4510">
        <v>40580</v>
      </c>
      <c r="C4510" t="s">
        <v>2300</v>
      </c>
      <c r="D4510" t="s">
        <v>2477</v>
      </c>
      <c r="E4510" s="3" t="str">
        <f>IF(LEN(Base_Periodo1[[#This Row],[CLASS]])&gt;=7,LEFT(Base_Periodo1[[#This Row],[CLASS]],7),"")</f>
        <v>2.4.1.1</v>
      </c>
      <c r="F4510" s="3" t="str">
        <f>VLOOKUP(Base_Periodo1[[#This Row],[Aux]],Base_Contas_Balanco[#All],2,FALSE)</f>
        <v>Capital Social Realizado</v>
      </c>
      <c r="G4510" s="1"/>
      <c r="H4510" s="225">
        <v>106.74000000000001</v>
      </c>
      <c r="I4510" s="225">
        <v>0</v>
      </c>
      <c r="J4510" s="225">
        <v>0</v>
      </c>
      <c r="K4510" s="225">
        <v>106.74000000000001</v>
      </c>
      <c r="L45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106.74</v>
      </c>
      <c r="M4510" s="225">
        <f>ROUND(IF(AND(Base_Periodo1[[#This Row],[Tipo_Linha]]="-",Base_Periodo1[[#This Row],[TIPOSALDO]]="D"),Base_Periodo1[[#This Row],[SALDO_ATUAL]]*-1,Base_Periodo1[[#This Row],[SALDO_ATUAL]]),4)</f>
        <v>106.74</v>
      </c>
      <c r="N4510" t="s">
        <v>116</v>
      </c>
      <c r="O4510" t="s">
        <v>459</v>
      </c>
      <c r="P4510" t="s">
        <v>459</v>
      </c>
      <c r="Q4510">
        <v>6</v>
      </c>
      <c r="R4510" s="225">
        <f>Base_Periodo1[[#This Row],[CREDITOS]]-Base_Periodo1[[#This Row],[DEBITOS]]</f>
        <v>0</v>
      </c>
      <c r="S4510" s="3" t="str">
        <f>IF(ISERROR(VLOOKUP(Base_Periodo1[[#This Row],[CONTA]],BaseContasDRE[#All],4,FALSE)),"Fora do DRE",VLOOKUP(Base_Periodo1[[#This Row],[CONTA]],BaseContasDRE[#All],4,FALSE))</f>
        <v>Fora do DRE</v>
      </c>
      <c r="T4510" s="3" t="str">
        <f>IF(ISERROR(VLOOKUP(Base_Periodo1[[#This Row],[CONTA]],BaseContasDRE[#All],5,FALSE)),"Fora do DRE",VLOOKUP(Base_Periodo1[[#This Row],[CONTA]],BaseContasDRE[#All],6,FALSE))</f>
        <v>Fora do DRE</v>
      </c>
      <c r="U4510" s="3" t="str">
        <f>IF(ISERROR(VLOOKUP(Base_Periodo1[[#This Row],[CONTA]],BaseContasDRE[#All],7,FALSE)),"Fora do DRE",VLOOKUP(Base_Periodo1[[#This Row],[CONTA]],BaseContasDRE[#All],7,FALSE))</f>
        <v>Fora do DRE</v>
      </c>
      <c r="V4510" s="3" t="str">
        <f>IF(Base_Periodo1[[#This Row],[Tipo_Linha]]="Fora do DRE","Fora do DRE","( "&amp;Base_Periodo1[[#This Row],[Tipo_Linha]]&amp;" ) "&amp;Base_Periodo1[[#This Row],[Filtro]])</f>
        <v>Fora do DRE</v>
      </c>
      <c r="W4510" s="3" t="str">
        <f>LEFT(Base_Periodo1[[#This Row],[CLASS]],3)</f>
        <v>2.4</v>
      </c>
    </row>
    <row r="4511" spans="1:23" hidden="1">
      <c r="A4511" s="3" t="str">
        <f t="shared" si="70"/>
        <v>Período 1</v>
      </c>
      <c r="B4511">
        <v>16154</v>
      </c>
      <c r="C4511" t="s">
        <v>2300</v>
      </c>
      <c r="D4511" t="s">
        <v>2478</v>
      </c>
      <c r="E4511" s="3" t="str">
        <f>IF(LEN(Base_Periodo1[[#This Row],[CLASS]])&gt;=7,LEFT(Base_Periodo1[[#This Row],[CLASS]],7),"")</f>
        <v>2.4.1.1</v>
      </c>
      <c r="F4511" s="3" t="str">
        <f>VLOOKUP(Base_Periodo1[[#This Row],[Aux]],Base_Contas_Balanco[#All],2,FALSE)</f>
        <v>Capital Social Realizado</v>
      </c>
      <c r="G4511" s="1">
        <v>42460</v>
      </c>
      <c r="H4511" s="225">
        <v>5440.1600000000008</v>
      </c>
      <c r="I4511" s="225">
        <v>0</v>
      </c>
      <c r="J4511" s="225">
        <v>0</v>
      </c>
      <c r="K4511" s="225">
        <v>5440.1600000000008</v>
      </c>
      <c r="L45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5440.16</v>
      </c>
      <c r="M4511" s="225">
        <f>ROUND(IF(AND(Base_Periodo1[[#This Row],[Tipo_Linha]]="-",Base_Periodo1[[#This Row],[TIPOSALDO]]="D"),Base_Periodo1[[#This Row],[SALDO_ATUAL]]*-1,Base_Periodo1[[#This Row],[SALDO_ATUAL]]),4)</f>
        <v>5440.16</v>
      </c>
      <c r="N4511" t="s">
        <v>116</v>
      </c>
      <c r="O4511" t="s">
        <v>459</v>
      </c>
      <c r="P4511" t="s">
        <v>459</v>
      </c>
      <c r="Q4511">
        <v>6</v>
      </c>
      <c r="R4511" s="225">
        <f>Base_Periodo1[[#This Row],[CREDITOS]]-Base_Periodo1[[#This Row],[DEBITOS]]</f>
        <v>0</v>
      </c>
      <c r="S4511" s="3" t="str">
        <f>IF(ISERROR(VLOOKUP(Base_Periodo1[[#This Row],[CONTA]],BaseContasDRE[#All],4,FALSE)),"Fora do DRE",VLOOKUP(Base_Periodo1[[#This Row],[CONTA]],BaseContasDRE[#All],4,FALSE))</f>
        <v>Fora do DRE</v>
      </c>
      <c r="T4511" s="3" t="str">
        <f>IF(ISERROR(VLOOKUP(Base_Periodo1[[#This Row],[CONTA]],BaseContasDRE[#All],5,FALSE)),"Fora do DRE",VLOOKUP(Base_Periodo1[[#This Row],[CONTA]],BaseContasDRE[#All],6,FALSE))</f>
        <v>Fora do DRE</v>
      </c>
      <c r="U4511" s="3" t="str">
        <f>IF(ISERROR(VLOOKUP(Base_Periodo1[[#This Row],[CONTA]],BaseContasDRE[#All],7,FALSE)),"Fora do DRE",VLOOKUP(Base_Periodo1[[#This Row],[CONTA]],BaseContasDRE[#All],7,FALSE))</f>
        <v>Fora do DRE</v>
      </c>
      <c r="V4511" s="3" t="str">
        <f>IF(Base_Periodo1[[#This Row],[Tipo_Linha]]="Fora do DRE","Fora do DRE","( "&amp;Base_Periodo1[[#This Row],[Tipo_Linha]]&amp;" ) "&amp;Base_Periodo1[[#This Row],[Filtro]])</f>
        <v>Fora do DRE</v>
      </c>
      <c r="W4511" s="3" t="str">
        <f>LEFT(Base_Periodo1[[#This Row],[CLASS]],3)</f>
        <v>2.4</v>
      </c>
    </row>
    <row r="4512" spans="1:23" hidden="1">
      <c r="A4512" s="3" t="str">
        <f t="shared" si="70"/>
        <v>Período 1</v>
      </c>
      <c r="B4512">
        <v>16201</v>
      </c>
      <c r="C4512" t="s">
        <v>2300</v>
      </c>
      <c r="D4512" t="s">
        <v>2479</v>
      </c>
      <c r="E4512" s="3" t="str">
        <f>IF(LEN(Base_Periodo1[[#This Row],[CLASS]])&gt;=7,LEFT(Base_Periodo1[[#This Row],[CLASS]],7),"")</f>
        <v>2.4.1.1</v>
      </c>
      <c r="F4512" s="3" t="str">
        <f>VLOOKUP(Base_Periodo1[[#This Row],[Aux]],Base_Contas_Balanco[#All],2,FALSE)</f>
        <v>Capital Social Realizado</v>
      </c>
      <c r="G4512" s="1"/>
      <c r="H4512" s="225">
        <v>32042.16</v>
      </c>
      <c r="I4512" s="225">
        <v>0</v>
      </c>
      <c r="J4512" s="225">
        <v>0</v>
      </c>
      <c r="K4512" s="225">
        <v>32042.16</v>
      </c>
      <c r="L45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32042.16</v>
      </c>
      <c r="M4512" s="225">
        <f>ROUND(IF(AND(Base_Periodo1[[#This Row],[Tipo_Linha]]="-",Base_Periodo1[[#This Row],[TIPOSALDO]]="D"),Base_Periodo1[[#This Row],[SALDO_ATUAL]]*-1,Base_Periodo1[[#This Row],[SALDO_ATUAL]]),4)</f>
        <v>32042.16</v>
      </c>
      <c r="N4512" t="s">
        <v>116</v>
      </c>
      <c r="O4512" t="s">
        <v>459</v>
      </c>
      <c r="P4512" t="s">
        <v>459</v>
      </c>
      <c r="Q4512">
        <v>6</v>
      </c>
      <c r="R4512" s="225">
        <f>Base_Periodo1[[#This Row],[CREDITOS]]-Base_Periodo1[[#This Row],[DEBITOS]]</f>
        <v>0</v>
      </c>
      <c r="S4512" s="3" t="str">
        <f>IF(ISERROR(VLOOKUP(Base_Periodo1[[#This Row],[CONTA]],BaseContasDRE[#All],4,FALSE)),"Fora do DRE",VLOOKUP(Base_Periodo1[[#This Row],[CONTA]],BaseContasDRE[#All],4,FALSE))</f>
        <v>Fora do DRE</v>
      </c>
      <c r="T4512" s="3" t="str">
        <f>IF(ISERROR(VLOOKUP(Base_Periodo1[[#This Row],[CONTA]],BaseContasDRE[#All],5,FALSE)),"Fora do DRE",VLOOKUP(Base_Periodo1[[#This Row],[CONTA]],BaseContasDRE[#All],6,FALSE))</f>
        <v>Fora do DRE</v>
      </c>
      <c r="U4512" s="3" t="str">
        <f>IF(ISERROR(VLOOKUP(Base_Periodo1[[#This Row],[CONTA]],BaseContasDRE[#All],7,FALSE)),"Fora do DRE",VLOOKUP(Base_Periodo1[[#This Row],[CONTA]],BaseContasDRE[#All],7,FALSE))</f>
        <v>Fora do DRE</v>
      </c>
      <c r="V4512" s="3" t="str">
        <f>IF(Base_Periodo1[[#This Row],[Tipo_Linha]]="Fora do DRE","Fora do DRE","( "&amp;Base_Periodo1[[#This Row],[Tipo_Linha]]&amp;" ) "&amp;Base_Periodo1[[#This Row],[Filtro]])</f>
        <v>Fora do DRE</v>
      </c>
      <c r="W4512" s="3" t="str">
        <f>LEFT(Base_Periodo1[[#This Row],[CLASS]],3)</f>
        <v>2.4</v>
      </c>
    </row>
    <row r="4513" spans="1:23" hidden="1">
      <c r="A4513" s="3" t="str">
        <f t="shared" si="70"/>
        <v>Período 1</v>
      </c>
      <c r="B4513">
        <v>25003</v>
      </c>
      <c r="C4513" t="s">
        <v>2300</v>
      </c>
      <c r="D4513" t="s">
        <v>2480</v>
      </c>
      <c r="E4513" s="3" t="str">
        <f>IF(LEN(Base_Periodo1[[#This Row],[CLASS]])&gt;=7,LEFT(Base_Periodo1[[#This Row],[CLASS]],7),"")</f>
        <v>2.4.1.1</v>
      </c>
      <c r="F4513" s="3" t="str">
        <f>VLOOKUP(Base_Periodo1[[#This Row],[Aux]],Base_Contas_Balanco[#All],2,FALSE)</f>
        <v>Capital Social Realizado</v>
      </c>
      <c r="G4513" s="1"/>
      <c r="H4513" s="225">
        <v>1829.38</v>
      </c>
      <c r="I4513" s="225">
        <v>0</v>
      </c>
      <c r="J4513" s="225">
        <v>0</v>
      </c>
      <c r="K4513" s="225">
        <v>1829.38</v>
      </c>
      <c r="L45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1829.38</v>
      </c>
      <c r="M4513" s="225">
        <f>ROUND(IF(AND(Base_Periodo1[[#This Row],[Tipo_Linha]]="-",Base_Periodo1[[#This Row],[TIPOSALDO]]="D"),Base_Periodo1[[#This Row],[SALDO_ATUAL]]*-1,Base_Periodo1[[#This Row],[SALDO_ATUAL]]),4)</f>
        <v>1829.38</v>
      </c>
      <c r="N4513" t="s">
        <v>116</v>
      </c>
      <c r="O4513" t="s">
        <v>459</v>
      </c>
      <c r="P4513" t="s">
        <v>459</v>
      </c>
      <c r="Q4513">
        <v>6</v>
      </c>
      <c r="R4513" s="225">
        <f>Base_Periodo1[[#This Row],[CREDITOS]]-Base_Periodo1[[#This Row],[DEBITOS]]</f>
        <v>0</v>
      </c>
      <c r="S4513" s="3" t="str">
        <f>IF(ISERROR(VLOOKUP(Base_Periodo1[[#This Row],[CONTA]],BaseContasDRE[#All],4,FALSE)),"Fora do DRE",VLOOKUP(Base_Periodo1[[#This Row],[CONTA]],BaseContasDRE[#All],4,FALSE))</f>
        <v>Fora do DRE</v>
      </c>
      <c r="T4513" s="3" t="str">
        <f>IF(ISERROR(VLOOKUP(Base_Periodo1[[#This Row],[CONTA]],BaseContasDRE[#All],5,FALSE)),"Fora do DRE",VLOOKUP(Base_Periodo1[[#This Row],[CONTA]],BaseContasDRE[#All],6,FALSE))</f>
        <v>Fora do DRE</v>
      </c>
      <c r="U4513" s="3" t="str">
        <f>IF(ISERROR(VLOOKUP(Base_Periodo1[[#This Row],[CONTA]],BaseContasDRE[#All],7,FALSE)),"Fora do DRE",VLOOKUP(Base_Periodo1[[#This Row],[CONTA]],BaseContasDRE[#All],7,FALSE))</f>
        <v>Fora do DRE</v>
      </c>
      <c r="V4513" s="3" t="str">
        <f>IF(Base_Periodo1[[#This Row],[Tipo_Linha]]="Fora do DRE","Fora do DRE","( "&amp;Base_Periodo1[[#This Row],[Tipo_Linha]]&amp;" ) "&amp;Base_Periodo1[[#This Row],[Filtro]])</f>
        <v>Fora do DRE</v>
      </c>
      <c r="W4513" s="3" t="str">
        <f>LEFT(Base_Periodo1[[#This Row],[CLASS]],3)</f>
        <v>2.4</v>
      </c>
    </row>
    <row r="4514" spans="1:23" hidden="1">
      <c r="A4514" s="3" t="str">
        <f t="shared" si="70"/>
        <v>Período 1</v>
      </c>
      <c r="B4514">
        <v>16189</v>
      </c>
      <c r="C4514" t="s">
        <v>2300</v>
      </c>
      <c r="D4514" t="s">
        <v>2481</v>
      </c>
      <c r="E4514" s="3" t="str">
        <f>IF(LEN(Base_Periodo1[[#This Row],[CLASS]])&gt;=7,LEFT(Base_Periodo1[[#This Row],[CLASS]],7),"")</f>
        <v>2.4.1.1</v>
      </c>
      <c r="F4514" s="3" t="str">
        <f>VLOOKUP(Base_Periodo1[[#This Row],[Aux]],Base_Contas_Balanco[#All],2,FALSE)</f>
        <v>Capital Social Realizado</v>
      </c>
      <c r="G4514" s="1"/>
      <c r="H4514" s="225">
        <v>31320.910000000003</v>
      </c>
      <c r="I4514" s="225">
        <v>0</v>
      </c>
      <c r="J4514" s="225">
        <v>0</v>
      </c>
      <c r="K4514" s="225">
        <v>31320.910000000003</v>
      </c>
      <c r="L45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31320.91</v>
      </c>
      <c r="M4514" s="225">
        <f>ROUND(IF(AND(Base_Periodo1[[#This Row],[Tipo_Linha]]="-",Base_Periodo1[[#This Row],[TIPOSALDO]]="D"),Base_Periodo1[[#This Row],[SALDO_ATUAL]]*-1,Base_Periodo1[[#This Row],[SALDO_ATUAL]]),4)</f>
        <v>31320.91</v>
      </c>
      <c r="N4514" t="s">
        <v>116</v>
      </c>
      <c r="O4514" t="s">
        <v>459</v>
      </c>
      <c r="P4514" t="s">
        <v>459</v>
      </c>
      <c r="Q4514">
        <v>6</v>
      </c>
      <c r="R4514" s="225">
        <f>Base_Periodo1[[#This Row],[CREDITOS]]-Base_Periodo1[[#This Row],[DEBITOS]]</f>
        <v>0</v>
      </c>
      <c r="S4514" s="3" t="str">
        <f>IF(ISERROR(VLOOKUP(Base_Periodo1[[#This Row],[CONTA]],BaseContasDRE[#All],4,FALSE)),"Fora do DRE",VLOOKUP(Base_Periodo1[[#This Row],[CONTA]],BaseContasDRE[#All],4,FALSE))</f>
        <v>Fora do DRE</v>
      </c>
      <c r="T4514" s="3" t="str">
        <f>IF(ISERROR(VLOOKUP(Base_Periodo1[[#This Row],[CONTA]],BaseContasDRE[#All],5,FALSE)),"Fora do DRE",VLOOKUP(Base_Periodo1[[#This Row],[CONTA]],BaseContasDRE[#All],6,FALSE))</f>
        <v>Fora do DRE</v>
      </c>
      <c r="U4514" s="3" t="str">
        <f>IF(ISERROR(VLOOKUP(Base_Periodo1[[#This Row],[CONTA]],BaseContasDRE[#All],7,FALSE)),"Fora do DRE",VLOOKUP(Base_Periodo1[[#This Row],[CONTA]],BaseContasDRE[#All],7,FALSE))</f>
        <v>Fora do DRE</v>
      </c>
      <c r="V4514" s="3" t="str">
        <f>IF(Base_Periodo1[[#This Row],[Tipo_Linha]]="Fora do DRE","Fora do DRE","( "&amp;Base_Periodo1[[#This Row],[Tipo_Linha]]&amp;" ) "&amp;Base_Periodo1[[#This Row],[Filtro]])</f>
        <v>Fora do DRE</v>
      </c>
      <c r="W4514" s="3" t="str">
        <f>LEFT(Base_Periodo1[[#This Row],[CLASS]],3)</f>
        <v>2.4</v>
      </c>
    </row>
    <row r="4515" spans="1:23" hidden="1">
      <c r="A4515" s="3" t="str">
        <f t="shared" si="70"/>
        <v>Período 1</v>
      </c>
      <c r="B4515">
        <v>19255</v>
      </c>
      <c r="C4515" t="s">
        <v>2300</v>
      </c>
      <c r="D4515" t="s">
        <v>2482</v>
      </c>
      <c r="E4515" s="3" t="str">
        <f>IF(LEN(Base_Periodo1[[#This Row],[CLASS]])&gt;=7,LEFT(Base_Periodo1[[#This Row],[CLASS]],7),"")</f>
        <v>2.4.1.1</v>
      </c>
      <c r="F4515" s="3" t="str">
        <f>VLOOKUP(Base_Periodo1[[#This Row],[Aux]],Base_Contas_Balanco[#All],2,FALSE)</f>
        <v>Capital Social Realizado</v>
      </c>
      <c r="G4515" s="1"/>
      <c r="H4515" s="225">
        <v>266.51</v>
      </c>
      <c r="I4515" s="225">
        <v>0</v>
      </c>
      <c r="J4515" s="225">
        <v>0</v>
      </c>
      <c r="K4515" s="225">
        <v>266.51</v>
      </c>
      <c r="L45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266.51</v>
      </c>
      <c r="M4515" s="225">
        <f>ROUND(IF(AND(Base_Periodo1[[#This Row],[Tipo_Linha]]="-",Base_Periodo1[[#This Row],[TIPOSALDO]]="D"),Base_Periodo1[[#This Row],[SALDO_ATUAL]]*-1,Base_Periodo1[[#This Row],[SALDO_ATUAL]]),4)</f>
        <v>266.51</v>
      </c>
      <c r="N4515" t="s">
        <v>116</v>
      </c>
      <c r="O4515" t="s">
        <v>459</v>
      </c>
      <c r="P4515" t="s">
        <v>459</v>
      </c>
      <c r="Q4515">
        <v>6</v>
      </c>
      <c r="R4515" s="225">
        <f>Base_Periodo1[[#This Row],[CREDITOS]]-Base_Periodo1[[#This Row],[DEBITOS]]</f>
        <v>0</v>
      </c>
      <c r="S4515" s="3" t="str">
        <f>IF(ISERROR(VLOOKUP(Base_Periodo1[[#This Row],[CONTA]],BaseContasDRE[#All],4,FALSE)),"Fora do DRE",VLOOKUP(Base_Periodo1[[#This Row],[CONTA]],BaseContasDRE[#All],4,FALSE))</f>
        <v>Fora do DRE</v>
      </c>
      <c r="T4515" s="3" t="str">
        <f>IF(ISERROR(VLOOKUP(Base_Periodo1[[#This Row],[CONTA]],BaseContasDRE[#All],5,FALSE)),"Fora do DRE",VLOOKUP(Base_Periodo1[[#This Row],[CONTA]],BaseContasDRE[#All],6,FALSE))</f>
        <v>Fora do DRE</v>
      </c>
      <c r="U4515" s="3" t="str">
        <f>IF(ISERROR(VLOOKUP(Base_Periodo1[[#This Row],[CONTA]],BaseContasDRE[#All],7,FALSE)),"Fora do DRE",VLOOKUP(Base_Periodo1[[#This Row],[CONTA]],BaseContasDRE[#All],7,FALSE))</f>
        <v>Fora do DRE</v>
      </c>
      <c r="V4515" s="3" t="str">
        <f>IF(Base_Periodo1[[#This Row],[Tipo_Linha]]="Fora do DRE","Fora do DRE","( "&amp;Base_Periodo1[[#This Row],[Tipo_Linha]]&amp;" ) "&amp;Base_Periodo1[[#This Row],[Filtro]])</f>
        <v>Fora do DRE</v>
      </c>
      <c r="W4515" s="3" t="str">
        <f>LEFT(Base_Periodo1[[#This Row],[CLASS]],3)</f>
        <v>2.4</v>
      </c>
    </row>
    <row r="4516" spans="1:23" hidden="1">
      <c r="A4516" s="3" t="str">
        <f t="shared" si="70"/>
        <v>Período 1</v>
      </c>
      <c r="B4516">
        <v>19789</v>
      </c>
      <c r="C4516" t="s">
        <v>2300</v>
      </c>
      <c r="D4516" t="s">
        <v>2483</v>
      </c>
      <c r="E4516" s="3" t="str">
        <f>IF(LEN(Base_Periodo1[[#This Row],[CLASS]])&gt;=7,LEFT(Base_Periodo1[[#This Row],[CLASS]],7),"")</f>
        <v>2.4.1.1</v>
      </c>
      <c r="F4516" s="3" t="str">
        <f>VLOOKUP(Base_Periodo1[[#This Row],[Aux]],Base_Contas_Balanco[#All],2,FALSE)</f>
        <v>Capital Social Realizado</v>
      </c>
      <c r="G4516" s="1"/>
      <c r="H4516" s="225">
        <v>50.7</v>
      </c>
      <c r="I4516" s="225">
        <v>0</v>
      </c>
      <c r="J4516" s="225">
        <v>0</v>
      </c>
      <c r="K4516" s="225">
        <v>50.7</v>
      </c>
      <c r="L45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50.7</v>
      </c>
      <c r="M4516" s="225">
        <f>ROUND(IF(AND(Base_Periodo1[[#This Row],[Tipo_Linha]]="-",Base_Periodo1[[#This Row],[TIPOSALDO]]="D"),Base_Periodo1[[#This Row],[SALDO_ATUAL]]*-1,Base_Periodo1[[#This Row],[SALDO_ATUAL]]),4)</f>
        <v>50.7</v>
      </c>
      <c r="N4516" t="s">
        <v>116</v>
      </c>
      <c r="O4516" t="s">
        <v>459</v>
      </c>
      <c r="P4516" t="s">
        <v>459</v>
      </c>
      <c r="Q4516">
        <v>6</v>
      </c>
      <c r="R4516" s="225">
        <f>Base_Periodo1[[#This Row],[CREDITOS]]-Base_Periodo1[[#This Row],[DEBITOS]]</f>
        <v>0</v>
      </c>
      <c r="S4516" s="3" t="str">
        <f>IF(ISERROR(VLOOKUP(Base_Periodo1[[#This Row],[CONTA]],BaseContasDRE[#All],4,FALSE)),"Fora do DRE",VLOOKUP(Base_Periodo1[[#This Row],[CONTA]],BaseContasDRE[#All],4,FALSE))</f>
        <v>Fora do DRE</v>
      </c>
      <c r="T4516" s="3" t="str">
        <f>IF(ISERROR(VLOOKUP(Base_Periodo1[[#This Row],[CONTA]],BaseContasDRE[#All],5,FALSE)),"Fora do DRE",VLOOKUP(Base_Periodo1[[#This Row],[CONTA]],BaseContasDRE[#All],6,FALSE))</f>
        <v>Fora do DRE</v>
      </c>
      <c r="U4516" s="3" t="str">
        <f>IF(ISERROR(VLOOKUP(Base_Periodo1[[#This Row],[CONTA]],BaseContasDRE[#All],7,FALSE)),"Fora do DRE",VLOOKUP(Base_Periodo1[[#This Row],[CONTA]],BaseContasDRE[#All],7,FALSE))</f>
        <v>Fora do DRE</v>
      </c>
      <c r="V4516" s="3" t="str">
        <f>IF(Base_Periodo1[[#This Row],[Tipo_Linha]]="Fora do DRE","Fora do DRE","( "&amp;Base_Periodo1[[#This Row],[Tipo_Linha]]&amp;" ) "&amp;Base_Periodo1[[#This Row],[Filtro]])</f>
        <v>Fora do DRE</v>
      </c>
      <c r="W4516" s="3" t="str">
        <f>LEFT(Base_Periodo1[[#This Row],[CLASS]],3)</f>
        <v>2.4</v>
      </c>
    </row>
    <row r="4517" spans="1:23" hidden="1">
      <c r="A4517" s="3" t="str">
        <f t="shared" si="70"/>
        <v>Período 1</v>
      </c>
      <c r="B4517">
        <v>32778</v>
      </c>
      <c r="C4517" t="s">
        <v>2300</v>
      </c>
      <c r="D4517" t="s">
        <v>2484</v>
      </c>
      <c r="E4517" s="3" t="str">
        <f>IF(LEN(Base_Periodo1[[#This Row],[CLASS]])&gt;=7,LEFT(Base_Periodo1[[#This Row],[CLASS]],7),"")</f>
        <v>2.4.1.1</v>
      </c>
      <c r="F4517" s="3" t="str">
        <f>VLOOKUP(Base_Periodo1[[#This Row],[Aux]],Base_Contas_Balanco[#All],2,FALSE)</f>
        <v>Capital Social Realizado</v>
      </c>
      <c r="G4517" s="1"/>
      <c r="H4517" s="225">
        <v>50</v>
      </c>
      <c r="I4517" s="225">
        <v>0</v>
      </c>
      <c r="J4517" s="225">
        <v>0</v>
      </c>
      <c r="K4517" s="225">
        <v>50</v>
      </c>
      <c r="L45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17" s="225">
        <f>ROUND(IF(AND(Base_Periodo1[[#This Row],[Tipo_Linha]]="-",Base_Periodo1[[#This Row],[TIPOSALDO]]="D"),Base_Periodo1[[#This Row],[SALDO_ATUAL]]*-1,Base_Periodo1[[#This Row],[SALDO_ATUAL]]),4)</f>
        <v>50</v>
      </c>
      <c r="N4517" t="s">
        <v>116</v>
      </c>
      <c r="O4517" t="s">
        <v>459</v>
      </c>
      <c r="P4517" t="s">
        <v>459</v>
      </c>
      <c r="Q4517">
        <v>6</v>
      </c>
      <c r="R4517" s="225">
        <f>Base_Periodo1[[#This Row],[CREDITOS]]-Base_Periodo1[[#This Row],[DEBITOS]]</f>
        <v>0</v>
      </c>
      <c r="S4517" s="3" t="str">
        <f>IF(ISERROR(VLOOKUP(Base_Periodo1[[#This Row],[CONTA]],BaseContasDRE[#All],4,FALSE)),"Fora do DRE",VLOOKUP(Base_Periodo1[[#This Row],[CONTA]],BaseContasDRE[#All],4,FALSE))</f>
        <v>Fora do DRE</v>
      </c>
      <c r="T4517" s="3" t="str">
        <f>IF(ISERROR(VLOOKUP(Base_Periodo1[[#This Row],[CONTA]],BaseContasDRE[#All],5,FALSE)),"Fora do DRE",VLOOKUP(Base_Periodo1[[#This Row],[CONTA]],BaseContasDRE[#All],6,FALSE))</f>
        <v>Fora do DRE</v>
      </c>
      <c r="U4517" s="3" t="str">
        <f>IF(ISERROR(VLOOKUP(Base_Periodo1[[#This Row],[CONTA]],BaseContasDRE[#All],7,FALSE)),"Fora do DRE",VLOOKUP(Base_Periodo1[[#This Row],[CONTA]],BaseContasDRE[#All],7,FALSE))</f>
        <v>Fora do DRE</v>
      </c>
      <c r="V4517" s="3" t="str">
        <f>IF(Base_Periodo1[[#This Row],[Tipo_Linha]]="Fora do DRE","Fora do DRE","( "&amp;Base_Periodo1[[#This Row],[Tipo_Linha]]&amp;" ) "&amp;Base_Periodo1[[#This Row],[Filtro]])</f>
        <v>Fora do DRE</v>
      </c>
      <c r="W4517" s="3" t="str">
        <f>LEFT(Base_Periodo1[[#This Row],[CLASS]],3)</f>
        <v>2.4</v>
      </c>
    </row>
    <row r="4518" spans="1:23" hidden="1">
      <c r="A4518" s="3" t="str">
        <f t="shared" si="70"/>
        <v>Período 1</v>
      </c>
      <c r="B4518">
        <v>16277</v>
      </c>
      <c r="C4518" t="s">
        <v>2300</v>
      </c>
      <c r="D4518" t="s">
        <v>2485</v>
      </c>
      <c r="E4518" s="3" t="str">
        <f>IF(LEN(Base_Periodo1[[#This Row],[CLASS]])&gt;=7,LEFT(Base_Periodo1[[#This Row],[CLASS]],7),"")</f>
        <v>2.4.1.1</v>
      </c>
      <c r="F4518" s="3" t="str">
        <f>VLOOKUP(Base_Periodo1[[#This Row],[Aux]],Base_Contas_Balanco[#All],2,FALSE)</f>
        <v>Capital Social Realizado</v>
      </c>
      <c r="G4518" s="1"/>
      <c r="H4518" s="225">
        <v>241.05</v>
      </c>
      <c r="I4518" s="225">
        <v>0</v>
      </c>
      <c r="J4518" s="225">
        <v>0</v>
      </c>
      <c r="K4518" s="225">
        <v>241.05</v>
      </c>
      <c r="L45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241.05</v>
      </c>
      <c r="M4518" s="225">
        <f>ROUND(IF(AND(Base_Periodo1[[#This Row],[Tipo_Linha]]="-",Base_Periodo1[[#This Row],[TIPOSALDO]]="D"),Base_Periodo1[[#This Row],[SALDO_ATUAL]]*-1,Base_Periodo1[[#This Row],[SALDO_ATUAL]]),4)</f>
        <v>241.05</v>
      </c>
      <c r="N4518" t="s">
        <v>116</v>
      </c>
      <c r="O4518" t="s">
        <v>459</v>
      </c>
      <c r="P4518" t="s">
        <v>459</v>
      </c>
      <c r="Q4518">
        <v>6</v>
      </c>
      <c r="R4518" s="225">
        <f>Base_Periodo1[[#This Row],[CREDITOS]]-Base_Periodo1[[#This Row],[DEBITOS]]</f>
        <v>0</v>
      </c>
      <c r="S4518" s="3" t="str">
        <f>IF(ISERROR(VLOOKUP(Base_Periodo1[[#This Row],[CONTA]],BaseContasDRE[#All],4,FALSE)),"Fora do DRE",VLOOKUP(Base_Periodo1[[#This Row],[CONTA]],BaseContasDRE[#All],4,FALSE))</f>
        <v>Fora do DRE</v>
      </c>
      <c r="T4518" s="3" t="str">
        <f>IF(ISERROR(VLOOKUP(Base_Periodo1[[#This Row],[CONTA]],BaseContasDRE[#All],5,FALSE)),"Fora do DRE",VLOOKUP(Base_Periodo1[[#This Row],[CONTA]],BaseContasDRE[#All],6,FALSE))</f>
        <v>Fora do DRE</v>
      </c>
      <c r="U4518" s="3" t="str">
        <f>IF(ISERROR(VLOOKUP(Base_Periodo1[[#This Row],[CONTA]],BaseContasDRE[#All],7,FALSE)),"Fora do DRE",VLOOKUP(Base_Periodo1[[#This Row],[CONTA]],BaseContasDRE[#All],7,FALSE))</f>
        <v>Fora do DRE</v>
      </c>
      <c r="V4518" s="3" t="str">
        <f>IF(Base_Periodo1[[#This Row],[Tipo_Linha]]="Fora do DRE","Fora do DRE","( "&amp;Base_Periodo1[[#This Row],[Tipo_Linha]]&amp;" ) "&amp;Base_Periodo1[[#This Row],[Filtro]])</f>
        <v>Fora do DRE</v>
      </c>
      <c r="W4518" s="3" t="str">
        <f>LEFT(Base_Periodo1[[#This Row],[CLASS]],3)</f>
        <v>2.4</v>
      </c>
    </row>
    <row r="4519" spans="1:23" hidden="1">
      <c r="A4519" s="3" t="str">
        <f t="shared" si="70"/>
        <v>Período 1</v>
      </c>
      <c r="B4519">
        <v>19307</v>
      </c>
      <c r="C4519" t="s">
        <v>2300</v>
      </c>
      <c r="D4519" t="s">
        <v>2486</v>
      </c>
      <c r="E4519" s="3" t="str">
        <f>IF(LEN(Base_Periodo1[[#This Row],[CLASS]])&gt;=7,LEFT(Base_Periodo1[[#This Row],[CLASS]],7),"")</f>
        <v>2.4.1.1</v>
      </c>
      <c r="F4519" s="3" t="str">
        <f>VLOOKUP(Base_Periodo1[[#This Row],[Aux]],Base_Contas_Balanco[#All],2,FALSE)</f>
        <v>Capital Social Realizado</v>
      </c>
      <c r="G4519" s="1"/>
      <c r="H4519" s="225">
        <v>284.77</v>
      </c>
      <c r="I4519" s="225">
        <v>0</v>
      </c>
      <c r="J4519" s="225">
        <v>0</v>
      </c>
      <c r="K4519" s="225">
        <v>284.77</v>
      </c>
      <c r="L45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284.77</v>
      </c>
      <c r="M4519" s="225">
        <f>ROUND(IF(AND(Base_Periodo1[[#This Row],[Tipo_Linha]]="-",Base_Periodo1[[#This Row],[TIPOSALDO]]="D"),Base_Periodo1[[#This Row],[SALDO_ATUAL]]*-1,Base_Periodo1[[#This Row],[SALDO_ATUAL]]),4)</f>
        <v>284.77</v>
      </c>
      <c r="N4519" t="s">
        <v>116</v>
      </c>
      <c r="O4519" t="s">
        <v>459</v>
      </c>
      <c r="P4519" t="s">
        <v>459</v>
      </c>
      <c r="Q4519">
        <v>6</v>
      </c>
      <c r="R4519" s="225">
        <f>Base_Periodo1[[#This Row],[CREDITOS]]-Base_Periodo1[[#This Row],[DEBITOS]]</f>
        <v>0</v>
      </c>
      <c r="S4519" s="3" t="str">
        <f>IF(ISERROR(VLOOKUP(Base_Periodo1[[#This Row],[CONTA]],BaseContasDRE[#All],4,FALSE)),"Fora do DRE",VLOOKUP(Base_Periodo1[[#This Row],[CONTA]],BaseContasDRE[#All],4,FALSE))</f>
        <v>Fora do DRE</v>
      </c>
      <c r="T4519" s="3" t="str">
        <f>IF(ISERROR(VLOOKUP(Base_Periodo1[[#This Row],[CONTA]],BaseContasDRE[#All],5,FALSE)),"Fora do DRE",VLOOKUP(Base_Periodo1[[#This Row],[CONTA]],BaseContasDRE[#All],6,FALSE))</f>
        <v>Fora do DRE</v>
      </c>
      <c r="U4519" s="3" t="str">
        <f>IF(ISERROR(VLOOKUP(Base_Periodo1[[#This Row],[CONTA]],BaseContasDRE[#All],7,FALSE)),"Fora do DRE",VLOOKUP(Base_Periodo1[[#This Row],[CONTA]],BaseContasDRE[#All],7,FALSE))</f>
        <v>Fora do DRE</v>
      </c>
      <c r="V4519" s="3" t="str">
        <f>IF(Base_Periodo1[[#This Row],[Tipo_Linha]]="Fora do DRE","Fora do DRE","( "&amp;Base_Periodo1[[#This Row],[Tipo_Linha]]&amp;" ) "&amp;Base_Periodo1[[#This Row],[Filtro]])</f>
        <v>Fora do DRE</v>
      </c>
      <c r="W4519" s="3" t="str">
        <f>LEFT(Base_Periodo1[[#This Row],[CLASS]],3)</f>
        <v>2.4</v>
      </c>
    </row>
    <row r="4520" spans="1:23" hidden="1">
      <c r="A4520" s="3" t="str">
        <f t="shared" si="70"/>
        <v>Período 1</v>
      </c>
      <c r="B4520">
        <v>36133</v>
      </c>
      <c r="C4520" t="s">
        <v>2300</v>
      </c>
      <c r="D4520" t="s">
        <v>2487</v>
      </c>
      <c r="E4520" s="3" t="str">
        <f>IF(LEN(Base_Periodo1[[#This Row],[CLASS]])&gt;=7,LEFT(Base_Periodo1[[#This Row],[CLASS]],7),"")</f>
        <v>2.4.1.1</v>
      </c>
      <c r="F4520" s="3" t="str">
        <f>VLOOKUP(Base_Periodo1[[#This Row],[Aux]],Base_Contas_Balanco[#All],2,FALSE)</f>
        <v>Capital Social Realizado</v>
      </c>
      <c r="G4520" s="1"/>
      <c r="H4520" s="225">
        <v>163.81</v>
      </c>
      <c r="I4520" s="225">
        <v>0</v>
      </c>
      <c r="J4520" s="225">
        <v>0</v>
      </c>
      <c r="K4520" s="225">
        <v>163.81</v>
      </c>
      <c r="L45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163.81</v>
      </c>
      <c r="M4520" s="225">
        <f>ROUND(IF(AND(Base_Periodo1[[#This Row],[Tipo_Linha]]="-",Base_Periodo1[[#This Row],[TIPOSALDO]]="D"),Base_Periodo1[[#This Row],[SALDO_ATUAL]]*-1,Base_Periodo1[[#This Row],[SALDO_ATUAL]]),4)</f>
        <v>163.81</v>
      </c>
      <c r="N4520" t="s">
        <v>116</v>
      </c>
      <c r="O4520" t="s">
        <v>459</v>
      </c>
      <c r="P4520" t="s">
        <v>459</v>
      </c>
      <c r="Q4520">
        <v>6</v>
      </c>
      <c r="R4520" s="225">
        <f>Base_Periodo1[[#This Row],[CREDITOS]]-Base_Periodo1[[#This Row],[DEBITOS]]</f>
        <v>0</v>
      </c>
      <c r="S4520" s="3" t="str">
        <f>IF(ISERROR(VLOOKUP(Base_Periodo1[[#This Row],[CONTA]],BaseContasDRE[#All],4,FALSE)),"Fora do DRE",VLOOKUP(Base_Periodo1[[#This Row],[CONTA]],BaseContasDRE[#All],4,FALSE))</f>
        <v>Fora do DRE</v>
      </c>
      <c r="T4520" s="3" t="str">
        <f>IF(ISERROR(VLOOKUP(Base_Periodo1[[#This Row],[CONTA]],BaseContasDRE[#All],5,FALSE)),"Fora do DRE",VLOOKUP(Base_Periodo1[[#This Row],[CONTA]],BaseContasDRE[#All],6,FALSE))</f>
        <v>Fora do DRE</v>
      </c>
      <c r="U4520" s="3" t="str">
        <f>IF(ISERROR(VLOOKUP(Base_Periodo1[[#This Row],[CONTA]],BaseContasDRE[#All],7,FALSE)),"Fora do DRE",VLOOKUP(Base_Periodo1[[#This Row],[CONTA]],BaseContasDRE[#All],7,FALSE))</f>
        <v>Fora do DRE</v>
      </c>
      <c r="V4520" s="3" t="str">
        <f>IF(Base_Periodo1[[#This Row],[Tipo_Linha]]="Fora do DRE","Fora do DRE","( "&amp;Base_Periodo1[[#This Row],[Tipo_Linha]]&amp;" ) "&amp;Base_Periodo1[[#This Row],[Filtro]])</f>
        <v>Fora do DRE</v>
      </c>
      <c r="W4520" s="3" t="str">
        <f>LEFT(Base_Periodo1[[#This Row],[CLASS]],3)</f>
        <v>2.4</v>
      </c>
    </row>
    <row r="4521" spans="1:23" hidden="1">
      <c r="A4521" s="3" t="str">
        <f t="shared" si="70"/>
        <v>Período 1</v>
      </c>
      <c r="B4521">
        <v>16158</v>
      </c>
      <c r="C4521" t="s">
        <v>2300</v>
      </c>
      <c r="D4521" t="s">
        <v>2488</v>
      </c>
      <c r="E4521" s="3" t="str">
        <f>IF(LEN(Base_Periodo1[[#This Row],[CLASS]])&gt;=7,LEFT(Base_Periodo1[[#This Row],[CLASS]],7),"")</f>
        <v>2.4.1.1</v>
      </c>
      <c r="F4521" s="3" t="str">
        <f>VLOOKUP(Base_Periodo1[[#This Row],[Aux]],Base_Contas_Balanco[#All],2,FALSE)</f>
        <v>Capital Social Realizado</v>
      </c>
      <c r="G4521" s="1"/>
      <c r="H4521" s="225">
        <v>5743.38</v>
      </c>
      <c r="I4521" s="225">
        <v>0</v>
      </c>
      <c r="J4521" s="225">
        <v>0</v>
      </c>
      <c r="K4521" s="225">
        <v>5743.38</v>
      </c>
      <c r="L45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5743.38</v>
      </c>
      <c r="M4521" s="225">
        <f>ROUND(IF(AND(Base_Periodo1[[#This Row],[Tipo_Linha]]="-",Base_Periodo1[[#This Row],[TIPOSALDO]]="D"),Base_Periodo1[[#This Row],[SALDO_ATUAL]]*-1,Base_Periodo1[[#This Row],[SALDO_ATUAL]]),4)</f>
        <v>5743.38</v>
      </c>
      <c r="N4521" t="s">
        <v>116</v>
      </c>
      <c r="O4521" t="s">
        <v>459</v>
      </c>
      <c r="P4521" t="s">
        <v>459</v>
      </c>
      <c r="Q4521">
        <v>6</v>
      </c>
      <c r="R4521" s="225">
        <f>Base_Periodo1[[#This Row],[CREDITOS]]-Base_Periodo1[[#This Row],[DEBITOS]]</f>
        <v>0</v>
      </c>
      <c r="S4521" s="3" t="str">
        <f>IF(ISERROR(VLOOKUP(Base_Periodo1[[#This Row],[CONTA]],BaseContasDRE[#All],4,FALSE)),"Fora do DRE",VLOOKUP(Base_Periodo1[[#This Row],[CONTA]],BaseContasDRE[#All],4,FALSE))</f>
        <v>Fora do DRE</v>
      </c>
      <c r="T4521" s="3" t="str">
        <f>IF(ISERROR(VLOOKUP(Base_Periodo1[[#This Row],[CONTA]],BaseContasDRE[#All],5,FALSE)),"Fora do DRE",VLOOKUP(Base_Periodo1[[#This Row],[CONTA]],BaseContasDRE[#All],6,FALSE))</f>
        <v>Fora do DRE</v>
      </c>
      <c r="U4521" s="3" t="str">
        <f>IF(ISERROR(VLOOKUP(Base_Periodo1[[#This Row],[CONTA]],BaseContasDRE[#All],7,FALSE)),"Fora do DRE",VLOOKUP(Base_Periodo1[[#This Row],[CONTA]],BaseContasDRE[#All],7,FALSE))</f>
        <v>Fora do DRE</v>
      </c>
      <c r="V4521" s="3" t="str">
        <f>IF(Base_Periodo1[[#This Row],[Tipo_Linha]]="Fora do DRE","Fora do DRE","( "&amp;Base_Periodo1[[#This Row],[Tipo_Linha]]&amp;" ) "&amp;Base_Periodo1[[#This Row],[Filtro]])</f>
        <v>Fora do DRE</v>
      </c>
      <c r="W4521" s="3" t="str">
        <f>LEFT(Base_Periodo1[[#This Row],[CLASS]],3)</f>
        <v>2.4</v>
      </c>
    </row>
    <row r="4522" spans="1:23" hidden="1">
      <c r="A4522" s="3" t="str">
        <f t="shared" si="70"/>
        <v>Período 1</v>
      </c>
      <c r="B4522">
        <v>54571</v>
      </c>
      <c r="C4522" t="s">
        <v>2300</v>
      </c>
      <c r="D4522" t="s">
        <v>5241</v>
      </c>
      <c r="E4522" s="3" t="str">
        <f>IF(LEN(Base_Periodo1[[#This Row],[CLASS]])&gt;=7,LEFT(Base_Periodo1[[#This Row],[CLASS]],7),"")</f>
        <v>2.4.1.1</v>
      </c>
      <c r="F4522" s="3" t="str">
        <f>VLOOKUP(Base_Periodo1[[#This Row],[Aux]],Base_Contas_Balanco[#All],2,FALSE)</f>
        <v>Capital Social Realizado</v>
      </c>
      <c r="G4522" s="1"/>
      <c r="H4522" s="225">
        <v>50</v>
      </c>
      <c r="I4522" s="225">
        <v>0</v>
      </c>
      <c r="J4522" s="225">
        <v>0</v>
      </c>
      <c r="K4522" s="225">
        <v>50</v>
      </c>
      <c r="L45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22" s="225">
        <f>ROUND(IF(AND(Base_Periodo1[[#This Row],[Tipo_Linha]]="-",Base_Periodo1[[#This Row],[TIPOSALDO]]="D"),Base_Periodo1[[#This Row],[SALDO_ATUAL]]*-1,Base_Periodo1[[#This Row],[SALDO_ATUAL]]),4)</f>
        <v>50</v>
      </c>
      <c r="N4522" t="s">
        <v>116</v>
      </c>
      <c r="O4522" t="s">
        <v>459</v>
      </c>
      <c r="P4522" t="s">
        <v>459</v>
      </c>
      <c r="Q4522">
        <v>6</v>
      </c>
      <c r="R4522" s="225">
        <f>Base_Periodo1[[#This Row],[CREDITOS]]-Base_Periodo1[[#This Row],[DEBITOS]]</f>
        <v>0</v>
      </c>
      <c r="S4522" s="3" t="str">
        <f>IF(ISERROR(VLOOKUP(Base_Periodo1[[#This Row],[CONTA]],BaseContasDRE[#All],4,FALSE)),"Fora do DRE",VLOOKUP(Base_Periodo1[[#This Row],[CONTA]],BaseContasDRE[#All],4,FALSE))</f>
        <v>Fora do DRE</v>
      </c>
      <c r="T4522" s="3" t="str">
        <f>IF(ISERROR(VLOOKUP(Base_Periodo1[[#This Row],[CONTA]],BaseContasDRE[#All],5,FALSE)),"Fora do DRE",VLOOKUP(Base_Periodo1[[#This Row],[CONTA]],BaseContasDRE[#All],6,FALSE))</f>
        <v>Fora do DRE</v>
      </c>
      <c r="U4522" s="3" t="str">
        <f>IF(ISERROR(VLOOKUP(Base_Periodo1[[#This Row],[CONTA]],BaseContasDRE[#All],7,FALSE)),"Fora do DRE",VLOOKUP(Base_Periodo1[[#This Row],[CONTA]],BaseContasDRE[#All],7,FALSE))</f>
        <v>Fora do DRE</v>
      </c>
      <c r="V4522" s="3" t="str">
        <f>IF(Base_Periodo1[[#This Row],[Tipo_Linha]]="Fora do DRE","Fora do DRE","( "&amp;Base_Periodo1[[#This Row],[Tipo_Linha]]&amp;" ) "&amp;Base_Periodo1[[#This Row],[Filtro]])</f>
        <v>Fora do DRE</v>
      </c>
      <c r="W4522" s="3" t="str">
        <f>LEFT(Base_Periodo1[[#This Row],[CLASS]],3)</f>
        <v>2.4</v>
      </c>
    </row>
    <row r="4523" spans="1:23" hidden="1">
      <c r="A4523" s="3" t="str">
        <f t="shared" si="70"/>
        <v>Período 1</v>
      </c>
      <c r="B4523">
        <v>25225</v>
      </c>
      <c r="C4523" t="s">
        <v>2300</v>
      </c>
      <c r="D4523" t="s">
        <v>2489</v>
      </c>
      <c r="E4523" s="3" t="str">
        <f>IF(LEN(Base_Periodo1[[#This Row],[CLASS]])&gt;=7,LEFT(Base_Periodo1[[#This Row],[CLASS]],7),"")</f>
        <v>2.4.1.1</v>
      </c>
      <c r="F4523" s="3" t="str">
        <f>VLOOKUP(Base_Periodo1[[#This Row],[Aux]],Base_Contas_Balanco[#All],2,FALSE)</f>
        <v>Capital Social Realizado</v>
      </c>
      <c r="G4523" s="1"/>
      <c r="H4523" s="225">
        <v>128.17000000000002</v>
      </c>
      <c r="I4523" s="225">
        <v>0</v>
      </c>
      <c r="J4523" s="225">
        <v>0</v>
      </c>
      <c r="K4523" s="225">
        <v>128.17000000000002</v>
      </c>
      <c r="L45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128.16999999999999</v>
      </c>
      <c r="M4523" s="225">
        <f>ROUND(IF(AND(Base_Periodo1[[#This Row],[Tipo_Linha]]="-",Base_Periodo1[[#This Row],[TIPOSALDO]]="D"),Base_Periodo1[[#This Row],[SALDO_ATUAL]]*-1,Base_Periodo1[[#This Row],[SALDO_ATUAL]]),4)</f>
        <v>128.16999999999999</v>
      </c>
      <c r="N4523" t="s">
        <v>116</v>
      </c>
      <c r="O4523" t="s">
        <v>459</v>
      </c>
      <c r="P4523" t="s">
        <v>459</v>
      </c>
      <c r="Q4523">
        <v>6</v>
      </c>
      <c r="R4523" s="225">
        <f>Base_Periodo1[[#This Row],[CREDITOS]]-Base_Periodo1[[#This Row],[DEBITOS]]</f>
        <v>0</v>
      </c>
      <c r="S4523" s="3" t="str">
        <f>IF(ISERROR(VLOOKUP(Base_Periodo1[[#This Row],[CONTA]],BaseContasDRE[#All],4,FALSE)),"Fora do DRE",VLOOKUP(Base_Periodo1[[#This Row],[CONTA]],BaseContasDRE[#All],4,FALSE))</f>
        <v>Fora do DRE</v>
      </c>
      <c r="T4523" s="3" t="str">
        <f>IF(ISERROR(VLOOKUP(Base_Periodo1[[#This Row],[CONTA]],BaseContasDRE[#All],5,FALSE)),"Fora do DRE",VLOOKUP(Base_Periodo1[[#This Row],[CONTA]],BaseContasDRE[#All],6,FALSE))</f>
        <v>Fora do DRE</v>
      </c>
      <c r="U4523" s="3" t="str">
        <f>IF(ISERROR(VLOOKUP(Base_Periodo1[[#This Row],[CONTA]],BaseContasDRE[#All],7,FALSE)),"Fora do DRE",VLOOKUP(Base_Periodo1[[#This Row],[CONTA]],BaseContasDRE[#All],7,FALSE))</f>
        <v>Fora do DRE</v>
      </c>
      <c r="V4523" s="3" t="str">
        <f>IF(Base_Periodo1[[#This Row],[Tipo_Linha]]="Fora do DRE","Fora do DRE","( "&amp;Base_Periodo1[[#This Row],[Tipo_Linha]]&amp;" ) "&amp;Base_Periodo1[[#This Row],[Filtro]])</f>
        <v>Fora do DRE</v>
      </c>
      <c r="W4523" s="3" t="str">
        <f>LEFT(Base_Periodo1[[#This Row],[CLASS]],3)</f>
        <v>2.4</v>
      </c>
    </row>
    <row r="4524" spans="1:23" hidden="1">
      <c r="A4524" s="3" t="str">
        <f t="shared" si="70"/>
        <v>Período 1</v>
      </c>
      <c r="B4524">
        <v>54151</v>
      </c>
      <c r="C4524" t="s">
        <v>2300</v>
      </c>
      <c r="D4524" t="s">
        <v>5091</v>
      </c>
      <c r="E4524" s="3" t="str">
        <f>IF(LEN(Base_Periodo1[[#This Row],[CLASS]])&gt;=7,LEFT(Base_Periodo1[[#This Row],[CLASS]],7),"")</f>
        <v>2.4.1.1</v>
      </c>
      <c r="F4524" s="3" t="str">
        <f>VLOOKUP(Base_Periodo1[[#This Row],[Aux]],Base_Contas_Balanco[#All],2,FALSE)</f>
        <v>Capital Social Realizado</v>
      </c>
      <c r="G4524" s="1"/>
      <c r="H4524" s="225">
        <v>50</v>
      </c>
      <c r="I4524" s="225">
        <v>0</v>
      </c>
      <c r="J4524" s="225">
        <v>0</v>
      </c>
      <c r="K4524" s="225">
        <v>50</v>
      </c>
      <c r="L45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24" s="225">
        <f>ROUND(IF(AND(Base_Periodo1[[#This Row],[Tipo_Linha]]="-",Base_Periodo1[[#This Row],[TIPOSALDO]]="D"),Base_Periodo1[[#This Row],[SALDO_ATUAL]]*-1,Base_Periodo1[[#This Row],[SALDO_ATUAL]]),4)</f>
        <v>50</v>
      </c>
      <c r="N4524" t="s">
        <v>116</v>
      </c>
      <c r="O4524" t="s">
        <v>459</v>
      </c>
      <c r="P4524" t="s">
        <v>459</v>
      </c>
      <c r="Q4524">
        <v>6</v>
      </c>
      <c r="R4524" s="225">
        <f>Base_Periodo1[[#This Row],[CREDITOS]]-Base_Periodo1[[#This Row],[DEBITOS]]</f>
        <v>0</v>
      </c>
      <c r="S4524" s="3" t="str">
        <f>IF(ISERROR(VLOOKUP(Base_Periodo1[[#This Row],[CONTA]],BaseContasDRE[#All],4,FALSE)),"Fora do DRE",VLOOKUP(Base_Periodo1[[#This Row],[CONTA]],BaseContasDRE[#All],4,FALSE))</f>
        <v>Fora do DRE</v>
      </c>
      <c r="T4524" s="3" t="str">
        <f>IF(ISERROR(VLOOKUP(Base_Periodo1[[#This Row],[CONTA]],BaseContasDRE[#All],5,FALSE)),"Fora do DRE",VLOOKUP(Base_Periodo1[[#This Row],[CONTA]],BaseContasDRE[#All],6,FALSE))</f>
        <v>Fora do DRE</v>
      </c>
      <c r="U4524" s="3" t="str">
        <f>IF(ISERROR(VLOOKUP(Base_Periodo1[[#This Row],[CONTA]],BaseContasDRE[#All],7,FALSE)),"Fora do DRE",VLOOKUP(Base_Periodo1[[#This Row],[CONTA]],BaseContasDRE[#All],7,FALSE))</f>
        <v>Fora do DRE</v>
      </c>
      <c r="V4524" s="3" t="str">
        <f>IF(Base_Periodo1[[#This Row],[Tipo_Linha]]="Fora do DRE","Fora do DRE","( "&amp;Base_Periodo1[[#This Row],[Tipo_Linha]]&amp;" ) "&amp;Base_Periodo1[[#This Row],[Filtro]])</f>
        <v>Fora do DRE</v>
      </c>
      <c r="W4524" s="3" t="str">
        <f>LEFT(Base_Periodo1[[#This Row],[CLASS]],3)</f>
        <v>2.4</v>
      </c>
    </row>
    <row r="4525" spans="1:23" hidden="1">
      <c r="A4525" s="3" t="str">
        <f t="shared" si="70"/>
        <v>Período 1</v>
      </c>
      <c r="B4525">
        <v>17176</v>
      </c>
      <c r="C4525" t="s">
        <v>2300</v>
      </c>
      <c r="D4525" t="s">
        <v>2490</v>
      </c>
      <c r="E4525" s="3" t="str">
        <f>IF(LEN(Base_Periodo1[[#This Row],[CLASS]])&gt;=7,LEFT(Base_Periodo1[[#This Row],[CLASS]],7),"")</f>
        <v>2.4.1.1</v>
      </c>
      <c r="F4525" s="3" t="str">
        <f>VLOOKUP(Base_Periodo1[[#This Row],[Aux]],Base_Contas_Balanco[#All],2,FALSE)</f>
        <v>Capital Social Realizado</v>
      </c>
      <c r="G4525" s="1"/>
      <c r="H4525" s="225">
        <v>75.2</v>
      </c>
      <c r="I4525" s="225">
        <v>0</v>
      </c>
      <c r="J4525" s="225">
        <v>0</v>
      </c>
      <c r="K4525" s="225">
        <v>75.2</v>
      </c>
      <c r="L45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75.2</v>
      </c>
      <c r="M4525" s="225">
        <f>ROUND(IF(AND(Base_Periodo1[[#This Row],[Tipo_Linha]]="-",Base_Periodo1[[#This Row],[TIPOSALDO]]="D"),Base_Periodo1[[#This Row],[SALDO_ATUAL]]*-1,Base_Periodo1[[#This Row],[SALDO_ATUAL]]),4)</f>
        <v>75.2</v>
      </c>
      <c r="N4525" t="s">
        <v>116</v>
      </c>
      <c r="O4525" t="s">
        <v>459</v>
      </c>
      <c r="P4525" t="s">
        <v>459</v>
      </c>
      <c r="Q4525">
        <v>6</v>
      </c>
      <c r="R4525" s="225">
        <f>Base_Periodo1[[#This Row],[CREDITOS]]-Base_Periodo1[[#This Row],[DEBITOS]]</f>
        <v>0</v>
      </c>
      <c r="S4525" s="3" t="str">
        <f>IF(ISERROR(VLOOKUP(Base_Periodo1[[#This Row],[CONTA]],BaseContasDRE[#All],4,FALSE)),"Fora do DRE",VLOOKUP(Base_Periodo1[[#This Row],[CONTA]],BaseContasDRE[#All],4,FALSE))</f>
        <v>Fora do DRE</v>
      </c>
      <c r="T4525" s="3" t="str">
        <f>IF(ISERROR(VLOOKUP(Base_Periodo1[[#This Row],[CONTA]],BaseContasDRE[#All],5,FALSE)),"Fora do DRE",VLOOKUP(Base_Periodo1[[#This Row],[CONTA]],BaseContasDRE[#All],6,FALSE))</f>
        <v>Fora do DRE</v>
      </c>
      <c r="U4525" s="3" t="str">
        <f>IF(ISERROR(VLOOKUP(Base_Periodo1[[#This Row],[CONTA]],BaseContasDRE[#All],7,FALSE)),"Fora do DRE",VLOOKUP(Base_Periodo1[[#This Row],[CONTA]],BaseContasDRE[#All],7,FALSE))</f>
        <v>Fora do DRE</v>
      </c>
      <c r="V4525" s="3" t="str">
        <f>IF(Base_Periodo1[[#This Row],[Tipo_Linha]]="Fora do DRE","Fora do DRE","( "&amp;Base_Periodo1[[#This Row],[Tipo_Linha]]&amp;" ) "&amp;Base_Periodo1[[#This Row],[Filtro]])</f>
        <v>Fora do DRE</v>
      </c>
      <c r="W4525" s="3" t="str">
        <f>LEFT(Base_Periodo1[[#This Row],[CLASS]],3)</f>
        <v>2.4</v>
      </c>
    </row>
    <row r="4526" spans="1:23" hidden="1">
      <c r="A4526" s="3" t="str">
        <f t="shared" si="70"/>
        <v>Período 1</v>
      </c>
      <c r="B4526">
        <v>17168</v>
      </c>
      <c r="C4526" t="s">
        <v>2300</v>
      </c>
      <c r="D4526" t="s">
        <v>2491</v>
      </c>
      <c r="E4526" s="3" t="str">
        <f>IF(LEN(Base_Periodo1[[#This Row],[CLASS]])&gt;=7,LEFT(Base_Periodo1[[#This Row],[CLASS]],7),"")</f>
        <v>2.4.1.1</v>
      </c>
      <c r="F4526" s="3" t="str">
        <f>VLOOKUP(Base_Periodo1[[#This Row],[Aux]],Base_Contas_Balanco[#All],2,FALSE)</f>
        <v>Capital Social Realizado</v>
      </c>
      <c r="G4526" s="1"/>
      <c r="H4526" s="225">
        <v>240</v>
      </c>
      <c r="I4526" s="225">
        <v>0</v>
      </c>
      <c r="J4526" s="225">
        <v>0</v>
      </c>
      <c r="K4526" s="225">
        <v>240</v>
      </c>
      <c r="L45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526" s="225">
        <f>ROUND(IF(AND(Base_Periodo1[[#This Row],[Tipo_Linha]]="-",Base_Periodo1[[#This Row],[TIPOSALDO]]="D"),Base_Periodo1[[#This Row],[SALDO_ATUAL]]*-1,Base_Periodo1[[#This Row],[SALDO_ATUAL]]),4)</f>
        <v>240</v>
      </c>
      <c r="N4526" t="s">
        <v>116</v>
      </c>
      <c r="O4526" t="s">
        <v>459</v>
      </c>
      <c r="P4526" t="s">
        <v>459</v>
      </c>
      <c r="Q4526">
        <v>6</v>
      </c>
      <c r="R4526" s="225">
        <f>Base_Periodo1[[#This Row],[CREDITOS]]-Base_Periodo1[[#This Row],[DEBITOS]]</f>
        <v>0</v>
      </c>
      <c r="S4526" s="3" t="str">
        <f>IF(ISERROR(VLOOKUP(Base_Periodo1[[#This Row],[CONTA]],BaseContasDRE[#All],4,FALSE)),"Fora do DRE",VLOOKUP(Base_Periodo1[[#This Row],[CONTA]],BaseContasDRE[#All],4,FALSE))</f>
        <v>Fora do DRE</v>
      </c>
      <c r="T4526" s="3" t="str">
        <f>IF(ISERROR(VLOOKUP(Base_Periodo1[[#This Row],[CONTA]],BaseContasDRE[#All],5,FALSE)),"Fora do DRE",VLOOKUP(Base_Periodo1[[#This Row],[CONTA]],BaseContasDRE[#All],6,FALSE))</f>
        <v>Fora do DRE</v>
      </c>
      <c r="U4526" s="3" t="str">
        <f>IF(ISERROR(VLOOKUP(Base_Periodo1[[#This Row],[CONTA]],BaseContasDRE[#All],7,FALSE)),"Fora do DRE",VLOOKUP(Base_Periodo1[[#This Row],[CONTA]],BaseContasDRE[#All],7,FALSE))</f>
        <v>Fora do DRE</v>
      </c>
      <c r="V4526" s="3" t="str">
        <f>IF(Base_Periodo1[[#This Row],[Tipo_Linha]]="Fora do DRE","Fora do DRE","( "&amp;Base_Periodo1[[#This Row],[Tipo_Linha]]&amp;" ) "&amp;Base_Periodo1[[#This Row],[Filtro]])</f>
        <v>Fora do DRE</v>
      </c>
      <c r="W4526" s="3" t="str">
        <f>LEFT(Base_Periodo1[[#This Row],[CLASS]],3)</f>
        <v>2.4</v>
      </c>
    </row>
    <row r="4527" spans="1:23" hidden="1">
      <c r="A4527" s="3" t="str">
        <f t="shared" si="70"/>
        <v>Período 1</v>
      </c>
      <c r="B4527">
        <v>55873</v>
      </c>
      <c r="C4527" t="s">
        <v>2300</v>
      </c>
      <c r="D4527" t="s">
        <v>5538</v>
      </c>
      <c r="E4527" s="3" t="str">
        <f>IF(LEN(Base_Periodo1[[#This Row],[CLASS]])&gt;=7,LEFT(Base_Periodo1[[#This Row],[CLASS]],7),"")</f>
        <v>2.4.1.1</v>
      </c>
      <c r="F4527" s="3" t="str">
        <f>VLOOKUP(Base_Periodo1[[#This Row],[Aux]],Base_Contas_Balanco[#All],2,FALSE)</f>
        <v>Capital Social Realizado</v>
      </c>
      <c r="G4527" s="1"/>
      <c r="H4527" s="225">
        <v>50</v>
      </c>
      <c r="I4527" s="225">
        <v>0</v>
      </c>
      <c r="J4527" s="225">
        <v>0</v>
      </c>
      <c r="K4527" s="225">
        <v>50</v>
      </c>
      <c r="L45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27" s="225">
        <f>ROUND(IF(AND(Base_Periodo1[[#This Row],[Tipo_Linha]]="-",Base_Periodo1[[#This Row],[TIPOSALDO]]="D"),Base_Periodo1[[#This Row],[SALDO_ATUAL]]*-1,Base_Periodo1[[#This Row],[SALDO_ATUAL]]),4)</f>
        <v>50</v>
      </c>
      <c r="N4527" t="s">
        <v>116</v>
      </c>
      <c r="O4527" t="s">
        <v>459</v>
      </c>
      <c r="P4527" t="s">
        <v>459</v>
      </c>
      <c r="Q4527">
        <v>6</v>
      </c>
      <c r="R4527" s="225">
        <f>Base_Periodo1[[#This Row],[CREDITOS]]-Base_Periodo1[[#This Row],[DEBITOS]]</f>
        <v>0</v>
      </c>
      <c r="S4527" s="3" t="str">
        <f>IF(ISERROR(VLOOKUP(Base_Periodo1[[#This Row],[CONTA]],BaseContasDRE[#All],4,FALSE)),"Fora do DRE",VLOOKUP(Base_Periodo1[[#This Row],[CONTA]],BaseContasDRE[#All],4,FALSE))</f>
        <v>Fora do DRE</v>
      </c>
      <c r="T4527" s="3" t="str">
        <f>IF(ISERROR(VLOOKUP(Base_Periodo1[[#This Row],[CONTA]],BaseContasDRE[#All],5,FALSE)),"Fora do DRE",VLOOKUP(Base_Periodo1[[#This Row],[CONTA]],BaseContasDRE[#All],6,FALSE))</f>
        <v>Fora do DRE</v>
      </c>
      <c r="U4527" s="3" t="str">
        <f>IF(ISERROR(VLOOKUP(Base_Periodo1[[#This Row],[CONTA]],BaseContasDRE[#All],7,FALSE)),"Fora do DRE",VLOOKUP(Base_Periodo1[[#This Row],[CONTA]],BaseContasDRE[#All],7,FALSE))</f>
        <v>Fora do DRE</v>
      </c>
      <c r="V4527" s="3" t="str">
        <f>IF(Base_Periodo1[[#This Row],[Tipo_Linha]]="Fora do DRE","Fora do DRE","( "&amp;Base_Periodo1[[#This Row],[Tipo_Linha]]&amp;" ) "&amp;Base_Periodo1[[#This Row],[Filtro]])</f>
        <v>Fora do DRE</v>
      </c>
      <c r="W4527" s="3" t="str">
        <f>LEFT(Base_Periodo1[[#This Row],[CLASS]],3)</f>
        <v>2.4</v>
      </c>
    </row>
    <row r="4528" spans="1:23" hidden="1">
      <c r="A4528" s="3" t="str">
        <f t="shared" si="70"/>
        <v>Período 1</v>
      </c>
      <c r="B4528">
        <v>59354</v>
      </c>
      <c r="C4528" t="s">
        <v>2300</v>
      </c>
      <c r="D4528" t="s">
        <v>7180</v>
      </c>
      <c r="E4528" s="3" t="str">
        <f>IF(LEN(Base_Periodo1[[#This Row],[CLASS]])&gt;=7,LEFT(Base_Periodo1[[#This Row],[CLASS]],7),"")</f>
        <v>2.4.1.1</v>
      </c>
      <c r="F4528" s="3" t="str">
        <f>VLOOKUP(Base_Periodo1[[#This Row],[Aux]],Base_Contas_Balanco[#All],2,FALSE)</f>
        <v>Capital Social Realizado</v>
      </c>
      <c r="G4528" s="1"/>
      <c r="I4528" s="225">
        <v>0</v>
      </c>
      <c r="J4528" s="225">
        <v>500</v>
      </c>
      <c r="K4528" s="225">
        <v>500</v>
      </c>
      <c r="L45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4528" s="225">
        <f>ROUND(IF(AND(Base_Periodo1[[#This Row],[Tipo_Linha]]="-",Base_Periodo1[[#This Row],[TIPOSALDO]]="D"),Base_Periodo1[[#This Row],[SALDO_ATUAL]]*-1,Base_Periodo1[[#This Row],[SALDO_ATUAL]]),4)</f>
        <v>500</v>
      </c>
      <c r="N4528" t="s">
        <v>116</v>
      </c>
      <c r="O4528" t="s">
        <v>436</v>
      </c>
      <c r="P4528" t="s">
        <v>459</v>
      </c>
      <c r="Q4528">
        <v>6</v>
      </c>
      <c r="R4528" s="225">
        <f>Base_Periodo1[[#This Row],[CREDITOS]]-Base_Periodo1[[#This Row],[DEBITOS]]</f>
        <v>500</v>
      </c>
      <c r="S4528" s="3" t="str">
        <f>IF(ISERROR(VLOOKUP(Base_Periodo1[[#This Row],[CONTA]],BaseContasDRE[#All],4,FALSE)),"Fora do DRE",VLOOKUP(Base_Periodo1[[#This Row],[CONTA]],BaseContasDRE[#All],4,FALSE))</f>
        <v>Fora do DRE</v>
      </c>
      <c r="T4528" s="3" t="str">
        <f>IF(ISERROR(VLOOKUP(Base_Periodo1[[#This Row],[CONTA]],BaseContasDRE[#All],5,FALSE)),"Fora do DRE",VLOOKUP(Base_Periodo1[[#This Row],[CONTA]],BaseContasDRE[#All],6,FALSE))</f>
        <v>Fora do DRE</v>
      </c>
      <c r="U4528" s="3" t="str">
        <f>IF(ISERROR(VLOOKUP(Base_Periodo1[[#This Row],[CONTA]],BaseContasDRE[#All],7,FALSE)),"Fora do DRE",VLOOKUP(Base_Periodo1[[#This Row],[CONTA]],BaseContasDRE[#All],7,FALSE))</f>
        <v>Fora do DRE</v>
      </c>
      <c r="V4528" s="3" t="str">
        <f>IF(Base_Periodo1[[#This Row],[Tipo_Linha]]="Fora do DRE","Fora do DRE","( "&amp;Base_Periodo1[[#This Row],[Tipo_Linha]]&amp;" ) "&amp;Base_Periodo1[[#This Row],[Filtro]])</f>
        <v>Fora do DRE</v>
      </c>
      <c r="W4528" s="3" t="str">
        <f>LEFT(Base_Periodo1[[#This Row],[CLASS]],3)</f>
        <v>2.4</v>
      </c>
    </row>
    <row r="4529" spans="1:23" hidden="1">
      <c r="A4529" s="3" t="str">
        <f t="shared" si="70"/>
        <v>Período 1</v>
      </c>
      <c r="B4529">
        <v>19752</v>
      </c>
      <c r="C4529" t="s">
        <v>2300</v>
      </c>
      <c r="D4529" t="s">
        <v>2492</v>
      </c>
      <c r="E4529" s="3" t="str">
        <f>IF(LEN(Base_Periodo1[[#This Row],[CLASS]])&gt;=7,LEFT(Base_Periodo1[[#This Row],[CLASS]],7),"")</f>
        <v>2.4.1.1</v>
      </c>
      <c r="F4529" s="3" t="str">
        <f>VLOOKUP(Base_Periodo1[[#This Row],[Aux]],Base_Contas_Balanco[#All],2,FALSE)</f>
        <v>Capital Social Realizado</v>
      </c>
      <c r="G4529" s="1"/>
      <c r="H4529" s="225">
        <v>50</v>
      </c>
      <c r="I4529" s="225">
        <v>0</v>
      </c>
      <c r="J4529" s="225">
        <v>0</v>
      </c>
      <c r="K4529" s="225">
        <v>50</v>
      </c>
      <c r="L45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29" s="225">
        <f>ROUND(IF(AND(Base_Periodo1[[#This Row],[Tipo_Linha]]="-",Base_Periodo1[[#This Row],[TIPOSALDO]]="D"),Base_Periodo1[[#This Row],[SALDO_ATUAL]]*-1,Base_Periodo1[[#This Row],[SALDO_ATUAL]]),4)</f>
        <v>50</v>
      </c>
      <c r="N4529" t="s">
        <v>116</v>
      </c>
      <c r="O4529" t="s">
        <v>459</v>
      </c>
      <c r="P4529" t="s">
        <v>459</v>
      </c>
      <c r="Q4529">
        <v>6</v>
      </c>
      <c r="R4529" s="225">
        <f>Base_Periodo1[[#This Row],[CREDITOS]]-Base_Periodo1[[#This Row],[DEBITOS]]</f>
        <v>0</v>
      </c>
      <c r="S4529" s="3" t="str">
        <f>IF(ISERROR(VLOOKUP(Base_Periodo1[[#This Row],[CONTA]],BaseContasDRE[#All],4,FALSE)),"Fora do DRE",VLOOKUP(Base_Periodo1[[#This Row],[CONTA]],BaseContasDRE[#All],4,FALSE))</f>
        <v>Fora do DRE</v>
      </c>
      <c r="T4529" s="3" t="str">
        <f>IF(ISERROR(VLOOKUP(Base_Periodo1[[#This Row],[CONTA]],BaseContasDRE[#All],5,FALSE)),"Fora do DRE",VLOOKUP(Base_Periodo1[[#This Row],[CONTA]],BaseContasDRE[#All],6,FALSE))</f>
        <v>Fora do DRE</v>
      </c>
      <c r="U4529" s="3" t="str">
        <f>IF(ISERROR(VLOOKUP(Base_Periodo1[[#This Row],[CONTA]],BaseContasDRE[#All],7,FALSE)),"Fora do DRE",VLOOKUP(Base_Periodo1[[#This Row],[CONTA]],BaseContasDRE[#All],7,FALSE))</f>
        <v>Fora do DRE</v>
      </c>
      <c r="V4529" s="3" t="str">
        <f>IF(Base_Periodo1[[#This Row],[Tipo_Linha]]="Fora do DRE","Fora do DRE","( "&amp;Base_Periodo1[[#This Row],[Tipo_Linha]]&amp;" ) "&amp;Base_Periodo1[[#This Row],[Filtro]])</f>
        <v>Fora do DRE</v>
      </c>
      <c r="W4529" s="3" t="str">
        <f>LEFT(Base_Periodo1[[#This Row],[CLASS]],3)</f>
        <v>2.4</v>
      </c>
    </row>
    <row r="4530" spans="1:23" hidden="1">
      <c r="A4530" s="3" t="str">
        <f t="shared" si="70"/>
        <v>Período 1</v>
      </c>
      <c r="B4530">
        <v>48922</v>
      </c>
      <c r="C4530" t="s">
        <v>2300</v>
      </c>
      <c r="D4530" t="s">
        <v>4215</v>
      </c>
      <c r="E4530" s="3" t="str">
        <f>IF(LEN(Base_Periodo1[[#This Row],[CLASS]])&gt;=7,LEFT(Base_Periodo1[[#This Row],[CLASS]],7),"")</f>
        <v>2.4.1.1</v>
      </c>
      <c r="F4530" s="3" t="str">
        <f>VLOOKUP(Base_Periodo1[[#This Row],[Aux]],Base_Contas_Balanco[#All],2,FALSE)</f>
        <v>Capital Social Realizado</v>
      </c>
      <c r="G4530" s="1"/>
      <c r="H4530" s="225">
        <v>4241.1100000000006</v>
      </c>
      <c r="I4530" s="225">
        <v>0</v>
      </c>
      <c r="J4530" s="225">
        <v>0</v>
      </c>
      <c r="K4530" s="225">
        <v>4241.1100000000006</v>
      </c>
      <c r="L45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4241.1099999999997</v>
      </c>
      <c r="M4530" s="225">
        <f>ROUND(IF(AND(Base_Periodo1[[#This Row],[Tipo_Linha]]="-",Base_Periodo1[[#This Row],[TIPOSALDO]]="D"),Base_Periodo1[[#This Row],[SALDO_ATUAL]]*-1,Base_Periodo1[[#This Row],[SALDO_ATUAL]]),4)</f>
        <v>4241.1099999999997</v>
      </c>
      <c r="N4530" t="s">
        <v>116</v>
      </c>
      <c r="O4530" t="s">
        <v>459</v>
      </c>
      <c r="P4530" t="s">
        <v>459</v>
      </c>
      <c r="Q4530">
        <v>6</v>
      </c>
      <c r="R4530" s="225">
        <f>Base_Periodo1[[#This Row],[CREDITOS]]-Base_Periodo1[[#This Row],[DEBITOS]]</f>
        <v>0</v>
      </c>
      <c r="S4530" s="3" t="str">
        <f>IF(ISERROR(VLOOKUP(Base_Periodo1[[#This Row],[CONTA]],BaseContasDRE[#All],4,FALSE)),"Fora do DRE",VLOOKUP(Base_Periodo1[[#This Row],[CONTA]],BaseContasDRE[#All],4,FALSE))</f>
        <v>Fora do DRE</v>
      </c>
      <c r="T4530" s="3" t="str">
        <f>IF(ISERROR(VLOOKUP(Base_Periodo1[[#This Row],[CONTA]],BaseContasDRE[#All],5,FALSE)),"Fora do DRE",VLOOKUP(Base_Periodo1[[#This Row],[CONTA]],BaseContasDRE[#All],6,FALSE))</f>
        <v>Fora do DRE</v>
      </c>
      <c r="U4530" s="3" t="str">
        <f>IF(ISERROR(VLOOKUP(Base_Periodo1[[#This Row],[CONTA]],BaseContasDRE[#All],7,FALSE)),"Fora do DRE",VLOOKUP(Base_Periodo1[[#This Row],[CONTA]],BaseContasDRE[#All],7,FALSE))</f>
        <v>Fora do DRE</v>
      </c>
      <c r="V4530" s="3" t="str">
        <f>IF(Base_Periodo1[[#This Row],[Tipo_Linha]]="Fora do DRE","Fora do DRE","( "&amp;Base_Periodo1[[#This Row],[Tipo_Linha]]&amp;" ) "&amp;Base_Periodo1[[#This Row],[Filtro]])</f>
        <v>Fora do DRE</v>
      </c>
      <c r="W4530" s="3" t="str">
        <f>LEFT(Base_Periodo1[[#This Row],[CLASS]],3)</f>
        <v>2.4</v>
      </c>
    </row>
    <row r="4531" spans="1:23" hidden="1">
      <c r="A4531" s="3" t="str">
        <f t="shared" si="70"/>
        <v>Período 1</v>
      </c>
      <c r="B4531">
        <v>40727</v>
      </c>
      <c r="C4531" t="s">
        <v>2300</v>
      </c>
      <c r="D4531" t="s">
        <v>2493</v>
      </c>
      <c r="E4531" s="3" t="str">
        <f>IF(LEN(Base_Periodo1[[#This Row],[CLASS]])&gt;=7,LEFT(Base_Periodo1[[#This Row],[CLASS]],7),"")</f>
        <v>2.4.1.1</v>
      </c>
      <c r="F4531" s="3" t="str">
        <f>VLOOKUP(Base_Periodo1[[#This Row],[Aux]],Base_Contas_Balanco[#All],2,FALSE)</f>
        <v>Capital Social Realizado</v>
      </c>
      <c r="G4531" s="1"/>
      <c r="H4531" s="225">
        <v>79.36</v>
      </c>
      <c r="I4531" s="225">
        <v>0</v>
      </c>
      <c r="J4531" s="225">
        <v>0</v>
      </c>
      <c r="K4531" s="225">
        <v>79.36</v>
      </c>
      <c r="L45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79.36</v>
      </c>
      <c r="M4531" s="225">
        <f>ROUND(IF(AND(Base_Periodo1[[#This Row],[Tipo_Linha]]="-",Base_Periodo1[[#This Row],[TIPOSALDO]]="D"),Base_Periodo1[[#This Row],[SALDO_ATUAL]]*-1,Base_Periodo1[[#This Row],[SALDO_ATUAL]]),4)</f>
        <v>79.36</v>
      </c>
      <c r="N4531" t="s">
        <v>116</v>
      </c>
      <c r="O4531" t="s">
        <v>459</v>
      </c>
      <c r="P4531" t="s">
        <v>459</v>
      </c>
      <c r="Q4531">
        <v>6</v>
      </c>
      <c r="R4531" s="225">
        <f>Base_Periodo1[[#This Row],[CREDITOS]]-Base_Periodo1[[#This Row],[DEBITOS]]</f>
        <v>0</v>
      </c>
      <c r="S4531" s="3" t="str">
        <f>IF(ISERROR(VLOOKUP(Base_Periodo1[[#This Row],[CONTA]],BaseContasDRE[#All],4,FALSE)),"Fora do DRE",VLOOKUP(Base_Periodo1[[#This Row],[CONTA]],BaseContasDRE[#All],4,FALSE))</f>
        <v>Fora do DRE</v>
      </c>
      <c r="T4531" s="3" t="str">
        <f>IF(ISERROR(VLOOKUP(Base_Periodo1[[#This Row],[CONTA]],BaseContasDRE[#All],5,FALSE)),"Fora do DRE",VLOOKUP(Base_Periodo1[[#This Row],[CONTA]],BaseContasDRE[#All],6,FALSE))</f>
        <v>Fora do DRE</v>
      </c>
      <c r="U4531" s="3" t="str">
        <f>IF(ISERROR(VLOOKUP(Base_Periodo1[[#This Row],[CONTA]],BaseContasDRE[#All],7,FALSE)),"Fora do DRE",VLOOKUP(Base_Periodo1[[#This Row],[CONTA]],BaseContasDRE[#All],7,FALSE))</f>
        <v>Fora do DRE</v>
      </c>
      <c r="V4531" s="3" t="str">
        <f>IF(Base_Periodo1[[#This Row],[Tipo_Linha]]="Fora do DRE","Fora do DRE","( "&amp;Base_Periodo1[[#This Row],[Tipo_Linha]]&amp;" ) "&amp;Base_Periodo1[[#This Row],[Filtro]])</f>
        <v>Fora do DRE</v>
      </c>
      <c r="W4531" s="3" t="str">
        <f>LEFT(Base_Periodo1[[#This Row],[CLASS]],3)</f>
        <v>2.4</v>
      </c>
    </row>
    <row r="4532" spans="1:23" hidden="1">
      <c r="A4532" s="3" t="str">
        <f t="shared" si="70"/>
        <v>Período 1</v>
      </c>
      <c r="B4532">
        <v>25238</v>
      </c>
      <c r="C4532" t="s">
        <v>2300</v>
      </c>
      <c r="D4532" t="s">
        <v>2494</v>
      </c>
      <c r="E4532" s="3" t="str">
        <f>IF(LEN(Base_Periodo1[[#This Row],[CLASS]])&gt;=7,LEFT(Base_Periodo1[[#This Row],[CLASS]],7),"")</f>
        <v>2.4.1.1</v>
      </c>
      <c r="F4532" s="3" t="str">
        <f>VLOOKUP(Base_Periodo1[[#This Row],[Aux]],Base_Contas_Balanco[#All],2,FALSE)</f>
        <v>Capital Social Realizado</v>
      </c>
      <c r="G4532" s="1"/>
      <c r="H4532" s="225">
        <v>86.509999999999991</v>
      </c>
      <c r="I4532" s="225">
        <v>0</v>
      </c>
      <c r="J4532" s="225">
        <v>0</v>
      </c>
      <c r="K4532" s="225">
        <v>86.509999999999991</v>
      </c>
      <c r="L45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86.51</v>
      </c>
      <c r="M4532" s="225">
        <f>ROUND(IF(AND(Base_Periodo1[[#This Row],[Tipo_Linha]]="-",Base_Periodo1[[#This Row],[TIPOSALDO]]="D"),Base_Periodo1[[#This Row],[SALDO_ATUAL]]*-1,Base_Periodo1[[#This Row],[SALDO_ATUAL]]),4)</f>
        <v>86.51</v>
      </c>
      <c r="N4532" t="s">
        <v>116</v>
      </c>
      <c r="O4532" t="s">
        <v>459</v>
      </c>
      <c r="P4532" t="s">
        <v>459</v>
      </c>
      <c r="Q4532">
        <v>6</v>
      </c>
      <c r="R4532" s="225">
        <f>Base_Periodo1[[#This Row],[CREDITOS]]-Base_Periodo1[[#This Row],[DEBITOS]]</f>
        <v>0</v>
      </c>
      <c r="S4532" s="3" t="str">
        <f>IF(ISERROR(VLOOKUP(Base_Periodo1[[#This Row],[CONTA]],BaseContasDRE[#All],4,FALSE)),"Fora do DRE",VLOOKUP(Base_Periodo1[[#This Row],[CONTA]],BaseContasDRE[#All],4,FALSE))</f>
        <v>Fora do DRE</v>
      </c>
      <c r="T4532" s="3" t="str">
        <f>IF(ISERROR(VLOOKUP(Base_Periodo1[[#This Row],[CONTA]],BaseContasDRE[#All],5,FALSE)),"Fora do DRE",VLOOKUP(Base_Periodo1[[#This Row],[CONTA]],BaseContasDRE[#All],6,FALSE))</f>
        <v>Fora do DRE</v>
      </c>
      <c r="U4532" s="3" t="str">
        <f>IF(ISERROR(VLOOKUP(Base_Periodo1[[#This Row],[CONTA]],BaseContasDRE[#All],7,FALSE)),"Fora do DRE",VLOOKUP(Base_Periodo1[[#This Row],[CONTA]],BaseContasDRE[#All],7,FALSE))</f>
        <v>Fora do DRE</v>
      </c>
      <c r="V4532" s="3" t="str">
        <f>IF(Base_Periodo1[[#This Row],[Tipo_Linha]]="Fora do DRE","Fora do DRE","( "&amp;Base_Periodo1[[#This Row],[Tipo_Linha]]&amp;" ) "&amp;Base_Periodo1[[#This Row],[Filtro]])</f>
        <v>Fora do DRE</v>
      </c>
      <c r="W4532" s="3" t="str">
        <f>LEFT(Base_Periodo1[[#This Row],[CLASS]],3)</f>
        <v>2.4</v>
      </c>
    </row>
    <row r="4533" spans="1:23" hidden="1">
      <c r="A4533" s="3" t="str">
        <f t="shared" si="70"/>
        <v>Período 1</v>
      </c>
      <c r="B4533">
        <v>30934</v>
      </c>
      <c r="C4533" t="s">
        <v>2300</v>
      </c>
      <c r="D4533" t="s">
        <v>2495</v>
      </c>
      <c r="E4533" s="3" t="str">
        <f>IF(LEN(Base_Periodo1[[#This Row],[CLASS]])&gt;=7,LEFT(Base_Periodo1[[#This Row],[CLASS]],7),"")</f>
        <v>2.4.1.1</v>
      </c>
      <c r="F4533" s="3" t="str">
        <f>VLOOKUP(Base_Periodo1[[#This Row],[Aux]],Base_Contas_Balanco[#All],2,FALSE)</f>
        <v>Capital Social Realizado</v>
      </c>
      <c r="G4533" s="1"/>
      <c r="H4533" s="225">
        <v>598.32000000000005</v>
      </c>
      <c r="I4533" s="225">
        <v>0</v>
      </c>
      <c r="J4533" s="225">
        <v>0</v>
      </c>
      <c r="K4533" s="225">
        <v>598.32000000000005</v>
      </c>
      <c r="L45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598.32000000000005</v>
      </c>
      <c r="M4533" s="225">
        <f>ROUND(IF(AND(Base_Periodo1[[#This Row],[Tipo_Linha]]="-",Base_Periodo1[[#This Row],[TIPOSALDO]]="D"),Base_Periodo1[[#This Row],[SALDO_ATUAL]]*-1,Base_Periodo1[[#This Row],[SALDO_ATUAL]]),4)</f>
        <v>598.32000000000005</v>
      </c>
      <c r="N4533" t="s">
        <v>116</v>
      </c>
      <c r="O4533" t="s">
        <v>459</v>
      </c>
      <c r="P4533" t="s">
        <v>459</v>
      </c>
      <c r="Q4533">
        <v>6</v>
      </c>
      <c r="R4533" s="225">
        <f>Base_Periodo1[[#This Row],[CREDITOS]]-Base_Periodo1[[#This Row],[DEBITOS]]</f>
        <v>0</v>
      </c>
      <c r="S4533" s="3" t="str">
        <f>IF(ISERROR(VLOOKUP(Base_Periodo1[[#This Row],[CONTA]],BaseContasDRE[#All],4,FALSE)),"Fora do DRE",VLOOKUP(Base_Periodo1[[#This Row],[CONTA]],BaseContasDRE[#All],4,FALSE))</f>
        <v>Fora do DRE</v>
      </c>
      <c r="T4533" s="3" t="str">
        <f>IF(ISERROR(VLOOKUP(Base_Periodo1[[#This Row],[CONTA]],BaseContasDRE[#All],5,FALSE)),"Fora do DRE",VLOOKUP(Base_Periodo1[[#This Row],[CONTA]],BaseContasDRE[#All],6,FALSE))</f>
        <v>Fora do DRE</v>
      </c>
      <c r="U4533" s="3" t="str">
        <f>IF(ISERROR(VLOOKUP(Base_Periodo1[[#This Row],[CONTA]],BaseContasDRE[#All],7,FALSE)),"Fora do DRE",VLOOKUP(Base_Periodo1[[#This Row],[CONTA]],BaseContasDRE[#All],7,FALSE))</f>
        <v>Fora do DRE</v>
      </c>
      <c r="V4533" s="3" t="str">
        <f>IF(Base_Periodo1[[#This Row],[Tipo_Linha]]="Fora do DRE","Fora do DRE","( "&amp;Base_Periodo1[[#This Row],[Tipo_Linha]]&amp;" ) "&amp;Base_Periodo1[[#This Row],[Filtro]])</f>
        <v>Fora do DRE</v>
      </c>
      <c r="W4533" s="3" t="str">
        <f>LEFT(Base_Periodo1[[#This Row],[CLASS]],3)</f>
        <v>2.4</v>
      </c>
    </row>
    <row r="4534" spans="1:23" hidden="1">
      <c r="A4534" s="3" t="str">
        <f t="shared" si="70"/>
        <v>Período 1</v>
      </c>
      <c r="B4534">
        <v>55100</v>
      </c>
      <c r="C4534" t="s">
        <v>2300</v>
      </c>
      <c r="D4534" t="s">
        <v>5348</v>
      </c>
      <c r="E4534" s="3" t="str">
        <f>IF(LEN(Base_Periodo1[[#This Row],[CLASS]])&gt;=7,LEFT(Base_Periodo1[[#This Row],[CLASS]],7),"")</f>
        <v>2.4.1.1</v>
      </c>
      <c r="F4534" s="3" t="str">
        <f>VLOOKUP(Base_Periodo1[[#This Row],[Aux]],Base_Contas_Balanco[#All],2,FALSE)</f>
        <v>Capital Social Realizado</v>
      </c>
      <c r="G4534" s="1"/>
      <c r="H4534" s="225">
        <v>50</v>
      </c>
      <c r="I4534" s="225">
        <v>0</v>
      </c>
      <c r="J4534" s="225">
        <v>0</v>
      </c>
      <c r="K4534" s="225">
        <v>50</v>
      </c>
      <c r="L45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34" s="225">
        <f>ROUND(IF(AND(Base_Periodo1[[#This Row],[Tipo_Linha]]="-",Base_Periodo1[[#This Row],[TIPOSALDO]]="D"),Base_Periodo1[[#This Row],[SALDO_ATUAL]]*-1,Base_Periodo1[[#This Row],[SALDO_ATUAL]]),4)</f>
        <v>50</v>
      </c>
      <c r="N4534" t="s">
        <v>116</v>
      </c>
      <c r="O4534" t="s">
        <v>459</v>
      </c>
      <c r="P4534" t="s">
        <v>459</v>
      </c>
      <c r="Q4534">
        <v>6</v>
      </c>
      <c r="R4534" s="225">
        <f>Base_Periodo1[[#This Row],[CREDITOS]]-Base_Periodo1[[#This Row],[DEBITOS]]</f>
        <v>0</v>
      </c>
      <c r="S4534" s="3" t="str">
        <f>IF(ISERROR(VLOOKUP(Base_Periodo1[[#This Row],[CONTA]],BaseContasDRE[#All],4,FALSE)),"Fora do DRE",VLOOKUP(Base_Periodo1[[#This Row],[CONTA]],BaseContasDRE[#All],4,FALSE))</f>
        <v>Fora do DRE</v>
      </c>
      <c r="T4534" s="3" t="str">
        <f>IF(ISERROR(VLOOKUP(Base_Periodo1[[#This Row],[CONTA]],BaseContasDRE[#All],5,FALSE)),"Fora do DRE",VLOOKUP(Base_Periodo1[[#This Row],[CONTA]],BaseContasDRE[#All],6,FALSE))</f>
        <v>Fora do DRE</v>
      </c>
      <c r="U4534" s="3" t="str">
        <f>IF(ISERROR(VLOOKUP(Base_Periodo1[[#This Row],[CONTA]],BaseContasDRE[#All],7,FALSE)),"Fora do DRE",VLOOKUP(Base_Periodo1[[#This Row],[CONTA]],BaseContasDRE[#All],7,FALSE))</f>
        <v>Fora do DRE</v>
      </c>
      <c r="V4534" s="3" t="str">
        <f>IF(Base_Periodo1[[#This Row],[Tipo_Linha]]="Fora do DRE","Fora do DRE","( "&amp;Base_Periodo1[[#This Row],[Tipo_Linha]]&amp;" ) "&amp;Base_Periodo1[[#This Row],[Filtro]])</f>
        <v>Fora do DRE</v>
      </c>
      <c r="W4534" s="3" t="str">
        <f>LEFT(Base_Periodo1[[#This Row],[CLASS]],3)</f>
        <v>2.4</v>
      </c>
    </row>
    <row r="4535" spans="1:23" hidden="1">
      <c r="A4535" s="3" t="str">
        <f t="shared" si="70"/>
        <v>Período 1</v>
      </c>
      <c r="B4535">
        <v>36030</v>
      </c>
      <c r="C4535" t="s">
        <v>2300</v>
      </c>
      <c r="D4535" t="s">
        <v>2496</v>
      </c>
      <c r="E4535" s="3" t="str">
        <f>IF(LEN(Base_Periodo1[[#This Row],[CLASS]])&gt;=7,LEFT(Base_Periodo1[[#This Row],[CLASS]],7),"")</f>
        <v>2.4.1.1</v>
      </c>
      <c r="F4535" s="3" t="str">
        <f>VLOOKUP(Base_Periodo1[[#This Row],[Aux]],Base_Contas_Balanco[#All],2,FALSE)</f>
        <v>Capital Social Realizado</v>
      </c>
      <c r="G4535" s="1"/>
      <c r="H4535" s="225">
        <v>1173.06</v>
      </c>
      <c r="I4535" s="225">
        <v>0</v>
      </c>
      <c r="J4535" s="225">
        <v>0</v>
      </c>
      <c r="K4535" s="225">
        <v>1173.06</v>
      </c>
      <c r="L45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1173.06</v>
      </c>
      <c r="M4535" s="225">
        <f>ROUND(IF(AND(Base_Periodo1[[#This Row],[Tipo_Linha]]="-",Base_Periodo1[[#This Row],[TIPOSALDO]]="D"),Base_Periodo1[[#This Row],[SALDO_ATUAL]]*-1,Base_Periodo1[[#This Row],[SALDO_ATUAL]]),4)</f>
        <v>1173.06</v>
      </c>
      <c r="N4535" t="s">
        <v>116</v>
      </c>
      <c r="O4535" t="s">
        <v>459</v>
      </c>
      <c r="P4535" t="s">
        <v>459</v>
      </c>
      <c r="Q4535">
        <v>6</v>
      </c>
      <c r="R4535" s="225">
        <f>Base_Periodo1[[#This Row],[CREDITOS]]-Base_Periodo1[[#This Row],[DEBITOS]]</f>
        <v>0</v>
      </c>
      <c r="S4535" s="3" t="str">
        <f>IF(ISERROR(VLOOKUP(Base_Periodo1[[#This Row],[CONTA]],BaseContasDRE[#All],4,FALSE)),"Fora do DRE",VLOOKUP(Base_Periodo1[[#This Row],[CONTA]],BaseContasDRE[#All],4,FALSE))</f>
        <v>Fora do DRE</v>
      </c>
      <c r="T4535" s="3" t="str">
        <f>IF(ISERROR(VLOOKUP(Base_Periodo1[[#This Row],[CONTA]],BaseContasDRE[#All],5,FALSE)),"Fora do DRE",VLOOKUP(Base_Periodo1[[#This Row],[CONTA]],BaseContasDRE[#All],6,FALSE))</f>
        <v>Fora do DRE</v>
      </c>
      <c r="U4535" s="3" t="str">
        <f>IF(ISERROR(VLOOKUP(Base_Periodo1[[#This Row],[CONTA]],BaseContasDRE[#All],7,FALSE)),"Fora do DRE",VLOOKUP(Base_Periodo1[[#This Row],[CONTA]],BaseContasDRE[#All],7,FALSE))</f>
        <v>Fora do DRE</v>
      </c>
      <c r="V4535" s="3" t="str">
        <f>IF(Base_Periodo1[[#This Row],[Tipo_Linha]]="Fora do DRE","Fora do DRE","( "&amp;Base_Periodo1[[#This Row],[Tipo_Linha]]&amp;" ) "&amp;Base_Periodo1[[#This Row],[Filtro]])</f>
        <v>Fora do DRE</v>
      </c>
      <c r="W4535" s="3" t="str">
        <f>LEFT(Base_Periodo1[[#This Row],[CLASS]],3)</f>
        <v>2.4</v>
      </c>
    </row>
    <row r="4536" spans="1:23" hidden="1">
      <c r="A4536" s="3" t="str">
        <f t="shared" si="70"/>
        <v>Período 1</v>
      </c>
      <c r="B4536">
        <v>36089</v>
      </c>
      <c r="C4536" t="s">
        <v>2300</v>
      </c>
      <c r="D4536" t="s">
        <v>2497</v>
      </c>
      <c r="E4536" s="3" t="str">
        <f>IF(LEN(Base_Periodo1[[#This Row],[CLASS]])&gt;=7,LEFT(Base_Periodo1[[#This Row],[CLASS]],7),"")</f>
        <v>2.4.1.1</v>
      </c>
      <c r="F4536" s="3" t="str">
        <f>VLOOKUP(Base_Periodo1[[#This Row],[Aux]],Base_Contas_Balanco[#All],2,FALSE)</f>
        <v>Capital Social Realizado</v>
      </c>
      <c r="G4536" s="1">
        <v>42460</v>
      </c>
      <c r="H4536" s="225">
        <v>1314.33</v>
      </c>
      <c r="I4536" s="225">
        <v>0</v>
      </c>
      <c r="J4536" s="225">
        <v>0</v>
      </c>
      <c r="K4536" s="225">
        <v>1314.33</v>
      </c>
      <c r="L45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1314.33</v>
      </c>
      <c r="M4536" s="225">
        <f>ROUND(IF(AND(Base_Periodo1[[#This Row],[Tipo_Linha]]="-",Base_Periodo1[[#This Row],[TIPOSALDO]]="D"),Base_Periodo1[[#This Row],[SALDO_ATUAL]]*-1,Base_Periodo1[[#This Row],[SALDO_ATUAL]]),4)</f>
        <v>1314.33</v>
      </c>
      <c r="N4536" t="s">
        <v>116</v>
      </c>
      <c r="O4536" t="s">
        <v>459</v>
      </c>
      <c r="P4536" t="s">
        <v>459</v>
      </c>
      <c r="Q4536">
        <v>6</v>
      </c>
      <c r="R4536" s="225">
        <f>Base_Periodo1[[#This Row],[CREDITOS]]-Base_Periodo1[[#This Row],[DEBITOS]]</f>
        <v>0</v>
      </c>
      <c r="S4536" s="3" t="str">
        <f>IF(ISERROR(VLOOKUP(Base_Periodo1[[#This Row],[CONTA]],BaseContasDRE[#All],4,FALSE)),"Fora do DRE",VLOOKUP(Base_Periodo1[[#This Row],[CONTA]],BaseContasDRE[#All],4,FALSE))</f>
        <v>Fora do DRE</v>
      </c>
      <c r="T4536" s="3" t="str">
        <f>IF(ISERROR(VLOOKUP(Base_Periodo1[[#This Row],[CONTA]],BaseContasDRE[#All],5,FALSE)),"Fora do DRE",VLOOKUP(Base_Periodo1[[#This Row],[CONTA]],BaseContasDRE[#All],6,FALSE))</f>
        <v>Fora do DRE</v>
      </c>
      <c r="U4536" s="3" t="str">
        <f>IF(ISERROR(VLOOKUP(Base_Periodo1[[#This Row],[CONTA]],BaseContasDRE[#All],7,FALSE)),"Fora do DRE",VLOOKUP(Base_Periodo1[[#This Row],[CONTA]],BaseContasDRE[#All],7,FALSE))</f>
        <v>Fora do DRE</v>
      </c>
      <c r="V4536" s="3" t="str">
        <f>IF(Base_Periodo1[[#This Row],[Tipo_Linha]]="Fora do DRE","Fora do DRE","( "&amp;Base_Periodo1[[#This Row],[Tipo_Linha]]&amp;" ) "&amp;Base_Periodo1[[#This Row],[Filtro]])</f>
        <v>Fora do DRE</v>
      </c>
      <c r="W4536" s="3" t="str">
        <f>LEFT(Base_Periodo1[[#This Row],[CLASS]],3)</f>
        <v>2.4</v>
      </c>
    </row>
    <row r="4537" spans="1:23" hidden="1">
      <c r="A4537" s="3" t="str">
        <f t="shared" si="70"/>
        <v>Período 1</v>
      </c>
      <c r="B4537">
        <v>47901</v>
      </c>
      <c r="C4537" t="s">
        <v>2300</v>
      </c>
      <c r="D4537" t="s">
        <v>2498</v>
      </c>
      <c r="E4537" s="3" t="str">
        <f>IF(LEN(Base_Periodo1[[#This Row],[CLASS]])&gt;=7,LEFT(Base_Periodo1[[#This Row],[CLASS]],7),"")</f>
        <v>2.4.1.1</v>
      </c>
      <c r="F4537" s="3" t="str">
        <f>VLOOKUP(Base_Periodo1[[#This Row],[Aux]],Base_Contas_Balanco[#All],2,FALSE)</f>
        <v>Capital Social Realizado</v>
      </c>
      <c r="G4537" s="1"/>
      <c r="H4537" s="225">
        <v>116.02</v>
      </c>
      <c r="I4537" s="225">
        <v>0</v>
      </c>
      <c r="J4537" s="225">
        <v>0</v>
      </c>
      <c r="K4537" s="225">
        <v>116.02</v>
      </c>
      <c r="L45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116.02</v>
      </c>
      <c r="M4537" s="225">
        <f>ROUND(IF(AND(Base_Periodo1[[#This Row],[Tipo_Linha]]="-",Base_Periodo1[[#This Row],[TIPOSALDO]]="D"),Base_Periodo1[[#This Row],[SALDO_ATUAL]]*-1,Base_Periodo1[[#This Row],[SALDO_ATUAL]]),4)</f>
        <v>116.02</v>
      </c>
      <c r="N4537" t="s">
        <v>116</v>
      </c>
      <c r="O4537" t="s">
        <v>459</v>
      </c>
      <c r="P4537" t="s">
        <v>459</v>
      </c>
      <c r="Q4537">
        <v>6</v>
      </c>
      <c r="R4537" s="225">
        <f>Base_Periodo1[[#This Row],[CREDITOS]]-Base_Periodo1[[#This Row],[DEBITOS]]</f>
        <v>0</v>
      </c>
      <c r="S4537" s="3" t="str">
        <f>IF(ISERROR(VLOOKUP(Base_Periodo1[[#This Row],[CONTA]],BaseContasDRE[#All],4,FALSE)),"Fora do DRE",VLOOKUP(Base_Periodo1[[#This Row],[CONTA]],BaseContasDRE[#All],4,FALSE))</f>
        <v>Fora do DRE</v>
      </c>
      <c r="T4537" s="3" t="str">
        <f>IF(ISERROR(VLOOKUP(Base_Periodo1[[#This Row],[CONTA]],BaseContasDRE[#All],5,FALSE)),"Fora do DRE",VLOOKUP(Base_Periodo1[[#This Row],[CONTA]],BaseContasDRE[#All],6,FALSE))</f>
        <v>Fora do DRE</v>
      </c>
      <c r="U4537" s="3" t="str">
        <f>IF(ISERROR(VLOOKUP(Base_Periodo1[[#This Row],[CONTA]],BaseContasDRE[#All],7,FALSE)),"Fora do DRE",VLOOKUP(Base_Periodo1[[#This Row],[CONTA]],BaseContasDRE[#All],7,FALSE))</f>
        <v>Fora do DRE</v>
      </c>
      <c r="V4537" s="3" t="str">
        <f>IF(Base_Periodo1[[#This Row],[Tipo_Linha]]="Fora do DRE","Fora do DRE","( "&amp;Base_Periodo1[[#This Row],[Tipo_Linha]]&amp;" ) "&amp;Base_Periodo1[[#This Row],[Filtro]])</f>
        <v>Fora do DRE</v>
      </c>
      <c r="W4537" s="3" t="str">
        <f>LEFT(Base_Periodo1[[#This Row],[CLASS]],3)</f>
        <v>2.4</v>
      </c>
    </row>
    <row r="4538" spans="1:23" hidden="1">
      <c r="A4538" s="3" t="str">
        <f t="shared" si="70"/>
        <v>Período 1</v>
      </c>
      <c r="B4538">
        <v>46959</v>
      </c>
      <c r="C4538" t="s">
        <v>2300</v>
      </c>
      <c r="D4538" t="s">
        <v>2499</v>
      </c>
      <c r="E4538" s="3" t="str">
        <f>IF(LEN(Base_Periodo1[[#This Row],[CLASS]])&gt;=7,LEFT(Base_Periodo1[[#This Row],[CLASS]],7),"")</f>
        <v>2.4.1.1</v>
      </c>
      <c r="F4538" s="3" t="str">
        <f>VLOOKUP(Base_Periodo1[[#This Row],[Aux]],Base_Contas_Balanco[#All],2,FALSE)</f>
        <v>Capital Social Realizado</v>
      </c>
      <c r="G4538" s="1"/>
      <c r="H4538" s="225">
        <v>104.71000000000001</v>
      </c>
      <c r="I4538" s="225">
        <v>0</v>
      </c>
      <c r="J4538" s="225">
        <v>0</v>
      </c>
      <c r="K4538" s="225">
        <v>104.71000000000001</v>
      </c>
      <c r="L45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104.71</v>
      </c>
      <c r="M4538" s="225">
        <f>ROUND(IF(AND(Base_Periodo1[[#This Row],[Tipo_Linha]]="-",Base_Periodo1[[#This Row],[TIPOSALDO]]="D"),Base_Periodo1[[#This Row],[SALDO_ATUAL]]*-1,Base_Periodo1[[#This Row],[SALDO_ATUAL]]),4)</f>
        <v>104.71</v>
      </c>
      <c r="N4538" t="s">
        <v>116</v>
      </c>
      <c r="O4538" t="s">
        <v>459</v>
      </c>
      <c r="P4538" t="s">
        <v>459</v>
      </c>
      <c r="Q4538">
        <v>6</v>
      </c>
      <c r="R4538" s="225">
        <f>Base_Periodo1[[#This Row],[CREDITOS]]-Base_Periodo1[[#This Row],[DEBITOS]]</f>
        <v>0</v>
      </c>
      <c r="S4538" s="3" t="str">
        <f>IF(ISERROR(VLOOKUP(Base_Periodo1[[#This Row],[CONTA]],BaseContasDRE[#All],4,FALSE)),"Fora do DRE",VLOOKUP(Base_Periodo1[[#This Row],[CONTA]],BaseContasDRE[#All],4,FALSE))</f>
        <v>Fora do DRE</v>
      </c>
      <c r="T4538" s="3" t="str">
        <f>IF(ISERROR(VLOOKUP(Base_Periodo1[[#This Row],[CONTA]],BaseContasDRE[#All],5,FALSE)),"Fora do DRE",VLOOKUP(Base_Periodo1[[#This Row],[CONTA]],BaseContasDRE[#All],6,FALSE))</f>
        <v>Fora do DRE</v>
      </c>
      <c r="U4538" s="3" t="str">
        <f>IF(ISERROR(VLOOKUP(Base_Periodo1[[#This Row],[CONTA]],BaseContasDRE[#All],7,FALSE)),"Fora do DRE",VLOOKUP(Base_Periodo1[[#This Row],[CONTA]],BaseContasDRE[#All],7,FALSE))</f>
        <v>Fora do DRE</v>
      </c>
      <c r="V4538" s="3" t="str">
        <f>IF(Base_Periodo1[[#This Row],[Tipo_Linha]]="Fora do DRE","Fora do DRE","( "&amp;Base_Periodo1[[#This Row],[Tipo_Linha]]&amp;" ) "&amp;Base_Periodo1[[#This Row],[Filtro]])</f>
        <v>Fora do DRE</v>
      </c>
      <c r="W4538" s="3" t="str">
        <f>LEFT(Base_Periodo1[[#This Row],[CLASS]],3)</f>
        <v>2.4</v>
      </c>
    </row>
    <row r="4539" spans="1:23" hidden="1">
      <c r="A4539" s="3" t="str">
        <f t="shared" si="70"/>
        <v>Período 1</v>
      </c>
      <c r="B4539">
        <v>19739</v>
      </c>
      <c r="C4539" t="s">
        <v>2300</v>
      </c>
      <c r="D4539" t="s">
        <v>2500</v>
      </c>
      <c r="E4539" s="3" t="str">
        <f>IF(LEN(Base_Periodo1[[#This Row],[CLASS]])&gt;=7,LEFT(Base_Periodo1[[#This Row],[CLASS]],7),"")</f>
        <v>2.4.1.1</v>
      </c>
      <c r="F4539" s="3" t="str">
        <f>VLOOKUP(Base_Periodo1[[#This Row],[Aux]],Base_Contas_Balanco[#All],2,FALSE)</f>
        <v>Capital Social Realizado</v>
      </c>
      <c r="G4539" s="1"/>
      <c r="H4539" s="225">
        <v>448.72</v>
      </c>
      <c r="I4539" s="225">
        <v>0</v>
      </c>
      <c r="J4539" s="225">
        <v>0</v>
      </c>
      <c r="K4539" s="225">
        <v>448.72</v>
      </c>
      <c r="L45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448.72</v>
      </c>
      <c r="M4539" s="225">
        <f>ROUND(IF(AND(Base_Periodo1[[#This Row],[Tipo_Linha]]="-",Base_Periodo1[[#This Row],[TIPOSALDO]]="D"),Base_Periodo1[[#This Row],[SALDO_ATUAL]]*-1,Base_Periodo1[[#This Row],[SALDO_ATUAL]]),4)</f>
        <v>448.72</v>
      </c>
      <c r="N4539" t="s">
        <v>116</v>
      </c>
      <c r="O4539" t="s">
        <v>459</v>
      </c>
      <c r="P4539" t="s">
        <v>459</v>
      </c>
      <c r="Q4539">
        <v>6</v>
      </c>
      <c r="R4539" s="225">
        <f>Base_Periodo1[[#This Row],[CREDITOS]]-Base_Periodo1[[#This Row],[DEBITOS]]</f>
        <v>0</v>
      </c>
      <c r="S4539" s="3" t="str">
        <f>IF(ISERROR(VLOOKUP(Base_Periodo1[[#This Row],[CONTA]],BaseContasDRE[#All],4,FALSE)),"Fora do DRE",VLOOKUP(Base_Periodo1[[#This Row],[CONTA]],BaseContasDRE[#All],4,FALSE))</f>
        <v>Fora do DRE</v>
      </c>
      <c r="T4539" s="3" t="str">
        <f>IF(ISERROR(VLOOKUP(Base_Periodo1[[#This Row],[CONTA]],BaseContasDRE[#All],5,FALSE)),"Fora do DRE",VLOOKUP(Base_Periodo1[[#This Row],[CONTA]],BaseContasDRE[#All],6,FALSE))</f>
        <v>Fora do DRE</v>
      </c>
      <c r="U4539" s="3" t="str">
        <f>IF(ISERROR(VLOOKUP(Base_Periodo1[[#This Row],[CONTA]],BaseContasDRE[#All],7,FALSE)),"Fora do DRE",VLOOKUP(Base_Periodo1[[#This Row],[CONTA]],BaseContasDRE[#All],7,FALSE))</f>
        <v>Fora do DRE</v>
      </c>
      <c r="V4539" s="3" t="str">
        <f>IF(Base_Periodo1[[#This Row],[Tipo_Linha]]="Fora do DRE","Fora do DRE","( "&amp;Base_Periodo1[[#This Row],[Tipo_Linha]]&amp;" ) "&amp;Base_Periodo1[[#This Row],[Filtro]])</f>
        <v>Fora do DRE</v>
      </c>
      <c r="W4539" s="3" t="str">
        <f>LEFT(Base_Periodo1[[#This Row],[CLASS]],3)</f>
        <v>2.4</v>
      </c>
    </row>
    <row r="4540" spans="1:23" hidden="1">
      <c r="A4540" s="3" t="str">
        <f t="shared" si="70"/>
        <v>Período 1</v>
      </c>
      <c r="B4540">
        <v>25204</v>
      </c>
      <c r="C4540" t="s">
        <v>2300</v>
      </c>
      <c r="D4540" t="s">
        <v>2501</v>
      </c>
      <c r="E4540" s="3" t="str">
        <f>IF(LEN(Base_Periodo1[[#This Row],[CLASS]])&gt;=7,LEFT(Base_Periodo1[[#This Row],[CLASS]],7),"")</f>
        <v>2.4.1.1</v>
      </c>
      <c r="F4540" s="3" t="str">
        <f>VLOOKUP(Base_Periodo1[[#This Row],[Aux]],Base_Contas_Balanco[#All],2,FALSE)</f>
        <v>Capital Social Realizado</v>
      </c>
      <c r="G4540" s="1"/>
      <c r="H4540" s="225">
        <v>303.13</v>
      </c>
      <c r="I4540" s="225">
        <v>0</v>
      </c>
      <c r="J4540" s="225">
        <v>0</v>
      </c>
      <c r="K4540" s="225">
        <v>303.13</v>
      </c>
      <c r="L45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303.13</v>
      </c>
      <c r="M4540" s="225">
        <f>ROUND(IF(AND(Base_Periodo1[[#This Row],[Tipo_Linha]]="-",Base_Periodo1[[#This Row],[TIPOSALDO]]="D"),Base_Periodo1[[#This Row],[SALDO_ATUAL]]*-1,Base_Periodo1[[#This Row],[SALDO_ATUAL]]),4)</f>
        <v>303.13</v>
      </c>
      <c r="N4540" t="s">
        <v>116</v>
      </c>
      <c r="O4540" t="s">
        <v>459</v>
      </c>
      <c r="P4540" t="s">
        <v>459</v>
      </c>
      <c r="Q4540">
        <v>6</v>
      </c>
      <c r="R4540" s="225">
        <f>Base_Periodo1[[#This Row],[CREDITOS]]-Base_Periodo1[[#This Row],[DEBITOS]]</f>
        <v>0</v>
      </c>
      <c r="S4540" s="3" t="str">
        <f>IF(ISERROR(VLOOKUP(Base_Periodo1[[#This Row],[CONTA]],BaseContasDRE[#All],4,FALSE)),"Fora do DRE",VLOOKUP(Base_Periodo1[[#This Row],[CONTA]],BaseContasDRE[#All],4,FALSE))</f>
        <v>Fora do DRE</v>
      </c>
      <c r="T4540" s="3" t="str">
        <f>IF(ISERROR(VLOOKUP(Base_Periodo1[[#This Row],[CONTA]],BaseContasDRE[#All],5,FALSE)),"Fora do DRE",VLOOKUP(Base_Periodo1[[#This Row],[CONTA]],BaseContasDRE[#All],6,FALSE))</f>
        <v>Fora do DRE</v>
      </c>
      <c r="U4540" s="3" t="str">
        <f>IF(ISERROR(VLOOKUP(Base_Periodo1[[#This Row],[CONTA]],BaseContasDRE[#All],7,FALSE)),"Fora do DRE",VLOOKUP(Base_Periodo1[[#This Row],[CONTA]],BaseContasDRE[#All],7,FALSE))</f>
        <v>Fora do DRE</v>
      </c>
      <c r="V4540" s="3" t="str">
        <f>IF(Base_Periodo1[[#This Row],[Tipo_Linha]]="Fora do DRE","Fora do DRE","( "&amp;Base_Periodo1[[#This Row],[Tipo_Linha]]&amp;" ) "&amp;Base_Periodo1[[#This Row],[Filtro]])</f>
        <v>Fora do DRE</v>
      </c>
      <c r="W4540" s="3" t="str">
        <f>LEFT(Base_Periodo1[[#This Row],[CLASS]],3)</f>
        <v>2.4</v>
      </c>
    </row>
    <row r="4541" spans="1:23" hidden="1">
      <c r="A4541" s="3" t="str">
        <f t="shared" si="70"/>
        <v>Período 1</v>
      </c>
      <c r="B4541">
        <v>25537</v>
      </c>
      <c r="C4541" t="s">
        <v>2300</v>
      </c>
      <c r="D4541" t="s">
        <v>2502</v>
      </c>
      <c r="E4541" s="3" t="str">
        <f>IF(LEN(Base_Periodo1[[#This Row],[CLASS]])&gt;=7,LEFT(Base_Periodo1[[#This Row],[CLASS]],7),"")</f>
        <v>2.4.1.1</v>
      </c>
      <c r="F4541" s="3" t="str">
        <f>VLOOKUP(Base_Periodo1[[#This Row],[Aux]],Base_Contas_Balanco[#All],2,FALSE)</f>
        <v>Capital Social Realizado</v>
      </c>
      <c r="G4541" s="1"/>
      <c r="H4541" s="225">
        <v>401.08000000000004</v>
      </c>
      <c r="I4541" s="225">
        <v>0</v>
      </c>
      <c r="J4541" s="225">
        <v>0</v>
      </c>
      <c r="K4541" s="225">
        <v>401.08000000000004</v>
      </c>
      <c r="L45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401.08</v>
      </c>
      <c r="M4541" s="225">
        <f>ROUND(IF(AND(Base_Periodo1[[#This Row],[Tipo_Linha]]="-",Base_Periodo1[[#This Row],[TIPOSALDO]]="D"),Base_Periodo1[[#This Row],[SALDO_ATUAL]]*-1,Base_Periodo1[[#This Row],[SALDO_ATUAL]]),4)</f>
        <v>401.08</v>
      </c>
      <c r="N4541" t="s">
        <v>116</v>
      </c>
      <c r="O4541" t="s">
        <v>459</v>
      </c>
      <c r="P4541" t="s">
        <v>459</v>
      </c>
      <c r="Q4541">
        <v>6</v>
      </c>
      <c r="R4541" s="225">
        <f>Base_Periodo1[[#This Row],[CREDITOS]]-Base_Periodo1[[#This Row],[DEBITOS]]</f>
        <v>0</v>
      </c>
      <c r="S4541" s="3" t="str">
        <f>IF(ISERROR(VLOOKUP(Base_Periodo1[[#This Row],[CONTA]],BaseContasDRE[#All],4,FALSE)),"Fora do DRE",VLOOKUP(Base_Periodo1[[#This Row],[CONTA]],BaseContasDRE[#All],4,FALSE))</f>
        <v>Fora do DRE</v>
      </c>
      <c r="T4541" s="3" t="str">
        <f>IF(ISERROR(VLOOKUP(Base_Periodo1[[#This Row],[CONTA]],BaseContasDRE[#All],5,FALSE)),"Fora do DRE",VLOOKUP(Base_Periodo1[[#This Row],[CONTA]],BaseContasDRE[#All],6,FALSE))</f>
        <v>Fora do DRE</v>
      </c>
      <c r="U4541" s="3" t="str">
        <f>IF(ISERROR(VLOOKUP(Base_Periodo1[[#This Row],[CONTA]],BaseContasDRE[#All],7,FALSE)),"Fora do DRE",VLOOKUP(Base_Periodo1[[#This Row],[CONTA]],BaseContasDRE[#All],7,FALSE))</f>
        <v>Fora do DRE</v>
      </c>
      <c r="V4541" s="3" t="str">
        <f>IF(Base_Periodo1[[#This Row],[Tipo_Linha]]="Fora do DRE","Fora do DRE","( "&amp;Base_Periodo1[[#This Row],[Tipo_Linha]]&amp;" ) "&amp;Base_Periodo1[[#This Row],[Filtro]])</f>
        <v>Fora do DRE</v>
      </c>
      <c r="W4541" s="3" t="str">
        <f>LEFT(Base_Periodo1[[#This Row],[CLASS]],3)</f>
        <v>2.4</v>
      </c>
    </row>
    <row r="4542" spans="1:23" hidden="1">
      <c r="A4542" s="3" t="str">
        <f t="shared" si="70"/>
        <v>Período 1</v>
      </c>
      <c r="B4542">
        <v>32777</v>
      </c>
      <c r="C4542" t="s">
        <v>2300</v>
      </c>
      <c r="D4542" t="s">
        <v>2503</v>
      </c>
      <c r="E4542" s="3" t="str">
        <f>IF(LEN(Base_Periodo1[[#This Row],[CLASS]])&gt;=7,LEFT(Base_Periodo1[[#This Row],[CLASS]],7),"")</f>
        <v>2.4.1.1</v>
      </c>
      <c r="F4542" s="3" t="str">
        <f>VLOOKUP(Base_Periodo1[[#This Row],[Aux]],Base_Contas_Balanco[#All],2,FALSE)</f>
        <v>Capital Social Realizado</v>
      </c>
      <c r="G4542" s="1"/>
      <c r="H4542" s="225">
        <v>274.52999999999997</v>
      </c>
      <c r="I4542" s="225">
        <v>0</v>
      </c>
      <c r="J4542" s="225">
        <v>0</v>
      </c>
      <c r="K4542" s="225">
        <v>274.52999999999997</v>
      </c>
      <c r="L45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274.52999999999997</v>
      </c>
      <c r="M4542" s="225">
        <f>ROUND(IF(AND(Base_Periodo1[[#This Row],[Tipo_Linha]]="-",Base_Periodo1[[#This Row],[TIPOSALDO]]="D"),Base_Periodo1[[#This Row],[SALDO_ATUAL]]*-1,Base_Periodo1[[#This Row],[SALDO_ATUAL]]),4)</f>
        <v>274.52999999999997</v>
      </c>
      <c r="N4542" t="s">
        <v>116</v>
      </c>
      <c r="O4542" t="s">
        <v>459</v>
      </c>
      <c r="P4542" t="s">
        <v>459</v>
      </c>
      <c r="Q4542">
        <v>6</v>
      </c>
      <c r="R4542" s="225">
        <f>Base_Periodo1[[#This Row],[CREDITOS]]-Base_Periodo1[[#This Row],[DEBITOS]]</f>
        <v>0</v>
      </c>
      <c r="S4542" s="3" t="str">
        <f>IF(ISERROR(VLOOKUP(Base_Periodo1[[#This Row],[CONTA]],BaseContasDRE[#All],4,FALSE)),"Fora do DRE",VLOOKUP(Base_Periodo1[[#This Row],[CONTA]],BaseContasDRE[#All],4,FALSE))</f>
        <v>Fora do DRE</v>
      </c>
      <c r="T4542" s="3" t="str">
        <f>IF(ISERROR(VLOOKUP(Base_Periodo1[[#This Row],[CONTA]],BaseContasDRE[#All],5,FALSE)),"Fora do DRE",VLOOKUP(Base_Periodo1[[#This Row],[CONTA]],BaseContasDRE[#All],6,FALSE))</f>
        <v>Fora do DRE</v>
      </c>
      <c r="U4542" s="3" t="str">
        <f>IF(ISERROR(VLOOKUP(Base_Periodo1[[#This Row],[CONTA]],BaseContasDRE[#All],7,FALSE)),"Fora do DRE",VLOOKUP(Base_Periodo1[[#This Row],[CONTA]],BaseContasDRE[#All],7,FALSE))</f>
        <v>Fora do DRE</v>
      </c>
      <c r="V4542" s="3" t="str">
        <f>IF(Base_Periodo1[[#This Row],[Tipo_Linha]]="Fora do DRE","Fora do DRE","( "&amp;Base_Periodo1[[#This Row],[Tipo_Linha]]&amp;" ) "&amp;Base_Periodo1[[#This Row],[Filtro]])</f>
        <v>Fora do DRE</v>
      </c>
      <c r="W4542" s="3" t="str">
        <f>LEFT(Base_Periodo1[[#This Row],[CLASS]],3)</f>
        <v>2.4</v>
      </c>
    </row>
    <row r="4543" spans="1:23" hidden="1">
      <c r="A4543" s="3" t="str">
        <f t="shared" si="70"/>
        <v>Período 1</v>
      </c>
      <c r="B4543">
        <v>21215</v>
      </c>
      <c r="C4543" t="s">
        <v>2300</v>
      </c>
      <c r="D4543" t="s">
        <v>2504</v>
      </c>
      <c r="E4543" s="3" t="str">
        <f>IF(LEN(Base_Periodo1[[#This Row],[CLASS]])&gt;=7,LEFT(Base_Periodo1[[#This Row],[CLASS]],7),"")</f>
        <v>2.4.1.1</v>
      </c>
      <c r="F4543" s="3" t="str">
        <f>VLOOKUP(Base_Periodo1[[#This Row],[Aux]],Base_Contas_Balanco[#All],2,FALSE)</f>
        <v>Capital Social Realizado</v>
      </c>
      <c r="G4543" s="1"/>
      <c r="H4543" s="225">
        <v>1131.9099999999999</v>
      </c>
      <c r="I4543" s="225">
        <v>0</v>
      </c>
      <c r="J4543" s="225">
        <v>0</v>
      </c>
      <c r="K4543" s="225">
        <v>1131.9099999999999</v>
      </c>
      <c r="L45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1131.9100000000001</v>
      </c>
      <c r="M4543" s="225">
        <f>ROUND(IF(AND(Base_Periodo1[[#This Row],[Tipo_Linha]]="-",Base_Periodo1[[#This Row],[TIPOSALDO]]="D"),Base_Periodo1[[#This Row],[SALDO_ATUAL]]*-1,Base_Periodo1[[#This Row],[SALDO_ATUAL]]),4)</f>
        <v>1131.9100000000001</v>
      </c>
      <c r="N4543" t="s">
        <v>116</v>
      </c>
      <c r="O4543" t="s">
        <v>459</v>
      </c>
      <c r="P4543" t="s">
        <v>459</v>
      </c>
      <c r="Q4543">
        <v>6</v>
      </c>
      <c r="R4543" s="225">
        <f>Base_Periodo1[[#This Row],[CREDITOS]]-Base_Periodo1[[#This Row],[DEBITOS]]</f>
        <v>0</v>
      </c>
      <c r="S4543" s="3" t="str">
        <f>IF(ISERROR(VLOOKUP(Base_Periodo1[[#This Row],[CONTA]],BaseContasDRE[#All],4,FALSE)),"Fora do DRE",VLOOKUP(Base_Periodo1[[#This Row],[CONTA]],BaseContasDRE[#All],4,FALSE))</f>
        <v>Fora do DRE</v>
      </c>
      <c r="T4543" s="3" t="str">
        <f>IF(ISERROR(VLOOKUP(Base_Periodo1[[#This Row],[CONTA]],BaseContasDRE[#All],5,FALSE)),"Fora do DRE",VLOOKUP(Base_Periodo1[[#This Row],[CONTA]],BaseContasDRE[#All],6,FALSE))</f>
        <v>Fora do DRE</v>
      </c>
      <c r="U4543" s="3" t="str">
        <f>IF(ISERROR(VLOOKUP(Base_Periodo1[[#This Row],[CONTA]],BaseContasDRE[#All],7,FALSE)),"Fora do DRE",VLOOKUP(Base_Periodo1[[#This Row],[CONTA]],BaseContasDRE[#All],7,FALSE))</f>
        <v>Fora do DRE</v>
      </c>
      <c r="V4543" s="3" t="str">
        <f>IF(Base_Periodo1[[#This Row],[Tipo_Linha]]="Fora do DRE","Fora do DRE","( "&amp;Base_Periodo1[[#This Row],[Tipo_Linha]]&amp;" ) "&amp;Base_Periodo1[[#This Row],[Filtro]])</f>
        <v>Fora do DRE</v>
      </c>
      <c r="W4543" s="3" t="str">
        <f>LEFT(Base_Periodo1[[#This Row],[CLASS]],3)</f>
        <v>2.4</v>
      </c>
    </row>
    <row r="4544" spans="1:23" hidden="1">
      <c r="A4544" s="3" t="str">
        <f t="shared" si="70"/>
        <v>Período 1</v>
      </c>
      <c r="B4544">
        <v>26105</v>
      </c>
      <c r="C4544" t="s">
        <v>2300</v>
      </c>
      <c r="D4544" t="s">
        <v>2505</v>
      </c>
      <c r="E4544" s="3" t="str">
        <f>IF(LEN(Base_Periodo1[[#This Row],[CLASS]])&gt;=7,LEFT(Base_Periodo1[[#This Row],[CLASS]],7),"")</f>
        <v>2.4.1.1</v>
      </c>
      <c r="F4544" s="3" t="str">
        <f>VLOOKUP(Base_Periodo1[[#This Row],[Aux]],Base_Contas_Balanco[#All],2,FALSE)</f>
        <v>Capital Social Realizado</v>
      </c>
      <c r="G4544" s="1"/>
      <c r="H4544" s="225">
        <v>240</v>
      </c>
      <c r="I4544" s="225">
        <v>0</v>
      </c>
      <c r="J4544" s="225">
        <v>0</v>
      </c>
      <c r="K4544" s="225">
        <v>240</v>
      </c>
      <c r="L45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544" s="225">
        <f>ROUND(IF(AND(Base_Periodo1[[#This Row],[Tipo_Linha]]="-",Base_Periodo1[[#This Row],[TIPOSALDO]]="D"),Base_Periodo1[[#This Row],[SALDO_ATUAL]]*-1,Base_Periodo1[[#This Row],[SALDO_ATUAL]]),4)</f>
        <v>240</v>
      </c>
      <c r="N4544" t="s">
        <v>116</v>
      </c>
      <c r="O4544" t="s">
        <v>459</v>
      </c>
      <c r="P4544" t="s">
        <v>459</v>
      </c>
      <c r="Q4544">
        <v>6</v>
      </c>
      <c r="R4544" s="225">
        <f>Base_Periodo1[[#This Row],[CREDITOS]]-Base_Periodo1[[#This Row],[DEBITOS]]</f>
        <v>0</v>
      </c>
      <c r="S4544" s="3" t="str">
        <f>IF(ISERROR(VLOOKUP(Base_Periodo1[[#This Row],[CONTA]],BaseContasDRE[#All],4,FALSE)),"Fora do DRE",VLOOKUP(Base_Periodo1[[#This Row],[CONTA]],BaseContasDRE[#All],4,FALSE))</f>
        <v>Fora do DRE</v>
      </c>
      <c r="T4544" s="3" t="str">
        <f>IF(ISERROR(VLOOKUP(Base_Periodo1[[#This Row],[CONTA]],BaseContasDRE[#All],5,FALSE)),"Fora do DRE",VLOOKUP(Base_Periodo1[[#This Row],[CONTA]],BaseContasDRE[#All],6,FALSE))</f>
        <v>Fora do DRE</v>
      </c>
      <c r="U4544" s="3" t="str">
        <f>IF(ISERROR(VLOOKUP(Base_Periodo1[[#This Row],[CONTA]],BaseContasDRE[#All],7,FALSE)),"Fora do DRE",VLOOKUP(Base_Periodo1[[#This Row],[CONTA]],BaseContasDRE[#All],7,FALSE))</f>
        <v>Fora do DRE</v>
      </c>
      <c r="V4544" s="3" t="str">
        <f>IF(Base_Periodo1[[#This Row],[Tipo_Linha]]="Fora do DRE","Fora do DRE","( "&amp;Base_Periodo1[[#This Row],[Tipo_Linha]]&amp;" ) "&amp;Base_Periodo1[[#This Row],[Filtro]])</f>
        <v>Fora do DRE</v>
      </c>
      <c r="W4544" s="3" t="str">
        <f>LEFT(Base_Periodo1[[#This Row],[CLASS]],3)</f>
        <v>2.4</v>
      </c>
    </row>
    <row r="4545" spans="1:23" hidden="1">
      <c r="A4545" s="3" t="str">
        <f t="shared" si="70"/>
        <v>Período 1</v>
      </c>
      <c r="B4545">
        <v>47155</v>
      </c>
      <c r="C4545" t="s">
        <v>2300</v>
      </c>
      <c r="D4545" t="s">
        <v>2506</v>
      </c>
      <c r="E4545" s="3" t="str">
        <f>IF(LEN(Base_Periodo1[[#This Row],[CLASS]])&gt;=7,LEFT(Base_Periodo1[[#This Row],[CLASS]],7),"")</f>
        <v>2.4.1.1</v>
      </c>
      <c r="F4545" s="3" t="str">
        <f>VLOOKUP(Base_Periodo1[[#This Row],[Aux]],Base_Contas_Balanco[#All],2,FALSE)</f>
        <v>Capital Social Realizado</v>
      </c>
      <c r="G4545" s="1"/>
      <c r="H4545" s="225">
        <v>796.66</v>
      </c>
      <c r="I4545" s="225">
        <v>0</v>
      </c>
      <c r="J4545" s="225">
        <v>0</v>
      </c>
      <c r="K4545" s="225">
        <v>796.66</v>
      </c>
      <c r="L45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796.66</v>
      </c>
      <c r="M4545" s="225">
        <f>ROUND(IF(AND(Base_Periodo1[[#This Row],[Tipo_Linha]]="-",Base_Periodo1[[#This Row],[TIPOSALDO]]="D"),Base_Periodo1[[#This Row],[SALDO_ATUAL]]*-1,Base_Periodo1[[#This Row],[SALDO_ATUAL]]),4)</f>
        <v>796.66</v>
      </c>
      <c r="N4545" t="s">
        <v>116</v>
      </c>
      <c r="O4545" t="s">
        <v>459</v>
      </c>
      <c r="P4545" t="s">
        <v>459</v>
      </c>
      <c r="Q4545">
        <v>6</v>
      </c>
      <c r="R4545" s="225">
        <f>Base_Periodo1[[#This Row],[CREDITOS]]-Base_Periodo1[[#This Row],[DEBITOS]]</f>
        <v>0</v>
      </c>
      <c r="S4545" s="3" t="str">
        <f>IF(ISERROR(VLOOKUP(Base_Periodo1[[#This Row],[CONTA]],BaseContasDRE[#All],4,FALSE)),"Fora do DRE",VLOOKUP(Base_Periodo1[[#This Row],[CONTA]],BaseContasDRE[#All],4,FALSE))</f>
        <v>Fora do DRE</v>
      </c>
      <c r="T4545" s="3" t="str">
        <f>IF(ISERROR(VLOOKUP(Base_Periodo1[[#This Row],[CONTA]],BaseContasDRE[#All],5,FALSE)),"Fora do DRE",VLOOKUP(Base_Periodo1[[#This Row],[CONTA]],BaseContasDRE[#All],6,FALSE))</f>
        <v>Fora do DRE</v>
      </c>
      <c r="U4545" s="3" t="str">
        <f>IF(ISERROR(VLOOKUP(Base_Periodo1[[#This Row],[CONTA]],BaseContasDRE[#All],7,FALSE)),"Fora do DRE",VLOOKUP(Base_Periodo1[[#This Row],[CONTA]],BaseContasDRE[#All],7,FALSE))</f>
        <v>Fora do DRE</v>
      </c>
      <c r="V4545" s="3" t="str">
        <f>IF(Base_Periodo1[[#This Row],[Tipo_Linha]]="Fora do DRE","Fora do DRE","( "&amp;Base_Periodo1[[#This Row],[Tipo_Linha]]&amp;" ) "&amp;Base_Periodo1[[#This Row],[Filtro]])</f>
        <v>Fora do DRE</v>
      </c>
      <c r="W4545" s="3" t="str">
        <f>LEFT(Base_Periodo1[[#This Row],[CLASS]],3)</f>
        <v>2.4</v>
      </c>
    </row>
    <row r="4546" spans="1:23" hidden="1">
      <c r="A4546" s="3" t="str">
        <f t="shared" si="70"/>
        <v>Período 1</v>
      </c>
      <c r="B4546">
        <v>35830</v>
      </c>
      <c r="C4546" t="s">
        <v>2300</v>
      </c>
      <c r="D4546" t="s">
        <v>2507</v>
      </c>
      <c r="E4546" s="3" t="str">
        <f>IF(LEN(Base_Periodo1[[#This Row],[CLASS]])&gt;=7,LEFT(Base_Periodo1[[#This Row],[CLASS]],7),"")</f>
        <v>2.4.1.1</v>
      </c>
      <c r="F4546" s="3" t="str">
        <f>VLOOKUP(Base_Periodo1[[#This Row],[Aux]],Base_Contas_Balanco[#All],2,FALSE)</f>
        <v>Capital Social Realizado</v>
      </c>
      <c r="G4546" s="1"/>
      <c r="H4546" s="225">
        <v>300.59000000000003</v>
      </c>
      <c r="I4546" s="225">
        <v>0</v>
      </c>
      <c r="J4546" s="225">
        <v>0</v>
      </c>
      <c r="K4546" s="225">
        <v>300.59000000000003</v>
      </c>
      <c r="L45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300.58999999999997</v>
      </c>
      <c r="M4546" s="225">
        <f>ROUND(IF(AND(Base_Periodo1[[#This Row],[Tipo_Linha]]="-",Base_Periodo1[[#This Row],[TIPOSALDO]]="D"),Base_Periodo1[[#This Row],[SALDO_ATUAL]]*-1,Base_Periodo1[[#This Row],[SALDO_ATUAL]]),4)</f>
        <v>300.58999999999997</v>
      </c>
      <c r="N4546" t="s">
        <v>116</v>
      </c>
      <c r="O4546" t="s">
        <v>459</v>
      </c>
      <c r="P4546" t="s">
        <v>459</v>
      </c>
      <c r="Q4546">
        <v>6</v>
      </c>
      <c r="R4546" s="225">
        <f>Base_Periodo1[[#This Row],[CREDITOS]]-Base_Periodo1[[#This Row],[DEBITOS]]</f>
        <v>0</v>
      </c>
      <c r="S4546" s="3" t="str">
        <f>IF(ISERROR(VLOOKUP(Base_Periodo1[[#This Row],[CONTA]],BaseContasDRE[#All],4,FALSE)),"Fora do DRE",VLOOKUP(Base_Periodo1[[#This Row],[CONTA]],BaseContasDRE[#All],4,FALSE))</f>
        <v>Fora do DRE</v>
      </c>
      <c r="T4546" s="3" t="str">
        <f>IF(ISERROR(VLOOKUP(Base_Periodo1[[#This Row],[CONTA]],BaseContasDRE[#All],5,FALSE)),"Fora do DRE",VLOOKUP(Base_Periodo1[[#This Row],[CONTA]],BaseContasDRE[#All],6,FALSE))</f>
        <v>Fora do DRE</v>
      </c>
      <c r="U4546" s="3" t="str">
        <f>IF(ISERROR(VLOOKUP(Base_Periodo1[[#This Row],[CONTA]],BaseContasDRE[#All],7,FALSE)),"Fora do DRE",VLOOKUP(Base_Periodo1[[#This Row],[CONTA]],BaseContasDRE[#All],7,FALSE))</f>
        <v>Fora do DRE</v>
      </c>
      <c r="V4546" s="3" t="str">
        <f>IF(Base_Periodo1[[#This Row],[Tipo_Linha]]="Fora do DRE","Fora do DRE","( "&amp;Base_Periodo1[[#This Row],[Tipo_Linha]]&amp;" ) "&amp;Base_Periodo1[[#This Row],[Filtro]])</f>
        <v>Fora do DRE</v>
      </c>
      <c r="W4546" s="3" t="str">
        <f>LEFT(Base_Periodo1[[#This Row],[CLASS]],3)</f>
        <v>2.4</v>
      </c>
    </row>
    <row r="4547" spans="1:23" hidden="1">
      <c r="A4547" s="3" t="str">
        <f t="shared" si="70"/>
        <v>Período 1</v>
      </c>
      <c r="B4547">
        <v>19281</v>
      </c>
      <c r="C4547" t="s">
        <v>2300</v>
      </c>
      <c r="D4547" t="s">
        <v>2508</v>
      </c>
      <c r="E4547" s="3" t="str">
        <f>IF(LEN(Base_Periodo1[[#This Row],[CLASS]])&gt;=7,LEFT(Base_Periodo1[[#This Row],[CLASS]],7),"")</f>
        <v>2.4.1.1</v>
      </c>
      <c r="F4547" s="3" t="str">
        <f>VLOOKUP(Base_Periodo1[[#This Row],[Aux]],Base_Contas_Balanco[#All],2,FALSE)</f>
        <v>Capital Social Realizado</v>
      </c>
      <c r="G4547" s="1"/>
      <c r="H4547" s="225">
        <v>382.04999999999995</v>
      </c>
      <c r="I4547" s="225">
        <v>0</v>
      </c>
      <c r="J4547" s="225">
        <v>0</v>
      </c>
      <c r="K4547" s="225">
        <v>382.04999999999995</v>
      </c>
      <c r="L45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382.05</v>
      </c>
      <c r="M4547" s="225">
        <f>ROUND(IF(AND(Base_Periodo1[[#This Row],[Tipo_Linha]]="-",Base_Periodo1[[#This Row],[TIPOSALDO]]="D"),Base_Periodo1[[#This Row],[SALDO_ATUAL]]*-1,Base_Periodo1[[#This Row],[SALDO_ATUAL]]),4)</f>
        <v>382.05</v>
      </c>
      <c r="N4547" t="s">
        <v>116</v>
      </c>
      <c r="O4547" t="s">
        <v>459</v>
      </c>
      <c r="P4547" t="s">
        <v>459</v>
      </c>
      <c r="Q4547">
        <v>6</v>
      </c>
      <c r="R4547" s="225">
        <f>Base_Periodo1[[#This Row],[CREDITOS]]-Base_Periodo1[[#This Row],[DEBITOS]]</f>
        <v>0</v>
      </c>
      <c r="S4547" s="3" t="str">
        <f>IF(ISERROR(VLOOKUP(Base_Periodo1[[#This Row],[CONTA]],BaseContasDRE[#All],4,FALSE)),"Fora do DRE",VLOOKUP(Base_Periodo1[[#This Row],[CONTA]],BaseContasDRE[#All],4,FALSE))</f>
        <v>Fora do DRE</v>
      </c>
      <c r="T4547" s="3" t="str">
        <f>IF(ISERROR(VLOOKUP(Base_Periodo1[[#This Row],[CONTA]],BaseContasDRE[#All],5,FALSE)),"Fora do DRE",VLOOKUP(Base_Periodo1[[#This Row],[CONTA]],BaseContasDRE[#All],6,FALSE))</f>
        <v>Fora do DRE</v>
      </c>
      <c r="U4547" s="3" t="str">
        <f>IF(ISERROR(VLOOKUP(Base_Periodo1[[#This Row],[CONTA]],BaseContasDRE[#All],7,FALSE)),"Fora do DRE",VLOOKUP(Base_Periodo1[[#This Row],[CONTA]],BaseContasDRE[#All],7,FALSE))</f>
        <v>Fora do DRE</v>
      </c>
      <c r="V4547" s="3" t="str">
        <f>IF(Base_Periodo1[[#This Row],[Tipo_Linha]]="Fora do DRE","Fora do DRE","( "&amp;Base_Periodo1[[#This Row],[Tipo_Linha]]&amp;" ) "&amp;Base_Periodo1[[#This Row],[Filtro]])</f>
        <v>Fora do DRE</v>
      </c>
      <c r="W4547" s="3" t="str">
        <f>LEFT(Base_Periodo1[[#This Row],[CLASS]],3)</f>
        <v>2.4</v>
      </c>
    </row>
    <row r="4548" spans="1:23" hidden="1">
      <c r="A4548" s="3" t="str">
        <f t="shared" si="70"/>
        <v>Período 1</v>
      </c>
      <c r="B4548">
        <v>47230</v>
      </c>
      <c r="C4548" t="s">
        <v>2300</v>
      </c>
      <c r="D4548" t="s">
        <v>2509</v>
      </c>
      <c r="E4548" s="3" t="str">
        <f>IF(LEN(Base_Periodo1[[#This Row],[CLASS]])&gt;=7,LEFT(Base_Periodo1[[#This Row],[CLASS]],7),"")</f>
        <v>2.4.1.1</v>
      </c>
      <c r="F4548" s="3" t="str">
        <f>VLOOKUP(Base_Periodo1[[#This Row],[Aux]],Base_Contas_Balanco[#All],2,FALSE)</f>
        <v>Capital Social Realizado</v>
      </c>
      <c r="G4548" s="1"/>
      <c r="H4548" s="225">
        <v>79.2</v>
      </c>
      <c r="I4548" s="225">
        <v>0</v>
      </c>
      <c r="J4548" s="225">
        <v>0</v>
      </c>
      <c r="K4548" s="225">
        <v>79.2</v>
      </c>
      <c r="L45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79.2</v>
      </c>
      <c r="M4548" s="225">
        <f>ROUND(IF(AND(Base_Periodo1[[#This Row],[Tipo_Linha]]="-",Base_Periodo1[[#This Row],[TIPOSALDO]]="D"),Base_Periodo1[[#This Row],[SALDO_ATUAL]]*-1,Base_Periodo1[[#This Row],[SALDO_ATUAL]]),4)</f>
        <v>79.2</v>
      </c>
      <c r="N4548" t="s">
        <v>116</v>
      </c>
      <c r="O4548" t="s">
        <v>459</v>
      </c>
      <c r="P4548" t="s">
        <v>459</v>
      </c>
      <c r="Q4548">
        <v>6</v>
      </c>
      <c r="R4548" s="225">
        <f>Base_Periodo1[[#This Row],[CREDITOS]]-Base_Periodo1[[#This Row],[DEBITOS]]</f>
        <v>0</v>
      </c>
      <c r="S4548" s="3" t="str">
        <f>IF(ISERROR(VLOOKUP(Base_Periodo1[[#This Row],[CONTA]],BaseContasDRE[#All],4,FALSE)),"Fora do DRE",VLOOKUP(Base_Periodo1[[#This Row],[CONTA]],BaseContasDRE[#All],4,FALSE))</f>
        <v>Fora do DRE</v>
      </c>
      <c r="T4548" s="3" t="str">
        <f>IF(ISERROR(VLOOKUP(Base_Periodo1[[#This Row],[CONTA]],BaseContasDRE[#All],5,FALSE)),"Fora do DRE",VLOOKUP(Base_Periodo1[[#This Row],[CONTA]],BaseContasDRE[#All],6,FALSE))</f>
        <v>Fora do DRE</v>
      </c>
      <c r="U4548" s="3" t="str">
        <f>IF(ISERROR(VLOOKUP(Base_Periodo1[[#This Row],[CONTA]],BaseContasDRE[#All],7,FALSE)),"Fora do DRE",VLOOKUP(Base_Periodo1[[#This Row],[CONTA]],BaseContasDRE[#All],7,FALSE))</f>
        <v>Fora do DRE</v>
      </c>
      <c r="V4548" s="3" t="str">
        <f>IF(Base_Periodo1[[#This Row],[Tipo_Linha]]="Fora do DRE","Fora do DRE","( "&amp;Base_Periodo1[[#This Row],[Tipo_Linha]]&amp;" ) "&amp;Base_Periodo1[[#This Row],[Filtro]])</f>
        <v>Fora do DRE</v>
      </c>
      <c r="W4548" s="3" t="str">
        <f>LEFT(Base_Periodo1[[#This Row],[CLASS]],3)</f>
        <v>2.4</v>
      </c>
    </row>
    <row r="4549" spans="1:23" hidden="1">
      <c r="A4549" s="3" t="str">
        <f t="shared" si="70"/>
        <v>Período 1</v>
      </c>
      <c r="B4549">
        <v>19746</v>
      </c>
      <c r="C4549" t="s">
        <v>2300</v>
      </c>
      <c r="D4549" t="s">
        <v>2510</v>
      </c>
      <c r="E4549" s="3" t="str">
        <f>IF(LEN(Base_Periodo1[[#This Row],[CLASS]])&gt;=7,LEFT(Base_Periodo1[[#This Row],[CLASS]],7),"")</f>
        <v>2.4.1.1</v>
      </c>
      <c r="F4549" s="3" t="str">
        <f>VLOOKUP(Base_Periodo1[[#This Row],[Aux]],Base_Contas_Balanco[#All],2,FALSE)</f>
        <v>Capital Social Realizado</v>
      </c>
      <c r="G4549" s="1"/>
      <c r="H4549" s="225">
        <v>5823.3099999999995</v>
      </c>
      <c r="I4549" s="225">
        <v>0</v>
      </c>
      <c r="J4549" s="225">
        <v>0</v>
      </c>
      <c r="K4549" s="225">
        <v>5823.3099999999995</v>
      </c>
      <c r="L45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5823.31</v>
      </c>
      <c r="M4549" s="225">
        <f>ROUND(IF(AND(Base_Periodo1[[#This Row],[Tipo_Linha]]="-",Base_Periodo1[[#This Row],[TIPOSALDO]]="D"),Base_Periodo1[[#This Row],[SALDO_ATUAL]]*-1,Base_Periodo1[[#This Row],[SALDO_ATUAL]]),4)</f>
        <v>5823.31</v>
      </c>
      <c r="N4549" t="s">
        <v>116</v>
      </c>
      <c r="O4549" t="s">
        <v>459</v>
      </c>
      <c r="P4549" t="s">
        <v>459</v>
      </c>
      <c r="Q4549">
        <v>6</v>
      </c>
      <c r="R4549" s="225">
        <f>Base_Periodo1[[#This Row],[CREDITOS]]-Base_Periodo1[[#This Row],[DEBITOS]]</f>
        <v>0</v>
      </c>
      <c r="S4549" s="3" t="str">
        <f>IF(ISERROR(VLOOKUP(Base_Periodo1[[#This Row],[CONTA]],BaseContasDRE[#All],4,FALSE)),"Fora do DRE",VLOOKUP(Base_Periodo1[[#This Row],[CONTA]],BaseContasDRE[#All],4,FALSE))</f>
        <v>Fora do DRE</v>
      </c>
      <c r="T4549" s="3" t="str">
        <f>IF(ISERROR(VLOOKUP(Base_Periodo1[[#This Row],[CONTA]],BaseContasDRE[#All],5,FALSE)),"Fora do DRE",VLOOKUP(Base_Periodo1[[#This Row],[CONTA]],BaseContasDRE[#All],6,FALSE))</f>
        <v>Fora do DRE</v>
      </c>
      <c r="U4549" s="3" t="str">
        <f>IF(ISERROR(VLOOKUP(Base_Periodo1[[#This Row],[CONTA]],BaseContasDRE[#All],7,FALSE)),"Fora do DRE",VLOOKUP(Base_Periodo1[[#This Row],[CONTA]],BaseContasDRE[#All],7,FALSE))</f>
        <v>Fora do DRE</v>
      </c>
      <c r="V4549" s="3" t="str">
        <f>IF(Base_Periodo1[[#This Row],[Tipo_Linha]]="Fora do DRE","Fora do DRE","( "&amp;Base_Periodo1[[#This Row],[Tipo_Linha]]&amp;" ) "&amp;Base_Periodo1[[#This Row],[Filtro]])</f>
        <v>Fora do DRE</v>
      </c>
      <c r="W4549" s="3" t="str">
        <f>LEFT(Base_Periodo1[[#This Row],[CLASS]],3)</f>
        <v>2.4</v>
      </c>
    </row>
    <row r="4550" spans="1:23" hidden="1">
      <c r="A4550" s="3" t="str">
        <f t="shared" ref="A4550:A4613" si="71">"Período 1"</f>
        <v>Período 1</v>
      </c>
      <c r="B4550">
        <v>16017</v>
      </c>
      <c r="C4550" t="s">
        <v>2300</v>
      </c>
      <c r="D4550" t="s">
        <v>2511</v>
      </c>
      <c r="E4550" s="3" t="str">
        <f>IF(LEN(Base_Periodo1[[#This Row],[CLASS]])&gt;=7,LEFT(Base_Periodo1[[#This Row],[CLASS]],7),"")</f>
        <v>2.4.1.1</v>
      </c>
      <c r="F4550" s="3" t="str">
        <f>VLOOKUP(Base_Periodo1[[#This Row],[Aux]],Base_Contas_Balanco[#All],2,FALSE)</f>
        <v>Capital Social Realizado</v>
      </c>
      <c r="G4550" s="1"/>
      <c r="H4550" s="225">
        <v>3007.65</v>
      </c>
      <c r="I4550" s="225">
        <v>0</v>
      </c>
      <c r="J4550" s="225">
        <v>0</v>
      </c>
      <c r="K4550" s="225">
        <v>3007.65</v>
      </c>
      <c r="L45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3007.65</v>
      </c>
      <c r="M4550" s="225">
        <f>ROUND(IF(AND(Base_Periodo1[[#This Row],[Tipo_Linha]]="-",Base_Periodo1[[#This Row],[TIPOSALDO]]="D"),Base_Periodo1[[#This Row],[SALDO_ATUAL]]*-1,Base_Periodo1[[#This Row],[SALDO_ATUAL]]),4)</f>
        <v>3007.65</v>
      </c>
      <c r="N4550" t="s">
        <v>116</v>
      </c>
      <c r="O4550" t="s">
        <v>459</v>
      </c>
      <c r="P4550" t="s">
        <v>459</v>
      </c>
      <c r="Q4550">
        <v>6</v>
      </c>
      <c r="R4550" s="225">
        <f>Base_Periodo1[[#This Row],[CREDITOS]]-Base_Periodo1[[#This Row],[DEBITOS]]</f>
        <v>0</v>
      </c>
      <c r="S4550" s="3" t="str">
        <f>IF(ISERROR(VLOOKUP(Base_Periodo1[[#This Row],[CONTA]],BaseContasDRE[#All],4,FALSE)),"Fora do DRE",VLOOKUP(Base_Periodo1[[#This Row],[CONTA]],BaseContasDRE[#All],4,FALSE))</f>
        <v>Fora do DRE</v>
      </c>
      <c r="T4550" s="3" t="str">
        <f>IF(ISERROR(VLOOKUP(Base_Periodo1[[#This Row],[CONTA]],BaseContasDRE[#All],5,FALSE)),"Fora do DRE",VLOOKUP(Base_Periodo1[[#This Row],[CONTA]],BaseContasDRE[#All],6,FALSE))</f>
        <v>Fora do DRE</v>
      </c>
      <c r="U4550" s="3" t="str">
        <f>IF(ISERROR(VLOOKUP(Base_Periodo1[[#This Row],[CONTA]],BaseContasDRE[#All],7,FALSE)),"Fora do DRE",VLOOKUP(Base_Periodo1[[#This Row],[CONTA]],BaseContasDRE[#All],7,FALSE))</f>
        <v>Fora do DRE</v>
      </c>
      <c r="V4550" s="3" t="str">
        <f>IF(Base_Periodo1[[#This Row],[Tipo_Linha]]="Fora do DRE","Fora do DRE","( "&amp;Base_Periodo1[[#This Row],[Tipo_Linha]]&amp;" ) "&amp;Base_Periodo1[[#This Row],[Filtro]])</f>
        <v>Fora do DRE</v>
      </c>
      <c r="W4550" s="3" t="str">
        <f>LEFT(Base_Periodo1[[#This Row],[CLASS]],3)</f>
        <v>2.4</v>
      </c>
    </row>
    <row r="4551" spans="1:23" hidden="1">
      <c r="A4551" s="3" t="str">
        <f t="shared" si="71"/>
        <v>Período 1</v>
      </c>
      <c r="B4551">
        <v>36041</v>
      </c>
      <c r="C4551" t="s">
        <v>2300</v>
      </c>
      <c r="D4551" t="s">
        <v>2512</v>
      </c>
      <c r="E4551" s="3" t="str">
        <f>IF(LEN(Base_Periodo1[[#This Row],[CLASS]])&gt;=7,LEFT(Base_Periodo1[[#This Row],[CLASS]],7),"")</f>
        <v>2.4.1.1</v>
      </c>
      <c r="F4551" s="3" t="str">
        <f>VLOOKUP(Base_Periodo1[[#This Row],[Aux]],Base_Contas_Balanco[#All],2,FALSE)</f>
        <v>Capital Social Realizado</v>
      </c>
      <c r="G4551" s="1"/>
      <c r="H4551" s="225">
        <v>50</v>
      </c>
      <c r="I4551" s="225">
        <v>0</v>
      </c>
      <c r="J4551" s="225">
        <v>0</v>
      </c>
      <c r="K4551" s="225">
        <v>50</v>
      </c>
      <c r="L45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51" s="225">
        <f>ROUND(IF(AND(Base_Periodo1[[#This Row],[Tipo_Linha]]="-",Base_Periodo1[[#This Row],[TIPOSALDO]]="D"),Base_Periodo1[[#This Row],[SALDO_ATUAL]]*-1,Base_Periodo1[[#This Row],[SALDO_ATUAL]]),4)</f>
        <v>50</v>
      </c>
      <c r="N4551" t="s">
        <v>116</v>
      </c>
      <c r="O4551" t="s">
        <v>459</v>
      </c>
      <c r="P4551" t="s">
        <v>459</v>
      </c>
      <c r="Q4551">
        <v>6</v>
      </c>
      <c r="R4551" s="225">
        <f>Base_Periodo1[[#This Row],[CREDITOS]]-Base_Periodo1[[#This Row],[DEBITOS]]</f>
        <v>0</v>
      </c>
      <c r="S4551" s="3" t="str">
        <f>IF(ISERROR(VLOOKUP(Base_Periodo1[[#This Row],[CONTA]],BaseContasDRE[#All],4,FALSE)),"Fora do DRE",VLOOKUP(Base_Periodo1[[#This Row],[CONTA]],BaseContasDRE[#All],4,FALSE))</f>
        <v>Fora do DRE</v>
      </c>
      <c r="T4551" s="3" t="str">
        <f>IF(ISERROR(VLOOKUP(Base_Periodo1[[#This Row],[CONTA]],BaseContasDRE[#All],5,FALSE)),"Fora do DRE",VLOOKUP(Base_Periodo1[[#This Row],[CONTA]],BaseContasDRE[#All],6,FALSE))</f>
        <v>Fora do DRE</v>
      </c>
      <c r="U4551" s="3" t="str">
        <f>IF(ISERROR(VLOOKUP(Base_Periodo1[[#This Row],[CONTA]],BaseContasDRE[#All],7,FALSE)),"Fora do DRE",VLOOKUP(Base_Periodo1[[#This Row],[CONTA]],BaseContasDRE[#All],7,FALSE))</f>
        <v>Fora do DRE</v>
      </c>
      <c r="V4551" s="3" t="str">
        <f>IF(Base_Periodo1[[#This Row],[Tipo_Linha]]="Fora do DRE","Fora do DRE","( "&amp;Base_Periodo1[[#This Row],[Tipo_Linha]]&amp;" ) "&amp;Base_Periodo1[[#This Row],[Filtro]])</f>
        <v>Fora do DRE</v>
      </c>
      <c r="W4551" s="3" t="str">
        <f>LEFT(Base_Periodo1[[#This Row],[CLASS]],3)</f>
        <v>2.4</v>
      </c>
    </row>
    <row r="4552" spans="1:23" hidden="1">
      <c r="A4552" s="3" t="str">
        <f t="shared" si="71"/>
        <v>Período 1</v>
      </c>
      <c r="B4552">
        <v>26530</v>
      </c>
      <c r="C4552" t="s">
        <v>2300</v>
      </c>
      <c r="D4552" t="s">
        <v>2513</v>
      </c>
      <c r="E4552" s="3" t="str">
        <f>IF(LEN(Base_Periodo1[[#This Row],[CLASS]])&gt;=7,LEFT(Base_Periodo1[[#This Row],[CLASS]],7),"")</f>
        <v>2.4.1.1</v>
      </c>
      <c r="F4552" s="3" t="str">
        <f>VLOOKUP(Base_Periodo1[[#This Row],[Aux]],Base_Contas_Balanco[#All],2,FALSE)</f>
        <v>Capital Social Realizado</v>
      </c>
      <c r="G4552" s="1"/>
      <c r="H4552" s="225">
        <v>50</v>
      </c>
      <c r="I4552" s="225">
        <v>0</v>
      </c>
      <c r="J4552" s="225">
        <v>0</v>
      </c>
      <c r="K4552" s="225">
        <v>50</v>
      </c>
      <c r="L45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52" s="225">
        <f>ROUND(IF(AND(Base_Periodo1[[#This Row],[Tipo_Linha]]="-",Base_Periodo1[[#This Row],[TIPOSALDO]]="D"),Base_Periodo1[[#This Row],[SALDO_ATUAL]]*-1,Base_Periodo1[[#This Row],[SALDO_ATUAL]]),4)</f>
        <v>50</v>
      </c>
      <c r="N4552" t="s">
        <v>116</v>
      </c>
      <c r="O4552" t="s">
        <v>459</v>
      </c>
      <c r="P4552" t="s">
        <v>459</v>
      </c>
      <c r="Q4552">
        <v>6</v>
      </c>
      <c r="R4552" s="225">
        <f>Base_Periodo1[[#This Row],[CREDITOS]]-Base_Periodo1[[#This Row],[DEBITOS]]</f>
        <v>0</v>
      </c>
      <c r="S4552" s="3" t="str">
        <f>IF(ISERROR(VLOOKUP(Base_Periodo1[[#This Row],[CONTA]],BaseContasDRE[#All],4,FALSE)),"Fora do DRE",VLOOKUP(Base_Periodo1[[#This Row],[CONTA]],BaseContasDRE[#All],4,FALSE))</f>
        <v>Fora do DRE</v>
      </c>
      <c r="T4552" s="3" t="str">
        <f>IF(ISERROR(VLOOKUP(Base_Periodo1[[#This Row],[CONTA]],BaseContasDRE[#All],5,FALSE)),"Fora do DRE",VLOOKUP(Base_Periodo1[[#This Row],[CONTA]],BaseContasDRE[#All],6,FALSE))</f>
        <v>Fora do DRE</v>
      </c>
      <c r="U4552" s="3" t="str">
        <f>IF(ISERROR(VLOOKUP(Base_Periodo1[[#This Row],[CONTA]],BaseContasDRE[#All],7,FALSE)),"Fora do DRE",VLOOKUP(Base_Periodo1[[#This Row],[CONTA]],BaseContasDRE[#All],7,FALSE))</f>
        <v>Fora do DRE</v>
      </c>
      <c r="V4552" s="3" t="str">
        <f>IF(Base_Periodo1[[#This Row],[Tipo_Linha]]="Fora do DRE","Fora do DRE","( "&amp;Base_Periodo1[[#This Row],[Tipo_Linha]]&amp;" ) "&amp;Base_Periodo1[[#This Row],[Filtro]])</f>
        <v>Fora do DRE</v>
      </c>
      <c r="W4552" s="3" t="str">
        <f>LEFT(Base_Periodo1[[#This Row],[CLASS]],3)</f>
        <v>2.4</v>
      </c>
    </row>
    <row r="4553" spans="1:23" hidden="1">
      <c r="A4553" s="3" t="str">
        <f t="shared" si="71"/>
        <v>Período 1</v>
      </c>
      <c r="B4553">
        <v>48149</v>
      </c>
      <c r="C4553" t="s">
        <v>2300</v>
      </c>
      <c r="D4553" t="s">
        <v>2514</v>
      </c>
      <c r="E4553" s="3" t="str">
        <f>IF(LEN(Base_Periodo1[[#This Row],[CLASS]])&gt;=7,LEFT(Base_Periodo1[[#This Row],[CLASS]],7),"")</f>
        <v>2.4.1.1</v>
      </c>
      <c r="F4553" s="3" t="str">
        <f>VLOOKUP(Base_Periodo1[[#This Row],[Aux]],Base_Contas_Balanco[#All],2,FALSE)</f>
        <v>Capital Social Realizado</v>
      </c>
      <c r="G4553" s="1"/>
      <c r="H4553" s="225">
        <v>53.39</v>
      </c>
      <c r="I4553" s="225">
        <v>0</v>
      </c>
      <c r="J4553" s="225">
        <v>0</v>
      </c>
      <c r="K4553" s="225">
        <v>53.39</v>
      </c>
      <c r="L45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53.39</v>
      </c>
      <c r="M4553" s="225">
        <f>ROUND(IF(AND(Base_Periodo1[[#This Row],[Tipo_Linha]]="-",Base_Periodo1[[#This Row],[TIPOSALDO]]="D"),Base_Periodo1[[#This Row],[SALDO_ATUAL]]*-1,Base_Periodo1[[#This Row],[SALDO_ATUAL]]),4)</f>
        <v>53.39</v>
      </c>
      <c r="N4553" t="s">
        <v>116</v>
      </c>
      <c r="O4553" t="s">
        <v>459</v>
      </c>
      <c r="P4553" t="s">
        <v>459</v>
      </c>
      <c r="Q4553">
        <v>6</v>
      </c>
      <c r="R4553" s="225">
        <f>Base_Periodo1[[#This Row],[CREDITOS]]-Base_Periodo1[[#This Row],[DEBITOS]]</f>
        <v>0</v>
      </c>
      <c r="S4553" s="3" t="str">
        <f>IF(ISERROR(VLOOKUP(Base_Periodo1[[#This Row],[CONTA]],BaseContasDRE[#All],4,FALSE)),"Fora do DRE",VLOOKUP(Base_Periodo1[[#This Row],[CONTA]],BaseContasDRE[#All],4,FALSE))</f>
        <v>Fora do DRE</v>
      </c>
      <c r="T4553" s="3" t="str">
        <f>IF(ISERROR(VLOOKUP(Base_Periodo1[[#This Row],[CONTA]],BaseContasDRE[#All],5,FALSE)),"Fora do DRE",VLOOKUP(Base_Periodo1[[#This Row],[CONTA]],BaseContasDRE[#All],6,FALSE))</f>
        <v>Fora do DRE</v>
      </c>
      <c r="U4553" s="3" t="str">
        <f>IF(ISERROR(VLOOKUP(Base_Periodo1[[#This Row],[CONTA]],BaseContasDRE[#All],7,FALSE)),"Fora do DRE",VLOOKUP(Base_Periodo1[[#This Row],[CONTA]],BaseContasDRE[#All],7,FALSE))</f>
        <v>Fora do DRE</v>
      </c>
      <c r="V4553" s="3" t="str">
        <f>IF(Base_Periodo1[[#This Row],[Tipo_Linha]]="Fora do DRE","Fora do DRE","( "&amp;Base_Periodo1[[#This Row],[Tipo_Linha]]&amp;" ) "&amp;Base_Periodo1[[#This Row],[Filtro]])</f>
        <v>Fora do DRE</v>
      </c>
      <c r="W4553" s="3" t="str">
        <f>LEFT(Base_Periodo1[[#This Row],[CLASS]],3)</f>
        <v>2.4</v>
      </c>
    </row>
    <row r="4554" spans="1:23" hidden="1">
      <c r="A4554" s="3" t="str">
        <f t="shared" si="71"/>
        <v>Período 1</v>
      </c>
      <c r="B4554">
        <v>19742</v>
      </c>
      <c r="C4554" t="s">
        <v>2300</v>
      </c>
      <c r="D4554" t="s">
        <v>2515</v>
      </c>
      <c r="E4554" s="3" t="str">
        <f>IF(LEN(Base_Periodo1[[#This Row],[CLASS]])&gt;=7,LEFT(Base_Periodo1[[#This Row],[CLASS]],7),"")</f>
        <v>2.4.1.1</v>
      </c>
      <c r="F4554" s="3" t="str">
        <f>VLOOKUP(Base_Periodo1[[#This Row],[Aux]],Base_Contas_Balanco[#All],2,FALSE)</f>
        <v>Capital Social Realizado</v>
      </c>
      <c r="G4554" s="1"/>
      <c r="H4554" s="225">
        <v>4068.86</v>
      </c>
      <c r="I4554" s="225">
        <v>0</v>
      </c>
      <c r="J4554" s="225">
        <v>0</v>
      </c>
      <c r="K4554" s="225">
        <v>4068.86</v>
      </c>
      <c r="L45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4068.86</v>
      </c>
      <c r="M4554" s="225">
        <f>ROUND(IF(AND(Base_Periodo1[[#This Row],[Tipo_Linha]]="-",Base_Periodo1[[#This Row],[TIPOSALDO]]="D"),Base_Periodo1[[#This Row],[SALDO_ATUAL]]*-1,Base_Periodo1[[#This Row],[SALDO_ATUAL]]),4)</f>
        <v>4068.86</v>
      </c>
      <c r="N4554" t="s">
        <v>116</v>
      </c>
      <c r="O4554" t="s">
        <v>459</v>
      </c>
      <c r="P4554" t="s">
        <v>459</v>
      </c>
      <c r="Q4554">
        <v>6</v>
      </c>
      <c r="R4554" s="225">
        <f>Base_Periodo1[[#This Row],[CREDITOS]]-Base_Periodo1[[#This Row],[DEBITOS]]</f>
        <v>0</v>
      </c>
      <c r="S4554" s="3" t="str">
        <f>IF(ISERROR(VLOOKUP(Base_Periodo1[[#This Row],[CONTA]],BaseContasDRE[#All],4,FALSE)),"Fora do DRE",VLOOKUP(Base_Periodo1[[#This Row],[CONTA]],BaseContasDRE[#All],4,FALSE))</f>
        <v>Fora do DRE</v>
      </c>
      <c r="T4554" s="3" t="str">
        <f>IF(ISERROR(VLOOKUP(Base_Periodo1[[#This Row],[CONTA]],BaseContasDRE[#All],5,FALSE)),"Fora do DRE",VLOOKUP(Base_Periodo1[[#This Row],[CONTA]],BaseContasDRE[#All],6,FALSE))</f>
        <v>Fora do DRE</v>
      </c>
      <c r="U4554" s="3" t="str">
        <f>IF(ISERROR(VLOOKUP(Base_Periodo1[[#This Row],[CONTA]],BaseContasDRE[#All],7,FALSE)),"Fora do DRE",VLOOKUP(Base_Periodo1[[#This Row],[CONTA]],BaseContasDRE[#All],7,FALSE))</f>
        <v>Fora do DRE</v>
      </c>
      <c r="V4554" s="3" t="str">
        <f>IF(Base_Periodo1[[#This Row],[Tipo_Linha]]="Fora do DRE","Fora do DRE","( "&amp;Base_Periodo1[[#This Row],[Tipo_Linha]]&amp;" ) "&amp;Base_Periodo1[[#This Row],[Filtro]])</f>
        <v>Fora do DRE</v>
      </c>
      <c r="W4554" s="3" t="str">
        <f>LEFT(Base_Periodo1[[#This Row],[CLASS]],3)</f>
        <v>2.4</v>
      </c>
    </row>
    <row r="4555" spans="1:23" hidden="1">
      <c r="A4555" s="3" t="str">
        <f t="shared" si="71"/>
        <v>Período 1</v>
      </c>
      <c r="B4555">
        <v>35831</v>
      </c>
      <c r="C4555" t="s">
        <v>2300</v>
      </c>
      <c r="D4555" t="s">
        <v>2516</v>
      </c>
      <c r="E4555" s="3" t="str">
        <f>IF(LEN(Base_Periodo1[[#This Row],[CLASS]])&gt;=7,LEFT(Base_Periodo1[[#This Row],[CLASS]],7),"")</f>
        <v>2.4.1.1</v>
      </c>
      <c r="F4555" s="3" t="str">
        <f>VLOOKUP(Base_Periodo1[[#This Row],[Aux]],Base_Contas_Balanco[#All],2,FALSE)</f>
        <v>Capital Social Realizado</v>
      </c>
      <c r="G4555" s="1"/>
      <c r="H4555" s="225">
        <v>193.17</v>
      </c>
      <c r="I4555" s="225">
        <v>0</v>
      </c>
      <c r="J4555" s="225">
        <v>0</v>
      </c>
      <c r="K4555" s="225">
        <v>193.17</v>
      </c>
      <c r="L45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193.17</v>
      </c>
      <c r="M4555" s="225">
        <f>ROUND(IF(AND(Base_Periodo1[[#This Row],[Tipo_Linha]]="-",Base_Periodo1[[#This Row],[TIPOSALDO]]="D"),Base_Periodo1[[#This Row],[SALDO_ATUAL]]*-1,Base_Periodo1[[#This Row],[SALDO_ATUAL]]),4)</f>
        <v>193.17</v>
      </c>
      <c r="N4555" t="s">
        <v>116</v>
      </c>
      <c r="O4555" t="s">
        <v>459</v>
      </c>
      <c r="P4555" t="s">
        <v>459</v>
      </c>
      <c r="Q4555">
        <v>6</v>
      </c>
      <c r="R4555" s="225">
        <f>Base_Periodo1[[#This Row],[CREDITOS]]-Base_Periodo1[[#This Row],[DEBITOS]]</f>
        <v>0</v>
      </c>
      <c r="S4555" s="3" t="str">
        <f>IF(ISERROR(VLOOKUP(Base_Periodo1[[#This Row],[CONTA]],BaseContasDRE[#All],4,FALSE)),"Fora do DRE",VLOOKUP(Base_Periodo1[[#This Row],[CONTA]],BaseContasDRE[#All],4,FALSE))</f>
        <v>Fora do DRE</v>
      </c>
      <c r="T4555" s="3" t="str">
        <f>IF(ISERROR(VLOOKUP(Base_Periodo1[[#This Row],[CONTA]],BaseContasDRE[#All],5,FALSE)),"Fora do DRE",VLOOKUP(Base_Periodo1[[#This Row],[CONTA]],BaseContasDRE[#All],6,FALSE))</f>
        <v>Fora do DRE</v>
      </c>
      <c r="U4555" s="3" t="str">
        <f>IF(ISERROR(VLOOKUP(Base_Periodo1[[#This Row],[CONTA]],BaseContasDRE[#All],7,FALSE)),"Fora do DRE",VLOOKUP(Base_Periodo1[[#This Row],[CONTA]],BaseContasDRE[#All],7,FALSE))</f>
        <v>Fora do DRE</v>
      </c>
      <c r="V4555" s="3" t="str">
        <f>IF(Base_Periodo1[[#This Row],[Tipo_Linha]]="Fora do DRE","Fora do DRE","( "&amp;Base_Periodo1[[#This Row],[Tipo_Linha]]&amp;" ) "&amp;Base_Periodo1[[#This Row],[Filtro]])</f>
        <v>Fora do DRE</v>
      </c>
      <c r="W4555" s="3" t="str">
        <f>LEFT(Base_Periodo1[[#This Row],[CLASS]],3)</f>
        <v>2.4</v>
      </c>
    </row>
    <row r="4556" spans="1:23" hidden="1">
      <c r="A4556" s="3" t="str">
        <f t="shared" si="71"/>
        <v>Período 1</v>
      </c>
      <c r="B4556">
        <v>28305</v>
      </c>
      <c r="C4556" t="s">
        <v>2300</v>
      </c>
      <c r="D4556" t="s">
        <v>2517</v>
      </c>
      <c r="E4556" s="3" t="str">
        <f>IF(LEN(Base_Periodo1[[#This Row],[CLASS]])&gt;=7,LEFT(Base_Periodo1[[#This Row],[CLASS]],7),"")</f>
        <v>2.4.1.1</v>
      </c>
      <c r="F4556" s="3" t="str">
        <f>VLOOKUP(Base_Periodo1[[#This Row],[Aux]],Base_Contas_Balanco[#All],2,FALSE)</f>
        <v>Capital Social Realizado</v>
      </c>
      <c r="G4556" s="1"/>
      <c r="H4556" s="225">
        <v>103.11</v>
      </c>
      <c r="I4556" s="225">
        <v>0</v>
      </c>
      <c r="J4556" s="225">
        <v>0</v>
      </c>
      <c r="K4556" s="225">
        <v>103.11</v>
      </c>
      <c r="L45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103.11</v>
      </c>
      <c r="M4556" s="225">
        <f>ROUND(IF(AND(Base_Periodo1[[#This Row],[Tipo_Linha]]="-",Base_Periodo1[[#This Row],[TIPOSALDO]]="D"),Base_Periodo1[[#This Row],[SALDO_ATUAL]]*-1,Base_Periodo1[[#This Row],[SALDO_ATUAL]]),4)</f>
        <v>103.11</v>
      </c>
      <c r="N4556" t="s">
        <v>116</v>
      </c>
      <c r="O4556" t="s">
        <v>459</v>
      </c>
      <c r="P4556" t="s">
        <v>459</v>
      </c>
      <c r="Q4556">
        <v>6</v>
      </c>
      <c r="R4556" s="225">
        <f>Base_Periodo1[[#This Row],[CREDITOS]]-Base_Periodo1[[#This Row],[DEBITOS]]</f>
        <v>0</v>
      </c>
      <c r="S4556" s="3" t="str">
        <f>IF(ISERROR(VLOOKUP(Base_Periodo1[[#This Row],[CONTA]],BaseContasDRE[#All],4,FALSE)),"Fora do DRE",VLOOKUP(Base_Periodo1[[#This Row],[CONTA]],BaseContasDRE[#All],4,FALSE))</f>
        <v>Fora do DRE</v>
      </c>
      <c r="T4556" s="3" t="str">
        <f>IF(ISERROR(VLOOKUP(Base_Periodo1[[#This Row],[CONTA]],BaseContasDRE[#All],5,FALSE)),"Fora do DRE",VLOOKUP(Base_Periodo1[[#This Row],[CONTA]],BaseContasDRE[#All],6,FALSE))</f>
        <v>Fora do DRE</v>
      </c>
      <c r="U4556" s="3" t="str">
        <f>IF(ISERROR(VLOOKUP(Base_Periodo1[[#This Row],[CONTA]],BaseContasDRE[#All],7,FALSE)),"Fora do DRE",VLOOKUP(Base_Periodo1[[#This Row],[CONTA]],BaseContasDRE[#All],7,FALSE))</f>
        <v>Fora do DRE</v>
      </c>
      <c r="V4556" s="3" t="str">
        <f>IF(Base_Periodo1[[#This Row],[Tipo_Linha]]="Fora do DRE","Fora do DRE","( "&amp;Base_Periodo1[[#This Row],[Tipo_Linha]]&amp;" ) "&amp;Base_Periodo1[[#This Row],[Filtro]])</f>
        <v>Fora do DRE</v>
      </c>
      <c r="W4556" s="3" t="str">
        <f>LEFT(Base_Periodo1[[#This Row],[CLASS]],3)</f>
        <v>2.4</v>
      </c>
    </row>
    <row r="4557" spans="1:23" hidden="1">
      <c r="A4557" s="3" t="str">
        <f t="shared" si="71"/>
        <v>Período 1</v>
      </c>
      <c r="B4557">
        <v>19286</v>
      </c>
      <c r="C4557" t="s">
        <v>2300</v>
      </c>
      <c r="D4557" t="s">
        <v>2518</v>
      </c>
      <c r="E4557" s="3" t="str">
        <f>IF(LEN(Base_Periodo1[[#This Row],[CLASS]])&gt;=7,LEFT(Base_Periodo1[[#This Row],[CLASS]],7),"")</f>
        <v>2.4.1.1</v>
      </c>
      <c r="F4557" s="3" t="str">
        <f>VLOOKUP(Base_Periodo1[[#This Row],[Aux]],Base_Contas_Balanco[#All],2,FALSE)</f>
        <v>Capital Social Realizado</v>
      </c>
      <c r="G4557" s="1"/>
      <c r="H4557" s="225">
        <v>2740.1400000000003</v>
      </c>
      <c r="I4557" s="225">
        <v>0</v>
      </c>
      <c r="J4557" s="225">
        <v>0</v>
      </c>
      <c r="K4557" s="225">
        <v>2740.1400000000003</v>
      </c>
      <c r="L45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2740.14</v>
      </c>
      <c r="M4557" s="225">
        <f>ROUND(IF(AND(Base_Periodo1[[#This Row],[Tipo_Linha]]="-",Base_Periodo1[[#This Row],[TIPOSALDO]]="D"),Base_Periodo1[[#This Row],[SALDO_ATUAL]]*-1,Base_Periodo1[[#This Row],[SALDO_ATUAL]]),4)</f>
        <v>2740.14</v>
      </c>
      <c r="N4557" t="s">
        <v>116</v>
      </c>
      <c r="O4557" t="s">
        <v>459</v>
      </c>
      <c r="P4557" t="s">
        <v>459</v>
      </c>
      <c r="Q4557">
        <v>6</v>
      </c>
      <c r="R4557" s="225">
        <f>Base_Periodo1[[#This Row],[CREDITOS]]-Base_Periodo1[[#This Row],[DEBITOS]]</f>
        <v>0</v>
      </c>
      <c r="S4557" s="3" t="str">
        <f>IF(ISERROR(VLOOKUP(Base_Periodo1[[#This Row],[CONTA]],BaseContasDRE[#All],4,FALSE)),"Fora do DRE",VLOOKUP(Base_Periodo1[[#This Row],[CONTA]],BaseContasDRE[#All],4,FALSE))</f>
        <v>Fora do DRE</v>
      </c>
      <c r="T4557" s="3" t="str">
        <f>IF(ISERROR(VLOOKUP(Base_Periodo1[[#This Row],[CONTA]],BaseContasDRE[#All],5,FALSE)),"Fora do DRE",VLOOKUP(Base_Periodo1[[#This Row],[CONTA]],BaseContasDRE[#All],6,FALSE))</f>
        <v>Fora do DRE</v>
      </c>
      <c r="U4557" s="3" t="str">
        <f>IF(ISERROR(VLOOKUP(Base_Periodo1[[#This Row],[CONTA]],BaseContasDRE[#All],7,FALSE)),"Fora do DRE",VLOOKUP(Base_Periodo1[[#This Row],[CONTA]],BaseContasDRE[#All],7,FALSE))</f>
        <v>Fora do DRE</v>
      </c>
      <c r="V4557" s="3" t="str">
        <f>IF(Base_Periodo1[[#This Row],[Tipo_Linha]]="Fora do DRE","Fora do DRE","( "&amp;Base_Periodo1[[#This Row],[Tipo_Linha]]&amp;" ) "&amp;Base_Periodo1[[#This Row],[Filtro]])</f>
        <v>Fora do DRE</v>
      </c>
      <c r="W4557" s="3" t="str">
        <f>LEFT(Base_Periodo1[[#This Row],[CLASS]],3)</f>
        <v>2.4</v>
      </c>
    </row>
    <row r="4558" spans="1:23" hidden="1">
      <c r="A4558" s="3" t="str">
        <f t="shared" si="71"/>
        <v>Período 1</v>
      </c>
      <c r="B4558">
        <v>22609</v>
      </c>
      <c r="C4558" t="s">
        <v>2300</v>
      </c>
      <c r="D4558" t="s">
        <v>2519</v>
      </c>
      <c r="E4558" s="3" t="str">
        <f>IF(LEN(Base_Periodo1[[#This Row],[CLASS]])&gt;=7,LEFT(Base_Periodo1[[#This Row],[CLASS]],7),"")</f>
        <v>2.4.1.1</v>
      </c>
      <c r="F4558" s="3" t="str">
        <f>VLOOKUP(Base_Periodo1[[#This Row],[Aux]],Base_Contas_Balanco[#All],2,FALSE)</f>
        <v>Capital Social Realizado</v>
      </c>
      <c r="G4558" s="1"/>
      <c r="H4558" s="225">
        <v>582.87</v>
      </c>
      <c r="I4558" s="225">
        <v>0</v>
      </c>
      <c r="J4558" s="225">
        <v>0</v>
      </c>
      <c r="K4558" s="225">
        <v>582.87</v>
      </c>
      <c r="L45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582.87</v>
      </c>
      <c r="M4558" s="225">
        <f>ROUND(IF(AND(Base_Periodo1[[#This Row],[Tipo_Linha]]="-",Base_Periodo1[[#This Row],[TIPOSALDO]]="D"),Base_Periodo1[[#This Row],[SALDO_ATUAL]]*-1,Base_Periodo1[[#This Row],[SALDO_ATUAL]]),4)</f>
        <v>582.87</v>
      </c>
      <c r="N4558" t="s">
        <v>116</v>
      </c>
      <c r="O4558" t="s">
        <v>459</v>
      </c>
      <c r="P4558" t="s">
        <v>459</v>
      </c>
      <c r="Q4558">
        <v>6</v>
      </c>
      <c r="R4558" s="225">
        <f>Base_Periodo1[[#This Row],[CREDITOS]]-Base_Periodo1[[#This Row],[DEBITOS]]</f>
        <v>0</v>
      </c>
      <c r="S4558" s="3" t="str">
        <f>IF(ISERROR(VLOOKUP(Base_Periodo1[[#This Row],[CONTA]],BaseContasDRE[#All],4,FALSE)),"Fora do DRE",VLOOKUP(Base_Periodo1[[#This Row],[CONTA]],BaseContasDRE[#All],4,FALSE))</f>
        <v>Fora do DRE</v>
      </c>
      <c r="T4558" s="3" t="str">
        <f>IF(ISERROR(VLOOKUP(Base_Periodo1[[#This Row],[CONTA]],BaseContasDRE[#All],5,FALSE)),"Fora do DRE",VLOOKUP(Base_Periodo1[[#This Row],[CONTA]],BaseContasDRE[#All],6,FALSE))</f>
        <v>Fora do DRE</v>
      </c>
      <c r="U4558" s="3" t="str">
        <f>IF(ISERROR(VLOOKUP(Base_Periodo1[[#This Row],[CONTA]],BaseContasDRE[#All],7,FALSE)),"Fora do DRE",VLOOKUP(Base_Periodo1[[#This Row],[CONTA]],BaseContasDRE[#All],7,FALSE))</f>
        <v>Fora do DRE</v>
      </c>
      <c r="V4558" s="3" t="str">
        <f>IF(Base_Periodo1[[#This Row],[Tipo_Linha]]="Fora do DRE","Fora do DRE","( "&amp;Base_Periodo1[[#This Row],[Tipo_Linha]]&amp;" ) "&amp;Base_Periodo1[[#This Row],[Filtro]])</f>
        <v>Fora do DRE</v>
      </c>
      <c r="W4558" s="3" t="str">
        <f>LEFT(Base_Periodo1[[#This Row],[CLASS]],3)</f>
        <v>2.4</v>
      </c>
    </row>
    <row r="4559" spans="1:23" hidden="1">
      <c r="A4559" s="3" t="str">
        <f t="shared" si="71"/>
        <v>Período 1</v>
      </c>
      <c r="B4559">
        <v>16302</v>
      </c>
      <c r="C4559" t="s">
        <v>2300</v>
      </c>
      <c r="D4559" t="s">
        <v>2520</v>
      </c>
      <c r="E4559" s="3" t="str">
        <f>IF(LEN(Base_Periodo1[[#This Row],[CLASS]])&gt;=7,LEFT(Base_Periodo1[[#This Row],[CLASS]],7),"")</f>
        <v>2.4.1.1</v>
      </c>
      <c r="F4559" s="3" t="str">
        <f>VLOOKUP(Base_Periodo1[[#This Row],[Aux]],Base_Contas_Balanco[#All],2,FALSE)</f>
        <v>Capital Social Realizado</v>
      </c>
      <c r="G4559" s="1"/>
      <c r="H4559" s="225">
        <v>2175.8199999999997</v>
      </c>
      <c r="I4559" s="225">
        <v>0</v>
      </c>
      <c r="J4559" s="225">
        <v>0</v>
      </c>
      <c r="K4559" s="225">
        <v>2175.8199999999997</v>
      </c>
      <c r="L45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2175.8200000000002</v>
      </c>
      <c r="M4559" s="225">
        <f>ROUND(IF(AND(Base_Periodo1[[#This Row],[Tipo_Linha]]="-",Base_Periodo1[[#This Row],[TIPOSALDO]]="D"),Base_Periodo1[[#This Row],[SALDO_ATUAL]]*-1,Base_Periodo1[[#This Row],[SALDO_ATUAL]]),4)</f>
        <v>2175.8200000000002</v>
      </c>
      <c r="N4559" t="s">
        <v>116</v>
      </c>
      <c r="O4559" t="s">
        <v>459</v>
      </c>
      <c r="P4559" t="s">
        <v>459</v>
      </c>
      <c r="Q4559">
        <v>6</v>
      </c>
      <c r="R4559" s="225">
        <f>Base_Periodo1[[#This Row],[CREDITOS]]-Base_Periodo1[[#This Row],[DEBITOS]]</f>
        <v>0</v>
      </c>
      <c r="S4559" s="3" t="str">
        <f>IF(ISERROR(VLOOKUP(Base_Periodo1[[#This Row],[CONTA]],BaseContasDRE[#All],4,FALSE)),"Fora do DRE",VLOOKUP(Base_Periodo1[[#This Row],[CONTA]],BaseContasDRE[#All],4,FALSE))</f>
        <v>Fora do DRE</v>
      </c>
      <c r="T4559" s="3" t="str">
        <f>IF(ISERROR(VLOOKUP(Base_Periodo1[[#This Row],[CONTA]],BaseContasDRE[#All],5,FALSE)),"Fora do DRE",VLOOKUP(Base_Periodo1[[#This Row],[CONTA]],BaseContasDRE[#All],6,FALSE))</f>
        <v>Fora do DRE</v>
      </c>
      <c r="U4559" s="3" t="str">
        <f>IF(ISERROR(VLOOKUP(Base_Periodo1[[#This Row],[CONTA]],BaseContasDRE[#All],7,FALSE)),"Fora do DRE",VLOOKUP(Base_Periodo1[[#This Row],[CONTA]],BaseContasDRE[#All],7,FALSE))</f>
        <v>Fora do DRE</v>
      </c>
      <c r="V4559" s="3" t="str">
        <f>IF(Base_Periodo1[[#This Row],[Tipo_Linha]]="Fora do DRE","Fora do DRE","( "&amp;Base_Periodo1[[#This Row],[Tipo_Linha]]&amp;" ) "&amp;Base_Periodo1[[#This Row],[Filtro]])</f>
        <v>Fora do DRE</v>
      </c>
      <c r="W4559" s="3" t="str">
        <f>LEFT(Base_Periodo1[[#This Row],[CLASS]],3)</f>
        <v>2.4</v>
      </c>
    </row>
    <row r="4560" spans="1:23" hidden="1">
      <c r="A4560" s="3" t="str">
        <f t="shared" si="71"/>
        <v>Período 1</v>
      </c>
      <c r="B4560">
        <v>16321</v>
      </c>
      <c r="C4560" t="s">
        <v>2300</v>
      </c>
      <c r="D4560" t="s">
        <v>2521</v>
      </c>
      <c r="E4560" s="3" t="str">
        <f>IF(LEN(Base_Periodo1[[#This Row],[CLASS]])&gt;=7,LEFT(Base_Periodo1[[#This Row],[CLASS]],7),"")</f>
        <v>2.4.1.1</v>
      </c>
      <c r="F4560" s="3" t="str">
        <f>VLOOKUP(Base_Periodo1[[#This Row],[Aux]],Base_Contas_Balanco[#All],2,FALSE)</f>
        <v>Capital Social Realizado</v>
      </c>
      <c r="G4560" s="1">
        <v>42460</v>
      </c>
      <c r="H4560" s="225">
        <v>10549.489999999996</v>
      </c>
      <c r="I4560" s="225">
        <v>0</v>
      </c>
      <c r="J4560" s="225">
        <v>0</v>
      </c>
      <c r="K4560" s="225">
        <v>10549.489999999996</v>
      </c>
      <c r="L45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10549.49</v>
      </c>
      <c r="M4560" s="225">
        <f>ROUND(IF(AND(Base_Periodo1[[#This Row],[Tipo_Linha]]="-",Base_Periodo1[[#This Row],[TIPOSALDO]]="D"),Base_Periodo1[[#This Row],[SALDO_ATUAL]]*-1,Base_Periodo1[[#This Row],[SALDO_ATUAL]]),4)</f>
        <v>10549.49</v>
      </c>
      <c r="N4560" t="s">
        <v>116</v>
      </c>
      <c r="O4560" t="s">
        <v>459</v>
      </c>
      <c r="P4560" t="s">
        <v>459</v>
      </c>
      <c r="Q4560">
        <v>6</v>
      </c>
      <c r="R4560" s="225">
        <f>Base_Periodo1[[#This Row],[CREDITOS]]-Base_Periodo1[[#This Row],[DEBITOS]]</f>
        <v>0</v>
      </c>
      <c r="S4560" s="3" t="str">
        <f>IF(ISERROR(VLOOKUP(Base_Periodo1[[#This Row],[CONTA]],BaseContasDRE[#All],4,FALSE)),"Fora do DRE",VLOOKUP(Base_Periodo1[[#This Row],[CONTA]],BaseContasDRE[#All],4,FALSE))</f>
        <v>Fora do DRE</v>
      </c>
      <c r="T4560" s="3" t="str">
        <f>IF(ISERROR(VLOOKUP(Base_Periodo1[[#This Row],[CONTA]],BaseContasDRE[#All],5,FALSE)),"Fora do DRE",VLOOKUP(Base_Periodo1[[#This Row],[CONTA]],BaseContasDRE[#All],6,FALSE))</f>
        <v>Fora do DRE</v>
      </c>
      <c r="U4560" s="3" t="str">
        <f>IF(ISERROR(VLOOKUP(Base_Periodo1[[#This Row],[CONTA]],BaseContasDRE[#All],7,FALSE)),"Fora do DRE",VLOOKUP(Base_Periodo1[[#This Row],[CONTA]],BaseContasDRE[#All],7,FALSE))</f>
        <v>Fora do DRE</v>
      </c>
      <c r="V4560" s="3" t="str">
        <f>IF(Base_Periodo1[[#This Row],[Tipo_Linha]]="Fora do DRE","Fora do DRE","( "&amp;Base_Periodo1[[#This Row],[Tipo_Linha]]&amp;" ) "&amp;Base_Periodo1[[#This Row],[Filtro]])</f>
        <v>Fora do DRE</v>
      </c>
      <c r="W4560" s="3" t="str">
        <f>LEFT(Base_Periodo1[[#This Row],[CLASS]],3)</f>
        <v>2.4</v>
      </c>
    </row>
    <row r="4561" spans="1:23" hidden="1">
      <c r="A4561" s="3" t="str">
        <f t="shared" si="71"/>
        <v>Período 1</v>
      </c>
      <c r="B4561">
        <v>19753</v>
      </c>
      <c r="C4561" t="s">
        <v>2300</v>
      </c>
      <c r="D4561" t="s">
        <v>2522</v>
      </c>
      <c r="E4561" s="3" t="str">
        <f>IF(LEN(Base_Periodo1[[#This Row],[CLASS]])&gt;=7,LEFT(Base_Periodo1[[#This Row],[CLASS]],7),"")</f>
        <v>2.4.1.1</v>
      </c>
      <c r="F4561" s="3" t="str">
        <f>VLOOKUP(Base_Periodo1[[#This Row],[Aux]],Base_Contas_Balanco[#All],2,FALSE)</f>
        <v>Capital Social Realizado</v>
      </c>
      <c r="G4561" s="1"/>
      <c r="H4561" s="225">
        <v>134.22999999999999</v>
      </c>
      <c r="I4561" s="225">
        <v>0</v>
      </c>
      <c r="J4561" s="225">
        <v>0</v>
      </c>
      <c r="K4561" s="225">
        <v>134.22999999999999</v>
      </c>
      <c r="L45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134.22999999999999</v>
      </c>
      <c r="M4561" s="225">
        <f>ROUND(IF(AND(Base_Periodo1[[#This Row],[Tipo_Linha]]="-",Base_Periodo1[[#This Row],[TIPOSALDO]]="D"),Base_Periodo1[[#This Row],[SALDO_ATUAL]]*-1,Base_Periodo1[[#This Row],[SALDO_ATUAL]]),4)</f>
        <v>134.22999999999999</v>
      </c>
      <c r="N4561" t="s">
        <v>116</v>
      </c>
      <c r="O4561" t="s">
        <v>459</v>
      </c>
      <c r="P4561" t="s">
        <v>459</v>
      </c>
      <c r="Q4561">
        <v>6</v>
      </c>
      <c r="R4561" s="225">
        <f>Base_Periodo1[[#This Row],[CREDITOS]]-Base_Periodo1[[#This Row],[DEBITOS]]</f>
        <v>0</v>
      </c>
      <c r="S4561" s="3" t="str">
        <f>IF(ISERROR(VLOOKUP(Base_Periodo1[[#This Row],[CONTA]],BaseContasDRE[#All],4,FALSE)),"Fora do DRE",VLOOKUP(Base_Periodo1[[#This Row],[CONTA]],BaseContasDRE[#All],4,FALSE))</f>
        <v>Fora do DRE</v>
      </c>
      <c r="T4561" s="3" t="str">
        <f>IF(ISERROR(VLOOKUP(Base_Periodo1[[#This Row],[CONTA]],BaseContasDRE[#All],5,FALSE)),"Fora do DRE",VLOOKUP(Base_Periodo1[[#This Row],[CONTA]],BaseContasDRE[#All],6,FALSE))</f>
        <v>Fora do DRE</v>
      </c>
      <c r="U4561" s="3" t="str">
        <f>IF(ISERROR(VLOOKUP(Base_Periodo1[[#This Row],[CONTA]],BaseContasDRE[#All],7,FALSE)),"Fora do DRE",VLOOKUP(Base_Periodo1[[#This Row],[CONTA]],BaseContasDRE[#All],7,FALSE))</f>
        <v>Fora do DRE</v>
      </c>
      <c r="V4561" s="3" t="str">
        <f>IF(Base_Periodo1[[#This Row],[Tipo_Linha]]="Fora do DRE","Fora do DRE","( "&amp;Base_Periodo1[[#This Row],[Tipo_Linha]]&amp;" ) "&amp;Base_Periodo1[[#This Row],[Filtro]])</f>
        <v>Fora do DRE</v>
      </c>
      <c r="W4561" s="3" t="str">
        <f>LEFT(Base_Periodo1[[#This Row],[CLASS]],3)</f>
        <v>2.4</v>
      </c>
    </row>
    <row r="4562" spans="1:23" hidden="1">
      <c r="A4562" s="3" t="str">
        <f t="shared" si="71"/>
        <v>Período 1</v>
      </c>
      <c r="B4562">
        <v>24606</v>
      </c>
      <c r="C4562" t="s">
        <v>2300</v>
      </c>
      <c r="D4562" t="s">
        <v>2523</v>
      </c>
      <c r="E4562" s="3" t="str">
        <f>IF(LEN(Base_Periodo1[[#This Row],[CLASS]])&gt;=7,LEFT(Base_Periodo1[[#This Row],[CLASS]],7),"")</f>
        <v>2.4.1.1</v>
      </c>
      <c r="F4562" s="3" t="str">
        <f>VLOOKUP(Base_Periodo1[[#This Row],[Aux]],Base_Contas_Balanco[#All],2,FALSE)</f>
        <v>Capital Social Realizado</v>
      </c>
      <c r="G4562" s="1"/>
      <c r="H4562" s="225">
        <v>707.38</v>
      </c>
      <c r="I4562" s="225">
        <v>0</v>
      </c>
      <c r="J4562" s="225">
        <v>0</v>
      </c>
      <c r="K4562" s="225">
        <v>707.38</v>
      </c>
      <c r="L45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707.38</v>
      </c>
      <c r="M4562" s="225">
        <f>ROUND(IF(AND(Base_Periodo1[[#This Row],[Tipo_Linha]]="-",Base_Periodo1[[#This Row],[TIPOSALDO]]="D"),Base_Periodo1[[#This Row],[SALDO_ATUAL]]*-1,Base_Periodo1[[#This Row],[SALDO_ATUAL]]),4)</f>
        <v>707.38</v>
      </c>
      <c r="N4562" t="s">
        <v>116</v>
      </c>
      <c r="O4562" t="s">
        <v>459</v>
      </c>
      <c r="P4562" t="s">
        <v>459</v>
      </c>
      <c r="Q4562">
        <v>6</v>
      </c>
      <c r="R4562" s="225">
        <f>Base_Periodo1[[#This Row],[CREDITOS]]-Base_Periodo1[[#This Row],[DEBITOS]]</f>
        <v>0</v>
      </c>
      <c r="S4562" s="3" t="str">
        <f>IF(ISERROR(VLOOKUP(Base_Periodo1[[#This Row],[CONTA]],BaseContasDRE[#All],4,FALSE)),"Fora do DRE",VLOOKUP(Base_Periodo1[[#This Row],[CONTA]],BaseContasDRE[#All],4,FALSE))</f>
        <v>Fora do DRE</v>
      </c>
      <c r="T4562" s="3" t="str">
        <f>IF(ISERROR(VLOOKUP(Base_Periodo1[[#This Row],[CONTA]],BaseContasDRE[#All],5,FALSE)),"Fora do DRE",VLOOKUP(Base_Periodo1[[#This Row],[CONTA]],BaseContasDRE[#All],6,FALSE))</f>
        <v>Fora do DRE</v>
      </c>
      <c r="U4562" s="3" t="str">
        <f>IF(ISERROR(VLOOKUP(Base_Periodo1[[#This Row],[CONTA]],BaseContasDRE[#All],7,FALSE)),"Fora do DRE",VLOOKUP(Base_Periodo1[[#This Row],[CONTA]],BaseContasDRE[#All],7,FALSE))</f>
        <v>Fora do DRE</v>
      </c>
      <c r="V4562" s="3" t="str">
        <f>IF(Base_Periodo1[[#This Row],[Tipo_Linha]]="Fora do DRE","Fora do DRE","( "&amp;Base_Periodo1[[#This Row],[Tipo_Linha]]&amp;" ) "&amp;Base_Periodo1[[#This Row],[Filtro]])</f>
        <v>Fora do DRE</v>
      </c>
      <c r="W4562" s="3" t="str">
        <f>LEFT(Base_Periodo1[[#This Row],[CLASS]],3)</f>
        <v>2.4</v>
      </c>
    </row>
    <row r="4563" spans="1:23" hidden="1">
      <c r="A4563" s="3" t="str">
        <f t="shared" si="71"/>
        <v>Período 1</v>
      </c>
      <c r="B4563">
        <v>25789</v>
      </c>
      <c r="C4563" t="s">
        <v>2300</v>
      </c>
      <c r="D4563" t="s">
        <v>2524</v>
      </c>
      <c r="E4563" s="3" t="str">
        <f>IF(LEN(Base_Periodo1[[#This Row],[CLASS]])&gt;=7,LEFT(Base_Periodo1[[#This Row],[CLASS]],7),"")</f>
        <v>2.4.1.1</v>
      </c>
      <c r="F4563" s="3" t="str">
        <f>VLOOKUP(Base_Periodo1[[#This Row],[Aux]],Base_Contas_Balanco[#All],2,FALSE)</f>
        <v>Capital Social Realizado</v>
      </c>
      <c r="G4563" s="1"/>
      <c r="H4563" s="225">
        <v>284.07</v>
      </c>
      <c r="I4563" s="225">
        <v>0</v>
      </c>
      <c r="J4563" s="225">
        <v>0</v>
      </c>
      <c r="K4563" s="225">
        <v>284.07</v>
      </c>
      <c r="L45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284.07</v>
      </c>
      <c r="M4563" s="225">
        <f>ROUND(IF(AND(Base_Periodo1[[#This Row],[Tipo_Linha]]="-",Base_Periodo1[[#This Row],[TIPOSALDO]]="D"),Base_Periodo1[[#This Row],[SALDO_ATUAL]]*-1,Base_Periodo1[[#This Row],[SALDO_ATUAL]]),4)</f>
        <v>284.07</v>
      </c>
      <c r="N4563" t="s">
        <v>116</v>
      </c>
      <c r="O4563" t="s">
        <v>459</v>
      </c>
      <c r="P4563" t="s">
        <v>459</v>
      </c>
      <c r="Q4563">
        <v>6</v>
      </c>
      <c r="R4563" s="225">
        <f>Base_Periodo1[[#This Row],[CREDITOS]]-Base_Periodo1[[#This Row],[DEBITOS]]</f>
        <v>0</v>
      </c>
      <c r="S4563" s="3" t="str">
        <f>IF(ISERROR(VLOOKUP(Base_Periodo1[[#This Row],[CONTA]],BaseContasDRE[#All],4,FALSE)),"Fora do DRE",VLOOKUP(Base_Periodo1[[#This Row],[CONTA]],BaseContasDRE[#All],4,FALSE))</f>
        <v>Fora do DRE</v>
      </c>
      <c r="T4563" s="3" t="str">
        <f>IF(ISERROR(VLOOKUP(Base_Periodo1[[#This Row],[CONTA]],BaseContasDRE[#All],5,FALSE)),"Fora do DRE",VLOOKUP(Base_Periodo1[[#This Row],[CONTA]],BaseContasDRE[#All],6,FALSE))</f>
        <v>Fora do DRE</v>
      </c>
      <c r="U4563" s="3" t="str">
        <f>IF(ISERROR(VLOOKUP(Base_Periodo1[[#This Row],[CONTA]],BaseContasDRE[#All],7,FALSE)),"Fora do DRE",VLOOKUP(Base_Periodo1[[#This Row],[CONTA]],BaseContasDRE[#All],7,FALSE))</f>
        <v>Fora do DRE</v>
      </c>
      <c r="V4563" s="3" t="str">
        <f>IF(Base_Periodo1[[#This Row],[Tipo_Linha]]="Fora do DRE","Fora do DRE","( "&amp;Base_Periodo1[[#This Row],[Tipo_Linha]]&amp;" ) "&amp;Base_Periodo1[[#This Row],[Filtro]])</f>
        <v>Fora do DRE</v>
      </c>
      <c r="W4563" s="3" t="str">
        <f>LEFT(Base_Periodo1[[#This Row],[CLASS]],3)</f>
        <v>2.4</v>
      </c>
    </row>
    <row r="4564" spans="1:23" hidden="1">
      <c r="A4564" s="3" t="str">
        <f t="shared" si="71"/>
        <v>Período 1</v>
      </c>
      <c r="B4564">
        <v>19293</v>
      </c>
      <c r="C4564" t="s">
        <v>2300</v>
      </c>
      <c r="D4564" t="s">
        <v>2525</v>
      </c>
      <c r="E4564" s="3" t="str">
        <f>IF(LEN(Base_Periodo1[[#This Row],[CLASS]])&gt;=7,LEFT(Base_Periodo1[[#This Row],[CLASS]],7),"")</f>
        <v>2.4.1.1</v>
      </c>
      <c r="F4564" s="3" t="str">
        <f>VLOOKUP(Base_Periodo1[[#This Row],[Aux]],Base_Contas_Balanco[#All],2,FALSE)</f>
        <v>Capital Social Realizado</v>
      </c>
      <c r="G4564" s="1"/>
      <c r="H4564" s="225">
        <v>1635.52</v>
      </c>
      <c r="I4564" s="225">
        <v>0</v>
      </c>
      <c r="J4564" s="225">
        <v>0</v>
      </c>
      <c r="K4564" s="225">
        <v>1635.52</v>
      </c>
      <c r="L45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1635.52</v>
      </c>
      <c r="M4564" s="225">
        <f>ROUND(IF(AND(Base_Periodo1[[#This Row],[Tipo_Linha]]="-",Base_Periodo1[[#This Row],[TIPOSALDO]]="D"),Base_Periodo1[[#This Row],[SALDO_ATUAL]]*-1,Base_Periodo1[[#This Row],[SALDO_ATUAL]]),4)</f>
        <v>1635.52</v>
      </c>
      <c r="N4564" t="s">
        <v>116</v>
      </c>
      <c r="O4564" t="s">
        <v>459</v>
      </c>
      <c r="P4564" t="s">
        <v>459</v>
      </c>
      <c r="Q4564">
        <v>6</v>
      </c>
      <c r="R4564" s="225">
        <f>Base_Periodo1[[#This Row],[CREDITOS]]-Base_Periodo1[[#This Row],[DEBITOS]]</f>
        <v>0</v>
      </c>
      <c r="S4564" s="3" t="str">
        <f>IF(ISERROR(VLOOKUP(Base_Periodo1[[#This Row],[CONTA]],BaseContasDRE[#All],4,FALSE)),"Fora do DRE",VLOOKUP(Base_Periodo1[[#This Row],[CONTA]],BaseContasDRE[#All],4,FALSE))</f>
        <v>Fora do DRE</v>
      </c>
      <c r="T4564" s="3" t="str">
        <f>IF(ISERROR(VLOOKUP(Base_Periodo1[[#This Row],[CONTA]],BaseContasDRE[#All],5,FALSE)),"Fora do DRE",VLOOKUP(Base_Periodo1[[#This Row],[CONTA]],BaseContasDRE[#All],6,FALSE))</f>
        <v>Fora do DRE</v>
      </c>
      <c r="U4564" s="3" t="str">
        <f>IF(ISERROR(VLOOKUP(Base_Periodo1[[#This Row],[CONTA]],BaseContasDRE[#All],7,FALSE)),"Fora do DRE",VLOOKUP(Base_Periodo1[[#This Row],[CONTA]],BaseContasDRE[#All],7,FALSE))</f>
        <v>Fora do DRE</v>
      </c>
      <c r="V4564" s="3" t="str">
        <f>IF(Base_Periodo1[[#This Row],[Tipo_Linha]]="Fora do DRE","Fora do DRE","( "&amp;Base_Periodo1[[#This Row],[Tipo_Linha]]&amp;" ) "&amp;Base_Periodo1[[#This Row],[Filtro]])</f>
        <v>Fora do DRE</v>
      </c>
      <c r="W4564" s="3" t="str">
        <f>LEFT(Base_Periodo1[[#This Row],[CLASS]],3)</f>
        <v>2.4</v>
      </c>
    </row>
    <row r="4565" spans="1:23" hidden="1">
      <c r="A4565" s="3" t="str">
        <f t="shared" si="71"/>
        <v>Período 1</v>
      </c>
      <c r="B4565">
        <v>40581</v>
      </c>
      <c r="C4565" t="s">
        <v>2300</v>
      </c>
      <c r="D4565" t="s">
        <v>2526</v>
      </c>
      <c r="E4565" s="3" t="str">
        <f>IF(LEN(Base_Periodo1[[#This Row],[CLASS]])&gt;=7,LEFT(Base_Periodo1[[#This Row],[CLASS]],7),"")</f>
        <v>2.4.1.1</v>
      </c>
      <c r="F4565" s="3" t="str">
        <f>VLOOKUP(Base_Periodo1[[#This Row],[Aux]],Base_Contas_Balanco[#All],2,FALSE)</f>
        <v>Capital Social Realizado</v>
      </c>
      <c r="G4565" s="1"/>
      <c r="H4565" s="225">
        <v>158.86000000000001</v>
      </c>
      <c r="I4565" s="225">
        <v>0</v>
      </c>
      <c r="J4565" s="225">
        <v>0</v>
      </c>
      <c r="K4565" s="225">
        <v>158.86000000000001</v>
      </c>
      <c r="L45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158.86000000000001</v>
      </c>
      <c r="M4565" s="225">
        <f>ROUND(IF(AND(Base_Periodo1[[#This Row],[Tipo_Linha]]="-",Base_Periodo1[[#This Row],[TIPOSALDO]]="D"),Base_Periodo1[[#This Row],[SALDO_ATUAL]]*-1,Base_Periodo1[[#This Row],[SALDO_ATUAL]]),4)</f>
        <v>158.86000000000001</v>
      </c>
      <c r="N4565" t="s">
        <v>116</v>
      </c>
      <c r="O4565" t="s">
        <v>459</v>
      </c>
      <c r="P4565" t="s">
        <v>459</v>
      </c>
      <c r="Q4565">
        <v>6</v>
      </c>
      <c r="R4565" s="225">
        <f>Base_Periodo1[[#This Row],[CREDITOS]]-Base_Periodo1[[#This Row],[DEBITOS]]</f>
        <v>0</v>
      </c>
      <c r="S4565" s="3" t="str">
        <f>IF(ISERROR(VLOOKUP(Base_Periodo1[[#This Row],[CONTA]],BaseContasDRE[#All],4,FALSE)),"Fora do DRE",VLOOKUP(Base_Periodo1[[#This Row],[CONTA]],BaseContasDRE[#All],4,FALSE))</f>
        <v>Fora do DRE</v>
      </c>
      <c r="T4565" s="3" t="str">
        <f>IF(ISERROR(VLOOKUP(Base_Periodo1[[#This Row],[CONTA]],BaseContasDRE[#All],5,FALSE)),"Fora do DRE",VLOOKUP(Base_Periodo1[[#This Row],[CONTA]],BaseContasDRE[#All],6,FALSE))</f>
        <v>Fora do DRE</v>
      </c>
      <c r="U4565" s="3" t="str">
        <f>IF(ISERROR(VLOOKUP(Base_Periodo1[[#This Row],[CONTA]],BaseContasDRE[#All],7,FALSE)),"Fora do DRE",VLOOKUP(Base_Periodo1[[#This Row],[CONTA]],BaseContasDRE[#All],7,FALSE))</f>
        <v>Fora do DRE</v>
      </c>
      <c r="V4565" s="3" t="str">
        <f>IF(Base_Periodo1[[#This Row],[Tipo_Linha]]="Fora do DRE","Fora do DRE","( "&amp;Base_Periodo1[[#This Row],[Tipo_Linha]]&amp;" ) "&amp;Base_Periodo1[[#This Row],[Filtro]])</f>
        <v>Fora do DRE</v>
      </c>
      <c r="W4565" s="3" t="str">
        <f>LEFT(Base_Periodo1[[#This Row],[CLASS]],3)</f>
        <v>2.4</v>
      </c>
    </row>
    <row r="4566" spans="1:23" hidden="1">
      <c r="A4566" s="3" t="str">
        <f t="shared" si="71"/>
        <v>Período 1</v>
      </c>
      <c r="B4566">
        <v>39310</v>
      </c>
      <c r="C4566" t="s">
        <v>2300</v>
      </c>
      <c r="D4566" t="s">
        <v>2527</v>
      </c>
      <c r="E4566" s="3" t="str">
        <f>IF(LEN(Base_Periodo1[[#This Row],[CLASS]])&gt;=7,LEFT(Base_Periodo1[[#This Row],[CLASS]],7),"")</f>
        <v>2.4.1.1</v>
      </c>
      <c r="F4566" s="3" t="str">
        <f>VLOOKUP(Base_Periodo1[[#This Row],[Aux]],Base_Contas_Balanco[#All],2,FALSE)</f>
        <v>Capital Social Realizado</v>
      </c>
      <c r="G4566" s="1"/>
      <c r="H4566" s="225">
        <v>206.56</v>
      </c>
      <c r="I4566" s="225">
        <v>0</v>
      </c>
      <c r="J4566" s="225">
        <v>0</v>
      </c>
      <c r="K4566" s="225">
        <v>206.56</v>
      </c>
      <c r="L45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206.56</v>
      </c>
      <c r="M4566" s="225">
        <f>ROUND(IF(AND(Base_Periodo1[[#This Row],[Tipo_Linha]]="-",Base_Periodo1[[#This Row],[TIPOSALDO]]="D"),Base_Periodo1[[#This Row],[SALDO_ATUAL]]*-1,Base_Periodo1[[#This Row],[SALDO_ATUAL]]),4)</f>
        <v>206.56</v>
      </c>
      <c r="N4566" t="s">
        <v>116</v>
      </c>
      <c r="O4566" t="s">
        <v>459</v>
      </c>
      <c r="P4566" t="s">
        <v>459</v>
      </c>
      <c r="Q4566">
        <v>6</v>
      </c>
      <c r="R4566" s="225">
        <f>Base_Periodo1[[#This Row],[CREDITOS]]-Base_Periodo1[[#This Row],[DEBITOS]]</f>
        <v>0</v>
      </c>
      <c r="S4566" s="3" t="str">
        <f>IF(ISERROR(VLOOKUP(Base_Periodo1[[#This Row],[CONTA]],BaseContasDRE[#All],4,FALSE)),"Fora do DRE",VLOOKUP(Base_Periodo1[[#This Row],[CONTA]],BaseContasDRE[#All],4,FALSE))</f>
        <v>Fora do DRE</v>
      </c>
      <c r="T4566" s="3" t="str">
        <f>IF(ISERROR(VLOOKUP(Base_Periodo1[[#This Row],[CONTA]],BaseContasDRE[#All],5,FALSE)),"Fora do DRE",VLOOKUP(Base_Periodo1[[#This Row],[CONTA]],BaseContasDRE[#All],6,FALSE))</f>
        <v>Fora do DRE</v>
      </c>
      <c r="U4566" s="3" t="str">
        <f>IF(ISERROR(VLOOKUP(Base_Periodo1[[#This Row],[CONTA]],BaseContasDRE[#All],7,FALSE)),"Fora do DRE",VLOOKUP(Base_Periodo1[[#This Row],[CONTA]],BaseContasDRE[#All],7,FALSE))</f>
        <v>Fora do DRE</v>
      </c>
      <c r="V4566" s="3" t="str">
        <f>IF(Base_Periodo1[[#This Row],[Tipo_Linha]]="Fora do DRE","Fora do DRE","( "&amp;Base_Periodo1[[#This Row],[Tipo_Linha]]&amp;" ) "&amp;Base_Periodo1[[#This Row],[Filtro]])</f>
        <v>Fora do DRE</v>
      </c>
      <c r="W4566" s="3" t="str">
        <f>LEFT(Base_Periodo1[[#This Row],[CLASS]],3)</f>
        <v>2.4</v>
      </c>
    </row>
    <row r="4567" spans="1:23" hidden="1">
      <c r="A4567" s="3" t="str">
        <f t="shared" si="71"/>
        <v>Período 1</v>
      </c>
      <c r="B4567">
        <v>25759</v>
      </c>
      <c r="C4567" t="s">
        <v>2300</v>
      </c>
      <c r="D4567" t="s">
        <v>2528</v>
      </c>
      <c r="E4567" s="3" t="str">
        <f>IF(LEN(Base_Periodo1[[#This Row],[CLASS]])&gt;=7,LEFT(Base_Periodo1[[#This Row],[CLASS]],7),"")</f>
        <v>2.4.1.1</v>
      </c>
      <c r="F4567" s="3" t="str">
        <f>VLOOKUP(Base_Periodo1[[#This Row],[Aux]],Base_Contas_Balanco[#All],2,FALSE)</f>
        <v>Capital Social Realizado</v>
      </c>
      <c r="G4567" s="1"/>
      <c r="H4567" s="225">
        <v>54.76</v>
      </c>
      <c r="I4567" s="225">
        <v>0</v>
      </c>
      <c r="J4567" s="225">
        <v>0</v>
      </c>
      <c r="K4567" s="225">
        <v>54.76</v>
      </c>
      <c r="L45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54.76</v>
      </c>
      <c r="M4567" s="225">
        <f>ROUND(IF(AND(Base_Periodo1[[#This Row],[Tipo_Linha]]="-",Base_Periodo1[[#This Row],[TIPOSALDO]]="D"),Base_Periodo1[[#This Row],[SALDO_ATUAL]]*-1,Base_Periodo1[[#This Row],[SALDO_ATUAL]]),4)</f>
        <v>54.76</v>
      </c>
      <c r="N4567" t="s">
        <v>116</v>
      </c>
      <c r="O4567" t="s">
        <v>459</v>
      </c>
      <c r="P4567" t="s">
        <v>459</v>
      </c>
      <c r="Q4567">
        <v>6</v>
      </c>
      <c r="R4567" s="225">
        <f>Base_Periodo1[[#This Row],[CREDITOS]]-Base_Periodo1[[#This Row],[DEBITOS]]</f>
        <v>0</v>
      </c>
      <c r="S4567" s="3" t="str">
        <f>IF(ISERROR(VLOOKUP(Base_Periodo1[[#This Row],[CONTA]],BaseContasDRE[#All],4,FALSE)),"Fora do DRE",VLOOKUP(Base_Periodo1[[#This Row],[CONTA]],BaseContasDRE[#All],4,FALSE))</f>
        <v>Fora do DRE</v>
      </c>
      <c r="T4567" s="3" t="str">
        <f>IF(ISERROR(VLOOKUP(Base_Periodo1[[#This Row],[CONTA]],BaseContasDRE[#All],5,FALSE)),"Fora do DRE",VLOOKUP(Base_Periodo1[[#This Row],[CONTA]],BaseContasDRE[#All],6,FALSE))</f>
        <v>Fora do DRE</v>
      </c>
      <c r="U4567" s="3" t="str">
        <f>IF(ISERROR(VLOOKUP(Base_Periodo1[[#This Row],[CONTA]],BaseContasDRE[#All],7,FALSE)),"Fora do DRE",VLOOKUP(Base_Periodo1[[#This Row],[CONTA]],BaseContasDRE[#All],7,FALSE))</f>
        <v>Fora do DRE</v>
      </c>
      <c r="V4567" s="3" t="str">
        <f>IF(Base_Periodo1[[#This Row],[Tipo_Linha]]="Fora do DRE","Fora do DRE","( "&amp;Base_Periodo1[[#This Row],[Tipo_Linha]]&amp;" ) "&amp;Base_Periodo1[[#This Row],[Filtro]])</f>
        <v>Fora do DRE</v>
      </c>
      <c r="W4567" s="3" t="str">
        <f>LEFT(Base_Periodo1[[#This Row],[CLASS]],3)</f>
        <v>2.4</v>
      </c>
    </row>
    <row r="4568" spans="1:23" hidden="1">
      <c r="A4568" s="3" t="str">
        <f t="shared" si="71"/>
        <v>Período 1</v>
      </c>
      <c r="B4568">
        <v>27682</v>
      </c>
      <c r="C4568" t="s">
        <v>2300</v>
      </c>
      <c r="D4568" t="s">
        <v>2529</v>
      </c>
      <c r="E4568" s="3" t="str">
        <f>IF(LEN(Base_Periodo1[[#This Row],[CLASS]])&gt;=7,LEFT(Base_Periodo1[[#This Row],[CLASS]],7),"")</f>
        <v>2.4.1.1</v>
      </c>
      <c r="F4568" s="3" t="str">
        <f>VLOOKUP(Base_Periodo1[[#This Row],[Aux]],Base_Contas_Balanco[#All],2,FALSE)</f>
        <v>Capital Social Realizado</v>
      </c>
      <c r="G4568" s="1"/>
      <c r="H4568" s="225">
        <v>50</v>
      </c>
      <c r="I4568" s="225">
        <v>0</v>
      </c>
      <c r="J4568" s="225">
        <v>0</v>
      </c>
      <c r="K4568" s="225">
        <v>50</v>
      </c>
      <c r="L45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68" s="225">
        <f>ROUND(IF(AND(Base_Periodo1[[#This Row],[Tipo_Linha]]="-",Base_Periodo1[[#This Row],[TIPOSALDO]]="D"),Base_Periodo1[[#This Row],[SALDO_ATUAL]]*-1,Base_Periodo1[[#This Row],[SALDO_ATUAL]]),4)</f>
        <v>50</v>
      </c>
      <c r="N4568" t="s">
        <v>116</v>
      </c>
      <c r="O4568" t="s">
        <v>459</v>
      </c>
      <c r="P4568" t="s">
        <v>459</v>
      </c>
      <c r="Q4568">
        <v>6</v>
      </c>
      <c r="R4568" s="225">
        <f>Base_Periodo1[[#This Row],[CREDITOS]]-Base_Periodo1[[#This Row],[DEBITOS]]</f>
        <v>0</v>
      </c>
      <c r="S4568" s="3" t="str">
        <f>IF(ISERROR(VLOOKUP(Base_Periodo1[[#This Row],[CONTA]],BaseContasDRE[#All],4,FALSE)),"Fora do DRE",VLOOKUP(Base_Periodo1[[#This Row],[CONTA]],BaseContasDRE[#All],4,FALSE))</f>
        <v>Fora do DRE</v>
      </c>
      <c r="T4568" s="3" t="str">
        <f>IF(ISERROR(VLOOKUP(Base_Periodo1[[#This Row],[CONTA]],BaseContasDRE[#All],5,FALSE)),"Fora do DRE",VLOOKUP(Base_Periodo1[[#This Row],[CONTA]],BaseContasDRE[#All],6,FALSE))</f>
        <v>Fora do DRE</v>
      </c>
      <c r="U4568" s="3" t="str">
        <f>IF(ISERROR(VLOOKUP(Base_Periodo1[[#This Row],[CONTA]],BaseContasDRE[#All],7,FALSE)),"Fora do DRE",VLOOKUP(Base_Periodo1[[#This Row],[CONTA]],BaseContasDRE[#All],7,FALSE))</f>
        <v>Fora do DRE</v>
      </c>
      <c r="V4568" s="3" t="str">
        <f>IF(Base_Periodo1[[#This Row],[Tipo_Linha]]="Fora do DRE","Fora do DRE","( "&amp;Base_Periodo1[[#This Row],[Tipo_Linha]]&amp;" ) "&amp;Base_Periodo1[[#This Row],[Filtro]])</f>
        <v>Fora do DRE</v>
      </c>
      <c r="W4568" s="3" t="str">
        <f>LEFT(Base_Periodo1[[#This Row],[CLASS]],3)</f>
        <v>2.4</v>
      </c>
    </row>
    <row r="4569" spans="1:23" hidden="1">
      <c r="A4569" s="3" t="str">
        <f t="shared" si="71"/>
        <v>Período 1</v>
      </c>
      <c r="B4569">
        <v>49929</v>
      </c>
      <c r="C4569" t="s">
        <v>2300</v>
      </c>
      <c r="D4569" t="s">
        <v>4373</v>
      </c>
      <c r="E4569" s="3" t="str">
        <f>IF(LEN(Base_Periodo1[[#This Row],[CLASS]])&gt;=7,LEFT(Base_Periodo1[[#This Row],[CLASS]],7),"")</f>
        <v>2.4.1.1</v>
      </c>
      <c r="F4569" s="3" t="str">
        <f>VLOOKUP(Base_Periodo1[[#This Row],[Aux]],Base_Contas_Balanco[#All],2,FALSE)</f>
        <v>Capital Social Realizado</v>
      </c>
      <c r="G4569" s="1"/>
      <c r="H4569" s="225">
        <v>50</v>
      </c>
      <c r="I4569" s="225">
        <v>0</v>
      </c>
      <c r="J4569" s="225">
        <v>0</v>
      </c>
      <c r="K4569" s="225">
        <v>50</v>
      </c>
      <c r="L45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69" s="225">
        <f>ROUND(IF(AND(Base_Periodo1[[#This Row],[Tipo_Linha]]="-",Base_Periodo1[[#This Row],[TIPOSALDO]]="D"),Base_Periodo1[[#This Row],[SALDO_ATUAL]]*-1,Base_Periodo1[[#This Row],[SALDO_ATUAL]]),4)</f>
        <v>50</v>
      </c>
      <c r="N4569" t="s">
        <v>116</v>
      </c>
      <c r="O4569" t="s">
        <v>459</v>
      </c>
      <c r="P4569" t="s">
        <v>459</v>
      </c>
      <c r="Q4569">
        <v>6</v>
      </c>
      <c r="R4569" s="225">
        <f>Base_Periodo1[[#This Row],[CREDITOS]]-Base_Periodo1[[#This Row],[DEBITOS]]</f>
        <v>0</v>
      </c>
      <c r="S4569" s="3" t="str">
        <f>IF(ISERROR(VLOOKUP(Base_Periodo1[[#This Row],[CONTA]],BaseContasDRE[#All],4,FALSE)),"Fora do DRE",VLOOKUP(Base_Periodo1[[#This Row],[CONTA]],BaseContasDRE[#All],4,FALSE))</f>
        <v>Fora do DRE</v>
      </c>
      <c r="T4569" s="3" t="str">
        <f>IF(ISERROR(VLOOKUP(Base_Periodo1[[#This Row],[CONTA]],BaseContasDRE[#All],5,FALSE)),"Fora do DRE",VLOOKUP(Base_Periodo1[[#This Row],[CONTA]],BaseContasDRE[#All],6,FALSE))</f>
        <v>Fora do DRE</v>
      </c>
      <c r="U4569" s="3" t="str">
        <f>IF(ISERROR(VLOOKUP(Base_Periodo1[[#This Row],[CONTA]],BaseContasDRE[#All],7,FALSE)),"Fora do DRE",VLOOKUP(Base_Periodo1[[#This Row],[CONTA]],BaseContasDRE[#All],7,FALSE))</f>
        <v>Fora do DRE</v>
      </c>
      <c r="V4569" s="3" t="str">
        <f>IF(Base_Periodo1[[#This Row],[Tipo_Linha]]="Fora do DRE","Fora do DRE","( "&amp;Base_Periodo1[[#This Row],[Tipo_Linha]]&amp;" ) "&amp;Base_Periodo1[[#This Row],[Filtro]])</f>
        <v>Fora do DRE</v>
      </c>
      <c r="W4569" s="3" t="str">
        <f>LEFT(Base_Periodo1[[#This Row],[CLASS]],3)</f>
        <v>2.4</v>
      </c>
    </row>
    <row r="4570" spans="1:23" hidden="1">
      <c r="A4570" s="3" t="str">
        <f t="shared" si="71"/>
        <v>Período 1</v>
      </c>
      <c r="B4570">
        <v>25541</v>
      </c>
      <c r="C4570" t="s">
        <v>2300</v>
      </c>
      <c r="D4570" t="s">
        <v>2530</v>
      </c>
      <c r="E4570" s="3" t="str">
        <f>IF(LEN(Base_Periodo1[[#This Row],[CLASS]])&gt;=7,LEFT(Base_Periodo1[[#This Row],[CLASS]],7),"")</f>
        <v>2.4.1.1</v>
      </c>
      <c r="F4570" s="3" t="str">
        <f>VLOOKUP(Base_Periodo1[[#This Row],[Aux]],Base_Contas_Balanco[#All],2,FALSE)</f>
        <v>Capital Social Realizado</v>
      </c>
      <c r="G4570" s="1"/>
      <c r="H4570" s="225">
        <v>50</v>
      </c>
      <c r="I4570" s="225">
        <v>0</v>
      </c>
      <c r="J4570" s="225">
        <v>0</v>
      </c>
      <c r="K4570" s="225">
        <v>50</v>
      </c>
      <c r="L45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70" s="225">
        <f>ROUND(IF(AND(Base_Periodo1[[#This Row],[Tipo_Linha]]="-",Base_Periodo1[[#This Row],[TIPOSALDO]]="D"),Base_Periodo1[[#This Row],[SALDO_ATUAL]]*-1,Base_Periodo1[[#This Row],[SALDO_ATUAL]]),4)</f>
        <v>50</v>
      </c>
      <c r="N4570" t="s">
        <v>116</v>
      </c>
      <c r="O4570" t="s">
        <v>459</v>
      </c>
      <c r="P4570" t="s">
        <v>459</v>
      </c>
      <c r="Q4570">
        <v>6</v>
      </c>
      <c r="R4570" s="225">
        <f>Base_Periodo1[[#This Row],[CREDITOS]]-Base_Periodo1[[#This Row],[DEBITOS]]</f>
        <v>0</v>
      </c>
      <c r="S4570" s="3" t="str">
        <f>IF(ISERROR(VLOOKUP(Base_Periodo1[[#This Row],[CONTA]],BaseContasDRE[#All],4,FALSE)),"Fora do DRE",VLOOKUP(Base_Periodo1[[#This Row],[CONTA]],BaseContasDRE[#All],4,FALSE))</f>
        <v>Fora do DRE</v>
      </c>
      <c r="T4570" s="3" t="str">
        <f>IF(ISERROR(VLOOKUP(Base_Periodo1[[#This Row],[CONTA]],BaseContasDRE[#All],5,FALSE)),"Fora do DRE",VLOOKUP(Base_Periodo1[[#This Row],[CONTA]],BaseContasDRE[#All],6,FALSE))</f>
        <v>Fora do DRE</v>
      </c>
      <c r="U4570" s="3" t="str">
        <f>IF(ISERROR(VLOOKUP(Base_Periodo1[[#This Row],[CONTA]],BaseContasDRE[#All],7,FALSE)),"Fora do DRE",VLOOKUP(Base_Periodo1[[#This Row],[CONTA]],BaseContasDRE[#All],7,FALSE))</f>
        <v>Fora do DRE</v>
      </c>
      <c r="V4570" s="3" t="str">
        <f>IF(Base_Periodo1[[#This Row],[Tipo_Linha]]="Fora do DRE","Fora do DRE","( "&amp;Base_Periodo1[[#This Row],[Tipo_Linha]]&amp;" ) "&amp;Base_Periodo1[[#This Row],[Filtro]])</f>
        <v>Fora do DRE</v>
      </c>
      <c r="W4570" s="3" t="str">
        <f>LEFT(Base_Periodo1[[#This Row],[CLASS]],3)</f>
        <v>2.4</v>
      </c>
    </row>
    <row r="4571" spans="1:23" hidden="1">
      <c r="A4571" s="3" t="str">
        <f t="shared" si="71"/>
        <v>Período 1</v>
      </c>
      <c r="B4571">
        <v>50610</v>
      </c>
      <c r="C4571" t="s">
        <v>2300</v>
      </c>
      <c r="D4571" t="s">
        <v>4468</v>
      </c>
      <c r="E4571" s="3" t="str">
        <f>IF(LEN(Base_Periodo1[[#This Row],[CLASS]])&gt;=7,LEFT(Base_Periodo1[[#This Row],[CLASS]],7),"")</f>
        <v>2.4.1.1</v>
      </c>
      <c r="F4571" s="3" t="str">
        <f>VLOOKUP(Base_Periodo1[[#This Row],[Aux]],Base_Contas_Balanco[#All],2,FALSE)</f>
        <v>Capital Social Realizado</v>
      </c>
      <c r="G4571" s="1"/>
      <c r="H4571" s="225">
        <v>50</v>
      </c>
      <c r="I4571" s="225">
        <v>0</v>
      </c>
      <c r="J4571" s="225">
        <v>0</v>
      </c>
      <c r="K4571" s="225">
        <v>50</v>
      </c>
      <c r="L45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71" s="225">
        <f>ROUND(IF(AND(Base_Periodo1[[#This Row],[Tipo_Linha]]="-",Base_Periodo1[[#This Row],[TIPOSALDO]]="D"),Base_Periodo1[[#This Row],[SALDO_ATUAL]]*-1,Base_Periodo1[[#This Row],[SALDO_ATUAL]]),4)</f>
        <v>50</v>
      </c>
      <c r="N4571" t="s">
        <v>116</v>
      </c>
      <c r="O4571" t="s">
        <v>459</v>
      </c>
      <c r="P4571" t="s">
        <v>459</v>
      </c>
      <c r="Q4571">
        <v>6</v>
      </c>
      <c r="R4571" s="225">
        <f>Base_Periodo1[[#This Row],[CREDITOS]]-Base_Periodo1[[#This Row],[DEBITOS]]</f>
        <v>0</v>
      </c>
      <c r="S4571" s="3" t="str">
        <f>IF(ISERROR(VLOOKUP(Base_Periodo1[[#This Row],[CONTA]],BaseContasDRE[#All],4,FALSE)),"Fora do DRE",VLOOKUP(Base_Periodo1[[#This Row],[CONTA]],BaseContasDRE[#All],4,FALSE))</f>
        <v>Fora do DRE</v>
      </c>
      <c r="T4571" s="3" t="str">
        <f>IF(ISERROR(VLOOKUP(Base_Periodo1[[#This Row],[CONTA]],BaseContasDRE[#All],5,FALSE)),"Fora do DRE",VLOOKUP(Base_Periodo1[[#This Row],[CONTA]],BaseContasDRE[#All],6,FALSE))</f>
        <v>Fora do DRE</v>
      </c>
      <c r="U4571" s="3" t="str">
        <f>IF(ISERROR(VLOOKUP(Base_Periodo1[[#This Row],[CONTA]],BaseContasDRE[#All],7,FALSE)),"Fora do DRE",VLOOKUP(Base_Periodo1[[#This Row],[CONTA]],BaseContasDRE[#All],7,FALSE))</f>
        <v>Fora do DRE</v>
      </c>
      <c r="V4571" s="3" t="str">
        <f>IF(Base_Periodo1[[#This Row],[Tipo_Linha]]="Fora do DRE","Fora do DRE","( "&amp;Base_Periodo1[[#This Row],[Tipo_Linha]]&amp;" ) "&amp;Base_Periodo1[[#This Row],[Filtro]])</f>
        <v>Fora do DRE</v>
      </c>
      <c r="W4571" s="3" t="str">
        <f>LEFT(Base_Periodo1[[#This Row],[CLASS]],3)</f>
        <v>2.4</v>
      </c>
    </row>
    <row r="4572" spans="1:23" hidden="1">
      <c r="A4572" s="3" t="str">
        <f t="shared" si="71"/>
        <v>Período 1</v>
      </c>
      <c r="B4572">
        <v>27706</v>
      </c>
      <c r="C4572" t="s">
        <v>2300</v>
      </c>
      <c r="D4572" t="s">
        <v>2531</v>
      </c>
      <c r="E4572" s="3" t="str">
        <f>IF(LEN(Base_Periodo1[[#This Row],[CLASS]])&gt;=7,LEFT(Base_Periodo1[[#This Row],[CLASS]],7),"")</f>
        <v>2.4.1.1</v>
      </c>
      <c r="F4572" s="3" t="str">
        <f>VLOOKUP(Base_Periodo1[[#This Row],[Aux]],Base_Contas_Balanco[#All],2,FALSE)</f>
        <v>Capital Social Realizado</v>
      </c>
      <c r="G4572" s="1"/>
      <c r="H4572" s="225">
        <v>50</v>
      </c>
      <c r="I4572" s="225">
        <v>0</v>
      </c>
      <c r="J4572" s="225">
        <v>0</v>
      </c>
      <c r="K4572" s="225">
        <v>50</v>
      </c>
      <c r="L45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72" s="225">
        <f>ROUND(IF(AND(Base_Periodo1[[#This Row],[Tipo_Linha]]="-",Base_Periodo1[[#This Row],[TIPOSALDO]]="D"),Base_Periodo1[[#This Row],[SALDO_ATUAL]]*-1,Base_Periodo1[[#This Row],[SALDO_ATUAL]]),4)</f>
        <v>50</v>
      </c>
      <c r="N4572" t="s">
        <v>116</v>
      </c>
      <c r="O4572" t="s">
        <v>459</v>
      </c>
      <c r="P4572" t="s">
        <v>459</v>
      </c>
      <c r="Q4572">
        <v>6</v>
      </c>
      <c r="R4572" s="225">
        <f>Base_Periodo1[[#This Row],[CREDITOS]]-Base_Periodo1[[#This Row],[DEBITOS]]</f>
        <v>0</v>
      </c>
      <c r="S4572" s="3" t="str">
        <f>IF(ISERROR(VLOOKUP(Base_Periodo1[[#This Row],[CONTA]],BaseContasDRE[#All],4,FALSE)),"Fora do DRE",VLOOKUP(Base_Periodo1[[#This Row],[CONTA]],BaseContasDRE[#All],4,FALSE))</f>
        <v>Fora do DRE</v>
      </c>
      <c r="T4572" s="3" t="str">
        <f>IF(ISERROR(VLOOKUP(Base_Periodo1[[#This Row],[CONTA]],BaseContasDRE[#All],5,FALSE)),"Fora do DRE",VLOOKUP(Base_Periodo1[[#This Row],[CONTA]],BaseContasDRE[#All],6,FALSE))</f>
        <v>Fora do DRE</v>
      </c>
      <c r="U4572" s="3" t="str">
        <f>IF(ISERROR(VLOOKUP(Base_Periodo1[[#This Row],[CONTA]],BaseContasDRE[#All],7,FALSE)),"Fora do DRE",VLOOKUP(Base_Periodo1[[#This Row],[CONTA]],BaseContasDRE[#All],7,FALSE))</f>
        <v>Fora do DRE</v>
      </c>
      <c r="V4572" s="3" t="str">
        <f>IF(Base_Periodo1[[#This Row],[Tipo_Linha]]="Fora do DRE","Fora do DRE","( "&amp;Base_Periodo1[[#This Row],[Tipo_Linha]]&amp;" ) "&amp;Base_Periodo1[[#This Row],[Filtro]])</f>
        <v>Fora do DRE</v>
      </c>
      <c r="W4572" s="3" t="str">
        <f>LEFT(Base_Periodo1[[#This Row],[CLASS]],3)</f>
        <v>2.4</v>
      </c>
    </row>
    <row r="4573" spans="1:23" hidden="1">
      <c r="A4573" s="3" t="str">
        <f t="shared" si="71"/>
        <v>Período 1</v>
      </c>
      <c r="B4573">
        <v>22605</v>
      </c>
      <c r="C4573" t="s">
        <v>2300</v>
      </c>
      <c r="D4573" t="s">
        <v>2532</v>
      </c>
      <c r="E4573" s="3" t="str">
        <f>IF(LEN(Base_Periodo1[[#This Row],[CLASS]])&gt;=7,LEFT(Base_Periodo1[[#This Row],[CLASS]],7),"")</f>
        <v>2.4.1.1</v>
      </c>
      <c r="F4573" s="3" t="str">
        <f>VLOOKUP(Base_Periodo1[[#This Row],[Aux]],Base_Contas_Balanco[#All],2,FALSE)</f>
        <v>Capital Social Realizado</v>
      </c>
      <c r="G4573" s="1">
        <v>42460</v>
      </c>
      <c r="H4573" s="225">
        <v>290.27999999999997</v>
      </c>
      <c r="I4573" s="225">
        <v>0</v>
      </c>
      <c r="J4573" s="225">
        <v>0</v>
      </c>
      <c r="K4573" s="225">
        <v>290.27999999999997</v>
      </c>
      <c r="L45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290.27999999999997</v>
      </c>
      <c r="M4573" s="225">
        <f>ROUND(IF(AND(Base_Periodo1[[#This Row],[Tipo_Linha]]="-",Base_Periodo1[[#This Row],[TIPOSALDO]]="D"),Base_Periodo1[[#This Row],[SALDO_ATUAL]]*-1,Base_Periodo1[[#This Row],[SALDO_ATUAL]]),4)</f>
        <v>290.27999999999997</v>
      </c>
      <c r="N4573" t="s">
        <v>116</v>
      </c>
      <c r="O4573" t="s">
        <v>459</v>
      </c>
      <c r="P4573" t="s">
        <v>459</v>
      </c>
      <c r="Q4573">
        <v>6</v>
      </c>
      <c r="R4573" s="225">
        <f>Base_Periodo1[[#This Row],[CREDITOS]]-Base_Periodo1[[#This Row],[DEBITOS]]</f>
        <v>0</v>
      </c>
      <c r="S4573" s="3" t="str">
        <f>IF(ISERROR(VLOOKUP(Base_Periodo1[[#This Row],[CONTA]],BaseContasDRE[#All],4,FALSE)),"Fora do DRE",VLOOKUP(Base_Periodo1[[#This Row],[CONTA]],BaseContasDRE[#All],4,FALSE))</f>
        <v>Fora do DRE</v>
      </c>
      <c r="T4573" s="3" t="str">
        <f>IF(ISERROR(VLOOKUP(Base_Periodo1[[#This Row],[CONTA]],BaseContasDRE[#All],5,FALSE)),"Fora do DRE",VLOOKUP(Base_Periodo1[[#This Row],[CONTA]],BaseContasDRE[#All],6,FALSE))</f>
        <v>Fora do DRE</v>
      </c>
      <c r="U4573" s="3" t="str">
        <f>IF(ISERROR(VLOOKUP(Base_Periodo1[[#This Row],[CONTA]],BaseContasDRE[#All],7,FALSE)),"Fora do DRE",VLOOKUP(Base_Periodo1[[#This Row],[CONTA]],BaseContasDRE[#All],7,FALSE))</f>
        <v>Fora do DRE</v>
      </c>
      <c r="V4573" s="3" t="str">
        <f>IF(Base_Periodo1[[#This Row],[Tipo_Linha]]="Fora do DRE","Fora do DRE","( "&amp;Base_Periodo1[[#This Row],[Tipo_Linha]]&amp;" ) "&amp;Base_Periodo1[[#This Row],[Filtro]])</f>
        <v>Fora do DRE</v>
      </c>
      <c r="W4573" s="3" t="str">
        <f>LEFT(Base_Periodo1[[#This Row],[CLASS]],3)</f>
        <v>2.4</v>
      </c>
    </row>
    <row r="4574" spans="1:23" hidden="1">
      <c r="A4574" s="3" t="str">
        <f t="shared" si="71"/>
        <v>Período 1</v>
      </c>
      <c r="B4574">
        <v>25542</v>
      </c>
      <c r="C4574" t="s">
        <v>2300</v>
      </c>
      <c r="D4574" t="s">
        <v>2533</v>
      </c>
      <c r="E4574" s="3" t="str">
        <f>IF(LEN(Base_Periodo1[[#This Row],[CLASS]])&gt;=7,LEFT(Base_Periodo1[[#This Row],[CLASS]],7),"")</f>
        <v>2.4.1.1</v>
      </c>
      <c r="F4574" s="3" t="str">
        <f>VLOOKUP(Base_Periodo1[[#This Row],[Aux]],Base_Contas_Balanco[#All],2,FALSE)</f>
        <v>Capital Social Realizado</v>
      </c>
      <c r="G4574" s="1"/>
      <c r="H4574" s="225">
        <v>50</v>
      </c>
      <c r="I4574" s="225">
        <v>0</v>
      </c>
      <c r="J4574" s="225">
        <v>0</v>
      </c>
      <c r="K4574" s="225">
        <v>50</v>
      </c>
      <c r="L45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74" s="225">
        <f>ROUND(IF(AND(Base_Periodo1[[#This Row],[Tipo_Linha]]="-",Base_Periodo1[[#This Row],[TIPOSALDO]]="D"),Base_Periodo1[[#This Row],[SALDO_ATUAL]]*-1,Base_Periodo1[[#This Row],[SALDO_ATUAL]]),4)</f>
        <v>50</v>
      </c>
      <c r="N4574" t="s">
        <v>116</v>
      </c>
      <c r="O4574" t="s">
        <v>459</v>
      </c>
      <c r="P4574" t="s">
        <v>459</v>
      </c>
      <c r="Q4574">
        <v>6</v>
      </c>
      <c r="R4574" s="225">
        <f>Base_Periodo1[[#This Row],[CREDITOS]]-Base_Periodo1[[#This Row],[DEBITOS]]</f>
        <v>0</v>
      </c>
      <c r="S4574" s="3" t="str">
        <f>IF(ISERROR(VLOOKUP(Base_Periodo1[[#This Row],[CONTA]],BaseContasDRE[#All],4,FALSE)),"Fora do DRE",VLOOKUP(Base_Periodo1[[#This Row],[CONTA]],BaseContasDRE[#All],4,FALSE))</f>
        <v>Fora do DRE</v>
      </c>
      <c r="T4574" s="3" t="str">
        <f>IF(ISERROR(VLOOKUP(Base_Periodo1[[#This Row],[CONTA]],BaseContasDRE[#All],5,FALSE)),"Fora do DRE",VLOOKUP(Base_Periodo1[[#This Row],[CONTA]],BaseContasDRE[#All],6,FALSE))</f>
        <v>Fora do DRE</v>
      </c>
      <c r="U4574" s="3" t="str">
        <f>IF(ISERROR(VLOOKUP(Base_Periodo1[[#This Row],[CONTA]],BaseContasDRE[#All],7,FALSE)),"Fora do DRE",VLOOKUP(Base_Periodo1[[#This Row],[CONTA]],BaseContasDRE[#All],7,FALSE))</f>
        <v>Fora do DRE</v>
      </c>
      <c r="V4574" s="3" t="str">
        <f>IF(Base_Periodo1[[#This Row],[Tipo_Linha]]="Fora do DRE","Fora do DRE","( "&amp;Base_Periodo1[[#This Row],[Tipo_Linha]]&amp;" ) "&amp;Base_Periodo1[[#This Row],[Filtro]])</f>
        <v>Fora do DRE</v>
      </c>
      <c r="W4574" s="3" t="str">
        <f>LEFT(Base_Periodo1[[#This Row],[CLASS]],3)</f>
        <v>2.4</v>
      </c>
    </row>
    <row r="4575" spans="1:23" hidden="1">
      <c r="A4575" s="3" t="str">
        <f t="shared" si="71"/>
        <v>Período 1</v>
      </c>
      <c r="B4575">
        <v>55560</v>
      </c>
      <c r="C4575" t="s">
        <v>2300</v>
      </c>
      <c r="D4575" t="s">
        <v>5452</v>
      </c>
      <c r="E4575" s="3" t="str">
        <f>IF(LEN(Base_Periodo1[[#This Row],[CLASS]])&gt;=7,LEFT(Base_Periodo1[[#This Row],[CLASS]],7),"")</f>
        <v>2.4.1.1</v>
      </c>
      <c r="F4575" s="3" t="str">
        <f>VLOOKUP(Base_Periodo1[[#This Row],[Aux]],Base_Contas_Balanco[#All],2,FALSE)</f>
        <v>Capital Social Realizado</v>
      </c>
      <c r="G4575" s="1"/>
      <c r="H4575" s="225">
        <v>50</v>
      </c>
      <c r="I4575" s="225">
        <v>0</v>
      </c>
      <c r="J4575" s="225">
        <v>0</v>
      </c>
      <c r="K4575" s="225">
        <v>50</v>
      </c>
      <c r="L45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75" s="225">
        <f>ROUND(IF(AND(Base_Periodo1[[#This Row],[Tipo_Linha]]="-",Base_Periodo1[[#This Row],[TIPOSALDO]]="D"),Base_Periodo1[[#This Row],[SALDO_ATUAL]]*-1,Base_Periodo1[[#This Row],[SALDO_ATUAL]]),4)</f>
        <v>50</v>
      </c>
      <c r="N4575" t="s">
        <v>116</v>
      </c>
      <c r="O4575" t="s">
        <v>459</v>
      </c>
      <c r="P4575" t="s">
        <v>459</v>
      </c>
      <c r="Q4575">
        <v>6</v>
      </c>
      <c r="R4575" s="225">
        <f>Base_Periodo1[[#This Row],[CREDITOS]]-Base_Periodo1[[#This Row],[DEBITOS]]</f>
        <v>0</v>
      </c>
      <c r="S4575" s="3" t="str">
        <f>IF(ISERROR(VLOOKUP(Base_Periodo1[[#This Row],[CONTA]],BaseContasDRE[#All],4,FALSE)),"Fora do DRE",VLOOKUP(Base_Periodo1[[#This Row],[CONTA]],BaseContasDRE[#All],4,FALSE))</f>
        <v>Fora do DRE</v>
      </c>
      <c r="T4575" s="3" t="str">
        <f>IF(ISERROR(VLOOKUP(Base_Periodo1[[#This Row],[CONTA]],BaseContasDRE[#All],5,FALSE)),"Fora do DRE",VLOOKUP(Base_Periodo1[[#This Row],[CONTA]],BaseContasDRE[#All],6,FALSE))</f>
        <v>Fora do DRE</v>
      </c>
      <c r="U4575" s="3" t="str">
        <f>IF(ISERROR(VLOOKUP(Base_Periodo1[[#This Row],[CONTA]],BaseContasDRE[#All],7,FALSE)),"Fora do DRE",VLOOKUP(Base_Periodo1[[#This Row],[CONTA]],BaseContasDRE[#All],7,FALSE))</f>
        <v>Fora do DRE</v>
      </c>
      <c r="V4575" s="3" t="str">
        <f>IF(Base_Periodo1[[#This Row],[Tipo_Linha]]="Fora do DRE","Fora do DRE","( "&amp;Base_Periodo1[[#This Row],[Tipo_Linha]]&amp;" ) "&amp;Base_Periodo1[[#This Row],[Filtro]])</f>
        <v>Fora do DRE</v>
      </c>
      <c r="W4575" s="3" t="str">
        <f>LEFT(Base_Periodo1[[#This Row],[CLASS]],3)</f>
        <v>2.4</v>
      </c>
    </row>
    <row r="4576" spans="1:23" hidden="1">
      <c r="A4576" s="3" t="str">
        <f t="shared" si="71"/>
        <v>Período 1</v>
      </c>
      <c r="B4576">
        <v>16097</v>
      </c>
      <c r="C4576" t="s">
        <v>2300</v>
      </c>
      <c r="D4576" t="s">
        <v>2534</v>
      </c>
      <c r="E4576" s="3" t="str">
        <f>IF(LEN(Base_Periodo1[[#This Row],[CLASS]])&gt;=7,LEFT(Base_Periodo1[[#This Row],[CLASS]],7),"")</f>
        <v>2.4.1.1</v>
      </c>
      <c r="F4576" s="3" t="str">
        <f>VLOOKUP(Base_Periodo1[[#This Row],[Aux]],Base_Contas_Balanco[#All],2,FALSE)</f>
        <v>Capital Social Realizado</v>
      </c>
      <c r="G4576" s="1"/>
      <c r="H4576" s="225">
        <v>13680.130000000001</v>
      </c>
      <c r="I4576" s="225">
        <v>0</v>
      </c>
      <c r="J4576" s="225">
        <v>0</v>
      </c>
      <c r="K4576" s="225">
        <v>13680.130000000001</v>
      </c>
      <c r="L45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13680.13</v>
      </c>
      <c r="M4576" s="225">
        <f>ROUND(IF(AND(Base_Periodo1[[#This Row],[Tipo_Linha]]="-",Base_Periodo1[[#This Row],[TIPOSALDO]]="D"),Base_Periodo1[[#This Row],[SALDO_ATUAL]]*-1,Base_Periodo1[[#This Row],[SALDO_ATUAL]]),4)</f>
        <v>13680.13</v>
      </c>
      <c r="N4576" t="s">
        <v>116</v>
      </c>
      <c r="O4576" t="s">
        <v>459</v>
      </c>
      <c r="P4576" t="s">
        <v>459</v>
      </c>
      <c r="Q4576">
        <v>6</v>
      </c>
      <c r="R4576" s="225">
        <f>Base_Periodo1[[#This Row],[CREDITOS]]-Base_Periodo1[[#This Row],[DEBITOS]]</f>
        <v>0</v>
      </c>
      <c r="S4576" s="3" t="str">
        <f>IF(ISERROR(VLOOKUP(Base_Periodo1[[#This Row],[CONTA]],BaseContasDRE[#All],4,FALSE)),"Fora do DRE",VLOOKUP(Base_Periodo1[[#This Row],[CONTA]],BaseContasDRE[#All],4,FALSE))</f>
        <v>Fora do DRE</v>
      </c>
      <c r="T4576" s="3" t="str">
        <f>IF(ISERROR(VLOOKUP(Base_Periodo1[[#This Row],[CONTA]],BaseContasDRE[#All],5,FALSE)),"Fora do DRE",VLOOKUP(Base_Periodo1[[#This Row],[CONTA]],BaseContasDRE[#All],6,FALSE))</f>
        <v>Fora do DRE</v>
      </c>
      <c r="U4576" s="3" t="str">
        <f>IF(ISERROR(VLOOKUP(Base_Periodo1[[#This Row],[CONTA]],BaseContasDRE[#All],7,FALSE)),"Fora do DRE",VLOOKUP(Base_Periodo1[[#This Row],[CONTA]],BaseContasDRE[#All],7,FALSE))</f>
        <v>Fora do DRE</v>
      </c>
      <c r="V4576" s="3" t="str">
        <f>IF(Base_Periodo1[[#This Row],[Tipo_Linha]]="Fora do DRE","Fora do DRE","( "&amp;Base_Periodo1[[#This Row],[Tipo_Linha]]&amp;" ) "&amp;Base_Periodo1[[#This Row],[Filtro]])</f>
        <v>Fora do DRE</v>
      </c>
      <c r="W4576" s="3" t="str">
        <f>LEFT(Base_Periodo1[[#This Row],[CLASS]],3)</f>
        <v>2.4</v>
      </c>
    </row>
    <row r="4577" spans="1:23" hidden="1">
      <c r="A4577" s="3" t="str">
        <f t="shared" si="71"/>
        <v>Período 1</v>
      </c>
      <c r="B4577">
        <v>25215</v>
      </c>
      <c r="C4577" t="s">
        <v>2300</v>
      </c>
      <c r="D4577" t="s">
        <v>2535</v>
      </c>
      <c r="E4577" s="3" t="str">
        <f>IF(LEN(Base_Periodo1[[#This Row],[CLASS]])&gt;=7,LEFT(Base_Periodo1[[#This Row],[CLASS]],7),"")</f>
        <v>2.4.1.1</v>
      </c>
      <c r="F4577" s="3" t="str">
        <f>VLOOKUP(Base_Periodo1[[#This Row],[Aux]],Base_Contas_Balanco[#All],2,FALSE)</f>
        <v>Capital Social Realizado</v>
      </c>
      <c r="G4577" s="1"/>
      <c r="H4577" s="225">
        <v>113.4</v>
      </c>
      <c r="I4577" s="225">
        <v>0</v>
      </c>
      <c r="J4577" s="225">
        <v>0</v>
      </c>
      <c r="K4577" s="225">
        <v>113.4</v>
      </c>
      <c r="L45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113.4</v>
      </c>
      <c r="M4577" s="225">
        <f>ROUND(IF(AND(Base_Periodo1[[#This Row],[Tipo_Linha]]="-",Base_Periodo1[[#This Row],[TIPOSALDO]]="D"),Base_Periodo1[[#This Row],[SALDO_ATUAL]]*-1,Base_Periodo1[[#This Row],[SALDO_ATUAL]]),4)</f>
        <v>113.4</v>
      </c>
      <c r="N4577" t="s">
        <v>116</v>
      </c>
      <c r="O4577" t="s">
        <v>459</v>
      </c>
      <c r="P4577" t="s">
        <v>459</v>
      </c>
      <c r="Q4577">
        <v>6</v>
      </c>
      <c r="R4577" s="225">
        <f>Base_Periodo1[[#This Row],[CREDITOS]]-Base_Periodo1[[#This Row],[DEBITOS]]</f>
        <v>0</v>
      </c>
      <c r="S4577" s="3" t="str">
        <f>IF(ISERROR(VLOOKUP(Base_Periodo1[[#This Row],[CONTA]],BaseContasDRE[#All],4,FALSE)),"Fora do DRE",VLOOKUP(Base_Periodo1[[#This Row],[CONTA]],BaseContasDRE[#All],4,FALSE))</f>
        <v>Fora do DRE</v>
      </c>
      <c r="T4577" s="3" t="str">
        <f>IF(ISERROR(VLOOKUP(Base_Periodo1[[#This Row],[CONTA]],BaseContasDRE[#All],5,FALSE)),"Fora do DRE",VLOOKUP(Base_Periodo1[[#This Row],[CONTA]],BaseContasDRE[#All],6,FALSE))</f>
        <v>Fora do DRE</v>
      </c>
      <c r="U4577" s="3" t="str">
        <f>IF(ISERROR(VLOOKUP(Base_Periodo1[[#This Row],[CONTA]],BaseContasDRE[#All],7,FALSE)),"Fora do DRE",VLOOKUP(Base_Periodo1[[#This Row],[CONTA]],BaseContasDRE[#All],7,FALSE))</f>
        <v>Fora do DRE</v>
      </c>
      <c r="V4577" s="3" t="str">
        <f>IF(Base_Periodo1[[#This Row],[Tipo_Linha]]="Fora do DRE","Fora do DRE","( "&amp;Base_Periodo1[[#This Row],[Tipo_Linha]]&amp;" ) "&amp;Base_Periodo1[[#This Row],[Filtro]])</f>
        <v>Fora do DRE</v>
      </c>
      <c r="W4577" s="3" t="str">
        <f>LEFT(Base_Periodo1[[#This Row],[CLASS]],3)</f>
        <v>2.4</v>
      </c>
    </row>
    <row r="4578" spans="1:23" hidden="1">
      <c r="A4578" s="3" t="str">
        <f t="shared" si="71"/>
        <v>Período 1</v>
      </c>
      <c r="B4578">
        <v>24584</v>
      </c>
      <c r="C4578" t="s">
        <v>2300</v>
      </c>
      <c r="D4578" t="s">
        <v>2536</v>
      </c>
      <c r="E4578" s="3" t="str">
        <f>IF(LEN(Base_Periodo1[[#This Row],[CLASS]])&gt;=7,LEFT(Base_Periodo1[[#This Row],[CLASS]],7),"")</f>
        <v>2.4.1.1</v>
      </c>
      <c r="F4578" s="3" t="str">
        <f>VLOOKUP(Base_Periodo1[[#This Row],[Aux]],Base_Contas_Balanco[#All],2,FALSE)</f>
        <v>Capital Social Realizado</v>
      </c>
      <c r="G4578" s="1"/>
      <c r="H4578" s="225">
        <v>118.3</v>
      </c>
      <c r="I4578" s="225">
        <v>0</v>
      </c>
      <c r="J4578" s="225">
        <v>0</v>
      </c>
      <c r="K4578" s="225">
        <v>118.3</v>
      </c>
      <c r="L45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118.3</v>
      </c>
      <c r="M4578" s="225">
        <f>ROUND(IF(AND(Base_Periodo1[[#This Row],[Tipo_Linha]]="-",Base_Periodo1[[#This Row],[TIPOSALDO]]="D"),Base_Periodo1[[#This Row],[SALDO_ATUAL]]*-1,Base_Periodo1[[#This Row],[SALDO_ATUAL]]),4)</f>
        <v>118.3</v>
      </c>
      <c r="N4578" t="s">
        <v>116</v>
      </c>
      <c r="O4578" t="s">
        <v>459</v>
      </c>
      <c r="P4578" t="s">
        <v>459</v>
      </c>
      <c r="Q4578">
        <v>6</v>
      </c>
      <c r="R4578" s="225">
        <f>Base_Periodo1[[#This Row],[CREDITOS]]-Base_Periodo1[[#This Row],[DEBITOS]]</f>
        <v>0</v>
      </c>
      <c r="S4578" s="3" t="str">
        <f>IF(ISERROR(VLOOKUP(Base_Periodo1[[#This Row],[CONTA]],BaseContasDRE[#All],4,FALSE)),"Fora do DRE",VLOOKUP(Base_Periodo1[[#This Row],[CONTA]],BaseContasDRE[#All],4,FALSE))</f>
        <v>Fora do DRE</v>
      </c>
      <c r="T4578" s="3" t="str">
        <f>IF(ISERROR(VLOOKUP(Base_Periodo1[[#This Row],[CONTA]],BaseContasDRE[#All],5,FALSE)),"Fora do DRE",VLOOKUP(Base_Periodo1[[#This Row],[CONTA]],BaseContasDRE[#All],6,FALSE))</f>
        <v>Fora do DRE</v>
      </c>
      <c r="U4578" s="3" t="str">
        <f>IF(ISERROR(VLOOKUP(Base_Periodo1[[#This Row],[CONTA]],BaseContasDRE[#All],7,FALSE)),"Fora do DRE",VLOOKUP(Base_Periodo1[[#This Row],[CONTA]],BaseContasDRE[#All],7,FALSE))</f>
        <v>Fora do DRE</v>
      </c>
      <c r="V4578" s="3" t="str">
        <f>IF(Base_Periodo1[[#This Row],[Tipo_Linha]]="Fora do DRE","Fora do DRE","( "&amp;Base_Periodo1[[#This Row],[Tipo_Linha]]&amp;" ) "&amp;Base_Periodo1[[#This Row],[Filtro]])</f>
        <v>Fora do DRE</v>
      </c>
      <c r="W4578" s="3" t="str">
        <f>LEFT(Base_Periodo1[[#This Row],[CLASS]],3)</f>
        <v>2.4</v>
      </c>
    </row>
    <row r="4579" spans="1:23" hidden="1">
      <c r="A4579" s="3" t="str">
        <f t="shared" si="71"/>
        <v>Período 1</v>
      </c>
      <c r="B4579">
        <v>19754</v>
      </c>
      <c r="C4579" t="s">
        <v>2300</v>
      </c>
      <c r="D4579" t="s">
        <v>2537</v>
      </c>
      <c r="E4579" s="3" t="str">
        <f>IF(LEN(Base_Periodo1[[#This Row],[CLASS]])&gt;=7,LEFT(Base_Periodo1[[#This Row],[CLASS]],7),"")</f>
        <v>2.4.1.1</v>
      </c>
      <c r="F4579" s="3" t="str">
        <f>VLOOKUP(Base_Periodo1[[#This Row],[Aux]],Base_Contas_Balanco[#All],2,FALSE)</f>
        <v>Capital Social Realizado</v>
      </c>
      <c r="G4579" s="1"/>
      <c r="H4579" s="225">
        <v>175.29000000000002</v>
      </c>
      <c r="I4579" s="225">
        <v>0</v>
      </c>
      <c r="J4579" s="225">
        <v>0</v>
      </c>
      <c r="K4579" s="225">
        <v>175.29000000000002</v>
      </c>
      <c r="L45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175.29</v>
      </c>
      <c r="M4579" s="225">
        <f>ROUND(IF(AND(Base_Periodo1[[#This Row],[Tipo_Linha]]="-",Base_Periodo1[[#This Row],[TIPOSALDO]]="D"),Base_Periodo1[[#This Row],[SALDO_ATUAL]]*-1,Base_Periodo1[[#This Row],[SALDO_ATUAL]]),4)</f>
        <v>175.29</v>
      </c>
      <c r="N4579" t="s">
        <v>116</v>
      </c>
      <c r="O4579" t="s">
        <v>459</v>
      </c>
      <c r="P4579" t="s">
        <v>459</v>
      </c>
      <c r="Q4579">
        <v>6</v>
      </c>
      <c r="R4579" s="225">
        <f>Base_Periodo1[[#This Row],[CREDITOS]]-Base_Periodo1[[#This Row],[DEBITOS]]</f>
        <v>0</v>
      </c>
      <c r="S4579" s="3" t="str">
        <f>IF(ISERROR(VLOOKUP(Base_Periodo1[[#This Row],[CONTA]],BaseContasDRE[#All],4,FALSE)),"Fora do DRE",VLOOKUP(Base_Periodo1[[#This Row],[CONTA]],BaseContasDRE[#All],4,FALSE))</f>
        <v>Fora do DRE</v>
      </c>
      <c r="T4579" s="3" t="str">
        <f>IF(ISERROR(VLOOKUP(Base_Periodo1[[#This Row],[CONTA]],BaseContasDRE[#All],5,FALSE)),"Fora do DRE",VLOOKUP(Base_Periodo1[[#This Row],[CONTA]],BaseContasDRE[#All],6,FALSE))</f>
        <v>Fora do DRE</v>
      </c>
      <c r="U4579" s="3" t="str">
        <f>IF(ISERROR(VLOOKUP(Base_Periodo1[[#This Row],[CONTA]],BaseContasDRE[#All],7,FALSE)),"Fora do DRE",VLOOKUP(Base_Periodo1[[#This Row],[CONTA]],BaseContasDRE[#All],7,FALSE))</f>
        <v>Fora do DRE</v>
      </c>
      <c r="V4579" s="3" t="str">
        <f>IF(Base_Periodo1[[#This Row],[Tipo_Linha]]="Fora do DRE","Fora do DRE","( "&amp;Base_Periodo1[[#This Row],[Tipo_Linha]]&amp;" ) "&amp;Base_Periodo1[[#This Row],[Filtro]])</f>
        <v>Fora do DRE</v>
      </c>
      <c r="W4579" s="3" t="str">
        <f>LEFT(Base_Periodo1[[#This Row],[CLASS]],3)</f>
        <v>2.4</v>
      </c>
    </row>
    <row r="4580" spans="1:23" hidden="1">
      <c r="A4580" s="3" t="str">
        <f t="shared" si="71"/>
        <v>Período 1</v>
      </c>
      <c r="B4580">
        <v>19331</v>
      </c>
      <c r="C4580" t="s">
        <v>2300</v>
      </c>
      <c r="D4580" t="s">
        <v>2538</v>
      </c>
      <c r="E4580" s="3" t="str">
        <f>IF(LEN(Base_Periodo1[[#This Row],[CLASS]])&gt;=7,LEFT(Base_Periodo1[[#This Row],[CLASS]],7),"")</f>
        <v>2.4.1.1</v>
      </c>
      <c r="F4580" s="3" t="str">
        <f>VLOOKUP(Base_Periodo1[[#This Row],[Aux]],Base_Contas_Balanco[#All],2,FALSE)</f>
        <v>Capital Social Realizado</v>
      </c>
      <c r="G4580" s="1"/>
      <c r="H4580" s="225">
        <v>933.45</v>
      </c>
      <c r="I4580" s="225">
        <v>0</v>
      </c>
      <c r="J4580" s="225">
        <v>0</v>
      </c>
      <c r="K4580" s="225">
        <v>933.45</v>
      </c>
      <c r="L45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933.45</v>
      </c>
      <c r="M4580" s="225">
        <f>ROUND(IF(AND(Base_Periodo1[[#This Row],[Tipo_Linha]]="-",Base_Periodo1[[#This Row],[TIPOSALDO]]="D"),Base_Periodo1[[#This Row],[SALDO_ATUAL]]*-1,Base_Periodo1[[#This Row],[SALDO_ATUAL]]),4)</f>
        <v>933.45</v>
      </c>
      <c r="N4580" t="s">
        <v>116</v>
      </c>
      <c r="O4580" t="s">
        <v>459</v>
      </c>
      <c r="P4580" t="s">
        <v>459</v>
      </c>
      <c r="Q4580">
        <v>6</v>
      </c>
      <c r="R4580" s="225">
        <f>Base_Periodo1[[#This Row],[CREDITOS]]-Base_Periodo1[[#This Row],[DEBITOS]]</f>
        <v>0</v>
      </c>
      <c r="S4580" s="3" t="str">
        <f>IF(ISERROR(VLOOKUP(Base_Periodo1[[#This Row],[CONTA]],BaseContasDRE[#All],4,FALSE)),"Fora do DRE",VLOOKUP(Base_Periodo1[[#This Row],[CONTA]],BaseContasDRE[#All],4,FALSE))</f>
        <v>Fora do DRE</v>
      </c>
      <c r="T4580" s="3" t="str">
        <f>IF(ISERROR(VLOOKUP(Base_Periodo1[[#This Row],[CONTA]],BaseContasDRE[#All],5,FALSE)),"Fora do DRE",VLOOKUP(Base_Periodo1[[#This Row],[CONTA]],BaseContasDRE[#All],6,FALSE))</f>
        <v>Fora do DRE</v>
      </c>
      <c r="U4580" s="3" t="str">
        <f>IF(ISERROR(VLOOKUP(Base_Periodo1[[#This Row],[CONTA]],BaseContasDRE[#All],7,FALSE)),"Fora do DRE",VLOOKUP(Base_Periodo1[[#This Row],[CONTA]],BaseContasDRE[#All],7,FALSE))</f>
        <v>Fora do DRE</v>
      </c>
      <c r="V4580" s="3" t="str">
        <f>IF(Base_Periodo1[[#This Row],[Tipo_Linha]]="Fora do DRE","Fora do DRE","( "&amp;Base_Periodo1[[#This Row],[Tipo_Linha]]&amp;" ) "&amp;Base_Periodo1[[#This Row],[Filtro]])</f>
        <v>Fora do DRE</v>
      </c>
      <c r="W4580" s="3" t="str">
        <f>LEFT(Base_Periodo1[[#This Row],[CLASS]],3)</f>
        <v>2.4</v>
      </c>
    </row>
    <row r="4581" spans="1:23" hidden="1">
      <c r="A4581" s="3" t="str">
        <f t="shared" si="71"/>
        <v>Período 1</v>
      </c>
      <c r="B4581">
        <v>15999</v>
      </c>
      <c r="C4581" t="s">
        <v>2300</v>
      </c>
      <c r="D4581" t="s">
        <v>2539</v>
      </c>
      <c r="E4581" s="3" t="str">
        <f>IF(LEN(Base_Periodo1[[#This Row],[CLASS]])&gt;=7,LEFT(Base_Periodo1[[#This Row],[CLASS]],7),"")</f>
        <v>2.4.1.1</v>
      </c>
      <c r="F4581" s="3" t="str">
        <f>VLOOKUP(Base_Periodo1[[#This Row],[Aux]],Base_Contas_Balanco[#All],2,FALSE)</f>
        <v>Capital Social Realizado</v>
      </c>
      <c r="G4581" s="1"/>
      <c r="H4581" s="225">
        <v>7953.65</v>
      </c>
      <c r="I4581" s="225">
        <v>0</v>
      </c>
      <c r="J4581" s="225">
        <v>0</v>
      </c>
      <c r="K4581" s="225">
        <v>7953.65</v>
      </c>
      <c r="L45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7953.65</v>
      </c>
      <c r="M4581" s="225">
        <f>ROUND(IF(AND(Base_Periodo1[[#This Row],[Tipo_Linha]]="-",Base_Periodo1[[#This Row],[TIPOSALDO]]="D"),Base_Periodo1[[#This Row],[SALDO_ATUAL]]*-1,Base_Periodo1[[#This Row],[SALDO_ATUAL]]),4)</f>
        <v>7953.65</v>
      </c>
      <c r="N4581" t="s">
        <v>116</v>
      </c>
      <c r="O4581" t="s">
        <v>459</v>
      </c>
      <c r="P4581" t="s">
        <v>459</v>
      </c>
      <c r="Q4581">
        <v>6</v>
      </c>
      <c r="R4581" s="225">
        <f>Base_Periodo1[[#This Row],[CREDITOS]]-Base_Periodo1[[#This Row],[DEBITOS]]</f>
        <v>0</v>
      </c>
      <c r="S4581" s="3" t="str">
        <f>IF(ISERROR(VLOOKUP(Base_Periodo1[[#This Row],[CONTA]],BaseContasDRE[#All],4,FALSE)),"Fora do DRE",VLOOKUP(Base_Periodo1[[#This Row],[CONTA]],BaseContasDRE[#All],4,FALSE))</f>
        <v>Fora do DRE</v>
      </c>
      <c r="T4581" s="3" t="str">
        <f>IF(ISERROR(VLOOKUP(Base_Periodo1[[#This Row],[CONTA]],BaseContasDRE[#All],5,FALSE)),"Fora do DRE",VLOOKUP(Base_Periodo1[[#This Row],[CONTA]],BaseContasDRE[#All],6,FALSE))</f>
        <v>Fora do DRE</v>
      </c>
      <c r="U4581" s="3" t="str">
        <f>IF(ISERROR(VLOOKUP(Base_Periodo1[[#This Row],[CONTA]],BaseContasDRE[#All],7,FALSE)),"Fora do DRE",VLOOKUP(Base_Periodo1[[#This Row],[CONTA]],BaseContasDRE[#All],7,FALSE))</f>
        <v>Fora do DRE</v>
      </c>
      <c r="V4581" s="3" t="str">
        <f>IF(Base_Periodo1[[#This Row],[Tipo_Linha]]="Fora do DRE","Fora do DRE","( "&amp;Base_Periodo1[[#This Row],[Tipo_Linha]]&amp;" ) "&amp;Base_Periodo1[[#This Row],[Filtro]])</f>
        <v>Fora do DRE</v>
      </c>
      <c r="W4581" s="3" t="str">
        <f>LEFT(Base_Periodo1[[#This Row],[CLASS]],3)</f>
        <v>2.4</v>
      </c>
    </row>
    <row r="4582" spans="1:23" hidden="1">
      <c r="A4582" s="3" t="str">
        <f t="shared" si="71"/>
        <v>Período 1</v>
      </c>
      <c r="B4582">
        <v>39823</v>
      </c>
      <c r="C4582" t="s">
        <v>2300</v>
      </c>
      <c r="D4582" t="s">
        <v>2540</v>
      </c>
      <c r="E4582" s="3" t="str">
        <f>IF(LEN(Base_Periodo1[[#This Row],[CLASS]])&gt;=7,LEFT(Base_Periodo1[[#This Row],[CLASS]],7),"")</f>
        <v>2.4.1.1</v>
      </c>
      <c r="F4582" s="3" t="str">
        <f>VLOOKUP(Base_Periodo1[[#This Row],[Aux]],Base_Contas_Balanco[#All],2,FALSE)</f>
        <v>Capital Social Realizado</v>
      </c>
      <c r="G4582" s="1"/>
      <c r="H4582" s="225">
        <v>73.510000000000005</v>
      </c>
      <c r="I4582" s="225">
        <v>0</v>
      </c>
      <c r="J4582" s="225">
        <v>0</v>
      </c>
      <c r="K4582" s="225">
        <v>73.510000000000005</v>
      </c>
      <c r="L45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73.510000000000005</v>
      </c>
      <c r="M4582" s="225">
        <f>ROUND(IF(AND(Base_Periodo1[[#This Row],[Tipo_Linha]]="-",Base_Periodo1[[#This Row],[TIPOSALDO]]="D"),Base_Periodo1[[#This Row],[SALDO_ATUAL]]*-1,Base_Periodo1[[#This Row],[SALDO_ATUAL]]),4)</f>
        <v>73.510000000000005</v>
      </c>
      <c r="N4582" t="s">
        <v>116</v>
      </c>
      <c r="O4582" t="s">
        <v>459</v>
      </c>
      <c r="P4582" t="s">
        <v>459</v>
      </c>
      <c r="Q4582">
        <v>6</v>
      </c>
      <c r="R4582" s="225">
        <f>Base_Periodo1[[#This Row],[CREDITOS]]-Base_Periodo1[[#This Row],[DEBITOS]]</f>
        <v>0</v>
      </c>
      <c r="S4582" s="3" t="str">
        <f>IF(ISERROR(VLOOKUP(Base_Periodo1[[#This Row],[CONTA]],BaseContasDRE[#All],4,FALSE)),"Fora do DRE",VLOOKUP(Base_Periodo1[[#This Row],[CONTA]],BaseContasDRE[#All],4,FALSE))</f>
        <v>Fora do DRE</v>
      </c>
      <c r="T4582" s="3" t="str">
        <f>IF(ISERROR(VLOOKUP(Base_Periodo1[[#This Row],[CONTA]],BaseContasDRE[#All],5,FALSE)),"Fora do DRE",VLOOKUP(Base_Periodo1[[#This Row],[CONTA]],BaseContasDRE[#All],6,FALSE))</f>
        <v>Fora do DRE</v>
      </c>
      <c r="U4582" s="3" t="str">
        <f>IF(ISERROR(VLOOKUP(Base_Periodo1[[#This Row],[CONTA]],BaseContasDRE[#All],7,FALSE)),"Fora do DRE",VLOOKUP(Base_Periodo1[[#This Row],[CONTA]],BaseContasDRE[#All],7,FALSE))</f>
        <v>Fora do DRE</v>
      </c>
      <c r="V4582" s="3" t="str">
        <f>IF(Base_Periodo1[[#This Row],[Tipo_Linha]]="Fora do DRE","Fora do DRE","( "&amp;Base_Periodo1[[#This Row],[Tipo_Linha]]&amp;" ) "&amp;Base_Periodo1[[#This Row],[Filtro]])</f>
        <v>Fora do DRE</v>
      </c>
      <c r="W4582" s="3" t="str">
        <f>LEFT(Base_Periodo1[[#This Row],[CLASS]],3)</f>
        <v>2.4</v>
      </c>
    </row>
    <row r="4583" spans="1:23" hidden="1">
      <c r="A4583" s="3" t="str">
        <f t="shared" si="71"/>
        <v>Período 1</v>
      </c>
      <c r="B4583">
        <v>40747</v>
      </c>
      <c r="C4583" t="s">
        <v>2300</v>
      </c>
      <c r="D4583" t="s">
        <v>2541</v>
      </c>
      <c r="E4583" s="3" t="str">
        <f>IF(LEN(Base_Periodo1[[#This Row],[CLASS]])&gt;=7,LEFT(Base_Periodo1[[#This Row],[CLASS]],7),"")</f>
        <v>2.4.1.1</v>
      </c>
      <c r="F4583" s="3" t="str">
        <f>VLOOKUP(Base_Periodo1[[#This Row],[Aux]],Base_Contas_Balanco[#All],2,FALSE)</f>
        <v>Capital Social Realizado</v>
      </c>
      <c r="G4583" s="1"/>
      <c r="H4583" s="225">
        <v>722.81</v>
      </c>
      <c r="I4583" s="225">
        <v>0</v>
      </c>
      <c r="J4583" s="225">
        <v>0</v>
      </c>
      <c r="K4583" s="225">
        <v>722.81</v>
      </c>
      <c r="L45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722.81</v>
      </c>
      <c r="M4583" s="225">
        <f>ROUND(IF(AND(Base_Periodo1[[#This Row],[Tipo_Linha]]="-",Base_Periodo1[[#This Row],[TIPOSALDO]]="D"),Base_Periodo1[[#This Row],[SALDO_ATUAL]]*-1,Base_Periodo1[[#This Row],[SALDO_ATUAL]]),4)</f>
        <v>722.81</v>
      </c>
      <c r="N4583" t="s">
        <v>116</v>
      </c>
      <c r="O4583" t="s">
        <v>459</v>
      </c>
      <c r="P4583" t="s">
        <v>459</v>
      </c>
      <c r="Q4583">
        <v>6</v>
      </c>
      <c r="R4583" s="225">
        <f>Base_Periodo1[[#This Row],[CREDITOS]]-Base_Periodo1[[#This Row],[DEBITOS]]</f>
        <v>0</v>
      </c>
      <c r="S4583" s="3" t="str">
        <f>IF(ISERROR(VLOOKUP(Base_Periodo1[[#This Row],[CONTA]],BaseContasDRE[#All],4,FALSE)),"Fora do DRE",VLOOKUP(Base_Periodo1[[#This Row],[CONTA]],BaseContasDRE[#All],4,FALSE))</f>
        <v>Fora do DRE</v>
      </c>
      <c r="T4583" s="3" t="str">
        <f>IF(ISERROR(VLOOKUP(Base_Periodo1[[#This Row],[CONTA]],BaseContasDRE[#All],5,FALSE)),"Fora do DRE",VLOOKUP(Base_Periodo1[[#This Row],[CONTA]],BaseContasDRE[#All],6,FALSE))</f>
        <v>Fora do DRE</v>
      </c>
      <c r="U4583" s="3" t="str">
        <f>IF(ISERROR(VLOOKUP(Base_Periodo1[[#This Row],[CONTA]],BaseContasDRE[#All],7,FALSE)),"Fora do DRE",VLOOKUP(Base_Periodo1[[#This Row],[CONTA]],BaseContasDRE[#All],7,FALSE))</f>
        <v>Fora do DRE</v>
      </c>
      <c r="V4583" s="3" t="str">
        <f>IF(Base_Periodo1[[#This Row],[Tipo_Linha]]="Fora do DRE","Fora do DRE","( "&amp;Base_Periodo1[[#This Row],[Tipo_Linha]]&amp;" ) "&amp;Base_Periodo1[[#This Row],[Filtro]])</f>
        <v>Fora do DRE</v>
      </c>
      <c r="W4583" s="3" t="str">
        <f>LEFT(Base_Periodo1[[#This Row],[CLASS]],3)</f>
        <v>2.4</v>
      </c>
    </row>
    <row r="4584" spans="1:23" hidden="1">
      <c r="A4584" s="3" t="str">
        <f t="shared" si="71"/>
        <v>Período 1</v>
      </c>
      <c r="B4584">
        <v>28300</v>
      </c>
      <c r="C4584" t="s">
        <v>2300</v>
      </c>
      <c r="D4584" t="s">
        <v>2542</v>
      </c>
      <c r="E4584" s="3" t="str">
        <f>IF(LEN(Base_Periodo1[[#This Row],[CLASS]])&gt;=7,LEFT(Base_Periodo1[[#This Row],[CLASS]],7),"")</f>
        <v>2.4.1.1</v>
      </c>
      <c r="F4584" s="3" t="str">
        <f>VLOOKUP(Base_Periodo1[[#This Row],[Aux]],Base_Contas_Balanco[#All],2,FALSE)</f>
        <v>Capital Social Realizado</v>
      </c>
      <c r="G4584" s="1"/>
      <c r="H4584" s="225">
        <v>50</v>
      </c>
      <c r="I4584" s="225">
        <v>0</v>
      </c>
      <c r="J4584" s="225">
        <v>0</v>
      </c>
      <c r="K4584" s="225">
        <v>50</v>
      </c>
      <c r="L45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84" s="225">
        <f>ROUND(IF(AND(Base_Periodo1[[#This Row],[Tipo_Linha]]="-",Base_Periodo1[[#This Row],[TIPOSALDO]]="D"),Base_Periodo1[[#This Row],[SALDO_ATUAL]]*-1,Base_Periodo1[[#This Row],[SALDO_ATUAL]]),4)</f>
        <v>50</v>
      </c>
      <c r="N4584" t="s">
        <v>116</v>
      </c>
      <c r="O4584" t="s">
        <v>459</v>
      </c>
      <c r="P4584" t="s">
        <v>459</v>
      </c>
      <c r="Q4584">
        <v>6</v>
      </c>
      <c r="R4584" s="225">
        <f>Base_Periodo1[[#This Row],[CREDITOS]]-Base_Periodo1[[#This Row],[DEBITOS]]</f>
        <v>0</v>
      </c>
      <c r="S4584" s="3" t="str">
        <f>IF(ISERROR(VLOOKUP(Base_Periodo1[[#This Row],[CONTA]],BaseContasDRE[#All],4,FALSE)),"Fora do DRE",VLOOKUP(Base_Periodo1[[#This Row],[CONTA]],BaseContasDRE[#All],4,FALSE))</f>
        <v>Fora do DRE</v>
      </c>
      <c r="T4584" s="3" t="str">
        <f>IF(ISERROR(VLOOKUP(Base_Periodo1[[#This Row],[CONTA]],BaseContasDRE[#All],5,FALSE)),"Fora do DRE",VLOOKUP(Base_Periodo1[[#This Row],[CONTA]],BaseContasDRE[#All],6,FALSE))</f>
        <v>Fora do DRE</v>
      </c>
      <c r="U4584" s="3" t="str">
        <f>IF(ISERROR(VLOOKUP(Base_Periodo1[[#This Row],[CONTA]],BaseContasDRE[#All],7,FALSE)),"Fora do DRE",VLOOKUP(Base_Periodo1[[#This Row],[CONTA]],BaseContasDRE[#All],7,FALSE))</f>
        <v>Fora do DRE</v>
      </c>
      <c r="V4584" s="3" t="str">
        <f>IF(Base_Periodo1[[#This Row],[Tipo_Linha]]="Fora do DRE","Fora do DRE","( "&amp;Base_Periodo1[[#This Row],[Tipo_Linha]]&amp;" ) "&amp;Base_Periodo1[[#This Row],[Filtro]])</f>
        <v>Fora do DRE</v>
      </c>
      <c r="W4584" s="3" t="str">
        <f>LEFT(Base_Periodo1[[#This Row],[CLASS]],3)</f>
        <v>2.4</v>
      </c>
    </row>
    <row r="4585" spans="1:23" hidden="1">
      <c r="A4585" s="3" t="str">
        <f t="shared" si="71"/>
        <v>Período 1</v>
      </c>
      <c r="B4585">
        <v>24607</v>
      </c>
      <c r="C4585" t="s">
        <v>2300</v>
      </c>
      <c r="D4585" t="s">
        <v>2543</v>
      </c>
      <c r="E4585" s="3" t="str">
        <f>IF(LEN(Base_Periodo1[[#This Row],[CLASS]])&gt;=7,LEFT(Base_Periodo1[[#This Row],[CLASS]],7),"")</f>
        <v>2.4.1.1</v>
      </c>
      <c r="F4585" s="3" t="str">
        <f>VLOOKUP(Base_Periodo1[[#This Row],[Aux]],Base_Contas_Balanco[#All],2,FALSE)</f>
        <v>Capital Social Realizado</v>
      </c>
      <c r="G4585" s="1"/>
      <c r="H4585" s="225">
        <v>377.15</v>
      </c>
      <c r="I4585" s="225">
        <v>0</v>
      </c>
      <c r="J4585" s="225">
        <v>0</v>
      </c>
      <c r="K4585" s="225">
        <v>377.15</v>
      </c>
      <c r="L45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377.15</v>
      </c>
      <c r="M4585" s="225">
        <f>ROUND(IF(AND(Base_Periodo1[[#This Row],[Tipo_Linha]]="-",Base_Periodo1[[#This Row],[TIPOSALDO]]="D"),Base_Periodo1[[#This Row],[SALDO_ATUAL]]*-1,Base_Periodo1[[#This Row],[SALDO_ATUAL]]),4)</f>
        <v>377.15</v>
      </c>
      <c r="N4585" t="s">
        <v>116</v>
      </c>
      <c r="O4585" t="s">
        <v>459</v>
      </c>
      <c r="P4585" t="s">
        <v>459</v>
      </c>
      <c r="Q4585">
        <v>6</v>
      </c>
      <c r="R4585" s="225">
        <f>Base_Periodo1[[#This Row],[CREDITOS]]-Base_Periodo1[[#This Row],[DEBITOS]]</f>
        <v>0</v>
      </c>
      <c r="S4585" s="3" t="str">
        <f>IF(ISERROR(VLOOKUP(Base_Periodo1[[#This Row],[CONTA]],BaseContasDRE[#All],4,FALSE)),"Fora do DRE",VLOOKUP(Base_Periodo1[[#This Row],[CONTA]],BaseContasDRE[#All],4,FALSE))</f>
        <v>Fora do DRE</v>
      </c>
      <c r="T4585" s="3" t="str">
        <f>IF(ISERROR(VLOOKUP(Base_Periodo1[[#This Row],[CONTA]],BaseContasDRE[#All],5,FALSE)),"Fora do DRE",VLOOKUP(Base_Periodo1[[#This Row],[CONTA]],BaseContasDRE[#All],6,FALSE))</f>
        <v>Fora do DRE</v>
      </c>
      <c r="U4585" s="3" t="str">
        <f>IF(ISERROR(VLOOKUP(Base_Periodo1[[#This Row],[CONTA]],BaseContasDRE[#All],7,FALSE)),"Fora do DRE",VLOOKUP(Base_Periodo1[[#This Row],[CONTA]],BaseContasDRE[#All],7,FALSE))</f>
        <v>Fora do DRE</v>
      </c>
      <c r="V4585" s="3" t="str">
        <f>IF(Base_Periodo1[[#This Row],[Tipo_Linha]]="Fora do DRE","Fora do DRE","( "&amp;Base_Periodo1[[#This Row],[Tipo_Linha]]&amp;" ) "&amp;Base_Periodo1[[#This Row],[Filtro]])</f>
        <v>Fora do DRE</v>
      </c>
      <c r="W4585" s="3" t="str">
        <f>LEFT(Base_Periodo1[[#This Row],[CLASS]],3)</f>
        <v>2.4</v>
      </c>
    </row>
    <row r="4586" spans="1:23" hidden="1">
      <c r="A4586" s="3" t="str">
        <f t="shared" si="71"/>
        <v>Período 1</v>
      </c>
      <c r="B4586">
        <v>16230</v>
      </c>
      <c r="C4586" t="s">
        <v>2300</v>
      </c>
      <c r="D4586" t="s">
        <v>2544</v>
      </c>
      <c r="E4586" s="3" t="str">
        <f>IF(LEN(Base_Periodo1[[#This Row],[CLASS]])&gt;=7,LEFT(Base_Periodo1[[#This Row],[CLASS]],7),"")</f>
        <v>2.4.1.1</v>
      </c>
      <c r="F4586" s="3" t="str">
        <f>VLOOKUP(Base_Periodo1[[#This Row],[Aux]],Base_Contas_Balanco[#All],2,FALSE)</f>
        <v>Capital Social Realizado</v>
      </c>
      <c r="G4586" s="1"/>
      <c r="H4586" s="225">
        <v>42896.95</v>
      </c>
      <c r="I4586" s="225">
        <v>0</v>
      </c>
      <c r="J4586" s="225">
        <v>0</v>
      </c>
      <c r="K4586" s="225">
        <v>42896.95</v>
      </c>
      <c r="L45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42896.95</v>
      </c>
      <c r="M4586" s="225">
        <f>ROUND(IF(AND(Base_Periodo1[[#This Row],[Tipo_Linha]]="-",Base_Periodo1[[#This Row],[TIPOSALDO]]="D"),Base_Periodo1[[#This Row],[SALDO_ATUAL]]*-1,Base_Periodo1[[#This Row],[SALDO_ATUAL]]),4)</f>
        <v>42896.95</v>
      </c>
      <c r="N4586" t="s">
        <v>116</v>
      </c>
      <c r="O4586" t="s">
        <v>459</v>
      </c>
      <c r="P4586" t="s">
        <v>459</v>
      </c>
      <c r="Q4586">
        <v>6</v>
      </c>
      <c r="R4586" s="225">
        <f>Base_Periodo1[[#This Row],[CREDITOS]]-Base_Periodo1[[#This Row],[DEBITOS]]</f>
        <v>0</v>
      </c>
      <c r="S4586" s="3" t="str">
        <f>IF(ISERROR(VLOOKUP(Base_Periodo1[[#This Row],[CONTA]],BaseContasDRE[#All],4,FALSE)),"Fora do DRE",VLOOKUP(Base_Periodo1[[#This Row],[CONTA]],BaseContasDRE[#All],4,FALSE))</f>
        <v>Fora do DRE</v>
      </c>
      <c r="T4586" s="3" t="str">
        <f>IF(ISERROR(VLOOKUP(Base_Periodo1[[#This Row],[CONTA]],BaseContasDRE[#All],5,FALSE)),"Fora do DRE",VLOOKUP(Base_Periodo1[[#This Row],[CONTA]],BaseContasDRE[#All],6,FALSE))</f>
        <v>Fora do DRE</v>
      </c>
      <c r="U4586" s="3" t="str">
        <f>IF(ISERROR(VLOOKUP(Base_Periodo1[[#This Row],[CONTA]],BaseContasDRE[#All],7,FALSE)),"Fora do DRE",VLOOKUP(Base_Periodo1[[#This Row],[CONTA]],BaseContasDRE[#All],7,FALSE))</f>
        <v>Fora do DRE</v>
      </c>
      <c r="V4586" s="3" t="str">
        <f>IF(Base_Periodo1[[#This Row],[Tipo_Linha]]="Fora do DRE","Fora do DRE","( "&amp;Base_Periodo1[[#This Row],[Tipo_Linha]]&amp;" ) "&amp;Base_Periodo1[[#This Row],[Filtro]])</f>
        <v>Fora do DRE</v>
      </c>
      <c r="W4586" s="3" t="str">
        <f>LEFT(Base_Periodo1[[#This Row],[CLASS]],3)</f>
        <v>2.4</v>
      </c>
    </row>
    <row r="4587" spans="1:23" hidden="1">
      <c r="A4587" s="3" t="str">
        <f t="shared" si="71"/>
        <v>Período 1</v>
      </c>
      <c r="B4587">
        <v>25228</v>
      </c>
      <c r="C4587" t="s">
        <v>2300</v>
      </c>
      <c r="D4587" t="s">
        <v>2545</v>
      </c>
      <c r="E4587" s="3" t="str">
        <f>IF(LEN(Base_Periodo1[[#This Row],[CLASS]])&gt;=7,LEFT(Base_Periodo1[[#This Row],[CLASS]],7),"")</f>
        <v>2.4.1.1</v>
      </c>
      <c r="F4587" s="3" t="str">
        <f>VLOOKUP(Base_Periodo1[[#This Row],[Aux]],Base_Contas_Balanco[#All],2,FALSE)</f>
        <v>Capital Social Realizado</v>
      </c>
      <c r="G4587" s="1">
        <v>41653</v>
      </c>
      <c r="H4587" s="225">
        <v>9.9999999999909051E-3</v>
      </c>
      <c r="I4587" s="225">
        <v>0</v>
      </c>
      <c r="J4587" s="225">
        <v>0</v>
      </c>
      <c r="K4587" s="225">
        <v>9.9999999999909051E-3</v>
      </c>
      <c r="L45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0.01</v>
      </c>
      <c r="M4587" s="225">
        <f>ROUND(IF(AND(Base_Periodo1[[#This Row],[Tipo_Linha]]="-",Base_Periodo1[[#This Row],[TIPOSALDO]]="D"),Base_Periodo1[[#This Row],[SALDO_ATUAL]]*-1,Base_Periodo1[[#This Row],[SALDO_ATUAL]]),4)</f>
        <v>0.01</v>
      </c>
      <c r="N4587" t="s">
        <v>116</v>
      </c>
      <c r="O4587" t="s">
        <v>459</v>
      </c>
      <c r="P4587" t="s">
        <v>459</v>
      </c>
      <c r="Q4587">
        <v>6</v>
      </c>
      <c r="R4587" s="225">
        <f>Base_Periodo1[[#This Row],[CREDITOS]]-Base_Periodo1[[#This Row],[DEBITOS]]</f>
        <v>0</v>
      </c>
      <c r="S4587" s="3" t="str">
        <f>IF(ISERROR(VLOOKUP(Base_Periodo1[[#This Row],[CONTA]],BaseContasDRE[#All],4,FALSE)),"Fora do DRE",VLOOKUP(Base_Periodo1[[#This Row],[CONTA]],BaseContasDRE[#All],4,FALSE))</f>
        <v>Fora do DRE</v>
      </c>
      <c r="T4587" s="3" t="str">
        <f>IF(ISERROR(VLOOKUP(Base_Periodo1[[#This Row],[CONTA]],BaseContasDRE[#All],5,FALSE)),"Fora do DRE",VLOOKUP(Base_Periodo1[[#This Row],[CONTA]],BaseContasDRE[#All],6,FALSE))</f>
        <v>Fora do DRE</v>
      </c>
      <c r="U4587" s="3" t="str">
        <f>IF(ISERROR(VLOOKUP(Base_Periodo1[[#This Row],[CONTA]],BaseContasDRE[#All],7,FALSE)),"Fora do DRE",VLOOKUP(Base_Periodo1[[#This Row],[CONTA]],BaseContasDRE[#All],7,FALSE))</f>
        <v>Fora do DRE</v>
      </c>
      <c r="V4587" s="3" t="str">
        <f>IF(Base_Periodo1[[#This Row],[Tipo_Linha]]="Fora do DRE","Fora do DRE","( "&amp;Base_Periodo1[[#This Row],[Tipo_Linha]]&amp;" ) "&amp;Base_Periodo1[[#This Row],[Filtro]])</f>
        <v>Fora do DRE</v>
      </c>
      <c r="W4587" s="3" t="str">
        <f>LEFT(Base_Periodo1[[#This Row],[CLASS]],3)</f>
        <v>2.4</v>
      </c>
    </row>
    <row r="4588" spans="1:23" hidden="1">
      <c r="A4588" s="3" t="str">
        <f t="shared" si="71"/>
        <v>Período 1</v>
      </c>
      <c r="B4588">
        <v>39414</v>
      </c>
      <c r="C4588" t="s">
        <v>2300</v>
      </c>
      <c r="D4588" t="s">
        <v>2546</v>
      </c>
      <c r="E4588" s="3" t="str">
        <f>IF(LEN(Base_Periodo1[[#This Row],[CLASS]])&gt;=7,LEFT(Base_Periodo1[[#This Row],[CLASS]],7),"")</f>
        <v>2.4.1.1</v>
      </c>
      <c r="F4588" s="3" t="str">
        <f>VLOOKUP(Base_Periodo1[[#This Row],[Aux]],Base_Contas_Balanco[#All],2,FALSE)</f>
        <v>Capital Social Realizado</v>
      </c>
      <c r="G4588" s="1"/>
      <c r="H4588" s="225">
        <v>119.85</v>
      </c>
      <c r="I4588" s="225">
        <v>0</v>
      </c>
      <c r="J4588" s="225">
        <v>0</v>
      </c>
      <c r="K4588" s="225">
        <v>119.85</v>
      </c>
      <c r="L45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119.85</v>
      </c>
      <c r="M4588" s="225">
        <f>ROUND(IF(AND(Base_Periodo1[[#This Row],[Tipo_Linha]]="-",Base_Periodo1[[#This Row],[TIPOSALDO]]="D"),Base_Periodo1[[#This Row],[SALDO_ATUAL]]*-1,Base_Periodo1[[#This Row],[SALDO_ATUAL]]),4)</f>
        <v>119.85</v>
      </c>
      <c r="N4588" t="s">
        <v>116</v>
      </c>
      <c r="O4588" t="s">
        <v>459</v>
      </c>
      <c r="P4588" t="s">
        <v>459</v>
      </c>
      <c r="Q4588">
        <v>6</v>
      </c>
      <c r="R4588" s="225">
        <f>Base_Periodo1[[#This Row],[CREDITOS]]-Base_Periodo1[[#This Row],[DEBITOS]]</f>
        <v>0</v>
      </c>
      <c r="S4588" s="3" t="str">
        <f>IF(ISERROR(VLOOKUP(Base_Periodo1[[#This Row],[CONTA]],BaseContasDRE[#All],4,FALSE)),"Fora do DRE",VLOOKUP(Base_Periodo1[[#This Row],[CONTA]],BaseContasDRE[#All],4,FALSE))</f>
        <v>Fora do DRE</v>
      </c>
      <c r="T4588" s="3" t="str">
        <f>IF(ISERROR(VLOOKUP(Base_Periodo1[[#This Row],[CONTA]],BaseContasDRE[#All],5,FALSE)),"Fora do DRE",VLOOKUP(Base_Periodo1[[#This Row],[CONTA]],BaseContasDRE[#All],6,FALSE))</f>
        <v>Fora do DRE</v>
      </c>
      <c r="U4588" s="3" t="str">
        <f>IF(ISERROR(VLOOKUP(Base_Periodo1[[#This Row],[CONTA]],BaseContasDRE[#All],7,FALSE)),"Fora do DRE",VLOOKUP(Base_Periodo1[[#This Row],[CONTA]],BaseContasDRE[#All],7,FALSE))</f>
        <v>Fora do DRE</v>
      </c>
      <c r="V4588" s="3" t="str">
        <f>IF(Base_Periodo1[[#This Row],[Tipo_Linha]]="Fora do DRE","Fora do DRE","( "&amp;Base_Periodo1[[#This Row],[Tipo_Linha]]&amp;" ) "&amp;Base_Periodo1[[#This Row],[Filtro]])</f>
        <v>Fora do DRE</v>
      </c>
      <c r="W4588" s="3" t="str">
        <f>LEFT(Base_Periodo1[[#This Row],[CLASS]],3)</f>
        <v>2.4</v>
      </c>
    </row>
    <row r="4589" spans="1:23" hidden="1">
      <c r="A4589" s="3" t="str">
        <f t="shared" si="71"/>
        <v>Período 1</v>
      </c>
      <c r="B4589">
        <v>28283</v>
      </c>
      <c r="C4589" t="s">
        <v>2300</v>
      </c>
      <c r="D4589" t="s">
        <v>2547</v>
      </c>
      <c r="E4589" s="3" t="str">
        <f>IF(LEN(Base_Periodo1[[#This Row],[CLASS]])&gt;=7,LEFT(Base_Periodo1[[#This Row],[CLASS]],7),"")</f>
        <v>2.4.1.1</v>
      </c>
      <c r="F4589" s="3" t="str">
        <f>VLOOKUP(Base_Periodo1[[#This Row],[Aux]],Base_Contas_Balanco[#All],2,FALSE)</f>
        <v>Capital Social Realizado</v>
      </c>
      <c r="G4589" s="1"/>
      <c r="H4589" s="225">
        <v>120.27</v>
      </c>
      <c r="I4589" s="225">
        <v>0</v>
      </c>
      <c r="J4589" s="225">
        <v>0</v>
      </c>
      <c r="K4589" s="225">
        <v>120.27</v>
      </c>
      <c r="L45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120.27</v>
      </c>
      <c r="M4589" s="225">
        <f>ROUND(IF(AND(Base_Periodo1[[#This Row],[Tipo_Linha]]="-",Base_Periodo1[[#This Row],[TIPOSALDO]]="D"),Base_Periodo1[[#This Row],[SALDO_ATUAL]]*-1,Base_Periodo1[[#This Row],[SALDO_ATUAL]]),4)</f>
        <v>120.27</v>
      </c>
      <c r="N4589" t="s">
        <v>116</v>
      </c>
      <c r="O4589" t="s">
        <v>459</v>
      </c>
      <c r="P4589" t="s">
        <v>459</v>
      </c>
      <c r="Q4589">
        <v>6</v>
      </c>
      <c r="R4589" s="225">
        <f>Base_Periodo1[[#This Row],[CREDITOS]]-Base_Periodo1[[#This Row],[DEBITOS]]</f>
        <v>0</v>
      </c>
      <c r="S4589" s="3" t="str">
        <f>IF(ISERROR(VLOOKUP(Base_Periodo1[[#This Row],[CONTA]],BaseContasDRE[#All],4,FALSE)),"Fora do DRE",VLOOKUP(Base_Periodo1[[#This Row],[CONTA]],BaseContasDRE[#All],4,FALSE))</f>
        <v>Fora do DRE</v>
      </c>
      <c r="T4589" s="3" t="str">
        <f>IF(ISERROR(VLOOKUP(Base_Periodo1[[#This Row],[CONTA]],BaseContasDRE[#All],5,FALSE)),"Fora do DRE",VLOOKUP(Base_Periodo1[[#This Row],[CONTA]],BaseContasDRE[#All],6,FALSE))</f>
        <v>Fora do DRE</v>
      </c>
      <c r="U4589" s="3" t="str">
        <f>IF(ISERROR(VLOOKUP(Base_Periodo1[[#This Row],[CONTA]],BaseContasDRE[#All],7,FALSE)),"Fora do DRE",VLOOKUP(Base_Periodo1[[#This Row],[CONTA]],BaseContasDRE[#All],7,FALSE))</f>
        <v>Fora do DRE</v>
      </c>
      <c r="V4589" s="3" t="str">
        <f>IF(Base_Periodo1[[#This Row],[Tipo_Linha]]="Fora do DRE","Fora do DRE","( "&amp;Base_Periodo1[[#This Row],[Tipo_Linha]]&amp;" ) "&amp;Base_Periodo1[[#This Row],[Filtro]])</f>
        <v>Fora do DRE</v>
      </c>
      <c r="W4589" s="3" t="str">
        <f>LEFT(Base_Periodo1[[#This Row],[CLASS]],3)</f>
        <v>2.4</v>
      </c>
    </row>
    <row r="4590" spans="1:23" hidden="1">
      <c r="A4590" s="3" t="str">
        <f t="shared" si="71"/>
        <v>Período 1</v>
      </c>
      <c r="B4590">
        <v>19740</v>
      </c>
      <c r="C4590" t="s">
        <v>2300</v>
      </c>
      <c r="D4590" t="s">
        <v>2548</v>
      </c>
      <c r="E4590" s="3" t="str">
        <f>IF(LEN(Base_Periodo1[[#This Row],[CLASS]])&gt;=7,LEFT(Base_Periodo1[[#This Row],[CLASS]],7),"")</f>
        <v>2.4.1.1</v>
      </c>
      <c r="F4590" s="3" t="str">
        <f>VLOOKUP(Base_Periodo1[[#This Row],[Aux]],Base_Contas_Balanco[#All],2,FALSE)</f>
        <v>Capital Social Realizado</v>
      </c>
      <c r="G4590" s="1"/>
      <c r="H4590" s="225">
        <v>169.01</v>
      </c>
      <c r="I4590" s="225">
        <v>0</v>
      </c>
      <c r="J4590" s="225">
        <v>0</v>
      </c>
      <c r="K4590" s="225">
        <v>169.01</v>
      </c>
      <c r="L45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169.01</v>
      </c>
      <c r="M4590" s="225">
        <f>ROUND(IF(AND(Base_Periodo1[[#This Row],[Tipo_Linha]]="-",Base_Periodo1[[#This Row],[TIPOSALDO]]="D"),Base_Periodo1[[#This Row],[SALDO_ATUAL]]*-1,Base_Periodo1[[#This Row],[SALDO_ATUAL]]),4)</f>
        <v>169.01</v>
      </c>
      <c r="N4590" t="s">
        <v>116</v>
      </c>
      <c r="O4590" t="s">
        <v>459</v>
      </c>
      <c r="P4590" t="s">
        <v>459</v>
      </c>
      <c r="Q4590">
        <v>6</v>
      </c>
      <c r="R4590" s="225">
        <f>Base_Periodo1[[#This Row],[CREDITOS]]-Base_Periodo1[[#This Row],[DEBITOS]]</f>
        <v>0</v>
      </c>
      <c r="S4590" s="3" t="str">
        <f>IF(ISERROR(VLOOKUP(Base_Periodo1[[#This Row],[CONTA]],BaseContasDRE[#All],4,FALSE)),"Fora do DRE",VLOOKUP(Base_Periodo1[[#This Row],[CONTA]],BaseContasDRE[#All],4,FALSE))</f>
        <v>Fora do DRE</v>
      </c>
      <c r="T4590" s="3" t="str">
        <f>IF(ISERROR(VLOOKUP(Base_Periodo1[[#This Row],[CONTA]],BaseContasDRE[#All],5,FALSE)),"Fora do DRE",VLOOKUP(Base_Periodo1[[#This Row],[CONTA]],BaseContasDRE[#All],6,FALSE))</f>
        <v>Fora do DRE</v>
      </c>
      <c r="U4590" s="3" t="str">
        <f>IF(ISERROR(VLOOKUP(Base_Periodo1[[#This Row],[CONTA]],BaseContasDRE[#All],7,FALSE)),"Fora do DRE",VLOOKUP(Base_Periodo1[[#This Row],[CONTA]],BaseContasDRE[#All],7,FALSE))</f>
        <v>Fora do DRE</v>
      </c>
      <c r="V4590" s="3" t="str">
        <f>IF(Base_Periodo1[[#This Row],[Tipo_Linha]]="Fora do DRE","Fora do DRE","( "&amp;Base_Periodo1[[#This Row],[Tipo_Linha]]&amp;" ) "&amp;Base_Periodo1[[#This Row],[Filtro]])</f>
        <v>Fora do DRE</v>
      </c>
      <c r="W4590" s="3" t="str">
        <f>LEFT(Base_Periodo1[[#This Row],[CLASS]],3)</f>
        <v>2.4</v>
      </c>
    </row>
    <row r="4591" spans="1:23" hidden="1">
      <c r="A4591" s="3" t="str">
        <f t="shared" si="71"/>
        <v>Período 1</v>
      </c>
      <c r="B4591">
        <v>25251</v>
      </c>
      <c r="C4591" t="s">
        <v>2300</v>
      </c>
      <c r="D4591" t="s">
        <v>2549</v>
      </c>
      <c r="E4591" s="3" t="str">
        <f>IF(LEN(Base_Periodo1[[#This Row],[CLASS]])&gt;=7,LEFT(Base_Periodo1[[#This Row],[CLASS]],7),"")</f>
        <v>2.4.1.1</v>
      </c>
      <c r="F4591" s="3" t="str">
        <f>VLOOKUP(Base_Periodo1[[#This Row],[Aux]],Base_Contas_Balanco[#All],2,FALSE)</f>
        <v>Capital Social Realizado</v>
      </c>
      <c r="G4591" s="1"/>
      <c r="H4591" s="225">
        <v>202.76</v>
      </c>
      <c r="I4591" s="225">
        <v>0</v>
      </c>
      <c r="J4591" s="225">
        <v>0</v>
      </c>
      <c r="K4591" s="225">
        <v>202.76</v>
      </c>
      <c r="L45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202.76</v>
      </c>
      <c r="M4591" s="225">
        <f>ROUND(IF(AND(Base_Periodo1[[#This Row],[Tipo_Linha]]="-",Base_Periodo1[[#This Row],[TIPOSALDO]]="D"),Base_Periodo1[[#This Row],[SALDO_ATUAL]]*-1,Base_Periodo1[[#This Row],[SALDO_ATUAL]]),4)</f>
        <v>202.76</v>
      </c>
      <c r="N4591" t="s">
        <v>116</v>
      </c>
      <c r="O4591" t="s">
        <v>459</v>
      </c>
      <c r="P4591" t="s">
        <v>459</v>
      </c>
      <c r="Q4591">
        <v>6</v>
      </c>
      <c r="R4591" s="225">
        <f>Base_Periodo1[[#This Row],[CREDITOS]]-Base_Periodo1[[#This Row],[DEBITOS]]</f>
        <v>0</v>
      </c>
      <c r="S4591" s="3" t="str">
        <f>IF(ISERROR(VLOOKUP(Base_Periodo1[[#This Row],[CONTA]],BaseContasDRE[#All],4,FALSE)),"Fora do DRE",VLOOKUP(Base_Periodo1[[#This Row],[CONTA]],BaseContasDRE[#All],4,FALSE))</f>
        <v>Fora do DRE</v>
      </c>
      <c r="T4591" s="3" t="str">
        <f>IF(ISERROR(VLOOKUP(Base_Periodo1[[#This Row],[CONTA]],BaseContasDRE[#All],5,FALSE)),"Fora do DRE",VLOOKUP(Base_Periodo1[[#This Row],[CONTA]],BaseContasDRE[#All],6,FALSE))</f>
        <v>Fora do DRE</v>
      </c>
      <c r="U4591" s="3" t="str">
        <f>IF(ISERROR(VLOOKUP(Base_Periodo1[[#This Row],[CONTA]],BaseContasDRE[#All],7,FALSE)),"Fora do DRE",VLOOKUP(Base_Periodo1[[#This Row],[CONTA]],BaseContasDRE[#All],7,FALSE))</f>
        <v>Fora do DRE</v>
      </c>
      <c r="V4591" s="3" t="str">
        <f>IF(Base_Periodo1[[#This Row],[Tipo_Linha]]="Fora do DRE","Fora do DRE","( "&amp;Base_Periodo1[[#This Row],[Tipo_Linha]]&amp;" ) "&amp;Base_Periodo1[[#This Row],[Filtro]])</f>
        <v>Fora do DRE</v>
      </c>
      <c r="W4591" s="3" t="str">
        <f>LEFT(Base_Periodo1[[#This Row],[CLASS]],3)</f>
        <v>2.4</v>
      </c>
    </row>
    <row r="4592" spans="1:23" hidden="1">
      <c r="A4592" s="3" t="str">
        <f t="shared" si="71"/>
        <v>Período 1</v>
      </c>
      <c r="B4592">
        <v>48262</v>
      </c>
      <c r="C4592" t="s">
        <v>2300</v>
      </c>
      <c r="D4592" t="s">
        <v>2550</v>
      </c>
      <c r="E4592" s="3" t="str">
        <f>IF(LEN(Base_Periodo1[[#This Row],[CLASS]])&gt;=7,LEFT(Base_Periodo1[[#This Row],[CLASS]],7),"")</f>
        <v>2.4.1.1</v>
      </c>
      <c r="F4592" s="3" t="str">
        <f>VLOOKUP(Base_Periodo1[[#This Row],[Aux]],Base_Contas_Balanco[#All],2,FALSE)</f>
        <v>Capital Social Realizado</v>
      </c>
      <c r="G4592" s="1"/>
      <c r="H4592" s="225">
        <v>215.99</v>
      </c>
      <c r="I4592" s="225">
        <v>0</v>
      </c>
      <c r="J4592" s="225">
        <v>0</v>
      </c>
      <c r="K4592" s="225">
        <v>215.99</v>
      </c>
      <c r="L45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215.99</v>
      </c>
      <c r="M4592" s="225">
        <f>ROUND(IF(AND(Base_Periodo1[[#This Row],[Tipo_Linha]]="-",Base_Periodo1[[#This Row],[TIPOSALDO]]="D"),Base_Periodo1[[#This Row],[SALDO_ATUAL]]*-1,Base_Periodo1[[#This Row],[SALDO_ATUAL]]),4)</f>
        <v>215.99</v>
      </c>
      <c r="N4592" t="s">
        <v>116</v>
      </c>
      <c r="O4592" t="s">
        <v>459</v>
      </c>
      <c r="P4592" t="s">
        <v>459</v>
      </c>
      <c r="Q4592">
        <v>6</v>
      </c>
      <c r="R4592" s="225">
        <f>Base_Periodo1[[#This Row],[CREDITOS]]-Base_Periodo1[[#This Row],[DEBITOS]]</f>
        <v>0</v>
      </c>
      <c r="S4592" s="3" t="str">
        <f>IF(ISERROR(VLOOKUP(Base_Periodo1[[#This Row],[CONTA]],BaseContasDRE[#All],4,FALSE)),"Fora do DRE",VLOOKUP(Base_Periodo1[[#This Row],[CONTA]],BaseContasDRE[#All],4,FALSE))</f>
        <v>Fora do DRE</v>
      </c>
      <c r="T4592" s="3" t="str">
        <f>IF(ISERROR(VLOOKUP(Base_Periodo1[[#This Row],[CONTA]],BaseContasDRE[#All],5,FALSE)),"Fora do DRE",VLOOKUP(Base_Periodo1[[#This Row],[CONTA]],BaseContasDRE[#All],6,FALSE))</f>
        <v>Fora do DRE</v>
      </c>
      <c r="U4592" s="3" t="str">
        <f>IF(ISERROR(VLOOKUP(Base_Periodo1[[#This Row],[CONTA]],BaseContasDRE[#All],7,FALSE)),"Fora do DRE",VLOOKUP(Base_Periodo1[[#This Row],[CONTA]],BaseContasDRE[#All],7,FALSE))</f>
        <v>Fora do DRE</v>
      </c>
      <c r="V4592" s="3" t="str">
        <f>IF(Base_Periodo1[[#This Row],[Tipo_Linha]]="Fora do DRE","Fora do DRE","( "&amp;Base_Periodo1[[#This Row],[Tipo_Linha]]&amp;" ) "&amp;Base_Periodo1[[#This Row],[Filtro]])</f>
        <v>Fora do DRE</v>
      </c>
      <c r="W4592" s="3" t="str">
        <f>LEFT(Base_Periodo1[[#This Row],[CLASS]],3)</f>
        <v>2.4</v>
      </c>
    </row>
    <row r="4593" spans="1:23" hidden="1">
      <c r="A4593" s="3" t="str">
        <f t="shared" si="71"/>
        <v>Período 1</v>
      </c>
      <c r="B4593">
        <v>16348</v>
      </c>
      <c r="C4593" t="s">
        <v>2300</v>
      </c>
      <c r="D4593" t="s">
        <v>2551</v>
      </c>
      <c r="E4593" s="3" t="str">
        <f>IF(LEN(Base_Periodo1[[#This Row],[CLASS]])&gt;=7,LEFT(Base_Periodo1[[#This Row],[CLASS]],7),"")</f>
        <v>2.4.1.1</v>
      </c>
      <c r="F4593" s="3" t="str">
        <f>VLOOKUP(Base_Periodo1[[#This Row],[Aux]],Base_Contas_Balanco[#All],2,FALSE)</f>
        <v>Capital Social Realizado</v>
      </c>
      <c r="G4593" s="1"/>
      <c r="H4593" s="225">
        <v>36598.880000000005</v>
      </c>
      <c r="I4593" s="225">
        <v>0</v>
      </c>
      <c r="J4593" s="225">
        <v>0</v>
      </c>
      <c r="K4593" s="225">
        <v>36598.880000000005</v>
      </c>
      <c r="L45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36598.879999999997</v>
      </c>
      <c r="M4593" s="225">
        <f>ROUND(IF(AND(Base_Periodo1[[#This Row],[Tipo_Linha]]="-",Base_Periodo1[[#This Row],[TIPOSALDO]]="D"),Base_Periodo1[[#This Row],[SALDO_ATUAL]]*-1,Base_Periodo1[[#This Row],[SALDO_ATUAL]]),4)</f>
        <v>36598.879999999997</v>
      </c>
      <c r="N4593" t="s">
        <v>116</v>
      </c>
      <c r="O4593" t="s">
        <v>459</v>
      </c>
      <c r="P4593" t="s">
        <v>459</v>
      </c>
      <c r="Q4593">
        <v>6</v>
      </c>
      <c r="R4593" s="225">
        <f>Base_Periodo1[[#This Row],[CREDITOS]]-Base_Periodo1[[#This Row],[DEBITOS]]</f>
        <v>0</v>
      </c>
      <c r="S4593" s="3" t="str">
        <f>IF(ISERROR(VLOOKUP(Base_Periodo1[[#This Row],[CONTA]],BaseContasDRE[#All],4,FALSE)),"Fora do DRE",VLOOKUP(Base_Periodo1[[#This Row],[CONTA]],BaseContasDRE[#All],4,FALSE))</f>
        <v>Fora do DRE</v>
      </c>
      <c r="T4593" s="3" t="str">
        <f>IF(ISERROR(VLOOKUP(Base_Periodo1[[#This Row],[CONTA]],BaseContasDRE[#All],5,FALSE)),"Fora do DRE",VLOOKUP(Base_Periodo1[[#This Row],[CONTA]],BaseContasDRE[#All],6,FALSE))</f>
        <v>Fora do DRE</v>
      </c>
      <c r="U4593" s="3" t="str">
        <f>IF(ISERROR(VLOOKUP(Base_Periodo1[[#This Row],[CONTA]],BaseContasDRE[#All],7,FALSE)),"Fora do DRE",VLOOKUP(Base_Periodo1[[#This Row],[CONTA]],BaseContasDRE[#All],7,FALSE))</f>
        <v>Fora do DRE</v>
      </c>
      <c r="V4593" s="3" t="str">
        <f>IF(Base_Periodo1[[#This Row],[Tipo_Linha]]="Fora do DRE","Fora do DRE","( "&amp;Base_Periodo1[[#This Row],[Tipo_Linha]]&amp;" ) "&amp;Base_Periodo1[[#This Row],[Filtro]])</f>
        <v>Fora do DRE</v>
      </c>
      <c r="W4593" s="3" t="str">
        <f>LEFT(Base_Periodo1[[#This Row],[CLASS]],3)</f>
        <v>2.4</v>
      </c>
    </row>
    <row r="4594" spans="1:23" hidden="1">
      <c r="A4594" s="3" t="str">
        <f t="shared" si="71"/>
        <v>Período 1</v>
      </c>
      <c r="B4594">
        <v>35746</v>
      </c>
      <c r="C4594" t="s">
        <v>2300</v>
      </c>
      <c r="D4594" t="s">
        <v>2552</v>
      </c>
      <c r="E4594" s="3" t="str">
        <f>IF(LEN(Base_Periodo1[[#This Row],[CLASS]])&gt;=7,LEFT(Base_Periodo1[[#This Row],[CLASS]],7),"")</f>
        <v>2.4.1.1</v>
      </c>
      <c r="F4594" s="3" t="str">
        <f>VLOOKUP(Base_Periodo1[[#This Row],[Aux]],Base_Contas_Balanco[#All],2,FALSE)</f>
        <v>Capital Social Realizado</v>
      </c>
      <c r="G4594" s="1"/>
      <c r="H4594" s="225">
        <v>115.45</v>
      </c>
      <c r="I4594" s="225">
        <v>0</v>
      </c>
      <c r="J4594" s="225">
        <v>0</v>
      </c>
      <c r="K4594" s="225">
        <v>115.45</v>
      </c>
      <c r="L45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115.45</v>
      </c>
      <c r="M4594" s="225">
        <f>ROUND(IF(AND(Base_Periodo1[[#This Row],[Tipo_Linha]]="-",Base_Periodo1[[#This Row],[TIPOSALDO]]="D"),Base_Periodo1[[#This Row],[SALDO_ATUAL]]*-1,Base_Periodo1[[#This Row],[SALDO_ATUAL]]),4)</f>
        <v>115.45</v>
      </c>
      <c r="N4594" t="s">
        <v>116</v>
      </c>
      <c r="O4594" t="s">
        <v>459</v>
      </c>
      <c r="P4594" t="s">
        <v>459</v>
      </c>
      <c r="Q4594">
        <v>6</v>
      </c>
      <c r="R4594" s="225">
        <f>Base_Periodo1[[#This Row],[CREDITOS]]-Base_Periodo1[[#This Row],[DEBITOS]]</f>
        <v>0</v>
      </c>
      <c r="S4594" s="3" t="str">
        <f>IF(ISERROR(VLOOKUP(Base_Periodo1[[#This Row],[CONTA]],BaseContasDRE[#All],4,FALSE)),"Fora do DRE",VLOOKUP(Base_Periodo1[[#This Row],[CONTA]],BaseContasDRE[#All],4,FALSE))</f>
        <v>Fora do DRE</v>
      </c>
      <c r="T4594" s="3" t="str">
        <f>IF(ISERROR(VLOOKUP(Base_Periodo1[[#This Row],[CONTA]],BaseContasDRE[#All],5,FALSE)),"Fora do DRE",VLOOKUP(Base_Periodo1[[#This Row],[CONTA]],BaseContasDRE[#All],6,FALSE))</f>
        <v>Fora do DRE</v>
      </c>
      <c r="U4594" s="3" t="str">
        <f>IF(ISERROR(VLOOKUP(Base_Periodo1[[#This Row],[CONTA]],BaseContasDRE[#All],7,FALSE)),"Fora do DRE",VLOOKUP(Base_Periodo1[[#This Row],[CONTA]],BaseContasDRE[#All],7,FALSE))</f>
        <v>Fora do DRE</v>
      </c>
      <c r="V4594" s="3" t="str">
        <f>IF(Base_Periodo1[[#This Row],[Tipo_Linha]]="Fora do DRE","Fora do DRE","( "&amp;Base_Periodo1[[#This Row],[Tipo_Linha]]&amp;" ) "&amp;Base_Periodo1[[#This Row],[Filtro]])</f>
        <v>Fora do DRE</v>
      </c>
      <c r="W4594" s="3" t="str">
        <f>LEFT(Base_Periodo1[[#This Row],[CLASS]],3)</f>
        <v>2.4</v>
      </c>
    </row>
    <row r="4595" spans="1:23" hidden="1">
      <c r="A4595" s="3" t="str">
        <f t="shared" si="71"/>
        <v>Período 1</v>
      </c>
      <c r="B4595">
        <v>57920</v>
      </c>
      <c r="C4595" t="s">
        <v>2300</v>
      </c>
      <c r="D4595" t="s">
        <v>6563</v>
      </c>
      <c r="E4595" s="3" t="str">
        <f>IF(LEN(Base_Periodo1[[#This Row],[CLASS]])&gt;=7,LEFT(Base_Periodo1[[#This Row],[CLASS]],7),"")</f>
        <v>2.4.1.1</v>
      </c>
      <c r="F4595" s="3" t="str">
        <f>VLOOKUP(Base_Periodo1[[#This Row],[Aux]],Base_Contas_Balanco[#All],2,FALSE)</f>
        <v>Capital Social Realizado</v>
      </c>
      <c r="G4595" s="1"/>
      <c r="H4595" s="225">
        <v>240</v>
      </c>
      <c r="I4595" s="225">
        <v>0</v>
      </c>
      <c r="J4595" s="225">
        <v>0</v>
      </c>
      <c r="K4595" s="225">
        <v>240</v>
      </c>
      <c r="L45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595" s="225">
        <f>ROUND(IF(AND(Base_Periodo1[[#This Row],[Tipo_Linha]]="-",Base_Periodo1[[#This Row],[TIPOSALDO]]="D"),Base_Periodo1[[#This Row],[SALDO_ATUAL]]*-1,Base_Periodo1[[#This Row],[SALDO_ATUAL]]),4)</f>
        <v>240</v>
      </c>
      <c r="N4595" t="s">
        <v>116</v>
      </c>
      <c r="O4595" t="s">
        <v>459</v>
      </c>
      <c r="P4595" t="s">
        <v>459</v>
      </c>
      <c r="Q4595">
        <v>6</v>
      </c>
      <c r="R4595" s="225">
        <f>Base_Periodo1[[#This Row],[CREDITOS]]-Base_Periodo1[[#This Row],[DEBITOS]]</f>
        <v>0</v>
      </c>
      <c r="S4595" s="3" t="str">
        <f>IF(ISERROR(VLOOKUP(Base_Periodo1[[#This Row],[CONTA]],BaseContasDRE[#All],4,FALSE)),"Fora do DRE",VLOOKUP(Base_Periodo1[[#This Row],[CONTA]],BaseContasDRE[#All],4,FALSE))</f>
        <v>Fora do DRE</v>
      </c>
      <c r="T4595" s="3" t="str">
        <f>IF(ISERROR(VLOOKUP(Base_Periodo1[[#This Row],[CONTA]],BaseContasDRE[#All],5,FALSE)),"Fora do DRE",VLOOKUP(Base_Periodo1[[#This Row],[CONTA]],BaseContasDRE[#All],6,FALSE))</f>
        <v>Fora do DRE</v>
      </c>
      <c r="U4595" s="3" t="str">
        <f>IF(ISERROR(VLOOKUP(Base_Periodo1[[#This Row],[CONTA]],BaseContasDRE[#All],7,FALSE)),"Fora do DRE",VLOOKUP(Base_Periodo1[[#This Row],[CONTA]],BaseContasDRE[#All],7,FALSE))</f>
        <v>Fora do DRE</v>
      </c>
      <c r="V4595" s="3" t="str">
        <f>IF(Base_Periodo1[[#This Row],[Tipo_Linha]]="Fora do DRE","Fora do DRE","( "&amp;Base_Periodo1[[#This Row],[Tipo_Linha]]&amp;" ) "&amp;Base_Periodo1[[#This Row],[Filtro]])</f>
        <v>Fora do DRE</v>
      </c>
      <c r="W4595" s="3" t="str">
        <f>LEFT(Base_Periodo1[[#This Row],[CLASS]],3)</f>
        <v>2.4</v>
      </c>
    </row>
    <row r="4596" spans="1:23" hidden="1">
      <c r="A4596" s="3" t="str">
        <f t="shared" si="71"/>
        <v>Período 1</v>
      </c>
      <c r="B4596">
        <v>38830</v>
      </c>
      <c r="C4596" t="s">
        <v>2300</v>
      </c>
      <c r="D4596" t="s">
        <v>2553</v>
      </c>
      <c r="E4596" s="3" t="str">
        <f>IF(LEN(Base_Periodo1[[#This Row],[CLASS]])&gt;=7,LEFT(Base_Periodo1[[#This Row],[CLASS]],7),"")</f>
        <v>2.4.1.1</v>
      </c>
      <c r="F4596" s="3" t="str">
        <f>VLOOKUP(Base_Periodo1[[#This Row],[Aux]],Base_Contas_Balanco[#All],2,FALSE)</f>
        <v>Capital Social Realizado</v>
      </c>
      <c r="G4596" s="1"/>
      <c r="H4596" s="225">
        <v>510.09</v>
      </c>
      <c r="I4596" s="225">
        <v>0</v>
      </c>
      <c r="J4596" s="225">
        <v>0</v>
      </c>
      <c r="K4596" s="225">
        <v>510.09</v>
      </c>
      <c r="L45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510.09</v>
      </c>
      <c r="M4596" s="225">
        <f>ROUND(IF(AND(Base_Periodo1[[#This Row],[Tipo_Linha]]="-",Base_Periodo1[[#This Row],[TIPOSALDO]]="D"),Base_Periodo1[[#This Row],[SALDO_ATUAL]]*-1,Base_Periodo1[[#This Row],[SALDO_ATUAL]]),4)</f>
        <v>510.09</v>
      </c>
      <c r="N4596" t="s">
        <v>116</v>
      </c>
      <c r="O4596" t="s">
        <v>459</v>
      </c>
      <c r="P4596" t="s">
        <v>459</v>
      </c>
      <c r="Q4596">
        <v>6</v>
      </c>
      <c r="R4596" s="225">
        <f>Base_Periodo1[[#This Row],[CREDITOS]]-Base_Periodo1[[#This Row],[DEBITOS]]</f>
        <v>0</v>
      </c>
      <c r="S4596" s="3" t="str">
        <f>IF(ISERROR(VLOOKUP(Base_Periodo1[[#This Row],[CONTA]],BaseContasDRE[#All],4,FALSE)),"Fora do DRE",VLOOKUP(Base_Periodo1[[#This Row],[CONTA]],BaseContasDRE[#All],4,FALSE))</f>
        <v>Fora do DRE</v>
      </c>
      <c r="T4596" s="3" t="str">
        <f>IF(ISERROR(VLOOKUP(Base_Periodo1[[#This Row],[CONTA]],BaseContasDRE[#All],5,FALSE)),"Fora do DRE",VLOOKUP(Base_Periodo1[[#This Row],[CONTA]],BaseContasDRE[#All],6,FALSE))</f>
        <v>Fora do DRE</v>
      </c>
      <c r="U4596" s="3" t="str">
        <f>IF(ISERROR(VLOOKUP(Base_Periodo1[[#This Row],[CONTA]],BaseContasDRE[#All],7,FALSE)),"Fora do DRE",VLOOKUP(Base_Periodo1[[#This Row],[CONTA]],BaseContasDRE[#All],7,FALSE))</f>
        <v>Fora do DRE</v>
      </c>
      <c r="V4596" s="3" t="str">
        <f>IF(Base_Periodo1[[#This Row],[Tipo_Linha]]="Fora do DRE","Fora do DRE","( "&amp;Base_Periodo1[[#This Row],[Tipo_Linha]]&amp;" ) "&amp;Base_Periodo1[[#This Row],[Filtro]])</f>
        <v>Fora do DRE</v>
      </c>
      <c r="W4596" s="3" t="str">
        <f>LEFT(Base_Periodo1[[#This Row],[CLASS]],3)</f>
        <v>2.4</v>
      </c>
    </row>
    <row r="4597" spans="1:23" hidden="1">
      <c r="A4597" s="3" t="str">
        <f t="shared" si="71"/>
        <v>Período 1</v>
      </c>
      <c r="B4597">
        <v>53684</v>
      </c>
      <c r="C4597" t="s">
        <v>2300</v>
      </c>
      <c r="D4597" t="s">
        <v>4963</v>
      </c>
      <c r="E4597" s="3" t="str">
        <f>IF(LEN(Base_Periodo1[[#This Row],[CLASS]])&gt;=7,LEFT(Base_Periodo1[[#This Row],[CLASS]],7),"")</f>
        <v>2.4.1.1</v>
      </c>
      <c r="F4597" s="3" t="str">
        <f>VLOOKUP(Base_Periodo1[[#This Row],[Aux]],Base_Contas_Balanco[#All],2,FALSE)</f>
        <v>Capital Social Realizado</v>
      </c>
      <c r="G4597" s="1"/>
      <c r="H4597" s="225">
        <v>50</v>
      </c>
      <c r="I4597" s="225">
        <v>0</v>
      </c>
      <c r="J4597" s="225">
        <v>0</v>
      </c>
      <c r="K4597" s="225">
        <v>50</v>
      </c>
      <c r="L45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597" s="225">
        <f>ROUND(IF(AND(Base_Periodo1[[#This Row],[Tipo_Linha]]="-",Base_Periodo1[[#This Row],[TIPOSALDO]]="D"),Base_Periodo1[[#This Row],[SALDO_ATUAL]]*-1,Base_Periodo1[[#This Row],[SALDO_ATUAL]]),4)</f>
        <v>50</v>
      </c>
      <c r="N4597" t="s">
        <v>116</v>
      </c>
      <c r="O4597" t="s">
        <v>459</v>
      </c>
      <c r="P4597" t="s">
        <v>459</v>
      </c>
      <c r="Q4597">
        <v>6</v>
      </c>
      <c r="R4597" s="225">
        <f>Base_Periodo1[[#This Row],[CREDITOS]]-Base_Periodo1[[#This Row],[DEBITOS]]</f>
        <v>0</v>
      </c>
      <c r="S4597" s="3" t="str">
        <f>IF(ISERROR(VLOOKUP(Base_Periodo1[[#This Row],[CONTA]],BaseContasDRE[#All],4,FALSE)),"Fora do DRE",VLOOKUP(Base_Periodo1[[#This Row],[CONTA]],BaseContasDRE[#All],4,FALSE))</f>
        <v>Fora do DRE</v>
      </c>
      <c r="T4597" s="3" t="str">
        <f>IF(ISERROR(VLOOKUP(Base_Periodo1[[#This Row],[CONTA]],BaseContasDRE[#All],5,FALSE)),"Fora do DRE",VLOOKUP(Base_Periodo1[[#This Row],[CONTA]],BaseContasDRE[#All],6,FALSE))</f>
        <v>Fora do DRE</v>
      </c>
      <c r="U4597" s="3" t="str">
        <f>IF(ISERROR(VLOOKUP(Base_Periodo1[[#This Row],[CONTA]],BaseContasDRE[#All],7,FALSE)),"Fora do DRE",VLOOKUP(Base_Periodo1[[#This Row],[CONTA]],BaseContasDRE[#All],7,FALSE))</f>
        <v>Fora do DRE</v>
      </c>
      <c r="V4597" s="3" t="str">
        <f>IF(Base_Periodo1[[#This Row],[Tipo_Linha]]="Fora do DRE","Fora do DRE","( "&amp;Base_Periodo1[[#This Row],[Tipo_Linha]]&amp;" ) "&amp;Base_Periodo1[[#This Row],[Filtro]])</f>
        <v>Fora do DRE</v>
      </c>
      <c r="W4597" s="3" t="str">
        <f>LEFT(Base_Periodo1[[#This Row],[CLASS]],3)</f>
        <v>2.4</v>
      </c>
    </row>
    <row r="4598" spans="1:23" hidden="1">
      <c r="A4598" s="3" t="str">
        <f t="shared" si="71"/>
        <v>Período 1</v>
      </c>
      <c r="B4598">
        <v>16318</v>
      </c>
      <c r="C4598" t="s">
        <v>2300</v>
      </c>
      <c r="D4598" t="s">
        <v>2554</v>
      </c>
      <c r="E4598" s="3" t="str">
        <f>IF(LEN(Base_Periodo1[[#This Row],[CLASS]])&gt;=7,LEFT(Base_Periodo1[[#This Row],[CLASS]],7),"")</f>
        <v>2.4.1.1</v>
      </c>
      <c r="F4598" s="3" t="str">
        <f>VLOOKUP(Base_Periodo1[[#This Row],[Aux]],Base_Contas_Balanco[#All],2,FALSE)</f>
        <v>Capital Social Realizado</v>
      </c>
      <c r="G4598" s="1"/>
      <c r="H4598" s="225">
        <v>405.14</v>
      </c>
      <c r="I4598" s="225">
        <v>0</v>
      </c>
      <c r="J4598" s="225">
        <v>0</v>
      </c>
      <c r="K4598" s="225">
        <v>405.14</v>
      </c>
      <c r="L45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405.14</v>
      </c>
      <c r="M4598" s="225">
        <f>ROUND(IF(AND(Base_Periodo1[[#This Row],[Tipo_Linha]]="-",Base_Periodo1[[#This Row],[TIPOSALDO]]="D"),Base_Periodo1[[#This Row],[SALDO_ATUAL]]*-1,Base_Periodo1[[#This Row],[SALDO_ATUAL]]),4)</f>
        <v>405.14</v>
      </c>
      <c r="N4598" t="s">
        <v>116</v>
      </c>
      <c r="O4598" t="s">
        <v>459</v>
      </c>
      <c r="P4598" t="s">
        <v>459</v>
      </c>
      <c r="Q4598">
        <v>6</v>
      </c>
      <c r="R4598" s="225">
        <f>Base_Periodo1[[#This Row],[CREDITOS]]-Base_Periodo1[[#This Row],[DEBITOS]]</f>
        <v>0</v>
      </c>
      <c r="S4598" s="3" t="str">
        <f>IF(ISERROR(VLOOKUP(Base_Periodo1[[#This Row],[CONTA]],BaseContasDRE[#All],4,FALSE)),"Fora do DRE",VLOOKUP(Base_Periodo1[[#This Row],[CONTA]],BaseContasDRE[#All],4,FALSE))</f>
        <v>Fora do DRE</v>
      </c>
      <c r="T4598" s="3" t="str">
        <f>IF(ISERROR(VLOOKUP(Base_Periodo1[[#This Row],[CONTA]],BaseContasDRE[#All],5,FALSE)),"Fora do DRE",VLOOKUP(Base_Periodo1[[#This Row],[CONTA]],BaseContasDRE[#All],6,FALSE))</f>
        <v>Fora do DRE</v>
      </c>
      <c r="U4598" s="3" t="str">
        <f>IF(ISERROR(VLOOKUP(Base_Periodo1[[#This Row],[CONTA]],BaseContasDRE[#All],7,FALSE)),"Fora do DRE",VLOOKUP(Base_Periodo1[[#This Row],[CONTA]],BaseContasDRE[#All],7,FALSE))</f>
        <v>Fora do DRE</v>
      </c>
      <c r="V4598" s="3" t="str">
        <f>IF(Base_Periodo1[[#This Row],[Tipo_Linha]]="Fora do DRE","Fora do DRE","( "&amp;Base_Periodo1[[#This Row],[Tipo_Linha]]&amp;" ) "&amp;Base_Periodo1[[#This Row],[Filtro]])</f>
        <v>Fora do DRE</v>
      </c>
      <c r="W4598" s="3" t="str">
        <f>LEFT(Base_Periodo1[[#This Row],[CLASS]],3)</f>
        <v>2.4</v>
      </c>
    </row>
    <row r="4599" spans="1:23" hidden="1">
      <c r="A4599" s="3" t="str">
        <f t="shared" si="71"/>
        <v>Período 1</v>
      </c>
      <c r="B4599">
        <v>25217</v>
      </c>
      <c r="C4599" t="s">
        <v>2300</v>
      </c>
      <c r="D4599" t="s">
        <v>2555</v>
      </c>
      <c r="E4599" s="3" t="str">
        <f>IF(LEN(Base_Periodo1[[#This Row],[CLASS]])&gt;=7,LEFT(Base_Periodo1[[#This Row],[CLASS]],7),"")</f>
        <v>2.4.1.1</v>
      </c>
      <c r="F4599" s="3" t="str">
        <f>VLOOKUP(Base_Periodo1[[#This Row],[Aux]],Base_Contas_Balanco[#All],2,FALSE)</f>
        <v>Capital Social Realizado</v>
      </c>
      <c r="G4599" s="1"/>
      <c r="H4599" s="225">
        <v>137.61000000000001</v>
      </c>
      <c r="I4599" s="225">
        <v>0</v>
      </c>
      <c r="J4599" s="225">
        <v>0</v>
      </c>
      <c r="K4599" s="225">
        <v>137.61000000000001</v>
      </c>
      <c r="L45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137.61000000000001</v>
      </c>
      <c r="M4599" s="225">
        <f>ROUND(IF(AND(Base_Periodo1[[#This Row],[Tipo_Linha]]="-",Base_Periodo1[[#This Row],[TIPOSALDO]]="D"),Base_Periodo1[[#This Row],[SALDO_ATUAL]]*-1,Base_Periodo1[[#This Row],[SALDO_ATUAL]]),4)</f>
        <v>137.61000000000001</v>
      </c>
      <c r="N4599" t="s">
        <v>116</v>
      </c>
      <c r="O4599" t="s">
        <v>459</v>
      </c>
      <c r="P4599" t="s">
        <v>459</v>
      </c>
      <c r="Q4599">
        <v>6</v>
      </c>
      <c r="R4599" s="225">
        <f>Base_Periodo1[[#This Row],[CREDITOS]]-Base_Periodo1[[#This Row],[DEBITOS]]</f>
        <v>0</v>
      </c>
      <c r="S4599" s="3" t="str">
        <f>IF(ISERROR(VLOOKUP(Base_Periodo1[[#This Row],[CONTA]],BaseContasDRE[#All],4,FALSE)),"Fora do DRE",VLOOKUP(Base_Periodo1[[#This Row],[CONTA]],BaseContasDRE[#All],4,FALSE))</f>
        <v>Fora do DRE</v>
      </c>
      <c r="T4599" s="3" t="str">
        <f>IF(ISERROR(VLOOKUP(Base_Periodo1[[#This Row],[CONTA]],BaseContasDRE[#All],5,FALSE)),"Fora do DRE",VLOOKUP(Base_Periodo1[[#This Row],[CONTA]],BaseContasDRE[#All],6,FALSE))</f>
        <v>Fora do DRE</v>
      </c>
      <c r="U4599" s="3" t="str">
        <f>IF(ISERROR(VLOOKUP(Base_Periodo1[[#This Row],[CONTA]],BaseContasDRE[#All],7,FALSE)),"Fora do DRE",VLOOKUP(Base_Periodo1[[#This Row],[CONTA]],BaseContasDRE[#All],7,FALSE))</f>
        <v>Fora do DRE</v>
      </c>
      <c r="V4599" s="3" t="str">
        <f>IF(Base_Periodo1[[#This Row],[Tipo_Linha]]="Fora do DRE","Fora do DRE","( "&amp;Base_Periodo1[[#This Row],[Tipo_Linha]]&amp;" ) "&amp;Base_Periodo1[[#This Row],[Filtro]])</f>
        <v>Fora do DRE</v>
      </c>
      <c r="W4599" s="3" t="str">
        <f>LEFT(Base_Periodo1[[#This Row],[CLASS]],3)</f>
        <v>2.4</v>
      </c>
    </row>
    <row r="4600" spans="1:23" hidden="1">
      <c r="A4600" s="3" t="str">
        <f t="shared" si="71"/>
        <v>Período 1</v>
      </c>
      <c r="B4600">
        <v>25564</v>
      </c>
      <c r="C4600" t="s">
        <v>2300</v>
      </c>
      <c r="D4600" t="s">
        <v>2556</v>
      </c>
      <c r="E4600" s="3" t="str">
        <f>IF(LEN(Base_Periodo1[[#This Row],[CLASS]])&gt;=7,LEFT(Base_Periodo1[[#This Row],[CLASS]],7),"")</f>
        <v>2.4.1.1</v>
      </c>
      <c r="F4600" s="3" t="str">
        <f>VLOOKUP(Base_Periodo1[[#This Row],[Aux]],Base_Contas_Balanco[#All],2,FALSE)</f>
        <v>Capital Social Realizado</v>
      </c>
      <c r="G4600" s="1"/>
      <c r="H4600" s="225">
        <v>138.88</v>
      </c>
      <c r="I4600" s="225">
        <v>0</v>
      </c>
      <c r="J4600" s="225">
        <v>0</v>
      </c>
      <c r="K4600" s="225">
        <v>138.88</v>
      </c>
      <c r="L46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138.88</v>
      </c>
      <c r="M4600" s="225">
        <f>ROUND(IF(AND(Base_Periodo1[[#This Row],[Tipo_Linha]]="-",Base_Periodo1[[#This Row],[TIPOSALDO]]="D"),Base_Periodo1[[#This Row],[SALDO_ATUAL]]*-1,Base_Periodo1[[#This Row],[SALDO_ATUAL]]),4)</f>
        <v>138.88</v>
      </c>
      <c r="N4600" t="s">
        <v>116</v>
      </c>
      <c r="O4600" t="s">
        <v>459</v>
      </c>
      <c r="P4600" t="s">
        <v>459</v>
      </c>
      <c r="Q4600">
        <v>6</v>
      </c>
      <c r="R4600" s="225">
        <f>Base_Periodo1[[#This Row],[CREDITOS]]-Base_Periodo1[[#This Row],[DEBITOS]]</f>
        <v>0</v>
      </c>
      <c r="S4600" s="3" t="str">
        <f>IF(ISERROR(VLOOKUP(Base_Periodo1[[#This Row],[CONTA]],BaseContasDRE[#All],4,FALSE)),"Fora do DRE",VLOOKUP(Base_Periodo1[[#This Row],[CONTA]],BaseContasDRE[#All],4,FALSE))</f>
        <v>Fora do DRE</v>
      </c>
      <c r="T4600" s="3" t="str">
        <f>IF(ISERROR(VLOOKUP(Base_Periodo1[[#This Row],[CONTA]],BaseContasDRE[#All],5,FALSE)),"Fora do DRE",VLOOKUP(Base_Periodo1[[#This Row],[CONTA]],BaseContasDRE[#All],6,FALSE))</f>
        <v>Fora do DRE</v>
      </c>
      <c r="U4600" s="3" t="str">
        <f>IF(ISERROR(VLOOKUP(Base_Periodo1[[#This Row],[CONTA]],BaseContasDRE[#All],7,FALSE)),"Fora do DRE",VLOOKUP(Base_Periodo1[[#This Row],[CONTA]],BaseContasDRE[#All],7,FALSE))</f>
        <v>Fora do DRE</v>
      </c>
      <c r="V4600" s="3" t="str">
        <f>IF(Base_Periodo1[[#This Row],[Tipo_Linha]]="Fora do DRE","Fora do DRE","( "&amp;Base_Periodo1[[#This Row],[Tipo_Linha]]&amp;" ) "&amp;Base_Periodo1[[#This Row],[Filtro]])</f>
        <v>Fora do DRE</v>
      </c>
      <c r="W4600" s="3" t="str">
        <f>LEFT(Base_Periodo1[[#This Row],[CLASS]],3)</f>
        <v>2.4</v>
      </c>
    </row>
    <row r="4601" spans="1:23" hidden="1">
      <c r="A4601" s="3" t="str">
        <f t="shared" si="71"/>
        <v>Período 1</v>
      </c>
      <c r="B4601">
        <v>50549</v>
      </c>
      <c r="C4601" t="s">
        <v>2300</v>
      </c>
      <c r="D4601" t="s">
        <v>4469</v>
      </c>
      <c r="E4601" s="3" t="str">
        <f>IF(LEN(Base_Periodo1[[#This Row],[CLASS]])&gt;=7,LEFT(Base_Periodo1[[#This Row],[CLASS]],7),"")</f>
        <v>2.4.1.1</v>
      </c>
      <c r="F4601" s="3" t="str">
        <f>VLOOKUP(Base_Periodo1[[#This Row],[Aux]],Base_Contas_Balanco[#All],2,FALSE)</f>
        <v>Capital Social Realizado</v>
      </c>
      <c r="G4601" s="1"/>
      <c r="H4601" s="225">
        <v>50</v>
      </c>
      <c r="I4601" s="225">
        <v>0</v>
      </c>
      <c r="J4601" s="225">
        <v>0</v>
      </c>
      <c r="K4601" s="225">
        <v>50</v>
      </c>
      <c r="L46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601" s="225">
        <f>ROUND(IF(AND(Base_Periodo1[[#This Row],[Tipo_Linha]]="-",Base_Periodo1[[#This Row],[TIPOSALDO]]="D"),Base_Periodo1[[#This Row],[SALDO_ATUAL]]*-1,Base_Periodo1[[#This Row],[SALDO_ATUAL]]),4)</f>
        <v>50</v>
      </c>
      <c r="N4601" t="s">
        <v>116</v>
      </c>
      <c r="O4601" t="s">
        <v>459</v>
      </c>
      <c r="P4601" t="s">
        <v>459</v>
      </c>
      <c r="Q4601">
        <v>6</v>
      </c>
      <c r="R4601" s="225">
        <f>Base_Periodo1[[#This Row],[CREDITOS]]-Base_Periodo1[[#This Row],[DEBITOS]]</f>
        <v>0</v>
      </c>
      <c r="S4601" s="3" t="str">
        <f>IF(ISERROR(VLOOKUP(Base_Periodo1[[#This Row],[CONTA]],BaseContasDRE[#All],4,FALSE)),"Fora do DRE",VLOOKUP(Base_Periodo1[[#This Row],[CONTA]],BaseContasDRE[#All],4,FALSE))</f>
        <v>Fora do DRE</v>
      </c>
      <c r="T4601" s="3" t="str">
        <f>IF(ISERROR(VLOOKUP(Base_Periodo1[[#This Row],[CONTA]],BaseContasDRE[#All],5,FALSE)),"Fora do DRE",VLOOKUP(Base_Periodo1[[#This Row],[CONTA]],BaseContasDRE[#All],6,FALSE))</f>
        <v>Fora do DRE</v>
      </c>
      <c r="U4601" s="3" t="str">
        <f>IF(ISERROR(VLOOKUP(Base_Periodo1[[#This Row],[CONTA]],BaseContasDRE[#All],7,FALSE)),"Fora do DRE",VLOOKUP(Base_Periodo1[[#This Row],[CONTA]],BaseContasDRE[#All],7,FALSE))</f>
        <v>Fora do DRE</v>
      </c>
      <c r="V4601" s="3" t="str">
        <f>IF(Base_Periodo1[[#This Row],[Tipo_Linha]]="Fora do DRE","Fora do DRE","( "&amp;Base_Periodo1[[#This Row],[Tipo_Linha]]&amp;" ) "&amp;Base_Periodo1[[#This Row],[Filtro]])</f>
        <v>Fora do DRE</v>
      </c>
      <c r="W4601" s="3" t="str">
        <f>LEFT(Base_Periodo1[[#This Row],[CLASS]],3)</f>
        <v>2.4</v>
      </c>
    </row>
    <row r="4602" spans="1:23" hidden="1">
      <c r="A4602" s="3" t="str">
        <f t="shared" si="71"/>
        <v>Período 1</v>
      </c>
      <c r="B4602">
        <v>16278</v>
      </c>
      <c r="C4602" t="s">
        <v>2300</v>
      </c>
      <c r="D4602" t="s">
        <v>2557</v>
      </c>
      <c r="E4602" s="3" t="str">
        <f>IF(LEN(Base_Periodo1[[#This Row],[CLASS]])&gt;=7,LEFT(Base_Periodo1[[#This Row],[CLASS]],7),"")</f>
        <v>2.4.1.1</v>
      </c>
      <c r="F4602" s="3" t="str">
        <f>VLOOKUP(Base_Periodo1[[#This Row],[Aux]],Base_Contas_Balanco[#All],2,FALSE)</f>
        <v>Capital Social Realizado</v>
      </c>
      <c r="G4602" s="1"/>
      <c r="H4602" s="225">
        <v>3536.5299999999997</v>
      </c>
      <c r="I4602" s="225">
        <v>0</v>
      </c>
      <c r="J4602" s="225">
        <v>0</v>
      </c>
      <c r="K4602" s="225">
        <v>3536.5299999999997</v>
      </c>
      <c r="L46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3536.53</v>
      </c>
      <c r="M4602" s="225">
        <f>ROUND(IF(AND(Base_Periodo1[[#This Row],[Tipo_Linha]]="-",Base_Periodo1[[#This Row],[TIPOSALDO]]="D"),Base_Periodo1[[#This Row],[SALDO_ATUAL]]*-1,Base_Periodo1[[#This Row],[SALDO_ATUAL]]),4)</f>
        <v>3536.53</v>
      </c>
      <c r="N4602" t="s">
        <v>116</v>
      </c>
      <c r="O4602" t="s">
        <v>459</v>
      </c>
      <c r="P4602" t="s">
        <v>459</v>
      </c>
      <c r="Q4602">
        <v>6</v>
      </c>
      <c r="R4602" s="225">
        <f>Base_Periodo1[[#This Row],[CREDITOS]]-Base_Periodo1[[#This Row],[DEBITOS]]</f>
        <v>0</v>
      </c>
      <c r="S4602" s="3" t="str">
        <f>IF(ISERROR(VLOOKUP(Base_Periodo1[[#This Row],[CONTA]],BaseContasDRE[#All],4,FALSE)),"Fora do DRE",VLOOKUP(Base_Periodo1[[#This Row],[CONTA]],BaseContasDRE[#All],4,FALSE))</f>
        <v>Fora do DRE</v>
      </c>
      <c r="T4602" s="3" t="str">
        <f>IF(ISERROR(VLOOKUP(Base_Periodo1[[#This Row],[CONTA]],BaseContasDRE[#All],5,FALSE)),"Fora do DRE",VLOOKUP(Base_Periodo1[[#This Row],[CONTA]],BaseContasDRE[#All],6,FALSE))</f>
        <v>Fora do DRE</v>
      </c>
      <c r="U4602" s="3" t="str">
        <f>IF(ISERROR(VLOOKUP(Base_Periodo1[[#This Row],[CONTA]],BaseContasDRE[#All],7,FALSE)),"Fora do DRE",VLOOKUP(Base_Periodo1[[#This Row],[CONTA]],BaseContasDRE[#All],7,FALSE))</f>
        <v>Fora do DRE</v>
      </c>
      <c r="V4602" s="3" t="str">
        <f>IF(Base_Periodo1[[#This Row],[Tipo_Linha]]="Fora do DRE","Fora do DRE","( "&amp;Base_Periodo1[[#This Row],[Tipo_Linha]]&amp;" ) "&amp;Base_Periodo1[[#This Row],[Filtro]])</f>
        <v>Fora do DRE</v>
      </c>
      <c r="W4602" s="3" t="str">
        <f>LEFT(Base_Periodo1[[#This Row],[CLASS]],3)</f>
        <v>2.4</v>
      </c>
    </row>
    <row r="4603" spans="1:23" hidden="1">
      <c r="A4603" s="3" t="str">
        <f t="shared" si="71"/>
        <v>Período 1</v>
      </c>
      <c r="B4603">
        <v>49429</v>
      </c>
      <c r="C4603" t="s">
        <v>2300</v>
      </c>
      <c r="D4603" t="s">
        <v>4304</v>
      </c>
      <c r="E4603" s="3" t="str">
        <f>IF(LEN(Base_Periodo1[[#This Row],[CLASS]])&gt;=7,LEFT(Base_Periodo1[[#This Row],[CLASS]],7),"")</f>
        <v>2.4.1.1</v>
      </c>
      <c r="F4603" s="3" t="str">
        <f>VLOOKUP(Base_Periodo1[[#This Row],[Aux]],Base_Contas_Balanco[#All],2,FALSE)</f>
        <v>Capital Social Realizado</v>
      </c>
      <c r="G4603" s="1"/>
      <c r="H4603" s="225">
        <v>88.32</v>
      </c>
      <c r="I4603" s="225">
        <v>0</v>
      </c>
      <c r="J4603" s="225">
        <v>0</v>
      </c>
      <c r="K4603" s="225">
        <v>88.32</v>
      </c>
      <c r="L46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88.32</v>
      </c>
      <c r="M4603" s="225">
        <f>ROUND(IF(AND(Base_Periodo1[[#This Row],[Tipo_Linha]]="-",Base_Periodo1[[#This Row],[TIPOSALDO]]="D"),Base_Periodo1[[#This Row],[SALDO_ATUAL]]*-1,Base_Periodo1[[#This Row],[SALDO_ATUAL]]),4)</f>
        <v>88.32</v>
      </c>
      <c r="N4603" t="s">
        <v>116</v>
      </c>
      <c r="O4603" t="s">
        <v>459</v>
      </c>
      <c r="P4603" t="s">
        <v>459</v>
      </c>
      <c r="Q4603">
        <v>6</v>
      </c>
      <c r="R4603" s="225">
        <f>Base_Periodo1[[#This Row],[CREDITOS]]-Base_Periodo1[[#This Row],[DEBITOS]]</f>
        <v>0</v>
      </c>
      <c r="S4603" s="3" t="str">
        <f>IF(ISERROR(VLOOKUP(Base_Periodo1[[#This Row],[CONTA]],BaseContasDRE[#All],4,FALSE)),"Fora do DRE",VLOOKUP(Base_Periodo1[[#This Row],[CONTA]],BaseContasDRE[#All],4,FALSE))</f>
        <v>Fora do DRE</v>
      </c>
      <c r="T4603" s="3" t="str">
        <f>IF(ISERROR(VLOOKUP(Base_Periodo1[[#This Row],[CONTA]],BaseContasDRE[#All],5,FALSE)),"Fora do DRE",VLOOKUP(Base_Periodo1[[#This Row],[CONTA]],BaseContasDRE[#All],6,FALSE))</f>
        <v>Fora do DRE</v>
      </c>
      <c r="U4603" s="3" t="str">
        <f>IF(ISERROR(VLOOKUP(Base_Periodo1[[#This Row],[CONTA]],BaseContasDRE[#All],7,FALSE)),"Fora do DRE",VLOOKUP(Base_Periodo1[[#This Row],[CONTA]],BaseContasDRE[#All],7,FALSE))</f>
        <v>Fora do DRE</v>
      </c>
      <c r="V4603" s="3" t="str">
        <f>IF(Base_Periodo1[[#This Row],[Tipo_Linha]]="Fora do DRE","Fora do DRE","( "&amp;Base_Periodo1[[#This Row],[Tipo_Linha]]&amp;" ) "&amp;Base_Periodo1[[#This Row],[Filtro]])</f>
        <v>Fora do DRE</v>
      </c>
      <c r="W4603" s="3" t="str">
        <f>LEFT(Base_Periodo1[[#This Row],[CLASS]],3)</f>
        <v>2.4</v>
      </c>
    </row>
    <row r="4604" spans="1:23" hidden="1">
      <c r="A4604" s="3" t="str">
        <f t="shared" si="71"/>
        <v>Período 1</v>
      </c>
      <c r="B4604">
        <v>49640</v>
      </c>
      <c r="C4604" t="s">
        <v>2300</v>
      </c>
      <c r="D4604" t="s">
        <v>4305</v>
      </c>
      <c r="E4604" s="3" t="str">
        <f>IF(LEN(Base_Periodo1[[#This Row],[CLASS]])&gt;=7,LEFT(Base_Periodo1[[#This Row],[CLASS]],7),"")</f>
        <v>2.4.1.1</v>
      </c>
      <c r="F4604" s="3" t="str">
        <f>VLOOKUP(Base_Periodo1[[#This Row],[Aux]],Base_Contas_Balanco[#All],2,FALSE)</f>
        <v>Capital Social Realizado</v>
      </c>
      <c r="G4604" s="1"/>
      <c r="H4604" s="225">
        <v>50</v>
      </c>
      <c r="I4604" s="225">
        <v>0</v>
      </c>
      <c r="J4604" s="225">
        <v>0</v>
      </c>
      <c r="K4604" s="225">
        <v>50</v>
      </c>
      <c r="L46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604" s="225">
        <f>ROUND(IF(AND(Base_Periodo1[[#This Row],[Tipo_Linha]]="-",Base_Periodo1[[#This Row],[TIPOSALDO]]="D"),Base_Periodo1[[#This Row],[SALDO_ATUAL]]*-1,Base_Periodo1[[#This Row],[SALDO_ATUAL]]),4)</f>
        <v>50</v>
      </c>
      <c r="N4604" t="s">
        <v>116</v>
      </c>
      <c r="O4604" t="s">
        <v>459</v>
      </c>
      <c r="P4604" t="s">
        <v>459</v>
      </c>
      <c r="Q4604">
        <v>6</v>
      </c>
      <c r="R4604" s="225">
        <f>Base_Periodo1[[#This Row],[CREDITOS]]-Base_Periodo1[[#This Row],[DEBITOS]]</f>
        <v>0</v>
      </c>
      <c r="S4604" s="3" t="str">
        <f>IF(ISERROR(VLOOKUP(Base_Periodo1[[#This Row],[CONTA]],BaseContasDRE[#All],4,FALSE)),"Fora do DRE",VLOOKUP(Base_Periodo1[[#This Row],[CONTA]],BaseContasDRE[#All],4,FALSE))</f>
        <v>Fora do DRE</v>
      </c>
      <c r="T4604" s="3" t="str">
        <f>IF(ISERROR(VLOOKUP(Base_Periodo1[[#This Row],[CONTA]],BaseContasDRE[#All],5,FALSE)),"Fora do DRE",VLOOKUP(Base_Periodo1[[#This Row],[CONTA]],BaseContasDRE[#All],6,FALSE))</f>
        <v>Fora do DRE</v>
      </c>
      <c r="U4604" s="3" t="str">
        <f>IF(ISERROR(VLOOKUP(Base_Periodo1[[#This Row],[CONTA]],BaseContasDRE[#All],7,FALSE)),"Fora do DRE",VLOOKUP(Base_Periodo1[[#This Row],[CONTA]],BaseContasDRE[#All],7,FALSE))</f>
        <v>Fora do DRE</v>
      </c>
      <c r="V4604" s="3" t="str">
        <f>IF(Base_Periodo1[[#This Row],[Tipo_Linha]]="Fora do DRE","Fora do DRE","( "&amp;Base_Periodo1[[#This Row],[Tipo_Linha]]&amp;" ) "&amp;Base_Periodo1[[#This Row],[Filtro]])</f>
        <v>Fora do DRE</v>
      </c>
      <c r="W4604" s="3" t="str">
        <f>LEFT(Base_Periodo1[[#This Row],[CLASS]],3)</f>
        <v>2.4</v>
      </c>
    </row>
    <row r="4605" spans="1:23" hidden="1">
      <c r="A4605" s="3" t="str">
        <f t="shared" si="71"/>
        <v>Período 1</v>
      </c>
      <c r="B4605">
        <v>16190</v>
      </c>
      <c r="C4605" t="s">
        <v>2300</v>
      </c>
      <c r="D4605" t="s">
        <v>2558</v>
      </c>
      <c r="E4605" s="3" t="str">
        <f>IF(LEN(Base_Periodo1[[#This Row],[CLASS]])&gt;=7,LEFT(Base_Periodo1[[#This Row],[CLASS]],7),"")</f>
        <v>2.4.1.1</v>
      </c>
      <c r="F4605" s="3" t="str">
        <f>VLOOKUP(Base_Periodo1[[#This Row],[Aux]],Base_Contas_Balanco[#All],2,FALSE)</f>
        <v>Capital Social Realizado</v>
      </c>
      <c r="G4605" s="1"/>
      <c r="H4605" s="225">
        <v>33944.67</v>
      </c>
      <c r="I4605" s="225">
        <v>0</v>
      </c>
      <c r="J4605" s="225">
        <v>0</v>
      </c>
      <c r="K4605" s="225">
        <v>33944.67</v>
      </c>
      <c r="L46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33944.67</v>
      </c>
      <c r="M4605" s="225">
        <f>ROUND(IF(AND(Base_Periodo1[[#This Row],[Tipo_Linha]]="-",Base_Periodo1[[#This Row],[TIPOSALDO]]="D"),Base_Periodo1[[#This Row],[SALDO_ATUAL]]*-1,Base_Periodo1[[#This Row],[SALDO_ATUAL]]),4)</f>
        <v>33944.67</v>
      </c>
      <c r="N4605" t="s">
        <v>116</v>
      </c>
      <c r="O4605" t="s">
        <v>459</v>
      </c>
      <c r="P4605" t="s">
        <v>459</v>
      </c>
      <c r="Q4605">
        <v>6</v>
      </c>
      <c r="R4605" s="225">
        <f>Base_Periodo1[[#This Row],[CREDITOS]]-Base_Periodo1[[#This Row],[DEBITOS]]</f>
        <v>0</v>
      </c>
      <c r="S4605" s="3" t="str">
        <f>IF(ISERROR(VLOOKUP(Base_Periodo1[[#This Row],[CONTA]],BaseContasDRE[#All],4,FALSE)),"Fora do DRE",VLOOKUP(Base_Periodo1[[#This Row],[CONTA]],BaseContasDRE[#All],4,FALSE))</f>
        <v>Fora do DRE</v>
      </c>
      <c r="T4605" s="3" t="str">
        <f>IF(ISERROR(VLOOKUP(Base_Periodo1[[#This Row],[CONTA]],BaseContasDRE[#All],5,FALSE)),"Fora do DRE",VLOOKUP(Base_Periodo1[[#This Row],[CONTA]],BaseContasDRE[#All],6,FALSE))</f>
        <v>Fora do DRE</v>
      </c>
      <c r="U4605" s="3" t="str">
        <f>IF(ISERROR(VLOOKUP(Base_Periodo1[[#This Row],[CONTA]],BaseContasDRE[#All],7,FALSE)),"Fora do DRE",VLOOKUP(Base_Periodo1[[#This Row],[CONTA]],BaseContasDRE[#All],7,FALSE))</f>
        <v>Fora do DRE</v>
      </c>
      <c r="V4605" s="3" t="str">
        <f>IF(Base_Periodo1[[#This Row],[Tipo_Linha]]="Fora do DRE","Fora do DRE","( "&amp;Base_Periodo1[[#This Row],[Tipo_Linha]]&amp;" ) "&amp;Base_Periodo1[[#This Row],[Filtro]])</f>
        <v>Fora do DRE</v>
      </c>
      <c r="W4605" s="3" t="str">
        <f>LEFT(Base_Periodo1[[#This Row],[CLASS]],3)</f>
        <v>2.4</v>
      </c>
    </row>
    <row r="4606" spans="1:23" hidden="1">
      <c r="A4606" s="3" t="str">
        <f t="shared" si="71"/>
        <v>Período 1</v>
      </c>
      <c r="B4606">
        <v>30938</v>
      </c>
      <c r="C4606" t="s">
        <v>2300</v>
      </c>
      <c r="D4606" t="s">
        <v>2559</v>
      </c>
      <c r="E4606" s="3" t="str">
        <f>IF(LEN(Base_Periodo1[[#This Row],[CLASS]])&gt;=7,LEFT(Base_Periodo1[[#This Row],[CLASS]],7),"")</f>
        <v>2.4.1.1</v>
      </c>
      <c r="F4606" s="3" t="str">
        <f>VLOOKUP(Base_Periodo1[[#This Row],[Aux]],Base_Contas_Balanco[#All],2,FALSE)</f>
        <v>Capital Social Realizado</v>
      </c>
      <c r="G4606" s="1"/>
      <c r="H4606" s="225">
        <v>50</v>
      </c>
      <c r="I4606" s="225">
        <v>0</v>
      </c>
      <c r="J4606" s="225">
        <v>0</v>
      </c>
      <c r="K4606" s="225">
        <v>50</v>
      </c>
      <c r="L46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606" s="225">
        <f>ROUND(IF(AND(Base_Periodo1[[#This Row],[Tipo_Linha]]="-",Base_Periodo1[[#This Row],[TIPOSALDO]]="D"),Base_Periodo1[[#This Row],[SALDO_ATUAL]]*-1,Base_Periodo1[[#This Row],[SALDO_ATUAL]]),4)</f>
        <v>50</v>
      </c>
      <c r="N4606" t="s">
        <v>116</v>
      </c>
      <c r="O4606" t="s">
        <v>459</v>
      </c>
      <c r="P4606" t="s">
        <v>459</v>
      </c>
      <c r="Q4606">
        <v>6</v>
      </c>
      <c r="R4606" s="225">
        <f>Base_Periodo1[[#This Row],[CREDITOS]]-Base_Periodo1[[#This Row],[DEBITOS]]</f>
        <v>0</v>
      </c>
      <c r="S4606" s="3" t="str">
        <f>IF(ISERROR(VLOOKUP(Base_Periodo1[[#This Row],[CONTA]],BaseContasDRE[#All],4,FALSE)),"Fora do DRE",VLOOKUP(Base_Periodo1[[#This Row],[CONTA]],BaseContasDRE[#All],4,FALSE))</f>
        <v>Fora do DRE</v>
      </c>
      <c r="T4606" s="3" t="str">
        <f>IF(ISERROR(VLOOKUP(Base_Periodo1[[#This Row],[CONTA]],BaseContasDRE[#All],5,FALSE)),"Fora do DRE",VLOOKUP(Base_Periodo1[[#This Row],[CONTA]],BaseContasDRE[#All],6,FALSE))</f>
        <v>Fora do DRE</v>
      </c>
      <c r="U4606" s="3" t="str">
        <f>IF(ISERROR(VLOOKUP(Base_Periodo1[[#This Row],[CONTA]],BaseContasDRE[#All],7,FALSE)),"Fora do DRE",VLOOKUP(Base_Periodo1[[#This Row],[CONTA]],BaseContasDRE[#All],7,FALSE))</f>
        <v>Fora do DRE</v>
      </c>
      <c r="V4606" s="3" t="str">
        <f>IF(Base_Periodo1[[#This Row],[Tipo_Linha]]="Fora do DRE","Fora do DRE","( "&amp;Base_Periodo1[[#This Row],[Tipo_Linha]]&amp;" ) "&amp;Base_Periodo1[[#This Row],[Filtro]])</f>
        <v>Fora do DRE</v>
      </c>
      <c r="W4606" s="3" t="str">
        <f>LEFT(Base_Periodo1[[#This Row],[CLASS]],3)</f>
        <v>2.4</v>
      </c>
    </row>
    <row r="4607" spans="1:23" hidden="1">
      <c r="A4607" s="3" t="str">
        <f t="shared" si="71"/>
        <v>Período 1</v>
      </c>
      <c r="B4607">
        <v>19745</v>
      </c>
      <c r="C4607" t="s">
        <v>2300</v>
      </c>
      <c r="D4607" t="s">
        <v>2560</v>
      </c>
      <c r="E4607" s="3" t="str">
        <f>IF(LEN(Base_Periodo1[[#This Row],[CLASS]])&gt;=7,LEFT(Base_Periodo1[[#This Row],[CLASS]],7),"")</f>
        <v>2.4.1.1</v>
      </c>
      <c r="F4607" s="3" t="str">
        <f>VLOOKUP(Base_Periodo1[[#This Row],[Aux]],Base_Contas_Balanco[#All],2,FALSE)</f>
        <v>Capital Social Realizado</v>
      </c>
      <c r="G4607" s="1"/>
      <c r="H4607" s="225">
        <v>24262.39</v>
      </c>
      <c r="I4607" s="225">
        <v>0</v>
      </c>
      <c r="J4607" s="225">
        <v>0</v>
      </c>
      <c r="K4607" s="225">
        <v>24262.39</v>
      </c>
      <c r="L46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24262.39</v>
      </c>
      <c r="M4607" s="225">
        <f>ROUND(IF(AND(Base_Periodo1[[#This Row],[Tipo_Linha]]="-",Base_Periodo1[[#This Row],[TIPOSALDO]]="D"),Base_Periodo1[[#This Row],[SALDO_ATUAL]]*-1,Base_Periodo1[[#This Row],[SALDO_ATUAL]]),4)</f>
        <v>24262.39</v>
      </c>
      <c r="N4607" t="s">
        <v>116</v>
      </c>
      <c r="O4607" t="s">
        <v>459</v>
      </c>
      <c r="P4607" t="s">
        <v>459</v>
      </c>
      <c r="Q4607">
        <v>6</v>
      </c>
      <c r="R4607" s="225">
        <f>Base_Periodo1[[#This Row],[CREDITOS]]-Base_Periodo1[[#This Row],[DEBITOS]]</f>
        <v>0</v>
      </c>
      <c r="S4607" s="3" t="str">
        <f>IF(ISERROR(VLOOKUP(Base_Periodo1[[#This Row],[CONTA]],BaseContasDRE[#All],4,FALSE)),"Fora do DRE",VLOOKUP(Base_Periodo1[[#This Row],[CONTA]],BaseContasDRE[#All],4,FALSE))</f>
        <v>Fora do DRE</v>
      </c>
      <c r="T4607" s="3" t="str">
        <f>IF(ISERROR(VLOOKUP(Base_Periodo1[[#This Row],[CONTA]],BaseContasDRE[#All],5,FALSE)),"Fora do DRE",VLOOKUP(Base_Periodo1[[#This Row],[CONTA]],BaseContasDRE[#All],6,FALSE))</f>
        <v>Fora do DRE</v>
      </c>
      <c r="U4607" s="3" t="str">
        <f>IF(ISERROR(VLOOKUP(Base_Periodo1[[#This Row],[CONTA]],BaseContasDRE[#All],7,FALSE)),"Fora do DRE",VLOOKUP(Base_Periodo1[[#This Row],[CONTA]],BaseContasDRE[#All],7,FALSE))</f>
        <v>Fora do DRE</v>
      </c>
      <c r="V4607" s="3" t="str">
        <f>IF(Base_Periodo1[[#This Row],[Tipo_Linha]]="Fora do DRE","Fora do DRE","( "&amp;Base_Periodo1[[#This Row],[Tipo_Linha]]&amp;" ) "&amp;Base_Periodo1[[#This Row],[Filtro]])</f>
        <v>Fora do DRE</v>
      </c>
      <c r="W4607" s="3" t="str">
        <f>LEFT(Base_Periodo1[[#This Row],[CLASS]],3)</f>
        <v>2.4</v>
      </c>
    </row>
    <row r="4608" spans="1:23" hidden="1">
      <c r="A4608" s="3" t="str">
        <f t="shared" si="71"/>
        <v>Período 1</v>
      </c>
      <c r="B4608">
        <v>19332</v>
      </c>
      <c r="C4608" t="s">
        <v>2300</v>
      </c>
      <c r="D4608" t="s">
        <v>2561</v>
      </c>
      <c r="E4608" s="3" t="str">
        <f>IF(LEN(Base_Periodo1[[#This Row],[CLASS]])&gt;=7,LEFT(Base_Periodo1[[#This Row],[CLASS]],7),"")</f>
        <v>2.4.1.1</v>
      </c>
      <c r="F4608" s="3" t="str">
        <f>VLOOKUP(Base_Periodo1[[#This Row],[Aux]],Base_Contas_Balanco[#All],2,FALSE)</f>
        <v>Capital Social Realizado</v>
      </c>
      <c r="G4608" s="1"/>
      <c r="H4608" s="225">
        <v>520.35</v>
      </c>
      <c r="I4608" s="225">
        <v>0</v>
      </c>
      <c r="J4608" s="225">
        <v>0</v>
      </c>
      <c r="K4608" s="225">
        <v>520.35</v>
      </c>
      <c r="L46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520.35</v>
      </c>
      <c r="M4608" s="225">
        <f>ROUND(IF(AND(Base_Periodo1[[#This Row],[Tipo_Linha]]="-",Base_Periodo1[[#This Row],[TIPOSALDO]]="D"),Base_Periodo1[[#This Row],[SALDO_ATUAL]]*-1,Base_Periodo1[[#This Row],[SALDO_ATUAL]]),4)</f>
        <v>520.35</v>
      </c>
      <c r="N4608" t="s">
        <v>116</v>
      </c>
      <c r="O4608" t="s">
        <v>459</v>
      </c>
      <c r="P4608" t="s">
        <v>459</v>
      </c>
      <c r="Q4608">
        <v>6</v>
      </c>
      <c r="R4608" s="225">
        <f>Base_Periodo1[[#This Row],[CREDITOS]]-Base_Periodo1[[#This Row],[DEBITOS]]</f>
        <v>0</v>
      </c>
      <c r="S4608" s="3" t="str">
        <f>IF(ISERROR(VLOOKUP(Base_Periodo1[[#This Row],[CONTA]],BaseContasDRE[#All],4,FALSE)),"Fora do DRE",VLOOKUP(Base_Periodo1[[#This Row],[CONTA]],BaseContasDRE[#All],4,FALSE))</f>
        <v>Fora do DRE</v>
      </c>
      <c r="T4608" s="3" t="str">
        <f>IF(ISERROR(VLOOKUP(Base_Periodo1[[#This Row],[CONTA]],BaseContasDRE[#All],5,FALSE)),"Fora do DRE",VLOOKUP(Base_Periodo1[[#This Row],[CONTA]],BaseContasDRE[#All],6,FALSE))</f>
        <v>Fora do DRE</v>
      </c>
      <c r="U4608" s="3" t="str">
        <f>IF(ISERROR(VLOOKUP(Base_Periodo1[[#This Row],[CONTA]],BaseContasDRE[#All],7,FALSE)),"Fora do DRE",VLOOKUP(Base_Periodo1[[#This Row],[CONTA]],BaseContasDRE[#All],7,FALSE))</f>
        <v>Fora do DRE</v>
      </c>
      <c r="V4608" s="3" t="str">
        <f>IF(Base_Periodo1[[#This Row],[Tipo_Linha]]="Fora do DRE","Fora do DRE","( "&amp;Base_Periodo1[[#This Row],[Tipo_Linha]]&amp;" ) "&amp;Base_Periodo1[[#This Row],[Filtro]])</f>
        <v>Fora do DRE</v>
      </c>
      <c r="W4608" s="3" t="str">
        <f>LEFT(Base_Periodo1[[#This Row],[CLASS]],3)</f>
        <v>2.4</v>
      </c>
    </row>
    <row r="4609" spans="1:23" hidden="1">
      <c r="A4609" s="3" t="str">
        <f t="shared" si="71"/>
        <v>Período 1</v>
      </c>
      <c r="B4609">
        <v>25535</v>
      </c>
      <c r="C4609" t="s">
        <v>2300</v>
      </c>
      <c r="D4609" t="s">
        <v>2562</v>
      </c>
      <c r="E4609" s="3" t="str">
        <f>IF(LEN(Base_Periodo1[[#This Row],[CLASS]])&gt;=7,LEFT(Base_Periodo1[[#This Row],[CLASS]],7),"")</f>
        <v>2.4.1.1</v>
      </c>
      <c r="F4609" s="3" t="str">
        <f>VLOOKUP(Base_Periodo1[[#This Row],[Aux]],Base_Contas_Balanco[#All],2,FALSE)</f>
        <v>Capital Social Realizado</v>
      </c>
      <c r="G4609" s="1"/>
      <c r="H4609" s="225">
        <v>383.8</v>
      </c>
      <c r="I4609" s="225">
        <v>0</v>
      </c>
      <c r="J4609" s="225">
        <v>0</v>
      </c>
      <c r="K4609" s="225">
        <v>383.8</v>
      </c>
      <c r="L46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383.8</v>
      </c>
      <c r="M4609" s="225">
        <f>ROUND(IF(AND(Base_Periodo1[[#This Row],[Tipo_Linha]]="-",Base_Periodo1[[#This Row],[TIPOSALDO]]="D"),Base_Periodo1[[#This Row],[SALDO_ATUAL]]*-1,Base_Periodo1[[#This Row],[SALDO_ATUAL]]),4)</f>
        <v>383.8</v>
      </c>
      <c r="N4609" t="s">
        <v>116</v>
      </c>
      <c r="O4609" t="s">
        <v>459</v>
      </c>
      <c r="P4609" t="s">
        <v>459</v>
      </c>
      <c r="Q4609">
        <v>6</v>
      </c>
      <c r="R4609" s="225">
        <f>Base_Periodo1[[#This Row],[CREDITOS]]-Base_Periodo1[[#This Row],[DEBITOS]]</f>
        <v>0</v>
      </c>
      <c r="S4609" s="3" t="str">
        <f>IF(ISERROR(VLOOKUP(Base_Periodo1[[#This Row],[CONTA]],BaseContasDRE[#All],4,FALSE)),"Fora do DRE",VLOOKUP(Base_Periodo1[[#This Row],[CONTA]],BaseContasDRE[#All],4,FALSE))</f>
        <v>Fora do DRE</v>
      </c>
      <c r="T4609" s="3" t="str">
        <f>IF(ISERROR(VLOOKUP(Base_Periodo1[[#This Row],[CONTA]],BaseContasDRE[#All],5,FALSE)),"Fora do DRE",VLOOKUP(Base_Periodo1[[#This Row],[CONTA]],BaseContasDRE[#All],6,FALSE))</f>
        <v>Fora do DRE</v>
      </c>
      <c r="U4609" s="3" t="str">
        <f>IF(ISERROR(VLOOKUP(Base_Periodo1[[#This Row],[CONTA]],BaseContasDRE[#All],7,FALSE)),"Fora do DRE",VLOOKUP(Base_Periodo1[[#This Row],[CONTA]],BaseContasDRE[#All],7,FALSE))</f>
        <v>Fora do DRE</v>
      </c>
      <c r="V4609" s="3" t="str">
        <f>IF(Base_Periodo1[[#This Row],[Tipo_Linha]]="Fora do DRE","Fora do DRE","( "&amp;Base_Periodo1[[#This Row],[Tipo_Linha]]&amp;" ) "&amp;Base_Periodo1[[#This Row],[Filtro]])</f>
        <v>Fora do DRE</v>
      </c>
      <c r="W4609" s="3" t="str">
        <f>LEFT(Base_Periodo1[[#This Row],[CLASS]],3)</f>
        <v>2.4</v>
      </c>
    </row>
    <row r="4610" spans="1:23" hidden="1">
      <c r="A4610" s="3" t="str">
        <f t="shared" si="71"/>
        <v>Período 1</v>
      </c>
      <c r="B4610">
        <v>21216</v>
      </c>
      <c r="C4610" t="s">
        <v>2300</v>
      </c>
      <c r="D4610" t="s">
        <v>2563</v>
      </c>
      <c r="E4610" s="3" t="str">
        <f>IF(LEN(Base_Periodo1[[#This Row],[CLASS]])&gt;=7,LEFT(Base_Periodo1[[#This Row],[CLASS]],7),"")</f>
        <v>2.4.1.1</v>
      </c>
      <c r="F4610" s="3" t="str">
        <f>VLOOKUP(Base_Periodo1[[#This Row],[Aux]],Base_Contas_Balanco[#All],2,FALSE)</f>
        <v>Capital Social Realizado</v>
      </c>
      <c r="G4610" s="1"/>
      <c r="H4610" s="225">
        <v>176.83</v>
      </c>
      <c r="I4610" s="225">
        <v>0</v>
      </c>
      <c r="J4610" s="225">
        <v>0</v>
      </c>
      <c r="K4610" s="225">
        <v>176.83</v>
      </c>
      <c r="L46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176.83</v>
      </c>
      <c r="M4610" s="225">
        <f>ROUND(IF(AND(Base_Periodo1[[#This Row],[Tipo_Linha]]="-",Base_Periodo1[[#This Row],[TIPOSALDO]]="D"),Base_Periodo1[[#This Row],[SALDO_ATUAL]]*-1,Base_Periodo1[[#This Row],[SALDO_ATUAL]]),4)</f>
        <v>176.83</v>
      </c>
      <c r="N4610" t="s">
        <v>116</v>
      </c>
      <c r="O4610" t="s">
        <v>459</v>
      </c>
      <c r="P4610" t="s">
        <v>459</v>
      </c>
      <c r="Q4610">
        <v>6</v>
      </c>
      <c r="R4610" s="225">
        <f>Base_Periodo1[[#This Row],[CREDITOS]]-Base_Periodo1[[#This Row],[DEBITOS]]</f>
        <v>0</v>
      </c>
      <c r="S4610" s="3" t="str">
        <f>IF(ISERROR(VLOOKUP(Base_Periodo1[[#This Row],[CONTA]],BaseContasDRE[#All],4,FALSE)),"Fora do DRE",VLOOKUP(Base_Periodo1[[#This Row],[CONTA]],BaseContasDRE[#All],4,FALSE))</f>
        <v>Fora do DRE</v>
      </c>
      <c r="T4610" s="3" t="str">
        <f>IF(ISERROR(VLOOKUP(Base_Periodo1[[#This Row],[CONTA]],BaseContasDRE[#All],5,FALSE)),"Fora do DRE",VLOOKUP(Base_Periodo1[[#This Row],[CONTA]],BaseContasDRE[#All],6,FALSE))</f>
        <v>Fora do DRE</v>
      </c>
      <c r="U4610" s="3" t="str">
        <f>IF(ISERROR(VLOOKUP(Base_Periodo1[[#This Row],[CONTA]],BaseContasDRE[#All],7,FALSE)),"Fora do DRE",VLOOKUP(Base_Periodo1[[#This Row],[CONTA]],BaseContasDRE[#All],7,FALSE))</f>
        <v>Fora do DRE</v>
      </c>
      <c r="V4610" s="3" t="str">
        <f>IF(Base_Periodo1[[#This Row],[Tipo_Linha]]="Fora do DRE","Fora do DRE","( "&amp;Base_Periodo1[[#This Row],[Tipo_Linha]]&amp;" ) "&amp;Base_Periodo1[[#This Row],[Filtro]])</f>
        <v>Fora do DRE</v>
      </c>
      <c r="W4610" s="3" t="str">
        <f>LEFT(Base_Periodo1[[#This Row],[CLASS]],3)</f>
        <v>2.4</v>
      </c>
    </row>
    <row r="4611" spans="1:23" hidden="1">
      <c r="A4611" s="3" t="str">
        <f t="shared" si="71"/>
        <v>Período 1</v>
      </c>
      <c r="B4611">
        <v>15997</v>
      </c>
      <c r="C4611" t="s">
        <v>2300</v>
      </c>
      <c r="D4611" t="s">
        <v>2564</v>
      </c>
      <c r="E4611" s="3" t="str">
        <f>IF(LEN(Base_Periodo1[[#This Row],[CLASS]])&gt;=7,LEFT(Base_Periodo1[[#This Row],[CLASS]],7),"")</f>
        <v>2.4.1.1</v>
      </c>
      <c r="F4611" s="3" t="str">
        <f>VLOOKUP(Base_Periodo1[[#This Row],[Aux]],Base_Contas_Balanco[#All],2,FALSE)</f>
        <v>Capital Social Realizado</v>
      </c>
      <c r="G4611" s="1"/>
      <c r="H4611" s="225">
        <v>2707.15</v>
      </c>
      <c r="I4611" s="225">
        <v>0</v>
      </c>
      <c r="J4611" s="225">
        <v>0</v>
      </c>
      <c r="K4611" s="225">
        <v>2707.15</v>
      </c>
      <c r="L46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2707.15</v>
      </c>
      <c r="M4611" s="225">
        <f>ROUND(IF(AND(Base_Periodo1[[#This Row],[Tipo_Linha]]="-",Base_Periodo1[[#This Row],[TIPOSALDO]]="D"),Base_Periodo1[[#This Row],[SALDO_ATUAL]]*-1,Base_Periodo1[[#This Row],[SALDO_ATUAL]]),4)</f>
        <v>2707.15</v>
      </c>
      <c r="N4611" t="s">
        <v>116</v>
      </c>
      <c r="O4611" t="s">
        <v>459</v>
      </c>
      <c r="P4611" t="s">
        <v>459</v>
      </c>
      <c r="Q4611">
        <v>6</v>
      </c>
      <c r="R4611" s="225">
        <f>Base_Periodo1[[#This Row],[CREDITOS]]-Base_Periodo1[[#This Row],[DEBITOS]]</f>
        <v>0</v>
      </c>
      <c r="S4611" s="3" t="str">
        <f>IF(ISERROR(VLOOKUP(Base_Periodo1[[#This Row],[CONTA]],BaseContasDRE[#All],4,FALSE)),"Fora do DRE",VLOOKUP(Base_Periodo1[[#This Row],[CONTA]],BaseContasDRE[#All],4,FALSE))</f>
        <v>Fora do DRE</v>
      </c>
      <c r="T4611" s="3" t="str">
        <f>IF(ISERROR(VLOOKUP(Base_Periodo1[[#This Row],[CONTA]],BaseContasDRE[#All],5,FALSE)),"Fora do DRE",VLOOKUP(Base_Periodo1[[#This Row],[CONTA]],BaseContasDRE[#All],6,FALSE))</f>
        <v>Fora do DRE</v>
      </c>
      <c r="U4611" s="3" t="str">
        <f>IF(ISERROR(VLOOKUP(Base_Periodo1[[#This Row],[CONTA]],BaseContasDRE[#All],7,FALSE)),"Fora do DRE",VLOOKUP(Base_Periodo1[[#This Row],[CONTA]],BaseContasDRE[#All],7,FALSE))</f>
        <v>Fora do DRE</v>
      </c>
      <c r="V4611" s="3" t="str">
        <f>IF(Base_Periodo1[[#This Row],[Tipo_Linha]]="Fora do DRE","Fora do DRE","( "&amp;Base_Periodo1[[#This Row],[Tipo_Linha]]&amp;" ) "&amp;Base_Periodo1[[#This Row],[Filtro]])</f>
        <v>Fora do DRE</v>
      </c>
      <c r="W4611" s="3" t="str">
        <f>LEFT(Base_Periodo1[[#This Row],[CLASS]],3)</f>
        <v>2.4</v>
      </c>
    </row>
    <row r="4612" spans="1:23" hidden="1">
      <c r="A4612" s="3" t="str">
        <f t="shared" si="71"/>
        <v>Período 1</v>
      </c>
      <c r="B4612">
        <v>16240</v>
      </c>
      <c r="C4612" t="s">
        <v>2300</v>
      </c>
      <c r="D4612" t="s">
        <v>2565</v>
      </c>
      <c r="E4612" s="3" t="str">
        <f>IF(LEN(Base_Periodo1[[#This Row],[CLASS]])&gt;=7,LEFT(Base_Periodo1[[#This Row],[CLASS]],7),"")</f>
        <v>2.4.1.1</v>
      </c>
      <c r="F4612" s="3" t="str">
        <f>VLOOKUP(Base_Periodo1[[#This Row],[Aux]],Base_Contas_Balanco[#All],2,FALSE)</f>
        <v>Capital Social Realizado</v>
      </c>
      <c r="G4612" s="1"/>
      <c r="H4612" s="225">
        <v>5810.86</v>
      </c>
      <c r="I4612" s="225">
        <v>0</v>
      </c>
      <c r="J4612" s="225">
        <v>0</v>
      </c>
      <c r="K4612" s="225">
        <v>5810.86</v>
      </c>
      <c r="L46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5810.86</v>
      </c>
      <c r="M4612" s="225">
        <f>ROUND(IF(AND(Base_Periodo1[[#This Row],[Tipo_Linha]]="-",Base_Periodo1[[#This Row],[TIPOSALDO]]="D"),Base_Periodo1[[#This Row],[SALDO_ATUAL]]*-1,Base_Periodo1[[#This Row],[SALDO_ATUAL]]),4)</f>
        <v>5810.86</v>
      </c>
      <c r="N4612" t="s">
        <v>116</v>
      </c>
      <c r="O4612" t="s">
        <v>459</v>
      </c>
      <c r="P4612" t="s">
        <v>459</v>
      </c>
      <c r="Q4612">
        <v>6</v>
      </c>
      <c r="R4612" s="225">
        <f>Base_Periodo1[[#This Row],[CREDITOS]]-Base_Periodo1[[#This Row],[DEBITOS]]</f>
        <v>0</v>
      </c>
      <c r="S4612" s="3" t="str">
        <f>IF(ISERROR(VLOOKUP(Base_Periodo1[[#This Row],[CONTA]],BaseContasDRE[#All],4,FALSE)),"Fora do DRE",VLOOKUP(Base_Periodo1[[#This Row],[CONTA]],BaseContasDRE[#All],4,FALSE))</f>
        <v>Fora do DRE</v>
      </c>
      <c r="T4612" s="3" t="str">
        <f>IF(ISERROR(VLOOKUP(Base_Periodo1[[#This Row],[CONTA]],BaseContasDRE[#All],5,FALSE)),"Fora do DRE",VLOOKUP(Base_Periodo1[[#This Row],[CONTA]],BaseContasDRE[#All],6,FALSE))</f>
        <v>Fora do DRE</v>
      </c>
      <c r="U4612" s="3" t="str">
        <f>IF(ISERROR(VLOOKUP(Base_Periodo1[[#This Row],[CONTA]],BaseContasDRE[#All],7,FALSE)),"Fora do DRE",VLOOKUP(Base_Periodo1[[#This Row],[CONTA]],BaseContasDRE[#All],7,FALSE))</f>
        <v>Fora do DRE</v>
      </c>
      <c r="V4612" s="3" t="str">
        <f>IF(Base_Periodo1[[#This Row],[Tipo_Linha]]="Fora do DRE","Fora do DRE","( "&amp;Base_Periodo1[[#This Row],[Tipo_Linha]]&amp;" ) "&amp;Base_Periodo1[[#This Row],[Filtro]])</f>
        <v>Fora do DRE</v>
      </c>
      <c r="W4612" s="3" t="str">
        <f>LEFT(Base_Periodo1[[#This Row],[CLASS]],3)</f>
        <v>2.4</v>
      </c>
    </row>
    <row r="4613" spans="1:23" hidden="1">
      <c r="A4613" s="3" t="str">
        <f t="shared" si="71"/>
        <v>Período 1</v>
      </c>
      <c r="B4613">
        <v>47196</v>
      </c>
      <c r="C4613" t="s">
        <v>2300</v>
      </c>
      <c r="D4613" t="s">
        <v>2566</v>
      </c>
      <c r="E4613" s="3" t="str">
        <f>IF(LEN(Base_Periodo1[[#This Row],[CLASS]])&gt;=7,LEFT(Base_Periodo1[[#This Row],[CLASS]],7),"")</f>
        <v>2.4.1.1</v>
      </c>
      <c r="F4613" s="3" t="str">
        <f>VLOOKUP(Base_Periodo1[[#This Row],[Aux]],Base_Contas_Balanco[#All],2,FALSE)</f>
        <v>Capital Social Realizado</v>
      </c>
      <c r="G4613" s="1"/>
      <c r="H4613" s="225">
        <v>663.98</v>
      </c>
      <c r="I4613" s="225">
        <v>0</v>
      </c>
      <c r="J4613" s="225">
        <v>0</v>
      </c>
      <c r="K4613" s="225">
        <v>663.98</v>
      </c>
      <c r="L46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663.98</v>
      </c>
      <c r="M4613" s="225">
        <f>ROUND(IF(AND(Base_Periodo1[[#This Row],[Tipo_Linha]]="-",Base_Periodo1[[#This Row],[TIPOSALDO]]="D"),Base_Periodo1[[#This Row],[SALDO_ATUAL]]*-1,Base_Periodo1[[#This Row],[SALDO_ATUAL]]),4)</f>
        <v>663.98</v>
      </c>
      <c r="N4613" t="s">
        <v>116</v>
      </c>
      <c r="O4613" t="s">
        <v>459</v>
      </c>
      <c r="P4613" t="s">
        <v>459</v>
      </c>
      <c r="Q4613">
        <v>6</v>
      </c>
      <c r="R4613" s="225">
        <f>Base_Periodo1[[#This Row],[CREDITOS]]-Base_Periodo1[[#This Row],[DEBITOS]]</f>
        <v>0</v>
      </c>
      <c r="S4613" s="3" t="str">
        <f>IF(ISERROR(VLOOKUP(Base_Periodo1[[#This Row],[CONTA]],BaseContasDRE[#All],4,FALSE)),"Fora do DRE",VLOOKUP(Base_Periodo1[[#This Row],[CONTA]],BaseContasDRE[#All],4,FALSE))</f>
        <v>Fora do DRE</v>
      </c>
      <c r="T4613" s="3" t="str">
        <f>IF(ISERROR(VLOOKUP(Base_Periodo1[[#This Row],[CONTA]],BaseContasDRE[#All],5,FALSE)),"Fora do DRE",VLOOKUP(Base_Periodo1[[#This Row],[CONTA]],BaseContasDRE[#All],6,FALSE))</f>
        <v>Fora do DRE</v>
      </c>
      <c r="U4613" s="3" t="str">
        <f>IF(ISERROR(VLOOKUP(Base_Periodo1[[#This Row],[CONTA]],BaseContasDRE[#All],7,FALSE)),"Fora do DRE",VLOOKUP(Base_Periodo1[[#This Row],[CONTA]],BaseContasDRE[#All],7,FALSE))</f>
        <v>Fora do DRE</v>
      </c>
      <c r="V4613" s="3" t="str">
        <f>IF(Base_Periodo1[[#This Row],[Tipo_Linha]]="Fora do DRE","Fora do DRE","( "&amp;Base_Periodo1[[#This Row],[Tipo_Linha]]&amp;" ) "&amp;Base_Periodo1[[#This Row],[Filtro]])</f>
        <v>Fora do DRE</v>
      </c>
      <c r="W4613" s="3" t="str">
        <f>LEFT(Base_Periodo1[[#This Row],[CLASS]],3)</f>
        <v>2.4</v>
      </c>
    </row>
    <row r="4614" spans="1:23" hidden="1">
      <c r="A4614" s="3" t="str">
        <f t="shared" ref="A4614:A4677" si="72">"Período 1"</f>
        <v>Período 1</v>
      </c>
      <c r="B4614">
        <v>30936</v>
      </c>
      <c r="C4614" t="s">
        <v>2300</v>
      </c>
      <c r="D4614" t="s">
        <v>2567</v>
      </c>
      <c r="E4614" s="3" t="str">
        <f>IF(LEN(Base_Periodo1[[#This Row],[CLASS]])&gt;=7,LEFT(Base_Periodo1[[#This Row],[CLASS]],7),"")</f>
        <v>2.4.1.1</v>
      </c>
      <c r="F4614" s="3" t="str">
        <f>VLOOKUP(Base_Periodo1[[#This Row],[Aux]],Base_Contas_Balanco[#All],2,FALSE)</f>
        <v>Capital Social Realizado</v>
      </c>
      <c r="G4614" s="1"/>
      <c r="H4614" s="225">
        <v>146.57999999999998</v>
      </c>
      <c r="I4614" s="225">
        <v>0</v>
      </c>
      <c r="J4614" s="225">
        <v>0</v>
      </c>
      <c r="K4614" s="225">
        <v>146.57999999999998</v>
      </c>
      <c r="L46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146.58000000000001</v>
      </c>
      <c r="M4614" s="225">
        <f>ROUND(IF(AND(Base_Periodo1[[#This Row],[Tipo_Linha]]="-",Base_Periodo1[[#This Row],[TIPOSALDO]]="D"),Base_Periodo1[[#This Row],[SALDO_ATUAL]]*-1,Base_Periodo1[[#This Row],[SALDO_ATUAL]]),4)</f>
        <v>146.58000000000001</v>
      </c>
      <c r="N4614" t="s">
        <v>116</v>
      </c>
      <c r="O4614" t="s">
        <v>459</v>
      </c>
      <c r="P4614" t="s">
        <v>459</v>
      </c>
      <c r="Q4614">
        <v>6</v>
      </c>
      <c r="R4614" s="225">
        <f>Base_Periodo1[[#This Row],[CREDITOS]]-Base_Periodo1[[#This Row],[DEBITOS]]</f>
        <v>0</v>
      </c>
      <c r="S4614" s="3" t="str">
        <f>IF(ISERROR(VLOOKUP(Base_Periodo1[[#This Row],[CONTA]],BaseContasDRE[#All],4,FALSE)),"Fora do DRE",VLOOKUP(Base_Periodo1[[#This Row],[CONTA]],BaseContasDRE[#All],4,FALSE))</f>
        <v>Fora do DRE</v>
      </c>
      <c r="T4614" s="3" t="str">
        <f>IF(ISERROR(VLOOKUP(Base_Periodo1[[#This Row],[CONTA]],BaseContasDRE[#All],5,FALSE)),"Fora do DRE",VLOOKUP(Base_Periodo1[[#This Row],[CONTA]],BaseContasDRE[#All],6,FALSE))</f>
        <v>Fora do DRE</v>
      </c>
      <c r="U4614" s="3" t="str">
        <f>IF(ISERROR(VLOOKUP(Base_Periodo1[[#This Row],[CONTA]],BaseContasDRE[#All],7,FALSE)),"Fora do DRE",VLOOKUP(Base_Periodo1[[#This Row],[CONTA]],BaseContasDRE[#All],7,FALSE))</f>
        <v>Fora do DRE</v>
      </c>
      <c r="V4614" s="3" t="str">
        <f>IF(Base_Periodo1[[#This Row],[Tipo_Linha]]="Fora do DRE","Fora do DRE","( "&amp;Base_Periodo1[[#This Row],[Tipo_Linha]]&amp;" ) "&amp;Base_Periodo1[[#This Row],[Filtro]])</f>
        <v>Fora do DRE</v>
      </c>
      <c r="W4614" s="3" t="str">
        <f>LEFT(Base_Periodo1[[#This Row],[CLASS]],3)</f>
        <v>2.4</v>
      </c>
    </row>
    <row r="4615" spans="1:23" hidden="1">
      <c r="A4615" s="3" t="str">
        <f t="shared" si="72"/>
        <v>Período 1</v>
      </c>
      <c r="B4615">
        <v>25524</v>
      </c>
      <c r="C4615" t="s">
        <v>2300</v>
      </c>
      <c r="D4615" t="s">
        <v>2568</v>
      </c>
      <c r="E4615" s="3" t="str">
        <f>IF(LEN(Base_Periodo1[[#This Row],[CLASS]])&gt;=7,LEFT(Base_Periodo1[[#This Row],[CLASS]],7),"")</f>
        <v>2.4.1.1</v>
      </c>
      <c r="F4615" s="3" t="str">
        <f>VLOOKUP(Base_Periodo1[[#This Row],[Aux]],Base_Contas_Balanco[#All],2,FALSE)</f>
        <v>Capital Social Realizado</v>
      </c>
      <c r="G4615" s="1"/>
      <c r="H4615" s="225">
        <v>268.01</v>
      </c>
      <c r="I4615" s="225">
        <v>0</v>
      </c>
      <c r="J4615" s="225">
        <v>0</v>
      </c>
      <c r="K4615" s="225">
        <v>268.01</v>
      </c>
      <c r="L46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268.01</v>
      </c>
      <c r="M4615" s="225">
        <f>ROUND(IF(AND(Base_Periodo1[[#This Row],[Tipo_Linha]]="-",Base_Periodo1[[#This Row],[TIPOSALDO]]="D"),Base_Periodo1[[#This Row],[SALDO_ATUAL]]*-1,Base_Periodo1[[#This Row],[SALDO_ATUAL]]),4)</f>
        <v>268.01</v>
      </c>
      <c r="N4615" t="s">
        <v>116</v>
      </c>
      <c r="O4615" t="s">
        <v>459</v>
      </c>
      <c r="P4615" t="s">
        <v>459</v>
      </c>
      <c r="Q4615">
        <v>6</v>
      </c>
      <c r="R4615" s="225">
        <f>Base_Periodo1[[#This Row],[CREDITOS]]-Base_Periodo1[[#This Row],[DEBITOS]]</f>
        <v>0</v>
      </c>
      <c r="S4615" s="3" t="str">
        <f>IF(ISERROR(VLOOKUP(Base_Periodo1[[#This Row],[CONTA]],BaseContasDRE[#All],4,FALSE)),"Fora do DRE",VLOOKUP(Base_Periodo1[[#This Row],[CONTA]],BaseContasDRE[#All],4,FALSE))</f>
        <v>Fora do DRE</v>
      </c>
      <c r="T4615" s="3" t="str">
        <f>IF(ISERROR(VLOOKUP(Base_Periodo1[[#This Row],[CONTA]],BaseContasDRE[#All],5,FALSE)),"Fora do DRE",VLOOKUP(Base_Periodo1[[#This Row],[CONTA]],BaseContasDRE[#All],6,FALSE))</f>
        <v>Fora do DRE</v>
      </c>
      <c r="U4615" s="3" t="str">
        <f>IF(ISERROR(VLOOKUP(Base_Periodo1[[#This Row],[CONTA]],BaseContasDRE[#All],7,FALSE)),"Fora do DRE",VLOOKUP(Base_Periodo1[[#This Row],[CONTA]],BaseContasDRE[#All],7,FALSE))</f>
        <v>Fora do DRE</v>
      </c>
      <c r="V4615" s="3" t="str">
        <f>IF(Base_Periodo1[[#This Row],[Tipo_Linha]]="Fora do DRE","Fora do DRE","( "&amp;Base_Periodo1[[#This Row],[Tipo_Linha]]&amp;" ) "&amp;Base_Periodo1[[#This Row],[Filtro]])</f>
        <v>Fora do DRE</v>
      </c>
      <c r="W4615" s="3" t="str">
        <f>LEFT(Base_Periodo1[[#This Row],[CLASS]],3)</f>
        <v>2.4</v>
      </c>
    </row>
    <row r="4616" spans="1:23" hidden="1">
      <c r="A4616" s="3" t="str">
        <f t="shared" si="72"/>
        <v>Período 1</v>
      </c>
      <c r="B4616">
        <v>19333</v>
      </c>
      <c r="C4616" t="s">
        <v>2300</v>
      </c>
      <c r="D4616" t="s">
        <v>2569</v>
      </c>
      <c r="E4616" s="3" t="str">
        <f>IF(LEN(Base_Periodo1[[#This Row],[CLASS]])&gt;=7,LEFT(Base_Periodo1[[#This Row],[CLASS]],7),"")</f>
        <v>2.4.1.1</v>
      </c>
      <c r="F4616" s="3" t="str">
        <f>VLOOKUP(Base_Periodo1[[#This Row],[Aux]],Base_Contas_Balanco[#All],2,FALSE)</f>
        <v>Capital Social Realizado</v>
      </c>
      <c r="G4616" s="1"/>
      <c r="H4616" s="225">
        <v>318</v>
      </c>
      <c r="I4616" s="225">
        <v>0</v>
      </c>
      <c r="J4616" s="225">
        <v>0</v>
      </c>
      <c r="K4616" s="225">
        <v>318</v>
      </c>
      <c r="L46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318</v>
      </c>
      <c r="M4616" s="225">
        <f>ROUND(IF(AND(Base_Periodo1[[#This Row],[Tipo_Linha]]="-",Base_Periodo1[[#This Row],[TIPOSALDO]]="D"),Base_Periodo1[[#This Row],[SALDO_ATUAL]]*-1,Base_Periodo1[[#This Row],[SALDO_ATUAL]]),4)</f>
        <v>318</v>
      </c>
      <c r="N4616" t="s">
        <v>116</v>
      </c>
      <c r="O4616" t="s">
        <v>459</v>
      </c>
      <c r="P4616" t="s">
        <v>459</v>
      </c>
      <c r="Q4616">
        <v>6</v>
      </c>
      <c r="R4616" s="225">
        <f>Base_Periodo1[[#This Row],[CREDITOS]]-Base_Periodo1[[#This Row],[DEBITOS]]</f>
        <v>0</v>
      </c>
      <c r="S4616" s="3" t="str">
        <f>IF(ISERROR(VLOOKUP(Base_Periodo1[[#This Row],[CONTA]],BaseContasDRE[#All],4,FALSE)),"Fora do DRE",VLOOKUP(Base_Periodo1[[#This Row],[CONTA]],BaseContasDRE[#All],4,FALSE))</f>
        <v>Fora do DRE</v>
      </c>
      <c r="T4616" s="3" t="str">
        <f>IF(ISERROR(VLOOKUP(Base_Periodo1[[#This Row],[CONTA]],BaseContasDRE[#All],5,FALSE)),"Fora do DRE",VLOOKUP(Base_Periodo1[[#This Row],[CONTA]],BaseContasDRE[#All],6,FALSE))</f>
        <v>Fora do DRE</v>
      </c>
      <c r="U4616" s="3" t="str">
        <f>IF(ISERROR(VLOOKUP(Base_Periodo1[[#This Row],[CONTA]],BaseContasDRE[#All],7,FALSE)),"Fora do DRE",VLOOKUP(Base_Periodo1[[#This Row],[CONTA]],BaseContasDRE[#All],7,FALSE))</f>
        <v>Fora do DRE</v>
      </c>
      <c r="V4616" s="3" t="str">
        <f>IF(Base_Periodo1[[#This Row],[Tipo_Linha]]="Fora do DRE","Fora do DRE","( "&amp;Base_Periodo1[[#This Row],[Tipo_Linha]]&amp;" ) "&amp;Base_Periodo1[[#This Row],[Filtro]])</f>
        <v>Fora do DRE</v>
      </c>
      <c r="W4616" s="3" t="str">
        <f>LEFT(Base_Periodo1[[#This Row],[CLASS]],3)</f>
        <v>2.4</v>
      </c>
    </row>
    <row r="4617" spans="1:23" hidden="1">
      <c r="A4617" s="3" t="str">
        <f t="shared" si="72"/>
        <v>Período 1</v>
      </c>
      <c r="B4617">
        <v>16258</v>
      </c>
      <c r="C4617" t="s">
        <v>2300</v>
      </c>
      <c r="D4617" t="s">
        <v>2570</v>
      </c>
      <c r="E4617" s="3" t="str">
        <f>IF(LEN(Base_Periodo1[[#This Row],[CLASS]])&gt;=7,LEFT(Base_Periodo1[[#This Row],[CLASS]],7),"")</f>
        <v>2.4.1.1</v>
      </c>
      <c r="F4617" s="3" t="str">
        <f>VLOOKUP(Base_Periodo1[[#This Row],[Aux]],Base_Contas_Balanco[#All],2,FALSE)</f>
        <v>Capital Social Realizado</v>
      </c>
      <c r="G4617" s="1"/>
      <c r="H4617" s="225">
        <v>1522.7</v>
      </c>
      <c r="I4617" s="225">
        <v>0</v>
      </c>
      <c r="J4617" s="225">
        <v>0</v>
      </c>
      <c r="K4617" s="225">
        <v>1522.7</v>
      </c>
      <c r="L46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1522.7</v>
      </c>
      <c r="M4617" s="225">
        <f>ROUND(IF(AND(Base_Periodo1[[#This Row],[Tipo_Linha]]="-",Base_Periodo1[[#This Row],[TIPOSALDO]]="D"),Base_Periodo1[[#This Row],[SALDO_ATUAL]]*-1,Base_Periodo1[[#This Row],[SALDO_ATUAL]]),4)</f>
        <v>1522.7</v>
      </c>
      <c r="N4617" t="s">
        <v>116</v>
      </c>
      <c r="O4617" t="s">
        <v>459</v>
      </c>
      <c r="P4617" t="s">
        <v>459</v>
      </c>
      <c r="Q4617">
        <v>6</v>
      </c>
      <c r="R4617" s="225">
        <f>Base_Periodo1[[#This Row],[CREDITOS]]-Base_Periodo1[[#This Row],[DEBITOS]]</f>
        <v>0</v>
      </c>
      <c r="S4617" s="3" t="str">
        <f>IF(ISERROR(VLOOKUP(Base_Periodo1[[#This Row],[CONTA]],BaseContasDRE[#All],4,FALSE)),"Fora do DRE",VLOOKUP(Base_Periodo1[[#This Row],[CONTA]],BaseContasDRE[#All],4,FALSE))</f>
        <v>Fora do DRE</v>
      </c>
      <c r="T4617" s="3" t="str">
        <f>IF(ISERROR(VLOOKUP(Base_Periodo1[[#This Row],[CONTA]],BaseContasDRE[#All],5,FALSE)),"Fora do DRE",VLOOKUP(Base_Periodo1[[#This Row],[CONTA]],BaseContasDRE[#All],6,FALSE))</f>
        <v>Fora do DRE</v>
      </c>
      <c r="U4617" s="3" t="str">
        <f>IF(ISERROR(VLOOKUP(Base_Periodo1[[#This Row],[CONTA]],BaseContasDRE[#All],7,FALSE)),"Fora do DRE",VLOOKUP(Base_Periodo1[[#This Row],[CONTA]],BaseContasDRE[#All],7,FALSE))</f>
        <v>Fora do DRE</v>
      </c>
      <c r="V4617" s="3" t="str">
        <f>IF(Base_Periodo1[[#This Row],[Tipo_Linha]]="Fora do DRE","Fora do DRE","( "&amp;Base_Periodo1[[#This Row],[Tipo_Linha]]&amp;" ) "&amp;Base_Periodo1[[#This Row],[Filtro]])</f>
        <v>Fora do DRE</v>
      </c>
      <c r="W4617" s="3" t="str">
        <f>LEFT(Base_Periodo1[[#This Row],[CLASS]],3)</f>
        <v>2.4</v>
      </c>
    </row>
    <row r="4618" spans="1:23" hidden="1">
      <c r="A4618" s="3" t="str">
        <f t="shared" si="72"/>
        <v>Período 1</v>
      </c>
      <c r="B4618">
        <v>16289</v>
      </c>
      <c r="C4618" t="s">
        <v>2300</v>
      </c>
      <c r="D4618" t="s">
        <v>2571</v>
      </c>
      <c r="E4618" s="3" t="str">
        <f>IF(LEN(Base_Periodo1[[#This Row],[CLASS]])&gt;=7,LEFT(Base_Periodo1[[#This Row],[CLASS]],7),"")</f>
        <v>2.4.1.1</v>
      </c>
      <c r="F4618" s="3" t="str">
        <f>VLOOKUP(Base_Periodo1[[#This Row],[Aux]],Base_Contas_Balanco[#All],2,FALSE)</f>
        <v>Capital Social Realizado</v>
      </c>
      <c r="G4618" s="1"/>
      <c r="H4618" s="225">
        <v>342.90000000000003</v>
      </c>
      <c r="I4618" s="225">
        <v>0</v>
      </c>
      <c r="J4618" s="225">
        <v>0</v>
      </c>
      <c r="K4618" s="225">
        <v>342.90000000000003</v>
      </c>
      <c r="L46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342.9</v>
      </c>
      <c r="M4618" s="225">
        <f>ROUND(IF(AND(Base_Periodo1[[#This Row],[Tipo_Linha]]="-",Base_Periodo1[[#This Row],[TIPOSALDO]]="D"),Base_Periodo1[[#This Row],[SALDO_ATUAL]]*-1,Base_Periodo1[[#This Row],[SALDO_ATUAL]]),4)</f>
        <v>342.9</v>
      </c>
      <c r="N4618" t="s">
        <v>116</v>
      </c>
      <c r="O4618" t="s">
        <v>459</v>
      </c>
      <c r="P4618" t="s">
        <v>459</v>
      </c>
      <c r="Q4618">
        <v>6</v>
      </c>
      <c r="R4618" s="225">
        <f>Base_Periodo1[[#This Row],[CREDITOS]]-Base_Periodo1[[#This Row],[DEBITOS]]</f>
        <v>0</v>
      </c>
      <c r="S4618" s="3" t="str">
        <f>IF(ISERROR(VLOOKUP(Base_Periodo1[[#This Row],[CONTA]],BaseContasDRE[#All],4,FALSE)),"Fora do DRE",VLOOKUP(Base_Periodo1[[#This Row],[CONTA]],BaseContasDRE[#All],4,FALSE))</f>
        <v>Fora do DRE</v>
      </c>
      <c r="T4618" s="3" t="str">
        <f>IF(ISERROR(VLOOKUP(Base_Periodo1[[#This Row],[CONTA]],BaseContasDRE[#All],5,FALSE)),"Fora do DRE",VLOOKUP(Base_Periodo1[[#This Row],[CONTA]],BaseContasDRE[#All],6,FALSE))</f>
        <v>Fora do DRE</v>
      </c>
      <c r="U4618" s="3" t="str">
        <f>IF(ISERROR(VLOOKUP(Base_Periodo1[[#This Row],[CONTA]],BaseContasDRE[#All],7,FALSE)),"Fora do DRE",VLOOKUP(Base_Periodo1[[#This Row],[CONTA]],BaseContasDRE[#All],7,FALSE))</f>
        <v>Fora do DRE</v>
      </c>
      <c r="V4618" s="3" t="str">
        <f>IF(Base_Periodo1[[#This Row],[Tipo_Linha]]="Fora do DRE","Fora do DRE","( "&amp;Base_Periodo1[[#This Row],[Tipo_Linha]]&amp;" ) "&amp;Base_Periodo1[[#This Row],[Filtro]])</f>
        <v>Fora do DRE</v>
      </c>
      <c r="W4618" s="3" t="str">
        <f>LEFT(Base_Periodo1[[#This Row],[CLASS]],3)</f>
        <v>2.4</v>
      </c>
    </row>
    <row r="4619" spans="1:23" hidden="1">
      <c r="A4619" s="3" t="str">
        <f t="shared" si="72"/>
        <v>Período 1</v>
      </c>
      <c r="B4619">
        <v>19251</v>
      </c>
      <c r="C4619" t="s">
        <v>2300</v>
      </c>
      <c r="D4619" t="s">
        <v>2572</v>
      </c>
      <c r="E4619" s="3" t="str">
        <f>IF(LEN(Base_Periodo1[[#This Row],[CLASS]])&gt;=7,LEFT(Base_Periodo1[[#This Row],[CLASS]],7),"")</f>
        <v>2.4.1.1</v>
      </c>
      <c r="F4619" s="3" t="str">
        <f>VLOOKUP(Base_Periodo1[[#This Row],[Aux]],Base_Contas_Balanco[#All],2,FALSE)</f>
        <v>Capital Social Realizado</v>
      </c>
      <c r="G4619" s="1"/>
      <c r="H4619" s="225">
        <v>687.55</v>
      </c>
      <c r="I4619" s="225">
        <v>0</v>
      </c>
      <c r="J4619" s="225">
        <v>0</v>
      </c>
      <c r="K4619" s="225">
        <v>687.55</v>
      </c>
      <c r="L46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687.55</v>
      </c>
      <c r="M4619" s="225">
        <f>ROUND(IF(AND(Base_Periodo1[[#This Row],[Tipo_Linha]]="-",Base_Periodo1[[#This Row],[TIPOSALDO]]="D"),Base_Periodo1[[#This Row],[SALDO_ATUAL]]*-1,Base_Periodo1[[#This Row],[SALDO_ATUAL]]),4)</f>
        <v>687.55</v>
      </c>
      <c r="N4619" t="s">
        <v>116</v>
      </c>
      <c r="O4619" t="s">
        <v>459</v>
      </c>
      <c r="P4619" t="s">
        <v>459</v>
      </c>
      <c r="Q4619">
        <v>6</v>
      </c>
      <c r="R4619" s="225">
        <f>Base_Periodo1[[#This Row],[CREDITOS]]-Base_Periodo1[[#This Row],[DEBITOS]]</f>
        <v>0</v>
      </c>
      <c r="S4619" s="3" t="str">
        <f>IF(ISERROR(VLOOKUP(Base_Periodo1[[#This Row],[CONTA]],BaseContasDRE[#All],4,FALSE)),"Fora do DRE",VLOOKUP(Base_Periodo1[[#This Row],[CONTA]],BaseContasDRE[#All],4,FALSE))</f>
        <v>Fora do DRE</v>
      </c>
      <c r="T4619" s="3" t="str">
        <f>IF(ISERROR(VLOOKUP(Base_Periodo1[[#This Row],[CONTA]],BaseContasDRE[#All],5,FALSE)),"Fora do DRE",VLOOKUP(Base_Periodo1[[#This Row],[CONTA]],BaseContasDRE[#All],6,FALSE))</f>
        <v>Fora do DRE</v>
      </c>
      <c r="U4619" s="3" t="str">
        <f>IF(ISERROR(VLOOKUP(Base_Periodo1[[#This Row],[CONTA]],BaseContasDRE[#All],7,FALSE)),"Fora do DRE",VLOOKUP(Base_Periodo1[[#This Row],[CONTA]],BaseContasDRE[#All],7,FALSE))</f>
        <v>Fora do DRE</v>
      </c>
      <c r="V4619" s="3" t="str">
        <f>IF(Base_Periodo1[[#This Row],[Tipo_Linha]]="Fora do DRE","Fora do DRE","( "&amp;Base_Periodo1[[#This Row],[Tipo_Linha]]&amp;" ) "&amp;Base_Periodo1[[#This Row],[Filtro]])</f>
        <v>Fora do DRE</v>
      </c>
      <c r="W4619" s="3" t="str">
        <f>LEFT(Base_Periodo1[[#This Row],[CLASS]],3)</f>
        <v>2.4</v>
      </c>
    </row>
    <row r="4620" spans="1:23" hidden="1">
      <c r="A4620" s="3" t="str">
        <f t="shared" si="72"/>
        <v>Período 1</v>
      </c>
      <c r="B4620">
        <v>40756</v>
      </c>
      <c r="C4620" t="s">
        <v>2300</v>
      </c>
      <c r="D4620" t="s">
        <v>2573</v>
      </c>
      <c r="E4620" s="3" t="str">
        <f>IF(LEN(Base_Periodo1[[#This Row],[CLASS]])&gt;=7,LEFT(Base_Periodo1[[#This Row],[CLASS]],7),"")</f>
        <v>2.4.1.1</v>
      </c>
      <c r="F4620" s="3" t="str">
        <f>VLOOKUP(Base_Periodo1[[#This Row],[Aux]],Base_Contas_Balanco[#All],2,FALSE)</f>
        <v>Capital Social Realizado</v>
      </c>
      <c r="G4620" s="1"/>
      <c r="H4620" s="225">
        <v>348.51</v>
      </c>
      <c r="I4620" s="225">
        <v>0</v>
      </c>
      <c r="J4620" s="225">
        <v>0</v>
      </c>
      <c r="K4620" s="225">
        <v>348.51</v>
      </c>
      <c r="L46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348.51</v>
      </c>
      <c r="M4620" s="225">
        <f>ROUND(IF(AND(Base_Periodo1[[#This Row],[Tipo_Linha]]="-",Base_Periodo1[[#This Row],[TIPOSALDO]]="D"),Base_Periodo1[[#This Row],[SALDO_ATUAL]]*-1,Base_Periodo1[[#This Row],[SALDO_ATUAL]]),4)</f>
        <v>348.51</v>
      </c>
      <c r="N4620" t="s">
        <v>116</v>
      </c>
      <c r="O4620" t="s">
        <v>459</v>
      </c>
      <c r="P4620" t="s">
        <v>459</v>
      </c>
      <c r="Q4620">
        <v>6</v>
      </c>
      <c r="R4620" s="225">
        <f>Base_Periodo1[[#This Row],[CREDITOS]]-Base_Periodo1[[#This Row],[DEBITOS]]</f>
        <v>0</v>
      </c>
      <c r="S4620" s="3" t="str">
        <f>IF(ISERROR(VLOOKUP(Base_Periodo1[[#This Row],[CONTA]],BaseContasDRE[#All],4,FALSE)),"Fora do DRE",VLOOKUP(Base_Periodo1[[#This Row],[CONTA]],BaseContasDRE[#All],4,FALSE))</f>
        <v>Fora do DRE</v>
      </c>
      <c r="T4620" s="3" t="str">
        <f>IF(ISERROR(VLOOKUP(Base_Periodo1[[#This Row],[CONTA]],BaseContasDRE[#All],5,FALSE)),"Fora do DRE",VLOOKUP(Base_Periodo1[[#This Row],[CONTA]],BaseContasDRE[#All],6,FALSE))</f>
        <v>Fora do DRE</v>
      </c>
      <c r="U4620" s="3" t="str">
        <f>IF(ISERROR(VLOOKUP(Base_Periodo1[[#This Row],[CONTA]],BaseContasDRE[#All],7,FALSE)),"Fora do DRE",VLOOKUP(Base_Periodo1[[#This Row],[CONTA]],BaseContasDRE[#All],7,FALSE))</f>
        <v>Fora do DRE</v>
      </c>
      <c r="V4620" s="3" t="str">
        <f>IF(Base_Periodo1[[#This Row],[Tipo_Linha]]="Fora do DRE","Fora do DRE","( "&amp;Base_Periodo1[[#This Row],[Tipo_Linha]]&amp;" ) "&amp;Base_Periodo1[[#This Row],[Filtro]])</f>
        <v>Fora do DRE</v>
      </c>
      <c r="W4620" s="3" t="str">
        <f>LEFT(Base_Periodo1[[#This Row],[CLASS]],3)</f>
        <v>2.4</v>
      </c>
    </row>
    <row r="4621" spans="1:23" hidden="1">
      <c r="A4621" s="3" t="str">
        <f t="shared" si="72"/>
        <v>Período 1</v>
      </c>
      <c r="B4621">
        <v>16335</v>
      </c>
      <c r="C4621" t="s">
        <v>2300</v>
      </c>
      <c r="D4621" t="s">
        <v>2574</v>
      </c>
      <c r="E4621" s="3" t="str">
        <f>IF(LEN(Base_Periodo1[[#This Row],[CLASS]])&gt;=7,LEFT(Base_Periodo1[[#This Row],[CLASS]],7),"")</f>
        <v>2.4.1.1</v>
      </c>
      <c r="F4621" s="3" t="str">
        <f>VLOOKUP(Base_Periodo1[[#This Row],[Aux]],Base_Contas_Balanco[#All],2,FALSE)</f>
        <v>Capital Social Realizado</v>
      </c>
      <c r="G4621" s="1"/>
      <c r="H4621" s="225">
        <v>2225.09</v>
      </c>
      <c r="I4621" s="225">
        <v>0</v>
      </c>
      <c r="J4621" s="225">
        <v>0</v>
      </c>
      <c r="K4621" s="225">
        <v>2225.09</v>
      </c>
      <c r="L46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2225.09</v>
      </c>
      <c r="M4621" s="225">
        <f>ROUND(IF(AND(Base_Periodo1[[#This Row],[Tipo_Linha]]="-",Base_Periodo1[[#This Row],[TIPOSALDO]]="D"),Base_Periodo1[[#This Row],[SALDO_ATUAL]]*-1,Base_Periodo1[[#This Row],[SALDO_ATUAL]]),4)</f>
        <v>2225.09</v>
      </c>
      <c r="N4621" t="s">
        <v>116</v>
      </c>
      <c r="O4621" t="s">
        <v>459</v>
      </c>
      <c r="P4621" t="s">
        <v>459</v>
      </c>
      <c r="Q4621">
        <v>6</v>
      </c>
      <c r="R4621" s="225">
        <f>Base_Periodo1[[#This Row],[CREDITOS]]-Base_Periodo1[[#This Row],[DEBITOS]]</f>
        <v>0</v>
      </c>
      <c r="S4621" s="3" t="str">
        <f>IF(ISERROR(VLOOKUP(Base_Periodo1[[#This Row],[CONTA]],BaseContasDRE[#All],4,FALSE)),"Fora do DRE",VLOOKUP(Base_Periodo1[[#This Row],[CONTA]],BaseContasDRE[#All],4,FALSE))</f>
        <v>Fora do DRE</v>
      </c>
      <c r="T4621" s="3" t="str">
        <f>IF(ISERROR(VLOOKUP(Base_Periodo1[[#This Row],[CONTA]],BaseContasDRE[#All],5,FALSE)),"Fora do DRE",VLOOKUP(Base_Periodo1[[#This Row],[CONTA]],BaseContasDRE[#All],6,FALSE))</f>
        <v>Fora do DRE</v>
      </c>
      <c r="U4621" s="3" t="str">
        <f>IF(ISERROR(VLOOKUP(Base_Periodo1[[#This Row],[CONTA]],BaseContasDRE[#All],7,FALSE)),"Fora do DRE",VLOOKUP(Base_Periodo1[[#This Row],[CONTA]],BaseContasDRE[#All],7,FALSE))</f>
        <v>Fora do DRE</v>
      </c>
      <c r="V4621" s="3" t="str">
        <f>IF(Base_Periodo1[[#This Row],[Tipo_Linha]]="Fora do DRE","Fora do DRE","( "&amp;Base_Periodo1[[#This Row],[Tipo_Linha]]&amp;" ) "&amp;Base_Periodo1[[#This Row],[Filtro]])</f>
        <v>Fora do DRE</v>
      </c>
      <c r="W4621" s="3" t="str">
        <f>LEFT(Base_Periodo1[[#This Row],[CLASS]],3)</f>
        <v>2.4</v>
      </c>
    </row>
    <row r="4622" spans="1:23" hidden="1">
      <c r="A4622" s="3" t="str">
        <f t="shared" si="72"/>
        <v>Período 1</v>
      </c>
      <c r="B4622">
        <v>19755</v>
      </c>
      <c r="C4622" t="s">
        <v>2300</v>
      </c>
      <c r="D4622" t="s">
        <v>2575</v>
      </c>
      <c r="E4622" s="3" t="str">
        <f>IF(LEN(Base_Periodo1[[#This Row],[CLASS]])&gt;=7,LEFT(Base_Periodo1[[#This Row],[CLASS]],7),"")</f>
        <v>2.4.1.1</v>
      </c>
      <c r="F4622" s="3" t="str">
        <f>VLOOKUP(Base_Periodo1[[#This Row],[Aux]],Base_Contas_Balanco[#All],2,FALSE)</f>
        <v>Capital Social Realizado</v>
      </c>
      <c r="G4622" s="1"/>
      <c r="H4622" s="225">
        <v>564.72</v>
      </c>
      <c r="I4622" s="225">
        <v>0</v>
      </c>
      <c r="J4622" s="225">
        <v>0</v>
      </c>
      <c r="K4622" s="225">
        <v>564.72</v>
      </c>
      <c r="L46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564.72</v>
      </c>
      <c r="M4622" s="225">
        <f>ROUND(IF(AND(Base_Periodo1[[#This Row],[Tipo_Linha]]="-",Base_Periodo1[[#This Row],[TIPOSALDO]]="D"),Base_Periodo1[[#This Row],[SALDO_ATUAL]]*-1,Base_Periodo1[[#This Row],[SALDO_ATUAL]]),4)</f>
        <v>564.72</v>
      </c>
      <c r="N4622" t="s">
        <v>116</v>
      </c>
      <c r="O4622" t="s">
        <v>459</v>
      </c>
      <c r="P4622" t="s">
        <v>459</v>
      </c>
      <c r="Q4622">
        <v>6</v>
      </c>
      <c r="R4622" s="225">
        <f>Base_Periodo1[[#This Row],[CREDITOS]]-Base_Periodo1[[#This Row],[DEBITOS]]</f>
        <v>0</v>
      </c>
      <c r="S4622" s="3" t="str">
        <f>IF(ISERROR(VLOOKUP(Base_Periodo1[[#This Row],[CONTA]],BaseContasDRE[#All],4,FALSE)),"Fora do DRE",VLOOKUP(Base_Periodo1[[#This Row],[CONTA]],BaseContasDRE[#All],4,FALSE))</f>
        <v>Fora do DRE</v>
      </c>
      <c r="T4622" s="3" t="str">
        <f>IF(ISERROR(VLOOKUP(Base_Periodo1[[#This Row],[CONTA]],BaseContasDRE[#All],5,FALSE)),"Fora do DRE",VLOOKUP(Base_Periodo1[[#This Row],[CONTA]],BaseContasDRE[#All],6,FALSE))</f>
        <v>Fora do DRE</v>
      </c>
      <c r="U4622" s="3" t="str">
        <f>IF(ISERROR(VLOOKUP(Base_Periodo1[[#This Row],[CONTA]],BaseContasDRE[#All],7,FALSE)),"Fora do DRE",VLOOKUP(Base_Periodo1[[#This Row],[CONTA]],BaseContasDRE[#All],7,FALSE))</f>
        <v>Fora do DRE</v>
      </c>
      <c r="V4622" s="3" t="str">
        <f>IF(Base_Periodo1[[#This Row],[Tipo_Linha]]="Fora do DRE","Fora do DRE","( "&amp;Base_Periodo1[[#This Row],[Tipo_Linha]]&amp;" ) "&amp;Base_Periodo1[[#This Row],[Filtro]])</f>
        <v>Fora do DRE</v>
      </c>
      <c r="W4622" s="3" t="str">
        <f>LEFT(Base_Periodo1[[#This Row],[CLASS]],3)</f>
        <v>2.4</v>
      </c>
    </row>
    <row r="4623" spans="1:23" hidden="1">
      <c r="A4623" s="3" t="str">
        <f t="shared" si="72"/>
        <v>Período 1</v>
      </c>
      <c r="B4623">
        <v>54054</v>
      </c>
      <c r="C4623" t="s">
        <v>2300</v>
      </c>
      <c r="D4623" t="s">
        <v>5092</v>
      </c>
      <c r="E4623" s="3" t="str">
        <f>IF(LEN(Base_Periodo1[[#This Row],[CLASS]])&gt;=7,LEFT(Base_Periodo1[[#This Row],[CLASS]],7),"")</f>
        <v>2.4.1.1</v>
      </c>
      <c r="F4623" s="3" t="str">
        <f>VLOOKUP(Base_Periodo1[[#This Row],[Aux]],Base_Contas_Balanco[#All],2,FALSE)</f>
        <v>Capital Social Realizado</v>
      </c>
      <c r="G4623" s="1"/>
      <c r="H4623" s="225">
        <v>240</v>
      </c>
      <c r="I4623" s="225">
        <v>0</v>
      </c>
      <c r="J4623" s="225">
        <v>0</v>
      </c>
      <c r="K4623" s="225">
        <v>240</v>
      </c>
      <c r="L46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623" s="225">
        <f>ROUND(IF(AND(Base_Periodo1[[#This Row],[Tipo_Linha]]="-",Base_Periodo1[[#This Row],[TIPOSALDO]]="D"),Base_Periodo1[[#This Row],[SALDO_ATUAL]]*-1,Base_Periodo1[[#This Row],[SALDO_ATUAL]]),4)</f>
        <v>240</v>
      </c>
      <c r="N4623" t="s">
        <v>116</v>
      </c>
      <c r="O4623" t="s">
        <v>459</v>
      </c>
      <c r="P4623" t="s">
        <v>459</v>
      </c>
      <c r="Q4623">
        <v>6</v>
      </c>
      <c r="R4623" s="225">
        <f>Base_Periodo1[[#This Row],[CREDITOS]]-Base_Periodo1[[#This Row],[DEBITOS]]</f>
        <v>0</v>
      </c>
      <c r="S4623" s="3" t="str">
        <f>IF(ISERROR(VLOOKUP(Base_Periodo1[[#This Row],[CONTA]],BaseContasDRE[#All],4,FALSE)),"Fora do DRE",VLOOKUP(Base_Periodo1[[#This Row],[CONTA]],BaseContasDRE[#All],4,FALSE))</f>
        <v>Fora do DRE</v>
      </c>
      <c r="T4623" s="3" t="str">
        <f>IF(ISERROR(VLOOKUP(Base_Periodo1[[#This Row],[CONTA]],BaseContasDRE[#All],5,FALSE)),"Fora do DRE",VLOOKUP(Base_Periodo1[[#This Row],[CONTA]],BaseContasDRE[#All],6,FALSE))</f>
        <v>Fora do DRE</v>
      </c>
      <c r="U4623" s="3" t="str">
        <f>IF(ISERROR(VLOOKUP(Base_Periodo1[[#This Row],[CONTA]],BaseContasDRE[#All],7,FALSE)),"Fora do DRE",VLOOKUP(Base_Periodo1[[#This Row],[CONTA]],BaseContasDRE[#All],7,FALSE))</f>
        <v>Fora do DRE</v>
      </c>
      <c r="V4623" s="3" t="str">
        <f>IF(Base_Periodo1[[#This Row],[Tipo_Linha]]="Fora do DRE","Fora do DRE","( "&amp;Base_Periodo1[[#This Row],[Tipo_Linha]]&amp;" ) "&amp;Base_Periodo1[[#This Row],[Filtro]])</f>
        <v>Fora do DRE</v>
      </c>
      <c r="W4623" s="3" t="str">
        <f>LEFT(Base_Periodo1[[#This Row],[CLASS]],3)</f>
        <v>2.4</v>
      </c>
    </row>
    <row r="4624" spans="1:23" hidden="1">
      <c r="A4624" s="3" t="str">
        <f t="shared" si="72"/>
        <v>Período 1</v>
      </c>
      <c r="B4624">
        <v>36091</v>
      </c>
      <c r="C4624" t="s">
        <v>2300</v>
      </c>
      <c r="D4624" t="s">
        <v>4306</v>
      </c>
      <c r="E4624" s="3" t="str">
        <f>IF(LEN(Base_Periodo1[[#This Row],[CLASS]])&gt;=7,LEFT(Base_Periodo1[[#This Row],[CLASS]],7),"")</f>
        <v>2.4.1.1</v>
      </c>
      <c r="F4624" s="3" t="str">
        <f>VLOOKUP(Base_Periodo1[[#This Row],[Aux]],Base_Contas_Balanco[#All],2,FALSE)</f>
        <v>Capital Social Realizado</v>
      </c>
      <c r="G4624" s="1">
        <v>42460</v>
      </c>
      <c r="H4624" s="225">
        <v>424.25</v>
      </c>
      <c r="I4624" s="225">
        <v>0</v>
      </c>
      <c r="J4624" s="225">
        <v>0</v>
      </c>
      <c r="K4624" s="225">
        <v>424.25</v>
      </c>
      <c r="L46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424.25</v>
      </c>
      <c r="M4624" s="225">
        <f>ROUND(IF(AND(Base_Periodo1[[#This Row],[Tipo_Linha]]="-",Base_Periodo1[[#This Row],[TIPOSALDO]]="D"),Base_Periodo1[[#This Row],[SALDO_ATUAL]]*-1,Base_Periodo1[[#This Row],[SALDO_ATUAL]]),4)</f>
        <v>424.25</v>
      </c>
      <c r="N4624" t="s">
        <v>116</v>
      </c>
      <c r="O4624" t="s">
        <v>459</v>
      </c>
      <c r="P4624" t="s">
        <v>459</v>
      </c>
      <c r="Q4624">
        <v>6</v>
      </c>
      <c r="R4624" s="225">
        <f>Base_Periodo1[[#This Row],[CREDITOS]]-Base_Periodo1[[#This Row],[DEBITOS]]</f>
        <v>0</v>
      </c>
      <c r="S4624" s="3" t="str">
        <f>IF(ISERROR(VLOOKUP(Base_Periodo1[[#This Row],[CONTA]],BaseContasDRE[#All],4,FALSE)),"Fora do DRE",VLOOKUP(Base_Periodo1[[#This Row],[CONTA]],BaseContasDRE[#All],4,FALSE))</f>
        <v>Fora do DRE</v>
      </c>
      <c r="T4624" s="3" t="str">
        <f>IF(ISERROR(VLOOKUP(Base_Periodo1[[#This Row],[CONTA]],BaseContasDRE[#All],5,FALSE)),"Fora do DRE",VLOOKUP(Base_Periodo1[[#This Row],[CONTA]],BaseContasDRE[#All],6,FALSE))</f>
        <v>Fora do DRE</v>
      </c>
      <c r="U4624" s="3" t="str">
        <f>IF(ISERROR(VLOOKUP(Base_Periodo1[[#This Row],[CONTA]],BaseContasDRE[#All],7,FALSE)),"Fora do DRE",VLOOKUP(Base_Periodo1[[#This Row],[CONTA]],BaseContasDRE[#All],7,FALSE))</f>
        <v>Fora do DRE</v>
      </c>
      <c r="V4624" s="3" t="str">
        <f>IF(Base_Periodo1[[#This Row],[Tipo_Linha]]="Fora do DRE","Fora do DRE","( "&amp;Base_Periodo1[[#This Row],[Tipo_Linha]]&amp;" ) "&amp;Base_Periodo1[[#This Row],[Filtro]])</f>
        <v>Fora do DRE</v>
      </c>
      <c r="W4624" s="3" t="str">
        <f>LEFT(Base_Periodo1[[#This Row],[CLASS]],3)</f>
        <v>2.4</v>
      </c>
    </row>
    <row r="4625" spans="1:23" hidden="1">
      <c r="A4625" s="3" t="str">
        <f t="shared" si="72"/>
        <v>Período 1</v>
      </c>
      <c r="B4625">
        <v>19334</v>
      </c>
      <c r="C4625" t="s">
        <v>2300</v>
      </c>
      <c r="D4625" t="s">
        <v>2576</v>
      </c>
      <c r="E4625" s="3" t="str">
        <f>IF(LEN(Base_Periodo1[[#This Row],[CLASS]])&gt;=7,LEFT(Base_Periodo1[[#This Row],[CLASS]],7),"")</f>
        <v>2.4.1.1</v>
      </c>
      <c r="F4625" s="3" t="str">
        <f>VLOOKUP(Base_Periodo1[[#This Row],[Aux]],Base_Contas_Balanco[#All],2,FALSE)</f>
        <v>Capital Social Realizado</v>
      </c>
      <c r="G4625" s="1"/>
      <c r="H4625" s="225">
        <v>488.21999999999997</v>
      </c>
      <c r="I4625" s="225">
        <v>0</v>
      </c>
      <c r="J4625" s="225">
        <v>0</v>
      </c>
      <c r="K4625" s="225">
        <v>488.21999999999997</v>
      </c>
      <c r="L46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488.22</v>
      </c>
      <c r="M4625" s="225">
        <f>ROUND(IF(AND(Base_Periodo1[[#This Row],[Tipo_Linha]]="-",Base_Periodo1[[#This Row],[TIPOSALDO]]="D"),Base_Periodo1[[#This Row],[SALDO_ATUAL]]*-1,Base_Periodo1[[#This Row],[SALDO_ATUAL]]),4)</f>
        <v>488.22</v>
      </c>
      <c r="N4625" t="s">
        <v>116</v>
      </c>
      <c r="O4625" t="s">
        <v>459</v>
      </c>
      <c r="P4625" t="s">
        <v>459</v>
      </c>
      <c r="Q4625">
        <v>6</v>
      </c>
      <c r="R4625" s="225">
        <f>Base_Periodo1[[#This Row],[CREDITOS]]-Base_Periodo1[[#This Row],[DEBITOS]]</f>
        <v>0</v>
      </c>
      <c r="S4625" s="3" t="str">
        <f>IF(ISERROR(VLOOKUP(Base_Periodo1[[#This Row],[CONTA]],BaseContasDRE[#All],4,FALSE)),"Fora do DRE",VLOOKUP(Base_Periodo1[[#This Row],[CONTA]],BaseContasDRE[#All],4,FALSE))</f>
        <v>Fora do DRE</v>
      </c>
      <c r="T4625" s="3" t="str">
        <f>IF(ISERROR(VLOOKUP(Base_Periodo1[[#This Row],[CONTA]],BaseContasDRE[#All],5,FALSE)),"Fora do DRE",VLOOKUP(Base_Periodo1[[#This Row],[CONTA]],BaseContasDRE[#All],6,FALSE))</f>
        <v>Fora do DRE</v>
      </c>
      <c r="U4625" s="3" t="str">
        <f>IF(ISERROR(VLOOKUP(Base_Periodo1[[#This Row],[CONTA]],BaseContasDRE[#All],7,FALSE)),"Fora do DRE",VLOOKUP(Base_Periodo1[[#This Row],[CONTA]],BaseContasDRE[#All],7,FALSE))</f>
        <v>Fora do DRE</v>
      </c>
      <c r="V4625" s="3" t="str">
        <f>IF(Base_Periodo1[[#This Row],[Tipo_Linha]]="Fora do DRE","Fora do DRE","( "&amp;Base_Periodo1[[#This Row],[Tipo_Linha]]&amp;" ) "&amp;Base_Periodo1[[#This Row],[Filtro]])</f>
        <v>Fora do DRE</v>
      </c>
      <c r="W4625" s="3" t="str">
        <f>LEFT(Base_Periodo1[[#This Row],[CLASS]],3)</f>
        <v>2.4</v>
      </c>
    </row>
    <row r="4626" spans="1:23" hidden="1">
      <c r="A4626" s="3" t="str">
        <f t="shared" si="72"/>
        <v>Período 1</v>
      </c>
      <c r="B4626">
        <v>53993</v>
      </c>
      <c r="C4626" t="s">
        <v>2300</v>
      </c>
      <c r="D4626" t="s">
        <v>5093</v>
      </c>
      <c r="E4626" s="3" t="str">
        <f>IF(LEN(Base_Periodo1[[#This Row],[CLASS]])&gt;=7,LEFT(Base_Periodo1[[#This Row],[CLASS]],7),"")</f>
        <v>2.4.1.1</v>
      </c>
      <c r="F4626" s="3" t="str">
        <f>VLOOKUP(Base_Periodo1[[#This Row],[Aux]],Base_Contas_Balanco[#All],2,FALSE)</f>
        <v>Capital Social Realizado</v>
      </c>
      <c r="G4626" s="1"/>
      <c r="H4626" s="225">
        <v>50</v>
      </c>
      <c r="I4626" s="225">
        <v>0</v>
      </c>
      <c r="J4626" s="225">
        <v>0</v>
      </c>
      <c r="K4626" s="225">
        <v>50</v>
      </c>
      <c r="L46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626" s="225">
        <f>ROUND(IF(AND(Base_Periodo1[[#This Row],[Tipo_Linha]]="-",Base_Periodo1[[#This Row],[TIPOSALDO]]="D"),Base_Periodo1[[#This Row],[SALDO_ATUAL]]*-1,Base_Periodo1[[#This Row],[SALDO_ATUAL]]),4)</f>
        <v>50</v>
      </c>
      <c r="N4626" t="s">
        <v>116</v>
      </c>
      <c r="O4626" t="s">
        <v>459</v>
      </c>
      <c r="P4626" t="s">
        <v>459</v>
      </c>
      <c r="Q4626">
        <v>6</v>
      </c>
      <c r="R4626" s="225">
        <f>Base_Periodo1[[#This Row],[CREDITOS]]-Base_Periodo1[[#This Row],[DEBITOS]]</f>
        <v>0</v>
      </c>
      <c r="S4626" s="3" t="str">
        <f>IF(ISERROR(VLOOKUP(Base_Periodo1[[#This Row],[CONTA]],BaseContasDRE[#All],4,FALSE)),"Fora do DRE",VLOOKUP(Base_Periodo1[[#This Row],[CONTA]],BaseContasDRE[#All],4,FALSE))</f>
        <v>Fora do DRE</v>
      </c>
      <c r="T4626" s="3" t="str">
        <f>IF(ISERROR(VLOOKUP(Base_Periodo1[[#This Row],[CONTA]],BaseContasDRE[#All],5,FALSE)),"Fora do DRE",VLOOKUP(Base_Periodo1[[#This Row],[CONTA]],BaseContasDRE[#All],6,FALSE))</f>
        <v>Fora do DRE</v>
      </c>
      <c r="U4626" s="3" t="str">
        <f>IF(ISERROR(VLOOKUP(Base_Periodo1[[#This Row],[CONTA]],BaseContasDRE[#All],7,FALSE)),"Fora do DRE",VLOOKUP(Base_Periodo1[[#This Row],[CONTA]],BaseContasDRE[#All],7,FALSE))</f>
        <v>Fora do DRE</v>
      </c>
      <c r="V4626" s="3" t="str">
        <f>IF(Base_Periodo1[[#This Row],[Tipo_Linha]]="Fora do DRE","Fora do DRE","( "&amp;Base_Periodo1[[#This Row],[Tipo_Linha]]&amp;" ) "&amp;Base_Periodo1[[#This Row],[Filtro]])</f>
        <v>Fora do DRE</v>
      </c>
      <c r="W4626" s="3" t="str">
        <f>LEFT(Base_Periodo1[[#This Row],[CLASS]],3)</f>
        <v>2.4</v>
      </c>
    </row>
    <row r="4627" spans="1:23" hidden="1">
      <c r="A4627" s="3" t="str">
        <f t="shared" si="72"/>
        <v>Período 1</v>
      </c>
      <c r="B4627">
        <v>50540</v>
      </c>
      <c r="C4627" t="s">
        <v>2300</v>
      </c>
      <c r="D4627" t="s">
        <v>4470</v>
      </c>
      <c r="E4627" s="3" t="str">
        <f>IF(LEN(Base_Periodo1[[#This Row],[CLASS]])&gt;=7,LEFT(Base_Periodo1[[#This Row],[CLASS]],7),"")</f>
        <v>2.4.1.1</v>
      </c>
      <c r="F4627" s="3" t="str">
        <f>VLOOKUP(Base_Periodo1[[#This Row],[Aux]],Base_Contas_Balanco[#All],2,FALSE)</f>
        <v>Capital Social Realizado</v>
      </c>
      <c r="G4627" s="1"/>
      <c r="H4627" s="225">
        <v>50</v>
      </c>
      <c r="I4627" s="225">
        <v>0</v>
      </c>
      <c r="J4627" s="225">
        <v>0</v>
      </c>
      <c r="K4627" s="225">
        <v>50</v>
      </c>
      <c r="L46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627" s="225">
        <f>ROUND(IF(AND(Base_Periodo1[[#This Row],[Tipo_Linha]]="-",Base_Periodo1[[#This Row],[TIPOSALDO]]="D"),Base_Periodo1[[#This Row],[SALDO_ATUAL]]*-1,Base_Periodo1[[#This Row],[SALDO_ATUAL]]),4)</f>
        <v>50</v>
      </c>
      <c r="N4627" t="s">
        <v>116</v>
      </c>
      <c r="O4627" t="s">
        <v>459</v>
      </c>
      <c r="P4627" t="s">
        <v>459</v>
      </c>
      <c r="Q4627">
        <v>6</v>
      </c>
      <c r="R4627" s="225">
        <f>Base_Periodo1[[#This Row],[CREDITOS]]-Base_Periodo1[[#This Row],[DEBITOS]]</f>
        <v>0</v>
      </c>
      <c r="S4627" s="3" t="str">
        <f>IF(ISERROR(VLOOKUP(Base_Periodo1[[#This Row],[CONTA]],BaseContasDRE[#All],4,FALSE)),"Fora do DRE",VLOOKUP(Base_Periodo1[[#This Row],[CONTA]],BaseContasDRE[#All],4,FALSE))</f>
        <v>Fora do DRE</v>
      </c>
      <c r="T4627" s="3" t="str">
        <f>IF(ISERROR(VLOOKUP(Base_Periodo1[[#This Row],[CONTA]],BaseContasDRE[#All],5,FALSE)),"Fora do DRE",VLOOKUP(Base_Periodo1[[#This Row],[CONTA]],BaseContasDRE[#All],6,FALSE))</f>
        <v>Fora do DRE</v>
      </c>
      <c r="U4627" s="3" t="str">
        <f>IF(ISERROR(VLOOKUP(Base_Periodo1[[#This Row],[CONTA]],BaseContasDRE[#All],7,FALSE)),"Fora do DRE",VLOOKUP(Base_Periodo1[[#This Row],[CONTA]],BaseContasDRE[#All],7,FALSE))</f>
        <v>Fora do DRE</v>
      </c>
      <c r="V4627" s="3" t="str">
        <f>IF(Base_Periodo1[[#This Row],[Tipo_Linha]]="Fora do DRE","Fora do DRE","( "&amp;Base_Periodo1[[#This Row],[Tipo_Linha]]&amp;" ) "&amp;Base_Periodo1[[#This Row],[Filtro]])</f>
        <v>Fora do DRE</v>
      </c>
      <c r="W4627" s="3" t="str">
        <f>LEFT(Base_Periodo1[[#This Row],[CLASS]],3)</f>
        <v>2.4</v>
      </c>
    </row>
    <row r="4628" spans="1:23" hidden="1">
      <c r="A4628" s="3" t="str">
        <f t="shared" si="72"/>
        <v>Período 1</v>
      </c>
      <c r="B4628">
        <v>19314</v>
      </c>
      <c r="C4628" t="s">
        <v>2300</v>
      </c>
      <c r="D4628" t="s">
        <v>2577</v>
      </c>
      <c r="E4628" s="3" t="str">
        <f>IF(LEN(Base_Periodo1[[#This Row],[CLASS]])&gt;=7,LEFT(Base_Periodo1[[#This Row],[CLASS]],7),"")</f>
        <v>2.4.1.1</v>
      </c>
      <c r="F4628" s="3" t="str">
        <f>VLOOKUP(Base_Periodo1[[#This Row],[Aux]],Base_Contas_Balanco[#All],2,FALSE)</f>
        <v>Capital Social Realizado</v>
      </c>
      <c r="G4628" s="1">
        <v>42460</v>
      </c>
      <c r="H4628" s="225">
        <v>335.88000000000005</v>
      </c>
      <c r="I4628" s="225">
        <v>0</v>
      </c>
      <c r="J4628" s="225">
        <v>0</v>
      </c>
      <c r="K4628" s="225">
        <v>335.88000000000005</v>
      </c>
      <c r="L46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335.88</v>
      </c>
      <c r="M4628" s="225">
        <f>ROUND(IF(AND(Base_Periodo1[[#This Row],[Tipo_Linha]]="-",Base_Periodo1[[#This Row],[TIPOSALDO]]="D"),Base_Periodo1[[#This Row],[SALDO_ATUAL]]*-1,Base_Periodo1[[#This Row],[SALDO_ATUAL]]),4)</f>
        <v>335.88</v>
      </c>
      <c r="N4628" t="s">
        <v>116</v>
      </c>
      <c r="O4628" t="s">
        <v>459</v>
      </c>
      <c r="P4628" t="s">
        <v>459</v>
      </c>
      <c r="Q4628">
        <v>6</v>
      </c>
      <c r="R4628" s="225">
        <f>Base_Periodo1[[#This Row],[CREDITOS]]-Base_Periodo1[[#This Row],[DEBITOS]]</f>
        <v>0</v>
      </c>
      <c r="S4628" s="3" t="str">
        <f>IF(ISERROR(VLOOKUP(Base_Periodo1[[#This Row],[CONTA]],BaseContasDRE[#All],4,FALSE)),"Fora do DRE",VLOOKUP(Base_Periodo1[[#This Row],[CONTA]],BaseContasDRE[#All],4,FALSE))</f>
        <v>Fora do DRE</v>
      </c>
      <c r="T4628" s="3" t="str">
        <f>IF(ISERROR(VLOOKUP(Base_Periodo1[[#This Row],[CONTA]],BaseContasDRE[#All],5,FALSE)),"Fora do DRE",VLOOKUP(Base_Periodo1[[#This Row],[CONTA]],BaseContasDRE[#All],6,FALSE))</f>
        <v>Fora do DRE</v>
      </c>
      <c r="U4628" s="3" t="str">
        <f>IF(ISERROR(VLOOKUP(Base_Periodo1[[#This Row],[CONTA]],BaseContasDRE[#All],7,FALSE)),"Fora do DRE",VLOOKUP(Base_Periodo1[[#This Row],[CONTA]],BaseContasDRE[#All],7,FALSE))</f>
        <v>Fora do DRE</v>
      </c>
      <c r="V4628" s="3" t="str">
        <f>IF(Base_Periodo1[[#This Row],[Tipo_Linha]]="Fora do DRE","Fora do DRE","( "&amp;Base_Periodo1[[#This Row],[Tipo_Linha]]&amp;" ) "&amp;Base_Periodo1[[#This Row],[Filtro]])</f>
        <v>Fora do DRE</v>
      </c>
      <c r="W4628" s="3" t="str">
        <f>LEFT(Base_Periodo1[[#This Row],[CLASS]],3)</f>
        <v>2.4</v>
      </c>
    </row>
    <row r="4629" spans="1:23" hidden="1">
      <c r="A4629" s="3" t="str">
        <f t="shared" si="72"/>
        <v>Período 1</v>
      </c>
      <c r="B4629">
        <v>39797</v>
      </c>
      <c r="C4629" t="s">
        <v>2300</v>
      </c>
      <c r="D4629" t="s">
        <v>2578</v>
      </c>
      <c r="E4629" s="3" t="str">
        <f>IF(LEN(Base_Periodo1[[#This Row],[CLASS]])&gt;=7,LEFT(Base_Periodo1[[#This Row],[CLASS]],7),"")</f>
        <v>2.4.1.1</v>
      </c>
      <c r="F4629" s="3" t="str">
        <f>VLOOKUP(Base_Periodo1[[#This Row],[Aux]],Base_Contas_Balanco[#All],2,FALSE)</f>
        <v>Capital Social Realizado</v>
      </c>
      <c r="G4629" s="1"/>
      <c r="H4629" s="225">
        <v>636.93000000000006</v>
      </c>
      <c r="I4629" s="225">
        <v>0</v>
      </c>
      <c r="J4629" s="225">
        <v>0</v>
      </c>
      <c r="K4629" s="225">
        <v>636.93000000000006</v>
      </c>
      <c r="L46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636.92999999999995</v>
      </c>
      <c r="M4629" s="225">
        <f>ROUND(IF(AND(Base_Periodo1[[#This Row],[Tipo_Linha]]="-",Base_Periodo1[[#This Row],[TIPOSALDO]]="D"),Base_Periodo1[[#This Row],[SALDO_ATUAL]]*-1,Base_Periodo1[[#This Row],[SALDO_ATUAL]]),4)</f>
        <v>636.92999999999995</v>
      </c>
      <c r="N4629" t="s">
        <v>116</v>
      </c>
      <c r="O4629" t="s">
        <v>459</v>
      </c>
      <c r="P4629" t="s">
        <v>459</v>
      </c>
      <c r="Q4629">
        <v>6</v>
      </c>
      <c r="R4629" s="225">
        <f>Base_Periodo1[[#This Row],[CREDITOS]]-Base_Periodo1[[#This Row],[DEBITOS]]</f>
        <v>0</v>
      </c>
      <c r="S4629" s="3" t="str">
        <f>IF(ISERROR(VLOOKUP(Base_Periodo1[[#This Row],[CONTA]],BaseContasDRE[#All],4,FALSE)),"Fora do DRE",VLOOKUP(Base_Periodo1[[#This Row],[CONTA]],BaseContasDRE[#All],4,FALSE))</f>
        <v>Fora do DRE</v>
      </c>
      <c r="T4629" s="3" t="str">
        <f>IF(ISERROR(VLOOKUP(Base_Periodo1[[#This Row],[CONTA]],BaseContasDRE[#All],5,FALSE)),"Fora do DRE",VLOOKUP(Base_Periodo1[[#This Row],[CONTA]],BaseContasDRE[#All],6,FALSE))</f>
        <v>Fora do DRE</v>
      </c>
      <c r="U4629" s="3" t="str">
        <f>IF(ISERROR(VLOOKUP(Base_Periodo1[[#This Row],[CONTA]],BaseContasDRE[#All],7,FALSE)),"Fora do DRE",VLOOKUP(Base_Periodo1[[#This Row],[CONTA]],BaseContasDRE[#All],7,FALSE))</f>
        <v>Fora do DRE</v>
      </c>
      <c r="V4629" s="3" t="str">
        <f>IF(Base_Periodo1[[#This Row],[Tipo_Linha]]="Fora do DRE","Fora do DRE","( "&amp;Base_Periodo1[[#This Row],[Tipo_Linha]]&amp;" ) "&amp;Base_Periodo1[[#This Row],[Filtro]])</f>
        <v>Fora do DRE</v>
      </c>
      <c r="W4629" s="3" t="str">
        <f>LEFT(Base_Periodo1[[#This Row],[CLASS]],3)</f>
        <v>2.4</v>
      </c>
    </row>
    <row r="4630" spans="1:23" hidden="1">
      <c r="A4630" s="3" t="str">
        <f t="shared" si="72"/>
        <v>Período 1</v>
      </c>
      <c r="B4630">
        <v>59319</v>
      </c>
      <c r="C4630" t="s">
        <v>2300</v>
      </c>
      <c r="D4630" t="s">
        <v>7181</v>
      </c>
      <c r="E4630" s="3" t="str">
        <f>IF(LEN(Base_Periodo1[[#This Row],[CLASS]])&gt;=7,LEFT(Base_Periodo1[[#This Row],[CLASS]],7),"")</f>
        <v>2.4.1.1</v>
      </c>
      <c r="F4630" s="3" t="str">
        <f>VLOOKUP(Base_Periodo1[[#This Row],[Aux]],Base_Contas_Balanco[#All],2,FALSE)</f>
        <v>Capital Social Realizado</v>
      </c>
      <c r="G4630" s="1"/>
      <c r="I4630" s="225">
        <v>0</v>
      </c>
      <c r="J4630" s="225">
        <v>50</v>
      </c>
      <c r="K4630" s="225">
        <v>50</v>
      </c>
      <c r="L46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630" s="225">
        <f>ROUND(IF(AND(Base_Periodo1[[#This Row],[Tipo_Linha]]="-",Base_Periodo1[[#This Row],[TIPOSALDO]]="D"),Base_Periodo1[[#This Row],[SALDO_ATUAL]]*-1,Base_Periodo1[[#This Row],[SALDO_ATUAL]]),4)</f>
        <v>50</v>
      </c>
      <c r="N4630" t="s">
        <v>116</v>
      </c>
      <c r="O4630" t="s">
        <v>436</v>
      </c>
      <c r="P4630" t="s">
        <v>459</v>
      </c>
      <c r="Q4630">
        <v>6</v>
      </c>
      <c r="R4630" s="225">
        <f>Base_Periodo1[[#This Row],[CREDITOS]]-Base_Periodo1[[#This Row],[DEBITOS]]</f>
        <v>50</v>
      </c>
      <c r="S4630" s="3" t="str">
        <f>IF(ISERROR(VLOOKUP(Base_Periodo1[[#This Row],[CONTA]],BaseContasDRE[#All],4,FALSE)),"Fora do DRE",VLOOKUP(Base_Periodo1[[#This Row],[CONTA]],BaseContasDRE[#All],4,FALSE))</f>
        <v>Fora do DRE</v>
      </c>
      <c r="T4630" s="3" t="str">
        <f>IF(ISERROR(VLOOKUP(Base_Periodo1[[#This Row],[CONTA]],BaseContasDRE[#All],5,FALSE)),"Fora do DRE",VLOOKUP(Base_Periodo1[[#This Row],[CONTA]],BaseContasDRE[#All],6,FALSE))</f>
        <v>Fora do DRE</v>
      </c>
      <c r="U4630" s="3" t="str">
        <f>IF(ISERROR(VLOOKUP(Base_Periodo1[[#This Row],[CONTA]],BaseContasDRE[#All],7,FALSE)),"Fora do DRE",VLOOKUP(Base_Periodo1[[#This Row],[CONTA]],BaseContasDRE[#All],7,FALSE))</f>
        <v>Fora do DRE</v>
      </c>
      <c r="V4630" s="3" t="str">
        <f>IF(Base_Periodo1[[#This Row],[Tipo_Linha]]="Fora do DRE","Fora do DRE","( "&amp;Base_Periodo1[[#This Row],[Tipo_Linha]]&amp;" ) "&amp;Base_Periodo1[[#This Row],[Filtro]])</f>
        <v>Fora do DRE</v>
      </c>
      <c r="W4630" s="3" t="str">
        <f>LEFT(Base_Periodo1[[#This Row],[CLASS]],3)</f>
        <v>2.4</v>
      </c>
    </row>
    <row r="4631" spans="1:23" hidden="1">
      <c r="A4631" s="3" t="str">
        <f t="shared" si="72"/>
        <v>Período 1</v>
      </c>
      <c r="B4631">
        <v>16099</v>
      </c>
      <c r="C4631" t="s">
        <v>2300</v>
      </c>
      <c r="D4631" t="s">
        <v>2579</v>
      </c>
      <c r="E4631" s="3" t="str">
        <f>IF(LEN(Base_Periodo1[[#This Row],[CLASS]])&gt;=7,LEFT(Base_Periodo1[[#This Row],[CLASS]],7),"")</f>
        <v>2.4.1.1</v>
      </c>
      <c r="F4631" s="3" t="str">
        <f>VLOOKUP(Base_Periodo1[[#This Row],[Aux]],Base_Contas_Balanco[#All],2,FALSE)</f>
        <v>Capital Social Realizado</v>
      </c>
      <c r="G4631" s="1">
        <v>42460</v>
      </c>
      <c r="H4631" s="225">
        <v>1526.6500000000015</v>
      </c>
      <c r="I4631" s="225">
        <v>0</v>
      </c>
      <c r="J4631" s="225">
        <v>0</v>
      </c>
      <c r="K4631" s="225">
        <v>1526.6500000000015</v>
      </c>
      <c r="L46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1526.65</v>
      </c>
      <c r="M4631" s="225">
        <f>ROUND(IF(AND(Base_Periodo1[[#This Row],[Tipo_Linha]]="-",Base_Periodo1[[#This Row],[TIPOSALDO]]="D"),Base_Periodo1[[#This Row],[SALDO_ATUAL]]*-1,Base_Periodo1[[#This Row],[SALDO_ATUAL]]),4)</f>
        <v>1526.65</v>
      </c>
      <c r="N4631" t="s">
        <v>116</v>
      </c>
      <c r="O4631" t="s">
        <v>459</v>
      </c>
      <c r="P4631" t="s">
        <v>459</v>
      </c>
      <c r="Q4631">
        <v>6</v>
      </c>
      <c r="R4631" s="225">
        <f>Base_Periodo1[[#This Row],[CREDITOS]]-Base_Periodo1[[#This Row],[DEBITOS]]</f>
        <v>0</v>
      </c>
      <c r="S4631" s="3" t="str">
        <f>IF(ISERROR(VLOOKUP(Base_Periodo1[[#This Row],[CONTA]],BaseContasDRE[#All],4,FALSE)),"Fora do DRE",VLOOKUP(Base_Periodo1[[#This Row],[CONTA]],BaseContasDRE[#All],4,FALSE))</f>
        <v>Fora do DRE</v>
      </c>
      <c r="T4631" s="3" t="str">
        <f>IF(ISERROR(VLOOKUP(Base_Periodo1[[#This Row],[CONTA]],BaseContasDRE[#All],5,FALSE)),"Fora do DRE",VLOOKUP(Base_Periodo1[[#This Row],[CONTA]],BaseContasDRE[#All],6,FALSE))</f>
        <v>Fora do DRE</v>
      </c>
      <c r="U4631" s="3" t="str">
        <f>IF(ISERROR(VLOOKUP(Base_Periodo1[[#This Row],[CONTA]],BaseContasDRE[#All],7,FALSE)),"Fora do DRE",VLOOKUP(Base_Periodo1[[#This Row],[CONTA]],BaseContasDRE[#All],7,FALSE))</f>
        <v>Fora do DRE</v>
      </c>
      <c r="V4631" s="3" t="str">
        <f>IF(Base_Periodo1[[#This Row],[Tipo_Linha]]="Fora do DRE","Fora do DRE","( "&amp;Base_Periodo1[[#This Row],[Tipo_Linha]]&amp;" ) "&amp;Base_Periodo1[[#This Row],[Filtro]])</f>
        <v>Fora do DRE</v>
      </c>
      <c r="W4631" s="3" t="str">
        <f>LEFT(Base_Periodo1[[#This Row],[CLASS]],3)</f>
        <v>2.4</v>
      </c>
    </row>
    <row r="4632" spans="1:23" hidden="1">
      <c r="A4632" s="3" t="str">
        <f t="shared" si="72"/>
        <v>Período 1</v>
      </c>
      <c r="B4632">
        <v>19335</v>
      </c>
      <c r="C4632" t="s">
        <v>2300</v>
      </c>
      <c r="D4632" t="s">
        <v>2580</v>
      </c>
      <c r="E4632" s="3" t="str">
        <f>IF(LEN(Base_Periodo1[[#This Row],[CLASS]])&gt;=7,LEFT(Base_Periodo1[[#This Row],[CLASS]],7),"")</f>
        <v>2.4.1.1</v>
      </c>
      <c r="F4632" s="3" t="str">
        <f>VLOOKUP(Base_Periodo1[[#This Row],[Aux]],Base_Contas_Balanco[#All],2,FALSE)</f>
        <v>Capital Social Realizado</v>
      </c>
      <c r="G4632" s="1"/>
      <c r="H4632" s="225">
        <v>285.33</v>
      </c>
      <c r="I4632" s="225">
        <v>0</v>
      </c>
      <c r="J4632" s="225">
        <v>0</v>
      </c>
      <c r="K4632" s="225">
        <v>285.33</v>
      </c>
      <c r="L46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285.33</v>
      </c>
      <c r="M4632" s="225">
        <f>ROUND(IF(AND(Base_Periodo1[[#This Row],[Tipo_Linha]]="-",Base_Periodo1[[#This Row],[TIPOSALDO]]="D"),Base_Periodo1[[#This Row],[SALDO_ATUAL]]*-1,Base_Periodo1[[#This Row],[SALDO_ATUAL]]),4)</f>
        <v>285.33</v>
      </c>
      <c r="N4632" t="s">
        <v>116</v>
      </c>
      <c r="O4632" t="s">
        <v>459</v>
      </c>
      <c r="P4632" t="s">
        <v>459</v>
      </c>
      <c r="Q4632">
        <v>6</v>
      </c>
      <c r="R4632" s="225">
        <f>Base_Periodo1[[#This Row],[CREDITOS]]-Base_Periodo1[[#This Row],[DEBITOS]]</f>
        <v>0</v>
      </c>
      <c r="S4632" s="3" t="str">
        <f>IF(ISERROR(VLOOKUP(Base_Periodo1[[#This Row],[CONTA]],BaseContasDRE[#All],4,FALSE)),"Fora do DRE",VLOOKUP(Base_Periodo1[[#This Row],[CONTA]],BaseContasDRE[#All],4,FALSE))</f>
        <v>Fora do DRE</v>
      </c>
      <c r="T4632" s="3" t="str">
        <f>IF(ISERROR(VLOOKUP(Base_Periodo1[[#This Row],[CONTA]],BaseContasDRE[#All],5,FALSE)),"Fora do DRE",VLOOKUP(Base_Periodo1[[#This Row],[CONTA]],BaseContasDRE[#All],6,FALSE))</f>
        <v>Fora do DRE</v>
      </c>
      <c r="U4632" s="3" t="str">
        <f>IF(ISERROR(VLOOKUP(Base_Periodo1[[#This Row],[CONTA]],BaseContasDRE[#All],7,FALSE)),"Fora do DRE",VLOOKUP(Base_Periodo1[[#This Row],[CONTA]],BaseContasDRE[#All],7,FALSE))</f>
        <v>Fora do DRE</v>
      </c>
      <c r="V4632" s="3" t="str">
        <f>IF(Base_Periodo1[[#This Row],[Tipo_Linha]]="Fora do DRE","Fora do DRE","( "&amp;Base_Periodo1[[#This Row],[Tipo_Linha]]&amp;" ) "&amp;Base_Periodo1[[#This Row],[Filtro]])</f>
        <v>Fora do DRE</v>
      </c>
      <c r="W4632" s="3" t="str">
        <f>LEFT(Base_Periodo1[[#This Row],[CLASS]],3)</f>
        <v>2.4</v>
      </c>
    </row>
    <row r="4633" spans="1:23" hidden="1">
      <c r="A4633" s="3" t="str">
        <f t="shared" si="72"/>
        <v>Período 1</v>
      </c>
      <c r="B4633">
        <v>16362</v>
      </c>
      <c r="C4633" t="s">
        <v>2300</v>
      </c>
      <c r="D4633" t="s">
        <v>2581</v>
      </c>
      <c r="E4633" s="3" t="str">
        <f>IF(LEN(Base_Periodo1[[#This Row],[CLASS]])&gt;=7,LEFT(Base_Periodo1[[#This Row],[CLASS]],7),"")</f>
        <v>2.4.1.1</v>
      </c>
      <c r="F4633" s="3" t="str">
        <f>VLOOKUP(Base_Periodo1[[#This Row],[Aux]],Base_Contas_Balanco[#All],2,FALSE)</f>
        <v>Capital Social Realizado</v>
      </c>
      <c r="G4633" s="1"/>
      <c r="H4633" s="225">
        <v>1537.78</v>
      </c>
      <c r="I4633" s="225">
        <v>0</v>
      </c>
      <c r="J4633" s="225">
        <v>0</v>
      </c>
      <c r="K4633" s="225">
        <v>1537.78</v>
      </c>
      <c r="L46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1537.78</v>
      </c>
      <c r="M4633" s="225">
        <f>ROUND(IF(AND(Base_Periodo1[[#This Row],[Tipo_Linha]]="-",Base_Periodo1[[#This Row],[TIPOSALDO]]="D"),Base_Periodo1[[#This Row],[SALDO_ATUAL]]*-1,Base_Periodo1[[#This Row],[SALDO_ATUAL]]),4)</f>
        <v>1537.78</v>
      </c>
      <c r="N4633" t="s">
        <v>116</v>
      </c>
      <c r="O4633" t="s">
        <v>459</v>
      </c>
      <c r="P4633" t="s">
        <v>459</v>
      </c>
      <c r="Q4633">
        <v>6</v>
      </c>
      <c r="R4633" s="225">
        <f>Base_Periodo1[[#This Row],[CREDITOS]]-Base_Periodo1[[#This Row],[DEBITOS]]</f>
        <v>0</v>
      </c>
      <c r="S4633" s="3" t="str">
        <f>IF(ISERROR(VLOOKUP(Base_Periodo1[[#This Row],[CONTA]],BaseContasDRE[#All],4,FALSE)),"Fora do DRE",VLOOKUP(Base_Periodo1[[#This Row],[CONTA]],BaseContasDRE[#All],4,FALSE))</f>
        <v>Fora do DRE</v>
      </c>
      <c r="T4633" s="3" t="str">
        <f>IF(ISERROR(VLOOKUP(Base_Periodo1[[#This Row],[CONTA]],BaseContasDRE[#All],5,FALSE)),"Fora do DRE",VLOOKUP(Base_Periodo1[[#This Row],[CONTA]],BaseContasDRE[#All],6,FALSE))</f>
        <v>Fora do DRE</v>
      </c>
      <c r="U4633" s="3" t="str">
        <f>IF(ISERROR(VLOOKUP(Base_Periodo1[[#This Row],[CONTA]],BaseContasDRE[#All],7,FALSE)),"Fora do DRE",VLOOKUP(Base_Periodo1[[#This Row],[CONTA]],BaseContasDRE[#All],7,FALSE))</f>
        <v>Fora do DRE</v>
      </c>
      <c r="V4633" s="3" t="str">
        <f>IF(Base_Periodo1[[#This Row],[Tipo_Linha]]="Fora do DRE","Fora do DRE","( "&amp;Base_Periodo1[[#This Row],[Tipo_Linha]]&amp;" ) "&amp;Base_Periodo1[[#This Row],[Filtro]])</f>
        <v>Fora do DRE</v>
      </c>
      <c r="W4633" s="3" t="str">
        <f>LEFT(Base_Periodo1[[#This Row],[CLASS]],3)</f>
        <v>2.4</v>
      </c>
    </row>
    <row r="4634" spans="1:23" hidden="1">
      <c r="A4634" s="3" t="str">
        <f t="shared" si="72"/>
        <v>Período 1</v>
      </c>
      <c r="B4634">
        <v>16193</v>
      </c>
      <c r="C4634" t="s">
        <v>2300</v>
      </c>
      <c r="D4634" t="s">
        <v>2582</v>
      </c>
      <c r="E4634" s="3" t="str">
        <f>IF(LEN(Base_Periodo1[[#This Row],[CLASS]])&gt;=7,LEFT(Base_Periodo1[[#This Row],[CLASS]],7),"")</f>
        <v>2.4.1.1</v>
      </c>
      <c r="F4634" s="3" t="str">
        <f>VLOOKUP(Base_Periodo1[[#This Row],[Aux]],Base_Contas_Balanco[#All],2,FALSE)</f>
        <v>Capital Social Realizado</v>
      </c>
      <c r="G4634" s="1"/>
      <c r="H4634" s="225">
        <v>1237.3399999999999</v>
      </c>
      <c r="I4634" s="225">
        <v>0</v>
      </c>
      <c r="J4634" s="225">
        <v>0</v>
      </c>
      <c r="K4634" s="225">
        <v>1237.3399999999999</v>
      </c>
      <c r="L46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1237.3399999999999</v>
      </c>
      <c r="M4634" s="225">
        <f>ROUND(IF(AND(Base_Periodo1[[#This Row],[Tipo_Linha]]="-",Base_Periodo1[[#This Row],[TIPOSALDO]]="D"),Base_Periodo1[[#This Row],[SALDO_ATUAL]]*-1,Base_Periodo1[[#This Row],[SALDO_ATUAL]]),4)</f>
        <v>1237.3399999999999</v>
      </c>
      <c r="N4634" t="s">
        <v>116</v>
      </c>
      <c r="O4634" t="s">
        <v>459</v>
      </c>
      <c r="P4634" t="s">
        <v>459</v>
      </c>
      <c r="Q4634">
        <v>6</v>
      </c>
      <c r="R4634" s="225">
        <f>Base_Periodo1[[#This Row],[CREDITOS]]-Base_Periodo1[[#This Row],[DEBITOS]]</f>
        <v>0</v>
      </c>
      <c r="S4634" s="3" t="str">
        <f>IF(ISERROR(VLOOKUP(Base_Periodo1[[#This Row],[CONTA]],BaseContasDRE[#All],4,FALSE)),"Fora do DRE",VLOOKUP(Base_Periodo1[[#This Row],[CONTA]],BaseContasDRE[#All],4,FALSE))</f>
        <v>Fora do DRE</v>
      </c>
      <c r="T4634" s="3" t="str">
        <f>IF(ISERROR(VLOOKUP(Base_Periodo1[[#This Row],[CONTA]],BaseContasDRE[#All],5,FALSE)),"Fora do DRE",VLOOKUP(Base_Periodo1[[#This Row],[CONTA]],BaseContasDRE[#All],6,FALSE))</f>
        <v>Fora do DRE</v>
      </c>
      <c r="U4634" s="3" t="str">
        <f>IF(ISERROR(VLOOKUP(Base_Periodo1[[#This Row],[CONTA]],BaseContasDRE[#All],7,FALSE)),"Fora do DRE",VLOOKUP(Base_Periodo1[[#This Row],[CONTA]],BaseContasDRE[#All],7,FALSE))</f>
        <v>Fora do DRE</v>
      </c>
      <c r="V4634" s="3" t="str">
        <f>IF(Base_Periodo1[[#This Row],[Tipo_Linha]]="Fora do DRE","Fora do DRE","( "&amp;Base_Periodo1[[#This Row],[Tipo_Linha]]&amp;" ) "&amp;Base_Periodo1[[#This Row],[Filtro]])</f>
        <v>Fora do DRE</v>
      </c>
      <c r="W4634" s="3" t="str">
        <f>LEFT(Base_Periodo1[[#This Row],[CLASS]],3)</f>
        <v>2.4</v>
      </c>
    </row>
    <row r="4635" spans="1:23" hidden="1">
      <c r="A4635" s="3" t="str">
        <f t="shared" si="72"/>
        <v>Período 1</v>
      </c>
      <c r="B4635">
        <v>16344</v>
      </c>
      <c r="C4635" t="s">
        <v>2300</v>
      </c>
      <c r="D4635" t="s">
        <v>2583</v>
      </c>
      <c r="E4635" s="3" t="str">
        <f>IF(LEN(Base_Periodo1[[#This Row],[CLASS]])&gt;=7,LEFT(Base_Periodo1[[#This Row],[CLASS]],7),"")</f>
        <v>2.4.1.1</v>
      </c>
      <c r="F4635" s="3" t="str">
        <f>VLOOKUP(Base_Periodo1[[#This Row],[Aux]],Base_Contas_Balanco[#All],2,FALSE)</f>
        <v>Capital Social Realizado</v>
      </c>
      <c r="G4635" s="1"/>
      <c r="H4635" s="225">
        <v>2184.67</v>
      </c>
      <c r="I4635" s="225">
        <v>0</v>
      </c>
      <c r="J4635" s="225">
        <v>0</v>
      </c>
      <c r="K4635" s="225">
        <v>2184.67</v>
      </c>
      <c r="L46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2184.67</v>
      </c>
      <c r="M4635" s="225">
        <f>ROUND(IF(AND(Base_Periodo1[[#This Row],[Tipo_Linha]]="-",Base_Periodo1[[#This Row],[TIPOSALDO]]="D"),Base_Periodo1[[#This Row],[SALDO_ATUAL]]*-1,Base_Periodo1[[#This Row],[SALDO_ATUAL]]),4)</f>
        <v>2184.67</v>
      </c>
      <c r="N4635" t="s">
        <v>116</v>
      </c>
      <c r="O4635" t="s">
        <v>459</v>
      </c>
      <c r="P4635" t="s">
        <v>459</v>
      </c>
      <c r="Q4635">
        <v>6</v>
      </c>
      <c r="R4635" s="225">
        <f>Base_Periodo1[[#This Row],[CREDITOS]]-Base_Periodo1[[#This Row],[DEBITOS]]</f>
        <v>0</v>
      </c>
      <c r="S4635" s="3" t="str">
        <f>IF(ISERROR(VLOOKUP(Base_Periodo1[[#This Row],[CONTA]],BaseContasDRE[#All],4,FALSE)),"Fora do DRE",VLOOKUP(Base_Periodo1[[#This Row],[CONTA]],BaseContasDRE[#All],4,FALSE))</f>
        <v>Fora do DRE</v>
      </c>
      <c r="T4635" s="3" t="str">
        <f>IF(ISERROR(VLOOKUP(Base_Periodo1[[#This Row],[CONTA]],BaseContasDRE[#All],5,FALSE)),"Fora do DRE",VLOOKUP(Base_Periodo1[[#This Row],[CONTA]],BaseContasDRE[#All],6,FALSE))</f>
        <v>Fora do DRE</v>
      </c>
      <c r="U4635" s="3" t="str">
        <f>IF(ISERROR(VLOOKUP(Base_Periodo1[[#This Row],[CONTA]],BaseContasDRE[#All],7,FALSE)),"Fora do DRE",VLOOKUP(Base_Periodo1[[#This Row],[CONTA]],BaseContasDRE[#All],7,FALSE))</f>
        <v>Fora do DRE</v>
      </c>
      <c r="V4635" s="3" t="str">
        <f>IF(Base_Periodo1[[#This Row],[Tipo_Linha]]="Fora do DRE","Fora do DRE","( "&amp;Base_Periodo1[[#This Row],[Tipo_Linha]]&amp;" ) "&amp;Base_Periodo1[[#This Row],[Filtro]])</f>
        <v>Fora do DRE</v>
      </c>
      <c r="W4635" s="3" t="str">
        <f>LEFT(Base_Periodo1[[#This Row],[CLASS]],3)</f>
        <v>2.4</v>
      </c>
    </row>
    <row r="4636" spans="1:23" hidden="1">
      <c r="A4636" s="3" t="str">
        <f t="shared" si="72"/>
        <v>Período 1</v>
      </c>
      <c r="B4636">
        <v>29192</v>
      </c>
      <c r="C4636" t="s">
        <v>2300</v>
      </c>
      <c r="D4636" t="s">
        <v>2584</v>
      </c>
      <c r="E4636" s="3" t="str">
        <f>IF(LEN(Base_Periodo1[[#This Row],[CLASS]])&gt;=7,LEFT(Base_Periodo1[[#This Row],[CLASS]],7),"")</f>
        <v>2.4.1.1</v>
      </c>
      <c r="F4636" s="3" t="str">
        <f>VLOOKUP(Base_Periodo1[[#This Row],[Aux]],Base_Contas_Balanco[#All],2,FALSE)</f>
        <v>Capital Social Realizado</v>
      </c>
      <c r="G4636" s="1"/>
      <c r="H4636" s="225">
        <v>50</v>
      </c>
      <c r="I4636" s="225">
        <v>0</v>
      </c>
      <c r="J4636" s="225">
        <v>0</v>
      </c>
      <c r="K4636" s="225">
        <v>50</v>
      </c>
      <c r="L46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636" s="225">
        <f>ROUND(IF(AND(Base_Periodo1[[#This Row],[Tipo_Linha]]="-",Base_Periodo1[[#This Row],[TIPOSALDO]]="D"),Base_Periodo1[[#This Row],[SALDO_ATUAL]]*-1,Base_Periodo1[[#This Row],[SALDO_ATUAL]]),4)</f>
        <v>50</v>
      </c>
      <c r="N4636" t="s">
        <v>116</v>
      </c>
      <c r="O4636" t="s">
        <v>459</v>
      </c>
      <c r="P4636" t="s">
        <v>459</v>
      </c>
      <c r="Q4636">
        <v>6</v>
      </c>
      <c r="R4636" s="225">
        <f>Base_Periodo1[[#This Row],[CREDITOS]]-Base_Periodo1[[#This Row],[DEBITOS]]</f>
        <v>0</v>
      </c>
      <c r="S4636" s="3" t="str">
        <f>IF(ISERROR(VLOOKUP(Base_Periodo1[[#This Row],[CONTA]],BaseContasDRE[#All],4,FALSE)),"Fora do DRE",VLOOKUP(Base_Periodo1[[#This Row],[CONTA]],BaseContasDRE[#All],4,FALSE))</f>
        <v>Fora do DRE</v>
      </c>
      <c r="T4636" s="3" t="str">
        <f>IF(ISERROR(VLOOKUP(Base_Periodo1[[#This Row],[CONTA]],BaseContasDRE[#All],5,FALSE)),"Fora do DRE",VLOOKUP(Base_Periodo1[[#This Row],[CONTA]],BaseContasDRE[#All],6,FALSE))</f>
        <v>Fora do DRE</v>
      </c>
      <c r="U4636" s="3" t="str">
        <f>IF(ISERROR(VLOOKUP(Base_Periodo1[[#This Row],[CONTA]],BaseContasDRE[#All],7,FALSE)),"Fora do DRE",VLOOKUP(Base_Periodo1[[#This Row],[CONTA]],BaseContasDRE[#All],7,FALSE))</f>
        <v>Fora do DRE</v>
      </c>
      <c r="V4636" s="3" t="str">
        <f>IF(Base_Periodo1[[#This Row],[Tipo_Linha]]="Fora do DRE","Fora do DRE","( "&amp;Base_Periodo1[[#This Row],[Tipo_Linha]]&amp;" ) "&amp;Base_Periodo1[[#This Row],[Filtro]])</f>
        <v>Fora do DRE</v>
      </c>
      <c r="W4636" s="3" t="str">
        <f>LEFT(Base_Periodo1[[#This Row],[CLASS]],3)</f>
        <v>2.4</v>
      </c>
    </row>
    <row r="4637" spans="1:23" hidden="1">
      <c r="A4637" s="3" t="str">
        <f t="shared" si="72"/>
        <v>Período 1</v>
      </c>
      <c r="B4637">
        <v>24618</v>
      </c>
      <c r="C4637" t="s">
        <v>2300</v>
      </c>
      <c r="D4637" t="s">
        <v>2585</v>
      </c>
      <c r="E4637" s="3" t="str">
        <f>IF(LEN(Base_Periodo1[[#This Row],[CLASS]])&gt;=7,LEFT(Base_Periodo1[[#This Row],[CLASS]],7),"")</f>
        <v>2.4.1.1</v>
      </c>
      <c r="F4637" s="3" t="str">
        <f>VLOOKUP(Base_Periodo1[[#This Row],[Aux]],Base_Contas_Balanco[#All],2,FALSE)</f>
        <v>Capital Social Realizado</v>
      </c>
      <c r="G4637" s="1"/>
      <c r="H4637" s="225">
        <v>1265.9499999999998</v>
      </c>
      <c r="I4637" s="225">
        <v>0</v>
      </c>
      <c r="J4637" s="225">
        <v>0</v>
      </c>
      <c r="K4637" s="225">
        <v>1265.9499999999998</v>
      </c>
      <c r="L46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1265.95</v>
      </c>
      <c r="M4637" s="225">
        <f>ROUND(IF(AND(Base_Periodo1[[#This Row],[Tipo_Linha]]="-",Base_Periodo1[[#This Row],[TIPOSALDO]]="D"),Base_Periodo1[[#This Row],[SALDO_ATUAL]]*-1,Base_Periodo1[[#This Row],[SALDO_ATUAL]]),4)</f>
        <v>1265.95</v>
      </c>
      <c r="N4637" t="s">
        <v>116</v>
      </c>
      <c r="O4637" t="s">
        <v>459</v>
      </c>
      <c r="P4637" t="s">
        <v>459</v>
      </c>
      <c r="Q4637">
        <v>6</v>
      </c>
      <c r="R4637" s="225">
        <f>Base_Periodo1[[#This Row],[CREDITOS]]-Base_Periodo1[[#This Row],[DEBITOS]]</f>
        <v>0</v>
      </c>
      <c r="S4637" s="3" t="str">
        <f>IF(ISERROR(VLOOKUP(Base_Periodo1[[#This Row],[CONTA]],BaseContasDRE[#All],4,FALSE)),"Fora do DRE",VLOOKUP(Base_Periodo1[[#This Row],[CONTA]],BaseContasDRE[#All],4,FALSE))</f>
        <v>Fora do DRE</v>
      </c>
      <c r="T4637" s="3" t="str">
        <f>IF(ISERROR(VLOOKUP(Base_Periodo1[[#This Row],[CONTA]],BaseContasDRE[#All],5,FALSE)),"Fora do DRE",VLOOKUP(Base_Periodo1[[#This Row],[CONTA]],BaseContasDRE[#All],6,FALSE))</f>
        <v>Fora do DRE</v>
      </c>
      <c r="U4637" s="3" t="str">
        <f>IF(ISERROR(VLOOKUP(Base_Periodo1[[#This Row],[CONTA]],BaseContasDRE[#All],7,FALSE)),"Fora do DRE",VLOOKUP(Base_Periodo1[[#This Row],[CONTA]],BaseContasDRE[#All],7,FALSE))</f>
        <v>Fora do DRE</v>
      </c>
      <c r="V4637" s="3" t="str">
        <f>IF(Base_Periodo1[[#This Row],[Tipo_Linha]]="Fora do DRE","Fora do DRE","( "&amp;Base_Periodo1[[#This Row],[Tipo_Linha]]&amp;" ) "&amp;Base_Periodo1[[#This Row],[Filtro]])</f>
        <v>Fora do DRE</v>
      </c>
      <c r="W4637" s="3" t="str">
        <f>LEFT(Base_Periodo1[[#This Row],[CLASS]],3)</f>
        <v>2.4</v>
      </c>
    </row>
    <row r="4638" spans="1:23" hidden="1">
      <c r="A4638" s="3" t="str">
        <f t="shared" si="72"/>
        <v>Período 1</v>
      </c>
      <c r="B4638">
        <v>49307</v>
      </c>
      <c r="C4638" t="s">
        <v>2300</v>
      </c>
      <c r="D4638" t="s">
        <v>4307</v>
      </c>
      <c r="E4638" s="3" t="str">
        <f>IF(LEN(Base_Periodo1[[#This Row],[CLASS]])&gt;=7,LEFT(Base_Periodo1[[#This Row],[CLASS]],7),"")</f>
        <v>2.4.1.1</v>
      </c>
      <c r="F4638" s="3" t="str">
        <f>VLOOKUP(Base_Periodo1[[#This Row],[Aux]],Base_Contas_Balanco[#All],2,FALSE)</f>
        <v>Capital Social Realizado</v>
      </c>
      <c r="G4638" s="1"/>
      <c r="H4638" s="225">
        <v>1811.33</v>
      </c>
      <c r="I4638" s="225">
        <v>0</v>
      </c>
      <c r="J4638" s="225">
        <v>0</v>
      </c>
      <c r="K4638" s="225">
        <v>1811.33</v>
      </c>
      <c r="L46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1811.33</v>
      </c>
      <c r="M4638" s="225">
        <f>ROUND(IF(AND(Base_Periodo1[[#This Row],[Tipo_Linha]]="-",Base_Periodo1[[#This Row],[TIPOSALDO]]="D"),Base_Periodo1[[#This Row],[SALDO_ATUAL]]*-1,Base_Periodo1[[#This Row],[SALDO_ATUAL]]),4)</f>
        <v>1811.33</v>
      </c>
      <c r="N4638" t="s">
        <v>116</v>
      </c>
      <c r="O4638" t="s">
        <v>459</v>
      </c>
      <c r="P4638" t="s">
        <v>459</v>
      </c>
      <c r="Q4638">
        <v>6</v>
      </c>
      <c r="R4638" s="225">
        <f>Base_Periodo1[[#This Row],[CREDITOS]]-Base_Periodo1[[#This Row],[DEBITOS]]</f>
        <v>0</v>
      </c>
      <c r="S4638" s="3" t="str">
        <f>IF(ISERROR(VLOOKUP(Base_Periodo1[[#This Row],[CONTA]],BaseContasDRE[#All],4,FALSE)),"Fora do DRE",VLOOKUP(Base_Periodo1[[#This Row],[CONTA]],BaseContasDRE[#All],4,FALSE))</f>
        <v>Fora do DRE</v>
      </c>
      <c r="T4638" s="3" t="str">
        <f>IF(ISERROR(VLOOKUP(Base_Periodo1[[#This Row],[CONTA]],BaseContasDRE[#All],5,FALSE)),"Fora do DRE",VLOOKUP(Base_Periodo1[[#This Row],[CONTA]],BaseContasDRE[#All],6,FALSE))</f>
        <v>Fora do DRE</v>
      </c>
      <c r="U4638" s="3" t="str">
        <f>IF(ISERROR(VLOOKUP(Base_Periodo1[[#This Row],[CONTA]],BaseContasDRE[#All],7,FALSE)),"Fora do DRE",VLOOKUP(Base_Periodo1[[#This Row],[CONTA]],BaseContasDRE[#All],7,FALSE))</f>
        <v>Fora do DRE</v>
      </c>
      <c r="V4638" s="3" t="str">
        <f>IF(Base_Periodo1[[#This Row],[Tipo_Linha]]="Fora do DRE","Fora do DRE","( "&amp;Base_Periodo1[[#This Row],[Tipo_Linha]]&amp;" ) "&amp;Base_Periodo1[[#This Row],[Filtro]])</f>
        <v>Fora do DRE</v>
      </c>
      <c r="W4638" s="3" t="str">
        <f>LEFT(Base_Periodo1[[#This Row],[CLASS]],3)</f>
        <v>2.4</v>
      </c>
    </row>
    <row r="4639" spans="1:23" hidden="1">
      <c r="A4639" s="3" t="str">
        <f t="shared" si="72"/>
        <v>Período 1</v>
      </c>
      <c r="B4639">
        <v>16285</v>
      </c>
      <c r="C4639" t="s">
        <v>2300</v>
      </c>
      <c r="D4639" t="s">
        <v>2586</v>
      </c>
      <c r="E4639" s="3" t="str">
        <f>IF(LEN(Base_Periodo1[[#This Row],[CLASS]])&gt;=7,LEFT(Base_Periodo1[[#This Row],[CLASS]],7),"")</f>
        <v>2.4.1.1</v>
      </c>
      <c r="F4639" s="3" t="str">
        <f>VLOOKUP(Base_Periodo1[[#This Row],[Aux]],Base_Contas_Balanco[#All],2,FALSE)</f>
        <v>Capital Social Realizado</v>
      </c>
      <c r="G4639" s="1"/>
      <c r="H4639" s="225">
        <v>409.57</v>
      </c>
      <c r="I4639" s="225">
        <v>0</v>
      </c>
      <c r="J4639" s="225">
        <v>0</v>
      </c>
      <c r="K4639" s="225">
        <v>409.57</v>
      </c>
      <c r="L46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409.57</v>
      </c>
      <c r="M4639" s="225">
        <f>ROUND(IF(AND(Base_Periodo1[[#This Row],[Tipo_Linha]]="-",Base_Periodo1[[#This Row],[TIPOSALDO]]="D"),Base_Periodo1[[#This Row],[SALDO_ATUAL]]*-1,Base_Periodo1[[#This Row],[SALDO_ATUAL]]),4)</f>
        <v>409.57</v>
      </c>
      <c r="N4639" t="s">
        <v>116</v>
      </c>
      <c r="O4639" t="s">
        <v>459</v>
      </c>
      <c r="P4639" t="s">
        <v>459</v>
      </c>
      <c r="Q4639">
        <v>6</v>
      </c>
      <c r="R4639" s="225">
        <f>Base_Periodo1[[#This Row],[CREDITOS]]-Base_Periodo1[[#This Row],[DEBITOS]]</f>
        <v>0</v>
      </c>
      <c r="S4639" s="3" t="str">
        <f>IF(ISERROR(VLOOKUP(Base_Periodo1[[#This Row],[CONTA]],BaseContasDRE[#All],4,FALSE)),"Fora do DRE",VLOOKUP(Base_Periodo1[[#This Row],[CONTA]],BaseContasDRE[#All],4,FALSE))</f>
        <v>Fora do DRE</v>
      </c>
      <c r="T4639" s="3" t="str">
        <f>IF(ISERROR(VLOOKUP(Base_Periodo1[[#This Row],[CONTA]],BaseContasDRE[#All],5,FALSE)),"Fora do DRE",VLOOKUP(Base_Periodo1[[#This Row],[CONTA]],BaseContasDRE[#All],6,FALSE))</f>
        <v>Fora do DRE</v>
      </c>
      <c r="U4639" s="3" t="str">
        <f>IF(ISERROR(VLOOKUP(Base_Periodo1[[#This Row],[CONTA]],BaseContasDRE[#All],7,FALSE)),"Fora do DRE",VLOOKUP(Base_Periodo1[[#This Row],[CONTA]],BaseContasDRE[#All],7,FALSE))</f>
        <v>Fora do DRE</v>
      </c>
      <c r="V4639" s="3" t="str">
        <f>IF(Base_Periodo1[[#This Row],[Tipo_Linha]]="Fora do DRE","Fora do DRE","( "&amp;Base_Periodo1[[#This Row],[Tipo_Linha]]&amp;" ) "&amp;Base_Periodo1[[#This Row],[Filtro]])</f>
        <v>Fora do DRE</v>
      </c>
      <c r="W4639" s="3" t="str">
        <f>LEFT(Base_Periodo1[[#This Row],[CLASS]],3)</f>
        <v>2.4</v>
      </c>
    </row>
    <row r="4640" spans="1:23" hidden="1">
      <c r="A4640" s="3" t="str">
        <f t="shared" si="72"/>
        <v>Período 1</v>
      </c>
      <c r="B4640">
        <v>16304</v>
      </c>
      <c r="C4640" t="s">
        <v>2300</v>
      </c>
      <c r="D4640" t="s">
        <v>2587</v>
      </c>
      <c r="E4640" s="3" t="str">
        <f>IF(LEN(Base_Periodo1[[#This Row],[CLASS]])&gt;=7,LEFT(Base_Periodo1[[#This Row],[CLASS]],7),"")</f>
        <v>2.4.1.1</v>
      </c>
      <c r="F4640" s="3" t="str">
        <f>VLOOKUP(Base_Periodo1[[#This Row],[Aux]],Base_Contas_Balanco[#All],2,FALSE)</f>
        <v>Capital Social Realizado</v>
      </c>
      <c r="G4640" s="1"/>
      <c r="H4640" s="225">
        <v>1651.54</v>
      </c>
      <c r="I4640" s="225">
        <v>0</v>
      </c>
      <c r="J4640" s="225">
        <v>0</v>
      </c>
      <c r="K4640" s="225">
        <v>1651.54</v>
      </c>
      <c r="L46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1651.54</v>
      </c>
      <c r="M4640" s="225">
        <f>ROUND(IF(AND(Base_Periodo1[[#This Row],[Tipo_Linha]]="-",Base_Periodo1[[#This Row],[TIPOSALDO]]="D"),Base_Periodo1[[#This Row],[SALDO_ATUAL]]*-1,Base_Periodo1[[#This Row],[SALDO_ATUAL]]),4)</f>
        <v>1651.54</v>
      </c>
      <c r="N4640" t="s">
        <v>116</v>
      </c>
      <c r="O4640" t="s">
        <v>459</v>
      </c>
      <c r="P4640" t="s">
        <v>459</v>
      </c>
      <c r="Q4640">
        <v>6</v>
      </c>
      <c r="R4640" s="225">
        <f>Base_Periodo1[[#This Row],[CREDITOS]]-Base_Periodo1[[#This Row],[DEBITOS]]</f>
        <v>0</v>
      </c>
      <c r="S4640" s="3" t="str">
        <f>IF(ISERROR(VLOOKUP(Base_Periodo1[[#This Row],[CONTA]],BaseContasDRE[#All],4,FALSE)),"Fora do DRE",VLOOKUP(Base_Periodo1[[#This Row],[CONTA]],BaseContasDRE[#All],4,FALSE))</f>
        <v>Fora do DRE</v>
      </c>
      <c r="T4640" s="3" t="str">
        <f>IF(ISERROR(VLOOKUP(Base_Periodo1[[#This Row],[CONTA]],BaseContasDRE[#All],5,FALSE)),"Fora do DRE",VLOOKUP(Base_Periodo1[[#This Row],[CONTA]],BaseContasDRE[#All],6,FALSE))</f>
        <v>Fora do DRE</v>
      </c>
      <c r="U4640" s="3" t="str">
        <f>IF(ISERROR(VLOOKUP(Base_Periodo1[[#This Row],[CONTA]],BaseContasDRE[#All],7,FALSE)),"Fora do DRE",VLOOKUP(Base_Periodo1[[#This Row],[CONTA]],BaseContasDRE[#All],7,FALSE))</f>
        <v>Fora do DRE</v>
      </c>
      <c r="V4640" s="3" t="str">
        <f>IF(Base_Periodo1[[#This Row],[Tipo_Linha]]="Fora do DRE","Fora do DRE","( "&amp;Base_Periodo1[[#This Row],[Tipo_Linha]]&amp;" ) "&amp;Base_Periodo1[[#This Row],[Filtro]])</f>
        <v>Fora do DRE</v>
      </c>
      <c r="W4640" s="3" t="str">
        <f>LEFT(Base_Periodo1[[#This Row],[CLASS]],3)</f>
        <v>2.4</v>
      </c>
    </row>
    <row r="4641" spans="1:23" hidden="1">
      <c r="A4641" s="3" t="str">
        <f t="shared" si="72"/>
        <v>Período 1</v>
      </c>
      <c r="B4641">
        <v>16423</v>
      </c>
      <c r="C4641" t="s">
        <v>2300</v>
      </c>
      <c r="D4641" t="s">
        <v>2588</v>
      </c>
      <c r="E4641" s="3" t="str">
        <f>IF(LEN(Base_Periodo1[[#This Row],[CLASS]])&gt;=7,LEFT(Base_Periodo1[[#This Row],[CLASS]],7),"")</f>
        <v>2.4.1.1</v>
      </c>
      <c r="F4641" s="3" t="str">
        <f>VLOOKUP(Base_Periodo1[[#This Row],[Aux]],Base_Contas_Balanco[#All],2,FALSE)</f>
        <v>Capital Social Realizado</v>
      </c>
      <c r="G4641" s="1"/>
      <c r="H4641" s="225">
        <v>50</v>
      </c>
      <c r="I4641" s="225">
        <v>0</v>
      </c>
      <c r="J4641" s="225">
        <v>0</v>
      </c>
      <c r="K4641" s="225">
        <v>50</v>
      </c>
      <c r="L46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641" s="225">
        <f>ROUND(IF(AND(Base_Periodo1[[#This Row],[Tipo_Linha]]="-",Base_Periodo1[[#This Row],[TIPOSALDO]]="D"),Base_Periodo1[[#This Row],[SALDO_ATUAL]]*-1,Base_Periodo1[[#This Row],[SALDO_ATUAL]]),4)</f>
        <v>50</v>
      </c>
      <c r="N4641" t="s">
        <v>116</v>
      </c>
      <c r="O4641" t="s">
        <v>459</v>
      </c>
      <c r="P4641" t="s">
        <v>459</v>
      </c>
      <c r="Q4641">
        <v>6</v>
      </c>
      <c r="R4641" s="225">
        <f>Base_Periodo1[[#This Row],[CREDITOS]]-Base_Periodo1[[#This Row],[DEBITOS]]</f>
        <v>0</v>
      </c>
      <c r="S4641" s="3" t="str">
        <f>IF(ISERROR(VLOOKUP(Base_Periodo1[[#This Row],[CONTA]],BaseContasDRE[#All],4,FALSE)),"Fora do DRE",VLOOKUP(Base_Periodo1[[#This Row],[CONTA]],BaseContasDRE[#All],4,FALSE))</f>
        <v>Fora do DRE</v>
      </c>
      <c r="T4641" s="3" t="str">
        <f>IF(ISERROR(VLOOKUP(Base_Periodo1[[#This Row],[CONTA]],BaseContasDRE[#All],5,FALSE)),"Fora do DRE",VLOOKUP(Base_Periodo1[[#This Row],[CONTA]],BaseContasDRE[#All],6,FALSE))</f>
        <v>Fora do DRE</v>
      </c>
      <c r="U4641" s="3" t="str">
        <f>IF(ISERROR(VLOOKUP(Base_Periodo1[[#This Row],[CONTA]],BaseContasDRE[#All],7,FALSE)),"Fora do DRE",VLOOKUP(Base_Periodo1[[#This Row],[CONTA]],BaseContasDRE[#All],7,FALSE))</f>
        <v>Fora do DRE</v>
      </c>
      <c r="V4641" s="3" t="str">
        <f>IF(Base_Periodo1[[#This Row],[Tipo_Linha]]="Fora do DRE","Fora do DRE","( "&amp;Base_Periodo1[[#This Row],[Tipo_Linha]]&amp;" ) "&amp;Base_Periodo1[[#This Row],[Filtro]])</f>
        <v>Fora do DRE</v>
      </c>
      <c r="W4641" s="3" t="str">
        <f>LEFT(Base_Periodo1[[#This Row],[CLASS]],3)</f>
        <v>2.4</v>
      </c>
    </row>
    <row r="4642" spans="1:23" hidden="1">
      <c r="A4642" s="3" t="str">
        <f t="shared" si="72"/>
        <v>Período 1</v>
      </c>
      <c r="B4642">
        <v>16421</v>
      </c>
      <c r="C4642" t="s">
        <v>2300</v>
      </c>
      <c r="D4642" t="s">
        <v>2589</v>
      </c>
      <c r="E4642" s="3" t="str">
        <f>IF(LEN(Base_Periodo1[[#This Row],[CLASS]])&gt;=7,LEFT(Base_Periodo1[[#This Row],[CLASS]],7),"")</f>
        <v>2.4.1.1</v>
      </c>
      <c r="F4642" s="3" t="str">
        <f>VLOOKUP(Base_Periodo1[[#This Row],[Aux]],Base_Contas_Balanco[#All],2,FALSE)</f>
        <v>Capital Social Realizado</v>
      </c>
      <c r="G4642" s="1"/>
      <c r="H4642" s="225">
        <v>112.86</v>
      </c>
      <c r="I4642" s="225">
        <v>0</v>
      </c>
      <c r="J4642" s="225">
        <v>0</v>
      </c>
      <c r="K4642" s="225">
        <v>112.86</v>
      </c>
      <c r="L46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112.86</v>
      </c>
      <c r="M4642" s="225">
        <f>ROUND(IF(AND(Base_Periodo1[[#This Row],[Tipo_Linha]]="-",Base_Periodo1[[#This Row],[TIPOSALDO]]="D"),Base_Periodo1[[#This Row],[SALDO_ATUAL]]*-1,Base_Periodo1[[#This Row],[SALDO_ATUAL]]),4)</f>
        <v>112.86</v>
      </c>
      <c r="N4642" t="s">
        <v>116</v>
      </c>
      <c r="O4642" t="s">
        <v>459</v>
      </c>
      <c r="P4642" t="s">
        <v>459</v>
      </c>
      <c r="Q4642">
        <v>6</v>
      </c>
      <c r="R4642" s="225">
        <f>Base_Periodo1[[#This Row],[CREDITOS]]-Base_Periodo1[[#This Row],[DEBITOS]]</f>
        <v>0</v>
      </c>
      <c r="S4642" s="3" t="str">
        <f>IF(ISERROR(VLOOKUP(Base_Periodo1[[#This Row],[CONTA]],BaseContasDRE[#All],4,FALSE)),"Fora do DRE",VLOOKUP(Base_Periodo1[[#This Row],[CONTA]],BaseContasDRE[#All],4,FALSE))</f>
        <v>Fora do DRE</v>
      </c>
      <c r="T4642" s="3" t="str">
        <f>IF(ISERROR(VLOOKUP(Base_Periodo1[[#This Row],[CONTA]],BaseContasDRE[#All],5,FALSE)),"Fora do DRE",VLOOKUP(Base_Periodo1[[#This Row],[CONTA]],BaseContasDRE[#All],6,FALSE))</f>
        <v>Fora do DRE</v>
      </c>
      <c r="U4642" s="3" t="str">
        <f>IF(ISERROR(VLOOKUP(Base_Periodo1[[#This Row],[CONTA]],BaseContasDRE[#All],7,FALSE)),"Fora do DRE",VLOOKUP(Base_Periodo1[[#This Row],[CONTA]],BaseContasDRE[#All],7,FALSE))</f>
        <v>Fora do DRE</v>
      </c>
      <c r="V4642" s="3" t="str">
        <f>IF(Base_Periodo1[[#This Row],[Tipo_Linha]]="Fora do DRE","Fora do DRE","( "&amp;Base_Periodo1[[#This Row],[Tipo_Linha]]&amp;" ) "&amp;Base_Periodo1[[#This Row],[Filtro]])</f>
        <v>Fora do DRE</v>
      </c>
      <c r="W4642" s="3" t="str">
        <f>LEFT(Base_Periodo1[[#This Row],[CLASS]],3)</f>
        <v>2.4</v>
      </c>
    </row>
    <row r="4643" spans="1:23" hidden="1">
      <c r="A4643" s="3" t="str">
        <f t="shared" si="72"/>
        <v>Período 1</v>
      </c>
      <c r="B4643">
        <v>17204</v>
      </c>
      <c r="C4643" t="s">
        <v>2300</v>
      </c>
      <c r="D4643" t="s">
        <v>2590</v>
      </c>
      <c r="E4643" s="3" t="str">
        <f>IF(LEN(Base_Periodo1[[#This Row],[CLASS]])&gt;=7,LEFT(Base_Periodo1[[#This Row],[CLASS]],7),"")</f>
        <v>2.4.1.1</v>
      </c>
      <c r="F4643" s="3" t="str">
        <f>VLOOKUP(Base_Periodo1[[#This Row],[Aux]],Base_Contas_Balanco[#All],2,FALSE)</f>
        <v>Capital Social Realizado</v>
      </c>
      <c r="G4643" s="1"/>
      <c r="H4643" s="225">
        <v>219.9</v>
      </c>
      <c r="I4643" s="225">
        <v>0</v>
      </c>
      <c r="J4643" s="225">
        <v>0</v>
      </c>
      <c r="K4643" s="225">
        <v>219.9</v>
      </c>
      <c r="L46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219.9</v>
      </c>
      <c r="M4643" s="225">
        <f>ROUND(IF(AND(Base_Periodo1[[#This Row],[Tipo_Linha]]="-",Base_Periodo1[[#This Row],[TIPOSALDO]]="D"),Base_Periodo1[[#This Row],[SALDO_ATUAL]]*-1,Base_Periodo1[[#This Row],[SALDO_ATUAL]]),4)</f>
        <v>219.9</v>
      </c>
      <c r="N4643" t="s">
        <v>116</v>
      </c>
      <c r="O4643" t="s">
        <v>459</v>
      </c>
      <c r="P4643" t="s">
        <v>459</v>
      </c>
      <c r="Q4643">
        <v>6</v>
      </c>
      <c r="R4643" s="225">
        <f>Base_Periodo1[[#This Row],[CREDITOS]]-Base_Periodo1[[#This Row],[DEBITOS]]</f>
        <v>0</v>
      </c>
      <c r="S4643" s="3" t="str">
        <f>IF(ISERROR(VLOOKUP(Base_Periodo1[[#This Row],[CONTA]],BaseContasDRE[#All],4,FALSE)),"Fora do DRE",VLOOKUP(Base_Periodo1[[#This Row],[CONTA]],BaseContasDRE[#All],4,FALSE))</f>
        <v>Fora do DRE</v>
      </c>
      <c r="T4643" s="3" t="str">
        <f>IF(ISERROR(VLOOKUP(Base_Periodo1[[#This Row],[CONTA]],BaseContasDRE[#All],5,FALSE)),"Fora do DRE",VLOOKUP(Base_Periodo1[[#This Row],[CONTA]],BaseContasDRE[#All],6,FALSE))</f>
        <v>Fora do DRE</v>
      </c>
      <c r="U4643" s="3" t="str">
        <f>IF(ISERROR(VLOOKUP(Base_Periodo1[[#This Row],[CONTA]],BaseContasDRE[#All],7,FALSE)),"Fora do DRE",VLOOKUP(Base_Periodo1[[#This Row],[CONTA]],BaseContasDRE[#All],7,FALSE))</f>
        <v>Fora do DRE</v>
      </c>
      <c r="V4643" s="3" t="str">
        <f>IF(Base_Periodo1[[#This Row],[Tipo_Linha]]="Fora do DRE","Fora do DRE","( "&amp;Base_Periodo1[[#This Row],[Tipo_Linha]]&amp;" ) "&amp;Base_Periodo1[[#This Row],[Filtro]])</f>
        <v>Fora do DRE</v>
      </c>
      <c r="W4643" s="3" t="str">
        <f>LEFT(Base_Periodo1[[#This Row],[CLASS]],3)</f>
        <v>2.4</v>
      </c>
    </row>
    <row r="4644" spans="1:23" hidden="1">
      <c r="A4644" s="3" t="str">
        <f t="shared" si="72"/>
        <v>Período 1</v>
      </c>
      <c r="B4644">
        <v>16418</v>
      </c>
      <c r="C4644" t="s">
        <v>2300</v>
      </c>
      <c r="D4644" t="s">
        <v>2591</v>
      </c>
      <c r="E4644" s="3" t="str">
        <f>IF(LEN(Base_Periodo1[[#This Row],[CLASS]])&gt;=7,LEFT(Base_Periodo1[[#This Row],[CLASS]],7),"")</f>
        <v>2.4.1.1</v>
      </c>
      <c r="F4644" s="3" t="str">
        <f>VLOOKUP(Base_Periodo1[[#This Row],[Aux]],Base_Contas_Balanco[#All],2,FALSE)</f>
        <v>Capital Social Realizado</v>
      </c>
      <c r="G4644" s="1"/>
      <c r="H4644" s="225">
        <v>50</v>
      </c>
      <c r="I4644" s="225">
        <v>0</v>
      </c>
      <c r="J4644" s="225">
        <v>0</v>
      </c>
      <c r="K4644" s="225">
        <v>50</v>
      </c>
      <c r="L46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644" s="225">
        <f>ROUND(IF(AND(Base_Periodo1[[#This Row],[Tipo_Linha]]="-",Base_Periodo1[[#This Row],[TIPOSALDO]]="D"),Base_Periodo1[[#This Row],[SALDO_ATUAL]]*-1,Base_Periodo1[[#This Row],[SALDO_ATUAL]]),4)</f>
        <v>50</v>
      </c>
      <c r="N4644" t="s">
        <v>116</v>
      </c>
      <c r="O4644" t="s">
        <v>459</v>
      </c>
      <c r="P4644" t="s">
        <v>459</v>
      </c>
      <c r="Q4644">
        <v>6</v>
      </c>
      <c r="R4644" s="225">
        <f>Base_Periodo1[[#This Row],[CREDITOS]]-Base_Periodo1[[#This Row],[DEBITOS]]</f>
        <v>0</v>
      </c>
      <c r="S4644" s="3" t="str">
        <f>IF(ISERROR(VLOOKUP(Base_Periodo1[[#This Row],[CONTA]],BaseContasDRE[#All],4,FALSE)),"Fora do DRE",VLOOKUP(Base_Periodo1[[#This Row],[CONTA]],BaseContasDRE[#All],4,FALSE))</f>
        <v>Fora do DRE</v>
      </c>
      <c r="T4644" s="3" t="str">
        <f>IF(ISERROR(VLOOKUP(Base_Periodo1[[#This Row],[CONTA]],BaseContasDRE[#All],5,FALSE)),"Fora do DRE",VLOOKUP(Base_Periodo1[[#This Row],[CONTA]],BaseContasDRE[#All],6,FALSE))</f>
        <v>Fora do DRE</v>
      </c>
      <c r="U4644" s="3" t="str">
        <f>IF(ISERROR(VLOOKUP(Base_Periodo1[[#This Row],[CONTA]],BaseContasDRE[#All],7,FALSE)),"Fora do DRE",VLOOKUP(Base_Periodo1[[#This Row],[CONTA]],BaseContasDRE[#All],7,FALSE))</f>
        <v>Fora do DRE</v>
      </c>
      <c r="V4644" s="3" t="str">
        <f>IF(Base_Periodo1[[#This Row],[Tipo_Linha]]="Fora do DRE","Fora do DRE","( "&amp;Base_Periodo1[[#This Row],[Tipo_Linha]]&amp;" ) "&amp;Base_Periodo1[[#This Row],[Filtro]])</f>
        <v>Fora do DRE</v>
      </c>
      <c r="W4644" s="3" t="str">
        <f>LEFT(Base_Periodo1[[#This Row],[CLASS]],3)</f>
        <v>2.4</v>
      </c>
    </row>
    <row r="4645" spans="1:23" hidden="1">
      <c r="A4645" s="3" t="str">
        <f t="shared" si="72"/>
        <v>Período 1</v>
      </c>
      <c r="B4645">
        <v>30933</v>
      </c>
      <c r="C4645" t="s">
        <v>2300</v>
      </c>
      <c r="D4645" t="s">
        <v>2592</v>
      </c>
      <c r="E4645" s="3" t="str">
        <f>IF(LEN(Base_Periodo1[[#This Row],[CLASS]])&gt;=7,LEFT(Base_Periodo1[[#This Row],[CLASS]],7),"")</f>
        <v>2.4.1.1</v>
      </c>
      <c r="F4645" s="3" t="str">
        <f>VLOOKUP(Base_Periodo1[[#This Row],[Aux]],Base_Contas_Balanco[#All],2,FALSE)</f>
        <v>Capital Social Realizado</v>
      </c>
      <c r="G4645" s="1"/>
      <c r="H4645" s="225">
        <v>50</v>
      </c>
      <c r="I4645" s="225">
        <v>0</v>
      </c>
      <c r="J4645" s="225">
        <v>0</v>
      </c>
      <c r="K4645" s="225">
        <v>50</v>
      </c>
      <c r="L46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645" s="225">
        <f>ROUND(IF(AND(Base_Periodo1[[#This Row],[Tipo_Linha]]="-",Base_Periodo1[[#This Row],[TIPOSALDO]]="D"),Base_Periodo1[[#This Row],[SALDO_ATUAL]]*-1,Base_Periodo1[[#This Row],[SALDO_ATUAL]]),4)</f>
        <v>50</v>
      </c>
      <c r="N4645" t="s">
        <v>116</v>
      </c>
      <c r="O4645" t="s">
        <v>459</v>
      </c>
      <c r="P4645" t="s">
        <v>459</v>
      </c>
      <c r="Q4645">
        <v>6</v>
      </c>
      <c r="R4645" s="225">
        <f>Base_Periodo1[[#This Row],[CREDITOS]]-Base_Periodo1[[#This Row],[DEBITOS]]</f>
        <v>0</v>
      </c>
      <c r="S4645" s="3" t="str">
        <f>IF(ISERROR(VLOOKUP(Base_Periodo1[[#This Row],[CONTA]],BaseContasDRE[#All],4,FALSE)),"Fora do DRE",VLOOKUP(Base_Periodo1[[#This Row],[CONTA]],BaseContasDRE[#All],4,FALSE))</f>
        <v>Fora do DRE</v>
      </c>
      <c r="T4645" s="3" t="str">
        <f>IF(ISERROR(VLOOKUP(Base_Periodo1[[#This Row],[CONTA]],BaseContasDRE[#All],5,FALSE)),"Fora do DRE",VLOOKUP(Base_Periodo1[[#This Row],[CONTA]],BaseContasDRE[#All],6,FALSE))</f>
        <v>Fora do DRE</v>
      </c>
      <c r="U4645" s="3" t="str">
        <f>IF(ISERROR(VLOOKUP(Base_Periodo1[[#This Row],[CONTA]],BaseContasDRE[#All],7,FALSE)),"Fora do DRE",VLOOKUP(Base_Periodo1[[#This Row],[CONTA]],BaseContasDRE[#All],7,FALSE))</f>
        <v>Fora do DRE</v>
      </c>
      <c r="V4645" s="3" t="str">
        <f>IF(Base_Periodo1[[#This Row],[Tipo_Linha]]="Fora do DRE","Fora do DRE","( "&amp;Base_Periodo1[[#This Row],[Tipo_Linha]]&amp;" ) "&amp;Base_Periodo1[[#This Row],[Filtro]])</f>
        <v>Fora do DRE</v>
      </c>
      <c r="W4645" s="3" t="str">
        <f>LEFT(Base_Periodo1[[#This Row],[CLASS]],3)</f>
        <v>2.4</v>
      </c>
    </row>
    <row r="4646" spans="1:23" hidden="1">
      <c r="A4646" s="3" t="str">
        <f t="shared" si="72"/>
        <v>Período 1</v>
      </c>
      <c r="B4646">
        <v>24148</v>
      </c>
      <c r="C4646" t="s">
        <v>2300</v>
      </c>
      <c r="D4646" t="s">
        <v>2593</v>
      </c>
      <c r="E4646" s="3" t="str">
        <f>IF(LEN(Base_Periodo1[[#This Row],[CLASS]])&gt;=7,LEFT(Base_Periodo1[[#This Row],[CLASS]],7),"")</f>
        <v>2.4.1.1</v>
      </c>
      <c r="F4646" s="3" t="str">
        <f>VLOOKUP(Base_Periodo1[[#This Row],[Aux]],Base_Contas_Balanco[#All],2,FALSE)</f>
        <v>Capital Social Realizado</v>
      </c>
      <c r="G4646" s="1"/>
      <c r="H4646" s="225">
        <v>776.90000000000009</v>
      </c>
      <c r="I4646" s="225">
        <v>0</v>
      </c>
      <c r="J4646" s="225">
        <v>0</v>
      </c>
      <c r="K4646" s="225">
        <v>776.90000000000009</v>
      </c>
      <c r="L46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776.9</v>
      </c>
      <c r="M4646" s="225">
        <f>ROUND(IF(AND(Base_Periodo1[[#This Row],[Tipo_Linha]]="-",Base_Periodo1[[#This Row],[TIPOSALDO]]="D"),Base_Periodo1[[#This Row],[SALDO_ATUAL]]*-1,Base_Periodo1[[#This Row],[SALDO_ATUAL]]),4)</f>
        <v>776.9</v>
      </c>
      <c r="N4646" t="s">
        <v>116</v>
      </c>
      <c r="O4646" t="s">
        <v>459</v>
      </c>
      <c r="P4646" t="s">
        <v>459</v>
      </c>
      <c r="Q4646">
        <v>6</v>
      </c>
      <c r="R4646" s="225">
        <f>Base_Periodo1[[#This Row],[CREDITOS]]-Base_Periodo1[[#This Row],[DEBITOS]]</f>
        <v>0</v>
      </c>
      <c r="S4646" s="3" t="str">
        <f>IF(ISERROR(VLOOKUP(Base_Periodo1[[#This Row],[CONTA]],BaseContasDRE[#All],4,FALSE)),"Fora do DRE",VLOOKUP(Base_Periodo1[[#This Row],[CONTA]],BaseContasDRE[#All],4,FALSE))</f>
        <v>Fora do DRE</v>
      </c>
      <c r="T4646" s="3" t="str">
        <f>IF(ISERROR(VLOOKUP(Base_Periodo1[[#This Row],[CONTA]],BaseContasDRE[#All],5,FALSE)),"Fora do DRE",VLOOKUP(Base_Periodo1[[#This Row],[CONTA]],BaseContasDRE[#All],6,FALSE))</f>
        <v>Fora do DRE</v>
      </c>
      <c r="U4646" s="3" t="str">
        <f>IF(ISERROR(VLOOKUP(Base_Periodo1[[#This Row],[CONTA]],BaseContasDRE[#All],7,FALSE)),"Fora do DRE",VLOOKUP(Base_Periodo1[[#This Row],[CONTA]],BaseContasDRE[#All],7,FALSE))</f>
        <v>Fora do DRE</v>
      </c>
      <c r="V4646" s="3" t="str">
        <f>IF(Base_Periodo1[[#This Row],[Tipo_Linha]]="Fora do DRE","Fora do DRE","( "&amp;Base_Periodo1[[#This Row],[Tipo_Linha]]&amp;" ) "&amp;Base_Periodo1[[#This Row],[Filtro]])</f>
        <v>Fora do DRE</v>
      </c>
      <c r="W4646" s="3" t="str">
        <f>LEFT(Base_Periodo1[[#This Row],[CLASS]],3)</f>
        <v>2.4</v>
      </c>
    </row>
    <row r="4647" spans="1:23" hidden="1">
      <c r="A4647" s="3" t="str">
        <f t="shared" si="72"/>
        <v>Período 1</v>
      </c>
      <c r="B4647">
        <v>16105</v>
      </c>
      <c r="C4647" t="s">
        <v>2300</v>
      </c>
      <c r="D4647" t="s">
        <v>2594</v>
      </c>
      <c r="E4647" s="3" t="str">
        <f>IF(LEN(Base_Periodo1[[#This Row],[CLASS]])&gt;=7,LEFT(Base_Periodo1[[#This Row],[CLASS]],7),"")</f>
        <v>2.4.1.1</v>
      </c>
      <c r="F4647" s="3" t="str">
        <f>VLOOKUP(Base_Periodo1[[#This Row],[Aux]],Base_Contas_Balanco[#All],2,FALSE)</f>
        <v>Capital Social Realizado</v>
      </c>
      <c r="G4647" s="1"/>
      <c r="H4647" s="225">
        <v>3762.28</v>
      </c>
      <c r="I4647" s="225">
        <v>0</v>
      </c>
      <c r="J4647" s="225">
        <v>0</v>
      </c>
      <c r="K4647" s="225">
        <v>3762.28</v>
      </c>
      <c r="L46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3762.28</v>
      </c>
      <c r="M4647" s="225">
        <f>ROUND(IF(AND(Base_Periodo1[[#This Row],[Tipo_Linha]]="-",Base_Periodo1[[#This Row],[TIPOSALDO]]="D"),Base_Periodo1[[#This Row],[SALDO_ATUAL]]*-1,Base_Periodo1[[#This Row],[SALDO_ATUAL]]),4)</f>
        <v>3762.28</v>
      </c>
      <c r="N4647" t="s">
        <v>116</v>
      </c>
      <c r="O4647" t="s">
        <v>459</v>
      </c>
      <c r="P4647" t="s">
        <v>459</v>
      </c>
      <c r="Q4647">
        <v>6</v>
      </c>
      <c r="R4647" s="225">
        <f>Base_Periodo1[[#This Row],[CREDITOS]]-Base_Periodo1[[#This Row],[DEBITOS]]</f>
        <v>0</v>
      </c>
      <c r="S4647" s="3" t="str">
        <f>IF(ISERROR(VLOOKUP(Base_Periodo1[[#This Row],[CONTA]],BaseContasDRE[#All],4,FALSE)),"Fora do DRE",VLOOKUP(Base_Periodo1[[#This Row],[CONTA]],BaseContasDRE[#All],4,FALSE))</f>
        <v>Fora do DRE</v>
      </c>
      <c r="T4647" s="3" t="str">
        <f>IF(ISERROR(VLOOKUP(Base_Periodo1[[#This Row],[CONTA]],BaseContasDRE[#All],5,FALSE)),"Fora do DRE",VLOOKUP(Base_Periodo1[[#This Row],[CONTA]],BaseContasDRE[#All],6,FALSE))</f>
        <v>Fora do DRE</v>
      </c>
      <c r="U4647" s="3" t="str">
        <f>IF(ISERROR(VLOOKUP(Base_Periodo1[[#This Row],[CONTA]],BaseContasDRE[#All],7,FALSE)),"Fora do DRE",VLOOKUP(Base_Periodo1[[#This Row],[CONTA]],BaseContasDRE[#All],7,FALSE))</f>
        <v>Fora do DRE</v>
      </c>
      <c r="V4647" s="3" t="str">
        <f>IF(Base_Periodo1[[#This Row],[Tipo_Linha]]="Fora do DRE","Fora do DRE","( "&amp;Base_Periodo1[[#This Row],[Tipo_Linha]]&amp;" ) "&amp;Base_Periodo1[[#This Row],[Filtro]])</f>
        <v>Fora do DRE</v>
      </c>
      <c r="W4647" s="3" t="str">
        <f>LEFT(Base_Periodo1[[#This Row],[CLASS]],3)</f>
        <v>2.4</v>
      </c>
    </row>
    <row r="4648" spans="1:23" hidden="1">
      <c r="A4648" s="3" t="str">
        <f t="shared" si="72"/>
        <v>Período 1</v>
      </c>
      <c r="B4648">
        <v>35564</v>
      </c>
      <c r="C4648" t="s">
        <v>2300</v>
      </c>
      <c r="D4648" t="s">
        <v>4620</v>
      </c>
      <c r="E4648" s="3" t="str">
        <f>IF(LEN(Base_Periodo1[[#This Row],[CLASS]])&gt;=7,LEFT(Base_Periodo1[[#This Row],[CLASS]],7),"")</f>
        <v>2.4.1.1</v>
      </c>
      <c r="F4648" s="3" t="str">
        <f>VLOOKUP(Base_Periodo1[[#This Row],[Aux]],Base_Contas_Balanco[#All],2,FALSE)</f>
        <v>Capital Social Realizado</v>
      </c>
      <c r="G4648" s="1"/>
      <c r="H4648" s="225">
        <v>5920.74</v>
      </c>
      <c r="I4648" s="225">
        <v>0</v>
      </c>
      <c r="J4648" s="225">
        <v>0</v>
      </c>
      <c r="K4648" s="225">
        <v>5920.74</v>
      </c>
      <c r="L46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5920.74</v>
      </c>
      <c r="M4648" s="225">
        <f>ROUND(IF(AND(Base_Periodo1[[#This Row],[Tipo_Linha]]="-",Base_Periodo1[[#This Row],[TIPOSALDO]]="D"),Base_Periodo1[[#This Row],[SALDO_ATUAL]]*-1,Base_Periodo1[[#This Row],[SALDO_ATUAL]]),4)</f>
        <v>5920.74</v>
      </c>
      <c r="N4648" t="s">
        <v>116</v>
      </c>
      <c r="O4648" t="s">
        <v>459</v>
      </c>
      <c r="P4648" t="s">
        <v>459</v>
      </c>
      <c r="Q4648">
        <v>6</v>
      </c>
      <c r="R4648" s="225">
        <f>Base_Periodo1[[#This Row],[CREDITOS]]-Base_Periodo1[[#This Row],[DEBITOS]]</f>
        <v>0</v>
      </c>
      <c r="S4648" s="3" t="str">
        <f>IF(ISERROR(VLOOKUP(Base_Periodo1[[#This Row],[CONTA]],BaseContasDRE[#All],4,FALSE)),"Fora do DRE",VLOOKUP(Base_Periodo1[[#This Row],[CONTA]],BaseContasDRE[#All],4,FALSE))</f>
        <v>Fora do DRE</v>
      </c>
      <c r="T4648" s="3" t="str">
        <f>IF(ISERROR(VLOOKUP(Base_Periodo1[[#This Row],[CONTA]],BaseContasDRE[#All],5,FALSE)),"Fora do DRE",VLOOKUP(Base_Periodo1[[#This Row],[CONTA]],BaseContasDRE[#All],6,FALSE))</f>
        <v>Fora do DRE</v>
      </c>
      <c r="U4648" s="3" t="str">
        <f>IF(ISERROR(VLOOKUP(Base_Periodo1[[#This Row],[CONTA]],BaseContasDRE[#All],7,FALSE)),"Fora do DRE",VLOOKUP(Base_Periodo1[[#This Row],[CONTA]],BaseContasDRE[#All],7,FALSE))</f>
        <v>Fora do DRE</v>
      </c>
      <c r="V4648" s="3" t="str">
        <f>IF(Base_Periodo1[[#This Row],[Tipo_Linha]]="Fora do DRE","Fora do DRE","( "&amp;Base_Periodo1[[#This Row],[Tipo_Linha]]&amp;" ) "&amp;Base_Periodo1[[#This Row],[Filtro]])</f>
        <v>Fora do DRE</v>
      </c>
      <c r="W4648" s="3" t="str">
        <f>LEFT(Base_Periodo1[[#This Row],[CLASS]],3)</f>
        <v>2.4</v>
      </c>
    </row>
    <row r="4649" spans="1:23" hidden="1">
      <c r="A4649" s="3" t="str">
        <f t="shared" si="72"/>
        <v>Período 1</v>
      </c>
      <c r="B4649">
        <v>27969</v>
      </c>
      <c r="C4649" t="s">
        <v>2300</v>
      </c>
      <c r="D4649" t="s">
        <v>2595</v>
      </c>
      <c r="E4649" s="3" t="str">
        <f>IF(LEN(Base_Periodo1[[#This Row],[CLASS]])&gt;=7,LEFT(Base_Periodo1[[#This Row],[CLASS]],7),"")</f>
        <v>2.4.1.1</v>
      </c>
      <c r="F4649" s="3" t="str">
        <f>VLOOKUP(Base_Periodo1[[#This Row],[Aux]],Base_Contas_Balanco[#All],2,FALSE)</f>
        <v>Capital Social Realizado</v>
      </c>
      <c r="G4649" s="1"/>
      <c r="H4649" s="225">
        <v>172.63</v>
      </c>
      <c r="I4649" s="225">
        <v>0</v>
      </c>
      <c r="J4649" s="225">
        <v>0</v>
      </c>
      <c r="K4649" s="225">
        <v>172.63</v>
      </c>
      <c r="L46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172.63</v>
      </c>
      <c r="M4649" s="225">
        <f>ROUND(IF(AND(Base_Periodo1[[#This Row],[Tipo_Linha]]="-",Base_Periodo1[[#This Row],[TIPOSALDO]]="D"),Base_Periodo1[[#This Row],[SALDO_ATUAL]]*-1,Base_Periodo1[[#This Row],[SALDO_ATUAL]]),4)</f>
        <v>172.63</v>
      </c>
      <c r="N4649" t="s">
        <v>116</v>
      </c>
      <c r="O4649" t="s">
        <v>459</v>
      </c>
      <c r="P4649" t="s">
        <v>459</v>
      </c>
      <c r="Q4649">
        <v>6</v>
      </c>
      <c r="R4649" s="225">
        <f>Base_Periodo1[[#This Row],[CREDITOS]]-Base_Periodo1[[#This Row],[DEBITOS]]</f>
        <v>0</v>
      </c>
      <c r="S4649" s="3" t="str">
        <f>IF(ISERROR(VLOOKUP(Base_Periodo1[[#This Row],[CONTA]],BaseContasDRE[#All],4,FALSE)),"Fora do DRE",VLOOKUP(Base_Periodo1[[#This Row],[CONTA]],BaseContasDRE[#All],4,FALSE))</f>
        <v>Fora do DRE</v>
      </c>
      <c r="T4649" s="3" t="str">
        <f>IF(ISERROR(VLOOKUP(Base_Periodo1[[#This Row],[CONTA]],BaseContasDRE[#All],5,FALSE)),"Fora do DRE",VLOOKUP(Base_Periodo1[[#This Row],[CONTA]],BaseContasDRE[#All],6,FALSE))</f>
        <v>Fora do DRE</v>
      </c>
      <c r="U4649" s="3" t="str">
        <f>IF(ISERROR(VLOOKUP(Base_Periodo1[[#This Row],[CONTA]],BaseContasDRE[#All],7,FALSE)),"Fora do DRE",VLOOKUP(Base_Periodo1[[#This Row],[CONTA]],BaseContasDRE[#All],7,FALSE))</f>
        <v>Fora do DRE</v>
      </c>
      <c r="V4649" s="3" t="str">
        <f>IF(Base_Periodo1[[#This Row],[Tipo_Linha]]="Fora do DRE","Fora do DRE","( "&amp;Base_Periodo1[[#This Row],[Tipo_Linha]]&amp;" ) "&amp;Base_Periodo1[[#This Row],[Filtro]])</f>
        <v>Fora do DRE</v>
      </c>
      <c r="W4649" s="3" t="str">
        <f>LEFT(Base_Periodo1[[#This Row],[CLASS]],3)</f>
        <v>2.4</v>
      </c>
    </row>
    <row r="4650" spans="1:23" hidden="1">
      <c r="A4650" s="3" t="str">
        <f t="shared" si="72"/>
        <v>Período 1</v>
      </c>
      <c r="B4650">
        <v>40800</v>
      </c>
      <c r="C4650" t="s">
        <v>2300</v>
      </c>
      <c r="D4650" t="s">
        <v>2596</v>
      </c>
      <c r="E4650" s="3" t="str">
        <f>IF(LEN(Base_Periodo1[[#This Row],[CLASS]])&gt;=7,LEFT(Base_Periodo1[[#This Row],[CLASS]],7),"")</f>
        <v>2.4.1.1</v>
      </c>
      <c r="F4650" s="3" t="str">
        <f>VLOOKUP(Base_Periodo1[[#This Row],[Aux]],Base_Contas_Balanco[#All],2,FALSE)</f>
        <v>Capital Social Realizado</v>
      </c>
      <c r="G4650" s="1"/>
      <c r="H4650" s="225">
        <v>129.06</v>
      </c>
      <c r="I4650" s="225">
        <v>0</v>
      </c>
      <c r="J4650" s="225">
        <v>0</v>
      </c>
      <c r="K4650" s="225">
        <v>129.06</v>
      </c>
      <c r="L46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129.06</v>
      </c>
      <c r="M4650" s="225">
        <f>ROUND(IF(AND(Base_Periodo1[[#This Row],[Tipo_Linha]]="-",Base_Periodo1[[#This Row],[TIPOSALDO]]="D"),Base_Periodo1[[#This Row],[SALDO_ATUAL]]*-1,Base_Periodo1[[#This Row],[SALDO_ATUAL]]),4)</f>
        <v>129.06</v>
      </c>
      <c r="N4650" t="s">
        <v>116</v>
      </c>
      <c r="O4650" t="s">
        <v>459</v>
      </c>
      <c r="P4650" t="s">
        <v>459</v>
      </c>
      <c r="Q4650">
        <v>6</v>
      </c>
      <c r="R4650" s="225">
        <f>Base_Periodo1[[#This Row],[CREDITOS]]-Base_Periodo1[[#This Row],[DEBITOS]]</f>
        <v>0</v>
      </c>
      <c r="S4650" s="3" t="str">
        <f>IF(ISERROR(VLOOKUP(Base_Periodo1[[#This Row],[CONTA]],BaseContasDRE[#All],4,FALSE)),"Fora do DRE",VLOOKUP(Base_Periodo1[[#This Row],[CONTA]],BaseContasDRE[#All],4,FALSE))</f>
        <v>Fora do DRE</v>
      </c>
      <c r="T4650" s="3" t="str">
        <f>IF(ISERROR(VLOOKUP(Base_Periodo1[[#This Row],[CONTA]],BaseContasDRE[#All],5,FALSE)),"Fora do DRE",VLOOKUP(Base_Periodo1[[#This Row],[CONTA]],BaseContasDRE[#All],6,FALSE))</f>
        <v>Fora do DRE</v>
      </c>
      <c r="U4650" s="3" t="str">
        <f>IF(ISERROR(VLOOKUP(Base_Periodo1[[#This Row],[CONTA]],BaseContasDRE[#All],7,FALSE)),"Fora do DRE",VLOOKUP(Base_Periodo1[[#This Row],[CONTA]],BaseContasDRE[#All],7,FALSE))</f>
        <v>Fora do DRE</v>
      </c>
      <c r="V4650" s="3" t="str">
        <f>IF(Base_Periodo1[[#This Row],[Tipo_Linha]]="Fora do DRE","Fora do DRE","( "&amp;Base_Periodo1[[#This Row],[Tipo_Linha]]&amp;" ) "&amp;Base_Periodo1[[#This Row],[Filtro]])</f>
        <v>Fora do DRE</v>
      </c>
      <c r="W4650" s="3" t="str">
        <f>LEFT(Base_Periodo1[[#This Row],[CLASS]],3)</f>
        <v>2.4</v>
      </c>
    </row>
    <row r="4651" spans="1:23" hidden="1">
      <c r="A4651" s="3" t="str">
        <f t="shared" si="72"/>
        <v>Período 1</v>
      </c>
      <c r="B4651">
        <v>40801</v>
      </c>
      <c r="C4651" t="s">
        <v>2300</v>
      </c>
      <c r="D4651" t="s">
        <v>2596</v>
      </c>
      <c r="E4651" s="3" t="str">
        <f>IF(LEN(Base_Periodo1[[#This Row],[CLASS]])&gt;=7,LEFT(Base_Periodo1[[#This Row],[CLASS]],7),"")</f>
        <v>2.4.1.1</v>
      </c>
      <c r="F4651" s="3" t="str">
        <f>VLOOKUP(Base_Periodo1[[#This Row],[Aux]],Base_Contas_Balanco[#All],2,FALSE)</f>
        <v>Capital Social Realizado</v>
      </c>
      <c r="G4651" s="1"/>
      <c r="H4651" s="225">
        <v>22.94</v>
      </c>
      <c r="I4651" s="225">
        <v>0</v>
      </c>
      <c r="J4651" s="225">
        <v>0</v>
      </c>
      <c r="K4651" s="225">
        <v>22.94</v>
      </c>
      <c r="L46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22.94</v>
      </c>
      <c r="M4651" s="225">
        <f>ROUND(IF(AND(Base_Periodo1[[#This Row],[Tipo_Linha]]="-",Base_Periodo1[[#This Row],[TIPOSALDO]]="D"),Base_Periodo1[[#This Row],[SALDO_ATUAL]]*-1,Base_Periodo1[[#This Row],[SALDO_ATUAL]]),4)</f>
        <v>22.94</v>
      </c>
      <c r="N4651" t="s">
        <v>116</v>
      </c>
      <c r="O4651" t="s">
        <v>459</v>
      </c>
      <c r="P4651" t="s">
        <v>459</v>
      </c>
      <c r="Q4651">
        <v>6</v>
      </c>
      <c r="R4651" s="225">
        <f>Base_Periodo1[[#This Row],[CREDITOS]]-Base_Periodo1[[#This Row],[DEBITOS]]</f>
        <v>0</v>
      </c>
      <c r="S4651" s="3" t="str">
        <f>IF(ISERROR(VLOOKUP(Base_Periodo1[[#This Row],[CONTA]],BaseContasDRE[#All],4,FALSE)),"Fora do DRE",VLOOKUP(Base_Periodo1[[#This Row],[CONTA]],BaseContasDRE[#All],4,FALSE))</f>
        <v>Fora do DRE</v>
      </c>
      <c r="T4651" s="3" t="str">
        <f>IF(ISERROR(VLOOKUP(Base_Periodo1[[#This Row],[CONTA]],BaseContasDRE[#All],5,FALSE)),"Fora do DRE",VLOOKUP(Base_Periodo1[[#This Row],[CONTA]],BaseContasDRE[#All],6,FALSE))</f>
        <v>Fora do DRE</v>
      </c>
      <c r="U4651" s="3" t="str">
        <f>IF(ISERROR(VLOOKUP(Base_Periodo1[[#This Row],[CONTA]],BaseContasDRE[#All],7,FALSE)),"Fora do DRE",VLOOKUP(Base_Periodo1[[#This Row],[CONTA]],BaseContasDRE[#All],7,FALSE))</f>
        <v>Fora do DRE</v>
      </c>
      <c r="V4651" s="3" t="str">
        <f>IF(Base_Periodo1[[#This Row],[Tipo_Linha]]="Fora do DRE","Fora do DRE","( "&amp;Base_Periodo1[[#This Row],[Tipo_Linha]]&amp;" ) "&amp;Base_Periodo1[[#This Row],[Filtro]])</f>
        <v>Fora do DRE</v>
      </c>
      <c r="W4651" s="3" t="str">
        <f>LEFT(Base_Periodo1[[#This Row],[CLASS]],3)</f>
        <v>2.4</v>
      </c>
    </row>
    <row r="4652" spans="1:23" hidden="1">
      <c r="A4652" s="3" t="str">
        <f t="shared" si="72"/>
        <v>Período 1</v>
      </c>
      <c r="B4652">
        <v>40802</v>
      </c>
      <c r="C4652" t="s">
        <v>2300</v>
      </c>
      <c r="D4652" t="s">
        <v>2596</v>
      </c>
      <c r="E4652" s="3" t="str">
        <f>IF(LEN(Base_Periodo1[[#This Row],[CLASS]])&gt;=7,LEFT(Base_Periodo1[[#This Row],[CLASS]],7),"")</f>
        <v>2.4.1.1</v>
      </c>
      <c r="F4652" s="3" t="str">
        <f>VLOOKUP(Base_Periodo1[[#This Row],[Aux]],Base_Contas_Balanco[#All],2,FALSE)</f>
        <v>Capital Social Realizado</v>
      </c>
      <c r="G4652" s="1"/>
      <c r="H4652" s="225">
        <v>22.94</v>
      </c>
      <c r="I4652" s="225">
        <v>0</v>
      </c>
      <c r="J4652" s="225">
        <v>0</v>
      </c>
      <c r="K4652" s="225">
        <v>22.94</v>
      </c>
      <c r="L46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22.94</v>
      </c>
      <c r="M4652" s="225">
        <f>ROUND(IF(AND(Base_Periodo1[[#This Row],[Tipo_Linha]]="-",Base_Periodo1[[#This Row],[TIPOSALDO]]="D"),Base_Periodo1[[#This Row],[SALDO_ATUAL]]*-1,Base_Periodo1[[#This Row],[SALDO_ATUAL]]),4)</f>
        <v>22.94</v>
      </c>
      <c r="N4652" t="s">
        <v>116</v>
      </c>
      <c r="O4652" t="s">
        <v>459</v>
      </c>
      <c r="P4652" t="s">
        <v>459</v>
      </c>
      <c r="Q4652">
        <v>6</v>
      </c>
      <c r="R4652" s="225">
        <f>Base_Periodo1[[#This Row],[CREDITOS]]-Base_Periodo1[[#This Row],[DEBITOS]]</f>
        <v>0</v>
      </c>
      <c r="S4652" s="3" t="str">
        <f>IF(ISERROR(VLOOKUP(Base_Periodo1[[#This Row],[CONTA]],BaseContasDRE[#All],4,FALSE)),"Fora do DRE",VLOOKUP(Base_Periodo1[[#This Row],[CONTA]],BaseContasDRE[#All],4,FALSE))</f>
        <v>Fora do DRE</v>
      </c>
      <c r="T4652" s="3" t="str">
        <f>IF(ISERROR(VLOOKUP(Base_Periodo1[[#This Row],[CONTA]],BaseContasDRE[#All],5,FALSE)),"Fora do DRE",VLOOKUP(Base_Periodo1[[#This Row],[CONTA]],BaseContasDRE[#All],6,FALSE))</f>
        <v>Fora do DRE</v>
      </c>
      <c r="U4652" s="3" t="str">
        <f>IF(ISERROR(VLOOKUP(Base_Periodo1[[#This Row],[CONTA]],BaseContasDRE[#All],7,FALSE)),"Fora do DRE",VLOOKUP(Base_Periodo1[[#This Row],[CONTA]],BaseContasDRE[#All],7,FALSE))</f>
        <v>Fora do DRE</v>
      </c>
      <c r="V4652" s="3" t="str">
        <f>IF(Base_Periodo1[[#This Row],[Tipo_Linha]]="Fora do DRE","Fora do DRE","( "&amp;Base_Periodo1[[#This Row],[Tipo_Linha]]&amp;" ) "&amp;Base_Periodo1[[#This Row],[Filtro]])</f>
        <v>Fora do DRE</v>
      </c>
      <c r="W4652" s="3" t="str">
        <f>LEFT(Base_Periodo1[[#This Row],[CLASS]],3)</f>
        <v>2.4</v>
      </c>
    </row>
    <row r="4653" spans="1:23" hidden="1">
      <c r="A4653" s="3" t="str">
        <f t="shared" si="72"/>
        <v>Período 1</v>
      </c>
      <c r="B4653">
        <v>40803</v>
      </c>
      <c r="C4653" t="s">
        <v>2300</v>
      </c>
      <c r="D4653" t="s">
        <v>2596</v>
      </c>
      <c r="E4653" s="3" t="str">
        <f>IF(LEN(Base_Periodo1[[#This Row],[CLASS]])&gt;=7,LEFT(Base_Periodo1[[#This Row],[CLASS]],7),"")</f>
        <v>2.4.1.1</v>
      </c>
      <c r="F4653" s="3" t="str">
        <f>VLOOKUP(Base_Periodo1[[#This Row],[Aux]],Base_Contas_Balanco[#All],2,FALSE)</f>
        <v>Capital Social Realizado</v>
      </c>
      <c r="G4653" s="1"/>
      <c r="H4653" s="225">
        <v>15.29</v>
      </c>
      <c r="I4653" s="225">
        <v>0</v>
      </c>
      <c r="J4653" s="225">
        <v>0</v>
      </c>
      <c r="K4653" s="225">
        <v>15.29</v>
      </c>
      <c r="L46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15.29</v>
      </c>
      <c r="M4653" s="225">
        <f>ROUND(IF(AND(Base_Periodo1[[#This Row],[Tipo_Linha]]="-",Base_Periodo1[[#This Row],[TIPOSALDO]]="D"),Base_Periodo1[[#This Row],[SALDO_ATUAL]]*-1,Base_Periodo1[[#This Row],[SALDO_ATUAL]]),4)</f>
        <v>15.29</v>
      </c>
      <c r="N4653" t="s">
        <v>116</v>
      </c>
      <c r="O4653" t="s">
        <v>459</v>
      </c>
      <c r="P4653" t="s">
        <v>459</v>
      </c>
      <c r="Q4653">
        <v>6</v>
      </c>
      <c r="R4653" s="225">
        <f>Base_Periodo1[[#This Row],[CREDITOS]]-Base_Periodo1[[#This Row],[DEBITOS]]</f>
        <v>0</v>
      </c>
      <c r="S4653" s="3" t="str">
        <f>IF(ISERROR(VLOOKUP(Base_Periodo1[[#This Row],[CONTA]],BaseContasDRE[#All],4,FALSE)),"Fora do DRE",VLOOKUP(Base_Periodo1[[#This Row],[CONTA]],BaseContasDRE[#All],4,FALSE))</f>
        <v>Fora do DRE</v>
      </c>
      <c r="T4653" s="3" t="str">
        <f>IF(ISERROR(VLOOKUP(Base_Periodo1[[#This Row],[CONTA]],BaseContasDRE[#All],5,FALSE)),"Fora do DRE",VLOOKUP(Base_Periodo1[[#This Row],[CONTA]],BaseContasDRE[#All],6,FALSE))</f>
        <v>Fora do DRE</v>
      </c>
      <c r="U4653" s="3" t="str">
        <f>IF(ISERROR(VLOOKUP(Base_Periodo1[[#This Row],[CONTA]],BaseContasDRE[#All],7,FALSE)),"Fora do DRE",VLOOKUP(Base_Periodo1[[#This Row],[CONTA]],BaseContasDRE[#All],7,FALSE))</f>
        <v>Fora do DRE</v>
      </c>
      <c r="V4653" s="3" t="str">
        <f>IF(Base_Periodo1[[#This Row],[Tipo_Linha]]="Fora do DRE","Fora do DRE","( "&amp;Base_Periodo1[[#This Row],[Tipo_Linha]]&amp;" ) "&amp;Base_Periodo1[[#This Row],[Filtro]])</f>
        <v>Fora do DRE</v>
      </c>
      <c r="W4653" s="3" t="str">
        <f>LEFT(Base_Periodo1[[#This Row],[CLASS]],3)</f>
        <v>2.4</v>
      </c>
    </row>
    <row r="4654" spans="1:23" hidden="1">
      <c r="A4654" s="3" t="str">
        <f t="shared" si="72"/>
        <v>Período 1</v>
      </c>
      <c r="B4654">
        <v>40804</v>
      </c>
      <c r="C4654" t="s">
        <v>2300</v>
      </c>
      <c r="D4654" t="s">
        <v>2596</v>
      </c>
      <c r="E4654" s="3" t="str">
        <f>IF(LEN(Base_Periodo1[[#This Row],[CLASS]])&gt;=7,LEFT(Base_Periodo1[[#This Row],[CLASS]],7),"")</f>
        <v>2.4.1.1</v>
      </c>
      <c r="F4654" s="3" t="str">
        <f>VLOOKUP(Base_Periodo1[[#This Row],[Aux]],Base_Contas_Balanco[#All],2,FALSE)</f>
        <v>Capital Social Realizado</v>
      </c>
      <c r="G4654" s="1"/>
      <c r="H4654" s="225">
        <v>25.49</v>
      </c>
      <c r="I4654" s="225">
        <v>0</v>
      </c>
      <c r="J4654" s="225">
        <v>0</v>
      </c>
      <c r="K4654" s="225">
        <v>25.49</v>
      </c>
      <c r="L46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25.49</v>
      </c>
      <c r="M4654" s="225">
        <f>ROUND(IF(AND(Base_Periodo1[[#This Row],[Tipo_Linha]]="-",Base_Periodo1[[#This Row],[TIPOSALDO]]="D"),Base_Periodo1[[#This Row],[SALDO_ATUAL]]*-1,Base_Periodo1[[#This Row],[SALDO_ATUAL]]),4)</f>
        <v>25.49</v>
      </c>
      <c r="N4654" t="s">
        <v>116</v>
      </c>
      <c r="O4654" t="s">
        <v>459</v>
      </c>
      <c r="P4654" t="s">
        <v>459</v>
      </c>
      <c r="Q4654">
        <v>6</v>
      </c>
      <c r="R4654" s="225">
        <f>Base_Periodo1[[#This Row],[CREDITOS]]-Base_Periodo1[[#This Row],[DEBITOS]]</f>
        <v>0</v>
      </c>
      <c r="S4654" s="3" t="str">
        <f>IF(ISERROR(VLOOKUP(Base_Periodo1[[#This Row],[CONTA]],BaseContasDRE[#All],4,FALSE)),"Fora do DRE",VLOOKUP(Base_Periodo1[[#This Row],[CONTA]],BaseContasDRE[#All],4,FALSE))</f>
        <v>Fora do DRE</v>
      </c>
      <c r="T4654" s="3" t="str">
        <f>IF(ISERROR(VLOOKUP(Base_Periodo1[[#This Row],[CONTA]],BaseContasDRE[#All],5,FALSE)),"Fora do DRE",VLOOKUP(Base_Periodo1[[#This Row],[CONTA]],BaseContasDRE[#All],6,FALSE))</f>
        <v>Fora do DRE</v>
      </c>
      <c r="U4654" s="3" t="str">
        <f>IF(ISERROR(VLOOKUP(Base_Periodo1[[#This Row],[CONTA]],BaseContasDRE[#All],7,FALSE)),"Fora do DRE",VLOOKUP(Base_Periodo1[[#This Row],[CONTA]],BaseContasDRE[#All],7,FALSE))</f>
        <v>Fora do DRE</v>
      </c>
      <c r="V4654" s="3" t="str">
        <f>IF(Base_Periodo1[[#This Row],[Tipo_Linha]]="Fora do DRE","Fora do DRE","( "&amp;Base_Periodo1[[#This Row],[Tipo_Linha]]&amp;" ) "&amp;Base_Periodo1[[#This Row],[Filtro]])</f>
        <v>Fora do DRE</v>
      </c>
      <c r="W4654" s="3" t="str">
        <f>LEFT(Base_Periodo1[[#This Row],[CLASS]],3)</f>
        <v>2.4</v>
      </c>
    </row>
    <row r="4655" spans="1:23" hidden="1">
      <c r="A4655" s="3" t="str">
        <f t="shared" si="72"/>
        <v>Período 1</v>
      </c>
      <c r="B4655">
        <v>25205</v>
      </c>
      <c r="C4655" t="s">
        <v>2300</v>
      </c>
      <c r="D4655" t="s">
        <v>2597</v>
      </c>
      <c r="E4655" s="3" t="str">
        <f>IF(LEN(Base_Periodo1[[#This Row],[CLASS]])&gt;=7,LEFT(Base_Periodo1[[#This Row],[CLASS]],7),"")</f>
        <v>2.4.1.1</v>
      </c>
      <c r="F4655" s="3" t="str">
        <f>VLOOKUP(Base_Periodo1[[#This Row],[Aux]],Base_Contas_Balanco[#All],2,FALSE)</f>
        <v>Capital Social Realizado</v>
      </c>
      <c r="G4655" s="1"/>
      <c r="H4655" s="225">
        <v>500</v>
      </c>
      <c r="I4655" s="225">
        <v>0</v>
      </c>
      <c r="J4655" s="225">
        <v>0</v>
      </c>
      <c r="K4655" s="225">
        <v>500</v>
      </c>
      <c r="L46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4655" s="225">
        <f>ROUND(IF(AND(Base_Periodo1[[#This Row],[Tipo_Linha]]="-",Base_Periodo1[[#This Row],[TIPOSALDO]]="D"),Base_Periodo1[[#This Row],[SALDO_ATUAL]]*-1,Base_Periodo1[[#This Row],[SALDO_ATUAL]]),4)</f>
        <v>500</v>
      </c>
      <c r="N4655" t="s">
        <v>116</v>
      </c>
      <c r="O4655" t="s">
        <v>459</v>
      </c>
      <c r="P4655" t="s">
        <v>459</v>
      </c>
      <c r="Q4655">
        <v>6</v>
      </c>
      <c r="R4655" s="225">
        <f>Base_Periodo1[[#This Row],[CREDITOS]]-Base_Periodo1[[#This Row],[DEBITOS]]</f>
        <v>0</v>
      </c>
      <c r="S4655" s="3" t="str">
        <f>IF(ISERROR(VLOOKUP(Base_Periodo1[[#This Row],[CONTA]],BaseContasDRE[#All],4,FALSE)),"Fora do DRE",VLOOKUP(Base_Periodo1[[#This Row],[CONTA]],BaseContasDRE[#All],4,FALSE))</f>
        <v>Fora do DRE</v>
      </c>
      <c r="T4655" s="3" t="str">
        <f>IF(ISERROR(VLOOKUP(Base_Periodo1[[#This Row],[CONTA]],BaseContasDRE[#All],5,FALSE)),"Fora do DRE",VLOOKUP(Base_Periodo1[[#This Row],[CONTA]],BaseContasDRE[#All],6,FALSE))</f>
        <v>Fora do DRE</v>
      </c>
      <c r="U4655" s="3" t="str">
        <f>IF(ISERROR(VLOOKUP(Base_Periodo1[[#This Row],[CONTA]],BaseContasDRE[#All],7,FALSE)),"Fora do DRE",VLOOKUP(Base_Periodo1[[#This Row],[CONTA]],BaseContasDRE[#All],7,FALSE))</f>
        <v>Fora do DRE</v>
      </c>
      <c r="V4655" s="3" t="str">
        <f>IF(Base_Periodo1[[#This Row],[Tipo_Linha]]="Fora do DRE","Fora do DRE","( "&amp;Base_Periodo1[[#This Row],[Tipo_Linha]]&amp;" ) "&amp;Base_Periodo1[[#This Row],[Filtro]])</f>
        <v>Fora do DRE</v>
      </c>
      <c r="W4655" s="3" t="str">
        <f>LEFT(Base_Periodo1[[#This Row],[CLASS]],3)</f>
        <v>2.4</v>
      </c>
    </row>
    <row r="4656" spans="1:23" hidden="1">
      <c r="A4656" s="3" t="str">
        <f t="shared" si="72"/>
        <v>Período 1</v>
      </c>
      <c r="B4656">
        <v>19336</v>
      </c>
      <c r="C4656" t="s">
        <v>2300</v>
      </c>
      <c r="D4656" t="s">
        <v>2598</v>
      </c>
      <c r="E4656" s="3" t="str">
        <f>IF(LEN(Base_Periodo1[[#This Row],[CLASS]])&gt;=7,LEFT(Base_Periodo1[[#This Row],[CLASS]],7),"")</f>
        <v>2.4.1.1</v>
      </c>
      <c r="F4656" s="3" t="str">
        <f>VLOOKUP(Base_Periodo1[[#This Row],[Aux]],Base_Contas_Balanco[#All],2,FALSE)</f>
        <v>Capital Social Realizado</v>
      </c>
      <c r="G4656" s="1"/>
      <c r="H4656" s="225">
        <v>278.76</v>
      </c>
      <c r="I4656" s="225">
        <v>0</v>
      </c>
      <c r="J4656" s="225">
        <v>0</v>
      </c>
      <c r="K4656" s="225">
        <v>278.76</v>
      </c>
      <c r="L46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278.76</v>
      </c>
      <c r="M4656" s="225">
        <f>ROUND(IF(AND(Base_Periodo1[[#This Row],[Tipo_Linha]]="-",Base_Periodo1[[#This Row],[TIPOSALDO]]="D"),Base_Periodo1[[#This Row],[SALDO_ATUAL]]*-1,Base_Periodo1[[#This Row],[SALDO_ATUAL]]),4)</f>
        <v>278.76</v>
      </c>
      <c r="N4656" t="s">
        <v>116</v>
      </c>
      <c r="O4656" t="s">
        <v>459</v>
      </c>
      <c r="P4656" t="s">
        <v>459</v>
      </c>
      <c r="Q4656">
        <v>6</v>
      </c>
      <c r="R4656" s="225">
        <f>Base_Periodo1[[#This Row],[CREDITOS]]-Base_Periodo1[[#This Row],[DEBITOS]]</f>
        <v>0</v>
      </c>
      <c r="S4656" s="3" t="str">
        <f>IF(ISERROR(VLOOKUP(Base_Periodo1[[#This Row],[CONTA]],BaseContasDRE[#All],4,FALSE)),"Fora do DRE",VLOOKUP(Base_Periodo1[[#This Row],[CONTA]],BaseContasDRE[#All],4,FALSE))</f>
        <v>Fora do DRE</v>
      </c>
      <c r="T4656" s="3" t="str">
        <f>IF(ISERROR(VLOOKUP(Base_Periodo1[[#This Row],[CONTA]],BaseContasDRE[#All],5,FALSE)),"Fora do DRE",VLOOKUP(Base_Periodo1[[#This Row],[CONTA]],BaseContasDRE[#All],6,FALSE))</f>
        <v>Fora do DRE</v>
      </c>
      <c r="U4656" s="3" t="str">
        <f>IF(ISERROR(VLOOKUP(Base_Periodo1[[#This Row],[CONTA]],BaseContasDRE[#All],7,FALSE)),"Fora do DRE",VLOOKUP(Base_Periodo1[[#This Row],[CONTA]],BaseContasDRE[#All],7,FALSE))</f>
        <v>Fora do DRE</v>
      </c>
      <c r="V4656" s="3" t="str">
        <f>IF(Base_Periodo1[[#This Row],[Tipo_Linha]]="Fora do DRE","Fora do DRE","( "&amp;Base_Periodo1[[#This Row],[Tipo_Linha]]&amp;" ) "&amp;Base_Periodo1[[#This Row],[Filtro]])</f>
        <v>Fora do DRE</v>
      </c>
      <c r="W4656" s="3" t="str">
        <f>LEFT(Base_Periodo1[[#This Row],[CLASS]],3)</f>
        <v>2.4</v>
      </c>
    </row>
    <row r="4657" spans="1:23" hidden="1">
      <c r="A4657" s="3" t="str">
        <f t="shared" si="72"/>
        <v>Período 1</v>
      </c>
      <c r="B4657">
        <v>25213</v>
      </c>
      <c r="C4657" t="s">
        <v>2300</v>
      </c>
      <c r="D4657" t="s">
        <v>2599</v>
      </c>
      <c r="E4657" s="3" t="str">
        <f>IF(LEN(Base_Periodo1[[#This Row],[CLASS]])&gt;=7,LEFT(Base_Periodo1[[#This Row],[CLASS]],7),"")</f>
        <v>2.4.1.1</v>
      </c>
      <c r="F4657" s="3" t="str">
        <f>VLOOKUP(Base_Periodo1[[#This Row],[Aux]],Base_Contas_Balanco[#All],2,FALSE)</f>
        <v>Capital Social Realizado</v>
      </c>
      <c r="G4657" s="1"/>
      <c r="H4657" s="225">
        <v>474.31</v>
      </c>
      <c r="I4657" s="225">
        <v>0</v>
      </c>
      <c r="J4657" s="225">
        <v>0</v>
      </c>
      <c r="K4657" s="225">
        <v>474.31</v>
      </c>
      <c r="L46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474.31</v>
      </c>
      <c r="M4657" s="225">
        <f>ROUND(IF(AND(Base_Periodo1[[#This Row],[Tipo_Linha]]="-",Base_Periodo1[[#This Row],[TIPOSALDO]]="D"),Base_Periodo1[[#This Row],[SALDO_ATUAL]]*-1,Base_Periodo1[[#This Row],[SALDO_ATUAL]]),4)</f>
        <v>474.31</v>
      </c>
      <c r="N4657" t="s">
        <v>116</v>
      </c>
      <c r="O4657" t="s">
        <v>459</v>
      </c>
      <c r="P4657" t="s">
        <v>459</v>
      </c>
      <c r="Q4657">
        <v>6</v>
      </c>
      <c r="R4657" s="225">
        <f>Base_Periodo1[[#This Row],[CREDITOS]]-Base_Periodo1[[#This Row],[DEBITOS]]</f>
        <v>0</v>
      </c>
      <c r="S4657" s="3" t="str">
        <f>IF(ISERROR(VLOOKUP(Base_Periodo1[[#This Row],[CONTA]],BaseContasDRE[#All],4,FALSE)),"Fora do DRE",VLOOKUP(Base_Periodo1[[#This Row],[CONTA]],BaseContasDRE[#All],4,FALSE))</f>
        <v>Fora do DRE</v>
      </c>
      <c r="T4657" s="3" t="str">
        <f>IF(ISERROR(VLOOKUP(Base_Periodo1[[#This Row],[CONTA]],BaseContasDRE[#All],5,FALSE)),"Fora do DRE",VLOOKUP(Base_Periodo1[[#This Row],[CONTA]],BaseContasDRE[#All],6,FALSE))</f>
        <v>Fora do DRE</v>
      </c>
      <c r="U4657" s="3" t="str">
        <f>IF(ISERROR(VLOOKUP(Base_Periodo1[[#This Row],[CONTA]],BaseContasDRE[#All],7,FALSE)),"Fora do DRE",VLOOKUP(Base_Periodo1[[#This Row],[CONTA]],BaseContasDRE[#All],7,FALSE))</f>
        <v>Fora do DRE</v>
      </c>
      <c r="V4657" s="3" t="str">
        <f>IF(Base_Periodo1[[#This Row],[Tipo_Linha]]="Fora do DRE","Fora do DRE","( "&amp;Base_Periodo1[[#This Row],[Tipo_Linha]]&amp;" ) "&amp;Base_Periodo1[[#This Row],[Filtro]])</f>
        <v>Fora do DRE</v>
      </c>
      <c r="W4657" s="3" t="str">
        <f>LEFT(Base_Periodo1[[#This Row],[CLASS]],3)</f>
        <v>2.4</v>
      </c>
    </row>
    <row r="4658" spans="1:23" hidden="1">
      <c r="A4658" s="3" t="str">
        <f t="shared" si="72"/>
        <v>Período 1</v>
      </c>
      <c r="B4658">
        <v>16382</v>
      </c>
      <c r="C4658" t="s">
        <v>2300</v>
      </c>
      <c r="D4658" t="s">
        <v>2600</v>
      </c>
      <c r="E4658" s="3" t="str">
        <f>IF(LEN(Base_Periodo1[[#This Row],[CLASS]])&gt;=7,LEFT(Base_Periodo1[[#This Row],[CLASS]],7),"")</f>
        <v>2.4.1.1</v>
      </c>
      <c r="F4658" s="3" t="str">
        <f>VLOOKUP(Base_Periodo1[[#This Row],[Aux]],Base_Contas_Balanco[#All],2,FALSE)</f>
        <v>Capital Social Realizado</v>
      </c>
      <c r="G4658" s="1"/>
      <c r="H4658" s="225">
        <v>4186.99</v>
      </c>
      <c r="I4658" s="225">
        <v>0</v>
      </c>
      <c r="J4658" s="225">
        <v>0</v>
      </c>
      <c r="K4658" s="225">
        <v>4186.99</v>
      </c>
      <c r="L46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4186.99</v>
      </c>
      <c r="M4658" s="225">
        <f>ROUND(IF(AND(Base_Periodo1[[#This Row],[Tipo_Linha]]="-",Base_Periodo1[[#This Row],[TIPOSALDO]]="D"),Base_Periodo1[[#This Row],[SALDO_ATUAL]]*-1,Base_Periodo1[[#This Row],[SALDO_ATUAL]]),4)</f>
        <v>4186.99</v>
      </c>
      <c r="N4658" t="s">
        <v>116</v>
      </c>
      <c r="O4658" t="s">
        <v>459</v>
      </c>
      <c r="P4658" t="s">
        <v>459</v>
      </c>
      <c r="Q4658">
        <v>6</v>
      </c>
      <c r="R4658" s="225">
        <f>Base_Periodo1[[#This Row],[CREDITOS]]-Base_Periodo1[[#This Row],[DEBITOS]]</f>
        <v>0</v>
      </c>
      <c r="S4658" s="3" t="str">
        <f>IF(ISERROR(VLOOKUP(Base_Periodo1[[#This Row],[CONTA]],BaseContasDRE[#All],4,FALSE)),"Fora do DRE",VLOOKUP(Base_Periodo1[[#This Row],[CONTA]],BaseContasDRE[#All],4,FALSE))</f>
        <v>Fora do DRE</v>
      </c>
      <c r="T4658" s="3" t="str">
        <f>IF(ISERROR(VLOOKUP(Base_Periodo1[[#This Row],[CONTA]],BaseContasDRE[#All],5,FALSE)),"Fora do DRE",VLOOKUP(Base_Periodo1[[#This Row],[CONTA]],BaseContasDRE[#All],6,FALSE))</f>
        <v>Fora do DRE</v>
      </c>
      <c r="U4658" s="3" t="str">
        <f>IF(ISERROR(VLOOKUP(Base_Periodo1[[#This Row],[CONTA]],BaseContasDRE[#All],7,FALSE)),"Fora do DRE",VLOOKUP(Base_Periodo1[[#This Row],[CONTA]],BaseContasDRE[#All],7,FALSE))</f>
        <v>Fora do DRE</v>
      </c>
      <c r="V4658" s="3" t="str">
        <f>IF(Base_Periodo1[[#This Row],[Tipo_Linha]]="Fora do DRE","Fora do DRE","( "&amp;Base_Periodo1[[#This Row],[Tipo_Linha]]&amp;" ) "&amp;Base_Periodo1[[#This Row],[Filtro]])</f>
        <v>Fora do DRE</v>
      </c>
      <c r="W4658" s="3" t="str">
        <f>LEFT(Base_Periodo1[[#This Row],[CLASS]],3)</f>
        <v>2.4</v>
      </c>
    </row>
    <row r="4659" spans="1:23" hidden="1">
      <c r="A4659" s="3" t="str">
        <f t="shared" si="72"/>
        <v>Período 1</v>
      </c>
      <c r="B4659">
        <v>24628</v>
      </c>
      <c r="C4659" t="s">
        <v>2300</v>
      </c>
      <c r="D4659" t="s">
        <v>2601</v>
      </c>
      <c r="E4659" s="3" t="str">
        <f>IF(LEN(Base_Periodo1[[#This Row],[CLASS]])&gt;=7,LEFT(Base_Periodo1[[#This Row],[CLASS]],7),"")</f>
        <v>2.4.1.1</v>
      </c>
      <c r="F4659" s="3" t="str">
        <f>VLOOKUP(Base_Periodo1[[#This Row],[Aux]],Base_Contas_Balanco[#All],2,FALSE)</f>
        <v>Capital Social Realizado</v>
      </c>
      <c r="G4659" s="1"/>
      <c r="H4659" s="225">
        <v>567.42000000000007</v>
      </c>
      <c r="I4659" s="225">
        <v>0</v>
      </c>
      <c r="J4659" s="225">
        <v>0</v>
      </c>
      <c r="K4659" s="225">
        <v>567.42000000000007</v>
      </c>
      <c r="L46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567.41999999999996</v>
      </c>
      <c r="M4659" s="225">
        <f>ROUND(IF(AND(Base_Periodo1[[#This Row],[Tipo_Linha]]="-",Base_Periodo1[[#This Row],[TIPOSALDO]]="D"),Base_Periodo1[[#This Row],[SALDO_ATUAL]]*-1,Base_Periodo1[[#This Row],[SALDO_ATUAL]]),4)</f>
        <v>567.41999999999996</v>
      </c>
      <c r="N4659" t="s">
        <v>116</v>
      </c>
      <c r="O4659" t="s">
        <v>459</v>
      </c>
      <c r="P4659" t="s">
        <v>459</v>
      </c>
      <c r="Q4659">
        <v>6</v>
      </c>
      <c r="R4659" s="225">
        <f>Base_Periodo1[[#This Row],[CREDITOS]]-Base_Periodo1[[#This Row],[DEBITOS]]</f>
        <v>0</v>
      </c>
      <c r="S4659" s="3" t="str">
        <f>IF(ISERROR(VLOOKUP(Base_Periodo1[[#This Row],[CONTA]],BaseContasDRE[#All],4,FALSE)),"Fora do DRE",VLOOKUP(Base_Periodo1[[#This Row],[CONTA]],BaseContasDRE[#All],4,FALSE))</f>
        <v>Fora do DRE</v>
      </c>
      <c r="T4659" s="3" t="str">
        <f>IF(ISERROR(VLOOKUP(Base_Periodo1[[#This Row],[CONTA]],BaseContasDRE[#All],5,FALSE)),"Fora do DRE",VLOOKUP(Base_Periodo1[[#This Row],[CONTA]],BaseContasDRE[#All],6,FALSE))</f>
        <v>Fora do DRE</v>
      </c>
      <c r="U4659" s="3" t="str">
        <f>IF(ISERROR(VLOOKUP(Base_Periodo1[[#This Row],[CONTA]],BaseContasDRE[#All],7,FALSE)),"Fora do DRE",VLOOKUP(Base_Periodo1[[#This Row],[CONTA]],BaseContasDRE[#All],7,FALSE))</f>
        <v>Fora do DRE</v>
      </c>
      <c r="V4659" s="3" t="str">
        <f>IF(Base_Periodo1[[#This Row],[Tipo_Linha]]="Fora do DRE","Fora do DRE","( "&amp;Base_Periodo1[[#This Row],[Tipo_Linha]]&amp;" ) "&amp;Base_Periodo1[[#This Row],[Filtro]])</f>
        <v>Fora do DRE</v>
      </c>
      <c r="W4659" s="3" t="str">
        <f>LEFT(Base_Periodo1[[#This Row],[CLASS]],3)</f>
        <v>2.4</v>
      </c>
    </row>
    <row r="4660" spans="1:23" hidden="1">
      <c r="A4660" s="3" t="str">
        <f t="shared" si="72"/>
        <v>Período 1</v>
      </c>
      <c r="B4660">
        <v>39852</v>
      </c>
      <c r="C4660" t="s">
        <v>2300</v>
      </c>
      <c r="D4660" t="s">
        <v>2602</v>
      </c>
      <c r="E4660" s="3" t="str">
        <f>IF(LEN(Base_Periodo1[[#This Row],[CLASS]])&gt;=7,LEFT(Base_Periodo1[[#This Row],[CLASS]],7),"")</f>
        <v>2.4.1.1</v>
      </c>
      <c r="F4660" s="3" t="str">
        <f>VLOOKUP(Base_Periodo1[[#This Row],[Aux]],Base_Contas_Balanco[#All],2,FALSE)</f>
        <v>Capital Social Realizado</v>
      </c>
      <c r="G4660" s="1"/>
      <c r="H4660" s="225">
        <v>746.51</v>
      </c>
      <c r="I4660" s="225">
        <v>0</v>
      </c>
      <c r="J4660" s="225">
        <v>0</v>
      </c>
      <c r="K4660" s="225">
        <v>746.51</v>
      </c>
      <c r="L46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746.51</v>
      </c>
      <c r="M4660" s="225">
        <f>ROUND(IF(AND(Base_Periodo1[[#This Row],[Tipo_Linha]]="-",Base_Periodo1[[#This Row],[TIPOSALDO]]="D"),Base_Periodo1[[#This Row],[SALDO_ATUAL]]*-1,Base_Periodo1[[#This Row],[SALDO_ATUAL]]),4)</f>
        <v>746.51</v>
      </c>
      <c r="N4660" t="s">
        <v>116</v>
      </c>
      <c r="O4660" t="s">
        <v>459</v>
      </c>
      <c r="P4660" t="s">
        <v>459</v>
      </c>
      <c r="Q4660">
        <v>6</v>
      </c>
      <c r="R4660" s="225">
        <f>Base_Periodo1[[#This Row],[CREDITOS]]-Base_Periodo1[[#This Row],[DEBITOS]]</f>
        <v>0</v>
      </c>
      <c r="S4660" s="3" t="str">
        <f>IF(ISERROR(VLOOKUP(Base_Periodo1[[#This Row],[CONTA]],BaseContasDRE[#All],4,FALSE)),"Fora do DRE",VLOOKUP(Base_Periodo1[[#This Row],[CONTA]],BaseContasDRE[#All],4,FALSE))</f>
        <v>Fora do DRE</v>
      </c>
      <c r="T4660" s="3" t="str">
        <f>IF(ISERROR(VLOOKUP(Base_Periodo1[[#This Row],[CONTA]],BaseContasDRE[#All],5,FALSE)),"Fora do DRE",VLOOKUP(Base_Periodo1[[#This Row],[CONTA]],BaseContasDRE[#All],6,FALSE))</f>
        <v>Fora do DRE</v>
      </c>
      <c r="U4660" s="3" t="str">
        <f>IF(ISERROR(VLOOKUP(Base_Periodo1[[#This Row],[CONTA]],BaseContasDRE[#All],7,FALSE)),"Fora do DRE",VLOOKUP(Base_Periodo1[[#This Row],[CONTA]],BaseContasDRE[#All],7,FALSE))</f>
        <v>Fora do DRE</v>
      </c>
      <c r="V4660" s="3" t="str">
        <f>IF(Base_Periodo1[[#This Row],[Tipo_Linha]]="Fora do DRE","Fora do DRE","( "&amp;Base_Periodo1[[#This Row],[Tipo_Linha]]&amp;" ) "&amp;Base_Periodo1[[#This Row],[Filtro]])</f>
        <v>Fora do DRE</v>
      </c>
      <c r="W4660" s="3" t="str">
        <f>LEFT(Base_Periodo1[[#This Row],[CLASS]],3)</f>
        <v>2.4</v>
      </c>
    </row>
    <row r="4661" spans="1:23" hidden="1">
      <c r="A4661" s="3" t="str">
        <f t="shared" si="72"/>
        <v>Período 1</v>
      </c>
      <c r="B4661">
        <v>18407</v>
      </c>
      <c r="C4661" t="s">
        <v>2300</v>
      </c>
      <c r="D4661" t="s">
        <v>2603</v>
      </c>
      <c r="E4661" s="3" t="str">
        <f>IF(LEN(Base_Periodo1[[#This Row],[CLASS]])&gt;=7,LEFT(Base_Periodo1[[#This Row],[CLASS]],7),"")</f>
        <v>2.4.1.1</v>
      </c>
      <c r="F4661" s="3" t="str">
        <f>VLOOKUP(Base_Periodo1[[#This Row],[Aux]],Base_Contas_Balanco[#All],2,FALSE)</f>
        <v>Capital Social Realizado</v>
      </c>
      <c r="G4661" s="1"/>
      <c r="H4661" s="225">
        <v>8418.91</v>
      </c>
      <c r="I4661" s="225">
        <v>0</v>
      </c>
      <c r="J4661" s="225">
        <v>0</v>
      </c>
      <c r="K4661" s="225">
        <v>8418.91</v>
      </c>
      <c r="L46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8418.91</v>
      </c>
      <c r="M4661" s="225">
        <f>ROUND(IF(AND(Base_Periodo1[[#This Row],[Tipo_Linha]]="-",Base_Periodo1[[#This Row],[TIPOSALDO]]="D"),Base_Periodo1[[#This Row],[SALDO_ATUAL]]*-1,Base_Periodo1[[#This Row],[SALDO_ATUAL]]),4)</f>
        <v>8418.91</v>
      </c>
      <c r="N4661" t="s">
        <v>116</v>
      </c>
      <c r="O4661" t="s">
        <v>459</v>
      </c>
      <c r="P4661" t="s">
        <v>459</v>
      </c>
      <c r="Q4661">
        <v>6</v>
      </c>
      <c r="R4661" s="225">
        <f>Base_Periodo1[[#This Row],[CREDITOS]]-Base_Periodo1[[#This Row],[DEBITOS]]</f>
        <v>0</v>
      </c>
      <c r="S4661" s="3" t="str">
        <f>IF(ISERROR(VLOOKUP(Base_Periodo1[[#This Row],[CONTA]],BaseContasDRE[#All],4,FALSE)),"Fora do DRE",VLOOKUP(Base_Periodo1[[#This Row],[CONTA]],BaseContasDRE[#All],4,FALSE))</f>
        <v>Fora do DRE</v>
      </c>
      <c r="T4661" s="3" t="str">
        <f>IF(ISERROR(VLOOKUP(Base_Periodo1[[#This Row],[CONTA]],BaseContasDRE[#All],5,FALSE)),"Fora do DRE",VLOOKUP(Base_Periodo1[[#This Row],[CONTA]],BaseContasDRE[#All],6,FALSE))</f>
        <v>Fora do DRE</v>
      </c>
      <c r="U4661" s="3" t="str">
        <f>IF(ISERROR(VLOOKUP(Base_Periodo1[[#This Row],[CONTA]],BaseContasDRE[#All],7,FALSE)),"Fora do DRE",VLOOKUP(Base_Periodo1[[#This Row],[CONTA]],BaseContasDRE[#All],7,FALSE))</f>
        <v>Fora do DRE</v>
      </c>
      <c r="V4661" s="3" t="str">
        <f>IF(Base_Periodo1[[#This Row],[Tipo_Linha]]="Fora do DRE","Fora do DRE","( "&amp;Base_Periodo1[[#This Row],[Tipo_Linha]]&amp;" ) "&amp;Base_Periodo1[[#This Row],[Filtro]])</f>
        <v>Fora do DRE</v>
      </c>
      <c r="W4661" s="3" t="str">
        <f>LEFT(Base_Periodo1[[#This Row],[CLASS]],3)</f>
        <v>2.4</v>
      </c>
    </row>
    <row r="4662" spans="1:23" hidden="1">
      <c r="A4662" s="3" t="str">
        <f t="shared" si="72"/>
        <v>Período 1</v>
      </c>
      <c r="B4662">
        <v>50096</v>
      </c>
      <c r="C4662" t="s">
        <v>2300</v>
      </c>
      <c r="D4662" t="s">
        <v>4374</v>
      </c>
      <c r="E4662" s="3" t="str">
        <f>IF(LEN(Base_Periodo1[[#This Row],[CLASS]])&gt;=7,LEFT(Base_Periodo1[[#This Row],[CLASS]],7),"")</f>
        <v>2.4.1.1</v>
      </c>
      <c r="F4662" s="3" t="str">
        <f>VLOOKUP(Base_Periodo1[[#This Row],[Aux]],Base_Contas_Balanco[#All],2,FALSE)</f>
        <v>Capital Social Realizado</v>
      </c>
      <c r="G4662" s="1"/>
      <c r="H4662" s="225">
        <v>240</v>
      </c>
      <c r="I4662" s="225">
        <v>0</v>
      </c>
      <c r="J4662" s="225">
        <v>0</v>
      </c>
      <c r="K4662" s="225">
        <v>240</v>
      </c>
      <c r="L46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662" s="225">
        <f>ROUND(IF(AND(Base_Periodo1[[#This Row],[Tipo_Linha]]="-",Base_Periodo1[[#This Row],[TIPOSALDO]]="D"),Base_Periodo1[[#This Row],[SALDO_ATUAL]]*-1,Base_Periodo1[[#This Row],[SALDO_ATUAL]]),4)</f>
        <v>240</v>
      </c>
      <c r="N4662" t="s">
        <v>116</v>
      </c>
      <c r="O4662" t="s">
        <v>459</v>
      </c>
      <c r="P4662" t="s">
        <v>459</v>
      </c>
      <c r="Q4662">
        <v>6</v>
      </c>
      <c r="R4662" s="225">
        <f>Base_Periodo1[[#This Row],[CREDITOS]]-Base_Periodo1[[#This Row],[DEBITOS]]</f>
        <v>0</v>
      </c>
      <c r="S4662" s="3" t="str">
        <f>IF(ISERROR(VLOOKUP(Base_Periodo1[[#This Row],[CONTA]],BaseContasDRE[#All],4,FALSE)),"Fora do DRE",VLOOKUP(Base_Periodo1[[#This Row],[CONTA]],BaseContasDRE[#All],4,FALSE))</f>
        <v>Fora do DRE</v>
      </c>
      <c r="T4662" s="3" t="str">
        <f>IF(ISERROR(VLOOKUP(Base_Periodo1[[#This Row],[CONTA]],BaseContasDRE[#All],5,FALSE)),"Fora do DRE",VLOOKUP(Base_Periodo1[[#This Row],[CONTA]],BaseContasDRE[#All],6,FALSE))</f>
        <v>Fora do DRE</v>
      </c>
      <c r="U4662" s="3" t="str">
        <f>IF(ISERROR(VLOOKUP(Base_Periodo1[[#This Row],[CONTA]],BaseContasDRE[#All],7,FALSE)),"Fora do DRE",VLOOKUP(Base_Periodo1[[#This Row],[CONTA]],BaseContasDRE[#All],7,FALSE))</f>
        <v>Fora do DRE</v>
      </c>
      <c r="V4662" s="3" t="str">
        <f>IF(Base_Periodo1[[#This Row],[Tipo_Linha]]="Fora do DRE","Fora do DRE","( "&amp;Base_Periodo1[[#This Row],[Tipo_Linha]]&amp;" ) "&amp;Base_Periodo1[[#This Row],[Filtro]])</f>
        <v>Fora do DRE</v>
      </c>
      <c r="W4662" s="3" t="str">
        <f>LEFT(Base_Periodo1[[#This Row],[CLASS]],3)</f>
        <v>2.4</v>
      </c>
    </row>
    <row r="4663" spans="1:23" hidden="1">
      <c r="A4663" s="3" t="str">
        <f t="shared" si="72"/>
        <v>Período 1</v>
      </c>
      <c r="B4663">
        <v>48126</v>
      </c>
      <c r="C4663" t="s">
        <v>2300</v>
      </c>
      <c r="D4663" t="s">
        <v>2604</v>
      </c>
      <c r="E4663" s="3" t="str">
        <f>IF(LEN(Base_Periodo1[[#This Row],[CLASS]])&gt;=7,LEFT(Base_Periodo1[[#This Row],[CLASS]],7),"")</f>
        <v>2.4.1.1</v>
      </c>
      <c r="F4663" s="3" t="str">
        <f>VLOOKUP(Base_Periodo1[[#This Row],[Aux]],Base_Contas_Balanco[#All],2,FALSE)</f>
        <v>Capital Social Realizado</v>
      </c>
      <c r="G4663" s="1"/>
      <c r="H4663" s="225">
        <v>186.58</v>
      </c>
      <c r="I4663" s="225">
        <v>0</v>
      </c>
      <c r="J4663" s="225">
        <v>0</v>
      </c>
      <c r="K4663" s="225">
        <v>186.58</v>
      </c>
      <c r="L46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186.58</v>
      </c>
      <c r="M4663" s="225">
        <f>ROUND(IF(AND(Base_Periodo1[[#This Row],[Tipo_Linha]]="-",Base_Periodo1[[#This Row],[TIPOSALDO]]="D"),Base_Periodo1[[#This Row],[SALDO_ATUAL]]*-1,Base_Periodo1[[#This Row],[SALDO_ATUAL]]),4)</f>
        <v>186.58</v>
      </c>
      <c r="N4663" t="s">
        <v>116</v>
      </c>
      <c r="O4663" t="s">
        <v>459</v>
      </c>
      <c r="P4663" t="s">
        <v>459</v>
      </c>
      <c r="Q4663">
        <v>6</v>
      </c>
      <c r="R4663" s="225">
        <f>Base_Periodo1[[#This Row],[CREDITOS]]-Base_Periodo1[[#This Row],[DEBITOS]]</f>
        <v>0</v>
      </c>
      <c r="S4663" s="3" t="str">
        <f>IF(ISERROR(VLOOKUP(Base_Periodo1[[#This Row],[CONTA]],BaseContasDRE[#All],4,FALSE)),"Fora do DRE",VLOOKUP(Base_Periodo1[[#This Row],[CONTA]],BaseContasDRE[#All],4,FALSE))</f>
        <v>Fora do DRE</v>
      </c>
      <c r="T4663" s="3" t="str">
        <f>IF(ISERROR(VLOOKUP(Base_Periodo1[[#This Row],[CONTA]],BaseContasDRE[#All],5,FALSE)),"Fora do DRE",VLOOKUP(Base_Periodo1[[#This Row],[CONTA]],BaseContasDRE[#All],6,FALSE))</f>
        <v>Fora do DRE</v>
      </c>
      <c r="U4663" s="3" t="str">
        <f>IF(ISERROR(VLOOKUP(Base_Periodo1[[#This Row],[CONTA]],BaseContasDRE[#All],7,FALSE)),"Fora do DRE",VLOOKUP(Base_Periodo1[[#This Row],[CONTA]],BaseContasDRE[#All],7,FALSE))</f>
        <v>Fora do DRE</v>
      </c>
      <c r="V4663" s="3" t="str">
        <f>IF(Base_Periodo1[[#This Row],[Tipo_Linha]]="Fora do DRE","Fora do DRE","( "&amp;Base_Periodo1[[#This Row],[Tipo_Linha]]&amp;" ) "&amp;Base_Periodo1[[#This Row],[Filtro]])</f>
        <v>Fora do DRE</v>
      </c>
      <c r="W4663" s="3" t="str">
        <f>LEFT(Base_Periodo1[[#This Row],[CLASS]],3)</f>
        <v>2.4</v>
      </c>
    </row>
    <row r="4664" spans="1:23" hidden="1">
      <c r="A4664" s="3" t="str">
        <f t="shared" si="72"/>
        <v>Período 1</v>
      </c>
      <c r="B4664">
        <v>29910</v>
      </c>
      <c r="C4664" t="s">
        <v>2300</v>
      </c>
      <c r="D4664" t="s">
        <v>2605</v>
      </c>
      <c r="E4664" s="3" t="str">
        <f>IF(LEN(Base_Periodo1[[#This Row],[CLASS]])&gt;=7,LEFT(Base_Periodo1[[#This Row],[CLASS]],7),"")</f>
        <v>2.4.1.1</v>
      </c>
      <c r="F4664" s="3" t="str">
        <f>VLOOKUP(Base_Periodo1[[#This Row],[Aux]],Base_Contas_Balanco[#All],2,FALSE)</f>
        <v>Capital Social Realizado</v>
      </c>
      <c r="G4664" s="1"/>
      <c r="H4664" s="225">
        <v>500</v>
      </c>
      <c r="I4664" s="225">
        <v>0</v>
      </c>
      <c r="J4664" s="225">
        <v>0</v>
      </c>
      <c r="K4664" s="225">
        <v>500</v>
      </c>
      <c r="L46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4664" s="225">
        <f>ROUND(IF(AND(Base_Periodo1[[#This Row],[Tipo_Linha]]="-",Base_Periodo1[[#This Row],[TIPOSALDO]]="D"),Base_Periodo1[[#This Row],[SALDO_ATUAL]]*-1,Base_Periodo1[[#This Row],[SALDO_ATUAL]]),4)</f>
        <v>500</v>
      </c>
      <c r="N4664" t="s">
        <v>116</v>
      </c>
      <c r="O4664" t="s">
        <v>459</v>
      </c>
      <c r="P4664" t="s">
        <v>459</v>
      </c>
      <c r="Q4664">
        <v>6</v>
      </c>
      <c r="R4664" s="225">
        <f>Base_Periodo1[[#This Row],[CREDITOS]]-Base_Periodo1[[#This Row],[DEBITOS]]</f>
        <v>0</v>
      </c>
      <c r="S4664" s="3" t="str">
        <f>IF(ISERROR(VLOOKUP(Base_Periodo1[[#This Row],[CONTA]],BaseContasDRE[#All],4,FALSE)),"Fora do DRE",VLOOKUP(Base_Periodo1[[#This Row],[CONTA]],BaseContasDRE[#All],4,FALSE))</f>
        <v>Fora do DRE</v>
      </c>
      <c r="T4664" s="3" t="str">
        <f>IF(ISERROR(VLOOKUP(Base_Periodo1[[#This Row],[CONTA]],BaseContasDRE[#All],5,FALSE)),"Fora do DRE",VLOOKUP(Base_Periodo1[[#This Row],[CONTA]],BaseContasDRE[#All],6,FALSE))</f>
        <v>Fora do DRE</v>
      </c>
      <c r="U4664" s="3" t="str">
        <f>IF(ISERROR(VLOOKUP(Base_Periodo1[[#This Row],[CONTA]],BaseContasDRE[#All],7,FALSE)),"Fora do DRE",VLOOKUP(Base_Periodo1[[#This Row],[CONTA]],BaseContasDRE[#All],7,FALSE))</f>
        <v>Fora do DRE</v>
      </c>
      <c r="V4664" s="3" t="str">
        <f>IF(Base_Periodo1[[#This Row],[Tipo_Linha]]="Fora do DRE","Fora do DRE","( "&amp;Base_Periodo1[[#This Row],[Tipo_Linha]]&amp;" ) "&amp;Base_Periodo1[[#This Row],[Filtro]])</f>
        <v>Fora do DRE</v>
      </c>
      <c r="W4664" s="3" t="str">
        <f>LEFT(Base_Periodo1[[#This Row],[CLASS]],3)</f>
        <v>2.4</v>
      </c>
    </row>
    <row r="4665" spans="1:23" hidden="1">
      <c r="A4665" s="3" t="str">
        <f t="shared" si="72"/>
        <v>Período 1</v>
      </c>
      <c r="B4665">
        <v>16165</v>
      </c>
      <c r="C4665" t="s">
        <v>2300</v>
      </c>
      <c r="D4665" t="s">
        <v>2606</v>
      </c>
      <c r="E4665" s="3" t="str">
        <f>IF(LEN(Base_Periodo1[[#This Row],[CLASS]])&gt;=7,LEFT(Base_Periodo1[[#This Row],[CLASS]],7),"")</f>
        <v>2.4.1.1</v>
      </c>
      <c r="F4665" s="3" t="str">
        <f>VLOOKUP(Base_Periodo1[[#This Row],[Aux]],Base_Contas_Balanco[#All],2,FALSE)</f>
        <v>Capital Social Realizado</v>
      </c>
      <c r="G4665" s="1"/>
      <c r="H4665" s="225">
        <v>32057.5</v>
      </c>
      <c r="I4665" s="225">
        <v>0</v>
      </c>
      <c r="J4665" s="225">
        <v>0</v>
      </c>
      <c r="K4665" s="225">
        <v>32057.5</v>
      </c>
      <c r="L46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32057.5</v>
      </c>
      <c r="M4665" s="225">
        <f>ROUND(IF(AND(Base_Periodo1[[#This Row],[Tipo_Linha]]="-",Base_Periodo1[[#This Row],[TIPOSALDO]]="D"),Base_Periodo1[[#This Row],[SALDO_ATUAL]]*-1,Base_Periodo1[[#This Row],[SALDO_ATUAL]]),4)</f>
        <v>32057.5</v>
      </c>
      <c r="N4665" t="s">
        <v>116</v>
      </c>
      <c r="O4665" t="s">
        <v>459</v>
      </c>
      <c r="P4665" t="s">
        <v>459</v>
      </c>
      <c r="Q4665">
        <v>6</v>
      </c>
      <c r="R4665" s="225">
        <f>Base_Periodo1[[#This Row],[CREDITOS]]-Base_Periodo1[[#This Row],[DEBITOS]]</f>
        <v>0</v>
      </c>
      <c r="S4665" s="3" t="str">
        <f>IF(ISERROR(VLOOKUP(Base_Periodo1[[#This Row],[CONTA]],BaseContasDRE[#All],4,FALSE)),"Fora do DRE",VLOOKUP(Base_Periodo1[[#This Row],[CONTA]],BaseContasDRE[#All],4,FALSE))</f>
        <v>Fora do DRE</v>
      </c>
      <c r="T4665" s="3" t="str">
        <f>IF(ISERROR(VLOOKUP(Base_Periodo1[[#This Row],[CONTA]],BaseContasDRE[#All],5,FALSE)),"Fora do DRE",VLOOKUP(Base_Periodo1[[#This Row],[CONTA]],BaseContasDRE[#All],6,FALSE))</f>
        <v>Fora do DRE</v>
      </c>
      <c r="U4665" s="3" t="str">
        <f>IF(ISERROR(VLOOKUP(Base_Periodo1[[#This Row],[CONTA]],BaseContasDRE[#All],7,FALSE)),"Fora do DRE",VLOOKUP(Base_Periodo1[[#This Row],[CONTA]],BaseContasDRE[#All],7,FALSE))</f>
        <v>Fora do DRE</v>
      </c>
      <c r="V4665" s="3" t="str">
        <f>IF(Base_Periodo1[[#This Row],[Tipo_Linha]]="Fora do DRE","Fora do DRE","( "&amp;Base_Periodo1[[#This Row],[Tipo_Linha]]&amp;" ) "&amp;Base_Periodo1[[#This Row],[Filtro]])</f>
        <v>Fora do DRE</v>
      </c>
      <c r="W4665" s="3" t="str">
        <f>LEFT(Base_Periodo1[[#This Row],[CLASS]],3)</f>
        <v>2.4</v>
      </c>
    </row>
    <row r="4666" spans="1:23" hidden="1">
      <c r="A4666" s="3" t="str">
        <f t="shared" si="72"/>
        <v>Período 1</v>
      </c>
      <c r="B4666">
        <v>25525</v>
      </c>
      <c r="C4666" t="s">
        <v>2300</v>
      </c>
      <c r="D4666" t="s">
        <v>2607</v>
      </c>
      <c r="E4666" s="3" t="str">
        <f>IF(LEN(Base_Periodo1[[#This Row],[CLASS]])&gt;=7,LEFT(Base_Periodo1[[#This Row],[CLASS]],7),"")</f>
        <v>2.4.1.1</v>
      </c>
      <c r="F4666" s="3" t="str">
        <f>VLOOKUP(Base_Periodo1[[#This Row],[Aux]],Base_Contas_Balanco[#All],2,FALSE)</f>
        <v>Capital Social Realizado</v>
      </c>
      <c r="G4666" s="1"/>
      <c r="H4666" s="225">
        <v>133.20999999999998</v>
      </c>
      <c r="I4666" s="225">
        <v>0</v>
      </c>
      <c r="J4666" s="225">
        <v>0</v>
      </c>
      <c r="K4666" s="225">
        <v>133.20999999999998</v>
      </c>
      <c r="L46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133.21</v>
      </c>
      <c r="M4666" s="225">
        <f>ROUND(IF(AND(Base_Periodo1[[#This Row],[Tipo_Linha]]="-",Base_Periodo1[[#This Row],[TIPOSALDO]]="D"),Base_Periodo1[[#This Row],[SALDO_ATUAL]]*-1,Base_Periodo1[[#This Row],[SALDO_ATUAL]]),4)</f>
        <v>133.21</v>
      </c>
      <c r="N4666" t="s">
        <v>116</v>
      </c>
      <c r="O4666" t="s">
        <v>459</v>
      </c>
      <c r="P4666" t="s">
        <v>459</v>
      </c>
      <c r="Q4666">
        <v>6</v>
      </c>
      <c r="R4666" s="225">
        <f>Base_Periodo1[[#This Row],[CREDITOS]]-Base_Periodo1[[#This Row],[DEBITOS]]</f>
        <v>0</v>
      </c>
      <c r="S4666" s="3" t="str">
        <f>IF(ISERROR(VLOOKUP(Base_Periodo1[[#This Row],[CONTA]],BaseContasDRE[#All],4,FALSE)),"Fora do DRE",VLOOKUP(Base_Periodo1[[#This Row],[CONTA]],BaseContasDRE[#All],4,FALSE))</f>
        <v>Fora do DRE</v>
      </c>
      <c r="T4666" s="3" t="str">
        <f>IF(ISERROR(VLOOKUP(Base_Periodo1[[#This Row],[CONTA]],BaseContasDRE[#All],5,FALSE)),"Fora do DRE",VLOOKUP(Base_Periodo1[[#This Row],[CONTA]],BaseContasDRE[#All],6,FALSE))</f>
        <v>Fora do DRE</v>
      </c>
      <c r="U4666" s="3" t="str">
        <f>IF(ISERROR(VLOOKUP(Base_Periodo1[[#This Row],[CONTA]],BaseContasDRE[#All],7,FALSE)),"Fora do DRE",VLOOKUP(Base_Periodo1[[#This Row],[CONTA]],BaseContasDRE[#All],7,FALSE))</f>
        <v>Fora do DRE</v>
      </c>
      <c r="V4666" s="3" t="str">
        <f>IF(Base_Periodo1[[#This Row],[Tipo_Linha]]="Fora do DRE","Fora do DRE","( "&amp;Base_Periodo1[[#This Row],[Tipo_Linha]]&amp;" ) "&amp;Base_Periodo1[[#This Row],[Filtro]])</f>
        <v>Fora do DRE</v>
      </c>
      <c r="W4666" s="3" t="str">
        <f>LEFT(Base_Periodo1[[#This Row],[CLASS]],3)</f>
        <v>2.4</v>
      </c>
    </row>
    <row r="4667" spans="1:23" hidden="1">
      <c r="A4667" s="3" t="str">
        <f t="shared" si="72"/>
        <v>Período 1</v>
      </c>
      <c r="B4667">
        <v>16015</v>
      </c>
      <c r="C4667" t="s">
        <v>2300</v>
      </c>
      <c r="D4667" t="s">
        <v>2608</v>
      </c>
      <c r="E4667" s="3" t="str">
        <f>IF(LEN(Base_Periodo1[[#This Row],[CLASS]])&gt;=7,LEFT(Base_Periodo1[[#This Row],[CLASS]],7),"")</f>
        <v>2.4.1.1</v>
      </c>
      <c r="F4667" s="3" t="str">
        <f>VLOOKUP(Base_Periodo1[[#This Row],[Aux]],Base_Contas_Balanco[#All],2,FALSE)</f>
        <v>Capital Social Realizado</v>
      </c>
      <c r="G4667" s="1"/>
      <c r="H4667" s="225">
        <v>7192.1399999999994</v>
      </c>
      <c r="I4667" s="225">
        <v>0</v>
      </c>
      <c r="J4667" s="225">
        <v>0</v>
      </c>
      <c r="K4667" s="225">
        <v>7192.1399999999994</v>
      </c>
      <c r="L46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7192.14</v>
      </c>
      <c r="M4667" s="225">
        <f>ROUND(IF(AND(Base_Periodo1[[#This Row],[Tipo_Linha]]="-",Base_Periodo1[[#This Row],[TIPOSALDO]]="D"),Base_Periodo1[[#This Row],[SALDO_ATUAL]]*-1,Base_Periodo1[[#This Row],[SALDO_ATUAL]]),4)</f>
        <v>7192.14</v>
      </c>
      <c r="N4667" t="s">
        <v>116</v>
      </c>
      <c r="O4667" t="s">
        <v>459</v>
      </c>
      <c r="P4667" t="s">
        <v>459</v>
      </c>
      <c r="Q4667">
        <v>6</v>
      </c>
      <c r="R4667" s="225">
        <f>Base_Periodo1[[#This Row],[CREDITOS]]-Base_Periodo1[[#This Row],[DEBITOS]]</f>
        <v>0</v>
      </c>
      <c r="S4667" s="3" t="str">
        <f>IF(ISERROR(VLOOKUP(Base_Periodo1[[#This Row],[CONTA]],BaseContasDRE[#All],4,FALSE)),"Fora do DRE",VLOOKUP(Base_Periodo1[[#This Row],[CONTA]],BaseContasDRE[#All],4,FALSE))</f>
        <v>Fora do DRE</v>
      </c>
      <c r="T4667" s="3" t="str">
        <f>IF(ISERROR(VLOOKUP(Base_Periodo1[[#This Row],[CONTA]],BaseContasDRE[#All],5,FALSE)),"Fora do DRE",VLOOKUP(Base_Periodo1[[#This Row],[CONTA]],BaseContasDRE[#All],6,FALSE))</f>
        <v>Fora do DRE</v>
      </c>
      <c r="U4667" s="3" t="str">
        <f>IF(ISERROR(VLOOKUP(Base_Periodo1[[#This Row],[CONTA]],BaseContasDRE[#All],7,FALSE)),"Fora do DRE",VLOOKUP(Base_Periodo1[[#This Row],[CONTA]],BaseContasDRE[#All],7,FALSE))</f>
        <v>Fora do DRE</v>
      </c>
      <c r="V4667" s="3" t="str">
        <f>IF(Base_Periodo1[[#This Row],[Tipo_Linha]]="Fora do DRE","Fora do DRE","( "&amp;Base_Periodo1[[#This Row],[Tipo_Linha]]&amp;" ) "&amp;Base_Periodo1[[#This Row],[Filtro]])</f>
        <v>Fora do DRE</v>
      </c>
      <c r="W4667" s="3" t="str">
        <f>LEFT(Base_Periodo1[[#This Row],[CLASS]],3)</f>
        <v>2.4</v>
      </c>
    </row>
    <row r="4668" spans="1:23" hidden="1">
      <c r="A4668" s="3" t="str">
        <f t="shared" si="72"/>
        <v>Período 1</v>
      </c>
      <c r="B4668">
        <v>16079</v>
      </c>
      <c r="C4668" t="s">
        <v>2300</v>
      </c>
      <c r="D4668" t="s">
        <v>2609</v>
      </c>
      <c r="E4668" s="3" t="str">
        <f>IF(LEN(Base_Periodo1[[#This Row],[CLASS]])&gt;=7,LEFT(Base_Periodo1[[#This Row],[CLASS]],7),"")</f>
        <v>2.4.1.1</v>
      </c>
      <c r="F4668" s="3" t="str">
        <f>VLOOKUP(Base_Periodo1[[#This Row],[Aux]],Base_Contas_Balanco[#All],2,FALSE)</f>
        <v>Capital Social Realizado</v>
      </c>
      <c r="G4668" s="1"/>
      <c r="H4668" s="225">
        <v>1098.8800000000001</v>
      </c>
      <c r="I4668" s="225">
        <v>0</v>
      </c>
      <c r="J4668" s="225">
        <v>0</v>
      </c>
      <c r="K4668" s="225">
        <v>1098.8800000000001</v>
      </c>
      <c r="L46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1098.8800000000001</v>
      </c>
      <c r="M4668" s="225">
        <f>ROUND(IF(AND(Base_Periodo1[[#This Row],[Tipo_Linha]]="-",Base_Periodo1[[#This Row],[TIPOSALDO]]="D"),Base_Periodo1[[#This Row],[SALDO_ATUAL]]*-1,Base_Periodo1[[#This Row],[SALDO_ATUAL]]),4)</f>
        <v>1098.8800000000001</v>
      </c>
      <c r="N4668" t="s">
        <v>116</v>
      </c>
      <c r="O4668" t="s">
        <v>459</v>
      </c>
      <c r="P4668" t="s">
        <v>459</v>
      </c>
      <c r="Q4668">
        <v>6</v>
      </c>
      <c r="R4668" s="225">
        <f>Base_Periodo1[[#This Row],[CREDITOS]]-Base_Periodo1[[#This Row],[DEBITOS]]</f>
        <v>0</v>
      </c>
      <c r="S4668" s="3" t="str">
        <f>IF(ISERROR(VLOOKUP(Base_Periodo1[[#This Row],[CONTA]],BaseContasDRE[#All],4,FALSE)),"Fora do DRE",VLOOKUP(Base_Periodo1[[#This Row],[CONTA]],BaseContasDRE[#All],4,FALSE))</f>
        <v>Fora do DRE</v>
      </c>
      <c r="T4668" s="3" t="str">
        <f>IF(ISERROR(VLOOKUP(Base_Periodo1[[#This Row],[CONTA]],BaseContasDRE[#All],5,FALSE)),"Fora do DRE",VLOOKUP(Base_Periodo1[[#This Row],[CONTA]],BaseContasDRE[#All],6,FALSE))</f>
        <v>Fora do DRE</v>
      </c>
      <c r="U4668" s="3" t="str">
        <f>IF(ISERROR(VLOOKUP(Base_Periodo1[[#This Row],[CONTA]],BaseContasDRE[#All],7,FALSE)),"Fora do DRE",VLOOKUP(Base_Periodo1[[#This Row],[CONTA]],BaseContasDRE[#All],7,FALSE))</f>
        <v>Fora do DRE</v>
      </c>
      <c r="V4668" s="3" t="str">
        <f>IF(Base_Periodo1[[#This Row],[Tipo_Linha]]="Fora do DRE","Fora do DRE","( "&amp;Base_Periodo1[[#This Row],[Tipo_Linha]]&amp;" ) "&amp;Base_Periodo1[[#This Row],[Filtro]])</f>
        <v>Fora do DRE</v>
      </c>
      <c r="W4668" s="3" t="str">
        <f>LEFT(Base_Periodo1[[#This Row],[CLASS]],3)</f>
        <v>2.4</v>
      </c>
    </row>
    <row r="4669" spans="1:23" hidden="1">
      <c r="A4669" s="3" t="str">
        <f t="shared" si="72"/>
        <v>Período 1</v>
      </c>
      <c r="B4669">
        <v>16059</v>
      </c>
      <c r="C4669" t="s">
        <v>2300</v>
      </c>
      <c r="D4669" t="s">
        <v>2610</v>
      </c>
      <c r="E4669" s="3" t="str">
        <f>IF(LEN(Base_Periodo1[[#This Row],[CLASS]])&gt;=7,LEFT(Base_Periodo1[[#This Row],[CLASS]],7),"")</f>
        <v>2.4.1.1</v>
      </c>
      <c r="F4669" s="3" t="str">
        <f>VLOOKUP(Base_Periodo1[[#This Row],[Aux]],Base_Contas_Balanco[#All],2,FALSE)</f>
        <v>Capital Social Realizado</v>
      </c>
      <c r="G4669" s="1"/>
      <c r="H4669" s="225">
        <v>3189.2</v>
      </c>
      <c r="I4669" s="225">
        <v>0</v>
      </c>
      <c r="J4669" s="225">
        <v>0</v>
      </c>
      <c r="K4669" s="225">
        <v>3189.2</v>
      </c>
      <c r="L46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3189.2</v>
      </c>
      <c r="M4669" s="225">
        <f>ROUND(IF(AND(Base_Periodo1[[#This Row],[Tipo_Linha]]="-",Base_Periodo1[[#This Row],[TIPOSALDO]]="D"),Base_Periodo1[[#This Row],[SALDO_ATUAL]]*-1,Base_Periodo1[[#This Row],[SALDO_ATUAL]]),4)</f>
        <v>3189.2</v>
      </c>
      <c r="N4669" t="s">
        <v>116</v>
      </c>
      <c r="O4669" t="s">
        <v>459</v>
      </c>
      <c r="P4669" t="s">
        <v>459</v>
      </c>
      <c r="Q4669">
        <v>6</v>
      </c>
      <c r="R4669" s="225">
        <f>Base_Periodo1[[#This Row],[CREDITOS]]-Base_Periodo1[[#This Row],[DEBITOS]]</f>
        <v>0</v>
      </c>
      <c r="S4669" s="3" t="str">
        <f>IF(ISERROR(VLOOKUP(Base_Periodo1[[#This Row],[CONTA]],BaseContasDRE[#All],4,FALSE)),"Fora do DRE",VLOOKUP(Base_Periodo1[[#This Row],[CONTA]],BaseContasDRE[#All],4,FALSE))</f>
        <v>Fora do DRE</v>
      </c>
      <c r="T4669" s="3" t="str">
        <f>IF(ISERROR(VLOOKUP(Base_Periodo1[[#This Row],[CONTA]],BaseContasDRE[#All],5,FALSE)),"Fora do DRE",VLOOKUP(Base_Periodo1[[#This Row],[CONTA]],BaseContasDRE[#All],6,FALSE))</f>
        <v>Fora do DRE</v>
      </c>
      <c r="U4669" s="3" t="str">
        <f>IF(ISERROR(VLOOKUP(Base_Periodo1[[#This Row],[CONTA]],BaseContasDRE[#All],7,FALSE)),"Fora do DRE",VLOOKUP(Base_Periodo1[[#This Row],[CONTA]],BaseContasDRE[#All],7,FALSE))</f>
        <v>Fora do DRE</v>
      </c>
      <c r="V4669" s="3" t="str">
        <f>IF(Base_Periodo1[[#This Row],[Tipo_Linha]]="Fora do DRE","Fora do DRE","( "&amp;Base_Periodo1[[#This Row],[Tipo_Linha]]&amp;" ) "&amp;Base_Periodo1[[#This Row],[Filtro]])</f>
        <v>Fora do DRE</v>
      </c>
      <c r="W4669" s="3" t="str">
        <f>LEFT(Base_Periodo1[[#This Row],[CLASS]],3)</f>
        <v>2.4</v>
      </c>
    </row>
    <row r="4670" spans="1:23" hidden="1">
      <c r="A4670" s="3" t="str">
        <f t="shared" si="72"/>
        <v>Período 1</v>
      </c>
      <c r="B4670">
        <v>46969</v>
      </c>
      <c r="C4670" t="s">
        <v>2300</v>
      </c>
      <c r="D4670" t="s">
        <v>2611</v>
      </c>
      <c r="E4670" s="3" t="str">
        <f>IF(LEN(Base_Periodo1[[#This Row],[CLASS]])&gt;=7,LEFT(Base_Periodo1[[#This Row],[CLASS]],7),"")</f>
        <v>2.4.1.1</v>
      </c>
      <c r="F4670" s="3" t="str">
        <f>VLOOKUP(Base_Periodo1[[#This Row],[Aux]],Base_Contas_Balanco[#All],2,FALSE)</f>
        <v>Capital Social Realizado</v>
      </c>
      <c r="G4670" s="1"/>
      <c r="H4670" s="225">
        <v>99.85</v>
      </c>
      <c r="I4670" s="225">
        <v>0</v>
      </c>
      <c r="J4670" s="225">
        <v>0</v>
      </c>
      <c r="K4670" s="225">
        <v>99.85</v>
      </c>
      <c r="L46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99.85</v>
      </c>
      <c r="M4670" s="225">
        <f>ROUND(IF(AND(Base_Periodo1[[#This Row],[Tipo_Linha]]="-",Base_Periodo1[[#This Row],[TIPOSALDO]]="D"),Base_Periodo1[[#This Row],[SALDO_ATUAL]]*-1,Base_Periodo1[[#This Row],[SALDO_ATUAL]]),4)</f>
        <v>99.85</v>
      </c>
      <c r="N4670" t="s">
        <v>116</v>
      </c>
      <c r="O4670" t="s">
        <v>459</v>
      </c>
      <c r="P4670" t="s">
        <v>459</v>
      </c>
      <c r="Q4670">
        <v>6</v>
      </c>
      <c r="R4670" s="225">
        <f>Base_Periodo1[[#This Row],[CREDITOS]]-Base_Periodo1[[#This Row],[DEBITOS]]</f>
        <v>0</v>
      </c>
      <c r="S4670" s="3" t="str">
        <f>IF(ISERROR(VLOOKUP(Base_Periodo1[[#This Row],[CONTA]],BaseContasDRE[#All],4,FALSE)),"Fora do DRE",VLOOKUP(Base_Periodo1[[#This Row],[CONTA]],BaseContasDRE[#All],4,FALSE))</f>
        <v>Fora do DRE</v>
      </c>
      <c r="T4670" s="3" t="str">
        <f>IF(ISERROR(VLOOKUP(Base_Periodo1[[#This Row],[CONTA]],BaseContasDRE[#All],5,FALSE)),"Fora do DRE",VLOOKUP(Base_Periodo1[[#This Row],[CONTA]],BaseContasDRE[#All],6,FALSE))</f>
        <v>Fora do DRE</v>
      </c>
      <c r="U4670" s="3" t="str">
        <f>IF(ISERROR(VLOOKUP(Base_Periodo1[[#This Row],[CONTA]],BaseContasDRE[#All],7,FALSE)),"Fora do DRE",VLOOKUP(Base_Periodo1[[#This Row],[CONTA]],BaseContasDRE[#All],7,FALSE))</f>
        <v>Fora do DRE</v>
      </c>
      <c r="V4670" s="3" t="str">
        <f>IF(Base_Periodo1[[#This Row],[Tipo_Linha]]="Fora do DRE","Fora do DRE","( "&amp;Base_Periodo1[[#This Row],[Tipo_Linha]]&amp;" ) "&amp;Base_Periodo1[[#This Row],[Filtro]])</f>
        <v>Fora do DRE</v>
      </c>
      <c r="W4670" s="3" t="str">
        <f>LEFT(Base_Periodo1[[#This Row],[CLASS]],3)</f>
        <v>2.4</v>
      </c>
    </row>
    <row r="4671" spans="1:23" hidden="1">
      <c r="A4671" s="3" t="str">
        <f t="shared" si="72"/>
        <v>Período 1</v>
      </c>
      <c r="B4671">
        <v>19340</v>
      </c>
      <c r="C4671" t="s">
        <v>2300</v>
      </c>
      <c r="D4671" t="s">
        <v>2612</v>
      </c>
      <c r="E4671" s="3" t="str">
        <f>IF(LEN(Base_Periodo1[[#This Row],[CLASS]])&gt;=7,LEFT(Base_Periodo1[[#This Row],[CLASS]],7),"")</f>
        <v>2.4.1.1</v>
      </c>
      <c r="F4671" s="3" t="str">
        <f>VLOOKUP(Base_Periodo1[[#This Row],[Aux]],Base_Contas_Balanco[#All],2,FALSE)</f>
        <v>Capital Social Realizado</v>
      </c>
      <c r="G4671" s="1"/>
      <c r="H4671" s="225">
        <v>335.16</v>
      </c>
      <c r="I4671" s="225">
        <v>0</v>
      </c>
      <c r="J4671" s="225">
        <v>0</v>
      </c>
      <c r="K4671" s="225">
        <v>335.16</v>
      </c>
      <c r="L46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335.16</v>
      </c>
      <c r="M4671" s="225">
        <f>ROUND(IF(AND(Base_Periodo1[[#This Row],[Tipo_Linha]]="-",Base_Periodo1[[#This Row],[TIPOSALDO]]="D"),Base_Periodo1[[#This Row],[SALDO_ATUAL]]*-1,Base_Periodo1[[#This Row],[SALDO_ATUAL]]),4)</f>
        <v>335.16</v>
      </c>
      <c r="N4671" t="s">
        <v>116</v>
      </c>
      <c r="O4671" t="s">
        <v>459</v>
      </c>
      <c r="P4671" t="s">
        <v>459</v>
      </c>
      <c r="Q4671">
        <v>6</v>
      </c>
      <c r="R4671" s="225">
        <f>Base_Periodo1[[#This Row],[CREDITOS]]-Base_Periodo1[[#This Row],[DEBITOS]]</f>
        <v>0</v>
      </c>
      <c r="S4671" s="3" t="str">
        <f>IF(ISERROR(VLOOKUP(Base_Periodo1[[#This Row],[CONTA]],BaseContasDRE[#All],4,FALSE)),"Fora do DRE",VLOOKUP(Base_Periodo1[[#This Row],[CONTA]],BaseContasDRE[#All],4,FALSE))</f>
        <v>Fora do DRE</v>
      </c>
      <c r="T4671" s="3" t="str">
        <f>IF(ISERROR(VLOOKUP(Base_Periodo1[[#This Row],[CONTA]],BaseContasDRE[#All],5,FALSE)),"Fora do DRE",VLOOKUP(Base_Periodo1[[#This Row],[CONTA]],BaseContasDRE[#All],6,FALSE))</f>
        <v>Fora do DRE</v>
      </c>
      <c r="U4671" s="3" t="str">
        <f>IF(ISERROR(VLOOKUP(Base_Periodo1[[#This Row],[CONTA]],BaseContasDRE[#All],7,FALSE)),"Fora do DRE",VLOOKUP(Base_Periodo1[[#This Row],[CONTA]],BaseContasDRE[#All],7,FALSE))</f>
        <v>Fora do DRE</v>
      </c>
      <c r="V4671" s="3" t="str">
        <f>IF(Base_Periodo1[[#This Row],[Tipo_Linha]]="Fora do DRE","Fora do DRE","( "&amp;Base_Periodo1[[#This Row],[Tipo_Linha]]&amp;" ) "&amp;Base_Periodo1[[#This Row],[Filtro]])</f>
        <v>Fora do DRE</v>
      </c>
      <c r="W4671" s="3" t="str">
        <f>LEFT(Base_Periodo1[[#This Row],[CLASS]],3)</f>
        <v>2.4</v>
      </c>
    </row>
    <row r="4672" spans="1:23" hidden="1">
      <c r="A4672" s="3" t="str">
        <f t="shared" si="72"/>
        <v>Período 1</v>
      </c>
      <c r="B4672">
        <v>19792</v>
      </c>
      <c r="C4672" t="s">
        <v>2300</v>
      </c>
      <c r="D4672" t="s">
        <v>2613</v>
      </c>
      <c r="E4672" s="3" t="str">
        <f>IF(LEN(Base_Periodo1[[#This Row],[CLASS]])&gt;=7,LEFT(Base_Periodo1[[#This Row],[CLASS]],7),"")</f>
        <v>2.4.1.1</v>
      </c>
      <c r="F4672" s="3" t="str">
        <f>VLOOKUP(Base_Periodo1[[#This Row],[Aux]],Base_Contas_Balanco[#All],2,FALSE)</f>
        <v>Capital Social Realizado</v>
      </c>
      <c r="G4672" s="1"/>
      <c r="H4672" s="225">
        <v>60.72</v>
      </c>
      <c r="I4672" s="225">
        <v>0</v>
      </c>
      <c r="J4672" s="225">
        <v>0</v>
      </c>
      <c r="K4672" s="225">
        <v>60.72</v>
      </c>
      <c r="L46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60.72</v>
      </c>
      <c r="M4672" s="225">
        <f>ROUND(IF(AND(Base_Periodo1[[#This Row],[Tipo_Linha]]="-",Base_Periodo1[[#This Row],[TIPOSALDO]]="D"),Base_Periodo1[[#This Row],[SALDO_ATUAL]]*-1,Base_Periodo1[[#This Row],[SALDO_ATUAL]]),4)</f>
        <v>60.72</v>
      </c>
      <c r="N4672" t="s">
        <v>116</v>
      </c>
      <c r="O4672" t="s">
        <v>459</v>
      </c>
      <c r="P4672" t="s">
        <v>459</v>
      </c>
      <c r="Q4672">
        <v>6</v>
      </c>
      <c r="R4672" s="225">
        <f>Base_Periodo1[[#This Row],[CREDITOS]]-Base_Periodo1[[#This Row],[DEBITOS]]</f>
        <v>0</v>
      </c>
      <c r="S4672" s="3" t="str">
        <f>IF(ISERROR(VLOOKUP(Base_Periodo1[[#This Row],[CONTA]],BaseContasDRE[#All],4,FALSE)),"Fora do DRE",VLOOKUP(Base_Periodo1[[#This Row],[CONTA]],BaseContasDRE[#All],4,FALSE))</f>
        <v>Fora do DRE</v>
      </c>
      <c r="T4672" s="3" t="str">
        <f>IF(ISERROR(VLOOKUP(Base_Periodo1[[#This Row],[CONTA]],BaseContasDRE[#All],5,FALSE)),"Fora do DRE",VLOOKUP(Base_Periodo1[[#This Row],[CONTA]],BaseContasDRE[#All],6,FALSE))</f>
        <v>Fora do DRE</v>
      </c>
      <c r="U4672" s="3" t="str">
        <f>IF(ISERROR(VLOOKUP(Base_Periodo1[[#This Row],[CONTA]],BaseContasDRE[#All],7,FALSE)),"Fora do DRE",VLOOKUP(Base_Periodo1[[#This Row],[CONTA]],BaseContasDRE[#All],7,FALSE))</f>
        <v>Fora do DRE</v>
      </c>
      <c r="V4672" s="3" t="str">
        <f>IF(Base_Periodo1[[#This Row],[Tipo_Linha]]="Fora do DRE","Fora do DRE","( "&amp;Base_Periodo1[[#This Row],[Tipo_Linha]]&amp;" ) "&amp;Base_Periodo1[[#This Row],[Filtro]])</f>
        <v>Fora do DRE</v>
      </c>
      <c r="W4672" s="3" t="str">
        <f>LEFT(Base_Periodo1[[#This Row],[CLASS]],3)</f>
        <v>2.4</v>
      </c>
    </row>
    <row r="4673" spans="1:23" hidden="1">
      <c r="A4673" s="3" t="str">
        <f t="shared" si="72"/>
        <v>Período 1</v>
      </c>
      <c r="B4673">
        <v>48291</v>
      </c>
      <c r="C4673" t="s">
        <v>2300</v>
      </c>
      <c r="D4673" t="s">
        <v>2614</v>
      </c>
      <c r="E4673" s="3" t="str">
        <f>IF(LEN(Base_Periodo1[[#This Row],[CLASS]])&gt;=7,LEFT(Base_Periodo1[[#This Row],[CLASS]],7),"")</f>
        <v>2.4.1.1</v>
      </c>
      <c r="F4673" s="3" t="str">
        <f>VLOOKUP(Base_Periodo1[[#This Row],[Aux]],Base_Contas_Balanco[#All],2,FALSE)</f>
        <v>Capital Social Realizado</v>
      </c>
      <c r="G4673" s="1"/>
      <c r="H4673" s="225">
        <v>275.11</v>
      </c>
      <c r="I4673" s="225">
        <v>0</v>
      </c>
      <c r="J4673" s="225">
        <v>0</v>
      </c>
      <c r="K4673" s="225">
        <v>275.11</v>
      </c>
      <c r="L46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275.11</v>
      </c>
      <c r="M4673" s="225">
        <f>ROUND(IF(AND(Base_Periodo1[[#This Row],[Tipo_Linha]]="-",Base_Periodo1[[#This Row],[TIPOSALDO]]="D"),Base_Periodo1[[#This Row],[SALDO_ATUAL]]*-1,Base_Periodo1[[#This Row],[SALDO_ATUAL]]),4)</f>
        <v>275.11</v>
      </c>
      <c r="N4673" t="s">
        <v>116</v>
      </c>
      <c r="O4673" t="s">
        <v>459</v>
      </c>
      <c r="P4673" t="s">
        <v>459</v>
      </c>
      <c r="Q4673">
        <v>6</v>
      </c>
      <c r="R4673" s="225">
        <f>Base_Periodo1[[#This Row],[CREDITOS]]-Base_Periodo1[[#This Row],[DEBITOS]]</f>
        <v>0</v>
      </c>
      <c r="S4673" s="3" t="str">
        <f>IF(ISERROR(VLOOKUP(Base_Periodo1[[#This Row],[CONTA]],BaseContasDRE[#All],4,FALSE)),"Fora do DRE",VLOOKUP(Base_Periodo1[[#This Row],[CONTA]],BaseContasDRE[#All],4,FALSE))</f>
        <v>Fora do DRE</v>
      </c>
      <c r="T4673" s="3" t="str">
        <f>IF(ISERROR(VLOOKUP(Base_Periodo1[[#This Row],[CONTA]],BaseContasDRE[#All],5,FALSE)),"Fora do DRE",VLOOKUP(Base_Periodo1[[#This Row],[CONTA]],BaseContasDRE[#All],6,FALSE))</f>
        <v>Fora do DRE</v>
      </c>
      <c r="U4673" s="3" t="str">
        <f>IF(ISERROR(VLOOKUP(Base_Periodo1[[#This Row],[CONTA]],BaseContasDRE[#All],7,FALSE)),"Fora do DRE",VLOOKUP(Base_Periodo1[[#This Row],[CONTA]],BaseContasDRE[#All],7,FALSE))</f>
        <v>Fora do DRE</v>
      </c>
      <c r="V4673" s="3" t="str">
        <f>IF(Base_Periodo1[[#This Row],[Tipo_Linha]]="Fora do DRE","Fora do DRE","( "&amp;Base_Periodo1[[#This Row],[Tipo_Linha]]&amp;" ) "&amp;Base_Periodo1[[#This Row],[Filtro]])</f>
        <v>Fora do DRE</v>
      </c>
      <c r="W4673" s="3" t="str">
        <f>LEFT(Base_Periodo1[[#This Row],[CLASS]],3)</f>
        <v>2.4</v>
      </c>
    </row>
    <row r="4674" spans="1:23" hidden="1">
      <c r="A4674" s="3" t="str">
        <f t="shared" si="72"/>
        <v>Período 1</v>
      </c>
      <c r="B4674">
        <v>19341</v>
      </c>
      <c r="C4674" t="s">
        <v>2300</v>
      </c>
      <c r="D4674" t="s">
        <v>2615</v>
      </c>
      <c r="E4674" s="3" t="str">
        <f>IF(LEN(Base_Periodo1[[#This Row],[CLASS]])&gt;=7,LEFT(Base_Periodo1[[#This Row],[CLASS]],7),"")</f>
        <v>2.4.1.1</v>
      </c>
      <c r="F4674" s="3" t="str">
        <f>VLOOKUP(Base_Periodo1[[#This Row],[Aux]],Base_Contas_Balanco[#All],2,FALSE)</f>
        <v>Capital Social Realizado</v>
      </c>
      <c r="G4674" s="1"/>
      <c r="H4674" s="225">
        <v>488.96000000000004</v>
      </c>
      <c r="I4674" s="225">
        <v>0</v>
      </c>
      <c r="J4674" s="225">
        <v>0</v>
      </c>
      <c r="K4674" s="225">
        <v>488.96000000000004</v>
      </c>
      <c r="L46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488.96</v>
      </c>
      <c r="M4674" s="225">
        <f>ROUND(IF(AND(Base_Periodo1[[#This Row],[Tipo_Linha]]="-",Base_Periodo1[[#This Row],[TIPOSALDO]]="D"),Base_Periodo1[[#This Row],[SALDO_ATUAL]]*-1,Base_Periodo1[[#This Row],[SALDO_ATUAL]]),4)</f>
        <v>488.96</v>
      </c>
      <c r="N4674" t="s">
        <v>116</v>
      </c>
      <c r="O4674" t="s">
        <v>459</v>
      </c>
      <c r="P4674" t="s">
        <v>459</v>
      </c>
      <c r="Q4674">
        <v>6</v>
      </c>
      <c r="R4674" s="225">
        <f>Base_Periodo1[[#This Row],[CREDITOS]]-Base_Periodo1[[#This Row],[DEBITOS]]</f>
        <v>0</v>
      </c>
      <c r="S4674" s="3" t="str">
        <f>IF(ISERROR(VLOOKUP(Base_Periodo1[[#This Row],[CONTA]],BaseContasDRE[#All],4,FALSE)),"Fora do DRE",VLOOKUP(Base_Periodo1[[#This Row],[CONTA]],BaseContasDRE[#All],4,FALSE))</f>
        <v>Fora do DRE</v>
      </c>
      <c r="T4674" s="3" t="str">
        <f>IF(ISERROR(VLOOKUP(Base_Periodo1[[#This Row],[CONTA]],BaseContasDRE[#All],5,FALSE)),"Fora do DRE",VLOOKUP(Base_Periodo1[[#This Row],[CONTA]],BaseContasDRE[#All],6,FALSE))</f>
        <v>Fora do DRE</v>
      </c>
      <c r="U4674" s="3" t="str">
        <f>IF(ISERROR(VLOOKUP(Base_Periodo1[[#This Row],[CONTA]],BaseContasDRE[#All],7,FALSE)),"Fora do DRE",VLOOKUP(Base_Periodo1[[#This Row],[CONTA]],BaseContasDRE[#All],7,FALSE))</f>
        <v>Fora do DRE</v>
      </c>
      <c r="V4674" s="3" t="str">
        <f>IF(Base_Periodo1[[#This Row],[Tipo_Linha]]="Fora do DRE","Fora do DRE","( "&amp;Base_Periodo1[[#This Row],[Tipo_Linha]]&amp;" ) "&amp;Base_Periodo1[[#This Row],[Filtro]])</f>
        <v>Fora do DRE</v>
      </c>
      <c r="W4674" s="3" t="str">
        <f>LEFT(Base_Periodo1[[#This Row],[CLASS]],3)</f>
        <v>2.4</v>
      </c>
    </row>
    <row r="4675" spans="1:23" hidden="1">
      <c r="A4675" s="3" t="str">
        <f t="shared" si="72"/>
        <v>Período 1</v>
      </c>
      <c r="B4675">
        <v>52974</v>
      </c>
      <c r="C4675" t="s">
        <v>2300</v>
      </c>
      <c r="D4675" t="s">
        <v>4883</v>
      </c>
      <c r="E4675" s="3" t="str">
        <f>IF(LEN(Base_Periodo1[[#This Row],[CLASS]])&gt;=7,LEFT(Base_Periodo1[[#This Row],[CLASS]],7),"")</f>
        <v>2.4.1.1</v>
      </c>
      <c r="F4675" s="3" t="str">
        <f>VLOOKUP(Base_Periodo1[[#This Row],[Aux]],Base_Contas_Balanco[#All],2,FALSE)</f>
        <v>Capital Social Realizado</v>
      </c>
      <c r="G4675" s="1"/>
      <c r="H4675" s="225">
        <v>2000</v>
      </c>
      <c r="I4675" s="225">
        <v>0</v>
      </c>
      <c r="J4675" s="225">
        <v>0</v>
      </c>
      <c r="K4675" s="225">
        <v>2000</v>
      </c>
      <c r="L46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2000</v>
      </c>
      <c r="M4675" s="225">
        <f>ROUND(IF(AND(Base_Periodo1[[#This Row],[Tipo_Linha]]="-",Base_Periodo1[[#This Row],[TIPOSALDO]]="D"),Base_Periodo1[[#This Row],[SALDO_ATUAL]]*-1,Base_Periodo1[[#This Row],[SALDO_ATUAL]]),4)</f>
        <v>2000</v>
      </c>
      <c r="N4675" t="s">
        <v>116</v>
      </c>
      <c r="O4675" t="s">
        <v>459</v>
      </c>
      <c r="P4675" t="s">
        <v>459</v>
      </c>
      <c r="Q4675">
        <v>6</v>
      </c>
      <c r="R4675" s="225">
        <f>Base_Periodo1[[#This Row],[CREDITOS]]-Base_Periodo1[[#This Row],[DEBITOS]]</f>
        <v>0</v>
      </c>
      <c r="S4675" s="3" t="str">
        <f>IF(ISERROR(VLOOKUP(Base_Periodo1[[#This Row],[CONTA]],BaseContasDRE[#All],4,FALSE)),"Fora do DRE",VLOOKUP(Base_Periodo1[[#This Row],[CONTA]],BaseContasDRE[#All],4,FALSE))</f>
        <v>Fora do DRE</v>
      </c>
      <c r="T4675" s="3" t="str">
        <f>IF(ISERROR(VLOOKUP(Base_Periodo1[[#This Row],[CONTA]],BaseContasDRE[#All],5,FALSE)),"Fora do DRE",VLOOKUP(Base_Periodo1[[#This Row],[CONTA]],BaseContasDRE[#All],6,FALSE))</f>
        <v>Fora do DRE</v>
      </c>
      <c r="U4675" s="3" t="str">
        <f>IF(ISERROR(VLOOKUP(Base_Periodo1[[#This Row],[CONTA]],BaseContasDRE[#All],7,FALSE)),"Fora do DRE",VLOOKUP(Base_Periodo1[[#This Row],[CONTA]],BaseContasDRE[#All],7,FALSE))</f>
        <v>Fora do DRE</v>
      </c>
      <c r="V4675" s="3" t="str">
        <f>IF(Base_Periodo1[[#This Row],[Tipo_Linha]]="Fora do DRE","Fora do DRE","( "&amp;Base_Periodo1[[#This Row],[Tipo_Linha]]&amp;" ) "&amp;Base_Periodo1[[#This Row],[Filtro]])</f>
        <v>Fora do DRE</v>
      </c>
      <c r="W4675" s="3" t="str">
        <f>LEFT(Base_Periodo1[[#This Row],[CLASS]],3)</f>
        <v>2.4</v>
      </c>
    </row>
    <row r="4676" spans="1:23" hidden="1">
      <c r="A4676" s="3" t="str">
        <f t="shared" si="72"/>
        <v>Período 1</v>
      </c>
      <c r="B4676">
        <v>16266</v>
      </c>
      <c r="C4676" t="s">
        <v>2300</v>
      </c>
      <c r="D4676" t="s">
        <v>2616</v>
      </c>
      <c r="E4676" s="3" t="str">
        <f>IF(LEN(Base_Periodo1[[#This Row],[CLASS]])&gt;=7,LEFT(Base_Periodo1[[#This Row],[CLASS]],7),"")</f>
        <v>2.4.1.1</v>
      </c>
      <c r="F4676" s="3" t="str">
        <f>VLOOKUP(Base_Periodo1[[#This Row],[Aux]],Base_Contas_Balanco[#All],2,FALSE)</f>
        <v>Capital Social Realizado</v>
      </c>
      <c r="G4676" s="1"/>
      <c r="H4676" s="225">
        <v>6881.71</v>
      </c>
      <c r="I4676" s="225">
        <v>0</v>
      </c>
      <c r="J4676" s="225">
        <v>0</v>
      </c>
      <c r="K4676" s="225">
        <v>6881.71</v>
      </c>
      <c r="L46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6881.71</v>
      </c>
      <c r="M4676" s="225">
        <f>ROUND(IF(AND(Base_Periodo1[[#This Row],[Tipo_Linha]]="-",Base_Periodo1[[#This Row],[TIPOSALDO]]="D"),Base_Periodo1[[#This Row],[SALDO_ATUAL]]*-1,Base_Periodo1[[#This Row],[SALDO_ATUAL]]),4)</f>
        <v>6881.71</v>
      </c>
      <c r="N4676" t="s">
        <v>116</v>
      </c>
      <c r="O4676" t="s">
        <v>459</v>
      </c>
      <c r="P4676" t="s">
        <v>459</v>
      </c>
      <c r="Q4676">
        <v>6</v>
      </c>
      <c r="R4676" s="225">
        <f>Base_Periodo1[[#This Row],[CREDITOS]]-Base_Periodo1[[#This Row],[DEBITOS]]</f>
        <v>0</v>
      </c>
      <c r="S4676" s="3" t="str">
        <f>IF(ISERROR(VLOOKUP(Base_Periodo1[[#This Row],[CONTA]],BaseContasDRE[#All],4,FALSE)),"Fora do DRE",VLOOKUP(Base_Periodo1[[#This Row],[CONTA]],BaseContasDRE[#All],4,FALSE))</f>
        <v>Fora do DRE</v>
      </c>
      <c r="T4676" s="3" t="str">
        <f>IF(ISERROR(VLOOKUP(Base_Periodo1[[#This Row],[CONTA]],BaseContasDRE[#All],5,FALSE)),"Fora do DRE",VLOOKUP(Base_Periodo1[[#This Row],[CONTA]],BaseContasDRE[#All],6,FALSE))</f>
        <v>Fora do DRE</v>
      </c>
      <c r="U4676" s="3" t="str">
        <f>IF(ISERROR(VLOOKUP(Base_Periodo1[[#This Row],[CONTA]],BaseContasDRE[#All],7,FALSE)),"Fora do DRE",VLOOKUP(Base_Periodo1[[#This Row],[CONTA]],BaseContasDRE[#All],7,FALSE))</f>
        <v>Fora do DRE</v>
      </c>
      <c r="V4676" s="3" t="str">
        <f>IF(Base_Periodo1[[#This Row],[Tipo_Linha]]="Fora do DRE","Fora do DRE","( "&amp;Base_Periodo1[[#This Row],[Tipo_Linha]]&amp;" ) "&amp;Base_Periodo1[[#This Row],[Filtro]])</f>
        <v>Fora do DRE</v>
      </c>
      <c r="W4676" s="3" t="str">
        <f>LEFT(Base_Periodo1[[#This Row],[CLASS]],3)</f>
        <v>2.4</v>
      </c>
    </row>
    <row r="4677" spans="1:23" hidden="1">
      <c r="A4677" s="3" t="str">
        <f t="shared" si="72"/>
        <v>Período 1</v>
      </c>
      <c r="B4677">
        <v>24578</v>
      </c>
      <c r="C4677" t="s">
        <v>2300</v>
      </c>
      <c r="D4677" t="s">
        <v>2617</v>
      </c>
      <c r="E4677" s="3" t="str">
        <f>IF(LEN(Base_Periodo1[[#This Row],[CLASS]])&gt;=7,LEFT(Base_Periodo1[[#This Row],[CLASS]],7),"")</f>
        <v>2.4.1.1</v>
      </c>
      <c r="F4677" s="3" t="str">
        <f>VLOOKUP(Base_Periodo1[[#This Row],[Aux]],Base_Contas_Balanco[#All],2,FALSE)</f>
        <v>Capital Social Realizado</v>
      </c>
      <c r="G4677" s="1"/>
      <c r="H4677" s="225">
        <v>6659.9</v>
      </c>
      <c r="I4677" s="225">
        <v>0</v>
      </c>
      <c r="J4677" s="225">
        <v>0</v>
      </c>
      <c r="K4677" s="225">
        <v>6659.9</v>
      </c>
      <c r="L46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6659.9</v>
      </c>
      <c r="M4677" s="225">
        <f>ROUND(IF(AND(Base_Periodo1[[#This Row],[Tipo_Linha]]="-",Base_Periodo1[[#This Row],[TIPOSALDO]]="D"),Base_Periodo1[[#This Row],[SALDO_ATUAL]]*-1,Base_Periodo1[[#This Row],[SALDO_ATUAL]]),4)</f>
        <v>6659.9</v>
      </c>
      <c r="N4677" t="s">
        <v>116</v>
      </c>
      <c r="O4677" t="s">
        <v>459</v>
      </c>
      <c r="P4677" t="s">
        <v>459</v>
      </c>
      <c r="Q4677">
        <v>6</v>
      </c>
      <c r="R4677" s="225">
        <f>Base_Periodo1[[#This Row],[CREDITOS]]-Base_Periodo1[[#This Row],[DEBITOS]]</f>
        <v>0</v>
      </c>
      <c r="S4677" s="3" t="str">
        <f>IF(ISERROR(VLOOKUP(Base_Periodo1[[#This Row],[CONTA]],BaseContasDRE[#All],4,FALSE)),"Fora do DRE",VLOOKUP(Base_Periodo1[[#This Row],[CONTA]],BaseContasDRE[#All],4,FALSE))</f>
        <v>Fora do DRE</v>
      </c>
      <c r="T4677" s="3" t="str">
        <f>IF(ISERROR(VLOOKUP(Base_Periodo1[[#This Row],[CONTA]],BaseContasDRE[#All],5,FALSE)),"Fora do DRE",VLOOKUP(Base_Periodo1[[#This Row],[CONTA]],BaseContasDRE[#All],6,FALSE))</f>
        <v>Fora do DRE</v>
      </c>
      <c r="U4677" s="3" t="str">
        <f>IF(ISERROR(VLOOKUP(Base_Periodo1[[#This Row],[CONTA]],BaseContasDRE[#All],7,FALSE)),"Fora do DRE",VLOOKUP(Base_Periodo1[[#This Row],[CONTA]],BaseContasDRE[#All],7,FALSE))</f>
        <v>Fora do DRE</v>
      </c>
      <c r="V4677" s="3" t="str">
        <f>IF(Base_Periodo1[[#This Row],[Tipo_Linha]]="Fora do DRE","Fora do DRE","( "&amp;Base_Periodo1[[#This Row],[Tipo_Linha]]&amp;" ) "&amp;Base_Periodo1[[#This Row],[Filtro]])</f>
        <v>Fora do DRE</v>
      </c>
      <c r="W4677" s="3" t="str">
        <f>LEFT(Base_Periodo1[[#This Row],[CLASS]],3)</f>
        <v>2.4</v>
      </c>
    </row>
    <row r="4678" spans="1:23" hidden="1">
      <c r="A4678" s="3" t="str">
        <f t="shared" ref="A4678:A4741" si="73">"Período 1"</f>
        <v>Período 1</v>
      </c>
      <c r="B4678">
        <v>16325</v>
      </c>
      <c r="C4678" t="s">
        <v>2300</v>
      </c>
      <c r="D4678" t="s">
        <v>2618</v>
      </c>
      <c r="E4678" s="3" t="str">
        <f>IF(LEN(Base_Periodo1[[#This Row],[CLASS]])&gt;=7,LEFT(Base_Periodo1[[#This Row],[CLASS]],7),"")</f>
        <v>2.4.1.1</v>
      </c>
      <c r="F4678" s="3" t="str">
        <f>VLOOKUP(Base_Periodo1[[#This Row],[Aux]],Base_Contas_Balanco[#All],2,FALSE)</f>
        <v>Capital Social Realizado</v>
      </c>
      <c r="G4678" s="1"/>
      <c r="H4678" s="225">
        <v>48067.23</v>
      </c>
      <c r="I4678" s="225">
        <v>0</v>
      </c>
      <c r="J4678" s="225">
        <v>0</v>
      </c>
      <c r="K4678" s="225">
        <v>48067.23</v>
      </c>
      <c r="L46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48067.23</v>
      </c>
      <c r="M4678" s="225">
        <f>ROUND(IF(AND(Base_Periodo1[[#This Row],[Tipo_Linha]]="-",Base_Periodo1[[#This Row],[TIPOSALDO]]="D"),Base_Periodo1[[#This Row],[SALDO_ATUAL]]*-1,Base_Periodo1[[#This Row],[SALDO_ATUAL]]),4)</f>
        <v>48067.23</v>
      </c>
      <c r="N4678" t="s">
        <v>116</v>
      </c>
      <c r="O4678" t="s">
        <v>459</v>
      </c>
      <c r="P4678" t="s">
        <v>459</v>
      </c>
      <c r="Q4678">
        <v>6</v>
      </c>
      <c r="R4678" s="225">
        <f>Base_Periodo1[[#This Row],[CREDITOS]]-Base_Periodo1[[#This Row],[DEBITOS]]</f>
        <v>0</v>
      </c>
      <c r="S4678" s="3" t="str">
        <f>IF(ISERROR(VLOOKUP(Base_Periodo1[[#This Row],[CONTA]],BaseContasDRE[#All],4,FALSE)),"Fora do DRE",VLOOKUP(Base_Periodo1[[#This Row],[CONTA]],BaseContasDRE[#All],4,FALSE))</f>
        <v>Fora do DRE</v>
      </c>
      <c r="T4678" s="3" t="str">
        <f>IF(ISERROR(VLOOKUP(Base_Periodo1[[#This Row],[CONTA]],BaseContasDRE[#All],5,FALSE)),"Fora do DRE",VLOOKUP(Base_Periodo1[[#This Row],[CONTA]],BaseContasDRE[#All],6,FALSE))</f>
        <v>Fora do DRE</v>
      </c>
      <c r="U4678" s="3" t="str">
        <f>IF(ISERROR(VLOOKUP(Base_Periodo1[[#This Row],[CONTA]],BaseContasDRE[#All],7,FALSE)),"Fora do DRE",VLOOKUP(Base_Periodo1[[#This Row],[CONTA]],BaseContasDRE[#All],7,FALSE))</f>
        <v>Fora do DRE</v>
      </c>
      <c r="V4678" s="3" t="str">
        <f>IF(Base_Periodo1[[#This Row],[Tipo_Linha]]="Fora do DRE","Fora do DRE","( "&amp;Base_Periodo1[[#This Row],[Tipo_Linha]]&amp;" ) "&amp;Base_Periodo1[[#This Row],[Filtro]])</f>
        <v>Fora do DRE</v>
      </c>
      <c r="W4678" s="3" t="str">
        <f>LEFT(Base_Periodo1[[#This Row],[CLASS]],3)</f>
        <v>2.4</v>
      </c>
    </row>
    <row r="4679" spans="1:23" hidden="1">
      <c r="A4679" s="3" t="str">
        <f t="shared" si="73"/>
        <v>Período 1</v>
      </c>
      <c r="B4679">
        <v>19260</v>
      </c>
      <c r="C4679" t="s">
        <v>2300</v>
      </c>
      <c r="D4679" t="s">
        <v>2619</v>
      </c>
      <c r="E4679" s="3" t="str">
        <f>IF(LEN(Base_Periodo1[[#This Row],[CLASS]])&gt;=7,LEFT(Base_Periodo1[[#This Row],[CLASS]],7),"")</f>
        <v>2.4.1.1</v>
      </c>
      <c r="F4679" s="3" t="str">
        <f>VLOOKUP(Base_Periodo1[[#This Row],[Aux]],Base_Contas_Balanco[#All],2,FALSE)</f>
        <v>Capital Social Realizado</v>
      </c>
      <c r="G4679" s="1"/>
      <c r="H4679" s="225">
        <v>402.56</v>
      </c>
      <c r="I4679" s="225">
        <v>0</v>
      </c>
      <c r="J4679" s="225">
        <v>0</v>
      </c>
      <c r="K4679" s="225">
        <v>402.56</v>
      </c>
      <c r="L46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402.56</v>
      </c>
      <c r="M4679" s="225">
        <f>ROUND(IF(AND(Base_Periodo1[[#This Row],[Tipo_Linha]]="-",Base_Periodo1[[#This Row],[TIPOSALDO]]="D"),Base_Periodo1[[#This Row],[SALDO_ATUAL]]*-1,Base_Periodo1[[#This Row],[SALDO_ATUAL]]),4)</f>
        <v>402.56</v>
      </c>
      <c r="N4679" t="s">
        <v>116</v>
      </c>
      <c r="O4679" t="s">
        <v>459</v>
      </c>
      <c r="P4679" t="s">
        <v>459</v>
      </c>
      <c r="Q4679">
        <v>6</v>
      </c>
      <c r="R4679" s="225">
        <f>Base_Periodo1[[#This Row],[CREDITOS]]-Base_Periodo1[[#This Row],[DEBITOS]]</f>
        <v>0</v>
      </c>
      <c r="S4679" s="3" t="str">
        <f>IF(ISERROR(VLOOKUP(Base_Periodo1[[#This Row],[CONTA]],BaseContasDRE[#All],4,FALSE)),"Fora do DRE",VLOOKUP(Base_Periodo1[[#This Row],[CONTA]],BaseContasDRE[#All],4,FALSE))</f>
        <v>Fora do DRE</v>
      </c>
      <c r="T4679" s="3" t="str">
        <f>IF(ISERROR(VLOOKUP(Base_Periodo1[[#This Row],[CONTA]],BaseContasDRE[#All],5,FALSE)),"Fora do DRE",VLOOKUP(Base_Periodo1[[#This Row],[CONTA]],BaseContasDRE[#All],6,FALSE))</f>
        <v>Fora do DRE</v>
      </c>
      <c r="U4679" s="3" t="str">
        <f>IF(ISERROR(VLOOKUP(Base_Periodo1[[#This Row],[CONTA]],BaseContasDRE[#All],7,FALSE)),"Fora do DRE",VLOOKUP(Base_Periodo1[[#This Row],[CONTA]],BaseContasDRE[#All],7,FALSE))</f>
        <v>Fora do DRE</v>
      </c>
      <c r="V4679" s="3" t="str">
        <f>IF(Base_Periodo1[[#This Row],[Tipo_Linha]]="Fora do DRE","Fora do DRE","( "&amp;Base_Periodo1[[#This Row],[Tipo_Linha]]&amp;" ) "&amp;Base_Periodo1[[#This Row],[Filtro]])</f>
        <v>Fora do DRE</v>
      </c>
      <c r="W4679" s="3" t="str">
        <f>LEFT(Base_Periodo1[[#This Row],[CLASS]],3)</f>
        <v>2.4</v>
      </c>
    </row>
    <row r="4680" spans="1:23" hidden="1">
      <c r="A4680" s="3" t="str">
        <f t="shared" si="73"/>
        <v>Período 1</v>
      </c>
      <c r="B4680">
        <v>25538</v>
      </c>
      <c r="C4680" t="s">
        <v>2300</v>
      </c>
      <c r="D4680" t="s">
        <v>2620</v>
      </c>
      <c r="E4680" s="3" t="str">
        <f>IF(LEN(Base_Periodo1[[#This Row],[CLASS]])&gt;=7,LEFT(Base_Periodo1[[#This Row],[CLASS]],7),"")</f>
        <v>2.4.1.1</v>
      </c>
      <c r="F4680" s="3" t="str">
        <f>VLOOKUP(Base_Periodo1[[#This Row],[Aux]],Base_Contas_Balanco[#All],2,FALSE)</f>
        <v>Capital Social Realizado</v>
      </c>
      <c r="G4680" s="1"/>
      <c r="H4680" s="225">
        <v>130.30000000000001</v>
      </c>
      <c r="I4680" s="225">
        <v>0</v>
      </c>
      <c r="J4680" s="225">
        <v>0</v>
      </c>
      <c r="K4680" s="225">
        <v>130.30000000000001</v>
      </c>
      <c r="L46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130.30000000000001</v>
      </c>
      <c r="M4680" s="225">
        <f>ROUND(IF(AND(Base_Periodo1[[#This Row],[Tipo_Linha]]="-",Base_Periodo1[[#This Row],[TIPOSALDO]]="D"),Base_Periodo1[[#This Row],[SALDO_ATUAL]]*-1,Base_Periodo1[[#This Row],[SALDO_ATUAL]]),4)</f>
        <v>130.30000000000001</v>
      </c>
      <c r="N4680" t="s">
        <v>116</v>
      </c>
      <c r="O4680" t="s">
        <v>459</v>
      </c>
      <c r="P4680" t="s">
        <v>459</v>
      </c>
      <c r="Q4680">
        <v>6</v>
      </c>
      <c r="R4680" s="225">
        <f>Base_Periodo1[[#This Row],[CREDITOS]]-Base_Periodo1[[#This Row],[DEBITOS]]</f>
        <v>0</v>
      </c>
      <c r="S4680" s="3" t="str">
        <f>IF(ISERROR(VLOOKUP(Base_Periodo1[[#This Row],[CONTA]],BaseContasDRE[#All],4,FALSE)),"Fora do DRE",VLOOKUP(Base_Periodo1[[#This Row],[CONTA]],BaseContasDRE[#All],4,FALSE))</f>
        <v>Fora do DRE</v>
      </c>
      <c r="T4680" s="3" t="str">
        <f>IF(ISERROR(VLOOKUP(Base_Periodo1[[#This Row],[CONTA]],BaseContasDRE[#All],5,FALSE)),"Fora do DRE",VLOOKUP(Base_Periodo1[[#This Row],[CONTA]],BaseContasDRE[#All],6,FALSE))</f>
        <v>Fora do DRE</v>
      </c>
      <c r="U4680" s="3" t="str">
        <f>IF(ISERROR(VLOOKUP(Base_Periodo1[[#This Row],[CONTA]],BaseContasDRE[#All],7,FALSE)),"Fora do DRE",VLOOKUP(Base_Periodo1[[#This Row],[CONTA]],BaseContasDRE[#All],7,FALSE))</f>
        <v>Fora do DRE</v>
      </c>
      <c r="V4680" s="3" t="str">
        <f>IF(Base_Periodo1[[#This Row],[Tipo_Linha]]="Fora do DRE","Fora do DRE","( "&amp;Base_Periodo1[[#This Row],[Tipo_Linha]]&amp;" ) "&amp;Base_Periodo1[[#This Row],[Filtro]])</f>
        <v>Fora do DRE</v>
      </c>
      <c r="W4680" s="3" t="str">
        <f>LEFT(Base_Periodo1[[#This Row],[CLASS]],3)</f>
        <v>2.4</v>
      </c>
    </row>
    <row r="4681" spans="1:23" hidden="1">
      <c r="A4681" s="3" t="str">
        <f t="shared" si="73"/>
        <v>Período 1</v>
      </c>
      <c r="B4681">
        <v>15995</v>
      </c>
      <c r="C4681" t="s">
        <v>2300</v>
      </c>
      <c r="D4681" t="s">
        <v>2621</v>
      </c>
      <c r="E4681" s="3" t="str">
        <f>IF(LEN(Base_Periodo1[[#This Row],[CLASS]])&gt;=7,LEFT(Base_Periodo1[[#This Row],[CLASS]],7),"")</f>
        <v>2.4.1.1</v>
      </c>
      <c r="F4681" s="3" t="str">
        <f>VLOOKUP(Base_Periodo1[[#This Row],[Aux]],Base_Contas_Balanco[#All],2,FALSE)</f>
        <v>Capital Social Realizado</v>
      </c>
      <c r="G4681" s="1"/>
      <c r="H4681" s="225">
        <v>860.86000000000013</v>
      </c>
      <c r="I4681" s="225">
        <v>0</v>
      </c>
      <c r="J4681" s="225">
        <v>0</v>
      </c>
      <c r="K4681" s="225">
        <v>860.86000000000013</v>
      </c>
      <c r="L46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860.86</v>
      </c>
      <c r="M4681" s="225">
        <f>ROUND(IF(AND(Base_Periodo1[[#This Row],[Tipo_Linha]]="-",Base_Periodo1[[#This Row],[TIPOSALDO]]="D"),Base_Periodo1[[#This Row],[SALDO_ATUAL]]*-1,Base_Periodo1[[#This Row],[SALDO_ATUAL]]),4)</f>
        <v>860.86</v>
      </c>
      <c r="N4681" t="s">
        <v>116</v>
      </c>
      <c r="O4681" t="s">
        <v>459</v>
      </c>
      <c r="P4681" t="s">
        <v>459</v>
      </c>
      <c r="Q4681">
        <v>6</v>
      </c>
      <c r="R4681" s="225">
        <f>Base_Periodo1[[#This Row],[CREDITOS]]-Base_Periodo1[[#This Row],[DEBITOS]]</f>
        <v>0</v>
      </c>
      <c r="S4681" s="3" t="str">
        <f>IF(ISERROR(VLOOKUP(Base_Periodo1[[#This Row],[CONTA]],BaseContasDRE[#All],4,FALSE)),"Fora do DRE",VLOOKUP(Base_Periodo1[[#This Row],[CONTA]],BaseContasDRE[#All],4,FALSE))</f>
        <v>Fora do DRE</v>
      </c>
      <c r="T4681" s="3" t="str">
        <f>IF(ISERROR(VLOOKUP(Base_Periodo1[[#This Row],[CONTA]],BaseContasDRE[#All],5,FALSE)),"Fora do DRE",VLOOKUP(Base_Periodo1[[#This Row],[CONTA]],BaseContasDRE[#All],6,FALSE))</f>
        <v>Fora do DRE</v>
      </c>
      <c r="U4681" s="3" t="str">
        <f>IF(ISERROR(VLOOKUP(Base_Periodo1[[#This Row],[CONTA]],BaseContasDRE[#All],7,FALSE)),"Fora do DRE",VLOOKUP(Base_Periodo1[[#This Row],[CONTA]],BaseContasDRE[#All],7,FALSE))</f>
        <v>Fora do DRE</v>
      </c>
      <c r="V4681" s="3" t="str">
        <f>IF(Base_Periodo1[[#This Row],[Tipo_Linha]]="Fora do DRE","Fora do DRE","( "&amp;Base_Periodo1[[#This Row],[Tipo_Linha]]&amp;" ) "&amp;Base_Periodo1[[#This Row],[Filtro]])</f>
        <v>Fora do DRE</v>
      </c>
      <c r="W4681" s="3" t="str">
        <f>LEFT(Base_Periodo1[[#This Row],[CLASS]],3)</f>
        <v>2.4</v>
      </c>
    </row>
    <row r="4682" spans="1:23" hidden="1">
      <c r="A4682" s="3" t="str">
        <f t="shared" si="73"/>
        <v>Período 1</v>
      </c>
      <c r="B4682">
        <v>16213</v>
      </c>
      <c r="C4682" t="s">
        <v>2300</v>
      </c>
      <c r="D4682" t="s">
        <v>2622</v>
      </c>
      <c r="E4682" s="3" t="str">
        <f>IF(LEN(Base_Periodo1[[#This Row],[CLASS]])&gt;=7,LEFT(Base_Periodo1[[#This Row],[CLASS]],7),"")</f>
        <v>2.4.1.1</v>
      </c>
      <c r="F4682" s="3" t="str">
        <f>VLOOKUP(Base_Periodo1[[#This Row],[Aux]],Base_Contas_Balanco[#All],2,FALSE)</f>
        <v>Capital Social Realizado</v>
      </c>
      <c r="G4682" s="1"/>
      <c r="H4682" s="225">
        <v>6513.92</v>
      </c>
      <c r="I4682" s="225">
        <v>0</v>
      </c>
      <c r="J4682" s="225">
        <v>0</v>
      </c>
      <c r="K4682" s="225">
        <v>6513.92</v>
      </c>
      <c r="L46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6513.92</v>
      </c>
      <c r="M4682" s="225">
        <f>ROUND(IF(AND(Base_Periodo1[[#This Row],[Tipo_Linha]]="-",Base_Periodo1[[#This Row],[TIPOSALDO]]="D"),Base_Periodo1[[#This Row],[SALDO_ATUAL]]*-1,Base_Periodo1[[#This Row],[SALDO_ATUAL]]),4)</f>
        <v>6513.92</v>
      </c>
      <c r="N4682" t="s">
        <v>116</v>
      </c>
      <c r="O4682" t="s">
        <v>459</v>
      </c>
      <c r="P4682" t="s">
        <v>459</v>
      </c>
      <c r="Q4682">
        <v>6</v>
      </c>
      <c r="R4682" s="225">
        <f>Base_Periodo1[[#This Row],[CREDITOS]]-Base_Periodo1[[#This Row],[DEBITOS]]</f>
        <v>0</v>
      </c>
      <c r="S4682" s="3" t="str">
        <f>IF(ISERROR(VLOOKUP(Base_Periodo1[[#This Row],[CONTA]],BaseContasDRE[#All],4,FALSE)),"Fora do DRE",VLOOKUP(Base_Periodo1[[#This Row],[CONTA]],BaseContasDRE[#All],4,FALSE))</f>
        <v>Fora do DRE</v>
      </c>
      <c r="T4682" s="3" t="str">
        <f>IF(ISERROR(VLOOKUP(Base_Periodo1[[#This Row],[CONTA]],BaseContasDRE[#All],5,FALSE)),"Fora do DRE",VLOOKUP(Base_Periodo1[[#This Row],[CONTA]],BaseContasDRE[#All],6,FALSE))</f>
        <v>Fora do DRE</v>
      </c>
      <c r="U4682" s="3" t="str">
        <f>IF(ISERROR(VLOOKUP(Base_Periodo1[[#This Row],[CONTA]],BaseContasDRE[#All],7,FALSE)),"Fora do DRE",VLOOKUP(Base_Periodo1[[#This Row],[CONTA]],BaseContasDRE[#All],7,FALSE))</f>
        <v>Fora do DRE</v>
      </c>
      <c r="V4682" s="3" t="str">
        <f>IF(Base_Periodo1[[#This Row],[Tipo_Linha]]="Fora do DRE","Fora do DRE","( "&amp;Base_Periodo1[[#This Row],[Tipo_Linha]]&amp;" ) "&amp;Base_Periodo1[[#This Row],[Filtro]])</f>
        <v>Fora do DRE</v>
      </c>
      <c r="W4682" s="3" t="str">
        <f>LEFT(Base_Periodo1[[#This Row],[CLASS]],3)</f>
        <v>2.4</v>
      </c>
    </row>
    <row r="4683" spans="1:23" hidden="1">
      <c r="A4683" s="3" t="str">
        <f t="shared" si="73"/>
        <v>Período 1</v>
      </c>
      <c r="B4683">
        <v>35371</v>
      </c>
      <c r="C4683" t="s">
        <v>2300</v>
      </c>
      <c r="D4683" t="s">
        <v>2623</v>
      </c>
      <c r="E4683" s="3" t="str">
        <f>IF(LEN(Base_Periodo1[[#This Row],[CLASS]])&gt;=7,LEFT(Base_Periodo1[[#This Row],[CLASS]],7),"")</f>
        <v>2.4.1.1</v>
      </c>
      <c r="F4683" s="3" t="str">
        <f>VLOOKUP(Base_Periodo1[[#This Row],[Aux]],Base_Contas_Balanco[#All],2,FALSE)</f>
        <v>Capital Social Realizado</v>
      </c>
      <c r="G4683" s="1"/>
      <c r="H4683" s="225">
        <v>2403.6800000000003</v>
      </c>
      <c r="I4683" s="225">
        <v>0</v>
      </c>
      <c r="J4683" s="225">
        <v>0</v>
      </c>
      <c r="K4683" s="225">
        <v>2403.6800000000003</v>
      </c>
      <c r="L46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2403.6799999999998</v>
      </c>
      <c r="M4683" s="225">
        <f>ROUND(IF(AND(Base_Periodo1[[#This Row],[Tipo_Linha]]="-",Base_Periodo1[[#This Row],[TIPOSALDO]]="D"),Base_Periodo1[[#This Row],[SALDO_ATUAL]]*-1,Base_Periodo1[[#This Row],[SALDO_ATUAL]]),4)</f>
        <v>2403.6799999999998</v>
      </c>
      <c r="N4683" t="s">
        <v>116</v>
      </c>
      <c r="O4683" t="s">
        <v>459</v>
      </c>
      <c r="P4683" t="s">
        <v>459</v>
      </c>
      <c r="Q4683">
        <v>6</v>
      </c>
      <c r="R4683" s="225">
        <f>Base_Periodo1[[#This Row],[CREDITOS]]-Base_Periodo1[[#This Row],[DEBITOS]]</f>
        <v>0</v>
      </c>
      <c r="S4683" s="3" t="str">
        <f>IF(ISERROR(VLOOKUP(Base_Periodo1[[#This Row],[CONTA]],BaseContasDRE[#All],4,FALSE)),"Fora do DRE",VLOOKUP(Base_Periodo1[[#This Row],[CONTA]],BaseContasDRE[#All],4,FALSE))</f>
        <v>Fora do DRE</v>
      </c>
      <c r="T4683" s="3" t="str">
        <f>IF(ISERROR(VLOOKUP(Base_Periodo1[[#This Row],[CONTA]],BaseContasDRE[#All],5,FALSE)),"Fora do DRE",VLOOKUP(Base_Periodo1[[#This Row],[CONTA]],BaseContasDRE[#All],6,FALSE))</f>
        <v>Fora do DRE</v>
      </c>
      <c r="U4683" s="3" t="str">
        <f>IF(ISERROR(VLOOKUP(Base_Periodo1[[#This Row],[CONTA]],BaseContasDRE[#All],7,FALSE)),"Fora do DRE",VLOOKUP(Base_Periodo1[[#This Row],[CONTA]],BaseContasDRE[#All],7,FALSE))</f>
        <v>Fora do DRE</v>
      </c>
      <c r="V4683" s="3" t="str">
        <f>IF(Base_Periodo1[[#This Row],[Tipo_Linha]]="Fora do DRE","Fora do DRE","( "&amp;Base_Periodo1[[#This Row],[Tipo_Linha]]&amp;" ) "&amp;Base_Periodo1[[#This Row],[Filtro]])</f>
        <v>Fora do DRE</v>
      </c>
      <c r="W4683" s="3" t="str">
        <f>LEFT(Base_Periodo1[[#This Row],[CLASS]],3)</f>
        <v>2.4</v>
      </c>
    </row>
    <row r="4684" spans="1:23" hidden="1">
      <c r="A4684" s="3" t="str">
        <f t="shared" si="73"/>
        <v>Período 1</v>
      </c>
      <c r="B4684">
        <v>16013</v>
      </c>
      <c r="C4684" t="s">
        <v>2300</v>
      </c>
      <c r="D4684" t="s">
        <v>2624</v>
      </c>
      <c r="E4684" s="3" t="str">
        <f>IF(LEN(Base_Periodo1[[#This Row],[CLASS]])&gt;=7,LEFT(Base_Periodo1[[#This Row],[CLASS]],7),"")</f>
        <v>2.4.1.1</v>
      </c>
      <c r="F4684" s="3" t="str">
        <f>VLOOKUP(Base_Periodo1[[#This Row],[Aux]],Base_Contas_Balanco[#All],2,FALSE)</f>
        <v>Capital Social Realizado</v>
      </c>
      <c r="G4684" s="1"/>
      <c r="H4684" s="225">
        <v>905.72</v>
      </c>
      <c r="I4684" s="225">
        <v>0</v>
      </c>
      <c r="J4684" s="225">
        <v>0</v>
      </c>
      <c r="K4684" s="225">
        <v>905.72</v>
      </c>
      <c r="L46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905.72</v>
      </c>
      <c r="M4684" s="225">
        <f>ROUND(IF(AND(Base_Periodo1[[#This Row],[Tipo_Linha]]="-",Base_Periodo1[[#This Row],[TIPOSALDO]]="D"),Base_Periodo1[[#This Row],[SALDO_ATUAL]]*-1,Base_Periodo1[[#This Row],[SALDO_ATUAL]]),4)</f>
        <v>905.72</v>
      </c>
      <c r="N4684" t="s">
        <v>116</v>
      </c>
      <c r="O4684" t="s">
        <v>459</v>
      </c>
      <c r="P4684" t="s">
        <v>459</v>
      </c>
      <c r="Q4684">
        <v>6</v>
      </c>
      <c r="R4684" s="225">
        <f>Base_Periodo1[[#This Row],[CREDITOS]]-Base_Periodo1[[#This Row],[DEBITOS]]</f>
        <v>0</v>
      </c>
      <c r="S4684" s="3" t="str">
        <f>IF(ISERROR(VLOOKUP(Base_Periodo1[[#This Row],[CONTA]],BaseContasDRE[#All],4,FALSE)),"Fora do DRE",VLOOKUP(Base_Periodo1[[#This Row],[CONTA]],BaseContasDRE[#All],4,FALSE))</f>
        <v>Fora do DRE</v>
      </c>
      <c r="T4684" s="3" t="str">
        <f>IF(ISERROR(VLOOKUP(Base_Periodo1[[#This Row],[CONTA]],BaseContasDRE[#All],5,FALSE)),"Fora do DRE",VLOOKUP(Base_Periodo1[[#This Row],[CONTA]],BaseContasDRE[#All],6,FALSE))</f>
        <v>Fora do DRE</v>
      </c>
      <c r="U4684" s="3" t="str">
        <f>IF(ISERROR(VLOOKUP(Base_Periodo1[[#This Row],[CONTA]],BaseContasDRE[#All],7,FALSE)),"Fora do DRE",VLOOKUP(Base_Periodo1[[#This Row],[CONTA]],BaseContasDRE[#All],7,FALSE))</f>
        <v>Fora do DRE</v>
      </c>
      <c r="V4684" s="3" t="str">
        <f>IF(Base_Periodo1[[#This Row],[Tipo_Linha]]="Fora do DRE","Fora do DRE","( "&amp;Base_Periodo1[[#This Row],[Tipo_Linha]]&amp;" ) "&amp;Base_Periodo1[[#This Row],[Filtro]])</f>
        <v>Fora do DRE</v>
      </c>
      <c r="W4684" s="3" t="str">
        <f>LEFT(Base_Periodo1[[#This Row],[CLASS]],3)</f>
        <v>2.4</v>
      </c>
    </row>
    <row r="4685" spans="1:23" hidden="1">
      <c r="A4685" s="3" t="str">
        <f t="shared" si="73"/>
        <v>Período 1</v>
      </c>
      <c r="B4685">
        <v>16446</v>
      </c>
      <c r="C4685" t="s">
        <v>2300</v>
      </c>
      <c r="D4685" t="s">
        <v>2625</v>
      </c>
      <c r="E4685" s="3" t="str">
        <f>IF(LEN(Base_Periodo1[[#This Row],[CLASS]])&gt;=7,LEFT(Base_Periodo1[[#This Row],[CLASS]],7),"")</f>
        <v>2.4.1.1</v>
      </c>
      <c r="F4685" s="3" t="str">
        <f>VLOOKUP(Base_Periodo1[[#This Row],[Aux]],Base_Contas_Balanco[#All],2,FALSE)</f>
        <v>Capital Social Realizado</v>
      </c>
      <c r="G4685" s="1"/>
      <c r="H4685" s="225">
        <v>1.83</v>
      </c>
      <c r="I4685" s="225">
        <v>0</v>
      </c>
      <c r="J4685" s="225">
        <v>0</v>
      </c>
      <c r="K4685" s="225">
        <v>1.83</v>
      </c>
      <c r="L46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1.83</v>
      </c>
      <c r="M4685" s="225">
        <f>ROUND(IF(AND(Base_Periodo1[[#This Row],[Tipo_Linha]]="-",Base_Periodo1[[#This Row],[TIPOSALDO]]="D"),Base_Periodo1[[#This Row],[SALDO_ATUAL]]*-1,Base_Periodo1[[#This Row],[SALDO_ATUAL]]),4)</f>
        <v>1.83</v>
      </c>
      <c r="N4685" t="s">
        <v>116</v>
      </c>
      <c r="O4685" t="s">
        <v>459</v>
      </c>
      <c r="P4685" t="s">
        <v>459</v>
      </c>
      <c r="Q4685">
        <v>6</v>
      </c>
      <c r="R4685" s="225">
        <f>Base_Periodo1[[#This Row],[CREDITOS]]-Base_Periodo1[[#This Row],[DEBITOS]]</f>
        <v>0</v>
      </c>
      <c r="S4685" s="3" t="str">
        <f>IF(ISERROR(VLOOKUP(Base_Periodo1[[#This Row],[CONTA]],BaseContasDRE[#All],4,FALSE)),"Fora do DRE",VLOOKUP(Base_Periodo1[[#This Row],[CONTA]],BaseContasDRE[#All],4,FALSE))</f>
        <v>Fora do DRE</v>
      </c>
      <c r="T4685" s="3" t="str">
        <f>IF(ISERROR(VLOOKUP(Base_Periodo1[[#This Row],[CONTA]],BaseContasDRE[#All],5,FALSE)),"Fora do DRE",VLOOKUP(Base_Periodo1[[#This Row],[CONTA]],BaseContasDRE[#All],6,FALSE))</f>
        <v>Fora do DRE</v>
      </c>
      <c r="U4685" s="3" t="str">
        <f>IF(ISERROR(VLOOKUP(Base_Periodo1[[#This Row],[CONTA]],BaseContasDRE[#All],7,FALSE)),"Fora do DRE",VLOOKUP(Base_Periodo1[[#This Row],[CONTA]],BaseContasDRE[#All],7,FALSE))</f>
        <v>Fora do DRE</v>
      </c>
      <c r="V4685" s="3" t="str">
        <f>IF(Base_Periodo1[[#This Row],[Tipo_Linha]]="Fora do DRE","Fora do DRE","( "&amp;Base_Periodo1[[#This Row],[Tipo_Linha]]&amp;" ) "&amp;Base_Periodo1[[#This Row],[Filtro]])</f>
        <v>Fora do DRE</v>
      </c>
      <c r="W4685" s="3" t="str">
        <f>LEFT(Base_Periodo1[[#This Row],[CLASS]],3)</f>
        <v>2.4</v>
      </c>
    </row>
    <row r="4686" spans="1:23" hidden="1">
      <c r="A4686" s="3" t="str">
        <f t="shared" si="73"/>
        <v>Período 1</v>
      </c>
      <c r="B4686">
        <v>16353</v>
      </c>
      <c r="C4686" t="s">
        <v>2300</v>
      </c>
      <c r="D4686" t="s">
        <v>2626</v>
      </c>
      <c r="E4686" s="3" t="str">
        <f>IF(LEN(Base_Periodo1[[#This Row],[CLASS]])&gt;=7,LEFT(Base_Periodo1[[#This Row],[CLASS]],7),"")</f>
        <v>2.4.1.1</v>
      </c>
      <c r="F4686" s="3" t="str">
        <f>VLOOKUP(Base_Periodo1[[#This Row],[Aux]],Base_Contas_Balanco[#All],2,FALSE)</f>
        <v>Capital Social Realizado</v>
      </c>
      <c r="G4686" s="1"/>
      <c r="H4686" s="225">
        <v>11460.69</v>
      </c>
      <c r="I4686" s="225">
        <v>0</v>
      </c>
      <c r="J4686" s="225">
        <v>0</v>
      </c>
      <c r="K4686" s="225">
        <v>11460.69</v>
      </c>
      <c r="L46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11460.69</v>
      </c>
      <c r="M4686" s="225">
        <f>ROUND(IF(AND(Base_Periodo1[[#This Row],[Tipo_Linha]]="-",Base_Periodo1[[#This Row],[TIPOSALDO]]="D"),Base_Periodo1[[#This Row],[SALDO_ATUAL]]*-1,Base_Periodo1[[#This Row],[SALDO_ATUAL]]),4)</f>
        <v>11460.69</v>
      </c>
      <c r="N4686" t="s">
        <v>116</v>
      </c>
      <c r="O4686" t="s">
        <v>459</v>
      </c>
      <c r="P4686" t="s">
        <v>459</v>
      </c>
      <c r="Q4686">
        <v>6</v>
      </c>
      <c r="R4686" s="225">
        <f>Base_Periodo1[[#This Row],[CREDITOS]]-Base_Periodo1[[#This Row],[DEBITOS]]</f>
        <v>0</v>
      </c>
      <c r="S4686" s="3" t="str">
        <f>IF(ISERROR(VLOOKUP(Base_Periodo1[[#This Row],[CONTA]],BaseContasDRE[#All],4,FALSE)),"Fora do DRE",VLOOKUP(Base_Periodo1[[#This Row],[CONTA]],BaseContasDRE[#All],4,FALSE))</f>
        <v>Fora do DRE</v>
      </c>
      <c r="T4686" s="3" t="str">
        <f>IF(ISERROR(VLOOKUP(Base_Periodo1[[#This Row],[CONTA]],BaseContasDRE[#All],5,FALSE)),"Fora do DRE",VLOOKUP(Base_Periodo1[[#This Row],[CONTA]],BaseContasDRE[#All],6,FALSE))</f>
        <v>Fora do DRE</v>
      </c>
      <c r="U4686" s="3" t="str">
        <f>IF(ISERROR(VLOOKUP(Base_Periodo1[[#This Row],[CONTA]],BaseContasDRE[#All],7,FALSE)),"Fora do DRE",VLOOKUP(Base_Periodo1[[#This Row],[CONTA]],BaseContasDRE[#All],7,FALSE))</f>
        <v>Fora do DRE</v>
      </c>
      <c r="V4686" s="3" t="str">
        <f>IF(Base_Periodo1[[#This Row],[Tipo_Linha]]="Fora do DRE","Fora do DRE","( "&amp;Base_Periodo1[[#This Row],[Tipo_Linha]]&amp;" ) "&amp;Base_Periodo1[[#This Row],[Filtro]])</f>
        <v>Fora do DRE</v>
      </c>
      <c r="W4686" s="3" t="str">
        <f>LEFT(Base_Periodo1[[#This Row],[CLASS]],3)</f>
        <v>2.4</v>
      </c>
    </row>
    <row r="4687" spans="1:23" hidden="1">
      <c r="A4687" s="3" t="str">
        <f t="shared" si="73"/>
        <v>Período 1</v>
      </c>
      <c r="B4687">
        <v>38819</v>
      </c>
      <c r="C4687" t="s">
        <v>2300</v>
      </c>
      <c r="D4687" t="s">
        <v>2627</v>
      </c>
      <c r="E4687" s="3" t="str">
        <f>IF(LEN(Base_Periodo1[[#This Row],[CLASS]])&gt;=7,LEFT(Base_Periodo1[[#This Row],[CLASS]],7),"")</f>
        <v>2.4.1.1</v>
      </c>
      <c r="F4687" s="3" t="str">
        <f>VLOOKUP(Base_Periodo1[[#This Row],[Aux]],Base_Contas_Balanco[#All],2,FALSE)</f>
        <v>Capital Social Realizado</v>
      </c>
      <c r="G4687" s="1"/>
      <c r="H4687" s="225">
        <v>77.39</v>
      </c>
      <c r="I4687" s="225">
        <v>0</v>
      </c>
      <c r="J4687" s="225">
        <v>0</v>
      </c>
      <c r="K4687" s="225">
        <v>77.39</v>
      </c>
      <c r="L46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77.39</v>
      </c>
      <c r="M4687" s="225">
        <f>ROUND(IF(AND(Base_Periodo1[[#This Row],[Tipo_Linha]]="-",Base_Periodo1[[#This Row],[TIPOSALDO]]="D"),Base_Periodo1[[#This Row],[SALDO_ATUAL]]*-1,Base_Periodo1[[#This Row],[SALDO_ATUAL]]),4)</f>
        <v>77.39</v>
      </c>
      <c r="N4687" t="s">
        <v>116</v>
      </c>
      <c r="O4687" t="s">
        <v>459</v>
      </c>
      <c r="P4687" t="s">
        <v>459</v>
      </c>
      <c r="Q4687">
        <v>6</v>
      </c>
      <c r="R4687" s="225">
        <f>Base_Periodo1[[#This Row],[CREDITOS]]-Base_Periodo1[[#This Row],[DEBITOS]]</f>
        <v>0</v>
      </c>
      <c r="S4687" s="3" t="str">
        <f>IF(ISERROR(VLOOKUP(Base_Periodo1[[#This Row],[CONTA]],BaseContasDRE[#All],4,FALSE)),"Fora do DRE",VLOOKUP(Base_Periodo1[[#This Row],[CONTA]],BaseContasDRE[#All],4,FALSE))</f>
        <v>Fora do DRE</v>
      </c>
      <c r="T4687" s="3" t="str">
        <f>IF(ISERROR(VLOOKUP(Base_Periodo1[[#This Row],[CONTA]],BaseContasDRE[#All],5,FALSE)),"Fora do DRE",VLOOKUP(Base_Periodo1[[#This Row],[CONTA]],BaseContasDRE[#All],6,FALSE))</f>
        <v>Fora do DRE</v>
      </c>
      <c r="U4687" s="3" t="str">
        <f>IF(ISERROR(VLOOKUP(Base_Periodo1[[#This Row],[CONTA]],BaseContasDRE[#All],7,FALSE)),"Fora do DRE",VLOOKUP(Base_Periodo1[[#This Row],[CONTA]],BaseContasDRE[#All],7,FALSE))</f>
        <v>Fora do DRE</v>
      </c>
      <c r="V4687" s="3" t="str">
        <f>IF(Base_Periodo1[[#This Row],[Tipo_Linha]]="Fora do DRE","Fora do DRE","( "&amp;Base_Periodo1[[#This Row],[Tipo_Linha]]&amp;" ) "&amp;Base_Periodo1[[#This Row],[Filtro]])</f>
        <v>Fora do DRE</v>
      </c>
      <c r="W4687" s="3" t="str">
        <f>LEFT(Base_Periodo1[[#This Row],[CLASS]],3)</f>
        <v>2.4</v>
      </c>
    </row>
    <row r="4688" spans="1:23" hidden="1">
      <c r="A4688" s="3" t="str">
        <f t="shared" si="73"/>
        <v>Período 1</v>
      </c>
      <c r="B4688">
        <v>19297</v>
      </c>
      <c r="C4688" t="s">
        <v>2300</v>
      </c>
      <c r="D4688" t="s">
        <v>2628</v>
      </c>
      <c r="E4688" s="3" t="str">
        <f>IF(LEN(Base_Periodo1[[#This Row],[CLASS]])&gt;=7,LEFT(Base_Periodo1[[#This Row],[CLASS]],7),"")</f>
        <v>2.4.1.1</v>
      </c>
      <c r="F4688" s="3" t="str">
        <f>VLOOKUP(Base_Periodo1[[#This Row],[Aux]],Base_Contas_Balanco[#All],2,FALSE)</f>
        <v>Capital Social Realizado</v>
      </c>
      <c r="G4688" s="1"/>
      <c r="H4688" s="225">
        <v>4092.47</v>
      </c>
      <c r="I4688" s="225">
        <v>0</v>
      </c>
      <c r="J4688" s="225">
        <v>0</v>
      </c>
      <c r="K4688" s="225">
        <v>4092.47</v>
      </c>
      <c r="L46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4092.47</v>
      </c>
      <c r="M4688" s="225">
        <f>ROUND(IF(AND(Base_Periodo1[[#This Row],[Tipo_Linha]]="-",Base_Periodo1[[#This Row],[TIPOSALDO]]="D"),Base_Periodo1[[#This Row],[SALDO_ATUAL]]*-1,Base_Periodo1[[#This Row],[SALDO_ATUAL]]),4)</f>
        <v>4092.47</v>
      </c>
      <c r="N4688" t="s">
        <v>116</v>
      </c>
      <c r="O4688" t="s">
        <v>459</v>
      </c>
      <c r="P4688" t="s">
        <v>459</v>
      </c>
      <c r="Q4688">
        <v>6</v>
      </c>
      <c r="R4688" s="225">
        <f>Base_Periodo1[[#This Row],[CREDITOS]]-Base_Periodo1[[#This Row],[DEBITOS]]</f>
        <v>0</v>
      </c>
      <c r="S4688" s="3" t="str">
        <f>IF(ISERROR(VLOOKUP(Base_Periodo1[[#This Row],[CONTA]],BaseContasDRE[#All],4,FALSE)),"Fora do DRE",VLOOKUP(Base_Periodo1[[#This Row],[CONTA]],BaseContasDRE[#All],4,FALSE))</f>
        <v>Fora do DRE</v>
      </c>
      <c r="T4688" s="3" t="str">
        <f>IF(ISERROR(VLOOKUP(Base_Periodo1[[#This Row],[CONTA]],BaseContasDRE[#All],5,FALSE)),"Fora do DRE",VLOOKUP(Base_Periodo1[[#This Row],[CONTA]],BaseContasDRE[#All],6,FALSE))</f>
        <v>Fora do DRE</v>
      </c>
      <c r="U4688" s="3" t="str">
        <f>IF(ISERROR(VLOOKUP(Base_Periodo1[[#This Row],[CONTA]],BaseContasDRE[#All],7,FALSE)),"Fora do DRE",VLOOKUP(Base_Periodo1[[#This Row],[CONTA]],BaseContasDRE[#All],7,FALSE))</f>
        <v>Fora do DRE</v>
      </c>
      <c r="V4688" s="3" t="str">
        <f>IF(Base_Periodo1[[#This Row],[Tipo_Linha]]="Fora do DRE","Fora do DRE","( "&amp;Base_Periodo1[[#This Row],[Tipo_Linha]]&amp;" ) "&amp;Base_Periodo1[[#This Row],[Filtro]])</f>
        <v>Fora do DRE</v>
      </c>
      <c r="W4688" s="3" t="str">
        <f>LEFT(Base_Periodo1[[#This Row],[CLASS]],3)</f>
        <v>2.4</v>
      </c>
    </row>
    <row r="4689" spans="1:23" hidden="1">
      <c r="A4689" s="3" t="str">
        <f t="shared" si="73"/>
        <v>Período 1</v>
      </c>
      <c r="B4689">
        <v>16068</v>
      </c>
      <c r="C4689" t="s">
        <v>2300</v>
      </c>
      <c r="D4689" t="s">
        <v>2629</v>
      </c>
      <c r="E4689" s="3" t="str">
        <f>IF(LEN(Base_Periodo1[[#This Row],[CLASS]])&gt;=7,LEFT(Base_Periodo1[[#This Row],[CLASS]],7),"")</f>
        <v>2.4.1.1</v>
      </c>
      <c r="F4689" s="3" t="str">
        <f>VLOOKUP(Base_Periodo1[[#This Row],[Aux]],Base_Contas_Balanco[#All],2,FALSE)</f>
        <v>Capital Social Realizado</v>
      </c>
      <c r="G4689" s="1"/>
      <c r="H4689" s="225">
        <v>900.25000000000011</v>
      </c>
      <c r="I4689" s="225">
        <v>0</v>
      </c>
      <c r="J4689" s="225">
        <v>0</v>
      </c>
      <c r="K4689" s="225">
        <v>900.25000000000011</v>
      </c>
      <c r="L46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900.25</v>
      </c>
      <c r="M4689" s="225">
        <f>ROUND(IF(AND(Base_Periodo1[[#This Row],[Tipo_Linha]]="-",Base_Periodo1[[#This Row],[TIPOSALDO]]="D"),Base_Periodo1[[#This Row],[SALDO_ATUAL]]*-1,Base_Periodo1[[#This Row],[SALDO_ATUAL]]),4)</f>
        <v>900.25</v>
      </c>
      <c r="N4689" t="s">
        <v>116</v>
      </c>
      <c r="O4689" t="s">
        <v>459</v>
      </c>
      <c r="P4689" t="s">
        <v>459</v>
      </c>
      <c r="Q4689">
        <v>6</v>
      </c>
      <c r="R4689" s="225">
        <f>Base_Periodo1[[#This Row],[CREDITOS]]-Base_Periodo1[[#This Row],[DEBITOS]]</f>
        <v>0</v>
      </c>
      <c r="S4689" s="3" t="str">
        <f>IF(ISERROR(VLOOKUP(Base_Periodo1[[#This Row],[CONTA]],BaseContasDRE[#All],4,FALSE)),"Fora do DRE",VLOOKUP(Base_Periodo1[[#This Row],[CONTA]],BaseContasDRE[#All],4,FALSE))</f>
        <v>Fora do DRE</v>
      </c>
      <c r="T4689" s="3" t="str">
        <f>IF(ISERROR(VLOOKUP(Base_Periodo1[[#This Row],[CONTA]],BaseContasDRE[#All],5,FALSE)),"Fora do DRE",VLOOKUP(Base_Periodo1[[#This Row],[CONTA]],BaseContasDRE[#All],6,FALSE))</f>
        <v>Fora do DRE</v>
      </c>
      <c r="U4689" s="3" t="str">
        <f>IF(ISERROR(VLOOKUP(Base_Periodo1[[#This Row],[CONTA]],BaseContasDRE[#All],7,FALSE)),"Fora do DRE",VLOOKUP(Base_Periodo1[[#This Row],[CONTA]],BaseContasDRE[#All],7,FALSE))</f>
        <v>Fora do DRE</v>
      </c>
      <c r="V4689" s="3" t="str">
        <f>IF(Base_Periodo1[[#This Row],[Tipo_Linha]]="Fora do DRE","Fora do DRE","( "&amp;Base_Periodo1[[#This Row],[Tipo_Linha]]&amp;" ) "&amp;Base_Periodo1[[#This Row],[Filtro]])</f>
        <v>Fora do DRE</v>
      </c>
      <c r="W4689" s="3" t="str">
        <f>LEFT(Base_Periodo1[[#This Row],[CLASS]],3)</f>
        <v>2.4</v>
      </c>
    </row>
    <row r="4690" spans="1:23" hidden="1">
      <c r="A4690" s="3" t="str">
        <f t="shared" si="73"/>
        <v>Período 1</v>
      </c>
      <c r="B4690">
        <v>16153</v>
      </c>
      <c r="C4690" t="s">
        <v>2300</v>
      </c>
      <c r="D4690" t="s">
        <v>2630</v>
      </c>
      <c r="E4690" s="3" t="str">
        <f>IF(LEN(Base_Periodo1[[#This Row],[CLASS]])&gt;=7,LEFT(Base_Periodo1[[#This Row],[CLASS]],7),"")</f>
        <v>2.4.1.1</v>
      </c>
      <c r="F4690" s="3" t="str">
        <f>VLOOKUP(Base_Periodo1[[#This Row],[Aux]],Base_Contas_Balanco[#All],2,FALSE)</f>
        <v>Capital Social Realizado</v>
      </c>
      <c r="G4690" s="1"/>
      <c r="H4690" s="225">
        <v>6331.54</v>
      </c>
      <c r="I4690" s="225">
        <v>0</v>
      </c>
      <c r="J4690" s="225">
        <v>0</v>
      </c>
      <c r="K4690" s="225">
        <v>6331.54</v>
      </c>
      <c r="L46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6331.54</v>
      </c>
      <c r="M4690" s="225">
        <f>ROUND(IF(AND(Base_Periodo1[[#This Row],[Tipo_Linha]]="-",Base_Periodo1[[#This Row],[TIPOSALDO]]="D"),Base_Periodo1[[#This Row],[SALDO_ATUAL]]*-1,Base_Periodo1[[#This Row],[SALDO_ATUAL]]),4)</f>
        <v>6331.54</v>
      </c>
      <c r="N4690" t="s">
        <v>116</v>
      </c>
      <c r="O4690" t="s">
        <v>459</v>
      </c>
      <c r="P4690" t="s">
        <v>459</v>
      </c>
      <c r="Q4690">
        <v>6</v>
      </c>
      <c r="R4690" s="225">
        <f>Base_Periodo1[[#This Row],[CREDITOS]]-Base_Periodo1[[#This Row],[DEBITOS]]</f>
        <v>0</v>
      </c>
      <c r="S4690" s="3" t="str">
        <f>IF(ISERROR(VLOOKUP(Base_Periodo1[[#This Row],[CONTA]],BaseContasDRE[#All],4,FALSE)),"Fora do DRE",VLOOKUP(Base_Periodo1[[#This Row],[CONTA]],BaseContasDRE[#All],4,FALSE))</f>
        <v>Fora do DRE</v>
      </c>
      <c r="T4690" s="3" t="str">
        <f>IF(ISERROR(VLOOKUP(Base_Periodo1[[#This Row],[CONTA]],BaseContasDRE[#All],5,FALSE)),"Fora do DRE",VLOOKUP(Base_Periodo1[[#This Row],[CONTA]],BaseContasDRE[#All],6,FALSE))</f>
        <v>Fora do DRE</v>
      </c>
      <c r="U4690" s="3" t="str">
        <f>IF(ISERROR(VLOOKUP(Base_Periodo1[[#This Row],[CONTA]],BaseContasDRE[#All],7,FALSE)),"Fora do DRE",VLOOKUP(Base_Periodo1[[#This Row],[CONTA]],BaseContasDRE[#All],7,FALSE))</f>
        <v>Fora do DRE</v>
      </c>
      <c r="V4690" s="3" t="str">
        <f>IF(Base_Periodo1[[#This Row],[Tipo_Linha]]="Fora do DRE","Fora do DRE","( "&amp;Base_Periodo1[[#This Row],[Tipo_Linha]]&amp;" ) "&amp;Base_Periodo1[[#This Row],[Filtro]])</f>
        <v>Fora do DRE</v>
      </c>
      <c r="W4690" s="3" t="str">
        <f>LEFT(Base_Periodo1[[#This Row],[CLASS]],3)</f>
        <v>2.4</v>
      </c>
    </row>
    <row r="4691" spans="1:23" hidden="1">
      <c r="A4691" s="3" t="str">
        <f t="shared" si="73"/>
        <v>Período 1</v>
      </c>
      <c r="B4691">
        <v>47225</v>
      </c>
      <c r="C4691" t="s">
        <v>2300</v>
      </c>
      <c r="D4691" t="s">
        <v>2631</v>
      </c>
      <c r="E4691" s="3" t="str">
        <f>IF(LEN(Base_Periodo1[[#This Row],[CLASS]])&gt;=7,LEFT(Base_Periodo1[[#This Row],[CLASS]],7),"")</f>
        <v>2.4.1.1</v>
      </c>
      <c r="F4691" s="3" t="str">
        <f>VLOOKUP(Base_Periodo1[[#This Row],[Aux]],Base_Contas_Balanco[#All],2,FALSE)</f>
        <v>Capital Social Realizado</v>
      </c>
      <c r="G4691" s="1"/>
      <c r="H4691" s="225">
        <v>75.62</v>
      </c>
      <c r="I4691" s="225">
        <v>0</v>
      </c>
      <c r="J4691" s="225">
        <v>0</v>
      </c>
      <c r="K4691" s="225">
        <v>75.62</v>
      </c>
      <c r="L46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75.62</v>
      </c>
      <c r="M4691" s="225">
        <f>ROUND(IF(AND(Base_Periodo1[[#This Row],[Tipo_Linha]]="-",Base_Periodo1[[#This Row],[TIPOSALDO]]="D"),Base_Periodo1[[#This Row],[SALDO_ATUAL]]*-1,Base_Periodo1[[#This Row],[SALDO_ATUAL]]),4)</f>
        <v>75.62</v>
      </c>
      <c r="N4691" t="s">
        <v>116</v>
      </c>
      <c r="O4691" t="s">
        <v>459</v>
      </c>
      <c r="P4691" t="s">
        <v>459</v>
      </c>
      <c r="Q4691">
        <v>6</v>
      </c>
      <c r="R4691" s="225">
        <f>Base_Periodo1[[#This Row],[CREDITOS]]-Base_Periodo1[[#This Row],[DEBITOS]]</f>
        <v>0</v>
      </c>
      <c r="S4691" s="3" t="str">
        <f>IF(ISERROR(VLOOKUP(Base_Periodo1[[#This Row],[CONTA]],BaseContasDRE[#All],4,FALSE)),"Fora do DRE",VLOOKUP(Base_Periodo1[[#This Row],[CONTA]],BaseContasDRE[#All],4,FALSE))</f>
        <v>Fora do DRE</v>
      </c>
      <c r="T4691" s="3" t="str">
        <f>IF(ISERROR(VLOOKUP(Base_Periodo1[[#This Row],[CONTA]],BaseContasDRE[#All],5,FALSE)),"Fora do DRE",VLOOKUP(Base_Periodo1[[#This Row],[CONTA]],BaseContasDRE[#All],6,FALSE))</f>
        <v>Fora do DRE</v>
      </c>
      <c r="U4691" s="3" t="str">
        <f>IF(ISERROR(VLOOKUP(Base_Periodo1[[#This Row],[CONTA]],BaseContasDRE[#All],7,FALSE)),"Fora do DRE",VLOOKUP(Base_Periodo1[[#This Row],[CONTA]],BaseContasDRE[#All],7,FALSE))</f>
        <v>Fora do DRE</v>
      </c>
      <c r="V4691" s="3" t="str">
        <f>IF(Base_Periodo1[[#This Row],[Tipo_Linha]]="Fora do DRE","Fora do DRE","( "&amp;Base_Periodo1[[#This Row],[Tipo_Linha]]&amp;" ) "&amp;Base_Periodo1[[#This Row],[Filtro]])</f>
        <v>Fora do DRE</v>
      </c>
      <c r="W4691" s="3" t="str">
        <f>LEFT(Base_Periodo1[[#This Row],[CLASS]],3)</f>
        <v>2.4</v>
      </c>
    </row>
    <row r="4692" spans="1:23" hidden="1">
      <c r="A4692" s="3" t="str">
        <f t="shared" si="73"/>
        <v>Período 1</v>
      </c>
      <c r="B4692">
        <v>24579</v>
      </c>
      <c r="C4692" t="s">
        <v>2300</v>
      </c>
      <c r="D4692" t="s">
        <v>2632</v>
      </c>
      <c r="E4692" s="3" t="str">
        <f>IF(LEN(Base_Periodo1[[#This Row],[CLASS]])&gt;=7,LEFT(Base_Periodo1[[#This Row],[CLASS]],7),"")</f>
        <v>2.4.1.1</v>
      </c>
      <c r="F4692" s="3" t="str">
        <f>VLOOKUP(Base_Periodo1[[#This Row],[Aux]],Base_Contas_Balanco[#All],2,FALSE)</f>
        <v>Capital Social Realizado</v>
      </c>
      <c r="G4692" s="1"/>
      <c r="H4692" s="225">
        <v>491.56</v>
      </c>
      <c r="I4692" s="225">
        <v>0</v>
      </c>
      <c r="J4692" s="225">
        <v>0</v>
      </c>
      <c r="K4692" s="225">
        <v>491.56</v>
      </c>
      <c r="L46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491.56</v>
      </c>
      <c r="M4692" s="225">
        <f>ROUND(IF(AND(Base_Periodo1[[#This Row],[Tipo_Linha]]="-",Base_Periodo1[[#This Row],[TIPOSALDO]]="D"),Base_Periodo1[[#This Row],[SALDO_ATUAL]]*-1,Base_Periodo1[[#This Row],[SALDO_ATUAL]]),4)</f>
        <v>491.56</v>
      </c>
      <c r="N4692" t="s">
        <v>116</v>
      </c>
      <c r="O4692" t="s">
        <v>459</v>
      </c>
      <c r="P4692" t="s">
        <v>459</v>
      </c>
      <c r="Q4692">
        <v>6</v>
      </c>
      <c r="R4692" s="225">
        <f>Base_Periodo1[[#This Row],[CREDITOS]]-Base_Periodo1[[#This Row],[DEBITOS]]</f>
        <v>0</v>
      </c>
      <c r="S4692" s="3" t="str">
        <f>IF(ISERROR(VLOOKUP(Base_Periodo1[[#This Row],[CONTA]],BaseContasDRE[#All],4,FALSE)),"Fora do DRE",VLOOKUP(Base_Periodo1[[#This Row],[CONTA]],BaseContasDRE[#All],4,FALSE))</f>
        <v>Fora do DRE</v>
      </c>
      <c r="T4692" s="3" t="str">
        <f>IF(ISERROR(VLOOKUP(Base_Periodo1[[#This Row],[CONTA]],BaseContasDRE[#All],5,FALSE)),"Fora do DRE",VLOOKUP(Base_Periodo1[[#This Row],[CONTA]],BaseContasDRE[#All],6,FALSE))</f>
        <v>Fora do DRE</v>
      </c>
      <c r="U4692" s="3" t="str">
        <f>IF(ISERROR(VLOOKUP(Base_Periodo1[[#This Row],[CONTA]],BaseContasDRE[#All],7,FALSE)),"Fora do DRE",VLOOKUP(Base_Periodo1[[#This Row],[CONTA]],BaseContasDRE[#All],7,FALSE))</f>
        <v>Fora do DRE</v>
      </c>
      <c r="V4692" s="3" t="str">
        <f>IF(Base_Periodo1[[#This Row],[Tipo_Linha]]="Fora do DRE","Fora do DRE","( "&amp;Base_Periodo1[[#This Row],[Tipo_Linha]]&amp;" ) "&amp;Base_Periodo1[[#This Row],[Filtro]])</f>
        <v>Fora do DRE</v>
      </c>
      <c r="W4692" s="3" t="str">
        <f>LEFT(Base_Periodo1[[#This Row],[CLASS]],3)</f>
        <v>2.4</v>
      </c>
    </row>
    <row r="4693" spans="1:23" hidden="1">
      <c r="A4693" s="3" t="str">
        <f t="shared" si="73"/>
        <v>Período 1</v>
      </c>
      <c r="B4693">
        <v>16180</v>
      </c>
      <c r="C4693" t="s">
        <v>2300</v>
      </c>
      <c r="D4693" t="s">
        <v>2633</v>
      </c>
      <c r="E4693" s="3" t="str">
        <f>IF(LEN(Base_Periodo1[[#This Row],[CLASS]])&gt;=7,LEFT(Base_Periodo1[[#This Row],[CLASS]],7),"")</f>
        <v>2.4.1.1</v>
      </c>
      <c r="F4693" s="3" t="str">
        <f>VLOOKUP(Base_Periodo1[[#This Row],[Aux]],Base_Contas_Balanco[#All],2,FALSE)</f>
        <v>Capital Social Realizado</v>
      </c>
      <c r="G4693" s="1"/>
      <c r="H4693" s="225">
        <v>4803.9400000000005</v>
      </c>
      <c r="I4693" s="225">
        <v>0</v>
      </c>
      <c r="J4693" s="225">
        <v>0</v>
      </c>
      <c r="K4693" s="225">
        <v>4803.9400000000005</v>
      </c>
      <c r="L46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4803.9399999999996</v>
      </c>
      <c r="M4693" s="225">
        <f>ROUND(IF(AND(Base_Periodo1[[#This Row],[Tipo_Linha]]="-",Base_Periodo1[[#This Row],[TIPOSALDO]]="D"),Base_Periodo1[[#This Row],[SALDO_ATUAL]]*-1,Base_Periodo1[[#This Row],[SALDO_ATUAL]]),4)</f>
        <v>4803.9399999999996</v>
      </c>
      <c r="N4693" t="s">
        <v>116</v>
      </c>
      <c r="O4693" t="s">
        <v>459</v>
      </c>
      <c r="P4693" t="s">
        <v>459</v>
      </c>
      <c r="Q4693">
        <v>6</v>
      </c>
      <c r="R4693" s="225">
        <f>Base_Periodo1[[#This Row],[CREDITOS]]-Base_Periodo1[[#This Row],[DEBITOS]]</f>
        <v>0</v>
      </c>
      <c r="S4693" s="3" t="str">
        <f>IF(ISERROR(VLOOKUP(Base_Periodo1[[#This Row],[CONTA]],BaseContasDRE[#All],4,FALSE)),"Fora do DRE",VLOOKUP(Base_Periodo1[[#This Row],[CONTA]],BaseContasDRE[#All],4,FALSE))</f>
        <v>Fora do DRE</v>
      </c>
      <c r="T4693" s="3" t="str">
        <f>IF(ISERROR(VLOOKUP(Base_Periodo1[[#This Row],[CONTA]],BaseContasDRE[#All],5,FALSE)),"Fora do DRE",VLOOKUP(Base_Periodo1[[#This Row],[CONTA]],BaseContasDRE[#All],6,FALSE))</f>
        <v>Fora do DRE</v>
      </c>
      <c r="U4693" s="3" t="str">
        <f>IF(ISERROR(VLOOKUP(Base_Periodo1[[#This Row],[CONTA]],BaseContasDRE[#All],7,FALSE)),"Fora do DRE",VLOOKUP(Base_Periodo1[[#This Row],[CONTA]],BaseContasDRE[#All],7,FALSE))</f>
        <v>Fora do DRE</v>
      </c>
      <c r="V4693" s="3" t="str">
        <f>IF(Base_Periodo1[[#This Row],[Tipo_Linha]]="Fora do DRE","Fora do DRE","( "&amp;Base_Periodo1[[#This Row],[Tipo_Linha]]&amp;" ) "&amp;Base_Periodo1[[#This Row],[Filtro]])</f>
        <v>Fora do DRE</v>
      </c>
      <c r="W4693" s="3" t="str">
        <f>LEFT(Base_Periodo1[[#This Row],[CLASS]],3)</f>
        <v>2.4</v>
      </c>
    </row>
    <row r="4694" spans="1:23" hidden="1">
      <c r="A4694" s="3" t="str">
        <f t="shared" si="73"/>
        <v>Período 1</v>
      </c>
      <c r="B4694">
        <v>25774</v>
      </c>
      <c r="C4694" t="s">
        <v>2300</v>
      </c>
      <c r="D4694" t="s">
        <v>2634</v>
      </c>
      <c r="E4694" s="3" t="str">
        <f>IF(LEN(Base_Periodo1[[#This Row],[CLASS]])&gt;=7,LEFT(Base_Periodo1[[#This Row],[CLASS]],7),"")</f>
        <v>2.4.1.1</v>
      </c>
      <c r="F4694" s="3" t="str">
        <f>VLOOKUP(Base_Periodo1[[#This Row],[Aux]],Base_Contas_Balanco[#All],2,FALSE)</f>
        <v>Capital Social Realizado</v>
      </c>
      <c r="G4694" s="1"/>
      <c r="H4694" s="225">
        <v>54.84</v>
      </c>
      <c r="I4694" s="225">
        <v>0</v>
      </c>
      <c r="J4694" s="225">
        <v>0</v>
      </c>
      <c r="K4694" s="225">
        <v>54.84</v>
      </c>
      <c r="L46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54.84</v>
      </c>
      <c r="M4694" s="225">
        <f>ROUND(IF(AND(Base_Periodo1[[#This Row],[Tipo_Linha]]="-",Base_Periodo1[[#This Row],[TIPOSALDO]]="D"),Base_Periodo1[[#This Row],[SALDO_ATUAL]]*-1,Base_Periodo1[[#This Row],[SALDO_ATUAL]]),4)</f>
        <v>54.84</v>
      </c>
      <c r="N4694" t="s">
        <v>116</v>
      </c>
      <c r="O4694" t="s">
        <v>459</v>
      </c>
      <c r="P4694" t="s">
        <v>459</v>
      </c>
      <c r="Q4694">
        <v>6</v>
      </c>
      <c r="R4694" s="225">
        <f>Base_Periodo1[[#This Row],[CREDITOS]]-Base_Periodo1[[#This Row],[DEBITOS]]</f>
        <v>0</v>
      </c>
      <c r="S4694" s="3" t="str">
        <f>IF(ISERROR(VLOOKUP(Base_Periodo1[[#This Row],[CONTA]],BaseContasDRE[#All],4,FALSE)),"Fora do DRE",VLOOKUP(Base_Periodo1[[#This Row],[CONTA]],BaseContasDRE[#All],4,FALSE))</f>
        <v>Fora do DRE</v>
      </c>
      <c r="T4694" s="3" t="str">
        <f>IF(ISERROR(VLOOKUP(Base_Periodo1[[#This Row],[CONTA]],BaseContasDRE[#All],5,FALSE)),"Fora do DRE",VLOOKUP(Base_Periodo1[[#This Row],[CONTA]],BaseContasDRE[#All],6,FALSE))</f>
        <v>Fora do DRE</v>
      </c>
      <c r="U4694" s="3" t="str">
        <f>IF(ISERROR(VLOOKUP(Base_Periodo1[[#This Row],[CONTA]],BaseContasDRE[#All],7,FALSE)),"Fora do DRE",VLOOKUP(Base_Periodo1[[#This Row],[CONTA]],BaseContasDRE[#All],7,FALSE))</f>
        <v>Fora do DRE</v>
      </c>
      <c r="V4694" s="3" t="str">
        <f>IF(Base_Periodo1[[#This Row],[Tipo_Linha]]="Fora do DRE","Fora do DRE","( "&amp;Base_Periodo1[[#This Row],[Tipo_Linha]]&amp;" ) "&amp;Base_Periodo1[[#This Row],[Filtro]])</f>
        <v>Fora do DRE</v>
      </c>
      <c r="W4694" s="3" t="str">
        <f>LEFT(Base_Periodo1[[#This Row],[CLASS]],3)</f>
        <v>2.4</v>
      </c>
    </row>
    <row r="4695" spans="1:23" hidden="1">
      <c r="A4695" s="3" t="str">
        <f t="shared" si="73"/>
        <v>Período 1</v>
      </c>
      <c r="B4695">
        <v>40285</v>
      </c>
      <c r="C4695" t="s">
        <v>2300</v>
      </c>
      <c r="D4695" t="s">
        <v>2635</v>
      </c>
      <c r="E4695" s="3" t="str">
        <f>IF(LEN(Base_Periodo1[[#This Row],[CLASS]])&gt;=7,LEFT(Base_Periodo1[[#This Row],[CLASS]],7),"")</f>
        <v>2.4.1.1</v>
      </c>
      <c r="F4695" s="3" t="str">
        <f>VLOOKUP(Base_Periodo1[[#This Row],[Aux]],Base_Contas_Balanco[#All],2,FALSE)</f>
        <v>Capital Social Realizado</v>
      </c>
      <c r="G4695" s="1"/>
      <c r="H4695" s="225">
        <v>2000</v>
      </c>
      <c r="I4695" s="225">
        <v>0</v>
      </c>
      <c r="J4695" s="225">
        <v>0</v>
      </c>
      <c r="K4695" s="225">
        <v>2000</v>
      </c>
      <c r="L46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2000</v>
      </c>
      <c r="M4695" s="225">
        <f>ROUND(IF(AND(Base_Periodo1[[#This Row],[Tipo_Linha]]="-",Base_Periodo1[[#This Row],[TIPOSALDO]]="D"),Base_Periodo1[[#This Row],[SALDO_ATUAL]]*-1,Base_Periodo1[[#This Row],[SALDO_ATUAL]]),4)</f>
        <v>2000</v>
      </c>
      <c r="N4695" t="s">
        <v>116</v>
      </c>
      <c r="O4695" t="s">
        <v>459</v>
      </c>
      <c r="P4695" t="s">
        <v>459</v>
      </c>
      <c r="Q4695">
        <v>6</v>
      </c>
      <c r="R4695" s="225">
        <f>Base_Periodo1[[#This Row],[CREDITOS]]-Base_Periodo1[[#This Row],[DEBITOS]]</f>
        <v>0</v>
      </c>
      <c r="S4695" s="3" t="str">
        <f>IF(ISERROR(VLOOKUP(Base_Periodo1[[#This Row],[CONTA]],BaseContasDRE[#All],4,FALSE)),"Fora do DRE",VLOOKUP(Base_Periodo1[[#This Row],[CONTA]],BaseContasDRE[#All],4,FALSE))</f>
        <v>Fora do DRE</v>
      </c>
      <c r="T4695" s="3" t="str">
        <f>IF(ISERROR(VLOOKUP(Base_Periodo1[[#This Row],[CONTA]],BaseContasDRE[#All],5,FALSE)),"Fora do DRE",VLOOKUP(Base_Periodo1[[#This Row],[CONTA]],BaseContasDRE[#All],6,FALSE))</f>
        <v>Fora do DRE</v>
      </c>
      <c r="U4695" s="3" t="str">
        <f>IF(ISERROR(VLOOKUP(Base_Periodo1[[#This Row],[CONTA]],BaseContasDRE[#All],7,FALSE)),"Fora do DRE",VLOOKUP(Base_Periodo1[[#This Row],[CONTA]],BaseContasDRE[#All],7,FALSE))</f>
        <v>Fora do DRE</v>
      </c>
      <c r="V4695" s="3" t="str">
        <f>IF(Base_Periodo1[[#This Row],[Tipo_Linha]]="Fora do DRE","Fora do DRE","( "&amp;Base_Periodo1[[#This Row],[Tipo_Linha]]&amp;" ) "&amp;Base_Periodo1[[#This Row],[Filtro]])</f>
        <v>Fora do DRE</v>
      </c>
      <c r="W4695" s="3" t="str">
        <f>LEFT(Base_Periodo1[[#This Row],[CLASS]],3)</f>
        <v>2.4</v>
      </c>
    </row>
    <row r="4696" spans="1:23" hidden="1">
      <c r="A4696" s="3" t="str">
        <f t="shared" si="73"/>
        <v>Período 1</v>
      </c>
      <c r="B4696">
        <v>19313</v>
      </c>
      <c r="C4696" t="s">
        <v>2300</v>
      </c>
      <c r="D4696" t="s">
        <v>2636</v>
      </c>
      <c r="E4696" s="3" t="str">
        <f>IF(LEN(Base_Periodo1[[#This Row],[CLASS]])&gt;=7,LEFT(Base_Periodo1[[#This Row],[CLASS]],7),"")</f>
        <v>2.4.1.1</v>
      </c>
      <c r="F4696" s="3" t="str">
        <f>VLOOKUP(Base_Periodo1[[#This Row],[Aux]],Base_Contas_Balanco[#All],2,FALSE)</f>
        <v>Capital Social Realizado</v>
      </c>
      <c r="G4696" s="1"/>
      <c r="H4696" s="225">
        <v>1397.7199999999998</v>
      </c>
      <c r="I4696" s="225">
        <v>0</v>
      </c>
      <c r="J4696" s="225">
        <v>0</v>
      </c>
      <c r="K4696" s="225">
        <v>1397.7199999999998</v>
      </c>
      <c r="L46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1397.72</v>
      </c>
      <c r="M4696" s="225">
        <f>ROUND(IF(AND(Base_Periodo1[[#This Row],[Tipo_Linha]]="-",Base_Periodo1[[#This Row],[TIPOSALDO]]="D"),Base_Periodo1[[#This Row],[SALDO_ATUAL]]*-1,Base_Periodo1[[#This Row],[SALDO_ATUAL]]),4)</f>
        <v>1397.72</v>
      </c>
      <c r="N4696" t="s">
        <v>116</v>
      </c>
      <c r="O4696" t="s">
        <v>459</v>
      </c>
      <c r="P4696" t="s">
        <v>459</v>
      </c>
      <c r="Q4696">
        <v>6</v>
      </c>
      <c r="R4696" s="225">
        <f>Base_Periodo1[[#This Row],[CREDITOS]]-Base_Periodo1[[#This Row],[DEBITOS]]</f>
        <v>0</v>
      </c>
      <c r="S4696" s="3" t="str">
        <f>IF(ISERROR(VLOOKUP(Base_Periodo1[[#This Row],[CONTA]],BaseContasDRE[#All],4,FALSE)),"Fora do DRE",VLOOKUP(Base_Periodo1[[#This Row],[CONTA]],BaseContasDRE[#All],4,FALSE))</f>
        <v>Fora do DRE</v>
      </c>
      <c r="T4696" s="3" t="str">
        <f>IF(ISERROR(VLOOKUP(Base_Periodo1[[#This Row],[CONTA]],BaseContasDRE[#All],5,FALSE)),"Fora do DRE",VLOOKUP(Base_Periodo1[[#This Row],[CONTA]],BaseContasDRE[#All],6,FALSE))</f>
        <v>Fora do DRE</v>
      </c>
      <c r="U4696" s="3" t="str">
        <f>IF(ISERROR(VLOOKUP(Base_Periodo1[[#This Row],[CONTA]],BaseContasDRE[#All],7,FALSE)),"Fora do DRE",VLOOKUP(Base_Periodo1[[#This Row],[CONTA]],BaseContasDRE[#All],7,FALSE))</f>
        <v>Fora do DRE</v>
      </c>
      <c r="V4696" s="3" t="str">
        <f>IF(Base_Periodo1[[#This Row],[Tipo_Linha]]="Fora do DRE","Fora do DRE","( "&amp;Base_Periodo1[[#This Row],[Tipo_Linha]]&amp;" ) "&amp;Base_Periodo1[[#This Row],[Filtro]])</f>
        <v>Fora do DRE</v>
      </c>
      <c r="W4696" s="3" t="str">
        <f>LEFT(Base_Periodo1[[#This Row],[CLASS]],3)</f>
        <v>2.4</v>
      </c>
    </row>
    <row r="4697" spans="1:23" hidden="1">
      <c r="A4697" s="3" t="str">
        <f t="shared" si="73"/>
        <v>Período 1</v>
      </c>
      <c r="B4697">
        <v>25220</v>
      </c>
      <c r="C4697" t="s">
        <v>2300</v>
      </c>
      <c r="D4697" t="s">
        <v>2637</v>
      </c>
      <c r="E4697" s="3" t="str">
        <f>IF(LEN(Base_Periodo1[[#This Row],[CLASS]])&gt;=7,LEFT(Base_Periodo1[[#This Row],[CLASS]],7),"")</f>
        <v>2.4.1.1</v>
      </c>
      <c r="F4697" s="3" t="str">
        <f>VLOOKUP(Base_Periodo1[[#This Row],[Aux]],Base_Contas_Balanco[#All],2,FALSE)</f>
        <v>Capital Social Realizado</v>
      </c>
      <c r="G4697" s="1"/>
      <c r="H4697" s="225">
        <v>459.19</v>
      </c>
      <c r="I4697" s="225">
        <v>0</v>
      </c>
      <c r="J4697" s="225">
        <v>0</v>
      </c>
      <c r="K4697" s="225">
        <v>459.19</v>
      </c>
      <c r="L46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459.19</v>
      </c>
      <c r="M4697" s="225">
        <f>ROUND(IF(AND(Base_Periodo1[[#This Row],[Tipo_Linha]]="-",Base_Periodo1[[#This Row],[TIPOSALDO]]="D"),Base_Periodo1[[#This Row],[SALDO_ATUAL]]*-1,Base_Periodo1[[#This Row],[SALDO_ATUAL]]),4)</f>
        <v>459.19</v>
      </c>
      <c r="N4697" t="s">
        <v>116</v>
      </c>
      <c r="O4697" t="s">
        <v>459</v>
      </c>
      <c r="P4697" t="s">
        <v>459</v>
      </c>
      <c r="Q4697">
        <v>6</v>
      </c>
      <c r="R4697" s="225">
        <f>Base_Periodo1[[#This Row],[CREDITOS]]-Base_Periodo1[[#This Row],[DEBITOS]]</f>
        <v>0</v>
      </c>
      <c r="S4697" s="3" t="str">
        <f>IF(ISERROR(VLOOKUP(Base_Periodo1[[#This Row],[CONTA]],BaseContasDRE[#All],4,FALSE)),"Fora do DRE",VLOOKUP(Base_Periodo1[[#This Row],[CONTA]],BaseContasDRE[#All],4,FALSE))</f>
        <v>Fora do DRE</v>
      </c>
      <c r="T4697" s="3" t="str">
        <f>IF(ISERROR(VLOOKUP(Base_Periodo1[[#This Row],[CONTA]],BaseContasDRE[#All],5,FALSE)),"Fora do DRE",VLOOKUP(Base_Periodo1[[#This Row],[CONTA]],BaseContasDRE[#All],6,FALSE))</f>
        <v>Fora do DRE</v>
      </c>
      <c r="U4697" s="3" t="str">
        <f>IF(ISERROR(VLOOKUP(Base_Periodo1[[#This Row],[CONTA]],BaseContasDRE[#All],7,FALSE)),"Fora do DRE",VLOOKUP(Base_Periodo1[[#This Row],[CONTA]],BaseContasDRE[#All],7,FALSE))</f>
        <v>Fora do DRE</v>
      </c>
      <c r="V4697" s="3" t="str">
        <f>IF(Base_Periodo1[[#This Row],[Tipo_Linha]]="Fora do DRE","Fora do DRE","( "&amp;Base_Periodo1[[#This Row],[Tipo_Linha]]&amp;" ) "&amp;Base_Periodo1[[#This Row],[Filtro]])</f>
        <v>Fora do DRE</v>
      </c>
      <c r="W4697" s="3" t="str">
        <f>LEFT(Base_Periodo1[[#This Row],[CLASS]],3)</f>
        <v>2.4</v>
      </c>
    </row>
    <row r="4698" spans="1:23" hidden="1">
      <c r="A4698" s="3" t="str">
        <f t="shared" si="73"/>
        <v>Período 1</v>
      </c>
      <c r="B4698">
        <v>35941</v>
      </c>
      <c r="C4698" t="s">
        <v>2300</v>
      </c>
      <c r="D4698" t="s">
        <v>2638</v>
      </c>
      <c r="E4698" s="3" t="str">
        <f>IF(LEN(Base_Periodo1[[#This Row],[CLASS]])&gt;=7,LEFT(Base_Periodo1[[#This Row],[CLASS]],7),"")</f>
        <v>2.4.1.1</v>
      </c>
      <c r="F4698" s="3" t="str">
        <f>VLOOKUP(Base_Periodo1[[#This Row],[Aux]],Base_Contas_Balanco[#All],2,FALSE)</f>
        <v>Capital Social Realizado</v>
      </c>
      <c r="G4698" s="1"/>
      <c r="H4698" s="225">
        <v>50</v>
      </c>
      <c r="I4698" s="225">
        <v>0</v>
      </c>
      <c r="J4698" s="225">
        <v>0</v>
      </c>
      <c r="K4698" s="225">
        <v>50</v>
      </c>
      <c r="L46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698" s="225">
        <f>ROUND(IF(AND(Base_Periodo1[[#This Row],[Tipo_Linha]]="-",Base_Periodo1[[#This Row],[TIPOSALDO]]="D"),Base_Periodo1[[#This Row],[SALDO_ATUAL]]*-1,Base_Periodo1[[#This Row],[SALDO_ATUAL]]),4)</f>
        <v>50</v>
      </c>
      <c r="N4698" t="s">
        <v>116</v>
      </c>
      <c r="O4698" t="s">
        <v>459</v>
      </c>
      <c r="P4698" t="s">
        <v>459</v>
      </c>
      <c r="Q4698">
        <v>6</v>
      </c>
      <c r="R4698" s="225">
        <f>Base_Periodo1[[#This Row],[CREDITOS]]-Base_Periodo1[[#This Row],[DEBITOS]]</f>
        <v>0</v>
      </c>
      <c r="S4698" s="3" t="str">
        <f>IF(ISERROR(VLOOKUP(Base_Periodo1[[#This Row],[CONTA]],BaseContasDRE[#All],4,FALSE)),"Fora do DRE",VLOOKUP(Base_Periodo1[[#This Row],[CONTA]],BaseContasDRE[#All],4,FALSE))</f>
        <v>Fora do DRE</v>
      </c>
      <c r="T4698" s="3" t="str">
        <f>IF(ISERROR(VLOOKUP(Base_Periodo1[[#This Row],[CONTA]],BaseContasDRE[#All],5,FALSE)),"Fora do DRE",VLOOKUP(Base_Periodo1[[#This Row],[CONTA]],BaseContasDRE[#All],6,FALSE))</f>
        <v>Fora do DRE</v>
      </c>
      <c r="U4698" s="3" t="str">
        <f>IF(ISERROR(VLOOKUP(Base_Periodo1[[#This Row],[CONTA]],BaseContasDRE[#All],7,FALSE)),"Fora do DRE",VLOOKUP(Base_Periodo1[[#This Row],[CONTA]],BaseContasDRE[#All],7,FALSE))</f>
        <v>Fora do DRE</v>
      </c>
      <c r="V4698" s="3" t="str">
        <f>IF(Base_Periodo1[[#This Row],[Tipo_Linha]]="Fora do DRE","Fora do DRE","( "&amp;Base_Periodo1[[#This Row],[Tipo_Linha]]&amp;" ) "&amp;Base_Periodo1[[#This Row],[Filtro]])</f>
        <v>Fora do DRE</v>
      </c>
      <c r="W4698" s="3" t="str">
        <f>LEFT(Base_Periodo1[[#This Row],[CLASS]],3)</f>
        <v>2.4</v>
      </c>
    </row>
    <row r="4699" spans="1:23" hidden="1">
      <c r="A4699" s="3" t="str">
        <f t="shared" si="73"/>
        <v>Período 1</v>
      </c>
      <c r="B4699">
        <v>31713</v>
      </c>
      <c r="C4699" t="s">
        <v>2300</v>
      </c>
      <c r="D4699" t="s">
        <v>2639</v>
      </c>
      <c r="E4699" s="3" t="str">
        <f>IF(LEN(Base_Periodo1[[#This Row],[CLASS]])&gt;=7,LEFT(Base_Periodo1[[#This Row],[CLASS]],7),"")</f>
        <v>2.4.1.1</v>
      </c>
      <c r="F4699" s="3" t="str">
        <f>VLOOKUP(Base_Periodo1[[#This Row],[Aux]],Base_Contas_Balanco[#All],2,FALSE)</f>
        <v>Capital Social Realizado</v>
      </c>
      <c r="G4699" s="1"/>
      <c r="H4699" s="225">
        <v>1000</v>
      </c>
      <c r="I4699" s="225">
        <v>0</v>
      </c>
      <c r="J4699" s="225">
        <v>0</v>
      </c>
      <c r="K4699" s="225">
        <v>1000</v>
      </c>
      <c r="L46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</v>
      </c>
      <c r="M4699" s="225">
        <f>ROUND(IF(AND(Base_Periodo1[[#This Row],[Tipo_Linha]]="-",Base_Periodo1[[#This Row],[TIPOSALDO]]="D"),Base_Periodo1[[#This Row],[SALDO_ATUAL]]*-1,Base_Periodo1[[#This Row],[SALDO_ATUAL]]),4)</f>
        <v>1000</v>
      </c>
      <c r="N4699" t="s">
        <v>116</v>
      </c>
      <c r="O4699" t="s">
        <v>459</v>
      </c>
      <c r="P4699" t="s">
        <v>459</v>
      </c>
      <c r="Q4699">
        <v>6</v>
      </c>
      <c r="R4699" s="225">
        <f>Base_Periodo1[[#This Row],[CREDITOS]]-Base_Periodo1[[#This Row],[DEBITOS]]</f>
        <v>0</v>
      </c>
      <c r="S4699" s="3" t="str">
        <f>IF(ISERROR(VLOOKUP(Base_Periodo1[[#This Row],[CONTA]],BaseContasDRE[#All],4,FALSE)),"Fora do DRE",VLOOKUP(Base_Periodo1[[#This Row],[CONTA]],BaseContasDRE[#All],4,FALSE))</f>
        <v>Fora do DRE</v>
      </c>
      <c r="T4699" s="3" t="str">
        <f>IF(ISERROR(VLOOKUP(Base_Periodo1[[#This Row],[CONTA]],BaseContasDRE[#All],5,FALSE)),"Fora do DRE",VLOOKUP(Base_Periodo1[[#This Row],[CONTA]],BaseContasDRE[#All],6,FALSE))</f>
        <v>Fora do DRE</v>
      </c>
      <c r="U4699" s="3" t="str">
        <f>IF(ISERROR(VLOOKUP(Base_Periodo1[[#This Row],[CONTA]],BaseContasDRE[#All],7,FALSE)),"Fora do DRE",VLOOKUP(Base_Periodo1[[#This Row],[CONTA]],BaseContasDRE[#All],7,FALSE))</f>
        <v>Fora do DRE</v>
      </c>
      <c r="V4699" s="3" t="str">
        <f>IF(Base_Periodo1[[#This Row],[Tipo_Linha]]="Fora do DRE","Fora do DRE","( "&amp;Base_Periodo1[[#This Row],[Tipo_Linha]]&amp;" ) "&amp;Base_Periodo1[[#This Row],[Filtro]])</f>
        <v>Fora do DRE</v>
      </c>
      <c r="W4699" s="3" t="str">
        <f>LEFT(Base_Periodo1[[#This Row],[CLASS]],3)</f>
        <v>2.4</v>
      </c>
    </row>
    <row r="4700" spans="1:23" hidden="1">
      <c r="A4700" s="3" t="str">
        <f t="shared" si="73"/>
        <v>Período 1</v>
      </c>
      <c r="B4700">
        <v>24580</v>
      </c>
      <c r="C4700" t="s">
        <v>2300</v>
      </c>
      <c r="D4700" t="s">
        <v>2640</v>
      </c>
      <c r="E4700" s="3" t="str">
        <f>IF(LEN(Base_Periodo1[[#This Row],[CLASS]])&gt;=7,LEFT(Base_Periodo1[[#This Row],[CLASS]],7),"")</f>
        <v>2.4.1.1</v>
      </c>
      <c r="F4700" s="3" t="str">
        <f>VLOOKUP(Base_Periodo1[[#This Row],[Aux]],Base_Contas_Balanco[#All],2,FALSE)</f>
        <v>Capital Social Realizado</v>
      </c>
      <c r="G4700" s="1"/>
      <c r="H4700" s="225">
        <v>5345.12</v>
      </c>
      <c r="I4700" s="225">
        <v>0</v>
      </c>
      <c r="J4700" s="225">
        <v>0</v>
      </c>
      <c r="K4700" s="225">
        <v>5345.12</v>
      </c>
      <c r="L47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5345.12</v>
      </c>
      <c r="M4700" s="225">
        <f>ROUND(IF(AND(Base_Periodo1[[#This Row],[Tipo_Linha]]="-",Base_Periodo1[[#This Row],[TIPOSALDO]]="D"),Base_Periodo1[[#This Row],[SALDO_ATUAL]]*-1,Base_Periodo1[[#This Row],[SALDO_ATUAL]]),4)</f>
        <v>5345.12</v>
      </c>
      <c r="N4700" t="s">
        <v>116</v>
      </c>
      <c r="O4700" t="s">
        <v>459</v>
      </c>
      <c r="P4700" t="s">
        <v>459</v>
      </c>
      <c r="Q4700">
        <v>6</v>
      </c>
      <c r="R4700" s="225">
        <f>Base_Periodo1[[#This Row],[CREDITOS]]-Base_Periodo1[[#This Row],[DEBITOS]]</f>
        <v>0</v>
      </c>
      <c r="S4700" s="3" t="str">
        <f>IF(ISERROR(VLOOKUP(Base_Periodo1[[#This Row],[CONTA]],BaseContasDRE[#All],4,FALSE)),"Fora do DRE",VLOOKUP(Base_Periodo1[[#This Row],[CONTA]],BaseContasDRE[#All],4,FALSE))</f>
        <v>Fora do DRE</v>
      </c>
      <c r="T4700" s="3" t="str">
        <f>IF(ISERROR(VLOOKUP(Base_Periodo1[[#This Row],[CONTA]],BaseContasDRE[#All],5,FALSE)),"Fora do DRE",VLOOKUP(Base_Periodo1[[#This Row],[CONTA]],BaseContasDRE[#All],6,FALSE))</f>
        <v>Fora do DRE</v>
      </c>
      <c r="U4700" s="3" t="str">
        <f>IF(ISERROR(VLOOKUP(Base_Periodo1[[#This Row],[CONTA]],BaseContasDRE[#All],7,FALSE)),"Fora do DRE",VLOOKUP(Base_Periodo1[[#This Row],[CONTA]],BaseContasDRE[#All],7,FALSE))</f>
        <v>Fora do DRE</v>
      </c>
      <c r="V4700" s="3" t="str">
        <f>IF(Base_Periodo1[[#This Row],[Tipo_Linha]]="Fora do DRE","Fora do DRE","( "&amp;Base_Periodo1[[#This Row],[Tipo_Linha]]&amp;" ) "&amp;Base_Periodo1[[#This Row],[Filtro]])</f>
        <v>Fora do DRE</v>
      </c>
      <c r="W4700" s="3" t="str">
        <f>LEFT(Base_Periodo1[[#This Row],[CLASS]],3)</f>
        <v>2.4</v>
      </c>
    </row>
    <row r="4701" spans="1:23" hidden="1">
      <c r="A4701" s="3" t="str">
        <f t="shared" si="73"/>
        <v>Período 1</v>
      </c>
      <c r="B4701">
        <v>46783</v>
      </c>
      <c r="C4701" t="s">
        <v>2300</v>
      </c>
      <c r="D4701" t="s">
        <v>2641</v>
      </c>
      <c r="E4701" s="3" t="str">
        <f>IF(LEN(Base_Periodo1[[#This Row],[CLASS]])&gt;=7,LEFT(Base_Periodo1[[#This Row],[CLASS]],7),"")</f>
        <v>2.4.1.1</v>
      </c>
      <c r="F4701" s="3" t="str">
        <f>VLOOKUP(Base_Periodo1[[#This Row],[Aux]],Base_Contas_Balanco[#All],2,FALSE)</f>
        <v>Capital Social Realizado</v>
      </c>
      <c r="G4701" s="1"/>
      <c r="H4701" s="225">
        <v>1852.62</v>
      </c>
      <c r="I4701" s="225">
        <v>0</v>
      </c>
      <c r="J4701" s="225">
        <v>0</v>
      </c>
      <c r="K4701" s="225">
        <v>1852.62</v>
      </c>
      <c r="L47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1852.62</v>
      </c>
      <c r="M4701" s="225">
        <f>ROUND(IF(AND(Base_Periodo1[[#This Row],[Tipo_Linha]]="-",Base_Periodo1[[#This Row],[TIPOSALDO]]="D"),Base_Periodo1[[#This Row],[SALDO_ATUAL]]*-1,Base_Periodo1[[#This Row],[SALDO_ATUAL]]),4)</f>
        <v>1852.62</v>
      </c>
      <c r="N4701" t="s">
        <v>116</v>
      </c>
      <c r="O4701" t="s">
        <v>459</v>
      </c>
      <c r="P4701" t="s">
        <v>459</v>
      </c>
      <c r="Q4701">
        <v>6</v>
      </c>
      <c r="R4701" s="225">
        <f>Base_Periodo1[[#This Row],[CREDITOS]]-Base_Periodo1[[#This Row],[DEBITOS]]</f>
        <v>0</v>
      </c>
      <c r="S4701" s="3" t="str">
        <f>IF(ISERROR(VLOOKUP(Base_Periodo1[[#This Row],[CONTA]],BaseContasDRE[#All],4,FALSE)),"Fora do DRE",VLOOKUP(Base_Periodo1[[#This Row],[CONTA]],BaseContasDRE[#All],4,FALSE))</f>
        <v>Fora do DRE</v>
      </c>
      <c r="T4701" s="3" t="str">
        <f>IF(ISERROR(VLOOKUP(Base_Periodo1[[#This Row],[CONTA]],BaseContasDRE[#All],5,FALSE)),"Fora do DRE",VLOOKUP(Base_Periodo1[[#This Row],[CONTA]],BaseContasDRE[#All],6,FALSE))</f>
        <v>Fora do DRE</v>
      </c>
      <c r="U4701" s="3" t="str">
        <f>IF(ISERROR(VLOOKUP(Base_Periodo1[[#This Row],[CONTA]],BaseContasDRE[#All],7,FALSE)),"Fora do DRE",VLOOKUP(Base_Periodo1[[#This Row],[CONTA]],BaseContasDRE[#All],7,FALSE))</f>
        <v>Fora do DRE</v>
      </c>
      <c r="V4701" s="3" t="str">
        <f>IF(Base_Periodo1[[#This Row],[Tipo_Linha]]="Fora do DRE","Fora do DRE","( "&amp;Base_Periodo1[[#This Row],[Tipo_Linha]]&amp;" ) "&amp;Base_Periodo1[[#This Row],[Filtro]])</f>
        <v>Fora do DRE</v>
      </c>
      <c r="W4701" s="3" t="str">
        <f>LEFT(Base_Periodo1[[#This Row],[CLASS]],3)</f>
        <v>2.4</v>
      </c>
    </row>
    <row r="4702" spans="1:23" hidden="1">
      <c r="A4702" s="3" t="str">
        <f t="shared" si="73"/>
        <v>Período 1</v>
      </c>
      <c r="B4702">
        <v>50365</v>
      </c>
      <c r="C4702" t="s">
        <v>2300</v>
      </c>
      <c r="D4702" t="s">
        <v>4471</v>
      </c>
      <c r="E4702" s="3" t="str">
        <f>IF(LEN(Base_Periodo1[[#This Row],[CLASS]])&gt;=7,LEFT(Base_Periodo1[[#This Row],[CLASS]],7),"")</f>
        <v>2.4.1.1</v>
      </c>
      <c r="F4702" s="3" t="str">
        <f>VLOOKUP(Base_Periodo1[[#This Row],[Aux]],Base_Contas_Balanco[#All],2,FALSE)</f>
        <v>Capital Social Realizado</v>
      </c>
      <c r="G4702" s="1"/>
      <c r="H4702" s="225">
        <v>50</v>
      </c>
      <c r="I4702" s="225">
        <v>0</v>
      </c>
      <c r="J4702" s="225">
        <v>0</v>
      </c>
      <c r="K4702" s="225">
        <v>50</v>
      </c>
      <c r="L47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02" s="225">
        <f>ROUND(IF(AND(Base_Periodo1[[#This Row],[Tipo_Linha]]="-",Base_Periodo1[[#This Row],[TIPOSALDO]]="D"),Base_Periodo1[[#This Row],[SALDO_ATUAL]]*-1,Base_Periodo1[[#This Row],[SALDO_ATUAL]]),4)</f>
        <v>50</v>
      </c>
      <c r="N4702" t="s">
        <v>116</v>
      </c>
      <c r="O4702" t="s">
        <v>459</v>
      </c>
      <c r="P4702" t="s">
        <v>459</v>
      </c>
      <c r="Q4702">
        <v>6</v>
      </c>
      <c r="R4702" s="225">
        <f>Base_Periodo1[[#This Row],[CREDITOS]]-Base_Periodo1[[#This Row],[DEBITOS]]</f>
        <v>0</v>
      </c>
      <c r="S4702" s="3" t="str">
        <f>IF(ISERROR(VLOOKUP(Base_Periodo1[[#This Row],[CONTA]],BaseContasDRE[#All],4,FALSE)),"Fora do DRE",VLOOKUP(Base_Periodo1[[#This Row],[CONTA]],BaseContasDRE[#All],4,FALSE))</f>
        <v>Fora do DRE</v>
      </c>
      <c r="T4702" s="3" t="str">
        <f>IF(ISERROR(VLOOKUP(Base_Periodo1[[#This Row],[CONTA]],BaseContasDRE[#All],5,FALSE)),"Fora do DRE",VLOOKUP(Base_Periodo1[[#This Row],[CONTA]],BaseContasDRE[#All],6,FALSE))</f>
        <v>Fora do DRE</v>
      </c>
      <c r="U4702" s="3" t="str">
        <f>IF(ISERROR(VLOOKUP(Base_Periodo1[[#This Row],[CONTA]],BaseContasDRE[#All],7,FALSE)),"Fora do DRE",VLOOKUP(Base_Periodo1[[#This Row],[CONTA]],BaseContasDRE[#All],7,FALSE))</f>
        <v>Fora do DRE</v>
      </c>
      <c r="V4702" s="3" t="str">
        <f>IF(Base_Periodo1[[#This Row],[Tipo_Linha]]="Fora do DRE","Fora do DRE","( "&amp;Base_Periodo1[[#This Row],[Tipo_Linha]]&amp;" ) "&amp;Base_Periodo1[[#This Row],[Filtro]])</f>
        <v>Fora do DRE</v>
      </c>
      <c r="W4702" s="3" t="str">
        <f>LEFT(Base_Periodo1[[#This Row],[CLASS]],3)</f>
        <v>2.4</v>
      </c>
    </row>
    <row r="4703" spans="1:23" hidden="1">
      <c r="A4703" s="3" t="str">
        <f t="shared" si="73"/>
        <v>Período 1</v>
      </c>
      <c r="B4703">
        <v>25207</v>
      </c>
      <c r="C4703" t="s">
        <v>2300</v>
      </c>
      <c r="D4703" t="s">
        <v>2642</v>
      </c>
      <c r="E4703" s="3" t="str">
        <f>IF(LEN(Base_Periodo1[[#This Row],[CLASS]])&gt;=7,LEFT(Base_Periodo1[[#This Row],[CLASS]],7),"")</f>
        <v>2.4.1.1</v>
      </c>
      <c r="F4703" s="3" t="str">
        <f>VLOOKUP(Base_Periodo1[[#This Row],[Aux]],Base_Contas_Balanco[#All],2,FALSE)</f>
        <v>Capital Social Realizado</v>
      </c>
      <c r="G4703" s="1"/>
      <c r="H4703" s="225">
        <v>490.65</v>
      </c>
      <c r="I4703" s="225">
        <v>0</v>
      </c>
      <c r="J4703" s="225">
        <v>0</v>
      </c>
      <c r="K4703" s="225">
        <v>490.65</v>
      </c>
      <c r="L47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490.65</v>
      </c>
      <c r="M4703" s="225">
        <f>ROUND(IF(AND(Base_Periodo1[[#This Row],[Tipo_Linha]]="-",Base_Periodo1[[#This Row],[TIPOSALDO]]="D"),Base_Periodo1[[#This Row],[SALDO_ATUAL]]*-1,Base_Periodo1[[#This Row],[SALDO_ATUAL]]),4)</f>
        <v>490.65</v>
      </c>
      <c r="N4703" t="s">
        <v>116</v>
      </c>
      <c r="O4703" t="s">
        <v>459</v>
      </c>
      <c r="P4703" t="s">
        <v>459</v>
      </c>
      <c r="Q4703">
        <v>6</v>
      </c>
      <c r="R4703" s="225">
        <f>Base_Periodo1[[#This Row],[CREDITOS]]-Base_Periodo1[[#This Row],[DEBITOS]]</f>
        <v>0</v>
      </c>
      <c r="S4703" s="3" t="str">
        <f>IF(ISERROR(VLOOKUP(Base_Periodo1[[#This Row],[CONTA]],BaseContasDRE[#All],4,FALSE)),"Fora do DRE",VLOOKUP(Base_Periodo1[[#This Row],[CONTA]],BaseContasDRE[#All],4,FALSE))</f>
        <v>Fora do DRE</v>
      </c>
      <c r="T4703" s="3" t="str">
        <f>IF(ISERROR(VLOOKUP(Base_Periodo1[[#This Row],[CONTA]],BaseContasDRE[#All],5,FALSE)),"Fora do DRE",VLOOKUP(Base_Periodo1[[#This Row],[CONTA]],BaseContasDRE[#All],6,FALSE))</f>
        <v>Fora do DRE</v>
      </c>
      <c r="U4703" s="3" t="str">
        <f>IF(ISERROR(VLOOKUP(Base_Periodo1[[#This Row],[CONTA]],BaseContasDRE[#All],7,FALSE)),"Fora do DRE",VLOOKUP(Base_Periodo1[[#This Row],[CONTA]],BaseContasDRE[#All],7,FALSE))</f>
        <v>Fora do DRE</v>
      </c>
      <c r="V4703" s="3" t="str">
        <f>IF(Base_Periodo1[[#This Row],[Tipo_Linha]]="Fora do DRE","Fora do DRE","( "&amp;Base_Periodo1[[#This Row],[Tipo_Linha]]&amp;" ) "&amp;Base_Periodo1[[#This Row],[Filtro]])</f>
        <v>Fora do DRE</v>
      </c>
      <c r="W4703" s="3" t="str">
        <f>LEFT(Base_Periodo1[[#This Row],[CLASS]],3)</f>
        <v>2.4</v>
      </c>
    </row>
    <row r="4704" spans="1:23" hidden="1">
      <c r="A4704" s="3" t="str">
        <f t="shared" si="73"/>
        <v>Período 1</v>
      </c>
      <c r="B4704">
        <v>15988</v>
      </c>
      <c r="C4704" t="s">
        <v>2300</v>
      </c>
      <c r="D4704" t="s">
        <v>2643</v>
      </c>
      <c r="E4704" s="3" t="str">
        <f>IF(LEN(Base_Periodo1[[#This Row],[CLASS]])&gt;=7,LEFT(Base_Periodo1[[#This Row],[CLASS]],7),"")</f>
        <v>2.4.1.1</v>
      </c>
      <c r="F4704" s="3" t="str">
        <f>VLOOKUP(Base_Periodo1[[#This Row],[Aux]],Base_Contas_Balanco[#All],2,FALSE)</f>
        <v>Capital Social Realizado</v>
      </c>
      <c r="G4704" s="1"/>
      <c r="H4704" s="225">
        <v>2911.46</v>
      </c>
      <c r="I4704" s="225">
        <v>0</v>
      </c>
      <c r="J4704" s="225">
        <v>0</v>
      </c>
      <c r="K4704" s="225">
        <v>2911.46</v>
      </c>
      <c r="L47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2911.46</v>
      </c>
      <c r="M4704" s="225">
        <f>ROUND(IF(AND(Base_Periodo1[[#This Row],[Tipo_Linha]]="-",Base_Periodo1[[#This Row],[TIPOSALDO]]="D"),Base_Periodo1[[#This Row],[SALDO_ATUAL]]*-1,Base_Periodo1[[#This Row],[SALDO_ATUAL]]),4)</f>
        <v>2911.46</v>
      </c>
      <c r="N4704" t="s">
        <v>116</v>
      </c>
      <c r="O4704" t="s">
        <v>459</v>
      </c>
      <c r="P4704" t="s">
        <v>459</v>
      </c>
      <c r="Q4704">
        <v>6</v>
      </c>
      <c r="R4704" s="225">
        <f>Base_Periodo1[[#This Row],[CREDITOS]]-Base_Periodo1[[#This Row],[DEBITOS]]</f>
        <v>0</v>
      </c>
      <c r="S4704" s="3" t="str">
        <f>IF(ISERROR(VLOOKUP(Base_Periodo1[[#This Row],[CONTA]],BaseContasDRE[#All],4,FALSE)),"Fora do DRE",VLOOKUP(Base_Periodo1[[#This Row],[CONTA]],BaseContasDRE[#All],4,FALSE))</f>
        <v>Fora do DRE</v>
      </c>
      <c r="T4704" s="3" t="str">
        <f>IF(ISERROR(VLOOKUP(Base_Periodo1[[#This Row],[CONTA]],BaseContasDRE[#All],5,FALSE)),"Fora do DRE",VLOOKUP(Base_Periodo1[[#This Row],[CONTA]],BaseContasDRE[#All],6,FALSE))</f>
        <v>Fora do DRE</v>
      </c>
      <c r="U4704" s="3" t="str">
        <f>IF(ISERROR(VLOOKUP(Base_Periodo1[[#This Row],[CONTA]],BaseContasDRE[#All],7,FALSE)),"Fora do DRE",VLOOKUP(Base_Periodo1[[#This Row],[CONTA]],BaseContasDRE[#All],7,FALSE))</f>
        <v>Fora do DRE</v>
      </c>
      <c r="V4704" s="3" t="str">
        <f>IF(Base_Periodo1[[#This Row],[Tipo_Linha]]="Fora do DRE","Fora do DRE","( "&amp;Base_Periodo1[[#This Row],[Tipo_Linha]]&amp;" ) "&amp;Base_Periodo1[[#This Row],[Filtro]])</f>
        <v>Fora do DRE</v>
      </c>
      <c r="W4704" s="3" t="str">
        <f>LEFT(Base_Periodo1[[#This Row],[CLASS]],3)</f>
        <v>2.4</v>
      </c>
    </row>
    <row r="4705" spans="1:23" hidden="1">
      <c r="A4705" s="3" t="str">
        <f t="shared" si="73"/>
        <v>Período 1</v>
      </c>
      <c r="B4705">
        <v>19343</v>
      </c>
      <c r="C4705" t="s">
        <v>2300</v>
      </c>
      <c r="D4705" t="s">
        <v>2644</v>
      </c>
      <c r="E4705" s="3" t="str">
        <f>IF(LEN(Base_Periodo1[[#This Row],[CLASS]])&gt;=7,LEFT(Base_Periodo1[[#This Row],[CLASS]],7),"")</f>
        <v>2.4.1.1</v>
      </c>
      <c r="F4705" s="3" t="str">
        <f>VLOOKUP(Base_Periodo1[[#This Row],[Aux]],Base_Contas_Balanco[#All],2,FALSE)</f>
        <v>Capital Social Realizado</v>
      </c>
      <c r="G4705" s="1"/>
      <c r="H4705" s="225">
        <v>666.91</v>
      </c>
      <c r="I4705" s="225">
        <v>0</v>
      </c>
      <c r="J4705" s="225">
        <v>0</v>
      </c>
      <c r="K4705" s="225">
        <v>666.91</v>
      </c>
      <c r="L47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666.91</v>
      </c>
      <c r="M4705" s="225">
        <f>ROUND(IF(AND(Base_Periodo1[[#This Row],[Tipo_Linha]]="-",Base_Periodo1[[#This Row],[TIPOSALDO]]="D"),Base_Periodo1[[#This Row],[SALDO_ATUAL]]*-1,Base_Periodo1[[#This Row],[SALDO_ATUAL]]),4)</f>
        <v>666.91</v>
      </c>
      <c r="N4705" t="s">
        <v>116</v>
      </c>
      <c r="O4705" t="s">
        <v>459</v>
      </c>
      <c r="P4705" t="s">
        <v>459</v>
      </c>
      <c r="Q4705">
        <v>6</v>
      </c>
      <c r="R4705" s="225">
        <f>Base_Periodo1[[#This Row],[CREDITOS]]-Base_Periodo1[[#This Row],[DEBITOS]]</f>
        <v>0</v>
      </c>
      <c r="S4705" s="3" t="str">
        <f>IF(ISERROR(VLOOKUP(Base_Periodo1[[#This Row],[CONTA]],BaseContasDRE[#All],4,FALSE)),"Fora do DRE",VLOOKUP(Base_Periodo1[[#This Row],[CONTA]],BaseContasDRE[#All],4,FALSE))</f>
        <v>Fora do DRE</v>
      </c>
      <c r="T4705" s="3" t="str">
        <f>IF(ISERROR(VLOOKUP(Base_Periodo1[[#This Row],[CONTA]],BaseContasDRE[#All],5,FALSE)),"Fora do DRE",VLOOKUP(Base_Periodo1[[#This Row],[CONTA]],BaseContasDRE[#All],6,FALSE))</f>
        <v>Fora do DRE</v>
      </c>
      <c r="U4705" s="3" t="str">
        <f>IF(ISERROR(VLOOKUP(Base_Periodo1[[#This Row],[CONTA]],BaseContasDRE[#All],7,FALSE)),"Fora do DRE",VLOOKUP(Base_Periodo1[[#This Row],[CONTA]],BaseContasDRE[#All],7,FALSE))</f>
        <v>Fora do DRE</v>
      </c>
      <c r="V4705" s="3" t="str">
        <f>IF(Base_Periodo1[[#This Row],[Tipo_Linha]]="Fora do DRE","Fora do DRE","( "&amp;Base_Periodo1[[#This Row],[Tipo_Linha]]&amp;" ) "&amp;Base_Periodo1[[#This Row],[Filtro]])</f>
        <v>Fora do DRE</v>
      </c>
      <c r="W4705" s="3" t="str">
        <f>LEFT(Base_Periodo1[[#This Row],[CLASS]],3)</f>
        <v>2.4</v>
      </c>
    </row>
    <row r="4706" spans="1:23" hidden="1">
      <c r="A4706" s="3" t="str">
        <f t="shared" si="73"/>
        <v>Período 1</v>
      </c>
      <c r="B4706">
        <v>16030</v>
      </c>
      <c r="C4706" t="s">
        <v>2300</v>
      </c>
      <c r="D4706" t="s">
        <v>2645</v>
      </c>
      <c r="E4706" s="3" t="str">
        <f>IF(LEN(Base_Periodo1[[#This Row],[CLASS]])&gt;=7,LEFT(Base_Periodo1[[#This Row],[CLASS]],7),"")</f>
        <v>2.4.1.1</v>
      </c>
      <c r="F4706" s="3" t="str">
        <f>VLOOKUP(Base_Periodo1[[#This Row],[Aux]],Base_Contas_Balanco[#All],2,FALSE)</f>
        <v>Capital Social Realizado</v>
      </c>
      <c r="G4706" s="1"/>
      <c r="H4706" s="225">
        <v>9690.58</v>
      </c>
      <c r="I4706" s="225">
        <v>0</v>
      </c>
      <c r="J4706" s="225">
        <v>0</v>
      </c>
      <c r="K4706" s="225">
        <v>9690.58</v>
      </c>
      <c r="L47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9690.58</v>
      </c>
      <c r="M4706" s="225">
        <f>ROUND(IF(AND(Base_Periodo1[[#This Row],[Tipo_Linha]]="-",Base_Periodo1[[#This Row],[TIPOSALDO]]="D"),Base_Periodo1[[#This Row],[SALDO_ATUAL]]*-1,Base_Periodo1[[#This Row],[SALDO_ATUAL]]),4)</f>
        <v>9690.58</v>
      </c>
      <c r="N4706" t="s">
        <v>116</v>
      </c>
      <c r="O4706" t="s">
        <v>459</v>
      </c>
      <c r="P4706" t="s">
        <v>459</v>
      </c>
      <c r="Q4706">
        <v>6</v>
      </c>
      <c r="R4706" s="225">
        <f>Base_Periodo1[[#This Row],[CREDITOS]]-Base_Periodo1[[#This Row],[DEBITOS]]</f>
        <v>0</v>
      </c>
      <c r="S4706" s="3" t="str">
        <f>IF(ISERROR(VLOOKUP(Base_Periodo1[[#This Row],[CONTA]],BaseContasDRE[#All],4,FALSE)),"Fora do DRE",VLOOKUP(Base_Periodo1[[#This Row],[CONTA]],BaseContasDRE[#All],4,FALSE))</f>
        <v>Fora do DRE</v>
      </c>
      <c r="T4706" s="3" t="str">
        <f>IF(ISERROR(VLOOKUP(Base_Periodo1[[#This Row],[CONTA]],BaseContasDRE[#All],5,FALSE)),"Fora do DRE",VLOOKUP(Base_Periodo1[[#This Row],[CONTA]],BaseContasDRE[#All],6,FALSE))</f>
        <v>Fora do DRE</v>
      </c>
      <c r="U4706" s="3" t="str">
        <f>IF(ISERROR(VLOOKUP(Base_Periodo1[[#This Row],[CONTA]],BaseContasDRE[#All],7,FALSE)),"Fora do DRE",VLOOKUP(Base_Periodo1[[#This Row],[CONTA]],BaseContasDRE[#All],7,FALSE))</f>
        <v>Fora do DRE</v>
      </c>
      <c r="V4706" s="3" t="str">
        <f>IF(Base_Periodo1[[#This Row],[Tipo_Linha]]="Fora do DRE","Fora do DRE","( "&amp;Base_Periodo1[[#This Row],[Tipo_Linha]]&amp;" ) "&amp;Base_Periodo1[[#This Row],[Filtro]])</f>
        <v>Fora do DRE</v>
      </c>
      <c r="W4706" s="3" t="str">
        <f>LEFT(Base_Periodo1[[#This Row],[CLASS]],3)</f>
        <v>2.4</v>
      </c>
    </row>
    <row r="4707" spans="1:23" hidden="1">
      <c r="A4707" s="3" t="str">
        <f t="shared" si="73"/>
        <v>Período 1</v>
      </c>
      <c r="B4707">
        <v>38820</v>
      </c>
      <c r="C4707" t="s">
        <v>2300</v>
      </c>
      <c r="D4707" t="s">
        <v>2646</v>
      </c>
      <c r="E4707" s="3" t="str">
        <f>IF(LEN(Base_Periodo1[[#This Row],[CLASS]])&gt;=7,LEFT(Base_Periodo1[[#This Row],[CLASS]],7),"")</f>
        <v>2.4.1.1</v>
      </c>
      <c r="F4707" s="3" t="str">
        <f>VLOOKUP(Base_Periodo1[[#This Row],[Aux]],Base_Contas_Balanco[#All],2,FALSE)</f>
        <v>Capital Social Realizado</v>
      </c>
      <c r="G4707" s="1"/>
      <c r="H4707" s="225">
        <v>376.47</v>
      </c>
      <c r="I4707" s="225">
        <v>0</v>
      </c>
      <c r="J4707" s="225">
        <v>0</v>
      </c>
      <c r="K4707" s="225">
        <v>376.47</v>
      </c>
      <c r="L47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376.47</v>
      </c>
      <c r="M4707" s="225">
        <f>ROUND(IF(AND(Base_Periodo1[[#This Row],[Tipo_Linha]]="-",Base_Periodo1[[#This Row],[TIPOSALDO]]="D"),Base_Periodo1[[#This Row],[SALDO_ATUAL]]*-1,Base_Periodo1[[#This Row],[SALDO_ATUAL]]),4)</f>
        <v>376.47</v>
      </c>
      <c r="N4707" t="s">
        <v>116</v>
      </c>
      <c r="O4707" t="s">
        <v>459</v>
      </c>
      <c r="P4707" t="s">
        <v>459</v>
      </c>
      <c r="Q4707">
        <v>6</v>
      </c>
      <c r="R4707" s="225">
        <f>Base_Periodo1[[#This Row],[CREDITOS]]-Base_Periodo1[[#This Row],[DEBITOS]]</f>
        <v>0</v>
      </c>
      <c r="S4707" s="3" t="str">
        <f>IF(ISERROR(VLOOKUP(Base_Periodo1[[#This Row],[CONTA]],BaseContasDRE[#All],4,FALSE)),"Fora do DRE",VLOOKUP(Base_Periodo1[[#This Row],[CONTA]],BaseContasDRE[#All],4,FALSE))</f>
        <v>Fora do DRE</v>
      </c>
      <c r="T4707" s="3" t="str">
        <f>IF(ISERROR(VLOOKUP(Base_Periodo1[[#This Row],[CONTA]],BaseContasDRE[#All],5,FALSE)),"Fora do DRE",VLOOKUP(Base_Periodo1[[#This Row],[CONTA]],BaseContasDRE[#All],6,FALSE))</f>
        <v>Fora do DRE</v>
      </c>
      <c r="U4707" s="3" t="str">
        <f>IF(ISERROR(VLOOKUP(Base_Periodo1[[#This Row],[CONTA]],BaseContasDRE[#All],7,FALSE)),"Fora do DRE",VLOOKUP(Base_Periodo1[[#This Row],[CONTA]],BaseContasDRE[#All],7,FALSE))</f>
        <v>Fora do DRE</v>
      </c>
      <c r="V4707" s="3" t="str">
        <f>IF(Base_Periodo1[[#This Row],[Tipo_Linha]]="Fora do DRE","Fora do DRE","( "&amp;Base_Periodo1[[#This Row],[Tipo_Linha]]&amp;" ) "&amp;Base_Periodo1[[#This Row],[Filtro]])</f>
        <v>Fora do DRE</v>
      </c>
      <c r="W4707" s="3" t="str">
        <f>LEFT(Base_Periodo1[[#This Row],[CLASS]],3)</f>
        <v>2.4</v>
      </c>
    </row>
    <row r="4708" spans="1:23" hidden="1">
      <c r="A4708" s="3" t="str">
        <f t="shared" si="73"/>
        <v>Período 1</v>
      </c>
      <c r="B4708">
        <v>19279</v>
      </c>
      <c r="C4708" t="s">
        <v>2300</v>
      </c>
      <c r="D4708" t="s">
        <v>2647</v>
      </c>
      <c r="E4708" s="3" t="str">
        <f>IF(LEN(Base_Periodo1[[#This Row],[CLASS]])&gt;=7,LEFT(Base_Periodo1[[#This Row],[CLASS]],7),"")</f>
        <v>2.4.1.1</v>
      </c>
      <c r="F4708" s="3" t="str">
        <f>VLOOKUP(Base_Periodo1[[#This Row],[Aux]],Base_Contas_Balanco[#All],2,FALSE)</f>
        <v>Capital Social Realizado</v>
      </c>
      <c r="G4708" s="1"/>
      <c r="H4708" s="225">
        <v>1731.27</v>
      </c>
      <c r="I4708" s="225">
        <v>0</v>
      </c>
      <c r="J4708" s="225">
        <v>0</v>
      </c>
      <c r="K4708" s="225">
        <v>1731.27</v>
      </c>
      <c r="L47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1731.27</v>
      </c>
      <c r="M4708" s="225">
        <f>ROUND(IF(AND(Base_Periodo1[[#This Row],[Tipo_Linha]]="-",Base_Periodo1[[#This Row],[TIPOSALDO]]="D"),Base_Periodo1[[#This Row],[SALDO_ATUAL]]*-1,Base_Periodo1[[#This Row],[SALDO_ATUAL]]),4)</f>
        <v>1731.27</v>
      </c>
      <c r="N4708" t="s">
        <v>116</v>
      </c>
      <c r="O4708" t="s">
        <v>459</v>
      </c>
      <c r="P4708" t="s">
        <v>459</v>
      </c>
      <c r="Q4708">
        <v>6</v>
      </c>
      <c r="R4708" s="225">
        <f>Base_Periodo1[[#This Row],[CREDITOS]]-Base_Periodo1[[#This Row],[DEBITOS]]</f>
        <v>0</v>
      </c>
      <c r="S4708" s="3" t="str">
        <f>IF(ISERROR(VLOOKUP(Base_Periodo1[[#This Row],[CONTA]],BaseContasDRE[#All],4,FALSE)),"Fora do DRE",VLOOKUP(Base_Periodo1[[#This Row],[CONTA]],BaseContasDRE[#All],4,FALSE))</f>
        <v>Fora do DRE</v>
      </c>
      <c r="T4708" s="3" t="str">
        <f>IF(ISERROR(VLOOKUP(Base_Periodo1[[#This Row],[CONTA]],BaseContasDRE[#All],5,FALSE)),"Fora do DRE",VLOOKUP(Base_Periodo1[[#This Row],[CONTA]],BaseContasDRE[#All],6,FALSE))</f>
        <v>Fora do DRE</v>
      </c>
      <c r="U4708" s="3" t="str">
        <f>IF(ISERROR(VLOOKUP(Base_Periodo1[[#This Row],[CONTA]],BaseContasDRE[#All],7,FALSE)),"Fora do DRE",VLOOKUP(Base_Periodo1[[#This Row],[CONTA]],BaseContasDRE[#All],7,FALSE))</f>
        <v>Fora do DRE</v>
      </c>
      <c r="V4708" s="3" t="str">
        <f>IF(Base_Periodo1[[#This Row],[Tipo_Linha]]="Fora do DRE","Fora do DRE","( "&amp;Base_Periodo1[[#This Row],[Tipo_Linha]]&amp;" ) "&amp;Base_Periodo1[[#This Row],[Filtro]])</f>
        <v>Fora do DRE</v>
      </c>
      <c r="W4708" s="3" t="str">
        <f>LEFT(Base_Periodo1[[#This Row],[CLASS]],3)</f>
        <v>2.4</v>
      </c>
    </row>
    <row r="4709" spans="1:23" hidden="1">
      <c r="A4709" s="3" t="str">
        <f t="shared" si="73"/>
        <v>Período 1</v>
      </c>
      <c r="B4709">
        <v>29675</v>
      </c>
      <c r="C4709" t="s">
        <v>2300</v>
      </c>
      <c r="D4709" t="s">
        <v>2648</v>
      </c>
      <c r="E4709" s="3" t="str">
        <f>IF(LEN(Base_Periodo1[[#This Row],[CLASS]])&gt;=7,LEFT(Base_Periodo1[[#This Row],[CLASS]],7),"")</f>
        <v>2.4.1.1</v>
      </c>
      <c r="F4709" s="3" t="str">
        <f>VLOOKUP(Base_Periodo1[[#This Row],[Aux]],Base_Contas_Balanco[#All],2,FALSE)</f>
        <v>Capital Social Realizado</v>
      </c>
      <c r="G4709" s="1"/>
      <c r="H4709" s="225">
        <v>527.51</v>
      </c>
      <c r="I4709" s="225">
        <v>0</v>
      </c>
      <c r="J4709" s="225">
        <v>0</v>
      </c>
      <c r="K4709" s="225">
        <v>527.51</v>
      </c>
      <c r="L47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527.51</v>
      </c>
      <c r="M4709" s="225">
        <f>ROUND(IF(AND(Base_Periodo1[[#This Row],[Tipo_Linha]]="-",Base_Periodo1[[#This Row],[TIPOSALDO]]="D"),Base_Periodo1[[#This Row],[SALDO_ATUAL]]*-1,Base_Periodo1[[#This Row],[SALDO_ATUAL]]),4)</f>
        <v>527.51</v>
      </c>
      <c r="N4709" t="s">
        <v>116</v>
      </c>
      <c r="O4709" t="s">
        <v>459</v>
      </c>
      <c r="P4709" t="s">
        <v>459</v>
      </c>
      <c r="Q4709">
        <v>6</v>
      </c>
      <c r="R4709" s="225">
        <f>Base_Periodo1[[#This Row],[CREDITOS]]-Base_Periodo1[[#This Row],[DEBITOS]]</f>
        <v>0</v>
      </c>
      <c r="S4709" s="3" t="str">
        <f>IF(ISERROR(VLOOKUP(Base_Periodo1[[#This Row],[CONTA]],BaseContasDRE[#All],4,FALSE)),"Fora do DRE",VLOOKUP(Base_Periodo1[[#This Row],[CONTA]],BaseContasDRE[#All],4,FALSE))</f>
        <v>Fora do DRE</v>
      </c>
      <c r="T4709" s="3" t="str">
        <f>IF(ISERROR(VLOOKUP(Base_Periodo1[[#This Row],[CONTA]],BaseContasDRE[#All],5,FALSE)),"Fora do DRE",VLOOKUP(Base_Periodo1[[#This Row],[CONTA]],BaseContasDRE[#All],6,FALSE))</f>
        <v>Fora do DRE</v>
      </c>
      <c r="U4709" s="3" t="str">
        <f>IF(ISERROR(VLOOKUP(Base_Periodo1[[#This Row],[CONTA]],BaseContasDRE[#All],7,FALSE)),"Fora do DRE",VLOOKUP(Base_Periodo1[[#This Row],[CONTA]],BaseContasDRE[#All],7,FALSE))</f>
        <v>Fora do DRE</v>
      </c>
      <c r="V4709" s="3" t="str">
        <f>IF(Base_Periodo1[[#This Row],[Tipo_Linha]]="Fora do DRE","Fora do DRE","( "&amp;Base_Periodo1[[#This Row],[Tipo_Linha]]&amp;" ) "&amp;Base_Periodo1[[#This Row],[Filtro]])</f>
        <v>Fora do DRE</v>
      </c>
      <c r="W4709" s="3" t="str">
        <f>LEFT(Base_Periodo1[[#This Row],[CLASS]],3)</f>
        <v>2.4</v>
      </c>
    </row>
    <row r="4710" spans="1:23" hidden="1">
      <c r="A4710" s="3" t="str">
        <f t="shared" si="73"/>
        <v>Período 1</v>
      </c>
      <c r="B4710">
        <v>15981</v>
      </c>
      <c r="C4710" t="s">
        <v>2300</v>
      </c>
      <c r="D4710" t="s">
        <v>2649</v>
      </c>
      <c r="E4710" s="3" t="str">
        <f>IF(LEN(Base_Periodo1[[#This Row],[CLASS]])&gt;=7,LEFT(Base_Periodo1[[#This Row],[CLASS]],7),"")</f>
        <v>2.4.1.1</v>
      </c>
      <c r="F4710" s="3" t="str">
        <f>VLOOKUP(Base_Periodo1[[#This Row],[Aux]],Base_Contas_Balanco[#All],2,FALSE)</f>
        <v>Capital Social Realizado</v>
      </c>
      <c r="G4710" s="1"/>
      <c r="H4710" s="225">
        <v>1706.98</v>
      </c>
      <c r="I4710" s="225">
        <v>0</v>
      </c>
      <c r="J4710" s="225">
        <v>0</v>
      </c>
      <c r="K4710" s="225">
        <v>1706.98</v>
      </c>
      <c r="L47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1706.98</v>
      </c>
      <c r="M4710" s="225">
        <f>ROUND(IF(AND(Base_Periodo1[[#This Row],[Tipo_Linha]]="-",Base_Periodo1[[#This Row],[TIPOSALDO]]="D"),Base_Periodo1[[#This Row],[SALDO_ATUAL]]*-1,Base_Periodo1[[#This Row],[SALDO_ATUAL]]),4)</f>
        <v>1706.98</v>
      </c>
      <c r="N4710" t="s">
        <v>116</v>
      </c>
      <c r="O4710" t="s">
        <v>459</v>
      </c>
      <c r="P4710" t="s">
        <v>459</v>
      </c>
      <c r="Q4710">
        <v>6</v>
      </c>
      <c r="R4710" s="225">
        <f>Base_Periodo1[[#This Row],[CREDITOS]]-Base_Periodo1[[#This Row],[DEBITOS]]</f>
        <v>0</v>
      </c>
      <c r="S4710" s="3" t="str">
        <f>IF(ISERROR(VLOOKUP(Base_Periodo1[[#This Row],[CONTA]],BaseContasDRE[#All],4,FALSE)),"Fora do DRE",VLOOKUP(Base_Periodo1[[#This Row],[CONTA]],BaseContasDRE[#All],4,FALSE))</f>
        <v>Fora do DRE</v>
      </c>
      <c r="T4710" s="3" t="str">
        <f>IF(ISERROR(VLOOKUP(Base_Periodo1[[#This Row],[CONTA]],BaseContasDRE[#All],5,FALSE)),"Fora do DRE",VLOOKUP(Base_Periodo1[[#This Row],[CONTA]],BaseContasDRE[#All],6,FALSE))</f>
        <v>Fora do DRE</v>
      </c>
      <c r="U4710" s="3" t="str">
        <f>IF(ISERROR(VLOOKUP(Base_Periodo1[[#This Row],[CONTA]],BaseContasDRE[#All],7,FALSE)),"Fora do DRE",VLOOKUP(Base_Periodo1[[#This Row],[CONTA]],BaseContasDRE[#All],7,FALSE))</f>
        <v>Fora do DRE</v>
      </c>
      <c r="V4710" s="3" t="str">
        <f>IF(Base_Periodo1[[#This Row],[Tipo_Linha]]="Fora do DRE","Fora do DRE","( "&amp;Base_Periodo1[[#This Row],[Tipo_Linha]]&amp;" ) "&amp;Base_Periodo1[[#This Row],[Filtro]])</f>
        <v>Fora do DRE</v>
      </c>
      <c r="W4710" s="3" t="str">
        <f>LEFT(Base_Periodo1[[#This Row],[CLASS]],3)</f>
        <v>2.4</v>
      </c>
    </row>
    <row r="4711" spans="1:23" hidden="1">
      <c r="A4711" s="3" t="str">
        <f t="shared" si="73"/>
        <v>Período 1</v>
      </c>
      <c r="B4711">
        <v>32782</v>
      </c>
      <c r="C4711" t="s">
        <v>2300</v>
      </c>
      <c r="D4711" t="s">
        <v>2650</v>
      </c>
      <c r="E4711" s="3" t="str">
        <f>IF(LEN(Base_Periodo1[[#This Row],[CLASS]])&gt;=7,LEFT(Base_Periodo1[[#This Row],[CLASS]],7),"")</f>
        <v>2.4.1.1</v>
      </c>
      <c r="F4711" s="3" t="str">
        <f>VLOOKUP(Base_Periodo1[[#This Row],[Aux]],Base_Contas_Balanco[#All],2,FALSE)</f>
        <v>Capital Social Realizado</v>
      </c>
      <c r="G4711" s="1"/>
      <c r="H4711" s="225">
        <v>354.58</v>
      </c>
      <c r="I4711" s="225">
        <v>0</v>
      </c>
      <c r="J4711" s="225">
        <v>0</v>
      </c>
      <c r="K4711" s="225">
        <v>354.58</v>
      </c>
      <c r="L47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354.58</v>
      </c>
      <c r="M4711" s="225">
        <f>ROUND(IF(AND(Base_Periodo1[[#This Row],[Tipo_Linha]]="-",Base_Periodo1[[#This Row],[TIPOSALDO]]="D"),Base_Periodo1[[#This Row],[SALDO_ATUAL]]*-1,Base_Periodo1[[#This Row],[SALDO_ATUAL]]),4)</f>
        <v>354.58</v>
      </c>
      <c r="N4711" t="s">
        <v>116</v>
      </c>
      <c r="O4711" t="s">
        <v>459</v>
      </c>
      <c r="P4711" t="s">
        <v>459</v>
      </c>
      <c r="Q4711">
        <v>6</v>
      </c>
      <c r="R4711" s="225">
        <f>Base_Periodo1[[#This Row],[CREDITOS]]-Base_Periodo1[[#This Row],[DEBITOS]]</f>
        <v>0</v>
      </c>
      <c r="S4711" s="3" t="str">
        <f>IF(ISERROR(VLOOKUP(Base_Periodo1[[#This Row],[CONTA]],BaseContasDRE[#All],4,FALSE)),"Fora do DRE",VLOOKUP(Base_Periodo1[[#This Row],[CONTA]],BaseContasDRE[#All],4,FALSE))</f>
        <v>Fora do DRE</v>
      </c>
      <c r="T4711" s="3" t="str">
        <f>IF(ISERROR(VLOOKUP(Base_Periodo1[[#This Row],[CONTA]],BaseContasDRE[#All],5,FALSE)),"Fora do DRE",VLOOKUP(Base_Periodo1[[#This Row],[CONTA]],BaseContasDRE[#All],6,FALSE))</f>
        <v>Fora do DRE</v>
      </c>
      <c r="U4711" s="3" t="str">
        <f>IF(ISERROR(VLOOKUP(Base_Periodo1[[#This Row],[CONTA]],BaseContasDRE[#All],7,FALSE)),"Fora do DRE",VLOOKUP(Base_Periodo1[[#This Row],[CONTA]],BaseContasDRE[#All],7,FALSE))</f>
        <v>Fora do DRE</v>
      </c>
      <c r="V4711" s="3" t="str">
        <f>IF(Base_Periodo1[[#This Row],[Tipo_Linha]]="Fora do DRE","Fora do DRE","( "&amp;Base_Periodo1[[#This Row],[Tipo_Linha]]&amp;" ) "&amp;Base_Periodo1[[#This Row],[Filtro]])</f>
        <v>Fora do DRE</v>
      </c>
      <c r="W4711" s="3" t="str">
        <f>LEFT(Base_Periodo1[[#This Row],[CLASS]],3)</f>
        <v>2.4</v>
      </c>
    </row>
    <row r="4712" spans="1:23" hidden="1">
      <c r="A4712" s="3" t="str">
        <f t="shared" si="73"/>
        <v>Período 1</v>
      </c>
      <c r="B4712">
        <v>19756</v>
      </c>
      <c r="C4712" t="s">
        <v>2300</v>
      </c>
      <c r="D4712" t="s">
        <v>2651</v>
      </c>
      <c r="E4712" s="3" t="str">
        <f>IF(LEN(Base_Periodo1[[#This Row],[CLASS]])&gt;=7,LEFT(Base_Periodo1[[#This Row],[CLASS]],7),"")</f>
        <v>2.4.1.1</v>
      </c>
      <c r="F4712" s="3" t="str">
        <f>VLOOKUP(Base_Periodo1[[#This Row],[Aux]],Base_Contas_Balanco[#All],2,FALSE)</f>
        <v>Capital Social Realizado</v>
      </c>
      <c r="G4712" s="1"/>
      <c r="H4712" s="225">
        <v>767.29</v>
      </c>
      <c r="I4712" s="225">
        <v>0</v>
      </c>
      <c r="J4712" s="225">
        <v>0</v>
      </c>
      <c r="K4712" s="225">
        <v>767.29</v>
      </c>
      <c r="L47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767.29</v>
      </c>
      <c r="M4712" s="225">
        <f>ROUND(IF(AND(Base_Periodo1[[#This Row],[Tipo_Linha]]="-",Base_Periodo1[[#This Row],[TIPOSALDO]]="D"),Base_Periodo1[[#This Row],[SALDO_ATUAL]]*-1,Base_Periodo1[[#This Row],[SALDO_ATUAL]]),4)</f>
        <v>767.29</v>
      </c>
      <c r="N4712" t="s">
        <v>116</v>
      </c>
      <c r="O4712" t="s">
        <v>459</v>
      </c>
      <c r="P4712" t="s">
        <v>459</v>
      </c>
      <c r="Q4712">
        <v>6</v>
      </c>
      <c r="R4712" s="225">
        <f>Base_Periodo1[[#This Row],[CREDITOS]]-Base_Periodo1[[#This Row],[DEBITOS]]</f>
        <v>0</v>
      </c>
      <c r="S4712" s="3" t="str">
        <f>IF(ISERROR(VLOOKUP(Base_Periodo1[[#This Row],[CONTA]],BaseContasDRE[#All],4,FALSE)),"Fora do DRE",VLOOKUP(Base_Periodo1[[#This Row],[CONTA]],BaseContasDRE[#All],4,FALSE))</f>
        <v>Fora do DRE</v>
      </c>
      <c r="T4712" s="3" t="str">
        <f>IF(ISERROR(VLOOKUP(Base_Periodo1[[#This Row],[CONTA]],BaseContasDRE[#All],5,FALSE)),"Fora do DRE",VLOOKUP(Base_Periodo1[[#This Row],[CONTA]],BaseContasDRE[#All],6,FALSE))</f>
        <v>Fora do DRE</v>
      </c>
      <c r="U4712" s="3" t="str">
        <f>IF(ISERROR(VLOOKUP(Base_Periodo1[[#This Row],[CONTA]],BaseContasDRE[#All],7,FALSE)),"Fora do DRE",VLOOKUP(Base_Periodo1[[#This Row],[CONTA]],BaseContasDRE[#All],7,FALSE))</f>
        <v>Fora do DRE</v>
      </c>
      <c r="V4712" s="3" t="str">
        <f>IF(Base_Periodo1[[#This Row],[Tipo_Linha]]="Fora do DRE","Fora do DRE","( "&amp;Base_Periodo1[[#This Row],[Tipo_Linha]]&amp;" ) "&amp;Base_Periodo1[[#This Row],[Filtro]])</f>
        <v>Fora do DRE</v>
      </c>
      <c r="W4712" s="3" t="str">
        <f>LEFT(Base_Periodo1[[#This Row],[CLASS]],3)</f>
        <v>2.4</v>
      </c>
    </row>
    <row r="4713" spans="1:23" hidden="1">
      <c r="A4713" s="3" t="str">
        <f t="shared" si="73"/>
        <v>Período 1</v>
      </c>
      <c r="B4713">
        <v>28405</v>
      </c>
      <c r="C4713" t="s">
        <v>2300</v>
      </c>
      <c r="D4713" t="s">
        <v>2652</v>
      </c>
      <c r="E4713" s="3" t="str">
        <f>IF(LEN(Base_Periodo1[[#This Row],[CLASS]])&gt;=7,LEFT(Base_Periodo1[[#This Row],[CLASS]],7),"")</f>
        <v>2.4.1.1</v>
      </c>
      <c r="F4713" s="3" t="str">
        <f>VLOOKUP(Base_Periodo1[[#This Row],[Aux]],Base_Contas_Balanco[#All],2,FALSE)</f>
        <v>Capital Social Realizado</v>
      </c>
      <c r="G4713" s="1"/>
      <c r="H4713" s="225">
        <v>232.92</v>
      </c>
      <c r="I4713" s="225">
        <v>0</v>
      </c>
      <c r="J4713" s="225">
        <v>0</v>
      </c>
      <c r="K4713" s="225">
        <v>232.92</v>
      </c>
      <c r="L47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232.92</v>
      </c>
      <c r="M4713" s="225">
        <f>ROUND(IF(AND(Base_Periodo1[[#This Row],[Tipo_Linha]]="-",Base_Periodo1[[#This Row],[TIPOSALDO]]="D"),Base_Periodo1[[#This Row],[SALDO_ATUAL]]*-1,Base_Periodo1[[#This Row],[SALDO_ATUAL]]),4)</f>
        <v>232.92</v>
      </c>
      <c r="N4713" t="s">
        <v>116</v>
      </c>
      <c r="O4713" t="s">
        <v>459</v>
      </c>
      <c r="P4713" t="s">
        <v>459</v>
      </c>
      <c r="Q4713">
        <v>6</v>
      </c>
      <c r="R4713" s="225">
        <f>Base_Periodo1[[#This Row],[CREDITOS]]-Base_Periodo1[[#This Row],[DEBITOS]]</f>
        <v>0</v>
      </c>
      <c r="S4713" s="3" t="str">
        <f>IF(ISERROR(VLOOKUP(Base_Periodo1[[#This Row],[CONTA]],BaseContasDRE[#All],4,FALSE)),"Fora do DRE",VLOOKUP(Base_Periodo1[[#This Row],[CONTA]],BaseContasDRE[#All],4,FALSE))</f>
        <v>Fora do DRE</v>
      </c>
      <c r="T4713" s="3" t="str">
        <f>IF(ISERROR(VLOOKUP(Base_Periodo1[[#This Row],[CONTA]],BaseContasDRE[#All],5,FALSE)),"Fora do DRE",VLOOKUP(Base_Periodo1[[#This Row],[CONTA]],BaseContasDRE[#All],6,FALSE))</f>
        <v>Fora do DRE</v>
      </c>
      <c r="U4713" s="3" t="str">
        <f>IF(ISERROR(VLOOKUP(Base_Periodo1[[#This Row],[CONTA]],BaseContasDRE[#All],7,FALSE)),"Fora do DRE",VLOOKUP(Base_Periodo1[[#This Row],[CONTA]],BaseContasDRE[#All],7,FALSE))</f>
        <v>Fora do DRE</v>
      </c>
      <c r="V4713" s="3" t="str">
        <f>IF(Base_Periodo1[[#This Row],[Tipo_Linha]]="Fora do DRE","Fora do DRE","( "&amp;Base_Periodo1[[#This Row],[Tipo_Linha]]&amp;" ) "&amp;Base_Periodo1[[#This Row],[Filtro]])</f>
        <v>Fora do DRE</v>
      </c>
      <c r="W4713" s="3" t="str">
        <f>LEFT(Base_Periodo1[[#This Row],[CLASS]],3)</f>
        <v>2.4</v>
      </c>
    </row>
    <row r="4714" spans="1:23" hidden="1">
      <c r="A4714" s="3" t="str">
        <f t="shared" si="73"/>
        <v>Período 1</v>
      </c>
      <c r="B4714">
        <v>19812</v>
      </c>
      <c r="C4714" t="s">
        <v>2300</v>
      </c>
      <c r="D4714" t="s">
        <v>2653</v>
      </c>
      <c r="E4714" s="3" t="str">
        <f>IF(LEN(Base_Periodo1[[#This Row],[CLASS]])&gt;=7,LEFT(Base_Periodo1[[#This Row],[CLASS]],7),"")</f>
        <v>2.4.1.1</v>
      </c>
      <c r="F4714" s="3" t="str">
        <f>VLOOKUP(Base_Periodo1[[#This Row],[Aux]],Base_Contas_Balanco[#All],2,FALSE)</f>
        <v>Capital Social Realizado</v>
      </c>
      <c r="G4714" s="1"/>
      <c r="H4714" s="225">
        <v>50</v>
      </c>
      <c r="I4714" s="225">
        <v>0</v>
      </c>
      <c r="J4714" s="225">
        <v>0</v>
      </c>
      <c r="K4714" s="225">
        <v>50</v>
      </c>
      <c r="L47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14" s="225">
        <f>ROUND(IF(AND(Base_Periodo1[[#This Row],[Tipo_Linha]]="-",Base_Periodo1[[#This Row],[TIPOSALDO]]="D"),Base_Periodo1[[#This Row],[SALDO_ATUAL]]*-1,Base_Periodo1[[#This Row],[SALDO_ATUAL]]),4)</f>
        <v>50</v>
      </c>
      <c r="N4714" t="s">
        <v>116</v>
      </c>
      <c r="O4714" t="s">
        <v>459</v>
      </c>
      <c r="P4714" t="s">
        <v>459</v>
      </c>
      <c r="Q4714">
        <v>6</v>
      </c>
      <c r="R4714" s="225">
        <f>Base_Periodo1[[#This Row],[CREDITOS]]-Base_Periodo1[[#This Row],[DEBITOS]]</f>
        <v>0</v>
      </c>
      <c r="S4714" s="3" t="str">
        <f>IF(ISERROR(VLOOKUP(Base_Periodo1[[#This Row],[CONTA]],BaseContasDRE[#All],4,FALSE)),"Fora do DRE",VLOOKUP(Base_Periodo1[[#This Row],[CONTA]],BaseContasDRE[#All],4,FALSE))</f>
        <v>Fora do DRE</v>
      </c>
      <c r="T4714" s="3" t="str">
        <f>IF(ISERROR(VLOOKUP(Base_Periodo1[[#This Row],[CONTA]],BaseContasDRE[#All],5,FALSE)),"Fora do DRE",VLOOKUP(Base_Periodo1[[#This Row],[CONTA]],BaseContasDRE[#All],6,FALSE))</f>
        <v>Fora do DRE</v>
      </c>
      <c r="U4714" s="3" t="str">
        <f>IF(ISERROR(VLOOKUP(Base_Periodo1[[#This Row],[CONTA]],BaseContasDRE[#All],7,FALSE)),"Fora do DRE",VLOOKUP(Base_Periodo1[[#This Row],[CONTA]],BaseContasDRE[#All],7,FALSE))</f>
        <v>Fora do DRE</v>
      </c>
      <c r="V4714" s="3" t="str">
        <f>IF(Base_Periodo1[[#This Row],[Tipo_Linha]]="Fora do DRE","Fora do DRE","( "&amp;Base_Periodo1[[#This Row],[Tipo_Linha]]&amp;" ) "&amp;Base_Periodo1[[#This Row],[Filtro]])</f>
        <v>Fora do DRE</v>
      </c>
      <c r="W4714" s="3" t="str">
        <f>LEFT(Base_Periodo1[[#This Row],[CLASS]],3)</f>
        <v>2.4</v>
      </c>
    </row>
    <row r="4715" spans="1:23" hidden="1">
      <c r="A4715" s="3" t="str">
        <f t="shared" si="73"/>
        <v>Período 1</v>
      </c>
      <c r="B4715">
        <v>19309</v>
      </c>
      <c r="C4715" t="s">
        <v>2300</v>
      </c>
      <c r="D4715" t="s">
        <v>2654</v>
      </c>
      <c r="E4715" s="3" t="str">
        <f>IF(LEN(Base_Periodo1[[#This Row],[CLASS]])&gt;=7,LEFT(Base_Periodo1[[#This Row],[CLASS]],7),"")</f>
        <v>2.4.1.1</v>
      </c>
      <c r="F4715" s="3" t="str">
        <f>VLOOKUP(Base_Periodo1[[#This Row],[Aux]],Base_Contas_Balanco[#All],2,FALSE)</f>
        <v>Capital Social Realizado</v>
      </c>
      <c r="G4715" s="1"/>
      <c r="H4715" s="225">
        <v>1780.16</v>
      </c>
      <c r="I4715" s="225">
        <v>0</v>
      </c>
      <c r="J4715" s="225">
        <v>0</v>
      </c>
      <c r="K4715" s="225">
        <v>1780.16</v>
      </c>
      <c r="L47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1780.16</v>
      </c>
      <c r="M4715" s="225">
        <f>ROUND(IF(AND(Base_Periodo1[[#This Row],[Tipo_Linha]]="-",Base_Periodo1[[#This Row],[TIPOSALDO]]="D"),Base_Periodo1[[#This Row],[SALDO_ATUAL]]*-1,Base_Periodo1[[#This Row],[SALDO_ATUAL]]),4)</f>
        <v>1780.16</v>
      </c>
      <c r="N4715" t="s">
        <v>116</v>
      </c>
      <c r="O4715" t="s">
        <v>459</v>
      </c>
      <c r="P4715" t="s">
        <v>459</v>
      </c>
      <c r="Q4715">
        <v>6</v>
      </c>
      <c r="R4715" s="225">
        <f>Base_Periodo1[[#This Row],[CREDITOS]]-Base_Periodo1[[#This Row],[DEBITOS]]</f>
        <v>0</v>
      </c>
      <c r="S4715" s="3" t="str">
        <f>IF(ISERROR(VLOOKUP(Base_Periodo1[[#This Row],[CONTA]],BaseContasDRE[#All],4,FALSE)),"Fora do DRE",VLOOKUP(Base_Periodo1[[#This Row],[CONTA]],BaseContasDRE[#All],4,FALSE))</f>
        <v>Fora do DRE</v>
      </c>
      <c r="T4715" s="3" t="str">
        <f>IF(ISERROR(VLOOKUP(Base_Periodo1[[#This Row],[CONTA]],BaseContasDRE[#All],5,FALSE)),"Fora do DRE",VLOOKUP(Base_Periodo1[[#This Row],[CONTA]],BaseContasDRE[#All],6,FALSE))</f>
        <v>Fora do DRE</v>
      </c>
      <c r="U4715" s="3" t="str">
        <f>IF(ISERROR(VLOOKUP(Base_Periodo1[[#This Row],[CONTA]],BaseContasDRE[#All],7,FALSE)),"Fora do DRE",VLOOKUP(Base_Periodo1[[#This Row],[CONTA]],BaseContasDRE[#All],7,FALSE))</f>
        <v>Fora do DRE</v>
      </c>
      <c r="V4715" s="3" t="str">
        <f>IF(Base_Periodo1[[#This Row],[Tipo_Linha]]="Fora do DRE","Fora do DRE","( "&amp;Base_Periodo1[[#This Row],[Tipo_Linha]]&amp;" ) "&amp;Base_Periodo1[[#This Row],[Filtro]])</f>
        <v>Fora do DRE</v>
      </c>
      <c r="W4715" s="3" t="str">
        <f>LEFT(Base_Periodo1[[#This Row],[CLASS]],3)</f>
        <v>2.4</v>
      </c>
    </row>
    <row r="4716" spans="1:23" hidden="1">
      <c r="A4716" s="3" t="str">
        <f t="shared" si="73"/>
        <v>Período 1</v>
      </c>
      <c r="B4716">
        <v>38817</v>
      </c>
      <c r="C4716" t="s">
        <v>2300</v>
      </c>
      <c r="D4716" t="s">
        <v>2655</v>
      </c>
      <c r="E4716" s="3" t="str">
        <f>IF(LEN(Base_Periodo1[[#This Row],[CLASS]])&gt;=7,LEFT(Base_Periodo1[[#This Row],[CLASS]],7),"")</f>
        <v>2.4.1.1</v>
      </c>
      <c r="F4716" s="3" t="str">
        <f>VLOOKUP(Base_Periodo1[[#This Row],[Aux]],Base_Contas_Balanco[#All],2,FALSE)</f>
        <v>Capital Social Realizado</v>
      </c>
      <c r="G4716" s="1"/>
      <c r="H4716" s="225">
        <v>63.85</v>
      </c>
      <c r="I4716" s="225">
        <v>0</v>
      </c>
      <c r="J4716" s="225">
        <v>0</v>
      </c>
      <c r="K4716" s="225">
        <v>63.85</v>
      </c>
      <c r="L47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63.85</v>
      </c>
      <c r="M4716" s="225">
        <f>ROUND(IF(AND(Base_Periodo1[[#This Row],[Tipo_Linha]]="-",Base_Periodo1[[#This Row],[TIPOSALDO]]="D"),Base_Periodo1[[#This Row],[SALDO_ATUAL]]*-1,Base_Periodo1[[#This Row],[SALDO_ATUAL]]),4)</f>
        <v>63.85</v>
      </c>
      <c r="N4716" t="s">
        <v>116</v>
      </c>
      <c r="O4716" t="s">
        <v>459</v>
      </c>
      <c r="P4716" t="s">
        <v>459</v>
      </c>
      <c r="Q4716">
        <v>6</v>
      </c>
      <c r="R4716" s="225">
        <f>Base_Periodo1[[#This Row],[CREDITOS]]-Base_Periodo1[[#This Row],[DEBITOS]]</f>
        <v>0</v>
      </c>
      <c r="S4716" s="3" t="str">
        <f>IF(ISERROR(VLOOKUP(Base_Periodo1[[#This Row],[CONTA]],BaseContasDRE[#All],4,FALSE)),"Fora do DRE",VLOOKUP(Base_Periodo1[[#This Row],[CONTA]],BaseContasDRE[#All],4,FALSE))</f>
        <v>Fora do DRE</v>
      </c>
      <c r="T4716" s="3" t="str">
        <f>IF(ISERROR(VLOOKUP(Base_Periodo1[[#This Row],[CONTA]],BaseContasDRE[#All],5,FALSE)),"Fora do DRE",VLOOKUP(Base_Periodo1[[#This Row],[CONTA]],BaseContasDRE[#All],6,FALSE))</f>
        <v>Fora do DRE</v>
      </c>
      <c r="U4716" s="3" t="str">
        <f>IF(ISERROR(VLOOKUP(Base_Periodo1[[#This Row],[CONTA]],BaseContasDRE[#All],7,FALSE)),"Fora do DRE",VLOOKUP(Base_Periodo1[[#This Row],[CONTA]],BaseContasDRE[#All],7,FALSE))</f>
        <v>Fora do DRE</v>
      </c>
      <c r="V4716" s="3" t="str">
        <f>IF(Base_Periodo1[[#This Row],[Tipo_Linha]]="Fora do DRE","Fora do DRE","( "&amp;Base_Periodo1[[#This Row],[Tipo_Linha]]&amp;" ) "&amp;Base_Periodo1[[#This Row],[Filtro]])</f>
        <v>Fora do DRE</v>
      </c>
      <c r="W4716" s="3" t="str">
        <f>LEFT(Base_Periodo1[[#This Row],[CLASS]],3)</f>
        <v>2.4</v>
      </c>
    </row>
    <row r="4717" spans="1:23" hidden="1">
      <c r="A4717" s="3" t="str">
        <f t="shared" si="73"/>
        <v>Período 1</v>
      </c>
      <c r="B4717">
        <v>16138</v>
      </c>
      <c r="C4717" t="s">
        <v>2300</v>
      </c>
      <c r="D4717" t="s">
        <v>2656</v>
      </c>
      <c r="E4717" s="3" t="str">
        <f>IF(LEN(Base_Periodo1[[#This Row],[CLASS]])&gt;=7,LEFT(Base_Periodo1[[#This Row],[CLASS]],7),"")</f>
        <v>2.4.1.1</v>
      </c>
      <c r="F4717" s="3" t="str">
        <f>VLOOKUP(Base_Periodo1[[#This Row],[Aux]],Base_Contas_Balanco[#All],2,FALSE)</f>
        <v>Capital Social Realizado</v>
      </c>
      <c r="G4717" s="1"/>
      <c r="H4717" s="225">
        <v>6617.88</v>
      </c>
      <c r="I4717" s="225">
        <v>0</v>
      </c>
      <c r="J4717" s="225">
        <v>0</v>
      </c>
      <c r="K4717" s="225">
        <v>6617.88</v>
      </c>
      <c r="L47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6617.88</v>
      </c>
      <c r="M4717" s="225">
        <f>ROUND(IF(AND(Base_Periodo1[[#This Row],[Tipo_Linha]]="-",Base_Periodo1[[#This Row],[TIPOSALDO]]="D"),Base_Periodo1[[#This Row],[SALDO_ATUAL]]*-1,Base_Periodo1[[#This Row],[SALDO_ATUAL]]),4)</f>
        <v>6617.88</v>
      </c>
      <c r="N4717" t="s">
        <v>116</v>
      </c>
      <c r="O4717" t="s">
        <v>459</v>
      </c>
      <c r="P4717" t="s">
        <v>459</v>
      </c>
      <c r="Q4717">
        <v>6</v>
      </c>
      <c r="R4717" s="225">
        <f>Base_Periodo1[[#This Row],[CREDITOS]]-Base_Periodo1[[#This Row],[DEBITOS]]</f>
        <v>0</v>
      </c>
      <c r="S4717" s="3" t="str">
        <f>IF(ISERROR(VLOOKUP(Base_Periodo1[[#This Row],[CONTA]],BaseContasDRE[#All],4,FALSE)),"Fora do DRE",VLOOKUP(Base_Periodo1[[#This Row],[CONTA]],BaseContasDRE[#All],4,FALSE))</f>
        <v>Fora do DRE</v>
      </c>
      <c r="T4717" s="3" t="str">
        <f>IF(ISERROR(VLOOKUP(Base_Periodo1[[#This Row],[CONTA]],BaseContasDRE[#All],5,FALSE)),"Fora do DRE",VLOOKUP(Base_Periodo1[[#This Row],[CONTA]],BaseContasDRE[#All],6,FALSE))</f>
        <v>Fora do DRE</v>
      </c>
      <c r="U4717" s="3" t="str">
        <f>IF(ISERROR(VLOOKUP(Base_Periodo1[[#This Row],[CONTA]],BaseContasDRE[#All],7,FALSE)),"Fora do DRE",VLOOKUP(Base_Periodo1[[#This Row],[CONTA]],BaseContasDRE[#All],7,FALSE))</f>
        <v>Fora do DRE</v>
      </c>
      <c r="V4717" s="3" t="str">
        <f>IF(Base_Periodo1[[#This Row],[Tipo_Linha]]="Fora do DRE","Fora do DRE","( "&amp;Base_Periodo1[[#This Row],[Tipo_Linha]]&amp;" ) "&amp;Base_Periodo1[[#This Row],[Filtro]])</f>
        <v>Fora do DRE</v>
      </c>
      <c r="W4717" s="3" t="str">
        <f>LEFT(Base_Periodo1[[#This Row],[CLASS]],3)</f>
        <v>2.4</v>
      </c>
    </row>
    <row r="4718" spans="1:23" hidden="1">
      <c r="A4718" s="3" t="str">
        <f t="shared" si="73"/>
        <v>Período 1</v>
      </c>
      <c r="B4718">
        <v>19757</v>
      </c>
      <c r="C4718" t="s">
        <v>2300</v>
      </c>
      <c r="D4718" t="s">
        <v>2657</v>
      </c>
      <c r="E4718" s="3" t="str">
        <f>IF(LEN(Base_Periodo1[[#This Row],[CLASS]])&gt;=7,LEFT(Base_Periodo1[[#This Row],[CLASS]],7),"")</f>
        <v>2.4.1.1</v>
      </c>
      <c r="F4718" s="3" t="str">
        <f>VLOOKUP(Base_Periodo1[[#This Row],[Aux]],Base_Contas_Balanco[#All],2,FALSE)</f>
        <v>Capital Social Realizado</v>
      </c>
      <c r="G4718" s="1"/>
      <c r="H4718" s="225">
        <v>1045.24</v>
      </c>
      <c r="I4718" s="225">
        <v>0</v>
      </c>
      <c r="J4718" s="225">
        <v>0</v>
      </c>
      <c r="K4718" s="225">
        <v>1045.24</v>
      </c>
      <c r="L47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1045.24</v>
      </c>
      <c r="M4718" s="225">
        <f>ROUND(IF(AND(Base_Periodo1[[#This Row],[Tipo_Linha]]="-",Base_Periodo1[[#This Row],[TIPOSALDO]]="D"),Base_Periodo1[[#This Row],[SALDO_ATUAL]]*-1,Base_Periodo1[[#This Row],[SALDO_ATUAL]]),4)</f>
        <v>1045.24</v>
      </c>
      <c r="N4718" t="s">
        <v>116</v>
      </c>
      <c r="O4718" t="s">
        <v>459</v>
      </c>
      <c r="P4718" t="s">
        <v>459</v>
      </c>
      <c r="Q4718">
        <v>6</v>
      </c>
      <c r="R4718" s="225">
        <f>Base_Periodo1[[#This Row],[CREDITOS]]-Base_Periodo1[[#This Row],[DEBITOS]]</f>
        <v>0</v>
      </c>
      <c r="S4718" s="3" t="str">
        <f>IF(ISERROR(VLOOKUP(Base_Periodo1[[#This Row],[CONTA]],BaseContasDRE[#All],4,FALSE)),"Fora do DRE",VLOOKUP(Base_Periodo1[[#This Row],[CONTA]],BaseContasDRE[#All],4,FALSE))</f>
        <v>Fora do DRE</v>
      </c>
      <c r="T4718" s="3" t="str">
        <f>IF(ISERROR(VLOOKUP(Base_Periodo1[[#This Row],[CONTA]],BaseContasDRE[#All],5,FALSE)),"Fora do DRE",VLOOKUP(Base_Periodo1[[#This Row],[CONTA]],BaseContasDRE[#All],6,FALSE))</f>
        <v>Fora do DRE</v>
      </c>
      <c r="U4718" s="3" t="str">
        <f>IF(ISERROR(VLOOKUP(Base_Periodo1[[#This Row],[CONTA]],BaseContasDRE[#All],7,FALSE)),"Fora do DRE",VLOOKUP(Base_Periodo1[[#This Row],[CONTA]],BaseContasDRE[#All],7,FALSE))</f>
        <v>Fora do DRE</v>
      </c>
      <c r="V4718" s="3" t="str">
        <f>IF(Base_Periodo1[[#This Row],[Tipo_Linha]]="Fora do DRE","Fora do DRE","( "&amp;Base_Periodo1[[#This Row],[Tipo_Linha]]&amp;" ) "&amp;Base_Periodo1[[#This Row],[Filtro]])</f>
        <v>Fora do DRE</v>
      </c>
      <c r="W4718" s="3" t="str">
        <f>LEFT(Base_Periodo1[[#This Row],[CLASS]],3)</f>
        <v>2.4</v>
      </c>
    </row>
    <row r="4719" spans="1:23" hidden="1">
      <c r="A4719" s="3" t="str">
        <f t="shared" si="73"/>
        <v>Período 1</v>
      </c>
      <c r="B4719">
        <v>47570</v>
      </c>
      <c r="C4719" t="s">
        <v>2300</v>
      </c>
      <c r="D4719" t="s">
        <v>2658</v>
      </c>
      <c r="E4719" s="3" t="str">
        <f>IF(LEN(Base_Periodo1[[#This Row],[CLASS]])&gt;=7,LEFT(Base_Periodo1[[#This Row],[CLASS]],7),"")</f>
        <v>2.4.1.1</v>
      </c>
      <c r="F4719" s="3" t="str">
        <f>VLOOKUP(Base_Periodo1[[#This Row],[Aux]],Base_Contas_Balanco[#All],2,FALSE)</f>
        <v>Capital Social Realizado</v>
      </c>
      <c r="G4719" s="1"/>
      <c r="H4719" s="225">
        <v>1037.22</v>
      </c>
      <c r="I4719" s="225">
        <v>0</v>
      </c>
      <c r="J4719" s="225">
        <v>0</v>
      </c>
      <c r="K4719" s="225">
        <v>1037.22</v>
      </c>
      <c r="L47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1037.22</v>
      </c>
      <c r="M4719" s="225">
        <f>ROUND(IF(AND(Base_Periodo1[[#This Row],[Tipo_Linha]]="-",Base_Periodo1[[#This Row],[TIPOSALDO]]="D"),Base_Periodo1[[#This Row],[SALDO_ATUAL]]*-1,Base_Periodo1[[#This Row],[SALDO_ATUAL]]),4)</f>
        <v>1037.22</v>
      </c>
      <c r="N4719" t="s">
        <v>116</v>
      </c>
      <c r="O4719" t="s">
        <v>459</v>
      </c>
      <c r="P4719" t="s">
        <v>459</v>
      </c>
      <c r="Q4719">
        <v>6</v>
      </c>
      <c r="R4719" s="225">
        <f>Base_Periodo1[[#This Row],[CREDITOS]]-Base_Periodo1[[#This Row],[DEBITOS]]</f>
        <v>0</v>
      </c>
      <c r="S4719" s="3" t="str">
        <f>IF(ISERROR(VLOOKUP(Base_Periodo1[[#This Row],[CONTA]],BaseContasDRE[#All],4,FALSE)),"Fora do DRE",VLOOKUP(Base_Periodo1[[#This Row],[CONTA]],BaseContasDRE[#All],4,FALSE))</f>
        <v>Fora do DRE</v>
      </c>
      <c r="T4719" s="3" t="str">
        <f>IF(ISERROR(VLOOKUP(Base_Periodo1[[#This Row],[CONTA]],BaseContasDRE[#All],5,FALSE)),"Fora do DRE",VLOOKUP(Base_Periodo1[[#This Row],[CONTA]],BaseContasDRE[#All],6,FALSE))</f>
        <v>Fora do DRE</v>
      </c>
      <c r="U4719" s="3" t="str">
        <f>IF(ISERROR(VLOOKUP(Base_Periodo1[[#This Row],[CONTA]],BaseContasDRE[#All],7,FALSE)),"Fora do DRE",VLOOKUP(Base_Periodo1[[#This Row],[CONTA]],BaseContasDRE[#All],7,FALSE))</f>
        <v>Fora do DRE</v>
      </c>
      <c r="V4719" s="3" t="str">
        <f>IF(Base_Periodo1[[#This Row],[Tipo_Linha]]="Fora do DRE","Fora do DRE","( "&amp;Base_Periodo1[[#This Row],[Tipo_Linha]]&amp;" ) "&amp;Base_Periodo1[[#This Row],[Filtro]])</f>
        <v>Fora do DRE</v>
      </c>
      <c r="W4719" s="3" t="str">
        <f>LEFT(Base_Periodo1[[#This Row],[CLASS]],3)</f>
        <v>2.4</v>
      </c>
    </row>
    <row r="4720" spans="1:23" hidden="1">
      <c r="A4720" s="3" t="str">
        <f t="shared" si="73"/>
        <v>Período 1</v>
      </c>
      <c r="B4720">
        <v>19785</v>
      </c>
      <c r="C4720" t="s">
        <v>2300</v>
      </c>
      <c r="D4720" t="s">
        <v>2659</v>
      </c>
      <c r="E4720" s="3" t="str">
        <f>IF(LEN(Base_Periodo1[[#This Row],[CLASS]])&gt;=7,LEFT(Base_Periodo1[[#This Row],[CLASS]],7),"")</f>
        <v>2.4.1.1</v>
      </c>
      <c r="F4720" s="3" t="str">
        <f>VLOOKUP(Base_Periodo1[[#This Row],[Aux]],Base_Contas_Balanco[#All],2,FALSE)</f>
        <v>Capital Social Realizado</v>
      </c>
      <c r="G4720" s="1"/>
      <c r="H4720" s="225">
        <v>1298.3800000000001</v>
      </c>
      <c r="I4720" s="225">
        <v>0</v>
      </c>
      <c r="J4720" s="225">
        <v>0</v>
      </c>
      <c r="K4720" s="225">
        <v>1298.3800000000001</v>
      </c>
      <c r="L47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1298.3800000000001</v>
      </c>
      <c r="M4720" s="225">
        <f>ROUND(IF(AND(Base_Periodo1[[#This Row],[Tipo_Linha]]="-",Base_Periodo1[[#This Row],[TIPOSALDO]]="D"),Base_Periodo1[[#This Row],[SALDO_ATUAL]]*-1,Base_Periodo1[[#This Row],[SALDO_ATUAL]]),4)</f>
        <v>1298.3800000000001</v>
      </c>
      <c r="N4720" t="s">
        <v>116</v>
      </c>
      <c r="O4720" t="s">
        <v>459</v>
      </c>
      <c r="P4720" t="s">
        <v>459</v>
      </c>
      <c r="Q4720">
        <v>6</v>
      </c>
      <c r="R4720" s="225">
        <f>Base_Periodo1[[#This Row],[CREDITOS]]-Base_Periodo1[[#This Row],[DEBITOS]]</f>
        <v>0</v>
      </c>
      <c r="S4720" s="3" t="str">
        <f>IF(ISERROR(VLOOKUP(Base_Periodo1[[#This Row],[CONTA]],BaseContasDRE[#All],4,FALSE)),"Fora do DRE",VLOOKUP(Base_Periodo1[[#This Row],[CONTA]],BaseContasDRE[#All],4,FALSE))</f>
        <v>Fora do DRE</v>
      </c>
      <c r="T4720" s="3" t="str">
        <f>IF(ISERROR(VLOOKUP(Base_Periodo1[[#This Row],[CONTA]],BaseContasDRE[#All],5,FALSE)),"Fora do DRE",VLOOKUP(Base_Periodo1[[#This Row],[CONTA]],BaseContasDRE[#All],6,FALSE))</f>
        <v>Fora do DRE</v>
      </c>
      <c r="U4720" s="3" t="str">
        <f>IF(ISERROR(VLOOKUP(Base_Periodo1[[#This Row],[CONTA]],BaseContasDRE[#All],7,FALSE)),"Fora do DRE",VLOOKUP(Base_Periodo1[[#This Row],[CONTA]],BaseContasDRE[#All],7,FALSE))</f>
        <v>Fora do DRE</v>
      </c>
      <c r="V4720" s="3" t="str">
        <f>IF(Base_Periodo1[[#This Row],[Tipo_Linha]]="Fora do DRE","Fora do DRE","( "&amp;Base_Periodo1[[#This Row],[Tipo_Linha]]&amp;" ) "&amp;Base_Periodo1[[#This Row],[Filtro]])</f>
        <v>Fora do DRE</v>
      </c>
      <c r="W4720" s="3" t="str">
        <f>LEFT(Base_Periodo1[[#This Row],[CLASS]],3)</f>
        <v>2.4</v>
      </c>
    </row>
    <row r="4721" spans="1:23" hidden="1">
      <c r="A4721" s="3" t="str">
        <f t="shared" si="73"/>
        <v>Período 1</v>
      </c>
      <c r="B4721">
        <v>39539</v>
      </c>
      <c r="C4721" t="s">
        <v>2300</v>
      </c>
      <c r="D4721" t="s">
        <v>2660</v>
      </c>
      <c r="E4721" s="3" t="str">
        <f>IF(LEN(Base_Periodo1[[#This Row],[CLASS]])&gt;=7,LEFT(Base_Periodo1[[#This Row],[CLASS]],7),"")</f>
        <v>2.4.1.1</v>
      </c>
      <c r="F4721" s="3" t="str">
        <f>VLOOKUP(Base_Periodo1[[#This Row],[Aux]],Base_Contas_Balanco[#All],2,FALSE)</f>
        <v>Capital Social Realizado</v>
      </c>
      <c r="G4721" s="1"/>
      <c r="H4721" s="225">
        <v>1559.75</v>
      </c>
      <c r="I4721" s="225">
        <v>0</v>
      </c>
      <c r="J4721" s="225">
        <v>0</v>
      </c>
      <c r="K4721" s="225">
        <v>1559.75</v>
      </c>
      <c r="L47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1559.75</v>
      </c>
      <c r="M4721" s="225">
        <f>ROUND(IF(AND(Base_Periodo1[[#This Row],[Tipo_Linha]]="-",Base_Periodo1[[#This Row],[TIPOSALDO]]="D"),Base_Periodo1[[#This Row],[SALDO_ATUAL]]*-1,Base_Periodo1[[#This Row],[SALDO_ATUAL]]),4)</f>
        <v>1559.75</v>
      </c>
      <c r="N4721" t="s">
        <v>116</v>
      </c>
      <c r="O4721" t="s">
        <v>459</v>
      </c>
      <c r="P4721" t="s">
        <v>459</v>
      </c>
      <c r="Q4721">
        <v>6</v>
      </c>
      <c r="R4721" s="225">
        <f>Base_Periodo1[[#This Row],[CREDITOS]]-Base_Periodo1[[#This Row],[DEBITOS]]</f>
        <v>0</v>
      </c>
      <c r="S4721" s="3" t="str">
        <f>IF(ISERROR(VLOOKUP(Base_Periodo1[[#This Row],[CONTA]],BaseContasDRE[#All],4,FALSE)),"Fora do DRE",VLOOKUP(Base_Periodo1[[#This Row],[CONTA]],BaseContasDRE[#All],4,FALSE))</f>
        <v>Fora do DRE</v>
      </c>
      <c r="T4721" s="3" t="str">
        <f>IF(ISERROR(VLOOKUP(Base_Periodo1[[#This Row],[CONTA]],BaseContasDRE[#All],5,FALSE)),"Fora do DRE",VLOOKUP(Base_Periodo1[[#This Row],[CONTA]],BaseContasDRE[#All],6,FALSE))</f>
        <v>Fora do DRE</v>
      </c>
      <c r="U4721" s="3" t="str">
        <f>IF(ISERROR(VLOOKUP(Base_Periodo1[[#This Row],[CONTA]],BaseContasDRE[#All],7,FALSE)),"Fora do DRE",VLOOKUP(Base_Periodo1[[#This Row],[CONTA]],BaseContasDRE[#All],7,FALSE))</f>
        <v>Fora do DRE</v>
      </c>
      <c r="V4721" s="3" t="str">
        <f>IF(Base_Periodo1[[#This Row],[Tipo_Linha]]="Fora do DRE","Fora do DRE","( "&amp;Base_Periodo1[[#This Row],[Tipo_Linha]]&amp;" ) "&amp;Base_Periodo1[[#This Row],[Filtro]])</f>
        <v>Fora do DRE</v>
      </c>
      <c r="W4721" s="3" t="str">
        <f>LEFT(Base_Periodo1[[#This Row],[CLASS]],3)</f>
        <v>2.4</v>
      </c>
    </row>
    <row r="4722" spans="1:23" hidden="1">
      <c r="A4722" s="3" t="str">
        <f t="shared" si="73"/>
        <v>Período 1</v>
      </c>
      <c r="B4722">
        <v>19278</v>
      </c>
      <c r="C4722" t="s">
        <v>2300</v>
      </c>
      <c r="D4722" t="s">
        <v>2661</v>
      </c>
      <c r="E4722" s="3" t="str">
        <f>IF(LEN(Base_Periodo1[[#This Row],[CLASS]])&gt;=7,LEFT(Base_Periodo1[[#This Row],[CLASS]],7),"")</f>
        <v>2.4.1.1</v>
      </c>
      <c r="F4722" s="3" t="str">
        <f>VLOOKUP(Base_Periodo1[[#This Row],[Aux]],Base_Contas_Balanco[#All],2,FALSE)</f>
        <v>Capital Social Realizado</v>
      </c>
      <c r="G4722" s="1"/>
      <c r="H4722" s="225">
        <v>1452.0800000000002</v>
      </c>
      <c r="I4722" s="225">
        <v>0</v>
      </c>
      <c r="J4722" s="225">
        <v>0</v>
      </c>
      <c r="K4722" s="225">
        <v>1452.0800000000002</v>
      </c>
      <c r="L47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1452.08</v>
      </c>
      <c r="M4722" s="225">
        <f>ROUND(IF(AND(Base_Periodo1[[#This Row],[Tipo_Linha]]="-",Base_Periodo1[[#This Row],[TIPOSALDO]]="D"),Base_Periodo1[[#This Row],[SALDO_ATUAL]]*-1,Base_Periodo1[[#This Row],[SALDO_ATUAL]]),4)</f>
        <v>1452.08</v>
      </c>
      <c r="N4722" t="s">
        <v>116</v>
      </c>
      <c r="O4722" t="s">
        <v>459</v>
      </c>
      <c r="P4722" t="s">
        <v>459</v>
      </c>
      <c r="Q4722">
        <v>6</v>
      </c>
      <c r="R4722" s="225">
        <f>Base_Periodo1[[#This Row],[CREDITOS]]-Base_Periodo1[[#This Row],[DEBITOS]]</f>
        <v>0</v>
      </c>
      <c r="S4722" s="3" t="str">
        <f>IF(ISERROR(VLOOKUP(Base_Periodo1[[#This Row],[CONTA]],BaseContasDRE[#All],4,FALSE)),"Fora do DRE",VLOOKUP(Base_Periodo1[[#This Row],[CONTA]],BaseContasDRE[#All],4,FALSE))</f>
        <v>Fora do DRE</v>
      </c>
      <c r="T4722" s="3" t="str">
        <f>IF(ISERROR(VLOOKUP(Base_Periodo1[[#This Row],[CONTA]],BaseContasDRE[#All],5,FALSE)),"Fora do DRE",VLOOKUP(Base_Periodo1[[#This Row],[CONTA]],BaseContasDRE[#All],6,FALSE))</f>
        <v>Fora do DRE</v>
      </c>
      <c r="U4722" s="3" t="str">
        <f>IF(ISERROR(VLOOKUP(Base_Periodo1[[#This Row],[CONTA]],BaseContasDRE[#All],7,FALSE)),"Fora do DRE",VLOOKUP(Base_Periodo1[[#This Row],[CONTA]],BaseContasDRE[#All],7,FALSE))</f>
        <v>Fora do DRE</v>
      </c>
      <c r="V4722" s="3" t="str">
        <f>IF(Base_Periodo1[[#This Row],[Tipo_Linha]]="Fora do DRE","Fora do DRE","( "&amp;Base_Periodo1[[#This Row],[Tipo_Linha]]&amp;" ) "&amp;Base_Periodo1[[#This Row],[Filtro]])</f>
        <v>Fora do DRE</v>
      </c>
      <c r="W4722" s="3" t="str">
        <f>LEFT(Base_Periodo1[[#This Row],[CLASS]],3)</f>
        <v>2.4</v>
      </c>
    </row>
    <row r="4723" spans="1:23" hidden="1">
      <c r="A4723" s="3" t="str">
        <f t="shared" si="73"/>
        <v>Período 1</v>
      </c>
      <c r="B4723">
        <v>16326</v>
      </c>
      <c r="C4723" t="s">
        <v>2300</v>
      </c>
      <c r="D4723" t="s">
        <v>2662</v>
      </c>
      <c r="E4723" s="3" t="str">
        <f>IF(LEN(Base_Periodo1[[#This Row],[CLASS]])&gt;=7,LEFT(Base_Periodo1[[#This Row],[CLASS]],7),"")</f>
        <v>2.4.1.1</v>
      </c>
      <c r="F4723" s="3" t="str">
        <f>VLOOKUP(Base_Periodo1[[#This Row],[Aux]],Base_Contas_Balanco[#All],2,FALSE)</f>
        <v>Capital Social Realizado</v>
      </c>
      <c r="G4723" s="1"/>
      <c r="H4723" s="225">
        <v>9371</v>
      </c>
      <c r="I4723" s="225">
        <v>0</v>
      </c>
      <c r="J4723" s="225">
        <v>0</v>
      </c>
      <c r="K4723" s="225">
        <v>9371</v>
      </c>
      <c r="L47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9371</v>
      </c>
      <c r="M4723" s="225">
        <f>ROUND(IF(AND(Base_Periodo1[[#This Row],[Tipo_Linha]]="-",Base_Periodo1[[#This Row],[TIPOSALDO]]="D"),Base_Periodo1[[#This Row],[SALDO_ATUAL]]*-1,Base_Periodo1[[#This Row],[SALDO_ATUAL]]),4)</f>
        <v>9371</v>
      </c>
      <c r="N4723" t="s">
        <v>116</v>
      </c>
      <c r="O4723" t="s">
        <v>459</v>
      </c>
      <c r="P4723" t="s">
        <v>459</v>
      </c>
      <c r="Q4723">
        <v>6</v>
      </c>
      <c r="R4723" s="225">
        <f>Base_Periodo1[[#This Row],[CREDITOS]]-Base_Periodo1[[#This Row],[DEBITOS]]</f>
        <v>0</v>
      </c>
      <c r="S4723" s="3" t="str">
        <f>IF(ISERROR(VLOOKUP(Base_Periodo1[[#This Row],[CONTA]],BaseContasDRE[#All],4,FALSE)),"Fora do DRE",VLOOKUP(Base_Periodo1[[#This Row],[CONTA]],BaseContasDRE[#All],4,FALSE))</f>
        <v>Fora do DRE</v>
      </c>
      <c r="T4723" s="3" t="str">
        <f>IF(ISERROR(VLOOKUP(Base_Periodo1[[#This Row],[CONTA]],BaseContasDRE[#All],5,FALSE)),"Fora do DRE",VLOOKUP(Base_Periodo1[[#This Row],[CONTA]],BaseContasDRE[#All],6,FALSE))</f>
        <v>Fora do DRE</v>
      </c>
      <c r="U4723" s="3" t="str">
        <f>IF(ISERROR(VLOOKUP(Base_Periodo1[[#This Row],[CONTA]],BaseContasDRE[#All],7,FALSE)),"Fora do DRE",VLOOKUP(Base_Periodo1[[#This Row],[CONTA]],BaseContasDRE[#All],7,FALSE))</f>
        <v>Fora do DRE</v>
      </c>
      <c r="V4723" s="3" t="str">
        <f>IF(Base_Periodo1[[#This Row],[Tipo_Linha]]="Fora do DRE","Fora do DRE","( "&amp;Base_Periodo1[[#This Row],[Tipo_Linha]]&amp;" ) "&amp;Base_Periodo1[[#This Row],[Filtro]])</f>
        <v>Fora do DRE</v>
      </c>
      <c r="W4723" s="3" t="str">
        <f>LEFT(Base_Periodo1[[#This Row],[CLASS]],3)</f>
        <v>2.4</v>
      </c>
    </row>
    <row r="4724" spans="1:23" hidden="1">
      <c r="A4724" s="3" t="str">
        <f t="shared" si="73"/>
        <v>Período 1</v>
      </c>
      <c r="B4724">
        <v>16211</v>
      </c>
      <c r="C4724" t="s">
        <v>2300</v>
      </c>
      <c r="D4724" t="s">
        <v>2663</v>
      </c>
      <c r="E4724" s="3" t="str">
        <f>IF(LEN(Base_Periodo1[[#This Row],[CLASS]])&gt;=7,LEFT(Base_Periodo1[[#This Row],[CLASS]],7),"")</f>
        <v>2.4.1.1</v>
      </c>
      <c r="F4724" s="3" t="str">
        <f>VLOOKUP(Base_Periodo1[[#This Row],[Aux]],Base_Contas_Balanco[#All],2,FALSE)</f>
        <v>Capital Social Realizado</v>
      </c>
      <c r="G4724" s="1"/>
      <c r="H4724" s="225">
        <v>3963.3900000000003</v>
      </c>
      <c r="I4724" s="225">
        <v>0</v>
      </c>
      <c r="J4724" s="225">
        <v>0</v>
      </c>
      <c r="K4724" s="225">
        <v>3963.3900000000003</v>
      </c>
      <c r="L47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3963.39</v>
      </c>
      <c r="M4724" s="225">
        <f>ROUND(IF(AND(Base_Periodo1[[#This Row],[Tipo_Linha]]="-",Base_Periodo1[[#This Row],[TIPOSALDO]]="D"),Base_Periodo1[[#This Row],[SALDO_ATUAL]]*-1,Base_Periodo1[[#This Row],[SALDO_ATUAL]]),4)</f>
        <v>3963.39</v>
      </c>
      <c r="N4724" t="s">
        <v>116</v>
      </c>
      <c r="O4724" t="s">
        <v>459</v>
      </c>
      <c r="P4724" t="s">
        <v>459</v>
      </c>
      <c r="Q4724">
        <v>6</v>
      </c>
      <c r="R4724" s="225">
        <f>Base_Periodo1[[#This Row],[CREDITOS]]-Base_Periodo1[[#This Row],[DEBITOS]]</f>
        <v>0</v>
      </c>
      <c r="S4724" s="3" t="str">
        <f>IF(ISERROR(VLOOKUP(Base_Periodo1[[#This Row],[CONTA]],BaseContasDRE[#All],4,FALSE)),"Fora do DRE",VLOOKUP(Base_Periodo1[[#This Row],[CONTA]],BaseContasDRE[#All],4,FALSE))</f>
        <v>Fora do DRE</v>
      </c>
      <c r="T4724" s="3" t="str">
        <f>IF(ISERROR(VLOOKUP(Base_Periodo1[[#This Row],[CONTA]],BaseContasDRE[#All],5,FALSE)),"Fora do DRE",VLOOKUP(Base_Periodo1[[#This Row],[CONTA]],BaseContasDRE[#All],6,FALSE))</f>
        <v>Fora do DRE</v>
      </c>
      <c r="U4724" s="3" t="str">
        <f>IF(ISERROR(VLOOKUP(Base_Periodo1[[#This Row],[CONTA]],BaseContasDRE[#All],7,FALSE)),"Fora do DRE",VLOOKUP(Base_Periodo1[[#This Row],[CONTA]],BaseContasDRE[#All],7,FALSE))</f>
        <v>Fora do DRE</v>
      </c>
      <c r="V4724" s="3" t="str">
        <f>IF(Base_Periodo1[[#This Row],[Tipo_Linha]]="Fora do DRE","Fora do DRE","( "&amp;Base_Periodo1[[#This Row],[Tipo_Linha]]&amp;" ) "&amp;Base_Periodo1[[#This Row],[Filtro]])</f>
        <v>Fora do DRE</v>
      </c>
      <c r="W4724" s="3" t="str">
        <f>LEFT(Base_Periodo1[[#This Row],[CLASS]],3)</f>
        <v>2.4</v>
      </c>
    </row>
    <row r="4725" spans="1:23" hidden="1">
      <c r="A4725" s="3" t="str">
        <f t="shared" si="73"/>
        <v>Período 1</v>
      </c>
      <c r="B4725">
        <v>16064</v>
      </c>
      <c r="C4725" t="s">
        <v>2300</v>
      </c>
      <c r="D4725" t="s">
        <v>2664</v>
      </c>
      <c r="E4725" s="3" t="str">
        <f>IF(LEN(Base_Periodo1[[#This Row],[CLASS]])&gt;=7,LEFT(Base_Periodo1[[#This Row],[CLASS]],7),"")</f>
        <v>2.4.1.1</v>
      </c>
      <c r="F4725" s="3" t="str">
        <f>VLOOKUP(Base_Periodo1[[#This Row],[Aux]],Base_Contas_Balanco[#All],2,FALSE)</f>
        <v>Capital Social Realizado</v>
      </c>
      <c r="G4725" s="1"/>
      <c r="H4725" s="225">
        <v>3634.81</v>
      </c>
      <c r="I4725" s="225">
        <v>0</v>
      </c>
      <c r="J4725" s="225">
        <v>0</v>
      </c>
      <c r="K4725" s="225">
        <v>3634.81</v>
      </c>
      <c r="L47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3634.81</v>
      </c>
      <c r="M4725" s="225">
        <f>ROUND(IF(AND(Base_Periodo1[[#This Row],[Tipo_Linha]]="-",Base_Periodo1[[#This Row],[TIPOSALDO]]="D"),Base_Periodo1[[#This Row],[SALDO_ATUAL]]*-1,Base_Periodo1[[#This Row],[SALDO_ATUAL]]),4)</f>
        <v>3634.81</v>
      </c>
      <c r="N4725" t="s">
        <v>116</v>
      </c>
      <c r="O4725" t="s">
        <v>459</v>
      </c>
      <c r="P4725" t="s">
        <v>459</v>
      </c>
      <c r="Q4725">
        <v>6</v>
      </c>
      <c r="R4725" s="225">
        <f>Base_Periodo1[[#This Row],[CREDITOS]]-Base_Periodo1[[#This Row],[DEBITOS]]</f>
        <v>0</v>
      </c>
      <c r="S4725" s="3" t="str">
        <f>IF(ISERROR(VLOOKUP(Base_Periodo1[[#This Row],[CONTA]],BaseContasDRE[#All],4,FALSE)),"Fora do DRE",VLOOKUP(Base_Periodo1[[#This Row],[CONTA]],BaseContasDRE[#All],4,FALSE))</f>
        <v>Fora do DRE</v>
      </c>
      <c r="T4725" s="3" t="str">
        <f>IF(ISERROR(VLOOKUP(Base_Periodo1[[#This Row],[CONTA]],BaseContasDRE[#All],5,FALSE)),"Fora do DRE",VLOOKUP(Base_Periodo1[[#This Row],[CONTA]],BaseContasDRE[#All],6,FALSE))</f>
        <v>Fora do DRE</v>
      </c>
      <c r="U4725" s="3" t="str">
        <f>IF(ISERROR(VLOOKUP(Base_Periodo1[[#This Row],[CONTA]],BaseContasDRE[#All],7,FALSE)),"Fora do DRE",VLOOKUP(Base_Periodo1[[#This Row],[CONTA]],BaseContasDRE[#All],7,FALSE))</f>
        <v>Fora do DRE</v>
      </c>
      <c r="V4725" s="3" t="str">
        <f>IF(Base_Periodo1[[#This Row],[Tipo_Linha]]="Fora do DRE","Fora do DRE","( "&amp;Base_Periodo1[[#This Row],[Tipo_Linha]]&amp;" ) "&amp;Base_Periodo1[[#This Row],[Filtro]])</f>
        <v>Fora do DRE</v>
      </c>
      <c r="W4725" s="3" t="str">
        <f>LEFT(Base_Periodo1[[#This Row],[CLASS]],3)</f>
        <v>2.4</v>
      </c>
    </row>
    <row r="4726" spans="1:23" hidden="1">
      <c r="A4726" s="3" t="str">
        <f t="shared" si="73"/>
        <v>Período 1</v>
      </c>
      <c r="B4726">
        <v>52989</v>
      </c>
      <c r="C4726" t="s">
        <v>2300</v>
      </c>
      <c r="D4726" t="s">
        <v>4884</v>
      </c>
      <c r="E4726" s="3" t="str">
        <f>IF(LEN(Base_Periodo1[[#This Row],[CLASS]])&gt;=7,LEFT(Base_Periodo1[[#This Row],[CLASS]],7),"")</f>
        <v>2.4.1.1</v>
      </c>
      <c r="F4726" s="3" t="str">
        <f>VLOOKUP(Base_Periodo1[[#This Row],[Aux]],Base_Contas_Balanco[#All],2,FALSE)</f>
        <v>Capital Social Realizado</v>
      </c>
      <c r="G4726" s="1"/>
      <c r="H4726" s="225">
        <v>50</v>
      </c>
      <c r="I4726" s="225">
        <v>0</v>
      </c>
      <c r="J4726" s="225">
        <v>0</v>
      </c>
      <c r="K4726" s="225">
        <v>50</v>
      </c>
      <c r="L47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26" s="225">
        <f>ROUND(IF(AND(Base_Periodo1[[#This Row],[Tipo_Linha]]="-",Base_Periodo1[[#This Row],[TIPOSALDO]]="D"),Base_Periodo1[[#This Row],[SALDO_ATUAL]]*-1,Base_Periodo1[[#This Row],[SALDO_ATUAL]]),4)</f>
        <v>50</v>
      </c>
      <c r="N4726" t="s">
        <v>116</v>
      </c>
      <c r="O4726" t="s">
        <v>459</v>
      </c>
      <c r="P4726" t="s">
        <v>459</v>
      </c>
      <c r="Q4726">
        <v>6</v>
      </c>
      <c r="R4726" s="225">
        <f>Base_Periodo1[[#This Row],[CREDITOS]]-Base_Periodo1[[#This Row],[DEBITOS]]</f>
        <v>0</v>
      </c>
      <c r="S4726" s="3" t="str">
        <f>IF(ISERROR(VLOOKUP(Base_Periodo1[[#This Row],[CONTA]],BaseContasDRE[#All],4,FALSE)),"Fora do DRE",VLOOKUP(Base_Periodo1[[#This Row],[CONTA]],BaseContasDRE[#All],4,FALSE))</f>
        <v>Fora do DRE</v>
      </c>
      <c r="T4726" s="3" t="str">
        <f>IF(ISERROR(VLOOKUP(Base_Periodo1[[#This Row],[CONTA]],BaseContasDRE[#All],5,FALSE)),"Fora do DRE",VLOOKUP(Base_Periodo1[[#This Row],[CONTA]],BaseContasDRE[#All],6,FALSE))</f>
        <v>Fora do DRE</v>
      </c>
      <c r="U4726" s="3" t="str">
        <f>IF(ISERROR(VLOOKUP(Base_Periodo1[[#This Row],[CONTA]],BaseContasDRE[#All],7,FALSE)),"Fora do DRE",VLOOKUP(Base_Periodo1[[#This Row],[CONTA]],BaseContasDRE[#All],7,FALSE))</f>
        <v>Fora do DRE</v>
      </c>
      <c r="V4726" s="3" t="str">
        <f>IF(Base_Periodo1[[#This Row],[Tipo_Linha]]="Fora do DRE","Fora do DRE","( "&amp;Base_Periodo1[[#This Row],[Tipo_Linha]]&amp;" ) "&amp;Base_Periodo1[[#This Row],[Filtro]])</f>
        <v>Fora do DRE</v>
      </c>
      <c r="W4726" s="3" t="str">
        <f>LEFT(Base_Periodo1[[#This Row],[CLASS]],3)</f>
        <v>2.4</v>
      </c>
    </row>
    <row r="4727" spans="1:23" hidden="1">
      <c r="A4727" s="3" t="str">
        <f t="shared" si="73"/>
        <v>Período 1</v>
      </c>
      <c r="B4727">
        <v>36246</v>
      </c>
      <c r="C4727" t="s">
        <v>2300</v>
      </c>
      <c r="D4727" t="s">
        <v>2665</v>
      </c>
      <c r="E4727" s="3" t="str">
        <f>IF(LEN(Base_Periodo1[[#This Row],[CLASS]])&gt;=7,LEFT(Base_Periodo1[[#This Row],[CLASS]],7),"")</f>
        <v>2.4.1.1</v>
      </c>
      <c r="F4727" s="3" t="str">
        <f>VLOOKUP(Base_Periodo1[[#This Row],[Aux]],Base_Contas_Balanco[#All],2,FALSE)</f>
        <v>Capital Social Realizado</v>
      </c>
      <c r="G4727" s="1"/>
      <c r="H4727" s="225">
        <v>235.37</v>
      </c>
      <c r="I4727" s="225">
        <v>0</v>
      </c>
      <c r="J4727" s="225">
        <v>0</v>
      </c>
      <c r="K4727" s="225">
        <v>235.37</v>
      </c>
      <c r="L47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235.37</v>
      </c>
      <c r="M4727" s="225">
        <f>ROUND(IF(AND(Base_Periodo1[[#This Row],[Tipo_Linha]]="-",Base_Periodo1[[#This Row],[TIPOSALDO]]="D"),Base_Periodo1[[#This Row],[SALDO_ATUAL]]*-1,Base_Periodo1[[#This Row],[SALDO_ATUAL]]),4)</f>
        <v>235.37</v>
      </c>
      <c r="N4727" t="s">
        <v>116</v>
      </c>
      <c r="O4727" t="s">
        <v>459</v>
      </c>
      <c r="P4727" t="s">
        <v>459</v>
      </c>
      <c r="Q4727">
        <v>6</v>
      </c>
      <c r="R4727" s="225">
        <f>Base_Periodo1[[#This Row],[CREDITOS]]-Base_Periodo1[[#This Row],[DEBITOS]]</f>
        <v>0</v>
      </c>
      <c r="S4727" s="3" t="str">
        <f>IF(ISERROR(VLOOKUP(Base_Periodo1[[#This Row],[CONTA]],BaseContasDRE[#All],4,FALSE)),"Fora do DRE",VLOOKUP(Base_Periodo1[[#This Row],[CONTA]],BaseContasDRE[#All],4,FALSE))</f>
        <v>Fora do DRE</v>
      </c>
      <c r="T4727" s="3" t="str">
        <f>IF(ISERROR(VLOOKUP(Base_Periodo1[[#This Row],[CONTA]],BaseContasDRE[#All],5,FALSE)),"Fora do DRE",VLOOKUP(Base_Periodo1[[#This Row],[CONTA]],BaseContasDRE[#All],6,FALSE))</f>
        <v>Fora do DRE</v>
      </c>
      <c r="U4727" s="3" t="str">
        <f>IF(ISERROR(VLOOKUP(Base_Periodo1[[#This Row],[CONTA]],BaseContasDRE[#All],7,FALSE)),"Fora do DRE",VLOOKUP(Base_Periodo1[[#This Row],[CONTA]],BaseContasDRE[#All],7,FALSE))</f>
        <v>Fora do DRE</v>
      </c>
      <c r="V4727" s="3" t="str">
        <f>IF(Base_Periodo1[[#This Row],[Tipo_Linha]]="Fora do DRE","Fora do DRE","( "&amp;Base_Periodo1[[#This Row],[Tipo_Linha]]&amp;" ) "&amp;Base_Periodo1[[#This Row],[Filtro]])</f>
        <v>Fora do DRE</v>
      </c>
      <c r="W4727" s="3" t="str">
        <f>LEFT(Base_Periodo1[[#This Row],[CLASS]],3)</f>
        <v>2.4</v>
      </c>
    </row>
    <row r="4728" spans="1:23" hidden="1">
      <c r="A4728" s="3" t="str">
        <f t="shared" si="73"/>
        <v>Período 1</v>
      </c>
      <c r="B4728">
        <v>40117</v>
      </c>
      <c r="C4728" t="s">
        <v>2300</v>
      </c>
      <c r="D4728" t="s">
        <v>2666</v>
      </c>
      <c r="E4728" s="3" t="str">
        <f>IF(LEN(Base_Periodo1[[#This Row],[CLASS]])&gt;=7,LEFT(Base_Periodo1[[#This Row],[CLASS]],7),"")</f>
        <v>2.4.1.1</v>
      </c>
      <c r="F4728" s="3" t="str">
        <f>VLOOKUP(Base_Periodo1[[#This Row],[Aux]],Base_Contas_Balanco[#All],2,FALSE)</f>
        <v>Capital Social Realizado</v>
      </c>
      <c r="G4728" s="1"/>
      <c r="H4728" s="225">
        <v>420.74</v>
      </c>
      <c r="I4728" s="225">
        <v>0</v>
      </c>
      <c r="J4728" s="225">
        <v>0</v>
      </c>
      <c r="K4728" s="225">
        <v>420.74</v>
      </c>
      <c r="L47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420.74</v>
      </c>
      <c r="M4728" s="225">
        <f>ROUND(IF(AND(Base_Periodo1[[#This Row],[Tipo_Linha]]="-",Base_Periodo1[[#This Row],[TIPOSALDO]]="D"),Base_Periodo1[[#This Row],[SALDO_ATUAL]]*-1,Base_Periodo1[[#This Row],[SALDO_ATUAL]]),4)</f>
        <v>420.74</v>
      </c>
      <c r="N4728" t="s">
        <v>116</v>
      </c>
      <c r="O4728" t="s">
        <v>459</v>
      </c>
      <c r="P4728" t="s">
        <v>459</v>
      </c>
      <c r="Q4728">
        <v>6</v>
      </c>
      <c r="R4728" s="225">
        <f>Base_Periodo1[[#This Row],[CREDITOS]]-Base_Periodo1[[#This Row],[DEBITOS]]</f>
        <v>0</v>
      </c>
      <c r="S4728" s="3" t="str">
        <f>IF(ISERROR(VLOOKUP(Base_Periodo1[[#This Row],[CONTA]],BaseContasDRE[#All],4,FALSE)),"Fora do DRE",VLOOKUP(Base_Periodo1[[#This Row],[CONTA]],BaseContasDRE[#All],4,FALSE))</f>
        <v>Fora do DRE</v>
      </c>
      <c r="T4728" s="3" t="str">
        <f>IF(ISERROR(VLOOKUP(Base_Periodo1[[#This Row],[CONTA]],BaseContasDRE[#All],5,FALSE)),"Fora do DRE",VLOOKUP(Base_Periodo1[[#This Row],[CONTA]],BaseContasDRE[#All],6,FALSE))</f>
        <v>Fora do DRE</v>
      </c>
      <c r="U4728" s="3" t="str">
        <f>IF(ISERROR(VLOOKUP(Base_Periodo1[[#This Row],[CONTA]],BaseContasDRE[#All],7,FALSE)),"Fora do DRE",VLOOKUP(Base_Periodo1[[#This Row],[CONTA]],BaseContasDRE[#All],7,FALSE))</f>
        <v>Fora do DRE</v>
      </c>
      <c r="V4728" s="3" t="str">
        <f>IF(Base_Periodo1[[#This Row],[Tipo_Linha]]="Fora do DRE","Fora do DRE","( "&amp;Base_Periodo1[[#This Row],[Tipo_Linha]]&amp;" ) "&amp;Base_Periodo1[[#This Row],[Filtro]])</f>
        <v>Fora do DRE</v>
      </c>
      <c r="W4728" s="3" t="str">
        <f>LEFT(Base_Periodo1[[#This Row],[CLASS]],3)</f>
        <v>2.4</v>
      </c>
    </row>
    <row r="4729" spans="1:23" hidden="1">
      <c r="A4729" s="3" t="str">
        <f t="shared" si="73"/>
        <v>Período 1</v>
      </c>
      <c r="B4729">
        <v>47891</v>
      </c>
      <c r="C4729" t="s">
        <v>2300</v>
      </c>
      <c r="D4729" t="s">
        <v>2667</v>
      </c>
      <c r="E4729" s="3" t="str">
        <f>IF(LEN(Base_Periodo1[[#This Row],[CLASS]])&gt;=7,LEFT(Base_Periodo1[[#This Row],[CLASS]],7),"")</f>
        <v>2.4.1.1</v>
      </c>
      <c r="F4729" s="3" t="str">
        <f>VLOOKUP(Base_Periodo1[[#This Row],[Aux]],Base_Contas_Balanco[#All],2,FALSE)</f>
        <v>Capital Social Realizado</v>
      </c>
      <c r="G4729" s="1"/>
      <c r="H4729" s="225">
        <v>935.93</v>
      </c>
      <c r="I4729" s="225">
        <v>0</v>
      </c>
      <c r="J4729" s="225">
        <v>0</v>
      </c>
      <c r="K4729" s="225">
        <v>935.93</v>
      </c>
      <c r="L47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935.93</v>
      </c>
      <c r="M4729" s="225">
        <f>ROUND(IF(AND(Base_Periodo1[[#This Row],[Tipo_Linha]]="-",Base_Periodo1[[#This Row],[TIPOSALDO]]="D"),Base_Periodo1[[#This Row],[SALDO_ATUAL]]*-1,Base_Periodo1[[#This Row],[SALDO_ATUAL]]),4)</f>
        <v>935.93</v>
      </c>
      <c r="N4729" t="s">
        <v>116</v>
      </c>
      <c r="O4729" t="s">
        <v>459</v>
      </c>
      <c r="P4729" t="s">
        <v>459</v>
      </c>
      <c r="Q4729">
        <v>6</v>
      </c>
      <c r="R4729" s="225">
        <f>Base_Periodo1[[#This Row],[CREDITOS]]-Base_Periodo1[[#This Row],[DEBITOS]]</f>
        <v>0</v>
      </c>
      <c r="S4729" s="3" t="str">
        <f>IF(ISERROR(VLOOKUP(Base_Periodo1[[#This Row],[CONTA]],BaseContasDRE[#All],4,FALSE)),"Fora do DRE",VLOOKUP(Base_Periodo1[[#This Row],[CONTA]],BaseContasDRE[#All],4,FALSE))</f>
        <v>Fora do DRE</v>
      </c>
      <c r="T4729" s="3" t="str">
        <f>IF(ISERROR(VLOOKUP(Base_Periodo1[[#This Row],[CONTA]],BaseContasDRE[#All],5,FALSE)),"Fora do DRE",VLOOKUP(Base_Periodo1[[#This Row],[CONTA]],BaseContasDRE[#All],6,FALSE))</f>
        <v>Fora do DRE</v>
      </c>
      <c r="U4729" s="3" t="str">
        <f>IF(ISERROR(VLOOKUP(Base_Periodo1[[#This Row],[CONTA]],BaseContasDRE[#All],7,FALSE)),"Fora do DRE",VLOOKUP(Base_Periodo1[[#This Row],[CONTA]],BaseContasDRE[#All],7,FALSE))</f>
        <v>Fora do DRE</v>
      </c>
      <c r="V4729" s="3" t="str">
        <f>IF(Base_Periodo1[[#This Row],[Tipo_Linha]]="Fora do DRE","Fora do DRE","( "&amp;Base_Periodo1[[#This Row],[Tipo_Linha]]&amp;" ) "&amp;Base_Periodo1[[#This Row],[Filtro]])</f>
        <v>Fora do DRE</v>
      </c>
      <c r="W4729" s="3" t="str">
        <f>LEFT(Base_Periodo1[[#This Row],[CLASS]],3)</f>
        <v>2.4</v>
      </c>
    </row>
    <row r="4730" spans="1:23" hidden="1">
      <c r="A4730" s="3" t="str">
        <f t="shared" si="73"/>
        <v>Período 1</v>
      </c>
      <c r="B4730">
        <v>16041</v>
      </c>
      <c r="C4730" t="s">
        <v>2300</v>
      </c>
      <c r="D4730" t="s">
        <v>2668</v>
      </c>
      <c r="E4730" s="3" t="str">
        <f>IF(LEN(Base_Periodo1[[#This Row],[CLASS]])&gt;=7,LEFT(Base_Periodo1[[#This Row],[CLASS]],7),"")</f>
        <v>2.4.1.1</v>
      </c>
      <c r="F4730" s="3" t="str">
        <f>VLOOKUP(Base_Periodo1[[#This Row],[Aux]],Base_Contas_Balanco[#All],2,FALSE)</f>
        <v>Capital Social Realizado</v>
      </c>
      <c r="G4730" s="1"/>
      <c r="H4730" s="225">
        <v>3146.59</v>
      </c>
      <c r="I4730" s="225">
        <v>0</v>
      </c>
      <c r="J4730" s="225">
        <v>0</v>
      </c>
      <c r="K4730" s="225">
        <v>3146.59</v>
      </c>
      <c r="L47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3146.59</v>
      </c>
      <c r="M4730" s="225">
        <f>ROUND(IF(AND(Base_Periodo1[[#This Row],[Tipo_Linha]]="-",Base_Periodo1[[#This Row],[TIPOSALDO]]="D"),Base_Periodo1[[#This Row],[SALDO_ATUAL]]*-1,Base_Periodo1[[#This Row],[SALDO_ATUAL]]),4)</f>
        <v>3146.59</v>
      </c>
      <c r="N4730" t="s">
        <v>116</v>
      </c>
      <c r="O4730" t="s">
        <v>459</v>
      </c>
      <c r="P4730" t="s">
        <v>459</v>
      </c>
      <c r="Q4730">
        <v>6</v>
      </c>
      <c r="R4730" s="225">
        <f>Base_Periodo1[[#This Row],[CREDITOS]]-Base_Periodo1[[#This Row],[DEBITOS]]</f>
        <v>0</v>
      </c>
      <c r="S4730" s="3" t="str">
        <f>IF(ISERROR(VLOOKUP(Base_Periodo1[[#This Row],[CONTA]],BaseContasDRE[#All],4,FALSE)),"Fora do DRE",VLOOKUP(Base_Periodo1[[#This Row],[CONTA]],BaseContasDRE[#All],4,FALSE))</f>
        <v>Fora do DRE</v>
      </c>
      <c r="T4730" s="3" t="str">
        <f>IF(ISERROR(VLOOKUP(Base_Periodo1[[#This Row],[CONTA]],BaseContasDRE[#All],5,FALSE)),"Fora do DRE",VLOOKUP(Base_Periodo1[[#This Row],[CONTA]],BaseContasDRE[#All],6,FALSE))</f>
        <v>Fora do DRE</v>
      </c>
      <c r="U4730" s="3" t="str">
        <f>IF(ISERROR(VLOOKUP(Base_Periodo1[[#This Row],[CONTA]],BaseContasDRE[#All],7,FALSE)),"Fora do DRE",VLOOKUP(Base_Periodo1[[#This Row],[CONTA]],BaseContasDRE[#All],7,FALSE))</f>
        <v>Fora do DRE</v>
      </c>
      <c r="V4730" s="3" t="str">
        <f>IF(Base_Periodo1[[#This Row],[Tipo_Linha]]="Fora do DRE","Fora do DRE","( "&amp;Base_Periodo1[[#This Row],[Tipo_Linha]]&amp;" ) "&amp;Base_Periodo1[[#This Row],[Filtro]])</f>
        <v>Fora do DRE</v>
      </c>
      <c r="W4730" s="3" t="str">
        <f>LEFT(Base_Periodo1[[#This Row],[CLASS]],3)</f>
        <v>2.4</v>
      </c>
    </row>
    <row r="4731" spans="1:23" hidden="1">
      <c r="A4731" s="3" t="str">
        <f t="shared" si="73"/>
        <v>Período 1</v>
      </c>
      <c r="B4731">
        <v>47278</v>
      </c>
      <c r="C4731" t="s">
        <v>2300</v>
      </c>
      <c r="D4731" t="s">
        <v>2669</v>
      </c>
      <c r="E4731" s="3" t="str">
        <f>IF(LEN(Base_Periodo1[[#This Row],[CLASS]])&gt;=7,LEFT(Base_Periodo1[[#This Row],[CLASS]],7),"")</f>
        <v>2.4.1.1</v>
      </c>
      <c r="F4731" s="3" t="str">
        <f>VLOOKUP(Base_Periodo1[[#This Row],[Aux]],Base_Contas_Balanco[#All],2,FALSE)</f>
        <v>Capital Social Realizado</v>
      </c>
      <c r="G4731" s="1"/>
      <c r="H4731" s="225">
        <v>309.33999999999997</v>
      </c>
      <c r="I4731" s="225">
        <v>0</v>
      </c>
      <c r="J4731" s="225">
        <v>0</v>
      </c>
      <c r="K4731" s="225">
        <v>309.33999999999997</v>
      </c>
      <c r="L47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309.33999999999997</v>
      </c>
      <c r="M4731" s="225">
        <f>ROUND(IF(AND(Base_Periodo1[[#This Row],[Tipo_Linha]]="-",Base_Periodo1[[#This Row],[TIPOSALDO]]="D"),Base_Periodo1[[#This Row],[SALDO_ATUAL]]*-1,Base_Periodo1[[#This Row],[SALDO_ATUAL]]),4)</f>
        <v>309.33999999999997</v>
      </c>
      <c r="N4731" t="s">
        <v>116</v>
      </c>
      <c r="O4731" t="s">
        <v>459</v>
      </c>
      <c r="P4731" t="s">
        <v>459</v>
      </c>
      <c r="Q4731">
        <v>6</v>
      </c>
      <c r="R4731" s="225">
        <f>Base_Periodo1[[#This Row],[CREDITOS]]-Base_Periodo1[[#This Row],[DEBITOS]]</f>
        <v>0</v>
      </c>
      <c r="S4731" s="3" t="str">
        <f>IF(ISERROR(VLOOKUP(Base_Periodo1[[#This Row],[CONTA]],BaseContasDRE[#All],4,FALSE)),"Fora do DRE",VLOOKUP(Base_Periodo1[[#This Row],[CONTA]],BaseContasDRE[#All],4,FALSE))</f>
        <v>Fora do DRE</v>
      </c>
      <c r="T4731" s="3" t="str">
        <f>IF(ISERROR(VLOOKUP(Base_Periodo1[[#This Row],[CONTA]],BaseContasDRE[#All],5,FALSE)),"Fora do DRE",VLOOKUP(Base_Periodo1[[#This Row],[CONTA]],BaseContasDRE[#All],6,FALSE))</f>
        <v>Fora do DRE</v>
      </c>
      <c r="U4731" s="3" t="str">
        <f>IF(ISERROR(VLOOKUP(Base_Periodo1[[#This Row],[CONTA]],BaseContasDRE[#All],7,FALSE)),"Fora do DRE",VLOOKUP(Base_Periodo1[[#This Row],[CONTA]],BaseContasDRE[#All],7,FALSE))</f>
        <v>Fora do DRE</v>
      </c>
      <c r="V4731" s="3" t="str">
        <f>IF(Base_Periodo1[[#This Row],[Tipo_Linha]]="Fora do DRE","Fora do DRE","( "&amp;Base_Periodo1[[#This Row],[Tipo_Linha]]&amp;" ) "&amp;Base_Periodo1[[#This Row],[Filtro]])</f>
        <v>Fora do DRE</v>
      </c>
      <c r="W4731" s="3" t="str">
        <f>LEFT(Base_Periodo1[[#This Row],[CLASS]],3)</f>
        <v>2.4</v>
      </c>
    </row>
    <row r="4732" spans="1:23" hidden="1">
      <c r="A4732" s="3" t="str">
        <f t="shared" si="73"/>
        <v>Período 1</v>
      </c>
      <c r="B4732">
        <v>38826</v>
      </c>
      <c r="C4732" t="s">
        <v>2300</v>
      </c>
      <c r="D4732" t="s">
        <v>2670</v>
      </c>
      <c r="E4732" s="3" t="str">
        <f>IF(LEN(Base_Periodo1[[#This Row],[CLASS]])&gt;=7,LEFT(Base_Periodo1[[#This Row],[CLASS]],7),"")</f>
        <v>2.4.1.1</v>
      </c>
      <c r="F4732" s="3" t="str">
        <f>VLOOKUP(Base_Periodo1[[#This Row],[Aux]],Base_Contas_Balanco[#All],2,FALSE)</f>
        <v>Capital Social Realizado</v>
      </c>
      <c r="G4732" s="1"/>
      <c r="H4732" s="225">
        <v>199.88</v>
      </c>
      <c r="I4732" s="225">
        <v>0</v>
      </c>
      <c r="J4732" s="225">
        <v>0</v>
      </c>
      <c r="K4732" s="225">
        <v>199.88</v>
      </c>
      <c r="L47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199.88</v>
      </c>
      <c r="M4732" s="225">
        <f>ROUND(IF(AND(Base_Periodo1[[#This Row],[Tipo_Linha]]="-",Base_Periodo1[[#This Row],[TIPOSALDO]]="D"),Base_Periodo1[[#This Row],[SALDO_ATUAL]]*-1,Base_Periodo1[[#This Row],[SALDO_ATUAL]]),4)</f>
        <v>199.88</v>
      </c>
      <c r="N4732" t="s">
        <v>116</v>
      </c>
      <c r="O4732" t="s">
        <v>459</v>
      </c>
      <c r="P4732" t="s">
        <v>459</v>
      </c>
      <c r="Q4732">
        <v>6</v>
      </c>
      <c r="R4732" s="225">
        <f>Base_Periodo1[[#This Row],[CREDITOS]]-Base_Periodo1[[#This Row],[DEBITOS]]</f>
        <v>0</v>
      </c>
      <c r="S4732" s="3" t="str">
        <f>IF(ISERROR(VLOOKUP(Base_Periodo1[[#This Row],[CONTA]],BaseContasDRE[#All],4,FALSE)),"Fora do DRE",VLOOKUP(Base_Periodo1[[#This Row],[CONTA]],BaseContasDRE[#All],4,FALSE))</f>
        <v>Fora do DRE</v>
      </c>
      <c r="T4732" s="3" t="str">
        <f>IF(ISERROR(VLOOKUP(Base_Periodo1[[#This Row],[CONTA]],BaseContasDRE[#All],5,FALSE)),"Fora do DRE",VLOOKUP(Base_Periodo1[[#This Row],[CONTA]],BaseContasDRE[#All],6,FALSE))</f>
        <v>Fora do DRE</v>
      </c>
      <c r="U4732" s="3" t="str">
        <f>IF(ISERROR(VLOOKUP(Base_Periodo1[[#This Row],[CONTA]],BaseContasDRE[#All],7,FALSE)),"Fora do DRE",VLOOKUP(Base_Periodo1[[#This Row],[CONTA]],BaseContasDRE[#All],7,FALSE))</f>
        <v>Fora do DRE</v>
      </c>
      <c r="V4732" s="3" t="str">
        <f>IF(Base_Periodo1[[#This Row],[Tipo_Linha]]="Fora do DRE","Fora do DRE","( "&amp;Base_Periodo1[[#This Row],[Tipo_Linha]]&amp;" ) "&amp;Base_Periodo1[[#This Row],[Filtro]])</f>
        <v>Fora do DRE</v>
      </c>
      <c r="W4732" s="3" t="str">
        <f>LEFT(Base_Periodo1[[#This Row],[CLASS]],3)</f>
        <v>2.4</v>
      </c>
    </row>
    <row r="4733" spans="1:23" hidden="1">
      <c r="A4733" s="3" t="str">
        <f t="shared" si="73"/>
        <v>Período 1</v>
      </c>
      <c r="B4733">
        <v>25529</v>
      </c>
      <c r="C4733" t="s">
        <v>2300</v>
      </c>
      <c r="D4733" t="s">
        <v>2671</v>
      </c>
      <c r="E4733" s="3" t="str">
        <f>IF(LEN(Base_Periodo1[[#This Row],[CLASS]])&gt;=7,LEFT(Base_Periodo1[[#This Row],[CLASS]],7),"")</f>
        <v>2.4.1.1</v>
      </c>
      <c r="F4733" s="3" t="str">
        <f>VLOOKUP(Base_Periodo1[[#This Row],[Aux]],Base_Contas_Balanco[#All],2,FALSE)</f>
        <v>Capital Social Realizado</v>
      </c>
      <c r="G4733" s="1"/>
      <c r="H4733" s="225">
        <v>161.85</v>
      </c>
      <c r="I4733" s="225">
        <v>0</v>
      </c>
      <c r="J4733" s="225">
        <v>0</v>
      </c>
      <c r="K4733" s="225">
        <v>161.85</v>
      </c>
      <c r="L47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161.85</v>
      </c>
      <c r="M4733" s="225">
        <f>ROUND(IF(AND(Base_Periodo1[[#This Row],[Tipo_Linha]]="-",Base_Periodo1[[#This Row],[TIPOSALDO]]="D"),Base_Periodo1[[#This Row],[SALDO_ATUAL]]*-1,Base_Periodo1[[#This Row],[SALDO_ATUAL]]),4)</f>
        <v>161.85</v>
      </c>
      <c r="N4733" t="s">
        <v>116</v>
      </c>
      <c r="O4733" t="s">
        <v>459</v>
      </c>
      <c r="P4733" t="s">
        <v>459</v>
      </c>
      <c r="Q4733">
        <v>6</v>
      </c>
      <c r="R4733" s="225">
        <f>Base_Periodo1[[#This Row],[CREDITOS]]-Base_Periodo1[[#This Row],[DEBITOS]]</f>
        <v>0</v>
      </c>
      <c r="S4733" s="3" t="str">
        <f>IF(ISERROR(VLOOKUP(Base_Periodo1[[#This Row],[CONTA]],BaseContasDRE[#All],4,FALSE)),"Fora do DRE",VLOOKUP(Base_Periodo1[[#This Row],[CONTA]],BaseContasDRE[#All],4,FALSE))</f>
        <v>Fora do DRE</v>
      </c>
      <c r="T4733" s="3" t="str">
        <f>IF(ISERROR(VLOOKUP(Base_Periodo1[[#This Row],[CONTA]],BaseContasDRE[#All],5,FALSE)),"Fora do DRE",VLOOKUP(Base_Periodo1[[#This Row],[CONTA]],BaseContasDRE[#All],6,FALSE))</f>
        <v>Fora do DRE</v>
      </c>
      <c r="U4733" s="3" t="str">
        <f>IF(ISERROR(VLOOKUP(Base_Periodo1[[#This Row],[CONTA]],BaseContasDRE[#All],7,FALSE)),"Fora do DRE",VLOOKUP(Base_Periodo1[[#This Row],[CONTA]],BaseContasDRE[#All],7,FALSE))</f>
        <v>Fora do DRE</v>
      </c>
      <c r="V4733" s="3" t="str">
        <f>IF(Base_Periodo1[[#This Row],[Tipo_Linha]]="Fora do DRE","Fora do DRE","( "&amp;Base_Periodo1[[#This Row],[Tipo_Linha]]&amp;" ) "&amp;Base_Periodo1[[#This Row],[Filtro]])</f>
        <v>Fora do DRE</v>
      </c>
      <c r="W4733" s="3" t="str">
        <f>LEFT(Base_Periodo1[[#This Row],[CLASS]],3)</f>
        <v>2.4</v>
      </c>
    </row>
    <row r="4734" spans="1:23" hidden="1">
      <c r="A4734" s="3" t="str">
        <f t="shared" si="73"/>
        <v>Período 1</v>
      </c>
      <c r="B4734">
        <v>15980</v>
      </c>
      <c r="C4734" t="s">
        <v>2300</v>
      </c>
      <c r="D4734" t="s">
        <v>2672</v>
      </c>
      <c r="E4734" s="3" t="str">
        <f>IF(LEN(Base_Periodo1[[#This Row],[CLASS]])&gt;=7,LEFT(Base_Periodo1[[#This Row],[CLASS]],7),"")</f>
        <v>2.4.1.1</v>
      </c>
      <c r="F4734" s="3" t="str">
        <f>VLOOKUP(Base_Periodo1[[#This Row],[Aux]],Base_Contas_Balanco[#All],2,FALSE)</f>
        <v>Capital Social Realizado</v>
      </c>
      <c r="G4734" s="1"/>
      <c r="H4734" s="225">
        <v>2285.4900000000002</v>
      </c>
      <c r="I4734" s="225">
        <v>0</v>
      </c>
      <c r="J4734" s="225">
        <v>0</v>
      </c>
      <c r="K4734" s="225">
        <v>2285.4900000000002</v>
      </c>
      <c r="L47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2285.4899999999998</v>
      </c>
      <c r="M4734" s="225">
        <f>ROUND(IF(AND(Base_Periodo1[[#This Row],[Tipo_Linha]]="-",Base_Periodo1[[#This Row],[TIPOSALDO]]="D"),Base_Periodo1[[#This Row],[SALDO_ATUAL]]*-1,Base_Periodo1[[#This Row],[SALDO_ATUAL]]),4)</f>
        <v>2285.4899999999998</v>
      </c>
      <c r="N4734" t="s">
        <v>116</v>
      </c>
      <c r="O4734" t="s">
        <v>459</v>
      </c>
      <c r="P4734" t="s">
        <v>459</v>
      </c>
      <c r="Q4734">
        <v>6</v>
      </c>
      <c r="R4734" s="225">
        <f>Base_Periodo1[[#This Row],[CREDITOS]]-Base_Periodo1[[#This Row],[DEBITOS]]</f>
        <v>0</v>
      </c>
      <c r="S4734" s="3" t="str">
        <f>IF(ISERROR(VLOOKUP(Base_Periodo1[[#This Row],[CONTA]],BaseContasDRE[#All],4,FALSE)),"Fora do DRE",VLOOKUP(Base_Periodo1[[#This Row],[CONTA]],BaseContasDRE[#All],4,FALSE))</f>
        <v>Fora do DRE</v>
      </c>
      <c r="T4734" s="3" t="str">
        <f>IF(ISERROR(VLOOKUP(Base_Periodo1[[#This Row],[CONTA]],BaseContasDRE[#All],5,FALSE)),"Fora do DRE",VLOOKUP(Base_Periodo1[[#This Row],[CONTA]],BaseContasDRE[#All],6,FALSE))</f>
        <v>Fora do DRE</v>
      </c>
      <c r="U4734" s="3" t="str">
        <f>IF(ISERROR(VLOOKUP(Base_Periodo1[[#This Row],[CONTA]],BaseContasDRE[#All],7,FALSE)),"Fora do DRE",VLOOKUP(Base_Periodo1[[#This Row],[CONTA]],BaseContasDRE[#All],7,FALSE))</f>
        <v>Fora do DRE</v>
      </c>
      <c r="V4734" s="3" t="str">
        <f>IF(Base_Periodo1[[#This Row],[Tipo_Linha]]="Fora do DRE","Fora do DRE","( "&amp;Base_Periodo1[[#This Row],[Tipo_Linha]]&amp;" ) "&amp;Base_Periodo1[[#This Row],[Filtro]])</f>
        <v>Fora do DRE</v>
      </c>
      <c r="W4734" s="3" t="str">
        <f>LEFT(Base_Periodo1[[#This Row],[CLASS]],3)</f>
        <v>2.4</v>
      </c>
    </row>
    <row r="4735" spans="1:23" hidden="1">
      <c r="A4735" s="3" t="str">
        <f t="shared" si="73"/>
        <v>Período 1</v>
      </c>
      <c r="B4735">
        <v>55858</v>
      </c>
      <c r="C4735" t="s">
        <v>2300</v>
      </c>
      <c r="D4735" t="s">
        <v>5539</v>
      </c>
      <c r="E4735" s="3" t="str">
        <f>IF(LEN(Base_Periodo1[[#This Row],[CLASS]])&gt;=7,LEFT(Base_Periodo1[[#This Row],[CLASS]],7),"")</f>
        <v>2.4.1.1</v>
      </c>
      <c r="F4735" s="3" t="str">
        <f>VLOOKUP(Base_Periodo1[[#This Row],[Aux]],Base_Contas_Balanco[#All],2,FALSE)</f>
        <v>Capital Social Realizado</v>
      </c>
      <c r="G4735" s="1"/>
      <c r="H4735" s="225">
        <v>500</v>
      </c>
      <c r="I4735" s="225">
        <v>0</v>
      </c>
      <c r="J4735" s="225">
        <v>0</v>
      </c>
      <c r="K4735" s="225">
        <v>500</v>
      </c>
      <c r="L47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4735" s="225">
        <f>ROUND(IF(AND(Base_Periodo1[[#This Row],[Tipo_Linha]]="-",Base_Periodo1[[#This Row],[TIPOSALDO]]="D"),Base_Periodo1[[#This Row],[SALDO_ATUAL]]*-1,Base_Periodo1[[#This Row],[SALDO_ATUAL]]),4)</f>
        <v>500</v>
      </c>
      <c r="N4735" t="s">
        <v>116</v>
      </c>
      <c r="O4735" t="s">
        <v>459</v>
      </c>
      <c r="P4735" t="s">
        <v>459</v>
      </c>
      <c r="Q4735">
        <v>6</v>
      </c>
      <c r="R4735" s="225">
        <f>Base_Periodo1[[#This Row],[CREDITOS]]-Base_Periodo1[[#This Row],[DEBITOS]]</f>
        <v>0</v>
      </c>
      <c r="S4735" s="3" t="str">
        <f>IF(ISERROR(VLOOKUP(Base_Periodo1[[#This Row],[CONTA]],BaseContasDRE[#All],4,FALSE)),"Fora do DRE",VLOOKUP(Base_Periodo1[[#This Row],[CONTA]],BaseContasDRE[#All],4,FALSE))</f>
        <v>Fora do DRE</v>
      </c>
      <c r="T4735" s="3" t="str">
        <f>IF(ISERROR(VLOOKUP(Base_Periodo1[[#This Row],[CONTA]],BaseContasDRE[#All],5,FALSE)),"Fora do DRE",VLOOKUP(Base_Periodo1[[#This Row],[CONTA]],BaseContasDRE[#All],6,FALSE))</f>
        <v>Fora do DRE</v>
      </c>
      <c r="U4735" s="3" t="str">
        <f>IF(ISERROR(VLOOKUP(Base_Periodo1[[#This Row],[CONTA]],BaseContasDRE[#All],7,FALSE)),"Fora do DRE",VLOOKUP(Base_Periodo1[[#This Row],[CONTA]],BaseContasDRE[#All],7,FALSE))</f>
        <v>Fora do DRE</v>
      </c>
      <c r="V4735" s="3" t="str">
        <f>IF(Base_Periodo1[[#This Row],[Tipo_Linha]]="Fora do DRE","Fora do DRE","( "&amp;Base_Periodo1[[#This Row],[Tipo_Linha]]&amp;" ) "&amp;Base_Periodo1[[#This Row],[Filtro]])</f>
        <v>Fora do DRE</v>
      </c>
      <c r="W4735" s="3" t="str">
        <f>LEFT(Base_Periodo1[[#This Row],[CLASS]],3)</f>
        <v>2.4</v>
      </c>
    </row>
    <row r="4736" spans="1:23" hidden="1">
      <c r="A4736" s="3" t="str">
        <f t="shared" si="73"/>
        <v>Período 1</v>
      </c>
      <c r="B4736">
        <v>16290</v>
      </c>
      <c r="C4736" t="s">
        <v>2300</v>
      </c>
      <c r="D4736" t="s">
        <v>2673</v>
      </c>
      <c r="E4736" s="3" t="str">
        <f>IF(LEN(Base_Periodo1[[#This Row],[CLASS]])&gt;=7,LEFT(Base_Periodo1[[#This Row],[CLASS]],7),"")</f>
        <v>2.4.1.1</v>
      </c>
      <c r="F4736" s="3" t="str">
        <f>VLOOKUP(Base_Periodo1[[#This Row],[Aux]],Base_Contas_Balanco[#All],2,FALSE)</f>
        <v>Capital Social Realizado</v>
      </c>
      <c r="G4736" s="1"/>
      <c r="H4736" s="225">
        <v>943.35</v>
      </c>
      <c r="I4736" s="225">
        <v>0</v>
      </c>
      <c r="J4736" s="225">
        <v>0</v>
      </c>
      <c r="K4736" s="225">
        <v>943.35</v>
      </c>
      <c r="L47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943.35</v>
      </c>
      <c r="M4736" s="225">
        <f>ROUND(IF(AND(Base_Periodo1[[#This Row],[Tipo_Linha]]="-",Base_Periodo1[[#This Row],[TIPOSALDO]]="D"),Base_Periodo1[[#This Row],[SALDO_ATUAL]]*-1,Base_Periodo1[[#This Row],[SALDO_ATUAL]]),4)</f>
        <v>943.35</v>
      </c>
      <c r="N4736" t="s">
        <v>116</v>
      </c>
      <c r="O4736" t="s">
        <v>459</v>
      </c>
      <c r="P4736" t="s">
        <v>459</v>
      </c>
      <c r="Q4736">
        <v>6</v>
      </c>
      <c r="R4736" s="225">
        <f>Base_Periodo1[[#This Row],[CREDITOS]]-Base_Periodo1[[#This Row],[DEBITOS]]</f>
        <v>0</v>
      </c>
      <c r="S4736" s="3" t="str">
        <f>IF(ISERROR(VLOOKUP(Base_Periodo1[[#This Row],[CONTA]],BaseContasDRE[#All],4,FALSE)),"Fora do DRE",VLOOKUP(Base_Periodo1[[#This Row],[CONTA]],BaseContasDRE[#All],4,FALSE))</f>
        <v>Fora do DRE</v>
      </c>
      <c r="T4736" s="3" t="str">
        <f>IF(ISERROR(VLOOKUP(Base_Periodo1[[#This Row],[CONTA]],BaseContasDRE[#All],5,FALSE)),"Fora do DRE",VLOOKUP(Base_Periodo1[[#This Row],[CONTA]],BaseContasDRE[#All],6,FALSE))</f>
        <v>Fora do DRE</v>
      </c>
      <c r="U4736" s="3" t="str">
        <f>IF(ISERROR(VLOOKUP(Base_Periodo1[[#This Row],[CONTA]],BaseContasDRE[#All],7,FALSE)),"Fora do DRE",VLOOKUP(Base_Periodo1[[#This Row],[CONTA]],BaseContasDRE[#All],7,FALSE))</f>
        <v>Fora do DRE</v>
      </c>
      <c r="V4736" s="3" t="str">
        <f>IF(Base_Periodo1[[#This Row],[Tipo_Linha]]="Fora do DRE","Fora do DRE","( "&amp;Base_Periodo1[[#This Row],[Tipo_Linha]]&amp;" ) "&amp;Base_Periodo1[[#This Row],[Filtro]])</f>
        <v>Fora do DRE</v>
      </c>
      <c r="W4736" s="3" t="str">
        <f>LEFT(Base_Periodo1[[#This Row],[CLASS]],3)</f>
        <v>2.4</v>
      </c>
    </row>
    <row r="4737" spans="1:23" hidden="1">
      <c r="A4737" s="3" t="str">
        <f t="shared" si="73"/>
        <v>Período 1</v>
      </c>
      <c r="B4737">
        <v>19256</v>
      </c>
      <c r="C4737" t="s">
        <v>2300</v>
      </c>
      <c r="D4737" t="s">
        <v>2674</v>
      </c>
      <c r="E4737" s="3" t="str">
        <f>IF(LEN(Base_Periodo1[[#This Row],[CLASS]])&gt;=7,LEFT(Base_Periodo1[[#This Row],[CLASS]],7),"")</f>
        <v>2.4.1.1</v>
      </c>
      <c r="F4737" s="3" t="str">
        <f>VLOOKUP(Base_Periodo1[[#This Row],[Aux]],Base_Contas_Balanco[#All],2,FALSE)</f>
        <v>Capital Social Realizado</v>
      </c>
      <c r="G4737" s="1"/>
      <c r="H4737" s="225">
        <v>83.07</v>
      </c>
      <c r="I4737" s="225">
        <v>0</v>
      </c>
      <c r="J4737" s="225">
        <v>0</v>
      </c>
      <c r="K4737" s="225">
        <v>83.07</v>
      </c>
      <c r="L47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83.07</v>
      </c>
      <c r="M4737" s="225">
        <f>ROUND(IF(AND(Base_Periodo1[[#This Row],[Tipo_Linha]]="-",Base_Periodo1[[#This Row],[TIPOSALDO]]="D"),Base_Periodo1[[#This Row],[SALDO_ATUAL]]*-1,Base_Periodo1[[#This Row],[SALDO_ATUAL]]),4)</f>
        <v>83.07</v>
      </c>
      <c r="N4737" t="s">
        <v>116</v>
      </c>
      <c r="O4737" t="s">
        <v>459</v>
      </c>
      <c r="P4737" t="s">
        <v>459</v>
      </c>
      <c r="Q4737">
        <v>6</v>
      </c>
      <c r="R4737" s="225">
        <f>Base_Periodo1[[#This Row],[CREDITOS]]-Base_Periodo1[[#This Row],[DEBITOS]]</f>
        <v>0</v>
      </c>
      <c r="S4737" s="3" t="str">
        <f>IF(ISERROR(VLOOKUP(Base_Periodo1[[#This Row],[CONTA]],BaseContasDRE[#All],4,FALSE)),"Fora do DRE",VLOOKUP(Base_Periodo1[[#This Row],[CONTA]],BaseContasDRE[#All],4,FALSE))</f>
        <v>Fora do DRE</v>
      </c>
      <c r="T4737" s="3" t="str">
        <f>IF(ISERROR(VLOOKUP(Base_Periodo1[[#This Row],[CONTA]],BaseContasDRE[#All],5,FALSE)),"Fora do DRE",VLOOKUP(Base_Periodo1[[#This Row],[CONTA]],BaseContasDRE[#All],6,FALSE))</f>
        <v>Fora do DRE</v>
      </c>
      <c r="U4737" s="3" t="str">
        <f>IF(ISERROR(VLOOKUP(Base_Periodo1[[#This Row],[CONTA]],BaseContasDRE[#All],7,FALSE)),"Fora do DRE",VLOOKUP(Base_Periodo1[[#This Row],[CONTA]],BaseContasDRE[#All],7,FALSE))</f>
        <v>Fora do DRE</v>
      </c>
      <c r="V4737" s="3" t="str">
        <f>IF(Base_Periodo1[[#This Row],[Tipo_Linha]]="Fora do DRE","Fora do DRE","( "&amp;Base_Periodo1[[#This Row],[Tipo_Linha]]&amp;" ) "&amp;Base_Periodo1[[#This Row],[Filtro]])</f>
        <v>Fora do DRE</v>
      </c>
      <c r="W4737" s="3" t="str">
        <f>LEFT(Base_Periodo1[[#This Row],[CLASS]],3)</f>
        <v>2.4</v>
      </c>
    </row>
    <row r="4738" spans="1:23" hidden="1">
      <c r="A4738" s="3" t="str">
        <f t="shared" si="73"/>
        <v>Período 1</v>
      </c>
      <c r="B4738">
        <v>32783</v>
      </c>
      <c r="C4738" t="s">
        <v>2300</v>
      </c>
      <c r="D4738" t="s">
        <v>2675</v>
      </c>
      <c r="E4738" s="3" t="str">
        <f>IF(LEN(Base_Periodo1[[#This Row],[CLASS]])&gt;=7,LEFT(Base_Periodo1[[#This Row],[CLASS]],7),"")</f>
        <v>2.4.1.1</v>
      </c>
      <c r="F4738" s="3" t="str">
        <f>VLOOKUP(Base_Periodo1[[#This Row],[Aux]],Base_Contas_Balanco[#All],2,FALSE)</f>
        <v>Capital Social Realizado</v>
      </c>
      <c r="G4738" s="1"/>
      <c r="H4738" s="225">
        <v>76.930000000000007</v>
      </c>
      <c r="I4738" s="225">
        <v>0</v>
      </c>
      <c r="J4738" s="225">
        <v>0</v>
      </c>
      <c r="K4738" s="225">
        <v>76.930000000000007</v>
      </c>
      <c r="L47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76.930000000000007</v>
      </c>
      <c r="M4738" s="225">
        <f>ROUND(IF(AND(Base_Periodo1[[#This Row],[Tipo_Linha]]="-",Base_Periodo1[[#This Row],[TIPOSALDO]]="D"),Base_Periodo1[[#This Row],[SALDO_ATUAL]]*-1,Base_Periodo1[[#This Row],[SALDO_ATUAL]]),4)</f>
        <v>76.930000000000007</v>
      </c>
      <c r="N4738" t="s">
        <v>116</v>
      </c>
      <c r="O4738" t="s">
        <v>459</v>
      </c>
      <c r="P4738" t="s">
        <v>459</v>
      </c>
      <c r="Q4738">
        <v>6</v>
      </c>
      <c r="R4738" s="225">
        <f>Base_Periodo1[[#This Row],[CREDITOS]]-Base_Periodo1[[#This Row],[DEBITOS]]</f>
        <v>0</v>
      </c>
      <c r="S4738" s="3" t="str">
        <f>IF(ISERROR(VLOOKUP(Base_Periodo1[[#This Row],[CONTA]],BaseContasDRE[#All],4,FALSE)),"Fora do DRE",VLOOKUP(Base_Periodo1[[#This Row],[CONTA]],BaseContasDRE[#All],4,FALSE))</f>
        <v>Fora do DRE</v>
      </c>
      <c r="T4738" s="3" t="str">
        <f>IF(ISERROR(VLOOKUP(Base_Periodo1[[#This Row],[CONTA]],BaseContasDRE[#All],5,FALSE)),"Fora do DRE",VLOOKUP(Base_Periodo1[[#This Row],[CONTA]],BaseContasDRE[#All],6,FALSE))</f>
        <v>Fora do DRE</v>
      </c>
      <c r="U4738" s="3" t="str">
        <f>IF(ISERROR(VLOOKUP(Base_Periodo1[[#This Row],[CONTA]],BaseContasDRE[#All],7,FALSE)),"Fora do DRE",VLOOKUP(Base_Periodo1[[#This Row],[CONTA]],BaseContasDRE[#All],7,FALSE))</f>
        <v>Fora do DRE</v>
      </c>
      <c r="V4738" s="3" t="str">
        <f>IF(Base_Periodo1[[#This Row],[Tipo_Linha]]="Fora do DRE","Fora do DRE","( "&amp;Base_Periodo1[[#This Row],[Tipo_Linha]]&amp;" ) "&amp;Base_Periodo1[[#This Row],[Filtro]])</f>
        <v>Fora do DRE</v>
      </c>
      <c r="W4738" s="3" t="str">
        <f>LEFT(Base_Periodo1[[#This Row],[CLASS]],3)</f>
        <v>2.4</v>
      </c>
    </row>
    <row r="4739" spans="1:23" hidden="1">
      <c r="A4739" s="3" t="str">
        <f t="shared" si="73"/>
        <v>Período 1</v>
      </c>
      <c r="B4739">
        <v>28294</v>
      </c>
      <c r="C4739" t="s">
        <v>2300</v>
      </c>
      <c r="D4739" t="s">
        <v>2676</v>
      </c>
      <c r="E4739" s="3" t="str">
        <f>IF(LEN(Base_Periodo1[[#This Row],[CLASS]])&gt;=7,LEFT(Base_Periodo1[[#This Row],[CLASS]],7),"")</f>
        <v>2.4.1.1</v>
      </c>
      <c r="F4739" s="3" t="str">
        <f>VLOOKUP(Base_Periodo1[[#This Row],[Aux]],Base_Contas_Balanco[#All],2,FALSE)</f>
        <v>Capital Social Realizado</v>
      </c>
      <c r="G4739" s="1"/>
      <c r="H4739" s="225">
        <v>583.1</v>
      </c>
      <c r="I4739" s="225">
        <v>0</v>
      </c>
      <c r="J4739" s="225">
        <v>0</v>
      </c>
      <c r="K4739" s="225">
        <v>583.1</v>
      </c>
      <c r="L47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583.1</v>
      </c>
      <c r="M4739" s="225">
        <f>ROUND(IF(AND(Base_Periodo1[[#This Row],[Tipo_Linha]]="-",Base_Periodo1[[#This Row],[TIPOSALDO]]="D"),Base_Periodo1[[#This Row],[SALDO_ATUAL]]*-1,Base_Periodo1[[#This Row],[SALDO_ATUAL]]),4)</f>
        <v>583.1</v>
      </c>
      <c r="N4739" t="s">
        <v>116</v>
      </c>
      <c r="O4739" t="s">
        <v>459</v>
      </c>
      <c r="P4739" t="s">
        <v>459</v>
      </c>
      <c r="Q4739">
        <v>6</v>
      </c>
      <c r="R4739" s="225">
        <f>Base_Periodo1[[#This Row],[CREDITOS]]-Base_Periodo1[[#This Row],[DEBITOS]]</f>
        <v>0</v>
      </c>
      <c r="S4739" s="3" t="str">
        <f>IF(ISERROR(VLOOKUP(Base_Periodo1[[#This Row],[CONTA]],BaseContasDRE[#All],4,FALSE)),"Fora do DRE",VLOOKUP(Base_Periodo1[[#This Row],[CONTA]],BaseContasDRE[#All],4,FALSE))</f>
        <v>Fora do DRE</v>
      </c>
      <c r="T4739" s="3" t="str">
        <f>IF(ISERROR(VLOOKUP(Base_Periodo1[[#This Row],[CONTA]],BaseContasDRE[#All],5,FALSE)),"Fora do DRE",VLOOKUP(Base_Periodo1[[#This Row],[CONTA]],BaseContasDRE[#All],6,FALSE))</f>
        <v>Fora do DRE</v>
      </c>
      <c r="U4739" s="3" t="str">
        <f>IF(ISERROR(VLOOKUP(Base_Periodo1[[#This Row],[CONTA]],BaseContasDRE[#All],7,FALSE)),"Fora do DRE",VLOOKUP(Base_Periodo1[[#This Row],[CONTA]],BaseContasDRE[#All],7,FALSE))</f>
        <v>Fora do DRE</v>
      </c>
      <c r="V4739" s="3" t="str">
        <f>IF(Base_Periodo1[[#This Row],[Tipo_Linha]]="Fora do DRE","Fora do DRE","( "&amp;Base_Periodo1[[#This Row],[Tipo_Linha]]&amp;" ) "&amp;Base_Periodo1[[#This Row],[Filtro]])</f>
        <v>Fora do DRE</v>
      </c>
      <c r="W4739" s="3" t="str">
        <f>LEFT(Base_Periodo1[[#This Row],[CLASS]],3)</f>
        <v>2.4</v>
      </c>
    </row>
    <row r="4740" spans="1:23" hidden="1">
      <c r="A4740" s="3" t="str">
        <f t="shared" si="73"/>
        <v>Período 1</v>
      </c>
      <c r="B4740">
        <v>16231</v>
      </c>
      <c r="C4740" t="s">
        <v>2300</v>
      </c>
      <c r="D4740" t="s">
        <v>2677</v>
      </c>
      <c r="E4740" s="3" t="str">
        <f>IF(LEN(Base_Periodo1[[#This Row],[CLASS]])&gt;=7,LEFT(Base_Periodo1[[#This Row],[CLASS]],7),"")</f>
        <v>2.4.1.1</v>
      </c>
      <c r="F4740" s="3" t="str">
        <f>VLOOKUP(Base_Periodo1[[#This Row],[Aux]],Base_Contas_Balanco[#All],2,FALSE)</f>
        <v>Capital Social Realizado</v>
      </c>
      <c r="G4740" s="1"/>
      <c r="H4740" s="225">
        <v>570.05000000000007</v>
      </c>
      <c r="I4740" s="225">
        <v>0</v>
      </c>
      <c r="J4740" s="225">
        <v>0</v>
      </c>
      <c r="K4740" s="225">
        <v>570.05000000000007</v>
      </c>
      <c r="L47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570.04999999999995</v>
      </c>
      <c r="M4740" s="225">
        <f>ROUND(IF(AND(Base_Periodo1[[#This Row],[Tipo_Linha]]="-",Base_Periodo1[[#This Row],[TIPOSALDO]]="D"),Base_Periodo1[[#This Row],[SALDO_ATUAL]]*-1,Base_Periodo1[[#This Row],[SALDO_ATUAL]]),4)</f>
        <v>570.04999999999995</v>
      </c>
      <c r="N4740" t="s">
        <v>116</v>
      </c>
      <c r="O4740" t="s">
        <v>459</v>
      </c>
      <c r="P4740" t="s">
        <v>459</v>
      </c>
      <c r="Q4740">
        <v>6</v>
      </c>
      <c r="R4740" s="225">
        <f>Base_Periodo1[[#This Row],[CREDITOS]]-Base_Periodo1[[#This Row],[DEBITOS]]</f>
        <v>0</v>
      </c>
      <c r="S4740" s="3" t="str">
        <f>IF(ISERROR(VLOOKUP(Base_Periodo1[[#This Row],[CONTA]],BaseContasDRE[#All],4,FALSE)),"Fora do DRE",VLOOKUP(Base_Periodo1[[#This Row],[CONTA]],BaseContasDRE[#All],4,FALSE))</f>
        <v>Fora do DRE</v>
      </c>
      <c r="T4740" s="3" t="str">
        <f>IF(ISERROR(VLOOKUP(Base_Periodo1[[#This Row],[CONTA]],BaseContasDRE[#All],5,FALSE)),"Fora do DRE",VLOOKUP(Base_Periodo1[[#This Row],[CONTA]],BaseContasDRE[#All],6,FALSE))</f>
        <v>Fora do DRE</v>
      </c>
      <c r="U4740" s="3" t="str">
        <f>IF(ISERROR(VLOOKUP(Base_Periodo1[[#This Row],[CONTA]],BaseContasDRE[#All],7,FALSE)),"Fora do DRE",VLOOKUP(Base_Periodo1[[#This Row],[CONTA]],BaseContasDRE[#All],7,FALSE))</f>
        <v>Fora do DRE</v>
      </c>
      <c r="V4740" s="3" t="str">
        <f>IF(Base_Periodo1[[#This Row],[Tipo_Linha]]="Fora do DRE","Fora do DRE","( "&amp;Base_Periodo1[[#This Row],[Tipo_Linha]]&amp;" ) "&amp;Base_Periodo1[[#This Row],[Filtro]])</f>
        <v>Fora do DRE</v>
      </c>
      <c r="W4740" s="3" t="str">
        <f>LEFT(Base_Periodo1[[#This Row],[CLASS]],3)</f>
        <v>2.4</v>
      </c>
    </row>
    <row r="4741" spans="1:23" hidden="1">
      <c r="A4741" s="3" t="str">
        <f t="shared" si="73"/>
        <v>Período 1</v>
      </c>
      <c r="B4741">
        <v>19406</v>
      </c>
      <c r="C4741" t="s">
        <v>2300</v>
      </c>
      <c r="D4741" t="s">
        <v>2678</v>
      </c>
      <c r="E4741" s="3" t="str">
        <f>IF(LEN(Base_Periodo1[[#This Row],[CLASS]])&gt;=7,LEFT(Base_Periodo1[[#This Row],[CLASS]],7),"")</f>
        <v>2.4.1.1</v>
      </c>
      <c r="F4741" s="3" t="str">
        <f>VLOOKUP(Base_Periodo1[[#This Row],[Aux]],Base_Contas_Balanco[#All],2,FALSE)</f>
        <v>Capital Social Realizado</v>
      </c>
      <c r="G4741" s="1"/>
      <c r="H4741" s="225">
        <v>124.44</v>
      </c>
      <c r="I4741" s="225">
        <v>0</v>
      </c>
      <c r="J4741" s="225">
        <v>0</v>
      </c>
      <c r="K4741" s="225">
        <v>124.44</v>
      </c>
      <c r="L47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124.44</v>
      </c>
      <c r="M4741" s="225">
        <f>ROUND(IF(AND(Base_Periodo1[[#This Row],[Tipo_Linha]]="-",Base_Periodo1[[#This Row],[TIPOSALDO]]="D"),Base_Periodo1[[#This Row],[SALDO_ATUAL]]*-1,Base_Periodo1[[#This Row],[SALDO_ATUAL]]),4)</f>
        <v>124.44</v>
      </c>
      <c r="N4741" t="s">
        <v>116</v>
      </c>
      <c r="O4741" t="s">
        <v>459</v>
      </c>
      <c r="P4741" t="s">
        <v>459</v>
      </c>
      <c r="Q4741">
        <v>6</v>
      </c>
      <c r="R4741" s="225">
        <f>Base_Periodo1[[#This Row],[CREDITOS]]-Base_Periodo1[[#This Row],[DEBITOS]]</f>
        <v>0</v>
      </c>
      <c r="S4741" s="3" t="str">
        <f>IF(ISERROR(VLOOKUP(Base_Periodo1[[#This Row],[CONTA]],BaseContasDRE[#All],4,FALSE)),"Fora do DRE",VLOOKUP(Base_Periodo1[[#This Row],[CONTA]],BaseContasDRE[#All],4,FALSE))</f>
        <v>Fora do DRE</v>
      </c>
      <c r="T4741" s="3" t="str">
        <f>IF(ISERROR(VLOOKUP(Base_Periodo1[[#This Row],[CONTA]],BaseContasDRE[#All],5,FALSE)),"Fora do DRE",VLOOKUP(Base_Periodo1[[#This Row],[CONTA]],BaseContasDRE[#All],6,FALSE))</f>
        <v>Fora do DRE</v>
      </c>
      <c r="U4741" s="3" t="str">
        <f>IF(ISERROR(VLOOKUP(Base_Periodo1[[#This Row],[CONTA]],BaseContasDRE[#All],7,FALSE)),"Fora do DRE",VLOOKUP(Base_Periodo1[[#This Row],[CONTA]],BaseContasDRE[#All],7,FALSE))</f>
        <v>Fora do DRE</v>
      </c>
      <c r="V4741" s="3" t="str">
        <f>IF(Base_Periodo1[[#This Row],[Tipo_Linha]]="Fora do DRE","Fora do DRE","( "&amp;Base_Periodo1[[#This Row],[Tipo_Linha]]&amp;" ) "&amp;Base_Periodo1[[#This Row],[Filtro]])</f>
        <v>Fora do DRE</v>
      </c>
      <c r="W4741" s="3" t="str">
        <f>LEFT(Base_Periodo1[[#This Row],[CLASS]],3)</f>
        <v>2.4</v>
      </c>
    </row>
    <row r="4742" spans="1:23" hidden="1">
      <c r="A4742" s="3" t="str">
        <f t="shared" ref="A4742:A4805" si="74">"Período 1"</f>
        <v>Período 1</v>
      </c>
      <c r="B4742">
        <v>47499</v>
      </c>
      <c r="C4742" t="s">
        <v>2300</v>
      </c>
      <c r="D4742" t="s">
        <v>2679</v>
      </c>
      <c r="E4742" s="3" t="str">
        <f>IF(LEN(Base_Periodo1[[#This Row],[CLASS]])&gt;=7,LEFT(Base_Periodo1[[#This Row],[CLASS]],7),"")</f>
        <v>2.4.1.1</v>
      </c>
      <c r="F4742" s="3" t="str">
        <f>VLOOKUP(Base_Periodo1[[#This Row],[Aux]],Base_Contas_Balanco[#All],2,FALSE)</f>
        <v>Capital Social Realizado</v>
      </c>
      <c r="G4742" s="1"/>
      <c r="H4742" s="225">
        <v>55.26</v>
      </c>
      <c r="I4742" s="225">
        <v>0</v>
      </c>
      <c r="J4742" s="225">
        <v>0</v>
      </c>
      <c r="K4742" s="225">
        <v>55.26</v>
      </c>
      <c r="L47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55.26</v>
      </c>
      <c r="M4742" s="225">
        <f>ROUND(IF(AND(Base_Periodo1[[#This Row],[Tipo_Linha]]="-",Base_Periodo1[[#This Row],[TIPOSALDO]]="D"),Base_Periodo1[[#This Row],[SALDO_ATUAL]]*-1,Base_Periodo1[[#This Row],[SALDO_ATUAL]]),4)</f>
        <v>55.26</v>
      </c>
      <c r="N4742" t="s">
        <v>116</v>
      </c>
      <c r="O4742" t="s">
        <v>459</v>
      </c>
      <c r="P4742" t="s">
        <v>459</v>
      </c>
      <c r="Q4742">
        <v>6</v>
      </c>
      <c r="R4742" s="225">
        <f>Base_Periodo1[[#This Row],[CREDITOS]]-Base_Periodo1[[#This Row],[DEBITOS]]</f>
        <v>0</v>
      </c>
      <c r="S4742" s="3" t="str">
        <f>IF(ISERROR(VLOOKUP(Base_Periodo1[[#This Row],[CONTA]],BaseContasDRE[#All],4,FALSE)),"Fora do DRE",VLOOKUP(Base_Periodo1[[#This Row],[CONTA]],BaseContasDRE[#All],4,FALSE))</f>
        <v>Fora do DRE</v>
      </c>
      <c r="T4742" s="3" t="str">
        <f>IF(ISERROR(VLOOKUP(Base_Periodo1[[#This Row],[CONTA]],BaseContasDRE[#All],5,FALSE)),"Fora do DRE",VLOOKUP(Base_Periodo1[[#This Row],[CONTA]],BaseContasDRE[#All],6,FALSE))</f>
        <v>Fora do DRE</v>
      </c>
      <c r="U4742" s="3" t="str">
        <f>IF(ISERROR(VLOOKUP(Base_Periodo1[[#This Row],[CONTA]],BaseContasDRE[#All],7,FALSE)),"Fora do DRE",VLOOKUP(Base_Periodo1[[#This Row],[CONTA]],BaseContasDRE[#All],7,FALSE))</f>
        <v>Fora do DRE</v>
      </c>
      <c r="V4742" s="3" t="str">
        <f>IF(Base_Periodo1[[#This Row],[Tipo_Linha]]="Fora do DRE","Fora do DRE","( "&amp;Base_Periodo1[[#This Row],[Tipo_Linha]]&amp;" ) "&amp;Base_Periodo1[[#This Row],[Filtro]])</f>
        <v>Fora do DRE</v>
      </c>
      <c r="W4742" s="3" t="str">
        <f>LEFT(Base_Periodo1[[#This Row],[CLASS]],3)</f>
        <v>2.4</v>
      </c>
    </row>
    <row r="4743" spans="1:23" hidden="1">
      <c r="A4743" s="3" t="str">
        <f t="shared" si="74"/>
        <v>Período 1</v>
      </c>
      <c r="B4743">
        <v>40569</v>
      </c>
      <c r="C4743" t="s">
        <v>2300</v>
      </c>
      <c r="D4743" t="s">
        <v>2680</v>
      </c>
      <c r="E4743" s="3" t="str">
        <f>IF(LEN(Base_Periodo1[[#This Row],[CLASS]])&gt;=7,LEFT(Base_Periodo1[[#This Row],[CLASS]],7),"")</f>
        <v>2.4.1.1</v>
      </c>
      <c r="F4743" s="3" t="str">
        <f>VLOOKUP(Base_Periodo1[[#This Row],[Aux]],Base_Contas_Balanco[#All],2,FALSE)</f>
        <v>Capital Social Realizado</v>
      </c>
      <c r="G4743" s="1"/>
      <c r="H4743" s="225">
        <v>101.59</v>
      </c>
      <c r="I4743" s="225">
        <v>0</v>
      </c>
      <c r="J4743" s="225">
        <v>0</v>
      </c>
      <c r="K4743" s="225">
        <v>101.59</v>
      </c>
      <c r="L47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101.59</v>
      </c>
      <c r="M4743" s="225">
        <f>ROUND(IF(AND(Base_Periodo1[[#This Row],[Tipo_Linha]]="-",Base_Periodo1[[#This Row],[TIPOSALDO]]="D"),Base_Periodo1[[#This Row],[SALDO_ATUAL]]*-1,Base_Periodo1[[#This Row],[SALDO_ATUAL]]),4)</f>
        <v>101.59</v>
      </c>
      <c r="N4743" t="s">
        <v>116</v>
      </c>
      <c r="O4743" t="s">
        <v>459</v>
      </c>
      <c r="P4743" t="s">
        <v>459</v>
      </c>
      <c r="Q4743">
        <v>6</v>
      </c>
      <c r="R4743" s="225">
        <f>Base_Periodo1[[#This Row],[CREDITOS]]-Base_Periodo1[[#This Row],[DEBITOS]]</f>
        <v>0</v>
      </c>
      <c r="S4743" s="3" t="str">
        <f>IF(ISERROR(VLOOKUP(Base_Periodo1[[#This Row],[CONTA]],BaseContasDRE[#All],4,FALSE)),"Fora do DRE",VLOOKUP(Base_Periodo1[[#This Row],[CONTA]],BaseContasDRE[#All],4,FALSE))</f>
        <v>Fora do DRE</v>
      </c>
      <c r="T4743" s="3" t="str">
        <f>IF(ISERROR(VLOOKUP(Base_Periodo1[[#This Row],[CONTA]],BaseContasDRE[#All],5,FALSE)),"Fora do DRE",VLOOKUP(Base_Periodo1[[#This Row],[CONTA]],BaseContasDRE[#All],6,FALSE))</f>
        <v>Fora do DRE</v>
      </c>
      <c r="U4743" s="3" t="str">
        <f>IF(ISERROR(VLOOKUP(Base_Periodo1[[#This Row],[CONTA]],BaseContasDRE[#All],7,FALSE)),"Fora do DRE",VLOOKUP(Base_Periodo1[[#This Row],[CONTA]],BaseContasDRE[#All],7,FALSE))</f>
        <v>Fora do DRE</v>
      </c>
      <c r="V4743" s="3" t="str">
        <f>IF(Base_Periodo1[[#This Row],[Tipo_Linha]]="Fora do DRE","Fora do DRE","( "&amp;Base_Periodo1[[#This Row],[Tipo_Linha]]&amp;" ) "&amp;Base_Periodo1[[#This Row],[Filtro]])</f>
        <v>Fora do DRE</v>
      </c>
      <c r="W4743" s="3" t="str">
        <f>LEFT(Base_Periodo1[[#This Row],[CLASS]],3)</f>
        <v>2.4</v>
      </c>
    </row>
    <row r="4744" spans="1:23" hidden="1">
      <c r="A4744" s="3" t="str">
        <f t="shared" si="74"/>
        <v>Período 1</v>
      </c>
      <c r="B4744">
        <v>19758</v>
      </c>
      <c r="C4744" t="s">
        <v>2300</v>
      </c>
      <c r="D4744" t="s">
        <v>2681</v>
      </c>
      <c r="E4744" s="3" t="str">
        <f>IF(LEN(Base_Periodo1[[#This Row],[CLASS]])&gt;=7,LEFT(Base_Periodo1[[#This Row],[CLASS]],7),"")</f>
        <v>2.4.1.1</v>
      </c>
      <c r="F4744" s="3" t="str">
        <f>VLOOKUP(Base_Periodo1[[#This Row],[Aux]],Base_Contas_Balanco[#All],2,FALSE)</f>
        <v>Capital Social Realizado</v>
      </c>
      <c r="G4744" s="1"/>
      <c r="H4744" s="225">
        <v>78.44</v>
      </c>
      <c r="I4744" s="225">
        <v>0</v>
      </c>
      <c r="J4744" s="225">
        <v>0</v>
      </c>
      <c r="K4744" s="225">
        <v>78.44</v>
      </c>
      <c r="L47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78.44</v>
      </c>
      <c r="M4744" s="225">
        <f>ROUND(IF(AND(Base_Periodo1[[#This Row],[Tipo_Linha]]="-",Base_Periodo1[[#This Row],[TIPOSALDO]]="D"),Base_Periodo1[[#This Row],[SALDO_ATUAL]]*-1,Base_Periodo1[[#This Row],[SALDO_ATUAL]]),4)</f>
        <v>78.44</v>
      </c>
      <c r="N4744" t="s">
        <v>116</v>
      </c>
      <c r="O4744" t="s">
        <v>459</v>
      </c>
      <c r="P4744" t="s">
        <v>459</v>
      </c>
      <c r="Q4744">
        <v>6</v>
      </c>
      <c r="R4744" s="225">
        <f>Base_Periodo1[[#This Row],[CREDITOS]]-Base_Periodo1[[#This Row],[DEBITOS]]</f>
        <v>0</v>
      </c>
      <c r="S4744" s="3" t="str">
        <f>IF(ISERROR(VLOOKUP(Base_Periodo1[[#This Row],[CONTA]],BaseContasDRE[#All],4,FALSE)),"Fora do DRE",VLOOKUP(Base_Periodo1[[#This Row],[CONTA]],BaseContasDRE[#All],4,FALSE))</f>
        <v>Fora do DRE</v>
      </c>
      <c r="T4744" s="3" t="str">
        <f>IF(ISERROR(VLOOKUP(Base_Periodo1[[#This Row],[CONTA]],BaseContasDRE[#All],5,FALSE)),"Fora do DRE",VLOOKUP(Base_Periodo1[[#This Row],[CONTA]],BaseContasDRE[#All],6,FALSE))</f>
        <v>Fora do DRE</v>
      </c>
      <c r="U4744" s="3" t="str">
        <f>IF(ISERROR(VLOOKUP(Base_Periodo1[[#This Row],[CONTA]],BaseContasDRE[#All],7,FALSE)),"Fora do DRE",VLOOKUP(Base_Periodo1[[#This Row],[CONTA]],BaseContasDRE[#All],7,FALSE))</f>
        <v>Fora do DRE</v>
      </c>
      <c r="V4744" s="3" t="str">
        <f>IF(Base_Periodo1[[#This Row],[Tipo_Linha]]="Fora do DRE","Fora do DRE","( "&amp;Base_Periodo1[[#This Row],[Tipo_Linha]]&amp;" ) "&amp;Base_Periodo1[[#This Row],[Filtro]])</f>
        <v>Fora do DRE</v>
      </c>
      <c r="W4744" s="3" t="str">
        <f>LEFT(Base_Periodo1[[#This Row],[CLASS]],3)</f>
        <v>2.4</v>
      </c>
    </row>
    <row r="4745" spans="1:23" hidden="1">
      <c r="A4745" s="3" t="str">
        <f t="shared" si="74"/>
        <v>Período 1</v>
      </c>
      <c r="B4745">
        <v>49228</v>
      </c>
      <c r="C4745" t="s">
        <v>2300</v>
      </c>
      <c r="D4745" t="s">
        <v>4308</v>
      </c>
      <c r="E4745" s="3" t="str">
        <f>IF(LEN(Base_Periodo1[[#This Row],[CLASS]])&gt;=7,LEFT(Base_Periodo1[[#This Row],[CLASS]],7),"")</f>
        <v>2.4.1.1</v>
      </c>
      <c r="F4745" s="3" t="str">
        <f>VLOOKUP(Base_Periodo1[[#This Row],[Aux]],Base_Contas_Balanco[#All],2,FALSE)</f>
        <v>Capital Social Realizado</v>
      </c>
      <c r="G4745" s="1"/>
      <c r="H4745" s="225">
        <v>162.12</v>
      </c>
      <c r="I4745" s="225">
        <v>0</v>
      </c>
      <c r="J4745" s="225">
        <v>0</v>
      </c>
      <c r="K4745" s="225">
        <v>162.12</v>
      </c>
      <c r="L47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162.12</v>
      </c>
      <c r="M4745" s="225">
        <f>ROUND(IF(AND(Base_Periodo1[[#This Row],[Tipo_Linha]]="-",Base_Periodo1[[#This Row],[TIPOSALDO]]="D"),Base_Periodo1[[#This Row],[SALDO_ATUAL]]*-1,Base_Periodo1[[#This Row],[SALDO_ATUAL]]),4)</f>
        <v>162.12</v>
      </c>
      <c r="N4745" t="s">
        <v>116</v>
      </c>
      <c r="O4745" t="s">
        <v>459</v>
      </c>
      <c r="P4745" t="s">
        <v>459</v>
      </c>
      <c r="Q4745">
        <v>6</v>
      </c>
      <c r="R4745" s="225">
        <f>Base_Periodo1[[#This Row],[CREDITOS]]-Base_Periodo1[[#This Row],[DEBITOS]]</f>
        <v>0</v>
      </c>
      <c r="S4745" s="3" t="str">
        <f>IF(ISERROR(VLOOKUP(Base_Periodo1[[#This Row],[CONTA]],BaseContasDRE[#All],4,FALSE)),"Fora do DRE",VLOOKUP(Base_Periodo1[[#This Row],[CONTA]],BaseContasDRE[#All],4,FALSE))</f>
        <v>Fora do DRE</v>
      </c>
      <c r="T4745" s="3" t="str">
        <f>IF(ISERROR(VLOOKUP(Base_Periodo1[[#This Row],[CONTA]],BaseContasDRE[#All],5,FALSE)),"Fora do DRE",VLOOKUP(Base_Periodo1[[#This Row],[CONTA]],BaseContasDRE[#All],6,FALSE))</f>
        <v>Fora do DRE</v>
      </c>
      <c r="U4745" s="3" t="str">
        <f>IF(ISERROR(VLOOKUP(Base_Periodo1[[#This Row],[CONTA]],BaseContasDRE[#All],7,FALSE)),"Fora do DRE",VLOOKUP(Base_Periodo1[[#This Row],[CONTA]],BaseContasDRE[#All],7,FALSE))</f>
        <v>Fora do DRE</v>
      </c>
      <c r="V4745" s="3" t="str">
        <f>IF(Base_Periodo1[[#This Row],[Tipo_Linha]]="Fora do DRE","Fora do DRE","( "&amp;Base_Periodo1[[#This Row],[Tipo_Linha]]&amp;" ) "&amp;Base_Periodo1[[#This Row],[Filtro]])</f>
        <v>Fora do DRE</v>
      </c>
      <c r="W4745" s="3" t="str">
        <f>LEFT(Base_Periodo1[[#This Row],[CLASS]],3)</f>
        <v>2.4</v>
      </c>
    </row>
    <row r="4746" spans="1:23" hidden="1">
      <c r="A4746" s="3" t="str">
        <f t="shared" si="74"/>
        <v>Período 1</v>
      </c>
      <c r="B4746">
        <v>16493</v>
      </c>
      <c r="C4746" t="s">
        <v>2300</v>
      </c>
      <c r="D4746" t="s">
        <v>2682</v>
      </c>
      <c r="E4746" s="3" t="str">
        <f>IF(LEN(Base_Periodo1[[#This Row],[CLASS]])&gt;=7,LEFT(Base_Periodo1[[#This Row],[CLASS]],7),"")</f>
        <v>2.4.1.1</v>
      </c>
      <c r="F4746" s="3" t="str">
        <f>VLOOKUP(Base_Periodo1[[#This Row],[Aux]],Base_Contas_Balanco[#All],2,FALSE)</f>
        <v>Capital Social Realizado</v>
      </c>
      <c r="G4746" s="1"/>
      <c r="H4746" s="225">
        <v>1.75</v>
      </c>
      <c r="I4746" s="225">
        <v>0</v>
      </c>
      <c r="J4746" s="225">
        <v>0</v>
      </c>
      <c r="K4746" s="225">
        <v>1.75</v>
      </c>
      <c r="L47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1.75</v>
      </c>
      <c r="M4746" s="225">
        <f>ROUND(IF(AND(Base_Periodo1[[#This Row],[Tipo_Linha]]="-",Base_Periodo1[[#This Row],[TIPOSALDO]]="D"),Base_Periodo1[[#This Row],[SALDO_ATUAL]]*-1,Base_Periodo1[[#This Row],[SALDO_ATUAL]]),4)</f>
        <v>1.75</v>
      </c>
      <c r="N4746" t="s">
        <v>116</v>
      </c>
      <c r="O4746" t="s">
        <v>459</v>
      </c>
      <c r="P4746" t="s">
        <v>459</v>
      </c>
      <c r="Q4746">
        <v>6</v>
      </c>
      <c r="R4746" s="225">
        <f>Base_Periodo1[[#This Row],[CREDITOS]]-Base_Periodo1[[#This Row],[DEBITOS]]</f>
        <v>0</v>
      </c>
      <c r="S4746" s="3" t="str">
        <f>IF(ISERROR(VLOOKUP(Base_Periodo1[[#This Row],[CONTA]],BaseContasDRE[#All],4,FALSE)),"Fora do DRE",VLOOKUP(Base_Periodo1[[#This Row],[CONTA]],BaseContasDRE[#All],4,FALSE))</f>
        <v>Fora do DRE</v>
      </c>
      <c r="T4746" s="3" t="str">
        <f>IF(ISERROR(VLOOKUP(Base_Periodo1[[#This Row],[CONTA]],BaseContasDRE[#All],5,FALSE)),"Fora do DRE",VLOOKUP(Base_Periodo1[[#This Row],[CONTA]],BaseContasDRE[#All],6,FALSE))</f>
        <v>Fora do DRE</v>
      </c>
      <c r="U4746" s="3" t="str">
        <f>IF(ISERROR(VLOOKUP(Base_Periodo1[[#This Row],[CONTA]],BaseContasDRE[#All],7,FALSE)),"Fora do DRE",VLOOKUP(Base_Periodo1[[#This Row],[CONTA]],BaseContasDRE[#All],7,FALSE))</f>
        <v>Fora do DRE</v>
      </c>
      <c r="V4746" s="3" t="str">
        <f>IF(Base_Periodo1[[#This Row],[Tipo_Linha]]="Fora do DRE","Fora do DRE","( "&amp;Base_Periodo1[[#This Row],[Tipo_Linha]]&amp;" ) "&amp;Base_Periodo1[[#This Row],[Filtro]])</f>
        <v>Fora do DRE</v>
      </c>
      <c r="W4746" s="3" t="str">
        <f>LEFT(Base_Periodo1[[#This Row],[CLASS]],3)</f>
        <v>2.4</v>
      </c>
    </row>
    <row r="4747" spans="1:23" hidden="1">
      <c r="A4747" s="3" t="str">
        <f t="shared" si="74"/>
        <v>Período 1</v>
      </c>
      <c r="B4747">
        <v>25507</v>
      </c>
      <c r="C4747" t="s">
        <v>2300</v>
      </c>
      <c r="D4747" t="s">
        <v>2683</v>
      </c>
      <c r="E4747" s="3" t="str">
        <f>IF(LEN(Base_Periodo1[[#This Row],[CLASS]])&gt;=7,LEFT(Base_Periodo1[[#This Row],[CLASS]],7),"")</f>
        <v>2.4.1.1</v>
      </c>
      <c r="F4747" s="3" t="str">
        <f>VLOOKUP(Base_Periodo1[[#This Row],[Aux]],Base_Contas_Balanco[#All],2,FALSE)</f>
        <v>Capital Social Realizado</v>
      </c>
      <c r="G4747" s="1"/>
      <c r="H4747" s="225">
        <v>52.39</v>
      </c>
      <c r="I4747" s="225">
        <v>0</v>
      </c>
      <c r="J4747" s="225">
        <v>0</v>
      </c>
      <c r="K4747" s="225">
        <v>52.39</v>
      </c>
      <c r="L47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52.39</v>
      </c>
      <c r="M4747" s="225">
        <f>ROUND(IF(AND(Base_Periodo1[[#This Row],[Tipo_Linha]]="-",Base_Periodo1[[#This Row],[TIPOSALDO]]="D"),Base_Periodo1[[#This Row],[SALDO_ATUAL]]*-1,Base_Periodo1[[#This Row],[SALDO_ATUAL]]),4)</f>
        <v>52.39</v>
      </c>
      <c r="N4747" t="s">
        <v>116</v>
      </c>
      <c r="O4747" t="s">
        <v>459</v>
      </c>
      <c r="P4747" t="s">
        <v>459</v>
      </c>
      <c r="Q4747">
        <v>6</v>
      </c>
      <c r="R4747" s="225">
        <f>Base_Periodo1[[#This Row],[CREDITOS]]-Base_Periodo1[[#This Row],[DEBITOS]]</f>
        <v>0</v>
      </c>
      <c r="S4747" s="3" t="str">
        <f>IF(ISERROR(VLOOKUP(Base_Periodo1[[#This Row],[CONTA]],BaseContasDRE[#All],4,FALSE)),"Fora do DRE",VLOOKUP(Base_Periodo1[[#This Row],[CONTA]],BaseContasDRE[#All],4,FALSE))</f>
        <v>Fora do DRE</v>
      </c>
      <c r="T4747" s="3" t="str">
        <f>IF(ISERROR(VLOOKUP(Base_Periodo1[[#This Row],[CONTA]],BaseContasDRE[#All],5,FALSE)),"Fora do DRE",VLOOKUP(Base_Periodo1[[#This Row],[CONTA]],BaseContasDRE[#All],6,FALSE))</f>
        <v>Fora do DRE</v>
      </c>
      <c r="U4747" s="3" t="str">
        <f>IF(ISERROR(VLOOKUP(Base_Periodo1[[#This Row],[CONTA]],BaseContasDRE[#All],7,FALSE)),"Fora do DRE",VLOOKUP(Base_Periodo1[[#This Row],[CONTA]],BaseContasDRE[#All],7,FALSE))</f>
        <v>Fora do DRE</v>
      </c>
      <c r="V4747" s="3" t="str">
        <f>IF(Base_Periodo1[[#This Row],[Tipo_Linha]]="Fora do DRE","Fora do DRE","( "&amp;Base_Periodo1[[#This Row],[Tipo_Linha]]&amp;" ) "&amp;Base_Periodo1[[#This Row],[Filtro]])</f>
        <v>Fora do DRE</v>
      </c>
      <c r="W4747" s="3" t="str">
        <f>LEFT(Base_Periodo1[[#This Row],[CLASS]],3)</f>
        <v>2.4</v>
      </c>
    </row>
    <row r="4748" spans="1:23" hidden="1">
      <c r="A4748" s="3" t="str">
        <f t="shared" si="74"/>
        <v>Período 1</v>
      </c>
      <c r="B4748">
        <v>39824</v>
      </c>
      <c r="C4748" t="s">
        <v>2300</v>
      </c>
      <c r="D4748" t="s">
        <v>2684</v>
      </c>
      <c r="E4748" s="3" t="str">
        <f>IF(LEN(Base_Periodo1[[#This Row],[CLASS]])&gt;=7,LEFT(Base_Periodo1[[#This Row],[CLASS]],7),"")</f>
        <v>2.4.1.1</v>
      </c>
      <c r="F4748" s="3" t="str">
        <f>VLOOKUP(Base_Periodo1[[#This Row],[Aux]],Base_Contas_Balanco[#All],2,FALSE)</f>
        <v>Capital Social Realizado</v>
      </c>
      <c r="G4748" s="1"/>
      <c r="H4748" s="225">
        <v>69.3</v>
      </c>
      <c r="I4748" s="225">
        <v>0</v>
      </c>
      <c r="J4748" s="225">
        <v>0</v>
      </c>
      <c r="K4748" s="225">
        <v>69.3</v>
      </c>
      <c r="L47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69.3</v>
      </c>
      <c r="M4748" s="225">
        <f>ROUND(IF(AND(Base_Periodo1[[#This Row],[Tipo_Linha]]="-",Base_Periodo1[[#This Row],[TIPOSALDO]]="D"),Base_Periodo1[[#This Row],[SALDO_ATUAL]]*-1,Base_Periodo1[[#This Row],[SALDO_ATUAL]]),4)</f>
        <v>69.3</v>
      </c>
      <c r="N4748" t="s">
        <v>116</v>
      </c>
      <c r="O4748" t="s">
        <v>459</v>
      </c>
      <c r="P4748" t="s">
        <v>459</v>
      </c>
      <c r="Q4748">
        <v>6</v>
      </c>
      <c r="R4748" s="225">
        <f>Base_Periodo1[[#This Row],[CREDITOS]]-Base_Periodo1[[#This Row],[DEBITOS]]</f>
        <v>0</v>
      </c>
      <c r="S4748" s="3" t="str">
        <f>IF(ISERROR(VLOOKUP(Base_Periodo1[[#This Row],[CONTA]],BaseContasDRE[#All],4,FALSE)),"Fora do DRE",VLOOKUP(Base_Periodo1[[#This Row],[CONTA]],BaseContasDRE[#All],4,FALSE))</f>
        <v>Fora do DRE</v>
      </c>
      <c r="T4748" s="3" t="str">
        <f>IF(ISERROR(VLOOKUP(Base_Periodo1[[#This Row],[CONTA]],BaseContasDRE[#All],5,FALSE)),"Fora do DRE",VLOOKUP(Base_Periodo1[[#This Row],[CONTA]],BaseContasDRE[#All],6,FALSE))</f>
        <v>Fora do DRE</v>
      </c>
      <c r="U4748" s="3" t="str">
        <f>IF(ISERROR(VLOOKUP(Base_Periodo1[[#This Row],[CONTA]],BaseContasDRE[#All],7,FALSE)),"Fora do DRE",VLOOKUP(Base_Periodo1[[#This Row],[CONTA]],BaseContasDRE[#All],7,FALSE))</f>
        <v>Fora do DRE</v>
      </c>
      <c r="V4748" s="3" t="str">
        <f>IF(Base_Periodo1[[#This Row],[Tipo_Linha]]="Fora do DRE","Fora do DRE","( "&amp;Base_Periodo1[[#This Row],[Tipo_Linha]]&amp;" ) "&amp;Base_Periodo1[[#This Row],[Filtro]])</f>
        <v>Fora do DRE</v>
      </c>
      <c r="W4748" s="3" t="str">
        <f>LEFT(Base_Periodo1[[#This Row],[CLASS]],3)</f>
        <v>2.4</v>
      </c>
    </row>
    <row r="4749" spans="1:23" hidden="1">
      <c r="A4749" s="3" t="str">
        <f t="shared" si="74"/>
        <v>Período 1</v>
      </c>
      <c r="B4749">
        <v>38818</v>
      </c>
      <c r="C4749" t="s">
        <v>2300</v>
      </c>
      <c r="D4749" t="s">
        <v>2685</v>
      </c>
      <c r="E4749" s="3" t="str">
        <f>IF(LEN(Base_Periodo1[[#This Row],[CLASS]])&gt;=7,LEFT(Base_Periodo1[[#This Row],[CLASS]],7),"")</f>
        <v>2.4.1.1</v>
      </c>
      <c r="F4749" s="3" t="str">
        <f>VLOOKUP(Base_Periodo1[[#This Row],[Aux]],Base_Contas_Balanco[#All],2,FALSE)</f>
        <v>Capital Social Realizado</v>
      </c>
      <c r="G4749" s="1"/>
      <c r="H4749" s="225">
        <v>167.89</v>
      </c>
      <c r="I4749" s="225">
        <v>0</v>
      </c>
      <c r="J4749" s="225">
        <v>0</v>
      </c>
      <c r="K4749" s="225">
        <v>167.89</v>
      </c>
      <c r="L47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167.89</v>
      </c>
      <c r="M4749" s="225">
        <f>ROUND(IF(AND(Base_Periodo1[[#This Row],[Tipo_Linha]]="-",Base_Periodo1[[#This Row],[TIPOSALDO]]="D"),Base_Periodo1[[#This Row],[SALDO_ATUAL]]*-1,Base_Periodo1[[#This Row],[SALDO_ATUAL]]),4)</f>
        <v>167.89</v>
      </c>
      <c r="N4749" t="s">
        <v>116</v>
      </c>
      <c r="O4749" t="s">
        <v>459</v>
      </c>
      <c r="P4749" t="s">
        <v>459</v>
      </c>
      <c r="Q4749">
        <v>6</v>
      </c>
      <c r="R4749" s="225">
        <f>Base_Periodo1[[#This Row],[CREDITOS]]-Base_Periodo1[[#This Row],[DEBITOS]]</f>
        <v>0</v>
      </c>
      <c r="S4749" s="3" t="str">
        <f>IF(ISERROR(VLOOKUP(Base_Periodo1[[#This Row],[CONTA]],BaseContasDRE[#All],4,FALSE)),"Fora do DRE",VLOOKUP(Base_Periodo1[[#This Row],[CONTA]],BaseContasDRE[#All],4,FALSE))</f>
        <v>Fora do DRE</v>
      </c>
      <c r="T4749" s="3" t="str">
        <f>IF(ISERROR(VLOOKUP(Base_Periodo1[[#This Row],[CONTA]],BaseContasDRE[#All],5,FALSE)),"Fora do DRE",VLOOKUP(Base_Periodo1[[#This Row],[CONTA]],BaseContasDRE[#All],6,FALSE))</f>
        <v>Fora do DRE</v>
      </c>
      <c r="U4749" s="3" t="str">
        <f>IF(ISERROR(VLOOKUP(Base_Periodo1[[#This Row],[CONTA]],BaseContasDRE[#All],7,FALSE)),"Fora do DRE",VLOOKUP(Base_Periodo1[[#This Row],[CONTA]],BaseContasDRE[#All],7,FALSE))</f>
        <v>Fora do DRE</v>
      </c>
      <c r="V4749" s="3" t="str">
        <f>IF(Base_Periodo1[[#This Row],[Tipo_Linha]]="Fora do DRE","Fora do DRE","( "&amp;Base_Periodo1[[#This Row],[Tipo_Linha]]&amp;" ) "&amp;Base_Periodo1[[#This Row],[Filtro]])</f>
        <v>Fora do DRE</v>
      </c>
      <c r="W4749" s="3" t="str">
        <f>LEFT(Base_Periodo1[[#This Row],[CLASS]],3)</f>
        <v>2.4</v>
      </c>
    </row>
    <row r="4750" spans="1:23" hidden="1">
      <c r="A4750" s="3" t="str">
        <f t="shared" si="74"/>
        <v>Período 1</v>
      </c>
      <c r="B4750">
        <v>48321</v>
      </c>
      <c r="C4750" t="s">
        <v>2300</v>
      </c>
      <c r="D4750" t="s">
        <v>2686</v>
      </c>
      <c r="E4750" s="3" t="str">
        <f>IF(LEN(Base_Periodo1[[#This Row],[CLASS]])&gt;=7,LEFT(Base_Periodo1[[#This Row],[CLASS]],7),"")</f>
        <v>2.4.1.1</v>
      </c>
      <c r="F4750" s="3" t="str">
        <f>VLOOKUP(Base_Periodo1[[#This Row],[Aux]],Base_Contas_Balanco[#All],2,FALSE)</f>
        <v>Capital Social Realizado</v>
      </c>
      <c r="G4750" s="1"/>
      <c r="H4750" s="225">
        <v>240</v>
      </c>
      <c r="I4750" s="225">
        <v>0</v>
      </c>
      <c r="J4750" s="225">
        <v>0</v>
      </c>
      <c r="K4750" s="225">
        <v>240</v>
      </c>
      <c r="L47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750" s="225">
        <f>ROUND(IF(AND(Base_Periodo1[[#This Row],[Tipo_Linha]]="-",Base_Periodo1[[#This Row],[TIPOSALDO]]="D"),Base_Periodo1[[#This Row],[SALDO_ATUAL]]*-1,Base_Periodo1[[#This Row],[SALDO_ATUAL]]),4)</f>
        <v>240</v>
      </c>
      <c r="N4750" t="s">
        <v>116</v>
      </c>
      <c r="O4750" t="s">
        <v>459</v>
      </c>
      <c r="P4750" t="s">
        <v>459</v>
      </c>
      <c r="Q4750">
        <v>6</v>
      </c>
      <c r="R4750" s="225">
        <f>Base_Periodo1[[#This Row],[CREDITOS]]-Base_Periodo1[[#This Row],[DEBITOS]]</f>
        <v>0</v>
      </c>
      <c r="S4750" s="3" t="str">
        <f>IF(ISERROR(VLOOKUP(Base_Periodo1[[#This Row],[CONTA]],BaseContasDRE[#All],4,FALSE)),"Fora do DRE",VLOOKUP(Base_Periodo1[[#This Row],[CONTA]],BaseContasDRE[#All],4,FALSE))</f>
        <v>Fora do DRE</v>
      </c>
      <c r="T4750" s="3" t="str">
        <f>IF(ISERROR(VLOOKUP(Base_Periodo1[[#This Row],[CONTA]],BaseContasDRE[#All],5,FALSE)),"Fora do DRE",VLOOKUP(Base_Periodo1[[#This Row],[CONTA]],BaseContasDRE[#All],6,FALSE))</f>
        <v>Fora do DRE</v>
      </c>
      <c r="U4750" s="3" t="str">
        <f>IF(ISERROR(VLOOKUP(Base_Periodo1[[#This Row],[CONTA]],BaseContasDRE[#All],7,FALSE)),"Fora do DRE",VLOOKUP(Base_Periodo1[[#This Row],[CONTA]],BaseContasDRE[#All],7,FALSE))</f>
        <v>Fora do DRE</v>
      </c>
      <c r="V4750" s="3" t="str">
        <f>IF(Base_Periodo1[[#This Row],[Tipo_Linha]]="Fora do DRE","Fora do DRE","( "&amp;Base_Periodo1[[#This Row],[Tipo_Linha]]&amp;" ) "&amp;Base_Periodo1[[#This Row],[Filtro]])</f>
        <v>Fora do DRE</v>
      </c>
      <c r="W4750" s="3" t="str">
        <f>LEFT(Base_Periodo1[[#This Row],[CLASS]],3)</f>
        <v>2.4</v>
      </c>
    </row>
    <row r="4751" spans="1:23" hidden="1">
      <c r="A4751" s="3" t="str">
        <f t="shared" si="74"/>
        <v>Período 1</v>
      </c>
      <c r="B4751">
        <v>47565</v>
      </c>
      <c r="C4751" t="s">
        <v>2300</v>
      </c>
      <c r="D4751" t="s">
        <v>2687</v>
      </c>
      <c r="E4751" s="3" t="str">
        <f>IF(LEN(Base_Periodo1[[#This Row],[CLASS]])&gt;=7,LEFT(Base_Periodo1[[#This Row],[CLASS]],7),"")</f>
        <v>2.4.1.1</v>
      </c>
      <c r="F4751" s="3" t="str">
        <f>VLOOKUP(Base_Periodo1[[#This Row],[Aux]],Base_Contas_Balanco[#All],2,FALSE)</f>
        <v>Capital Social Realizado</v>
      </c>
      <c r="G4751" s="1"/>
      <c r="H4751" s="225">
        <v>872.84</v>
      </c>
      <c r="I4751" s="225">
        <v>0</v>
      </c>
      <c r="J4751" s="225">
        <v>0</v>
      </c>
      <c r="K4751" s="225">
        <v>872.84</v>
      </c>
      <c r="L47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872.84</v>
      </c>
      <c r="M4751" s="225">
        <f>ROUND(IF(AND(Base_Periodo1[[#This Row],[Tipo_Linha]]="-",Base_Periodo1[[#This Row],[TIPOSALDO]]="D"),Base_Periodo1[[#This Row],[SALDO_ATUAL]]*-1,Base_Periodo1[[#This Row],[SALDO_ATUAL]]),4)</f>
        <v>872.84</v>
      </c>
      <c r="N4751" t="s">
        <v>116</v>
      </c>
      <c r="O4751" t="s">
        <v>459</v>
      </c>
      <c r="P4751" t="s">
        <v>459</v>
      </c>
      <c r="Q4751">
        <v>6</v>
      </c>
      <c r="R4751" s="225">
        <f>Base_Periodo1[[#This Row],[CREDITOS]]-Base_Periodo1[[#This Row],[DEBITOS]]</f>
        <v>0</v>
      </c>
      <c r="S4751" s="3" t="str">
        <f>IF(ISERROR(VLOOKUP(Base_Periodo1[[#This Row],[CONTA]],BaseContasDRE[#All],4,FALSE)),"Fora do DRE",VLOOKUP(Base_Periodo1[[#This Row],[CONTA]],BaseContasDRE[#All],4,FALSE))</f>
        <v>Fora do DRE</v>
      </c>
      <c r="T4751" s="3" t="str">
        <f>IF(ISERROR(VLOOKUP(Base_Periodo1[[#This Row],[CONTA]],BaseContasDRE[#All],5,FALSE)),"Fora do DRE",VLOOKUP(Base_Periodo1[[#This Row],[CONTA]],BaseContasDRE[#All],6,FALSE))</f>
        <v>Fora do DRE</v>
      </c>
      <c r="U4751" s="3" t="str">
        <f>IF(ISERROR(VLOOKUP(Base_Periodo1[[#This Row],[CONTA]],BaseContasDRE[#All],7,FALSE)),"Fora do DRE",VLOOKUP(Base_Periodo1[[#This Row],[CONTA]],BaseContasDRE[#All],7,FALSE))</f>
        <v>Fora do DRE</v>
      </c>
      <c r="V4751" s="3" t="str">
        <f>IF(Base_Periodo1[[#This Row],[Tipo_Linha]]="Fora do DRE","Fora do DRE","( "&amp;Base_Periodo1[[#This Row],[Tipo_Linha]]&amp;" ) "&amp;Base_Periodo1[[#This Row],[Filtro]])</f>
        <v>Fora do DRE</v>
      </c>
      <c r="W4751" s="3" t="str">
        <f>LEFT(Base_Periodo1[[#This Row],[CLASS]],3)</f>
        <v>2.4</v>
      </c>
    </row>
    <row r="4752" spans="1:23" hidden="1">
      <c r="A4752" s="3" t="str">
        <f t="shared" si="74"/>
        <v>Período 1</v>
      </c>
      <c r="B4752">
        <v>24356</v>
      </c>
      <c r="C4752" t="s">
        <v>2300</v>
      </c>
      <c r="D4752" t="s">
        <v>2688</v>
      </c>
      <c r="E4752" s="3" t="str">
        <f>IF(LEN(Base_Periodo1[[#This Row],[CLASS]])&gt;=7,LEFT(Base_Periodo1[[#This Row],[CLASS]],7),"")</f>
        <v>2.4.1.1</v>
      </c>
      <c r="F4752" s="3" t="str">
        <f>VLOOKUP(Base_Periodo1[[#This Row],[Aux]],Base_Contas_Balanco[#All],2,FALSE)</f>
        <v>Capital Social Realizado</v>
      </c>
      <c r="G4752" s="1">
        <v>42181</v>
      </c>
      <c r="H4752" s="225">
        <v>50</v>
      </c>
      <c r="I4752" s="225">
        <v>0</v>
      </c>
      <c r="J4752" s="225">
        <v>0</v>
      </c>
      <c r="K4752" s="225">
        <v>50</v>
      </c>
      <c r="L47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52" s="225">
        <f>ROUND(IF(AND(Base_Periodo1[[#This Row],[Tipo_Linha]]="-",Base_Periodo1[[#This Row],[TIPOSALDO]]="D"),Base_Periodo1[[#This Row],[SALDO_ATUAL]]*-1,Base_Periodo1[[#This Row],[SALDO_ATUAL]]),4)</f>
        <v>50</v>
      </c>
      <c r="N4752" t="s">
        <v>116</v>
      </c>
      <c r="O4752" t="s">
        <v>459</v>
      </c>
      <c r="P4752" t="s">
        <v>459</v>
      </c>
      <c r="Q4752">
        <v>6</v>
      </c>
      <c r="R4752" s="225">
        <f>Base_Periodo1[[#This Row],[CREDITOS]]-Base_Periodo1[[#This Row],[DEBITOS]]</f>
        <v>0</v>
      </c>
      <c r="S4752" s="3" t="str">
        <f>IF(ISERROR(VLOOKUP(Base_Periodo1[[#This Row],[CONTA]],BaseContasDRE[#All],4,FALSE)),"Fora do DRE",VLOOKUP(Base_Periodo1[[#This Row],[CONTA]],BaseContasDRE[#All],4,FALSE))</f>
        <v>Fora do DRE</v>
      </c>
      <c r="T4752" s="3" t="str">
        <f>IF(ISERROR(VLOOKUP(Base_Periodo1[[#This Row],[CONTA]],BaseContasDRE[#All],5,FALSE)),"Fora do DRE",VLOOKUP(Base_Periodo1[[#This Row],[CONTA]],BaseContasDRE[#All],6,FALSE))</f>
        <v>Fora do DRE</v>
      </c>
      <c r="U4752" s="3" t="str">
        <f>IF(ISERROR(VLOOKUP(Base_Periodo1[[#This Row],[CONTA]],BaseContasDRE[#All],7,FALSE)),"Fora do DRE",VLOOKUP(Base_Periodo1[[#This Row],[CONTA]],BaseContasDRE[#All],7,FALSE))</f>
        <v>Fora do DRE</v>
      </c>
      <c r="V4752" s="3" t="str">
        <f>IF(Base_Periodo1[[#This Row],[Tipo_Linha]]="Fora do DRE","Fora do DRE","( "&amp;Base_Periodo1[[#This Row],[Tipo_Linha]]&amp;" ) "&amp;Base_Periodo1[[#This Row],[Filtro]])</f>
        <v>Fora do DRE</v>
      </c>
      <c r="W4752" s="3" t="str">
        <f>LEFT(Base_Periodo1[[#This Row],[CLASS]],3)</f>
        <v>2.4</v>
      </c>
    </row>
    <row r="4753" spans="1:23" hidden="1">
      <c r="A4753" s="3" t="str">
        <f t="shared" si="74"/>
        <v>Período 1</v>
      </c>
      <c r="B4753">
        <v>24582</v>
      </c>
      <c r="C4753" t="s">
        <v>2300</v>
      </c>
      <c r="D4753" t="s">
        <v>2689</v>
      </c>
      <c r="E4753" s="3" t="str">
        <f>IF(LEN(Base_Periodo1[[#This Row],[CLASS]])&gt;=7,LEFT(Base_Periodo1[[#This Row],[CLASS]],7),"")</f>
        <v>2.4.1.1</v>
      </c>
      <c r="F4753" s="3" t="str">
        <f>VLOOKUP(Base_Periodo1[[#This Row],[Aux]],Base_Contas_Balanco[#All],2,FALSE)</f>
        <v>Capital Social Realizado</v>
      </c>
      <c r="G4753" s="1"/>
      <c r="H4753" s="225">
        <v>142.72</v>
      </c>
      <c r="I4753" s="225">
        <v>0</v>
      </c>
      <c r="J4753" s="225">
        <v>0</v>
      </c>
      <c r="K4753" s="225">
        <v>142.72</v>
      </c>
      <c r="L47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142.72</v>
      </c>
      <c r="M4753" s="225">
        <f>ROUND(IF(AND(Base_Periodo1[[#This Row],[Tipo_Linha]]="-",Base_Periodo1[[#This Row],[TIPOSALDO]]="D"),Base_Periodo1[[#This Row],[SALDO_ATUAL]]*-1,Base_Periodo1[[#This Row],[SALDO_ATUAL]]),4)</f>
        <v>142.72</v>
      </c>
      <c r="N4753" t="s">
        <v>116</v>
      </c>
      <c r="O4753" t="s">
        <v>459</v>
      </c>
      <c r="P4753" t="s">
        <v>459</v>
      </c>
      <c r="Q4753">
        <v>6</v>
      </c>
      <c r="R4753" s="225">
        <f>Base_Periodo1[[#This Row],[CREDITOS]]-Base_Periodo1[[#This Row],[DEBITOS]]</f>
        <v>0</v>
      </c>
      <c r="S4753" s="3" t="str">
        <f>IF(ISERROR(VLOOKUP(Base_Periodo1[[#This Row],[CONTA]],BaseContasDRE[#All],4,FALSE)),"Fora do DRE",VLOOKUP(Base_Periodo1[[#This Row],[CONTA]],BaseContasDRE[#All],4,FALSE))</f>
        <v>Fora do DRE</v>
      </c>
      <c r="T4753" s="3" t="str">
        <f>IF(ISERROR(VLOOKUP(Base_Periodo1[[#This Row],[CONTA]],BaseContasDRE[#All],5,FALSE)),"Fora do DRE",VLOOKUP(Base_Periodo1[[#This Row],[CONTA]],BaseContasDRE[#All],6,FALSE))</f>
        <v>Fora do DRE</v>
      </c>
      <c r="U4753" s="3" t="str">
        <f>IF(ISERROR(VLOOKUP(Base_Periodo1[[#This Row],[CONTA]],BaseContasDRE[#All],7,FALSE)),"Fora do DRE",VLOOKUP(Base_Periodo1[[#This Row],[CONTA]],BaseContasDRE[#All],7,FALSE))</f>
        <v>Fora do DRE</v>
      </c>
      <c r="V4753" s="3" t="str">
        <f>IF(Base_Periodo1[[#This Row],[Tipo_Linha]]="Fora do DRE","Fora do DRE","( "&amp;Base_Periodo1[[#This Row],[Tipo_Linha]]&amp;" ) "&amp;Base_Periodo1[[#This Row],[Filtro]])</f>
        <v>Fora do DRE</v>
      </c>
      <c r="W4753" s="3" t="str">
        <f>LEFT(Base_Periodo1[[#This Row],[CLASS]],3)</f>
        <v>2.4</v>
      </c>
    </row>
    <row r="4754" spans="1:23" hidden="1">
      <c r="A4754" s="3" t="str">
        <f t="shared" si="74"/>
        <v>Período 1</v>
      </c>
      <c r="B4754">
        <v>55620</v>
      </c>
      <c r="C4754" t="s">
        <v>2300</v>
      </c>
      <c r="D4754" t="s">
        <v>5453</v>
      </c>
      <c r="E4754" s="3" t="str">
        <f>IF(LEN(Base_Periodo1[[#This Row],[CLASS]])&gt;=7,LEFT(Base_Periodo1[[#This Row],[CLASS]],7),"")</f>
        <v>2.4.1.1</v>
      </c>
      <c r="F4754" s="3" t="str">
        <f>VLOOKUP(Base_Periodo1[[#This Row],[Aux]],Base_Contas_Balanco[#All],2,FALSE)</f>
        <v>Capital Social Realizado</v>
      </c>
      <c r="G4754" s="1"/>
      <c r="H4754" s="225">
        <v>240</v>
      </c>
      <c r="I4754" s="225">
        <v>0</v>
      </c>
      <c r="J4754" s="225">
        <v>0</v>
      </c>
      <c r="K4754" s="225">
        <v>240</v>
      </c>
      <c r="L47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754" s="225">
        <f>ROUND(IF(AND(Base_Periodo1[[#This Row],[Tipo_Linha]]="-",Base_Periodo1[[#This Row],[TIPOSALDO]]="D"),Base_Periodo1[[#This Row],[SALDO_ATUAL]]*-1,Base_Periodo1[[#This Row],[SALDO_ATUAL]]),4)</f>
        <v>240</v>
      </c>
      <c r="N4754" t="s">
        <v>116</v>
      </c>
      <c r="O4754" t="s">
        <v>459</v>
      </c>
      <c r="P4754" t="s">
        <v>459</v>
      </c>
      <c r="Q4754">
        <v>6</v>
      </c>
      <c r="R4754" s="225">
        <f>Base_Periodo1[[#This Row],[CREDITOS]]-Base_Periodo1[[#This Row],[DEBITOS]]</f>
        <v>0</v>
      </c>
      <c r="S4754" s="3" t="str">
        <f>IF(ISERROR(VLOOKUP(Base_Periodo1[[#This Row],[CONTA]],BaseContasDRE[#All],4,FALSE)),"Fora do DRE",VLOOKUP(Base_Periodo1[[#This Row],[CONTA]],BaseContasDRE[#All],4,FALSE))</f>
        <v>Fora do DRE</v>
      </c>
      <c r="T4754" s="3" t="str">
        <f>IF(ISERROR(VLOOKUP(Base_Periodo1[[#This Row],[CONTA]],BaseContasDRE[#All],5,FALSE)),"Fora do DRE",VLOOKUP(Base_Periodo1[[#This Row],[CONTA]],BaseContasDRE[#All],6,FALSE))</f>
        <v>Fora do DRE</v>
      </c>
      <c r="U4754" s="3" t="str">
        <f>IF(ISERROR(VLOOKUP(Base_Periodo1[[#This Row],[CONTA]],BaseContasDRE[#All],7,FALSE)),"Fora do DRE",VLOOKUP(Base_Periodo1[[#This Row],[CONTA]],BaseContasDRE[#All],7,FALSE))</f>
        <v>Fora do DRE</v>
      </c>
      <c r="V4754" s="3" t="str">
        <f>IF(Base_Periodo1[[#This Row],[Tipo_Linha]]="Fora do DRE","Fora do DRE","( "&amp;Base_Periodo1[[#This Row],[Tipo_Linha]]&amp;" ) "&amp;Base_Periodo1[[#This Row],[Filtro]])</f>
        <v>Fora do DRE</v>
      </c>
      <c r="W4754" s="3" t="str">
        <f>LEFT(Base_Periodo1[[#This Row],[CLASS]],3)</f>
        <v>2.4</v>
      </c>
    </row>
    <row r="4755" spans="1:23" hidden="1">
      <c r="A4755" s="3" t="str">
        <f t="shared" si="74"/>
        <v>Período 1</v>
      </c>
      <c r="B4755">
        <v>16259</v>
      </c>
      <c r="C4755" t="s">
        <v>2300</v>
      </c>
      <c r="D4755" t="s">
        <v>2690</v>
      </c>
      <c r="E4755" s="3" t="str">
        <f>IF(LEN(Base_Periodo1[[#This Row],[CLASS]])&gt;=7,LEFT(Base_Periodo1[[#This Row],[CLASS]],7),"")</f>
        <v>2.4.1.1</v>
      </c>
      <c r="F4755" s="3" t="str">
        <f>VLOOKUP(Base_Periodo1[[#This Row],[Aux]],Base_Contas_Balanco[#All],2,FALSE)</f>
        <v>Capital Social Realizado</v>
      </c>
      <c r="G4755" s="1"/>
      <c r="H4755" s="225">
        <v>2386.13</v>
      </c>
      <c r="I4755" s="225">
        <v>0</v>
      </c>
      <c r="J4755" s="225">
        <v>0</v>
      </c>
      <c r="K4755" s="225">
        <v>2386.13</v>
      </c>
      <c r="L47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2386.13</v>
      </c>
      <c r="M4755" s="225">
        <f>ROUND(IF(AND(Base_Periodo1[[#This Row],[Tipo_Linha]]="-",Base_Periodo1[[#This Row],[TIPOSALDO]]="D"),Base_Periodo1[[#This Row],[SALDO_ATUAL]]*-1,Base_Periodo1[[#This Row],[SALDO_ATUAL]]),4)</f>
        <v>2386.13</v>
      </c>
      <c r="N4755" t="s">
        <v>116</v>
      </c>
      <c r="O4755" t="s">
        <v>459</v>
      </c>
      <c r="P4755" t="s">
        <v>459</v>
      </c>
      <c r="Q4755">
        <v>6</v>
      </c>
      <c r="R4755" s="225">
        <f>Base_Periodo1[[#This Row],[CREDITOS]]-Base_Periodo1[[#This Row],[DEBITOS]]</f>
        <v>0</v>
      </c>
      <c r="S4755" s="3" t="str">
        <f>IF(ISERROR(VLOOKUP(Base_Periodo1[[#This Row],[CONTA]],BaseContasDRE[#All],4,FALSE)),"Fora do DRE",VLOOKUP(Base_Periodo1[[#This Row],[CONTA]],BaseContasDRE[#All],4,FALSE))</f>
        <v>Fora do DRE</v>
      </c>
      <c r="T4755" s="3" t="str">
        <f>IF(ISERROR(VLOOKUP(Base_Periodo1[[#This Row],[CONTA]],BaseContasDRE[#All],5,FALSE)),"Fora do DRE",VLOOKUP(Base_Periodo1[[#This Row],[CONTA]],BaseContasDRE[#All],6,FALSE))</f>
        <v>Fora do DRE</v>
      </c>
      <c r="U4755" s="3" t="str">
        <f>IF(ISERROR(VLOOKUP(Base_Periodo1[[#This Row],[CONTA]],BaseContasDRE[#All],7,FALSE)),"Fora do DRE",VLOOKUP(Base_Periodo1[[#This Row],[CONTA]],BaseContasDRE[#All],7,FALSE))</f>
        <v>Fora do DRE</v>
      </c>
      <c r="V4755" s="3" t="str">
        <f>IF(Base_Periodo1[[#This Row],[Tipo_Linha]]="Fora do DRE","Fora do DRE","( "&amp;Base_Periodo1[[#This Row],[Tipo_Linha]]&amp;" ) "&amp;Base_Periodo1[[#This Row],[Filtro]])</f>
        <v>Fora do DRE</v>
      </c>
      <c r="W4755" s="3" t="str">
        <f>LEFT(Base_Periodo1[[#This Row],[CLASS]],3)</f>
        <v>2.4</v>
      </c>
    </row>
    <row r="4756" spans="1:23" hidden="1">
      <c r="A4756" s="3" t="str">
        <f t="shared" si="74"/>
        <v>Período 1</v>
      </c>
      <c r="B4756">
        <v>40799</v>
      </c>
      <c r="C4756" t="s">
        <v>2300</v>
      </c>
      <c r="D4756" t="s">
        <v>4621</v>
      </c>
      <c r="E4756" s="3" t="str">
        <f>IF(LEN(Base_Periodo1[[#This Row],[CLASS]])&gt;=7,LEFT(Base_Periodo1[[#This Row],[CLASS]],7),"")</f>
        <v>2.4.1.1</v>
      </c>
      <c r="F4756" s="3" t="str">
        <f>VLOOKUP(Base_Periodo1[[#This Row],[Aux]],Base_Contas_Balanco[#All],2,FALSE)</f>
        <v>Capital Social Realizado</v>
      </c>
      <c r="G4756" s="1"/>
      <c r="H4756" s="225">
        <v>439.62</v>
      </c>
      <c r="I4756" s="225">
        <v>0</v>
      </c>
      <c r="J4756" s="225">
        <v>0</v>
      </c>
      <c r="K4756" s="225">
        <v>439.62</v>
      </c>
      <c r="L47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439.62</v>
      </c>
      <c r="M4756" s="225">
        <f>ROUND(IF(AND(Base_Periodo1[[#This Row],[Tipo_Linha]]="-",Base_Periodo1[[#This Row],[TIPOSALDO]]="D"),Base_Periodo1[[#This Row],[SALDO_ATUAL]]*-1,Base_Periodo1[[#This Row],[SALDO_ATUAL]]),4)</f>
        <v>439.62</v>
      </c>
      <c r="N4756" t="s">
        <v>116</v>
      </c>
      <c r="O4756" t="s">
        <v>459</v>
      </c>
      <c r="P4756" t="s">
        <v>459</v>
      </c>
      <c r="Q4756">
        <v>6</v>
      </c>
      <c r="R4756" s="225">
        <f>Base_Periodo1[[#This Row],[CREDITOS]]-Base_Periodo1[[#This Row],[DEBITOS]]</f>
        <v>0</v>
      </c>
      <c r="S4756" s="3" t="str">
        <f>IF(ISERROR(VLOOKUP(Base_Periodo1[[#This Row],[CONTA]],BaseContasDRE[#All],4,FALSE)),"Fora do DRE",VLOOKUP(Base_Periodo1[[#This Row],[CONTA]],BaseContasDRE[#All],4,FALSE))</f>
        <v>Fora do DRE</v>
      </c>
      <c r="T4756" s="3" t="str">
        <f>IF(ISERROR(VLOOKUP(Base_Periodo1[[#This Row],[CONTA]],BaseContasDRE[#All],5,FALSE)),"Fora do DRE",VLOOKUP(Base_Periodo1[[#This Row],[CONTA]],BaseContasDRE[#All],6,FALSE))</f>
        <v>Fora do DRE</v>
      </c>
      <c r="U4756" s="3" t="str">
        <f>IF(ISERROR(VLOOKUP(Base_Periodo1[[#This Row],[CONTA]],BaseContasDRE[#All],7,FALSE)),"Fora do DRE",VLOOKUP(Base_Periodo1[[#This Row],[CONTA]],BaseContasDRE[#All],7,FALSE))</f>
        <v>Fora do DRE</v>
      </c>
      <c r="V4756" s="3" t="str">
        <f>IF(Base_Periodo1[[#This Row],[Tipo_Linha]]="Fora do DRE","Fora do DRE","( "&amp;Base_Periodo1[[#This Row],[Tipo_Linha]]&amp;" ) "&amp;Base_Periodo1[[#This Row],[Filtro]])</f>
        <v>Fora do DRE</v>
      </c>
      <c r="W4756" s="3" t="str">
        <f>LEFT(Base_Periodo1[[#This Row],[CLASS]],3)</f>
        <v>2.4</v>
      </c>
    </row>
    <row r="4757" spans="1:23" hidden="1">
      <c r="A4757" s="3" t="str">
        <f t="shared" si="74"/>
        <v>Período 1</v>
      </c>
      <c r="B4757">
        <v>16425</v>
      </c>
      <c r="C4757" t="s">
        <v>2300</v>
      </c>
      <c r="D4757" t="s">
        <v>2691</v>
      </c>
      <c r="E4757" s="3" t="str">
        <f>IF(LEN(Base_Periodo1[[#This Row],[CLASS]])&gt;=7,LEFT(Base_Periodo1[[#This Row],[CLASS]],7),"")</f>
        <v>2.4.1.1</v>
      </c>
      <c r="F4757" s="3" t="str">
        <f>VLOOKUP(Base_Periodo1[[#This Row],[Aux]],Base_Contas_Balanco[#All],2,FALSE)</f>
        <v>Capital Social Realizado</v>
      </c>
      <c r="G4757" s="1"/>
      <c r="H4757" s="225">
        <v>481.11</v>
      </c>
      <c r="I4757" s="225">
        <v>0</v>
      </c>
      <c r="J4757" s="225">
        <v>0</v>
      </c>
      <c r="K4757" s="225">
        <v>481.11</v>
      </c>
      <c r="L47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481.11</v>
      </c>
      <c r="M4757" s="225">
        <f>ROUND(IF(AND(Base_Periodo1[[#This Row],[Tipo_Linha]]="-",Base_Periodo1[[#This Row],[TIPOSALDO]]="D"),Base_Periodo1[[#This Row],[SALDO_ATUAL]]*-1,Base_Periodo1[[#This Row],[SALDO_ATUAL]]),4)</f>
        <v>481.11</v>
      </c>
      <c r="N4757" t="s">
        <v>116</v>
      </c>
      <c r="O4757" t="s">
        <v>459</v>
      </c>
      <c r="P4757" t="s">
        <v>459</v>
      </c>
      <c r="Q4757">
        <v>6</v>
      </c>
      <c r="R4757" s="225">
        <f>Base_Periodo1[[#This Row],[CREDITOS]]-Base_Periodo1[[#This Row],[DEBITOS]]</f>
        <v>0</v>
      </c>
      <c r="S4757" s="3" t="str">
        <f>IF(ISERROR(VLOOKUP(Base_Periodo1[[#This Row],[CONTA]],BaseContasDRE[#All],4,FALSE)),"Fora do DRE",VLOOKUP(Base_Periodo1[[#This Row],[CONTA]],BaseContasDRE[#All],4,FALSE))</f>
        <v>Fora do DRE</v>
      </c>
      <c r="T4757" s="3" t="str">
        <f>IF(ISERROR(VLOOKUP(Base_Periodo1[[#This Row],[CONTA]],BaseContasDRE[#All],5,FALSE)),"Fora do DRE",VLOOKUP(Base_Periodo1[[#This Row],[CONTA]],BaseContasDRE[#All],6,FALSE))</f>
        <v>Fora do DRE</v>
      </c>
      <c r="U4757" s="3" t="str">
        <f>IF(ISERROR(VLOOKUP(Base_Periodo1[[#This Row],[CONTA]],BaseContasDRE[#All],7,FALSE)),"Fora do DRE",VLOOKUP(Base_Periodo1[[#This Row],[CONTA]],BaseContasDRE[#All],7,FALSE))</f>
        <v>Fora do DRE</v>
      </c>
      <c r="V4757" s="3" t="str">
        <f>IF(Base_Periodo1[[#This Row],[Tipo_Linha]]="Fora do DRE","Fora do DRE","( "&amp;Base_Periodo1[[#This Row],[Tipo_Linha]]&amp;" ) "&amp;Base_Periodo1[[#This Row],[Filtro]])</f>
        <v>Fora do DRE</v>
      </c>
      <c r="W4757" s="3" t="str">
        <f>LEFT(Base_Periodo1[[#This Row],[CLASS]],3)</f>
        <v>2.4</v>
      </c>
    </row>
    <row r="4758" spans="1:23" hidden="1">
      <c r="A4758" s="3" t="str">
        <f t="shared" si="74"/>
        <v>Período 1</v>
      </c>
      <c r="B4758">
        <v>25245</v>
      </c>
      <c r="C4758" t="s">
        <v>2300</v>
      </c>
      <c r="D4758" t="s">
        <v>2692</v>
      </c>
      <c r="E4758" s="3" t="str">
        <f>IF(LEN(Base_Periodo1[[#This Row],[CLASS]])&gt;=7,LEFT(Base_Periodo1[[#This Row],[CLASS]],7),"")</f>
        <v>2.4.1.1</v>
      </c>
      <c r="F4758" s="3" t="str">
        <f>VLOOKUP(Base_Periodo1[[#This Row],[Aux]],Base_Contas_Balanco[#All],2,FALSE)</f>
        <v>Capital Social Realizado</v>
      </c>
      <c r="G4758" s="1"/>
      <c r="H4758" s="225">
        <v>1891.48</v>
      </c>
      <c r="I4758" s="225">
        <v>0</v>
      </c>
      <c r="J4758" s="225">
        <v>0</v>
      </c>
      <c r="K4758" s="225">
        <v>1891.48</v>
      </c>
      <c r="L47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1891.48</v>
      </c>
      <c r="M4758" s="225">
        <f>ROUND(IF(AND(Base_Periodo1[[#This Row],[Tipo_Linha]]="-",Base_Periodo1[[#This Row],[TIPOSALDO]]="D"),Base_Periodo1[[#This Row],[SALDO_ATUAL]]*-1,Base_Periodo1[[#This Row],[SALDO_ATUAL]]),4)</f>
        <v>1891.48</v>
      </c>
      <c r="N4758" t="s">
        <v>116</v>
      </c>
      <c r="O4758" t="s">
        <v>459</v>
      </c>
      <c r="P4758" t="s">
        <v>459</v>
      </c>
      <c r="Q4758">
        <v>6</v>
      </c>
      <c r="R4758" s="225">
        <f>Base_Periodo1[[#This Row],[CREDITOS]]-Base_Periodo1[[#This Row],[DEBITOS]]</f>
        <v>0</v>
      </c>
      <c r="S4758" s="3" t="str">
        <f>IF(ISERROR(VLOOKUP(Base_Periodo1[[#This Row],[CONTA]],BaseContasDRE[#All],4,FALSE)),"Fora do DRE",VLOOKUP(Base_Periodo1[[#This Row],[CONTA]],BaseContasDRE[#All],4,FALSE))</f>
        <v>Fora do DRE</v>
      </c>
      <c r="T4758" s="3" t="str">
        <f>IF(ISERROR(VLOOKUP(Base_Periodo1[[#This Row],[CONTA]],BaseContasDRE[#All],5,FALSE)),"Fora do DRE",VLOOKUP(Base_Periodo1[[#This Row],[CONTA]],BaseContasDRE[#All],6,FALSE))</f>
        <v>Fora do DRE</v>
      </c>
      <c r="U4758" s="3" t="str">
        <f>IF(ISERROR(VLOOKUP(Base_Periodo1[[#This Row],[CONTA]],BaseContasDRE[#All],7,FALSE)),"Fora do DRE",VLOOKUP(Base_Periodo1[[#This Row],[CONTA]],BaseContasDRE[#All],7,FALSE))</f>
        <v>Fora do DRE</v>
      </c>
      <c r="V4758" s="3" t="str">
        <f>IF(Base_Periodo1[[#This Row],[Tipo_Linha]]="Fora do DRE","Fora do DRE","( "&amp;Base_Periodo1[[#This Row],[Tipo_Linha]]&amp;" ) "&amp;Base_Periodo1[[#This Row],[Filtro]])</f>
        <v>Fora do DRE</v>
      </c>
      <c r="W4758" s="3" t="str">
        <f>LEFT(Base_Periodo1[[#This Row],[CLASS]],3)</f>
        <v>2.4</v>
      </c>
    </row>
    <row r="4759" spans="1:23" hidden="1">
      <c r="A4759" s="3" t="str">
        <f t="shared" si="74"/>
        <v>Período 1</v>
      </c>
      <c r="B4759">
        <v>19249</v>
      </c>
      <c r="C4759" t="s">
        <v>2300</v>
      </c>
      <c r="D4759" t="s">
        <v>2693</v>
      </c>
      <c r="E4759" s="3" t="str">
        <f>IF(LEN(Base_Periodo1[[#This Row],[CLASS]])&gt;=7,LEFT(Base_Periodo1[[#This Row],[CLASS]],7),"")</f>
        <v>2.4.1.1</v>
      </c>
      <c r="F4759" s="3" t="str">
        <f>VLOOKUP(Base_Periodo1[[#This Row],[Aux]],Base_Contas_Balanco[#All],2,FALSE)</f>
        <v>Capital Social Realizado</v>
      </c>
      <c r="G4759" s="1"/>
      <c r="H4759" s="225">
        <v>919.33</v>
      </c>
      <c r="I4759" s="225">
        <v>0</v>
      </c>
      <c r="J4759" s="225">
        <v>0</v>
      </c>
      <c r="K4759" s="225">
        <v>919.33</v>
      </c>
      <c r="L47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919.33</v>
      </c>
      <c r="M4759" s="225">
        <f>ROUND(IF(AND(Base_Periodo1[[#This Row],[Tipo_Linha]]="-",Base_Periodo1[[#This Row],[TIPOSALDO]]="D"),Base_Periodo1[[#This Row],[SALDO_ATUAL]]*-1,Base_Periodo1[[#This Row],[SALDO_ATUAL]]),4)</f>
        <v>919.33</v>
      </c>
      <c r="N4759" t="s">
        <v>116</v>
      </c>
      <c r="O4759" t="s">
        <v>459</v>
      </c>
      <c r="P4759" t="s">
        <v>459</v>
      </c>
      <c r="Q4759">
        <v>6</v>
      </c>
      <c r="R4759" s="225">
        <f>Base_Periodo1[[#This Row],[CREDITOS]]-Base_Periodo1[[#This Row],[DEBITOS]]</f>
        <v>0</v>
      </c>
      <c r="S4759" s="3" t="str">
        <f>IF(ISERROR(VLOOKUP(Base_Periodo1[[#This Row],[CONTA]],BaseContasDRE[#All],4,FALSE)),"Fora do DRE",VLOOKUP(Base_Periodo1[[#This Row],[CONTA]],BaseContasDRE[#All],4,FALSE))</f>
        <v>Fora do DRE</v>
      </c>
      <c r="T4759" s="3" t="str">
        <f>IF(ISERROR(VLOOKUP(Base_Periodo1[[#This Row],[CONTA]],BaseContasDRE[#All],5,FALSE)),"Fora do DRE",VLOOKUP(Base_Periodo1[[#This Row],[CONTA]],BaseContasDRE[#All],6,FALSE))</f>
        <v>Fora do DRE</v>
      </c>
      <c r="U4759" s="3" t="str">
        <f>IF(ISERROR(VLOOKUP(Base_Periodo1[[#This Row],[CONTA]],BaseContasDRE[#All],7,FALSE)),"Fora do DRE",VLOOKUP(Base_Periodo1[[#This Row],[CONTA]],BaseContasDRE[#All],7,FALSE))</f>
        <v>Fora do DRE</v>
      </c>
      <c r="V4759" s="3" t="str">
        <f>IF(Base_Periodo1[[#This Row],[Tipo_Linha]]="Fora do DRE","Fora do DRE","( "&amp;Base_Periodo1[[#This Row],[Tipo_Linha]]&amp;" ) "&amp;Base_Periodo1[[#This Row],[Filtro]])</f>
        <v>Fora do DRE</v>
      </c>
      <c r="W4759" s="3" t="str">
        <f>LEFT(Base_Periodo1[[#This Row],[CLASS]],3)</f>
        <v>2.4</v>
      </c>
    </row>
    <row r="4760" spans="1:23" hidden="1">
      <c r="A4760" s="3" t="str">
        <f t="shared" si="74"/>
        <v>Período 1</v>
      </c>
      <c r="B4760">
        <v>50239</v>
      </c>
      <c r="C4760" t="s">
        <v>2300</v>
      </c>
      <c r="D4760" t="s">
        <v>4375</v>
      </c>
      <c r="E4760" s="3" t="str">
        <f>IF(LEN(Base_Periodo1[[#This Row],[CLASS]])&gt;=7,LEFT(Base_Periodo1[[#This Row],[CLASS]],7),"")</f>
        <v>2.4.1.1</v>
      </c>
      <c r="F4760" s="3" t="str">
        <f>VLOOKUP(Base_Periodo1[[#This Row],[Aux]],Base_Contas_Balanco[#All],2,FALSE)</f>
        <v>Capital Social Realizado</v>
      </c>
      <c r="G4760" s="1"/>
      <c r="H4760" s="225">
        <v>50</v>
      </c>
      <c r="I4760" s="225">
        <v>0</v>
      </c>
      <c r="J4760" s="225">
        <v>0</v>
      </c>
      <c r="K4760" s="225">
        <v>50</v>
      </c>
      <c r="L47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60" s="225">
        <f>ROUND(IF(AND(Base_Periodo1[[#This Row],[Tipo_Linha]]="-",Base_Periodo1[[#This Row],[TIPOSALDO]]="D"),Base_Periodo1[[#This Row],[SALDO_ATUAL]]*-1,Base_Periodo1[[#This Row],[SALDO_ATUAL]]),4)</f>
        <v>50</v>
      </c>
      <c r="N4760" t="s">
        <v>116</v>
      </c>
      <c r="O4760" t="s">
        <v>459</v>
      </c>
      <c r="P4760" t="s">
        <v>459</v>
      </c>
      <c r="Q4760">
        <v>6</v>
      </c>
      <c r="R4760" s="225">
        <f>Base_Periodo1[[#This Row],[CREDITOS]]-Base_Periodo1[[#This Row],[DEBITOS]]</f>
        <v>0</v>
      </c>
      <c r="S4760" s="3" t="str">
        <f>IF(ISERROR(VLOOKUP(Base_Periodo1[[#This Row],[CONTA]],BaseContasDRE[#All],4,FALSE)),"Fora do DRE",VLOOKUP(Base_Periodo1[[#This Row],[CONTA]],BaseContasDRE[#All],4,FALSE))</f>
        <v>Fora do DRE</v>
      </c>
      <c r="T4760" s="3" t="str">
        <f>IF(ISERROR(VLOOKUP(Base_Periodo1[[#This Row],[CONTA]],BaseContasDRE[#All],5,FALSE)),"Fora do DRE",VLOOKUP(Base_Periodo1[[#This Row],[CONTA]],BaseContasDRE[#All],6,FALSE))</f>
        <v>Fora do DRE</v>
      </c>
      <c r="U4760" s="3" t="str">
        <f>IF(ISERROR(VLOOKUP(Base_Periodo1[[#This Row],[CONTA]],BaseContasDRE[#All],7,FALSE)),"Fora do DRE",VLOOKUP(Base_Periodo1[[#This Row],[CONTA]],BaseContasDRE[#All],7,FALSE))</f>
        <v>Fora do DRE</v>
      </c>
      <c r="V4760" s="3" t="str">
        <f>IF(Base_Periodo1[[#This Row],[Tipo_Linha]]="Fora do DRE","Fora do DRE","( "&amp;Base_Periodo1[[#This Row],[Tipo_Linha]]&amp;" ) "&amp;Base_Periodo1[[#This Row],[Filtro]])</f>
        <v>Fora do DRE</v>
      </c>
      <c r="W4760" s="3" t="str">
        <f>LEFT(Base_Periodo1[[#This Row],[CLASS]],3)</f>
        <v>2.4</v>
      </c>
    </row>
    <row r="4761" spans="1:23" hidden="1">
      <c r="A4761" s="3" t="str">
        <f t="shared" si="74"/>
        <v>Período 1</v>
      </c>
      <c r="B4761">
        <v>56494</v>
      </c>
      <c r="C4761" t="s">
        <v>2300</v>
      </c>
      <c r="D4761" t="s">
        <v>6010</v>
      </c>
      <c r="E4761" s="3" t="str">
        <f>IF(LEN(Base_Periodo1[[#This Row],[CLASS]])&gt;=7,LEFT(Base_Periodo1[[#This Row],[CLASS]],7),"")</f>
        <v>2.4.1.1</v>
      </c>
      <c r="F4761" s="3" t="str">
        <f>VLOOKUP(Base_Periodo1[[#This Row],[Aux]],Base_Contas_Balanco[#All],2,FALSE)</f>
        <v>Capital Social Realizado</v>
      </c>
      <c r="G4761" s="1"/>
      <c r="H4761" s="225">
        <v>50</v>
      </c>
      <c r="I4761" s="225">
        <v>0</v>
      </c>
      <c r="J4761" s="225">
        <v>0</v>
      </c>
      <c r="K4761" s="225">
        <v>50</v>
      </c>
      <c r="L47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61" s="225">
        <f>ROUND(IF(AND(Base_Periodo1[[#This Row],[Tipo_Linha]]="-",Base_Periodo1[[#This Row],[TIPOSALDO]]="D"),Base_Periodo1[[#This Row],[SALDO_ATUAL]]*-1,Base_Periodo1[[#This Row],[SALDO_ATUAL]]),4)</f>
        <v>50</v>
      </c>
      <c r="N4761" t="s">
        <v>116</v>
      </c>
      <c r="O4761" t="s">
        <v>459</v>
      </c>
      <c r="P4761" t="s">
        <v>459</v>
      </c>
      <c r="Q4761">
        <v>6</v>
      </c>
      <c r="R4761" s="225">
        <f>Base_Periodo1[[#This Row],[CREDITOS]]-Base_Periodo1[[#This Row],[DEBITOS]]</f>
        <v>0</v>
      </c>
      <c r="S4761" s="3" t="str">
        <f>IF(ISERROR(VLOOKUP(Base_Periodo1[[#This Row],[CONTA]],BaseContasDRE[#All],4,FALSE)),"Fora do DRE",VLOOKUP(Base_Periodo1[[#This Row],[CONTA]],BaseContasDRE[#All],4,FALSE))</f>
        <v>Fora do DRE</v>
      </c>
      <c r="T4761" s="3" t="str">
        <f>IF(ISERROR(VLOOKUP(Base_Periodo1[[#This Row],[CONTA]],BaseContasDRE[#All],5,FALSE)),"Fora do DRE",VLOOKUP(Base_Periodo1[[#This Row],[CONTA]],BaseContasDRE[#All],6,FALSE))</f>
        <v>Fora do DRE</v>
      </c>
      <c r="U4761" s="3" t="str">
        <f>IF(ISERROR(VLOOKUP(Base_Periodo1[[#This Row],[CONTA]],BaseContasDRE[#All],7,FALSE)),"Fora do DRE",VLOOKUP(Base_Periodo1[[#This Row],[CONTA]],BaseContasDRE[#All],7,FALSE))</f>
        <v>Fora do DRE</v>
      </c>
      <c r="V4761" s="3" t="str">
        <f>IF(Base_Periodo1[[#This Row],[Tipo_Linha]]="Fora do DRE","Fora do DRE","( "&amp;Base_Periodo1[[#This Row],[Tipo_Linha]]&amp;" ) "&amp;Base_Periodo1[[#This Row],[Filtro]])</f>
        <v>Fora do DRE</v>
      </c>
      <c r="W4761" s="3" t="str">
        <f>LEFT(Base_Periodo1[[#This Row],[CLASS]],3)</f>
        <v>2.4</v>
      </c>
    </row>
    <row r="4762" spans="1:23" hidden="1">
      <c r="A4762" s="3" t="str">
        <f t="shared" si="74"/>
        <v>Período 1</v>
      </c>
      <c r="B4762">
        <v>47741</v>
      </c>
      <c r="C4762" t="s">
        <v>2300</v>
      </c>
      <c r="D4762" t="s">
        <v>2694</v>
      </c>
      <c r="E4762" s="3" t="str">
        <f>IF(LEN(Base_Periodo1[[#This Row],[CLASS]])&gt;=7,LEFT(Base_Periodo1[[#This Row],[CLASS]],7),"")</f>
        <v>2.4.1.1</v>
      </c>
      <c r="F4762" s="3" t="str">
        <f>VLOOKUP(Base_Periodo1[[#This Row],[Aux]],Base_Contas_Balanco[#All],2,FALSE)</f>
        <v>Capital Social Realizado</v>
      </c>
      <c r="G4762" s="1"/>
      <c r="H4762" s="225">
        <v>826.23</v>
      </c>
      <c r="I4762" s="225">
        <v>0</v>
      </c>
      <c r="J4762" s="225">
        <v>0</v>
      </c>
      <c r="K4762" s="225">
        <v>826.23</v>
      </c>
      <c r="L47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826.23</v>
      </c>
      <c r="M4762" s="225">
        <f>ROUND(IF(AND(Base_Periodo1[[#This Row],[Tipo_Linha]]="-",Base_Periodo1[[#This Row],[TIPOSALDO]]="D"),Base_Periodo1[[#This Row],[SALDO_ATUAL]]*-1,Base_Periodo1[[#This Row],[SALDO_ATUAL]]),4)</f>
        <v>826.23</v>
      </c>
      <c r="N4762" t="s">
        <v>116</v>
      </c>
      <c r="O4762" t="s">
        <v>459</v>
      </c>
      <c r="P4762" t="s">
        <v>459</v>
      </c>
      <c r="Q4762">
        <v>6</v>
      </c>
      <c r="R4762" s="225">
        <f>Base_Periodo1[[#This Row],[CREDITOS]]-Base_Periodo1[[#This Row],[DEBITOS]]</f>
        <v>0</v>
      </c>
      <c r="S4762" s="3" t="str">
        <f>IF(ISERROR(VLOOKUP(Base_Periodo1[[#This Row],[CONTA]],BaseContasDRE[#All],4,FALSE)),"Fora do DRE",VLOOKUP(Base_Periodo1[[#This Row],[CONTA]],BaseContasDRE[#All],4,FALSE))</f>
        <v>Fora do DRE</v>
      </c>
      <c r="T4762" s="3" t="str">
        <f>IF(ISERROR(VLOOKUP(Base_Periodo1[[#This Row],[CONTA]],BaseContasDRE[#All],5,FALSE)),"Fora do DRE",VLOOKUP(Base_Periodo1[[#This Row],[CONTA]],BaseContasDRE[#All],6,FALSE))</f>
        <v>Fora do DRE</v>
      </c>
      <c r="U4762" s="3" t="str">
        <f>IF(ISERROR(VLOOKUP(Base_Periodo1[[#This Row],[CONTA]],BaseContasDRE[#All],7,FALSE)),"Fora do DRE",VLOOKUP(Base_Periodo1[[#This Row],[CONTA]],BaseContasDRE[#All],7,FALSE))</f>
        <v>Fora do DRE</v>
      </c>
      <c r="V4762" s="3" t="str">
        <f>IF(Base_Periodo1[[#This Row],[Tipo_Linha]]="Fora do DRE","Fora do DRE","( "&amp;Base_Periodo1[[#This Row],[Tipo_Linha]]&amp;" ) "&amp;Base_Periodo1[[#This Row],[Filtro]])</f>
        <v>Fora do DRE</v>
      </c>
      <c r="W4762" s="3" t="str">
        <f>LEFT(Base_Periodo1[[#This Row],[CLASS]],3)</f>
        <v>2.4</v>
      </c>
    </row>
    <row r="4763" spans="1:23" hidden="1">
      <c r="A4763" s="3" t="str">
        <f t="shared" si="74"/>
        <v>Período 1</v>
      </c>
      <c r="B4763">
        <v>28284</v>
      </c>
      <c r="C4763" t="s">
        <v>2300</v>
      </c>
      <c r="D4763" t="s">
        <v>2695</v>
      </c>
      <c r="E4763" s="3" t="str">
        <f>IF(LEN(Base_Periodo1[[#This Row],[CLASS]])&gt;=7,LEFT(Base_Periodo1[[#This Row],[CLASS]],7),"")</f>
        <v>2.4.1.1</v>
      </c>
      <c r="F4763" s="3" t="str">
        <f>VLOOKUP(Base_Periodo1[[#This Row],[Aux]],Base_Contas_Balanco[#All],2,FALSE)</f>
        <v>Capital Social Realizado</v>
      </c>
      <c r="G4763" s="1"/>
      <c r="H4763" s="225">
        <v>52.97</v>
      </c>
      <c r="I4763" s="225">
        <v>0</v>
      </c>
      <c r="J4763" s="225">
        <v>0</v>
      </c>
      <c r="K4763" s="225">
        <v>52.97</v>
      </c>
      <c r="L47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52.97</v>
      </c>
      <c r="M4763" s="225">
        <f>ROUND(IF(AND(Base_Periodo1[[#This Row],[Tipo_Linha]]="-",Base_Periodo1[[#This Row],[TIPOSALDO]]="D"),Base_Periodo1[[#This Row],[SALDO_ATUAL]]*-1,Base_Periodo1[[#This Row],[SALDO_ATUAL]]),4)</f>
        <v>52.97</v>
      </c>
      <c r="N4763" t="s">
        <v>116</v>
      </c>
      <c r="O4763" t="s">
        <v>459</v>
      </c>
      <c r="P4763" t="s">
        <v>459</v>
      </c>
      <c r="Q4763">
        <v>6</v>
      </c>
      <c r="R4763" s="225">
        <f>Base_Periodo1[[#This Row],[CREDITOS]]-Base_Periodo1[[#This Row],[DEBITOS]]</f>
        <v>0</v>
      </c>
      <c r="S4763" s="3" t="str">
        <f>IF(ISERROR(VLOOKUP(Base_Periodo1[[#This Row],[CONTA]],BaseContasDRE[#All],4,FALSE)),"Fora do DRE",VLOOKUP(Base_Periodo1[[#This Row],[CONTA]],BaseContasDRE[#All],4,FALSE))</f>
        <v>Fora do DRE</v>
      </c>
      <c r="T4763" s="3" t="str">
        <f>IF(ISERROR(VLOOKUP(Base_Periodo1[[#This Row],[CONTA]],BaseContasDRE[#All],5,FALSE)),"Fora do DRE",VLOOKUP(Base_Periodo1[[#This Row],[CONTA]],BaseContasDRE[#All],6,FALSE))</f>
        <v>Fora do DRE</v>
      </c>
      <c r="U4763" s="3" t="str">
        <f>IF(ISERROR(VLOOKUP(Base_Periodo1[[#This Row],[CONTA]],BaseContasDRE[#All],7,FALSE)),"Fora do DRE",VLOOKUP(Base_Periodo1[[#This Row],[CONTA]],BaseContasDRE[#All],7,FALSE))</f>
        <v>Fora do DRE</v>
      </c>
      <c r="V4763" s="3" t="str">
        <f>IF(Base_Periodo1[[#This Row],[Tipo_Linha]]="Fora do DRE","Fora do DRE","( "&amp;Base_Periodo1[[#This Row],[Tipo_Linha]]&amp;" ) "&amp;Base_Periodo1[[#This Row],[Filtro]])</f>
        <v>Fora do DRE</v>
      </c>
      <c r="W4763" s="3" t="str">
        <f>LEFT(Base_Periodo1[[#This Row],[CLASS]],3)</f>
        <v>2.4</v>
      </c>
    </row>
    <row r="4764" spans="1:23" hidden="1">
      <c r="A4764" s="3" t="str">
        <f t="shared" si="74"/>
        <v>Período 1</v>
      </c>
      <c r="B4764">
        <v>40794</v>
      </c>
      <c r="C4764" t="s">
        <v>2300</v>
      </c>
      <c r="D4764" t="s">
        <v>2696</v>
      </c>
      <c r="E4764" s="3" t="str">
        <f>IF(LEN(Base_Periodo1[[#This Row],[CLASS]])&gt;=7,LEFT(Base_Periodo1[[#This Row],[CLASS]],7),"")</f>
        <v>2.4.1.1</v>
      </c>
      <c r="F4764" s="3" t="str">
        <f>VLOOKUP(Base_Periodo1[[#This Row],[Aux]],Base_Contas_Balanco[#All],2,FALSE)</f>
        <v>Capital Social Realizado</v>
      </c>
      <c r="G4764" s="1"/>
      <c r="H4764" s="225">
        <v>709.89</v>
      </c>
      <c r="I4764" s="225">
        <v>0</v>
      </c>
      <c r="J4764" s="225">
        <v>0</v>
      </c>
      <c r="K4764" s="225">
        <v>709.89</v>
      </c>
      <c r="L47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709.89</v>
      </c>
      <c r="M4764" s="225">
        <f>ROUND(IF(AND(Base_Periodo1[[#This Row],[Tipo_Linha]]="-",Base_Periodo1[[#This Row],[TIPOSALDO]]="D"),Base_Periodo1[[#This Row],[SALDO_ATUAL]]*-1,Base_Periodo1[[#This Row],[SALDO_ATUAL]]),4)</f>
        <v>709.89</v>
      </c>
      <c r="N4764" t="s">
        <v>116</v>
      </c>
      <c r="O4764" t="s">
        <v>459</v>
      </c>
      <c r="P4764" t="s">
        <v>459</v>
      </c>
      <c r="Q4764">
        <v>6</v>
      </c>
      <c r="R4764" s="225">
        <f>Base_Periodo1[[#This Row],[CREDITOS]]-Base_Periodo1[[#This Row],[DEBITOS]]</f>
        <v>0</v>
      </c>
      <c r="S4764" s="3" t="str">
        <f>IF(ISERROR(VLOOKUP(Base_Periodo1[[#This Row],[CONTA]],BaseContasDRE[#All],4,FALSE)),"Fora do DRE",VLOOKUP(Base_Periodo1[[#This Row],[CONTA]],BaseContasDRE[#All],4,FALSE))</f>
        <v>Fora do DRE</v>
      </c>
      <c r="T4764" s="3" t="str">
        <f>IF(ISERROR(VLOOKUP(Base_Periodo1[[#This Row],[CONTA]],BaseContasDRE[#All],5,FALSE)),"Fora do DRE",VLOOKUP(Base_Periodo1[[#This Row],[CONTA]],BaseContasDRE[#All],6,FALSE))</f>
        <v>Fora do DRE</v>
      </c>
      <c r="U4764" s="3" t="str">
        <f>IF(ISERROR(VLOOKUP(Base_Periodo1[[#This Row],[CONTA]],BaseContasDRE[#All],7,FALSE)),"Fora do DRE",VLOOKUP(Base_Periodo1[[#This Row],[CONTA]],BaseContasDRE[#All],7,FALSE))</f>
        <v>Fora do DRE</v>
      </c>
      <c r="V4764" s="3" t="str">
        <f>IF(Base_Periodo1[[#This Row],[Tipo_Linha]]="Fora do DRE","Fora do DRE","( "&amp;Base_Periodo1[[#This Row],[Tipo_Linha]]&amp;" ) "&amp;Base_Periodo1[[#This Row],[Filtro]])</f>
        <v>Fora do DRE</v>
      </c>
      <c r="W4764" s="3" t="str">
        <f>LEFT(Base_Periodo1[[#This Row],[CLASS]],3)</f>
        <v>2.4</v>
      </c>
    </row>
    <row r="4765" spans="1:23" hidden="1">
      <c r="A4765" s="3" t="str">
        <f t="shared" si="74"/>
        <v>Período 1</v>
      </c>
      <c r="B4765">
        <v>51571</v>
      </c>
      <c r="C4765" t="s">
        <v>2300</v>
      </c>
      <c r="D4765" t="s">
        <v>4622</v>
      </c>
      <c r="E4765" s="3" t="str">
        <f>IF(LEN(Base_Periodo1[[#This Row],[CLASS]])&gt;=7,LEFT(Base_Periodo1[[#This Row],[CLASS]],7),"")</f>
        <v>2.4.1.1</v>
      </c>
      <c r="F4765" s="3" t="str">
        <f>VLOOKUP(Base_Periodo1[[#This Row],[Aux]],Base_Contas_Balanco[#All],2,FALSE)</f>
        <v>Capital Social Realizado</v>
      </c>
      <c r="G4765" s="1"/>
      <c r="H4765" s="225">
        <v>50</v>
      </c>
      <c r="I4765" s="225">
        <v>0</v>
      </c>
      <c r="J4765" s="225">
        <v>0</v>
      </c>
      <c r="K4765" s="225">
        <v>50</v>
      </c>
      <c r="L47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65" s="225">
        <f>ROUND(IF(AND(Base_Periodo1[[#This Row],[Tipo_Linha]]="-",Base_Periodo1[[#This Row],[TIPOSALDO]]="D"),Base_Periodo1[[#This Row],[SALDO_ATUAL]]*-1,Base_Periodo1[[#This Row],[SALDO_ATUAL]]),4)</f>
        <v>50</v>
      </c>
      <c r="N4765" t="s">
        <v>116</v>
      </c>
      <c r="O4765" t="s">
        <v>459</v>
      </c>
      <c r="P4765" t="s">
        <v>459</v>
      </c>
      <c r="Q4765">
        <v>6</v>
      </c>
      <c r="R4765" s="225">
        <f>Base_Periodo1[[#This Row],[CREDITOS]]-Base_Periodo1[[#This Row],[DEBITOS]]</f>
        <v>0</v>
      </c>
      <c r="S4765" s="3" t="str">
        <f>IF(ISERROR(VLOOKUP(Base_Periodo1[[#This Row],[CONTA]],BaseContasDRE[#All],4,FALSE)),"Fora do DRE",VLOOKUP(Base_Periodo1[[#This Row],[CONTA]],BaseContasDRE[#All],4,FALSE))</f>
        <v>Fora do DRE</v>
      </c>
      <c r="T4765" s="3" t="str">
        <f>IF(ISERROR(VLOOKUP(Base_Periodo1[[#This Row],[CONTA]],BaseContasDRE[#All],5,FALSE)),"Fora do DRE",VLOOKUP(Base_Periodo1[[#This Row],[CONTA]],BaseContasDRE[#All],6,FALSE))</f>
        <v>Fora do DRE</v>
      </c>
      <c r="U4765" s="3" t="str">
        <f>IF(ISERROR(VLOOKUP(Base_Periodo1[[#This Row],[CONTA]],BaseContasDRE[#All],7,FALSE)),"Fora do DRE",VLOOKUP(Base_Periodo1[[#This Row],[CONTA]],BaseContasDRE[#All],7,FALSE))</f>
        <v>Fora do DRE</v>
      </c>
      <c r="V4765" s="3" t="str">
        <f>IF(Base_Periodo1[[#This Row],[Tipo_Linha]]="Fora do DRE","Fora do DRE","( "&amp;Base_Periodo1[[#This Row],[Tipo_Linha]]&amp;" ) "&amp;Base_Periodo1[[#This Row],[Filtro]])</f>
        <v>Fora do DRE</v>
      </c>
      <c r="W4765" s="3" t="str">
        <f>LEFT(Base_Periodo1[[#This Row],[CLASS]],3)</f>
        <v>2.4</v>
      </c>
    </row>
    <row r="4766" spans="1:23" hidden="1">
      <c r="A4766" s="3" t="str">
        <f t="shared" si="74"/>
        <v>Período 1</v>
      </c>
      <c r="B4766">
        <v>46984</v>
      </c>
      <c r="C4766" t="s">
        <v>2300</v>
      </c>
      <c r="D4766" t="s">
        <v>2697</v>
      </c>
      <c r="E4766" s="3" t="str">
        <f>IF(LEN(Base_Periodo1[[#This Row],[CLASS]])&gt;=7,LEFT(Base_Periodo1[[#This Row],[CLASS]],7),"")</f>
        <v>2.4.1.1</v>
      </c>
      <c r="F4766" s="3" t="str">
        <f>VLOOKUP(Base_Periodo1[[#This Row],[Aux]],Base_Contas_Balanco[#All],2,FALSE)</f>
        <v>Capital Social Realizado</v>
      </c>
      <c r="G4766" s="1"/>
      <c r="H4766" s="225">
        <v>68.2</v>
      </c>
      <c r="I4766" s="225">
        <v>0</v>
      </c>
      <c r="J4766" s="225">
        <v>0</v>
      </c>
      <c r="K4766" s="225">
        <v>68.2</v>
      </c>
      <c r="L47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68.2</v>
      </c>
      <c r="M4766" s="225">
        <f>ROUND(IF(AND(Base_Periodo1[[#This Row],[Tipo_Linha]]="-",Base_Periodo1[[#This Row],[TIPOSALDO]]="D"),Base_Periodo1[[#This Row],[SALDO_ATUAL]]*-1,Base_Periodo1[[#This Row],[SALDO_ATUAL]]),4)</f>
        <v>68.2</v>
      </c>
      <c r="N4766" t="s">
        <v>116</v>
      </c>
      <c r="O4766" t="s">
        <v>459</v>
      </c>
      <c r="P4766" t="s">
        <v>459</v>
      </c>
      <c r="Q4766">
        <v>6</v>
      </c>
      <c r="R4766" s="225">
        <f>Base_Periodo1[[#This Row],[CREDITOS]]-Base_Periodo1[[#This Row],[DEBITOS]]</f>
        <v>0</v>
      </c>
      <c r="S4766" s="3" t="str">
        <f>IF(ISERROR(VLOOKUP(Base_Periodo1[[#This Row],[CONTA]],BaseContasDRE[#All],4,FALSE)),"Fora do DRE",VLOOKUP(Base_Periodo1[[#This Row],[CONTA]],BaseContasDRE[#All],4,FALSE))</f>
        <v>Fora do DRE</v>
      </c>
      <c r="T4766" s="3" t="str">
        <f>IF(ISERROR(VLOOKUP(Base_Periodo1[[#This Row],[CONTA]],BaseContasDRE[#All],5,FALSE)),"Fora do DRE",VLOOKUP(Base_Periodo1[[#This Row],[CONTA]],BaseContasDRE[#All],6,FALSE))</f>
        <v>Fora do DRE</v>
      </c>
      <c r="U4766" s="3" t="str">
        <f>IF(ISERROR(VLOOKUP(Base_Periodo1[[#This Row],[CONTA]],BaseContasDRE[#All],7,FALSE)),"Fora do DRE",VLOOKUP(Base_Periodo1[[#This Row],[CONTA]],BaseContasDRE[#All],7,FALSE))</f>
        <v>Fora do DRE</v>
      </c>
      <c r="V4766" s="3" t="str">
        <f>IF(Base_Periodo1[[#This Row],[Tipo_Linha]]="Fora do DRE","Fora do DRE","( "&amp;Base_Periodo1[[#This Row],[Tipo_Linha]]&amp;" ) "&amp;Base_Periodo1[[#This Row],[Filtro]])</f>
        <v>Fora do DRE</v>
      </c>
      <c r="W4766" s="3" t="str">
        <f>LEFT(Base_Periodo1[[#This Row],[CLASS]],3)</f>
        <v>2.4</v>
      </c>
    </row>
    <row r="4767" spans="1:23" hidden="1">
      <c r="A4767" s="3" t="str">
        <f t="shared" si="74"/>
        <v>Período 1</v>
      </c>
      <c r="B4767">
        <v>21217</v>
      </c>
      <c r="C4767" t="s">
        <v>2300</v>
      </c>
      <c r="D4767" t="s">
        <v>2698</v>
      </c>
      <c r="E4767" s="3" t="str">
        <f>IF(LEN(Base_Periodo1[[#This Row],[CLASS]])&gt;=7,LEFT(Base_Periodo1[[#This Row],[CLASS]],7),"")</f>
        <v>2.4.1.1</v>
      </c>
      <c r="F4767" s="3" t="str">
        <f>VLOOKUP(Base_Periodo1[[#This Row],[Aux]],Base_Contas_Balanco[#All],2,FALSE)</f>
        <v>Capital Social Realizado</v>
      </c>
      <c r="G4767" s="1"/>
      <c r="H4767" s="225">
        <v>1466.31</v>
      </c>
      <c r="I4767" s="225">
        <v>0</v>
      </c>
      <c r="J4767" s="225">
        <v>0</v>
      </c>
      <c r="K4767" s="225">
        <v>1466.31</v>
      </c>
      <c r="L47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1466.31</v>
      </c>
      <c r="M4767" s="225">
        <f>ROUND(IF(AND(Base_Periodo1[[#This Row],[Tipo_Linha]]="-",Base_Periodo1[[#This Row],[TIPOSALDO]]="D"),Base_Periodo1[[#This Row],[SALDO_ATUAL]]*-1,Base_Periodo1[[#This Row],[SALDO_ATUAL]]),4)</f>
        <v>1466.31</v>
      </c>
      <c r="N4767" t="s">
        <v>116</v>
      </c>
      <c r="O4767" t="s">
        <v>459</v>
      </c>
      <c r="P4767" t="s">
        <v>459</v>
      </c>
      <c r="Q4767">
        <v>6</v>
      </c>
      <c r="R4767" s="225">
        <f>Base_Periodo1[[#This Row],[CREDITOS]]-Base_Periodo1[[#This Row],[DEBITOS]]</f>
        <v>0</v>
      </c>
      <c r="S4767" s="3" t="str">
        <f>IF(ISERROR(VLOOKUP(Base_Periodo1[[#This Row],[CONTA]],BaseContasDRE[#All],4,FALSE)),"Fora do DRE",VLOOKUP(Base_Periodo1[[#This Row],[CONTA]],BaseContasDRE[#All],4,FALSE))</f>
        <v>Fora do DRE</v>
      </c>
      <c r="T4767" s="3" t="str">
        <f>IF(ISERROR(VLOOKUP(Base_Periodo1[[#This Row],[CONTA]],BaseContasDRE[#All],5,FALSE)),"Fora do DRE",VLOOKUP(Base_Periodo1[[#This Row],[CONTA]],BaseContasDRE[#All],6,FALSE))</f>
        <v>Fora do DRE</v>
      </c>
      <c r="U4767" s="3" t="str">
        <f>IF(ISERROR(VLOOKUP(Base_Periodo1[[#This Row],[CONTA]],BaseContasDRE[#All],7,FALSE)),"Fora do DRE",VLOOKUP(Base_Periodo1[[#This Row],[CONTA]],BaseContasDRE[#All],7,FALSE))</f>
        <v>Fora do DRE</v>
      </c>
      <c r="V4767" s="3" t="str">
        <f>IF(Base_Periodo1[[#This Row],[Tipo_Linha]]="Fora do DRE","Fora do DRE","( "&amp;Base_Periodo1[[#This Row],[Tipo_Linha]]&amp;" ) "&amp;Base_Periodo1[[#This Row],[Filtro]])</f>
        <v>Fora do DRE</v>
      </c>
      <c r="W4767" s="3" t="str">
        <f>LEFT(Base_Periodo1[[#This Row],[CLASS]],3)</f>
        <v>2.4</v>
      </c>
    </row>
    <row r="4768" spans="1:23" hidden="1">
      <c r="A4768" s="3" t="str">
        <f t="shared" si="74"/>
        <v>Período 1</v>
      </c>
      <c r="B4768">
        <v>28264</v>
      </c>
      <c r="C4768" t="s">
        <v>2300</v>
      </c>
      <c r="D4768" t="s">
        <v>2699</v>
      </c>
      <c r="E4768" s="3" t="str">
        <f>IF(LEN(Base_Periodo1[[#This Row],[CLASS]])&gt;=7,LEFT(Base_Periodo1[[#This Row],[CLASS]],7),"")</f>
        <v>2.4.1.1</v>
      </c>
      <c r="F4768" s="3" t="str">
        <f>VLOOKUP(Base_Periodo1[[#This Row],[Aux]],Base_Contas_Balanco[#All],2,FALSE)</f>
        <v>Capital Social Realizado</v>
      </c>
      <c r="G4768" s="1"/>
      <c r="H4768" s="225">
        <v>50</v>
      </c>
      <c r="I4768" s="225">
        <v>0</v>
      </c>
      <c r="J4768" s="225">
        <v>0</v>
      </c>
      <c r="K4768" s="225">
        <v>50</v>
      </c>
      <c r="L47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68" s="225">
        <f>ROUND(IF(AND(Base_Periodo1[[#This Row],[Tipo_Linha]]="-",Base_Periodo1[[#This Row],[TIPOSALDO]]="D"),Base_Periodo1[[#This Row],[SALDO_ATUAL]]*-1,Base_Periodo1[[#This Row],[SALDO_ATUAL]]),4)</f>
        <v>50</v>
      </c>
      <c r="N4768" t="s">
        <v>116</v>
      </c>
      <c r="O4768" t="s">
        <v>459</v>
      </c>
      <c r="P4768" t="s">
        <v>459</v>
      </c>
      <c r="Q4768">
        <v>6</v>
      </c>
      <c r="R4768" s="225">
        <f>Base_Periodo1[[#This Row],[CREDITOS]]-Base_Periodo1[[#This Row],[DEBITOS]]</f>
        <v>0</v>
      </c>
      <c r="S4768" s="3" t="str">
        <f>IF(ISERROR(VLOOKUP(Base_Periodo1[[#This Row],[CONTA]],BaseContasDRE[#All],4,FALSE)),"Fora do DRE",VLOOKUP(Base_Periodo1[[#This Row],[CONTA]],BaseContasDRE[#All],4,FALSE))</f>
        <v>Fora do DRE</v>
      </c>
      <c r="T4768" s="3" t="str">
        <f>IF(ISERROR(VLOOKUP(Base_Periodo1[[#This Row],[CONTA]],BaseContasDRE[#All],5,FALSE)),"Fora do DRE",VLOOKUP(Base_Periodo1[[#This Row],[CONTA]],BaseContasDRE[#All],6,FALSE))</f>
        <v>Fora do DRE</v>
      </c>
      <c r="U4768" s="3" t="str">
        <f>IF(ISERROR(VLOOKUP(Base_Periodo1[[#This Row],[CONTA]],BaseContasDRE[#All],7,FALSE)),"Fora do DRE",VLOOKUP(Base_Periodo1[[#This Row],[CONTA]],BaseContasDRE[#All],7,FALSE))</f>
        <v>Fora do DRE</v>
      </c>
      <c r="V4768" s="3" t="str">
        <f>IF(Base_Periodo1[[#This Row],[Tipo_Linha]]="Fora do DRE","Fora do DRE","( "&amp;Base_Periodo1[[#This Row],[Tipo_Linha]]&amp;" ) "&amp;Base_Periodo1[[#This Row],[Filtro]])</f>
        <v>Fora do DRE</v>
      </c>
      <c r="W4768" s="3" t="str">
        <f>LEFT(Base_Periodo1[[#This Row],[CLASS]],3)</f>
        <v>2.4</v>
      </c>
    </row>
    <row r="4769" spans="1:23" hidden="1">
      <c r="A4769" s="3" t="str">
        <f t="shared" si="74"/>
        <v>Período 1</v>
      </c>
      <c r="B4769">
        <v>25243</v>
      </c>
      <c r="C4769" t="s">
        <v>2300</v>
      </c>
      <c r="D4769" t="s">
        <v>2700</v>
      </c>
      <c r="E4769" s="3" t="str">
        <f>IF(LEN(Base_Periodo1[[#This Row],[CLASS]])&gt;=7,LEFT(Base_Periodo1[[#This Row],[CLASS]],7),"")</f>
        <v>2.4.1.1</v>
      </c>
      <c r="F4769" s="3" t="str">
        <f>VLOOKUP(Base_Periodo1[[#This Row],[Aux]],Base_Contas_Balanco[#All],2,FALSE)</f>
        <v>Capital Social Realizado</v>
      </c>
      <c r="G4769" s="1"/>
      <c r="H4769" s="225">
        <v>265.28000000000003</v>
      </c>
      <c r="I4769" s="225">
        <v>0</v>
      </c>
      <c r="J4769" s="225">
        <v>0</v>
      </c>
      <c r="K4769" s="225">
        <v>265.28000000000003</v>
      </c>
      <c r="L47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265.27999999999997</v>
      </c>
      <c r="M4769" s="225">
        <f>ROUND(IF(AND(Base_Periodo1[[#This Row],[Tipo_Linha]]="-",Base_Periodo1[[#This Row],[TIPOSALDO]]="D"),Base_Periodo1[[#This Row],[SALDO_ATUAL]]*-1,Base_Periodo1[[#This Row],[SALDO_ATUAL]]),4)</f>
        <v>265.27999999999997</v>
      </c>
      <c r="N4769" t="s">
        <v>116</v>
      </c>
      <c r="O4769" t="s">
        <v>459</v>
      </c>
      <c r="P4769" t="s">
        <v>459</v>
      </c>
      <c r="Q4769">
        <v>6</v>
      </c>
      <c r="R4769" s="225">
        <f>Base_Periodo1[[#This Row],[CREDITOS]]-Base_Periodo1[[#This Row],[DEBITOS]]</f>
        <v>0</v>
      </c>
      <c r="S4769" s="3" t="str">
        <f>IF(ISERROR(VLOOKUP(Base_Periodo1[[#This Row],[CONTA]],BaseContasDRE[#All],4,FALSE)),"Fora do DRE",VLOOKUP(Base_Periodo1[[#This Row],[CONTA]],BaseContasDRE[#All],4,FALSE))</f>
        <v>Fora do DRE</v>
      </c>
      <c r="T4769" s="3" t="str">
        <f>IF(ISERROR(VLOOKUP(Base_Periodo1[[#This Row],[CONTA]],BaseContasDRE[#All],5,FALSE)),"Fora do DRE",VLOOKUP(Base_Periodo1[[#This Row],[CONTA]],BaseContasDRE[#All],6,FALSE))</f>
        <v>Fora do DRE</v>
      </c>
      <c r="U4769" s="3" t="str">
        <f>IF(ISERROR(VLOOKUP(Base_Periodo1[[#This Row],[CONTA]],BaseContasDRE[#All],7,FALSE)),"Fora do DRE",VLOOKUP(Base_Periodo1[[#This Row],[CONTA]],BaseContasDRE[#All],7,FALSE))</f>
        <v>Fora do DRE</v>
      </c>
      <c r="V4769" s="3" t="str">
        <f>IF(Base_Periodo1[[#This Row],[Tipo_Linha]]="Fora do DRE","Fora do DRE","( "&amp;Base_Periodo1[[#This Row],[Tipo_Linha]]&amp;" ) "&amp;Base_Periodo1[[#This Row],[Filtro]])</f>
        <v>Fora do DRE</v>
      </c>
      <c r="W4769" s="3" t="str">
        <f>LEFT(Base_Periodo1[[#This Row],[CLASS]],3)</f>
        <v>2.4</v>
      </c>
    </row>
    <row r="4770" spans="1:23" hidden="1">
      <c r="A4770" s="3" t="str">
        <f t="shared" si="74"/>
        <v>Período 1</v>
      </c>
      <c r="B4770">
        <v>36043</v>
      </c>
      <c r="C4770" t="s">
        <v>2300</v>
      </c>
      <c r="D4770" t="s">
        <v>2701</v>
      </c>
      <c r="E4770" s="3" t="str">
        <f>IF(LEN(Base_Periodo1[[#This Row],[CLASS]])&gt;=7,LEFT(Base_Periodo1[[#This Row],[CLASS]],7),"")</f>
        <v>2.4.1.1</v>
      </c>
      <c r="F4770" s="3" t="str">
        <f>VLOOKUP(Base_Periodo1[[#This Row],[Aux]],Base_Contas_Balanco[#All],2,FALSE)</f>
        <v>Capital Social Realizado</v>
      </c>
      <c r="G4770" s="1"/>
      <c r="H4770" s="225">
        <v>50</v>
      </c>
      <c r="I4770" s="225">
        <v>0</v>
      </c>
      <c r="J4770" s="225">
        <v>0</v>
      </c>
      <c r="K4770" s="225">
        <v>50</v>
      </c>
      <c r="L47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70" s="225">
        <f>ROUND(IF(AND(Base_Periodo1[[#This Row],[Tipo_Linha]]="-",Base_Periodo1[[#This Row],[TIPOSALDO]]="D"),Base_Periodo1[[#This Row],[SALDO_ATUAL]]*-1,Base_Periodo1[[#This Row],[SALDO_ATUAL]]),4)</f>
        <v>50</v>
      </c>
      <c r="N4770" t="s">
        <v>116</v>
      </c>
      <c r="O4770" t="s">
        <v>459</v>
      </c>
      <c r="P4770" t="s">
        <v>459</v>
      </c>
      <c r="Q4770">
        <v>6</v>
      </c>
      <c r="R4770" s="225">
        <f>Base_Periodo1[[#This Row],[CREDITOS]]-Base_Periodo1[[#This Row],[DEBITOS]]</f>
        <v>0</v>
      </c>
      <c r="S4770" s="3" t="str">
        <f>IF(ISERROR(VLOOKUP(Base_Periodo1[[#This Row],[CONTA]],BaseContasDRE[#All],4,FALSE)),"Fora do DRE",VLOOKUP(Base_Periodo1[[#This Row],[CONTA]],BaseContasDRE[#All],4,FALSE))</f>
        <v>Fora do DRE</v>
      </c>
      <c r="T4770" s="3" t="str">
        <f>IF(ISERROR(VLOOKUP(Base_Periodo1[[#This Row],[CONTA]],BaseContasDRE[#All],5,FALSE)),"Fora do DRE",VLOOKUP(Base_Periodo1[[#This Row],[CONTA]],BaseContasDRE[#All],6,FALSE))</f>
        <v>Fora do DRE</v>
      </c>
      <c r="U4770" s="3" t="str">
        <f>IF(ISERROR(VLOOKUP(Base_Periodo1[[#This Row],[CONTA]],BaseContasDRE[#All],7,FALSE)),"Fora do DRE",VLOOKUP(Base_Periodo1[[#This Row],[CONTA]],BaseContasDRE[#All],7,FALSE))</f>
        <v>Fora do DRE</v>
      </c>
      <c r="V4770" s="3" t="str">
        <f>IF(Base_Periodo1[[#This Row],[Tipo_Linha]]="Fora do DRE","Fora do DRE","( "&amp;Base_Periodo1[[#This Row],[Tipo_Linha]]&amp;" ) "&amp;Base_Periodo1[[#This Row],[Filtro]])</f>
        <v>Fora do DRE</v>
      </c>
      <c r="W4770" s="3" t="str">
        <f>LEFT(Base_Periodo1[[#This Row],[CLASS]],3)</f>
        <v>2.4</v>
      </c>
    </row>
    <row r="4771" spans="1:23" hidden="1">
      <c r="A4771" s="3" t="str">
        <f t="shared" si="74"/>
        <v>Período 1</v>
      </c>
      <c r="B4771">
        <v>31715</v>
      </c>
      <c r="C4771" t="s">
        <v>2300</v>
      </c>
      <c r="D4771" t="s">
        <v>2702</v>
      </c>
      <c r="E4771" s="3" t="str">
        <f>IF(LEN(Base_Periodo1[[#This Row],[CLASS]])&gt;=7,LEFT(Base_Periodo1[[#This Row],[CLASS]],7),"")</f>
        <v>2.4.1.1</v>
      </c>
      <c r="F4771" s="3" t="str">
        <f>VLOOKUP(Base_Periodo1[[#This Row],[Aux]],Base_Contas_Balanco[#All],2,FALSE)</f>
        <v>Capital Social Realizado</v>
      </c>
      <c r="G4771" s="1"/>
      <c r="H4771" s="225">
        <v>240</v>
      </c>
      <c r="I4771" s="225">
        <v>0</v>
      </c>
      <c r="J4771" s="225">
        <v>0</v>
      </c>
      <c r="K4771" s="225">
        <v>240</v>
      </c>
      <c r="L47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771" s="225">
        <f>ROUND(IF(AND(Base_Periodo1[[#This Row],[Tipo_Linha]]="-",Base_Periodo1[[#This Row],[TIPOSALDO]]="D"),Base_Periodo1[[#This Row],[SALDO_ATUAL]]*-1,Base_Periodo1[[#This Row],[SALDO_ATUAL]]),4)</f>
        <v>240</v>
      </c>
      <c r="N4771" t="s">
        <v>116</v>
      </c>
      <c r="O4771" t="s">
        <v>459</v>
      </c>
      <c r="P4771" t="s">
        <v>459</v>
      </c>
      <c r="Q4771">
        <v>6</v>
      </c>
      <c r="R4771" s="225">
        <f>Base_Periodo1[[#This Row],[CREDITOS]]-Base_Periodo1[[#This Row],[DEBITOS]]</f>
        <v>0</v>
      </c>
      <c r="S4771" s="3" t="str">
        <f>IF(ISERROR(VLOOKUP(Base_Periodo1[[#This Row],[CONTA]],BaseContasDRE[#All],4,FALSE)),"Fora do DRE",VLOOKUP(Base_Periodo1[[#This Row],[CONTA]],BaseContasDRE[#All],4,FALSE))</f>
        <v>Fora do DRE</v>
      </c>
      <c r="T4771" s="3" t="str">
        <f>IF(ISERROR(VLOOKUP(Base_Periodo1[[#This Row],[CONTA]],BaseContasDRE[#All],5,FALSE)),"Fora do DRE",VLOOKUP(Base_Periodo1[[#This Row],[CONTA]],BaseContasDRE[#All],6,FALSE))</f>
        <v>Fora do DRE</v>
      </c>
      <c r="U4771" s="3" t="str">
        <f>IF(ISERROR(VLOOKUP(Base_Periodo1[[#This Row],[CONTA]],BaseContasDRE[#All],7,FALSE)),"Fora do DRE",VLOOKUP(Base_Periodo1[[#This Row],[CONTA]],BaseContasDRE[#All],7,FALSE))</f>
        <v>Fora do DRE</v>
      </c>
      <c r="V4771" s="3" t="str">
        <f>IF(Base_Periodo1[[#This Row],[Tipo_Linha]]="Fora do DRE","Fora do DRE","( "&amp;Base_Periodo1[[#This Row],[Tipo_Linha]]&amp;" ) "&amp;Base_Periodo1[[#This Row],[Filtro]])</f>
        <v>Fora do DRE</v>
      </c>
      <c r="W4771" s="3" t="str">
        <f>LEFT(Base_Periodo1[[#This Row],[CLASS]],3)</f>
        <v>2.4</v>
      </c>
    </row>
    <row r="4772" spans="1:23" hidden="1">
      <c r="A4772" s="3" t="str">
        <f t="shared" si="74"/>
        <v>Período 1</v>
      </c>
      <c r="B4772">
        <v>16048</v>
      </c>
      <c r="C4772" t="s">
        <v>2300</v>
      </c>
      <c r="D4772" t="s">
        <v>2703</v>
      </c>
      <c r="E4772" s="3" t="str">
        <f>IF(LEN(Base_Periodo1[[#This Row],[CLASS]])&gt;=7,LEFT(Base_Periodo1[[#This Row],[CLASS]],7),"")</f>
        <v>2.4.1.1</v>
      </c>
      <c r="F4772" s="3" t="str">
        <f>VLOOKUP(Base_Periodo1[[#This Row],[Aux]],Base_Contas_Balanco[#All],2,FALSE)</f>
        <v>Capital Social Realizado</v>
      </c>
      <c r="G4772" s="1"/>
      <c r="H4772" s="225">
        <v>45075.929999999993</v>
      </c>
      <c r="I4772" s="225">
        <v>0</v>
      </c>
      <c r="J4772" s="225">
        <v>0</v>
      </c>
      <c r="K4772" s="225">
        <v>45075.929999999993</v>
      </c>
      <c r="L47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45075.93</v>
      </c>
      <c r="M4772" s="225">
        <f>ROUND(IF(AND(Base_Periodo1[[#This Row],[Tipo_Linha]]="-",Base_Periodo1[[#This Row],[TIPOSALDO]]="D"),Base_Periodo1[[#This Row],[SALDO_ATUAL]]*-1,Base_Periodo1[[#This Row],[SALDO_ATUAL]]),4)</f>
        <v>45075.93</v>
      </c>
      <c r="N4772" t="s">
        <v>116</v>
      </c>
      <c r="O4772" t="s">
        <v>459</v>
      </c>
      <c r="P4772" t="s">
        <v>459</v>
      </c>
      <c r="Q4772">
        <v>6</v>
      </c>
      <c r="R4772" s="225">
        <f>Base_Periodo1[[#This Row],[CREDITOS]]-Base_Periodo1[[#This Row],[DEBITOS]]</f>
        <v>0</v>
      </c>
      <c r="S4772" s="3" t="str">
        <f>IF(ISERROR(VLOOKUP(Base_Periodo1[[#This Row],[CONTA]],BaseContasDRE[#All],4,FALSE)),"Fora do DRE",VLOOKUP(Base_Periodo1[[#This Row],[CONTA]],BaseContasDRE[#All],4,FALSE))</f>
        <v>Fora do DRE</v>
      </c>
      <c r="T4772" s="3" t="str">
        <f>IF(ISERROR(VLOOKUP(Base_Periodo1[[#This Row],[CONTA]],BaseContasDRE[#All],5,FALSE)),"Fora do DRE",VLOOKUP(Base_Periodo1[[#This Row],[CONTA]],BaseContasDRE[#All],6,FALSE))</f>
        <v>Fora do DRE</v>
      </c>
      <c r="U4772" s="3" t="str">
        <f>IF(ISERROR(VLOOKUP(Base_Periodo1[[#This Row],[CONTA]],BaseContasDRE[#All],7,FALSE)),"Fora do DRE",VLOOKUP(Base_Periodo1[[#This Row],[CONTA]],BaseContasDRE[#All],7,FALSE))</f>
        <v>Fora do DRE</v>
      </c>
      <c r="V4772" s="3" t="str">
        <f>IF(Base_Periodo1[[#This Row],[Tipo_Linha]]="Fora do DRE","Fora do DRE","( "&amp;Base_Periodo1[[#This Row],[Tipo_Linha]]&amp;" ) "&amp;Base_Periodo1[[#This Row],[Filtro]])</f>
        <v>Fora do DRE</v>
      </c>
      <c r="W4772" s="3" t="str">
        <f>LEFT(Base_Periodo1[[#This Row],[CLASS]],3)</f>
        <v>2.4</v>
      </c>
    </row>
    <row r="4773" spans="1:23" hidden="1">
      <c r="A4773" s="3" t="str">
        <f t="shared" si="74"/>
        <v>Período 1</v>
      </c>
      <c r="B4773">
        <v>39490</v>
      </c>
      <c r="C4773" t="s">
        <v>2300</v>
      </c>
      <c r="D4773" t="s">
        <v>2704</v>
      </c>
      <c r="E4773" s="3" t="str">
        <f>IF(LEN(Base_Periodo1[[#This Row],[CLASS]])&gt;=7,LEFT(Base_Periodo1[[#This Row],[CLASS]],7),"")</f>
        <v>2.4.1.1</v>
      </c>
      <c r="F4773" s="3" t="str">
        <f>VLOOKUP(Base_Periodo1[[#This Row],[Aux]],Base_Contas_Balanco[#All],2,FALSE)</f>
        <v>Capital Social Realizado</v>
      </c>
      <c r="G4773" s="1"/>
      <c r="H4773" s="225">
        <v>265.76</v>
      </c>
      <c r="I4773" s="225">
        <v>0</v>
      </c>
      <c r="J4773" s="225">
        <v>0</v>
      </c>
      <c r="K4773" s="225">
        <v>265.76</v>
      </c>
      <c r="L47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265.76</v>
      </c>
      <c r="M4773" s="225">
        <f>ROUND(IF(AND(Base_Periodo1[[#This Row],[Tipo_Linha]]="-",Base_Periodo1[[#This Row],[TIPOSALDO]]="D"),Base_Periodo1[[#This Row],[SALDO_ATUAL]]*-1,Base_Periodo1[[#This Row],[SALDO_ATUAL]]),4)</f>
        <v>265.76</v>
      </c>
      <c r="N4773" t="s">
        <v>116</v>
      </c>
      <c r="O4773" t="s">
        <v>459</v>
      </c>
      <c r="P4773" t="s">
        <v>459</v>
      </c>
      <c r="Q4773">
        <v>6</v>
      </c>
      <c r="R4773" s="225">
        <f>Base_Periodo1[[#This Row],[CREDITOS]]-Base_Periodo1[[#This Row],[DEBITOS]]</f>
        <v>0</v>
      </c>
      <c r="S4773" s="3" t="str">
        <f>IF(ISERROR(VLOOKUP(Base_Periodo1[[#This Row],[CONTA]],BaseContasDRE[#All],4,FALSE)),"Fora do DRE",VLOOKUP(Base_Periodo1[[#This Row],[CONTA]],BaseContasDRE[#All],4,FALSE))</f>
        <v>Fora do DRE</v>
      </c>
      <c r="T4773" s="3" t="str">
        <f>IF(ISERROR(VLOOKUP(Base_Periodo1[[#This Row],[CONTA]],BaseContasDRE[#All],5,FALSE)),"Fora do DRE",VLOOKUP(Base_Periodo1[[#This Row],[CONTA]],BaseContasDRE[#All],6,FALSE))</f>
        <v>Fora do DRE</v>
      </c>
      <c r="U4773" s="3" t="str">
        <f>IF(ISERROR(VLOOKUP(Base_Periodo1[[#This Row],[CONTA]],BaseContasDRE[#All],7,FALSE)),"Fora do DRE",VLOOKUP(Base_Periodo1[[#This Row],[CONTA]],BaseContasDRE[#All],7,FALSE))</f>
        <v>Fora do DRE</v>
      </c>
      <c r="V4773" s="3" t="str">
        <f>IF(Base_Periodo1[[#This Row],[Tipo_Linha]]="Fora do DRE","Fora do DRE","( "&amp;Base_Periodo1[[#This Row],[Tipo_Linha]]&amp;" ) "&amp;Base_Periodo1[[#This Row],[Filtro]])</f>
        <v>Fora do DRE</v>
      </c>
      <c r="W4773" s="3" t="str">
        <f>LEFT(Base_Periodo1[[#This Row],[CLASS]],3)</f>
        <v>2.4</v>
      </c>
    </row>
    <row r="4774" spans="1:23" hidden="1">
      <c r="A4774" s="3" t="str">
        <f t="shared" si="74"/>
        <v>Período 1</v>
      </c>
      <c r="B4774">
        <v>40757</v>
      </c>
      <c r="C4774" t="s">
        <v>2300</v>
      </c>
      <c r="D4774" t="s">
        <v>2705</v>
      </c>
      <c r="E4774" s="3" t="str">
        <f>IF(LEN(Base_Periodo1[[#This Row],[CLASS]])&gt;=7,LEFT(Base_Periodo1[[#This Row],[CLASS]],7),"")</f>
        <v>2.4.1.1</v>
      </c>
      <c r="F4774" s="3" t="str">
        <f>VLOOKUP(Base_Periodo1[[#This Row],[Aux]],Base_Contas_Balanco[#All],2,FALSE)</f>
        <v>Capital Social Realizado</v>
      </c>
      <c r="G4774" s="1"/>
      <c r="H4774" s="225">
        <v>50</v>
      </c>
      <c r="I4774" s="225">
        <v>0</v>
      </c>
      <c r="J4774" s="225">
        <v>0</v>
      </c>
      <c r="K4774" s="225">
        <v>50</v>
      </c>
      <c r="L47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74" s="225">
        <f>ROUND(IF(AND(Base_Periodo1[[#This Row],[Tipo_Linha]]="-",Base_Periodo1[[#This Row],[TIPOSALDO]]="D"),Base_Periodo1[[#This Row],[SALDO_ATUAL]]*-1,Base_Periodo1[[#This Row],[SALDO_ATUAL]]),4)</f>
        <v>50</v>
      </c>
      <c r="N4774" t="s">
        <v>116</v>
      </c>
      <c r="O4774" t="s">
        <v>459</v>
      </c>
      <c r="P4774" t="s">
        <v>459</v>
      </c>
      <c r="Q4774">
        <v>6</v>
      </c>
      <c r="R4774" s="225">
        <f>Base_Periodo1[[#This Row],[CREDITOS]]-Base_Periodo1[[#This Row],[DEBITOS]]</f>
        <v>0</v>
      </c>
      <c r="S4774" s="3" t="str">
        <f>IF(ISERROR(VLOOKUP(Base_Periodo1[[#This Row],[CONTA]],BaseContasDRE[#All],4,FALSE)),"Fora do DRE",VLOOKUP(Base_Periodo1[[#This Row],[CONTA]],BaseContasDRE[#All],4,FALSE))</f>
        <v>Fora do DRE</v>
      </c>
      <c r="T4774" s="3" t="str">
        <f>IF(ISERROR(VLOOKUP(Base_Periodo1[[#This Row],[CONTA]],BaseContasDRE[#All],5,FALSE)),"Fora do DRE",VLOOKUP(Base_Periodo1[[#This Row],[CONTA]],BaseContasDRE[#All],6,FALSE))</f>
        <v>Fora do DRE</v>
      </c>
      <c r="U4774" s="3" t="str">
        <f>IF(ISERROR(VLOOKUP(Base_Periodo1[[#This Row],[CONTA]],BaseContasDRE[#All],7,FALSE)),"Fora do DRE",VLOOKUP(Base_Periodo1[[#This Row],[CONTA]],BaseContasDRE[#All],7,FALSE))</f>
        <v>Fora do DRE</v>
      </c>
      <c r="V4774" s="3" t="str">
        <f>IF(Base_Periodo1[[#This Row],[Tipo_Linha]]="Fora do DRE","Fora do DRE","( "&amp;Base_Periodo1[[#This Row],[Tipo_Linha]]&amp;" ) "&amp;Base_Periodo1[[#This Row],[Filtro]])</f>
        <v>Fora do DRE</v>
      </c>
      <c r="W4774" s="3" t="str">
        <f>LEFT(Base_Periodo1[[#This Row],[CLASS]],3)</f>
        <v>2.4</v>
      </c>
    </row>
    <row r="4775" spans="1:23" hidden="1">
      <c r="A4775" s="3" t="str">
        <f t="shared" si="74"/>
        <v>Período 1</v>
      </c>
      <c r="B4775">
        <v>39768</v>
      </c>
      <c r="C4775" t="s">
        <v>2300</v>
      </c>
      <c r="D4775" t="s">
        <v>2706</v>
      </c>
      <c r="E4775" s="3" t="str">
        <f>IF(LEN(Base_Periodo1[[#This Row],[CLASS]])&gt;=7,LEFT(Base_Periodo1[[#This Row],[CLASS]],7),"")</f>
        <v>2.4.1.1</v>
      </c>
      <c r="F4775" s="3" t="str">
        <f>VLOOKUP(Base_Periodo1[[#This Row],[Aux]],Base_Contas_Balanco[#All],2,FALSE)</f>
        <v>Capital Social Realizado</v>
      </c>
      <c r="G4775" s="1"/>
      <c r="H4775" s="225">
        <v>1440.86</v>
      </c>
      <c r="I4775" s="225">
        <v>0</v>
      </c>
      <c r="J4775" s="225">
        <v>0</v>
      </c>
      <c r="K4775" s="225">
        <v>1440.86</v>
      </c>
      <c r="L47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1440.86</v>
      </c>
      <c r="M4775" s="225">
        <f>ROUND(IF(AND(Base_Periodo1[[#This Row],[Tipo_Linha]]="-",Base_Periodo1[[#This Row],[TIPOSALDO]]="D"),Base_Periodo1[[#This Row],[SALDO_ATUAL]]*-1,Base_Periodo1[[#This Row],[SALDO_ATUAL]]),4)</f>
        <v>1440.86</v>
      </c>
      <c r="N4775" t="s">
        <v>116</v>
      </c>
      <c r="O4775" t="s">
        <v>459</v>
      </c>
      <c r="P4775" t="s">
        <v>459</v>
      </c>
      <c r="Q4775">
        <v>6</v>
      </c>
      <c r="R4775" s="225">
        <f>Base_Periodo1[[#This Row],[CREDITOS]]-Base_Periodo1[[#This Row],[DEBITOS]]</f>
        <v>0</v>
      </c>
      <c r="S4775" s="3" t="str">
        <f>IF(ISERROR(VLOOKUP(Base_Periodo1[[#This Row],[CONTA]],BaseContasDRE[#All],4,FALSE)),"Fora do DRE",VLOOKUP(Base_Periodo1[[#This Row],[CONTA]],BaseContasDRE[#All],4,FALSE))</f>
        <v>Fora do DRE</v>
      </c>
      <c r="T4775" s="3" t="str">
        <f>IF(ISERROR(VLOOKUP(Base_Periodo1[[#This Row],[CONTA]],BaseContasDRE[#All],5,FALSE)),"Fora do DRE",VLOOKUP(Base_Periodo1[[#This Row],[CONTA]],BaseContasDRE[#All],6,FALSE))</f>
        <v>Fora do DRE</v>
      </c>
      <c r="U4775" s="3" t="str">
        <f>IF(ISERROR(VLOOKUP(Base_Periodo1[[#This Row],[CONTA]],BaseContasDRE[#All],7,FALSE)),"Fora do DRE",VLOOKUP(Base_Periodo1[[#This Row],[CONTA]],BaseContasDRE[#All],7,FALSE))</f>
        <v>Fora do DRE</v>
      </c>
      <c r="V4775" s="3" t="str">
        <f>IF(Base_Periodo1[[#This Row],[Tipo_Linha]]="Fora do DRE","Fora do DRE","( "&amp;Base_Periodo1[[#This Row],[Tipo_Linha]]&amp;" ) "&amp;Base_Periodo1[[#This Row],[Filtro]])</f>
        <v>Fora do DRE</v>
      </c>
      <c r="W4775" s="3" t="str">
        <f>LEFT(Base_Periodo1[[#This Row],[CLASS]],3)</f>
        <v>2.4</v>
      </c>
    </row>
    <row r="4776" spans="1:23" hidden="1">
      <c r="A4776" s="3" t="str">
        <f t="shared" si="74"/>
        <v>Período 1</v>
      </c>
      <c r="B4776">
        <v>57860</v>
      </c>
      <c r="C4776" t="s">
        <v>2300</v>
      </c>
      <c r="D4776" t="s">
        <v>6564</v>
      </c>
      <c r="E4776" s="3" t="str">
        <f>IF(LEN(Base_Periodo1[[#This Row],[CLASS]])&gt;=7,LEFT(Base_Periodo1[[#This Row],[CLASS]],7),"")</f>
        <v>2.4.1.1</v>
      </c>
      <c r="F4776" s="3" t="str">
        <f>VLOOKUP(Base_Periodo1[[#This Row],[Aux]],Base_Contas_Balanco[#All],2,FALSE)</f>
        <v>Capital Social Realizado</v>
      </c>
      <c r="G4776" s="1"/>
      <c r="H4776" s="225">
        <v>50</v>
      </c>
      <c r="I4776" s="225">
        <v>0</v>
      </c>
      <c r="J4776" s="225">
        <v>0</v>
      </c>
      <c r="K4776" s="225">
        <v>50</v>
      </c>
      <c r="L47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76" s="225">
        <f>ROUND(IF(AND(Base_Periodo1[[#This Row],[Tipo_Linha]]="-",Base_Periodo1[[#This Row],[TIPOSALDO]]="D"),Base_Periodo1[[#This Row],[SALDO_ATUAL]]*-1,Base_Periodo1[[#This Row],[SALDO_ATUAL]]),4)</f>
        <v>50</v>
      </c>
      <c r="N4776" t="s">
        <v>116</v>
      </c>
      <c r="O4776" t="s">
        <v>459</v>
      </c>
      <c r="P4776" t="s">
        <v>459</v>
      </c>
      <c r="Q4776">
        <v>6</v>
      </c>
      <c r="R4776" s="225">
        <f>Base_Periodo1[[#This Row],[CREDITOS]]-Base_Periodo1[[#This Row],[DEBITOS]]</f>
        <v>0</v>
      </c>
      <c r="S4776" s="3" t="str">
        <f>IF(ISERROR(VLOOKUP(Base_Periodo1[[#This Row],[CONTA]],BaseContasDRE[#All],4,FALSE)),"Fora do DRE",VLOOKUP(Base_Periodo1[[#This Row],[CONTA]],BaseContasDRE[#All],4,FALSE))</f>
        <v>Fora do DRE</v>
      </c>
      <c r="T4776" s="3" t="str">
        <f>IF(ISERROR(VLOOKUP(Base_Periodo1[[#This Row],[CONTA]],BaseContasDRE[#All],5,FALSE)),"Fora do DRE",VLOOKUP(Base_Periodo1[[#This Row],[CONTA]],BaseContasDRE[#All],6,FALSE))</f>
        <v>Fora do DRE</v>
      </c>
      <c r="U4776" s="3" t="str">
        <f>IF(ISERROR(VLOOKUP(Base_Periodo1[[#This Row],[CONTA]],BaseContasDRE[#All],7,FALSE)),"Fora do DRE",VLOOKUP(Base_Periodo1[[#This Row],[CONTA]],BaseContasDRE[#All],7,FALSE))</f>
        <v>Fora do DRE</v>
      </c>
      <c r="V4776" s="3" t="str">
        <f>IF(Base_Periodo1[[#This Row],[Tipo_Linha]]="Fora do DRE","Fora do DRE","( "&amp;Base_Periodo1[[#This Row],[Tipo_Linha]]&amp;" ) "&amp;Base_Periodo1[[#This Row],[Filtro]])</f>
        <v>Fora do DRE</v>
      </c>
      <c r="W4776" s="3" t="str">
        <f>LEFT(Base_Periodo1[[#This Row],[CLASS]],3)</f>
        <v>2.4</v>
      </c>
    </row>
    <row r="4777" spans="1:23" hidden="1">
      <c r="A4777" s="3" t="str">
        <f t="shared" si="74"/>
        <v>Período 1</v>
      </c>
      <c r="B4777">
        <v>25559</v>
      </c>
      <c r="C4777" t="s">
        <v>2300</v>
      </c>
      <c r="D4777" t="s">
        <v>2707</v>
      </c>
      <c r="E4777" s="3" t="str">
        <f>IF(LEN(Base_Periodo1[[#This Row],[CLASS]])&gt;=7,LEFT(Base_Periodo1[[#This Row],[CLASS]],7),"")</f>
        <v>2.4.1.1</v>
      </c>
      <c r="F4777" s="3" t="str">
        <f>VLOOKUP(Base_Periodo1[[#This Row],[Aux]],Base_Contas_Balanco[#All],2,FALSE)</f>
        <v>Capital Social Realizado</v>
      </c>
      <c r="G4777" s="1"/>
      <c r="H4777" s="225">
        <v>50</v>
      </c>
      <c r="I4777" s="225">
        <v>0</v>
      </c>
      <c r="J4777" s="225">
        <v>0</v>
      </c>
      <c r="K4777" s="225">
        <v>50</v>
      </c>
      <c r="L47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77" s="225">
        <f>ROUND(IF(AND(Base_Periodo1[[#This Row],[Tipo_Linha]]="-",Base_Periodo1[[#This Row],[TIPOSALDO]]="D"),Base_Periodo1[[#This Row],[SALDO_ATUAL]]*-1,Base_Periodo1[[#This Row],[SALDO_ATUAL]]),4)</f>
        <v>50</v>
      </c>
      <c r="N4777" t="s">
        <v>116</v>
      </c>
      <c r="O4777" t="s">
        <v>459</v>
      </c>
      <c r="P4777" t="s">
        <v>459</v>
      </c>
      <c r="Q4777">
        <v>6</v>
      </c>
      <c r="R4777" s="225">
        <f>Base_Periodo1[[#This Row],[CREDITOS]]-Base_Periodo1[[#This Row],[DEBITOS]]</f>
        <v>0</v>
      </c>
      <c r="S4777" s="3" t="str">
        <f>IF(ISERROR(VLOOKUP(Base_Periodo1[[#This Row],[CONTA]],BaseContasDRE[#All],4,FALSE)),"Fora do DRE",VLOOKUP(Base_Periodo1[[#This Row],[CONTA]],BaseContasDRE[#All],4,FALSE))</f>
        <v>Fora do DRE</v>
      </c>
      <c r="T4777" s="3" t="str">
        <f>IF(ISERROR(VLOOKUP(Base_Periodo1[[#This Row],[CONTA]],BaseContasDRE[#All],5,FALSE)),"Fora do DRE",VLOOKUP(Base_Periodo1[[#This Row],[CONTA]],BaseContasDRE[#All],6,FALSE))</f>
        <v>Fora do DRE</v>
      </c>
      <c r="U4777" s="3" t="str">
        <f>IF(ISERROR(VLOOKUP(Base_Periodo1[[#This Row],[CONTA]],BaseContasDRE[#All],7,FALSE)),"Fora do DRE",VLOOKUP(Base_Periodo1[[#This Row],[CONTA]],BaseContasDRE[#All],7,FALSE))</f>
        <v>Fora do DRE</v>
      </c>
      <c r="V4777" s="3" t="str">
        <f>IF(Base_Periodo1[[#This Row],[Tipo_Linha]]="Fora do DRE","Fora do DRE","( "&amp;Base_Periodo1[[#This Row],[Tipo_Linha]]&amp;" ) "&amp;Base_Periodo1[[#This Row],[Filtro]])</f>
        <v>Fora do DRE</v>
      </c>
      <c r="W4777" s="3" t="str">
        <f>LEFT(Base_Periodo1[[#This Row],[CLASS]],3)</f>
        <v>2.4</v>
      </c>
    </row>
    <row r="4778" spans="1:23" hidden="1">
      <c r="A4778" s="3" t="str">
        <f t="shared" si="74"/>
        <v>Período 1</v>
      </c>
      <c r="B4778">
        <v>40596</v>
      </c>
      <c r="C4778" t="s">
        <v>2300</v>
      </c>
      <c r="D4778" t="s">
        <v>2708</v>
      </c>
      <c r="E4778" s="3" t="str">
        <f>IF(LEN(Base_Periodo1[[#This Row],[CLASS]])&gt;=7,LEFT(Base_Periodo1[[#This Row],[CLASS]],7),"")</f>
        <v>2.4.1.1</v>
      </c>
      <c r="F4778" s="3" t="str">
        <f>VLOOKUP(Base_Periodo1[[#This Row],[Aux]],Base_Contas_Balanco[#All],2,FALSE)</f>
        <v>Capital Social Realizado</v>
      </c>
      <c r="G4778" s="1"/>
      <c r="H4778" s="225">
        <v>81.94</v>
      </c>
      <c r="I4778" s="225">
        <v>0</v>
      </c>
      <c r="J4778" s="225">
        <v>0</v>
      </c>
      <c r="K4778" s="225">
        <v>81.94</v>
      </c>
      <c r="L47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81.94</v>
      </c>
      <c r="M4778" s="225">
        <f>ROUND(IF(AND(Base_Periodo1[[#This Row],[Tipo_Linha]]="-",Base_Periodo1[[#This Row],[TIPOSALDO]]="D"),Base_Periodo1[[#This Row],[SALDO_ATUAL]]*-1,Base_Periodo1[[#This Row],[SALDO_ATUAL]]),4)</f>
        <v>81.94</v>
      </c>
      <c r="N4778" t="s">
        <v>116</v>
      </c>
      <c r="O4778" t="s">
        <v>459</v>
      </c>
      <c r="P4778" t="s">
        <v>459</v>
      </c>
      <c r="Q4778">
        <v>6</v>
      </c>
      <c r="R4778" s="225">
        <f>Base_Periodo1[[#This Row],[CREDITOS]]-Base_Periodo1[[#This Row],[DEBITOS]]</f>
        <v>0</v>
      </c>
      <c r="S4778" s="3" t="str">
        <f>IF(ISERROR(VLOOKUP(Base_Periodo1[[#This Row],[CONTA]],BaseContasDRE[#All],4,FALSE)),"Fora do DRE",VLOOKUP(Base_Periodo1[[#This Row],[CONTA]],BaseContasDRE[#All],4,FALSE))</f>
        <v>Fora do DRE</v>
      </c>
      <c r="T4778" s="3" t="str">
        <f>IF(ISERROR(VLOOKUP(Base_Periodo1[[#This Row],[CONTA]],BaseContasDRE[#All],5,FALSE)),"Fora do DRE",VLOOKUP(Base_Periodo1[[#This Row],[CONTA]],BaseContasDRE[#All],6,FALSE))</f>
        <v>Fora do DRE</v>
      </c>
      <c r="U4778" s="3" t="str">
        <f>IF(ISERROR(VLOOKUP(Base_Periodo1[[#This Row],[CONTA]],BaseContasDRE[#All],7,FALSE)),"Fora do DRE",VLOOKUP(Base_Periodo1[[#This Row],[CONTA]],BaseContasDRE[#All],7,FALSE))</f>
        <v>Fora do DRE</v>
      </c>
      <c r="V4778" s="3" t="str">
        <f>IF(Base_Periodo1[[#This Row],[Tipo_Linha]]="Fora do DRE","Fora do DRE","( "&amp;Base_Periodo1[[#This Row],[Tipo_Linha]]&amp;" ) "&amp;Base_Periodo1[[#This Row],[Filtro]])</f>
        <v>Fora do DRE</v>
      </c>
      <c r="W4778" s="3" t="str">
        <f>LEFT(Base_Periodo1[[#This Row],[CLASS]],3)</f>
        <v>2.4</v>
      </c>
    </row>
    <row r="4779" spans="1:23" hidden="1">
      <c r="A4779" s="3" t="str">
        <f t="shared" si="74"/>
        <v>Período 1</v>
      </c>
      <c r="B4779">
        <v>47746</v>
      </c>
      <c r="C4779" t="s">
        <v>2300</v>
      </c>
      <c r="D4779" t="s">
        <v>2709</v>
      </c>
      <c r="E4779" s="3" t="str">
        <f>IF(LEN(Base_Periodo1[[#This Row],[CLASS]])&gt;=7,LEFT(Base_Periodo1[[#This Row],[CLASS]],7),"")</f>
        <v>2.4.1.1</v>
      </c>
      <c r="F4779" s="3" t="str">
        <f>VLOOKUP(Base_Periodo1[[#This Row],[Aux]],Base_Contas_Balanco[#All],2,FALSE)</f>
        <v>Capital Social Realizado</v>
      </c>
      <c r="G4779" s="1"/>
      <c r="H4779" s="225">
        <v>1103.03</v>
      </c>
      <c r="I4779" s="225">
        <v>0</v>
      </c>
      <c r="J4779" s="225">
        <v>0</v>
      </c>
      <c r="K4779" s="225">
        <v>1103.03</v>
      </c>
      <c r="L47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1103.03</v>
      </c>
      <c r="M4779" s="225">
        <f>ROUND(IF(AND(Base_Periodo1[[#This Row],[Tipo_Linha]]="-",Base_Periodo1[[#This Row],[TIPOSALDO]]="D"),Base_Periodo1[[#This Row],[SALDO_ATUAL]]*-1,Base_Periodo1[[#This Row],[SALDO_ATUAL]]),4)</f>
        <v>1103.03</v>
      </c>
      <c r="N4779" t="s">
        <v>116</v>
      </c>
      <c r="O4779" t="s">
        <v>459</v>
      </c>
      <c r="P4779" t="s">
        <v>459</v>
      </c>
      <c r="Q4779">
        <v>6</v>
      </c>
      <c r="R4779" s="225">
        <f>Base_Periodo1[[#This Row],[CREDITOS]]-Base_Periodo1[[#This Row],[DEBITOS]]</f>
        <v>0</v>
      </c>
      <c r="S4779" s="3" t="str">
        <f>IF(ISERROR(VLOOKUP(Base_Periodo1[[#This Row],[CONTA]],BaseContasDRE[#All],4,FALSE)),"Fora do DRE",VLOOKUP(Base_Periodo1[[#This Row],[CONTA]],BaseContasDRE[#All],4,FALSE))</f>
        <v>Fora do DRE</v>
      </c>
      <c r="T4779" s="3" t="str">
        <f>IF(ISERROR(VLOOKUP(Base_Periodo1[[#This Row],[CONTA]],BaseContasDRE[#All],5,FALSE)),"Fora do DRE",VLOOKUP(Base_Periodo1[[#This Row],[CONTA]],BaseContasDRE[#All],6,FALSE))</f>
        <v>Fora do DRE</v>
      </c>
      <c r="U4779" s="3" t="str">
        <f>IF(ISERROR(VLOOKUP(Base_Periodo1[[#This Row],[CONTA]],BaseContasDRE[#All],7,FALSE)),"Fora do DRE",VLOOKUP(Base_Periodo1[[#This Row],[CONTA]],BaseContasDRE[#All],7,FALSE))</f>
        <v>Fora do DRE</v>
      </c>
      <c r="V4779" s="3" t="str">
        <f>IF(Base_Periodo1[[#This Row],[Tipo_Linha]]="Fora do DRE","Fora do DRE","( "&amp;Base_Periodo1[[#This Row],[Tipo_Linha]]&amp;" ) "&amp;Base_Periodo1[[#This Row],[Filtro]])</f>
        <v>Fora do DRE</v>
      </c>
      <c r="W4779" s="3" t="str">
        <f>LEFT(Base_Periodo1[[#This Row],[CLASS]],3)</f>
        <v>2.4</v>
      </c>
    </row>
    <row r="4780" spans="1:23" hidden="1">
      <c r="A4780" s="3" t="str">
        <f t="shared" si="74"/>
        <v>Período 1</v>
      </c>
      <c r="B4780">
        <v>16140</v>
      </c>
      <c r="C4780" t="s">
        <v>2300</v>
      </c>
      <c r="D4780" t="s">
        <v>2710</v>
      </c>
      <c r="E4780" s="3" t="str">
        <f>IF(LEN(Base_Periodo1[[#This Row],[CLASS]])&gt;=7,LEFT(Base_Periodo1[[#This Row],[CLASS]],7),"")</f>
        <v>2.4.1.1</v>
      </c>
      <c r="F4780" s="3" t="str">
        <f>VLOOKUP(Base_Periodo1[[#This Row],[Aux]],Base_Contas_Balanco[#All],2,FALSE)</f>
        <v>Capital Social Realizado</v>
      </c>
      <c r="G4780" s="1"/>
      <c r="H4780" s="225">
        <v>13594.07</v>
      </c>
      <c r="I4780" s="225">
        <v>0</v>
      </c>
      <c r="J4780" s="225">
        <v>0</v>
      </c>
      <c r="K4780" s="225">
        <v>13594.07</v>
      </c>
      <c r="L47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13594.07</v>
      </c>
      <c r="M4780" s="225">
        <f>ROUND(IF(AND(Base_Periodo1[[#This Row],[Tipo_Linha]]="-",Base_Periodo1[[#This Row],[TIPOSALDO]]="D"),Base_Periodo1[[#This Row],[SALDO_ATUAL]]*-1,Base_Periodo1[[#This Row],[SALDO_ATUAL]]),4)</f>
        <v>13594.07</v>
      </c>
      <c r="N4780" t="s">
        <v>116</v>
      </c>
      <c r="O4780" t="s">
        <v>459</v>
      </c>
      <c r="P4780" t="s">
        <v>459</v>
      </c>
      <c r="Q4780">
        <v>6</v>
      </c>
      <c r="R4780" s="225">
        <f>Base_Periodo1[[#This Row],[CREDITOS]]-Base_Periodo1[[#This Row],[DEBITOS]]</f>
        <v>0</v>
      </c>
      <c r="S4780" s="3" t="str">
        <f>IF(ISERROR(VLOOKUP(Base_Periodo1[[#This Row],[CONTA]],BaseContasDRE[#All],4,FALSE)),"Fora do DRE",VLOOKUP(Base_Periodo1[[#This Row],[CONTA]],BaseContasDRE[#All],4,FALSE))</f>
        <v>Fora do DRE</v>
      </c>
      <c r="T4780" s="3" t="str">
        <f>IF(ISERROR(VLOOKUP(Base_Periodo1[[#This Row],[CONTA]],BaseContasDRE[#All],5,FALSE)),"Fora do DRE",VLOOKUP(Base_Periodo1[[#This Row],[CONTA]],BaseContasDRE[#All],6,FALSE))</f>
        <v>Fora do DRE</v>
      </c>
      <c r="U4780" s="3" t="str">
        <f>IF(ISERROR(VLOOKUP(Base_Periodo1[[#This Row],[CONTA]],BaseContasDRE[#All],7,FALSE)),"Fora do DRE",VLOOKUP(Base_Periodo1[[#This Row],[CONTA]],BaseContasDRE[#All],7,FALSE))</f>
        <v>Fora do DRE</v>
      </c>
      <c r="V4780" s="3" t="str">
        <f>IF(Base_Periodo1[[#This Row],[Tipo_Linha]]="Fora do DRE","Fora do DRE","( "&amp;Base_Periodo1[[#This Row],[Tipo_Linha]]&amp;" ) "&amp;Base_Periodo1[[#This Row],[Filtro]])</f>
        <v>Fora do DRE</v>
      </c>
      <c r="W4780" s="3" t="str">
        <f>LEFT(Base_Periodo1[[#This Row],[CLASS]],3)</f>
        <v>2.4</v>
      </c>
    </row>
    <row r="4781" spans="1:23" hidden="1">
      <c r="A4781" s="3" t="str">
        <f t="shared" si="74"/>
        <v>Período 1</v>
      </c>
      <c r="B4781">
        <v>26106</v>
      </c>
      <c r="C4781" t="s">
        <v>2300</v>
      </c>
      <c r="D4781" t="s">
        <v>2711</v>
      </c>
      <c r="E4781" s="3" t="str">
        <f>IF(LEN(Base_Periodo1[[#This Row],[CLASS]])&gt;=7,LEFT(Base_Periodo1[[#This Row],[CLASS]],7),"")</f>
        <v>2.4.1.1</v>
      </c>
      <c r="F4781" s="3" t="str">
        <f>VLOOKUP(Base_Periodo1[[#This Row],[Aux]],Base_Contas_Balanco[#All],2,FALSE)</f>
        <v>Capital Social Realizado</v>
      </c>
      <c r="G4781" s="1"/>
      <c r="H4781" s="225">
        <v>79.38</v>
      </c>
      <c r="I4781" s="225">
        <v>0</v>
      </c>
      <c r="J4781" s="225">
        <v>0</v>
      </c>
      <c r="K4781" s="225">
        <v>79.38</v>
      </c>
      <c r="L47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79.38</v>
      </c>
      <c r="M4781" s="225">
        <f>ROUND(IF(AND(Base_Periodo1[[#This Row],[Tipo_Linha]]="-",Base_Periodo1[[#This Row],[TIPOSALDO]]="D"),Base_Periodo1[[#This Row],[SALDO_ATUAL]]*-1,Base_Periodo1[[#This Row],[SALDO_ATUAL]]),4)</f>
        <v>79.38</v>
      </c>
      <c r="N4781" t="s">
        <v>116</v>
      </c>
      <c r="O4781" t="s">
        <v>459</v>
      </c>
      <c r="P4781" t="s">
        <v>459</v>
      </c>
      <c r="Q4781">
        <v>6</v>
      </c>
      <c r="R4781" s="225">
        <f>Base_Periodo1[[#This Row],[CREDITOS]]-Base_Periodo1[[#This Row],[DEBITOS]]</f>
        <v>0</v>
      </c>
      <c r="S4781" s="3" t="str">
        <f>IF(ISERROR(VLOOKUP(Base_Periodo1[[#This Row],[CONTA]],BaseContasDRE[#All],4,FALSE)),"Fora do DRE",VLOOKUP(Base_Periodo1[[#This Row],[CONTA]],BaseContasDRE[#All],4,FALSE))</f>
        <v>Fora do DRE</v>
      </c>
      <c r="T4781" s="3" t="str">
        <f>IF(ISERROR(VLOOKUP(Base_Periodo1[[#This Row],[CONTA]],BaseContasDRE[#All],5,FALSE)),"Fora do DRE",VLOOKUP(Base_Periodo1[[#This Row],[CONTA]],BaseContasDRE[#All],6,FALSE))</f>
        <v>Fora do DRE</v>
      </c>
      <c r="U4781" s="3" t="str">
        <f>IF(ISERROR(VLOOKUP(Base_Periodo1[[#This Row],[CONTA]],BaseContasDRE[#All],7,FALSE)),"Fora do DRE",VLOOKUP(Base_Periodo1[[#This Row],[CONTA]],BaseContasDRE[#All],7,FALSE))</f>
        <v>Fora do DRE</v>
      </c>
      <c r="V4781" s="3" t="str">
        <f>IF(Base_Periodo1[[#This Row],[Tipo_Linha]]="Fora do DRE","Fora do DRE","( "&amp;Base_Periodo1[[#This Row],[Tipo_Linha]]&amp;" ) "&amp;Base_Periodo1[[#This Row],[Filtro]])</f>
        <v>Fora do DRE</v>
      </c>
      <c r="W4781" s="3" t="str">
        <f>LEFT(Base_Periodo1[[#This Row],[CLASS]],3)</f>
        <v>2.4</v>
      </c>
    </row>
    <row r="4782" spans="1:23" hidden="1">
      <c r="A4782" s="3" t="str">
        <f t="shared" si="74"/>
        <v>Período 1</v>
      </c>
      <c r="B4782">
        <v>19277</v>
      </c>
      <c r="C4782" t="s">
        <v>2300</v>
      </c>
      <c r="D4782" t="s">
        <v>2712</v>
      </c>
      <c r="E4782" s="3" t="str">
        <f>IF(LEN(Base_Periodo1[[#This Row],[CLASS]])&gt;=7,LEFT(Base_Periodo1[[#This Row],[CLASS]],7),"")</f>
        <v>2.4.1.1</v>
      </c>
      <c r="F4782" s="3" t="str">
        <f>VLOOKUP(Base_Periodo1[[#This Row],[Aux]],Base_Contas_Balanco[#All],2,FALSE)</f>
        <v>Capital Social Realizado</v>
      </c>
      <c r="G4782" s="1"/>
      <c r="H4782" s="225">
        <v>3821.14</v>
      </c>
      <c r="I4782" s="225">
        <v>0</v>
      </c>
      <c r="J4782" s="225">
        <v>0</v>
      </c>
      <c r="K4782" s="225">
        <v>3821.14</v>
      </c>
      <c r="L47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3821.14</v>
      </c>
      <c r="M4782" s="225">
        <f>ROUND(IF(AND(Base_Periodo1[[#This Row],[Tipo_Linha]]="-",Base_Periodo1[[#This Row],[TIPOSALDO]]="D"),Base_Periodo1[[#This Row],[SALDO_ATUAL]]*-1,Base_Periodo1[[#This Row],[SALDO_ATUAL]]),4)</f>
        <v>3821.14</v>
      </c>
      <c r="N4782" t="s">
        <v>116</v>
      </c>
      <c r="O4782" t="s">
        <v>459</v>
      </c>
      <c r="P4782" t="s">
        <v>459</v>
      </c>
      <c r="Q4782">
        <v>6</v>
      </c>
      <c r="R4782" s="225">
        <f>Base_Periodo1[[#This Row],[CREDITOS]]-Base_Periodo1[[#This Row],[DEBITOS]]</f>
        <v>0</v>
      </c>
      <c r="S4782" s="3" t="str">
        <f>IF(ISERROR(VLOOKUP(Base_Periodo1[[#This Row],[CONTA]],BaseContasDRE[#All],4,FALSE)),"Fora do DRE",VLOOKUP(Base_Periodo1[[#This Row],[CONTA]],BaseContasDRE[#All],4,FALSE))</f>
        <v>Fora do DRE</v>
      </c>
      <c r="T4782" s="3" t="str">
        <f>IF(ISERROR(VLOOKUP(Base_Periodo1[[#This Row],[CONTA]],BaseContasDRE[#All],5,FALSE)),"Fora do DRE",VLOOKUP(Base_Periodo1[[#This Row],[CONTA]],BaseContasDRE[#All],6,FALSE))</f>
        <v>Fora do DRE</v>
      </c>
      <c r="U4782" s="3" t="str">
        <f>IF(ISERROR(VLOOKUP(Base_Periodo1[[#This Row],[CONTA]],BaseContasDRE[#All],7,FALSE)),"Fora do DRE",VLOOKUP(Base_Periodo1[[#This Row],[CONTA]],BaseContasDRE[#All],7,FALSE))</f>
        <v>Fora do DRE</v>
      </c>
      <c r="V4782" s="3" t="str">
        <f>IF(Base_Periodo1[[#This Row],[Tipo_Linha]]="Fora do DRE","Fora do DRE","( "&amp;Base_Periodo1[[#This Row],[Tipo_Linha]]&amp;" ) "&amp;Base_Periodo1[[#This Row],[Filtro]])</f>
        <v>Fora do DRE</v>
      </c>
      <c r="W4782" s="3" t="str">
        <f>LEFT(Base_Periodo1[[#This Row],[CLASS]],3)</f>
        <v>2.4</v>
      </c>
    </row>
    <row r="4783" spans="1:23" hidden="1">
      <c r="A4783" s="3" t="str">
        <f t="shared" si="74"/>
        <v>Período 1</v>
      </c>
      <c r="B4783">
        <v>22601</v>
      </c>
      <c r="C4783" t="s">
        <v>2300</v>
      </c>
      <c r="D4783" t="s">
        <v>2713</v>
      </c>
      <c r="E4783" s="3" t="str">
        <f>IF(LEN(Base_Periodo1[[#This Row],[CLASS]])&gt;=7,LEFT(Base_Periodo1[[#This Row],[CLASS]],7),"")</f>
        <v>2.4.1.1</v>
      </c>
      <c r="F4783" s="3" t="str">
        <f>VLOOKUP(Base_Periodo1[[#This Row],[Aux]],Base_Contas_Balanco[#All],2,FALSE)</f>
        <v>Capital Social Realizado</v>
      </c>
      <c r="G4783" s="1"/>
      <c r="H4783" s="225">
        <v>248.93</v>
      </c>
      <c r="I4783" s="225">
        <v>0</v>
      </c>
      <c r="J4783" s="225">
        <v>0</v>
      </c>
      <c r="K4783" s="225">
        <v>248.93</v>
      </c>
      <c r="L47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248.93</v>
      </c>
      <c r="M4783" s="225">
        <f>ROUND(IF(AND(Base_Periodo1[[#This Row],[Tipo_Linha]]="-",Base_Periodo1[[#This Row],[TIPOSALDO]]="D"),Base_Periodo1[[#This Row],[SALDO_ATUAL]]*-1,Base_Periodo1[[#This Row],[SALDO_ATUAL]]),4)</f>
        <v>248.93</v>
      </c>
      <c r="N4783" t="s">
        <v>116</v>
      </c>
      <c r="O4783" t="s">
        <v>459</v>
      </c>
      <c r="P4783" t="s">
        <v>459</v>
      </c>
      <c r="Q4783">
        <v>6</v>
      </c>
      <c r="R4783" s="225">
        <f>Base_Periodo1[[#This Row],[CREDITOS]]-Base_Periodo1[[#This Row],[DEBITOS]]</f>
        <v>0</v>
      </c>
      <c r="S4783" s="3" t="str">
        <f>IF(ISERROR(VLOOKUP(Base_Periodo1[[#This Row],[CONTA]],BaseContasDRE[#All],4,FALSE)),"Fora do DRE",VLOOKUP(Base_Periodo1[[#This Row],[CONTA]],BaseContasDRE[#All],4,FALSE))</f>
        <v>Fora do DRE</v>
      </c>
      <c r="T4783" s="3" t="str">
        <f>IF(ISERROR(VLOOKUP(Base_Periodo1[[#This Row],[CONTA]],BaseContasDRE[#All],5,FALSE)),"Fora do DRE",VLOOKUP(Base_Periodo1[[#This Row],[CONTA]],BaseContasDRE[#All],6,FALSE))</f>
        <v>Fora do DRE</v>
      </c>
      <c r="U4783" s="3" t="str">
        <f>IF(ISERROR(VLOOKUP(Base_Periodo1[[#This Row],[CONTA]],BaseContasDRE[#All],7,FALSE)),"Fora do DRE",VLOOKUP(Base_Periodo1[[#This Row],[CONTA]],BaseContasDRE[#All],7,FALSE))</f>
        <v>Fora do DRE</v>
      </c>
      <c r="V4783" s="3" t="str">
        <f>IF(Base_Periodo1[[#This Row],[Tipo_Linha]]="Fora do DRE","Fora do DRE","( "&amp;Base_Periodo1[[#This Row],[Tipo_Linha]]&amp;" ) "&amp;Base_Periodo1[[#This Row],[Filtro]])</f>
        <v>Fora do DRE</v>
      </c>
      <c r="W4783" s="3" t="str">
        <f>LEFT(Base_Periodo1[[#This Row],[CLASS]],3)</f>
        <v>2.4</v>
      </c>
    </row>
    <row r="4784" spans="1:23" hidden="1">
      <c r="A4784" s="3" t="str">
        <f t="shared" si="74"/>
        <v>Período 1</v>
      </c>
      <c r="B4784">
        <v>52645</v>
      </c>
      <c r="C4784" t="s">
        <v>2300</v>
      </c>
      <c r="D4784" t="s">
        <v>4787</v>
      </c>
      <c r="E4784" s="3" t="str">
        <f>IF(LEN(Base_Periodo1[[#This Row],[CLASS]])&gt;=7,LEFT(Base_Periodo1[[#This Row],[CLASS]],7),"")</f>
        <v>2.4.1.1</v>
      </c>
      <c r="F4784" s="3" t="str">
        <f>VLOOKUP(Base_Periodo1[[#This Row],[Aux]],Base_Contas_Balanco[#All],2,FALSE)</f>
        <v>Capital Social Realizado</v>
      </c>
      <c r="G4784" s="1"/>
      <c r="H4784" s="225">
        <v>240</v>
      </c>
      <c r="I4784" s="225">
        <v>0</v>
      </c>
      <c r="J4784" s="225">
        <v>0</v>
      </c>
      <c r="K4784" s="225">
        <v>240</v>
      </c>
      <c r="L47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784" s="225">
        <f>ROUND(IF(AND(Base_Periodo1[[#This Row],[Tipo_Linha]]="-",Base_Periodo1[[#This Row],[TIPOSALDO]]="D"),Base_Periodo1[[#This Row],[SALDO_ATUAL]]*-1,Base_Periodo1[[#This Row],[SALDO_ATUAL]]),4)</f>
        <v>240</v>
      </c>
      <c r="N4784" t="s">
        <v>116</v>
      </c>
      <c r="O4784" t="s">
        <v>459</v>
      </c>
      <c r="P4784" t="s">
        <v>459</v>
      </c>
      <c r="Q4784">
        <v>6</v>
      </c>
      <c r="R4784" s="225">
        <f>Base_Periodo1[[#This Row],[CREDITOS]]-Base_Periodo1[[#This Row],[DEBITOS]]</f>
        <v>0</v>
      </c>
      <c r="S4784" s="3" t="str">
        <f>IF(ISERROR(VLOOKUP(Base_Periodo1[[#This Row],[CONTA]],BaseContasDRE[#All],4,FALSE)),"Fora do DRE",VLOOKUP(Base_Periodo1[[#This Row],[CONTA]],BaseContasDRE[#All],4,FALSE))</f>
        <v>Fora do DRE</v>
      </c>
      <c r="T4784" s="3" t="str">
        <f>IF(ISERROR(VLOOKUP(Base_Periodo1[[#This Row],[CONTA]],BaseContasDRE[#All],5,FALSE)),"Fora do DRE",VLOOKUP(Base_Periodo1[[#This Row],[CONTA]],BaseContasDRE[#All],6,FALSE))</f>
        <v>Fora do DRE</v>
      </c>
      <c r="U4784" s="3" t="str">
        <f>IF(ISERROR(VLOOKUP(Base_Periodo1[[#This Row],[CONTA]],BaseContasDRE[#All],7,FALSE)),"Fora do DRE",VLOOKUP(Base_Periodo1[[#This Row],[CONTA]],BaseContasDRE[#All],7,FALSE))</f>
        <v>Fora do DRE</v>
      </c>
      <c r="V4784" s="3" t="str">
        <f>IF(Base_Periodo1[[#This Row],[Tipo_Linha]]="Fora do DRE","Fora do DRE","( "&amp;Base_Periodo1[[#This Row],[Tipo_Linha]]&amp;" ) "&amp;Base_Periodo1[[#This Row],[Filtro]])</f>
        <v>Fora do DRE</v>
      </c>
      <c r="W4784" s="3" t="str">
        <f>LEFT(Base_Periodo1[[#This Row],[CLASS]],3)</f>
        <v>2.4</v>
      </c>
    </row>
    <row r="4785" spans="1:23" hidden="1">
      <c r="A4785" s="3" t="str">
        <f t="shared" si="74"/>
        <v>Período 1</v>
      </c>
      <c r="B4785">
        <v>36037</v>
      </c>
      <c r="C4785" t="s">
        <v>2300</v>
      </c>
      <c r="D4785" t="s">
        <v>2714</v>
      </c>
      <c r="E4785" s="3" t="str">
        <f>IF(LEN(Base_Periodo1[[#This Row],[CLASS]])&gt;=7,LEFT(Base_Periodo1[[#This Row],[CLASS]],7),"")</f>
        <v>2.4.1.1</v>
      </c>
      <c r="F4785" s="3" t="str">
        <f>VLOOKUP(Base_Periodo1[[#This Row],[Aux]],Base_Contas_Balanco[#All],2,FALSE)</f>
        <v>Capital Social Realizado</v>
      </c>
      <c r="G4785" s="1"/>
      <c r="H4785" s="225">
        <v>50</v>
      </c>
      <c r="I4785" s="225">
        <v>0</v>
      </c>
      <c r="J4785" s="225">
        <v>0</v>
      </c>
      <c r="K4785" s="225">
        <v>50</v>
      </c>
      <c r="L47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85" s="225">
        <f>ROUND(IF(AND(Base_Periodo1[[#This Row],[Tipo_Linha]]="-",Base_Periodo1[[#This Row],[TIPOSALDO]]="D"),Base_Periodo1[[#This Row],[SALDO_ATUAL]]*-1,Base_Periodo1[[#This Row],[SALDO_ATUAL]]),4)</f>
        <v>50</v>
      </c>
      <c r="N4785" t="s">
        <v>116</v>
      </c>
      <c r="O4785" t="s">
        <v>459</v>
      </c>
      <c r="P4785" t="s">
        <v>459</v>
      </c>
      <c r="Q4785">
        <v>6</v>
      </c>
      <c r="R4785" s="225">
        <f>Base_Periodo1[[#This Row],[CREDITOS]]-Base_Periodo1[[#This Row],[DEBITOS]]</f>
        <v>0</v>
      </c>
      <c r="S4785" s="3" t="str">
        <f>IF(ISERROR(VLOOKUP(Base_Periodo1[[#This Row],[CONTA]],BaseContasDRE[#All],4,FALSE)),"Fora do DRE",VLOOKUP(Base_Periodo1[[#This Row],[CONTA]],BaseContasDRE[#All],4,FALSE))</f>
        <v>Fora do DRE</v>
      </c>
      <c r="T4785" s="3" t="str">
        <f>IF(ISERROR(VLOOKUP(Base_Periodo1[[#This Row],[CONTA]],BaseContasDRE[#All],5,FALSE)),"Fora do DRE",VLOOKUP(Base_Periodo1[[#This Row],[CONTA]],BaseContasDRE[#All],6,FALSE))</f>
        <v>Fora do DRE</v>
      </c>
      <c r="U4785" s="3" t="str">
        <f>IF(ISERROR(VLOOKUP(Base_Periodo1[[#This Row],[CONTA]],BaseContasDRE[#All],7,FALSE)),"Fora do DRE",VLOOKUP(Base_Periodo1[[#This Row],[CONTA]],BaseContasDRE[#All],7,FALSE))</f>
        <v>Fora do DRE</v>
      </c>
      <c r="V4785" s="3" t="str">
        <f>IF(Base_Periodo1[[#This Row],[Tipo_Linha]]="Fora do DRE","Fora do DRE","( "&amp;Base_Periodo1[[#This Row],[Tipo_Linha]]&amp;" ) "&amp;Base_Periodo1[[#This Row],[Filtro]])</f>
        <v>Fora do DRE</v>
      </c>
      <c r="W4785" s="3" t="str">
        <f>LEFT(Base_Periodo1[[#This Row],[CLASS]],3)</f>
        <v>2.4</v>
      </c>
    </row>
    <row r="4786" spans="1:23" hidden="1">
      <c r="A4786" s="3" t="str">
        <f t="shared" si="74"/>
        <v>Período 1</v>
      </c>
      <c r="B4786">
        <v>25212</v>
      </c>
      <c r="C4786" t="s">
        <v>2300</v>
      </c>
      <c r="D4786" t="s">
        <v>2715</v>
      </c>
      <c r="E4786" s="3" t="str">
        <f>IF(LEN(Base_Periodo1[[#This Row],[CLASS]])&gt;=7,LEFT(Base_Periodo1[[#This Row],[CLASS]],7),"")</f>
        <v>2.4.1.1</v>
      </c>
      <c r="F4786" s="3" t="str">
        <f>VLOOKUP(Base_Periodo1[[#This Row],[Aux]],Base_Contas_Balanco[#All],2,FALSE)</f>
        <v>Capital Social Realizado</v>
      </c>
      <c r="G4786" s="1"/>
      <c r="H4786" s="225">
        <v>613.1</v>
      </c>
      <c r="I4786" s="225">
        <v>0</v>
      </c>
      <c r="J4786" s="225">
        <v>0</v>
      </c>
      <c r="K4786" s="225">
        <v>613.1</v>
      </c>
      <c r="L47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613.1</v>
      </c>
      <c r="M4786" s="225">
        <f>ROUND(IF(AND(Base_Periodo1[[#This Row],[Tipo_Linha]]="-",Base_Periodo1[[#This Row],[TIPOSALDO]]="D"),Base_Periodo1[[#This Row],[SALDO_ATUAL]]*-1,Base_Periodo1[[#This Row],[SALDO_ATUAL]]),4)</f>
        <v>613.1</v>
      </c>
      <c r="N4786" t="s">
        <v>116</v>
      </c>
      <c r="O4786" t="s">
        <v>459</v>
      </c>
      <c r="P4786" t="s">
        <v>459</v>
      </c>
      <c r="Q4786">
        <v>6</v>
      </c>
      <c r="R4786" s="225">
        <f>Base_Periodo1[[#This Row],[CREDITOS]]-Base_Periodo1[[#This Row],[DEBITOS]]</f>
        <v>0</v>
      </c>
      <c r="S4786" s="3" t="str">
        <f>IF(ISERROR(VLOOKUP(Base_Periodo1[[#This Row],[CONTA]],BaseContasDRE[#All],4,FALSE)),"Fora do DRE",VLOOKUP(Base_Periodo1[[#This Row],[CONTA]],BaseContasDRE[#All],4,FALSE))</f>
        <v>Fora do DRE</v>
      </c>
      <c r="T4786" s="3" t="str">
        <f>IF(ISERROR(VLOOKUP(Base_Periodo1[[#This Row],[CONTA]],BaseContasDRE[#All],5,FALSE)),"Fora do DRE",VLOOKUP(Base_Periodo1[[#This Row],[CONTA]],BaseContasDRE[#All],6,FALSE))</f>
        <v>Fora do DRE</v>
      </c>
      <c r="U4786" s="3" t="str">
        <f>IF(ISERROR(VLOOKUP(Base_Periodo1[[#This Row],[CONTA]],BaseContasDRE[#All],7,FALSE)),"Fora do DRE",VLOOKUP(Base_Periodo1[[#This Row],[CONTA]],BaseContasDRE[#All],7,FALSE))</f>
        <v>Fora do DRE</v>
      </c>
      <c r="V4786" s="3" t="str">
        <f>IF(Base_Periodo1[[#This Row],[Tipo_Linha]]="Fora do DRE","Fora do DRE","( "&amp;Base_Periodo1[[#This Row],[Tipo_Linha]]&amp;" ) "&amp;Base_Periodo1[[#This Row],[Filtro]])</f>
        <v>Fora do DRE</v>
      </c>
      <c r="W4786" s="3" t="str">
        <f>LEFT(Base_Periodo1[[#This Row],[CLASS]],3)</f>
        <v>2.4</v>
      </c>
    </row>
    <row r="4787" spans="1:23" hidden="1">
      <c r="A4787" s="3" t="str">
        <f t="shared" si="74"/>
        <v>Período 1</v>
      </c>
      <c r="B4787">
        <v>38816</v>
      </c>
      <c r="C4787" t="s">
        <v>2300</v>
      </c>
      <c r="D4787" t="s">
        <v>2716</v>
      </c>
      <c r="E4787" s="3" t="str">
        <f>IF(LEN(Base_Periodo1[[#This Row],[CLASS]])&gt;=7,LEFT(Base_Periodo1[[#This Row],[CLASS]],7),"")</f>
        <v>2.4.1.1</v>
      </c>
      <c r="F4787" s="3" t="str">
        <f>VLOOKUP(Base_Periodo1[[#This Row],[Aux]],Base_Contas_Balanco[#All],2,FALSE)</f>
        <v>Capital Social Realizado</v>
      </c>
      <c r="G4787" s="1"/>
      <c r="H4787" s="225">
        <v>518.30999999999995</v>
      </c>
      <c r="I4787" s="225">
        <v>0</v>
      </c>
      <c r="J4787" s="225">
        <v>0</v>
      </c>
      <c r="K4787" s="225">
        <v>518.30999999999995</v>
      </c>
      <c r="L47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518.30999999999995</v>
      </c>
      <c r="M4787" s="225">
        <f>ROUND(IF(AND(Base_Periodo1[[#This Row],[Tipo_Linha]]="-",Base_Periodo1[[#This Row],[TIPOSALDO]]="D"),Base_Periodo1[[#This Row],[SALDO_ATUAL]]*-1,Base_Periodo1[[#This Row],[SALDO_ATUAL]]),4)</f>
        <v>518.30999999999995</v>
      </c>
      <c r="N4787" t="s">
        <v>116</v>
      </c>
      <c r="O4787" t="s">
        <v>459</v>
      </c>
      <c r="P4787" t="s">
        <v>459</v>
      </c>
      <c r="Q4787">
        <v>6</v>
      </c>
      <c r="R4787" s="225">
        <f>Base_Periodo1[[#This Row],[CREDITOS]]-Base_Periodo1[[#This Row],[DEBITOS]]</f>
        <v>0</v>
      </c>
      <c r="S4787" s="3" t="str">
        <f>IF(ISERROR(VLOOKUP(Base_Periodo1[[#This Row],[CONTA]],BaseContasDRE[#All],4,FALSE)),"Fora do DRE",VLOOKUP(Base_Periodo1[[#This Row],[CONTA]],BaseContasDRE[#All],4,FALSE))</f>
        <v>Fora do DRE</v>
      </c>
      <c r="T4787" s="3" t="str">
        <f>IF(ISERROR(VLOOKUP(Base_Periodo1[[#This Row],[CONTA]],BaseContasDRE[#All],5,FALSE)),"Fora do DRE",VLOOKUP(Base_Periodo1[[#This Row],[CONTA]],BaseContasDRE[#All],6,FALSE))</f>
        <v>Fora do DRE</v>
      </c>
      <c r="U4787" s="3" t="str">
        <f>IF(ISERROR(VLOOKUP(Base_Periodo1[[#This Row],[CONTA]],BaseContasDRE[#All],7,FALSE)),"Fora do DRE",VLOOKUP(Base_Periodo1[[#This Row],[CONTA]],BaseContasDRE[#All],7,FALSE))</f>
        <v>Fora do DRE</v>
      </c>
      <c r="V4787" s="3" t="str">
        <f>IF(Base_Periodo1[[#This Row],[Tipo_Linha]]="Fora do DRE","Fora do DRE","( "&amp;Base_Periodo1[[#This Row],[Tipo_Linha]]&amp;" ) "&amp;Base_Periodo1[[#This Row],[Filtro]])</f>
        <v>Fora do DRE</v>
      </c>
      <c r="W4787" s="3" t="str">
        <f>LEFT(Base_Periodo1[[#This Row],[CLASS]],3)</f>
        <v>2.4</v>
      </c>
    </row>
    <row r="4788" spans="1:23" hidden="1">
      <c r="A4788" s="3" t="str">
        <f t="shared" si="74"/>
        <v>Período 1</v>
      </c>
      <c r="B4788">
        <v>28281</v>
      </c>
      <c r="C4788" t="s">
        <v>2300</v>
      </c>
      <c r="D4788" t="s">
        <v>2717</v>
      </c>
      <c r="E4788" s="3" t="str">
        <f>IF(LEN(Base_Periodo1[[#This Row],[CLASS]])&gt;=7,LEFT(Base_Periodo1[[#This Row],[CLASS]],7),"")</f>
        <v>2.4.1.1</v>
      </c>
      <c r="F4788" s="3" t="str">
        <f>VLOOKUP(Base_Periodo1[[#This Row],[Aux]],Base_Contas_Balanco[#All],2,FALSE)</f>
        <v>Capital Social Realizado</v>
      </c>
      <c r="G4788" s="1"/>
      <c r="H4788" s="225">
        <v>50</v>
      </c>
      <c r="I4788" s="225">
        <v>0</v>
      </c>
      <c r="J4788" s="225">
        <v>0</v>
      </c>
      <c r="K4788" s="225">
        <v>50</v>
      </c>
      <c r="L47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88" s="225">
        <f>ROUND(IF(AND(Base_Periodo1[[#This Row],[Tipo_Linha]]="-",Base_Periodo1[[#This Row],[TIPOSALDO]]="D"),Base_Periodo1[[#This Row],[SALDO_ATUAL]]*-1,Base_Periodo1[[#This Row],[SALDO_ATUAL]]),4)</f>
        <v>50</v>
      </c>
      <c r="N4788" t="s">
        <v>116</v>
      </c>
      <c r="O4788" t="s">
        <v>459</v>
      </c>
      <c r="P4788" t="s">
        <v>459</v>
      </c>
      <c r="Q4788">
        <v>6</v>
      </c>
      <c r="R4788" s="225">
        <f>Base_Periodo1[[#This Row],[CREDITOS]]-Base_Periodo1[[#This Row],[DEBITOS]]</f>
        <v>0</v>
      </c>
      <c r="S4788" s="3" t="str">
        <f>IF(ISERROR(VLOOKUP(Base_Periodo1[[#This Row],[CONTA]],BaseContasDRE[#All],4,FALSE)),"Fora do DRE",VLOOKUP(Base_Periodo1[[#This Row],[CONTA]],BaseContasDRE[#All],4,FALSE))</f>
        <v>Fora do DRE</v>
      </c>
      <c r="T4788" s="3" t="str">
        <f>IF(ISERROR(VLOOKUP(Base_Periodo1[[#This Row],[CONTA]],BaseContasDRE[#All],5,FALSE)),"Fora do DRE",VLOOKUP(Base_Periodo1[[#This Row],[CONTA]],BaseContasDRE[#All],6,FALSE))</f>
        <v>Fora do DRE</v>
      </c>
      <c r="U4788" s="3" t="str">
        <f>IF(ISERROR(VLOOKUP(Base_Periodo1[[#This Row],[CONTA]],BaseContasDRE[#All],7,FALSE)),"Fora do DRE",VLOOKUP(Base_Periodo1[[#This Row],[CONTA]],BaseContasDRE[#All],7,FALSE))</f>
        <v>Fora do DRE</v>
      </c>
      <c r="V4788" s="3" t="str">
        <f>IF(Base_Periodo1[[#This Row],[Tipo_Linha]]="Fora do DRE","Fora do DRE","( "&amp;Base_Periodo1[[#This Row],[Tipo_Linha]]&amp;" ) "&amp;Base_Periodo1[[#This Row],[Filtro]])</f>
        <v>Fora do DRE</v>
      </c>
      <c r="W4788" s="3" t="str">
        <f>LEFT(Base_Periodo1[[#This Row],[CLASS]],3)</f>
        <v>2.4</v>
      </c>
    </row>
    <row r="4789" spans="1:23" hidden="1">
      <c r="A4789" s="3" t="str">
        <f t="shared" si="74"/>
        <v>Período 1</v>
      </c>
      <c r="B4789">
        <v>16050</v>
      </c>
      <c r="C4789" t="s">
        <v>2300</v>
      </c>
      <c r="D4789" t="s">
        <v>2718</v>
      </c>
      <c r="E4789" s="3" t="str">
        <f>IF(LEN(Base_Periodo1[[#This Row],[CLASS]])&gt;=7,LEFT(Base_Periodo1[[#This Row],[CLASS]],7),"")</f>
        <v>2.4.1.1</v>
      </c>
      <c r="F4789" s="3" t="str">
        <f>VLOOKUP(Base_Periodo1[[#This Row],[Aux]],Base_Contas_Balanco[#All],2,FALSE)</f>
        <v>Capital Social Realizado</v>
      </c>
      <c r="G4789" s="1"/>
      <c r="H4789" s="225">
        <v>22715.850000000002</v>
      </c>
      <c r="I4789" s="225">
        <v>0</v>
      </c>
      <c r="J4789" s="225">
        <v>0</v>
      </c>
      <c r="K4789" s="225">
        <v>22715.850000000002</v>
      </c>
      <c r="L47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22715.85</v>
      </c>
      <c r="M4789" s="225">
        <f>ROUND(IF(AND(Base_Periodo1[[#This Row],[Tipo_Linha]]="-",Base_Periodo1[[#This Row],[TIPOSALDO]]="D"),Base_Periodo1[[#This Row],[SALDO_ATUAL]]*-1,Base_Periodo1[[#This Row],[SALDO_ATUAL]]),4)</f>
        <v>22715.85</v>
      </c>
      <c r="N4789" t="s">
        <v>116</v>
      </c>
      <c r="O4789" t="s">
        <v>459</v>
      </c>
      <c r="P4789" t="s">
        <v>459</v>
      </c>
      <c r="Q4789">
        <v>6</v>
      </c>
      <c r="R4789" s="225">
        <f>Base_Periodo1[[#This Row],[CREDITOS]]-Base_Periodo1[[#This Row],[DEBITOS]]</f>
        <v>0</v>
      </c>
      <c r="S4789" s="3" t="str">
        <f>IF(ISERROR(VLOOKUP(Base_Periodo1[[#This Row],[CONTA]],BaseContasDRE[#All],4,FALSE)),"Fora do DRE",VLOOKUP(Base_Periodo1[[#This Row],[CONTA]],BaseContasDRE[#All],4,FALSE))</f>
        <v>Fora do DRE</v>
      </c>
      <c r="T4789" s="3" t="str">
        <f>IF(ISERROR(VLOOKUP(Base_Periodo1[[#This Row],[CONTA]],BaseContasDRE[#All],5,FALSE)),"Fora do DRE",VLOOKUP(Base_Periodo1[[#This Row],[CONTA]],BaseContasDRE[#All],6,FALSE))</f>
        <v>Fora do DRE</v>
      </c>
      <c r="U4789" s="3" t="str">
        <f>IF(ISERROR(VLOOKUP(Base_Periodo1[[#This Row],[CONTA]],BaseContasDRE[#All],7,FALSE)),"Fora do DRE",VLOOKUP(Base_Periodo1[[#This Row],[CONTA]],BaseContasDRE[#All],7,FALSE))</f>
        <v>Fora do DRE</v>
      </c>
      <c r="V4789" s="3" t="str">
        <f>IF(Base_Periodo1[[#This Row],[Tipo_Linha]]="Fora do DRE","Fora do DRE","( "&amp;Base_Periodo1[[#This Row],[Tipo_Linha]]&amp;" ) "&amp;Base_Periodo1[[#This Row],[Filtro]])</f>
        <v>Fora do DRE</v>
      </c>
      <c r="W4789" s="3" t="str">
        <f>LEFT(Base_Periodo1[[#This Row],[CLASS]],3)</f>
        <v>2.4</v>
      </c>
    </row>
    <row r="4790" spans="1:23" hidden="1">
      <c r="A4790" s="3" t="str">
        <f t="shared" si="74"/>
        <v>Período 1</v>
      </c>
      <c r="B4790">
        <v>49355</v>
      </c>
      <c r="C4790" t="s">
        <v>2300</v>
      </c>
      <c r="D4790" t="s">
        <v>4309</v>
      </c>
      <c r="E4790" s="3" t="str">
        <f>IF(LEN(Base_Periodo1[[#This Row],[CLASS]])&gt;=7,LEFT(Base_Periodo1[[#This Row],[CLASS]],7),"")</f>
        <v>2.4.1.1</v>
      </c>
      <c r="F4790" s="3" t="str">
        <f>VLOOKUP(Base_Periodo1[[#This Row],[Aux]],Base_Contas_Balanco[#All],2,FALSE)</f>
        <v>Capital Social Realizado</v>
      </c>
      <c r="G4790" s="1"/>
      <c r="H4790" s="225">
        <v>163</v>
      </c>
      <c r="I4790" s="225">
        <v>0</v>
      </c>
      <c r="J4790" s="225">
        <v>0</v>
      </c>
      <c r="K4790" s="225">
        <v>163</v>
      </c>
      <c r="L47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163</v>
      </c>
      <c r="M4790" s="225">
        <f>ROUND(IF(AND(Base_Periodo1[[#This Row],[Tipo_Linha]]="-",Base_Periodo1[[#This Row],[TIPOSALDO]]="D"),Base_Periodo1[[#This Row],[SALDO_ATUAL]]*-1,Base_Periodo1[[#This Row],[SALDO_ATUAL]]),4)</f>
        <v>163</v>
      </c>
      <c r="N4790" t="s">
        <v>116</v>
      </c>
      <c r="O4790" t="s">
        <v>459</v>
      </c>
      <c r="P4790" t="s">
        <v>459</v>
      </c>
      <c r="Q4790">
        <v>6</v>
      </c>
      <c r="R4790" s="225">
        <f>Base_Periodo1[[#This Row],[CREDITOS]]-Base_Periodo1[[#This Row],[DEBITOS]]</f>
        <v>0</v>
      </c>
      <c r="S4790" s="3" t="str">
        <f>IF(ISERROR(VLOOKUP(Base_Periodo1[[#This Row],[CONTA]],BaseContasDRE[#All],4,FALSE)),"Fora do DRE",VLOOKUP(Base_Periodo1[[#This Row],[CONTA]],BaseContasDRE[#All],4,FALSE))</f>
        <v>Fora do DRE</v>
      </c>
      <c r="T4790" s="3" t="str">
        <f>IF(ISERROR(VLOOKUP(Base_Periodo1[[#This Row],[CONTA]],BaseContasDRE[#All],5,FALSE)),"Fora do DRE",VLOOKUP(Base_Periodo1[[#This Row],[CONTA]],BaseContasDRE[#All],6,FALSE))</f>
        <v>Fora do DRE</v>
      </c>
      <c r="U4790" s="3" t="str">
        <f>IF(ISERROR(VLOOKUP(Base_Periodo1[[#This Row],[CONTA]],BaseContasDRE[#All],7,FALSE)),"Fora do DRE",VLOOKUP(Base_Periodo1[[#This Row],[CONTA]],BaseContasDRE[#All],7,FALSE))</f>
        <v>Fora do DRE</v>
      </c>
      <c r="V4790" s="3" t="str">
        <f>IF(Base_Periodo1[[#This Row],[Tipo_Linha]]="Fora do DRE","Fora do DRE","( "&amp;Base_Periodo1[[#This Row],[Tipo_Linha]]&amp;" ) "&amp;Base_Periodo1[[#This Row],[Filtro]])</f>
        <v>Fora do DRE</v>
      </c>
      <c r="W4790" s="3" t="str">
        <f>LEFT(Base_Periodo1[[#This Row],[CLASS]],3)</f>
        <v>2.4</v>
      </c>
    </row>
    <row r="4791" spans="1:23" hidden="1">
      <c r="A4791" s="3" t="str">
        <f t="shared" si="74"/>
        <v>Período 1</v>
      </c>
      <c r="B4791">
        <v>25522</v>
      </c>
      <c r="C4791" t="s">
        <v>2300</v>
      </c>
      <c r="D4791" t="s">
        <v>2719</v>
      </c>
      <c r="E4791" s="3" t="str">
        <f>IF(LEN(Base_Periodo1[[#This Row],[CLASS]])&gt;=7,LEFT(Base_Periodo1[[#This Row],[CLASS]],7),"")</f>
        <v>2.4.1.1</v>
      </c>
      <c r="F4791" s="3" t="str">
        <f>VLOOKUP(Base_Periodo1[[#This Row],[Aux]],Base_Contas_Balanco[#All],2,FALSE)</f>
        <v>Capital Social Realizado</v>
      </c>
      <c r="G4791" s="1"/>
      <c r="H4791" s="225">
        <v>117.88</v>
      </c>
      <c r="I4791" s="225">
        <v>0</v>
      </c>
      <c r="J4791" s="225">
        <v>0</v>
      </c>
      <c r="K4791" s="225">
        <v>117.88</v>
      </c>
      <c r="L47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117.88</v>
      </c>
      <c r="M4791" s="225">
        <f>ROUND(IF(AND(Base_Periodo1[[#This Row],[Tipo_Linha]]="-",Base_Periodo1[[#This Row],[TIPOSALDO]]="D"),Base_Periodo1[[#This Row],[SALDO_ATUAL]]*-1,Base_Periodo1[[#This Row],[SALDO_ATUAL]]),4)</f>
        <v>117.88</v>
      </c>
      <c r="N4791" t="s">
        <v>116</v>
      </c>
      <c r="O4791" t="s">
        <v>459</v>
      </c>
      <c r="P4791" t="s">
        <v>459</v>
      </c>
      <c r="Q4791">
        <v>6</v>
      </c>
      <c r="R4791" s="225">
        <f>Base_Periodo1[[#This Row],[CREDITOS]]-Base_Periodo1[[#This Row],[DEBITOS]]</f>
        <v>0</v>
      </c>
      <c r="S4791" s="3" t="str">
        <f>IF(ISERROR(VLOOKUP(Base_Periodo1[[#This Row],[CONTA]],BaseContasDRE[#All],4,FALSE)),"Fora do DRE",VLOOKUP(Base_Periodo1[[#This Row],[CONTA]],BaseContasDRE[#All],4,FALSE))</f>
        <v>Fora do DRE</v>
      </c>
      <c r="T4791" s="3" t="str">
        <f>IF(ISERROR(VLOOKUP(Base_Periodo1[[#This Row],[CONTA]],BaseContasDRE[#All],5,FALSE)),"Fora do DRE",VLOOKUP(Base_Periodo1[[#This Row],[CONTA]],BaseContasDRE[#All],6,FALSE))</f>
        <v>Fora do DRE</v>
      </c>
      <c r="U4791" s="3" t="str">
        <f>IF(ISERROR(VLOOKUP(Base_Periodo1[[#This Row],[CONTA]],BaseContasDRE[#All],7,FALSE)),"Fora do DRE",VLOOKUP(Base_Periodo1[[#This Row],[CONTA]],BaseContasDRE[#All],7,FALSE))</f>
        <v>Fora do DRE</v>
      </c>
      <c r="V4791" s="3" t="str">
        <f>IF(Base_Periodo1[[#This Row],[Tipo_Linha]]="Fora do DRE","Fora do DRE","( "&amp;Base_Periodo1[[#This Row],[Tipo_Linha]]&amp;" ) "&amp;Base_Periodo1[[#This Row],[Filtro]])</f>
        <v>Fora do DRE</v>
      </c>
      <c r="W4791" s="3" t="str">
        <f>LEFT(Base_Periodo1[[#This Row],[CLASS]],3)</f>
        <v>2.4</v>
      </c>
    </row>
    <row r="4792" spans="1:23" hidden="1">
      <c r="A4792" s="3" t="str">
        <f t="shared" si="74"/>
        <v>Período 1</v>
      </c>
      <c r="B4792">
        <v>19344</v>
      </c>
      <c r="C4792" t="s">
        <v>2300</v>
      </c>
      <c r="D4792" t="s">
        <v>2720</v>
      </c>
      <c r="E4792" s="3" t="str">
        <f>IF(LEN(Base_Periodo1[[#This Row],[CLASS]])&gt;=7,LEFT(Base_Periodo1[[#This Row],[CLASS]],7),"")</f>
        <v>2.4.1.1</v>
      </c>
      <c r="F4792" s="3" t="str">
        <f>VLOOKUP(Base_Periodo1[[#This Row],[Aux]],Base_Contas_Balanco[#All],2,FALSE)</f>
        <v>Capital Social Realizado</v>
      </c>
      <c r="G4792" s="1"/>
      <c r="H4792" s="225">
        <v>609.04</v>
      </c>
      <c r="I4792" s="225">
        <v>0</v>
      </c>
      <c r="J4792" s="225">
        <v>0</v>
      </c>
      <c r="K4792" s="225">
        <v>609.04</v>
      </c>
      <c r="L47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609.04</v>
      </c>
      <c r="M4792" s="225">
        <f>ROUND(IF(AND(Base_Periodo1[[#This Row],[Tipo_Linha]]="-",Base_Periodo1[[#This Row],[TIPOSALDO]]="D"),Base_Periodo1[[#This Row],[SALDO_ATUAL]]*-1,Base_Periodo1[[#This Row],[SALDO_ATUAL]]),4)</f>
        <v>609.04</v>
      </c>
      <c r="N4792" t="s">
        <v>116</v>
      </c>
      <c r="O4792" t="s">
        <v>459</v>
      </c>
      <c r="P4792" t="s">
        <v>459</v>
      </c>
      <c r="Q4792">
        <v>6</v>
      </c>
      <c r="R4792" s="225">
        <f>Base_Periodo1[[#This Row],[CREDITOS]]-Base_Periodo1[[#This Row],[DEBITOS]]</f>
        <v>0</v>
      </c>
      <c r="S4792" s="3" t="str">
        <f>IF(ISERROR(VLOOKUP(Base_Periodo1[[#This Row],[CONTA]],BaseContasDRE[#All],4,FALSE)),"Fora do DRE",VLOOKUP(Base_Periodo1[[#This Row],[CONTA]],BaseContasDRE[#All],4,FALSE))</f>
        <v>Fora do DRE</v>
      </c>
      <c r="T4792" s="3" t="str">
        <f>IF(ISERROR(VLOOKUP(Base_Periodo1[[#This Row],[CONTA]],BaseContasDRE[#All],5,FALSE)),"Fora do DRE",VLOOKUP(Base_Periodo1[[#This Row],[CONTA]],BaseContasDRE[#All],6,FALSE))</f>
        <v>Fora do DRE</v>
      </c>
      <c r="U4792" s="3" t="str">
        <f>IF(ISERROR(VLOOKUP(Base_Periodo1[[#This Row],[CONTA]],BaseContasDRE[#All],7,FALSE)),"Fora do DRE",VLOOKUP(Base_Periodo1[[#This Row],[CONTA]],BaseContasDRE[#All],7,FALSE))</f>
        <v>Fora do DRE</v>
      </c>
      <c r="V4792" s="3" t="str">
        <f>IF(Base_Periodo1[[#This Row],[Tipo_Linha]]="Fora do DRE","Fora do DRE","( "&amp;Base_Periodo1[[#This Row],[Tipo_Linha]]&amp;" ) "&amp;Base_Periodo1[[#This Row],[Filtro]])</f>
        <v>Fora do DRE</v>
      </c>
      <c r="W4792" s="3" t="str">
        <f>LEFT(Base_Periodo1[[#This Row],[CLASS]],3)</f>
        <v>2.4</v>
      </c>
    </row>
    <row r="4793" spans="1:23" hidden="1">
      <c r="A4793" s="3" t="str">
        <f t="shared" si="74"/>
        <v>Período 1</v>
      </c>
      <c r="B4793">
        <v>16251</v>
      </c>
      <c r="C4793" t="s">
        <v>2300</v>
      </c>
      <c r="D4793" t="s">
        <v>2721</v>
      </c>
      <c r="E4793" s="3" t="str">
        <f>IF(LEN(Base_Periodo1[[#This Row],[CLASS]])&gt;=7,LEFT(Base_Periodo1[[#This Row],[CLASS]],7),"")</f>
        <v>2.4.1.1</v>
      </c>
      <c r="F4793" s="3" t="str">
        <f>VLOOKUP(Base_Periodo1[[#This Row],[Aux]],Base_Contas_Balanco[#All],2,FALSE)</f>
        <v>Capital Social Realizado</v>
      </c>
      <c r="G4793" s="1"/>
      <c r="H4793" s="225">
        <v>2262.0500000000002</v>
      </c>
      <c r="I4793" s="225">
        <v>0</v>
      </c>
      <c r="J4793" s="225">
        <v>0</v>
      </c>
      <c r="K4793" s="225">
        <v>2262.0500000000002</v>
      </c>
      <c r="L47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2262.0500000000002</v>
      </c>
      <c r="M4793" s="225">
        <f>ROUND(IF(AND(Base_Periodo1[[#This Row],[Tipo_Linha]]="-",Base_Periodo1[[#This Row],[TIPOSALDO]]="D"),Base_Periodo1[[#This Row],[SALDO_ATUAL]]*-1,Base_Periodo1[[#This Row],[SALDO_ATUAL]]),4)</f>
        <v>2262.0500000000002</v>
      </c>
      <c r="N4793" t="s">
        <v>116</v>
      </c>
      <c r="O4793" t="s">
        <v>459</v>
      </c>
      <c r="P4793" t="s">
        <v>459</v>
      </c>
      <c r="Q4793">
        <v>6</v>
      </c>
      <c r="R4793" s="225">
        <f>Base_Periodo1[[#This Row],[CREDITOS]]-Base_Periodo1[[#This Row],[DEBITOS]]</f>
        <v>0</v>
      </c>
      <c r="S4793" s="3" t="str">
        <f>IF(ISERROR(VLOOKUP(Base_Periodo1[[#This Row],[CONTA]],BaseContasDRE[#All],4,FALSE)),"Fora do DRE",VLOOKUP(Base_Periodo1[[#This Row],[CONTA]],BaseContasDRE[#All],4,FALSE))</f>
        <v>Fora do DRE</v>
      </c>
      <c r="T4793" s="3" t="str">
        <f>IF(ISERROR(VLOOKUP(Base_Periodo1[[#This Row],[CONTA]],BaseContasDRE[#All],5,FALSE)),"Fora do DRE",VLOOKUP(Base_Periodo1[[#This Row],[CONTA]],BaseContasDRE[#All],6,FALSE))</f>
        <v>Fora do DRE</v>
      </c>
      <c r="U4793" s="3" t="str">
        <f>IF(ISERROR(VLOOKUP(Base_Periodo1[[#This Row],[CONTA]],BaseContasDRE[#All],7,FALSE)),"Fora do DRE",VLOOKUP(Base_Periodo1[[#This Row],[CONTA]],BaseContasDRE[#All],7,FALSE))</f>
        <v>Fora do DRE</v>
      </c>
      <c r="V4793" s="3" t="str">
        <f>IF(Base_Periodo1[[#This Row],[Tipo_Linha]]="Fora do DRE","Fora do DRE","( "&amp;Base_Periodo1[[#This Row],[Tipo_Linha]]&amp;" ) "&amp;Base_Periodo1[[#This Row],[Filtro]])</f>
        <v>Fora do DRE</v>
      </c>
      <c r="W4793" s="3" t="str">
        <f>LEFT(Base_Periodo1[[#This Row],[CLASS]],3)</f>
        <v>2.4</v>
      </c>
    </row>
    <row r="4794" spans="1:23" hidden="1">
      <c r="A4794" s="3" t="str">
        <f t="shared" si="74"/>
        <v>Período 1</v>
      </c>
      <c r="B4794">
        <v>19345</v>
      </c>
      <c r="C4794" t="s">
        <v>2300</v>
      </c>
      <c r="D4794" t="s">
        <v>2722</v>
      </c>
      <c r="E4794" s="3" t="str">
        <f>IF(LEN(Base_Periodo1[[#This Row],[CLASS]])&gt;=7,LEFT(Base_Periodo1[[#This Row],[CLASS]],7),"")</f>
        <v>2.4.1.1</v>
      </c>
      <c r="F4794" s="3" t="str">
        <f>VLOOKUP(Base_Periodo1[[#This Row],[Aux]],Base_Contas_Balanco[#All],2,FALSE)</f>
        <v>Capital Social Realizado</v>
      </c>
      <c r="G4794" s="1"/>
      <c r="H4794" s="225">
        <v>1158.47</v>
      </c>
      <c r="I4794" s="225">
        <v>0</v>
      </c>
      <c r="J4794" s="225">
        <v>0</v>
      </c>
      <c r="K4794" s="225">
        <v>1158.47</v>
      </c>
      <c r="L47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1158.47</v>
      </c>
      <c r="M4794" s="225">
        <f>ROUND(IF(AND(Base_Periodo1[[#This Row],[Tipo_Linha]]="-",Base_Periodo1[[#This Row],[TIPOSALDO]]="D"),Base_Periodo1[[#This Row],[SALDO_ATUAL]]*-1,Base_Periodo1[[#This Row],[SALDO_ATUAL]]),4)</f>
        <v>1158.47</v>
      </c>
      <c r="N4794" t="s">
        <v>116</v>
      </c>
      <c r="O4794" t="s">
        <v>459</v>
      </c>
      <c r="P4794" t="s">
        <v>459</v>
      </c>
      <c r="Q4794">
        <v>6</v>
      </c>
      <c r="R4794" s="225">
        <f>Base_Periodo1[[#This Row],[CREDITOS]]-Base_Periodo1[[#This Row],[DEBITOS]]</f>
        <v>0</v>
      </c>
      <c r="S4794" s="3" t="str">
        <f>IF(ISERROR(VLOOKUP(Base_Periodo1[[#This Row],[CONTA]],BaseContasDRE[#All],4,FALSE)),"Fora do DRE",VLOOKUP(Base_Periodo1[[#This Row],[CONTA]],BaseContasDRE[#All],4,FALSE))</f>
        <v>Fora do DRE</v>
      </c>
      <c r="T4794" s="3" t="str">
        <f>IF(ISERROR(VLOOKUP(Base_Periodo1[[#This Row],[CONTA]],BaseContasDRE[#All],5,FALSE)),"Fora do DRE",VLOOKUP(Base_Periodo1[[#This Row],[CONTA]],BaseContasDRE[#All],6,FALSE))</f>
        <v>Fora do DRE</v>
      </c>
      <c r="U4794" s="3" t="str">
        <f>IF(ISERROR(VLOOKUP(Base_Periodo1[[#This Row],[CONTA]],BaseContasDRE[#All],7,FALSE)),"Fora do DRE",VLOOKUP(Base_Periodo1[[#This Row],[CONTA]],BaseContasDRE[#All],7,FALSE))</f>
        <v>Fora do DRE</v>
      </c>
      <c r="V4794" s="3" t="str">
        <f>IF(Base_Periodo1[[#This Row],[Tipo_Linha]]="Fora do DRE","Fora do DRE","( "&amp;Base_Periodo1[[#This Row],[Tipo_Linha]]&amp;" ) "&amp;Base_Periodo1[[#This Row],[Filtro]])</f>
        <v>Fora do DRE</v>
      </c>
      <c r="W4794" s="3" t="str">
        <f>LEFT(Base_Periodo1[[#This Row],[CLASS]],3)</f>
        <v>2.4</v>
      </c>
    </row>
    <row r="4795" spans="1:23" hidden="1">
      <c r="A4795" s="3" t="str">
        <f t="shared" si="74"/>
        <v>Período 1</v>
      </c>
      <c r="B4795">
        <v>40725</v>
      </c>
      <c r="C4795" t="s">
        <v>2300</v>
      </c>
      <c r="D4795" t="s">
        <v>2723</v>
      </c>
      <c r="E4795" s="3" t="str">
        <f>IF(LEN(Base_Periodo1[[#This Row],[CLASS]])&gt;=7,LEFT(Base_Periodo1[[#This Row],[CLASS]],7),"")</f>
        <v>2.4.1.1</v>
      </c>
      <c r="F4795" s="3" t="str">
        <f>VLOOKUP(Base_Periodo1[[#This Row],[Aux]],Base_Contas_Balanco[#All],2,FALSE)</f>
        <v>Capital Social Realizado</v>
      </c>
      <c r="G4795" s="1"/>
      <c r="H4795" s="225">
        <v>56.67</v>
      </c>
      <c r="I4795" s="225">
        <v>0</v>
      </c>
      <c r="J4795" s="225">
        <v>0</v>
      </c>
      <c r="K4795" s="225">
        <v>56.67</v>
      </c>
      <c r="L47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56.67</v>
      </c>
      <c r="M4795" s="225">
        <f>ROUND(IF(AND(Base_Periodo1[[#This Row],[Tipo_Linha]]="-",Base_Periodo1[[#This Row],[TIPOSALDO]]="D"),Base_Periodo1[[#This Row],[SALDO_ATUAL]]*-1,Base_Periodo1[[#This Row],[SALDO_ATUAL]]),4)</f>
        <v>56.67</v>
      </c>
      <c r="N4795" t="s">
        <v>116</v>
      </c>
      <c r="O4795" t="s">
        <v>459</v>
      </c>
      <c r="P4795" t="s">
        <v>459</v>
      </c>
      <c r="Q4795">
        <v>6</v>
      </c>
      <c r="R4795" s="225">
        <f>Base_Periodo1[[#This Row],[CREDITOS]]-Base_Periodo1[[#This Row],[DEBITOS]]</f>
        <v>0</v>
      </c>
      <c r="S4795" s="3" t="str">
        <f>IF(ISERROR(VLOOKUP(Base_Periodo1[[#This Row],[CONTA]],BaseContasDRE[#All],4,FALSE)),"Fora do DRE",VLOOKUP(Base_Periodo1[[#This Row],[CONTA]],BaseContasDRE[#All],4,FALSE))</f>
        <v>Fora do DRE</v>
      </c>
      <c r="T4795" s="3" t="str">
        <f>IF(ISERROR(VLOOKUP(Base_Periodo1[[#This Row],[CONTA]],BaseContasDRE[#All],5,FALSE)),"Fora do DRE",VLOOKUP(Base_Periodo1[[#This Row],[CONTA]],BaseContasDRE[#All],6,FALSE))</f>
        <v>Fora do DRE</v>
      </c>
      <c r="U4795" s="3" t="str">
        <f>IF(ISERROR(VLOOKUP(Base_Periodo1[[#This Row],[CONTA]],BaseContasDRE[#All],7,FALSE)),"Fora do DRE",VLOOKUP(Base_Periodo1[[#This Row],[CONTA]],BaseContasDRE[#All],7,FALSE))</f>
        <v>Fora do DRE</v>
      </c>
      <c r="V4795" s="3" t="str">
        <f>IF(Base_Periodo1[[#This Row],[Tipo_Linha]]="Fora do DRE","Fora do DRE","( "&amp;Base_Periodo1[[#This Row],[Tipo_Linha]]&amp;" ) "&amp;Base_Periodo1[[#This Row],[Filtro]])</f>
        <v>Fora do DRE</v>
      </c>
      <c r="W4795" s="3" t="str">
        <f>LEFT(Base_Periodo1[[#This Row],[CLASS]],3)</f>
        <v>2.4</v>
      </c>
    </row>
    <row r="4796" spans="1:23" hidden="1">
      <c r="A4796" s="3" t="str">
        <f t="shared" si="74"/>
        <v>Período 1</v>
      </c>
      <c r="B4796">
        <v>21218</v>
      </c>
      <c r="C4796" t="s">
        <v>2300</v>
      </c>
      <c r="D4796" t="s">
        <v>2724</v>
      </c>
      <c r="E4796" s="3" t="str">
        <f>IF(LEN(Base_Periodo1[[#This Row],[CLASS]])&gt;=7,LEFT(Base_Periodo1[[#This Row],[CLASS]],7),"")</f>
        <v>2.4.1.1</v>
      </c>
      <c r="F4796" s="3" t="str">
        <f>VLOOKUP(Base_Periodo1[[#This Row],[Aux]],Base_Contas_Balanco[#All],2,FALSE)</f>
        <v>Capital Social Realizado</v>
      </c>
      <c r="G4796" s="1"/>
      <c r="H4796" s="225">
        <v>1132.73</v>
      </c>
      <c r="I4796" s="225">
        <v>0</v>
      </c>
      <c r="J4796" s="225">
        <v>0</v>
      </c>
      <c r="K4796" s="225">
        <v>1132.73</v>
      </c>
      <c r="L47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1132.73</v>
      </c>
      <c r="M4796" s="225">
        <f>ROUND(IF(AND(Base_Periodo1[[#This Row],[Tipo_Linha]]="-",Base_Periodo1[[#This Row],[TIPOSALDO]]="D"),Base_Periodo1[[#This Row],[SALDO_ATUAL]]*-1,Base_Periodo1[[#This Row],[SALDO_ATUAL]]),4)</f>
        <v>1132.73</v>
      </c>
      <c r="N4796" t="s">
        <v>116</v>
      </c>
      <c r="O4796" t="s">
        <v>459</v>
      </c>
      <c r="P4796" t="s">
        <v>459</v>
      </c>
      <c r="Q4796">
        <v>6</v>
      </c>
      <c r="R4796" s="225">
        <f>Base_Periodo1[[#This Row],[CREDITOS]]-Base_Periodo1[[#This Row],[DEBITOS]]</f>
        <v>0</v>
      </c>
      <c r="S4796" s="3" t="str">
        <f>IF(ISERROR(VLOOKUP(Base_Periodo1[[#This Row],[CONTA]],BaseContasDRE[#All],4,FALSE)),"Fora do DRE",VLOOKUP(Base_Periodo1[[#This Row],[CONTA]],BaseContasDRE[#All],4,FALSE))</f>
        <v>Fora do DRE</v>
      </c>
      <c r="T4796" s="3" t="str">
        <f>IF(ISERROR(VLOOKUP(Base_Periodo1[[#This Row],[CONTA]],BaseContasDRE[#All],5,FALSE)),"Fora do DRE",VLOOKUP(Base_Periodo1[[#This Row],[CONTA]],BaseContasDRE[#All],6,FALSE))</f>
        <v>Fora do DRE</v>
      </c>
      <c r="U4796" s="3" t="str">
        <f>IF(ISERROR(VLOOKUP(Base_Periodo1[[#This Row],[CONTA]],BaseContasDRE[#All],7,FALSE)),"Fora do DRE",VLOOKUP(Base_Periodo1[[#This Row],[CONTA]],BaseContasDRE[#All],7,FALSE))</f>
        <v>Fora do DRE</v>
      </c>
      <c r="V4796" s="3" t="str">
        <f>IF(Base_Periodo1[[#This Row],[Tipo_Linha]]="Fora do DRE","Fora do DRE","( "&amp;Base_Periodo1[[#This Row],[Tipo_Linha]]&amp;" ) "&amp;Base_Periodo1[[#This Row],[Filtro]])</f>
        <v>Fora do DRE</v>
      </c>
      <c r="W4796" s="3" t="str">
        <f>LEFT(Base_Periodo1[[#This Row],[CLASS]],3)</f>
        <v>2.4</v>
      </c>
    </row>
    <row r="4797" spans="1:23" hidden="1">
      <c r="A4797" s="3" t="str">
        <f t="shared" si="74"/>
        <v>Período 1</v>
      </c>
      <c r="B4797">
        <v>25249</v>
      </c>
      <c r="C4797" t="s">
        <v>2300</v>
      </c>
      <c r="D4797" t="s">
        <v>2725</v>
      </c>
      <c r="E4797" s="3" t="str">
        <f>IF(LEN(Base_Periodo1[[#This Row],[CLASS]])&gt;=7,LEFT(Base_Periodo1[[#This Row],[CLASS]],7),"")</f>
        <v>2.4.1.1</v>
      </c>
      <c r="F4797" s="3" t="str">
        <f>VLOOKUP(Base_Periodo1[[#This Row],[Aux]],Base_Contas_Balanco[#All],2,FALSE)</f>
        <v>Capital Social Realizado</v>
      </c>
      <c r="G4797" s="1"/>
      <c r="H4797" s="225">
        <v>1100.51</v>
      </c>
      <c r="I4797" s="225">
        <v>0</v>
      </c>
      <c r="J4797" s="225">
        <v>0</v>
      </c>
      <c r="K4797" s="225">
        <v>1100.51</v>
      </c>
      <c r="L47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1100.51</v>
      </c>
      <c r="M4797" s="225">
        <f>ROUND(IF(AND(Base_Periodo1[[#This Row],[Tipo_Linha]]="-",Base_Periodo1[[#This Row],[TIPOSALDO]]="D"),Base_Periodo1[[#This Row],[SALDO_ATUAL]]*-1,Base_Periodo1[[#This Row],[SALDO_ATUAL]]),4)</f>
        <v>1100.51</v>
      </c>
      <c r="N4797" t="s">
        <v>116</v>
      </c>
      <c r="O4797" t="s">
        <v>459</v>
      </c>
      <c r="P4797" t="s">
        <v>459</v>
      </c>
      <c r="Q4797">
        <v>6</v>
      </c>
      <c r="R4797" s="225">
        <f>Base_Periodo1[[#This Row],[CREDITOS]]-Base_Periodo1[[#This Row],[DEBITOS]]</f>
        <v>0</v>
      </c>
      <c r="S4797" s="3" t="str">
        <f>IF(ISERROR(VLOOKUP(Base_Periodo1[[#This Row],[CONTA]],BaseContasDRE[#All],4,FALSE)),"Fora do DRE",VLOOKUP(Base_Periodo1[[#This Row],[CONTA]],BaseContasDRE[#All],4,FALSE))</f>
        <v>Fora do DRE</v>
      </c>
      <c r="T4797" s="3" t="str">
        <f>IF(ISERROR(VLOOKUP(Base_Periodo1[[#This Row],[CONTA]],BaseContasDRE[#All],5,FALSE)),"Fora do DRE",VLOOKUP(Base_Periodo1[[#This Row],[CONTA]],BaseContasDRE[#All],6,FALSE))</f>
        <v>Fora do DRE</v>
      </c>
      <c r="U4797" s="3" t="str">
        <f>IF(ISERROR(VLOOKUP(Base_Periodo1[[#This Row],[CONTA]],BaseContasDRE[#All],7,FALSE)),"Fora do DRE",VLOOKUP(Base_Periodo1[[#This Row],[CONTA]],BaseContasDRE[#All],7,FALSE))</f>
        <v>Fora do DRE</v>
      </c>
      <c r="V4797" s="3" t="str">
        <f>IF(Base_Periodo1[[#This Row],[Tipo_Linha]]="Fora do DRE","Fora do DRE","( "&amp;Base_Periodo1[[#This Row],[Tipo_Linha]]&amp;" ) "&amp;Base_Periodo1[[#This Row],[Filtro]])</f>
        <v>Fora do DRE</v>
      </c>
      <c r="W4797" s="3" t="str">
        <f>LEFT(Base_Periodo1[[#This Row],[CLASS]],3)</f>
        <v>2.4</v>
      </c>
    </row>
    <row r="4798" spans="1:23" hidden="1">
      <c r="A4798" s="3" t="str">
        <f t="shared" si="74"/>
        <v>Período 1</v>
      </c>
      <c r="B4798">
        <v>16029</v>
      </c>
      <c r="C4798" t="s">
        <v>2300</v>
      </c>
      <c r="D4798" t="s">
        <v>2726</v>
      </c>
      <c r="E4798" s="3" t="str">
        <f>IF(LEN(Base_Periodo1[[#This Row],[CLASS]])&gt;=7,LEFT(Base_Periodo1[[#This Row],[CLASS]],7),"")</f>
        <v>2.4.1.1</v>
      </c>
      <c r="F4798" s="3" t="str">
        <f>VLOOKUP(Base_Periodo1[[#This Row],[Aux]],Base_Contas_Balanco[#All],2,FALSE)</f>
        <v>Capital Social Realizado</v>
      </c>
      <c r="G4798" s="1"/>
      <c r="H4798" s="225">
        <v>24108.190000000002</v>
      </c>
      <c r="I4798" s="225">
        <v>0</v>
      </c>
      <c r="J4798" s="225">
        <v>0</v>
      </c>
      <c r="K4798" s="225">
        <v>24108.190000000002</v>
      </c>
      <c r="L47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24108.19</v>
      </c>
      <c r="M4798" s="225">
        <f>ROUND(IF(AND(Base_Periodo1[[#This Row],[Tipo_Linha]]="-",Base_Periodo1[[#This Row],[TIPOSALDO]]="D"),Base_Periodo1[[#This Row],[SALDO_ATUAL]]*-1,Base_Periodo1[[#This Row],[SALDO_ATUAL]]),4)</f>
        <v>24108.19</v>
      </c>
      <c r="N4798" t="s">
        <v>116</v>
      </c>
      <c r="O4798" t="s">
        <v>459</v>
      </c>
      <c r="P4798" t="s">
        <v>459</v>
      </c>
      <c r="Q4798">
        <v>6</v>
      </c>
      <c r="R4798" s="225">
        <f>Base_Periodo1[[#This Row],[CREDITOS]]-Base_Periodo1[[#This Row],[DEBITOS]]</f>
        <v>0</v>
      </c>
      <c r="S4798" s="3" t="str">
        <f>IF(ISERROR(VLOOKUP(Base_Periodo1[[#This Row],[CONTA]],BaseContasDRE[#All],4,FALSE)),"Fora do DRE",VLOOKUP(Base_Periodo1[[#This Row],[CONTA]],BaseContasDRE[#All],4,FALSE))</f>
        <v>Fora do DRE</v>
      </c>
      <c r="T4798" s="3" t="str">
        <f>IF(ISERROR(VLOOKUP(Base_Periodo1[[#This Row],[CONTA]],BaseContasDRE[#All],5,FALSE)),"Fora do DRE",VLOOKUP(Base_Periodo1[[#This Row],[CONTA]],BaseContasDRE[#All],6,FALSE))</f>
        <v>Fora do DRE</v>
      </c>
      <c r="U4798" s="3" t="str">
        <f>IF(ISERROR(VLOOKUP(Base_Periodo1[[#This Row],[CONTA]],BaseContasDRE[#All],7,FALSE)),"Fora do DRE",VLOOKUP(Base_Periodo1[[#This Row],[CONTA]],BaseContasDRE[#All],7,FALSE))</f>
        <v>Fora do DRE</v>
      </c>
      <c r="V4798" s="3" t="str">
        <f>IF(Base_Periodo1[[#This Row],[Tipo_Linha]]="Fora do DRE","Fora do DRE","( "&amp;Base_Periodo1[[#This Row],[Tipo_Linha]]&amp;" ) "&amp;Base_Periodo1[[#This Row],[Filtro]])</f>
        <v>Fora do DRE</v>
      </c>
      <c r="W4798" s="3" t="str">
        <f>LEFT(Base_Periodo1[[#This Row],[CLASS]],3)</f>
        <v>2.4</v>
      </c>
    </row>
    <row r="4799" spans="1:23" hidden="1">
      <c r="A4799" s="3" t="str">
        <f t="shared" si="74"/>
        <v>Período 1</v>
      </c>
      <c r="B4799">
        <v>47293</v>
      </c>
      <c r="C4799" t="s">
        <v>2300</v>
      </c>
      <c r="D4799" t="s">
        <v>2727</v>
      </c>
      <c r="E4799" s="3" t="str">
        <f>IF(LEN(Base_Periodo1[[#This Row],[CLASS]])&gt;=7,LEFT(Base_Periodo1[[#This Row],[CLASS]],7),"")</f>
        <v>2.4.1.1</v>
      </c>
      <c r="F4799" s="3" t="str">
        <f>VLOOKUP(Base_Periodo1[[#This Row],[Aux]],Base_Contas_Balanco[#All],2,FALSE)</f>
        <v>Capital Social Realizado</v>
      </c>
      <c r="G4799" s="1"/>
      <c r="H4799" s="225">
        <v>50</v>
      </c>
      <c r="I4799" s="225">
        <v>0</v>
      </c>
      <c r="J4799" s="225">
        <v>0</v>
      </c>
      <c r="K4799" s="225">
        <v>50</v>
      </c>
      <c r="L47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799" s="225">
        <f>ROUND(IF(AND(Base_Periodo1[[#This Row],[Tipo_Linha]]="-",Base_Periodo1[[#This Row],[TIPOSALDO]]="D"),Base_Periodo1[[#This Row],[SALDO_ATUAL]]*-1,Base_Periodo1[[#This Row],[SALDO_ATUAL]]),4)</f>
        <v>50</v>
      </c>
      <c r="N4799" t="s">
        <v>116</v>
      </c>
      <c r="O4799" t="s">
        <v>459</v>
      </c>
      <c r="P4799" t="s">
        <v>459</v>
      </c>
      <c r="Q4799">
        <v>6</v>
      </c>
      <c r="R4799" s="225">
        <f>Base_Periodo1[[#This Row],[CREDITOS]]-Base_Periodo1[[#This Row],[DEBITOS]]</f>
        <v>0</v>
      </c>
      <c r="S4799" s="3" t="str">
        <f>IF(ISERROR(VLOOKUP(Base_Periodo1[[#This Row],[CONTA]],BaseContasDRE[#All],4,FALSE)),"Fora do DRE",VLOOKUP(Base_Periodo1[[#This Row],[CONTA]],BaseContasDRE[#All],4,FALSE))</f>
        <v>Fora do DRE</v>
      </c>
      <c r="T4799" s="3" t="str">
        <f>IF(ISERROR(VLOOKUP(Base_Periodo1[[#This Row],[CONTA]],BaseContasDRE[#All],5,FALSE)),"Fora do DRE",VLOOKUP(Base_Periodo1[[#This Row],[CONTA]],BaseContasDRE[#All],6,FALSE))</f>
        <v>Fora do DRE</v>
      </c>
      <c r="U4799" s="3" t="str">
        <f>IF(ISERROR(VLOOKUP(Base_Periodo1[[#This Row],[CONTA]],BaseContasDRE[#All],7,FALSE)),"Fora do DRE",VLOOKUP(Base_Periodo1[[#This Row],[CONTA]],BaseContasDRE[#All],7,FALSE))</f>
        <v>Fora do DRE</v>
      </c>
      <c r="V4799" s="3" t="str">
        <f>IF(Base_Periodo1[[#This Row],[Tipo_Linha]]="Fora do DRE","Fora do DRE","( "&amp;Base_Periodo1[[#This Row],[Tipo_Linha]]&amp;" ) "&amp;Base_Periodo1[[#This Row],[Filtro]])</f>
        <v>Fora do DRE</v>
      </c>
      <c r="W4799" s="3" t="str">
        <f>LEFT(Base_Periodo1[[#This Row],[CLASS]],3)</f>
        <v>2.4</v>
      </c>
    </row>
    <row r="4800" spans="1:23" hidden="1">
      <c r="A4800" s="3" t="str">
        <f t="shared" si="74"/>
        <v>Período 1</v>
      </c>
      <c r="B4800">
        <v>59359</v>
      </c>
      <c r="C4800" t="s">
        <v>2300</v>
      </c>
      <c r="D4800" t="s">
        <v>7182</v>
      </c>
      <c r="E4800" s="3" t="str">
        <f>IF(LEN(Base_Periodo1[[#This Row],[CLASS]])&gt;=7,LEFT(Base_Periodo1[[#This Row],[CLASS]],7),"")</f>
        <v>2.4.1.1</v>
      </c>
      <c r="F4800" s="3" t="str">
        <f>VLOOKUP(Base_Periodo1[[#This Row],[Aux]],Base_Contas_Balanco[#All],2,FALSE)</f>
        <v>Capital Social Realizado</v>
      </c>
      <c r="G4800" s="1"/>
      <c r="I4800" s="225">
        <v>0</v>
      </c>
      <c r="J4800" s="225">
        <v>50</v>
      </c>
      <c r="K4800" s="225">
        <v>50</v>
      </c>
      <c r="L48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00" s="225">
        <f>ROUND(IF(AND(Base_Periodo1[[#This Row],[Tipo_Linha]]="-",Base_Periodo1[[#This Row],[TIPOSALDO]]="D"),Base_Periodo1[[#This Row],[SALDO_ATUAL]]*-1,Base_Periodo1[[#This Row],[SALDO_ATUAL]]),4)</f>
        <v>50</v>
      </c>
      <c r="N4800" t="s">
        <v>116</v>
      </c>
      <c r="O4800" t="s">
        <v>436</v>
      </c>
      <c r="P4800" t="s">
        <v>459</v>
      </c>
      <c r="Q4800">
        <v>6</v>
      </c>
      <c r="R4800" s="225">
        <f>Base_Periodo1[[#This Row],[CREDITOS]]-Base_Periodo1[[#This Row],[DEBITOS]]</f>
        <v>50</v>
      </c>
      <c r="S4800" s="3" t="str">
        <f>IF(ISERROR(VLOOKUP(Base_Periodo1[[#This Row],[CONTA]],BaseContasDRE[#All],4,FALSE)),"Fora do DRE",VLOOKUP(Base_Periodo1[[#This Row],[CONTA]],BaseContasDRE[#All],4,FALSE))</f>
        <v>Fora do DRE</v>
      </c>
      <c r="T4800" s="3" t="str">
        <f>IF(ISERROR(VLOOKUP(Base_Periodo1[[#This Row],[CONTA]],BaseContasDRE[#All],5,FALSE)),"Fora do DRE",VLOOKUP(Base_Periodo1[[#This Row],[CONTA]],BaseContasDRE[#All],6,FALSE))</f>
        <v>Fora do DRE</v>
      </c>
      <c r="U4800" s="3" t="str">
        <f>IF(ISERROR(VLOOKUP(Base_Periodo1[[#This Row],[CONTA]],BaseContasDRE[#All],7,FALSE)),"Fora do DRE",VLOOKUP(Base_Periodo1[[#This Row],[CONTA]],BaseContasDRE[#All],7,FALSE))</f>
        <v>Fora do DRE</v>
      </c>
      <c r="V4800" s="3" t="str">
        <f>IF(Base_Periodo1[[#This Row],[Tipo_Linha]]="Fora do DRE","Fora do DRE","( "&amp;Base_Periodo1[[#This Row],[Tipo_Linha]]&amp;" ) "&amp;Base_Periodo1[[#This Row],[Filtro]])</f>
        <v>Fora do DRE</v>
      </c>
      <c r="W4800" s="3" t="str">
        <f>LEFT(Base_Periodo1[[#This Row],[CLASS]],3)</f>
        <v>2.4</v>
      </c>
    </row>
    <row r="4801" spans="1:23" hidden="1">
      <c r="A4801" s="3" t="str">
        <f t="shared" si="74"/>
        <v>Período 1</v>
      </c>
      <c r="B4801">
        <v>19407</v>
      </c>
      <c r="C4801" t="s">
        <v>2300</v>
      </c>
      <c r="D4801" t="s">
        <v>2728</v>
      </c>
      <c r="E4801" s="3" t="str">
        <f>IF(LEN(Base_Periodo1[[#This Row],[CLASS]])&gt;=7,LEFT(Base_Periodo1[[#This Row],[CLASS]],7),"")</f>
        <v>2.4.1.1</v>
      </c>
      <c r="F4801" s="3" t="str">
        <f>VLOOKUP(Base_Periodo1[[#This Row],[Aux]],Base_Contas_Balanco[#All],2,FALSE)</f>
        <v>Capital Social Realizado</v>
      </c>
      <c r="G4801" s="1"/>
      <c r="H4801" s="225">
        <v>2536.9699999999998</v>
      </c>
      <c r="I4801" s="225">
        <v>0</v>
      </c>
      <c r="J4801" s="225">
        <v>0</v>
      </c>
      <c r="K4801" s="225">
        <v>2536.9699999999998</v>
      </c>
      <c r="L48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2536.9699999999998</v>
      </c>
      <c r="M4801" s="225">
        <f>ROUND(IF(AND(Base_Periodo1[[#This Row],[Tipo_Linha]]="-",Base_Periodo1[[#This Row],[TIPOSALDO]]="D"),Base_Periodo1[[#This Row],[SALDO_ATUAL]]*-1,Base_Periodo1[[#This Row],[SALDO_ATUAL]]),4)</f>
        <v>2536.9699999999998</v>
      </c>
      <c r="N4801" t="s">
        <v>116</v>
      </c>
      <c r="O4801" t="s">
        <v>459</v>
      </c>
      <c r="P4801" t="s">
        <v>459</v>
      </c>
      <c r="Q4801">
        <v>6</v>
      </c>
      <c r="R4801" s="225">
        <f>Base_Periodo1[[#This Row],[CREDITOS]]-Base_Periodo1[[#This Row],[DEBITOS]]</f>
        <v>0</v>
      </c>
      <c r="S4801" s="3" t="str">
        <f>IF(ISERROR(VLOOKUP(Base_Periodo1[[#This Row],[CONTA]],BaseContasDRE[#All],4,FALSE)),"Fora do DRE",VLOOKUP(Base_Periodo1[[#This Row],[CONTA]],BaseContasDRE[#All],4,FALSE))</f>
        <v>Fora do DRE</v>
      </c>
      <c r="T4801" s="3" t="str">
        <f>IF(ISERROR(VLOOKUP(Base_Periodo1[[#This Row],[CONTA]],BaseContasDRE[#All],5,FALSE)),"Fora do DRE",VLOOKUP(Base_Periodo1[[#This Row],[CONTA]],BaseContasDRE[#All],6,FALSE))</f>
        <v>Fora do DRE</v>
      </c>
      <c r="U4801" s="3" t="str">
        <f>IF(ISERROR(VLOOKUP(Base_Periodo1[[#This Row],[CONTA]],BaseContasDRE[#All],7,FALSE)),"Fora do DRE",VLOOKUP(Base_Periodo1[[#This Row],[CONTA]],BaseContasDRE[#All],7,FALSE))</f>
        <v>Fora do DRE</v>
      </c>
      <c r="V4801" s="3" t="str">
        <f>IF(Base_Periodo1[[#This Row],[Tipo_Linha]]="Fora do DRE","Fora do DRE","( "&amp;Base_Periodo1[[#This Row],[Tipo_Linha]]&amp;" ) "&amp;Base_Periodo1[[#This Row],[Filtro]])</f>
        <v>Fora do DRE</v>
      </c>
      <c r="W4801" s="3" t="str">
        <f>LEFT(Base_Periodo1[[#This Row],[CLASS]],3)</f>
        <v>2.4</v>
      </c>
    </row>
    <row r="4802" spans="1:23" hidden="1">
      <c r="A4802" s="3" t="str">
        <f t="shared" si="74"/>
        <v>Período 1</v>
      </c>
      <c r="B4802">
        <v>16272</v>
      </c>
      <c r="C4802" t="s">
        <v>2300</v>
      </c>
      <c r="D4802" t="s">
        <v>2729</v>
      </c>
      <c r="E4802" s="3" t="str">
        <f>IF(LEN(Base_Periodo1[[#This Row],[CLASS]])&gt;=7,LEFT(Base_Periodo1[[#This Row],[CLASS]],7),"")</f>
        <v>2.4.1.1</v>
      </c>
      <c r="F4802" s="3" t="str">
        <f>VLOOKUP(Base_Periodo1[[#This Row],[Aux]],Base_Contas_Balanco[#All],2,FALSE)</f>
        <v>Capital Social Realizado</v>
      </c>
      <c r="G4802" s="1"/>
      <c r="H4802" s="225">
        <v>3831.9600000000005</v>
      </c>
      <c r="I4802" s="225">
        <v>0</v>
      </c>
      <c r="J4802" s="225">
        <v>0</v>
      </c>
      <c r="K4802" s="225">
        <v>3831.9600000000005</v>
      </c>
      <c r="L48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3831.96</v>
      </c>
      <c r="M4802" s="225">
        <f>ROUND(IF(AND(Base_Periodo1[[#This Row],[Tipo_Linha]]="-",Base_Periodo1[[#This Row],[TIPOSALDO]]="D"),Base_Periodo1[[#This Row],[SALDO_ATUAL]]*-1,Base_Periodo1[[#This Row],[SALDO_ATUAL]]),4)</f>
        <v>3831.96</v>
      </c>
      <c r="N4802" t="s">
        <v>116</v>
      </c>
      <c r="O4802" t="s">
        <v>459</v>
      </c>
      <c r="P4802" t="s">
        <v>459</v>
      </c>
      <c r="Q4802">
        <v>6</v>
      </c>
      <c r="R4802" s="225">
        <f>Base_Periodo1[[#This Row],[CREDITOS]]-Base_Periodo1[[#This Row],[DEBITOS]]</f>
        <v>0</v>
      </c>
      <c r="S4802" s="3" t="str">
        <f>IF(ISERROR(VLOOKUP(Base_Periodo1[[#This Row],[CONTA]],BaseContasDRE[#All],4,FALSE)),"Fora do DRE",VLOOKUP(Base_Periodo1[[#This Row],[CONTA]],BaseContasDRE[#All],4,FALSE))</f>
        <v>Fora do DRE</v>
      </c>
      <c r="T4802" s="3" t="str">
        <f>IF(ISERROR(VLOOKUP(Base_Periodo1[[#This Row],[CONTA]],BaseContasDRE[#All],5,FALSE)),"Fora do DRE",VLOOKUP(Base_Periodo1[[#This Row],[CONTA]],BaseContasDRE[#All],6,FALSE))</f>
        <v>Fora do DRE</v>
      </c>
      <c r="U4802" s="3" t="str">
        <f>IF(ISERROR(VLOOKUP(Base_Periodo1[[#This Row],[CONTA]],BaseContasDRE[#All],7,FALSE)),"Fora do DRE",VLOOKUP(Base_Periodo1[[#This Row],[CONTA]],BaseContasDRE[#All],7,FALSE))</f>
        <v>Fora do DRE</v>
      </c>
      <c r="V4802" s="3" t="str">
        <f>IF(Base_Periodo1[[#This Row],[Tipo_Linha]]="Fora do DRE","Fora do DRE","( "&amp;Base_Periodo1[[#This Row],[Tipo_Linha]]&amp;" ) "&amp;Base_Periodo1[[#This Row],[Filtro]])</f>
        <v>Fora do DRE</v>
      </c>
      <c r="W4802" s="3" t="str">
        <f>LEFT(Base_Periodo1[[#This Row],[CLASS]],3)</f>
        <v>2.4</v>
      </c>
    </row>
    <row r="4803" spans="1:23" hidden="1">
      <c r="A4803" s="3" t="str">
        <f t="shared" si="74"/>
        <v>Período 1</v>
      </c>
      <c r="B4803">
        <v>37130</v>
      </c>
      <c r="C4803" t="s">
        <v>2300</v>
      </c>
      <c r="D4803" t="s">
        <v>2730</v>
      </c>
      <c r="E4803" s="3" t="str">
        <f>IF(LEN(Base_Periodo1[[#This Row],[CLASS]])&gt;=7,LEFT(Base_Periodo1[[#This Row],[CLASS]],7),"")</f>
        <v>2.4.1.1</v>
      </c>
      <c r="F4803" s="3" t="str">
        <f>VLOOKUP(Base_Periodo1[[#This Row],[Aux]],Base_Contas_Balanco[#All],2,FALSE)</f>
        <v>Capital Social Realizado</v>
      </c>
      <c r="G4803" s="1"/>
      <c r="H4803" s="225">
        <v>778.09</v>
      </c>
      <c r="I4803" s="225">
        <v>0</v>
      </c>
      <c r="J4803" s="225">
        <v>0</v>
      </c>
      <c r="K4803" s="225">
        <v>778.09</v>
      </c>
      <c r="L48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778.09</v>
      </c>
      <c r="M4803" s="225">
        <f>ROUND(IF(AND(Base_Periodo1[[#This Row],[Tipo_Linha]]="-",Base_Periodo1[[#This Row],[TIPOSALDO]]="D"),Base_Periodo1[[#This Row],[SALDO_ATUAL]]*-1,Base_Periodo1[[#This Row],[SALDO_ATUAL]]),4)</f>
        <v>778.09</v>
      </c>
      <c r="N4803" t="s">
        <v>116</v>
      </c>
      <c r="O4803" t="s">
        <v>459</v>
      </c>
      <c r="P4803" t="s">
        <v>459</v>
      </c>
      <c r="Q4803">
        <v>6</v>
      </c>
      <c r="R4803" s="225">
        <f>Base_Periodo1[[#This Row],[CREDITOS]]-Base_Periodo1[[#This Row],[DEBITOS]]</f>
        <v>0</v>
      </c>
      <c r="S4803" s="3" t="str">
        <f>IF(ISERROR(VLOOKUP(Base_Periodo1[[#This Row],[CONTA]],BaseContasDRE[#All],4,FALSE)),"Fora do DRE",VLOOKUP(Base_Periodo1[[#This Row],[CONTA]],BaseContasDRE[#All],4,FALSE))</f>
        <v>Fora do DRE</v>
      </c>
      <c r="T4803" s="3" t="str">
        <f>IF(ISERROR(VLOOKUP(Base_Periodo1[[#This Row],[CONTA]],BaseContasDRE[#All],5,FALSE)),"Fora do DRE",VLOOKUP(Base_Periodo1[[#This Row],[CONTA]],BaseContasDRE[#All],6,FALSE))</f>
        <v>Fora do DRE</v>
      </c>
      <c r="U4803" s="3" t="str">
        <f>IF(ISERROR(VLOOKUP(Base_Periodo1[[#This Row],[CONTA]],BaseContasDRE[#All],7,FALSE)),"Fora do DRE",VLOOKUP(Base_Periodo1[[#This Row],[CONTA]],BaseContasDRE[#All],7,FALSE))</f>
        <v>Fora do DRE</v>
      </c>
      <c r="V4803" s="3" t="str">
        <f>IF(Base_Periodo1[[#This Row],[Tipo_Linha]]="Fora do DRE","Fora do DRE","( "&amp;Base_Periodo1[[#This Row],[Tipo_Linha]]&amp;" ) "&amp;Base_Periodo1[[#This Row],[Filtro]])</f>
        <v>Fora do DRE</v>
      </c>
      <c r="W4803" s="3" t="str">
        <f>LEFT(Base_Periodo1[[#This Row],[CLASS]],3)</f>
        <v>2.4</v>
      </c>
    </row>
    <row r="4804" spans="1:23" hidden="1">
      <c r="A4804" s="3" t="str">
        <f t="shared" si="74"/>
        <v>Período 1</v>
      </c>
      <c r="B4804">
        <v>55085</v>
      </c>
      <c r="C4804" t="s">
        <v>2300</v>
      </c>
      <c r="D4804" t="s">
        <v>5349</v>
      </c>
      <c r="E4804" s="3" t="str">
        <f>IF(LEN(Base_Periodo1[[#This Row],[CLASS]])&gt;=7,LEFT(Base_Periodo1[[#This Row],[CLASS]],7),"")</f>
        <v>2.4.1.1</v>
      </c>
      <c r="F4804" s="3" t="str">
        <f>VLOOKUP(Base_Periodo1[[#This Row],[Aux]],Base_Contas_Balanco[#All],2,FALSE)</f>
        <v>Capital Social Realizado</v>
      </c>
      <c r="G4804" s="1"/>
      <c r="H4804" s="225">
        <v>50</v>
      </c>
      <c r="I4804" s="225">
        <v>0</v>
      </c>
      <c r="J4804" s="225">
        <v>0</v>
      </c>
      <c r="K4804" s="225">
        <v>50</v>
      </c>
      <c r="L48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04" s="225">
        <f>ROUND(IF(AND(Base_Periodo1[[#This Row],[Tipo_Linha]]="-",Base_Periodo1[[#This Row],[TIPOSALDO]]="D"),Base_Periodo1[[#This Row],[SALDO_ATUAL]]*-1,Base_Periodo1[[#This Row],[SALDO_ATUAL]]),4)</f>
        <v>50</v>
      </c>
      <c r="N4804" t="s">
        <v>116</v>
      </c>
      <c r="O4804" t="s">
        <v>459</v>
      </c>
      <c r="P4804" t="s">
        <v>459</v>
      </c>
      <c r="Q4804">
        <v>6</v>
      </c>
      <c r="R4804" s="225">
        <f>Base_Periodo1[[#This Row],[CREDITOS]]-Base_Periodo1[[#This Row],[DEBITOS]]</f>
        <v>0</v>
      </c>
      <c r="S4804" s="3" t="str">
        <f>IF(ISERROR(VLOOKUP(Base_Periodo1[[#This Row],[CONTA]],BaseContasDRE[#All],4,FALSE)),"Fora do DRE",VLOOKUP(Base_Periodo1[[#This Row],[CONTA]],BaseContasDRE[#All],4,FALSE))</f>
        <v>Fora do DRE</v>
      </c>
      <c r="T4804" s="3" t="str">
        <f>IF(ISERROR(VLOOKUP(Base_Periodo1[[#This Row],[CONTA]],BaseContasDRE[#All],5,FALSE)),"Fora do DRE",VLOOKUP(Base_Periodo1[[#This Row],[CONTA]],BaseContasDRE[#All],6,FALSE))</f>
        <v>Fora do DRE</v>
      </c>
      <c r="U4804" s="3" t="str">
        <f>IF(ISERROR(VLOOKUP(Base_Periodo1[[#This Row],[CONTA]],BaseContasDRE[#All],7,FALSE)),"Fora do DRE",VLOOKUP(Base_Periodo1[[#This Row],[CONTA]],BaseContasDRE[#All],7,FALSE))</f>
        <v>Fora do DRE</v>
      </c>
      <c r="V4804" s="3" t="str">
        <f>IF(Base_Periodo1[[#This Row],[Tipo_Linha]]="Fora do DRE","Fora do DRE","( "&amp;Base_Periodo1[[#This Row],[Tipo_Linha]]&amp;" ) "&amp;Base_Periodo1[[#This Row],[Filtro]])</f>
        <v>Fora do DRE</v>
      </c>
      <c r="W4804" s="3" t="str">
        <f>LEFT(Base_Periodo1[[#This Row],[CLASS]],3)</f>
        <v>2.4</v>
      </c>
    </row>
    <row r="4805" spans="1:23" hidden="1">
      <c r="A4805" s="3" t="str">
        <f t="shared" si="74"/>
        <v>Período 1</v>
      </c>
      <c r="B4805">
        <v>26532</v>
      </c>
      <c r="C4805" t="s">
        <v>2300</v>
      </c>
      <c r="D4805" t="s">
        <v>2731</v>
      </c>
      <c r="E4805" s="3" t="str">
        <f>IF(LEN(Base_Periodo1[[#This Row],[CLASS]])&gt;=7,LEFT(Base_Periodo1[[#This Row],[CLASS]],7),"")</f>
        <v>2.4.1.1</v>
      </c>
      <c r="F4805" s="3" t="str">
        <f>VLOOKUP(Base_Periodo1[[#This Row],[Aux]],Base_Contas_Balanco[#All],2,FALSE)</f>
        <v>Capital Social Realizado</v>
      </c>
      <c r="G4805" s="1"/>
      <c r="H4805" s="225">
        <v>287.89999999999998</v>
      </c>
      <c r="I4805" s="225">
        <v>0</v>
      </c>
      <c r="J4805" s="225">
        <v>0</v>
      </c>
      <c r="K4805" s="225">
        <v>287.89999999999998</v>
      </c>
      <c r="L48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287.89999999999998</v>
      </c>
      <c r="M4805" s="225">
        <f>ROUND(IF(AND(Base_Periodo1[[#This Row],[Tipo_Linha]]="-",Base_Periodo1[[#This Row],[TIPOSALDO]]="D"),Base_Periodo1[[#This Row],[SALDO_ATUAL]]*-1,Base_Periodo1[[#This Row],[SALDO_ATUAL]]),4)</f>
        <v>287.89999999999998</v>
      </c>
      <c r="N4805" t="s">
        <v>116</v>
      </c>
      <c r="O4805" t="s">
        <v>459</v>
      </c>
      <c r="P4805" t="s">
        <v>459</v>
      </c>
      <c r="Q4805">
        <v>6</v>
      </c>
      <c r="R4805" s="225">
        <f>Base_Periodo1[[#This Row],[CREDITOS]]-Base_Periodo1[[#This Row],[DEBITOS]]</f>
        <v>0</v>
      </c>
      <c r="S4805" s="3" t="str">
        <f>IF(ISERROR(VLOOKUP(Base_Periodo1[[#This Row],[CONTA]],BaseContasDRE[#All],4,FALSE)),"Fora do DRE",VLOOKUP(Base_Periodo1[[#This Row],[CONTA]],BaseContasDRE[#All],4,FALSE))</f>
        <v>Fora do DRE</v>
      </c>
      <c r="T4805" s="3" t="str">
        <f>IF(ISERROR(VLOOKUP(Base_Periodo1[[#This Row],[CONTA]],BaseContasDRE[#All],5,FALSE)),"Fora do DRE",VLOOKUP(Base_Periodo1[[#This Row],[CONTA]],BaseContasDRE[#All],6,FALSE))</f>
        <v>Fora do DRE</v>
      </c>
      <c r="U4805" s="3" t="str">
        <f>IF(ISERROR(VLOOKUP(Base_Periodo1[[#This Row],[CONTA]],BaseContasDRE[#All],7,FALSE)),"Fora do DRE",VLOOKUP(Base_Periodo1[[#This Row],[CONTA]],BaseContasDRE[#All],7,FALSE))</f>
        <v>Fora do DRE</v>
      </c>
      <c r="V4805" s="3" t="str">
        <f>IF(Base_Periodo1[[#This Row],[Tipo_Linha]]="Fora do DRE","Fora do DRE","( "&amp;Base_Periodo1[[#This Row],[Tipo_Linha]]&amp;" ) "&amp;Base_Periodo1[[#This Row],[Filtro]])</f>
        <v>Fora do DRE</v>
      </c>
      <c r="W4805" s="3" t="str">
        <f>LEFT(Base_Periodo1[[#This Row],[CLASS]],3)</f>
        <v>2.4</v>
      </c>
    </row>
    <row r="4806" spans="1:23" hidden="1">
      <c r="A4806" s="3" t="str">
        <f t="shared" ref="A4806:A4869" si="75">"Período 1"</f>
        <v>Período 1</v>
      </c>
      <c r="B4806">
        <v>54273</v>
      </c>
      <c r="C4806" t="s">
        <v>2300</v>
      </c>
      <c r="D4806" t="s">
        <v>5094</v>
      </c>
      <c r="E4806" s="3" t="str">
        <f>IF(LEN(Base_Periodo1[[#This Row],[CLASS]])&gt;=7,LEFT(Base_Periodo1[[#This Row],[CLASS]],7),"")</f>
        <v>2.4.1.1</v>
      </c>
      <c r="F4806" s="3" t="str">
        <f>VLOOKUP(Base_Periodo1[[#This Row],[Aux]],Base_Contas_Balanco[#All],2,FALSE)</f>
        <v>Capital Social Realizado</v>
      </c>
      <c r="G4806" s="1"/>
      <c r="H4806" s="225">
        <v>50</v>
      </c>
      <c r="I4806" s="225">
        <v>0</v>
      </c>
      <c r="J4806" s="225">
        <v>0</v>
      </c>
      <c r="K4806" s="225">
        <v>50</v>
      </c>
      <c r="L48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06" s="225">
        <f>ROUND(IF(AND(Base_Periodo1[[#This Row],[Tipo_Linha]]="-",Base_Periodo1[[#This Row],[TIPOSALDO]]="D"),Base_Periodo1[[#This Row],[SALDO_ATUAL]]*-1,Base_Periodo1[[#This Row],[SALDO_ATUAL]]),4)</f>
        <v>50</v>
      </c>
      <c r="N4806" t="s">
        <v>116</v>
      </c>
      <c r="O4806" t="s">
        <v>459</v>
      </c>
      <c r="P4806" t="s">
        <v>459</v>
      </c>
      <c r="Q4806">
        <v>6</v>
      </c>
      <c r="R4806" s="225">
        <f>Base_Periodo1[[#This Row],[CREDITOS]]-Base_Periodo1[[#This Row],[DEBITOS]]</f>
        <v>0</v>
      </c>
      <c r="S4806" s="3" t="str">
        <f>IF(ISERROR(VLOOKUP(Base_Periodo1[[#This Row],[CONTA]],BaseContasDRE[#All],4,FALSE)),"Fora do DRE",VLOOKUP(Base_Periodo1[[#This Row],[CONTA]],BaseContasDRE[#All],4,FALSE))</f>
        <v>Fora do DRE</v>
      </c>
      <c r="T4806" s="3" t="str">
        <f>IF(ISERROR(VLOOKUP(Base_Periodo1[[#This Row],[CONTA]],BaseContasDRE[#All],5,FALSE)),"Fora do DRE",VLOOKUP(Base_Periodo1[[#This Row],[CONTA]],BaseContasDRE[#All],6,FALSE))</f>
        <v>Fora do DRE</v>
      </c>
      <c r="U4806" s="3" t="str">
        <f>IF(ISERROR(VLOOKUP(Base_Periodo1[[#This Row],[CONTA]],BaseContasDRE[#All],7,FALSE)),"Fora do DRE",VLOOKUP(Base_Periodo1[[#This Row],[CONTA]],BaseContasDRE[#All],7,FALSE))</f>
        <v>Fora do DRE</v>
      </c>
      <c r="V4806" s="3" t="str">
        <f>IF(Base_Periodo1[[#This Row],[Tipo_Linha]]="Fora do DRE","Fora do DRE","( "&amp;Base_Periodo1[[#This Row],[Tipo_Linha]]&amp;" ) "&amp;Base_Periodo1[[#This Row],[Filtro]])</f>
        <v>Fora do DRE</v>
      </c>
      <c r="W4806" s="3" t="str">
        <f>LEFT(Base_Periodo1[[#This Row],[CLASS]],3)</f>
        <v>2.4</v>
      </c>
    </row>
    <row r="4807" spans="1:23" hidden="1">
      <c r="A4807" s="3" t="str">
        <f t="shared" si="75"/>
        <v>Período 1</v>
      </c>
      <c r="B4807">
        <v>25231</v>
      </c>
      <c r="C4807" t="s">
        <v>2300</v>
      </c>
      <c r="D4807" t="s">
        <v>2732</v>
      </c>
      <c r="E4807" s="3" t="str">
        <f>IF(LEN(Base_Periodo1[[#This Row],[CLASS]])&gt;=7,LEFT(Base_Periodo1[[#This Row],[CLASS]],7),"")</f>
        <v>2.4.1.1</v>
      </c>
      <c r="F4807" s="3" t="str">
        <f>VLOOKUP(Base_Periodo1[[#This Row],[Aux]],Base_Contas_Balanco[#All],2,FALSE)</f>
        <v>Capital Social Realizado</v>
      </c>
      <c r="G4807" s="1"/>
      <c r="H4807" s="225">
        <v>462.16</v>
      </c>
      <c r="I4807" s="225">
        <v>0</v>
      </c>
      <c r="J4807" s="225">
        <v>0</v>
      </c>
      <c r="K4807" s="225">
        <v>462.16</v>
      </c>
      <c r="L48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462.16</v>
      </c>
      <c r="M4807" s="225">
        <f>ROUND(IF(AND(Base_Periodo1[[#This Row],[Tipo_Linha]]="-",Base_Periodo1[[#This Row],[TIPOSALDO]]="D"),Base_Periodo1[[#This Row],[SALDO_ATUAL]]*-1,Base_Periodo1[[#This Row],[SALDO_ATUAL]]),4)</f>
        <v>462.16</v>
      </c>
      <c r="N4807" t="s">
        <v>116</v>
      </c>
      <c r="O4807" t="s">
        <v>459</v>
      </c>
      <c r="P4807" t="s">
        <v>459</v>
      </c>
      <c r="Q4807">
        <v>6</v>
      </c>
      <c r="R4807" s="225">
        <f>Base_Periodo1[[#This Row],[CREDITOS]]-Base_Periodo1[[#This Row],[DEBITOS]]</f>
        <v>0</v>
      </c>
      <c r="S4807" s="3" t="str">
        <f>IF(ISERROR(VLOOKUP(Base_Periodo1[[#This Row],[CONTA]],BaseContasDRE[#All],4,FALSE)),"Fora do DRE",VLOOKUP(Base_Periodo1[[#This Row],[CONTA]],BaseContasDRE[#All],4,FALSE))</f>
        <v>Fora do DRE</v>
      </c>
      <c r="T4807" s="3" t="str">
        <f>IF(ISERROR(VLOOKUP(Base_Periodo1[[#This Row],[CONTA]],BaseContasDRE[#All],5,FALSE)),"Fora do DRE",VLOOKUP(Base_Periodo1[[#This Row],[CONTA]],BaseContasDRE[#All],6,FALSE))</f>
        <v>Fora do DRE</v>
      </c>
      <c r="U4807" s="3" t="str">
        <f>IF(ISERROR(VLOOKUP(Base_Periodo1[[#This Row],[CONTA]],BaseContasDRE[#All],7,FALSE)),"Fora do DRE",VLOOKUP(Base_Periodo1[[#This Row],[CONTA]],BaseContasDRE[#All],7,FALSE))</f>
        <v>Fora do DRE</v>
      </c>
      <c r="V4807" s="3" t="str">
        <f>IF(Base_Periodo1[[#This Row],[Tipo_Linha]]="Fora do DRE","Fora do DRE","( "&amp;Base_Periodo1[[#This Row],[Tipo_Linha]]&amp;" ) "&amp;Base_Periodo1[[#This Row],[Filtro]])</f>
        <v>Fora do DRE</v>
      </c>
      <c r="W4807" s="3" t="str">
        <f>LEFT(Base_Periodo1[[#This Row],[CLASS]],3)</f>
        <v>2.4</v>
      </c>
    </row>
    <row r="4808" spans="1:23" hidden="1">
      <c r="A4808" s="3" t="str">
        <f t="shared" si="75"/>
        <v>Período 1</v>
      </c>
      <c r="B4808">
        <v>53983</v>
      </c>
      <c r="C4808" t="s">
        <v>2300</v>
      </c>
      <c r="D4808" t="s">
        <v>5095</v>
      </c>
      <c r="E4808" s="3" t="str">
        <f>IF(LEN(Base_Periodo1[[#This Row],[CLASS]])&gt;=7,LEFT(Base_Periodo1[[#This Row],[CLASS]],7),"")</f>
        <v>2.4.1.1</v>
      </c>
      <c r="F4808" s="3" t="str">
        <f>VLOOKUP(Base_Periodo1[[#This Row],[Aux]],Base_Contas_Balanco[#All],2,FALSE)</f>
        <v>Capital Social Realizado</v>
      </c>
      <c r="G4808" s="1"/>
      <c r="H4808" s="225">
        <v>1000</v>
      </c>
      <c r="I4808" s="225">
        <v>0</v>
      </c>
      <c r="J4808" s="225">
        <v>0</v>
      </c>
      <c r="K4808" s="225">
        <v>1000</v>
      </c>
      <c r="L48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</v>
      </c>
      <c r="M4808" s="225">
        <f>ROUND(IF(AND(Base_Periodo1[[#This Row],[Tipo_Linha]]="-",Base_Periodo1[[#This Row],[TIPOSALDO]]="D"),Base_Periodo1[[#This Row],[SALDO_ATUAL]]*-1,Base_Periodo1[[#This Row],[SALDO_ATUAL]]),4)</f>
        <v>1000</v>
      </c>
      <c r="N4808" t="s">
        <v>116</v>
      </c>
      <c r="O4808" t="s">
        <v>459</v>
      </c>
      <c r="P4808" t="s">
        <v>459</v>
      </c>
      <c r="Q4808">
        <v>6</v>
      </c>
      <c r="R4808" s="225">
        <f>Base_Periodo1[[#This Row],[CREDITOS]]-Base_Periodo1[[#This Row],[DEBITOS]]</f>
        <v>0</v>
      </c>
      <c r="S4808" s="3" t="str">
        <f>IF(ISERROR(VLOOKUP(Base_Periodo1[[#This Row],[CONTA]],BaseContasDRE[#All],4,FALSE)),"Fora do DRE",VLOOKUP(Base_Periodo1[[#This Row],[CONTA]],BaseContasDRE[#All],4,FALSE))</f>
        <v>Fora do DRE</v>
      </c>
      <c r="T4808" s="3" t="str">
        <f>IF(ISERROR(VLOOKUP(Base_Periodo1[[#This Row],[CONTA]],BaseContasDRE[#All],5,FALSE)),"Fora do DRE",VLOOKUP(Base_Periodo1[[#This Row],[CONTA]],BaseContasDRE[#All],6,FALSE))</f>
        <v>Fora do DRE</v>
      </c>
      <c r="U4808" s="3" t="str">
        <f>IF(ISERROR(VLOOKUP(Base_Periodo1[[#This Row],[CONTA]],BaseContasDRE[#All],7,FALSE)),"Fora do DRE",VLOOKUP(Base_Periodo1[[#This Row],[CONTA]],BaseContasDRE[#All],7,FALSE))</f>
        <v>Fora do DRE</v>
      </c>
      <c r="V4808" s="3" t="str">
        <f>IF(Base_Periodo1[[#This Row],[Tipo_Linha]]="Fora do DRE","Fora do DRE","( "&amp;Base_Periodo1[[#This Row],[Tipo_Linha]]&amp;" ) "&amp;Base_Periodo1[[#This Row],[Filtro]])</f>
        <v>Fora do DRE</v>
      </c>
      <c r="W4808" s="3" t="str">
        <f>LEFT(Base_Periodo1[[#This Row],[CLASS]],3)</f>
        <v>2.4</v>
      </c>
    </row>
    <row r="4809" spans="1:23" hidden="1">
      <c r="A4809" s="3" t="str">
        <f t="shared" si="75"/>
        <v>Período 1</v>
      </c>
      <c r="B4809">
        <v>49605</v>
      </c>
      <c r="C4809" t="s">
        <v>2300</v>
      </c>
      <c r="D4809" t="s">
        <v>4310</v>
      </c>
      <c r="E4809" s="3" t="str">
        <f>IF(LEN(Base_Periodo1[[#This Row],[CLASS]])&gt;=7,LEFT(Base_Periodo1[[#This Row],[CLASS]],7),"")</f>
        <v>2.4.1.1</v>
      </c>
      <c r="F4809" s="3" t="str">
        <f>VLOOKUP(Base_Periodo1[[#This Row],[Aux]],Base_Contas_Balanco[#All],2,FALSE)</f>
        <v>Capital Social Realizado</v>
      </c>
      <c r="G4809" s="1"/>
      <c r="H4809" s="225">
        <v>50</v>
      </c>
      <c r="I4809" s="225">
        <v>0</v>
      </c>
      <c r="J4809" s="225">
        <v>0</v>
      </c>
      <c r="K4809" s="225">
        <v>50</v>
      </c>
      <c r="L48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09" s="225">
        <f>ROUND(IF(AND(Base_Periodo1[[#This Row],[Tipo_Linha]]="-",Base_Periodo1[[#This Row],[TIPOSALDO]]="D"),Base_Periodo1[[#This Row],[SALDO_ATUAL]]*-1,Base_Periodo1[[#This Row],[SALDO_ATUAL]]),4)</f>
        <v>50</v>
      </c>
      <c r="N4809" t="s">
        <v>116</v>
      </c>
      <c r="O4809" t="s">
        <v>459</v>
      </c>
      <c r="P4809" t="s">
        <v>459</v>
      </c>
      <c r="Q4809">
        <v>6</v>
      </c>
      <c r="R4809" s="225">
        <f>Base_Periodo1[[#This Row],[CREDITOS]]-Base_Periodo1[[#This Row],[DEBITOS]]</f>
        <v>0</v>
      </c>
      <c r="S4809" s="3" t="str">
        <f>IF(ISERROR(VLOOKUP(Base_Periodo1[[#This Row],[CONTA]],BaseContasDRE[#All],4,FALSE)),"Fora do DRE",VLOOKUP(Base_Periodo1[[#This Row],[CONTA]],BaseContasDRE[#All],4,FALSE))</f>
        <v>Fora do DRE</v>
      </c>
      <c r="T4809" s="3" t="str">
        <f>IF(ISERROR(VLOOKUP(Base_Periodo1[[#This Row],[CONTA]],BaseContasDRE[#All],5,FALSE)),"Fora do DRE",VLOOKUP(Base_Periodo1[[#This Row],[CONTA]],BaseContasDRE[#All],6,FALSE))</f>
        <v>Fora do DRE</v>
      </c>
      <c r="U4809" s="3" t="str">
        <f>IF(ISERROR(VLOOKUP(Base_Periodo1[[#This Row],[CONTA]],BaseContasDRE[#All],7,FALSE)),"Fora do DRE",VLOOKUP(Base_Periodo1[[#This Row],[CONTA]],BaseContasDRE[#All],7,FALSE))</f>
        <v>Fora do DRE</v>
      </c>
      <c r="V4809" s="3" t="str">
        <f>IF(Base_Periodo1[[#This Row],[Tipo_Linha]]="Fora do DRE","Fora do DRE","( "&amp;Base_Periodo1[[#This Row],[Tipo_Linha]]&amp;" ) "&amp;Base_Periodo1[[#This Row],[Filtro]])</f>
        <v>Fora do DRE</v>
      </c>
      <c r="W4809" s="3" t="str">
        <f>LEFT(Base_Periodo1[[#This Row],[CLASS]],3)</f>
        <v>2.4</v>
      </c>
    </row>
    <row r="4810" spans="1:23" hidden="1">
      <c r="A4810" s="3" t="str">
        <f t="shared" si="75"/>
        <v>Período 1</v>
      </c>
      <c r="B4810">
        <v>27688</v>
      </c>
      <c r="C4810" t="s">
        <v>2300</v>
      </c>
      <c r="D4810" t="s">
        <v>2733</v>
      </c>
      <c r="E4810" s="3" t="str">
        <f>IF(LEN(Base_Periodo1[[#This Row],[CLASS]])&gt;=7,LEFT(Base_Periodo1[[#This Row],[CLASS]],7),"")</f>
        <v>2.4.1.1</v>
      </c>
      <c r="F4810" s="3" t="str">
        <f>VLOOKUP(Base_Periodo1[[#This Row],[Aux]],Base_Contas_Balanco[#All],2,FALSE)</f>
        <v>Capital Social Realizado</v>
      </c>
      <c r="G4810" s="1"/>
      <c r="H4810" s="225">
        <v>2183.08</v>
      </c>
      <c r="I4810" s="225">
        <v>0</v>
      </c>
      <c r="J4810" s="225">
        <v>0</v>
      </c>
      <c r="K4810" s="225">
        <v>2183.08</v>
      </c>
      <c r="L48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2183.08</v>
      </c>
      <c r="M4810" s="225">
        <f>ROUND(IF(AND(Base_Periodo1[[#This Row],[Tipo_Linha]]="-",Base_Periodo1[[#This Row],[TIPOSALDO]]="D"),Base_Periodo1[[#This Row],[SALDO_ATUAL]]*-1,Base_Periodo1[[#This Row],[SALDO_ATUAL]]),4)</f>
        <v>2183.08</v>
      </c>
      <c r="N4810" t="s">
        <v>116</v>
      </c>
      <c r="O4810" t="s">
        <v>459</v>
      </c>
      <c r="P4810" t="s">
        <v>459</v>
      </c>
      <c r="Q4810">
        <v>6</v>
      </c>
      <c r="R4810" s="225">
        <f>Base_Periodo1[[#This Row],[CREDITOS]]-Base_Periodo1[[#This Row],[DEBITOS]]</f>
        <v>0</v>
      </c>
      <c r="S4810" s="3" t="str">
        <f>IF(ISERROR(VLOOKUP(Base_Periodo1[[#This Row],[CONTA]],BaseContasDRE[#All],4,FALSE)),"Fora do DRE",VLOOKUP(Base_Periodo1[[#This Row],[CONTA]],BaseContasDRE[#All],4,FALSE))</f>
        <v>Fora do DRE</v>
      </c>
      <c r="T4810" s="3" t="str">
        <f>IF(ISERROR(VLOOKUP(Base_Periodo1[[#This Row],[CONTA]],BaseContasDRE[#All],5,FALSE)),"Fora do DRE",VLOOKUP(Base_Periodo1[[#This Row],[CONTA]],BaseContasDRE[#All],6,FALSE))</f>
        <v>Fora do DRE</v>
      </c>
      <c r="U4810" s="3" t="str">
        <f>IF(ISERROR(VLOOKUP(Base_Periodo1[[#This Row],[CONTA]],BaseContasDRE[#All],7,FALSE)),"Fora do DRE",VLOOKUP(Base_Periodo1[[#This Row],[CONTA]],BaseContasDRE[#All],7,FALSE))</f>
        <v>Fora do DRE</v>
      </c>
      <c r="V4810" s="3" t="str">
        <f>IF(Base_Periodo1[[#This Row],[Tipo_Linha]]="Fora do DRE","Fora do DRE","( "&amp;Base_Periodo1[[#This Row],[Tipo_Linha]]&amp;" ) "&amp;Base_Periodo1[[#This Row],[Filtro]])</f>
        <v>Fora do DRE</v>
      </c>
      <c r="W4810" s="3" t="str">
        <f>LEFT(Base_Periodo1[[#This Row],[CLASS]],3)</f>
        <v>2.4</v>
      </c>
    </row>
    <row r="4811" spans="1:23" hidden="1">
      <c r="A4811" s="3" t="str">
        <f t="shared" si="75"/>
        <v>Período 1</v>
      </c>
      <c r="B4811">
        <v>15996</v>
      </c>
      <c r="C4811" t="s">
        <v>2300</v>
      </c>
      <c r="D4811" t="s">
        <v>2734</v>
      </c>
      <c r="E4811" s="3" t="str">
        <f>IF(LEN(Base_Periodo1[[#This Row],[CLASS]])&gt;=7,LEFT(Base_Periodo1[[#This Row],[CLASS]],7),"")</f>
        <v>2.4.1.1</v>
      </c>
      <c r="F4811" s="3" t="str">
        <f>VLOOKUP(Base_Periodo1[[#This Row],[Aux]],Base_Contas_Balanco[#All],2,FALSE)</f>
        <v>Capital Social Realizado</v>
      </c>
      <c r="G4811" s="1"/>
      <c r="H4811" s="225">
        <v>3300.0499999999997</v>
      </c>
      <c r="I4811" s="225">
        <v>0</v>
      </c>
      <c r="J4811" s="225">
        <v>0</v>
      </c>
      <c r="K4811" s="225">
        <v>3300.0499999999997</v>
      </c>
      <c r="L48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3300.05</v>
      </c>
      <c r="M4811" s="225">
        <f>ROUND(IF(AND(Base_Periodo1[[#This Row],[Tipo_Linha]]="-",Base_Periodo1[[#This Row],[TIPOSALDO]]="D"),Base_Periodo1[[#This Row],[SALDO_ATUAL]]*-1,Base_Periodo1[[#This Row],[SALDO_ATUAL]]),4)</f>
        <v>3300.05</v>
      </c>
      <c r="N4811" t="s">
        <v>116</v>
      </c>
      <c r="O4811" t="s">
        <v>459</v>
      </c>
      <c r="P4811" t="s">
        <v>459</v>
      </c>
      <c r="Q4811">
        <v>6</v>
      </c>
      <c r="R4811" s="225">
        <f>Base_Periodo1[[#This Row],[CREDITOS]]-Base_Periodo1[[#This Row],[DEBITOS]]</f>
        <v>0</v>
      </c>
      <c r="S4811" s="3" t="str">
        <f>IF(ISERROR(VLOOKUP(Base_Periodo1[[#This Row],[CONTA]],BaseContasDRE[#All],4,FALSE)),"Fora do DRE",VLOOKUP(Base_Periodo1[[#This Row],[CONTA]],BaseContasDRE[#All],4,FALSE))</f>
        <v>Fora do DRE</v>
      </c>
      <c r="T4811" s="3" t="str">
        <f>IF(ISERROR(VLOOKUP(Base_Periodo1[[#This Row],[CONTA]],BaseContasDRE[#All],5,FALSE)),"Fora do DRE",VLOOKUP(Base_Periodo1[[#This Row],[CONTA]],BaseContasDRE[#All],6,FALSE))</f>
        <v>Fora do DRE</v>
      </c>
      <c r="U4811" s="3" t="str">
        <f>IF(ISERROR(VLOOKUP(Base_Periodo1[[#This Row],[CONTA]],BaseContasDRE[#All],7,FALSE)),"Fora do DRE",VLOOKUP(Base_Periodo1[[#This Row],[CONTA]],BaseContasDRE[#All],7,FALSE))</f>
        <v>Fora do DRE</v>
      </c>
      <c r="V4811" s="3" t="str">
        <f>IF(Base_Periodo1[[#This Row],[Tipo_Linha]]="Fora do DRE","Fora do DRE","( "&amp;Base_Periodo1[[#This Row],[Tipo_Linha]]&amp;" ) "&amp;Base_Periodo1[[#This Row],[Filtro]])</f>
        <v>Fora do DRE</v>
      </c>
      <c r="W4811" s="3" t="str">
        <f>LEFT(Base_Periodo1[[#This Row],[CLASS]],3)</f>
        <v>2.4</v>
      </c>
    </row>
    <row r="4812" spans="1:23" hidden="1">
      <c r="A4812" s="3" t="str">
        <f t="shared" si="75"/>
        <v>Período 1</v>
      </c>
      <c r="B4812">
        <v>16133</v>
      </c>
      <c r="C4812" t="s">
        <v>2300</v>
      </c>
      <c r="D4812" t="s">
        <v>2735</v>
      </c>
      <c r="E4812" s="3" t="str">
        <f>IF(LEN(Base_Periodo1[[#This Row],[CLASS]])&gt;=7,LEFT(Base_Periodo1[[#This Row],[CLASS]],7),"")</f>
        <v>2.4.1.1</v>
      </c>
      <c r="F4812" s="3" t="str">
        <f>VLOOKUP(Base_Periodo1[[#This Row],[Aux]],Base_Contas_Balanco[#All],2,FALSE)</f>
        <v>Capital Social Realizado</v>
      </c>
      <c r="G4812" s="1"/>
      <c r="H4812" s="225">
        <v>312.46999999999997</v>
      </c>
      <c r="I4812" s="225">
        <v>0</v>
      </c>
      <c r="J4812" s="225">
        <v>0</v>
      </c>
      <c r="K4812" s="225">
        <v>312.46999999999997</v>
      </c>
      <c r="L48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312.47000000000003</v>
      </c>
      <c r="M4812" s="225">
        <f>ROUND(IF(AND(Base_Periodo1[[#This Row],[Tipo_Linha]]="-",Base_Periodo1[[#This Row],[TIPOSALDO]]="D"),Base_Periodo1[[#This Row],[SALDO_ATUAL]]*-1,Base_Periodo1[[#This Row],[SALDO_ATUAL]]),4)</f>
        <v>312.47000000000003</v>
      </c>
      <c r="N4812" t="s">
        <v>116</v>
      </c>
      <c r="O4812" t="s">
        <v>459</v>
      </c>
      <c r="P4812" t="s">
        <v>459</v>
      </c>
      <c r="Q4812">
        <v>6</v>
      </c>
      <c r="R4812" s="225">
        <f>Base_Periodo1[[#This Row],[CREDITOS]]-Base_Periodo1[[#This Row],[DEBITOS]]</f>
        <v>0</v>
      </c>
      <c r="S4812" s="3" t="str">
        <f>IF(ISERROR(VLOOKUP(Base_Periodo1[[#This Row],[CONTA]],BaseContasDRE[#All],4,FALSE)),"Fora do DRE",VLOOKUP(Base_Periodo1[[#This Row],[CONTA]],BaseContasDRE[#All],4,FALSE))</f>
        <v>Fora do DRE</v>
      </c>
      <c r="T4812" s="3" t="str">
        <f>IF(ISERROR(VLOOKUP(Base_Periodo1[[#This Row],[CONTA]],BaseContasDRE[#All],5,FALSE)),"Fora do DRE",VLOOKUP(Base_Periodo1[[#This Row],[CONTA]],BaseContasDRE[#All],6,FALSE))</f>
        <v>Fora do DRE</v>
      </c>
      <c r="U4812" s="3" t="str">
        <f>IF(ISERROR(VLOOKUP(Base_Periodo1[[#This Row],[CONTA]],BaseContasDRE[#All],7,FALSE)),"Fora do DRE",VLOOKUP(Base_Periodo1[[#This Row],[CONTA]],BaseContasDRE[#All],7,FALSE))</f>
        <v>Fora do DRE</v>
      </c>
      <c r="V4812" s="3" t="str">
        <f>IF(Base_Periodo1[[#This Row],[Tipo_Linha]]="Fora do DRE","Fora do DRE","( "&amp;Base_Periodo1[[#This Row],[Tipo_Linha]]&amp;" ) "&amp;Base_Periodo1[[#This Row],[Filtro]])</f>
        <v>Fora do DRE</v>
      </c>
      <c r="W4812" s="3" t="str">
        <f>LEFT(Base_Periodo1[[#This Row],[CLASS]],3)</f>
        <v>2.4</v>
      </c>
    </row>
    <row r="4813" spans="1:23" hidden="1">
      <c r="A4813" s="3" t="str">
        <f t="shared" si="75"/>
        <v>Período 1</v>
      </c>
      <c r="B4813">
        <v>25689</v>
      </c>
      <c r="C4813" t="s">
        <v>2300</v>
      </c>
      <c r="D4813" t="s">
        <v>2736</v>
      </c>
      <c r="E4813" s="3" t="str">
        <f>IF(LEN(Base_Periodo1[[#This Row],[CLASS]])&gt;=7,LEFT(Base_Periodo1[[#This Row],[CLASS]],7),"")</f>
        <v>2.4.1.1</v>
      </c>
      <c r="F4813" s="3" t="str">
        <f>VLOOKUP(Base_Periodo1[[#This Row],[Aux]],Base_Contas_Balanco[#All],2,FALSE)</f>
        <v>Capital Social Realizado</v>
      </c>
      <c r="G4813" s="1"/>
      <c r="H4813" s="225">
        <v>50</v>
      </c>
      <c r="I4813" s="225">
        <v>0</v>
      </c>
      <c r="J4813" s="225">
        <v>0</v>
      </c>
      <c r="K4813" s="225">
        <v>50</v>
      </c>
      <c r="L48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13" s="225">
        <f>ROUND(IF(AND(Base_Periodo1[[#This Row],[Tipo_Linha]]="-",Base_Periodo1[[#This Row],[TIPOSALDO]]="D"),Base_Periodo1[[#This Row],[SALDO_ATUAL]]*-1,Base_Periodo1[[#This Row],[SALDO_ATUAL]]),4)</f>
        <v>50</v>
      </c>
      <c r="N4813" t="s">
        <v>116</v>
      </c>
      <c r="O4813" t="s">
        <v>459</v>
      </c>
      <c r="P4813" t="s">
        <v>459</v>
      </c>
      <c r="Q4813">
        <v>6</v>
      </c>
      <c r="R4813" s="225">
        <f>Base_Periodo1[[#This Row],[CREDITOS]]-Base_Periodo1[[#This Row],[DEBITOS]]</f>
        <v>0</v>
      </c>
      <c r="S4813" s="3" t="str">
        <f>IF(ISERROR(VLOOKUP(Base_Periodo1[[#This Row],[CONTA]],BaseContasDRE[#All],4,FALSE)),"Fora do DRE",VLOOKUP(Base_Periodo1[[#This Row],[CONTA]],BaseContasDRE[#All],4,FALSE))</f>
        <v>Fora do DRE</v>
      </c>
      <c r="T4813" s="3" t="str">
        <f>IF(ISERROR(VLOOKUP(Base_Periodo1[[#This Row],[CONTA]],BaseContasDRE[#All],5,FALSE)),"Fora do DRE",VLOOKUP(Base_Periodo1[[#This Row],[CONTA]],BaseContasDRE[#All],6,FALSE))</f>
        <v>Fora do DRE</v>
      </c>
      <c r="U4813" s="3" t="str">
        <f>IF(ISERROR(VLOOKUP(Base_Periodo1[[#This Row],[CONTA]],BaseContasDRE[#All],7,FALSE)),"Fora do DRE",VLOOKUP(Base_Periodo1[[#This Row],[CONTA]],BaseContasDRE[#All],7,FALSE))</f>
        <v>Fora do DRE</v>
      </c>
      <c r="V4813" s="3" t="str">
        <f>IF(Base_Periodo1[[#This Row],[Tipo_Linha]]="Fora do DRE","Fora do DRE","( "&amp;Base_Periodo1[[#This Row],[Tipo_Linha]]&amp;" ) "&amp;Base_Periodo1[[#This Row],[Filtro]])</f>
        <v>Fora do DRE</v>
      </c>
      <c r="W4813" s="3" t="str">
        <f>LEFT(Base_Periodo1[[#This Row],[CLASS]],3)</f>
        <v>2.4</v>
      </c>
    </row>
    <row r="4814" spans="1:23" hidden="1">
      <c r="A4814" s="3" t="str">
        <f t="shared" si="75"/>
        <v>Período 1</v>
      </c>
      <c r="B4814">
        <v>19346</v>
      </c>
      <c r="C4814" t="s">
        <v>2300</v>
      </c>
      <c r="D4814" t="s">
        <v>2737</v>
      </c>
      <c r="E4814" s="3" t="str">
        <f>IF(LEN(Base_Periodo1[[#This Row],[CLASS]])&gt;=7,LEFT(Base_Periodo1[[#This Row],[CLASS]],7),"")</f>
        <v>2.4.1.1</v>
      </c>
      <c r="F4814" s="3" t="str">
        <f>VLOOKUP(Base_Periodo1[[#This Row],[Aux]],Base_Contas_Balanco[#All],2,FALSE)</f>
        <v>Capital Social Realizado</v>
      </c>
      <c r="G4814" s="1"/>
      <c r="H4814" s="225">
        <v>83.92</v>
      </c>
      <c r="I4814" s="225">
        <v>0</v>
      </c>
      <c r="J4814" s="225">
        <v>0</v>
      </c>
      <c r="K4814" s="225">
        <v>83.92</v>
      </c>
      <c r="L48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83.92</v>
      </c>
      <c r="M4814" s="225">
        <f>ROUND(IF(AND(Base_Periodo1[[#This Row],[Tipo_Linha]]="-",Base_Periodo1[[#This Row],[TIPOSALDO]]="D"),Base_Periodo1[[#This Row],[SALDO_ATUAL]]*-1,Base_Periodo1[[#This Row],[SALDO_ATUAL]]),4)</f>
        <v>83.92</v>
      </c>
      <c r="N4814" t="s">
        <v>116</v>
      </c>
      <c r="O4814" t="s">
        <v>459</v>
      </c>
      <c r="P4814" t="s">
        <v>459</v>
      </c>
      <c r="Q4814">
        <v>6</v>
      </c>
      <c r="R4814" s="225">
        <f>Base_Periodo1[[#This Row],[CREDITOS]]-Base_Periodo1[[#This Row],[DEBITOS]]</f>
        <v>0</v>
      </c>
      <c r="S4814" s="3" t="str">
        <f>IF(ISERROR(VLOOKUP(Base_Periodo1[[#This Row],[CONTA]],BaseContasDRE[#All],4,FALSE)),"Fora do DRE",VLOOKUP(Base_Periodo1[[#This Row],[CONTA]],BaseContasDRE[#All],4,FALSE))</f>
        <v>Fora do DRE</v>
      </c>
      <c r="T4814" s="3" t="str">
        <f>IF(ISERROR(VLOOKUP(Base_Periodo1[[#This Row],[CONTA]],BaseContasDRE[#All],5,FALSE)),"Fora do DRE",VLOOKUP(Base_Periodo1[[#This Row],[CONTA]],BaseContasDRE[#All],6,FALSE))</f>
        <v>Fora do DRE</v>
      </c>
      <c r="U4814" s="3" t="str">
        <f>IF(ISERROR(VLOOKUP(Base_Periodo1[[#This Row],[CONTA]],BaseContasDRE[#All],7,FALSE)),"Fora do DRE",VLOOKUP(Base_Periodo1[[#This Row],[CONTA]],BaseContasDRE[#All],7,FALSE))</f>
        <v>Fora do DRE</v>
      </c>
      <c r="V4814" s="3" t="str">
        <f>IF(Base_Periodo1[[#This Row],[Tipo_Linha]]="Fora do DRE","Fora do DRE","( "&amp;Base_Periodo1[[#This Row],[Tipo_Linha]]&amp;" ) "&amp;Base_Periodo1[[#This Row],[Filtro]])</f>
        <v>Fora do DRE</v>
      </c>
      <c r="W4814" s="3" t="str">
        <f>LEFT(Base_Periodo1[[#This Row],[CLASS]],3)</f>
        <v>2.4</v>
      </c>
    </row>
    <row r="4815" spans="1:23" hidden="1">
      <c r="A4815" s="3" t="str">
        <f t="shared" si="75"/>
        <v>Período 1</v>
      </c>
      <c r="B4815">
        <v>38066</v>
      </c>
      <c r="C4815" t="s">
        <v>2300</v>
      </c>
      <c r="D4815" t="s">
        <v>2738</v>
      </c>
      <c r="E4815" s="3" t="str">
        <f>IF(LEN(Base_Periodo1[[#This Row],[CLASS]])&gt;=7,LEFT(Base_Periodo1[[#This Row],[CLASS]],7),"")</f>
        <v>2.4.1.1</v>
      </c>
      <c r="F4815" s="3" t="str">
        <f>VLOOKUP(Base_Periodo1[[#This Row],[Aux]],Base_Contas_Balanco[#All],2,FALSE)</f>
        <v>Capital Social Realizado</v>
      </c>
      <c r="G4815" s="1"/>
      <c r="H4815" s="225">
        <v>1066.3</v>
      </c>
      <c r="I4815" s="225">
        <v>0</v>
      </c>
      <c r="J4815" s="225">
        <v>0</v>
      </c>
      <c r="K4815" s="225">
        <v>1066.3</v>
      </c>
      <c r="L48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1066.3</v>
      </c>
      <c r="M4815" s="225">
        <f>ROUND(IF(AND(Base_Periodo1[[#This Row],[Tipo_Linha]]="-",Base_Periodo1[[#This Row],[TIPOSALDO]]="D"),Base_Periodo1[[#This Row],[SALDO_ATUAL]]*-1,Base_Periodo1[[#This Row],[SALDO_ATUAL]]),4)</f>
        <v>1066.3</v>
      </c>
      <c r="N4815" t="s">
        <v>116</v>
      </c>
      <c r="O4815" t="s">
        <v>459</v>
      </c>
      <c r="P4815" t="s">
        <v>459</v>
      </c>
      <c r="Q4815">
        <v>6</v>
      </c>
      <c r="R4815" s="225">
        <f>Base_Periodo1[[#This Row],[CREDITOS]]-Base_Periodo1[[#This Row],[DEBITOS]]</f>
        <v>0</v>
      </c>
      <c r="S4815" s="3" t="str">
        <f>IF(ISERROR(VLOOKUP(Base_Periodo1[[#This Row],[CONTA]],BaseContasDRE[#All],4,FALSE)),"Fora do DRE",VLOOKUP(Base_Periodo1[[#This Row],[CONTA]],BaseContasDRE[#All],4,FALSE))</f>
        <v>Fora do DRE</v>
      </c>
      <c r="T4815" s="3" t="str">
        <f>IF(ISERROR(VLOOKUP(Base_Periodo1[[#This Row],[CONTA]],BaseContasDRE[#All],5,FALSE)),"Fora do DRE",VLOOKUP(Base_Periodo1[[#This Row],[CONTA]],BaseContasDRE[#All],6,FALSE))</f>
        <v>Fora do DRE</v>
      </c>
      <c r="U4815" s="3" t="str">
        <f>IF(ISERROR(VLOOKUP(Base_Periodo1[[#This Row],[CONTA]],BaseContasDRE[#All],7,FALSE)),"Fora do DRE",VLOOKUP(Base_Periodo1[[#This Row],[CONTA]],BaseContasDRE[#All],7,FALSE))</f>
        <v>Fora do DRE</v>
      </c>
      <c r="V4815" s="3" t="str">
        <f>IF(Base_Periodo1[[#This Row],[Tipo_Linha]]="Fora do DRE","Fora do DRE","( "&amp;Base_Periodo1[[#This Row],[Tipo_Linha]]&amp;" ) "&amp;Base_Periodo1[[#This Row],[Filtro]])</f>
        <v>Fora do DRE</v>
      </c>
      <c r="W4815" s="3" t="str">
        <f>LEFT(Base_Periodo1[[#This Row],[CLASS]],3)</f>
        <v>2.4</v>
      </c>
    </row>
    <row r="4816" spans="1:23" hidden="1">
      <c r="A4816" s="3" t="str">
        <f t="shared" si="75"/>
        <v>Período 1</v>
      </c>
      <c r="B4816">
        <v>25248</v>
      </c>
      <c r="C4816" t="s">
        <v>2300</v>
      </c>
      <c r="D4816" t="s">
        <v>2739</v>
      </c>
      <c r="E4816" s="3" t="str">
        <f>IF(LEN(Base_Periodo1[[#This Row],[CLASS]])&gt;=7,LEFT(Base_Periodo1[[#This Row],[CLASS]],7),"")</f>
        <v>2.4.1.1</v>
      </c>
      <c r="F4816" s="3" t="str">
        <f>VLOOKUP(Base_Periodo1[[#This Row],[Aux]],Base_Contas_Balanco[#All],2,FALSE)</f>
        <v>Capital Social Realizado</v>
      </c>
      <c r="G4816" s="1"/>
      <c r="H4816" s="225">
        <v>147.76</v>
      </c>
      <c r="I4816" s="225">
        <v>0</v>
      </c>
      <c r="J4816" s="225">
        <v>0</v>
      </c>
      <c r="K4816" s="225">
        <v>147.76</v>
      </c>
      <c r="L48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147.76</v>
      </c>
      <c r="M4816" s="225">
        <f>ROUND(IF(AND(Base_Periodo1[[#This Row],[Tipo_Linha]]="-",Base_Periodo1[[#This Row],[TIPOSALDO]]="D"),Base_Periodo1[[#This Row],[SALDO_ATUAL]]*-1,Base_Periodo1[[#This Row],[SALDO_ATUAL]]),4)</f>
        <v>147.76</v>
      </c>
      <c r="N4816" t="s">
        <v>116</v>
      </c>
      <c r="O4816" t="s">
        <v>459</v>
      </c>
      <c r="P4816" t="s">
        <v>459</v>
      </c>
      <c r="Q4816">
        <v>6</v>
      </c>
      <c r="R4816" s="225">
        <f>Base_Periodo1[[#This Row],[CREDITOS]]-Base_Periodo1[[#This Row],[DEBITOS]]</f>
        <v>0</v>
      </c>
      <c r="S4816" s="3" t="str">
        <f>IF(ISERROR(VLOOKUP(Base_Periodo1[[#This Row],[CONTA]],BaseContasDRE[#All],4,FALSE)),"Fora do DRE",VLOOKUP(Base_Periodo1[[#This Row],[CONTA]],BaseContasDRE[#All],4,FALSE))</f>
        <v>Fora do DRE</v>
      </c>
      <c r="T4816" s="3" t="str">
        <f>IF(ISERROR(VLOOKUP(Base_Periodo1[[#This Row],[CONTA]],BaseContasDRE[#All],5,FALSE)),"Fora do DRE",VLOOKUP(Base_Periodo1[[#This Row],[CONTA]],BaseContasDRE[#All],6,FALSE))</f>
        <v>Fora do DRE</v>
      </c>
      <c r="U4816" s="3" t="str">
        <f>IF(ISERROR(VLOOKUP(Base_Periodo1[[#This Row],[CONTA]],BaseContasDRE[#All],7,FALSE)),"Fora do DRE",VLOOKUP(Base_Periodo1[[#This Row],[CONTA]],BaseContasDRE[#All],7,FALSE))</f>
        <v>Fora do DRE</v>
      </c>
      <c r="V4816" s="3" t="str">
        <f>IF(Base_Periodo1[[#This Row],[Tipo_Linha]]="Fora do DRE","Fora do DRE","( "&amp;Base_Periodo1[[#This Row],[Tipo_Linha]]&amp;" ) "&amp;Base_Periodo1[[#This Row],[Filtro]])</f>
        <v>Fora do DRE</v>
      </c>
      <c r="W4816" s="3" t="str">
        <f>LEFT(Base_Periodo1[[#This Row],[CLASS]],3)</f>
        <v>2.4</v>
      </c>
    </row>
    <row r="4817" spans="1:23" hidden="1">
      <c r="A4817" s="3" t="str">
        <f t="shared" si="75"/>
        <v>Período 1</v>
      </c>
      <c r="B4817">
        <v>47546</v>
      </c>
      <c r="C4817" t="s">
        <v>2300</v>
      </c>
      <c r="D4817" t="s">
        <v>2740</v>
      </c>
      <c r="E4817" s="3" t="str">
        <f>IF(LEN(Base_Periodo1[[#This Row],[CLASS]])&gt;=7,LEFT(Base_Periodo1[[#This Row],[CLASS]],7),"")</f>
        <v>2.4.1.1</v>
      </c>
      <c r="F4817" s="3" t="str">
        <f>VLOOKUP(Base_Periodo1[[#This Row],[Aux]],Base_Contas_Balanco[#All],2,FALSE)</f>
        <v>Capital Social Realizado</v>
      </c>
      <c r="G4817" s="1"/>
      <c r="H4817" s="225">
        <v>73.739999999999995</v>
      </c>
      <c r="I4817" s="225">
        <v>0</v>
      </c>
      <c r="J4817" s="225">
        <v>0</v>
      </c>
      <c r="K4817" s="225">
        <v>73.739999999999995</v>
      </c>
      <c r="L48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73.739999999999995</v>
      </c>
      <c r="M4817" s="225">
        <f>ROUND(IF(AND(Base_Periodo1[[#This Row],[Tipo_Linha]]="-",Base_Periodo1[[#This Row],[TIPOSALDO]]="D"),Base_Periodo1[[#This Row],[SALDO_ATUAL]]*-1,Base_Periodo1[[#This Row],[SALDO_ATUAL]]),4)</f>
        <v>73.739999999999995</v>
      </c>
      <c r="N4817" t="s">
        <v>116</v>
      </c>
      <c r="O4817" t="s">
        <v>459</v>
      </c>
      <c r="P4817" t="s">
        <v>459</v>
      </c>
      <c r="Q4817">
        <v>6</v>
      </c>
      <c r="R4817" s="225">
        <f>Base_Periodo1[[#This Row],[CREDITOS]]-Base_Periodo1[[#This Row],[DEBITOS]]</f>
        <v>0</v>
      </c>
      <c r="S4817" s="3" t="str">
        <f>IF(ISERROR(VLOOKUP(Base_Periodo1[[#This Row],[CONTA]],BaseContasDRE[#All],4,FALSE)),"Fora do DRE",VLOOKUP(Base_Periodo1[[#This Row],[CONTA]],BaseContasDRE[#All],4,FALSE))</f>
        <v>Fora do DRE</v>
      </c>
      <c r="T4817" s="3" t="str">
        <f>IF(ISERROR(VLOOKUP(Base_Periodo1[[#This Row],[CONTA]],BaseContasDRE[#All],5,FALSE)),"Fora do DRE",VLOOKUP(Base_Periodo1[[#This Row],[CONTA]],BaseContasDRE[#All],6,FALSE))</f>
        <v>Fora do DRE</v>
      </c>
      <c r="U4817" s="3" t="str">
        <f>IF(ISERROR(VLOOKUP(Base_Periodo1[[#This Row],[CONTA]],BaseContasDRE[#All],7,FALSE)),"Fora do DRE",VLOOKUP(Base_Periodo1[[#This Row],[CONTA]],BaseContasDRE[#All],7,FALSE))</f>
        <v>Fora do DRE</v>
      </c>
      <c r="V4817" s="3" t="str">
        <f>IF(Base_Periodo1[[#This Row],[Tipo_Linha]]="Fora do DRE","Fora do DRE","( "&amp;Base_Periodo1[[#This Row],[Tipo_Linha]]&amp;" ) "&amp;Base_Periodo1[[#This Row],[Filtro]])</f>
        <v>Fora do DRE</v>
      </c>
      <c r="W4817" s="3" t="str">
        <f>LEFT(Base_Periodo1[[#This Row],[CLASS]],3)</f>
        <v>2.4</v>
      </c>
    </row>
    <row r="4818" spans="1:23" hidden="1">
      <c r="A4818" s="3" t="str">
        <f t="shared" si="75"/>
        <v>Período 1</v>
      </c>
      <c r="B4818">
        <v>19759</v>
      </c>
      <c r="C4818" t="s">
        <v>2300</v>
      </c>
      <c r="D4818" t="s">
        <v>2741</v>
      </c>
      <c r="E4818" s="3" t="str">
        <f>IF(LEN(Base_Periodo1[[#This Row],[CLASS]])&gt;=7,LEFT(Base_Periodo1[[#This Row],[CLASS]],7),"")</f>
        <v>2.4.1.1</v>
      </c>
      <c r="F4818" s="3" t="str">
        <f>VLOOKUP(Base_Periodo1[[#This Row],[Aux]],Base_Contas_Balanco[#All],2,FALSE)</f>
        <v>Capital Social Realizado</v>
      </c>
      <c r="G4818" s="1"/>
      <c r="H4818" s="225">
        <v>3078.5699999999997</v>
      </c>
      <c r="I4818" s="225">
        <v>0</v>
      </c>
      <c r="J4818" s="225">
        <v>0</v>
      </c>
      <c r="K4818" s="225">
        <v>3078.5699999999997</v>
      </c>
      <c r="L48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3078.57</v>
      </c>
      <c r="M4818" s="225">
        <f>ROUND(IF(AND(Base_Periodo1[[#This Row],[Tipo_Linha]]="-",Base_Periodo1[[#This Row],[TIPOSALDO]]="D"),Base_Periodo1[[#This Row],[SALDO_ATUAL]]*-1,Base_Periodo1[[#This Row],[SALDO_ATUAL]]),4)</f>
        <v>3078.57</v>
      </c>
      <c r="N4818" t="s">
        <v>116</v>
      </c>
      <c r="O4818" t="s">
        <v>459</v>
      </c>
      <c r="P4818" t="s">
        <v>459</v>
      </c>
      <c r="Q4818">
        <v>6</v>
      </c>
      <c r="R4818" s="225">
        <f>Base_Periodo1[[#This Row],[CREDITOS]]-Base_Periodo1[[#This Row],[DEBITOS]]</f>
        <v>0</v>
      </c>
      <c r="S4818" s="3" t="str">
        <f>IF(ISERROR(VLOOKUP(Base_Periodo1[[#This Row],[CONTA]],BaseContasDRE[#All],4,FALSE)),"Fora do DRE",VLOOKUP(Base_Periodo1[[#This Row],[CONTA]],BaseContasDRE[#All],4,FALSE))</f>
        <v>Fora do DRE</v>
      </c>
      <c r="T4818" s="3" t="str">
        <f>IF(ISERROR(VLOOKUP(Base_Periodo1[[#This Row],[CONTA]],BaseContasDRE[#All],5,FALSE)),"Fora do DRE",VLOOKUP(Base_Periodo1[[#This Row],[CONTA]],BaseContasDRE[#All],6,FALSE))</f>
        <v>Fora do DRE</v>
      </c>
      <c r="U4818" s="3" t="str">
        <f>IF(ISERROR(VLOOKUP(Base_Periodo1[[#This Row],[CONTA]],BaseContasDRE[#All],7,FALSE)),"Fora do DRE",VLOOKUP(Base_Periodo1[[#This Row],[CONTA]],BaseContasDRE[#All],7,FALSE))</f>
        <v>Fora do DRE</v>
      </c>
      <c r="V4818" s="3" t="str">
        <f>IF(Base_Periodo1[[#This Row],[Tipo_Linha]]="Fora do DRE","Fora do DRE","( "&amp;Base_Periodo1[[#This Row],[Tipo_Linha]]&amp;" ) "&amp;Base_Periodo1[[#This Row],[Filtro]])</f>
        <v>Fora do DRE</v>
      </c>
      <c r="W4818" s="3" t="str">
        <f>LEFT(Base_Periodo1[[#This Row],[CLASS]],3)</f>
        <v>2.4</v>
      </c>
    </row>
    <row r="4819" spans="1:23" hidden="1">
      <c r="A4819" s="3" t="str">
        <f t="shared" si="75"/>
        <v>Período 1</v>
      </c>
      <c r="B4819">
        <v>50146</v>
      </c>
      <c r="C4819" t="s">
        <v>2300</v>
      </c>
      <c r="D4819" t="s">
        <v>4376</v>
      </c>
      <c r="E4819" s="3" t="str">
        <f>IF(LEN(Base_Periodo1[[#This Row],[CLASS]])&gt;=7,LEFT(Base_Periodo1[[#This Row],[CLASS]],7),"")</f>
        <v>2.4.1.1</v>
      </c>
      <c r="F4819" s="3" t="str">
        <f>VLOOKUP(Base_Periodo1[[#This Row],[Aux]],Base_Contas_Balanco[#All],2,FALSE)</f>
        <v>Capital Social Realizado</v>
      </c>
      <c r="G4819" s="1"/>
      <c r="H4819" s="225">
        <v>200</v>
      </c>
      <c r="I4819" s="225">
        <v>0</v>
      </c>
      <c r="J4819" s="225">
        <v>0</v>
      </c>
      <c r="K4819" s="225">
        <v>200</v>
      </c>
      <c r="L48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</v>
      </c>
      <c r="M4819" s="225">
        <f>ROUND(IF(AND(Base_Periodo1[[#This Row],[Tipo_Linha]]="-",Base_Periodo1[[#This Row],[TIPOSALDO]]="D"),Base_Periodo1[[#This Row],[SALDO_ATUAL]]*-1,Base_Periodo1[[#This Row],[SALDO_ATUAL]]),4)</f>
        <v>200</v>
      </c>
      <c r="N4819" t="s">
        <v>116</v>
      </c>
      <c r="O4819" t="s">
        <v>459</v>
      </c>
      <c r="P4819" t="s">
        <v>459</v>
      </c>
      <c r="Q4819">
        <v>6</v>
      </c>
      <c r="R4819" s="225">
        <f>Base_Periodo1[[#This Row],[CREDITOS]]-Base_Periodo1[[#This Row],[DEBITOS]]</f>
        <v>0</v>
      </c>
      <c r="S4819" s="3" t="str">
        <f>IF(ISERROR(VLOOKUP(Base_Periodo1[[#This Row],[CONTA]],BaseContasDRE[#All],4,FALSE)),"Fora do DRE",VLOOKUP(Base_Periodo1[[#This Row],[CONTA]],BaseContasDRE[#All],4,FALSE))</f>
        <v>Fora do DRE</v>
      </c>
      <c r="T4819" s="3" t="str">
        <f>IF(ISERROR(VLOOKUP(Base_Periodo1[[#This Row],[CONTA]],BaseContasDRE[#All],5,FALSE)),"Fora do DRE",VLOOKUP(Base_Periodo1[[#This Row],[CONTA]],BaseContasDRE[#All],6,FALSE))</f>
        <v>Fora do DRE</v>
      </c>
      <c r="U4819" s="3" t="str">
        <f>IF(ISERROR(VLOOKUP(Base_Periodo1[[#This Row],[CONTA]],BaseContasDRE[#All],7,FALSE)),"Fora do DRE",VLOOKUP(Base_Periodo1[[#This Row],[CONTA]],BaseContasDRE[#All],7,FALSE))</f>
        <v>Fora do DRE</v>
      </c>
      <c r="V4819" s="3" t="str">
        <f>IF(Base_Periodo1[[#This Row],[Tipo_Linha]]="Fora do DRE","Fora do DRE","( "&amp;Base_Periodo1[[#This Row],[Tipo_Linha]]&amp;" ) "&amp;Base_Periodo1[[#This Row],[Filtro]])</f>
        <v>Fora do DRE</v>
      </c>
      <c r="W4819" s="3" t="str">
        <f>LEFT(Base_Periodo1[[#This Row],[CLASS]],3)</f>
        <v>2.4</v>
      </c>
    </row>
    <row r="4820" spans="1:23" hidden="1">
      <c r="A4820" s="3" t="str">
        <f t="shared" si="75"/>
        <v>Período 1</v>
      </c>
      <c r="B4820">
        <v>30653</v>
      </c>
      <c r="C4820" t="s">
        <v>2300</v>
      </c>
      <c r="D4820" t="s">
        <v>2742</v>
      </c>
      <c r="E4820" s="3" t="str">
        <f>IF(LEN(Base_Periodo1[[#This Row],[CLASS]])&gt;=7,LEFT(Base_Periodo1[[#This Row],[CLASS]],7),"")</f>
        <v>2.4.1.1</v>
      </c>
      <c r="F4820" s="3" t="str">
        <f>VLOOKUP(Base_Periodo1[[#This Row],[Aux]],Base_Contas_Balanco[#All],2,FALSE)</f>
        <v>Capital Social Realizado</v>
      </c>
      <c r="G4820" s="1"/>
      <c r="H4820" s="225">
        <v>187.01</v>
      </c>
      <c r="I4820" s="225">
        <v>0</v>
      </c>
      <c r="J4820" s="225">
        <v>0</v>
      </c>
      <c r="K4820" s="225">
        <v>187.01</v>
      </c>
      <c r="L48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187.01</v>
      </c>
      <c r="M4820" s="225">
        <f>ROUND(IF(AND(Base_Periodo1[[#This Row],[Tipo_Linha]]="-",Base_Periodo1[[#This Row],[TIPOSALDO]]="D"),Base_Periodo1[[#This Row],[SALDO_ATUAL]]*-1,Base_Periodo1[[#This Row],[SALDO_ATUAL]]),4)</f>
        <v>187.01</v>
      </c>
      <c r="N4820" t="s">
        <v>116</v>
      </c>
      <c r="O4820" t="s">
        <v>459</v>
      </c>
      <c r="P4820" t="s">
        <v>459</v>
      </c>
      <c r="Q4820">
        <v>6</v>
      </c>
      <c r="R4820" s="225">
        <f>Base_Periodo1[[#This Row],[CREDITOS]]-Base_Periodo1[[#This Row],[DEBITOS]]</f>
        <v>0</v>
      </c>
      <c r="S4820" s="3" t="str">
        <f>IF(ISERROR(VLOOKUP(Base_Periodo1[[#This Row],[CONTA]],BaseContasDRE[#All],4,FALSE)),"Fora do DRE",VLOOKUP(Base_Periodo1[[#This Row],[CONTA]],BaseContasDRE[#All],4,FALSE))</f>
        <v>Fora do DRE</v>
      </c>
      <c r="T4820" s="3" t="str">
        <f>IF(ISERROR(VLOOKUP(Base_Periodo1[[#This Row],[CONTA]],BaseContasDRE[#All],5,FALSE)),"Fora do DRE",VLOOKUP(Base_Periodo1[[#This Row],[CONTA]],BaseContasDRE[#All],6,FALSE))</f>
        <v>Fora do DRE</v>
      </c>
      <c r="U4820" s="3" t="str">
        <f>IF(ISERROR(VLOOKUP(Base_Periodo1[[#This Row],[CONTA]],BaseContasDRE[#All],7,FALSE)),"Fora do DRE",VLOOKUP(Base_Periodo1[[#This Row],[CONTA]],BaseContasDRE[#All],7,FALSE))</f>
        <v>Fora do DRE</v>
      </c>
      <c r="V4820" s="3" t="str">
        <f>IF(Base_Periodo1[[#This Row],[Tipo_Linha]]="Fora do DRE","Fora do DRE","( "&amp;Base_Periodo1[[#This Row],[Tipo_Linha]]&amp;" ) "&amp;Base_Periodo1[[#This Row],[Filtro]])</f>
        <v>Fora do DRE</v>
      </c>
      <c r="W4820" s="3" t="str">
        <f>LEFT(Base_Periodo1[[#This Row],[CLASS]],3)</f>
        <v>2.4</v>
      </c>
    </row>
    <row r="4821" spans="1:23" hidden="1">
      <c r="A4821" s="3" t="str">
        <f t="shared" si="75"/>
        <v>Período 1</v>
      </c>
      <c r="B4821">
        <v>22606</v>
      </c>
      <c r="C4821" t="s">
        <v>2300</v>
      </c>
      <c r="D4821" t="s">
        <v>2743</v>
      </c>
      <c r="E4821" s="3" t="str">
        <f>IF(LEN(Base_Periodo1[[#This Row],[CLASS]])&gt;=7,LEFT(Base_Periodo1[[#This Row],[CLASS]],7),"")</f>
        <v>2.4.1.1</v>
      </c>
      <c r="F4821" s="3" t="str">
        <f>VLOOKUP(Base_Periodo1[[#This Row],[Aux]],Base_Contas_Balanco[#All],2,FALSE)</f>
        <v>Capital Social Realizado</v>
      </c>
      <c r="G4821" s="1"/>
      <c r="H4821" s="225">
        <v>451.31</v>
      </c>
      <c r="I4821" s="225">
        <v>0</v>
      </c>
      <c r="J4821" s="225">
        <v>0</v>
      </c>
      <c r="K4821" s="225">
        <v>451.31</v>
      </c>
      <c r="L48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451.31</v>
      </c>
      <c r="M4821" s="225">
        <f>ROUND(IF(AND(Base_Periodo1[[#This Row],[Tipo_Linha]]="-",Base_Periodo1[[#This Row],[TIPOSALDO]]="D"),Base_Periodo1[[#This Row],[SALDO_ATUAL]]*-1,Base_Periodo1[[#This Row],[SALDO_ATUAL]]),4)</f>
        <v>451.31</v>
      </c>
      <c r="N4821" t="s">
        <v>116</v>
      </c>
      <c r="O4821" t="s">
        <v>459</v>
      </c>
      <c r="P4821" t="s">
        <v>459</v>
      </c>
      <c r="Q4821">
        <v>6</v>
      </c>
      <c r="R4821" s="225">
        <f>Base_Periodo1[[#This Row],[CREDITOS]]-Base_Periodo1[[#This Row],[DEBITOS]]</f>
        <v>0</v>
      </c>
      <c r="S4821" s="3" t="str">
        <f>IF(ISERROR(VLOOKUP(Base_Periodo1[[#This Row],[CONTA]],BaseContasDRE[#All],4,FALSE)),"Fora do DRE",VLOOKUP(Base_Periodo1[[#This Row],[CONTA]],BaseContasDRE[#All],4,FALSE))</f>
        <v>Fora do DRE</v>
      </c>
      <c r="T4821" s="3" t="str">
        <f>IF(ISERROR(VLOOKUP(Base_Periodo1[[#This Row],[CONTA]],BaseContasDRE[#All],5,FALSE)),"Fora do DRE",VLOOKUP(Base_Periodo1[[#This Row],[CONTA]],BaseContasDRE[#All],6,FALSE))</f>
        <v>Fora do DRE</v>
      </c>
      <c r="U4821" s="3" t="str">
        <f>IF(ISERROR(VLOOKUP(Base_Periodo1[[#This Row],[CONTA]],BaseContasDRE[#All],7,FALSE)),"Fora do DRE",VLOOKUP(Base_Periodo1[[#This Row],[CONTA]],BaseContasDRE[#All],7,FALSE))</f>
        <v>Fora do DRE</v>
      </c>
      <c r="V4821" s="3" t="str">
        <f>IF(Base_Periodo1[[#This Row],[Tipo_Linha]]="Fora do DRE","Fora do DRE","( "&amp;Base_Periodo1[[#This Row],[Tipo_Linha]]&amp;" ) "&amp;Base_Periodo1[[#This Row],[Filtro]])</f>
        <v>Fora do DRE</v>
      </c>
      <c r="W4821" s="3" t="str">
        <f>LEFT(Base_Periodo1[[#This Row],[CLASS]],3)</f>
        <v>2.4</v>
      </c>
    </row>
    <row r="4822" spans="1:23" hidden="1">
      <c r="A4822" s="3" t="str">
        <f t="shared" si="75"/>
        <v>Período 1</v>
      </c>
      <c r="B4822">
        <v>26545</v>
      </c>
      <c r="C4822" t="s">
        <v>2300</v>
      </c>
      <c r="D4822" t="s">
        <v>2744</v>
      </c>
      <c r="E4822" s="3" t="str">
        <f>IF(LEN(Base_Periodo1[[#This Row],[CLASS]])&gt;=7,LEFT(Base_Periodo1[[#This Row],[CLASS]],7),"")</f>
        <v>2.4.1.1</v>
      </c>
      <c r="F4822" s="3" t="str">
        <f>VLOOKUP(Base_Periodo1[[#This Row],[Aux]],Base_Contas_Balanco[#All],2,FALSE)</f>
        <v>Capital Social Realizado</v>
      </c>
      <c r="G4822" s="1"/>
      <c r="H4822" s="225">
        <v>98.1</v>
      </c>
      <c r="I4822" s="225">
        <v>0</v>
      </c>
      <c r="J4822" s="225">
        <v>0</v>
      </c>
      <c r="K4822" s="225">
        <v>98.1</v>
      </c>
      <c r="L48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98.1</v>
      </c>
      <c r="M4822" s="225">
        <f>ROUND(IF(AND(Base_Periodo1[[#This Row],[Tipo_Linha]]="-",Base_Periodo1[[#This Row],[TIPOSALDO]]="D"),Base_Periodo1[[#This Row],[SALDO_ATUAL]]*-1,Base_Periodo1[[#This Row],[SALDO_ATUAL]]),4)</f>
        <v>98.1</v>
      </c>
      <c r="N4822" t="s">
        <v>116</v>
      </c>
      <c r="O4822" t="s">
        <v>459</v>
      </c>
      <c r="P4822" t="s">
        <v>459</v>
      </c>
      <c r="Q4822">
        <v>6</v>
      </c>
      <c r="R4822" s="225">
        <f>Base_Periodo1[[#This Row],[CREDITOS]]-Base_Periodo1[[#This Row],[DEBITOS]]</f>
        <v>0</v>
      </c>
      <c r="S4822" s="3" t="str">
        <f>IF(ISERROR(VLOOKUP(Base_Periodo1[[#This Row],[CONTA]],BaseContasDRE[#All],4,FALSE)),"Fora do DRE",VLOOKUP(Base_Periodo1[[#This Row],[CONTA]],BaseContasDRE[#All],4,FALSE))</f>
        <v>Fora do DRE</v>
      </c>
      <c r="T4822" s="3" t="str">
        <f>IF(ISERROR(VLOOKUP(Base_Periodo1[[#This Row],[CONTA]],BaseContasDRE[#All],5,FALSE)),"Fora do DRE",VLOOKUP(Base_Periodo1[[#This Row],[CONTA]],BaseContasDRE[#All],6,FALSE))</f>
        <v>Fora do DRE</v>
      </c>
      <c r="U4822" s="3" t="str">
        <f>IF(ISERROR(VLOOKUP(Base_Periodo1[[#This Row],[CONTA]],BaseContasDRE[#All],7,FALSE)),"Fora do DRE",VLOOKUP(Base_Periodo1[[#This Row],[CONTA]],BaseContasDRE[#All],7,FALSE))</f>
        <v>Fora do DRE</v>
      </c>
      <c r="V4822" s="3" t="str">
        <f>IF(Base_Periodo1[[#This Row],[Tipo_Linha]]="Fora do DRE","Fora do DRE","( "&amp;Base_Periodo1[[#This Row],[Tipo_Linha]]&amp;" ) "&amp;Base_Periodo1[[#This Row],[Filtro]])</f>
        <v>Fora do DRE</v>
      </c>
      <c r="W4822" s="3" t="str">
        <f>LEFT(Base_Periodo1[[#This Row],[CLASS]],3)</f>
        <v>2.4</v>
      </c>
    </row>
    <row r="4823" spans="1:23" hidden="1">
      <c r="A4823" s="3" t="str">
        <f t="shared" si="75"/>
        <v>Período 1</v>
      </c>
      <c r="B4823">
        <v>25517</v>
      </c>
      <c r="C4823" t="s">
        <v>2300</v>
      </c>
      <c r="D4823" t="s">
        <v>2745</v>
      </c>
      <c r="E4823" s="3" t="str">
        <f>IF(LEN(Base_Periodo1[[#This Row],[CLASS]])&gt;=7,LEFT(Base_Periodo1[[#This Row],[CLASS]],7),"")</f>
        <v>2.4.1.1</v>
      </c>
      <c r="F4823" s="3" t="str">
        <f>VLOOKUP(Base_Periodo1[[#This Row],[Aux]],Base_Contas_Balanco[#All],2,FALSE)</f>
        <v>Capital Social Realizado</v>
      </c>
      <c r="G4823" s="1"/>
      <c r="H4823" s="225">
        <v>172.22</v>
      </c>
      <c r="I4823" s="225">
        <v>0</v>
      </c>
      <c r="J4823" s="225">
        <v>0</v>
      </c>
      <c r="K4823" s="225">
        <v>172.22</v>
      </c>
      <c r="L48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172.22</v>
      </c>
      <c r="M4823" s="225">
        <f>ROUND(IF(AND(Base_Periodo1[[#This Row],[Tipo_Linha]]="-",Base_Periodo1[[#This Row],[TIPOSALDO]]="D"),Base_Periodo1[[#This Row],[SALDO_ATUAL]]*-1,Base_Periodo1[[#This Row],[SALDO_ATUAL]]),4)</f>
        <v>172.22</v>
      </c>
      <c r="N4823" t="s">
        <v>116</v>
      </c>
      <c r="O4823" t="s">
        <v>459</v>
      </c>
      <c r="P4823" t="s">
        <v>459</v>
      </c>
      <c r="Q4823">
        <v>6</v>
      </c>
      <c r="R4823" s="225">
        <f>Base_Periodo1[[#This Row],[CREDITOS]]-Base_Periodo1[[#This Row],[DEBITOS]]</f>
        <v>0</v>
      </c>
      <c r="S4823" s="3" t="str">
        <f>IF(ISERROR(VLOOKUP(Base_Periodo1[[#This Row],[CONTA]],BaseContasDRE[#All],4,FALSE)),"Fora do DRE",VLOOKUP(Base_Periodo1[[#This Row],[CONTA]],BaseContasDRE[#All],4,FALSE))</f>
        <v>Fora do DRE</v>
      </c>
      <c r="T4823" s="3" t="str">
        <f>IF(ISERROR(VLOOKUP(Base_Periodo1[[#This Row],[CONTA]],BaseContasDRE[#All],5,FALSE)),"Fora do DRE",VLOOKUP(Base_Periodo1[[#This Row],[CONTA]],BaseContasDRE[#All],6,FALSE))</f>
        <v>Fora do DRE</v>
      </c>
      <c r="U4823" s="3" t="str">
        <f>IF(ISERROR(VLOOKUP(Base_Periodo1[[#This Row],[CONTA]],BaseContasDRE[#All],7,FALSE)),"Fora do DRE",VLOOKUP(Base_Periodo1[[#This Row],[CONTA]],BaseContasDRE[#All],7,FALSE))</f>
        <v>Fora do DRE</v>
      </c>
      <c r="V4823" s="3" t="str">
        <f>IF(Base_Periodo1[[#This Row],[Tipo_Linha]]="Fora do DRE","Fora do DRE","( "&amp;Base_Periodo1[[#This Row],[Tipo_Linha]]&amp;" ) "&amp;Base_Periodo1[[#This Row],[Filtro]])</f>
        <v>Fora do DRE</v>
      </c>
      <c r="W4823" s="3" t="str">
        <f>LEFT(Base_Periodo1[[#This Row],[CLASS]],3)</f>
        <v>2.4</v>
      </c>
    </row>
    <row r="4824" spans="1:23" hidden="1">
      <c r="A4824" s="3" t="str">
        <f t="shared" si="75"/>
        <v>Período 1</v>
      </c>
      <c r="B4824">
        <v>25548</v>
      </c>
      <c r="C4824" t="s">
        <v>2300</v>
      </c>
      <c r="D4824" t="s">
        <v>2746</v>
      </c>
      <c r="E4824" s="3" t="str">
        <f>IF(LEN(Base_Periodo1[[#This Row],[CLASS]])&gt;=7,LEFT(Base_Periodo1[[#This Row],[CLASS]],7),"")</f>
        <v>2.4.1.1</v>
      </c>
      <c r="F4824" s="3" t="str">
        <f>VLOOKUP(Base_Periodo1[[#This Row],[Aux]],Base_Contas_Balanco[#All],2,FALSE)</f>
        <v>Capital Social Realizado</v>
      </c>
      <c r="G4824" s="1"/>
      <c r="H4824" s="225">
        <v>241</v>
      </c>
      <c r="I4824" s="225">
        <v>0</v>
      </c>
      <c r="J4824" s="225">
        <v>0</v>
      </c>
      <c r="K4824" s="225">
        <v>241</v>
      </c>
      <c r="L48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241</v>
      </c>
      <c r="M4824" s="225">
        <f>ROUND(IF(AND(Base_Periodo1[[#This Row],[Tipo_Linha]]="-",Base_Periodo1[[#This Row],[TIPOSALDO]]="D"),Base_Periodo1[[#This Row],[SALDO_ATUAL]]*-1,Base_Periodo1[[#This Row],[SALDO_ATUAL]]),4)</f>
        <v>241</v>
      </c>
      <c r="N4824" t="s">
        <v>116</v>
      </c>
      <c r="O4824" t="s">
        <v>459</v>
      </c>
      <c r="P4824" t="s">
        <v>459</v>
      </c>
      <c r="Q4824">
        <v>6</v>
      </c>
      <c r="R4824" s="225">
        <f>Base_Periodo1[[#This Row],[CREDITOS]]-Base_Periodo1[[#This Row],[DEBITOS]]</f>
        <v>0</v>
      </c>
      <c r="S4824" s="3" t="str">
        <f>IF(ISERROR(VLOOKUP(Base_Periodo1[[#This Row],[CONTA]],BaseContasDRE[#All],4,FALSE)),"Fora do DRE",VLOOKUP(Base_Periodo1[[#This Row],[CONTA]],BaseContasDRE[#All],4,FALSE))</f>
        <v>Fora do DRE</v>
      </c>
      <c r="T4824" s="3" t="str">
        <f>IF(ISERROR(VLOOKUP(Base_Periodo1[[#This Row],[CONTA]],BaseContasDRE[#All],5,FALSE)),"Fora do DRE",VLOOKUP(Base_Periodo1[[#This Row],[CONTA]],BaseContasDRE[#All],6,FALSE))</f>
        <v>Fora do DRE</v>
      </c>
      <c r="U4824" s="3" t="str">
        <f>IF(ISERROR(VLOOKUP(Base_Periodo1[[#This Row],[CONTA]],BaseContasDRE[#All],7,FALSE)),"Fora do DRE",VLOOKUP(Base_Periodo1[[#This Row],[CONTA]],BaseContasDRE[#All],7,FALSE))</f>
        <v>Fora do DRE</v>
      </c>
      <c r="V4824" s="3" t="str">
        <f>IF(Base_Periodo1[[#This Row],[Tipo_Linha]]="Fora do DRE","Fora do DRE","( "&amp;Base_Periodo1[[#This Row],[Tipo_Linha]]&amp;" ) "&amp;Base_Periodo1[[#This Row],[Filtro]])</f>
        <v>Fora do DRE</v>
      </c>
      <c r="W4824" s="3" t="str">
        <f>LEFT(Base_Periodo1[[#This Row],[CLASS]],3)</f>
        <v>2.4</v>
      </c>
    </row>
    <row r="4825" spans="1:23" hidden="1">
      <c r="A4825" s="3" t="str">
        <f t="shared" si="75"/>
        <v>Período 1</v>
      </c>
      <c r="B4825">
        <v>16002</v>
      </c>
      <c r="C4825" t="s">
        <v>2300</v>
      </c>
      <c r="D4825" t="s">
        <v>2747</v>
      </c>
      <c r="E4825" s="3" t="str">
        <f>IF(LEN(Base_Periodo1[[#This Row],[CLASS]])&gt;=7,LEFT(Base_Periodo1[[#This Row],[CLASS]],7),"")</f>
        <v>2.4.1.1</v>
      </c>
      <c r="F4825" s="3" t="str">
        <f>VLOOKUP(Base_Periodo1[[#This Row],[Aux]],Base_Contas_Balanco[#All],2,FALSE)</f>
        <v>Capital Social Realizado</v>
      </c>
      <c r="G4825" s="1"/>
      <c r="H4825" s="225">
        <v>3106.75</v>
      </c>
      <c r="I4825" s="225">
        <v>0</v>
      </c>
      <c r="J4825" s="225">
        <v>0</v>
      </c>
      <c r="K4825" s="225">
        <v>3106.75</v>
      </c>
      <c r="L48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3106.75</v>
      </c>
      <c r="M4825" s="225">
        <f>ROUND(IF(AND(Base_Periodo1[[#This Row],[Tipo_Linha]]="-",Base_Periodo1[[#This Row],[TIPOSALDO]]="D"),Base_Periodo1[[#This Row],[SALDO_ATUAL]]*-1,Base_Periodo1[[#This Row],[SALDO_ATUAL]]),4)</f>
        <v>3106.75</v>
      </c>
      <c r="N4825" t="s">
        <v>116</v>
      </c>
      <c r="O4825" t="s">
        <v>459</v>
      </c>
      <c r="P4825" t="s">
        <v>459</v>
      </c>
      <c r="Q4825">
        <v>6</v>
      </c>
      <c r="R4825" s="225">
        <f>Base_Periodo1[[#This Row],[CREDITOS]]-Base_Periodo1[[#This Row],[DEBITOS]]</f>
        <v>0</v>
      </c>
      <c r="S4825" s="3" t="str">
        <f>IF(ISERROR(VLOOKUP(Base_Periodo1[[#This Row],[CONTA]],BaseContasDRE[#All],4,FALSE)),"Fora do DRE",VLOOKUP(Base_Periodo1[[#This Row],[CONTA]],BaseContasDRE[#All],4,FALSE))</f>
        <v>Fora do DRE</v>
      </c>
      <c r="T4825" s="3" t="str">
        <f>IF(ISERROR(VLOOKUP(Base_Periodo1[[#This Row],[CONTA]],BaseContasDRE[#All],5,FALSE)),"Fora do DRE",VLOOKUP(Base_Periodo1[[#This Row],[CONTA]],BaseContasDRE[#All],6,FALSE))</f>
        <v>Fora do DRE</v>
      </c>
      <c r="U4825" s="3" t="str">
        <f>IF(ISERROR(VLOOKUP(Base_Periodo1[[#This Row],[CONTA]],BaseContasDRE[#All],7,FALSE)),"Fora do DRE",VLOOKUP(Base_Periodo1[[#This Row],[CONTA]],BaseContasDRE[#All],7,FALSE))</f>
        <v>Fora do DRE</v>
      </c>
      <c r="V4825" s="3" t="str">
        <f>IF(Base_Periodo1[[#This Row],[Tipo_Linha]]="Fora do DRE","Fora do DRE","( "&amp;Base_Periodo1[[#This Row],[Tipo_Linha]]&amp;" ) "&amp;Base_Periodo1[[#This Row],[Filtro]])</f>
        <v>Fora do DRE</v>
      </c>
      <c r="W4825" s="3" t="str">
        <f>LEFT(Base_Periodo1[[#This Row],[CLASS]],3)</f>
        <v>2.4</v>
      </c>
    </row>
    <row r="4826" spans="1:23" hidden="1">
      <c r="A4826" s="3" t="str">
        <f t="shared" si="75"/>
        <v>Período 1</v>
      </c>
      <c r="B4826">
        <v>16350</v>
      </c>
      <c r="C4826" t="s">
        <v>2300</v>
      </c>
      <c r="D4826" t="s">
        <v>2748</v>
      </c>
      <c r="E4826" s="3" t="str">
        <f>IF(LEN(Base_Periodo1[[#This Row],[CLASS]])&gt;=7,LEFT(Base_Periodo1[[#This Row],[CLASS]],7),"")</f>
        <v>2.4.1.1</v>
      </c>
      <c r="F4826" s="3" t="str">
        <f>VLOOKUP(Base_Periodo1[[#This Row],[Aux]],Base_Contas_Balanco[#All],2,FALSE)</f>
        <v>Capital Social Realizado</v>
      </c>
      <c r="G4826" s="1"/>
      <c r="H4826" s="225">
        <v>969.94</v>
      </c>
      <c r="I4826" s="225">
        <v>0</v>
      </c>
      <c r="J4826" s="225">
        <v>0</v>
      </c>
      <c r="K4826" s="225">
        <v>969.94</v>
      </c>
      <c r="L48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969.94</v>
      </c>
      <c r="M4826" s="225">
        <f>ROUND(IF(AND(Base_Periodo1[[#This Row],[Tipo_Linha]]="-",Base_Periodo1[[#This Row],[TIPOSALDO]]="D"),Base_Periodo1[[#This Row],[SALDO_ATUAL]]*-1,Base_Periodo1[[#This Row],[SALDO_ATUAL]]),4)</f>
        <v>969.94</v>
      </c>
      <c r="N4826" t="s">
        <v>116</v>
      </c>
      <c r="O4826" t="s">
        <v>459</v>
      </c>
      <c r="P4826" t="s">
        <v>459</v>
      </c>
      <c r="Q4826">
        <v>6</v>
      </c>
      <c r="R4826" s="225">
        <f>Base_Periodo1[[#This Row],[CREDITOS]]-Base_Periodo1[[#This Row],[DEBITOS]]</f>
        <v>0</v>
      </c>
      <c r="S4826" s="3" t="str">
        <f>IF(ISERROR(VLOOKUP(Base_Periodo1[[#This Row],[CONTA]],BaseContasDRE[#All],4,FALSE)),"Fora do DRE",VLOOKUP(Base_Periodo1[[#This Row],[CONTA]],BaseContasDRE[#All],4,FALSE))</f>
        <v>Fora do DRE</v>
      </c>
      <c r="T4826" s="3" t="str">
        <f>IF(ISERROR(VLOOKUP(Base_Periodo1[[#This Row],[CONTA]],BaseContasDRE[#All],5,FALSE)),"Fora do DRE",VLOOKUP(Base_Periodo1[[#This Row],[CONTA]],BaseContasDRE[#All],6,FALSE))</f>
        <v>Fora do DRE</v>
      </c>
      <c r="U4826" s="3" t="str">
        <f>IF(ISERROR(VLOOKUP(Base_Periodo1[[#This Row],[CONTA]],BaseContasDRE[#All],7,FALSE)),"Fora do DRE",VLOOKUP(Base_Periodo1[[#This Row],[CONTA]],BaseContasDRE[#All],7,FALSE))</f>
        <v>Fora do DRE</v>
      </c>
      <c r="V4826" s="3" t="str">
        <f>IF(Base_Periodo1[[#This Row],[Tipo_Linha]]="Fora do DRE","Fora do DRE","( "&amp;Base_Periodo1[[#This Row],[Tipo_Linha]]&amp;" ) "&amp;Base_Periodo1[[#This Row],[Filtro]])</f>
        <v>Fora do DRE</v>
      </c>
      <c r="W4826" s="3" t="str">
        <f>LEFT(Base_Periodo1[[#This Row],[CLASS]],3)</f>
        <v>2.4</v>
      </c>
    </row>
    <row r="4827" spans="1:23" hidden="1">
      <c r="A4827" s="3" t="str">
        <f t="shared" si="75"/>
        <v>Período 1</v>
      </c>
      <c r="B4827">
        <v>15965</v>
      </c>
      <c r="C4827" t="s">
        <v>2300</v>
      </c>
      <c r="D4827" t="s">
        <v>2749</v>
      </c>
      <c r="E4827" s="3" t="str">
        <f>IF(LEN(Base_Periodo1[[#This Row],[CLASS]])&gt;=7,LEFT(Base_Periodo1[[#This Row],[CLASS]],7),"")</f>
        <v>2.4.1.1</v>
      </c>
      <c r="F4827" s="3" t="str">
        <f>VLOOKUP(Base_Periodo1[[#This Row],[Aux]],Base_Contas_Balanco[#All],2,FALSE)</f>
        <v>Capital Social Realizado</v>
      </c>
      <c r="G4827" s="1"/>
      <c r="H4827" s="225">
        <v>355.34000000000003</v>
      </c>
      <c r="I4827" s="225">
        <v>0</v>
      </c>
      <c r="J4827" s="225">
        <v>0</v>
      </c>
      <c r="K4827" s="225">
        <v>355.34000000000003</v>
      </c>
      <c r="L48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355.34</v>
      </c>
      <c r="M4827" s="225">
        <f>ROUND(IF(AND(Base_Periodo1[[#This Row],[Tipo_Linha]]="-",Base_Periodo1[[#This Row],[TIPOSALDO]]="D"),Base_Periodo1[[#This Row],[SALDO_ATUAL]]*-1,Base_Periodo1[[#This Row],[SALDO_ATUAL]]),4)</f>
        <v>355.34</v>
      </c>
      <c r="N4827" t="s">
        <v>116</v>
      </c>
      <c r="O4827" t="s">
        <v>459</v>
      </c>
      <c r="P4827" t="s">
        <v>459</v>
      </c>
      <c r="Q4827">
        <v>6</v>
      </c>
      <c r="R4827" s="225">
        <f>Base_Periodo1[[#This Row],[CREDITOS]]-Base_Periodo1[[#This Row],[DEBITOS]]</f>
        <v>0</v>
      </c>
      <c r="S4827" s="3" t="str">
        <f>IF(ISERROR(VLOOKUP(Base_Periodo1[[#This Row],[CONTA]],BaseContasDRE[#All],4,FALSE)),"Fora do DRE",VLOOKUP(Base_Periodo1[[#This Row],[CONTA]],BaseContasDRE[#All],4,FALSE))</f>
        <v>Fora do DRE</v>
      </c>
      <c r="T4827" s="3" t="str">
        <f>IF(ISERROR(VLOOKUP(Base_Periodo1[[#This Row],[CONTA]],BaseContasDRE[#All],5,FALSE)),"Fora do DRE",VLOOKUP(Base_Periodo1[[#This Row],[CONTA]],BaseContasDRE[#All],6,FALSE))</f>
        <v>Fora do DRE</v>
      </c>
      <c r="U4827" s="3" t="str">
        <f>IF(ISERROR(VLOOKUP(Base_Periodo1[[#This Row],[CONTA]],BaseContasDRE[#All],7,FALSE)),"Fora do DRE",VLOOKUP(Base_Periodo1[[#This Row],[CONTA]],BaseContasDRE[#All],7,FALSE))</f>
        <v>Fora do DRE</v>
      </c>
      <c r="V4827" s="3" t="str">
        <f>IF(Base_Periodo1[[#This Row],[Tipo_Linha]]="Fora do DRE","Fora do DRE","( "&amp;Base_Periodo1[[#This Row],[Tipo_Linha]]&amp;" ) "&amp;Base_Periodo1[[#This Row],[Filtro]])</f>
        <v>Fora do DRE</v>
      </c>
      <c r="W4827" s="3" t="str">
        <f>LEFT(Base_Periodo1[[#This Row],[CLASS]],3)</f>
        <v>2.4</v>
      </c>
    </row>
    <row r="4828" spans="1:23" hidden="1">
      <c r="A4828" s="3" t="str">
        <f t="shared" si="75"/>
        <v>Período 1</v>
      </c>
      <c r="B4828">
        <v>47249</v>
      </c>
      <c r="C4828" t="s">
        <v>2300</v>
      </c>
      <c r="D4828" t="s">
        <v>2750</v>
      </c>
      <c r="E4828" s="3" t="str">
        <f>IF(LEN(Base_Periodo1[[#This Row],[CLASS]])&gt;=7,LEFT(Base_Periodo1[[#This Row],[CLASS]],7),"")</f>
        <v>2.4.1.1</v>
      </c>
      <c r="F4828" s="3" t="str">
        <f>VLOOKUP(Base_Periodo1[[#This Row],[Aux]],Base_Contas_Balanco[#All],2,FALSE)</f>
        <v>Capital Social Realizado</v>
      </c>
      <c r="G4828" s="1"/>
      <c r="H4828" s="225">
        <v>72.22</v>
      </c>
      <c r="I4828" s="225">
        <v>0</v>
      </c>
      <c r="J4828" s="225">
        <v>0</v>
      </c>
      <c r="K4828" s="225">
        <v>72.22</v>
      </c>
      <c r="L48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72.22</v>
      </c>
      <c r="M4828" s="225">
        <f>ROUND(IF(AND(Base_Periodo1[[#This Row],[Tipo_Linha]]="-",Base_Periodo1[[#This Row],[TIPOSALDO]]="D"),Base_Periodo1[[#This Row],[SALDO_ATUAL]]*-1,Base_Periodo1[[#This Row],[SALDO_ATUAL]]),4)</f>
        <v>72.22</v>
      </c>
      <c r="N4828" t="s">
        <v>116</v>
      </c>
      <c r="O4828" t="s">
        <v>459</v>
      </c>
      <c r="P4828" t="s">
        <v>459</v>
      </c>
      <c r="Q4828">
        <v>6</v>
      </c>
      <c r="R4828" s="225">
        <f>Base_Periodo1[[#This Row],[CREDITOS]]-Base_Periodo1[[#This Row],[DEBITOS]]</f>
        <v>0</v>
      </c>
      <c r="S4828" s="3" t="str">
        <f>IF(ISERROR(VLOOKUP(Base_Periodo1[[#This Row],[CONTA]],BaseContasDRE[#All],4,FALSE)),"Fora do DRE",VLOOKUP(Base_Periodo1[[#This Row],[CONTA]],BaseContasDRE[#All],4,FALSE))</f>
        <v>Fora do DRE</v>
      </c>
      <c r="T4828" s="3" t="str">
        <f>IF(ISERROR(VLOOKUP(Base_Periodo1[[#This Row],[CONTA]],BaseContasDRE[#All],5,FALSE)),"Fora do DRE",VLOOKUP(Base_Periodo1[[#This Row],[CONTA]],BaseContasDRE[#All],6,FALSE))</f>
        <v>Fora do DRE</v>
      </c>
      <c r="U4828" s="3" t="str">
        <f>IF(ISERROR(VLOOKUP(Base_Periodo1[[#This Row],[CONTA]],BaseContasDRE[#All],7,FALSE)),"Fora do DRE",VLOOKUP(Base_Periodo1[[#This Row],[CONTA]],BaseContasDRE[#All],7,FALSE))</f>
        <v>Fora do DRE</v>
      </c>
      <c r="V4828" s="3" t="str">
        <f>IF(Base_Periodo1[[#This Row],[Tipo_Linha]]="Fora do DRE","Fora do DRE","( "&amp;Base_Periodo1[[#This Row],[Tipo_Linha]]&amp;" ) "&amp;Base_Periodo1[[#This Row],[Filtro]])</f>
        <v>Fora do DRE</v>
      </c>
      <c r="W4828" s="3" t="str">
        <f>LEFT(Base_Periodo1[[#This Row],[CLASS]],3)</f>
        <v>2.4</v>
      </c>
    </row>
    <row r="4829" spans="1:23" hidden="1">
      <c r="A4829" s="3" t="str">
        <f t="shared" si="75"/>
        <v>Período 1</v>
      </c>
      <c r="B4829">
        <v>16271</v>
      </c>
      <c r="C4829" t="s">
        <v>2300</v>
      </c>
      <c r="D4829" t="s">
        <v>2751</v>
      </c>
      <c r="E4829" s="3" t="str">
        <f>IF(LEN(Base_Periodo1[[#This Row],[CLASS]])&gt;=7,LEFT(Base_Periodo1[[#This Row],[CLASS]],7),"")</f>
        <v>2.4.1.1</v>
      </c>
      <c r="F4829" s="3" t="str">
        <f>VLOOKUP(Base_Periodo1[[#This Row],[Aux]],Base_Contas_Balanco[#All],2,FALSE)</f>
        <v>Capital Social Realizado</v>
      </c>
      <c r="G4829" s="1"/>
      <c r="H4829" s="225">
        <v>50698.94</v>
      </c>
      <c r="I4829" s="225">
        <v>0</v>
      </c>
      <c r="J4829" s="225">
        <v>0</v>
      </c>
      <c r="K4829" s="225">
        <v>50698.94</v>
      </c>
      <c r="L48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50698.94</v>
      </c>
      <c r="M4829" s="225">
        <f>ROUND(IF(AND(Base_Periodo1[[#This Row],[Tipo_Linha]]="-",Base_Periodo1[[#This Row],[TIPOSALDO]]="D"),Base_Periodo1[[#This Row],[SALDO_ATUAL]]*-1,Base_Periodo1[[#This Row],[SALDO_ATUAL]]),4)</f>
        <v>50698.94</v>
      </c>
      <c r="N4829" t="s">
        <v>116</v>
      </c>
      <c r="O4829" t="s">
        <v>459</v>
      </c>
      <c r="P4829" t="s">
        <v>459</v>
      </c>
      <c r="Q4829">
        <v>6</v>
      </c>
      <c r="R4829" s="225">
        <f>Base_Periodo1[[#This Row],[CREDITOS]]-Base_Periodo1[[#This Row],[DEBITOS]]</f>
        <v>0</v>
      </c>
      <c r="S4829" s="3" t="str">
        <f>IF(ISERROR(VLOOKUP(Base_Periodo1[[#This Row],[CONTA]],BaseContasDRE[#All],4,FALSE)),"Fora do DRE",VLOOKUP(Base_Periodo1[[#This Row],[CONTA]],BaseContasDRE[#All],4,FALSE))</f>
        <v>Fora do DRE</v>
      </c>
      <c r="T4829" s="3" t="str">
        <f>IF(ISERROR(VLOOKUP(Base_Periodo1[[#This Row],[CONTA]],BaseContasDRE[#All],5,FALSE)),"Fora do DRE",VLOOKUP(Base_Periodo1[[#This Row],[CONTA]],BaseContasDRE[#All],6,FALSE))</f>
        <v>Fora do DRE</v>
      </c>
      <c r="U4829" s="3" t="str">
        <f>IF(ISERROR(VLOOKUP(Base_Periodo1[[#This Row],[CONTA]],BaseContasDRE[#All],7,FALSE)),"Fora do DRE",VLOOKUP(Base_Periodo1[[#This Row],[CONTA]],BaseContasDRE[#All],7,FALSE))</f>
        <v>Fora do DRE</v>
      </c>
      <c r="V4829" s="3" t="str">
        <f>IF(Base_Periodo1[[#This Row],[Tipo_Linha]]="Fora do DRE","Fora do DRE","( "&amp;Base_Periodo1[[#This Row],[Tipo_Linha]]&amp;" ) "&amp;Base_Periodo1[[#This Row],[Filtro]])</f>
        <v>Fora do DRE</v>
      </c>
      <c r="W4829" s="3" t="str">
        <f>LEFT(Base_Periodo1[[#This Row],[CLASS]],3)</f>
        <v>2.4</v>
      </c>
    </row>
    <row r="4830" spans="1:23" hidden="1">
      <c r="A4830" s="3" t="str">
        <f t="shared" si="75"/>
        <v>Período 1</v>
      </c>
      <c r="B4830">
        <v>40587</v>
      </c>
      <c r="C4830" t="s">
        <v>2300</v>
      </c>
      <c r="D4830" t="s">
        <v>2752</v>
      </c>
      <c r="E4830" s="3" t="str">
        <f>IF(LEN(Base_Periodo1[[#This Row],[CLASS]])&gt;=7,LEFT(Base_Periodo1[[#This Row],[CLASS]],7),"")</f>
        <v>2.4.1.1</v>
      </c>
      <c r="F4830" s="3" t="str">
        <f>VLOOKUP(Base_Periodo1[[#This Row],[Aux]],Base_Contas_Balanco[#All],2,FALSE)</f>
        <v>Capital Social Realizado</v>
      </c>
      <c r="G4830" s="1"/>
      <c r="H4830" s="225">
        <v>83.43</v>
      </c>
      <c r="I4830" s="225">
        <v>0</v>
      </c>
      <c r="J4830" s="225">
        <v>0</v>
      </c>
      <c r="K4830" s="225">
        <v>83.43</v>
      </c>
      <c r="L48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83.43</v>
      </c>
      <c r="M4830" s="225">
        <f>ROUND(IF(AND(Base_Periodo1[[#This Row],[Tipo_Linha]]="-",Base_Periodo1[[#This Row],[TIPOSALDO]]="D"),Base_Periodo1[[#This Row],[SALDO_ATUAL]]*-1,Base_Periodo1[[#This Row],[SALDO_ATUAL]]),4)</f>
        <v>83.43</v>
      </c>
      <c r="N4830" t="s">
        <v>116</v>
      </c>
      <c r="O4830" t="s">
        <v>459</v>
      </c>
      <c r="P4830" t="s">
        <v>459</v>
      </c>
      <c r="Q4830">
        <v>6</v>
      </c>
      <c r="R4830" s="225">
        <f>Base_Periodo1[[#This Row],[CREDITOS]]-Base_Periodo1[[#This Row],[DEBITOS]]</f>
        <v>0</v>
      </c>
      <c r="S4830" s="3" t="str">
        <f>IF(ISERROR(VLOOKUP(Base_Periodo1[[#This Row],[CONTA]],BaseContasDRE[#All],4,FALSE)),"Fora do DRE",VLOOKUP(Base_Periodo1[[#This Row],[CONTA]],BaseContasDRE[#All],4,FALSE))</f>
        <v>Fora do DRE</v>
      </c>
      <c r="T4830" s="3" t="str">
        <f>IF(ISERROR(VLOOKUP(Base_Periodo1[[#This Row],[CONTA]],BaseContasDRE[#All],5,FALSE)),"Fora do DRE",VLOOKUP(Base_Periodo1[[#This Row],[CONTA]],BaseContasDRE[#All],6,FALSE))</f>
        <v>Fora do DRE</v>
      </c>
      <c r="U4830" s="3" t="str">
        <f>IF(ISERROR(VLOOKUP(Base_Periodo1[[#This Row],[CONTA]],BaseContasDRE[#All],7,FALSE)),"Fora do DRE",VLOOKUP(Base_Periodo1[[#This Row],[CONTA]],BaseContasDRE[#All],7,FALSE))</f>
        <v>Fora do DRE</v>
      </c>
      <c r="V4830" s="3" t="str">
        <f>IF(Base_Periodo1[[#This Row],[Tipo_Linha]]="Fora do DRE","Fora do DRE","( "&amp;Base_Periodo1[[#This Row],[Tipo_Linha]]&amp;" ) "&amp;Base_Periodo1[[#This Row],[Filtro]])</f>
        <v>Fora do DRE</v>
      </c>
      <c r="W4830" s="3" t="str">
        <f>LEFT(Base_Periodo1[[#This Row],[CLASS]],3)</f>
        <v>2.4</v>
      </c>
    </row>
    <row r="4831" spans="1:23" hidden="1">
      <c r="A4831" s="3" t="str">
        <f t="shared" si="75"/>
        <v>Período 1</v>
      </c>
      <c r="B4831">
        <v>16046</v>
      </c>
      <c r="C4831" t="s">
        <v>2300</v>
      </c>
      <c r="D4831" t="s">
        <v>2753</v>
      </c>
      <c r="E4831" s="3" t="str">
        <f>IF(LEN(Base_Periodo1[[#This Row],[CLASS]])&gt;=7,LEFT(Base_Periodo1[[#This Row],[CLASS]],7),"")</f>
        <v>2.4.1.1</v>
      </c>
      <c r="F4831" s="3" t="str">
        <f>VLOOKUP(Base_Periodo1[[#This Row],[Aux]],Base_Contas_Balanco[#All],2,FALSE)</f>
        <v>Capital Social Realizado</v>
      </c>
      <c r="G4831" s="1">
        <v>42460</v>
      </c>
      <c r="H4831" s="225">
        <v>3032.1900000000005</v>
      </c>
      <c r="I4831" s="225">
        <v>0</v>
      </c>
      <c r="J4831" s="225">
        <v>0</v>
      </c>
      <c r="K4831" s="225">
        <v>3032.1900000000005</v>
      </c>
      <c r="L48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3032.19</v>
      </c>
      <c r="M4831" s="225">
        <f>ROUND(IF(AND(Base_Periodo1[[#This Row],[Tipo_Linha]]="-",Base_Periodo1[[#This Row],[TIPOSALDO]]="D"),Base_Periodo1[[#This Row],[SALDO_ATUAL]]*-1,Base_Periodo1[[#This Row],[SALDO_ATUAL]]),4)</f>
        <v>3032.19</v>
      </c>
      <c r="N4831" t="s">
        <v>116</v>
      </c>
      <c r="O4831" t="s">
        <v>459</v>
      </c>
      <c r="P4831" t="s">
        <v>459</v>
      </c>
      <c r="Q4831">
        <v>6</v>
      </c>
      <c r="R4831" s="225">
        <f>Base_Periodo1[[#This Row],[CREDITOS]]-Base_Periodo1[[#This Row],[DEBITOS]]</f>
        <v>0</v>
      </c>
      <c r="S4831" s="3" t="str">
        <f>IF(ISERROR(VLOOKUP(Base_Periodo1[[#This Row],[CONTA]],BaseContasDRE[#All],4,FALSE)),"Fora do DRE",VLOOKUP(Base_Periodo1[[#This Row],[CONTA]],BaseContasDRE[#All],4,FALSE))</f>
        <v>Fora do DRE</v>
      </c>
      <c r="T4831" s="3" t="str">
        <f>IF(ISERROR(VLOOKUP(Base_Periodo1[[#This Row],[CONTA]],BaseContasDRE[#All],5,FALSE)),"Fora do DRE",VLOOKUP(Base_Periodo1[[#This Row],[CONTA]],BaseContasDRE[#All],6,FALSE))</f>
        <v>Fora do DRE</v>
      </c>
      <c r="U4831" s="3" t="str">
        <f>IF(ISERROR(VLOOKUP(Base_Periodo1[[#This Row],[CONTA]],BaseContasDRE[#All],7,FALSE)),"Fora do DRE",VLOOKUP(Base_Periodo1[[#This Row],[CONTA]],BaseContasDRE[#All],7,FALSE))</f>
        <v>Fora do DRE</v>
      </c>
      <c r="V4831" s="3" t="str">
        <f>IF(Base_Periodo1[[#This Row],[Tipo_Linha]]="Fora do DRE","Fora do DRE","( "&amp;Base_Periodo1[[#This Row],[Tipo_Linha]]&amp;" ) "&amp;Base_Periodo1[[#This Row],[Filtro]])</f>
        <v>Fora do DRE</v>
      </c>
      <c r="W4831" s="3" t="str">
        <f>LEFT(Base_Periodo1[[#This Row],[CLASS]],3)</f>
        <v>2.4</v>
      </c>
    </row>
    <row r="4832" spans="1:23" hidden="1">
      <c r="A4832" s="3" t="str">
        <f t="shared" si="75"/>
        <v>Período 1</v>
      </c>
      <c r="B4832">
        <v>50704</v>
      </c>
      <c r="C4832" t="s">
        <v>2300</v>
      </c>
      <c r="D4832" t="s">
        <v>4472</v>
      </c>
      <c r="E4832" s="3" t="str">
        <f>IF(LEN(Base_Periodo1[[#This Row],[CLASS]])&gt;=7,LEFT(Base_Periodo1[[#This Row],[CLASS]],7),"")</f>
        <v>2.4.1.1</v>
      </c>
      <c r="F4832" s="3" t="str">
        <f>VLOOKUP(Base_Periodo1[[#This Row],[Aux]],Base_Contas_Balanco[#All],2,FALSE)</f>
        <v>Capital Social Realizado</v>
      </c>
      <c r="G4832" s="1"/>
      <c r="H4832" s="225">
        <v>50</v>
      </c>
      <c r="I4832" s="225">
        <v>0</v>
      </c>
      <c r="J4832" s="225">
        <v>0</v>
      </c>
      <c r="K4832" s="225">
        <v>50</v>
      </c>
      <c r="L48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32" s="225">
        <f>ROUND(IF(AND(Base_Periodo1[[#This Row],[Tipo_Linha]]="-",Base_Periodo1[[#This Row],[TIPOSALDO]]="D"),Base_Periodo1[[#This Row],[SALDO_ATUAL]]*-1,Base_Periodo1[[#This Row],[SALDO_ATUAL]]),4)</f>
        <v>50</v>
      </c>
      <c r="N4832" t="s">
        <v>116</v>
      </c>
      <c r="O4832" t="s">
        <v>459</v>
      </c>
      <c r="P4832" t="s">
        <v>459</v>
      </c>
      <c r="Q4832">
        <v>6</v>
      </c>
      <c r="R4832" s="225">
        <f>Base_Periodo1[[#This Row],[CREDITOS]]-Base_Periodo1[[#This Row],[DEBITOS]]</f>
        <v>0</v>
      </c>
      <c r="S4832" s="3" t="str">
        <f>IF(ISERROR(VLOOKUP(Base_Periodo1[[#This Row],[CONTA]],BaseContasDRE[#All],4,FALSE)),"Fora do DRE",VLOOKUP(Base_Periodo1[[#This Row],[CONTA]],BaseContasDRE[#All],4,FALSE))</f>
        <v>Fora do DRE</v>
      </c>
      <c r="T4832" s="3" t="str">
        <f>IF(ISERROR(VLOOKUP(Base_Periodo1[[#This Row],[CONTA]],BaseContasDRE[#All],5,FALSE)),"Fora do DRE",VLOOKUP(Base_Periodo1[[#This Row],[CONTA]],BaseContasDRE[#All],6,FALSE))</f>
        <v>Fora do DRE</v>
      </c>
      <c r="U4832" s="3" t="str">
        <f>IF(ISERROR(VLOOKUP(Base_Periodo1[[#This Row],[CONTA]],BaseContasDRE[#All],7,FALSE)),"Fora do DRE",VLOOKUP(Base_Periodo1[[#This Row],[CONTA]],BaseContasDRE[#All],7,FALSE))</f>
        <v>Fora do DRE</v>
      </c>
      <c r="V4832" s="3" t="str">
        <f>IF(Base_Periodo1[[#This Row],[Tipo_Linha]]="Fora do DRE","Fora do DRE","( "&amp;Base_Periodo1[[#This Row],[Tipo_Linha]]&amp;" ) "&amp;Base_Periodo1[[#This Row],[Filtro]])</f>
        <v>Fora do DRE</v>
      </c>
      <c r="W4832" s="3" t="str">
        <f>LEFT(Base_Periodo1[[#This Row],[CLASS]],3)</f>
        <v>2.4</v>
      </c>
    </row>
    <row r="4833" spans="1:23" hidden="1">
      <c r="A4833" s="3" t="str">
        <f t="shared" si="75"/>
        <v>Período 1</v>
      </c>
      <c r="B4833">
        <v>16358</v>
      </c>
      <c r="C4833" t="s">
        <v>2300</v>
      </c>
      <c r="D4833" t="s">
        <v>2754</v>
      </c>
      <c r="E4833" s="3" t="str">
        <f>IF(LEN(Base_Periodo1[[#This Row],[CLASS]])&gt;=7,LEFT(Base_Periodo1[[#This Row],[CLASS]],7),"")</f>
        <v>2.4.1.1</v>
      </c>
      <c r="F4833" s="3" t="str">
        <f>VLOOKUP(Base_Periodo1[[#This Row],[Aux]],Base_Contas_Balanco[#All],2,FALSE)</f>
        <v>Capital Social Realizado</v>
      </c>
      <c r="G4833" s="1"/>
      <c r="H4833" s="225">
        <v>2155.58</v>
      </c>
      <c r="I4833" s="225">
        <v>0</v>
      </c>
      <c r="J4833" s="225">
        <v>0</v>
      </c>
      <c r="K4833" s="225">
        <v>2155.58</v>
      </c>
      <c r="L48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2155.58</v>
      </c>
      <c r="M4833" s="225">
        <f>ROUND(IF(AND(Base_Periodo1[[#This Row],[Tipo_Linha]]="-",Base_Periodo1[[#This Row],[TIPOSALDO]]="D"),Base_Periodo1[[#This Row],[SALDO_ATUAL]]*-1,Base_Periodo1[[#This Row],[SALDO_ATUAL]]),4)</f>
        <v>2155.58</v>
      </c>
      <c r="N4833" t="s">
        <v>116</v>
      </c>
      <c r="O4833" t="s">
        <v>459</v>
      </c>
      <c r="P4833" t="s">
        <v>459</v>
      </c>
      <c r="Q4833">
        <v>6</v>
      </c>
      <c r="R4833" s="225">
        <f>Base_Periodo1[[#This Row],[CREDITOS]]-Base_Periodo1[[#This Row],[DEBITOS]]</f>
        <v>0</v>
      </c>
      <c r="S4833" s="3" t="str">
        <f>IF(ISERROR(VLOOKUP(Base_Periodo1[[#This Row],[CONTA]],BaseContasDRE[#All],4,FALSE)),"Fora do DRE",VLOOKUP(Base_Periodo1[[#This Row],[CONTA]],BaseContasDRE[#All],4,FALSE))</f>
        <v>Fora do DRE</v>
      </c>
      <c r="T4833" s="3" t="str">
        <f>IF(ISERROR(VLOOKUP(Base_Periodo1[[#This Row],[CONTA]],BaseContasDRE[#All],5,FALSE)),"Fora do DRE",VLOOKUP(Base_Periodo1[[#This Row],[CONTA]],BaseContasDRE[#All],6,FALSE))</f>
        <v>Fora do DRE</v>
      </c>
      <c r="U4833" s="3" t="str">
        <f>IF(ISERROR(VLOOKUP(Base_Periodo1[[#This Row],[CONTA]],BaseContasDRE[#All],7,FALSE)),"Fora do DRE",VLOOKUP(Base_Periodo1[[#This Row],[CONTA]],BaseContasDRE[#All],7,FALSE))</f>
        <v>Fora do DRE</v>
      </c>
      <c r="V4833" s="3" t="str">
        <f>IF(Base_Periodo1[[#This Row],[Tipo_Linha]]="Fora do DRE","Fora do DRE","( "&amp;Base_Periodo1[[#This Row],[Tipo_Linha]]&amp;" ) "&amp;Base_Periodo1[[#This Row],[Filtro]])</f>
        <v>Fora do DRE</v>
      </c>
      <c r="W4833" s="3" t="str">
        <f>LEFT(Base_Periodo1[[#This Row],[CLASS]],3)</f>
        <v>2.4</v>
      </c>
    </row>
    <row r="4834" spans="1:23" hidden="1">
      <c r="A4834" s="3" t="str">
        <f t="shared" si="75"/>
        <v>Período 1</v>
      </c>
      <c r="B4834">
        <v>38822</v>
      </c>
      <c r="C4834" t="s">
        <v>2300</v>
      </c>
      <c r="D4834" t="s">
        <v>2755</v>
      </c>
      <c r="E4834" s="3" t="str">
        <f>IF(LEN(Base_Periodo1[[#This Row],[CLASS]])&gt;=7,LEFT(Base_Periodo1[[#This Row],[CLASS]],7),"")</f>
        <v>2.4.1.1</v>
      </c>
      <c r="F4834" s="3" t="str">
        <f>VLOOKUP(Base_Periodo1[[#This Row],[Aux]],Base_Contas_Balanco[#All],2,FALSE)</f>
        <v>Capital Social Realizado</v>
      </c>
      <c r="G4834" s="1"/>
      <c r="H4834" s="225">
        <v>50</v>
      </c>
      <c r="I4834" s="225">
        <v>0</v>
      </c>
      <c r="J4834" s="225">
        <v>0</v>
      </c>
      <c r="K4834" s="225">
        <v>50</v>
      </c>
      <c r="L48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34" s="225">
        <f>ROUND(IF(AND(Base_Periodo1[[#This Row],[Tipo_Linha]]="-",Base_Periodo1[[#This Row],[TIPOSALDO]]="D"),Base_Periodo1[[#This Row],[SALDO_ATUAL]]*-1,Base_Periodo1[[#This Row],[SALDO_ATUAL]]),4)</f>
        <v>50</v>
      </c>
      <c r="N4834" t="s">
        <v>116</v>
      </c>
      <c r="O4834" t="s">
        <v>459</v>
      </c>
      <c r="P4834" t="s">
        <v>459</v>
      </c>
      <c r="Q4834">
        <v>6</v>
      </c>
      <c r="R4834" s="225">
        <f>Base_Periodo1[[#This Row],[CREDITOS]]-Base_Periodo1[[#This Row],[DEBITOS]]</f>
        <v>0</v>
      </c>
      <c r="S4834" s="3" t="str">
        <f>IF(ISERROR(VLOOKUP(Base_Periodo1[[#This Row],[CONTA]],BaseContasDRE[#All],4,FALSE)),"Fora do DRE",VLOOKUP(Base_Periodo1[[#This Row],[CONTA]],BaseContasDRE[#All],4,FALSE))</f>
        <v>Fora do DRE</v>
      </c>
      <c r="T4834" s="3" t="str">
        <f>IF(ISERROR(VLOOKUP(Base_Periodo1[[#This Row],[CONTA]],BaseContasDRE[#All],5,FALSE)),"Fora do DRE",VLOOKUP(Base_Periodo1[[#This Row],[CONTA]],BaseContasDRE[#All],6,FALSE))</f>
        <v>Fora do DRE</v>
      </c>
      <c r="U4834" s="3" t="str">
        <f>IF(ISERROR(VLOOKUP(Base_Periodo1[[#This Row],[CONTA]],BaseContasDRE[#All],7,FALSE)),"Fora do DRE",VLOOKUP(Base_Periodo1[[#This Row],[CONTA]],BaseContasDRE[#All],7,FALSE))</f>
        <v>Fora do DRE</v>
      </c>
      <c r="V4834" s="3" t="str">
        <f>IF(Base_Periodo1[[#This Row],[Tipo_Linha]]="Fora do DRE","Fora do DRE","( "&amp;Base_Periodo1[[#This Row],[Tipo_Linha]]&amp;" ) "&amp;Base_Periodo1[[#This Row],[Filtro]])</f>
        <v>Fora do DRE</v>
      </c>
      <c r="W4834" s="3" t="str">
        <f>LEFT(Base_Periodo1[[#This Row],[CLASS]],3)</f>
        <v>2.4</v>
      </c>
    </row>
    <row r="4835" spans="1:23" hidden="1">
      <c r="A4835" s="3" t="str">
        <f t="shared" si="75"/>
        <v>Período 1</v>
      </c>
      <c r="B4835">
        <v>19347</v>
      </c>
      <c r="C4835" t="s">
        <v>2300</v>
      </c>
      <c r="D4835" t="s">
        <v>2756</v>
      </c>
      <c r="E4835" s="3" t="str">
        <f>IF(LEN(Base_Periodo1[[#This Row],[CLASS]])&gt;=7,LEFT(Base_Periodo1[[#This Row],[CLASS]],7),"")</f>
        <v>2.4.1.1</v>
      </c>
      <c r="F4835" s="3" t="str">
        <f>VLOOKUP(Base_Periodo1[[#This Row],[Aux]],Base_Contas_Balanco[#All],2,FALSE)</f>
        <v>Capital Social Realizado</v>
      </c>
      <c r="G4835" s="1"/>
      <c r="H4835" s="225">
        <v>863.25</v>
      </c>
      <c r="I4835" s="225">
        <v>0</v>
      </c>
      <c r="J4835" s="225">
        <v>0</v>
      </c>
      <c r="K4835" s="225">
        <v>863.25</v>
      </c>
      <c r="L48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863.25</v>
      </c>
      <c r="M4835" s="225">
        <f>ROUND(IF(AND(Base_Periodo1[[#This Row],[Tipo_Linha]]="-",Base_Periodo1[[#This Row],[TIPOSALDO]]="D"),Base_Periodo1[[#This Row],[SALDO_ATUAL]]*-1,Base_Periodo1[[#This Row],[SALDO_ATUAL]]),4)</f>
        <v>863.25</v>
      </c>
      <c r="N4835" t="s">
        <v>116</v>
      </c>
      <c r="O4835" t="s">
        <v>459</v>
      </c>
      <c r="P4835" t="s">
        <v>459</v>
      </c>
      <c r="Q4835">
        <v>6</v>
      </c>
      <c r="R4835" s="225">
        <f>Base_Periodo1[[#This Row],[CREDITOS]]-Base_Periodo1[[#This Row],[DEBITOS]]</f>
        <v>0</v>
      </c>
      <c r="S4835" s="3" t="str">
        <f>IF(ISERROR(VLOOKUP(Base_Periodo1[[#This Row],[CONTA]],BaseContasDRE[#All],4,FALSE)),"Fora do DRE",VLOOKUP(Base_Periodo1[[#This Row],[CONTA]],BaseContasDRE[#All],4,FALSE))</f>
        <v>Fora do DRE</v>
      </c>
      <c r="T4835" s="3" t="str">
        <f>IF(ISERROR(VLOOKUP(Base_Periodo1[[#This Row],[CONTA]],BaseContasDRE[#All],5,FALSE)),"Fora do DRE",VLOOKUP(Base_Periodo1[[#This Row],[CONTA]],BaseContasDRE[#All],6,FALSE))</f>
        <v>Fora do DRE</v>
      </c>
      <c r="U4835" s="3" t="str">
        <f>IF(ISERROR(VLOOKUP(Base_Periodo1[[#This Row],[CONTA]],BaseContasDRE[#All],7,FALSE)),"Fora do DRE",VLOOKUP(Base_Periodo1[[#This Row],[CONTA]],BaseContasDRE[#All],7,FALSE))</f>
        <v>Fora do DRE</v>
      </c>
      <c r="V4835" s="3" t="str">
        <f>IF(Base_Periodo1[[#This Row],[Tipo_Linha]]="Fora do DRE","Fora do DRE","( "&amp;Base_Periodo1[[#This Row],[Tipo_Linha]]&amp;" ) "&amp;Base_Periodo1[[#This Row],[Filtro]])</f>
        <v>Fora do DRE</v>
      </c>
      <c r="W4835" s="3" t="str">
        <f>LEFT(Base_Periodo1[[#This Row],[CLASS]],3)</f>
        <v>2.4</v>
      </c>
    </row>
    <row r="4836" spans="1:23" hidden="1">
      <c r="A4836" s="3" t="str">
        <f t="shared" si="75"/>
        <v>Período 1</v>
      </c>
      <c r="B4836">
        <v>47949</v>
      </c>
      <c r="C4836" t="s">
        <v>2300</v>
      </c>
      <c r="D4836" t="s">
        <v>2757</v>
      </c>
      <c r="E4836" s="3" t="str">
        <f>IF(LEN(Base_Periodo1[[#This Row],[CLASS]])&gt;=7,LEFT(Base_Periodo1[[#This Row],[CLASS]],7),"")</f>
        <v>2.4.1.1</v>
      </c>
      <c r="F4836" s="3" t="str">
        <f>VLOOKUP(Base_Periodo1[[#This Row],[Aux]],Base_Contas_Balanco[#All],2,FALSE)</f>
        <v>Capital Social Realizado</v>
      </c>
      <c r="G4836" s="1"/>
      <c r="H4836" s="225">
        <v>73.900000000000006</v>
      </c>
      <c r="I4836" s="225">
        <v>0</v>
      </c>
      <c r="J4836" s="225">
        <v>0</v>
      </c>
      <c r="K4836" s="225">
        <v>73.900000000000006</v>
      </c>
      <c r="L48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73.900000000000006</v>
      </c>
      <c r="M4836" s="225">
        <f>ROUND(IF(AND(Base_Periodo1[[#This Row],[Tipo_Linha]]="-",Base_Periodo1[[#This Row],[TIPOSALDO]]="D"),Base_Periodo1[[#This Row],[SALDO_ATUAL]]*-1,Base_Periodo1[[#This Row],[SALDO_ATUAL]]),4)</f>
        <v>73.900000000000006</v>
      </c>
      <c r="N4836" t="s">
        <v>116</v>
      </c>
      <c r="O4836" t="s">
        <v>459</v>
      </c>
      <c r="P4836" t="s">
        <v>459</v>
      </c>
      <c r="Q4836">
        <v>6</v>
      </c>
      <c r="R4836" s="225">
        <f>Base_Periodo1[[#This Row],[CREDITOS]]-Base_Periodo1[[#This Row],[DEBITOS]]</f>
        <v>0</v>
      </c>
      <c r="S4836" s="3" t="str">
        <f>IF(ISERROR(VLOOKUP(Base_Periodo1[[#This Row],[CONTA]],BaseContasDRE[#All],4,FALSE)),"Fora do DRE",VLOOKUP(Base_Periodo1[[#This Row],[CONTA]],BaseContasDRE[#All],4,FALSE))</f>
        <v>Fora do DRE</v>
      </c>
      <c r="T4836" s="3" t="str">
        <f>IF(ISERROR(VLOOKUP(Base_Periodo1[[#This Row],[CONTA]],BaseContasDRE[#All],5,FALSE)),"Fora do DRE",VLOOKUP(Base_Periodo1[[#This Row],[CONTA]],BaseContasDRE[#All],6,FALSE))</f>
        <v>Fora do DRE</v>
      </c>
      <c r="U4836" s="3" t="str">
        <f>IF(ISERROR(VLOOKUP(Base_Periodo1[[#This Row],[CONTA]],BaseContasDRE[#All],7,FALSE)),"Fora do DRE",VLOOKUP(Base_Periodo1[[#This Row],[CONTA]],BaseContasDRE[#All],7,FALSE))</f>
        <v>Fora do DRE</v>
      </c>
      <c r="V4836" s="3" t="str">
        <f>IF(Base_Periodo1[[#This Row],[Tipo_Linha]]="Fora do DRE","Fora do DRE","( "&amp;Base_Periodo1[[#This Row],[Tipo_Linha]]&amp;" ) "&amp;Base_Periodo1[[#This Row],[Filtro]])</f>
        <v>Fora do DRE</v>
      </c>
      <c r="W4836" s="3" t="str">
        <f>LEFT(Base_Periodo1[[#This Row],[CLASS]],3)</f>
        <v>2.4</v>
      </c>
    </row>
    <row r="4837" spans="1:23" hidden="1">
      <c r="A4837" s="3" t="str">
        <f t="shared" si="75"/>
        <v>Período 1</v>
      </c>
      <c r="B4837">
        <v>49645</v>
      </c>
      <c r="C4837" t="s">
        <v>2300</v>
      </c>
      <c r="D4837" t="s">
        <v>4311</v>
      </c>
      <c r="E4837" s="3" t="str">
        <f>IF(LEN(Base_Periodo1[[#This Row],[CLASS]])&gt;=7,LEFT(Base_Periodo1[[#This Row],[CLASS]],7),"")</f>
        <v>2.4.1.1</v>
      </c>
      <c r="F4837" s="3" t="str">
        <f>VLOOKUP(Base_Periodo1[[#This Row],[Aux]],Base_Contas_Balanco[#All],2,FALSE)</f>
        <v>Capital Social Realizado</v>
      </c>
      <c r="G4837" s="1"/>
      <c r="H4837" s="225">
        <v>50</v>
      </c>
      <c r="I4837" s="225">
        <v>0</v>
      </c>
      <c r="J4837" s="225">
        <v>0</v>
      </c>
      <c r="K4837" s="225">
        <v>50</v>
      </c>
      <c r="L48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37" s="225">
        <f>ROUND(IF(AND(Base_Periodo1[[#This Row],[Tipo_Linha]]="-",Base_Periodo1[[#This Row],[TIPOSALDO]]="D"),Base_Periodo1[[#This Row],[SALDO_ATUAL]]*-1,Base_Periodo1[[#This Row],[SALDO_ATUAL]]),4)</f>
        <v>50</v>
      </c>
      <c r="N4837" t="s">
        <v>116</v>
      </c>
      <c r="O4837" t="s">
        <v>459</v>
      </c>
      <c r="P4837" t="s">
        <v>459</v>
      </c>
      <c r="Q4837">
        <v>6</v>
      </c>
      <c r="R4837" s="225">
        <f>Base_Periodo1[[#This Row],[CREDITOS]]-Base_Periodo1[[#This Row],[DEBITOS]]</f>
        <v>0</v>
      </c>
      <c r="S4837" s="3" t="str">
        <f>IF(ISERROR(VLOOKUP(Base_Periodo1[[#This Row],[CONTA]],BaseContasDRE[#All],4,FALSE)),"Fora do DRE",VLOOKUP(Base_Periodo1[[#This Row],[CONTA]],BaseContasDRE[#All],4,FALSE))</f>
        <v>Fora do DRE</v>
      </c>
      <c r="T4837" s="3" t="str">
        <f>IF(ISERROR(VLOOKUP(Base_Periodo1[[#This Row],[CONTA]],BaseContasDRE[#All],5,FALSE)),"Fora do DRE",VLOOKUP(Base_Periodo1[[#This Row],[CONTA]],BaseContasDRE[#All],6,FALSE))</f>
        <v>Fora do DRE</v>
      </c>
      <c r="U4837" s="3" t="str">
        <f>IF(ISERROR(VLOOKUP(Base_Periodo1[[#This Row],[CONTA]],BaseContasDRE[#All],7,FALSE)),"Fora do DRE",VLOOKUP(Base_Periodo1[[#This Row],[CONTA]],BaseContasDRE[#All],7,FALSE))</f>
        <v>Fora do DRE</v>
      </c>
      <c r="V4837" s="3" t="str">
        <f>IF(Base_Periodo1[[#This Row],[Tipo_Linha]]="Fora do DRE","Fora do DRE","( "&amp;Base_Periodo1[[#This Row],[Tipo_Linha]]&amp;" ) "&amp;Base_Periodo1[[#This Row],[Filtro]])</f>
        <v>Fora do DRE</v>
      </c>
      <c r="W4837" s="3" t="str">
        <f>LEFT(Base_Periodo1[[#This Row],[CLASS]],3)</f>
        <v>2.4</v>
      </c>
    </row>
    <row r="4838" spans="1:23" hidden="1">
      <c r="A4838" s="3" t="str">
        <f t="shared" si="75"/>
        <v>Período 1</v>
      </c>
      <c r="B4838">
        <v>16182</v>
      </c>
      <c r="C4838" t="s">
        <v>2300</v>
      </c>
      <c r="D4838" t="s">
        <v>2758</v>
      </c>
      <c r="E4838" s="3" t="str">
        <f>IF(LEN(Base_Periodo1[[#This Row],[CLASS]])&gt;=7,LEFT(Base_Periodo1[[#This Row],[CLASS]],7),"")</f>
        <v>2.4.1.1</v>
      </c>
      <c r="F4838" s="3" t="str">
        <f>VLOOKUP(Base_Periodo1[[#This Row],[Aux]],Base_Contas_Balanco[#All],2,FALSE)</f>
        <v>Capital Social Realizado</v>
      </c>
      <c r="G4838" s="1"/>
      <c r="H4838" s="225">
        <v>437.01000000000005</v>
      </c>
      <c r="I4838" s="225">
        <v>0</v>
      </c>
      <c r="J4838" s="225">
        <v>0</v>
      </c>
      <c r="K4838" s="225">
        <v>437.01000000000005</v>
      </c>
      <c r="L48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437.01</v>
      </c>
      <c r="M4838" s="225">
        <f>ROUND(IF(AND(Base_Periodo1[[#This Row],[Tipo_Linha]]="-",Base_Periodo1[[#This Row],[TIPOSALDO]]="D"),Base_Periodo1[[#This Row],[SALDO_ATUAL]]*-1,Base_Periodo1[[#This Row],[SALDO_ATUAL]]),4)</f>
        <v>437.01</v>
      </c>
      <c r="N4838" t="s">
        <v>116</v>
      </c>
      <c r="O4838" t="s">
        <v>459</v>
      </c>
      <c r="P4838" t="s">
        <v>459</v>
      </c>
      <c r="Q4838">
        <v>6</v>
      </c>
      <c r="R4838" s="225">
        <f>Base_Periodo1[[#This Row],[CREDITOS]]-Base_Periodo1[[#This Row],[DEBITOS]]</f>
        <v>0</v>
      </c>
      <c r="S4838" s="3" t="str">
        <f>IF(ISERROR(VLOOKUP(Base_Periodo1[[#This Row],[CONTA]],BaseContasDRE[#All],4,FALSE)),"Fora do DRE",VLOOKUP(Base_Periodo1[[#This Row],[CONTA]],BaseContasDRE[#All],4,FALSE))</f>
        <v>Fora do DRE</v>
      </c>
      <c r="T4838" s="3" t="str">
        <f>IF(ISERROR(VLOOKUP(Base_Periodo1[[#This Row],[CONTA]],BaseContasDRE[#All],5,FALSE)),"Fora do DRE",VLOOKUP(Base_Periodo1[[#This Row],[CONTA]],BaseContasDRE[#All],6,FALSE))</f>
        <v>Fora do DRE</v>
      </c>
      <c r="U4838" s="3" t="str">
        <f>IF(ISERROR(VLOOKUP(Base_Periodo1[[#This Row],[CONTA]],BaseContasDRE[#All],7,FALSE)),"Fora do DRE",VLOOKUP(Base_Periodo1[[#This Row],[CONTA]],BaseContasDRE[#All],7,FALSE))</f>
        <v>Fora do DRE</v>
      </c>
      <c r="V4838" s="3" t="str">
        <f>IF(Base_Periodo1[[#This Row],[Tipo_Linha]]="Fora do DRE","Fora do DRE","( "&amp;Base_Periodo1[[#This Row],[Tipo_Linha]]&amp;" ) "&amp;Base_Periodo1[[#This Row],[Filtro]])</f>
        <v>Fora do DRE</v>
      </c>
      <c r="W4838" s="3" t="str">
        <f>LEFT(Base_Periodo1[[#This Row],[CLASS]],3)</f>
        <v>2.4</v>
      </c>
    </row>
    <row r="4839" spans="1:23" hidden="1">
      <c r="A4839" s="3" t="str">
        <f t="shared" si="75"/>
        <v>Período 1</v>
      </c>
      <c r="B4839">
        <v>38827</v>
      </c>
      <c r="C4839" t="s">
        <v>2300</v>
      </c>
      <c r="D4839" t="s">
        <v>2759</v>
      </c>
      <c r="E4839" s="3" t="str">
        <f>IF(LEN(Base_Periodo1[[#This Row],[CLASS]])&gt;=7,LEFT(Base_Periodo1[[#This Row],[CLASS]],7),"")</f>
        <v>2.4.1.1</v>
      </c>
      <c r="F4839" s="3" t="str">
        <f>VLOOKUP(Base_Periodo1[[#This Row],[Aux]],Base_Contas_Balanco[#All],2,FALSE)</f>
        <v>Capital Social Realizado</v>
      </c>
      <c r="G4839" s="1"/>
      <c r="H4839" s="225">
        <v>54.06</v>
      </c>
      <c r="I4839" s="225">
        <v>0</v>
      </c>
      <c r="J4839" s="225">
        <v>0</v>
      </c>
      <c r="K4839" s="225">
        <v>54.06</v>
      </c>
      <c r="L48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54.06</v>
      </c>
      <c r="M4839" s="225">
        <f>ROUND(IF(AND(Base_Periodo1[[#This Row],[Tipo_Linha]]="-",Base_Periodo1[[#This Row],[TIPOSALDO]]="D"),Base_Periodo1[[#This Row],[SALDO_ATUAL]]*-1,Base_Periodo1[[#This Row],[SALDO_ATUAL]]),4)</f>
        <v>54.06</v>
      </c>
      <c r="N4839" t="s">
        <v>116</v>
      </c>
      <c r="O4839" t="s">
        <v>459</v>
      </c>
      <c r="P4839" t="s">
        <v>459</v>
      </c>
      <c r="Q4839">
        <v>6</v>
      </c>
      <c r="R4839" s="225">
        <f>Base_Periodo1[[#This Row],[CREDITOS]]-Base_Periodo1[[#This Row],[DEBITOS]]</f>
        <v>0</v>
      </c>
      <c r="S4839" s="3" t="str">
        <f>IF(ISERROR(VLOOKUP(Base_Periodo1[[#This Row],[CONTA]],BaseContasDRE[#All],4,FALSE)),"Fora do DRE",VLOOKUP(Base_Periodo1[[#This Row],[CONTA]],BaseContasDRE[#All],4,FALSE))</f>
        <v>Fora do DRE</v>
      </c>
      <c r="T4839" s="3" t="str">
        <f>IF(ISERROR(VLOOKUP(Base_Periodo1[[#This Row],[CONTA]],BaseContasDRE[#All],5,FALSE)),"Fora do DRE",VLOOKUP(Base_Periodo1[[#This Row],[CONTA]],BaseContasDRE[#All],6,FALSE))</f>
        <v>Fora do DRE</v>
      </c>
      <c r="U4839" s="3" t="str">
        <f>IF(ISERROR(VLOOKUP(Base_Periodo1[[#This Row],[CONTA]],BaseContasDRE[#All],7,FALSE)),"Fora do DRE",VLOOKUP(Base_Periodo1[[#This Row],[CONTA]],BaseContasDRE[#All],7,FALSE))</f>
        <v>Fora do DRE</v>
      </c>
      <c r="V4839" s="3" t="str">
        <f>IF(Base_Periodo1[[#This Row],[Tipo_Linha]]="Fora do DRE","Fora do DRE","( "&amp;Base_Periodo1[[#This Row],[Tipo_Linha]]&amp;" ) "&amp;Base_Periodo1[[#This Row],[Filtro]])</f>
        <v>Fora do DRE</v>
      </c>
      <c r="W4839" s="3" t="str">
        <f>LEFT(Base_Periodo1[[#This Row],[CLASS]],3)</f>
        <v>2.4</v>
      </c>
    </row>
    <row r="4840" spans="1:23" hidden="1">
      <c r="A4840" s="3" t="str">
        <f t="shared" si="75"/>
        <v>Período 1</v>
      </c>
      <c r="B4840">
        <v>16419</v>
      </c>
      <c r="C4840" t="s">
        <v>2300</v>
      </c>
      <c r="D4840" t="s">
        <v>2760</v>
      </c>
      <c r="E4840" s="3" t="str">
        <f>IF(LEN(Base_Periodo1[[#This Row],[CLASS]])&gt;=7,LEFT(Base_Periodo1[[#This Row],[CLASS]],7),"")</f>
        <v>2.4.1.1</v>
      </c>
      <c r="F4840" s="3" t="str">
        <f>VLOOKUP(Base_Periodo1[[#This Row],[Aux]],Base_Contas_Balanco[#All],2,FALSE)</f>
        <v>Capital Social Realizado</v>
      </c>
      <c r="G4840" s="1"/>
      <c r="H4840" s="225">
        <v>8279.15</v>
      </c>
      <c r="I4840" s="225">
        <v>0</v>
      </c>
      <c r="J4840" s="225">
        <v>0</v>
      </c>
      <c r="K4840" s="225">
        <v>8279.15</v>
      </c>
      <c r="L48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8279.15</v>
      </c>
      <c r="M4840" s="225">
        <f>ROUND(IF(AND(Base_Periodo1[[#This Row],[Tipo_Linha]]="-",Base_Periodo1[[#This Row],[TIPOSALDO]]="D"),Base_Periodo1[[#This Row],[SALDO_ATUAL]]*-1,Base_Periodo1[[#This Row],[SALDO_ATUAL]]),4)</f>
        <v>8279.15</v>
      </c>
      <c r="N4840" t="s">
        <v>116</v>
      </c>
      <c r="O4840" t="s">
        <v>459</v>
      </c>
      <c r="P4840" t="s">
        <v>459</v>
      </c>
      <c r="Q4840">
        <v>6</v>
      </c>
      <c r="R4840" s="225">
        <f>Base_Periodo1[[#This Row],[CREDITOS]]-Base_Periodo1[[#This Row],[DEBITOS]]</f>
        <v>0</v>
      </c>
      <c r="S4840" s="3" t="str">
        <f>IF(ISERROR(VLOOKUP(Base_Periodo1[[#This Row],[CONTA]],BaseContasDRE[#All],4,FALSE)),"Fora do DRE",VLOOKUP(Base_Periodo1[[#This Row],[CONTA]],BaseContasDRE[#All],4,FALSE))</f>
        <v>Fora do DRE</v>
      </c>
      <c r="T4840" s="3" t="str">
        <f>IF(ISERROR(VLOOKUP(Base_Periodo1[[#This Row],[CONTA]],BaseContasDRE[#All],5,FALSE)),"Fora do DRE",VLOOKUP(Base_Periodo1[[#This Row],[CONTA]],BaseContasDRE[#All],6,FALSE))</f>
        <v>Fora do DRE</v>
      </c>
      <c r="U4840" s="3" t="str">
        <f>IF(ISERROR(VLOOKUP(Base_Periodo1[[#This Row],[CONTA]],BaseContasDRE[#All],7,FALSE)),"Fora do DRE",VLOOKUP(Base_Periodo1[[#This Row],[CONTA]],BaseContasDRE[#All],7,FALSE))</f>
        <v>Fora do DRE</v>
      </c>
      <c r="V4840" s="3" t="str">
        <f>IF(Base_Periodo1[[#This Row],[Tipo_Linha]]="Fora do DRE","Fora do DRE","( "&amp;Base_Periodo1[[#This Row],[Tipo_Linha]]&amp;" ) "&amp;Base_Periodo1[[#This Row],[Filtro]])</f>
        <v>Fora do DRE</v>
      </c>
      <c r="W4840" s="3" t="str">
        <f>LEFT(Base_Periodo1[[#This Row],[CLASS]],3)</f>
        <v>2.4</v>
      </c>
    </row>
    <row r="4841" spans="1:23" hidden="1">
      <c r="A4841" s="3" t="str">
        <f t="shared" si="75"/>
        <v>Período 1</v>
      </c>
      <c r="B4841">
        <v>39631</v>
      </c>
      <c r="C4841" t="s">
        <v>2300</v>
      </c>
      <c r="D4841" t="s">
        <v>2761</v>
      </c>
      <c r="E4841" s="3" t="str">
        <f>IF(LEN(Base_Periodo1[[#This Row],[CLASS]])&gt;=7,LEFT(Base_Periodo1[[#This Row],[CLASS]],7),"")</f>
        <v>2.4.1.1</v>
      </c>
      <c r="F4841" s="3" t="str">
        <f>VLOOKUP(Base_Periodo1[[#This Row],[Aux]],Base_Contas_Balanco[#All],2,FALSE)</f>
        <v>Capital Social Realizado</v>
      </c>
      <c r="G4841" s="1"/>
      <c r="H4841" s="225">
        <v>50</v>
      </c>
      <c r="I4841" s="225">
        <v>0</v>
      </c>
      <c r="J4841" s="225">
        <v>0</v>
      </c>
      <c r="K4841" s="225">
        <v>50</v>
      </c>
      <c r="L48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41" s="225">
        <f>ROUND(IF(AND(Base_Periodo1[[#This Row],[Tipo_Linha]]="-",Base_Periodo1[[#This Row],[TIPOSALDO]]="D"),Base_Periodo1[[#This Row],[SALDO_ATUAL]]*-1,Base_Periodo1[[#This Row],[SALDO_ATUAL]]),4)</f>
        <v>50</v>
      </c>
      <c r="N4841" t="s">
        <v>116</v>
      </c>
      <c r="O4841" t="s">
        <v>459</v>
      </c>
      <c r="P4841" t="s">
        <v>459</v>
      </c>
      <c r="Q4841">
        <v>6</v>
      </c>
      <c r="R4841" s="225">
        <f>Base_Periodo1[[#This Row],[CREDITOS]]-Base_Periodo1[[#This Row],[DEBITOS]]</f>
        <v>0</v>
      </c>
      <c r="S4841" s="3" t="str">
        <f>IF(ISERROR(VLOOKUP(Base_Periodo1[[#This Row],[CONTA]],BaseContasDRE[#All],4,FALSE)),"Fora do DRE",VLOOKUP(Base_Periodo1[[#This Row],[CONTA]],BaseContasDRE[#All],4,FALSE))</f>
        <v>Fora do DRE</v>
      </c>
      <c r="T4841" s="3" t="str">
        <f>IF(ISERROR(VLOOKUP(Base_Periodo1[[#This Row],[CONTA]],BaseContasDRE[#All],5,FALSE)),"Fora do DRE",VLOOKUP(Base_Periodo1[[#This Row],[CONTA]],BaseContasDRE[#All],6,FALSE))</f>
        <v>Fora do DRE</v>
      </c>
      <c r="U4841" s="3" t="str">
        <f>IF(ISERROR(VLOOKUP(Base_Periodo1[[#This Row],[CONTA]],BaseContasDRE[#All],7,FALSE)),"Fora do DRE",VLOOKUP(Base_Periodo1[[#This Row],[CONTA]],BaseContasDRE[#All],7,FALSE))</f>
        <v>Fora do DRE</v>
      </c>
      <c r="V4841" s="3" t="str">
        <f>IF(Base_Periodo1[[#This Row],[Tipo_Linha]]="Fora do DRE","Fora do DRE","( "&amp;Base_Periodo1[[#This Row],[Tipo_Linha]]&amp;" ) "&amp;Base_Periodo1[[#This Row],[Filtro]])</f>
        <v>Fora do DRE</v>
      </c>
      <c r="W4841" s="3" t="str">
        <f>LEFT(Base_Periodo1[[#This Row],[CLASS]],3)</f>
        <v>2.4</v>
      </c>
    </row>
    <row r="4842" spans="1:23" hidden="1">
      <c r="A4842" s="3" t="str">
        <f t="shared" si="75"/>
        <v>Período 1</v>
      </c>
      <c r="B4842">
        <v>19349</v>
      </c>
      <c r="C4842" t="s">
        <v>2300</v>
      </c>
      <c r="D4842" t="s">
        <v>2762</v>
      </c>
      <c r="E4842" s="3" t="str">
        <f>IF(LEN(Base_Periodo1[[#This Row],[CLASS]])&gt;=7,LEFT(Base_Periodo1[[#This Row],[CLASS]],7),"")</f>
        <v>2.4.1.1</v>
      </c>
      <c r="F4842" s="3" t="str">
        <f>VLOOKUP(Base_Periodo1[[#This Row],[Aux]],Base_Contas_Balanco[#All],2,FALSE)</f>
        <v>Capital Social Realizado</v>
      </c>
      <c r="G4842" s="1"/>
      <c r="H4842" s="225">
        <v>141.28</v>
      </c>
      <c r="I4842" s="225">
        <v>0</v>
      </c>
      <c r="J4842" s="225">
        <v>0</v>
      </c>
      <c r="K4842" s="225">
        <v>141.28</v>
      </c>
      <c r="L48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141.28</v>
      </c>
      <c r="M4842" s="225">
        <f>ROUND(IF(AND(Base_Periodo1[[#This Row],[Tipo_Linha]]="-",Base_Periodo1[[#This Row],[TIPOSALDO]]="D"),Base_Periodo1[[#This Row],[SALDO_ATUAL]]*-1,Base_Periodo1[[#This Row],[SALDO_ATUAL]]),4)</f>
        <v>141.28</v>
      </c>
      <c r="N4842" t="s">
        <v>116</v>
      </c>
      <c r="O4842" t="s">
        <v>459</v>
      </c>
      <c r="P4842" t="s">
        <v>459</v>
      </c>
      <c r="Q4842">
        <v>6</v>
      </c>
      <c r="R4842" s="225">
        <f>Base_Periodo1[[#This Row],[CREDITOS]]-Base_Periodo1[[#This Row],[DEBITOS]]</f>
        <v>0</v>
      </c>
      <c r="S4842" s="3" t="str">
        <f>IF(ISERROR(VLOOKUP(Base_Periodo1[[#This Row],[CONTA]],BaseContasDRE[#All],4,FALSE)),"Fora do DRE",VLOOKUP(Base_Periodo1[[#This Row],[CONTA]],BaseContasDRE[#All],4,FALSE))</f>
        <v>Fora do DRE</v>
      </c>
      <c r="T4842" s="3" t="str">
        <f>IF(ISERROR(VLOOKUP(Base_Periodo1[[#This Row],[CONTA]],BaseContasDRE[#All],5,FALSE)),"Fora do DRE",VLOOKUP(Base_Periodo1[[#This Row],[CONTA]],BaseContasDRE[#All],6,FALSE))</f>
        <v>Fora do DRE</v>
      </c>
      <c r="U4842" s="3" t="str">
        <f>IF(ISERROR(VLOOKUP(Base_Periodo1[[#This Row],[CONTA]],BaseContasDRE[#All],7,FALSE)),"Fora do DRE",VLOOKUP(Base_Periodo1[[#This Row],[CONTA]],BaseContasDRE[#All],7,FALSE))</f>
        <v>Fora do DRE</v>
      </c>
      <c r="V4842" s="3" t="str">
        <f>IF(Base_Periodo1[[#This Row],[Tipo_Linha]]="Fora do DRE","Fora do DRE","( "&amp;Base_Periodo1[[#This Row],[Tipo_Linha]]&amp;" ) "&amp;Base_Periodo1[[#This Row],[Filtro]])</f>
        <v>Fora do DRE</v>
      </c>
      <c r="W4842" s="3" t="str">
        <f>LEFT(Base_Periodo1[[#This Row],[CLASS]],3)</f>
        <v>2.4</v>
      </c>
    </row>
    <row r="4843" spans="1:23" hidden="1">
      <c r="A4843" s="3" t="str">
        <f t="shared" si="75"/>
        <v>Período 1</v>
      </c>
      <c r="B4843">
        <v>47954</v>
      </c>
      <c r="C4843" t="s">
        <v>2300</v>
      </c>
      <c r="D4843" t="s">
        <v>2763</v>
      </c>
      <c r="E4843" s="3" t="str">
        <f>IF(LEN(Base_Periodo1[[#This Row],[CLASS]])&gt;=7,LEFT(Base_Periodo1[[#This Row],[CLASS]],7),"")</f>
        <v>2.4.1.1</v>
      </c>
      <c r="F4843" s="3" t="str">
        <f>VLOOKUP(Base_Periodo1[[#This Row],[Aux]],Base_Contas_Balanco[#All],2,FALSE)</f>
        <v>Capital Social Realizado</v>
      </c>
      <c r="G4843" s="1"/>
      <c r="H4843" s="225">
        <v>78.930000000000007</v>
      </c>
      <c r="I4843" s="225">
        <v>0</v>
      </c>
      <c r="J4843" s="225">
        <v>0</v>
      </c>
      <c r="K4843" s="225">
        <v>78.930000000000007</v>
      </c>
      <c r="L48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78.930000000000007</v>
      </c>
      <c r="M4843" s="225">
        <f>ROUND(IF(AND(Base_Periodo1[[#This Row],[Tipo_Linha]]="-",Base_Periodo1[[#This Row],[TIPOSALDO]]="D"),Base_Periodo1[[#This Row],[SALDO_ATUAL]]*-1,Base_Periodo1[[#This Row],[SALDO_ATUAL]]),4)</f>
        <v>78.930000000000007</v>
      </c>
      <c r="N4843" t="s">
        <v>116</v>
      </c>
      <c r="O4843" t="s">
        <v>459</v>
      </c>
      <c r="P4843" t="s">
        <v>459</v>
      </c>
      <c r="Q4843">
        <v>6</v>
      </c>
      <c r="R4843" s="225">
        <f>Base_Periodo1[[#This Row],[CREDITOS]]-Base_Periodo1[[#This Row],[DEBITOS]]</f>
        <v>0</v>
      </c>
      <c r="S4843" s="3" t="str">
        <f>IF(ISERROR(VLOOKUP(Base_Periodo1[[#This Row],[CONTA]],BaseContasDRE[#All],4,FALSE)),"Fora do DRE",VLOOKUP(Base_Periodo1[[#This Row],[CONTA]],BaseContasDRE[#All],4,FALSE))</f>
        <v>Fora do DRE</v>
      </c>
      <c r="T4843" s="3" t="str">
        <f>IF(ISERROR(VLOOKUP(Base_Periodo1[[#This Row],[CONTA]],BaseContasDRE[#All],5,FALSE)),"Fora do DRE",VLOOKUP(Base_Periodo1[[#This Row],[CONTA]],BaseContasDRE[#All],6,FALSE))</f>
        <v>Fora do DRE</v>
      </c>
      <c r="U4843" s="3" t="str">
        <f>IF(ISERROR(VLOOKUP(Base_Periodo1[[#This Row],[CONTA]],BaseContasDRE[#All],7,FALSE)),"Fora do DRE",VLOOKUP(Base_Periodo1[[#This Row],[CONTA]],BaseContasDRE[#All],7,FALSE))</f>
        <v>Fora do DRE</v>
      </c>
      <c r="V4843" s="3" t="str">
        <f>IF(Base_Periodo1[[#This Row],[Tipo_Linha]]="Fora do DRE","Fora do DRE","( "&amp;Base_Periodo1[[#This Row],[Tipo_Linha]]&amp;" ) "&amp;Base_Periodo1[[#This Row],[Filtro]])</f>
        <v>Fora do DRE</v>
      </c>
      <c r="W4843" s="3" t="str">
        <f>LEFT(Base_Periodo1[[#This Row],[CLASS]],3)</f>
        <v>2.4</v>
      </c>
    </row>
    <row r="4844" spans="1:23" hidden="1">
      <c r="A4844" s="3" t="str">
        <f t="shared" si="75"/>
        <v>Período 1</v>
      </c>
      <c r="B4844">
        <v>40598</v>
      </c>
      <c r="C4844" t="s">
        <v>2300</v>
      </c>
      <c r="D4844" t="s">
        <v>2764</v>
      </c>
      <c r="E4844" s="3" t="str">
        <f>IF(LEN(Base_Periodo1[[#This Row],[CLASS]])&gt;=7,LEFT(Base_Periodo1[[#This Row],[CLASS]],7),"")</f>
        <v>2.4.1.1</v>
      </c>
      <c r="F4844" s="3" t="str">
        <f>VLOOKUP(Base_Periodo1[[#This Row],[Aux]],Base_Contas_Balanco[#All],2,FALSE)</f>
        <v>Capital Social Realizado</v>
      </c>
      <c r="G4844" s="1"/>
      <c r="H4844" s="225">
        <v>520.80999999999995</v>
      </c>
      <c r="I4844" s="225">
        <v>0</v>
      </c>
      <c r="J4844" s="225">
        <v>0</v>
      </c>
      <c r="K4844" s="225">
        <v>520.80999999999995</v>
      </c>
      <c r="L48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520.80999999999995</v>
      </c>
      <c r="M4844" s="225">
        <f>ROUND(IF(AND(Base_Periodo1[[#This Row],[Tipo_Linha]]="-",Base_Periodo1[[#This Row],[TIPOSALDO]]="D"),Base_Periodo1[[#This Row],[SALDO_ATUAL]]*-1,Base_Periodo1[[#This Row],[SALDO_ATUAL]]),4)</f>
        <v>520.80999999999995</v>
      </c>
      <c r="N4844" t="s">
        <v>116</v>
      </c>
      <c r="O4844" t="s">
        <v>459</v>
      </c>
      <c r="P4844" t="s">
        <v>459</v>
      </c>
      <c r="Q4844">
        <v>6</v>
      </c>
      <c r="R4844" s="225">
        <f>Base_Periodo1[[#This Row],[CREDITOS]]-Base_Periodo1[[#This Row],[DEBITOS]]</f>
        <v>0</v>
      </c>
      <c r="S4844" s="3" t="str">
        <f>IF(ISERROR(VLOOKUP(Base_Periodo1[[#This Row],[CONTA]],BaseContasDRE[#All],4,FALSE)),"Fora do DRE",VLOOKUP(Base_Periodo1[[#This Row],[CONTA]],BaseContasDRE[#All],4,FALSE))</f>
        <v>Fora do DRE</v>
      </c>
      <c r="T4844" s="3" t="str">
        <f>IF(ISERROR(VLOOKUP(Base_Periodo1[[#This Row],[CONTA]],BaseContasDRE[#All],5,FALSE)),"Fora do DRE",VLOOKUP(Base_Periodo1[[#This Row],[CONTA]],BaseContasDRE[#All],6,FALSE))</f>
        <v>Fora do DRE</v>
      </c>
      <c r="U4844" s="3" t="str">
        <f>IF(ISERROR(VLOOKUP(Base_Periodo1[[#This Row],[CONTA]],BaseContasDRE[#All],7,FALSE)),"Fora do DRE",VLOOKUP(Base_Periodo1[[#This Row],[CONTA]],BaseContasDRE[#All],7,FALSE))</f>
        <v>Fora do DRE</v>
      </c>
      <c r="V4844" s="3" t="str">
        <f>IF(Base_Periodo1[[#This Row],[Tipo_Linha]]="Fora do DRE","Fora do DRE","( "&amp;Base_Periodo1[[#This Row],[Tipo_Linha]]&amp;" ) "&amp;Base_Periodo1[[#This Row],[Filtro]])</f>
        <v>Fora do DRE</v>
      </c>
      <c r="W4844" s="3" t="str">
        <f>LEFT(Base_Periodo1[[#This Row],[CLASS]],3)</f>
        <v>2.4</v>
      </c>
    </row>
    <row r="4845" spans="1:23" hidden="1">
      <c r="A4845" s="3" t="str">
        <f t="shared" si="75"/>
        <v>Período 1</v>
      </c>
      <c r="B4845">
        <v>19760</v>
      </c>
      <c r="C4845" t="s">
        <v>2300</v>
      </c>
      <c r="D4845" t="s">
        <v>2765</v>
      </c>
      <c r="E4845" s="3" t="str">
        <f>IF(LEN(Base_Periodo1[[#This Row],[CLASS]])&gt;=7,LEFT(Base_Periodo1[[#This Row],[CLASS]],7),"")</f>
        <v>2.4.1.1</v>
      </c>
      <c r="F4845" s="3" t="str">
        <f>VLOOKUP(Base_Periodo1[[#This Row],[Aux]],Base_Contas_Balanco[#All],2,FALSE)</f>
        <v>Capital Social Realizado</v>
      </c>
      <c r="G4845" s="1"/>
      <c r="H4845" s="225">
        <v>1194.25</v>
      </c>
      <c r="I4845" s="225">
        <v>0</v>
      </c>
      <c r="J4845" s="225">
        <v>0</v>
      </c>
      <c r="K4845" s="225">
        <v>1194.25</v>
      </c>
      <c r="L48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1194.25</v>
      </c>
      <c r="M4845" s="225">
        <f>ROUND(IF(AND(Base_Periodo1[[#This Row],[Tipo_Linha]]="-",Base_Periodo1[[#This Row],[TIPOSALDO]]="D"),Base_Periodo1[[#This Row],[SALDO_ATUAL]]*-1,Base_Periodo1[[#This Row],[SALDO_ATUAL]]),4)</f>
        <v>1194.25</v>
      </c>
      <c r="N4845" t="s">
        <v>116</v>
      </c>
      <c r="O4845" t="s">
        <v>459</v>
      </c>
      <c r="P4845" t="s">
        <v>459</v>
      </c>
      <c r="Q4845">
        <v>6</v>
      </c>
      <c r="R4845" s="225">
        <f>Base_Periodo1[[#This Row],[CREDITOS]]-Base_Periodo1[[#This Row],[DEBITOS]]</f>
        <v>0</v>
      </c>
      <c r="S4845" s="3" t="str">
        <f>IF(ISERROR(VLOOKUP(Base_Periodo1[[#This Row],[CONTA]],BaseContasDRE[#All],4,FALSE)),"Fora do DRE",VLOOKUP(Base_Periodo1[[#This Row],[CONTA]],BaseContasDRE[#All],4,FALSE))</f>
        <v>Fora do DRE</v>
      </c>
      <c r="T4845" s="3" t="str">
        <f>IF(ISERROR(VLOOKUP(Base_Periodo1[[#This Row],[CONTA]],BaseContasDRE[#All],5,FALSE)),"Fora do DRE",VLOOKUP(Base_Periodo1[[#This Row],[CONTA]],BaseContasDRE[#All],6,FALSE))</f>
        <v>Fora do DRE</v>
      </c>
      <c r="U4845" s="3" t="str">
        <f>IF(ISERROR(VLOOKUP(Base_Periodo1[[#This Row],[CONTA]],BaseContasDRE[#All],7,FALSE)),"Fora do DRE",VLOOKUP(Base_Periodo1[[#This Row],[CONTA]],BaseContasDRE[#All],7,FALSE))</f>
        <v>Fora do DRE</v>
      </c>
      <c r="V4845" s="3" t="str">
        <f>IF(Base_Periodo1[[#This Row],[Tipo_Linha]]="Fora do DRE","Fora do DRE","( "&amp;Base_Periodo1[[#This Row],[Tipo_Linha]]&amp;" ) "&amp;Base_Periodo1[[#This Row],[Filtro]])</f>
        <v>Fora do DRE</v>
      </c>
      <c r="W4845" s="3" t="str">
        <f>LEFT(Base_Periodo1[[#This Row],[CLASS]],3)</f>
        <v>2.4</v>
      </c>
    </row>
    <row r="4846" spans="1:23" hidden="1">
      <c r="A4846" s="3" t="str">
        <f t="shared" si="75"/>
        <v>Período 1</v>
      </c>
      <c r="B4846">
        <v>25246</v>
      </c>
      <c r="C4846" t="s">
        <v>2300</v>
      </c>
      <c r="D4846" t="s">
        <v>2766</v>
      </c>
      <c r="E4846" s="3" t="str">
        <f>IF(LEN(Base_Periodo1[[#This Row],[CLASS]])&gt;=7,LEFT(Base_Periodo1[[#This Row],[CLASS]],7),"")</f>
        <v>2.4.1.1</v>
      </c>
      <c r="F4846" s="3" t="str">
        <f>VLOOKUP(Base_Periodo1[[#This Row],[Aux]],Base_Contas_Balanco[#All],2,FALSE)</f>
        <v>Capital Social Realizado</v>
      </c>
      <c r="G4846" s="1"/>
      <c r="H4846" s="225">
        <v>232.71</v>
      </c>
      <c r="I4846" s="225">
        <v>0</v>
      </c>
      <c r="J4846" s="225">
        <v>0</v>
      </c>
      <c r="K4846" s="225">
        <v>232.71</v>
      </c>
      <c r="L48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232.71</v>
      </c>
      <c r="M4846" s="225">
        <f>ROUND(IF(AND(Base_Periodo1[[#This Row],[Tipo_Linha]]="-",Base_Periodo1[[#This Row],[TIPOSALDO]]="D"),Base_Periodo1[[#This Row],[SALDO_ATUAL]]*-1,Base_Periodo1[[#This Row],[SALDO_ATUAL]]),4)</f>
        <v>232.71</v>
      </c>
      <c r="N4846" t="s">
        <v>116</v>
      </c>
      <c r="O4846" t="s">
        <v>459</v>
      </c>
      <c r="P4846" t="s">
        <v>459</v>
      </c>
      <c r="Q4846">
        <v>6</v>
      </c>
      <c r="R4846" s="225">
        <f>Base_Periodo1[[#This Row],[CREDITOS]]-Base_Periodo1[[#This Row],[DEBITOS]]</f>
        <v>0</v>
      </c>
      <c r="S4846" s="3" t="str">
        <f>IF(ISERROR(VLOOKUP(Base_Periodo1[[#This Row],[CONTA]],BaseContasDRE[#All],4,FALSE)),"Fora do DRE",VLOOKUP(Base_Periodo1[[#This Row],[CONTA]],BaseContasDRE[#All],4,FALSE))</f>
        <v>Fora do DRE</v>
      </c>
      <c r="T4846" s="3" t="str">
        <f>IF(ISERROR(VLOOKUP(Base_Periodo1[[#This Row],[CONTA]],BaseContasDRE[#All],5,FALSE)),"Fora do DRE",VLOOKUP(Base_Periodo1[[#This Row],[CONTA]],BaseContasDRE[#All],6,FALSE))</f>
        <v>Fora do DRE</v>
      </c>
      <c r="U4846" s="3" t="str">
        <f>IF(ISERROR(VLOOKUP(Base_Periodo1[[#This Row],[CONTA]],BaseContasDRE[#All],7,FALSE)),"Fora do DRE",VLOOKUP(Base_Periodo1[[#This Row],[CONTA]],BaseContasDRE[#All],7,FALSE))</f>
        <v>Fora do DRE</v>
      </c>
      <c r="V4846" s="3" t="str">
        <f>IF(Base_Periodo1[[#This Row],[Tipo_Linha]]="Fora do DRE","Fora do DRE","( "&amp;Base_Periodo1[[#This Row],[Tipo_Linha]]&amp;" ) "&amp;Base_Periodo1[[#This Row],[Filtro]])</f>
        <v>Fora do DRE</v>
      </c>
      <c r="W4846" s="3" t="str">
        <f>LEFT(Base_Periodo1[[#This Row],[CLASS]],3)</f>
        <v>2.4</v>
      </c>
    </row>
    <row r="4847" spans="1:23" hidden="1">
      <c r="A4847" s="3" t="str">
        <f t="shared" si="75"/>
        <v>Período 1</v>
      </c>
      <c r="B4847">
        <v>40599</v>
      </c>
      <c r="C4847" t="s">
        <v>2300</v>
      </c>
      <c r="D4847" t="s">
        <v>2767</v>
      </c>
      <c r="E4847" s="3" t="str">
        <f>IF(LEN(Base_Periodo1[[#This Row],[CLASS]])&gt;=7,LEFT(Base_Periodo1[[#This Row],[CLASS]],7),"")</f>
        <v>2.4.1.1</v>
      </c>
      <c r="F4847" s="3" t="str">
        <f>VLOOKUP(Base_Periodo1[[#This Row],[Aux]],Base_Contas_Balanco[#All],2,FALSE)</f>
        <v>Capital Social Realizado</v>
      </c>
      <c r="G4847" s="1"/>
      <c r="H4847" s="225">
        <v>802.63</v>
      </c>
      <c r="I4847" s="225">
        <v>0</v>
      </c>
      <c r="J4847" s="225">
        <v>0</v>
      </c>
      <c r="K4847" s="225">
        <v>802.63</v>
      </c>
      <c r="L48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802.63</v>
      </c>
      <c r="M4847" s="225">
        <f>ROUND(IF(AND(Base_Periodo1[[#This Row],[Tipo_Linha]]="-",Base_Periodo1[[#This Row],[TIPOSALDO]]="D"),Base_Periodo1[[#This Row],[SALDO_ATUAL]]*-1,Base_Periodo1[[#This Row],[SALDO_ATUAL]]),4)</f>
        <v>802.63</v>
      </c>
      <c r="N4847" t="s">
        <v>116</v>
      </c>
      <c r="O4847" t="s">
        <v>459</v>
      </c>
      <c r="P4847" t="s">
        <v>459</v>
      </c>
      <c r="Q4847">
        <v>6</v>
      </c>
      <c r="R4847" s="225">
        <f>Base_Periodo1[[#This Row],[CREDITOS]]-Base_Periodo1[[#This Row],[DEBITOS]]</f>
        <v>0</v>
      </c>
      <c r="S4847" s="3" t="str">
        <f>IF(ISERROR(VLOOKUP(Base_Periodo1[[#This Row],[CONTA]],BaseContasDRE[#All],4,FALSE)),"Fora do DRE",VLOOKUP(Base_Periodo1[[#This Row],[CONTA]],BaseContasDRE[#All],4,FALSE))</f>
        <v>Fora do DRE</v>
      </c>
      <c r="T4847" s="3" t="str">
        <f>IF(ISERROR(VLOOKUP(Base_Periodo1[[#This Row],[CONTA]],BaseContasDRE[#All],5,FALSE)),"Fora do DRE",VLOOKUP(Base_Periodo1[[#This Row],[CONTA]],BaseContasDRE[#All],6,FALSE))</f>
        <v>Fora do DRE</v>
      </c>
      <c r="U4847" s="3" t="str">
        <f>IF(ISERROR(VLOOKUP(Base_Periodo1[[#This Row],[CONTA]],BaseContasDRE[#All],7,FALSE)),"Fora do DRE",VLOOKUP(Base_Periodo1[[#This Row],[CONTA]],BaseContasDRE[#All],7,FALSE))</f>
        <v>Fora do DRE</v>
      </c>
      <c r="V4847" s="3" t="str">
        <f>IF(Base_Periodo1[[#This Row],[Tipo_Linha]]="Fora do DRE","Fora do DRE","( "&amp;Base_Periodo1[[#This Row],[Tipo_Linha]]&amp;" ) "&amp;Base_Periodo1[[#This Row],[Filtro]])</f>
        <v>Fora do DRE</v>
      </c>
      <c r="W4847" s="3" t="str">
        <f>LEFT(Base_Periodo1[[#This Row],[CLASS]],3)</f>
        <v>2.4</v>
      </c>
    </row>
    <row r="4848" spans="1:23" hidden="1">
      <c r="A4848" s="3" t="str">
        <f t="shared" si="75"/>
        <v>Período 1</v>
      </c>
      <c r="B4848">
        <v>19350</v>
      </c>
      <c r="C4848" t="s">
        <v>2300</v>
      </c>
      <c r="D4848" t="s">
        <v>2768</v>
      </c>
      <c r="E4848" s="3" t="str">
        <f>IF(LEN(Base_Periodo1[[#This Row],[CLASS]])&gt;=7,LEFT(Base_Periodo1[[#This Row],[CLASS]],7),"")</f>
        <v>2.4.1.1</v>
      </c>
      <c r="F4848" s="3" t="str">
        <f>VLOOKUP(Base_Periodo1[[#This Row],[Aux]],Base_Contas_Balanco[#All],2,FALSE)</f>
        <v>Capital Social Realizado</v>
      </c>
      <c r="G4848" s="1"/>
      <c r="H4848" s="225">
        <v>565.29999999999995</v>
      </c>
      <c r="I4848" s="225">
        <v>0</v>
      </c>
      <c r="J4848" s="225">
        <v>0</v>
      </c>
      <c r="K4848" s="225">
        <v>565.29999999999995</v>
      </c>
      <c r="L48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565.29999999999995</v>
      </c>
      <c r="M4848" s="225">
        <f>ROUND(IF(AND(Base_Periodo1[[#This Row],[Tipo_Linha]]="-",Base_Periodo1[[#This Row],[TIPOSALDO]]="D"),Base_Periodo1[[#This Row],[SALDO_ATUAL]]*-1,Base_Periodo1[[#This Row],[SALDO_ATUAL]]),4)</f>
        <v>565.29999999999995</v>
      </c>
      <c r="N4848" t="s">
        <v>116</v>
      </c>
      <c r="O4848" t="s">
        <v>459</v>
      </c>
      <c r="P4848" t="s">
        <v>459</v>
      </c>
      <c r="Q4848">
        <v>6</v>
      </c>
      <c r="R4848" s="225">
        <f>Base_Periodo1[[#This Row],[CREDITOS]]-Base_Periodo1[[#This Row],[DEBITOS]]</f>
        <v>0</v>
      </c>
      <c r="S4848" s="3" t="str">
        <f>IF(ISERROR(VLOOKUP(Base_Periodo1[[#This Row],[CONTA]],BaseContasDRE[#All],4,FALSE)),"Fora do DRE",VLOOKUP(Base_Periodo1[[#This Row],[CONTA]],BaseContasDRE[#All],4,FALSE))</f>
        <v>Fora do DRE</v>
      </c>
      <c r="T4848" s="3" t="str">
        <f>IF(ISERROR(VLOOKUP(Base_Periodo1[[#This Row],[CONTA]],BaseContasDRE[#All],5,FALSE)),"Fora do DRE",VLOOKUP(Base_Periodo1[[#This Row],[CONTA]],BaseContasDRE[#All],6,FALSE))</f>
        <v>Fora do DRE</v>
      </c>
      <c r="U4848" s="3" t="str">
        <f>IF(ISERROR(VLOOKUP(Base_Periodo1[[#This Row],[CONTA]],BaseContasDRE[#All],7,FALSE)),"Fora do DRE",VLOOKUP(Base_Periodo1[[#This Row],[CONTA]],BaseContasDRE[#All],7,FALSE))</f>
        <v>Fora do DRE</v>
      </c>
      <c r="V4848" s="3" t="str">
        <f>IF(Base_Periodo1[[#This Row],[Tipo_Linha]]="Fora do DRE","Fora do DRE","( "&amp;Base_Periodo1[[#This Row],[Tipo_Linha]]&amp;" ) "&amp;Base_Periodo1[[#This Row],[Filtro]])</f>
        <v>Fora do DRE</v>
      </c>
      <c r="W4848" s="3" t="str">
        <f>LEFT(Base_Periodo1[[#This Row],[CLASS]],3)</f>
        <v>2.4</v>
      </c>
    </row>
    <row r="4849" spans="1:23" hidden="1">
      <c r="A4849" s="3" t="str">
        <f t="shared" si="75"/>
        <v>Período 1</v>
      </c>
      <c r="B4849">
        <v>55610</v>
      </c>
      <c r="C4849" t="s">
        <v>2300</v>
      </c>
      <c r="D4849" t="s">
        <v>5454</v>
      </c>
      <c r="E4849" s="3" t="str">
        <f>IF(LEN(Base_Periodo1[[#This Row],[CLASS]])&gt;=7,LEFT(Base_Periodo1[[#This Row],[CLASS]],7),"")</f>
        <v>2.4.1.1</v>
      </c>
      <c r="F4849" s="3" t="str">
        <f>VLOOKUP(Base_Periodo1[[#This Row],[Aux]],Base_Contas_Balanco[#All],2,FALSE)</f>
        <v>Capital Social Realizado</v>
      </c>
      <c r="G4849" s="1"/>
      <c r="H4849" s="225">
        <v>240</v>
      </c>
      <c r="I4849" s="225">
        <v>0</v>
      </c>
      <c r="J4849" s="225">
        <v>0</v>
      </c>
      <c r="K4849" s="225">
        <v>240</v>
      </c>
      <c r="L48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849" s="225">
        <f>ROUND(IF(AND(Base_Periodo1[[#This Row],[Tipo_Linha]]="-",Base_Periodo1[[#This Row],[TIPOSALDO]]="D"),Base_Periodo1[[#This Row],[SALDO_ATUAL]]*-1,Base_Periodo1[[#This Row],[SALDO_ATUAL]]),4)</f>
        <v>240</v>
      </c>
      <c r="N4849" t="s">
        <v>116</v>
      </c>
      <c r="O4849" t="s">
        <v>459</v>
      </c>
      <c r="P4849" t="s">
        <v>459</v>
      </c>
      <c r="Q4849">
        <v>6</v>
      </c>
      <c r="R4849" s="225">
        <f>Base_Periodo1[[#This Row],[CREDITOS]]-Base_Periodo1[[#This Row],[DEBITOS]]</f>
        <v>0</v>
      </c>
      <c r="S4849" s="3" t="str">
        <f>IF(ISERROR(VLOOKUP(Base_Periodo1[[#This Row],[CONTA]],BaseContasDRE[#All],4,FALSE)),"Fora do DRE",VLOOKUP(Base_Periodo1[[#This Row],[CONTA]],BaseContasDRE[#All],4,FALSE))</f>
        <v>Fora do DRE</v>
      </c>
      <c r="T4849" s="3" t="str">
        <f>IF(ISERROR(VLOOKUP(Base_Periodo1[[#This Row],[CONTA]],BaseContasDRE[#All],5,FALSE)),"Fora do DRE",VLOOKUP(Base_Periodo1[[#This Row],[CONTA]],BaseContasDRE[#All],6,FALSE))</f>
        <v>Fora do DRE</v>
      </c>
      <c r="U4849" s="3" t="str">
        <f>IF(ISERROR(VLOOKUP(Base_Periodo1[[#This Row],[CONTA]],BaseContasDRE[#All],7,FALSE)),"Fora do DRE",VLOOKUP(Base_Periodo1[[#This Row],[CONTA]],BaseContasDRE[#All],7,FALSE))</f>
        <v>Fora do DRE</v>
      </c>
      <c r="V4849" s="3" t="str">
        <f>IF(Base_Periodo1[[#This Row],[Tipo_Linha]]="Fora do DRE","Fora do DRE","( "&amp;Base_Periodo1[[#This Row],[Tipo_Linha]]&amp;" ) "&amp;Base_Periodo1[[#This Row],[Filtro]])</f>
        <v>Fora do DRE</v>
      </c>
      <c r="W4849" s="3" t="str">
        <f>LEFT(Base_Periodo1[[#This Row],[CLASS]],3)</f>
        <v>2.4</v>
      </c>
    </row>
    <row r="4850" spans="1:23" hidden="1">
      <c r="A4850" s="3" t="str">
        <f t="shared" si="75"/>
        <v>Período 1</v>
      </c>
      <c r="B4850">
        <v>19351</v>
      </c>
      <c r="C4850" t="s">
        <v>2300</v>
      </c>
      <c r="D4850" t="s">
        <v>2769</v>
      </c>
      <c r="E4850" s="3" t="str">
        <f>IF(LEN(Base_Periodo1[[#This Row],[CLASS]])&gt;=7,LEFT(Base_Periodo1[[#This Row],[CLASS]],7),"")</f>
        <v>2.4.1.1</v>
      </c>
      <c r="F4850" s="3" t="str">
        <f>VLOOKUP(Base_Periodo1[[#This Row],[Aux]],Base_Contas_Balanco[#All],2,FALSE)</f>
        <v>Capital Social Realizado</v>
      </c>
      <c r="G4850" s="1"/>
      <c r="H4850" s="225">
        <v>312.24</v>
      </c>
      <c r="I4850" s="225">
        <v>0</v>
      </c>
      <c r="J4850" s="225">
        <v>0</v>
      </c>
      <c r="K4850" s="225">
        <v>312.24</v>
      </c>
      <c r="L48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312.24</v>
      </c>
      <c r="M4850" s="225">
        <f>ROUND(IF(AND(Base_Periodo1[[#This Row],[Tipo_Linha]]="-",Base_Periodo1[[#This Row],[TIPOSALDO]]="D"),Base_Periodo1[[#This Row],[SALDO_ATUAL]]*-1,Base_Periodo1[[#This Row],[SALDO_ATUAL]]),4)</f>
        <v>312.24</v>
      </c>
      <c r="N4850" t="s">
        <v>116</v>
      </c>
      <c r="O4850" t="s">
        <v>459</v>
      </c>
      <c r="P4850" t="s">
        <v>459</v>
      </c>
      <c r="Q4850">
        <v>6</v>
      </c>
      <c r="R4850" s="225">
        <f>Base_Periodo1[[#This Row],[CREDITOS]]-Base_Periodo1[[#This Row],[DEBITOS]]</f>
        <v>0</v>
      </c>
      <c r="S4850" s="3" t="str">
        <f>IF(ISERROR(VLOOKUP(Base_Periodo1[[#This Row],[CONTA]],BaseContasDRE[#All],4,FALSE)),"Fora do DRE",VLOOKUP(Base_Periodo1[[#This Row],[CONTA]],BaseContasDRE[#All],4,FALSE))</f>
        <v>Fora do DRE</v>
      </c>
      <c r="T4850" s="3" t="str">
        <f>IF(ISERROR(VLOOKUP(Base_Periodo1[[#This Row],[CONTA]],BaseContasDRE[#All],5,FALSE)),"Fora do DRE",VLOOKUP(Base_Periodo1[[#This Row],[CONTA]],BaseContasDRE[#All],6,FALSE))</f>
        <v>Fora do DRE</v>
      </c>
      <c r="U4850" s="3" t="str">
        <f>IF(ISERROR(VLOOKUP(Base_Periodo1[[#This Row],[CONTA]],BaseContasDRE[#All],7,FALSE)),"Fora do DRE",VLOOKUP(Base_Periodo1[[#This Row],[CONTA]],BaseContasDRE[#All],7,FALSE))</f>
        <v>Fora do DRE</v>
      </c>
      <c r="V4850" s="3" t="str">
        <f>IF(Base_Periodo1[[#This Row],[Tipo_Linha]]="Fora do DRE","Fora do DRE","( "&amp;Base_Periodo1[[#This Row],[Tipo_Linha]]&amp;" ) "&amp;Base_Periodo1[[#This Row],[Filtro]])</f>
        <v>Fora do DRE</v>
      </c>
      <c r="W4850" s="3" t="str">
        <f>LEFT(Base_Periodo1[[#This Row],[CLASS]],3)</f>
        <v>2.4</v>
      </c>
    </row>
    <row r="4851" spans="1:23" hidden="1">
      <c r="A4851" s="3" t="str">
        <f t="shared" si="75"/>
        <v>Período 1</v>
      </c>
      <c r="B4851">
        <v>16338</v>
      </c>
      <c r="C4851" t="s">
        <v>2300</v>
      </c>
      <c r="D4851" t="s">
        <v>2770</v>
      </c>
      <c r="E4851" s="3" t="str">
        <f>IF(LEN(Base_Periodo1[[#This Row],[CLASS]])&gt;=7,LEFT(Base_Periodo1[[#This Row],[CLASS]],7),"")</f>
        <v>2.4.1.1</v>
      </c>
      <c r="F4851" s="3" t="str">
        <f>VLOOKUP(Base_Periodo1[[#This Row],[Aux]],Base_Contas_Balanco[#All],2,FALSE)</f>
        <v>Capital Social Realizado</v>
      </c>
      <c r="G4851" s="1"/>
      <c r="H4851" s="225">
        <v>3650.79</v>
      </c>
      <c r="I4851" s="225">
        <v>0</v>
      </c>
      <c r="J4851" s="225">
        <v>0</v>
      </c>
      <c r="K4851" s="225">
        <v>3650.79</v>
      </c>
      <c r="L48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3650.79</v>
      </c>
      <c r="M4851" s="225">
        <f>ROUND(IF(AND(Base_Periodo1[[#This Row],[Tipo_Linha]]="-",Base_Periodo1[[#This Row],[TIPOSALDO]]="D"),Base_Periodo1[[#This Row],[SALDO_ATUAL]]*-1,Base_Periodo1[[#This Row],[SALDO_ATUAL]]),4)</f>
        <v>3650.79</v>
      </c>
      <c r="N4851" t="s">
        <v>116</v>
      </c>
      <c r="O4851" t="s">
        <v>459</v>
      </c>
      <c r="P4851" t="s">
        <v>459</v>
      </c>
      <c r="Q4851">
        <v>6</v>
      </c>
      <c r="R4851" s="225">
        <f>Base_Periodo1[[#This Row],[CREDITOS]]-Base_Periodo1[[#This Row],[DEBITOS]]</f>
        <v>0</v>
      </c>
      <c r="S4851" s="3" t="str">
        <f>IF(ISERROR(VLOOKUP(Base_Periodo1[[#This Row],[CONTA]],BaseContasDRE[#All],4,FALSE)),"Fora do DRE",VLOOKUP(Base_Periodo1[[#This Row],[CONTA]],BaseContasDRE[#All],4,FALSE))</f>
        <v>Fora do DRE</v>
      </c>
      <c r="T4851" s="3" t="str">
        <f>IF(ISERROR(VLOOKUP(Base_Periodo1[[#This Row],[CONTA]],BaseContasDRE[#All],5,FALSE)),"Fora do DRE",VLOOKUP(Base_Periodo1[[#This Row],[CONTA]],BaseContasDRE[#All],6,FALSE))</f>
        <v>Fora do DRE</v>
      </c>
      <c r="U4851" s="3" t="str">
        <f>IF(ISERROR(VLOOKUP(Base_Periodo1[[#This Row],[CONTA]],BaseContasDRE[#All],7,FALSE)),"Fora do DRE",VLOOKUP(Base_Periodo1[[#This Row],[CONTA]],BaseContasDRE[#All],7,FALSE))</f>
        <v>Fora do DRE</v>
      </c>
      <c r="V4851" s="3" t="str">
        <f>IF(Base_Periodo1[[#This Row],[Tipo_Linha]]="Fora do DRE","Fora do DRE","( "&amp;Base_Periodo1[[#This Row],[Tipo_Linha]]&amp;" ) "&amp;Base_Periodo1[[#This Row],[Filtro]])</f>
        <v>Fora do DRE</v>
      </c>
      <c r="W4851" s="3" t="str">
        <f>LEFT(Base_Periodo1[[#This Row],[CLASS]],3)</f>
        <v>2.4</v>
      </c>
    </row>
    <row r="4852" spans="1:23" hidden="1">
      <c r="A4852" s="3" t="str">
        <f t="shared" si="75"/>
        <v>Período 1</v>
      </c>
      <c r="B4852">
        <v>51851</v>
      </c>
      <c r="C4852" t="s">
        <v>2300</v>
      </c>
      <c r="D4852" t="s">
        <v>4702</v>
      </c>
      <c r="E4852" s="3" t="str">
        <f>IF(LEN(Base_Periodo1[[#This Row],[CLASS]])&gt;=7,LEFT(Base_Periodo1[[#This Row],[CLASS]],7),"")</f>
        <v>2.4.1.1</v>
      </c>
      <c r="F4852" s="3" t="str">
        <f>VLOOKUP(Base_Periodo1[[#This Row],[Aux]],Base_Contas_Balanco[#All],2,FALSE)</f>
        <v>Capital Social Realizado</v>
      </c>
      <c r="G4852" s="1"/>
      <c r="H4852" s="225">
        <v>50</v>
      </c>
      <c r="I4852" s="225">
        <v>0</v>
      </c>
      <c r="J4852" s="225">
        <v>0</v>
      </c>
      <c r="K4852" s="225">
        <v>50</v>
      </c>
      <c r="L48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52" s="225">
        <f>ROUND(IF(AND(Base_Periodo1[[#This Row],[Tipo_Linha]]="-",Base_Periodo1[[#This Row],[TIPOSALDO]]="D"),Base_Periodo1[[#This Row],[SALDO_ATUAL]]*-1,Base_Periodo1[[#This Row],[SALDO_ATUAL]]),4)</f>
        <v>50</v>
      </c>
      <c r="N4852" t="s">
        <v>116</v>
      </c>
      <c r="O4852" t="s">
        <v>459</v>
      </c>
      <c r="P4852" t="s">
        <v>459</v>
      </c>
      <c r="Q4852">
        <v>6</v>
      </c>
      <c r="R4852" s="225">
        <f>Base_Periodo1[[#This Row],[CREDITOS]]-Base_Periodo1[[#This Row],[DEBITOS]]</f>
        <v>0</v>
      </c>
      <c r="S4852" s="3" t="str">
        <f>IF(ISERROR(VLOOKUP(Base_Periodo1[[#This Row],[CONTA]],BaseContasDRE[#All],4,FALSE)),"Fora do DRE",VLOOKUP(Base_Periodo1[[#This Row],[CONTA]],BaseContasDRE[#All],4,FALSE))</f>
        <v>Fora do DRE</v>
      </c>
      <c r="T4852" s="3" t="str">
        <f>IF(ISERROR(VLOOKUP(Base_Periodo1[[#This Row],[CONTA]],BaseContasDRE[#All],5,FALSE)),"Fora do DRE",VLOOKUP(Base_Periodo1[[#This Row],[CONTA]],BaseContasDRE[#All],6,FALSE))</f>
        <v>Fora do DRE</v>
      </c>
      <c r="U4852" s="3" t="str">
        <f>IF(ISERROR(VLOOKUP(Base_Periodo1[[#This Row],[CONTA]],BaseContasDRE[#All],7,FALSE)),"Fora do DRE",VLOOKUP(Base_Periodo1[[#This Row],[CONTA]],BaseContasDRE[#All],7,FALSE))</f>
        <v>Fora do DRE</v>
      </c>
      <c r="V4852" s="3" t="str">
        <f>IF(Base_Periodo1[[#This Row],[Tipo_Linha]]="Fora do DRE","Fora do DRE","( "&amp;Base_Periodo1[[#This Row],[Tipo_Linha]]&amp;" ) "&amp;Base_Periodo1[[#This Row],[Filtro]])</f>
        <v>Fora do DRE</v>
      </c>
      <c r="W4852" s="3" t="str">
        <f>LEFT(Base_Periodo1[[#This Row],[CLASS]],3)</f>
        <v>2.4</v>
      </c>
    </row>
    <row r="4853" spans="1:23" hidden="1">
      <c r="A4853" s="3" t="str">
        <f t="shared" si="75"/>
        <v>Período 1</v>
      </c>
      <c r="B4853">
        <v>29672</v>
      </c>
      <c r="C4853" t="s">
        <v>2300</v>
      </c>
      <c r="D4853" t="s">
        <v>2771</v>
      </c>
      <c r="E4853" s="3" t="str">
        <f>IF(LEN(Base_Periodo1[[#This Row],[CLASS]])&gt;=7,LEFT(Base_Periodo1[[#This Row],[CLASS]],7),"")</f>
        <v>2.4.1.1</v>
      </c>
      <c r="F4853" s="3" t="str">
        <f>VLOOKUP(Base_Periodo1[[#This Row],[Aux]],Base_Contas_Balanco[#All],2,FALSE)</f>
        <v>Capital Social Realizado</v>
      </c>
      <c r="G4853" s="1"/>
      <c r="H4853" s="225">
        <v>50</v>
      </c>
      <c r="I4853" s="225">
        <v>0</v>
      </c>
      <c r="J4853" s="225">
        <v>0</v>
      </c>
      <c r="K4853" s="225">
        <v>50</v>
      </c>
      <c r="L48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53" s="225">
        <f>ROUND(IF(AND(Base_Periodo1[[#This Row],[Tipo_Linha]]="-",Base_Periodo1[[#This Row],[TIPOSALDO]]="D"),Base_Periodo1[[#This Row],[SALDO_ATUAL]]*-1,Base_Periodo1[[#This Row],[SALDO_ATUAL]]),4)</f>
        <v>50</v>
      </c>
      <c r="N4853" t="s">
        <v>116</v>
      </c>
      <c r="O4853" t="s">
        <v>459</v>
      </c>
      <c r="P4853" t="s">
        <v>459</v>
      </c>
      <c r="Q4853">
        <v>6</v>
      </c>
      <c r="R4853" s="225">
        <f>Base_Periodo1[[#This Row],[CREDITOS]]-Base_Periodo1[[#This Row],[DEBITOS]]</f>
        <v>0</v>
      </c>
      <c r="S4853" s="3" t="str">
        <f>IF(ISERROR(VLOOKUP(Base_Periodo1[[#This Row],[CONTA]],BaseContasDRE[#All],4,FALSE)),"Fora do DRE",VLOOKUP(Base_Periodo1[[#This Row],[CONTA]],BaseContasDRE[#All],4,FALSE))</f>
        <v>Fora do DRE</v>
      </c>
      <c r="T4853" s="3" t="str">
        <f>IF(ISERROR(VLOOKUP(Base_Periodo1[[#This Row],[CONTA]],BaseContasDRE[#All],5,FALSE)),"Fora do DRE",VLOOKUP(Base_Periodo1[[#This Row],[CONTA]],BaseContasDRE[#All],6,FALSE))</f>
        <v>Fora do DRE</v>
      </c>
      <c r="U4853" s="3" t="str">
        <f>IF(ISERROR(VLOOKUP(Base_Periodo1[[#This Row],[CONTA]],BaseContasDRE[#All],7,FALSE)),"Fora do DRE",VLOOKUP(Base_Periodo1[[#This Row],[CONTA]],BaseContasDRE[#All],7,FALSE))</f>
        <v>Fora do DRE</v>
      </c>
      <c r="V4853" s="3" t="str">
        <f>IF(Base_Periodo1[[#This Row],[Tipo_Linha]]="Fora do DRE","Fora do DRE","( "&amp;Base_Periodo1[[#This Row],[Tipo_Linha]]&amp;" ) "&amp;Base_Periodo1[[#This Row],[Filtro]])</f>
        <v>Fora do DRE</v>
      </c>
      <c r="W4853" s="3" t="str">
        <f>LEFT(Base_Periodo1[[#This Row],[CLASS]],3)</f>
        <v>2.4</v>
      </c>
    </row>
    <row r="4854" spans="1:23" hidden="1">
      <c r="A4854" s="3" t="str">
        <f t="shared" si="75"/>
        <v>Período 1</v>
      </c>
      <c r="B4854">
        <v>24608</v>
      </c>
      <c r="C4854" t="s">
        <v>2300</v>
      </c>
      <c r="D4854" t="s">
        <v>2772</v>
      </c>
      <c r="E4854" s="3" t="str">
        <f>IF(LEN(Base_Periodo1[[#This Row],[CLASS]])&gt;=7,LEFT(Base_Periodo1[[#This Row],[CLASS]],7),"")</f>
        <v>2.4.1.1</v>
      </c>
      <c r="F4854" s="3" t="str">
        <f>VLOOKUP(Base_Periodo1[[#This Row],[Aux]],Base_Contas_Balanco[#All],2,FALSE)</f>
        <v>Capital Social Realizado</v>
      </c>
      <c r="G4854" s="1"/>
      <c r="H4854" s="225">
        <v>174.08</v>
      </c>
      <c r="I4854" s="225">
        <v>0</v>
      </c>
      <c r="J4854" s="225">
        <v>0</v>
      </c>
      <c r="K4854" s="225">
        <v>174.08</v>
      </c>
      <c r="L48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174.08</v>
      </c>
      <c r="M4854" s="225">
        <f>ROUND(IF(AND(Base_Periodo1[[#This Row],[Tipo_Linha]]="-",Base_Periodo1[[#This Row],[TIPOSALDO]]="D"),Base_Periodo1[[#This Row],[SALDO_ATUAL]]*-1,Base_Periodo1[[#This Row],[SALDO_ATUAL]]),4)</f>
        <v>174.08</v>
      </c>
      <c r="N4854" t="s">
        <v>116</v>
      </c>
      <c r="O4854" t="s">
        <v>459</v>
      </c>
      <c r="P4854" t="s">
        <v>459</v>
      </c>
      <c r="Q4854">
        <v>6</v>
      </c>
      <c r="R4854" s="225">
        <f>Base_Periodo1[[#This Row],[CREDITOS]]-Base_Periodo1[[#This Row],[DEBITOS]]</f>
        <v>0</v>
      </c>
      <c r="S4854" s="3" t="str">
        <f>IF(ISERROR(VLOOKUP(Base_Periodo1[[#This Row],[CONTA]],BaseContasDRE[#All],4,FALSE)),"Fora do DRE",VLOOKUP(Base_Periodo1[[#This Row],[CONTA]],BaseContasDRE[#All],4,FALSE))</f>
        <v>Fora do DRE</v>
      </c>
      <c r="T4854" s="3" t="str">
        <f>IF(ISERROR(VLOOKUP(Base_Periodo1[[#This Row],[CONTA]],BaseContasDRE[#All],5,FALSE)),"Fora do DRE",VLOOKUP(Base_Periodo1[[#This Row],[CONTA]],BaseContasDRE[#All],6,FALSE))</f>
        <v>Fora do DRE</v>
      </c>
      <c r="U4854" s="3" t="str">
        <f>IF(ISERROR(VLOOKUP(Base_Periodo1[[#This Row],[CONTA]],BaseContasDRE[#All],7,FALSE)),"Fora do DRE",VLOOKUP(Base_Periodo1[[#This Row],[CONTA]],BaseContasDRE[#All],7,FALSE))</f>
        <v>Fora do DRE</v>
      </c>
      <c r="V4854" s="3" t="str">
        <f>IF(Base_Periodo1[[#This Row],[Tipo_Linha]]="Fora do DRE","Fora do DRE","( "&amp;Base_Periodo1[[#This Row],[Tipo_Linha]]&amp;" ) "&amp;Base_Periodo1[[#This Row],[Filtro]])</f>
        <v>Fora do DRE</v>
      </c>
      <c r="W4854" s="3" t="str">
        <f>LEFT(Base_Periodo1[[#This Row],[CLASS]],3)</f>
        <v>2.4</v>
      </c>
    </row>
    <row r="4855" spans="1:23" hidden="1">
      <c r="A4855" s="3" t="str">
        <f t="shared" si="75"/>
        <v>Período 1</v>
      </c>
      <c r="B4855">
        <v>16262</v>
      </c>
      <c r="C4855" t="s">
        <v>2300</v>
      </c>
      <c r="D4855" t="s">
        <v>2773</v>
      </c>
      <c r="E4855" s="3" t="str">
        <f>IF(LEN(Base_Periodo1[[#This Row],[CLASS]])&gt;=7,LEFT(Base_Periodo1[[#This Row],[CLASS]],7),"")</f>
        <v>2.4.1.1</v>
      </c>
      <c r="F4855" s="3" t="str">
        <f>VLOOKUP(Base_Periodo1[[#This Row],[Aux]],Base_Contas_Balanco[#All],2,FALSE)</f>
        <v>Capital Social Realizado</v>
      </c>
      <c r="G4855" s="1"/>
      <c r="H4855" s="225">
        <v>2453.9899999999998</v>
      </c>
      <c r="I4855" s="225">
        <v>0</v>
      </c>
      <c r="J4855" s="225">
        <v>0</v>
      </c>
      <c r="K4855" s="225">
        <v>2453.9899999999998</v>
      </c>
      <c r="L48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2453.9899999999998</v>
      </c>
      <c r="M4855" s="225">
        <f>ROUND(IF(AND(Base_Periodo1[[#This Row],[Tipo_Linha]]="-",Base_Periodo1[[#This Row],[TIPOSALDO]]="D"),Base_Periodo1[[#This Row],[SALDO_ATUAL]]*-1,Base_Periodo1[[#This Row],[SALDO_ATUAL]]),4)</f>
        <v>2453.9899999999998</v>
      </c>
      <c r="N4855" t="s">
        <v>116</v>
      </c>
      <c r="O4855" t="s">
        <v>459</v>
      </c>
      <c r="P4855" t="s">
        <v>459</v>
      </c>
      <c r="Q4855">
        <v>6</v>
      </c>
      <c r="R4855" s="225">
        <f>Base_Periodo1[[#This Row],[CREDITOS]]-Base_Periodo1[[#This Row],[DEBITOS]]</f>
        <v>0</v>
      </c>
      <c r="S4855" s="3" t="str">
        <f>IF(ISERROR(VLOOKUP(Base_Periodo1[[#This Row],[CONTA]],BaseContasDRE[#All],4,FALSE)),"Fora do DRE",VLOOKUP(Base_Periodo1[[#This Row],[CONTA]],BaseContasDRE[#All],4,FALSE))</f>
        <v>Fora do DRE</v>
      </c>
      <c r="T4855" s="3" t="str">
        <f>IF(ISERROR(VLOOKUP(Base_Periodo1[[#This Row],[CONTA]],BaseContasDRE[#All],5,FALSE)),"Fora do DRE",VLOOKUP(Base_Periodo1[[#This Row],[CONTA]],BaseContasDRE[#All],6,FALSE))</f>
        <v>Fora do DRE</v>
      </c>
      <c r="U4855" s="3" t="str">
        <f>IF(ISERROR(VLOOKUP(Base_Periodo1[[#This Row],[CONTA]],BaseContasDRE[#All],7,FALSE)),"Fora do DRE",VLOOKUP(Base_Periodo1[[#This Row],[CONTA]],BaseContasDRE[#All],7,FALSE))</f>
        <v>Fora do DRE</v>
      </c>
      <c r="V4855" s="3" t="str">
        <f>IF(Base_Periodo1[[#This Row],[Tipo_Linha]]="Fora do DRE","Fora do DRE","( "&amp;Base_Periodo1[[#This Row],[Tipo_Linha]]&amp;" ) "&amp;Base_Periodo1[[#This Row],[Filtro]])</f>
        <v>Fora do DRE</v>
      </c>
      <c r="W4855" s="3" t="str">
        <f>LEFT(Base_Periodo1[[#This Row],[CLASS]],3)</f>
        <v>2.4</v>
      </c>
    </row>
    <row r="4856" spans="1:23" hidden="1">
      <c r="A4856" s="3" t="str">
        <f t="shared" si="75"/>
        <v>Período 1</v>
      </c>
      <c r="B4856">
        <v>31013</v>
      </c>
      <c r="C4856" t="s">
        <v>2300</v>
      </c>
      <c r="D4856" t="s">
        <v>2774</v>
      </c>
      <c r="E4856" s="3" t="str">
        <f>IF(LEN(Base_Periodo1[[#This Row],[CLASS]])&gt;=7,LEFT(Base_Periodo1[[#This Row],[CLASS]],7),"")</f>
        <v>2.4.1.1</v>
      </c>
      <c r="F4856" s="3" t="str">
        <f>VLOOKUP(Base_Periodo1[[#This Row],[Aux]],Base_Contas_Balanco[#All],2,FALSE)</f>
        <v>Capital Social Realizado</v>
      </c>
      <c r="G4856" s="1"/>
      <c r="H4856" s="225">
        <v>152.18</v>
      </c>
      <c r="I4856" s="225">
        <v>0</v>
      </c>
      <c r="J4856" s="225">
        <v>0</v>
      </c>
      <c r="K4856" s="225">
        <v>152.18</v>
      </c>
      <c r="L48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152.18</v>
      </c>
      <c r="M4856" s="225">
        <f>ROUND(IF(AND(Base_Periodo1[[#This Row],[Tipo_Linha]]="-",Base_Periodo1[[#This Row],[TIPOSALDO]]="D"),Base_Periodo1[[#This Row],[SALDO_ATUAL]]*-1,Base_Periodo1[[#This Row],[SALDO_ATUAL]]),4)</f>
        <v>152.18</v>
      </c>
      <c r="N4856" t="s">
        <v>116</v>
      </c>
      <c r="O4856" t="s">
        <v>459</v>
      </c>
      <c r="P4856" t="s">
        <v>459</v>
      </c>
      <c r="Q4856">
        <v>6</v>
      </c>
      <c r="R4856" s="225">
        <f>Base_Periodo1[[#This Row],[CREDITOS]]-Base_Periodo1[[#This Row],[DEBITOS]]</f>
        <v>0</v>
      </c>
      <c r="S4856" s="3" t="str">
        <f>IF(ISERROR(VLOOKUP(Base_Periodo1[[#This Row],[CONTA]],BaseContasDRE[#All],4,FALSE)),"Fora do DRE",VLOOKUP(Base_Periodo1[[#This Row],[CONTA]],BaseContasDRE[#All],4,FALSE))</f>
        <v>Fora do DRE</v>
      </c>
      <c r="T4856" s="3" t="str">
        <f>IF(ISERROR(VLOOKUP(Base_Periodo1[[#This Row],[CONTA]],BaseContasDRE[#All],5,FALSE)),"Fora do DRE",VLOOKUP(Base_Periodo1[[#This Row],[CONTA]],BaseContasDRE[#All],6,FALSE))</f>
        <v>Fora do DRE</v>
      </c>
      <c r="U4856" s="3" t="str">
        <f>IF(ISERROR(VLOOKUP(Base_Periodo1[[#This Row],[CONTA]],BaseContasDRE[#All],7,FALSE)),"Fora do DRE",VLOOKUP(Base_Periodo1[[#This Row],[CONTA]],BaseContasDRE[#All],7,FALSE))</f>
        <v>Fora do DRE</v>
      </c>
      <c r="V4856" s="3" t="str">
        <f>IF(Base_Periodo1[[#This Row],[Tipo_Linha]]="Fora do DRE","Fora do DRE","( "&amp;Base_Periodo1[[#This Row],[Tipo_Linha]]&amp;" ) "&amp;Base_Periodo1[[#This Row],[Filtro]])</f>
        <v>Fora do DRE</v>
      </c>
      <c r="W4856" s="3" t="str">
        <f>LEFT(Base_Periodo1[[#This Row],[CLASS]],3)</f>
        <v>2.4</v>
      </c>
    </row>
    <row r="4857" spans="1:23" hidden="1">
      <c r="A4857" s="3" t="str">
        <f t="shared" si="75"/>
        <v>Período 1</v>
      </c>
      <c r="B4857">
        <v>19473</v>
      </c>
      <c r="C4857" t="s">
        <v>2300</v>
      </c>
      <c r="D4857" t="s">
        <v>2775</v>
      </c>
      <c r="E4857" s="3" t="str">
        <f>IF(LEN(Base_Periodo1[[#This Row],[CLASS]])&gt;=7,LEFT(Base_Periodo1[[#This Row],[CLASS]],7),"")</f>
        <v>2.4.1.1</v>
      </c>
      <c r="F4857" s="3" t="str">
        <f>VLOOKUP(Base_Periodo1[[#This Row],[Aux]],Base_Contas_Balanco[#All],2,FALSE)</f>
        <v>Capital Social Realizado</v>
      </c>
      <c r="G4857" s="1">
        <v>41653</v>
      </c>
      <c r="H4857" s="225">
        <v>240</v>
      </c>
      <c r="I4857" s="225">
        <v>0</v>
      </c>
      <c r="J4857" s="225">
        <v>0</v>
      </c>
      <c r="K4857" s="225">
        <v>240</v>
      </c>
      <c r="L48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857" s="225">
        <f>ROUND(IF(AND(Base_Periodo1[[#This Row],[Tipo_Linha]]="-",Base_Periodo1[[#This Row],[TIPOSALDO]]="D"),Base_Periodo1[[#This Row],[SALDO_ATUAL]]*-1,Base_Periodo1[[#This Row],[SALDO_ATUAL]]),4)</f>
        <v>240</v>
      </c>
      <c r="N4857" t="s">
        <v>116</v>
      </c>
      <c r="O4857" t="s">
        <v>459</v>
      </c>
      <c r="P4857" t="s">
        <v>459</v>
      </c>
      <c r="Q4857">
        <v>6</v>
      </c>
      <c r="R4857" s="225">
        <f>Base_Periodo1[[#This Row],[CREDITOS]]-Base_Periodo1[[#This Row],[DEBITOS]]</f>
        <v>0</v>
      </c>
      <c r="S4857" s="3" t="str">
        <f>IF(ISERROR(VLOOKUP(Base_Periodo1[[#This Row],[CONTA]],BaseContasDRE[#All],4,FALSE)),"Fora do DRE",VLOOKUP(Base_Periodo1[[#This Row],[CONTA]],BaseContasDRE[#All],4,FALSE))</f>
        <v>Fora do DRE</v>
      </c>
      <c r="T4857" s="3" t="str">
        <f>IF(ISERROR(VLOOKUP(Base_Periodo1[[#This Row],[CONTA]],BaseContasDRE[#All],5,FALSE)),"Fora do DRE",VLOOKUP(Base_Periodo1[[#This Row],[CONTA]],BaseContasDRE[#All],6,FALSE))</f>
        <v>Fora do DRE</v>
      </c>
      <c r="U4857" s="3" t="str">
        <f>IF(ISERROR(VLOOKUP(Base_Periodo1[[#This Row],[CONTA]],BaseContasDRE[#All],7,FALSE)),"Fora do DRE",VLOOKUP(Base_Periodo1[[#This Row],[CONTA]],BaseContasDRE[#All],7,FALSE))</f>
        <v>Fora do DRE</v>
      </c>
      <c r="V4857" s="3" t="str">
        <f>IF(Base_Periodo1[[#This Row],[Tipo_Linha]]="Fora do DRE","Fora do DRE","( "&amp;Base_Periodo1[[#This Row],[Tipo_Linha]]&amp;" ) "&amp;Base_Periodo1[[#This Row],[Filtro]])</f>
        <v>Fora do DRE</v>
      </c>
      <c r="W4857" s="3" t="str">
        <f>LEFT(Base_Periodo1[[#This Row],[CLASS]],3)</f>
        <v>2.4</v>
      </c>
    </row>
    <row r="4858" spans="1:23" hidden="1">
      <c r="A4858" s="3" t="str">
        <f t="shared" si="75"/>
        <v>Período 1</v>
      </c>
      <c r="B4858">
        <v>16104</v>
      </c>
      <c r="C4858" t="s">
        <v>2300</v>
      </c>
      <c r="D4858" t="s">
        <v>4377</v>
      </c>
      <c r="E4858" s="3" t="str">
        <f>IF(LEN(Base_Periodo1[[#This Row],[CLASS]])&gt;=7,LEFT(Base_Periodo1[[#This Row],[CLASS]],7),"")</f>
        <v>2.4.1.1</v>
      </c>
      <c r="F4858" s="3" t="str">
        <f>VLOOKUP(Base_Periodo1[[#This Row],[Aux]],Base_Contas_Balanco[#All],2,FALSE)</f>
        <v>Capital Social Realizado</v>
      </c>
      <c r="G4858" s="1">
        <v>42395</v>
      </c>
      <c r="H4858" s="225">
        <v>49.999999999999545</v>
      </c>
      <c r="I4858" s="225">
        <v>0</v>
      </c>
      <c r="J4858" s="225">
        <v>0</v>
      </c>
      <c r="K4858" s="225">
        <v>49.999999999999545</v>
      </c>
      <c r="L48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58" s="225">
        <f>ROUND(IF(AND(Base_Periodo1[[#This Row],[Tipo_Linha]]="-",Base_Periodo1[[#This Row],[TIPOSALDO]]="D"),Base_Periodo1[[#This Row],[SALDO_ATUAL]]*-1,Base_Periodo1[[#This Row],[SALDO_ATUAL]]),4)</f>
        <v>50</v>
      </c>
      <c r="N4858" t="s">
        <v>116</v>
      </c>
      <c r="O4858" t="s">
        <v>459</v>
      </c>
      <c r="P4858" t="s">
        <v>459</v>
      </c>
      <c r="Q4858">
        <v>6</v>
      </c>
      <c r="R4858" s="225">
        <f>Base_Periodo1[[#This Row],[CREDITOS]]-Base_Periodo1[[#This Row],[DEBITOS]]</f>
        <v>0</v>
      </c>
      <c r="S4858" s="3" t="str">
        <f>IF(ISERROR(VLOOKUP(Base_Periodo1[[#This Row],[CONTA]],BaseContasDRE[#All],4,FALSE)),"Fora do DRE",VLOOKUP(Base_Periodo1[[#This Row],[CONTA]],BaseContasDRE[#All],4,FALSE))</f>
        <v>Fora do DRE</v>
      </c>
      <c r="T4858" s="3" t="str">
        <f>IF(ISERROR(VLOOKUP(Base_Periodo1[[#This Row],[CONTA]],BaseContasDRE[#All],5,FALSE)),"Fora do DRE",VLOOKUP(Base_Periodo1[[#This Row],[CONTA]],BaseContasDRE[#All],6,FALSE))</f>
        <v>Fora do DRE</v>
      </c>
      <c r="U4858" s="3" t="str">
        <f>IF(ISERROR(VLOOKUP(Base_Periodo1[[#This Row],[CONTA]],BaseContasDRE[#All],7,FALSE)),"Fora do DRE",VLOOKUP(Base_Periodo1[[#This Row],[CONTA]],BaseContasDRE[#All],7,FALSE))</f>
        <v>Fora do DRE</v>
      </c>
      <c r="V4858" s="3" t="str">
        <f>IF(Base_Periodo1[[#This Row],[Tipo_Linha]]="Fora do DRE","Fora do DRE","( "&amp;Base_Periodo1[[#This Row],[Tipo_Linha]]&amp;" ) "&amp;Base_Periodo1[[#This Row],[Filtro]])</f>
        <v>Fora do DRE</v>
      </c>
      <c r="W4858" s="3" t="str">
        <f>LEFT(Base_Periodo1[[#This Row],[CLASS]],3)</f>
        <v>2.4</v>
      </c>
    </row>
    <row r="4859" spans="1:23" hidden="1">
      <c r="A4859" s="3" t="str">
        <f t="shared" si="75"/>
        <v>Período 1</v>
      </c>
      <c r="B4859">
        <v>39545</v>
      </c>
      <c r="C4859" t="s">
        <v>2300</v>
      </c>
      <c r="D4859" t="s">
        <v>2776</v>
      </c>
      <c r="E4859" s="3" t="str">
        <f>IF(LEN(Base_Periodo1[[#This Row],[CLASS]])&gt;=7,LEFT(Base_Periodo1[[#This Row],[CLASS]],7),"")</f>
        <v>2.4.1.1</v>
      </c>
      <c r="F4859" s="3" t="str">
        <f>VLOOKUP(Base_Periodo1[[#This Row],[Aux]],Base_Contas_Balanco[#All],2,FALSE)</f>
        <v>Capital Social Realizado</v>
      </c>
      <c r="G4859" s="1"/>
      <c r="H4859" s="225">
        <v>96.82</v>
      </c>
      <c r="I4859" s="225">
        <v>0</v>
      </c>
      <c r="J4859" s="225">
        <v>0</v>
      </c>
      <c r="K4859" s="225">
        <v>96.82</v>
      </c>
      <c r="L48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96.82</v>
      </c>
      <c r="M4859" s="225">
        <f>ROUND(IF(AND(Base_Periodo1[[#This Row],[Tipo_Linha]]="-",Base_Periodo1[[#This Row],[TIPOSALDO]]="D"),Base_Periodo1[[#This Row],[SALDO_ATUAL]]*-1,Base_Periodo1[[#This Row],[SALDO_ATUAL]]),4)</f>
        <v>96.82</v>
      </c>
      <c r="N4859" t="s">
        <v>116</v>
      </c>
      <c r="O4859" t="s">
        <v>459</v>
      </c>
      <c r="P4859" t="s">
        <v>459</v>
      </c>
      <c r="Q4859">
        <v>6</v>
      </c>
      <c r="R4859" s="225">
        <f>Base_Periodo1[[#This Row],[CREDITOS]]-Base_Periodo1[[#This Row],[DEBITOS]]</f>
        <v>0</v>
      </c>
      <c r="S4859" s="3" t="str">
        <f>IF(ISERROR(VLOOKUP(Base_Periodo1[[#This Row],[CONTA]],BaseContasDRE[#All],4,FALSE)),"Fora do DRE",VLOOKUP(Base_Periodo1[[#This Row],[CONTA]],BaseContasDRE[#All],4,FALSE))</f>
        <v>Fora do DRE</v>
      </c>
      <c r="T4859" s="3" t="str">
        <f>IF(ISERROR(VLOOKUP(Base_Periodo1[[#This Row],[CONTA]],BaseContasDRE[#All],5,FALSE)),"Fora do DRE",VLOOKUP(Base_Periodo1[[#This Row],[CONTA]],BaseContasDRE[#All],6,FALSE))</f>
        <v>Fora do DRE</v>
      </c>
      <c r="U4859" s="3" t="str">
        <f>IF(ISERROR(VLOOKUP(Base_Periodo1[[#This Row],[CONTA]],BaseContasDRE[#All],7,FALSE)),"Fora do DRE",VLOOKUP(Base_Periodo1[[#This Row],[CONTA]],BaseContasDRE[#All],7,FALSE))</f>
        <v>Fora do DRE</v>
      </c>
      <c r="V4859" s="3" t="str">
        <f>IF(Base_Periodo1[[#This Row],[Tipo_Linha]]="Fora do DRE","Fora do DRE","( "&amp;Base_Periodo1[[#This Row],[Tipo_Linha]]&amp;" ) "&amp;Base_Periodo1[[#This Row],[Filtro]])</f>
        <v>Fora do DRE</v>
      </c>
      <c r="W4859" s="3" t="str">
        <f>LEFT(Base_Periodo1[[#This Row],[CLASS]],3)</f>
        <v>2.4</v>
      </c>
    </row>
    <row r="4860" spans="1:23" hidden="1">
      <c r="A4860" s="3" t="str">
        <f t="shared" si="75"/>
        <v>Período 1</v>
      </c>
      <c r="B4860">
        <v>19352</v>
      </c>
      <c r="C4860" t="s">
        <v>2300</v>
      </c>
      <c r="D4860" t="s">
        <v>2777</v>
      </c>
      <c r="E4860" s="3" t="str">
        <f>IF(LEN(Base_Periodo1[[#This Row],[CLASS]])&gt;=7,LEFT(Base_Periodo1[[#This Row],[CLASS]],7),"")</f>
        <v>2.4.1.1</v>
      </c>
      <c r="F4860" s="3" t="str">
        <f>VLOOKUP(Base_Periodo1[[#This Row],[Aux]],Base_Contas_Balanco[#All],2,FALSE)</f>
        <v>Capital Social Realizado</v>
      </c>
      <c r="G4860" s="1"/>
      <c r="H4860" s="225">
        <v>949.92</v>
      </c>
      <c r="I4860" s="225">
        <v>0</v>
      </c>
      <c r="J4860" s="225">
        <v>0</v>
      </c>
      <c r="K4860" s="225">
        <v>949.92</v>
      </c>
      <c r="L48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949.92</v>
      </c>
      <c r="M4860" s="225">
        <f>ROUND(IF(AND(Base_Periodo1[[#This Row],[Tipo_Linha]]="-",Base_Periodo1[[#This Row],[TIPOSALDO]]="D"),Base_Periodo1[[#This Row],[SALDO_ATUAL]]*-1,Base_Periodo1[[#This Row],[SALDO_ATUAL]]),4)</f>
        <v>949.92</v>
      </c>
      <c r="N4860" t="s">
        <v>116</v>
      </c>
      <c r="O4860" t="s">
        <v>459</v>
      </c>
      <c r="P4860" t="s">
        <v>459</v>
      </c>
      <c r="Q4860">
        <v>6</v>
      </c>
      <c r="R4860" s="225">
        <f>Base_Periodo1[[#This Row],[CREDITOS]]-Base_Periodo1[[#This Row],[DEBITOS]]</f>
        <v>0</v>
      </c>
      <c r="S4860" s="3" t="str">
        <f>IF(ISERROR(VLOOKUP(Base_Periodo1[[#This Row],[CONTA]],BaseContasDRE[#All],4,FALSE)),"Fora do DRE",VLOOKUP(Base_Periodo1[[#This Row],[CONTA]],BaseContasDRE[#All],4,FALSE))</f>
        <v>Fora do DRE</v>
      </c>
      <c r="T4860" s="3" t="str">
        <f>IF(ISERROR(VLOOKUP(Base_Periodo1[[#This Row],[CONTA]],BaseContasDRE[#All],5,FALSE)),"Fora do DRE",VLOOKUP(Base_Periodo1[[#This Row],[CONTA]],BaseContasDRE[#All],6,FALSE))</f>
        <v>Fora do DRE</v>
      </c>
      <c r="U4860" s="3" t="str">
        <f>IF(ISERROR(VLOOKUP(Base_Periodo1[[#This Row],[CONTA]],BaseContasDRE[#All],7,FALSE)),"Fora do DRE",VLOOKUP(Base_Periodo1[[#This Row],[CONTA]],BaseContasDRE[#All],7,FALSE))</f>
        <v>Fora do DRE</v>
      </c>
      <c r="V4860" s="3" t="str">
        <f>IF(Base_Periodo1[[#This Row],[Tipo_Linha]]="Fora do DRE","Fora do DRE","( "&amp;Base_Periodo1[[#This Row],[Tipo_Linha]]&amp;" ) "&amp;Base_Periodo1[[#This Row],[Filtro]])</f>
        <v>Fora do DRE</v>
      </c>
      <c r="W4860" s="3" t="str">
        <f>LEFT(Base_Periodo1[[#This Row],[CLASS]],3)</f>
        <v>2.4</v>
      </c>
    </row>
    <row r="4861" spans="1:23" hidden="1">
      <c r="A4861" s="3" t="str">
        <f t="shared" si="75"/>
        <v>Período 1</v>
      </c>
      <c r="B4861">
        <v>17743</v>
      </c>
      <c r="C4861" t="s">
        <v>2300</v>
      </c>
      <c r="D4861" t="s">
        <v>2778</v>
      </c>
      <c r="E4861" s="3" t="str">
        <f>IF(LEN(Base_Periodo1[[#This Row],[CLASS]])&gt;=7,LEFT(Base_Periodo1[[#This Row],[CLASS]],7),"")</f>
        <v>2.4.1.1</v>
      </c>
      <c r="F4861" s="3" t="str">
        <f>VLOOKUP(Base_Periodo1[[#This Row],[Aux]],Base_Contas_Balanco[#All],2,FALSE)</f>
        <v>Capital Social Realizado</v>
      </c>
      <c r="G4861" s="1"/>
      <c r="H4861" s="225">
        <v>977.91000000000008</v>
      </c>
      <c r="I4861" s="225">
        <v>0</v>
      </c>
      <c r="J4861" s="225">
        <v>0</v>
      </c>
      <c r="K4861" s="225">
        <v>977.91000000000008</v>
      </c>
      <c r="L48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977.91</v>
      </c>
      <c r="M4861" s="225">
        <f>ROUND(IF(AND(Base_Periodo1[[#This Row],[Tipo_Linha]]="-",Base_Periodo1[[#This Row],[TIPOSALDO]]="D"),Base_Periodo1[[#This Row],[SALDO_ATUAL]]*-1,Base_Periodo1[[#This Row],[SALDO_ATUAL]]),4)</f>
        <v>977.91</v>
      </c>
      <c r="N4861" t="s">
        <v>116</v>
      </c>
      <c r="O4861" t="s">
        <v>459</v>
      </c>
      <c r="P4861" t="s">
        <v>459</v>
      </c>
      <c r="Q4861">
        <v>6</v>
      </c>
      <c r="R4861" s="225">
        <f>Base_Periodo1[[#This Row],[CREDITOS]]-Base_Periodo1[[#This Row],[DEBITOS]]</f>
        <v>0</v>
      </c>
      <c r="S4861" s="3" t="str">
        <f>IF(ISERROR(VLOOKUP(Base_Periodo1[[#This Row],[CONTA]],BaseContasDRE[#All],4,FALSE)),"Fora do DRE",VLOOKUP(Base_Periodo1[[#This Row],[CONTA]],BaseContasDRE[#All],4,FALSE))</f>
        <v>Fora do DRE</v>
      </c>
      <c r="T4861" s="3" t="str">
        <f>IF(ISERROR(VLOOKUP(Base_Periodo1[[#This Row],[CONTA]],BaseContasDRE[#All],5,FALSE)),"Fora do DRE",VLOOKUP(Base_Periodo1[[#This Row],[CONTA]],BaseContasDRE[#All],6,FALSE))</f>
        <v>Fora do DRE</v>
      </c>
      <c r="U4861" s="3" t="str">
        <f>IF(ISERROR(VLOOKUP(Base_Periodo1[[#This Row],[CONTA]],BaseContasDRE[#All],7,FALSE)),"Fora do DRE",VLOOKUP(Base_Periodo1[[#This Row],[CONTA]],BaseContasDRE[#All],7,FALSE))</f>
        <v>Fora do DRE</v>
      </c>
      <c r="V4861" s="3" t="str">
        <f>IF(Base_Periodo1[[#This Row],[Tipo_Linha]]="Fora do DRE","Fora do DRE","( "&amp;Base_Periodo1[[#This Row],[Tipo_Linha]]&amp;" ) "&amp;Base_Periodo1[[#This Row],[Filtro]])</f>
        <v>Fora do DRE</v>
      </c>
      <c r="W4861" s="3" t="str">
        <f>LEFT(Base_Periodo1[[#This Row],[CLASS]],3)</f>
        <v>2.4</v>
      </c>
    </row>
    <row r="4862" spans="1:23" hidden="1">
      <c r="A4862" s="3" t="str">
        <f t="shared" si="75"/>
        <v>Período 1</v>
      </c>
      <c r="B4862">
        <v>16356</v>
      </c>
      <c r="C4862" t="s">
        <v>2300</v>
      </c>
      <c r="D4862" t="s">
        <v>2779</v>
      </c>
      <c r="E4862" s="3" t="str">
        <f>IF(LEN(Base_Periodo1[[#This Row],[CLASS]])&gt;=7,LEFT(Base_Periodo1[[#This Row],[CLASS]],7),"")</f>
        <v>2.4.1.1</v>
      </c>
      <c r="F4862" s="3" t="str">
        <f>VLOOKUP(Base_Periodo1[[#This Row],[Aux]],Base_Contas_Balanco[#All],2,FALSE)</f>
        <v>Capital Social Realizado</v>
      </c>
      <c r="G4862" s="1"/>
      <c r="H4862" s="225">
        <v>605.31999999999994</v>
      </c>
      <c r="I4862" s="225">
        <v>0</v>
      </c>
      <c r="J4862" s="225">
        <v>0</v>
      </c>
      <c r="K4862" s="225">
        <v>605.31999999999994</v>
      </c>
      <c r="L48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605.32000000000005</v>
      </c>
      <c r="M4862" s="225">
        <f>ROUND(IF(AND(Base_Periodo1[[#This Row],[Tipo_Linha]]="-",Base_Periodo1[[#This Row],[TIPOSALDO]]="D"),Base_Periodo1[[#This Row],[SALDO_ATUAL]]*-1,Base_Periodo1[[#This Row],[SALDO_ATUAL]]),4)</f>
        <v>605.32000000000005</v>
      </c>
      <c r="N4862" t="s">
        <v>116</v>
      </c>
      <c r="O4862" t="s">
        <v>459</v>
      </c>
      <c r="P4862" t="s">
        <v>459</v>
      </c>
      <c r="Q4862">
        <v>6</v>
      </c>
      <c r="R4862" s="225">
        <f>Base_Periodo1[[#This Row],[CREDITOS]]-Base_Periodo1[[#This Row],[DEBITOS]]</f>
        <v>0</v>
      </c>
      <c r="S4862" s="3" t="str">
        <f>IF(ISERROR(VLOOKUP(Base_Periodo1[[#This Row],[CONTA]],BaseContasDRE[#All],4,FALSE)),"Fora do DRE",VLOOKUP(Base_Periodo1[[#This Row],[CONTA]],BaseContasDRE[#All],4,FALSE))</f>
        <v>Fora do DRE</v>
      </c>
      <c r="T4862" s="3" t="str">
        <f>IF(ISERROR(VLOOKUP(Base_Periodo1[[#This Row],[CONTA]],BaseContasDRE[#All],5,FALSE)),"Fora do DRE",VLOOKUP(Base_Periodo1[[#This Row],[CONTA]],BaseContasDRE[#All],6,FALSE))</f>
        <v>Fora do DRE</v>
      </c>
      <c r="U4862" s="3" t="str">
        <f>IF(ISERROR(VLOOKUP(Base_Periodo1[[#This Row],[CONTA]],BaseContasDRE[#All],7,FALSE)),"Fora do DRE",VLOOKUP(Base_Periodo1[[#This Row],[CONTA]],BaseContasDRE[#All],7,FALSE))</f>
        <v>Fora do DRE</v>
      </c>
      <c r="V4862" s="3" t="str">
        <f>IF(Base_Periodo1[[#This Row],[Tipo_Linha]]="Fora do DRE","Fora do DRE","( "&amp;Base_Periodo1[[#This Row],[Tipo_Linha]]&amp;" ) "&amp;Base_Periodo1[[#This Row],[Filtro]])</f>
        <v>Fora do DRE</v>
      </c>
      <c r="W4862" s="3" t="str">
        <f>LEFT(Base_Periodo1[[#This Row],[CLASS]],3)</f>
        <v>2.4</v>
      </c>
    </row>
    <row r="4863" spans="1:23" hidden="1">
      <c r="A4863" s="3" t="str">
        <f t="shared" si="75"/>
        <v>Período 1</v>
      </c>
      <c r="B4863">
        <v>24627</v>
      </c>
      <c r="C4863" t="s">
        <v>2300</v>
      </c>
      <c r="D4863" t="s">
        <v>2780</v>
      </c>
      <c r="E4863" s="3" t="str">
        <f>IF(LEN(Base_Periodo1[[#This Row],[CLASS]])&gt;=7,LEFT(Base_Periodo1[[#This Row],[CLASS]],7),"")</f>
        <v>2.4.1.1</v>
      </c>
      <c r="F4863" s="3" t="str">
        <f>VLOOKUP(Base_Periodo1[[#This Row],[Aux]],Base_Contas_Balanco[#All],2,FALSE)</f>
        <v>Capital Social Realizado</v>
      </c>
      <c r="G4863" s="1"/>
      <c r="H4863" s="225">
        <v>580.19000000000005</v>
      </c>
      <c r="I4863" s="225">
        <v>0</v>
      </c>
      <c r="J4863" s="225">
        <v>0</v>
      </c>
      <c r="K4863" s="225">
        <v>580.19000000000005</v>
      </c>
      <c r="L48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580.19000000000005</v>
      </c>
      <c r="M4863" s="225">
        <f>ROUND(IF(AND(Base_Periodo1[[#This Row],[Tipo_Linha]]="-",Base_Periodo1[[#This Row],[TIPOSALDO]]="D"),Base_Periodo1[[#This Row],[SALDO_ATUAL]]*-1,Base_Periodo1[[#This Row],[SALDO_ATUAL]]),4)</f>
        <v>580.19000000000005</v>
      </c>
      <c r="N4863" t="s">
        <v>116</v>
      </c>
      <c r="O4863" t="s">
        <v>459</v>
      </c>
      <c r="P4863" t="s">
        <v>459</v>
      </c>
      <c r="Q4863">
        <v>6</v>
      </c>
      <c r="R4863" s="225">
        <f>Base_Periodo1[[#This Row],[CREDITOS]]-Base_Periodo1[[#This Row],[DEBITOS]]</f>
        <v>0</v>
      </c>
      <c r="S4863" s="3" t="str">
        <f>IF(ISERROR(VLOOKUP(Base_Periodo1[[#This Row],[CONTA]],BaseContasDRE[#All],4,FALSE)),"Fora do DRE",VLOOKUP(Base_Periodo1[[#This Row],[CONTA]],BaseContasDRE[#All],4,FALSE))</f>
        <v>Fora do DRE</v>
      </c>
      <c r="T4863" s="3" t="str">
        <f>IF(ISERROR(VLOOKUP(Base_Periodo1[[#This Row],[CONTA]],BaseContasDRE[#All],5,FALSE)),"Fora do DRE",VLOOKUP(Base_Periodo1[[#This Row],[CONTA]],BaseContasDRE[#All],6,FALSE))</f>
        <v>Fora do DRE</v>
      </c>
      <c r="U4863" s="3" t="str">
        <f>IF(ISERROR(VLOOKUP(Base_Periodo1[[#This Row],[CONTA]],BaseContasDRE[#All],7,FALSE)),"Fora do DRE",VLOOKUP(Base_Periodo1[[#This Row],[CONTA]],BaseContasDRE[#All],7,FALSE))</f>
        <v>Fora do DRE</v>
      </c>
      <c r="V4863" s="3" t="str">
        <f>IF(Base_Periodo1[[#This Row],[Tipo_Linha]]="Fora do DRE","Fora do DRE","( "&amp;Base_Periodo1[[#This Row],[Tipo_Linha]]&amp;" ) "&amp;Base_Periodo1[[#This Row],[Filtro]])</f>
        <v>Fora do DRE</v>
      </c>
      <c r="W4863" s="3" t="str">
        <f>LEFT(Base_Periodo1[[#This Row],[CLASS]],3)</f>
        <v>2.4</v>
      </c>
    </row>
    <row r="4864" spans="1:23" hidden="1">
      <c r="A4864" s="3" t="str">
        <f t="shared" si="75"/>
        <v>Período 1</v>
      </c>
      <c r="B4864">
        <v>29676</v>
      </c>
      <c r="C4864" t="s">
        <v>2300</v>
      </c>
      <c r="D4864" t="s">
        <v>2781</v>
      </c>
      <c r="E4864" s="3" t="str">
        <f>IF(LEN(Base_Periodo1[[#This Row],[CLASS]])&gt;=7,LEFT(Base_Periodo1[[#This Row],[CLASS]],7),"")</f>
        <v>2.4.1.1</v>
      </c>
      <c r="F4864" s="3" t="str">
        <f>VLOOKUP(Base_Periodo1[[#This Row],[Aux]],Base_Contas_Balanco[#All],2,FALSE)</f>
        <v>Capital Social Realizado</v>
      </c>
      <c r="G4864" s="1"/>
      <c r="H4864" s="225">
        <v>500</v>
      </c>
      <c r="I4864" s="225">
        <v>0</v>
      </c>
      <c r="J4864" s="225">
        <v>0</v>
      </c>
      <c r="K4864" s="225">
        <v>500</v>
      </c>
      <c r="L48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4864" s="225">
        <f>ROUND(IF(AND(Base_Periodo1[[#This Row],[Tipo_Linha]]="-",Base_Periodo1[[#This Row],[TIPOSALDO]]="D"),Base_Periodo1[[#This Row],[SALDO_ATUAL]]*-1,Base_Periodo1[[#This Row],[SALDO_ATUAL]]),4)</f>
        <v>500</v>
      </c>
      <c r="N4864" t="s">
        <v>116</v>
      </c>
      <c r="O4864" t="s">
        <v>459</v>
      </c>
      <c r="P4864" t="s">
        <v>459</v>
      </c>
      <c r="Q4864">
        <v>6</v>
      </c>
      <c r="R4864" s="225">
        <f>Base_Periodo1[[#This Row],[CREDITOS]]-Base_Periodo1[[#This Row],[DEBITOS]]</f>
        <v>0</v>
      </c>
      <c r="S4864" s="3" t="str">
        <f>IF(ISERROR(VLOOKUP(Base_Periodo1[[#This Row],[CONTA]],BaseContasDRE[#All],4,FALSE)),"Fora do DRE",VLOOKUP(Base_Periodo1[[#This Row],[CONTA]],BaseContasDRE[#All],4,FALSE))</f>
        <v>Fora do DRE</v>
      </c>
      <c r="T4864" s="3" t="str">
        <f>IF(ISERROR(VLOOKUP(Base_Periodo1[[#This Row],[CONTA]],BaseContasDRE[#All],5,FALSE)),"Fora do DRE",VLOOKUP(Base_Periodo1[[#This Row],[CONTA]],BaseContasDRE[#All],6,FALSE))</f>
        <v>Fora do DRE</v>
      </c>
      <c r="U4864" s="3" t="str">
        <f>IF(ISERROR(VLOOKUP(Base_Periodo1[[#This Row],[CONTA]],BaseContasDRE[#All],7,FALSE)),"Fora do DRE",VLOOKUP(Base_Periodo1[[#This Row],[CONTA]],BaseContasDRE[#All],7,FALSE))</f>
        <v>Fora do DRE</v>
      </c>
      <c r="V4864" s="3" t="str">
        <f>IF(Base_Periodo1[[#This Row],[Tipo_Linha]]="Fora do DRE","Fora do DRE","( "&amp;Base_Periodo1[[#This Row],[Tipo_Linha]]&amp;" ) "&amp;Base_Periodo1[[#This Row],[Filtro]])</f>
        <v>Fora do DRE</v>
      </c>
      <c r="W4864" s="3" t="str">
        <f>LEFT(Base_Periodo1[[#This Row],[CLASS]],3)</f>
        <v>2.4</v>
      </c>
    </row>
    <row r="4865" spans="1:23" hidden="1">
      <c r="A4865" s="3" t="str">
        <f t="shared" si="75"/>
        <v>Período 1</v>
      </c>
      <c r="B4865">
        <v>16103</v>
      </c>
      <c r="C4865" t="s">
        <v>2300</v>
      </c>
      <c r="D4865" t="s">
        <v>2782</v>
      </c>
      <c r="E4865" s="3" t="str">
        <f>IF(LEN(Base_Periodo1[[#This Row],[CLASS]])&gt;=7,LEFT(Base_Periodo1[[#This Row],[CLASS]],7),"")</f>
        <v>2.4.1.1</v>
      </c>
      <c r="F4865" s="3" t="str">
        <f>VLOOKUP(Base_Periodo1[[#This Row],[Aux]],Base_Contas_Balanco[#All],2,FALSE)</f>
        <v>Capital Social Realizado</v>
      </c>
      <c r="G4865" s="1"/>
      <c r="H4865" s="225">
        <v>2992.88</v>
      </c>
      <c r="I4865" s="225">
        <v>0</v>
      </c>
      <c r="J4865" s="225">
        <v>0</v>
      </c>
      <c r="K4865" s="225">
        <v>2992.88</v>
      </c>
      <c r="L48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2992.88</v>
      </c>
      <c r="M4865" s="225">
        <f>ROUND(IF(AND(Base_Periodo1[[#This Row],[Tipo_Linha]]="-",Base_Periodo1[[#This Row],[TIPOSALDO]]="D"),Base_Periodo1[[#This Row],[SALDO_ATUAL]]*-1,Base_Periodo1[[#This Row],[SALDO_ATUAL]]),4)</f>
        <v>2992.88</v>
      </c>
      <c r="N4865" t="s">
        <v>116</v>
      </c>
      <c r="O4865" t="s">
        <v>459</v>
      </c>
      <c r="P4865" t="s">
        <v>459</v>
      </c>
      <c r="Q4865">
        <v>6</v>
      </c>
      <c r="R4865" s="225">
        <f>Base_Periodo1[[#This Row],[CREDITOS]]-Base_Periodo1[[#This Row],[DEBITOS]]</f>
        <v>0</v>
      </c>
      <c r="S4865" s="3" t="str">
        <f>IF(ISERROR(VLOOKUP(Base_Periodo1[[#This Row],[CONTA]],BaseContasDRE[#All],4,FALSE)),"Fora do DRE",VLOOKUP(Base_Periodo1[[#This Row],[CONTA]],BaseContasDRE[#All],4,FALSE))</f>
        <v>Fora do DRE</v>
      </c>
      <c r="T4865" s="3" t="str">
        <f>IF(ISERROR(VLOOKUP(Base_Periodo1[[#This Row],[CONTA]],BaseContasDRE[#All],5,FALSE)),"Fora do DRE",VLOOKUP(Base_Periodo1[[#This Row],[CONTA]],BaseContasDRE[#All],6,FALSE))</f>
        <v>Fora do DRE</v>
      </c>
      <c r="U4865" s="3" t="str">
        <f>IF(ISERROR(VLOOKUP(Base_Periodo1[[#This Row],[CONTA]],BaseContasDRE[#All],7,FALSE)),"Fora do DRE",VLOOKUP(Base_Periodo1[[#This Row],[CONTA]],BaseContasDRE[#All],7,FALSE))</f>
        <v>Fora do DRE</v>
      </c>
      <c r="V4865" s="3" t="str">
        <f>IF(Base_Periodo1[[#This Row],[Tipo_Linha]]="Fora do DRE","Fora do DRE","( "&amp;Base_Periodo1[[#This Row],[Tipo_Linha]]&amp;" ) "&amp;Base_Periodo1[[#This Row],[Filtro]])</f>
        <v>Fora do DRE</v>
      </c>
      <c r="W4865" s="3" t="str">
        <f>LEFT(Base_Periodo1[[#This Row],[CLASS]],3)</f>
        <v>2.4</v>
      </c>
    </row>
    <row r="4866" spans="1:23" hidden="1">
      <c r="A4866" s="3" t="str">
        <f t="shared" si="75"/>
        <v>Período 1</v>
      </c>
      <c r="B4866">
        <v>36044</v>
      </c>
      <c r="C4866" t="s">
        <v>2300</v>
      </c>
      <c r="D4866" t="s">
        <v>2783</v>
      </c>
      <c r="E4866" s="3" t="str">
        <f>IF(LEN(Base_Periodo1[[#This Row],[CLASS]])&gt;=7,LEFT(Base_Periodo1[[#This Row],[CLASS]],7),"")</f>
        <v>2.4.1.1</v>
      </c>
      <c r="F4866" s="3" t="str">
        <f>VLOOKUP(Base_Periodo1[[#This Row],[Aux]],Base_Contas_Balanco[#All],2,FALSE)</f>
        <v>Capital Social Realizado</v>
      </c>
      <c r="G4866" s="1"/>
      <c r="H4866" s="225">
        <v>50</v>
      </c>
      <c r="I4866" s="225">
        <v>0</v>
      </c>
      <c r="J4866" s="225">
        <v>0</v>
      </c>
      <c r="K4866" s="225">
        <v>50</v>
      </c>
      <c r="L48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66" s="225">
        <f>ROUND(IF(AND(Base_Periodo1[[#This Row],[Tipo_Linha]]="-",Base_Periodo1[[#This Row],[TIPOSALDO]]="D"),Base_Periodo1[[#This Row],[SALDO_ATUAL]]*-1,Base_Periodo1[[#This Row],[SALDO_ATUAL]]),4)</f>
        <v>50</v>
      </c>
      <c r="N4866" t="s">
        <v>116</v>
      </c>
      <c r="O4866" t="s">
        <v>459</v>
      </c>
      <c r="P4866" t="s">
        <v>459</v>
      </c>
      <c r="Q4866">
        <v>6</v>
      </c>
      <c r="R4866" s="225">
        <f>Base_Periodo1[[#This Row],[CREDITOS]]-Base_Periodo1[[#This Row],[DEBITOS]]</f>
        <v>0</v>
      </c>
      <c r="S4866" s="3" t="str">
        <f>IF(ISERROR(VLOOKUP(Base_Periodo1[[#This Row],[CONTA]],BaseContasDRE[#All],4,FALSE)),"Fora do DRE",VLOOKUP(Base_Periodo1[[#This Row],[CONTA]],BaseContasDRE[#All],4,FALSE))</f>
        <v>Fora do DRE</v>
      </c>
      <c r="T4866" s="3" t="str">
        <f>IF(ISERROR(VLOOKUP(Base_Periodo1[[#This Row],[CONTA]],BaseContasDRE[#All],5,FALSE)),"Fora do DRE",VLOOKUP(Base_Periodo1[[#This Row],[CONTA]],BaseContasDRE[#All],6,FALSE))</f>
        <v>Fora do DRE</v>
      </c>
      <c r="U4866" s="3" t="str">
        <f>IF(ISERROR(VLOOKUP(Base_Periodo1[[#This Row],[CONTA]],BaseContasDRE[#All],7,FALSE)),"Fora do DRE",VLOOKUP(Base_Periodo1[[#This Row],[CONTA]],BaseContasDRE[#All],7,FALSE))</f>
        <v>Fora do DRE</v>
      </c>
      <c r="V4866" s="3" t="str">
        <f>IF(Base_Periodo1[[#This Row],[Tipo_Linha]]="Fora do DRE","Fora do DRE","( "&amp;Base_Periodo1[[#This Row],[Tipo_Linha]]&amp;" ) "&amp;Base_Periodo1[[#This Row],[Filtro]])</f>
        <v>Fora do DRE</v>
      </c>
      <c r="W4866" s="3" t="str">
        <f>LEFT(Base_Periodo1[[#This Row],[CLASS]],3)</f>
        <v>2.4</v>
      </c>
    </row>
    <row r="4867" spans="1:23" hidden="1">
      <c r="A4867" s="3" t="str">
        <f t="shared" si="75"/>
        <v>Período 1</v>
      </c>
      <c r="B4867">
        <v>16273</v>
      </c>
      <c r="C4867" t="s">
        <v>2300</v>
      </c>
      <c r="D4867" t="s">
        <v>2784</v>
      </c>
      <c r="E4867" s="3" t="str">
        <f>IF(LEN(Base_Periodo1[[#This Row],[CLASS]])&gt;=7,LEFT(Base_Periodo1[[#This Row],[CLASS]],7),"")</f>
        <v>2.4.1.1</v>
      </c>
      <c r="F4867" s="3" t="str">
        <f>VLOOKUP(Base_Periodo1[[#This Row],[Aux]],Base_Contas_Balanco[#All],2,FALSE)</f>
        <v>Capital Social Realizado</v>
      </c>
      <c r="G4867" s="1"/>
      <c r="H4867" s="225">
        <v>13614.79</v>
      </c>
      <c r="I4867" s="225">
        <v>0</v>
      </c>
      <c r="J4867" s="225">
        <v>0</v>
      </c>
      <c r="K4867" s="225">
        <v>13614.79</v>
      </c>
      <c r="L48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13614.79</v>
      </c>
      <c r="M4867" s="225">
        <f>ROUND(IF(AND(Base_Periodo1[[#This Row],[Tipo_Linha]]="-",Base_Periodo1[[#This Row],[TIPOSALDO]]="D"),Base_Periodo1[[#This Row],[SALDO_ATUAL]]*-1,Base_Periodo1[[#This Row],[SALDO_ATUAL]]),4)</f>
        <v>13614.79</v>
      </c>
      <c r="N4867" t="s">
        <v>116</v>
      </c>
      <c r="O4867" t="s">
        <v>459</v>
      </c>
      <c r="P4867" t="s">
        <v>459</v>
      </c>
      <c r="Q4867">
        <v>6</v>
      </c>
      <c r="R4867" s="225">
        <f>Base_Periodo1[[#This Row],[CREDITOS]]-Base_Periodo1[[#This Row],[DEBITOS]]</f>
        <v>0</v>
      </c>
      <c r="S4867" s="3" t="str">
        <f>IF(ISERROR(VLOOKUP(Base_Periodo1[[#This Row],[CONTA]],BaseContasDRE[#All],4,FALSE)),"Fora do DRE",VLOOKUP(Base_Periodo1[[#This Row],[CONTA]],BaseContasDRE[#All],4,FALSE))</f>
        <v>Fora do DRE</v>
      </c>
      <c r="T4867" s="3" t="str">
        <f>IF(ISERROR(VLOOKUP(Base_Periodo1[[#This Row],[CONTA]],BaseContasDRE[#All],5,FALSE)),"Fora do DRE",VLOOKUP(Base_Periodo1[[#This Row],[CONTA]],BaseContasDRE[#All],6,FALSE))</f>
        <v>Fora do DRE</v>
      </c>
      <c r="U4867" s="3" t="str">
        <f>IF(ISERROR(VLOOKUP(Base_Periodo1[[#This Row],[CONTA]],BaseContasDRE[#All],7,FALSE)),"Fora do DRE",VLOOKUP(Base_Periodo1[[#This Row],[CONTA]],BaseContasDRE[#All],7,FALSE))</f>
        <v>Fora do DRE</v>
      </c>
      <c r="V4867" s="3" t="str">
        <f>IF(Base_Periodo1[[#This Row],[Tipo_Linha]]="Fora do DRE","Fora do DRE","( "&amp;Base_Periodo1[[#This Row],[Tipo_Linha]]&amp;" ) "&amp;Base_Periodo1[[#This Row],[Filtro]])</f>
        <v>Fora do DRE</v>
      </c>
      <c r="W4867" s="3" t="str">
        <f>LEFT(Base_Periodo1[[#This Row],[CLASS]],3)</f>
        <v>2.4</v>
      </c>
    </row>
    <row r="4868" spans="1:23" hidden="1">
      <c r="A4868" s="3" t="str">
        <f t="shared" si="75"/>
        <v>Período 1</v>
      </c>
      <c r="B4868">
        <v>19353</v>
      </c>
      <c r="C4868" t="s">
        <v>2300</v>
      </c>
      <c r="D4868" t="s">
        <v>2785</v>
      </c>
      <c r="E4868" s="3" t="str">
        <f>IF(LEN(Base_Periodo1[[#This Row],[CLASS]])&gt;=7,LEFT(Base_Periodo1[[#This Row],[CLASS]],7),"")</f>
        <v>2.4.1.1</v>
      </c>
      <c r="F4868" s="3" t="str">
        <f>VLOOKUP(Base_Periodo1[[#This Row],[Aux]],Base_Contas_Balanco[#All],2,FALSE)</f>
        <v>Capital Social Realizado</v>
      </c>
      <c r="G4868" s="1"/>
      <c r="H4868" s="225">
        <v>943.33</v>
      </c>
      <c r="I4868" s="225">
        <v>0</v>
      </c>
      <c r="J4868" s="225">
        <v>0</v>
      </c>
      <c r="K4868" s="225">
        <v>943.33</v>
      </c>
      <c r="L48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943.33</v>
      </c>
      <c r="M4868" s="225">
        <f>ROUND(IF(AND(Base_Periodo1[[#This Row],[Tipo_Linha]]="-",Base_Periodo1[[#This Row],[TIPOSALDO]]="D"),Base_Periodo1[[#This Row],[SALDO_ATUAL]]*-1,Base_Periodo1[[#This Row],[SALDO_ATUAL]]),4)</f>
        <v>943.33</v>
      </c>
      <c r="N4868" t="s">
        <v>116</v>
      </c>
      <c r="O4868" t="s">
        <v>459</v>
      </c>
      <c r="P4868" t="s">
        <v>459</v>
      </c>
      <c r="Q4868">
        <v>6</v>
      </c>
      <c r="R4868" s="225">
        <f>Base_Periodo1[[#This Row],[CREDITOS]]-Base_Periodo1[[#This Row],[DEBITOS]]</f>
        <v>0</v>
      </c>
      <c r="S4868" s="3" t="str">
        <f>IF(ISERROR(VLOOKUP(Base_Periodo1[[#This Row],[CONTA]],BaseContasDRE[#All],4,FALSE)),"Fora do DRE",VLOOKUP(Base_Periodo1[[#This Row],[CONTA]],BaseContasDRE[#All],4,FALSE))</f>
        <v>Fora do DRE</v>
      </c>
      <c r="T4868" s="3" t="str">
        <f>IF(ISERROR(VLOOKUP(Base_Periodo1[[#This Row],[CONTA]],BaseContasDRE[#All],5,FALSE)),"Fora do DRE",VLOOKUP(Base_Periodo1[[#This Row],[CONTA]],BaseContasDRE[#All],6,FALSE))</f>
        <v>Fora do DRE</v>
      </c>
      <c r="U4868" s="3" t="str">
        <f>IF(ISERROR(VLOOKUP(Base_Periodo1[[#This Row],[CONTA]],BaseContasDRE[#All],7,FALSE)),"Fora do DRE",VLOOKUP(Base_Periodo1[[#This Row],[CONTA]],BaseContasDRE[#All],7,FALSE))</f>
        <v>Fora do DRE</v>
      </c>
      <c r="V4868" s="3" t="str">
        <f>IF(Base_Periodo1[[#This Row],[Tipo_Linha]]="Fora do DRE","Fora do DRE","( "&amp;Base_Periodo1[[#This Row],[Tipo_Linha]]&amp;" ) "&amp;Base_Periodo1[[#This Row],[Filtro]])</f>
        <v>Fora do DRE</v>
      </c>
      <c r="W4868" s="3" t="str">
        <f>LEFT(Base_Periodo1[[#This Row],[CLASS]],3)</f>
        <v>2.4</v>
      </c>
    </row>
    <row r="4869" spans="1:23" hidden="1">
      <c r="A4869" s="3" t="str">
        <f t="shared" si="75"/>
        <v>Período 1</v>
      </c>
      <c r="B4869">
        <v>47698</v>
      </c>
      <c r="C4869" t="s">
        <v>2300</v>
      </c>
      <c r="D4869" t="s">
        <v>2786</v>
      </c>
      <c r="E4869" s="3" t="str">
        <f>IF(LEN(Base_Periodo1[[#This Row],[CLASS]])&gt;=7,LEFT(Base_Periodo1[[#This Row],[CLASS]],7),"")</f>
        <v>2.4.1.1</v>
      </c>
      <c r="F4869" s="3" t="str">
        <f>VLOOKUP(Base_Periodo1[[#This Row],[Aux]],Base_Contas_Balanco[#All],2,FALSE)</f>
        <v>Capital Social Realizado</v>
      </c>
      <c r="G4869" s="1"/>
      <c r="H4869" s="225">
        <v>138.73000000000002</v>
      </c>
      <c r="I4869" s="225">
        <v>0</v>
      </c>
      <c r="J4869" s="225">
        <v>0</v>
      </c>
      <c r="K4869" s="225">
        <v>138.73000000000002</v>
      </c>
      <c r="L48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138.72999999999999</v>
      </c>
      <c r="M4869" s="225">
        <f>ROUND(IF(AND(Base_Periodo1[[#This Row],[Tipo_Linha]]="-",Base_Periodo1[[#This Row],[TIPOSALDO]]="D"),Base_Periodo1[[#This Row],[SALDO_ATUAL]]*-1,Base_Periodo1[[#This Row],[SALDO_ATUAL]]),4)</f>
        <v>138.72999999999999</v>
      </c>
      <c r="N4869" t="s">
        <v>116</v>
      </c>
      <c r="O4869" t="s">
        <v>459</v>
      </c>
      <c r="P4869" t="s">
        <v>459</v>
      </c>
      <c r="Q4869">
        <v>6</v>
      </c>
      <c r="R4869" s="225">
        <f>Base_Periodo1[[#This Row],[CREDITOS]]-Base_Periodo1[[#This Row],[DEBITOS]]</f>
        <v>0</v>
      </c>
      <c r="S4869" s="3" t="str">
        <f>IF(ISERROR(VLOOKUP(Base_Periodo1[[#This Row],[CONTA]],BaseContasDRE[#All],4,FALSE)),"Fora do DRE",VLOOKUP(Base_Periodo1[[#This Row],[CONTA]],BaseContasDRE[#All],4,FALSE))</f>
        <v>Fora do DRE</v>
      </c>
      <c r="T4869" s="3" t="str">
        <f>IF(ISERROR(VLOOKUP(Base_Periodo1[[#This Row],[CONTA]],BaseContasDRE[#All],5,FALSE)),"Fora do DRE",VLOOKUP(Base_Periodo1[[#This Row],[CONTA]],BaseContasDRE[#All],6,FALSE))</f>
        <v>Fora do DRE</v>
      </c>
      <c r="U4869" s="3" t="str">
        <f>IF(ISERROR(VLOOKUP(Base_Periodo1[[#This Row],[CONTA]],BaseContasDRE[#All],7,FALSE)),"Fora do DRE",VLOOKUP(Base_Periodo1[[#This Row],[CONTA]],BaseContasDRE[#All],7,FALSE))</f>
        <v>Fora do DRE</v>
      </c>
      <c r="V4869" s="3" t="str">
        <f>IF(Base_Periodo1[[#This Row],[Tipo_Linha]]="Fora do DRE","Fora do DRE","( "&amp;Base_Periodo1[[#This Row],[Tipo_Linha]]&amp;" ) "&amp;Base_Periodo1[[#This Row],[Filtro]])</f>
        <v>Fora do DRE</v>
      </c>
      <c r="W4869" s="3" t="str">
        <f>LEFT(Base_Periodo1[[#This Row],[CLASS]],3)</f>
        <v>2.4</v>
      </c>
    </row>
    <row r="4870" spans="1:23" hidden="1">
      <c r="A4870" s="3" t="str">
        <f t="shared" ref="A4870:A4933" si="76">"Período 1"</f>
        <v>Período 1</v>
      </c>
      <c r="B4870">
        <v>47693</v>
      </c>
      <c r="C4870" t="s">
        <v>2300</v>
      </c>
      <c r="D4870" t="s">
        <v>2787</v>
      </c>
      <c r="E4870" s="3" t="str">
        <f>IF(LEN(Base_Periodo1[[#This Row],[CLASS]])&gt;=7,LEFT(Base_Periodo1[[#This Row],[CLASS]],7),"")</f>
        <v>2.4.1.1</v>
      </c>
      <c r="F4870" s="3" t="str">
        <f>VLOOKUP(Base_Periodo1[[#This Row],[Aux]],Base_Contas_Balanco[#All],2,FALSE)</f>
        <v>Capital Social Realizado</v>
      </c>
      <c r="G4870" s="1"/>
      <c r="H4870" s="225">
        <v>169.32</v>
      </c>
      <c r="I4870" s="225">
        <v>0</v>
      </c>
      <c r="J4870" s="225">
        <v>0</v>
      </c>
      <c r="K4870" s="225">
        <v>169.32</v>
      </c>
      <c r="L48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169.32</v>
      </c>
      <c r="M4870" s="225">
        <f>ROUND(IF(AND(Base_Periodo1[[#This Row],[Tipo_Linha]]="-",Base_Periodo1[[#This Row],[TIPOSALDO]]="D"),Base_Periodo1[[#This Row],[SALDO_ATUAL]]*-1,Base_Periodo1[[#This Row],[SALDO_ATUAL]]),4)</f>
        <v>169.32</v>
      </c>
      <c r="N4870" t="s">
        <v>116</v>
      </c>
      <c r="O4870" t="s">
        <v>459</v>
      </c>
      <c r="P4870" t="s">
        <v>459</v>
      </c>
      <c r="Q4870">
        <v>6</v>
      </c>
      <c r="R4870" s="225">
        <f>Base_Periodo1[[#This Row],[CREDITOS]]-Base_Periodo1[[#This Row],[DEBITOS]]</f>
        <v>0</v>
      </c>
      <c r="S4870" s="3" t="str">
        <f>IF(ISERROR(VLOOKUP(Base_Periodo1[[#This Row],[CONTA]],BaseContasDRE[#All],4,FALSE)),"Fora do DRE",VLOOKUP(Base_Periodo1[[#This Row],[CONTA]],BaseContasDRE[#All],4,FALSE))</f>
        <v>Fora do DRE</v>
      </c>
      <c r="T4870" s="3" t="str">
        <f>IF(ISERROR(VLOOKUP(Base_Periodo1[[#This Row],[CONTA]],BaseContasDRE[#All],5,FALSE)),"Fora do DRE",VLOOKUP(Base_Periodo1[[#This Row],[CONTA]],BaseContasDRE[#All],6,FALSE))</f>
        <v>Fora do DRE</v>
      </c>
      <c r="U4870" s="3" t="str">
        <f>IF(ISERROR(VLOOKUP(Base_Periodo1[[#This Row],[CONTA]],BaseContasDRE[#All],7,FALSE)),"Fora do DRE",VLOOKUP(Base_Periodo1[[#This Row],[CONTA]],BaseContasDRE[#All],7,FALSE))</f>
        <v>Fora do DRE</v>
      </c>
      <c r="V4870" s="3" t="str">
        <f>IF(Base_Periodo1[[#This Row],[Tipo_Linha]]="Fora do DRE","Fora do DRE","( "&amp;Base_Periodo1[[#This Row],[Tipo_Linha]]&amp;" ) "&amp;Base_Periodo1[[#This Row],[Filtro]])</f>
        <v>Fora do DRE</v>
      </c>
      <c r="W4870" s="3" t="str">
        <f>LEFT(Base_Periodo1[[#This Row],[CLASS]],3)</f>
        <v>2.4</v>
      </c>
    </row>
    <row r="4871" spans="1:23" hidden="1">
      <c r="A4871" s="3" t="str">
        <f t="shared" si="76"/>
        <v>Período 1</v>
      </c>
      <c r="B4871">
        <v>16217</v>
      </c>
      <c r="C4871" t="s">
        <v>2300</v>
      </c>
      <c r="D4871" t="s">
        <v>2788</v>
      </c>
      <c r="E4871" s="3" t="str">
        <f>IF(LEN(Base_Periodo1[[#This Row],[CLASS]])&gt;=7,LEFT(Base_Periodo1[[#This Row],[CLASS]],7),"")</f>
        <v>2.4.1.1</v>
      </c>
      <c r="F4871" s="3" t="str">
        <f>VLOOKUP(Base_Periodo1[[#This Row],[Aux]],Base_Contas_Balanco[#All],2,FALSE)</f>
        <v>Capital Social Realizado</v>
      </c>
      <c r="G4871" s="1"/>
      <c r="H4871" s="225">
        <v>7524.7499999999991</v>
      </c>
      <c r="I4871" s="225">
        <v>0</v>
      </c>
      <c r="J4871" s="225">
        <v>0</v>
      </c>
      <c r="K4871" s="225">
        <v>7524.7499999999991</v>
      </c>
      <c r="L48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7524.75</v>
      </c>
      <c r="M4871" s="225">
        <f>ROUND(IF(AND(Base_Periodo1[[#This Row],[Tipo_Linha]]="-",Base_Periodo1[[#This Row],[TIPOSALDO]]="D"),Base_Periodo1[[#This Row],[SALDO_ATUAL]]*-1,Base_Periodo1[[#This Row],[SALDO_ATUAL]]),4)</f>
        <v>7524.75</v>
      </c>
      <c r="N4871" t="s">
        <v>116</v>
      </c>
      <c r="O4871" t="s">
        <v>459</v>
      </c>
      <c r="P4871" t="s">
        <v>459</v>
      </c>
      <c r="Q4871">
        <v>6</v>
      </c>
      <c r="R4871" s="225">
        <f>Base_Periodo1[[#This Row],[CREDITOS]]-Base_Periodo1[[#This Row],[DEBITOS]]</f>
        <v>0</v>
      </c>
      <c r="S4871" s="3" t="str">
        <f>IF(ISERROR(VLOOKUP(Base_Periodo1[[#This Row],[CONTA]],BaseContasDRE[#All],4,FALSE)),"Fora do DRE",VLOOKUP(Base_Periodo1[[#This Row],[CONTA]],BaseContasDRE[#All],4,FALSE))</f>
        <v>Fora do DRE</v>
      </c>
      <c r="T4871" s="3" t="str">
        <f>IF(ISERROR(VLOOKUP(Base_Periodo1[[#This Row],[CONTA]],BaseContasDRE[#All],5,FALSE)),"Fora do DRE",VLOOKUP(Base_Periodo1[[#This Row],[CONTA]],BaseContasDRE[#All],6,FALSE))</f>
        <v>Fora do DRE</v>
      </c>
      <c r="U4871" s="3" t="str">
        <f>IF(ISERROR(VLOOKUP(Base_Periodo1[[#This Row],[CONTA]],BaseContasDRE[#All],7,FALSE)),"Fora do DRE",VLOOKUP(Base_Periodo1[[#This Row],[CONTA]],BaseContasDRE[#All],7,FALSE))</f>
        <v>Fora do DRE</v>
      </c>
      <c r="V4871" s="3" t="str">
        <f>IF(Base_Periodo1[[#This Row],[Tipo_Linha]]="Fora do DRE","Fora do DRE","( "&amp;Base_Periodo1[[#This Row],[Tipo_Linha]]&amp;" ) "&amp;Base_Periodo1[[#This Row],[Filtro]])</f>
        <v>Fora do DRE</v>
      </c>
      <c r="W4871" s="3" t="str">
        <f>LEFT(Base_Periodo1[[#This Row],[CLASS]],3)</f>
        <v>2.4</v>
      </c>
    </row>
    <row r="4872" spans="1:23" hidden="1">
      <c r="A4872" s="3" t="str">
        <f t="shared" si="76"/>
        <v>Período 1</v>
      </c>
      <c r="B4872">
        <v>16296</v>
      </c>
      <c r="C4872" t="s">
        <v>2300</v>
      </c>
      <c r="D4872" t="s">
        <v>2789</v>
      </c>
      <c r="E4872" s="3" t="str">
        <f>IF(LEN(Base_Periodo1[[#This Row],[CLASS]])&gt;=7,LEFT(Base_Periodo1[[#This Row],[CLASS]],7),"")</f>
        <v>2.4.1.1</v>
      </c>
      <c r="F4872" s="3" t="str">
        <f>VLOOKUP(Base_Periodo1[[#This Row],[Aux]],Base_Contas_Balanco[#All],2,FALSE)</f>
        <v>Capital Social Realizado</v>
      </c>
      <c r="G4872" s="1"/>
      <c r="H4872" s="225">
        <v>2270.94</v>
      </c>
      <c r="I4872" s="225">
        <v>0</v>
      </c>
      <c r="J4872" s="225">
        <v>0</v>
      </c>
      <c r="K4872" s="225">
        <v>2270.94</v>
      </c>
      <c r="L48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2270.94</v>
      </c>
      <c r="M4872" s="225">
        <f>ROUND(IF(AND(Base_Periodo1[[#This Row],[Tipo_Linha]]="-",Base_Periodo1[[#This Row],[TIPOSALDO]]="D"),Base_Periodo1[[#This Row],[SALDO_ATUAL]]*-1,Base_Periodo1[[#This Row],[SALDO_ATUAL]]),4)</f>
        <v>2270.94</v>
      </c>
      <c r="N4872" t="s">
        <v>116</v>
      </c>
      <c r="O4872" t="s">
        <v>459</v>
      </c>
      <c r="P4872" t="s">
        <v>459</v>
      </c>
      <c r="Q4872">
        <v>6</v>
      </c>
      <c r="R4872" s="225">
        <f>Base_Periodo1[[#This Row],[CREDITOS]]-Base_Periodo1[[#This Row],[DEBITOS]]</f>
        <v>0</v>
      </c>
      <c r="S4872" s="3" t="str">
        <f>IF(ISERROR(VLOOKUP(Base_Periodo1[[#This Row],[CONTA]],BaseContasDRE[#All],4,FALSE)),"Fora do DRE",VLOOKUP(Base_Periodo1[[#This Row],[CONTA]],BaseContasDRE[#All],4,FALSE))</f>
        <v>Fora do DRE</v>
      </c>
      <c r="T4872" s="3" t="str">
        <f>IF(ISERROR(VLOOKUP(Base_Periodo1[[#This Row],[CONTA]],BaseContasDRE[#All],5,FALSE)),"Fora do DRE",VLOOKUP(Base_Periodo1[[#This Row],[CONTA]],BaseContasDRE[#All],6,FALSE))</f>
        <v>Fora do DRE</v>
      </c>
      <c r="U4872" s="3" t="str">
        <f>IF(ISERROR(VLOOKUP(Base_Periodo1[[#This Row],[CONTA]],BaseContasDRE[#All],7,FALSE)),"Fora do DRE",VLOOKUP(Base_Periodo1[[#This Row],[CONTA]],BaseContasDRE[#All],7,FALSE))</f>
        <v>Fora do DRE</v>
      </c>
      <c r="V4872" s="3" t="str">
        <f>IF(Base_Periodo1[[#This Row],[Tipo_Linha]]="Fora do DRE","Fora do DRE","( "&amp;Base_Periodo1[[#This Row],[Tipo_Linha]]&amp;" ) "&amp;Base_Periodo1[[#This Row],[Filtro]])</f>
        <v>Fora do DRE</v>
      </c>
      <c r="W4872" s="3" t="str">
        <f>LEFT(Base_Periodo1[[#This Row],[CLASS]],3)</f>
        <v>2.4</v>
      </c>
    </row>
    <row r="4873" spans="1:23" hidden="1">
      <c r="A4873" s="3" t="str">
        <f t="shared" si="76"/>
        <v>Período 1</v>
      </c>
      <c r="B4873">
        <v>25663</v>
      </c>
      <c r="C4873" t="s">
        <v>2300</v>
      </c>
      <c r="D4873" t="s">
        <v>2790</v>
      </c>
      <c r="E4873" s="3" t="str">
        <f>IF(LEN(Base_Periodo1[[#This Row],[CLASS]])&gt;=7,LEFT(Base_Periodo1[[#This Row],[CLASS]],7),"")</f>
        <v>2.4.1.1</v>
      </c>
      <c r="F4873" s="3" t="str">
        <f>VLOOKUP(Base_Periodo1[[#This Row],[Aux]],Base_Contas_Balanco[#All],2,FALSE)</f>
        <v>Capital Social Realizado</v>
      </c>
      <c r="G4873" s="1"/>
      <c r="H4873" s="225">
        <v>50</v>
      </c>
      <c r="I4873" s="225">
        <v>0</v>
      </c>
      <c r="J4873" s="225">
        <v>0</v>
      </c>
      <c r="K4873" s="225">
        <v>50</v>
      </c>
      <c r="L48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73" s="225">
        <f>ROUND(IF(AND(Base_Periodo1[[#This Row],[Tipo_Linha]]="-",Base_Periodo1[[#This Row],[TIPOSALDO]]="D"),Base_Periodo1[[#This Row],[SALDO_ATUAL]]*-1,Base_Periodo1[[#This Row],[SALDO_ATUAL]]),4)</f>
        <v>50</v>
      </c>
      <c r="N4873" t="s">
        <v>116</v>
      </c>
      <c r="O4873" t="s">
        <v>459</v>
      </c>
      <c r="P4873" t="s">
        <v>459</v>
      </c>
      <c r="Q4873">
        <v>6</v>
      </c>
      <c r="R4873" s="225">
        <f>Base_Periodo1[[#This Row],[CREDITOS]]-Base_Periodo1[[#This Row],[DEBITOS]]</f>
        <v>0</v>
      </c>
      <c r="S4873" s="3" t="str">
        <f>IF(ISERROR(VLOOKUP(Base_Periodo1[[#This Row],[CONTA]],BaseContasDRE[#All],4,FALSE)),"Fora do DRE",VLOOKUP(Base_Periodo1[[#This Row],[CONTA]],BaseContasDRE[#All],4,FALSE))</f>
        <v>Fora do DRE</v>
      </c>
      <c r="T4873" s="3" t="str">
        <f>IF(ISERROR(VLOOKUP(Base_Periodo1[[#This Row],[CONTA]],BaseContasDRE[#All],5,FALSE)),"Fora do DRE",VLOOKUP(Base_Periodo1[[#This Row],[CONTA]],BaseContasDRE[#All],6,FALSE))</f>
        <v>Fora do DRE</v>
      </c>
      <c r="U4873" s="3" t="str">
        <f>IF(ISERROR(VLOOKUP(Base_Periodo1[[#This Row],[CONTA]],BaseContasDRE[#All],7,FALSE)),"Fora do DRE",VLOOKUP(Base_Periodo1[[#This Row],[CONTA]],BaseContasDRE[#All],7,FALSE))</f>
        <v>Fora do DRE</v>
      </c>
      <c r="V4873" s="3" t="str">
        <f>IF(Base_Periodo1[[#This Row],[Tipo_Linha]]="Fora do DRE","Fora do DRE","( "&amp;Base_Periodo1[[#This Row],[Tipo_Linha]]&amp;" ) "&amp;Base_Periodo1[[#This Row],[Filtro]])</f>
        <v>Fora do DRE</v>
      </c>
      <c r="W4873" s="3" t="str">
        <f>LEFT(Base_Periodo1[[#This Row],[CLASS]],3)</f>
        <v>2.4</v>
      </c>
    </row>
    <row r="4874" spans="1:23" hidden="1">
      <c r="A4874" s="3" t="str">
        <f t="shared" si="76"/>
        <v>Período 1</v>
      </c>
      <c r="B4874">
        <v>25649</v>
      </c>
      <c r="C4874" t="s">
        <v>2300</v>
      </c>
      <c r="D4874" t="s">
        <v>2791</v>
      </c>
      <c r="E4874" s="3" t="str">
        <f>IF(LEN(Base_Periodo1[[#This Row],[CLASS]])&gt;=7,LEFT(Base_Periodo1[[#This Row],[CLASS]],7),"")</f>
        <v>2.4.1.1</v>
      </c>
      <c r="F4874" s="3" t="str">
        <f>VLOOKUP(Base_Periodo1[[#This Row],[Aux]],Base_Contas_Balanco[#All],2,FALSE)</f>
        <v>Capital Social Realizado</v>
      </c>
      <c r="G4874" s="1"/>
      <c r="H4874" s="225">
        <v>50</v>
      </c>
      <c r="I4874" s="225">
        <v>0</v>
      </c>
      <c r="J4874" s="225">
        <v>0</v>
      </c>
      <c r="K4874" s="225">
        <v>50</v>
      </c>
      <c r="L48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74" s="225">
        <f>ROUND(IF(AND(Base_Periodo1[[#This Row],[Tipo_Linha]]="-",Base_Periodo1[[#This Row],[TIPOSALDO]]="D"),Base_Periodo1[[#This Row],[SALDO_ATUAL]]*-1,Base_Periodo1[[#This Row],[SALDO_ATUAL]]),4)</f>
        <v>50</v>
      </c>
      <c r="N4874" t="s">
        <v>116</v>
      </c>
      <c r="O4874" t="s">
        <v>459</v>
      </c>
      <c r="P4874" t="s">
        <v>459</v>
      </c>
      <c r="Q4874">
        <v>6</v>
      </c>
      <c r="R4874" s="225">
        <f>Base_Periodo1[[#This Row],[CREDITOS]]-Base_Periodo1[[#This Row],[DEBITOS]]</f>
        <v>0</v>
      </c>
      <c r="S4874" s="3" t="str">
        <f>IF(ISERROR(VLOOKUP(Base_Periodo1[[#This Row],[CONTA]],BaseContasDRE[#All],4,FALSE)),"Fora do DRE",VLOOKUP(Base_Periodo1[[#This Row],[CONTA]],BaseContasDRE[#All],4,FALSE))</f>
        <v>Fora do DRE</v>
      </c>
      <c r="T4874" s="3" t="str">
        <f>IF(ISERROR(VLOOKUP(Base_Periodo1[[#This Row],[CONTA]],BaseContasDRE[#All],5,FALSE)),"Fora do DRE",VLOOKUP(Base_Periodo1[[#This Row],[CONTA]],BaseContasDRE[#All],6,FALSE))</f>
        <v>Fora do DRE</v>
      </c>
      <c r="U4874" s="3" t="str">
        <f>IF(ISERROR(VLOOKUP(Base_Periodo1[[#This Row],[CONTA]],BaseContasDRE[#All],7,FALSE)),"Fora do DRE",VLOOKUP(Base_Periodo1[[#This Row],[CONTA]],BaseContasDRE[#All],7,FALSE))</f>
        <v>Fora do DRE</v>
      </c>
      <c r="V4874" s="3" t="str">
        <f>IF(Base_Periodo1[[#This Row],[Tipo_Linha]]="Fora do DRE","Fora do DRE","( "&amp;Base_Periodo1[[#This Row],[Tipo_Linha]]&amp;" ) "&amp;Base_Periodo1[[#This Row],[Filtro]])</f>
        <v>Fora do DRE</v>
      </c>
      <c r="W4874" s="3" t="str">
        <f>LEFT(Base_Periodo1[[#This Row],[CLASS]],3)</f>
        <v>2.4</v>
      </c>
    </row>
    <row r="4875" spans="1:23" hidden="1">
      <c r="A4875" s="3" t="str">
        <f t="shared" si="76"/>
        <v>Período 1</v>
      </c>
      <c r="B4875">
        <v>16056</v>
      </c>
      <c r="C4875" t="s">
        <v>2300</v>
      </c>
      <c r="D4875" t="s">
        <v>2792</v>
      </c>
      <c r="E4875" s="3" t="str">
        <f>IF(LEN(Base_Periodo1[[#This Row],[CLASS]])&gt;=7,LEFT(Base_Periodo1[[#This Row],[CLASS]],7),"")</f>
        <v>2.4.1.1</v>
      </c>
      <c r="F4875" s="3" t="str">
        <f>VLOOKUP(Base_Periodo1[[#This Row],[Aux]],Base_Contas_Balanco[#All],2,FALSE)</f>
        <v>Capital Social Realizado</v>
      </c>
      <c r="G4875" s="1"/>
      <c r="H4875" s="225">
        <v>5334.27</v>
      </c>
      <c r="I4875" s="225">
        <v>0</v>
      </c>
      <c r="J4875" s="225">
        <v>0</v>
      </c>
      <c r="K4875" s="225">
        <v>5334.27</v>
      </c>
      <c r="L48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5334.27</v>
      </c>
      <c r="M4875" s="225">
        <f>ROUND(IF(AND(Base_Periodo1[[#This Row],[Tipo_Linha]]="-",Base_Periodo1[[#This Row],[TIPOSALDO]]="D"),Base_Periodo1[[#This Row],[SALDO_ATUAL]]*-1,Base_Periodo1[[#This Row],[SALDO_ATUAL]]),4)</f>
        <v>5334.27</v>
      </c>
      <c r="N4875" t="s">
        <v>116</v>
      </c>
      <c r="O4875" t="s">
        <v>459</v>
      </c>
      <c r="P4875" t="s">
        <v>459</v>
      </c>
      <c r="Q4875">
        <v>6</v>
      </c>
      <c r="R4875" s="225">
        <f>Base_Periodo1[[#This Row],[CREDITOS]]-Base_Periodo1[[#This Row],[DEBITOS]]</f>
        <v>0</v>
      </c>
      <c r="S4875" s="3" t="str">
        <f>IF(ISERROR(VLOOKUP(Base_Periodo1[[#This Row],[CONTA]],BaseContasDRE[#All],4,FALSE)),"Fora do DRE",VLOOKUP(Base_Periodo1[[#This Row],[CONTA]],BaseContasDRE[#All],4,FALSE))</f>
        <v>Fora do DRE</v>
      </c>
      <c r="T4875" s="3" t="str">
        <f>IF(ISERROR(VLOOKUP(Base_Periodo1[[#This Row],[CONTA]],BaseContasDRE[#All],5,FALSE)),"Fora do DRE",VLOOKUP(Base_Periodo1[[#This Row],[CONTA]],BaseContasDRE[#All],6,FALSE))</f>
        <v>Fora do DRE</v>
      </c>
      <c r="U4875" s="3" t="str">
        <f>IF(ISERROR(VLOOKUP(Base_Periodo1[[#This Row],[CONTA]],BaseContasDRE[#All],7,FALSE)),"Fora do DRE",VLOOKUP(Base_Periodo1[[#This Row],[CONTA]],BaseContasDRE[#All],7,FALSE))</f>
        <v>Fora do DRE</v>
      </c>
      <c r="V4875" s="3" t="str">
        <f>IF(Base_Periodo1[[#This Row],[Tipo_Linha]]="Fora do DRE","Fora do DRE","( "&amp;Base_Periodo1[[#This Row],[Tipo_Linha]]&amp;" ) "&amp;Base_Periodo1[[#This Row],[Filtro]])</f>
        <v>Fora do DRE</v>
      </c>
      <c r="W4875" s="3" t="str">
        <f>LEFT(Base_Periodo1[[#This Row],[CLASS]],3)</f>
        <v>2.4</v>
      </c>
    </row>
    <row r="4876" spans="1:23" hidden="1">
      <c r="A4876" s="3" t="str">
        <f t="shared" si="76"/>
        <v>Período 1</v>
      </c>
      <c r="B4876">
        <v>37126</v>
      </c>
      <c r="C4876" t="s">
        <v>2300</v>
      </c>
      <c r="D4876" t="s">
        <v>2793</v>
      </c>
      <c r="E4876" s="3" t="str">
        <f>IF(LEN(Base_Periodo1[[#This Row],[CLASS]])&gt;=7,LEFT(Base_Periodo1[[#This Row],[CLASS]],7),"")</f>
        <v>2.4.1.1</v>
      </c>
      <c r="F4876" s="3" t="str">
        <f>VLOOKUP(Base_Periodo1[[#This Row],[Aux]],Base_Contas_Balanco[#All],2,FALSE)</f>
        <v>Capital Social Realizado</v>
      </c>
      <c r="G4876" s="1"/>
      <c r="H4876" s="225">
        <v>114.46</v>
      </c>
      <c r="I4876" s="225">
        <v>0</v>
      </c>
      <c r="J4876" s="225">
        <v>0</v>
      </c>
      <c r="K4876" s="225">
        <v>114.46</v>
      </c>
      <c r="L48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114.46</v>
      </c>
      <c r="M4876" s="225">
        <f>ROUND(IF(AND(Base_Periodo1[[#This Row],[Tipo_Linha]]="-",Base_Periodo1[[#This Row],[TIPOSALDO]]="D"),Base_Periodo1[[#This Row],[SALDO_ATUAL]]*-1,Base_Periodo1[[#This Row],[SALDO_ATUAL]]),4)</f>
        <v>114.46</v>
      </c>
      <c r="N4876" t="s">
        <v>116</v>
      </c>
      <c r="O4876" t="s">
        <v>459</v>
      </c>
      <c r="P4876" t="s">
        <v>459</v>
      </c>
      <c r="Q4876">
        <v>6</v>
      </c>
      <c r="R4876" s="225">
        <f>Base_Periodo1[[#This Row],[CREDITOS]]-Base_Periodo1[[#This Row],[DEBITOS]]</f>
        <v>0</v>
      </c>
      <c r="S4876" s="3" t="str">
        <f>IF(ISERROR(VLOOKUP(Base_Periodo1[[#This Row],[CONTA]],BaseContasDRE[#All],4,FALSE)),"Fora do DRE",VLOOKUP(Base_Periodo1[[#This Row],[CONTA]],BaseContasDRE[#All],4,FALSE))</f>
        <v>Fora do DRE</v>
      </c>
      <c r="T4876" s="3" t="str">
        <f>IF(ISERROR(VLOOKUP(Base_Periodo1[[#This Row],[CONTA]],BaseContasDRE[#All],5,FALSE)),"Fora do DRE",VLOOKUP(Base_Periodo1[[#This Row],[CONTA]],BaseContasDRE[#All],6,FALSE))</f>
        <v>Fora do DRE</v>
      </c>
      <c r="U4876" s="3" t="str">
        <f>IF(ISERROR(VLOOKUP(Base_Periodo1[[#This Row],[CONTA]],BaseContasDRE[#All],7,FALSE)),"Fora do DRE",VLOOKUP(Base_Periodo1[[#This Row],[CONTA]],BaseContasDRE[#All],7,FALSE))</f>
        <v>Fora do DRE</v>
      </c>
      <c r="V4876" s="3" t="str">
        <f>IF(Base_Periodo1[[#This Row],[Tipo_Linha]]="Fora do DRE","Fora do DRE","( "&amp;Base_Periodo1[[#This Row],[Tipo_Linha]]&amp;" ) "&amp;Base_Periodo1[[#This Row],[Filtro]])</f>
        <v>Fora do DRE</v>
      </c>
      <c r="W4876" s="3" t="str">
        <f>LEFT(Base_Periodo1[[#This Row],[CLASS]],3)</f>
        <v>2.4</v>
      </c>
    </row>
    <row r="4877" spans="1:23" hidden="1">
      <c r="A4877" s="3" t="str">
        <f t="shared" si="76"/>
        <v>Período 1</v>
      </c>
      <c r="B4877">
        <v>16178</v>
      </c>
      <c r="C4877" t="s">
        <v>2300</v>
      </c>
      <c r="D4877" t="s">
        <v>2794</v>
      </c>
      <c r="E4877" s="3" t="str">
        <f>IF(LEN(Base_Periodo1[[#This Row],[CLASS]])&gt;=7,LEFT(Base_Periodo1[[#This Row],[CLASS]],7),"")</f>
        <v>2.4.1.1</v>
      </c>
      <c r="F4877" s="3" t="str">
        <f>VLOOKUP(Base_Periodo1[[#This Row],[Aux]],Base_Contas_Balanco[#All],2,FALSE)</f>
        <v>Capital Social Realizado</v>
      </c>
      <c r="G4877" s="1"/>
      <c r="H4877" s="225">
        <v>1543.6</v>
      </c>
      <c r="I4877" s="225">
        <v>0</v>
      </c>
      <c r="J4877" s="225">
        <v>0</v>
      </c>
      <c r="K4877" s="225">
        <v>1543.6</v>
      </c>
      <c r="L48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1543.6</v>
      </c>
      <c r="M4877" s="225">
        <f>ROUND(IF(AND(Base_Periodo1[[#This Row],[Tipo_Linha]]="-",Base_Periodo1[[#This Row],[TIPOSALDO]]="D"),Base_Periodo1[[#This Row],[SALDO_ATUAL]]*-1,Base_Periodo1[[#This Row],[SALDO_ATUAL]]),4)</f>
        <v>1543.6</v>
      </c>
      <c r="N4877" t="s">
        <v>116</v>
      </c>
      <c r="O4877" t="s">
        <v>459</v>
      </c>
      <c r="P4877" t="s">
        <v>459</v>
      </c>
      <c r="Q4877">
        <v>6</v>
      </c>
      <c r="R4877" s="225">
        <f>Base_Periodo1[[#This Row],[CREDITOS]]-Base_Periodo1[[#This Row],[DEBITOS]]</f>
        <v>0</v>
      </c>
      <c r="S4877" s="3" t="str">
        <f>IF(ISERROR(VLOOKUP(Base_Periodo1[[#This Row],[CONTA]],BaseContasDRE[#All],4,FALSE)),"Fora do DRE",VLOOKUP(Base_Periodo1[[#This Row],[CONTA]],BaseContasDRE[#All],4,FALSE))</f>
        <v>Fora do DRE</v>
      </c>
      <c r="T4877" s="3" t="str">
        <f>IF(ISERROR(VLOOKUP(Base_Periodo1[[#This Row],[CONTA]],BaseContasDRE[#All],5,FALSE)),"Fora do DRE",VLOOKUP(Base_Periodo1[[#This Row],[CONTA]],BaseContasDRE[#All],6,FALSE))</f>
        <v>Fora do DRE</v>
      </c>
      <c r="U4877" s="3" t="str">
        <f>IF(ISERROR(VLOOKUP(Base_Periodo1[[#This Row],[CONTA]],BaseContasDRE[#All],7,FALSE)),"Fora do DRE",VLOOKUP(Base_Periodo1[[#This Row],[CONTA]],BaseContasDRE[#All],7,FALSE))</f>
        <v>Fora do DRE</v>
      </c>
      <c r="V4877" s="3" t="str">
        <f>IF(Base_Periodo1[[#This Row],[Tipo_Linha]]="Fora do DRE","Fora do DRE","( "&amp;Base_Periodo1[[#This Row],[Tipo_Linha]]&amp;" ) "&amp;Base_Periodo1[[#This Row],[Filtro]])</f>
        <v>Fora do DRE</v>
      </c>
      <c r="W4877" s="3" t="str">
        <f>LEFT(Base_Periodo1[[#This Row],[CLASS]],3)</f>
        <v>2.4</v>
      </c>
    </row>
    <row r="4878" spans="1:23" hidden="1">
      <c r="A4878" s="3" t="str">
        <f t="shared" si="76"/>
        <v>Período 1</v>
      </c>
      <c r="B4878">
        <v>19327</v>
      </c>
      <c r="C4878" t="s">
        <v>2300</v>
      </c>
      <c r="D4878" t="s">
        <v>2795</v>
      </c>
      <c r="E4878" s="3" t="str">
        <f>IF(LEN(Base_Periodo1[[#This Row],[CLASS]])&gt;=7,LEFT(Base_Periodo1[[#This Row],[CLASS]],7),"")</f>
        <v>2.4.1.1</v>
      </c>
      <c r="F4878" s="3" t="str">
        <f>VLOOKUP(Base_Periodo1[[#This Row],[Aux]],Base_Contas_Balanco[#All],2,FALSE)</f>
        <v>Capital Social Realizado</v>
      </c>
      <c r="G4878" s="1"/>
      <c r="H4878" s="225">
        <v>673.35</v>
      </c>
      <c r="I4878" s="225">
        <v>0</v>
      </c>
      <c r="J4878" s="225">
        <v>0</v>
      </c>
      <c r="K4878" s="225">
        <v>673.35</v>
      </c>
      <c r="L48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673.35</v>
      </c>
      <c r="M4878" s="225">
        <f>ROUND(IF(AND(Base_Periodo1[[#This Row],[Tipo_Linha]]="-",Base_Periodo1[[#This Row],[TIPOSALDO]]="D"),Base_Periodo1[[#This Row],[SALDO_ATUAL]]*-1,Base_Periodo1[[#This Row],[SALDO_ATUAL]]),4)</f>
        <v>673.35</v>
      </c>
      <c r="N4878" t="s">
        <v>116</v>
      </c>
      <c r="O4878" t="s">
        <v>459</v>
      </c>
      <c r="P4878" t="s">
        <v>459</v>
      </c>
      <c r="Q4878">
        <v>6</v>
      </c>
      <c r="R4878" s="225">
        <f>Base_Periodo1[[#This Row],[CREDITOS]]-Base_Periodo1[[#This Row],[DEBITOS]]</f>
        <v>0</v>
      </c>
      <c r="S4878" s="3" t="str">
        <f>IF(ISERROR(VLOOKUP(Base_Periodo1[[#This Row],[CONTA]],BaseContasDRE[#All],4,FALSE)),"Fora do DRE",VLOOKUP(Base_Periodo1[[#This Row],[CONTA]],BaseContasDRE[#All],4,FALSE))</f>
        <v>Fora do DRE</v>
      </c>
      <c r="T4878" s="3" t="str">
        <f>IF(ISERROR(VLOOKUP(Base_Periodo1[[#This Row],[CONTA]],BaseContasDRE[#All],5,FALSE)),"Fora do DRE",VLOOKUP(Base_Periodo1[[#This Row],[CONTA]],BaseContasDRE[#All],6,FALSE))</f>
        <v>Fora do DRE</v>
      </c>
      <c r="U4878" s="3" t="str">
        <f>IF(ISERROR(VLOOKUP(Base_Periodo1[[#This Row],[CONTA]],BaseContasDRE[#All],7,FALSE)),"Fora do DRE",VLOOKUP(Base_Periodo1[[#This Row],[CONTA]],BaseContasDRE[#All],7,FALSE))</f>
        <v>Fora do DRE</v>
      </c>
      <c r="V4878" s="3" t="str">
        <f>IF(Base_Periodo1[[#This Row],[Tipo_Linha]]="Fora do DRE","Fora do DRE","( "&amp;Base_Periodo1[[#This Row],[Tipo_Linha]]&amp;" ) "&amp;Base_Periodo1[[#This Row],[Filtro]])</f>
        <v>Fora do DRE</v>
      </c>
      <c r="W4878" s="3" t="str">
        <f>LEFT(Base_Periodo1[[#This Row],[CLASS]],3)</f>
        <v>2.4</v>
      </c>
    </row>
    <row r="4879" spans="1:23" hidden="1">
      <c r="A4879" s="3" t="str">
        <f t="shared" si="76"/>
        <v>Período 1</v>
      </c>
      <c r="B4879">
        <v>15920</v>
      </c>
      <c r="C4879" t="s">
        <v>2300</v>
      </c>
      <c r="D4879" t="s">
        <v>2796</v>
      </c>
      <c r="E4879" s="3" t="str">
        <f>IF(LEN(Base_Periodo1[[#This Row],[CLASS]])&gt;=7,LEFT(Base_Periodo1[[#This Row],[CLASS]],7),"")</f>
        <v>2.4.1.1</v>
      </c>
      <c r="F4879" s="3" t="str">
        <f>VLOOKUP(Base_Periodo1[[#This Row],[Aux]],Base_Contas_Balanco[#All],2,FALSE)</f>
        <v>Capital Social Realizado</v>
      </c>
      <c r="G4879" s="1"/>
      <c r="H4879" s="225">
        <v>12731.669999999998</v>
      </c>
      <c r="I4879" s="225">
        <v>0</v>
      </c>
      <c r="J4879" s="225">
        <v>0</v>
      </c>
      <c r="K4879" s="225">
        <v>12731.669999999998</v>
      </c>
      <c r="L48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12731.67</v>
      </c>
      <c r="M4879" s="225">
        <f>ROUND(IF(AND(Base_Periodo1[[#This Row],[Tipo_Linha]]="-",Base_Periodo1[[#This Row],[TIPOSALDO]]="D"),Base_Periodo1[[#This Row],[SALDO_ATUAL]]*-1,Base_Periodo1[[#This Row],[SALDO_ATUAL]]),4)</f>
        <v>12731.67</v>
      </c>
      <c r="N4879" t="s">
        <v>116</v>
      </c>
      <c r="O4879" t="s">
        <v>459</v>
      </c>
      <c r="P4879" t="s">
        <v>459</v>
      </c>
      <c r="Q4879">
        <v>6</v>
      </c>
      <c r="R4879" s="225">
        <f>Base_Periodo1[[#This Row],[CREDITOS]]-Base_Periodo1[[#This Row],[DEBITOS]]</f>
        <v>0</v>
      </c>
      <c r="S4879" s="3" t="str">
        <f>IF(ISERROR(VLOOKUP(Base_Periodo1[[#This Row],[CONTA]],BaseContasDRE[#All],4,FALSE)),"Fora do DRE",VLOOKUP(Base_Periodo1[[#This Row],[CONTA]],BaseContasDRE[#All],4,FALSE))</f>
        <v>Fora do DRE</v>
      </c>
      <c r="T4879" s="3" t="str">
        <f>IF(ISERROR(VLOOKUP(Base_Periodo1[[#This Row],[CONTA]],BaseContasDRE[#All],5,FALSE)),"Fora do DRE",VLOOKUP(Base_Periodo1[[#This Row],[CONTA]],BaseContasDRE[#All],6,FALSE))</f>
        <v>Fora do DRE</v>
      </c>
      <c r="U4879" s="3" t="str">
        <f>IF(ISERROR(VLOOKUP(Base_Periodo1[[#This Row],[CONTA]],BaseContasDRE[#All],7,FALSE)),"Fora do DRE",VLOOKUP(Base_Periodo1[[#This Row],[CONTA]],BaseContasDRE[#All],7,FALSE))</f>
        <v>Fora do DRE</v>
      </c>
      <c r="V4879" s="3" t="str">
        <f>IF(Base_Periodo1[[#This Row],[Tipo_Linha]]="Fora do DRE","Fora do DRE","( "&amp;Base_Periodo1[[#This Row],[Tipo_Linha]]&amp;" ) "&amp;Base_Periodo1[[#This Row],[Filtro]])</f>
        <v>Fora do DRE</v>
      </c>
      <c r="W4879" s="3" t="str">
        <f>LEFT(Base_Periodo1[[#This Row],[CLASS]],3)</f>
        <v>2.4</v>
      </c>
    </row>
    <row r="4880" spans="1:23" hidden="1">
      <c r="A4880" s="3" t="str">
        <f t="shared" si="76"/>
        <v>Período 1</v>
      </c>
      <c r="B4880">
        <v>39775</v>
      </c>
      <c r="C4880" t="s">
        <v>2300</v>
      </c>
      <c r="D4880" t="s">
        <v>2797</v>
      </c>
      <c r="E4880" s="3" t="str">
        <f>IF(LEN(Base_Periodo1[[#This Row],[CLASS]])&gt;=7,LEFT(Base_Periodo1[[#This Row],[CLASS]],7),"")</f>
        <v>2.4.1.1</v>
      </c>
      <c r="F4880" s="3" t="str">
        <f>VLOOKUP(Base_Periodo1[[#This Row],[Aux]],Base_Contas_Balanco[#All],2,FALSE)</f>
        <v>Capital Social Realizado</v>
      </c>
      <c r="G4880" s="1"/>
      <c r="H4880" s="225">
        <v>226.04</v>
      </c>
      <c r="I4880" s="225">
        <v>0</v>
      </c>
      <c r="J4880" s="225">
        <v>0</v>
      </c>
      <c r="K4880" s="225">
        <v>226.04</v>
      </c>
      <c r="L48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226.04</v>
      </c>
      <c r="M4880" s="225">
        <f>ROUND(IF(AND(Base_Periodo1[[#This Row],[Tipo_Linha]]="-",Base_Periodo1[[#This Row],[TIPOSALDO]]="D"),Base_Periodo1[[#This Row],[SALDO_ATUAL]]*-1,Base_Periodo1[[#This Row],[SALDO_ATUAL]]),4)</f>
        <v>226.04</v>
      </c>
      <c r="N4880" t="s">
        <v>116</v>
      </c>
      <c r="O4880" t="s">
        <v>459</v>
      </c>
      <c r="P4880" t="s">
        <v>459</v>
      </c>
      <c r="Q4880">
        <v>6</v>
      </c>
      <c r="R4880" s="225">
        <f>Base_Periodo1[[#This Row],[CREDITOS]]-Base_Periodo1[[#This Row],[DEBITOS]]</f>
        <v>0</v>
      </c>
      <c r="S4880" s="3" t="str">
        <f>IF(ISERROR(VLOOKUP(Base_Periodo1[[#This Row],[CONTA]],BaseContasDRE[#All],4,FALSE)),"Fora do DRE",VLOOKUP(Base_Periodo1[[#This Row],[CONTA]],BaseContasDRE[#All],4,FALSE))</f>
        <v>Fora do DRE</v>
      </c>
      <c r="T4880" s="3" t="str">
        <f>IF(ISERROR(VLOOKUP(Base_Periodo1[[#This Row],[CONTA]],BaseContasDRE[#All],5,FALSE)),"Fora do DRE",VLOOKUP(Base_Periodo1[[#This Row],[CONTA]],BaseContasDRE[#All],6,FALSE))</f>
        <v>Fora do DRE</v>
      </c>
      <c r="U4880" s="3" t="str">
        <f>IF(ISERROR(VLOOKUP(Base_Periodo1[[#This Row],[CONTA]],BaseContasDRE[#All],7,FALSE)),"Fora do DRE",VLOOKUP(Base_Periodo1[[#This Row],[CONTA]],BaseContasDRE[#All],7,FALSE))</f>
        <v>Fora do DRE</v>
      </c>
      <c r="V4880" s="3" t="str">
        <f>IF(Base_Periodo1[[#This Row],[Tipo_Linha]]="Fora do DRE","Fora do DRE","( "&amp;Base_Periodo1[[#This Row],[Tipo_Linha]]&amp;" ) "&amp;Base_Periodo1[[#This Row],[Filtro]])</f>
        <v>Fora do DRE</v>
      </c>
      <c r="W4880" s="3" t="str">
        <f>LEFT(Base_Periodo1[[#This Row],[CLASS]],3)</f>
        <v>2.4</v>
      </c>
    </row>
    <row r="4881" spans="1:23" hidden="1">
      <c r="A4881" s="3" t="str">
        <f t="shared" si="76"/>
        <v>Período 1</v>
      </c>
      <c r="B4881">
        <v>19342</v>
      </c>
      <c r="C4881" t="s">
        <v>2300</v>
      </c>
      <c r="D4881" t="s">
        <v>2798</v>
      </c>
      <c r="E4881" s="3" t="str">
        <f>IF(LEN(Base_Periodo1[[#This Row],[CLASS]])&gt;=7,LEFT(Base_Periodo1[[#This Row],[CLASS]],7),"")</f>
        <v>2.4.1.1</v>
      </c>
      <c r="F4881" s="3" t="str">
        <f>VLOOKUP(Base_Periodo1[[#This Row],[Aux]],Base_Contas_Balanco[#All],2,FALSE)</f>
        <v>Capital Social Realizado</v>
      </c>
      <c r="G4881" s="1"/>
      <c r="H4881" s="225">
        <v>2266.61</v>
      </c>
      <c r="I4881" s="225">
        <v>0</v>
      </c>
      <c r="J4881" s="225">
        <v>0</v>
      </c>
      <c r="K4881" s="225">
        <v>2266.61</v>
      </c>
      <c r="L48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2266.61</v>
      </c>
      <c r="M4881" s="225">
        <f>ROUND(IF(AND(Base_Periodo1[[#This Row],[Tipo_Linha]]="-",Base_Periodo1[[#This Row],[TIPOSALDO]]="D"),Base_Periodo1[[#This Row],[SALDO_ATUAL]]*-1,Base_Periodo1[[#This Row],[SALDO_ATUAL]]),4)</f>
        <v>2266.61</v>
      </c>
      <c r="N4881" t="s">
        <v>116</v>
      </c>
      <c r="O4881" t="s">
        <v>459</v>
      </c>
      <c r="P4881" t="s">
        <v>459</v>
      </c>
      <c r="Q4881">
        <v>6</v>
      </c>
      <c r="R4881" s="225">
        <f>Base_Periodo1[[#This Row],[CREDITOS]]-Base_Periodo1[[#This Row],[DEBITOS]]</f>
        <v>0</v>
      </c>
      <c r="S4881" s="3" t="str">
        <f>IF(ISERROR(VLOOKUP(Base_Periodo1[[#This Row],[CONTA]],BaseContasDRE[#All],4,FALSE)),"Fora do DRE",VLOOKUP(Base_Periodo1[[#This Row],[CONTA]],BaseContasDRE[#All],4,FALSE))</f>
        <v>Fora do DRE</v>
      </c>
      <c r="T4881" s="3" t="str">
        <f>IF(ISERROR(VLOOKUP(Base_Periodo1[[#This Row],[CONTA]],BaseContasDRE[#All],5,FALSE)),"Fora do DRE",VLOOKUP(Base_Periodo1[[#This Row],[CONTA]],BaseContasDRE[#All],6,FALSE))</f>
        <v>Fora do DRE</v>
      </c>
      <c r="U4881" s="3" t="str">
        <f>IF(ISERROR(VLOOKUP(Base_Periodo1[[#This Row],[CONTA]],BaseContasDRE[#All],7,FALSE)),"Fora do DRE",VLOOKUP(Base_Periodo1[[#This Row],[CONTA]],BaseContasDRE[#All],7,FALSE))</f>
        <v>Fora do DRE</v>
      </c>
      <c r="V4881" s="3" t="str">
        <f>IF(Base_Periodo1[[#This Row],[Tipo_Linha]]="Fora do DRE","Fora do DRE","( "&amp;Base_Periodo1[[#This Row],[Tipo_Linha]]&amp;" ) "&amp;Base_Periodo1[[#This Row],[Filtro]])</f>
        <v>Fora do DRE</v>
      </c>
      <c r="W4881" s="3" t="str">
        <f>LEFT(Base_Periodo1[[#This Row],[CLASS]],3)</f>
        <v>2.4</v>
      </c>
    </row>
    <row r="4882" spans="1:23" hidden="1">
      <c r="A4882" s="3" t="str">
        <f t="shared" si="76"/>
        <v>Período 1</v>
      </c>
      <c r="B4882">
        <v>24609</v>
      </c>
      <c r="C4882" t="s">
        <v>2300</v>
      </c>
      <c r="D4882" t="s">
        <v>2799</v>
      </c>
      <c r="E4882" s="3" t="str">
        <f>IF(LEN(Base_Periodo1[[#This Row],[CLASS]])&gt;=7,LEFT(Base_Periodo1[[#This Row],[CLASS]],7),"")</f>
        <v>2.4.1.1</v>
      </c>
      <c r="F4882" s="3" t="str">
        <f>VLOOKUP(Base_Periodo1[[#This Row],[Aux]],Base_Contas_Balanco[#All],2,FALSE)</f>
        <v>Capital Social Realizado</v>
      </c>
      <c r="G4882" s="1"/>
      <c r="H4882" s="225">
        <v>380</v>
      </c>
      <c r="I4882" s="225">
        <v>0</v>
      </c>
      <c r="J4882" s="225">
        <v>0</v>
      </c>
      <c r="K4882" s="225">
        <v>380</v>
      </c>
      <c r="L48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380</v>
      </c>
      <c r="M4882" s="225">
        <f>ROUND(IF(AND(Base_Periodo1[[#This Row],[Tipo_Linha]]="-",Base_Periodo1[[#This Row],[TIPOSALDO]]="D"),Base_Periodo1[[#This Row],[SALDO_ATUAL]]*-1,Base_Periodo1[[#This Row],[SALDO_ATUAL]]),4)</f>
        <v>380</v>
      </c>
      <c r="N4882" t="s">
        <v>116</v>
      </c>
      <c r="O4882" t="s">
        <v>459</v>
      </c>
      <c r="P4882" t="s">
        <v>459</v>
      </c>
      <c r="Q4882">
        <v>6</v>
      </c>
      <c r="R4882" s="225">
        <f>Base_Periodo1[[#This Row],[CREDITOS]]-Base_Periodo1[[#This Row],[DEBITOS]]</f>
        <v>0</v>
      </c>
      <c r="S4882" s="3" t="str">
        <f>IF(ISERROR(VLOOKUP(Base_Periodo1[[#This Row],[CONTA]],BaseContasDRE[#All],4,FALSE)),"Fora do DRE",VLOOKUP(Base_Periodo1[[#This Row],[CONTA]],BaseContasDRE[#All],4,FALSE))</f>
        <v>Fora do DRE</v>
      </c>
      <c r="T4882" s="3" t="str">
        <f>IF(ISERROR(VLOOKUP(Base_Periodo1[[#This Row],[CONTA]],BaseContasDRE[#All],5,FALSE)),"Fora do DRE",VLOOKUP(Base_Periodo1[[#This Row],[CONTA]],BaseContasDRE[#All],6,FALSE))</f>
        <v>Fora do DRE</v>
      </c>
      <c r="U4882" s="3" t="str">
        <f>IF(ISERROR(VLOOKUP(Base_Periodo1[[#This Row],[CONTA]],BaseContasDRE[#All],7,FALSE)),"Fora do DRE",VLOOKUP(Base_Periodo1[[#This Row],[CONTA]],BaseContasDRE[#All],7,FALSE))</f>
        <v>Fora do DRE</v>
      </c>
      <c r="V4882" s="3" t="str">
        <f>IF(Base_Periodo1[[#This Row],[Tipo_Linha]]="Fora do DRE","Fora do DRE","( "&amp;Base_Periodo1[[#This Row],[Tipo_Linha]]&amp;" ) "&amp;Base_Periodo1[[#This Row],[Filtro]])</f>
        <v>Fora do DRE</v>
      </c>
      <c r="W4882" s="3" t="str">
        <f>LEFT(Base_Periodo1[[#This Row],[CLASS]],3)</f>
        <v>2.4</v>
      </c>
    </row>
    <row r="4883" spans="1:23" hidden="1">
      <c r="A4883" s="3" t="str">
        <f t="shared" si="76"/>
        <v>Período 1</v>
      </c>
      <c r="B4883">
        <v>24626</v>
      </c>
      <c r="C4883" t="s">
        <v>2300</v>
      </c>
      <c r="D4883" t="s">
        <v>2800</v>
      </c>
      <c r="E4883" s="3" t="str">
        <f>IF(LEN(Base_Periodo1[[#This Row],[CLASS]])&gt;=7,LEFT(Base_Periodo1[[#This Row],[CLASS]],7),"")</f>
        <v>2.4.1.1</v>
      </c>
      <c r="F4883" s="3" t="str">
        <f>VLOOKUP(Base_Periodo1[[#This Row],[Aux]],Base_Contas_Balanco[#All],2,FALSE)</f>
        <v>Capital Social Realizado</v>
      </c>
      <c r="G4883" s="1"/>
      <c r="H4883" s="225">
        <v>382.65</v>
      </c>
      <c r="I4883" s="225">
        <v>0</v>
      </c>
      <c r="J4883" s="225">
        <v>0</v>
      </c>
      <c r="K4883" s="225">
        <v>382.65</v>
      </c>
      <c r="L48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382.65</v>
      </c>
      <c r="M4883" s="225">
        <f>ROUND(IF(AND(Base_Periodo1[[#This Row],[Tipo_Linha]]="-",Base_Periodo1[[#This Row],[TIPOSALDO]]="D"),Base_Periodo1[[#This Row],[SALDO_ATUAL]]*-1,Base_Periodo1[[#This Row],[SALDO_ATUAL]]),4)</f>
        <v>382.65</v>
      </c>
      <c r="N4883" t="s">
        <v>116</v>
      </c>
      <c r="O4883" t="s">
        <v>459</v>
      </c>
      <c r="P4883" t="s">
        <v>459</v>
      </c>
      <c r="Q4883">
        <v>6</v>
      </c>
      <c r="R4883" s="225">
        <f>Base_Periodo1[[#This Row],[CREDITOS]]-Base_Periodo1[[#This Row],[DEBITOS]]</f>
        <v>0</v>
      </c>
      <c r="S4883" s="3" t="str">
        <f>IF(ISERROR(VLOOKUP(Base_Periodo1[[#This Row],[CONTA]],BaseContasDRE[#All],4,FALSE)),"Fora do DRE",VLOOKUP(Base_Periodo1[[#This Row],[CONTA]],BaseContasDRE[#All],4,FALSE))</f>
        <v>Fora do DRE</v>
      </c>
      <c r="T4883" s="3" t="str">
        <f>IF(ISERROR(VLOOKUP(Base_Periodo1[[#This Row],[CONTA]],BaseContasDRE[#All],5,FALSE)),"Fora do DRE",VLOOKUP(Base_Periodo1[[#This Row],[CONTA]],BaseContasDRE[#All],6,FALSE))</f>
        <v>Fora do DRE</v>
      </c>
      <c r="U4883" s="3" t="str">
        <f>IF(ISERROR(VLOOKUP(Base_Periodo1[[#This Row],[CONTA]],BaseContasDRE[#All],7,FALSE)),"Fora do DRE",VLOOKUP(Base_Periodo1[[#This Row],[CONTA]],BaseContasDRE[#All],7,FALSE))</f>
        <v>Fora do DRE</v>
      </c>
      <c r="V4883" s="3" t="str">
        <f>IF(Base_Periodo1[[#This Row],[Tipo_Linha]]="Fora do DRE","Fora do DRE","( "&amp;Base_Periodo1[[#This Row],[Tipo_Linha]]&amp;" ) "&amp;Base_Periodo1[[#This Row],[Filtro]])</f>
        <v>Fora do DRE</v>
      </c>
      <c r="W4883" s="3" t="str">
        <f>LEFT(Base_Periodo1[[#This Row],[CLASS]],3)</f>
        <v>2.4</v>
      </c>
    </row>
    <row r="4884" spans="1:23" hidden="1">
      <c r="A4884" s="3" t="str">
        <f t="shared" si="76"/>
        <v>Período 1</v>
      </c>
      <c r="B4884">
        <v>39312</v>
      </c>
      <c r="C4884" t="s">
        <v>2300</v>
      </c>
      <c r="D4884" t="s">
        <v>2801</v>
      </c>
      <c r="E4884" s="3" t="str">
        <f>IF(LEN(Base_Periodo1[[#This Row],[CLASS]])&gt;=7,LEFT(Base_Periodo1[[#This Row],[CLASS]],7),"")</f>
        <v>2.4.1.1</v>
      </c>
      <c r="F4884" s="3" t="str">
        <f>VLOOKUP(Base_Periodo1[[#This Row],[Aux]],Base_Contas_Balanco[#All],2,FALSE)</f>
        <v>Capital Social Realizado</v>
      </c>
      <c r="G4884" s="1"/>
      <c r="H4884" s="225">
        <v>76.17</v>
      </c>
      <c r="I4884" s="225">
        <v>0</v>
      </c>
      <c r="J4884" s="225">
        <v>0</v>
      </c>
      <c r="K4884" s="225">
        <v>76.17</v>
      </c>
      <c r="L48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76.17</v>
      </c>
      <c r="M4884" s="225">
        <f>ROUND(IF(AND(Base_Periodo1[[#This Row],[Tipo_Linha]]="-",Base_Periodo1[[#This Row],[TIPOSALDO]]="D"),Base_Periodo1[[#This Row],[SALDO_ATUAL]]*-1,Base_Periodo1[[#This Row],[SALDO_ATUAL]]),4)</f>
        <v>76.17</v>
      </c>
      <c r="N4884" t="s">
        <v>116</v>
      </c>
      <c r="O4884" t="s">
        <v>459</v>
      </c>
      <c r="P4884" t="s">
        <v>459</v>
      </c>
      <c r="Q4884">
        <v>6</v>
      </c>
      <c r="R4884" s="225">
        <f>Base_Periodo1[[#This Row],[CREDITOS]]-Base_Periodo1[[#This Row],[DEBITOS]]</f>
        <v>0</v>
      </c>
      <c r="S4884" s="3" t="str">
        <f>IF(ISERROR(VLOOKUP(Base_Periodo1[[#This Row],[CONTA]],BaseContasDRE[#All],4,FALSE)),"Fora do DRE",VLOOKUP(Base_Periodo1[[#This Row],[CONTA]],BaseContasDRE[#All],4,FALSE))</f>
        <v>Fora do DRE</v>
      </c>
      <c r="T4884" s="3" t="str">
        <f>IF(ISERROR(VLOOKUP(Base_Periodo1[[#This Row],[CONTA]],BaseContasDRE[#All],5,FALSE)),"Fora do DRE",VLOOKUP(Base_Periodo1[[#This Row],[CONTA]],BaseContasDRE[#All],6,FALSE))</f>
        <v>Fora do DRE</v>
      </c>
      <c r="U4884" s="3" t="str">
        <f>IF(ISERROR(VLOOKUP(Base_Periodo1[[#This Row],[CONTA]],BaseContasDRE[#All],7,FALSE)),"Fora do DRE",VLOOKUP(Base_Periodo1[[#This Row],[CONTA]],BaseContasDRE[#All],7,FALSE))</f>
        <v>Fora do DRE</v>
      </c>
      <c r="V4884" s="3" t="str">
        <f>IF(Base_Periodo1[[#This Row],[Tipo_Linha]]="Fora do DRE","Fora do DRE","( "&amp;Base_Periodo1[[#This Row],[Tipo_Linha]]&amp;" ) "&amp;Base_Periodo1[[#This Row],[Filtro]])</f>
        <v>Fora do DRE</v>
      </c>
      <c r="W4884" s="3" t="str">
        <f>LEFT(Base_Periodo1[[#This Row],[CLASS]],3)</f>
        <v>2.4</v>
      </c>
    </row>
    <row r="4885" spans="1:23" hidden="1">
      <c r="A4885" s="3" t="str">
        <f t="shared" si="76"/>
        <v>Período 1</v>
      </c>
      <c r="B4885">
        <v>47850</v>
      </c>
      <c r="C4885" t="s">
        <v>2300</v>
      </c>
      <c r="D4885" t="s">
        <v>2802</v>
      </c>
      <c r="E4885" s="3" t="str">
        <f>IF(LEN(Base_Periodo1[[#This Row],[CLASS]])&gt;=7,LEFT(Base_Periodo1[[#This Row],[CLASS]],7),"")</f>
        <v>2.4.1.1</v>
      </c>
      <c r="F4885" s="3" t="str">
        <f>VLOOKUP(Base_Periodo1[[#This Row],[Aux]],Base_Contas_Balanco[#All],2,FALSE)</f>
        <v>Capital Social Realizado</v>
      </c>
      <c r="G4885" s="1"/>
      <c r="H4885" s="225">
        <v>57.76</v>
      </c>
      <c r="I4885" s="225">
        <v>0</v>
      </c>
      <c r="J4885" s="225">
        <v>0</v>
      </c>
      <c r="K4885" s="225">
        <v>57.76</v>
      </c>
      <c r="L48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57.76</v>
      </c>
      <c r="M4885" s="225">
        <f>ROUND(IF(AND(Base_Periodo1[[#This Row],[Tipo_Linha]]="-",Base_Periodo1[[#This Row],[TIPOSALDO]]="D"),Base_Periodo1[[#This Row],[SALDO_ATUAL]]*-1,Base_Periodo1[[#This Row],[SALDO_ATUAL]]),4)</f>
        <v>57.76</v>
      </c>
      <c r="N4885" t="s">
        <v>116</v>
      </c>
      <c r="O4885" t="s">
        <v>459</v>
      </c>
      <c r="P4885" t="s">
        <v>459</v>
      </c>
      <c r="Q4885">
        <v>6</v>
      </c>
      <c r="R4885" s="225">
        <f>Base_Periodo1[[#This Row],[CREDITOS]]-Base_Periodo1[[#This Row],[DEBITOS]]</f>
        <v>0</v>
      </c>
      <c r="S4885" s="3" t="str">
        <f>IF(ISERROR(VLOOKUP(Base_Periodo1[[#This Row],[CONTA]],BaseContasDRE[#All],4,FALSE)),"Fora do DRE",VLOOKUP(Base_Periodo1[[#This Row],[CONTA]],BaseContasDRE[#All],4,FALSE))</f>
        <v>Fora do DRE</v>
      </c>
      <c r="T4885" s="3" t="str">
        <f>IF(ISERROR(VLOOKUP(Base_Periodo1[[#This Row],[CONTA]],BaseContasDRE[#All],5,FALSE)),"Fora do DRE",VLOOKUP(Base_Periodo1[[#This Row],[CONTA]],BaseContasDRE[#All],6,FALSE))</f>
        <v>Fora do DRE</v>
      </c>
      <c r="U4885" s="3" t="str">
        <f>IF(ISERROR(VLOOKUP(Base_Periodo1[[#This Row],[CONTA]],BaseContasDRE[#All],7,FALSE)),"Fora do DRE",VLOOKUP(Base_Periodo1[[#This Row],[CONTA]],BaseContasDRE[#All],7,FALSE))</f>
        <v>Fora do DRE</v>
      </c>
      <c r="V4885" s="3" t="str">
        <f>IF(Base_Periodo1[[#This Row],[Tipo_Linha]]="Fora do DRE","Fora do DRE","( "&amp;Base_Periodo1[[#This Row],[Tipo_Linha]]&amp;" ) "&amp;Base_Periodo1[[#This Row],[Filtro]])</f>
        <v>Fora do DRE</v>
      </c>
      <c r="W4885" s="3" t="str">
        <f>LEFT(Base_Periodo1[[#This Row],[CLASS]],3)</f>
        <v>2.4</v>
      </c>
    </row>
    <row r="4886" spans="1:23" hidden="1">
      <c r="A4886" s="3" t="str">
        <f t="shared" si="76"/>
        <v>Período 1</v>
      </c>
      <c r="B4886">
        <v>35832</v>
      </c>
      <c r="C4886" t="s">
        <v>2300</v>
      </c>
      <c r="D4886" t="s">
        <v>2803</v>
      </c>
      <c r="E4886" s="3" t="str">
        <f>IF(LEN(Base_Periodo1[[#This Row],[CLASS]])&gt;=7,LEFT(Base_Periodo1[[#This Row],[CLASS]],7),"")</f>
        <v>2.4.1.1</v>
      </c>
      <c r="F4886" s="3" t="str">
        <f>VLOOKUP(Base_Periodo1[[#This Row],[Aux]],Base_Contas_Balanco[#All],2,FALSE)</f>
        <v>Capital Social Realizado</v>
      </c>
      <c r="G4886" s="1"/>
      <c r="H4886" s="225">
        <v>57.89</v>
      </c>
      <c r="I4886" s="225">
        <v>0</v>
      </c>
      <c r="J4886" s="225">
        <v>0</v>
      </c>
      <c r="K4886" s="225">
        <v>57.89</v>
      </c>
      <c r="L48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57.89</v>
      </c>
      <c r="M4886" s="225">
        <f>ROUND(IF(AND(Base_Periodo1[[#This Row],[Tipo_Linha]]="-",Base_Periodo1[[#This Row],[TIPOSALDO]]="D"),Base_Periodo1[[#This Row],[SALDO_ATUAL]]*-1,Base_Periodo1[[#This Row],[SALDO_ATUAL]]),4)</f>
        <v>57.89</v>
      </c>
      <c r="N4886" t="s">
        <v>116</v>
      </c>
      <c r="O4886" t="s">
        <v>459</v>
      </c>
      <c r="P4886" t="s">
        <v>459</v>
      </c>
      <c r="Q4886">
        <v>6</v>
      </c>
      <c r="R4886" s="225">
        <f>Base_Periodo1[[#This Row],[CREDITOS]]-Base_Periodo1[[#This Row],[DEBITOS]]</f>
        <v>0</v>
      </c>
      <c r="S4886" s="3" t="str">
        <f>IF(ISERROR(VLOOKUP(Base_Periodo1[[#This Row],[CONTA]],BaseContasDRE[#All],4,FALSE)),"Fora do DRE",VLOOKUP(Base_Periodo1[[#This Row],[CONTA]],BaseContasDRE[#All],4,FALSE))</f>
        <v>Fora do DRE</v>
      </c>
      <c r="T4886" s="3" t="str">
        <f>IF(ISERROR(VLOOKUP(Base_Periodo1[[#This Row],[CONTA]],BaseContasDRE[#All],5,FALSE)),"Fora do DRE",VLOOKUP(Base_Periodo1[[#This Row],[CONTA]],BaseContasDRE[#All],6,FALSE))</f>
        <v>Fora do DRE</v>
      </c>
      <c r="U4886" s="3" t="str">
        <f>IF(ISERROR(VLOOKUP(Base_Periodo1[[#This Row],[CONTA]],BaseContasDRE[#All],7,FALSE)),"Fora do DRE",VLOOKUP(Base_Periodo1[[#This Row],[CONTA]],BaseContasDRE[#All],7,FALSE))</f>
        <v>Fora do DRE</v>
      </c>
      <c r="V4886" s="3" t="str">
        <f>IF(Base_Periodo1[[#This Row],[Tipo_Linha]]="Fora do DRE","Fora do DRE","( "&amp;Base_Periodo1[[#This Row],[Tipo_Linha]]&amp;" ) "&amp;Base_Periodo1[[#This Row],[Filtro]])</f>
        <v>Fora do DRE</v>
      </c>
      <c r="W4886" s="3" t="str">
        <f>LEFT(Base_Periodo1[[#This Row],[CLASS]],3)</f>
        <v>2.4</v>
      </c>
    </row>
    <row r="4887" spans="1:23" hidden="1">
      <c r="A4887" s="3" t="str">
        <f t="shared" si="76"/>
        <v>Período 1</v>
      </c>
      <c r="B4887">
        <v>59324</v>
      </c>
      <c r="C4887" t="s">
        <v>2300</v>
      </c>
      <c r="D4887" t="s">
        <v>7183</v>
      </c>
      <c r="E4887" s="3" t="str">
        <f>IF(LEN(Base_Periodo1[[#This Row],[CLASS]])&gt;=7,LEFT(Base_Periodo1[[#This Row],[CLASS]],7),"")</f>
        <v>2.4.1.1</v>
      </c>
      <c r="F4887" s="3" t="str">
        <f>VLOOKUP(Base_Periodo1[[#This Row],[Aux]],Base_Contas_Balanco[#All],2,FALSE)</f>
        <v>Capital Social Realizado</v>
      </c>
      <c r="G4887" s="1"/>
      <c r="I4887" s="225">
        <v>0</v>
      </c>
      <c r="J4887" s="225">
        <v>240</v>
      </c>
      <c r="K4887" s="225">
        <v>240</v>
      </c>
      <c r="L48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887" s="225">
        <f>ROUND(IF(AND(Base_Periodo1[[#This Row],[Tipo_Linha]]="-",Base_Periodo1[[#This Row],[TIPOSALDO]]="D"),Base_Periodo1[[#This Row],[SALDO_ATUAL]]*-1,Base_Periodo1[[#This Row],[SALDO_ATUAL]]),4)</f>
        <v>240</v>
      </c>
      <c r="N4887" t="s">
        <v>116</v>
      </c>
      <c r="O4887" t="s">
        <v>436</v>
      </c>
      <c r="P4887" t="s">
        <v>459</v>
      </c>
      <c r="Q4887">
        <v>6</v>
      </c>
      <c r="R4887" s="225">
        <f>Base_Periodo1[[#This Row],[CREDITOS]]-Base_Periodo1[[#This Row],[DEBITOS]]</f>
        <v>240</v>
      </c>
      <c r="S4887" s="3" t="str">
        <f>IF(ISERROR(VLOOKUP(Base_Periodo1[[#This Row],[CONTA]],BaseContasDRE[#All],4,FALSE)),"Fora do DRE",VLOOKUP(Base_Periodo1[[#This Row],[CONTA]],BaseContasDRE[#All],4,FALSE))</f>
        <v>Fora do DRE</v>
      </c>
      <c r="T4887" s="3" t="str">
        <f>IF(ISERROR(VLOOKUP(Base_Periodo1[[#This Row],[CONTA]],BaseContasDRE[#All],5,FALSE)),"Fora do DRE",VLOOKUP(Base_Periodo1[[#This Row],[CONTA]],BaseContasDRE[#All],6,FALSE))</f>
        <v>Fora do DRE</v>
      </c>
      <c r="U4887" s="3" t="str">
        <f>IF(ISERROR(VLOOKUP(Base_Periodo1[[#This Row],[CONTA]],BaseContasDRE[#All],7,FALSE)),"Fora do DRE",VLOOKUP(Base_Periodo1[[#This Row],[CONTA]],BaseContasDRE[#All],7,FALSE))</f>
        <v>Fora do DRE</v>
      </c>
      <c r="V4887" s="3" t="str">
        <f>IF(Base_Periodo1[[#This Row],[Tipo_Linha]]="Fora do DRE","Fora do DRE","( "&amp;Base_Periodo1[[#This Row],[Tipo_Linha]]&amp;" ) "&amp;Base_Periodo1[[#This Row],[Filtro]])</f>
        <v>Fora do DRE</v>
      </c>
      <c r="W4887" s="3" t="str">
        <f>LEFT(Base_Periodo1[[#This Row],[CLASS]],3)</f>
        <v>2.4</v>
      </c>
    </row>
    <row r="4888" spans="1:23" hidden="1">
      <c r="A4888" s="3" t="str">
        <f t="shared" si="76"/>
        <v>Período 1</v>
      </c>
      <c r="B4888">
        <v>25691</v>
      </c>
      <c r="C4888" t="s">
        <v>2300</v>
      </c>
      <c r="D4888" t="s">
        <v>2804</v>
      </c>
      <c r="E4888" s="3" t="str">
        <f>IF(LEN(Base_Periodo1[[#This Row],[CLASS]])&gt;=7,LEFT(Base_Periodo1[[#This Row],[CLASS]],7),"")</f>
        <v>2.4.1.1</v>
      </c>
      <c r="F4888" s="3" t="str">
        <f>VLOOKUP(Base_Periodo1[[#This Row],[Aux]],Base_Contas_Balanco[#All],2,FALSE)</f>
        <v>Capital Social Realizado</v>
      </c>
      <c r="G4888" s="1"/>
      <c r="H4888" s="225">
        <v>97.86</v>
      </c>
      <c r="I4888" s="225">
        <v>0</v>
      </c>
      <c r="J4888" s="225">
        <v>0</v>
      </c>
      <c r="K4888" s="225">
        <v>97.86</v>
      </c>
      <c r="L48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97.86</v>
      </c>
      <c r="M4888" s="225">
        <f>ROUND(IF(AND(Base_Periodo1[[#This Row],[Tipo_Linha]]="-",Base_Periodo1[[#This Row],[TIPOSALDO]]="D"),Base_Periodo1[[#This Row],[SALDO_ATUAL]]*-1,Base_Periodo1[[#This Row],[SALDO_ATUAL]]),4)</f>
        <v>97.86</v>
      </c>
      <c r="N4888" t="s">
        <v>116</v>
      </c>
      <c r="O4888" t="s">
        <v>459</v>
      </c>
      <c r="P4888" t="s">
        <v>459</v>
      </c>
      <c r="Q4888">
        <v>6</v>
      </c>
      <c r="R4888" s="225">
        <f>Base_Periodo1[[#This Row],[CREDITOS]]-Base_Periodo1[[#This Row],[DEBITOS]]</f>
        <v>0</v>
      </c>
      <c r="S4888" s="3" t="str">
        <f>IF(ISERROR(VLOOKUP(Base_Periodo1[[#This Row],[CONTA]],BaseContasDRE[#All],4,FALSE)),"Fora do DRE",VLOOKUP(Base_Periodo1[[#This Row],[CONTA]],BaseContasDRE[#All],4,FALSE))</f>
        <v>Fora do DRE</v>
      </c>
      <c r="T4888" s="3" t="str">
        <f>IF(ISERROR(VLOOKUP(Base_Periodo1[[#This Row],[CONTA]],BaseContasDRE[#All],5,FALSE)),"Fora do DRE",VLOOKUP(Base_Periodo1[[#This Row],[CONTA]],BaseContasDRE[#All],6,FALSE))</f>
        <v>Fora do DRE</v>
      </c>
      <c r="U4888" s="3" t="str">
        <f>IF(ISERROR(VLOOKUP(Base_Periodo1[[#This Row],[CONTA]],BaseContasDRE[#All],7,FALSE)),"Fora do DRE",VLOOKUP(Base_Periodo1[[#This Row],[CONTA]],BaseContasDRE[#All],7,FALSE))</f>
        <v>Fora do DRE</v>
      </c>
      <c r="V4888" s="3" t="str">
        <f>IF(Base_Periodo1[[#This Row],[Tipo_Linha]]="Fora do DRE","Fora do DRE","( "&amp;Base_Periodo1[[#This Row],[Tipo_Linha]]&amp;" ) "&amp;Base_Periodo1[[#This Row],[Filtro]])</f>
        <v>Fora do DRE</v>
      </c>
      <c r="W4888" s="3" t="str">
        <f>LEFT(Base_Periodo1[[#This Row],[CLASS]],3)</f>
        <v>2.4</v>
      </c>
    </row>
    <row r="4889" spans="1:23" hidden="1">
      <c r="A4889" s="3" t="str">
        <f t="shared" si="76"/>
        <v>Período 1</v>
      </c>
      <c r="B4889">
        <v>16032</v>
      </c>
      <c r="C4889" t="s">
        <v>2300</v>
      </c>
      <c r="D4889" t="s">
        <v>2805</v>
      </c>
      <c r="E4889" s="3" t="str">
        <f>IF(LEN(Base_Periodo1[[#This Row],[CLASS]])&gt;=7,LEFT(Base_Periodo1[[#This Row],[CLASS]],7),"")</f>
        <v>2.4.1.1</v>
      </c>
      <c r="F4889" s="3" t="str">
        <f>VLOOKUP(Base_Periodo1[[#This Row],[Aux]],Base_Contas_Balanco[#All],2,FALSE)</f>
        <v>Capital Social Realizado</v>
      </c>
      <c r="G4889" s="1"/>
      <c r="H4889" s="225">
        <v>10906.7</v>
      </c>
      <c r="I4889" s="225">
        <v>0</v>
      </c>
      <c r="J4889" s="225">
        <v>0</v>
      </c>
      <c r="K4889" s="225">
        <v>10906.7</v>
      </c>
      <c r="L48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10906.7</v>
      </c>
      <c r="M4889" s="225">
        <f>ROUND(IF(AND(Base_Periodo1[[#This Row],[Tipo_Linha]]="-",Base_Periodo1[[#This Row],[TIPOSALDO]]="D"),Base_Periodo1[[#This Row],[SALDO_ATUAL]]*-1,Base_Periodo1[[#This Row],[SALDO_ATUAL]]),4)</f>
        <v>10906.7</v>
      </c>
      <c r="N4889" t="s">
        <v>116</v>
      </c>
      <c r="O4889" t="s">
        <v>459</v>
      </c>
      <c r="P4889" t="s">
        <v>459</v>
      </c>
      <c r="Q4889">
        <v>6</v>
      </c>
      <c r="R4889" s="225">
        <f>Base_Periodo1[[#This Row],[CREDITOS]]-Base_Periodo1[[#This Row],[DEBITOS]]</f>
        <v>0</v>
      </c>
      <c r="S4889" s="3" t="str">
        <f>IF(ISERROR(VLOOKUP(Base_Periodo1[[#This Row],[CONTA]],BaseContasDRE[#All],4,FALSE)),"Fora do DRE",VLOOKUP(Base_Periodo1[[#This Row],[CONTA]],BaseContasDRE[#All],4,FALSE))</f>
        <v>Fora do DRE</v>
      </c>
      <c r="T4889" s="3" t="str">
        <f>IF(ISERROR(VLOOKUP(Base_Periodo1[[#This Row],[CONTA]],BaseContasDRE[#All],5,FALSE)),"Fora do DRE",VLOOKUP(Base_Periodo1[[#This Row],[CONTA]],BaseContasDRE[#All],6,FALSE))</f>
        <v>Fora do DRE</v>
      </c>
      <c r="U4889" s="3" t="str">
        <f>IF(ISERROR(VLOOKUP(Base_Periodo1[[#This Row],[CONTA]],BaseContasDRE[#All],7,FALSE)),"Fora do DRE",VLOOKUP(Base_Periodo1[[#This Row],[CONTA]],BaseContasDRE[#All],7,FALSE))</f>
        <v>Fora do DRE</v>
      </c>
      <c r="V4889" s="3" t="str">
        <f>IF(Base_Periodo1[[#This Row],[Tipo_Linha]]="Fora do DRE","Fora do DRE","( "&amp;Base_Periodo1[[#This Row],[Tipo_Linha]]&amp;" ) "&amp;Base_Periodo1[[#This Row],[Filtro]])</f>
        <v>Fora do DRE</v>
      </c>
      <c r="W4889" s="3" t="str">
        <f>LEFT(Base_Periodo1[[#This Row],[CLASS]],3)</f>
        <v>2.4</v>
      </c>
    </row>
    <row r="4890" spans="1:23" hidden="1">
      <c r="A4890" s="3" t="str">
        <f t="shared" si="76"/>
        <v>Período 1</v>
      </c>
      <c r="B4890">
        <v>19276</v>
      </c>
      <c r="C4890" t="s">
        <v>2300</v>
      </c>
      <c r="D4890" t="s">
        <v>2806</v>
      </c>
      <c r="E4890" s="3" t="str">
        <f>IF(LEN(Base_Periodo1[[#This Row],[CLASS]])&gt;=7,LEFT(Base_Periodo1[[#This Row],[CLASS]],7),"")</f>
        <v>2.4.1.1</v>
      </c>
      <c r="F4890" s="3" t="str">
        <f>VLOOKUP(Base_Periodo1[[#This Row],[Aux]],Base_Contas_Balanco[#All],2,FALSE)</f>
        <v>Capital Social Realizado</v>
      </c>
      <c r="G4890" s="1"/>
      <c r="H4890" s="225">
        <v>2326.23</v>
      </c>
      <c r="I4890" s="225">
        <v>0</v>
      </c>
      <c r="J4890" s="225">
        <v>0</v>
      </c>
      <c r="K4890" s="225">
        <v>2326.23</v>
      </c>
      <c r="L48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2326.23</v>
      </c>
      <c r="M4890" s="225">
        <f>ROUND(IF(AND(Base_Periodo1[[#This Row],[Tipo_Linha]]="-",Base_Periodo1[[#This Row],[TIPOSALDO]]="D"),Base_Periodo1[[#This Row],[SALDO_ATUAL]]*-1,Base_Periodo1[[#This Row],[SALDO_ATUAL]]),4)</f>
        <v>2326.23</v>
      </c>
      <c r="N4890" t="s">
        <v>116</v>
      </c>
      <c r="O4890" t="s">
        <v>459</v>
      </c>
      <c r="P4890" t="s">
        <v>459</v>
      </c>
      <c r="Q4890">
        <v>6</v>
      </c>
      <c r="R4890" s="225">
        <f>Base_Periodo1[[#This Row],[CREDITOS]]-Base_Periodo1[[#This Row],[DEBITOS]]</f>
        <v>0</v>
      </c>
      <c r="S4890" s="3" t="str">
        <f>IF(ISERROR(VLOOKUP(Base_Periodo1[[#This Row],[CONTA]],BaseContasDRE[#All],4,FALSE)),"Fora do DRE",VLOOKUP(Base_Periodo1[[#This Row],[CONTA]],BaseContasDRE[#All],4,FALSE))</f>
        <v>Fora do DRE</v>
      </c>
      <c r="T4890" s="3" t="str">
        <f>IF(ISERROR(VLOOKUP(Base_Periodo1[[#This Row],[CONTA]],BaseContasDRE[#All],5,FALSE)),"Fora do DRE",VLOOKUP(Base_Periodo1[[#This Row],[CONTA]],BaseContasDRE[#All],6,FALSE))</f>
        <v>Fora do DRE</v>
      </c>
      <c r="U4890" s="3" t="str">
        <f>IF(ISERROR(VLOOKUP(Base_Periodo1[[#This Row],[CONTA]],BaseContasDRE[#All],7,FALSE)),"Fora do DRE",VLOOKUP(Base_Periodo1[[#This Row],[CONTA]],BaseContasDRE[#All],7,FALSE))</f>
        <v>Fora do DRE</v>
      </c>
      <c r="V4890" s="3" t="str">
        <f>IF(Base_Periodo1[[#This Row],[Tipo_Linha]]="Fora do DRE","Fora do DRE","( "&amp;Base_Periodo1[[#This Row],[Tipo_Linha]]&amp;" ) "&amp;Base_Periodo1[[#This Row],[Filtro]])</f>
        <v>Fora do DRE</v>
      </c>
      <c r="W4890" s="3" t="str">
        <f>LEFT(Base_Periodo1[[#This Row],[CLASS]],3)</f>
        <v>2.4</v>
      </c>
    </row>
    <row r="4891" spans="1:23" hidden="1">
      <c r="A4891" s="3" t="str">
        <f t="shared" si="76"/>
        <v>Período 1</v>
      </c>
      <c r="B4891">
        <v>25758</v>
      </c>
      <c r="C4891" t="s">
        <v>2300</v>
      </c>
      <c r="D4891" t="s">
        <v>2807</v>
      </c>
      <c r="E4891" s="3" t="str">
        <f>IF(LEN(Base_Periodo1[[#This Row],[CLASS]])&gt;=7,LEFT(Base_Periodo1[[#This Row],[CLASS]],7),"")</f>
        <v>2.4.1.1</v>
      </c>
      <c r="F4891" s="3" t="str">
        <f>VLOOKUP(Base_Periodo1[[#This Row],[Aux]],Base_Contas_Balanco[#All],2,FALSE)</f>
        <v>Capital Social Realizado</v>
      </c>
      <c r="G4891" s="1"/>
      <c r="H4891" s="225">
        <v>50</v>
      </c>
      <c r="I4891" s="225">
        <v>0</v>
      </c>
      <c r="J4891" s="225">
        <v>0</v>
      </c>
      <c r="K4891" s="225">
        <v>50</v>
      </c>
      <c r="L48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891" s="225">
        <f>ROUND(IF(AND(Base_Periodo1[[#This Row],[Tipo_Linha]]="-",Base_Periodo1[[#This Row],[TIPOSALDO]]="D"),Base_Periodo1[[#This Row],[SALDO_ATUAL]]*-1,Base_Periodo1[[#This Row],[SALDO_ATUAL]]),4)</f>
        <v>50</v>
      </c>
      <c r="N4891" t="s">
        <v>116</v>
      </c>
      <c r="O4891" t="s">
        <v>459</v>
      </c>
      <c r="P4891" t="s">
        <v>459</v>
      </c>
      <c r="Q4891">
        <v>6</v>
      </c>
      <c r="R4891" s="225">
        <f>Base_Periodo1[[#This Row],[CREDITOS]]-Base_Periodo1[[#This Row],[DEBITOS]]</f>
        <v>0</v>
      </c>
      <c r="S4891" s="3" t="str">
        <f>IF(ISERROR(VLOOKUP(Base_Periodo1[[#This Row],[CONTA]],BaseContasDRE[#All],4,FALSE)),"Fora do DRE",VLOOKUP(Base_Periodo1[[#This Row],[CONTA]],BaseContasDRE[#All],4,FALSE))</f>
        <v>Fora do DRE</v>
      </c>
      <c r="T4891" s="3" t="str">
        <f>IF(ISERROR(VLOOKUP(Base_Periodo1[[#This Row],[CONTA]],BaseContasDRE[#All],5,FALSE)),"Fora do DRE",VLOOKUP(Base_Periodo1[[#This Row],[CONTA]],BaseContasDRE[#All],6,FALSE))</f>
        <v>Fora do DRE</v>
      </c>
      <c r="U4891" s="3" t="str">
        <f>IF(ISERROR(VLOOKUP(Base_Periodo1[[#This Row],[CONTA]],BaseContasDRE[#All],7,FALSE)),"Fora do DRE",VLOOKUP(Base_Periodo1[[#This Row],[CONTA]],BaseContasDRE[#All],7,FALSE))</f>
        <v>Fora do DRE</v>
      </c>
      <c r="V4891" s="3" t="str">
        <f>IF(Base_Periodo1[[#This Row],[Tipo_Linha]]="Fora do DRE","Fora do DRE","( "&amp;Base_Periodo1[[#This Row],[Tipo_Linha]]&amp;" ) "&amp;Base_Periodo1[[#This Row],[Filtro]])</f>
        <v>Fora do DRE</v>
      </c>
      <c r="W4891" s="3" t="str">
        <f>LEFT(Base_Periodo1[[#This Row],[CLASS]],3)</f>
        <v>2.4</v>
      </c>
    </row>
    <row r="4892" spans="1:23" hidden="1">
      <c r="A4892" s="3" t="str">
        <f t="shared" si="76"/>
        <v>Período 1</v>
      </c>
      <c r="B4892">
        <v>18410</v>
      </c>
      <c r="C4892" t="s">
        <v>2300</v>
      </c>
      <c r="D4892" t="s">
        <v>2808</v>
      </c>
      <c r="E4892" s="3" t="str">
        <f>IF(LEN(Base_Periodo1[[#This Row],[CLASS]])&gt;=7,LEFT(Base_Periodo1[[#This Row],[CLASS]],7),"")</f>
        <v>2.4.1.1</v>
      </c>
      <c r="F4892" s="3" t="str">
        <f>VLOOKUP(Base_Periodo1[[#This Row],[Aux]],Base_Contas_Balanco[#All],2,FALSE)</f>
        <v>Capital Social Realizado</v>
      </c>
      <c r="G4892" s="1"/>
      <c r="H4892" s="225">
        <v>2986.61</v>
      </c>
      <c r="I4892" s="225">
        <v>0</v>
      </c>
      <c r="J4892" s="225">
        <v>0</v>
      </c>
      <c r="K4892" s="225">
        <v>2986.61</v>
      </c>
      <c r="L48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2986.61</v>
      </c>
      <c r="M4892" s="225">
        <f>ROUND(IF(AND(Base_Periodo1[[#This Row],[Tipo_Linha]]="-",Base_Periodo1[[#This Row],[TIPOSALDO]]="D"),Base_Periodo1[[#This Row],[SALDO_ATUAL]]*-1,Base_Periodo1[[#This Row],[SALDO_ATUAL]]),4)</f>
        <v>2986.61</v>
      </c>
      <c r="N4892" t="s">
        <v>116</v>
      </c>
      <c r="O4892" t="s">
        <v>459</v>
      </c>
      <c r="P4892" t="s">
        <v>459</v>
      </c>
      <c r="Q4892">
        <v>6</v>
      </c>
      <c r="R4892" s="225">
        <f>Base_Periodo1[[#This Row],[CREDITOS]]-Base_Periodo1[[#This Row],[DEBITOS]]</f>
        <v>0</v>
      </c>
      <c r="S4892" s="3" t="str">
        <f>IF(ISERROR(VLOOKUP(Base_Periodo1[[#This Row],[CONTA]],BaseContasDRE[#All],4,FALSE)),"Fora do DRE",VLOOKUP(Base_Periodo1[[#This Row],[CONTA]],BaseContasDRE[#All],4,FALSE))</f>
        <v>Fora do DRE</v>
      </c>
      <c r="T4892" s="3" t="str">
        <f>IF(ISERROR(VLOOKUP(Base_Periodo1[[#This Row],[CONTA]],BaseContasDRE[#All],5,FALSE)),"Fora do DRE",VLOOKUP(Base_Periodo1[[#This Row],[CONTA]],BaseContasDRE[#All],6,FALSE))</f>
        <v>Fora do DRE</v>
      </c>
      <c r="U4892" s="3" t="str">
        <f>IF(ISERROR(VLOOKUP(Base_Periodo1[[#This Row],[CONTA]],BaseContasDRE[#All],7,FALSE)),"Fora do DRE",VLOOKUP(Base_Periodo1[[#This Row],[CONTA]],BaseContasDRE[#All],7,FALSE))</f>
        <v>Fora do DRE</v>
      </c>
      <c r="V4892" s="3" t="str">
        <f>IF(Base_Periodo1[[#This Row],[Tipo_Linha]]="Fora do DRE","Fora do DRE","( "&amp;Base_Periodo1[[#This Row],[Tipo_Linha]]&amp;" ) "&amp;Base_Periodo1[[#This Row],[Filtro]])</f>
        <v>Fora do DRE</v>
      </c>
      <c r="W4892" s="3" t="str">
        <f>LEFT(Base_Periodo1[[#This Row],[CLASS]],3)</f>
        <v>2.4</v>
      </c>
    </row>
    <row r="4893" spans="1:23" hidden="1">
      <c r="A4893" s="3" t="str">
        <f t="shared" si="76"/>
        <v>Período 1</v>
      </c>
      <c r="B4893">
        <v>19354</v>
      </c>
      <c r="C4893" t="s">
        <v>2300</v>
      </c>
      <c r="D4893" t="s">
        <v>2809</v>
      </c>
      <c r="E4893" s="3" t="str">
        <f>IF(LEN(Base_Periodo1[[#This Row],[CLASS]])&gt;=7,LEFT(Base_Periodo1[[#This Row],[CLASS]],7),"")</f>
        <v>2.4.1.1</v>
      </c>
      <c r="F4893" s="3" t="str">
        <f>VLOOKUP(Base_Periodo1[[#This Row],[Aux]],Base_Contas_Balanco[#All],2,FALSE)</f>
        <v>Capital Social Realizado</v>
      </c>
      <c r="G4893" s="1"/>
      <c r="H4893" s="225">
        <v>196.77999999999997</v>
      </c>
      <c r="I4893" s="225">
        <v>0</v>
      </c>
      <c r="J4893" s="225">
        <v>0</v>
      </c>
      <c r="K4893" s="225">
        <v>196.77999999999997</v>
      </c>
      <c r="L48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196.78</v>
      </c>
      <c r="M4893" s="225">
        <f>ROUND(IF(AND(Base_Periodo1[[#This Row],[Tipo_Linha]]="-",Base_Periodo1[[#This Row],[TIPOSALDO]]="D"),Base_Periodo1[[#This Row],[SALDO_ATUAL]]*-1,Base_Periodo1[[#This Row],[SALDO_ATUAL]]),4)</f>
        <v>196.78</v>
      </c>
      <c r="N4893" t="s">
        <v>116</v>
      </c>
      <c r="O4893" t="s">
        <v>459</v>
      </c>
      <c r="P4893" t="s">
        <v>459</v>
      </c>
      <c r="Q4893">
        <v>6</v>
      </c>
      <c r="R4893" s="225">
        <f>Base_Periodo1[[#This Row],[CREDITOS]]-Base_Periodo1[[#This Row],[DEBITOS]]</f>
        <v>0</v>
      </c>
      <c r="S4893" s="3" t="str">
        <f>IF(ISERROR(VLOOKUP(Base_Periodo1[[#This Row],[CONTA]],BaseContasDRE[#All],4,FALSE)),"Fora do DRE",VLOOKUP(Base_Periodo1[[#This Row],[CONTA]],BaseContasDRE[#All],4,FALSE))</f>
        <v>Fora do DRE</v>
      </c>
      <c r="T4893" s="3" t="str">
        <f>IF(ISERROR(VLOOKUP(Base_Periodo1[[#This Row],[CONTA]],BaseContasDRE[#All],5,FALSE)),"Fora do DRE",VLOOKUP(Base_Periodo1[[#This Row],[CONTA]],BaseContasDRE[#All],6,FALSE))</f>
        <v>Fora do DRE</v>
      </c>
      <c r="U4893" s="3" t="str">
        <f>IF(ISERROR(VLOOKUP(Base_Periodo1[[#This Row],[CONTA]],BaseContasDRE[#All],7,FALSE)),"Fora do DRE",VLOOKUP(Base_Periodo1[[#This Row],[CONTA]],BaseContasDRE[#All],7,FALSE))</f>
        <v>Fora do DRE</v>
      </c>
      <c r="V4893" s="3" t="str">
        <f>IF(Base_Periodo1[[#This Row],[Tipo_Linha]]="Fora do DRE","Fora do DRE","( "&amp;Base_Periodo1[[#This Row],[Tipo_Linha]]&amp;" ) "&amp;Base_Periodo1[[#This Row],[Filtro]])</f>
        <v>Fora do DRE</v>
      </c>
      <c r="W4893" s="3" t="str">
        <f>LEFT(Base_Periodo1[[#This Row],[CLASS]],3)</f>
        <v>2.4</v>
      </c>
    </row>
    <row r="4894" spans="1:23" hidden="1">
      <c r="A4894" s="3" t="str">
        <f t="shared" si="76"/>
        <v>Período 1</v>
      </c>
      <c r="B4894">
        <v>16197</v>
      </c>
      <c r="C4894" t="s">
        <v>2300</v>
      </c>
      <c r="D4894" t="s">
        <v>2810</v>
      </c>
      <c r="E4894" s="3" t="str">
        <f>IF(LEN(Base_Periodo1[[#This Row],[CLASS]])&gt;=7,LEFT(Base_Periodo1[[#This Row],[CLASS]],7),"")</f>
        <v>2.4.1.1</v>
      </c>
      <c r="F4894" s="3" t="str">
        <f>VLOOKUP(Base_Periodo1[[#This Row],[Aux]],Base_Contas_Balanco[#All],2,FALSE)</f>
        <v>Capital Social Realizado</v>
      </c>
      <c r="G4894" s="1"/>
      <c r="H4894" s="225">
        <v>6648.37</v>
      </c>
      <c r="I4894" s="225">
        <v>0</v>
      </c>
      <c r="J4894" s="225">
        <v>0</v>
      </c>
      <c r="K4894" s="225">
        <v>6648.37</v>
      </c>
      <c r="L48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6648.37</v>
      </c>
      <c r="M4894" s="225">
        <f>ROUND(IF(AND(Base_Periodo1[[#This Row],[Tipo_Linha]]="-",Base_Periodo1[[#This Row],[TIPOSALDO]]="D"),Base_Periodo1[[#This Row],[SALDO_ATUAL]]*-1,Base_Periodo1[[#This Row],[SALDO_ATUAL]]),4)</f>
        <v>6648.37</v>
      </c>
      <c r="N4894" t="s">
        <v>116</v>
      </c>
      <c r="O4894" t="s">
        <v>459</v>
      </c>
      <c r="P4894" t="s">
        <v>459</v>
      </c>
      <c r="Q4894">
        <v>6</v>
      </c>
      <c r="R4894" s="225">
        <f>Base_Periodo1[[#This Row],[CREDITOS]]-Base_Periodo1[[#This Row],[DEBITOS]]</f>
        <v>0</v>
      </c>
      <c r="S4894" s="3" t="str">
        <f>IF(ISERROR(VLOOKUP(Base_Periodo1[[#This Row],[CONTA]],BaseContasDRE[#All],4,FALSE)),"Fora do DRE",VLOOKUP(Base_Periodo1[[#This Row],[CONTA]],BaseContasDRE[#All],4,FALSE))</f>
        <v>Fora do DRE</v>
      </c>
      <c r="T4894" s="3" t="str">
        <f>IF(ISERROR(VLOOKUP(Base_Periodo1[[#This Row],[CONTA]],BaseContasDRE[#All],5,FALSE)),"Fora do DRE",VLOOKUP(Base_Periodo1[[#This Row],[CONTA]],BaseContasDRE[#All],6,FALSE))</f>
        <v>Fora do DRE</v>
      </c>
      <c r="U4894" s="3" t="str">
        <f>IF(ISERROR(VLOOKUP(Base_Periodo1[[#This Row],[CONTA]],BaseContasDRE[#All],7,FALSE)),"Fora do DRE",VLOOKUP(Base_Periodo1[[#This Row],[CONTA]],BaseContasDRE[#All],7,FALSE))</f>
        <v>Fora do DRE</v>
      </c>
      <c r="V4894" s="3" t="str">
        <f>IF(Base_Periodo1[[#This Row],[Tipo_Linha]]="Fora do DRE","Fora do DRE","( "&amp;Base_Periodo1[[#This Row],[Tipo_Linha]]&amp;" ) "&amp;Base_Periodo1[[#This Row],[Filtro]])</f>
        <v>Fora do DRE</v>
      </c>
      <c r="W4894" s="3" t="str">
        <f>LEFT(Base_Periodo1[[#This Row],[CLASS]],3)</f>
        <v>2.4</v>
      </c>
    </row>
    <row r="4895" spans="1:23" hidden="1">
      <c r="A4895" s="3" t="str">
        <f t="shared" si="76"/>
        <v>Período 1</v>
      </c>
      <c r="B4895">
        <v>19355</v>
      </c>
      <c r="C4895" t="s">
        <v>2300</v>
      </c>
      <c r="D4895" t="s">
        <v>2811</v>
      </c>
      <c r="E4895" s="3" t="str">
        <f>IF(LEN(Base_Periodo1[[#This Row],[CLASS]])&gt;=7,LEFT(Base_Periodo1[[#This Row],[CLASS]],7),"")</f>
        <v>2.4.1.1</v>
      </c>
      <c r="F4895" s="3" t="str">
        <f>VLOOKUP(Base_Periodo1[[#This Row],[Aux]],Base_Contas_Balanco[#All],2,FALSE)</f>
        <v>Capital Social Realizado</v>
      </c>
      <c r="G4895" s="1"/>
      <c r="H4895" s="225">
        <v>114.58</v>
      </c>
      <c r="I4895" s="225">
        <v>0</v>
      </c>
      <c r="J4895" s="225">
        <v>0</v>
      </c>
      <c r="K4895" s="225">
        <v>114.58</v>
      </c>
      <c r="L48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114.58</v>
      </c>
      <c r="M4895" s="225">
        <f>ROUND(IF(AND(Base_Periodo1[[#This Row],[Tipo_Linha]]="-",Base_Periodo1[[#This Row],[TIPOSALDO]]="D"),Base_Periodo1[[#This Row],[SALDO_ATUAL]]*-1,Base_Periodo1[[#This Row],[SALDO_ATUAL]]),4)</f>
        <v>114.58</v>
      </c>
      <c r="N4895" t="s">
        <v>116</v>
      </c>
      <c r="O4895" t="s">
        <v>459</v>
      </c>
      <c r="P4895" t="s">
        <v>459</v>
      </c>
      <c r="Q4895">
        <v>6</v>
      </c>
      <c r="R4895" s="225">
        <f>Base_Periodo1[[#This Row],[CREDITOS]]-Base_Periodo1[[#This Row],[DEBITOS]]</f>
        <v>0</v>
      </c>
      <c r="S4895" s="3" t="str">
        <f>IF(ISERROR(VLOOKUP(Base_Periodo1[[#This Row],[CONTA]],BaseContasDRE[#All],4,FALSE)),"Fora do DRE",VLOOKUP(Base_Periodo1[[#This Row],[CONTA]],BaseContasDRE[#All],4,FALSE))</f>
        <v>Fora do DRE</v>
      </c>
      <c r="T4895" s="3" t="str">
        <f>IF(ISERROR(VLOOKUP(Base_Periodo1[[#This Row],[CONTA]],BaseContasDRE[#All],5,FALSE)),"Fora do DRE",VLOOKUP(Base_Periodo1[[#This Row],[CONTA]],BaseContasDRE[#All],6,FALSE))</f>
        <v>Fora do DRE</v>
      </c>
      <c r="U4895" s="3" t="str">
        <f>IF(ISERROR(VLOOKUP(Base_Periodo1[[#This Row],[CONTA]],BaseContasDRE[#All],7,FALSE)),"Fora do DRE",VLOOKUP(Base_Periodo1[[#This Row],[CONTA]],BaseContasDRE[#All],7,FALSE))</f>
        <v>Fora do DRE</v>
      </c>
      <c r="V4895" s="3" t="str">
        <f>IF(Base_Periodo1[[#This Row],[Tipo_Linha]]="Fora do DRE","Fora do DRE","( "&amp;Base_Periodo1[[#This Row],[Tipo_Linha]]&amp;" ) "&amp;Base_Periodo1[[#This Row],[Filtro]])</f>
        <v>Fora do DRE</v>
      </c>
      <c r="W4895" s="3" t="str">
        <f>LEFT(Base_Periodo1[[#This Row],[CLASS]],3)</f>
        <v>2.4</v>
      </c>
    </row>
    <row r="4896" spans="1:23" hidden="1">
      <c r="A4896" s="3" t="str">
        <f t="shared" si="76"/>
        <v>Período 1</v>
      </c>
      <c r="B4896">
        <v>59329</v>
      </c>
      <c r="C4896" t="s">
        <v>2300</v>
      </c>
      <c r="D4896" t="s">
        <v>7184</v>
      </c>
      <c r="E4896" s="3" t="str">
        <f>IF(LEN(Base_Periodo1[[#This Row],[CLASS]])&gt;=7,LEFT(Base_Periodo1[[#This Row],[CLASS]],7),"")</f>
        <v>2.4.1.1</v>
      </c>
      <c r="F4896" s="3" t="str">
        <f>VLOOKUP(Base_Periodo1[[#This Row],[Aux]],Base_Contas_Balanco[#All],2,FALSE)</f>
        <v>Capital Social Realizado</v>
      </c>
      <c r="G4896" s="1"/>
      <c r="I4896" s="225">
        <v>0</v>
      </c>
      <c r="J4896" s="225">
        <v>240</v>
      </c>
      <c r="K4896" s="225">
        <v>240</v>
      </c>
      <c r="L48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896" s="225">
        <f>ROUND(IF(AND(Base_Periodo1[[#This Row],[Tipo_Linha]]="-",Base_Periodo1[[#This Row],[TIPOSALDO]]="D"),Base_Periodo1[[#This Row],[SALDO_ATUAL]]*-1,Base_Periodo1[[#This Row],[SALDO_ATUAL]]),4)</f>
        <v>240</v>
      </c>
      <c r="N4896" t="s">
        <v>116</v>
      </c>
      <c r="O4896" t="s">
        <v>436</v>
      </c>
      <c r="P4896" t="s">
        <v>459</v>
      </c>
      <c r="Q4896">
        <v>6</v>
      </c>
      <c r="R4896" s="225">
        <f>Base_Periodo1[[#This Row],[CREDITOS]]-Base_Periodo1[[#This Row],[DEBITOS]]</f>
        <v>240</v>
      </c>
      <c r="S4896" s="3" t="str">
        <f>IF(ISERROR(VLOOKUP(Base_Periodo1[[#This Row],[CONTA]],BaseContasDRE[#All],4,FALSE)),"Fora do DRE",VLOOKUP(Base_Periodo1[[#This Row],[CONTA]],BaseContasDRE[#All],4,FALSE))</f>
        <v>Fora do DRE</v>
      </c>
      <c r="T4896" s="3" t="str">
        <f>IF(ISERROR(VLOOKUP(Base_Periodo1[[#This Row],[CONTA]],BaseContasDRE[#All],5,FALSE)),"Fora do DRE",VLOOKUP(Base_Periodo1[[#This Row],[CONTA]],BaseContasDRE[#All],6,FALSE))</f>
        <v>Fora do DRE</v>
      </c>
      <c r="U4896" s="3" t="str">
        <f>IF(ISERROR(VLOOKUP(Base_Periodo1[[#This Row],[CONTA]],BaseContasDRE[#All],7,FALSE)),"Fora do DRE",VLOOKUP(Base_Periodo1[[#This Row],[CONTA]],BaseContasDRE[#All],7,FALSE))</f>
        <v>Fora do DRE</v>
      </c>
      <c r="V4896" s="3" t="str">
        <f>IF(Base_Periodo1[[#This Row],[Tipo_Linha]]="Fora do DRE","Fora do DRE","( "&amp;Base_Periodo1[[#This Row],[Tipo_Linha]]&amp;" ) "&amp;Base_Periodo1[[#This Row],[Filtro]])</f>
        <v>Fora do DRE</v>
      </c>
      <c r="W4896" s="3" t="str">
        <f>LEFT(Base_Periodo1[[#This Row],[CLASS]],3)</f>
        <v>2.4</v>
      </c>
    </row>
    <row r="4897" spans="1:23" hidden="1">
      <c r="A4897" s="3" t="str">
        <f t="shared" si="76"/>
        <v>Período 1</v>
      </c>
      <c r="B4897">
        <v>16045</v>
      </c>
      <c r="C4897" t="s">
        <v>2300</v>
      </c>
      <c r="D4897" t="s">
        <v>2812</v>
      </c>
      <c r="E4897" s="3" t="str">
        <f>IF(LEN(Base_Periodo1[[#This Row],[CLASS]])&gt;=7,LEFT(Base_Periodo1[[#This Row],[CLASS]],7),"")</f>
        <v>2.4.1.1</v>
      </c>
      <c r="F4897" s="3" t="str">
        <f>VLOOKUP(Base_Periodo1[[#This Row],[Aux]],Base_Contas_Balanco[#All],2,FALSE)</f>
        <v>Capital Social Realizado</v>
      </c>
      <c r="G4897" s="1"/>
      <c r="H4897" s="225">
        <v>2325.62</v>
      </c>
      <c r="I4897" s="225">
        <v>0</v>
      </c>
      <c r="J4897" s="225">
        <v>0</v>
      </c>
      <c r="K4897" s="225">
        <v>2325.62</v>
      </c>
      <c r="L48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2325.62</v>
      </c>
      <c r="M4897" s="225">
        <f>ROUND(IF(AND(Base_Periodo1[[#This Row],[Tipo_Linha]]="-",Base_Periodo1[[#This Row],[TIPOSALDO]]="D"),Base_Periodo1[[#This Row],[SALDO_ATUAL]]*-1,Base_Periodo1[[#This Row],[SALDO_ATUAL]]),4)</f>
        <v>2325.62</v>
      </c>
      <c r="N4897" t="s">
        <v>116</v>
      </c>
      <c r="O4897" t="s">
        <v>459</v>
      </c>
      <c r="P4897" t="s">
        <v>459</v>
      </c>
      <c r="Q4897">
        <v>6</v>
      </c>
      <c r="R4897" s="225">
        <f>Base_Periodo1[[#This Row],[CREDITOS]]-Base_Periodo1[[#This Row],[DEBITOS]]</f>
        <v>0</v>
      </c>
      <c r="S4897" s="3" t="str">
        <f>IF(ISERROR(VLOOKUP(Base_Periodo1[[#This Row],[CONTA]],BaseContasDRE[#All],4,FALSE)),"Fora do DRE",VLOOKUP(Base_Periodo1[[#This Row],[CONTA]],BaseContasDRE[#All],4,FALSE))</f>
        <v>Fora do DRE</v>
      </c>
      <c r="T4897" s="3" t="str">
        <f>IF(ISERROR(VLOOKUP(Base_Periodo1[[#This Row],[CONTA]],BaseContasDRE[#All],5,FALSE)),"Fora do DRE",VLOOKUP(Base_Periodo1[[#This Row],[CONTA]],BaseContasDRE[#All],6,FALSE))</f>
        <v>Fora do DRE</v>
      </c>
      <c r="U4897" s="3" t="str">
        <f>IF(ISERROR(VLOOKUP(Base_Periodo1[[#This Row],[CONTA]],BaseContasDRE[#All],7,FALSE)),"Fora do DRE",VLOOKUP(Base_Periodo1[[#This Row],[CONTA]],BaseContasDRE[#All],7,FALSE))</f>
        <v>Fora do DRE</v>
      </c>
      <c r="V4897" s="3" t="str">
        <f>IF(Base_Periodo1[[#This Row],[Tipo_Linha]]="Fora do DRE","Fora do DRE","( "&amp;Base_Periodo1[[#This Row],[Tipo_Linha]]&amp;" ) "&amp;Base_Periodo1[[#This Row],[Filtro]])</f>
        <v>Fora do DRE</v>
      </c>
      <c r="W4897" s="3" t="str">
        <f>LEFT(Base_Periodo1[[#This Row],[CLASS]],3)</f>
        <v>2.4</v>
      </c>
    </row>
    <row r="4898" spans="1:23" hidden="1">
      <c r="A4898" s="3" t="str">
        <f t="shared" si="76"/>
        <v>Período 1</v>
      </c>
      <c r="B4898">
        <v>24636</v>
      </c>
      <c r="C4898" t="s">
        <v>2300</v>
      </c>
      <c r="D4898" t="s">
        <v>2813</v>
      </c>
      <c r="E4898" s="3" t="str">
        <f>IF(LEN(Base_Periodo1[[#This Row],[CLASS]])&gt;=7,LEFT(Base_Periodo1[[#This Row],[CLASS]],7),"")</f>
        <v>2.4.1.1</v>
      </c>
      <c r="F4898" s="3" t="str">
        <f>VLOOKUP(Base_Periodo1[[#This Row],[Aux]],Base_Contas_Balanco[#All],2,FALSE)</f>
        <v>Capital Social Realizado</v>
      </c>
      <c r="G4898" s="1"/>
      <c r="H4898" s="225">
        <v>81.08</v>
      </c>
      <c r="I4898" s="225">
        <v>0</v>
      </c>
      <c r="J4898" s="225">
        <v>0</v>
      </c>
      <c r="K4898" s="225">
        <v>81.08</v>
      </c>
      <c r="L48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81.08</v>
      </c>
      <c r="M4898" s="225">
        <f>ROUND(IF(AND(Base_Periodo1[[#This Row],[Tipo_Linha]]="-",Base_Periodo1[[#This Row],[TIPOSALDO]]="D"),Base_Periodo1[[#This Row],[SALDO_ATUAL]]*-1,Base_Periodo1[[#This Row],[SALDO_ATUAL]]),4)</f>
        <v>81.08</v>
      </c>
      <c r="N4898" t="s">
        <v>116</v>
      </c>
      <c r="O4898" t="s">
        <v>459</v>
      </c>
      <c r="P4898" t="s">
        <v>459</v>
      </c>
      <c r="Q4898">
        <v>6</v>
      </c>
      <c r="R4898" s="225">
        <f>Base_Periodo1[[#This Row],[CREDITOS]]-Base_Periodo1[[#This Row],[DEBITOS]]</f>
        <v>0</v>
      </c>
      <c r="S4898" s="3" t="str">
        <f>IF(ISERROR(VLOOKUP(Base_Periodo1[[#This Row],[CONTA]],BaseContasDRE[#All],4,FALSE)),"Fora do DRE",VLOOKUP(Base_Periodo1[[#This Row],[CONTA]],BaseContasDRE[#All],4,FALSE))</f>
        <v>Fora do DRE</v>
      </c>
      <c r="T4898" s="3" t="str">
        <f>IF(ISERROR(VLOOKUP(Base_Periodo1[[#This Row],[CONTA]],BaseContasDRE[#All],5,FALSE)),"Fora do DRE",VLOOKUP(Base_Periodo1[[#This Row],[CONTA]],BaseContasDRE[#All],6,FALSE))</f>
        <v>Fora do DRE</v>
      </c>
      <c r="U4898" s="3" t="str">
        <f>IF(ISERROR(VLOOKUP(Base_Periodo1[[#This Row],[CONTA]],BaseContasDRE[#All],7,FALSE)),"Fora do DRE",VLOOKUP(Base_Periodo1[[#This Row],[CONTA]],BaseContasDRE[#All],7,FALSE))</f>
        <v>Fora do DRE</v>
      </c>
      <c r="V4898" s="3" t="str">
        <f>IF(Base_Periodo1[[#This Row],[Tipo_Linha]]="Fora do DRE","Fora do DRE","( "&amp;Base_Periodo1[[#This Row],[Tipo_Linha]]&amp;" ) "&amp;Base_Periodo1[[#This Row],[Filtro]])</f>
        <v>Fora do DRE</v>
      </c>
      <c r="W4898" s="3" t="str">
        <f>LEFT(Base_Periodo1[[#This Row],[CLASS]],3)</f>
        <v>2.4</v>
      </c>
    </row>
    <row r="4899" spans="1:23" hidden="1">
      <c r="A4899" s="3" t="str">
        <f t="shared" si="76"/>
        <v>Período 1</v>
      </c>
      <c r="B4899">
        <v>16269</v>
      </c>
      <c r="C4899" t="s">
        <v>2300</v>
      </c>
      <c r="D4899" t="s">
        <v>2814</v>
      </c>
      <c r="E4899" s="3" t="str">
        <f>IF(LEN(Base_Periodo1[[#This Row],[CLASS]])&gt;=7,LEFT(Base_Periodo1[[#This Row],[CLASS]],7),"")</f>
        <v>2.4.1.1</v>
      </c>
      <c r="F4899" s="3" t="str">
        <f>VLOOKUP(Base_Periodo1[[#This Row],[Aux]],Base_Contas_Balanco[#All],2,FALSE)</f>
        <v>Capital Social Realizado</v>
      </c>
      <c r="G4899" s="1"/>
      <c r="H4899" s="225">
        <v>30725.57</v>
      </c>
      <c r="I4899" s="225">
        <v>0</v>
      </c>
      <c r="J4899" s="225">
        <v>0</v>
      </c>
      <c r="K4899" s="225">
        <v>30725.57</v>
      </c>
      <c r="L48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30725.57</v>
      </c>
      <c r="M4899" s="225">
        <f>ROUND(IF(AND(Base_Periodo1[[#This Row],[Tipo_Linha]]="-",Base_Periodo1[[#This Row],[TIPOSALDO]]="D"),Base_Periodo1[[#This Row],[SALDO_ATUAL]]*-1,Base_Periodo1[[#This Row],[SALDO_ATUAL]]),4)</f>
        <v>30725.57</v>
      </c>
      <c r="N4899" t="s">
        <v>116</v>
      </c>
      <c r="O4899" t="s">
        <v>459</v>
      </c>
      <c r="P4899" t="s">
        <v>459</v>
      </c>
      <c r="Q4899">
        <v>6</v>
      </c>
      <c r="R4899" s="225">
        <f>Base_Periodo1[[#This Row],[CREDITOS]]-Base_Periodo1[[#This Row],[DEBITOS]]</f>
        <v>0</v>
      </c>
      <c r="S4899" s="3" t="str">
        <f>IF(ISERROR(VLOOKUP(Base_Periodo1[[#This Row],[CONTA]],BaseContasDRE[#All],4,FALSE)),"Fora do DRE",VLOOKUP(Base_Periodo1[[#This Row],[CONTA]],BaseContasDRE[#All],4,FALSE))</f>
        <v>Fora do DRE</v>
      </c>
      <c r="T4899" s="3" t="str">
        <f>IF(ISERROR(VLOOKUP(Base_Periodo1[[#This Row],[CONTA]],BaseContasDRE[#All],5,FALSE)),"Fora do DRE",VLOOKUP(Base_Periodo1[[#This Row],[CONTA]],BaseContasDRE[#All],6,FALSE))</f>
        <v>Fora do DRE</v>
      </c>
      <c r="U4899" s="3" t="str">
        <f>IF(ISERROR(VLOOKUP(Base_Periodo1[[#This Row],[CONTA]],BaseContasDRE[#All],7,FALSE)),"Fora do DRE",VLOOKUP(Base_Periodo1[[#This Row],[CONTA]],BaseContasDRE[#All],7,FALSE))</f>
        <v>Fora do DRE</v>
      </c>
      <c r="V4899" s="3" t="str">
        <f>IF(Base_Periodo1[[#This Row],[Tipo_Linha]]="Fora do DRE","Fora do DRE","( "&amp;Base_Periodo1[[#This Row],[Tipo_Linha]]&amp;" ) "&amp;Base_Periodo1[[#This Row],[Filtro]])</f>
        <v>Fora do DRE</v>
      </c>
      <c r="W4899" s="3" t="str">
        <f>LEFT(Base_Periodo1[[#This Row],[CLASS]],3)</f>
        <v>2.4</v>
      </c>
    </row>
    <row r="4900" spans="1:23" hidden="1">
      <c r="A4900" s="3" t="str">
        <f t="shared" si="76"/>
        <v>Período 1</v>
      </c>
      <c r="B4900">
        <v>30937</v>
      </c>
      <c r="C4900" t="s">
        <v>2300</v>
      </c>
      <c r="D4900" t="s">
        <v>2815</v>
      </c>
      <c r="E4900" s="3" t="str">
        <f>IF(LEN(Base_Periodo1[[#This Row],[CLASS]])&gt;=7,LEFT(Base_Periodo1[[#This Row],[CLASS]],7),"")</f>
        <v>2.4.1.1</v>
      </c>
      <c r="F4900" s="3" t="str">
        <f>VLOOKUP(Base_Periodo1[[#This Row],[Aux]],Base_Contas_Balanco[#All],2,FALSE)</f>
        <v>Capital Social Realizado</v>
      </c>
      <c r="G4900" s="1"/>
      <c r="H4900" s="225">
        <v>77.84</v>
      </c>
      <c r="I4900" s="225">
        <v>0</v>
      </c>
      <c r="J4900" s="225">
        <v>0</v>
      </c>
      <c r="K4900" s="225">
        <v>77.84</v>
      </c>
      <c r="L49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77.84</v>
      </c>
      <c r="M4900" s="225">
        <f>ROUND(IF(AND(Base_Periodo1[[#This Row],[Tipo_Linha]]="-",Base_Periodo1[[#This Row],[TIPOSALDO]]="D"),Base_Periodo1[[#This Row],[SALDO_ATUAL]]*-1,Base_Periodo1[[#This Row],[SALDO_ATUAL]]),4)</f>
        <v>77.84</v>
      </c>
      <c r="N4900" t="s">
        <v>116</v>
      </c>
      <c r="O4900" t="s">
        <v>459</v>
      </c>
      <c r="P4900" t="s">
        <v>459</v>
      </c>
      <c r="Q4900">
        <v>6</v>
      </c>
      <c r="R4900" s="225">
        <f>Base_Periodo1[[#This Row],[CREDITOS]]-Base_Periodo1[[#This Row],[DEBITOS]]</f>
        <v>0</v>
      </c>
      <c r="S4900" s="3" t="str">
        <f>IF(ISERROR(VLOOKUP(Base_Periodo1[[#This Row],[CONTA]],BaseContasDRE[#All],4,FALSE)),"Fora do DRE",VLOOKUP(Base_Periodo1[[#This Row],[CONTA]],BaseContasDRE[#All],4,FALSE))</f>
        <v>Fora do DRE</v>
      </c>
      <c r="T4900" s="3" t="str">
        <f>IF(ISERROR(VLOOKUP(Base_Periodo1[[#This Row],[CONTA]],BaseContasDRE[#All],5,FALSE)),"Fora do DRE",VLOOKUP(Base_Periodo1[[#This Row],[CONTA]],BaseContasDRE[#All],6,FALSE))</f>
        <v>Fora do DRE</v>
      </c>
      <c r="U4900" s="3" t="str">
        <f>IF(ISERROR(VLOOKUP(Base_Periodo1[[#This Row],[CONTA]],BaseContasDRE[#All],7,FALSE)),"Fora do DRE",VLOOKUP(Base_Periodo1[[#This Row],[CONTA]],BaseContasDRE[#All],7,FALSE))</f>
        <v>Fora do DRE</v>
      </c>
      <c r="V4900" s="3" t="str">
        <f>IF(Base_Periodo1[[#This Row],[Tipo_Linha]]="Fora do DRE","Fora do DRE","( "&amp;Base_Periodo1[[#This Row],[Tipo_Linha]]&amp;" ) "&amp;Base_Periodo1[[#This Row],[Filtro]])</f>
        <v>Fora do DRE</v>
      </c>
      <c r="W4900" s="3" t="str">
        <f>LEFT(Base_Periodo1[[#This Row],[CLASS]],3)</f>
        <v>2.4</v>
      </c>
    </row>
    <row r="4901" spans="1:23" hidden="1">
      <c r="A4901" s="3" t="str">
        <f t="shared" si="76"/>
        <v>Período 1</v>
      </c>
      <c r="B4901">
        <v>49109</v>
      </c>
      <c r="C4901" t="s">
        <v>2300</v>
      </c>
      <c r="D4901" t="s">
        <v>4312</v>
      </c>
      <c r="E4901" s="3" t="str">
        <f>IF(LEN(Base_Periodo1[[#This Row],[CLASS]])&gt;=7,LEFT(Base_Periodo1[[#This Row],[CLASS]],7),"")</f>
        <v>2.4.1.1</v>
      </c>
      <c r="F4901" s="3" t="str">
        <f>VLOOKUP(Base_Periodo1[[#This Row],[Aux]],Base_Contas_Balanco[#All],2,FALSE)</f>
        <v>Capital Social Realizado</v>
      </c>
      <c r="G4901" s="1"/>
      <c r="H4901" s="225">
        <v>200</v>
      </c>
      <c r="I4901" s="225">
        <v>0</v>
      </c>
      <c r="J4901" s="225">
        <v>0</v>
      </c>
      <c r="K4901" s="225">
        <v>200</v>
      </c>
      <c r="L49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</v>
      </c>
      <c r="M4901" s="225">
        <f>ROUND(IF(AND(Base_Periodo1[[#This Row],[Tipo_Linha]]="-",Base_Periodo1[[#This Row],[TIPOSALDO]]="D"),Base_Periodo1[[#This Row],[SALDO_ATUAL]]*-1,Base_Periodo1[[#This Row],[SALDO_ATUAL]]),4)</f>
        <v>200</v>
      </c>
      <c r="N4901" t="s">
        <v>116</v>
      </c>
      <c r="O4901" t="s">
        <v>459</v>
      </c>
      <c r="P4901" t="s">
        <v>459</v>
      </c>
      <c r="Q4901">
        <v>6</v>
      </c>
      <c r="R4901" s="225">
        <f>Base_Periodo1[[#This Row],[CREDITOS]]-Base_Periodo1[[#This Row],[DEBITOS]]</f>
        <v>0</v>
      </c>
      <c r="S4901" s="3" t="str">
        <f>IF(ISERROR(VLOOKUP(Base_Periodo1[[#This Row],[CONTA]],BaseContasDRE[#All],4,FALSE)),"Fora do DRE",VLOOKUP(Base_Periodo1[[#This Row],[CONTA]],BaseContasDRE[#All],4,FALSE))</f>
        <v>Fora do DRE</v>
      </c>
      <c r="T4901" s="3" t="str">
        <f>IF(ISERROR(VLOOKUP(Base_Periodo1[[#This Row],[CONTA]],BaseContasDRE[#All],5,FALSE)),"Fora do DRE",VLOOKUP(Base_Periodo1[[#This Row],[CONTA]],BaseContasDRE[#All],6,FALSE))</f>
        <v>Fora do DRE</v>
      </c>
      <c r="U4901" s="3" t="str">
        <f>IF(ISERROR(VLOOKUP(Base_Periodo1[[#This Row],[CONTA]],BaseContasDRE[#All],7,FALSE)),"Fora do DRE",VLOOKUP(Base_Periodo1[[#This Row],[CONTA]],BaseContasDRE[#All],7,FALSE))</f>
        <v>Fora do DRE</v>
      </c>
      <c r="V4901" s="3" t="str">
        <f>IF(Base_Periodo1[[#This Row],[Tipo_Linha]]="Fora do DRE","Fora do DRE","( "&amp;Base_Periodo1[[#This Row],[Tipo_Linha]]&amp;" ) "&amp;Base_Periodo1[[#This Row],[Filtro]])</f>
        <v>Fora do DRE</v>
      </c>
      <c r="W4901" s="3" t="str">
        <f>LEFT(Base_Periodo1[[#This Row],[CLASS]],3)</f>
        <v>2.4</v>
      </c>
    </row>
    <row r="4902" spans="1:23" hidden="1">
      <c r="A4902" s="3" t="str">
        <f t="shared" si="76"/>
        <v>Período 1</v>
      </c>
      <c r="B4902">
        <v>52791</v>
      </c>
      <c r="C4902" t="s">
        <v>2300</v>
      </c>
      <c r="D4902" t="s">
        <v>4885</v>
      </c>
      <c r="E4902" s="3" t="str">
        <f>IF(LEN(Base_Periodo1[[#This Row],[CLASS]])&gt;=7,LEFT(Base_Periodo1[[#This Row],[CLASS]],7),"")</f>
        <v>2.4.1.1</v>
      </c>
      <c r="F4902" s="3" t="str">
        <f>VLOOKUP(Base_Periodo1[[#This Row],[Aux]],Base_Contas_Balanco[#All],2,FALSE)</f>
        <v>Capital Social Realizado</v>
      </c>
      <c r="G4902" s="1"/>
      <c r="H4902" s="225">
        <v>50</v>
      </c>
      <c r="I4902" s="225">
        <v>0</v>
      </c>
      <c r="J4902" s="225">
        <v>0</v>
      </c>
      <c r="K4902" s="225">
        <v>50</v>
      </c>
      <c r="L49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902" s="225">
        <f>ROUND(IF(AND(Base_Periodo1[[#This Row],[Tipo_Linha]]="-",Base_Periodo1[[#This Row],[TIPOSALDO]]="D"),Base_Periodo1[[#This Row],[SALDO_ATUAL]]*-1,Base_Periodo1[[#This Row],[SALDO_ATUAL]]),4)</f>
        <v>50</v>
      </c>
      <c r="N4902" t="s">
        <v>116</v>
      </c>
      <c r="O4902" t="s">
        <v>459</v>
      </c>
      <c r="P4902" t="s">
        <v>459</v>
      </c>
      <c r="Q4902">
        <v>6</v>
      </c>
      <c r="R4902" s="225">
        <f>Base_Periodo1[[#This Row],[CREDITOS]]-Base_Periodo1[[#This Row],[DEBITOS]]</f>
        <v>0</v>
      </c>
      <c r="S4902" s="3" t="str">
        <f>IF(ISERROR(VLOOKUP(Base_Periodo1[[#This Row],[CONTA]],BaseContasDRE[#All],4,FALSE)),"Fora do DRE",VLOOKUP(Base_Periodo1[[#This Row],[CONTA]],BaseContasDRE[#All],4,FALSE))</f>
        <v>Fora do DRE</v>
      </c>
      <c r="T4902" s="3" t="str">
        <f>IF(ISERROR(VLOOKUP(Base_Periodo1[[#This Row],[CONTA]],BaseContasDRE[#All],5,FALSE)),"Fora do DRE",VLOOKUP(Base_Periodo1[[#This Row],[CONTA]],BaseContasDRE[#All],6,FALSE))</f>
        <v>Fora do DRE</v>
      </c>
      <c r="U4902" s="3" t="str">
        <f>IF(ISERROR(VLOOKUP(Base_Periodo1[[#This Row],[CONTA]],BaseContasDRE[#All],7,FALSE)),"Fora do DRE",VLOOKUP(Base_Periodo1[[#This Row],[CONTA]],BaseContasDRE[#All],7,FALSE))</f>
        <v>Fora do DRE</v>
      </c>
      <c r="V4902" s="3" t="str">
        <f>IF(Base_Periodo1[[#This Row],[Tipo_Linha]]="Fora do DRE","Fora do DRE","( "&amp;Base_Periodo1[[#This Row],[Tipo_Linha]]&amp;" ) "&amp;Base_Periodo1[[#This Row],[Filtro]])</f>
        <v>Fora do DRE</v>
      </c>
      <c r="W4902" s="3" t="str">
        <f>LEFT(Base_Periodo1[[#This Row],[CLASS]],3)</f>
        <v>2.4</v>
      </c>
    </row>
    <row r="4903" spans="1:23" hidden="1">
      <c r="A4903" s="3" t="str">
        <f t="shared" si="76"/>
        <v>Período 1</v>
      </c>
      <c r="B4903">
        <v>51856</v>
      </c>
      <c r="C4903" t="s">
        <v>2300</v>
      </c>
      <c r="D4903" t="s">
        <v>4703</v>
      </c>
      <c r="E4903" s="3" t="str">
        <f>IF(LEN(Base_Periodo1[[#This Row],[CLASS]])&gt;=7,LEFT(Base_Periodo1[[#This Row],[CLASS]],7),"")</f>
        <v>2.4.1.1</v>
      </c>
      <c r="F4903" s="3" t="str">
        <f>VLOOKUP(Base_Periodo1[[#This Row],[Aux]],Base_Contas_Balanco[#All],2,FALSE)</f>
        <v>Capital Social Realizado</v>
      </c>
      <c r="G4903" s="1"/>
      <c r="H4903" s="225">
        <v>500</v>
      </c>
      <c r="I4903" s="225">
        <v>0</v>
      </c>
      <c r="J4903" s="225">
        <v>0</v>
      </c>
      <c r="K4903" s="225">
        <v>500</v>
      </c>
      <c r="L49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4903" s="225">
        <f>ROUND(IF(AND(Base_Periodo1[[#This Row],[Tipo_Linha]]="-",Base_Periodo1[[#This Row],[TIPOSALDO]]="D"),Base_Periodo1[[#This Row],[SALDO_ATUAL]]*-1,Base_Periodo1[[#This Row],[SALDO_ATUAL]]),4)</f>
        <v>500</v>
      </c>
      <c r="N4903" t="s">
        <v>116</v>
      </c>
      <c r="O4903" t="s">
        <v>459</v>
      </c>
      <c r="P4903" t="s">
        <v>459</v>
      </c>
      <c r="Q4903">
        <v>6</v>
      </c>
      <c r="R4903" s="225">
        <f>Base_Periodo1[[#This Row],[CREDITOS]]-Base_Periodo1[[#This Row],[DEBITOS]]</f>
        <v>0</v>
      </c>
      <c r="S4903" s="3" t="str">
        <f>IF(ISERROR(VLOOKUP(Base_Periodo1[[#This Row],[CONTA]],BaseContasDRE[#All],4,FALSE)),"Fora do DRE",VLOOKUP(Base_Periodo1[[#This Row],[CONTA]],BaseContasDRE[#All],4,FALSE))</f>
        <v>Fora do DRE</v>
      </c>
      <c r="T4903" s="3" t="str">
        <f>IF(ISERROR(VLOOKUP(Base_Periodo1[[#This Row],[CONTA]],BaseContasDRE[#All],5,FALSE)),"Fora do DRE",VLOOKUP(Base_Periodo1[[#This Row],[CONTA]],BaseContasDRE[#All],6,FALSE))</f>
        <v>Fora do DRE</v>
      </c>
      <c r="U4903" s="3" t="str">
        <f>IF(ISERROR(VLOOKUP(Base_Periodo1[[#This Row],[CONTA]],BaseContasDRE[#All],7,FALSE)),"Fora do DRE",VLOOKUP(Base_Periodo1[[#This Row],[CONTA]],BaseContasDRE[#All],7,FALSE))</f>
        <v>Fora do DRE</v>
      </c>
      <c r="V4903" s="3" t="str">
        <f>IF(Base_Periodo1[[#This Row],[Tipo_Linha]]="Fora do DRE","Fora do DRE","( "&amp;Base_Periodo1[[#This Row],[Tipo_Linha]]&amp;" ) "&amp;Base_Periodo1[[#This Row],[Filtro]])</f>
        <v>Fora do DRE</v>
      </c>
      <c r="W4903" s="3" t="str">
        <f>LEFT(Base_Periodo1[[#This Row],[CLASS]],3)</f>
        <v>2.4</v>
      </c>
    </row>
    <row r="4904" spans="1:23" hidden="1">
      <c r="A4904" s="3" t="str">
        <f t="shared" si="76"/>
        <v>Período 1</v>
      </c>
      <c r="B4904">
        <v>16214</v>
      </c>
      <c r="C4904" t="s">
        <v>2300</v>
      </c>
      <c r="D4904" t="s">
        <v>2816</v>
      </c>
      <c r="E4904" s="3" t="str">
        <f>IF(LEN(Base_Periodo1[[#This Row],[CLASS]])&gt;=7,LEFT(Base_Periodo1[[#This Row],[CLASS]],7),"")</f>
        <v>2.4.1.1</v>
      </c>
      <c r="F4904" s="3" t="str">
        <f>VLOOKUP(Base_Periodo1[[#This Row],[Aux]],Base_Contas_Balanco[#All],2,FALSE)</f>
        <v>Capital Social Realizado</v>
      </c>
      <c r="G4904" s="1"/>
      <c r="H4904" s="225">
        <v>684.52</v>
      </c>
      <c r="I4904" s="225">
        <v>0</v>
      </c>
      <c r="J4904" s="225">
        <v>0</v>
      </c>
      <c r="K4904" s="225">
        <v>684.52</v>
      </c>
      <c r="L49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684.52</v>
      </c>
      <c r="M4904" s="225">
        <f>ROUND(IF(AND(Base_Periodo1[[#This Row],[Tipo_Linha]]="-",Base_Periodo1[[#This Row],[TIPOSALDO]]="D"),Base_Periodo1[[#This Row],[SALDO_ATUAL]]*-1,Base_Periodo1[[#This Row],[SALDO_ATUAL]]),4)</f>
        <v>684.52</v>
      </c>
      <c r="N4904" t="s">
        <v>116</v>
      </c>
      <c r="O4904" t="s">
        <v>459</v>
      </c>
      <c r="P4904" t="s">
        <v>459</v>
      </c>
      <c r="Q4904">
        <v>6</v>
      </c>
      <c r="R4904" s="225">
        <f>Base_Periodo1[[#This Row],[CREDITOS]]-Base_Periodo1[[#This Row],[DEBITOS]]</f>
        <v>0</v>
      </c>
      <c r="S4904" s="3" t="str">
        <f>IF(ISERROR(VLOOKUP(Base_Periodo1[[#This Row],[CONTA]],BaseContasDRE[#All],4,FALSE)),"Fora do DRE",VLOOKUP(Base_Periodo1[[#This Row],[CONTA]],BaseContasDRE[#All],4,FALSE))</f>
        <v>Fora do DRE</v>
      </c>
      <c r="T4904" s="3" t="str">
        <f>IF(ISERROR(VLOOKUP(Base_Periodo1[[#This Row],[CONTA]],BaseContasDRE[#All],5,FALSE)),"Fora do DRE",VLOOKUP(Base_Periodo1[[#This Row],[CONTA]],BaseContasDRE[#All],6,FALSE))</f>
        <v>Fora do DRE</v>
      </c>
      <c r="U4904" s="3" t="str">
        <f>IF(ISERROR(VLOOKUP(Base_Periodo1[[#This Row],[CONTA]],BaseContasDRE[#All],7,FALSE)),"Fora do DRE",VLOOKUP(Base_Periodo1[[#This Row],[CONTA]],BaseContasDRE[#All],7,FALSE))</f>
        <v>Fora do DRE</v>
      </c>
      <c r="V4904" s="3" t="str">
        <f>IF(Base_Periodo1[[#This Row],[Tipo_Linha]]="Fora do DRE","Fora do DRE","( "&amp;Base_Periodo1[[#This Row],[Tipo_Linha]]&amp;" ) "&amp;Base_Periodo1[[#This Row],[Filtro]])</f>
        <v>Fora do DRE</v>
      </c>
      <c r="W4904" s="3" t="str">
        <f>LEFT(Base_Periodo1[[#This Row],[CLASS]],3)</f>
        <v>2.4</v>
      </c>
    </row>
    <row r="4905" spans="1:23" hidden="1">
      <c r="A4905" s="3" t="str">
        <f t="shared" si="76"/>
        <v>Período 1</v>
      </c>
      <c r="B4905">
        <v>16091</v>
      </c>
      <c r="C4905" t="s">
        <v>2300</v>
      </c>
      <c r="D4905" t="s">
        <v>2817</v>
      </c>
      <c r="E4905" s="3" t="str">
        <f>IF(LEN(Base_Periodo1[[#This Row],[CLASS]])&gt;=7,LEFT(Base_Periodo1[[#This Row],[CLASS]],7),"")</f>
        <v>2.4.1.1</v>
      </c>
      <c r="F4905" s="3" t="str">
        <f>VLOOKUP(Base_Periodo1[[#This Row],[Aux]],Base_Contas_Balanco[#All],2,FALSE)</f>
        <v>Capital Social Realizado</v>
      </c>
      <c r="G4905" s="1"/>
      <c r="H4905" s="225">
        <v>5522.9100000000008</v>
      </c>
      <c r="I4905" s="225">
        <v>0</v>
      </c>
      <c r="J4905" s="225">
        <v>0</v>
      </c>
      <c r="K4905" s="225">
        <v>5522.9100000000008</v>
      </c>
      <c r="L49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5522.91</v>
      </c>
      <c r="M4905" s="225">
        <f>ROUND(IF(AND(Base_Periodo1[[#This Row],[Tipo_Linha]]="-",Base_Periodo1[[#This Row],[TIPOSALDO]]="D"),Base_Periodo1[[#This Row],[SALDO_ATUAL]]*-1,Base_Periodo1[[#This Row],[SALDO_ATUAL]]),4)</f>
        <v>5522.91</v>
      </c>
      <c r="N4905" t="s">
        <v>116</v>
      </c>
      <c r="O4905" t="s">
        <v>459</v>
      </c>
      <c r="P4905" t="s">
        <v>459</v>
      </c>
      <c r="Q4905">
        <v>6</v>
      </c>
      <c r="R4905" s="225">
        <f>Base_Periodo1[[#This Row],[CREDITOS]]-Base_Periodo1[[#This Row],[DEBITOS]]</f>
        <v>0</v>
      </c>
      <c r="S4905" s="3" t="str">
        <f>IF(ISERROR(VLOOKUP(Base_Periodo1[[#This Row],[CONTA]],BaseContasDRE[#All],4,FALSE)),"Fora do DRE",VLOOKUP(Base_Periodo1[[#This Row],[CONTA]],BaseContasDRE[#All],4,FALSE))</f>
        <v>Fora do DRE</v>
      </c>
      <c r="T4905" s="3" t="str">
        <f>IF(ISERROR(VLOOKUP(Base_Periodo1[[#This Row],[CONTA]],BaseContasDRE[#All],5,FALSE)),"Fora do DRE",VLOOKUP(Base_Periodo1[[#This Row],[CONTA]],BaseContasDRE[#All],6,FALSE))</f>
        <v>Fora do DRE</v>
      </c>
      <c r="U4905" s="3" t="str">
        <f>IF(ISERROR(VLOOKUP(Base_Periodo1[[#This Row],[CONTA]],BaseContasDRE[#All],7,FALSE)),"Fora do DRE",VLOOKUP(Base_Periodo1[[#This Row],[CONTA]],BaseContasDRE[#All],7,FALSE))</f>
        <v>Fora do DRE</v>
      </c>
      <c r="V4905" s="3" t="str">
        <f>IF(Base_Periodo1[[#This Row],[Tipo_Linha]]="Fora do DRE","Fora do DRE","( "&amp;Base_Periodo1[[#This Row],[Tipo_Linha]]&amp;" ) "&amp;Base_Periodo1[[#This Row],[Filtro]])</f>
        <v>Fora do DRE</v>
      </c>
      <c r="W4905" s="3" t="str">
        <f>LEFT(Base_Periodo1[[#This Row],[CLASS]],3)</f>
        <v>2.4</v>
      </c>
    </row>
    <row r="4906" spans="1:23" hidden="1">
      <c r="A4906" s="3" t="str">
        <f t="shared" si="76"/>
        <v>Período 1</v>
      </c>
      <c r="B4906">
        <v>39544</v>
      </c>
      <c r="C4906" t="s">
        <v>2300</v>
      </c>
      <c r="D4906" t="s">
        <v>2818</v>
      </c>
      <c r="E4906" s="3" t="str">
        <f>IF(LEN(Base_Periodo1[[#This Row],[CLASS]])&gt;=7,LEFT(Base_Periodo1[[#This Row],[CLASS]],7),"")</f>
        <v>2.4.1.1</v>
      </c>
      <c r="F4906" s="3" t="str">
        <f>VLOOKUP(Base_Periodo1[[#This Row],[Aux]],Base_Contas_Balanco[#All],2,FALSE)</f>
        <v>Capital Social Realizado</v>
      </c>
      <c r="G4906" s="1"/>
      <c r="H4906" s="225">
        <v>198.16</v>
      </c>
      <c r="I4906" s="225">
        <v>0</v>
      </c>
      <c r="J4906" s="225">
        <v>0</v>
      </c>
      <c r="K4906" s="225">
        <v>198.16</v>
      </c>
      <c r="L49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198.16</v>
      </c>
      <c r="M4906" s="225">
        <f>ROUND(IF(AND(Base_Periodo1[[#This Row],[Tipo_Linha]]="-",Base_Periodo1[[#This Row],[TIPOSALDO]]="D"),Base_Periodo1[[#This Row],[SALDO_ATUAL]]*-1,Base_Periodo1[[#This Row],[SALDO_ATUAL]]),4)</f>
        <v>198.16</v>
      </c>
      <c r="N4906" t="s">
        <v>116</v>
      </c>
      <c r="O4906" t="s">
        <v>459</v>
      </c>
      <c r="P4906" t="s">
        <v>459</v>
      </c>
      <c r="Q4906">
        <v>6</v>
      </c>
      <c r="R4906" s="225">
        <f>Base_Periodo1[[#This Row],[CREDITOS]]-Base_Periodo1[[#This Row],[DEBITOS]]</f>
        <v>0</v>
      </c>
      <c r="S4906" s="3" t="str">
        <f>IF(ISERROR(VLOOKUP(Base_Periodo1[[#This Row],[CONTA]],BaseContasDRE[#All],4,FALSE)),"Fora do DRE",VLOOKUP(Base_Periodo1[[#This Row],[CONTA]],BaseContasDRE[#All],4,FALSE))</f>
        <v>Fora do DRE</v>
      </c>
      <c r="T4906" s="3" t="str">
        <f>IF(ISERROR(VLOOKUP(Base_Periodo1[[#This Row],[CONTA]],BaseContasDRE[#All],5,FALSE)),"Fora do DRE",VLOOKUP(Base_Periodo1[[#This Row],[CONTA]],BaseContasDRE[#All],6,FALSE))</f>
        <v>Fora do DRE</v>
      </c>
      <c r="U4906" s="3" t="str">
        <f>IF(ISERROR(VLOOKUP(Base_Periodo1[[#This Row],[CONTA]],BaseContasDRE[#All],7,FALSE)),"Fora do DRE",VLOOKUP(Base_Periodo1[[#This Row],[CONTA]],BaseContasDRE[#All],7,FALSE))</f>
        <v>Fora do DRE</v>
      </c>
      <c r="V4906" s="3" t="str">
        <f>IF(Base_Periodo1[[#This Row],[Tipo_Linha]]="Fora do DRE","Fora do DRE","( "&amp;Base_Periodo1[[#This Row],[Tipo_Linha]]&amp;" ) "&amp;Base_Periodo1[[#This Row],[Filtro]])</f>
        <v>Fora do DRE</v>
      </c>
      <c r="W4906" s="3" t="str">
        <f>LEFT(Base_Periodo1[[#This Row],[CLASS]],3)</f>
        <v>2.4</v>
      </c>
    </row>
    <row r="4907" spans="1:23" hidden="1">
      <c r="A4907" s="3" t="str">
        <f t="shared" si="76"/>
        <v>Período 1</v>
      </c>
      <c r="B4907">
        <v>47845</v>
      </c>
      <c r="C4907" t="s">
        <v>2300</v>
      </c>
      <c r="D4907" t="s">
        <v>2819</v>
      </c>
      <c r="E4907" s="3" t="str">
        <f>IF(LEN(Base_Periodo1[[#This Row],[CLASS]])&gt;=7,LEFT(Base_Periodo1[[#This Row],[CLASS]],7),"")</f>
        <v>2.4.1.1</v>
      </c>
      <c r="F4907" s="3" t="str">
        <f>VLOOKUP(Base_Periodo1[[#This Row],[Aux]],Base_Contas_Balanco[#All],2,FALSE)</f>
        <v>Capital Social Realizado</v>
      </c>
      <c r="G4907" s="1"/>
      <c r="H4907" s="225">
        <v>72.52</v>
      </c>
      <c r="I4907" s="225">
        <v>0</v>
      </c>
      <c r="J4907" s="225">
        <v>0</v>
      </c>
      <c r="K4907" s="225">
        <v>72.52</v>
      </c>
      <c r="L49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72.52</v>
      </c>
      <c r="M4907" s="225">
        <f>ROUND(IF(AND(Base_Periodo1[[#This Row],[Tipo_Linha]]="-",Base_Periodo1[[#This Row],[TIPOSALDO]]="D"),Base_Periodo1[[#This Row],[SALDO_ATUAL]]*-1,Base_Periodo1[[#This Row],[SALDO_ATUAL]]),4)</f>
        <v>72.52</v>
      </c>
      <c r="N4907" t="s">
        <v>116</v>
      </c>
      <c r="O4907" t="s">
        <v>459</v>
      </c>
      <c r="P4907" t="s">
        <v>459</v>
      </c>
      <c r="Q4907">
        <v>6</v>
      </c>
      <c r="R4907" s="225">
        <f>Base_Periodo1[[#This Row],[CREDITOS]]-Base_Periodo1[[#This Row],[DEBITOS]]</f>
        <v>0</v>
      </c>
      <c r="S4907" s="3" t="str">
        <f>IF(ISERROR(VLOOKUP(Base_Periodo1[[#This Row],[CONTA]],BaseContasDRE[#All],4,FALSE)),"Fora do DRE",VLOOKUP(Base_Periodo1[[#This Row],[CONTA]],BaseContasDRE[#All],4,FALSE))</f>
        <v>Fora do DRE</v>
      </c>
      <c r="T4907" s="3" t="str">
        <f>IF(ISERROR(VLOOKUP(Base_Periodo1[[#This Row],[CONTA]],BaseContasDRE[#All],5,FALSE)),"Fora do DRE",VLOOKUP(Base_Periodo1[[#This Row],[CONTA]],BaseContasDRE[#All],6,FALSE))</f>
        <v>Fora do DRE</v>
      </c>
      <c r="U4907" s="3" t="str">
        <f>IF(ISERROR(VLOOKUP(Base_Periodo1[[#This Row],[CONTA]],BaseContasDRE[#All],7,FALSE)),"Fora do DRE",VLOOKUP(Base_Periodo1[[#This Row],[CONTA]],BaseContasDRE[#All],7,FALSE))</f>
        <v>Fora do DRE</v>
      </c>
      <c r="V4907" s="3" t="str">
        <f>IF(Base_Periodo1[[#This Row],[Tipo_Linha]]="Fora do DRE","Fora do DRE","( "&amp;Base_Periodo1[[#This Row],[Tipo_Linha]]&amp;" ) "&amp;Base_Periodo1[[#This Row],[Filtro]])</f>
        <v>Fora do DRE</v>
      </c>
      <c r="W4907" s="3" t="str">
        <f>LEFT(Base_Periodo1[[#This Row],[CLASS]],3)</f>
        <v>2.4</v>
      </c>
    </row>
    <row r="4908" spans="1:23" hidden="1">
      <c r="A4908" s="3" t="str">
        <f t="shared" si="76"/>
        <v>Período 1</v>
      </c>
      <c r="B4908">
        <v>15929</v>
      </c>
      <c r="C4908" t="s">
        <v>2300</v>
      </c>
      <c r="D4908" t="s">
        <v>2820</v>
      </c>
      <c r="E4908" s="3" t="str">
        <f>IF(LEN(Base_Periodo1[[#This Row],[CLASS]])&gt;=7,LEFT(Base_Periodo1[[#This Row],[CLASS]],7),"")</f>
        <v>2.4.1.1</v>
      </c>
      <c r="F4908" s="3" t="str">
        <f>VLOOKUP(Base_Periodo1[[#This Row],[Aux]],Base_Contas_Balanco[#All],2,FALSE)</f>
        <v>Capital Social Realizado</v>
      </c>
      <c r="G4908" s="1"/>
      <c r="H4908" s="225">
        <v>345.36</v>
      </c>
      <c r="I4908" s="225">
        <v>0</v>
      </c>
      <c r="J4908" s="225">
        <v>0</v>
      </c>
      <c r="K4908" s="225">
        <v>345.36</v>
      </c>
      <c r="L49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345.36</v>
      </c>
      <c r="M4908" s="225">
        <f>ROUND(IF(AND(Base_Periodo1[[#This Row],[Tipo_Linha]]="-",Base_Periodo1[[#This Row],[TIPOSALDO]]="D"),Base_Periodo1[[#This Row],[SALDO_ATUAL]]*-1,Base_Periodo1[[#This Row],[SALDO_ATUAL]]),4)</f>
        <v>345.36</v>
      </c>
      <c r="N4908" t="s">
        <v>116</v>
      </c>
      <c r="O4908" t="s">
        <v>459</v>
      </c>
      <c r="P4908" t="s">
        <v>459</v>
      </c>
      <c r="Q4908">
        <v>6</v>
      </c>
      <c r="R4908" s="225">
        <f>Base_Periodo1[[#This Row],[CREDITOS]]-Base_Periodo1[[#This Row],[DEBITOS]]</f>
        <v>0</v>
      </c>
      <c r="S4908" s="3" t="str">
        <f>IF(ISERROR(VLOOKUP(Base_Periodo1[[#This Row],[CONTA]],BaseContasDRE[#All],4,FALSE)),"Fora do DRE",VLOOKUP(Base_Periodo1[[#This Row],[CONTA]],BaseContasDRE[#All],4,FALSE))</f>
        <v>Fora do DRE</v>
      </c>
      <c r="T4908" s="3" t="str">
        <f>IF(ISERROR(VLOOKUP(Base_Periodo1[[#This Row],[CONTA]],BaseContasDRE[#All],5,FALSE)),"Fora do DRE",VLOOKUP(Base_Periodo1[[#This Row],[CONTA]],BaseContasDRE[#All],6,FALSE))</f>
        <v>Fora do DRE</v>
      </c>
      <c r="U4908" s="3" t="str">
        <f>IF(ISERROR(VLOOKUP(Base_Periodo1[[#This Row],[CONTA]],BaseContasDRE[#All],7,FALSE)),"Fora do DRE",VLOOKUP(Base_Periodo1[[#This Row],[CONTA]],BaseContasDRE[#All],7,FALSE))</f>
        <v>Fora do DRE</v>
      </c>
      <c r="V4908" s="3" t="str">
        <f>IF(Base_Periodo1[[#This Row],[Tipo_Linha]]="Fora do DRE","Fora do DRE","( "&amp;Base_Periodo1[[#This Row],[Tipo_Linha]]&amp;" ) "&amp;Base_Periodo1[[#This Row],[Filtro]])</f>
        <v>Fora do DRE</v>
      </c>
      <c r="W4908" s="3" t="str">
        <f>LEFT(Base_Periodo1[[#This Row],[CLASS]],3)</f>
        <v>2.4</v>
      </c>
    </row>
    <row r="4909" spans="1:23" hidden="1">
      <c r="A4909" s="3" t="str">
        <f t="shared" si="76"/>
        <v>Período 1</v>
      </c>
      <c r="B4909">
        <v>19287</v>
      </c>
      <c r="C4909" t="s">
        <v>2300</v>
      </c>
      <c r="D4909" t="s">
        <v>2821</v>
      </c>
      <c r="E4909" s="3" t="str">
        <f>IF(LEN(Base_Periodo1[[#This Row],[CLASS]])&gt;=7,LEFT(Base_Periodo1[[#This Row],[CLASS]],7),"")</f>
        <v>2.4.1.1</v>
      </c>
      <c r="F4909" s="3" t="str">
        <f>VLOOKUP(Base_Periodo1[[#This Row],[Aux]],Base_Contas_Balanco[#All],2,FALSE)</f>
        <v>Capital Social Realizado</v>
      </c>
      <c r="G4909" s="1"/>
      <c r="H4909" s="225">
        <v>1423.24</v>
      </c>
      <c r="I4909" s="225">
        <v>0</v>
      </c>
      <c r="J4909" s="225">
        <v>0</v>
      </c>
      <c r="K4909" s="225">
        <v>1423.24</v>
      </c>
      <c r="L49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1423.24</v>
      </c>
      <c r="M4909" s="225">
        <f>ROUND(IF(AND(Base_Periodo1[[#This Row],[Tipo_Linha]]="-",Base_Periodo1[[#This Row],[TIPOSALDO]]="D"),Base_Periodo1[[#This Row],[SALDO_ATUAL]]*-1,Base_Periodo1[[#This Row],[SALDO_ATUAL]]),4)</f>
        <v>1423.24</v>
      </c>
      <c r="N4909" t="s">
        <v>116</v>
      </c>
      <c r="O4909" t="s">
        <v>459</v>
      </c>
      <c r="P4909" t="s">
        <v>459</v>
      </c>
      <c r="Q4909">
        <v>6</v>
      </c>
      <c r="R4909" s="225">
        <f>Base_Periodo1[[#This Row],[CREDITOS]]-Base_Periodo1[[#This Row],[DEBITOS]]</f>
        <v>0</v>
      </c>
      <c r="S4909" s="3" t="str">
        <f>IF(ISERROR(VLOOKUP(Base_Periodo1[[#This Row],[CONTA]],BaseContasDRE[#All],4,FALSE)),"Fora do DRE",VLOOKUP(Base_Periodo1[[#This Row],[CONTA]],BaseContasDRE[#All],4,FALSE))</f>
        <v>Fora do DRE</v>
      </c>
      <c r="T4909" s="3" t="str">
        <f>IF(ISERROR(VLOOKUP(Base_Periodo1[[#This Row],[CONTA]],BaseContasDRE[#All],5,FALSE)),"Fora do DRE",VLOOKUP(Base_Periodo1[[#This Row],[CONTA]],BaseContasDRE[#All],6,FALSE))</f>
        <v>Fora do DRE</v>
      </c>
      <c r="U4909" s="3" t="str">
        <f>IF(ISERROR(VLOOKUP(Base_Periodo1[[#This Row],[CONTA]],BaseContasDRE[#All],7,FALSE)),"Fora do DRE",VLOOKUP(Base_Periodo1[[#This Row],[CONTA]],BaseContasDRE[#All],7,FALSE))</f>
        <v>Fora do DRE</v>
      </c>
      <c r="V4909" s="3" t="str">
        <f>IF(Base_Periodo1[[#This Row],[Tipo_Linha]]="Fora do DRE","Fora do DRE","( "&amp;Base_Periodo1[[#This Row],[Tipo_Linha]]&amp;" ) "&amp;Base_Periodo1[[#This Row],[Filtro]])</f>
        <v>Fora do DRE</v>
      </c>
      <c r="W4909" s="3" t="str">
        <f>LEFT(Base_Periodo1[[#This Row],[CLASS]],3)</f>
        <v>2.4</v>
      </c>
    </row>
    <row r="4910" spans="1:23" hidden="1">
      <c r="A4910" s="3" t="str">
        <f t="shared" si="76"/>
        <v>Período 1</v>
      </c>
      <c r="B4910">
        <v>22602</v>
      </c>
      <c r="C4910" t="s">
        <v>2300</v>
      </c>
      <c r="D4910" t="s">
        <v>2822</v>
      </c>
      <c r="E4910" s="3" t="str">
        <f>IF(LEN(Base_Periodo1[[#This Row],[CLASS]])&gt;=7,LEFT(Base_Periodo1[[#This Row],[CLASS]],7),"")</f>
        <v>2.4.1.1</v>
      </c>
      <c r="F4910" s="3" t="str">
        <f>VLOOKUP(Base_Periodo1[[#This Row],[Aux]],Base_Contas_Balanco[#All],2,FALSE)</f>
        <v>Capital Social Realizado</v>
      </c>
      <c r="G4910" s="1"/>
      <c r="H4910" s="225">
        <v>460</v>
      </c>
      <c r="I4910" s="225">
        <v>0</v>
      </c>
      <c r="J4910" s="225">
        <v>0</v>
      </c>
      <c r="K4910" s="225">
        <v>460</v>
      </c>
      <c r="L49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460</v>
      </c>
      <c r="M4910" s="225">
        <f>ROUND(IF(AND(Base_Periodo1[[#This Row],[Tipo_Linha]]="-",Base_Periodo1[[#This Row],[TIPOSALDO]]="D"),Base_Periodo1[[#This Row],[SALDO_ATUAL]]*-1,Base_Periodo1[[#This Row],[SALDO_ATUAL]]),4)</f>
        <v>460</v>
      </c>
      <c r="N4910" t="s">
        <v>116</v>
      </c>
      <c r="O4910" t="s">
        <v>459</v>
      </c>
      <c r="P4910" t="s">
        <v>459</v>
      </c>
      <c r="Q4910">
        <v>6</v>
      </c>
      <c r="R4910" s="225">
        <f>Base_Periodo1[[#This Row],[CREDITOS]]-Base_Periodo1[[#This Row],[DEBITOS]]</f>
        <v>0</v>
      </c>
      <c r="S4910" s="3" t="str">
        <f>IF(ISERROR(VLOOKUP(Base_Periodo1[[#This Row],[CONTA]],BaseContasDRE[#All],4,FALSE)),"Fora do DRE",VLOOKUP(Base_Periodo1[[#This Row],[CONTA]],BaseContasDRE[#All],4,FALSE))</f>
        <v>Fora do DRE</v>
      </c>
      <c r="T4910" s="3" t="str">
        <f>IF(ISERROR(VLOOKUP(Base_Periodo1[[#This Row],[CONTA]],BaseContasDRE[#All],5,FALSE)),"Fora do DRE",VLOOKUP(Base_Periodo1[[#This Row],[CONTA]],BaseContasDRE[#All],6,FALSE))</f>
        <v>Fora do DRE</v>
      </c>
      <c r="U4910" s="3" t="str">
        <f>IF(ISERROR(VLOOKUP(Base_Periodo1[[#This Row],[CONTA]],BaseContasDRE[#All],7,FALSE)),"Fora do DRE",VLOOKUP(Base_Periodo1[[#This Row],[CONTA]],BaseContasDRE[#All],7,FALSE))</f>
        <v>Fora do DRE</v>
      </c>
      <c r="V4910" s="3" t="str">
        <f>IF(Base_Periodo1[[#This Row],[Tipo_Linha]]="Fora do DRE","Fora do DRE","( "&amp;Base_Periodo1[[#This Row],[Tipo_Linha]]&amp;" ) "&amp;Base_Periodo1[[#This Row],[Filtro]])</f>
        <v>Fora do DRE</v>
      </c>
      <c r="W4910" s="3" t="str">
        <f>LEFT(Base_Periodo1[[#This Row],[CLASS]],3)</f>
        <v>2.4</v>
      </c>
    </row>
    <row r="4911" spans="1:23" hidden="1">
      <c r="A4911" s="3" t="str">
        <f t="shared" si="76"/>
        <v>Período 1</v>
      </c>
      <c r="B4911">
        <v>25566</v>
      </c>
      <c r="C4911" t="s">
        <v>2300</v>
      </c>
      <c r="D4911" t="s">
        <v>2823</v>
      </c>
      <c r="E4911" s="3" t="str">
        <f>IF(LEN(Base_Periodo1[[#This Row],[CLASS]])&gt;=7,LEFT(Base_Periodo1[[#This Row],[CLASS]],7),"")</f>
        <v>2.4.1.1</v>
      </c>
      <c r="F4911" s="3" t="str">
        <f>VLOOKUP(Base_Periodo1[[#This Row],[Aux]],Base_Contas_Balanco[#All],2,FALSE)</f>
        <v>Capital Social Realizado</v>
      </c>
      <c r="G4911" s="1"/>
      <c r="H4911" s="225">
        <v>109.18</v>
      </c>
      <c r="I4911" s="225">
        <v>0</v>
      </c>
      <c r="J4911" s="225">
        <v>0</v>
      </c>
      <c r="K4911" s="225">
        <v>109.18</v>
      </c>
      <c r="L49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109.18</v>
      </c>
      <c r="M4911" s="225">
        <f>ROUND(IF(AND(Base_Periodo1[[#This Row],[Tipo_Linha]]="-",Base_Periodo1[[#This Row],[TIPOSALDO]]="D"),Base_Periodo1[[#This Row],[SALDO_ATUAL]]*-1,Base_Periodo1[[#This Row],[SALDO_ATUAL]]),4)</f>
        <v>109.18</v>
      </c>
      <c r="N4911" t="s">
        <v>116</v>
      </c>
      <c r="O4911" t="s">
        <v>459</v>
      </c>
      <c r="P4911" t="s">
        <v>459</v>
      </c>
      <c r="Q4911">
        <v>6</v>
      </c>
      <c r="R4911" s="225">
        <f>Base_Periodo1[[#This Row],[CREDITOS]]-Base_Periodo1[[#This Row],[DEBITOS]]</f>
        <v>0</v>
      </c>
      <c r="S4911" s="3" t="str">
        <f>IF(ISERROR(VLOOKUP(Base_Periodo1[[#This Row],[CONTA]],BaseContasDRE[#All],4,FALSE)),"Fora do DRE",VLOOKUP(Base_Periodo1[[#This Row],[CONTA]],BaseContasDRE[#All],4,FALSE))</f>
        <v>Fora do DRE</v>
      </c>
      <c r="T4911" s="3" t="str">
        <f>IF(ISERROR(VLOOKUP(Base_Periodo1[[#This Row],[CONTA]],BaseContasDRE[#All],5,FALSE)),"Fora do DRE",VLOOKUP(Base_Periodo1[[#This Row],[CONTA]],BaseContasDRE[#All],6,FALSE))</f>
        <v>Fora do DRE</v>
      </c>
      <c r="U4911" s="3" t="str">
        <f>IF(ISERROR(VLOOKUP(Base_Periodo1[[#This Row],[CONTA]],BaseContasDRE[#All],7,FALSE)),"Fora do DRE",VLOOKUP(Base_Periodo1[[#This Row],[CONTA]],BaseContasDRE[#All],7,FALSE))</f>
        <v>Fora do DRE</v>
      </c>
      <c r="V4911" s="3" t="str">
        <f>IF(Base_Periodo1[[#This Row],[Tipo_Linha]]="Fora do DRE","Fora do DRE","( "&amp;Base_Periodo1[[#This Row],[Tipo_Linha]]&amp;" ) "&amp;Base_Periodo1[[#This Row],[Filtro]])</f>
        <v>Fora do DRE</v>
      </c>
      <c r="W4911" s="3" t="str">
        <f>LEFT(Base_Periodo1[[#This Row],[CLASS]],3)</f>
        <v>2.4</v>
      </c>
    </row>
    <row r="4912" spans="1:23" hidden="1">
      <c r="A4912" s="3" t="str">
        <f t="shared" si="76"/>
        <v>Período 1</v>
      </c>
      <c r="B4912">
        <v>27082</v>
      </c>
      <c r="C4912" t="s">
        <v>2300</v>
      </c>
      <c r="D4912" t="s">
        <v>2824</v>
      </c>
      <c r="E4912" s="3" t="str">
        <f>IF(LEN(Base_Periodo1[[#This Row],[CLASS]])&gt;=7,LEFT(Base_Periodo1[[#This Row],[CLASS]],7),"")</f>
        <v>2.4.1.1</v>
      </c>
      <c r="F4912" s="3" t="str">
        <f>VLOOKUP(Base_Periodo1[[#This Row],[Aux]],Base_Contas_Balanco[#All],2,FALSE)</f>
        <v>Capital Social Realizado</v>
      </c>
      <c r="G4912" s="1"/>
      <c r="H4912" s="225">
        <v>1005.55</v>
      </c>
      <c r="I4912" s="225">
        <v>0</v>
      </c>
      <c r="J4912" s="225">
        <v>0</v>
      </c>
      <c r="K4912" s="225">
        <v>1005.55</v>
      </c>
      <c r="L49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1005.55</v>
      </c>
      <c r="M4912" s="225">
        <f>ROUND(IF(AND(Base_Periodo1[[#This Row],[Tipo_Linha]]="-",Base_Periodo1[[#This Row],[TIPOSALDO]]="D"),Base_Periodo1[[#This Row],[SALDO_ATUAL]]*-1,Base_Periodo1[[#This Row],[SALDO_ATUAL]]),4)</f>
        <v>1005.55</v>
      </c>
      <c r="N4912" t="s">
        <v>116</v>
      </c>
      <c r="O4912" t="s">
        <v>459</v>
      </c>
      <c r="P4912" t="s">
        <v>459</v>
      </c>
      <c r="Q4912">
        <v>6</v>
      </c>
      <c r="R4912" s="225">
        <f>Base_Periodo1[[#This Row],[CREDITOS]]-Base_Periodo1[[#This Row],[DEBITOS]]</f>
        <v>0</v>
      </c>
      <c r="S4912" s="3" t="str">
        <f>IF(ISERROR(VLOOKUP(Base_Periodo1[[#This Row],[CONTA]],BaseContasDRE[#All],4,FALSE)),"Fora do DRE",VLOOKUP(Base_Periodo1[[#This Row],[CONTA]],BaseContasDRE[#All],4,FALSE))</f>
        <v>Fora do DRE</v>
      </c>
      <c r="T4912" s="3" t="str">
        <f>IF(ISERROR(VLOOKUP(Base_Periodo1[[#This Row],[CONTA]],BaseContasDRE[#All],5,FALSE)),"Fora do DRE",VLOOKUP(Base_Periodo1[[#This Row],[CONTA]],BaseContasDRE[#All],6,FALSE))</f>
        <v>Fora do DRE</v>
      </c>
      <c r="U4912" s="3" t="str">
        <f>IF(ISERROR(VLOOKUP(Base_Periodo1[[#This Row],[CONTA]],BaseContasDRE[#All],7,FALSE)),"Fora do DRE",VLOOKUP(Base_Periodo1[[#This Row],[CONTA]],BaseContasDRE[#All],7,FALSE))</f>
        <v>Fora do DRE</v>
      </c>
      <c r="V4912" s="3" t="str">
        <f>IF(Base_Periodo1[[#This Row],[Tipo_Linha]]="Fora do DRE","Fora do DRE","( "&amp;Base_Periodo1[[#This Row],[Tipo_Linha]]&amp;" ) "&amp;Base_Periodo1[[#This Row],[Filtro]])</f>
        <v>Fora do DRE</v>
      </c>
      <c r="W4912" s="3" t="str">
        <f>LEFT(Base_Periodo1[[#This Row],[CLASS]],3)</f>
        <v>2.4</v>
      </c>
    </row>
    <row r="4913" spans="1:23" hidden="1">
      <c r="A4913" s="3" t="str">
        <f t="shared" si="76"/>
        <v>Período 1</v>
      </c>
      <c r="B4913">
        <v>48131</v>
      </c>
      <c r="C4913" t="s">
        <v>2300</v>
      </c>
      <c r="D4913" t="s">
        <v>2825</v>
      </c>
      <c r="E4913" s="3" t="str">
        <f>IF(LEN(Base_Periodo1[[#This Row],[CLASS]])&gt;=7,LEFT(Base_Periodo1[[#This Row],[CLASS]],7),"")</f>
        <v>2.4.1.1</v>
      </c>
      <c r="F4913" s="3" t="str">
        <f>VLOOKUP(Base_Periodo1[[#This Row],[Aux]],Base_Contas_Balanco[#All],2,FALSE)</f>
        <v>Capital Social Realizado</v>
      </c>
      <c r="G4913" s="1"/>
      <c r="H4913" s="225">
        <v>105.58</v>
      </c>
      <c r="I4913" s="225">
        <v>0</v>
      </c>
      <c r="J4913" s="225">
        <v>0</v>
      </c>
      <c r="K4913" s="225">
        <v>105.58</v>
      </c>
      <c r="L49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105.58</v>
      </c>
      <c r="M4913" s="225">
        <f>ROUND(IF(AND(Base_Periodo1[[#This Row],[Tipo_Linha]]="-",Base_Periodo1[[#This Row],[TIPOSALDO]]="D"),Base_Periodo1[[#This Row],[SALDO_ATUAL]]*-1,Base_Periodo1[[#This Row],[SALDO_ATUAL]]),4)</f>
        <v>105.58</v>
      </c>
      <c r="N4913" t="s">
        <v>116</v>
      </c>
      <c r="O4913" t="s">
        <v>459</v>
      </c>
      <c r="P4913" t="s">
        <v>459</v>
      </c>
      <c r="Q4913">
        <v>6</v>
      </c>
      <c r="R4913" s="225">
        <f>Base_Periodo1[[#This Row],[CREDITOS]]-Base_Periodo1[[#This Row],[DEBITOS]]</f>
        <v>0</v>
      </c>
      <c r="S4913" s="3" t="str">
        <f>IF(ISERROR(VLOOKUP(Base_Periodo1[[#This Row],[CONTA]],BaseContasDRE[#All],4,FALSE)),"Fora do DRE",VLOOKUP(Base_Periodo1[[#This Row],[CONTA]],BaseContasDRE[#All],4,FALSE))</f>
        <v>Fora do DRE</v>
      </c>
      <c r="T4913" s="3" t="str">
        <f>IF(ISERROR(VLOOKUP(Base_Periodo1[[#This Row],[CONTA]],BaseContasDRE[#All],5,FALSE)),"Fora do DRE",VLOOKUP(Base_Periodo1[[#This Row],[CONTA]],BaseContasDRE[#All],6,FALSE))</f>
        <v>Fora do DRE</v>
      </c>
      <c r="U4913" s="3" t="str">
        <f>IF(ISERROR(VLOOKUP(Base_Periodo1[[#This Row],[CONTA]],BaseContasDRE[#All],7,FALSE)),"Fora do DRE",VLOOKUP(Base_Periodo1[[#This Row],[CONTA]],BaseContasDRE[#All],7,FALSE))</f>
        <v>Fora do DRE</v>
      </c>
      <c r="V4913" s="3" t="str">
        <f>IF(Base_Periodo1[[#This Row],[Tipo_Linha]]="Fora do DRE","Fora do DRE","( "&amp;Base_Periodo1[[#This Row],[Tipo_Linha]]&amp;" ) "&amp;Base_Periodo1[[#This Row],[Filtro]])</f>
        <v>Fora do DRE</v>
      </c>
      <c r="W4913" s="3" t="str">
        <f>LEFT(Base_Periodo1[[#This Row],[CLASS]],3)</f>
        <v>2.4</v>
      </c>
    </row>
    <row r="4914" spans="1:23" hidden="1">
      <c r="A4914" s="3" t="str">
        <f t="shared" si="76"/>
        <v>Período 1</v>
      </c>
      <c r="B4914">
        <v>39415</v>
      </c>
      <c r="C4914" t="s">
        <v>2300</v>
      </c>
      <c r="D4914" t="s">
        <v>2826</v>
      </c>
      <c r="E4914" s="3" t="str">
        <f>IF(LEN(Base_Periodo1[[#This Row],[CLASS]])&gt;=7,LEFT(Base_Periodo1[[#This Row],[CLASS]],7),"")</f>
        <v>2.4.1.1</v>
      </c>
      <c r="F4914" s="3" t="str">
        <f>VLOOKUP(Base_Periodo1[[#This Row],[Aux]],Base_Contas_Balanco[#All],2,FALSE)</f>
        <v>Capital Social Realizado</v>
      </c>
      <c r="G4914" s="1"/>
      <c r="H4914" s="225">
        <v>73.13</v>
      </c>
      <c r="I4914" s="225">
        <v>0</v>
      </c>
      <c r="J4914" s="225">
        <v>0</v>
      </c>
      <c r="K4914" s="225">
        <v>73.13</v>
      </c>
      <c r="L49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73.13</v>
      </c>
      <c r="M4914" s="225">
        <f>ROUND(IF(AND(Base_Periodo1[[#This Row],[Tipo_Linha]]="-",Base_Periodo1[[#This Row],[TIPOSALDO]]="D"),Base_Periodo1[[#This Row],[SALDO_ATUAL]]*-1,Base_Periodo1[[#This Row],[SALDO_ATUAL]]),4)</f>
        <v>73.13</v>
      </c>
      <c r="N4914" t="s">
        <v>116</v>
      </c>
      <c r="O4914" t="s">
        <v>459</v>
      </c>
      <c r="P4914" t="s">
        <v>459</v>
      </c>
      <c r="Q4914">
        <v>6</v>
      </c>
      <c r="R4914" s="225">
        <f>Base_Periodo1[[#This Row],[CREDITOS]]-Base_Periodo1[[#This Row],[DEBITOS]]</f>
        <v>0</v>
      </c>
      <c r="S4914" s="3" t="str">
        <f>IF(ISERROR(VLOOKUP(Base_Periodo1[[#This Row],[CONTA]],BaseContasDRE[#All],4,FALSE)),"Fora do DRE",VLOOKUP(Base_Periodo1[[#This Row],[CONTA]],BaseContasDRE[#All],4,FALSE))</f>
        <v>Fora do DRE</v>
      </c>
      <c r="T4914" s="3" t="str">
        <f>IF(ISERROR(VLOOKUP(Base_Periodo1[[#This Row],[CONTA]],BaseContasDRE[#All],5,FALSE)),"Fora do DRE",VLOOKUP(Base_Periodo1[[#This Row],[CONTA]],BaseContasDRE[#All],6,FALSE))</f>
        <v>Fora do DRE</v>
      </c>
      <c r="U4914" s="3" t="str">
        <f>IF(ISERROR(VLOOKUP(Base_Periodo1[[#This Row],[CONTA]],BaseContasDRE[#All],7,FALSE)),"Fora do DRE",VLOOKUP(Base_Periodo1[[#This Row],[CONTA]],BaseContasDRE[#All],7,FALSE))</f>
        <v>Fora do DRE</v>
      </c>
      <c r="V4914" s="3" t="str">
        <f>IF(Base_Periodo1[[#This Row],[Tipo_Linha]]="Fora do DRE","Fora do DRE","( "&amp;Base_Periodo1[[#This Row],[Tipo_Linha]]&amp;" ) "&amp;Base_Periodo1[[#This Row],[Filtro]])</f>
        <v>Fora do DRE</v>
      </c>
      <c r="W4914" s="3" t="str">
        <f>LEFT(Base_Periodo1[[#This Row],[CLASS]],3)</f>
        <v>2.4</v>
      </c>
    </row>
    <row r="4915" spans="1:23" hidden="1">
      <c r="A4915" s="3" t="str">
        <f t="shared" si="76"/>
        <v>Período 1</v>
      </c>
      <c r="B4915">
        <v>16312</v>
      </c>
      <c r="C4915" t="s">
        <v>2300</v>
      </c>
      <c r="D4915" t="s">
        <v>2827</v>
      </c>
      <c r="E4915" s="3" t="str">
        <f>IF(LEN(Base_Periodo1[[#This Row],[CLASS]])&gt;=7,LEFT(Base_Periodo1[[#This Row],[CLASS]],7),"")</f>
        <v>2.4.1.1</v>
      </c>
      <c r="F4915" s="3" t="str">
        <f>VLOOKUP(Base_Periodo1[[#This Row],[Aux]],Base_Contas_Balanco[#All],2,FALSE)</f>
        <v>Capital Social Realizado</v>
      </c>
      <c r="G4915" s="1"/>
      <c r="H4915" s="225">
        <v>292.14</v>
      </c>
      <c r="I4915" s="225">
        <v>0</v>
      </c>
      <c r="J4915" s="225">
        <v>0</v>
      </c>
      <c r="K4915" s="225">
        <v>292.14</v>
      </c>
      <c r="L49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292.14</v>
      </c>
      <c r="M4915" s="225">
        <f>ROUND(IF(AND(Base_Periodo1[[#This Row],[Tipo_Linha]]="-",Base_Periodo1[[#This Row],[TIPOSALDO]]="D"),Base_Periodo1[[#This Row],[SALDO_ATUAL]]*-1,Base_Periodo1[[#This Row],[SALDO_ATUAL]]),4)</f>
        <v>292.14</v>
      </c>
      <c r="N4915" t="s">
        <v>116</v>
      </c>
      <c r="O4915" t="s">
        <v>459</v>
      </c>
      <c r="P4915" t="s">
        <v>459</v>
      </c>
      <c r="Q4915">
        <v>6</v>
      </c>
      <c r="R4915" s="225">
        <f>Base_Periodo1[[#This Row],[CREDITOS]]-Base_Periodo1[[#This Row],[DEBITOS]]</f>
        <v>0</v>
      </c>
      <c r="S4915" s="3" t="str">
        <f>IF(ISERROR(VLOOKUP(Base_Periodo1[[#This Row],[CONTA]],BaseContasDRE[#All],4,FALSE)),"Fora do DRE",VLOOKUP(Base_Periodo1[[#This Row],[CONTA]],BaseContasDRE[#All],4,FALSE))</f>
        <v>Fora do DRE</v>
      </c>
      <c r="T4915" s="3" t="str">
        <f>IF(ISERROR(VLOOKUP(Base_Periodo1[[#This Row],[CONTA]],BaseContasDRE[#All],5,FALSE)),"Fora do DRE",VLOOKUP(Base_Periodo1[[#This Row],[CONTA]],BaseContasDRE[#All],6,FALSE))</f>
        <v>Fora do DRE</v>
      </c>
      <c r="U4915" s="3" t="str">
        <f>IF(ISERROR(VLOOKUP(Base_Periodo1[[#This Row],[CONTA]],BaseContasDRE[#All],7,FALSE)),"Fora do DRE",VLOOKUP(Base_Periodo1[[#This Row],[CONTA]],BaseContasDRE[#All],7,FALSE))</f>
        <v>Fora do DRE</v>
      </c>
      <c r="V4915" s="3" t="str">
        <f>IF(Base_Periodo1[[#This Row],[Tipo_Linha]]="Fora do DRE","Fora do DRE","( "&amp;Base_Periodo1[[#This Row],[Tipo_Linha]]&amp;" ) "&amp;Base_Periodo1[[#This Row],[Filtro]])</f>
        <v>Fora do DRE</v>
      </c>
      <c r="W4915" s="3" t="str">
        <f>LEFT(Base_Periodo1[[#This Row],[CLASS]],3)</f>
        <v>2.4</v>
      </c>
    </row>
    <row r="4916" spans="1:23" hidden="1">
      <c r="A4916" s="3" t="str">
        <f t="shared" si="76"/>
        <v>Período 1</v>
      </c>
      <c r="B4916">
        <v>55340</v>
      </c>
      <c r="C4916" t="s">
        <v>2300</v>
      </c>
      <c r="D4916" t="s">
        <v>5455</v>
      </c>
      <c r="E4916" s="3" t="str">
        <f>IF(LEN(Base_Periodo1[[#This Row],[CLASS]])&gt;=7,LEFT(Base_Periodo1[[#This Row],[CLASS]],7),"")</f>
        <v>2.4.1.1</v>
      </c>
      <c r="F4916" s="3" t="str">
        <f>VLOOKUP(Base_Periodo1[[#This Row],[Aux]],Base_Contas_Balanco[#All],2,FALSE)</f>
        <v>Capital Social Realizado</v>
      </c>
      <c r="G4916" s="1"/>
      <c r="H4916" s="225">
        <v>240</v>
      </c>
      <c r="I4916" s="225">
        <v>0</v>
      </c>
      <c r="J4916" s="225">
        <v>0</v>
      </c>
      <c r="K4916" s="225">
        <v>240</v>
      </c>
      <c r="L49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4916" s="225">
        <f>ROUND(IF(AND(Base_Periodo1[[#This Row],[Tipo_Linha]]="-",Base_Periodo1[[#This Row],[TIPOSALDO]]="D"),Base_Periodo1[[#This Row],[SALDO_ATUAL]]*-1,Base_Periodo1[[#This Row],[SALDO_ATUAL]]),4)</f>
        <v>240</v>
      </c>
      <c r="N4916" t="s">
        <v>116</v>
      </c>
      <c r="O4916" t="s">
        <v>459</v>
      </c>
      <c r="P4916" t="s">
        <v>459</v>
      </c>
      <c r="Q4916">
        <v>6</v>
      </c>
      <c r="R4916" s="225">
        <f>Base_Periodo1[[#This Row],[CREDITOS]]-Base_Periodo1[[#This Row],[DEBITOS]]</f>
        <v>0</v>
      </c>
      <c r="S4916" s="3" t="str">
        <f>IF(ISERROR(VLOOKUP(Base_Periodo1[[#This Row],[CONTA]],BaseContasDRE[#All],4,FALSE)),"Fora do DRE",VLOOKUP(Base_Periodo1[[#This Row],[CONTA]],BaseContasDRE[#All],4,FALSE))</f>
        <v>Fora do DRE</v>
      </c>
      <c r="T4916" s="3" t="str">
        <f>IF(ISERROR(VLOOKUP(Base_Periodo1[[#This Row],[CONTA]],BaseContasDRE[#All],5,FALSE)),"Fora do DRE",VLOOKUP(Base_Periodo1[[#This Row],[CONTA]],BaseContasDRE[#All],6,FALSE))</f>
        <v>Fora do DRE</v>
      </c>
      <c r="U4916" s="3" t="str">
        <f>IF(ISERROR(VLOOKUP(Base_Periodo1[[#This Row],[CONTA]],BaseContasDRE[#All],7,FALSE)),"Fora do DRE",VLOOKUP(Base_Periodo1[[#This Row],[CONTA]],BaseContasDRE[#All],7,FALSE))</f>
        <v>Fora do DRE</v>
      </c>
      <c r="V4916" s="3" t="str">
        <f>IF(Base_Periodo1[[#This Row],[Tipo_Linha]]="Fora do DRE","Fora do DRE","( "&amp;Base_Periodo1[[#This Row],[Tipo_Linha]]&amp;" ) "&amp;Base_Periodo1[[#This Row],[Filtro]])</f>
        <v>Fora do DRE</v>
      </c>
      <c r="W4916" s="3" t="str">
        <f>LEFT(Base_Periodo1[[#This Row],[CLASS]],3)</f>
        <v>2.4</v>
      </c>
    </row>
    <row r="4917" spans="1:23" hidden="1">
      <c r="A4917" s="3" t="str">
        <f t="shared" si="76"/>
        <v>Período 1</v>
      </c>
      <c r="B4917">
        <v>37502</v>
      </c>
      <c r="C4917" t="s">
        <v>2300</v>
      </c>
      <c r="D4917" t="s">
        <v>2828</v>
      </c>
      <c r="E4917" s="3" t="str">
        <f>IF(LEN(Base_Periodo1[[#This Row],[CLASS]])&gt;=7,LEFT(Base_Periodo1[[#This Row],[CLASS]],7),"")</f>
        <v>2.4.1.1</v>
      </c>
      <c r="F4917" s="3" t="str">
        <f>VLOOKUP(Base_Periodo1[[#This Row],[Aux]],Base_Contas_Balanco[#All],2,FALSE)</f>
        <v>Capital Social Realizado</v>
      </c>
      <c r="G4917" s="1"/>
      <c r="H4917" s="225">
        <v>1569.87</v>
      </c>
      <c r="I4917" s="225">
        <v>0</v>
      </c>
      <c r="J4917" s="225">
        <v>0</v>
      </c>
      <c r="K4917" s="225">
        <v>1569.87</v>
      </c>
      <c r="L49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1569.87</v>
      </c>
      <c r="M4917" s="225">
        <f>ROUND(IF(AND(Base_Periodo1[[#This Row],[Tipo_Linha]]="-",Base_Periodo1[[#This Row],[TIPOSALDO]]="D"),Base_Periodo1[[#This Row],[SALDO_ATUAL]]*-1,Base_Periodo1[[#This Row],[SALDO_ATUAL]]),4)</f>
        <v>1569.87</v>
      </c>
      <c r="N4917" t="s">
        <v>116</v>
      </c>
      <c r="O4917" t="s">
        <v>459</v>
      </c>
      <c r="P4917" t="s">
        <v>459</v>
      </c>
      <c r="Q4917">
        <v>6</v>
      </c>
      <c r="R4917" s="225">
        <f>Base_Periodo1[[#This Row],[CREDITOS]]-Base_Periodo1[[#This Row],[DEBITOS]]</f>
        <v>0</v>
      </c>
      <c r="S4917" s="3" t="str">
        <f>IF(ISERROR(VLOOKUP(Base_Periodo1[[#This Row],[CONTA]],BaseContasDRE[#All],4,FALSE)),"Fora do DRE",VLOOKUP(Base_Periodo1[[#This Row],[CONTA]],BaseContasDRE[#All],4,FALSE))</f>
        <v>Fora do DRE</v>
      </c>
      <c r="T4917" s="3" t="str">
        <f>IF(ISERROR(VLOOKUP(Base_Periodo1[[#This Row],[CONTA]],BaseContasDRE[#All],5,FALSE)),"Fora do DRE",VLOOKUP(Base_Periodo1[[#This Row],[CONTA]],BaseContasDRE[#All],6,FALSE))</f>
        <v>Fora do DRE</v>
      </c>
      <c r="U4917" s="3" t="str">
        <f>IF(ISERROR(VLOOKUP(Base_Periodo1[[#This Row],[CONTA]],BaseContasDRE[#All],7,FALSE)),"Fora do DRE",VLOOKUP(Base_Periodo1[[#This Row],[CONTA]],BaseContasDRE[#All],7,FALSE))</f>
        <v>Fora do DRE</v>
      </c>
      <c r="V4917" s="3" t="str">
        <f>IF(Base_Periodo1[[#This Row],[Tipo_Linha]]="Fora do DRE","Fora do DRE","( "&amp;Base_Periodo1[[#This Row],[Tipo_Linha]]&amp;" ) "&amp;Base_Periodo1[[#This Row],[Filtro]])</f>
        <v>Fora do DRE</v>
      </c>
      <c r="W4917" s="3" t="str">
        <f>LEFT(Base_Periodo1[[#This Row],[CLASS]],3)</f>
        <v>2.4</v>
      </c>
    </row>
    <row r="4918" spans="1:23" hidden="1">
      <c r="A4918" s="3" t="str">
        <f t="shared" si="76"/>
        <v>Período 1</v>
      </c>
      <c r="B4918">
        <v>37125</v>
      </c>
      <c r="C4918" t="s">
        <v>2300</v>
      </c>
      <c r="D4918" t="s">
        <v>2829</v>
      </c>
      <c r="E4918" s="3" t="str">
        <f>IF(LEN(Base_Periodo1[[#This Row],[CLASS]])&gt;=7,LEFT(Base_Periodo1[[#This Row],[CLASS]],7),"")</f>
        <v>2.4.1.1</v>
      </c>
      <c r="F4918" s="3" t="str">
        <f>VLOOKUP(Base_Periodo1[[#This Row],[Aux]],Base_Contas_Balanco[#All],2,FALSE)</f>
        <v>Capital Social Realizado</v>
      </c>
      <c r="G4918" s="1"/>
      <c r="H4918" s="225">
        <v>1444.85</v>
      </c>
      <c r="I4918" s="225">
        <v>0</v>
      </c>
      <c r="J4918" s="225">
        <v>0</v>
      </c>
      <c r="K4918" s="225">
        <v>1444.85</v>
      </c>
      <c r="L49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1444.85</v>
      </c>
      <c r="M4918" s="225">
        <f>ROUND(IF(AND(Base_Periodo1[[#This Row],[Tipo_Linha]]="-",Base_Periodo1[[#This Row],[TIPOSALDO]]="D"),Base_Periodo1[[#This Row],[SALDO_ATUAL]]*-1,Base_Periodo1[[#This Row],[SALDO_ATUAL]]),4)</f>
        <v>1444.85</v>
      </c>
      <c r="N4918" t="s">
        <v>116</v>
      </c>
      <c r="O4918" t="s">
        <v>459</v>
      </c>
      <c r="P4918" t="s">
        <v>459</v>
      </c>
      <c r="Q4918">
        <v>6</v>
      </c>
      <c r="R4918" s="225">
        <f>Base_Periodo1[[#This Row],[CREDITOS]]-Base_Periodo1[[#This Row],[DEBITOS]]</f>
        <v>0</v>
      </c>
      <c r="S4918" s="3" t="str">
        <f>IF(ISERROR(VLOOKUP(Base_Periodo1[[#This Row],[CONTA]],BaseContasDRE[#All],4,FALSE)),"Fora do DRE",VLOOKUP(Base_Periodo1[[#This Row],[CONTA]],BaseContasDRE[#All],4,FALSE))</f>
        <v>Fora do DRE</v>
      </c>
      <c r="T4918" s="3" t="str">
        <f>IF(ISERROR(VLOOKUP(Base_Periodo1[[#This Row],[CONTA]],BaseContasDRE[#All],5,FALSE)),"Fora do DRE",VLOOKUP(Base_Periodo1[[#This Row],[CONTA]],BaseContasDRE[#All],6,FALSE))</f>
        <v>Fora do DRE</v>
      </c>
      <c r="U4918" s="3" t="str">
        <f>IF(ISERROR(VLOOKUP(Base_Periodo1[[#This Row],[CONTA]],BaseContasDRE[#All],7,FALSE)),"Fora do DRE",VLOOKUP(Base_Periodo1[[#This Row],[CONTA]],BaseContasDRE[#All],7,FALSE))</f>
        <v>Fora do DRE</v>
      </c>
      <c r="V4918" s="3" t="str">
        <f>IF(Base_Periodo1[[#This Row],[Tipo_Linha]]="Fora do DRE","Fora do DRE","( "&amp;Base_Periodo1[[#This Row],[Tipo_Linha]]&amp;" ) "&amp;Base_Periodo1[[#This Row],[Filtro]])</f>
        <v>Fora do DRE</v>
      </c>
      <c r="W4918" s="3" t="str">
        <f>LEFT(Base_Periodo1[[#This Row],[CLASS]],3)</f>
        <v>2.4</v>
      </c>
    </row>
    <row r="4919" spans="1:23" hidden="1">
      <c r="A4919" s="3" t="str">
        <f t="shared" si="76"/>
        <v>Período 1</v>
      </c>
      <c r="B4919">
        <v>25224</v>
      </c>
      <c r="C4919" t="s">
        <v>2300</v>
      </c>
      <c r="D4919" t="s">
        <v>2830</v>
      </c>
      <c r="E4919" s="3" t="str">
        <f>IF(LEN(Base_Periodo1[[#This Row],[CLASS]])&gt;=7,LEFT(Base_Periodo1[[#This Row],[CLASS]],7),"")</f>
        <v>2.4.1.1</v>
      </c>
      <c r="F4919" s="3" t="str">
        <f>VLOOKUP(Base_Periodo1[[#This Row],[Aux]],Base_Contas_Balanco[#All],2,FALSE)</f>
        <v>Capital Social Realizado</v>
      </c>
      <c r="G4919" s="1"/>
      <c r="H4919" s="225">
        <v>697.99</v>
      </c>
      <c r="I4919" s="225">
        <v>0</v>
      </c>
      <c r="J4919" s="225">
        <v>0</v>
      </c>
      <c r="K4919" s="225">
        <v>697.99</v>
      </c>
      <c r="L49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697.99</v>
      </c>
      <c r="M4919" s="225">
        <f>ROUND(IF(AND(Base_Periodo1[[#This Row],[Tipo_Linha]]="-",Base_Periodo1[[#This Row],[TIPOSALDO]]="D"),Base_Periodo1[[#This Row],[SALDO_ATUAL]]*-1,Base_Periodo1[[#This Row],[SALDO_ATUAL]]),4)</f>
        <v>697.99</v>
      </c>
      <c r="N4919" t="s">
        <v>116</v>
      </c>
      <c r="O4919" t="s">
        <v>459</v>
      </c>
      <c r="P4919" t="s">
        <v>459</v>
      </c>
      <c r="Q4919">
        <v>6</v>
      </c>
      <c r="R4919" s="225">
        <f>Base_Periodo1[[#This Row],[CREDITOS]]-Base_Periodo1[[#This Row],[DEBITOS]]</f>
        <v>0</v>
      </c>
      <c r="S4919" s="3" t="str">
        <f>IF(ISERROR(VLOOKUP(Base_Periodo1[[#This Row],[CONTA]],BaseContasDRE[#All],4,FALSE)),"Fora do DRE",VLOOKUP(Base_Periodo1[[#This Row],[CONTA]],BaseContasDRE[#All],4,FALSE))</f>
        <v>Fora do DRE</v>
      </c>
      <c r="T4919" s="3" t="str">
        <f>IF(ISERROR(VLOOKUP(Base_Periodo1[[#This Row],[CONTA]],BaseContasDRE[#All],5,FALSE)),"Fora do DRE",VLOOKUP(Base_Periodo1[[#This Row],[CONTA]],BaseContasDRE[#All],6,FALSE))</f>
        <v>Fora do DRE</v>
      </c>
      <c r="U4919" s="3" t="str">
        <f>IF(ISERROR(VLOOKUP(Base_Periodo1[[#This Row],[CONTA]],BaseContasDRE[#All],7,FALSE)),"Fora do DRE",VLOOKUP(Base_Periodo1[[#This Row],[CONTA]],BaseContasDRE[#All],7,FALSE))</f>
        <v>Fora do DRE</v>
      </c>
      <c r="V4919" s="3" t="str">
        <f>IF(Base_Periodo1[[#This Row],[Tipo_Linha]]="Fora do DRE","Fora do DRE","( "&amp;Base_Periodo1[[#This Row],[Tipo_Linha]]&amp;" ) "&amp;Base_Periodo1[[#This Row],[Filtro]])</f>
        <v>Fora do DRE</v>
      </c>
      <c r="W4919" s="3" t="str">
        <f>LEFT(Base_Periodo1[[#This Row],[CLASS]],3)</f>
        <v>2.4</v>
      </c>
    </row>
    <row r="4920" spans="1:23" hidden="1">
      <c r="A4920" s="3" t="str">
        <f t="shared" si="76"/>
        <v>Período 1</v>
      </c>
      <c r="B4920">
        <v>36094</v>
      </c>
      <c r="C4920" t="s">
        <v>2300</v>
      </c>
      <c r="D4920" t="s">
        <v>2831</v>
      </c>
      <c r="E4920" s="3" t="str">
        <f>IF(LEN(Base_Periodo1[[#This Row],[CLASS]])&gt;=7,LEFT(Base_Periodo1[[#This Row],[CLASS]],7),"")</f>
        <v>2.4.1.1</v>
      </c>
      <c r="F4920" s="3" t="str">
        <f>VLOOKUP(Base_Periodo1[[#This Row],[Aux]],Base_Contas_Balanco[#All],2,FALSE)</f>
        <v>Capital Social Realizado</v>
      </c>
      <c r="G4920" s="1"/>
      <c r="H4920" s="225">
        <v>78.099999999999994</v>
      </c>
      <c r="I4920" s="225">
        <v>0</v>
      </c>
      <c r="J4920" s="225">
        <v>0</v>
      </c>
      <c r="K4920" s="225">
        <v>78.099999999999994</v>
      </c>
      <c r="L49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78.099999999999994</v>
      </c>
      <c r="M4920" s="225">
        <f>ROUND(IF(AND(Base_Periodo1[[#This Row],[Tipo_Linha]]="-",Base_Periodo1[[#This Row],[TIPOSALDO]]="D"),Base_Periodo1[[#This Row],[SALDO_ATUAL]]*-1,Base_Periodo1[[#This Row],[SALDO_ATUAL]]),4)</f>
        <v>78.099999999999994</v>
      </c>
      <c r="N4920" t="s">
        <v>116</v>
      </c>
      <c r="O4920" t="s">
        <v>459</v>
      </c>
      <c r="P4920" t="s">
        <v>459</v>
      </c>
      <c r="Q4920">
        <v>6</v>
      </c>
      <c r="R4920" s="225">
        <f>Base_Periodo1[[#This Row],[CREDITOS]]-Base_Periodo1[[#This Row],[DEBITOS]]</f>
        <v>0</v>
      </c>
      <c r="S4920" s="3" t="str">
        <f>IF(ISERROR(VLOOKUP(Base_Periodo1[[#This Row],[CONTA]],BaseContasDRE[#All],4,FALSE)),"Fora do DRE",VLOOKUP(Base_Periodo1[[#This Row],[CONTA]],BaseContasDRE[#All],4,FALSE))</f>
        <v>Fora do DRE</v>
      </c>
      <c r="T4920" s="3" t="str">
        <f>IF(ISERROR(VLOOKUP(Base_Periodo1[[#This Row],[CONTA]],BaseContasDRE[#All],5,FALSE)),"Fora do DRE",VLOOKUP(Base_Periodo1[[#This Row],[CONTA]],BaseContasDRE[#All],6,FALSE))</f>
        <v>Fora do DRE</v>
      </c>
      <c r="U4920" s="3" t="str">
        <f>IF(ISERROR(VLOOKUP(Base_Periodo1[[#This Row],[CONTA]],BaseContasDRE[#All],7,FALSE)),"Fora do DRE",VLOOKUP(Base_Periodo1[[#This Row],[CONTA]],BaseContasDRE[#All],7,FALSE))</f>
        <v>Fora do DRE</v>
      </c>
      <c r="V4920" s="3" t="str">
        <f>IF(Base_Periodo1[[#This Row],[Tipo_Linha]]="Fora do DRE","Fora do DRE","( "&amp;Base_Periodo1[[#This Row],[Tipo_Linha]]&amp;" ) "&amp;Base_Periodo1[[#This Row],[Filtro]])</f>
        <v>Fora do DRE</v>
      </c>
      <c r="W4920" s="3" t="str">
        <f>LEFT(Base_Periodo1[[#This Row],[CLASS]],3)</f>
        <v>2.4</v>
      </c>
    </row>
    <row r="4921" spans="1:23" hidden="1">
      <c r="A4921" s="3" t="str">
        <f t="shared" si="76"/>
        <v>Período 1</v>
      </c>
      <c r="B4921">
        <v>19356</v>
      </c>
      <c r="C4921" t="s">
        <v>2300</v>
      </c>
      <c r="D4921" t="s">
        <v>2832</v>
      </c>
      <c r="E4921" s="3" t="str">
        <f>IF(LEN(Base_Periodo1[[#This Row],[CLASS]])&gt;=7,LEFT(Base_Periodo1[[#This Row],[CLASS]],7),"")</f>
        <v>2.4.1.1</v>
      </c>
      <c r="F4921" s="3" t="str">
        <f>VLOOKUP(Base_Periodo1[[#This Row],[Aux]],Base_Contas_Balanco[#All],2,FALSE)</f>
        <v>Capital Social Realizado</v>
      </c>
      <c r="G4921" s="1"/>
      <c r="H4921" s="225">
        <v>383.31999999999994</v>
      </c>
      <c r="I4921" s="225">
        <v>0</v>
      </c>
      <c r="J4921" s="225">
        <v>0</v>
      </c>
      <c r="K4921" s="225">
        <v>383.31999999999994</v>
      </c>
      <c r="L49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383.32</v>
      </c>
      <c r="M4921" s="225">
        <f>ROUND(IF(AND(Base_Periodo1[[#This Row],[Tipo_Linha]]="-",Base_Periodo1[[#This Row],[TIPOSALDO]]="D"),Base_Periodo1[[#This Row],[SALDO_ATUAL]]*-1,Base_Periodo1[[#This Row],[SALDO_ATUAL]]),4)</f>
        <v>383.32</v>
      </c>
      <c r="N4921" t="s">
        <v>116</v>
      </c>
      <c r="O4921" t="s">
        <v>459</v>
      </c>
      <c r="P4921" t="s">
        <v>459</v>
      </c>
      <c r="Q4921">
        <v>6</v>
      </c>
      <c r="R4921" s="225">
        <f>Base_Periodo1[[#This Row],[CREDITOS]]-Base_Periodo1[[#This Row],[DEBITOS]]</f>
        <v>0</v>
      </c>
      <c r="S4921" s="3" t="str">
        <f>IF(ISERROR(VLOOKUP(Base_Periodo1[[#This Row],[CONTA]],BaseContasDRE[#All],4,FALSE)),"Fora do DRE",VLOOKUP(Base_Periodo1[[#This Row],[CONTA]],BaseContasDRE[#All],4,FALSE))</f>
        <v>Fora do DRE</v>
      </c>
      <c r="T4921" s="3" t="str">
        <f>IF(ISERROR(VLOOKUP(Base_Periodo1[[#This Row],[CONTA]],BaseContasDRE[#All],5,FALSE)),"Fora do DRE",VLOOKUP(Base_Periodo1[[#This Row],[CONTA]],BaseContasDRE[#All],6,FALSE))</f>
        <v>Fora do DRE</v>
      </c>
      <c r="U4921" s="3" t="str">
        <f>IF(ISERROR(VLOOKUP(Base_Periodo1[[#This Row],[CONTA]],BaseContasDRE[#All],7,FALSE)),"Fora do DRE",VLOOKUP(Base_Periodo1[[#This Row],[CONTA]],BaseContasDRE[#All],7,FALSE))</f>
        <v>Fora do DRE</v>
      </c>
      <c r="V4921" s="3" t="str">
        <f>IF(Base_Periodo1[[#This Row],[Tipo_Linha]]="Fora do DRE","Fora do DRE","( "&amp;Base_Periodo1[[#This Row],[Tipo_Linha]]&amp;" ) "&amp;Base_Periodo1[[#This Row],[Filtro]])</f>
        <v>Fora do DRE</v>
      </c>
      <c r="W4921" s="3" t="str">
        <f>LEFT(Base_Periodo1[[#This Row],[CLASS]],3)</f>
        <v>2.4</v>
      </c>
    </row>
    <row r="4922" spans="1:23" hidden="1">
      <c r="A4922" s="3" t="str">
        <f t="shared" si="76"/>
        <v>Período 1</v>
      </c>
      <c r="B4922">
        <v>39551</v>
      </c>
      <c r="C4922" t="s">
        <v>2300</v>
      </c>
      <c r="D4922" t="s">
        <v>2833</v>
      </c>
      <c r="E4922" s="3" t="str">
        <f>IF(LEN(Base_Periodo1[[#This Row],[CLASS]])&gt;=7,LEFT(Base_Periodo1[[#This Row],[CLASS]],7),"")</f>
        <v>2.4.1.1</v>
      </c>
      <c r="F4922" s="3" t="str">
        <f>VLOOKUP(Base_Periodo1[[#This Row],[Aux]],Base_Contas_Balanco[#All],2,FALSE)</f>
        <v>Capital Social Realizado</v>
      </c>
      <c r="G4922" s="1"/>
      <c r="H4922" s="225">
        <v>775.56999999999994</v>
      </c>
      <c r="I4922" s="225">
        <v>0</v>
      </c>
      <c r="J4922" s="225">
        <v>0</v>
      </c>
      <c r="K4922" s="225">
        <v>775.56999999999994</v>
      </c>
      <c r="L49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775.57</v>
      </c>
      <c r="M4922" s="225">
        <f>ROUND(IF(AND(Base_Periodo1[[#This Row],[Tipo_Linha]]="-",Base_Periodo1[[#This Row],[TIPOSALDO]]="D"),Base_Periodo1[[#This Row],[SALDO_ATUAL]]*-1,Base_Periodo1[[#This Row],[SALDO_ATUAL]]),4)</f>
        <v>775.57</v>
      </c>
      <c r="N4922" t="s">
        <v>116</v>
      </c>
      <c r="O4922" t="s">
        <v>459</v>
      </c>
      <c r="P4922" t="s">
        <v>459</v>
      </c>
      <c r="Q4922">
        <v>6</v>
      </c>
      <c r="R4922" s="225">
        <f>Base_Periodo1[[#This Row],[CREDITOS]]-Base_Periodo1[[#This Row],[DEBITOS]]</f>
        <v>0</v>
      </c>
      <c r="S4922" s="3" t="str">
        <f>IF(ISERROR(VLOOKUP(Base_Periodo1[[#This Row],[CONTA]],BaseContasDRE[#All],4,FALSE)),"Fora do DRE",VLOOKUP(Base_Periodo1[[#This Row],[CONTA]],BaseContasDRE[#All],4,FALSE))</f>
        <v>Fora do DRE</v>
      </c>
      <c r="T4922" s="3" t="str">
        <f>IF(ISERROR(VLOOKUP(Base_Periodo1[[#This Row],[CONTA]],BaseContasDRE[#All],5,FALSE)),"Fora do DRE",VLOOKUP(Base_Periodo1[[#This Row],[CONTA]],BaseContasDRE[#All],6,FALSE))</f>
        <v>Fora do DRE</v>
      </c>
      <c r="U4922" s="3" t="str">
        <f>IF(ISERROR(VLOOKUP(Base_Periodo1[[#This Row],[CONTA]],BaseContasDRE[#All],7,FALSE)),"Fora do DRE",VLOOKUP(Base_Periodo1[[#This Row],[CONTA]],BaseContasDRE[#All],7,FALSE))</f>
        <v>Fora do DRE</v>
      </c>
      <c r="V4922" s="3" t="str">
        <f>IF(Base_Periodo1[[#This Row],[Tipo_Linha]]="Fora do DRE","Fora do DRE","( "&amp;Base_Periodo1[[#This Row],[Tipo_Linha]]&amp;" ) "&amp;Base_Periodo1[[#This Row],[Filtro]])</f>
        <v>Fora do DRE</v>
      </c>
      <c r="W4922" s="3" t="str">
        <f>LEFT(Base_Periodo1[[#This Row],[CLASS]],3)</f>
        <v>2.4</v>
      </c>
    </row>
    <row r="4923" spans="1:23" hidden="1">
      <c r="A4923" s="3" t="str">
        <f t="shared" si="76"/>
        <v>Período 1</v>
      </c>
      <c r="B4923">
        <v>40729</v>
      </c>
      <c r="C4923" t="s">
        <v>2300</v>
      </c>
      <c r="D4923" t="s">
        <v>2834</v>
      </c>
      <c r="E4923" s="3" t="str">
        <f>IF(LEN(Base_Periodo1[[#This Row],[CLASS]])&gt;=7,LEFT(Base_Periodo1[[#This Row],[CLASS]],7),"")</f>
        <v>2.4.1.1</v>
      </c>
      <c r="F4923" s="3" t="str">
        <f>VLOOKUP(Base_Periodo1[[#This Row],[Aux]],Base_Contas_Balanco[#All],2,FALSE)</f>
        <v>Capital Social Realizado</v>
      </c>
      <c r="G4923" s="1"/>
      <c r="H4923" s="225">
        <v>109.9</v>
      </c>
      <c r="I4923" s="225">
        <v>0</v>
      </c>
      <c r="J4923" s="225">
        <v>0</v>
      </c>
      <c r="K4923" s="225">
        <v>109.9</v>
      </c>
      <c r="L49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109.9</v>
      </c>
      <c r="M4923" s="225">
        <f>ROUND(IF(AND(Base_Periodo1[[#This Row],[Tipo_Linha]]="-",Base_Periodo1[[#This Row],[TIPOSALDO]]="D"),Base_Periodo1[[#This Row],[SALDO_ATUAL]]*-1,Base_Periodo1[[#This Row],[SALDO_ATUAL]]),4)</f>
        <v>109.9</v>
      </c>
      <c r="N4923" t="s">
        <v>116</v>
      </c>
      <c r="O4923" t="s">
        <v>459</v>
      </c>
      <c r="P4923" t="s">
        <v>459</v>
      </c>
      <c r="Q4923">
        <v>6</v>
      </c>
      <c r="R4923" s="225">
        <f>Base_Periodo1[[#This Row],[CREDITOS]]-Base_Periodo1[[#This Row],[DEBITOS]]</f>
        <v>0</v>
      </c>
      <c r="S4923" s="3" t="str">
        <f>IF(ISERROR(VLOOKUP(Base_Periodo1[[#This Row],[CONTA]],BaseContasDRE[#All],4,FALSE)),"Fora do DRE",VLOOKUP(Base_Periodo1[[#This Row],[CONTA]],BaseContasDRE[#All],4,FALSE))</f>
        <v>Fora do DRE</v>
      </c>
      <c r="T4923" s="3" t="str">
        <f>IF(ISERROR(VLOOKUP(Base_Periodo1[[#This Row],[CONTA]],BaseContasDRE[#All],5,FALSE)),"Fora do DRE",VLOOKUP(Base_Periodo1[[#This Row],[CONTA]],BaseContasDRE[#All],6,FALSE))</f>
        <v>Fora do DRE</v>
      </c>
      <c r="U4923" s="3" t="str">
        <f>IF(ISERROR(VLOOKUP(Base_Periodo1[[#This Row],[CONTA]],BaseContasDRE[#All],7,FALSE)),"Fora do DRE",VLOOKUP(Base_Periodo1[[#This Row],[CONTA]],BaseContasDRE[#All],7,FALSE))</f>
        <v>Fora do DRE</v>
      </c>
      <c r="V4923" s="3" t="str">
        <f>IF(Base_Periodo1[[#This Row],[Tipo_Linha]]="Fora do DRE","Fora do DRE","( "&amp;Base_Periodo1[[#This Row],[Tipo_Linha]]&amp;" ) "&amp;Base_Periodo1[[#This Row],[Filtro]])</f>
        <v>Fora do DRE</v>
      </c>
      <c r="W4923" s="3" t="str">
        <f>LEFT(Base_Periodo1[[#This Row],[CLASS]],3)</f>
        <v>2.4</v>
      </c>
    </row>
    <row r="4924" spans="1:23" hidden="1">
      <c r="A4924" s="3" t="str">
        <f t="shared" si="76"/>
        <v>Período 1</v>
      </c>
      <c r="B4924">
        <v>47713</v>
      </c>
      <c r="C4924" t="s">
        <v>2300</v>
      </c>
      <c r="D4924" t="s">
        <v>2835</v>
      </c>
      <c r="E4924" s="3" t="str">
        <f>IF(LEN(Base_Periodo1[[#This Row],[CLASS]])&gt;=7,LEFT(Base_Periodo1[[#This Row],[CLASS]],7),"")</f>
        <v>2.4.1.1</v>
      </c>
      <c r="F4924" s="3" t="str">
        <f>VLOOKUP(Base_Periodo1[[#This Row],[Aux]],Base_Contas_Balanco[#All],2,FALSE)</f>
        <v>Capital Social Realizado</v>
      </c>
      <c r="G4924" s="1"/>
      <c r="H4924" s="225">
        <v>75.5</v>
      </c>
      <c r="I4924" s="225">
        <v>0</v>
      </c>
      <c r="J4924" s="225">
        <v>0</v>
      </c>
      <c r="K4924" s="225">
        <v>75.5</v>
      </c>
      <c r="L49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75.5</v>
      </c>
      <c r="M4924" s="225">
        <f>ROUND(IF(AND(Base_Periodo1[[#This Row],[Tipo_Linha]]="-",Base_Periodo1[[#This Row],[TIPOSALDO]]="D"),Base_Periodo1[[#This Row],[SALDO_ATUAL]]*-1,Base_Periodo1[[#This Row],[SALDO_ATUAL]]),4)</f>
        <v>75.5</v>
      </c>
      <c r="N4924" t="s">
        <v>116</v>
      </c>
      <c r="O4924" t="s">
        <v>459</v>
      </c>
      <c r="P4924" t="s">
        <v>459</v>
      </c>
      <c r="Q4924">
        <v>6</v>
      </c>
      <c r="R4924" s="225">
        <f>Base_Periodo1[[#This Row],[CREDITOS]]-Base_Periodo1[[#This Row],[DEBITOS]]</f>
        <v>0</v>
      </c>
      <c r="S4924" s="3" t="str">
        <f>IF(ISERROR(VLOOKUP(Base_Periodo1[[#This Row],[CONTA]],BaseContasDRE[#All],4,FALSE)),"Fora do DRE",VLOOKUP(Base_Periodo1[[#This Row],[CONTA]],BaseContasDRE[#All],4,FALSE))</f>
        <v>Fora do DRE</v>
      </c>
      <c r="T4924" s="3" t="str">
        <f>IF(ISERROR(VLOOKUP(Base_Periodo1[[#This Row],[CONTA]],BaseContasDRE[#All],5,FALSE)),"Fora do DRE",VLOOKUP(Base_Periodo1[[#This Row],[CONTA]],BaseContasDRE[#All],6,FALSE))</f>
        <v>Fora do DRE</v>
      </c>
      <c r="U4924" s="3" t="str">
        <f>IF(ISERROR(VLOOKUP(Base_Periodo1[[#This Row],[CONTA]],BaseContasDRE[#All],7,FALSE)),"Fora do DRE",VLOOKUP(Base_Periodo1[[#This Row],[CONTA]],BaseContasDRE[#All],7,FALSE))</f>
        <v>Fora do DRE</v>
      </c>
      <c r="V4924" s="3" t="str">
        <f>IF(Base_Periodo1[[#This Row],[Tipo_Linha]]="Fora do DRE","Fora do DRE","( "&amp;Base_Periodo1[[#This Row],[Tipo_Linha]]&amp;" ) "&amp;Base_Periodo1[[#This Row],[Filtro]])</f>
        <v>Fora do DRE</v>
      </c>
      <c r="W4924" s="3" t="str">
        <f>LEFT(Base_Periodo1[[#This Row],[CLASS]],3)</f>
        <v>2.4</v>
      </c>
    </row>
    <row r="4925" spans="1:23" hidden="1">
      <c r="A4925" s="3" t="str">
        <f t="shared" si="76"/>
        <v>Período 1</v>
      </c>
      <c r="B4925">
        <v>21224</v>
      </c>
      <c r="C4925" t="s">
        <v>2300</v>
      </c>
      <c r="D4925" t="s">
        <v>2836</v>
      </c>
      <c r="E4925" s="3" t="str">
        <f>IF(LEN(Base_Periodo1[[#This Row],[CLASS]])&gt;=7,LEFT(Base_Periodo1[[#This Row],[CLASS]],7),"")</f>
        <v>2.4.1.1</v>
      </c>
      <c r="F4925" s="3" t="str">
        <f>VLOOKUP(Base_Periodo1[[#This Row],[Aux]],Base_Contas_Balanco[#All],2,FALSE)</f>
        <v>Capital Social Realizado</v>
      </c>
      <c r="G4925" s="1"/>
      <c r="H4925" s="225">
        <v>1187.45</v>
      </c>
      <c r="I4925" s="225">
        <v>0</v>
      </c>
      <c r="J4925" s="225">
        <v>0</v>
      </c>
      <c r="K4925" s="225">
        <v>1187.45</v>
      </c>
      <c r="L49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1187.45</v>
      </c>
      <c r="M4925" s="225">
        <f>ROUND(IF(AND(Base_Periodo1[[#This Row],[Tipo_Linha]]="-",Base_Periodo1[[#This Row],[TIPOSALDO]]="D"),Base_Periodo1[[#This Row],[SALDO_ATUAL]]*-1,Base_Periodo1[[#This Row],[SALDO_ATUAL]]),4)</f>
        <v>1187.45</v>
      </c>
      <c r="N4925" t="s">
        <v>116</v>
      </c>
      <c r="O4925" t="s">
        <v>459</v>
      </c>
      <c r="P4925" t="s">
        <v>459</v>
      </c>
      <c r="Q4925">
        <v>6</v>
      </c>
      <c r="R4925" s="225">
        <f>Base_Periodo1[[#This Row],[CREDITOS]]-Base_Periodo1[[#This Row],[DEBITOS]]</f>
        <v>0</v>
      </c>
      <c r="S4925" s="3" t="str">
        <f>IF(ISERROR(VLOOKUP(Base_Periodo1[[#This Row],[CONTA]],BaseContasDRE[#All],4,FALSE)),"Fora do DRE",VLOOKUP(Base_Periodo1[[#This Row],[CONTA]],BaseContasDRE[#All],4,FALSE))</f>
        <v>Fora do DRE</v>
      </c>
      <c r="T4925" s="3" t="str">
        <f>IF(ISERROR(VLOOKUP(Base_Periodo1[[#This Row],[CONTA]],BaseContasDRE[#All],5,FALSE)),"Fora do DRE",VLOOKUP(Base_Periodo1[[#This Row],[CONTA]],BaseContasDRE[#All],6,FALSE))</f>
        <v>Fora do DRE</v>
      </c>
      <c r="U4925" s="3" t="str">
        <f>IF(ISERROR(VLOOKUP(Base_Periodo1[[#This Row],[CONTA]],BaseContasDRE[#All],7,FALSE)),"Fora do DRE",VLOOKUP(Base_Periodo1[[#This Row],[CONTA]],BaseContasDRE[#All],7,FALSE))</f>
        <v>Fora do DRE</v>
      </c>
      <c r="V4925" s="3" t="str">
        <f>IF(Base_Periodo1[[#This Row],[Tipo_Linha]]="Fora do DRE","Fora do DRE","( "&amp;Base_Periodo1[[#This Row],[Tipo_Linha]]&amp;" ) "&amp;Base_Periodo1[[#This Row],[Filtro]])</f>
        <v>Fora do DRE</v>
      </c>
      <c r="W4925" s="3" t="str">
        <f>LEFT(Base_Periodo1[[#This Row],[CLASS]],3)</f>
        <v>2.4</v>
      </c>
    </row>
    <row r="4926" spans="1:23" hidden="1">
      <c r="A4926" s="3" t="str">
        <f t="shared" si="76"/>
        <v>Período 1</v>
      </c>
      <c r="B4926">
        <v>19305</v>
      </c>
      <c r="C4926" t="s">
        <v>2300</v>
      </c>
      <c r="D4926" t="s">
        <v>2837</v>
      </c>
      <c r="E4926" s="3" t="str">
        <f>IF(LEN(Base_Periodo1[[#This Row],[CLASS]])&gt;=7,LEFT(Base_Periodo1[[#This Row],[CLASS]],7),"")</f>
        <v>2.4.1.1</v>
      </c>
      <c r="F4926" s="3" t="str">
        <f>VLOOKUP(Base_Periodo1[[#This Row],[Aux]],Base_Contas_Balanco[#All],2,FALSE)</f>
        <v>Capital Social Realizado</v>
      </c>
      <c r="G4926" s="1"/>
      <c r="H4926" s="225">
        <v>5414.22</v>
      </c>
      <c r="I4926" s="225">
        <v>0</v>
      </c>
      <c r="J4926" s="225">
        <v>0</v>
      </c>
      <c r="K4926" s="225">
        <v>5414.22</v>
      </c>
      <c r="L49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5414.22</v>
      </c>
      <c r="M4926" s="225">
        <f>ROUND(IF(AND(Base_Periodo1[[#This Row],[Tipo_Linha]]="-",Base_Periodo1[[#This Row],[TIPOSALDO]]="D"),Base_Periodo1[[#This Row],[SALDO_ATUAL]]*-1,Base_Periodo1[[#This Row],[SALDO_ATUAL]]),4)</f>
        <v>5414.22</v>
      </c>
      <c r="N4926" t="s">
        <v>116</v>
      </c>
      <c r="O4926" t="s">
        <v>459</v>
      </c>
      <c r="P4926" t="s">
        <v>459</v>
      </c>
      <c r="Q4926">
        <v>6</v>
      </c>
      <c r="R4926" s="225">
        <f>Base_Periodo1[[#This Row],[CREDITOS]]-Base_Periodo1[[#This Row],[DEBITOS]]</f>
        <v>0</v>
      </c>
      <c r="S4926" s="3" t="str">
        <f>IF(ISERROR(VLOOKUP(Base_Periodo1[[#This Row],[CONTA]],BaseContasDRE[#All],4,FALSE)),"Fora do DRE",VLOOKUP(Base_Periodo1[[#This Row],[CONTA]],BaseContasDRE[#All],4,FALSE))</f>
        <v>Fora do DRE</v>
      </c>
      <c r="T4926" s="3" t="str">
        <f>IF(ISERROR(VLOOKUP(Base_Periodo1[[#This Row],[CONTA]],BaseContasDRE[#All],5,FALSE)),"Fora do DRE",VLOOKUP(Base_Periodo1[[#This Row],[CONTA]],BaseContasDRE[#All],6,FALSE))</f>
        <v>Fora do DRE</v>
      </c>
      <c r="U4926" s="3" t="str">
        <f>IF(ISERROR(VLOOKUP(Base_Periodo1[[#This Row],[CONTA]],BaseContasDRE[#All],7,FALSE)),"Fora do DRE",VLOOKUP(Base_Periodo1[[#This Row],[CONTA]],BaseContasDRE[#All],7,FALSE))</f>
        <v>Fora do DRE</v>
      </c>
      <c r="V4926" s="3" t="str">
        <f>IF(Base_Periodo1[[#This Row],[Tipo_Linha]]="Fora do DRE","Fora do DRE","( "&amp;Base_Periodo1[[#This Row],[Tipo_Linha]]&amp;" ) "&amp;Base_Periodo1[[#This Row],[Filtro]])</f>
        <v>Fora do DRE</v>
      </c>
      <c r="W4926" s="3" t="str">
        <f>LEFT(Base_Periodo1[[#This Row],[CLASS]],3)</f>
        <v>2.4</v>
      </c>
    </row>
    <row r="4927" spans="1:23" hidden="1">
      <c r="A4927" s="3" t="str">
        <f t="shared" si="76"/>
        <v>Período 1</v>
      </c>
      <c r="B4927">
        <v>24595</v>
      </c>
      <c r="C4927" t="s">
        <v>2300</v>
      </c>
      <c r="D4927" t="s">
        <v>2838</v>
      </c>
      <c r="E4927" s="3" t="str">
        <f>IF(LEN(Base_Periodo1[[#This Row],[CLASS]])&gt;=7,LEFT(Base_Periodo1[[#This Row],[CLASS]],7),"")</f>
        <v>2.4.1.1</v>
      </c>
      <c r="F4927" s="3" t="str">
        <f>VLOOKUP(Base_Periodo1[[#This Row],[Aux]],Base_Contas_Balanco[#All],2,FALSE)</f>
        <v>Capital Social Realizado</v>
      </c>
      <c r="G4927" s="1"/>
      <c r="H4927" s="225">
        <v>5661.49</v>
      </c>
      <c r="I4927" s="225">
        <v>0</v>
      </c>
      <c r="J4927" s="225">
        <v>0</v>
      </c>
      <c r="K4927" s="225">
        <v>5661.49</v>
      </c>
      <c r="L49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5661.49</v>
      </c>
      <c r="M4927" s="225">
        <f>ROUND(IF(AND(Base_Periodo1[[#This Row],[Tipo_Linha]]="-",Base_Periodo1[[#This Row],[TIPOSALDO]]="D"),Base_Periodo1[[#This Row],[SALDO_ATUAL]]*-1,Base_Periodo1[[#This Row],[SALDO_ATUAL]]),4)</f>
        <v>5661.49</v>
      </c>
      <c r="N4927" t="s">
        <v>116</v>
      </c>
      <c r="O4927" t="s">
        <v>459</v>
      </c>
      <c r="P4927" t="s">
        <v>459</v>
      </c>
      <c r="Q4927">
        <v>6</v>
      </c>
      <c r="R4927" s="225">
        <f>Base_Periodo1[[#This Row],[CREDITOS]]-Base_Periodo1[[#This Row],[DEBITOS]]</f>
        <v>0</v>
      </c>
      <c r="S4927" s="3" t="str">
        <f>IF(ISERROR(VLOOKUP(Base_Periodo1[[#This Row],[CONTA]],BaseContasDRE[#All],4,FALSE)),"Fora do DRE",VLOOKUP(Base_Periodo1[[#This Row],[CONTA]],BaseContasDRE[#All],4,FALSE))</f>
        <v>Fora do DRE</v>
      </c>
      <c r="T4927" s="3" t="str">
        <f>IF(ISERROR(VLOOKUP(Base_Periodo1[[#This Row],[CONTA]],BaseContasDRE[#All],5,FALSE)),"Fora do DRE",VLOOKUP(Base_Periodo1[[#This Row],[CONTA]],BaseContasDRE[#All],6,FALSE))</f>
        <v>Fora do DRE</v>
      </c>
      <c r="U4927" s="3" t="str">
        <f>IF(ISERROR(VLOOKUP(Base_Periodo1[[#This Row],[CONTA]],BaseContasDRE[#All],7,FALSE)),"Fora do DRE",VLOOKUP(Base_Periodo1[[#This Row],[CONTA]],BaseContasDRE[#All],7,FALSE))</f>
        <v>Fora do DRE</v>
      </c>
      <c r="V4927" s="3" t="str">
        <f>IF(Base_Periodo1[[#This Row],[Tipo_Linha]]="Fora do DRE","Fora do DRE","( "&amp;Base_Periodo1[[#This Row],[Tipo_Linha]]&amp;" ) "&amp;Base_Periodo1[[#This Row],[Filtro]])</f>
        <v>Fora do DRE</v>
      </c>
      <c r="W4927" s="3" t="str">
        <f>LEFT(Base_Periodo1[[#This Row],[CLASS]],3)</f>
        <v>2.4</v>
      </c>
    </row>
    <row r="4928" spans="1:23" hidden="1">
      <c r="A4928" s="3" t="str">
        <f t="shared" si="76"/>
        <v>Período 1</v>
      </c>
      <c r="B4928">
        <v>29678</v>
      </c>
      <c r="C4928" t="s">
        <v>2300</v>
      </c>
      <c r="D4928" t="s">
        <v>2839</v>
      </c>
      <c r="E4928" s="3" t="str">
        <f>IF(LEN(Base_Periodo1[[#This Row],[CLASS]])&gt;=7,LEFT(Base_Periodo1[[#This Row],[CLASS]],7),"")</f>
        <v>2.4.1.1</v>
      </c>
      <c r="F4928" s="3" t="str">
        <f>VLOOKUP(Base_Periodo1[[#This Row],[Aux]],Base_Contas_Balanco[#All],2,FALSE)</f>
        <v>Capital Social Realizado</v>
      </c>
      <c r="G4928" s="1"/>
      <c r="H4928" s="225">
        <v>50</v>
      </c>
      <c r="I4928" s="225">
        <v>0</v>
      </c>
      <c r="J4928" s="225">
        <v>0</v>
      </c>
      <c r="K4928" s="225">
        <v>50</v>
      </c>
      <c r="L49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928" s="225">
        <f>ROUND(IF(AND(Base_Periodo1[[#This Row],[Tipo_Linha]]="-",Base_Periodo1[[#This Row],[TIPOSALDO]]="D"),Base_Periodo1[[#This Row],[SALDO_ATUAL]]*-1,Base_Periodo1[[#This Row],[SALDO_ATUAL]]),4)</f>
        <v>50</v>
      </c>
      <c r="N4928" t="s">
        <v>116</v>
      </c>
      <c r="O4928" t="s">
        <v>459</v>
      </c>
      <c r="P4928" t="s">
        <v>459</v>
      </c>
      <c r="Q4928">
        <v>6</v>
      </c>
      <c r="R4928" s="225">
        <f>Base_Periodo1[[#This Row],[CREDITOS]]-Base_Periodo1[[#This Row],[DEBITOS]]</f>
        <v>0</v>
      </c>
      <c r="S4928" s="3" t="str">
        <f>IF(ISERROR(VLOOKUP(Base_Periodo1[[#This Row],[CONTA]],BaseContasDRE[#All],4,FALSE)),"Fora do DRE",VLOOKUP(Base_Periodo1[[#This Row],[CONTA]],BaseContasDRE[#All],4,FALSE))</f>
        <v>Fora do DRE</v>
      </c>
      <c r="T4928" s="3" t="str">
        <f>IF(ISERROR(VLOOKUP(Base_Periodo1[[#This Row],[CONTA]],BaseContasDRE[#All],5,FALSE)),"Fora do DRE",VLOOKUP(Base_Periodo1[[#This Row],[CONTA]],BaseContasDRE[#All],6,FALSE))</f>
        <v>Fora do DRE</v>
      </c>
      <c r="U4928" s="3" t="str">
        <f>IF(ISERROR(VLOOKUP(Base_Periodo1[[#This Row],[CONTA]],BaseContasDRE[#All],7,FALSE)),"Fora do DRE",VLOOKUP(Base_Periodo1[[#This Row],[CONTA]],BaseContasDRE[#All],7,FALSE))</f>
        <v>Fora do DRE</v>
      </c>
      <c r="V4928" s="3" t="str">
        <f>IF(Base_Periodo1[[#This Row],[Tipo_Linha]]="Fora do DRE","Fora do DRE","( "&amp;Base_Periodo1[[#This Row],[Tipo_Linha]]&amp;" ) "&amp;Base_Periodo1[[#This Row],[Filtro]])</f>
        <v>Fora do DRE</v>
      </c>
      <c r="W4928" s="3" t="str">
        <f>LEFT(Base_Periodo1[[#This Row],[CLASS]],3)</f>
        <v>2.4</v>
      </c>
    </row>
    <row r="4929" spans="1:23" hidden="1">
      <c r="A4929" s="3" t="str">
        <f t="shared" si="76"/>
        <v>Período 1</v>
      </c>
      <c r="B4929">
        <v>26944</v>
      </c>
      <c r="C4929" t="s">
        <v>2300</v>
      </c>
      <c r="D4929" t="s">
        <v>2840</v>
      </c>
      <c r="E4929" s="3" t="str">
        <f>IF(LEN(Base_Periodo1[[#This Row],[CLASS]])&gt;=7,LEFT(Base_Periodo1[[#This Row],[CLASS]],7),"")</f>
        <v>2.4.1.1</v>
      </c>
      <c r="F4929" s="3" t="str">
        <f>VLOOKUP(Base_Periodo1[[#This Row],[Aux]],Base_Contas_Balanco[#All],2,FALSE)</f>
        <v>Capital Social Realizado</v>
      </c>
      <c r="G4929" s="1"/>
      <c r="H4929" s="225">
        <v>50</v>
      </c>
      <c r="I4929" s="225">
        <v>0</v>
      </c>
      <c r="J4929" s="225">
        <v>0</v>
      </c>
      <c r="K4929" s="225">
        <v>50</v>
      </c>
      <c r="L49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929" s="225">
        <f>ROUND(IF(AND(Base_Periodo1[[#This Row],[Tipo_Linha]]="-",Base_Periodo1[[#This Row],[TIPOSALDO]]="D"),Base_Periodo1[[#This Row],[SALDO_ATUAL]]*-1,Base_Periodo1[[#This Row],[SALDO_ATUAL]]),4)</f>
        <v>50</v>
      </c>
      <c r="N4929" t="s">
        <v>116</v>
      </c>
      <c r="O4929" t="s">
        <v>459</v>
      </c>
      <c r="P4929" t="s">
        <v>459</v>
      </c>
      <c r="Q4929">
        <v>6</v>
      </c>
      <c r="R4929" s="225">
        <f>Base_Periodo1[[#This Row],[CREDITOS]]-Base_Periodo1[[#This Row],[DEBITOS]]</f>
        <v>0</v>
      </c>
      <c r="S4929" s="3" t="str">
        <f>IF(ISERROR(VLOOKUP(Base_Periodo1[[#This Row],[CONTA]],BaseContasDRE[#All],4,FALSE)),"Fora do DRE",VLOOKUP(Base_Periodo1[[#This Row],[CONTA]],BaseContasDRE[#All],4,FALSE))</f>
        <v>Fora do DRE</v>
      </c>
      <c r="T4929" s="3" t="str">
        <f>IF(ISERROR(VLOOKUP(Base_Periodo1[[#This Row],[CONTA]],BaseContasDRE[#All],5,FALSE)),"Fora do DRE",VLOOKUP(Base_Periodo1[[#This Row],[CONTA]],BaseContasDRE[#All],6,FALSE))</f>
        <v>Fora do DRE</v>
      </c>
      <c r="U4929" s="3" t="str">
        <f>IF(ISERROR(VLOOKUP(Base_Periodo1[[#This Row],[CONTA]],BaseContasDRE[#All],7,FALSE)),"Fora do DRE",VLOOKUP(Base_Periodo1[[#This Row],[CONTA]],BaseContasDRE[#All],7,FALSE))</f>
        <v>Fora do DRE</v>
      </c>
      <c r="V4929" s="3" t="str">
        <f>IF(Base_Periodo1[[#This Row],[Tipo_Linha]]="Fora do DRE","Fora do DRE","( "&amp;Base_Periodo1[[#This Row],[Tipo_Linha]]&amp;" ) "&amp;Base_Periodo1[[#This Row],[Filtro]])</f>
        <v>Fora do DRE</v>
      </c>
      <c r="W4929" s="3" t="str">
        <f>LEFT(Base_Periodo1[[#This Row],[CLASS]],3)</f>
        <v>2.4</v>
      </c>
    </row>
    <row r="4930" spans="1:23" hidden="1">
      <c r="A4930" s="3" t="str">
        <f t="shared" si="76"/>
        <v>Período 1</v>
      </c>
      <c r="B4930">
        <v>19761</v>
      </c>
      <c r="C4930" t="s">
        <v>2300</v>
      </c>
      <c r="D4930" t="s">
        <v>2841</v>
      </c>
      <c r="E4930" s="3" t="str">
        <f>IF(LEN(Base_Periodo1[[#This Row],[CLASS]])&gt;=7,LEFT(Base_Periodo1[[#This Row],[CLASS]],7),"")</f>
        <v>2.4.1.1</v>
      </c>
      <c r="F4930" s="3" t="str">
        <f>VLOOKUP(Base_Periodo1[[#This Row],[Aux]],Base_Contas_Balanco[#All],2,FALSE)</f>
        <v>Capital Social Realizado</v>
      </c>
      <c r="G4930" s="1"/>
      <c r="H4930" s="225">
        <v>274.47000000000003</v>
      </c>
      <c r="I4930" s="225">
        <v>0</v>
      </c>
      <c r="J4930" s="225">
        <v>0</v>
      </c>
      <c r="K4930" s="225">
        <v>274.47000000000003</v>
      </c>
      <c r="L49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274.47000000000003</v>
      </c>
      <c r="M4930" s="225">
        <f>ROUND(IF(AND(Base_Periodo1[[#This Row],[Tipo_Linha]]="-",Base_Periodo1[[#This Row],[TIPOSALDO]]="D"),Base_Periodo1[[#This Row],[SALDO_ATUAL]]*-1,Base_Periodo1[[#This Row],[SALDO_ATUAL]]),4)</f>
        <v>274.47000000000003</v>
      </c>
      <c r="N4930" t="s">
        <v>116</v>
      </c>
      <c r="O4930" t="s">
        <v>459</v>
      </c>
      <c r="P4930" t="s">
        <v>459</v>
      </c>
      <c r="Q4930">
        <v>6</v>
      </c>
      <c r="R4930" s="225">
        <f>Base_Periodo1[[#This Row],[CREDITOS]]-Base_Periodo1[[#This Row],[DEBITOS]]</f>
        <v>0</v>
      </c>
      <c r="S4930" s="3" t="str">
        <f>IF(ISERROR(VLOOKUP(Base_Periodo1[[#This Row],[CONTA]],BaseContasDRE[#All],4,FALSE)),"Fora do DRE",VLOOKUP(Base_Periodo1[[#This Row],[CONTA]],BaseContasDRE[#All],4,FALSE))</f>
        <v>Fora do DRE</v>
      </c>
      <c r="T4930" s="3" t="str">
        <f>IF(ISERROR(VLOOKUP(Base_Periodo1[[#This Row],[CONTA]],BaseContasDRE[#All],5,FALSE)),"Fora do DRE",VLOOKUP(Base_Periodo1[[#This Row],[CONTA]],BaseContasDRE[#All],6,FALSE))</f>
        <v>Fora do DRE</v>
      </c>
      <c r="U4930" s="3" t="str">
        <f>IF(ISERROR(VLOOKUP(Base_Periodo1[[#This Row],[CONTA]],BaseContasDRE[#All],7,FALSE)),"Fora do DRE",VLOOKUP(Base_Periodo1[[#This Row],[CONTA]],BaseContasDRE[#All],7,FALSE))</f>
        <v>Fora do DRE</v>
      </c>
      <c r="V4930" s="3" t="str">
        <f>IF(Base_Periodo1[[#This Row],[Tipo_Linha]]="Fora do DRE","Fora do DRE","( "&amp;Base_Periodo1[[#This Row],[Tipo_Linha]]&amp;" ) "&amp;Base_Periodo1[[#This Row],[Filtro]])</f>
        <v>Fora do DRE</v>
      </c>
      <c r="W4930" s="3" t="str">
        <f>LEFT(Base_Periodo1[[#This Row],[CLASS]],3)</f>
        <v>2.4</v>
      </c>
    </row>
    <row r="4931" spans="1:23" hidden="1">
      <c r="A4931" s="3" t="str">
        <f t="shared" si="76"/>
        <v>Período 1</v>
      </c>
      <c r="B4931">
        <v>25532</v>
      </c>
      <c r="C4931" t="s">
        <v>2300</v>
      </c>
      <c r="D4931" t="s">
        <v>2842</v>
      </c>
      <c r="E4931" s="3" t="str">
        <f>IF(LEN(Base_Periodo1[[#This Row],[CLASS]])&gt;=7,LEFT(Base_Periodo1[[#This Row],[CLASS]],7),"")</f>
        <v>2.4.1.1</v>
      </c>
      <c r="F4931" s="3" t="str">
        <f>VLOOKUP(Base_Periodo1[[#This Row],[Aux]],Base_Contas_Balanco[#All],2,FALSE)</f>
        <v>Capital Social Realizado</v>
      </c>
      <c r="G4931" s="1"/>
      <c r="H4931" s="225">
        <v>67.210000000000008</v>
      </c>
      <c r="I4931" s="225">
        <v>0</v>
      </c>
      <c r="J4931" s="225">
        <v>0</v>
      </c>
      <c r="K4931" s="225">
        <v>67.210000000000008</v>
      </c>
      <c r="L49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67.209999999999994</v>
      </c>
      <c r="M4931" s="225">
        <f>ROUND(IF(AND(Base_Periodo1[[#This Row],[Tipo_Linha]]="-",Base_Periodo1[[#This Row],[TIPOSALDO]]="D"),Base_Periodo1[[#This Row],[SALDO_ATUAL]]*-1,Base_Periodo1[[#This Row],[SALDO_ATUAL]]),4)</f>
        <v>67.209999999999994</v>
      </c>
      <c r="N4931" t="s">
        <v>116</v>
      </c>
      <c r="O4931" t="s">
        <v>459</v>
      </c>
      <c r="P4931" t="s">
        <v>459</v>
      </c>
      <c r="Q4931">
        <v>6</v>
      </c>
      <c r="R4931" s="225">
        <f>Base_Periodo1[[#This Row],[CREDITOS]]-Base_Periodo1[[#This Row],[DEBITOS]]</f>
        <v>0</v>
      </c>
      <c r="S4931" s="3" t="str">
        <f>IF(ISERROR(VLOOKUP(Base_Periodo1[[#This Row],[CONTA]],BaseContasDRE[#All],4,FALSE)),"Fora do DRE",VLOOKUP(Base_Periodo1[[#This Row],[CONTA]],BaseContasDRE[#All],4,FALSE))</f>
        <v>Fora do DRE</v>
      </c>
      <c r="T4931" s="3" t="str">
        <f>IF(ISERROR(VLOOKUP(Base_Periodo1[[#This Row],[CONTA]],BaseContasDRE[#All],5,FALSE)),"Fora do DRE",VLOOKUP(Base_Periodo1[[#This Row],[CONTA]],BaseContasDRE[#All],6,FALSE))</f>
        <v>Fora do DRE</v>
      </c>
      <c r="U4931" s="3" t="str">
        <f>IF(ISERROR(VLOOKUP(Base_Periodo1[[#This Row],[CONTA]],BaseContasDRE[#All],7,FALSE)),"Fora do DRE",VLOOKUP(Base_Periodo1[[#This Row],[CONTA]],BaseContasDRE[#All],7,FALSE))</f>
        <v>Fora do DRE</v>
      </c>
      <c r="V4931" s="3" t="str">
        <f>IF(Base_Periodo1[[#This Row],[Tipo_Linha]]="Fora do DRE","Fora do DRE","( "&amp;Base_Periodo1[[#This Row],[Tipo_Linha]]&amp;" ) "&amp;Base_Periodo1[[#This Row],[Filtro]])</f>
        <v>Fora do DRE</v>
      </c>
      <c r="W4931" s="3" t="str">
        <f>LEFT(Base_Periodo1[[#This Row],[CLASS]],3)</f>
        <v>2.4</v>
      </c>
    </row>
    <row r="4932" spans="1:23" hidden="1">
      <c r="A4932" s="3" t="str">
        <f t="shared" si="76"/>
        <v>Período 1</v>
      </c>
      <c r="B4932">
        <v>19298</v>
      </c>
      <c r="C4932" t="s">
        <v>2300</v>
      </c>
      <c r="D4932" t="s">
        <v>2843</v>
      </c>
      <c r="E4932" s="3" t="str">
        <f>IF(LEN(Base_Periodo1[[#This Row],[CLASS]])&gt;=7,LEFT(Base_Periodo1[[#This Row],[CLASS]],7),"")</f>
        <v>2.4.1.1</v>
      </c>
      <c r="F4932" s="3" t="str">
        <f>VLOOKUP(Base_Periodo1[[#This Row],[Aux]],Base_Contas_Balanco[#All],2,FALSE)</f>
        <v>Capital Social Realizado</v>
      </c>
      <c r="G4932" s="1"/>
      <c r="H4932" s="225">
        <v>786.79</v>
      </c>
      <c r="I4932" s="225">
        <v>0</v>
      </c>
      <c r="J4932" s="225">
        <v>0</v>
      </c>
      <c r="K4932" s="225">
        <v>786.79</v>
      </c>
      <c r="L49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786.79</v>
      </c>
      <c r="M4932" s="225">
        <f>ROUND(IF(AND(Base_Periodo1[[#This Row],[Tipo_Linha]]="-",Base_Periodo1[[#This Row],[TIPOSALDO]]="D"),Base_Periodo1[[#This Row],[SALDO_ATUAL]]*-1,Base_Periodo1[[#This Row],[SALDO_ATUAL]]),4)</f>
        <v>786.79</v>
      </c>
      <c r="N4932" t="s">
        <v>116</v>
      </c>
      <c r="O4932" t="s">
        <v>459</v>
      </c>
      <c r="P4932" t="s">
        <v>459</v>
      </c>
      <c r="Q4932">
        <v>6</v>
      </c>
      <c r="R4932" s="225">
        <f>Base_Periodo1[[#This Row],[CREDITOS]]-Base_Periodo1[[#This Row],[DEBITOS]]</f>
        <v>0</v>
      </c>
      <c r="S4932" s="3" t="str">
        <f>IF(ISERROR(VLOOKUP(Base_Periodo1[[#This Row],[CONTA]],BaseContasDRE[#All],4,FALSE)),"Fora do DRE",VLOOKUP(Base_Periodo1[[#This Row],[CONTA]],BaseContasDRE[#All],4,FALSE))</f>
        <v>Fora do DRE</v>
      </c>
      <c r="T4932" s="3" t="str">
        <f>IF(ISERROR(VLOOKUP(Base_Periodo1[[#This Row],[CONTA]],BaseContasDRE[#All],5,FALSE)),"Fora do DRE",VLOOKUP(Base_Periodo1[[#This Row],[CONTA]],BaseContasDRE[#All],6,FALSE))</f>
        <v>Fora do DRE</v>
      </c>
      <c r="U4932" s="3" t="str">
        <f>IF(ISERROR(VLOOKUP(Base_Periodo1[[#This Row],[CONTA]],BaseContasDRE[#All],7,FALSE)),"Fora do DRE",VLOOKUP(Base_Periodo1[[#This Row],[CONTA]],BaseContasDRE[#All],7,FALSE))</f>
        <v>Fora do DRE</v>
      </c>
      <c r="V4932" s="3" t="str">
        <f>IF(Base_Periodo1[[#This Row],[Tipo_Linha]]="Fora do DRE","Fora do DRE","( "&amp;Base_Periodo1[[#This Row],[Tipo_Linha]]&amp;" ) "&amp;Base_Periodo1[[#This Row],[Filtro]])</f>
        <v>Fora do DRE</v>
      </c>
      <c r="W4932" s="3" t="str">
        <f>LEFT(Base_Periodo1[[#This Row],[CLASS]],3)</f>
        <v>2.4</v>
      </c>
    </row>
    <row r="4933" spans="1:23" hidden="1">
      <c r="A4933" s="3" t="str">
        <f t="shared" si="76"/>
        <v>Período 1</v>
      </c>
      <c r="B4933">
        <v>16234</v>
      </c>
      <c r="C4933" t="s">
        <v>2300</v>
      </c>
      <c r="D4933" t="s">
        <v>2844</v>
      </c>
      <c r="E4933" s="3" t="str">
        <f>IF(LEN(Base_Periodo1[[#This Row],[CLASS]])&gt;=7,LEFT(Base_Periodo1[[#This Row],[CLASS]],7),"")</f>
        <v>2.4.1.1</v>
      </c>
      <c r="F4933" s="3" t="str">
        <f>VLOOKUP(Base_Periodo1[[#This Row],[Aux]],Base_Contas_Balanco[#All],2,FALSE)</f>
        <v>Capital Social Realizado</v>
      </c>
      <c r="G4933" s="1"/>
      <c r="H4933" s="225">
        <v>1557.3600000000001</v>
      </c>
      <c r="I4933" s="225">
        <v>0</v>
      </c>
      <c r="J4933" s="225">
        <v>0</v>
      </c>
      <c r="K4933" s="225">
        <v>1557.3600000000001</v>
      </c>
      <c r="L49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1557.36</v>
      </c>
      <c r="M4933" s="225">
        <f>ROUND(IF(AND(Base_Periodo1[[#This Row],[Tipo_Linha]]="-",Base_Periodo1[[#This Row],[TIPOSALDO]]="D"),Base_Periodo1[[#This Row],[SALDO_ATUAL]]*-1,Base_Periodo1[[#This Row],[SALDO_ATUAL]]),4)</f>
        <v>1557.36</v>
      </c>
      <c r="N4933" t="s">
        <v>116</v>
      </c>
      <c r="O4933" t="s">
        <v>459</v>
      </c>
      <c r="P4933" t="s">
        <v>459</v>
      </c>
      <c r="Q4933">
        <v>6</v>
      </c>
      <c r="R4933" s="225">
        <f>Base_Periodo1[[#This Row],[CREDITOS]]-Base_Periodo1[[#This Row],[DEBITOS]]</f>
        <v>0</v>
      </c>
      <c r="S4933" s="3" t="str">
        <f>IF(ISERROR(VLOOKUP(Base_Periodo1[[#This Row],[CONTA]],BaseContasDRE[#All],4,FALSE)),"Fora do DRE",VLOOKUP(Base_Periodo1[[#This Row],[CONTA]],BaseContasDRE[#All],4,FALSE))</f>
        <v>Fora do DRE</v>
      </c>
      <c r="T4933" s="3" t="str">
        <f>IF(ISERROR(VLOOKUP(Base_Periodo1[[#This Row],[CONTA]],BaseContasDRE[#All],5,FALSE)),"Fora do DRE",VLOOKUP(Base_Periodo1[[#This Row],[CONTA]],BaseContasDRE[#All],6,FALSE))</f>
        <v>Fora do DRE</v>
      </c>
      <c r="U4933" s="3" t="str">
        <f>IF(ISERROR(VLOOKUP(Base_Periodo1[[#This Row],[CONTA]],BaseContasDRE[#All],7,FALSE)),"Fora do DRE",VLOOKUP(Base_Periodo1[[#This Row],[CONTA]],BaseContasDRE[#All],7,FALSE))</f>
        <v>Fora do DRE</v>
      </c>
      <c r="V4933" s="3" t="str">
        <f>IF(Base_Periodo1[[#This Row],[Tipo_Linha]]="Fora do DRE","Fora do DRE","( "&amp;Base_Periodo1[[#This Row],[Tipo_Linha]]&amp;" ) "&amp;Base_Periodo1[[#This Row],[Filtro]])</f>
        <v>Fora do DRE</v>
      </c>
      <c r="W4933" s="3" t="str">
        <f>LEFT(Base_Periodo1[[#This Row],[CLASS]],3)</f>
        <v>2.4</v>
      </c>
    </row>
    <row r="4934" spans="1:23" hidden="1">
      <c r="A4934" s="3" t="str">
        <f t="shared" ref="A4934:A4997" si="77">"Período 1"</f>
        <v>Período 1</v>
      </c>
      <c r="B4934">
        <v>37120</v>
      </c>
      <c r="C4934" t="s">
        <v>2300</v>
      </c>
      <c r="D4934" t="s">
        <v>2845</v>
      </c>
      <c r="E4934" s="3" t="str">
        <f>IF(LEN(Base_Periodo1[[#This Row],[CLASS]])&gt;=7,LEFT(Base_Periodo1[[#This Row],[CLASS]],7),"")</f>
        <v>2.4.1.1</v>
      </c>
      <c r="F4934" s="3" t="str">
        <f>VLOOKUP(Base_Periodo1[[#This Row],[Aux]],Base_Contas_Balanco[#All],2,FALSE)</f>
        <v>Capital Social Realizado</v>
      </c>
      <c r="G4934" s="1"/>
      <c r="H4934" s="225">
        <v>154.35</v>
      </c>
      <c r="I4934" s="225">
        <v>0</v>
      </c>
      <c r="J4934" s="225">
        <v>0</v>
      </c>
      <c r="K4934" s="225">
        <v>154.35</v>
      </c>
      <c r="L49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154.35</v>
      </c>
      <c r="M4934" s="225">
        <f>ROUND(IF(AND(Base_Periodo1[[#This Row],[Tipo_Linha]]="-",Base_Periodo1[[#This Row],[TIPOSALDO]]="D"),Base_Periodo1[[#This Row],[SALDO_ATUAL]]*-1,Base_Periodo1[[#This Row],[SALDO_ATUAL]]),4)</f>
        <v>154.35</v>
      </c>
      <c r="N4934" t="s">
        <v>116</v>
      </c>
      <c r="O4934" t="s">
        <v>459</v>
      </c>
      <c r="P4934" t="s">
        <v>459</v>
      </c>
      <c r="Q4934">
        <v>6</v>
      </c>
      <c r="R4934" s="225">
        <f>Base_Periodo1[[#This Row],[CREDITOS]]-Base_Periodo1[[#This Row],[DEBITOS]]</f>
        <v>0</v>
      </c>
      <c r="S4934" s="3" t="str">
        <f>IF(ISERROR(VLOOKUP(Base_Periodo1[[#This Row],[CONTA]],BaseContasDRE[#All],4,FALSE)),"Fora do DRE",VLOOKUP(Base_Periodo1[[#This Row],[CONTA]],BaseContasDRE[#All],4,FALSE))</f>
        <v>Fora do DRE</v>
      </c>
      <c r="T4934" s="3" t="str">
        <f>IF(ISERROR(VLOOKUP(Base_Periodo1[[#This Row],[CONTA]],BaseContasDRE[#All],5,FALSE)),"Fora do DRE",VLOOKUP(Base_Periodo1[[#This Row],[CONTA]],BaseContasDRE[#All],6,FALSE))</f>
        <v>Fora do DRE</v>
      </c>
      <c r="U4934" s="3" t="str">
        <f>IF(ISERROR(VLOOKUP(Base_Periodo1[[#This Row],[CONTA]],BaseContasDRE[#All],7,FALSE)),"Fora do DRE",VLOOKUP(Base_Periodo1[[#This Row],[CONTA]],BaseContasDRE[#All],7,FALSE))</f>
        <v>Fora do DRE</v>
      </c>
      <c r="V4934" s="3" t="str">
        <f>IF(Base_Periodo1[[#This Row],[Tipo_Linha]]="Fora do DRE","Fora do DRE","( "&amp;Base_Periodo1[[#This Row],[Tipo_Linha]]&amp;" ) "&amp;Base_Periodo1[[#This Row],[Filtro]])</f>
        <v>Fora do DRE</v>
      </c>
      <c r="W4934" s="3" t="str">
        <f>LEFT(Base_Periodo1[[#This Row],[CLASS]],3)</f>
        <v>2.4</v>
      </c>
    </row>
    <row r="4935" spans="1:23" hidden="1">
      <c r="A4935" s="3" t="str">
        <f t="shared" si="77"/>
        <v>Período 1</v>
      </c>
      <c r="B4935">
        <v>51456</v>
      </c>
      <c r="C4935" t="s">
        <v>2300</v>
      </c>
      <c r="D4935" t="s">
        <v>4623</v>
      </c>
      <c r="E4935" s="3" t="str">
        <f>IF(LEN(Base_Periodo1[[#This Row],[CLASS]])&gt;=7,LEFT(Base_Periodo1[[#This Row],[CLASS]],7),"")</f>
        <v>2.4.1.1</v>
      </c>
      <c r="F4935" s="3" t="str">
        <f>VLOOKUP(Base_Periodo1[[#This Row],[Aux]],Base_Contas_Balanco[#All],2,FALSE)</f>
        <v>Capital Social Realizado</v>
      </c>
      <c r="G4935" s="1"/>
      <c r="H4935" s="225">
        <v>213.28</v>
      </c>
      <c r="I4935" s="225">
        <v>0</v>
      </c>
      <c r="J4935" s="225">
        <v>0</v>
      </c>
      <c r="K4935" s="225">
        <v>213.28</v>
      </c>
      <c r="L49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213.28</v>
      </c>
      <c r="M4935" s="225">
        <f>ROUND(IF(AND(Base_Periodo1[[#This Row],[Tipo_Linha]]="-",Base_Periodo1[[#This Row],[TIPOSALDO]]="D"),Base_Periodo1[[#This Row],[SALDO_ATUAL]]*-1,Base_Periodo1[[#This Row],[SALDO_ATUAL]]),4)</f>
        <v>213.28</v>
      </c>
      <c r="N4935" t="s">
        <v>116</v>
      </c>
      <c r="O4935" t="s">
        <v>459</v>
      </c>
      <c r="P4935" t="s">
        <v>459</v>
      </c>
      <c r="Q4935">
        <v>6</v>
      </c>
      <c r="R4935" s="225">
        <f>Base_Periodo1[[#This Row],[CREDITOS]]-Base_Periodo1[[#This Row],[DEBITOS]]</f>
        <v>0</v>
      </c>
      <c r="S4935" s="3" t="str">
        <f>IF(ISERROR(VLOOKUP(Base_Periodo1[[#This Row],[CONTA]],BaseContasDRE[#All],4,FALSE)),"Fora do DRE",VLOOKUP(Base_Periodo1[[#This Row],[CONTA]],BaseContasDRE[#All],4,FALSE))</f>
        <v>Fora do DRE</v>
      </c>
      <c r="T4935" s="3" t="str">
        <f>IF(ISERROR(VLOOKUP(Base_Periodo1[[#This Row],[CONTA]],BaseContasDRE[#All],5,FALSE)),"Fora do DRE",VLOOKUP(Base_Periodo1[[#This Row],[CONTA]],BaseContasDRE[#All],6,FALSE))</f>
        <v>Fora do DRE</v>
      </c>
      <c r="U4935" s="3" t="str">
        <f>IF(ISERROR(VLOOKUP(Base_Periodo1[[#This Row],[CONTA]],BaseContasDRE[#All],7,FALSE)),"Fora do DRE",VLOOKUP(Base_Periodo1[[#This Row],[CONTA]],BaseContasDRE[#All],7,FALSE))</f>
        <v>Fora do DRE</v>
      </c>
      <c r="V4935" s="3" t="str">
        <f>IF(Base_Periodo1[[#This Row],[Tipo_Linha]]="Fora do DRE","Fora do DRE","( "&amp;Base_Periodo1[[#This Row],[Tipo_Linha]]&amp;" ) "&amp;Base_Periodo1[[#This Row],[Filtro]])</f>
        <v>Fora do DRE</v>
      </c>
      <c r="W4935" s="3" t="str">
        <f>LEFT(Base_Periodo1[[#This Row],[CLASS]],3)</f>
        <v>2.4</v>
      </c>
    </row>
    <row r="4936" spans="1:23" hidden="1">
      <c r="A4936" s="3" t="str">
        <f t="shared" si="77"/>
        <v>Período 1</v>
      </c>
      <c r="B4936">
        <v>19319</v>
      </c>
      <c r="C4936" t="s">
        <v>2300</v>
      </c>
      <c r="D4936" t="s">
        <v>2846</v>
      </c>
      <c r="E4936" s="3" t="str">
        <f>IF(LEN(Base_Periodo1[[#This Row],[CLASS]])&gt;=7,LEFT(Base_Periodo1[[#This Row],[CLASS]],7),"")</f>
        <v>2.4.1.1</v>
      </c>
      <c r="F4936" s="3" t="str">
        <f>VLOOKUP(Base_Periodo1[[#This Row],[Aux]],Base_Contas_Balanco[#All],2,FALSE)</f>
        <v>Capital Social Realizado</v>
      </c>
      <c r="G4936" s="1"/>
      <c r="H4936" s="225">
        <v>217.14</v>
      </c>
      <c r="I4936" s="225">
        <v>0</v>
      </c>
      <c r="J4936" s="225">
        <v>0</v>
      </c>
      <c r="K4936" s="225">
        <v>217.14</v>
      </c>
      <c r="L49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217.14</v>
      </c>
      <c r="M4936" s="225">
        <f>ROUND(IF(AND(Base_Periodo1[[#This Row],[Tipo_Linha]]="-",Base_Periodo1[[#This Row],[TIPOSALDO]]="D"),Base_Periodo1[[#This Row],[SALDO_ATUAL]]*-1,Base_Periodo1[[#This Row],[SALDO_ATUAL]]),4)</f>
        <v>217.14</v>
      </c>
      <c r="N4936" t="s">
        <v>116</v>
      </c>
      <c r="O4936" t="s">
        <v>459</v>
      </c>
      <c r="P4936" t="s">
        <v>459</v>
      </c>
      <c r="Q4936">
        <v>6</v>
      </c>
      <c r="R4936" s="225">
        <f>Base_Periodo1[[#This Row],[CREDITOS]]-Base_Periodo1[[#This Row],[DEBITOS]]</f>
        <v>0</v>
      </c>
      <c r="S4936" s="3" t="str">
        <f>IF(ISERROR(VLOOKUP(Base_Periodo1[[#This Row],[CONTA]],BaseContasDRE[#All],4,FALSE)),"Fora do DRE",VLOOKUP(Base_Periodo1[[#This Row],[CONTA]],BaseContasDRE[#All],4,FALSE))</f>
        <v>Fora do DRE</v>
      </c>
      <c r="T4936" s="3" t="str">
        <f>IF(ISERROR(VLOOKUP(Base_Periodo1[[#This Row],[CONTA]],BaseContasDRE[#All],5,FALSE)),"Fora do DRE",VLOOKUP(Base_Periodo1[[#This Row],[CONTA]],BaseContasDRE[#All],6,FALSE))</f>
        <v>Fora do DRE</v>
      </c>
      <c r="U4936" s="3" t="str">
        <f>IF(ISERROR(VLOOKUP(Base_Periodo1[[#This Row],[CONTA]],BaseContasDRE[#All],7,FALSE)),"Fora do DRE",VLOOKUP(Base_Periodo1[[#This Row],[CONTA]],BaseContasDRE[#All],7,FALSE))</f>
        <v>Fora do DRE</v>
      </c>
      <c r="V4936" s="3" t="str">
        <f>IF(Base_Periodo1[[#This Row],[Tipo_Linha]]="Fora do DRE","Fora do DRE","( "&amp;Base_Periodo1[[#This Row],[Tipo_Linha]]&amp;" ) "&amp;Base_Periodo1[[#This Row],[Filtro]])</f>
        <v>Fora do DRE</v>
      </c>
      <c r="W4936" s="3" t="str">
        <f>LEFT(Base_Periodo1[[#This Row],[CLASS]],3)</f>
        <v>2.4</v>
      </c>
    </row>
    <row r="4937" spans="1:23" hidden="1">
      <c r="A4937" s="3" t="str">
        <f t="shared" si="77"/>
        <v>Período 1</v>
      </c>
      <c r="B4937">
        <v>37128</v>
      </c>
      <c r="C4937" t="s">
        <v>2300</v>
      </c>
      <c r="D4937" t="s">
        <v>2847</v>
      </c>
      <c r="E4937" s="3" t="str">
        <f>IF(LEN(Base_Periodo1[[#This Row],[CLASS]])&gt;=7,LEFT(Base_Periodo1[[#This Row],[CLASS]],7),"")</f>
        <v>2.4.1.1</v>
      </c>
      <c r="F4937" s="3" t="str">
        <f>VLOOKUP(Base_Periodo1[[#This Row],[Aux]],Base_Contas_Balanco[#All],2,FALSE)</f>
        <v>Capital Social Realizado</v>
      </c>
      <c r="G4937" s="1"/>
      <c r="H4937" s="225">
        <v>97.19</v>
      </c>
      <c r="I4937" s="225">
        <v>0</v>
      </c>
      <c r="J4937" s="225">
        <v>0</v>
      </c>
      <c r="K4937" s="225">
        <v>97.19</v>
      </c>
      <c r="L49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97.19</v>
      </c>
      <c r="M4937" s="225">
        <f>ROUND(IF(AND(Base_Periodo1[[#This Row],[Tipo_Linha]]="-",Base_Periodo1[[#This Row],[TIPOSALDO]]="D"),Base_Periodo1[[#This Row],[SALDO_ATUAL]]*-1,Base_Periodo1[[#This Row],[SALDO_ATUAL]]),4)</f>
        <v>97.19</v>
      </c>
      <c r="N4937" t="s">
        <v>116</v>
      </c>
      <c r="O4937" t="s">
        <v>459</v>
      </c>
      <c r="P4937" t="s">
        <v>459</v>
      </c>
      <c r="Q4937">
        <v>6</v>
      </c>
      <c r="R4937" s="225">
        <f>Base_Periodo1[[#This Row],[CREDITOS]]-Base_Periodo1[[#This Row],[DEBITOS]]</f>
        <v>0</v>
      </c>
      <c r="S4937" s="3" t="str">
        <f>IF(ISERROR(VLOOKUP(Base_Periodo1[[#This Row],[CONTA]],BaseContasDRE[#All],4,FALSE)),"Fora do DRE",VLOOKUP(Base_Periodo1[[#This Row],[CONTA]],BaseContasDRE[#All],4,FALSE))</f>
        <v>Fora do DRE</v>
      </c>
      <c r="T4937" s="3" t="str">
        <f>IF(ISERROR(VLOOKUP(Base_Periodo1[[#This Row],[CONTA]],BaseContasDRE[#All],5,FALSE)),"Fora do DRE",VLOOKUP(Base_Periodo1[[#This Row],[CONTA]],BaseContasDRE[#All],6,FALSE))</f>
        <v>Fora do DRE</v>
      </c>
      <c r="U4937" s="3" t="str">
        <f>IF(ISERROR(VLOOKUP(Base_Periodo1[[#This Row],[CONTA]],BaseContasDRE[#All],7,FALSE)),"Fora do DRE",VLOOKUP(Base_Periodo1[[#This Row],[CONTA]],BaseContasDRE[#All],7,FALSE))</f>
        <v>Fora do DRE</v>
      </c>
      <c r="V4937" s="3" t="str">
        <f>IF(Base_Periodo1[[#This Row],[Tipo_Linha]]="Fora do DRE","Fora do DRE","( "&amp;Base_Periodo1[[#This Row],[Tipo_Linha]]&amp;" ) "&amp;Base_Periodo1[[#This Row],[Filtro]])</f>
        <v>Fora do DRE</v>
      </c>
      <c r="W4937" s="3" t="str">
        <f>LEFT(Base_Periodo1[[#This Row],[CLASS]],3)</f>
        <v>2.4</v>
      </c>
    </row>
    <row r="4938" spans="1:23" hidden="1">
      <c r="A4938" s="3" t="str">
        <f t="shared" si="77"/>
        <v>Período 1</v>
      </c>
      <c r="B4938">
        <v>47268</v>
      </c>
      <c r="C4938" t="s">
        <v>2300</v>
      </c>
      <c r="D4938" t="s">
        <v>2848</v>
      </c>
      <c r="E4938" s="3" t="str">
        <f>IF(LEN(Base_Periodo1[[#This Row],[CLASS]])&gt;=7,LEFT(Base_Periodo1[[#This Row],[CLASS]],7),"")</f>
        <v>2.4.1.1</v>
      </c>
      <c r="F4938" s="3" t="str">
        <f>VLOOKUP(Base_Periodo1[[#This Row],[Aux]],Base_Contas_Balanco[#All],2,FALSE)</f>
        <v>Capital Social Realizado</v>
      </c>
      <c r="G4938" s="1"/>
      <c r="H4938" s="225">
        <v>673.11</v>
      </c>
      <c r="I4938" s="225">
        <v>0</v>
      </c>
      <c r="J4938" s="225">
        <v>0</v>
      </c>
      <c r="K4938" s="225">
        <v>673.11</v>
      </c>
      <c r="L49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673.11</v>
      </c>
      <c r="M4938" s="225">
        <f>ROUND(IF(AND(Base_Periodo1[[#This Row],[Tipo_Linha]]="-",Base_Periodo1[[#This Row],[TIPOSALDO]]="D"),Base_Periodo1[[#This Row],[SALDO_ATUAL]]*-1,Base_Periodo1[[#This Row],[SALDO_ATUAL]]),4)</f>
        <v>673.11</v>
      </c>
      <c r="N4938" t="s">
        <v>116</v>
      </c>
      <c r="O4938" t="s">
        <v>459</v>
      </c>
      <c r="P4938" t="s">
        <v>459</v>
      </c>
      <c r="Q4938">
        <v>6</v>
      </c>
      <c r="R4938" s="225">
        <f>Base_Periodo1[[#This Row],[CREDITOS]]-Base_Periodo1[[#This Row],[DEBITOS]]</f>
        <v>0</v>
      </c>
      <c r="S4938" s="3" t="str">
        <f>IF(ISERROR(VLOOKUP(Base_Periodo1[[#This Row],[CONTA]],BaseContasDRE[#All],4,FALSE)),"Fora do DRE",VLOOKUP(Base_Periodo1[[#This Row],[CONTA]],BaseContasDRE[#All],4,FALSE))</f>
        <v>Fora do DRE</v>
      </c>
      <c r="T4938" s="3" t="str">
        <f>IF(ISERROR(VLOOKUP(Base_Periodo1[[#This Row],[CONTA]],BaseContasDRE[#All],5,FALSE)),"Fora do DRE",VLOOKUP(Base_Periodo1[[#This Row],[CONTA]],BaseContasDRE[#All],6,FALSE))</f>
        <v>Fora do DRE</v>
      </c>
      <c r="U4938" s="3" t="str">
        <f>IF(ISERROR(VLOOKUP(Base_Periodo1[[#This Row],[CONTA]],BaseContasDRE[#All],7,FALSE)),"Fora do DRE",VLOOKUP(Base_Periodo1[[#This Row],[CONTA]],BaseContasDRE[#All],7,FALSE))</f>
        <v>Fora do DRE</v>
      </c>
      <c r="V4938" s="3" t="str">
        <f>IF(Base_Periodo1[[#This Row],[Tipo_Linha]]="Fora do DRE","Fora do DRE","( "&amp;Base_Periodo1[[#This Row],[Tipo_Linha]]&amp;" ) "&amp;Base_Periodo1[[#This Row],[Filtro]])</f>
        <v>Fora do DRE</v>
      </c>
      <c r="W4938" s="3" t="str">
        <f>LEFT(Base_Periodo1[[#This Row],[CLASS]],3)</f>
        <v>2.4</v>
      </c>
    </row>
    <row r="4939" spans="1:23" hidden="1">
      <c r="A4939" s="3" t="str">
        <f t="shared" si="77"/>
        <v>Período 1</v>
      </c>
      <c r="B4939">
        <v>38815</v>
      </c>
      <c r="C4939" t="s">
        <v>2300</v>
      </c>
      <c r="D4939" t="s">
        <v>2849</v>
      </c>
      <c r="E4939" s="3" t="str">
        <f>IF(LEN(Base_Periodo1[[#This Row],[CLASS]])&gt;=7,LEFT(Base_Periodo1[[#This Row],[CLASS]],7),"")</f>
        <v>2.4.1.1</v>
      </c>
      <c r="F4939" s="3" t="str">
        <f>VLOOKUP(Base_Periodo1[[#This Row],[Aux]],Base_Contas_Balanco[#All],2,FALSE)</f>
        <v>Capital Social Realizado</v>
      </c>
      <c r="G4939" s="1"/>
      <c r="H4939" s="225">
        <v>1422.3600000000001</v>
      </c>
      <c r="I4939" s="225">
        <v>0</v>
      </c>
      <c r="J4939" s="225">
        <v>0</v>
      </c>
      <c r="K4939" s="225">
        <v>1422.3600000000001</v>
      </c>
      <c r="L49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1422.36</v>
      </c>
      <c r="M4939" s="225">
        <f>ROUND(IF(AND(Base_Periodo1[[#This Row],[Tipo_Linha]]="-",Base_Periodo1[[#This Row],[TIPOSALDO]]="D"),Base_Periodo1[[#This Row],[SALDO_ATUAL]]*-1,Base_Periodo1[[#This Row],[SALDO_ATUAL]]),4)</f>
        <v>1422.36</v>
      </c>
      <c r="N4939" t="s">
        <v>116</v>
      </c>
      <c r="O4939" t="s">
        <v>459</v>
      </c>
      <c r="P4939" t="s">
        <v>459</v>
      </c>
      <c r="Q4939">
        <v>6</v>
      </c>
      <c r="R4939" s="225">
        <f>Base_Periodo1[[#This Row],[CREDITOS]]-Base_Periodo1[[#This Row],[DEBITOS]]</f>
        <v>0</v>
      </c>
      <c r="S4939" s="3" t="str">
        <f>IF(ISERROR(VLOOKUP(Base_Periodo1[[#This Row],[CONTA]],BaseContasDRE[#All],4,FALSE)),"Fora do DRE",VLOOKUP(Base_Periodo1[[#This Row],[CONTA]],BaseContasDRE[#All],4,FALSE))</f>
        <v>Fora do DRE</v>
      </c>
      <c r="T4939" s="3" t="str">
        <f>IF(ISERROR(VLOOKUP(Base_Periodo1[[#This Row],[CONTA]],BaseContasDRE[#All],5,FALSE)),"Fora do DRE",VLOOKUP(Base_Periodo1[[#This Row],[CONTA]],BaseContasDRE[#All],6,FALSE))</f>
        <v>Fora do DRE</v>
      </c>
      <c r="U4939" s="3" t="str">
        <f>IF(ISERROR(VLOOKUP(Base_Periodo1[[#This Row],[CONTA]],BaseContasDRE[#All],7,FALSE)),"Fora do DRE",VLOOKUP(Base_Periodo1[[#This Row],[CONTA]],BaseContasDRE[#All],7,FALSE))</f>
        <v>Fora do DRE</v>
      </c>
      <c r="V4939" s="3" t="str">
        <f>IF(Base_Periodo1[[#This Row],[Tipo_Linha]]="Fora do DRE","Fora do DRE","( "&amp;Base_Periodo1[[#This Row],[Tipo_Linha]]&amp;" ) "&amp;Base_Periodo1[[#This Row],[Filtro]])</f>
        <v>Fora do DRE</v>
      </c>
      <c r="W4939" s="3" t="str">
        <f>LEFT(Base_Periodo1[[#This Row],[CLASS]],3)</f>
        <v>2.4</v>
      </c>
    </row>
    <row r="4940" spans="1:23" hidden="1">
      <c r="A4940" s="3" t="str">
        <f t="shared" si="77"/>
        <v>Período 1</v>
      </c>
      <c r="B4940">
        <v>36047</v>
      </c>
      <c r="C4940" t="s">
        <v>2300</v>
      </c>
      <c r="D4940" t="s">
        <v>2850</v>
      </c>
      <c r="E4940" s="3" t="str">
        <f>IF(LEN(Base_Periodo1[[#This Row],[CLASS]])&gt;=7,LEFT(Base_Periodo1[[#This Row],[CLASS]],7),"")</f>
        <v>2.4.1.1</v>
      </c>
      <c r="F4940" s="3" t="str">
        <f>VLOOKUP(Base_Periodo1[[#This Row],[Aux]],Base_Contas_Balanco[#All],2,FALSE)</f>
        <v>Capital Social Realizado</v>
      </c>
      <c r="G4940" s="1"/>
      <c r="H4940" s="225">
        <v>1013.14</v>
      </c>
      <c r="I4940" s="225">
        <v>0</v>
      </c>
      <c r="J4940" s="225">
        <v>0</v>
      </c>
      <c r="K4940" s="225">
        <v>1013.14</v>
      </c>
      <c r="L49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1013.14</v>
      </c>
      <c r="M4940" s="225">
        <f>ROUND(IF(AND(Base_Periodo1[[#This Row],[Tipo_Linha]]="-",Base_Periodo1[[#This Row],[TIPOSALDO]]="D"),Base_Periodo1[[#This Row],[SALDO_ATUAL]]*-1,Base_Periodo1[[#This Row],[SALDO_ATUAL]]),4)</f>
        <v>1013.14</v>
      </c>
      <c r="N4940" t="s">
        <v>116</v>
      </c>
      <c r="O4940" t="s">
        <v>459</v>
      </c>
      <c r="P4940" t="s">
        <v>459</v>
      </c>
      <c r="Q4940">
        <v>6</v>
      </c>
      <c r="R4940" s="225">
        <f>Base_Periodo1[[#This Row],[CREDITOS]]-Base_Periodo1[[#This Row],[DEBITOS]]</f>
        <v>0</v>
      </c>
      <c r="S4940" s="3" t="str">
        <f>IF(ISERROR(VLOOKUP(Base_Periodo1[[#This Row],[CONTA]],BaseContasDRE[#All],4,FALSE)),"Fora do DRE",VLOOKUP(Base_Periodo1[[#This Row],[CONTA]],BaseContasDRE[#All],4,FALSE))</f>
        <v>Fora do DRE</v>
      </c>
      <c r="T4940" s="3" t="str">
        <f>IF(ISERROR(VLOOKUP(Base_Periodo1[[#This Row],[CONTA]],BaseContasDRE[#All],5,FALSE)),"Fora do DRE",VLOOKUP(Base_Periodo1[[#This Row],[CONTA]],BaseContasDRE[#All],6,FALSE))</f>
        <v>Fora do DRE</v>
      </c>
      <c r="U4940" s="3" t="str">
        <f>IF(ISERROR(VLOOKUP(Base_Periodo1[[#This Row],[CONTA]],BaseContasDRE[#All],7,FALSE)),"Fora do DRE",VLOOKUP(Base_Periodo1[[#This Row],[CONTA]],BaseContasDRE[#All],7,FALSE))</f>
        <v>Fora do DRE</v>
      </c>
      <c r="V4940" s="3" t="str">
        <f>IF(Base_Periodo1[[#This Row],[Tipo_Linha]]="Fora do DRE","Fora do DRE","( "&amp;Base_Periodo1[[#This Row],[Tipo_Linha]]&amp;" ) "&amp;Base_Periodo1[[#This Row],[Filtro]])</f>
        <v>Fora do DRE</v>
      </c>
      <c r="W4940" s="3" t="str">
        <f>LEFT(Base_Periodo1[[#This Row],[CLASS]],3)</f>
        <v>2.4</v>
      </c>
    </row>
    <row r="4941" spans="1:23" hidden="1">
      <c r="A4941" s="3" t="str">
        <f t="shared" si="77"/>
        <v>Período 1</v>
      </c>
      <c r="B4941">
        <v>21225</v>
      </c>
      <c r="C4941" t="s">
        <v>2300</v>
      </c>
      <c r="D4941" t="s">
        <v>2851</v>
      </c>
      <c r="E4941" s="3" t="str">
        <f>IF(LEN(Base_Periodo1[[#This Row],[CLASS]])&gt;=7,LEFT(Base_Periodo1[[#This Row],[CLASS]],7),"")</f>
        <v>2.4.1.1</v>
      </c>
      <c r="F4941" s="3" t="str">
        <f>VLOOKUP(Base_Periodo1[[#This Row],[Aux]],Base_Contas_Balanco[#All],2,FALSE)</f>
        <v>Capital Social Realizado</v>
      </c>
      <c r="G4941" s="1"/>
      <c r="H4941" s="225">
        <v>1082.52</v>
      </c>
      <c r="I4941" s="225">
        <v>0</v>
      </c>
      <c r="J4941" s="225">
        <v>0</v>
      </c>
      <c r="K4941" s="225">
        <v>1082.52</v>
      </c>
      <c r="L49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1082.52</v>
      </c>
      <c r="M4941" s="225">
        <f>ROUND(IF(AND(Base_Periodo1[[#This Row],[Tipo_Linha]]="-",Base_Periodo1[[#This Row],[TIPOSALDO]]="D"),Base_Periodo1[[#This Row],[SALDO_ATUAL]]*-1,Base_Periodo1[[#This Row],[SALDO_ATUAL]]),4)</f>
        <v>1082.52</v>
      </c>
      <c r="N4941" t="s">
        <v>116</v>
      </c>
      <c r="O4941" t="s">
        <v>459</v>
      </c>
      <c r="P4941" t="s">
        <v>459</v>
      </c>
      <c r="Q4941">
        <v>6</v>
      </c>
      <c r="R4941" s="225">
        <f>Base_Periodo1[[#This Row],[CREDITOS]]-Base_Periodo1[[#This Row],[DEBITOS]]</f>
        <v>0</v>
      </c>
      <c r="S4941" s="3" t="str">
        <f>IF(ISERROR(VLOOKUP(Base_Periodo1[[#This Row],[CONTA]],BaseContasDRE[#All],4,FALSE)),"Fora do DRE",VLOOKUP(Base_Periodo1[[#This Row],[CONTA]],BaseContasDRE[#All],4,FALSE))</f>
        <v>Fora do DRE</v>
      </c>
      <c r="T4941" s="3" t="str">
        <f>IF(ISERROR(VLOOKUP(Base_Periodo1[[#This Row],[CONTA]],BaseContasDRE[#All],5,FALSE)),"Fora do DRE",VLOOKUP(Base_Periodo1[[#This Row],[CONTA]],BaseContasDRE[#All],6,FALSE))</f>
        <v>Fora do DRE</v>
      </c>
      <c r="U4941" s="3" t="str">
        <f>IF(ISERROR(VLOOKUP(Base_Periodo1[[#This Row],[CONTA]],BaseContasDRE[#All],7,FALSE)),"Fora do DRE",VLOOKUP(Base_Periodo1[[#This Row],[CONTA]],BaseContasDRE[#All],7,FALSE))</f>
        <v>Fora do DRE</v>
      </c>
      <c r="V4941" s="3" t="str">
        <f>IF(Base_Periodo1[[#This Row],[Tipo_Linha]]="Fora do DRE","Fora do DRE","( "&amp;Base_Periodo1[[#This Row],[Tipo_Linha]]&amp;" ) "&amp;Base_Periodo1[[#This Row],[Filtro]])</f>
        <v>Fora do DRE</v>
      </c>
      <c r="W4941" s="3" t="str">
        <f>LEFT(Base_Periodo1[[#This Row],[CLASS]],3)</f>
        <v>2.4</v>
      </c>
    </row>
    <row r="4942" spans="1:23" hidden="1">
      <c r="A4942" s="3" t="str">
        <f t="shared" si="77"/>
        <v>Período 1</v>
      </c>
      <c r="B4942">
        <v>54994</v>
      </c>
      <c r="C4942" t="s">
        <v>2300</v>
      </c>
      <c r="D4942" t="s">
        <v>5350</v>
      </c>
      <c r="E4942" s="3" t="str">
        <f>IF(LEN(Base_Periodo1[[#This Row],[CLASS]])&gt;=7,LEFT(Base_Periodo1[[#This Row],[CLASS]],7),"")</f>
        <v>2.4.1.1</v>
      </c>
      <c r="F4942" s="3" t="str">
        <f>VLOOKUP(Base_Periodo1[[#This Row],[Aux]],Base_Contas_Balanco[#All],2,FALSE)</f>
        <v>Capital Social Realizado</v>
      </c>
      <c r="G4942" s="1"/>
      <c r="H4942" s="225">
        <v>50</v>
      </c>
      <c r="I4942" s="225">
        <v>0</v>
      </c>
      <c r="J4942" s="225">
        <v>0</v>
      </c>
      <c r="K4942" s="225">
        <v>50</v>
      </c>
      <c r="L49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942" s="225">
        <f>ROUND(IF(AND(Base_Periodo1[[#This Row],[Tipo_Linha]]="-",Base_Periodo1[[#This Row],[TIPOSALDO]]="D"),Base_Periodo1[[#This Row],[SALDO_ATUAL]]*-1,Base_Periodo1[[#This Row],[SALDO_ATUAL]]),4)</f>
        <v>50</v>
      </c>
      <c r="N4942" t="s">
        <v>116</v>
      </c>
      <c r="O4942" t="s">
        <v>459</v>
      </c>
      <c r="P4942" t="s">
        <v>459</v>
      </c>
      <c r="Q4942">
        <v>6</v>
      </c>
      <c r="R4942" s="225">
        <f>Base_Periodo1[[#This Row],[CREDITOS]]-Base_Periodo1[[#This Row],[DEBITOS]]</f>
        <v>0</v>
      </c>
      <c r="S4942" s="3" t="str">
        <f>IF(ISERROR(VLOOKUP(Base_Periodo1[[#This Row],[CONTA]],BaseContasDRE[#All],4,FALSE)),"Fora do DRE",VLOOKUP(Base_Periodo1[[#This Row],[CONTA]],BaseContasDRE[#All],4,FALSE))</f>
        <v>Fora do DRE</v>
      </c>
      <c r="T4942" s="3" t="str">
        <f>IF(ISERROR(VLOOKUP(Base_Periodo1[[#This Row],[CONTA]],BaseContasDRE[#All],5,FALSE)),"Fora do DRE",VLOOKUP(Base_Periodo1[[#This Row],[CONTA]],BaseContasDRE[#All],6,FALSE))</f>
        <v>Fora do DRE</v>
      </c>
      <c r="U4942" s="3" t="str">
        <f>IF(ISERROR(VLOOKUP(Base_Periodo1[[#This Row],[CONTA]],BaseContasDRE[#All],7,FALSE)),"Fora do DRE",VLOOKUP(Base_Periodo1[[#This Row],[CONTA]],BaseContasDRE[#All],7,FALSE))</f>
        <v>Fora do DRE</v>
      </c>
      <c r="V4942" s="3" t="str">
        <f>IF(Base_Periodo1[[#This Row],[Tipo_Linha]]="Fora do DRE","Fora do DRE","( "&amp;Base_Periodo1[[#This Row],[Tipo_Linha]]&amp;" ) "&amp;Base_Periodo1[[#This Row],[Filtro]])</f>
        <v>Fora do DRE</v>
      </c>
      <c r="W4942" s="3" t="str">
        <f>LEFT(Base_Periodo1[[#This Row],[CLASS]],3)</f>
        <v>2.4</v>
      </c>
    </row>
    <row r="4943" spans="1:23" hidden="1">
      <c r="A4943" s="3" t="str">
        <f t="shared" si="77"/>
        <v>Período 1</v>
      </c>
      <c r="B4943">
        <v>17193</v>
      </c>
      <c r="C4943" t="s">
        <v>2300</v>
      </c>
      <c r="D4943" t="s">
        <v>2852</v>
      </c>
      <c r="E4943" s="3" t="str">
        <f>IF(LEN(Base_Periodo1[[#This Row],[CLASS]])&gt;=7,LEFT(Base_Periodo1[[#This Row],[CLASS]],7),"")</f>
        <v>2.4.1.1</v>
      </c>
      <c r="F4943" s="3" t="str">
        <f>VLOOKUP(Base_Periodo1[[#This Row],[Aux]],Base_Contas_Balanco[#All],2,FALSE)</f>
        <v>Capital Social Realizado</v>
      </c>
      <c r="G4943" s="1"/>
      <c r="H4943" s="225">
        <v>556.27</v>
      </c>
      <c r="I4943" s="225">
        <v>0</v>
      </c>
      <c r="J4943" s="225">
        <v>0</v>
      </c>
      <c r="K4943" s="225">
        <v>556.27</v>
      </c>
      <c r="L49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556.27</v>
      </c>
      <c r="M4943" s="225">
        <f>ROUND(IF(AND(Base_Periodo1[[#This Row],[Tipo_Linha]]="-",Base_Periodo1[[#This Row],[TIPOSALDO]]="D"),Base_Periodo1[[#This Row],[SALDO_ATUAL]]*-1,Base_Periodo1[[#This Row],[SALDO_ATUAL]]),4)</f>
        <v>556.27</v>
      </c>
      <c r="N4943" t="s">
        <v>116</v>
      </c>
      <c r="O4943" t="s">
        <v>459</v>
      </c>
      <c r="P4943" t="s">
        <v>459</v>
      </c>
      <c r="Q4943">
        <v>6</v>
      </c>
      <c r="R4943" s="225">
        <f>Base_Periodo1[[#This Row],[CREDITOS]]-Base_Periodo1[[#This Row],[DEBITOS]]</f>
        <v>0</v>
      </c>
      <c r="S4943" s="3" t="str">
        <f>IF(ISERROR(VLOOKUP(Base_Periodo1[[#This Row],[CONTA]],BaseContasDRE[#All],4,FALSE)),"Fora do DRE",VLOOKUP(Base_Periodo1[[#This Row],[CONTA]],BaseContasDRE[#All],4,FALSE))</f>
        <v>Fora do DRE</v>
      </c>
      <c r="T4943" s="3" t="str">
        <f>IF(ISERROR(VLOOKUP(Base_Periodo1[[#This Row],[CONTA]],BaseContasDRE[#All],5,FALSE)),"Fora do DRE",VLOOKUP(Base_Periodo1[[#This Row],[CONTA]],BaseContasDRE[#All],6,FALSE))</f>
        <v>Fora do DRE</v>
      </c>
      <c r="U4943" s="3" t="str">
        <f>IF(ISERROR(VLOOKUP(Base_Periodo1[[#This Row],[CONTA]],BaseContasDRE[#All],7,FALSE)),"Fora do DRE",VLOOKUP(Base_Periodo1[[#This Row],[CONTA]],BaseContasDRE[#All],7,FALSE))</f>
        <v>Fora do DRE</v>
      </c>
      <c r="V4943" s="3" t="str">
        <f>IF(Base_Periodo1[[#This Row],[Tipo_Linha]]="Fora do DRE","Fora do DRE","( "&amp;Base_Periodo1[[#This Row],[Tipo_Linha]]&amp;" ) "&amp;Base_Periodo1[[#This Row],[Filtro]])</f>
        <v>Fora do DRE</v>
      </c>
      <c r="W4943" s="3" t="str">
        <f>LEFT(Base_Periodo1[[#This Row],[CLASS]],3)</f>
        <v>2.4</v>
      </c>
    </row>
    <row r="4944" spans="1:23" hidden="1">
      <c r="A4944" s="3" t="str">
        <f t="shared" si="77"/>
        <v>Período 1</v>
      </c>
      <c r="B4944">
        <v>19744</v>
      </c>
      <c r="C4944" t="s">
        <v>2300</v>
      </c>
      <c r="D4944" t="s">
        <v>2853</v>
      </c>
      <c r="E4944" s="3" t="str">
        <f>IF(LEN(Base_Periodo1[[#This Row],[CLASS]])&gt;=7,LEFT(Base_Periodo1[[#This Row],[CLASS]],7),"")</f>
        <v>2.4.1.1</v>
      </c>
      <c r="F4944" s="3" t="str">
        <f>VLOOKUP(Base_Periodo1[[#This Row],[Aux]],Base_Contas_Balanco[#All],2,FALSE)</f>
        <v>Capital Social Realizado</v>
      </c>
      <c r="G4944" s="1"/>
      <c r="H4944" s="225">
        <v>1036.52</v>
      </c>
      <c r="I4944" s="225">
        <v>0</v>
      </c>
      <c r="J4944" s="225">
        <v>0</v>
      </c>
      <c r="K4944" s="225">
        <v>1036.52</v>
      </c>
      <c r="L49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1036.52</v>
      </c>
      <c r="M4944" s="225">
        <f>ROUND(IF(AND(Base_Periodo1[[#This Row],[Tipo_Linha]]="-",Base_Periodo1[[#This Row],[TIPOSALDO]]="D"),Base_Periodo1[[#This Row],[SALDO_ATUAL]]*-1,Base_Periodo1[[#This Row],[SALDO_ATUAL]]),4)</f>
        <v>1036.52</v>
      </c>
      <c r="N4944" t="s">
        <v>116</v>
      </c>
      <c r="O4944" t="s">
        <v>459</v>
      </c>
      <c r="P4944" t="s">
        <v>459</v>
      </c>
      <c r="Q4944">
        <v>6</v>
      </c>
      <c r="R4944" s="225">
        <f>Base_Periodo1[[#This Row],[CREDITOS]]-Base_Periodo1[[#This Row],[DEBITOS]]</f>
        <v>0</v>
      </c>
      <c r="S4944" s="3" t="str">
        <f>IF(ISERROR(VLOOKUP(Base_Periodo1[[#This Row],[CONTA]],BaseContasDRE[#All],4,FALSE)),"Fora do DRE",VLOOKUP(Base_Periodo1[[#This Row],[CONTA]],BaseContasDRE[#All],4,FALSE))</f>
        <v>Fora do DRE</v>
      </c>
      <c r="T4944" s="3" t="str">
        <f>IF(ISERROR(VLOOKUP(Base_Periodo1[[#This Row],[CONTA]],BaseContasDRE[#All],5,FALSE)),"Fora do DRE",VLOOKUP(Base_Periodo1[[#This Row],[CONTA]],BaseContasDRE[#All],6,FALSE))</f>
        <v>Fora do DRE</v>
      </c>
      <c r="U4944" s="3" t="str">
        <f>IF(ISERROR(VLOOKUP(Base_Periodo1[[#This Row],[CONTA]],BaseContasDRE[#All],7,FALSE)),"Fora do DRE",VLOOKUP(Base_Periodo1[[#This Row],[CONTA]],BaseContasDRE[#All],7,FALSE))</f>
        <v>Fora do DRE</v>
      </c>
      <c r="V4944" s="3" t="str">
        <f>IF(Base_Periodo1[[#This Row],[Tipo_Linha]]="Fora do DRE","Fora do DRE","( "&amp;Base_Periodo1[[#This Row],[Tipo_Linha]]&amp;" ) "&amp;Base_Periodo1[[#This Row],[Filtro]])</f>
        <v>Fora do DRE</v>
      </c>
      <c r="W4944" s="3" t="str">
        <f>LEFT(Base_Periodo1[[#This Row],[CLASS]],3)</f>
        <v>2.4</v>
      </c>
    </row>
    <row r="4945" spans="1:23" hidden="1">
      <c r="A4945" s="3" t="str">
        <f t="shared" si="77"/>
        <v>Período 1</v>
      </c>
      <c r="B4945">
        <v>16066</v>
      </c>
      <c r="C4945" t="s">
        <v>2300</v>
      </c>
      <c r="D4945" t="s">
        <v>2854</v>
      </c>
      <c r="E4945" s="3" t="str">
        <f>IF(LEN(Base_Periodo1[[#This Row],[CLASS]])&gt;=7,LEFT(Base_Periodo1[[#This Row],[CLASS]],7),"")</f>
        <v>2.4.1.1</v>
      </c>
      <c r="F4945" s="3" t="str">
        <f>VLOOKUP(Base_Periodo1[[#This Row],[Aux]],Base_Contas_Balanco[#All],2,FALSE)</f>
        <v>Capital Social Realizado</v>
      </c>
      <c r="G4945" s="1">
        <v>42460</v>
      </c>
      <c r="H4945" s="225">
        <v>924.9</v>
      </c>
      <c r="I4945" s="225">
        <v>0</v>
      </c>
      <c r="J4945" s="225">
        <v>0</v>
      </c>
      <c r="K4945" s="225">
        <v>924.9</v>
      </c>
      <c r="L49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924.9</v>
      </c>
      <c r="M4945" s="225">
        <f>ROUND(IF(AND(Base_Periodo1[[#This Row],[Tipo_Linha]]="-",Base_Periodo1[[#This Row],[TIPOSALDO]]="D"),Base_Periodo1[[#This Row],[SALDO_ATUAL]]*-1,Base_Periodo1[[#This Row],[SALDO_ATUAL]]),4)</f>
        <v>924.9</v>
      </c>
      <c r="N4945" t="s">
        <v>116</v>
      </c>
      <c r="O4945" t="s">
        <v>459</v>
      </c>
      <c r="P4945" t="s">
        <v>459</v>
      </c>
      <c r="Q4945">
        <v>6</v>
      </c>
      <c r="R4945" s="225">
        <f>Base_Periodo1[[#This Row],[CREDITOS]]-Base_Periodo1[[#This Row],[DEBITOS]]</f>
        <v>0</v>
      </c>
      <c r="S4945" s="3" t="str">
        <f>IF(ISERROR(VLOOKUP(Base_Periodo1[[#This Row],[CONTA]],BaseContasDRE[#All],4,FALSE)),"Fora do DRE",VLOOKUP(Base_Periodo1[[#This Row],[CONTA]],BaseContasDRE[#All],4,FALSE))</f>
        <v>Fora do DRE</v>
      </c>
      <c r="T4945" s="3" t="str">
        <f>IF(ISERROR(VLOOKUP(Base_Periodo1[[#This Row],[CONTA]],BaseContasDRE[#All],5,FALSE)),"Fora do DRE",VLOOKUP(Base_Periodo1[[#This Row],[CONTA]],BaseContasDRE[#All],6,FALSE))</f>
        <v>Fora do DRE</v>
      </c>
      <c r="U4945" s="3" t="str">
        <f>IF(ISERROR(VLOOKUP(Base_Periodo1[[#This Row],[CONTA]],BaseContasDRE[#All],7,FALSE)),"Fora do DRE",VLOOKUP(Base_Periodo1[[#This Row],[CONTA]],BaseContasDRE[#All],7,FALSE))</f>
        <v>Fora do DRE</v>
      </c>
      <c r="V4945" s="3" t="str">
        <f>IF(Base_Periodo1[[#This Row],[Tipo_Linha]]="Fora do DRE","Fora do DRE","( "&amp;Base_Periodo1[[#This Row],[Tipo_Linha]]&amp;" ) "&amp;Base_Periodo1[[#This Row],[Filtro]])</f>
        <v>Fora do DRE</v>
      </c>
      <c r="W4945" s="3" t="str">
        <f>LEFT(Base_Periodo1[[#This Row],[CLASS]],3)</f>
        <v>2.4</v>
      </c>
    </row>
    <row r="4946" spans="1:23" hidden="1">
      <c r="A4946" s="3" t="str">
        <f t="shared" si="77"/>
        <v>Período 1</v>
      </c>
      <c r="B4946">
        <v>16124</v>
      </c>
      <c r="C4946" t="s">
        <v>2300</v>
      </c>
      <c r="D4946" t="s">
        <v>2855</v>
      </c>
      <c r="E4946" s="3" t="str">
        <f>IF(LEN(Base_Periodo1[[#This Row],[CLASS]])&gt;=7,LEFT(Base_Periodo1[[#This Row],[CLASS]],7),"")</f>
        <v>2.4.1.1</v>
      </c>
      <c r="F4946" s="3" t="str">
        <f>VLOOKUP(Base_Periodo1[[#This Row],[Aux]],Base_Contas_Balanco[#All],2,FALSE)</f>
        <v>Capital Social Realizado</v>
      </c>
      <c r="G4946" s="1"/>
      <c r="H4946" s="225">
        <v>6047.82</v>
      </c>
      <c r="I4946" s="225">
        <v>0</v>
      </c>
      <c r="J4946" s="225">
        <v>0</v>
      </c>
      <c r="K4946" s="225">
        <v>6047.82</v>
      </c>
      <c r="L49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6047.82</v>
      </c>
      <c r="M4946" s="225">
        <f>ROUND(IF(AND(Base_Periodo1[[#This Row],[Tipo_Linha]]="-",Base_Periodo1[[#This Row],[TIPOSALDO]]="D"),Base_Periodo1[[#This Row],[SALDO_ATUAL]]*-1,Base_Periodo1[[#This Row],[SALDO_ATUAL]]),4)</f>
        <v>6047.82</v>
      </c>
      <c r="N4946" t="s">
        <v>116</v>
      </c>
      <c r="O4946" t="s">
        <v>459</v>
      </c>
      <c r="P4946" t="s">
        <v>459</v>
      </c>
      <c r="Q4946">
        <v>6</v>
      </c>
      <c r="R4946" s="225">
        <f>Base_Periodo1[[#This Row],[CREDITOS]]-Base_Periodo1[[#This Row],[DEBITOS]]</f>
        <v>0</v>
      </c>
      <c r="S4946" s="3" t="str">
        <f>IF(ISERROR(VLOOKUP(Base_Periodo1[[#This Row],[CONTA]],BaseContasDRE[#All],4,FALSE)),"Fora do DRE",VLOOKUP(Base_Periodo1[[#This Row],[CONTA]],BaseContasDRE[#All],4,FALSE))</f>
        <v>Fora do DRE</v>
      </c>
      <c r="T4946" s="3" t="str">
        <f>IF(ISERROR(VLOOKUP(Base_Periodo1[[#This Row],[CONTA]],BaseContasDRE[#All],5,FALSE)),"Fora do DRE",VLOOKUP(Base_Periodo1[[#This Row],[CONTA]],BaseContasDRE[#All],6,FALSE))</f>
        <v>Fora do DRE</v>
      </c>
      <c r="U4946" s="3" t="str">
        <f>IF(ISERROR(VLOOKUP(Base_Periodo1[[#This Row],[CONTA]],BaseContasDRE[#All],7,FALSE)),"Fora do DRE",VLOOKUP(Base_Periodo1[[#This Row],[CONTA]],BaseContasDRE[#All],7,FALSE))</f>
        <v>Fora do DRE</v>
      </c>
      <c r="V4946" s="3" t="str">
        <f>IF(Base_Periodo1[[#This Row],[Tipo_Linha]]="Fora do DRE","Fora do DRE","( "&amp;Base_Periodo1[[#This Row],[Tipo_Linha]]&amp;" ) "&amp;Base_Periodo1[[#This Row],[Filtro]])</f>
        <v>Fora do DRE</v>
      </c>
      <c r="W4946" s="3" t="str">
        <f>LEFT(Base_Periodo1[[#This Row],[CLASS]],3)</f>
        <v>2.4</v>
      </c>
    </row>
    <row r="4947" spans="1:23" hidden="1">
      <c r="A4947" s="3" t="str">
        <f t="shared" si="77"/>
        <v>Período 1</v>
      </c>
      <c r="B4947">
        <v>15951</v>
      </c>
      <c r="C4947" t="s">
        <v>2300</v>
      </c>
      <c r="D4947" t="s">
        <v>2856</v>
      </c>
      <c r="E4947" s="3" t="str">
        <f>IF(LEN(Base_Periodo1[[#This Row],[CLASS]])&gt;=7,LEFT(Base_Periodo1[[#This Row],[CLASS]],7),"")</f>
        <v>2.4.1.1</v>
      </c>
      <c r="F4947" s="3" t="str">
        <f>VLOOKUP(Base_Periodo1[[#This Row],[Aux]],Base_Contas_Balanco[#All],2,FALSE)</f>
        <v>Capital Social Realizado</v>
      </c>
      <c r="G4947" s="1"/>
      <c r="H4947" s="225">
        <v>3389.61</v>
      </c>
      <c r="I4947" s="225">
        <v>0</v>
      </c>
      <c r="J4947" s="225">
        <v>0</v>
      </c>
      <c r="K4947" s="225">
        <v>3389.61</v>
      </c>
      <c r="L49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3389.61</v>
      </c>
      <c r="M4947" s="225">
        <f>ROUND(IF(AND(Base_Periodo1[[#This Row],[Tipo_Linha]]="-",Base_Periodo1[[#This Row],[TIPOSALDO]]="D"),Base_Periodo1[[#This Row],[SALDO_ATUAL]]*-1,Base_Periodo1[[#This Row],[SALDO_ATUAL]]),4)</f>
        <v>3389.61</v>
      </c>
      <c r="N4947" t="s">
        <v>116</v>
      </c>
      <c r="O4947" t="s">
        <v>459</v>
      </c>
      <c r="P4947" t="s">
        <v>459</v>
      </c>
      <c r="Q4947">
        <v>6</v>
      </c>
      <c r="R4947" s="225">
        <f>Base_Periodo1[[#This Row],[CREDITOS]]-Base_Periodo1[[#This Row],[DEBITOS]]</f>
        <v>0</v>
      </c>
      <c r="S4947" s="3" t="str">
        <f>IF(ISERROR(VLOOKUP(Base_Periodo1[[#This Row],[CONTA]],BaseContasDRE[#All],4,FALSE)),"Fora do DRE",VLOOKUP(Base_Periodo1[[#This Row],[CONTA]],BaseContasDRE[#All],4,FALSE))</f>
        <v>Fora do DRE</v>
      </c>
      <c r="T4947" s="3" t="str">
        <f>IF(ISERROR(VLOOKUP(Base_Periodo1[[#This Row],[CONTA]],BaseContasDRE[#All],5,FALSE)),"Fora do DRE",VLOOKUP(Base_Periodo1[[#This Row],[CONTA]],BaseContasDRE[#All],6,FALSE))</f>
        <v>Fora do DRE</v>
      </c>
      <c r="U4947" s="3" t="str">
        <f>IF(ISERROR(VLOOKUP(Base_Periodo1[[#This Row],[CONTA]],BaseContasDRE[#All],7,FALSE)),"Fora do DRE",VLOOKUP(Base_Periodo1[[#This Row],[CONTA]],BaseContasDRE[#All],7,FALSE))</f>
        <v>Fora do DRE</v>
      </c>
      <c r="V4947" s="3" t="str">
        <f>IF(Base_Periodo1[[#This Row],[Tipo_Linha]]="Fora do DRE","Fora do DRE","( "&amp;Base_Periodo1[[#This Row],[Tipo_Linha]]&amp;" ) "&amp;Base_Periodo1[[#This Row],[Filtro]])</f>
        <v>Fora do DRE</v>
      </c>
      <c r="W4947" s="3" t="str">
        <f>LEFT(Base_Periodo1[[#This Row],[CLASS]],3)</f>
        <v>2.4</v>
      </c>
    </row>
    <row r="4948" spans="1:23" hidden="1">
      <c r="A4948" s="3" t="str">
        <f t="shared" si="77"/>
        <v>Período 1</v>
      </c>
      <c r="B4948">
        <v>24586</v>
      </c>
      <c r="C4948" t="s">
        <v>2300</v>
      </c>
      <c r="D4948" t="s">
        <v>2857</v>
      </c>
      <c r="E4948" s="3" t="str">
        <f>IF(LEN(Base_Periodo1[[#This Row],[CLASS]])&gt;=7,LEFT(Base_Periodo1[[#This Row],[CLASS]],7),"")</f>
        <v>2.4.1.1</v>
      </c>
      <c r="F4948" s="3" t="str">
        <f>VLOOKUP(Base_Periodo1[[#This Row],[Aux]],Base_Contas_Balanco[#All],2,FALSE)</f>
        <v>Capital Social Realizado</v>
      </c>
      <c r="G4948" s="1"/>
      <c r="H4948" s="225">
        <v>281.18</v>
      </c>
      <c r="I4948" s="225">
        <v>0</v>
      </c>
      <c r="J4948" s="225">
        <v>0</v>
      </c>
      <c r="K4948" s="225">
        <v>281.18</v>
      </c>
      <c r="L49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281.18</v>
      </c>
      <c r="M4948" s="225">
        <f>ROUND(IF(AND(Base_Periodo1[[#This Row],[Tipo_Linha]]="-",Base_Periodo1[[#This Row],[TIPOSALDO]]="D"),Base_Periodo1[[#This Row],[SALDO_ATUAL]]*-1,Base_Periodo1[[#This Row],[SALDO_ATUAL]]),4)</f>
        <v>281.18</v>
      </c>
      <c r="N4948" t="s">
        <v>116</v>
      </c>
      <c r="O4948" t="s">
        <v>459</v>
      </c>
      <c r="P4948" t="s">
        <v>459</v>
      </c>
      <c r="Q4948">
        <v>6</v>
      </c>
      <c r="R4948" s="225">
        <f>Base_Periodo1[[#This Row],[CREDITOS]]-Base_Periodo1[[#This Row],[DEBITOS]]</f>
        <v>0</v>
      </c>
      <c r="S4948" s="3" t="str">
        <f>IF(ISERROR(VLOOKUP(Base_Periodo1[[#This Row],[CONTA]],BaseContasDRE[#All],4,FALSE)),"Fora do DRE",VLOOKUP(Base_Periodo1[[#This Row],[CONTA]],BaseContasDRE[#All],4,FALSE))</f>
        <v>Fora do DRE</v>
      </c>
      <c r="T4948" s="3" t="str">
        <f>IF(ISERROR(VLOOKUP(Base_Periodo1[[#This Row],[CONTA]],BaseContasDRE[#All],5,FALSE)),"Fora do DRE",VLOOKUP(Base_Periodo1[[#This Row],[CONTA]],BaseContasDRE[#All],6,FALSE))</f>
        <v>Fora do DRE</v>
      </c>
      <c r="U4948" s="3" t="str">
        <f>IF(ISERROR(VLOOKUP(Base_Periodo1[[#This Row],[CONTA]],BaseContasDRE[#All],7,FALSE)),"Fora do DRE",VLOOKUP(Base_Periodo1[[#This Row],[CONTA]],BaseContasDRE[#All],7,FALSE))</f>
        <v>Fora do DRE</v>
      </c>
      <c r="V4948" s="3" t="str">
        <f>IF(Base_Periodo1[[#This Row],[Tipo_Linha]]="Fora do DRE","Fora do DRE","( "&amp;Base_Periodo1[[#This Row],[Tipo_Linha]]&amp;" ) "&amp;Base_Periodo1[[#This Row],[Filtro]])</f>
        <v>Fora do DRE</v>
      </c>
      <c r="W4948" s="3" t="str">
        <f>LEFT(Base_Periodo1[[#This Row],[CLASS]],3)</f>
        <v>2.4</v>
      </c>
    </row>
    <row r="4949" spans="1:23" hidden="1">
      <c r="A4949" s="3" t="str">
        <f t="shared" si="77"/>
        <v>Período 1</v>
      </c>
      <c r="B4949">
        <v>16198</v>
      </c>
      <c r="C4949" t="s">
        <v>2300</v>
      </c>
      <c r="D4949" t="s">
        <v>2858</v>
      </c>
      <c r="E4949" s="3" t="str">
        <f>IF(LEN(Base_Periodo1[[#This Row],[CLASS]])&gt;=7,LEFT(Base_Periodo1[[#This Row],[CLASS]],7),"")</f>
        <v>2.4.1.1</v>
      </c>
      <c r="F4949" s="3" t="str">
        <f>VLOOKUP(Base_Periodo1[[#This Row],[Aux]],Base_Contas_Balanco[#All],2,FALSE)</f>
        <v>Capital Social Realizado</v>
      </c>
      <c r="G4949" s="1"/>
      <c r="H4949" s="225">
        <v>7875.6399999999994</v>
      </c>
      <c r="I4949" s="225">
        <v>0</v>
      </c>
      <c r="J4949" s="225">
        <v>0</v>
      </c>
      <c r="K4949" s="225">
        <v>7875.6399999999994</v>
      </c>
      <c r="L49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7875.64</v>
      </c>
      <c r="M4949" s="225">
        <f>ROUND(IF(AND(Base_Periodo1[[#This Row],[Tipo_Linha]]="-",Base_Periodo1[[#This Row],[TIPOSALDO]]="D"),Base_Periodo1[[#This Row],[SALDO_ATUAL]]*-1,Base_Periodo1[[#This Row],[SALDO_ATUAL]]),4)</f>
        <v>7875.64</v>
      </c>
      <c r="N4949" t="s">
        <v>116</v>
      </c>
      <c r="O4949" t="s">
        <v>459</v>
      </c>
      <c r="P4949" t="s">
        <v>459</v>
      </c>
      <c r="Q4949">
        <v>6</v>
      </c>
      <c r="R4949" s="225">
        <f>Base_Periodo1[[#This Row],[CREDITOS]]-Base_Periodo1[[#This Row],[DEBITOS]]</f>
        <v>0</v>
      </c>
      <c r="S4949" s="3" t="str">
        <f>IF(ISERROR(VLOOKUP(Base_Periodo1[[#This Row],[CONTA]],BaseContasDRE[#All],4,FALSE)),"Fora do DRE",VLOOKUP(Base_Periodo1[[#This Row],[CONTA]],BaseContasDRE[#All],4,FALSE))</f>
        <v>Fora do DRE</v>
      </c>
      <c r="T4949" s="3" t="str">
        <f>IF(ISERROR(VLOOKUP(Base_Periodo1[[#This Row],[CONTA]],BaseContasDRE[#All],5,FALSE)),"Fora do DRE",VLOOKUP(Base_Periodo1[[#This Row],[CONTA]],BaseContasDRE[#All],6,FALSE))</f>
        <v>Fora do DRE</v>
      </c>
      <c r="U4949" s="3" t="str">
        <f>IF(ISERROR(VLOOKUP(Base_Periodo1[[#This Row],[CONTA]],BaseContasDRE[#All],7,FALSE)),"Fora do DRE",VLOOKUP(Base_Periodo1[[#This Row],[CONTA]],BaseContasDRE[#All],7,FALSE))</f>
        <v>Fora do DRE</v>
      </c>
      <c r="V4949" s="3" t="str">
        <f>IF(Base_Periodo1[[#This Row],[Tipo_Linha]]="Fora do DRE","Fora do DRE","( "&amp;Base_Periodo1[[#This Row],[Tipo_Linha]]&amp;" ) "&amp;Base_Periodo1[[#This Row],[Filtro]])</f>
        <v>Fora do DRE</v>
      </c>
      <c r="W4949" s="3" t="str">
        <f>LEFT(Base_Periodo1[[#This Row],[CLASS]],3)</f>
        <v>2.4</v>
      </c>
    </row>
    <row r="4950" spans="1:23" hidden="1">
      <c r="A4950" s="3" t="str">
        <f t="shared" si="77"/>
        <v>Período 1</v>
      </c>
      <c r="B4950">
        <v>39456</v>
      </c>
      <c r="C4950" t="s">
        <v>2300</v>
      </c>
      <c r="D4950" t="s">
        <v>2859</v>
      </c>
      <c r="E4950" s="3" t="str">
        <f>IF(LEN(Base_Periodo1[[#This Row],[CLASS]])&gt;=7,LEFT(Base_Periodo1[[#This Row],[CLASS]],7),"")</f>
        <v>2.4.1.1</v>
      </c>
      <c r="F4950" s="3" t="str">
        <f>VLOOKUP(Base_Periodo1[[#This Row],[Aux]],Base_Contas_Balanco[#All],2,FALSE)</f>
        <v>Capital Social Realizado</v>
      </c>
      <c r="G4950" s="1"/>
      <c r="H4950" s="225">
        <v>50.51</v>
      </c>
      <c r="I4950" s="225">
        <v>0</v>
      </c>
      <c r="J4950" s="225">
        <v>0</v>
      </c>
      <c r="K4950" s="225">
        <v>50.51</v>
      </c>
      <c r="L49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50.51</v>
      </c>
      <c r="M4950" s="225">
        <f>ROUND(IF(AND(Base_Periodo1[[#This Row],[Tipo_Linha]]="-",Base_Periodo1[[#This Row],[TIPOSALDO]]="D"),Base_Periodo1[[#This Row],[SALDO_ATUAL]]*-1,Base_Periodo1[[#This Row],[SALDO_ATUAL]]),4)</f>
        <v>50.51</v>
      </c>
      <c r="N4950" t="s">
        <v>116</v>
      </c>
      <c r="O4950" t="s">
        <v>459</v>
      </c>
      <c r="P4950" t="s">
        <v>459</v>
      </c>
      <c r="Q4950">
        <v>6</v>
      </c>
      <c r="R4950" s="225">
        <f>Base_Periodo1[[#This Row],[CREDITOS]]-Base_Periodo1[[#This Row],[DEBITOS]]</f>
        <v>0</v>
      </c>
      <c r="S4950" s="3" t="str">
        <f>IF(ISERROR(VLOOKUP(Base_Periodo1[[#This Row],[CONTA]],BaseContasDRE[#All],4,FALSE)),"Fora do DRE",VLOOKUP(Base_Periodo1[[#This Row],[CONTA]],BaseContasDRE[#All],4,FALSE))</f>
        <v>Fora do DRE</v>
      </c>
      <c r="T4950" s="3" t="str">
        <f>IF(ISERROR(VLOOKUP(Base_Periodo1[[#This Row],[CONTA]],BaseContasDRE[#All],5,FALSE)),"Fora do DRE",VLOOKUP(Base_Periodo1[[#This Row],[CONTA]],BaseContasDRE[#All],6,FALSE))</f>
        <v>Fora do DRE</v>
      </c>
      <c r="U4950" s="3" t="str">
        <f>IF(ISERROR(VLOOKUP(Base_Periodo1[[#This Row],[CONTA]],BaseContasDRE[#All],7,FALSE)),"Fora do DRE",VLOOKUP(Base_Periodo1[[#This Row],[CONTA]],BaseContasDRE[#All],7,FALSE))</f>
        <v>Fora do DRE</v>
      </c>
      <c r="V4950" s="3" t="str">
        <f>IF(Base_Periodo1[[#This Row],[Tipo_Linha]]="Fora do DRE","Fora do DRE","( "&amp;Base_Periodo1[[#This Row],[Tipo_Linha]]&amp;" ) "&amp;Base_Periodo1[[#This Row],[Filtro]])</f>
        <v>Fora do DRE</v>
      </c>
      <c r="W4950" s="3" t="str">
        <f>LEFT(Base_Periodo1[[#This Row],[CLASS]],3)</f>
        <v>2.4</v>
      </c>
    </row>
    <row r="4951" spans="1:23" hidden="1">
      <c r="A4951" s="3" t="str">
        <f t="shared" si="77"/>
        <v>Período 1</v>
      </c>
      <c r="B4951">
        <v>16407</v>
      </c>
      <c r="C4951" t="s">
        <v>2300</v>
      </c>
      <c r="D4951" t="s">
        <v>2860</v>
      </c>
      <c r="E4951" s="3" t="str">
        <f>IF(LEN(Base_Periodo1[[#This Row],[CLASS]])&gt;=7,LEFT(Base_Periodo1[[#This Row],[CLASS]],7),"")</f>
        <v>2.4.1.1</v>
      </c>
      <c r="F4951" s="3" t="str">
        <f>VLOOKUP(Base_Periodo1[[#This Row],[Aux]],Base_Contas_Balanco[#All],2,FALSE)</f>
        <v>Capital Social Realizado</v>
      </c>
      <c r="G4951" s="1"/>
      <c r="H4951" s="225">
        <v>6485.74</v>
      </c>
      <c r="I4951" s="225">
        <v>0</v>
      </c>
      <c r="J4951" s="225">
        <v>0</v>
      </c>
      <c r="K4951" s="225">
        <v>6485.74</v>
      </c>
      <c r="L49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6485.74</v>
      </c>
      <c r="M4951" s="225">
        <f>ROUND(IF(AND(Base_Periodo1[[#This Row],[Tipo_Linha]]="-",Base_Periodo1[[#This Row],[TIPOSALDO]]="D"),Base_Periodo1[[#This Row],[SALDO_ATUAL]]*-1,Base_Periodo1[[#This Row],[SALDO_ATUAL]]),4)</f>
        <v>6485.74</v>
      </c>
      <c r="N4951" t="s">
        <v>116</v>
      </c>
      <c r="O4951" t="s">
        <v>459</v>
      </c>
      <c r="P4951" t="s">
        <v>459</v>
      </c>
      <c r="Q4951">
        <v>6</v>
      </c>
      <c r="R4951" s="225">
        <f>Base_Periodo1[[#This Row],[CREDITOS]]-Base_Periodo1[[#This Row],[DEBITOS]]</f>
        <v>0</v>
      </c>
      <c r="S4951" s="3" t="str">
        <f>IF(ISERROR(VLOOKUP(Base_Periodo1[[#This Row],[CONTA]],BaseContasDRE[#All],4,FALSE)),"Fora do DRE",VLOOKUP(Base_Periodo1[[#This Row],[CONTA]],BaseContasDRE[#All],4,FALSE))</f>
        <v>Fora do DRE</v>
      </c>
      <c r="T4951" s="3" t="str">
        <f>IF(ISERROR(VLOOKUP(Base_Periodo1[[#This Row],[CONTA]],BaseContasDRE[#All],5,FALSE)),"Fora do DRE",VLOOKUP(Base_Periodo1[[#This Row],[CONTA]],BaseContasDRE[#All],6,FALSE))</f>
        <v>Fora do DRE</v>
      </c>
      <c r="U4951" s="3" t="str">
        <f>IF(ISERROR(VLOOKUP(Base_Periodo1[[#This Row],[CONTA]],BaseContasDRE[#All],7,FALSE)),"Fora do DRE",VLOOKUP(Base_Periodo1[[#This Row],[CONTA]],BaseContasDRE[#All],7,FALSE))</f>
        <v>Fora do DRE</v>
      </c>
      <c r="V4951" s="3" t="str">
        <f>IF(Base_Periodo1[[#This Row],[Tipo_Linha]]="Fora do DRE","Fora do DRE","( "&amp;Base_Periodo1[[#This Row],[Tipo_Linha]]&amp;" ) "&amp;Base_Periodo1[[#This Row],[Filtro]])</f>
        <v>Fora do DRE</v>
      </c>
      <c r="W4951" s="3" t="str">
        <f>LEFT(Base_Periodo1[[#This Row],[CLASS]],3)</f>
        <v>2.4</v>
      </c>
    </row>
    <row r="4952" spans="1:23" hidden="1">
      <c r="A4952" s="3" t="str">
        <f t="shared" si="77"/>
        <v>Período 1</v>
      </c>
      <c r="B4952">
        <v>27121</v>
      </c>
      <c r="C4952" t="s">
        <v>2300</v>
      </c>
      <c r="D4952" t="s">
        <v>2861</v>
      </c>
      <c r="E4952" s="3" t="str">
        <f>IF(LEN(Base_Periodo1[[#This Row],[CLASS]])&gt;=7,LEFT(Base_Periodo1[[#This Row],[CLASS]],7),"")</f>
        <v>2.4.1.1</v>
      </c>
      <c r="F4952" s="3" t="str">
        <f>VLOOKUP(Base_Periodo1[[#This Row],[Aux]],Base_Contas_Balanco[#All],2,FALSE)</f>
        <v>Capital Social Realizado</v>
      </c>
      <c r="G4952" s="1"/>
      <c r="H4952" s="225">
        <v>189.74</v>
      </c>
      <c r="I4952" s="225">
        <v>0</v>
      </c>
      <c r="J4952" s="225">
        <v>0</v>
      </c>
      <c r="K4952" s="225">
        <v>189.74</v>
      </c>
      <c r="L49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189.74</v>
      </c>
      <c r="M4952" s="225">
        <f>ROUND(IF(AND(Base_Periodo1[[#This Row],[Tipo_Linha]]="-",Base_Periodo1[[#This Row],[TIPOSALDO]]="D"),Base_Periodo1[[#This Row],[SALDO_ATUAL]]*-1,Base_Periodo1[[#This Row],[SALDO_ATUAL]]),4)</f>
        <v>189.74</v>
      </c>
      <c r="N4952" t="s">
        <v>116</v>
      </c>
      <c r="O4952" t="s">
        <v>459</v>
      </c>
      <c r="P4952" t="s">
        <v>459</v>
      </c>
      <c r="Q4952">
        <v>6</v>
      </c>
      <c r="R4952" s="225">
        <f>Base_Periodo1[[#This Row],[CREDITOS]]-Base_Periodo1[[#This Row],[DEBITOS]]</f>
        <v>0</v>
      </c>
      <c r="S4952" s="3" t="str">
        <f>IF(ISERROR(VLOOKUP(Base_Periodo1[[#This Row],[CONTA]],BaseContasDRE[#All],4,FALSE)),"Fora do DRE",VLOOKUP(Base_Periodo1[[#This Row],[CONTA]],BaseContasDRE[#All],4,FALSE))</f>
        <v>Fora do DRE</v>
      </c>
      <c r="T4952" s="3" t="str">
        <f>IF(ISERROR(VLOOKUP(Base_Periodo1[[#This Row],[CONTA]],BaseContasDRE[#All],5,FALSE)),"Fora do DRE",VLOOKUP(Base_Periodo1[[#This Row],[CONTA]],BaseContasDRE[#All],6,FALSE))</f>
        <v>Fora do DRE</v>
      </c>
      <c r="U4952" s="3" t="str">
        <f>IF(ISERROR(VLOOKUP(Base_Periodo1[[#This Row],[CONTA]],BaseContasDRE[#All],7,FALSE)),"Fora do DRE",VLOOKUP(Base_Periodo1[[#This Row],[CONTA]],BaseContasDRE[#All],7,FALSE))</f>
        <v>Fora do DRE</v>
      </c>
      <c r="V4952" s="3" t="str">
        <f>IF(Base_Periodo1[[#This Row],[Tipo_Linha]]="Fora do DRE","Fora do DRE","( "&amp;Base_Periodo1[[#This Row],[Tipo_Linha]]&amp;" ) "&amp;Base_Periodo1[[#This Row],[Filtro]])</f>
        <v>Fora do DRE</v>
      </c>
      <c r="W4952" s="3" t="str">
        <f>LEFT(Base_Periodo1[[#This Row],[CLASS]],3)</f>
        <v>2.4</v>
      </c>
    </row>
    <row r="4953" spans="1:23" hidden="1">
      <c r="A4953" s="3" t="str">
        <f t="shared" si="77"/>
        <v>Período 1</v>
      </c>
      <c r="B4953">
        <v>16089</v>
      </c>
      <c r="C4953" t="s">
        <v>2300</v>
      </c>
      <c r="D4953" t="s">
        <v>2862</v>
      </c>
      <c r="E4953" s="3" t="str">
        <f>IF(LEN(Base_Periodo1[[#This Row],[CLASS]])&gt;=7,LEFT(Base_Periodo1[[#This Row],[CLASS]],7),"")</f>
        <v>2.4.1.1</v>
      </c>
      <c r="F4953" s="3" t="str">
        <f>VLOOKUP(Base_Periodo1[[#This Row],[Aux]],Base_Contas_Balanco[#All],2,FALSE)</f>
        <v>Capital Social Realizado</v>
      </c>
      <c r="G4953" s="1"/>
      <c r="H4953" s="225">
        <v>3694.3199999999997</v>
      </c>
      <c r="I4953" s="225">
        <v>0</v>
      </c>
      <c r="J4953" s="225">
        <v>0</v>
      </c>
      <c r="K4953" s="225">
        <v>3694.3199999999997</v>
      </c>
      <c r="L49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3694.32</v>
      </c>
      <c r="M4953" s="225">
        <f>ROUND(IF(AND(Base_Periodo1[[#This Row],[Tipo_Linha]]="-",Base_Periodo1[[#This Row],[TIPOSALDO]]="D"),Base_Periodo1[[#This Row],[SALDO_ATUAL]]*-1,Base_Periodo1[[#This Row],[SALDO_ATUAL]]),4)</f>
        <v>3694.32</v>
      </c>
      <c r="N4953" t="s">
        <v>116</v>
      </c>
      <c r="O4953" t="s">
        <v>459</v>
      </c>
      <c r="P4953" t="s">
        <v>459</v>
      </c>
      <c r="Q4953">
        <v>6</v>
      </c>
      <c r="R4953" s="225">
        <f>Base_Periodo1[[#This Row],[CREDITOS]]-Base_Periodo1[[#This Row],[DEBITOS]]</f>
        <v>0</v>
      </c>
      <c r="S4953" s="3" t="str">
        <f>IF(ISERROR(VLOOKUP(Base_Periodo1[[#This Row],[CONTA]],BaseContasDRE[#All],4,FALSE)),"Fora do DRE",VLOOKUP(Base_Periodo1[[#This Row],[CONTA]],BaseContasDRE[#All],4,FALSE))</f>
        <v>Fora do DRE</v>
      </c>
      <c r="T4953" s="3" t="str">
        <f>IF(ISERROR(VLOOKUP(Base_Periodo1[[#This Row],[CONTA]],BaseContasDRE[#All],5,FALSE)),"Fora do DRE",VLOOKUP(Base_Periodo1[[#This Row],[CONTA]],BaseContasDRE[#All],6,FALSE))</f>
        <v>Fora do DRE</v>
      </c>
      <c r="U4953" s="3" t="str">
        <f>IF(ISERROR(VLOOKUP(Base_Periodo1[[#This Row],[CONTA]],BaseContasDRE[#All],7,FALSE)),"Fora do DRE",VLOOKUP(Base_Periodo1[[#This Row],[CONTA]],BaseContasDRE[#All],7,FALSE))</f>
        <v>Fora do DRE</v>
      </c>
      <c r="V4953" s="3" t="str">
        <f>IF(Base_Periodo1[[#This Row],[Tipo_Linha]]="Fora do DRE","Fora do DRE","( "&amp;Base_Periodo1[[#This Row],[Tipo_Linha]]&amp;" ) "&amp;Base_Periodo1[[#This Row],[Filtro]])</f>
        <v>Fora do DRE</v>
      </c>
      <c r="W4953" s="3" t="str">
        <f>LEFT(Base_Periodo1[[#This Row],[CLASS]],3)</f>
        <v>2.4</v>
      </c>
    </row>
    <row r="4954" spans="1:23" hidden="1">
      <c r="A4954" s="3" t="str">
        <f t="shared" si="77"/>
        <v>Período 1</v>
      </c>
      <c r="B4954">
        <v>16195</v>
      </c>
      <c r="C4954" t="s">
        <v>2300</v>
      </c>
      <c r="D4954" t="s">
        <v>2863</v>
      </c>
      <c r="E4954" s="3" t="str">
        <f>IF(LEN(Base_Periodo1[[#This Row],[CLASS]])&gt;=7,LEFT(Base_Periodo1[[#This Row],[CLASS]],7),"")</f>
        <v>2.4.1.1</v>
      </c>
      <c r="F4954" s="3" t="str">
        <f>VLOOKUP(Base_Periodo1[[#This Row],[Aux]],Base_Contas_Balanco[#All],2,FALSE)</f>
        <v>Capital Social Realizado</v>
      </c>
      <c r="G4954" s="1"/>
      <c r="H4954" s="225">
        <v>1682.63</v>
      </c>
      <c r="I4954" s="225">
        <v>0</v>
      </c>
      <c r="J4954" s="225">
        <v>0</v>
      </c>
      <c r="K4954" s="225">
        <v>1682.63</v>
      </c>
      <c r="L49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1682.63</v>
      </c>
      <c r="M4954" s="225">
        <f>ROUND(IF(AND(Base_Periodo1[[#This Row],[Tipo_Linha]]="-",Base_Periodo1[[#This Row],[TIPOSALDO]]="D"),Base_Periodo1[[#This Row],[SALDO_ATUAL]]*-1,Base_Periodo1[[#This Row],[SALDO_ATUAL]]),4)</f>
        <v>1682.63</v>
      </c>
      <c r="N4954" t="s">
        <v>116</v>
      </c>
      <c r="O4954" t="s">
        <v>459</v>
      </c>
      <c r="P4954" t="s">
        <v>459</v>
      </c>
      <c r="Q4954">
        <v>6</v>
      </c>
      <c r="R4954" s="225">
        <f>Base_Periodo1[[#This Row],[CREDITOS]]-Base_Periodo1[[#This Row],[DEBITOS]]</f>
        <v>0</v>
      </c>
      <c r="S4954" s="3" t="str">
        <f>IF(ISERROR(VLOOKUP(Base_Periodo1[[#This Row],[CONTA]],BaseContasDRE[#All],4,FALSE)),"Fora do DRE",VLOOKUP(Base_Periodo1[[#This Row],[CONTA]],BaseContasDRE[#All],4,FALSE))</f>
        <v>Fora do DRE</v>
      </c>
      <c r="T4954" s="3" t="str">
        <f>IF(ISERROR(VLOOKUP(Base_Periodo1[[#This Row],[CONTA]],BaseContasDRE[#All],5,FALSE)),"Fora do DRE",VLOOKUP(Base_Periodo1[[#This Row],[CONTA]],BaseContasDRE[#All],6,FALSE))</f>
        <v>Fora do DRE</v>
      </c>
      <c r="U4954" s="3" t="str">
        <f>IF(ISERROR(VLOOKUP(Base_Periodo1[[#This Row],[CONTA]],BaseContasDRE[#All],7,FALSE)),"Fora do DRE",VLOOKUP(Base_Periodo1[[#This Row],[CONTA]],BaseContasDRE[#All],7,FALSE))</f>
        <v>Fora do DRE</v>
      </c>
      <c r="V4954" s="3" t="str">
        <f>IF(Base_Periodo1[[#This Row],[Tipo_Linha]]="Fora do DRE","Fora do DRE","( "&amp;Base_Periodo1[[#This Row],[Tipo_Linha]]&amp;" ) "&amp;Base_Periodo1[[#This Row],[Filtro]])</f>
        <v>Fora do DRE</v>
      </c>
      <c r="W4954" s="3" t="str">
        <f>LEFT(Base_Periodo1[[#This Row],[CLASS]],3)</f>
        <v>2.4</v>
      </c>
    </row>
    <row r="4955" spans="1:23" hidden="1">
      <c r="A4955" s="3" t="str">
        <f t="shared" si="77"/>
        <v>Período 1</v>
      </c>
      <c r="B4955">
        <v>32041</v>
      </c>
      <c r="C4955" t="s">
        <v>2300</v>
      </c>
      <c r="D4955" t="s">
        <v>2864</v>
      </c>
      <c r="E4955" s="3" t="str">
        <f>IF(LEN(Base_Periodo1[[#This Row],[CLASS]])&gt;=7,LEFT(Base_Periodo1[[#This Row],[CLASS]],7),"")</f>
        <v>2.4.1.1</v>
      </c>
      <c r="F4955" s="3" t="str">
        <f>VLOOKUP(Base_Periodo1[[#This Row],[Aux]],Base_Contas_Balanco[#All],2,FALSE)</f>
        <v>Capital Social Realizado</v>
      </c>
      <c r="G4955" s="1"/>
      <c r="H4955" s="225">
        <v>94.55</v>
      </c>
      <c r="I4955" s="225">
        <v>0</v>
      </c>
      <c r="J4955" s="225">
        <v>0</v>
      </c>
      <c r="K4955" s="225">
        <v>94.55</v>
      </c>
      <c r="L49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94.55</v>
      </c>
      <c r="M4955" s="225">
        <f>ROUND(IF(AND(Base_Periodo1[[#This Row],[Tipo_Linha]]="-",Base_Periodo1[[#This Row],[TIPOSALDO]]="D"),Base_Periodo1[[#This Row],[SALDO_ATUAL]]*-1,Base_Periodo1[[#This Row],[SALDO_ATUAL]]),4)</f>
        <v>94.55</v>
      </c>
      <c r="N4955" t="s">
        <v>116</v>
      </c>
      <c r="O4955" t="s">
        <v>459</v>
      </c>
      <c r="P4955" t="s">
        <v>459</v>
      </c>
      <c r="Q4955">
        <v>6</v>
      </c>
      <c r="R4955" s="225">
        <f>Base_Periodo1[[#This Row],[CREDITOS]]-Base_Periodo1[[#This Row],[DEBITOS]]</f>
        <v>0</v>
      </c>
      <c r="S4955" s="3" t="str">
        <f>IF(ISERROR(VLOOKUP(Base_Periodo1[[#This Row],[CONTA]],BaseContasDRE[#All],4,FALSE)),"Fora do DRE",VLOOKUP(Base_Periodo1[[#This Row],[CONTA]],BaseContasDRE[#All],4,FALSE))</f>
        <v>Fora do DRE</v>
      </c>
      <c r="T4955" s="3" t="str">
        <f>IF(ISERROR(VLOOKUP(Base_Periodo1[[#This Row],[CONTA]],BaseContasDRE[#All],5,FALSE)),"Fora do DRE",VLOOKUP(Base_Periodo1[[#This Row],[CONTA]],BaseContasDRE[#All],6,FALSE))</f>
        <v>Fora do DRE</v>
      </c>
      <c r="U4955" s="3" t="str">
        <f>IF(ISERROR(VLOOKUP(Base_Periodo1[[#This Row],[CONTA]],BaseContasDRE[#All],7,FALSE)),"Fora do DRE",VLOOKUP(Base_Periodo1[[#This Row],[CONTA]],BaseContasDRE[#All],7,FALSE))</f>
        <v>Fora do DRE</v>
      </c>
      <c r="V4955" s="3" t="str">
        <f>IF(Base_Periodo1[[#This Row],[Tipo_Linha]]="Fora do DRE","Fora do DRE","( "&amp;Base_Periodo1[[#This Row],[Tipo_Linha]]&amp;" ) "&amp;Base_Periodo1[[#This Row],[Filtro]])</f>
        <v>Fora do DRE</v>
      </c>
      <c r="W4955" s="3" t="str">
        <f>LEFT(Base_Periodo1[[#This Row],[CLASS]],3)</f>
        <v>2.4</v>
      </c>
    </row>
    <row r="4956" spans="1:23" hidden="1">
      <c r="A4956" s="3" t="str">
        <f t="shared" si="77"/>
        <v>Período 1</v>
      </c>
      <c r="B4956">
        <v>36103</v>
      </c>
      <c r="C4956" t="s">
        <v>2300</v>
      </c>
      <c r="D4956" t="s">
        <v>2865</v>
      </c>
      <c r="E4956" s="3" t="str">
        <f>IF(LEN(Base_Periodo1[[#This Row],[CLASS]])&gt;=7,LEFT(Base_Periodo1[[#This Row],[CLASS]],7),"")</f>
        <v>2.4.1.1</v>
      </c>
      <c r="F4956" s="3" t="str">
        <f>VLOOKUP(Base_Periodo1[[#This Row],[Aux]],Base_Contas_Balanco[#All],2,FALSE)</f>
        <v>Capital Social Realizado</v>
      </c>
      <c r="G4956" s="1"/>
      <c r="H4956" s="225">
        <v>471.15999999999997</v>
      </c>
      <c r="I4956" s="225">
        <v>0</v>
      </c>
      <c r="J4956" s="225">
        <v>0</v>
      </c>
      <c r="K4956" s="225">
        <v>471.15999999999997</v>
      </c>
      <c r="L49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471.16</v>
      </c>
      <c r="M4956" s="225">
        <f>ROUND(IF(AND(Base_Periodo1[[#This Row],[Tipo_Linha]]="-",Base_Periodo1[[#This Row],[TIPOSALDO]]="D"),Base_Periodo1[[#This Row],[SALDO_ATUAL]]*-1,Base_Periodo1[[#This Row],[SALDO_ATUAL]]),4)</f>
        <v>471.16</v>
      </c>
      <c r="N4956" t="s">
        <v>116</v>
      </c>
      <c r="O4956" t="s">
        <v>459</v>
      </c>
      <c r="P4956" t="s">
        <v>459</v>
      </c>
      <c r="Q4956">
        <v>6</v>
      </c>
      <c r="R4956" s="225">
        <f>Base_Periodo1[[#This Row],[CREDITOS]]-Base_Periodo1[[#This Row],[DEBITOS]]</f>
        <v>0</v>
      </c>
      <c r="S4956" s="3" t="str">
        <f>IF(ISERROR(VLOOKUP(Base_Periodo1[[#This Row],[CONTA]],BaseContasDRE[#All],4,FALSE)),"Fora do DRE",VLOOKUP(Base_Periodo1[[#This Row],[CONTA]],BaseContasDRE[#All],4,FALSE))</f>
        <v>Fora do DRE</v>
      </c>
      <c r="T4956" s="3" t="str">
        <f>IF(ISERROR(VLOOKUP(Base_Periodo1[[#This Row],[CONTA]],BaseContasDRE[#All],5,FALSE)),"Fora do DRE",VLOOKUP(Base_Periodo1[[#This Row],[CONTA]],BaseContasDRE[#All],6,FALSE))</f>
        <v>Fora do DRE</v>
      </c>
      <c r="U4956" s="3" t="str">
        <f>IF(ISERROR(VLOOKUP(Base_Periodo1[[#This Row],[CONTA]],BaseContasDRE[#All],7,FALSE)),"Fora do DRE",VLOOKUP(Base_Periodo1[[#This Row],[CONTA]],BaseContasDRE[#All],7,FALSE))</f>
        <v>Fora do DRE</v>
      </c>
      <c r="V4956" s="3" t="str">
        <f>IF(Base_Periodo1[[#This Row],[Tipo_Linha]]="Fora do DRE","Fora do DRE","( "&amp;Base_Periodo1[[#This Row],[Tipo_Linha]]&amp;" ) "&amp;Base_Periodo1[[#This Row],[Filtro]])</f>
        <v>Fora do DRE</v>
      </c>
      <c r="W4956" s="3" t="str">
        <f>LEFT(Base_Periodo1[[#This Row],[CLASS]],3)</f>
        <v>2.4</v>
      </c>
    </row>
    <row r="4957" spans="1:23" hidden="1">
      <c r="A4957" s="3" t="str">
        <f t="shared" si="77"/>
        <v>Período 1</v>
      </c>
      <c r="B4957">
        <v>25675</v>
      </c>
      <c r="C4957" t="s">
        <v>2300</v>
      </c>
      <c r="D4957" t="s">
        <v>2866</v>
      </c>
      <c r="E4957" s="3" t="str">
        <f>IF(LEN(Base_Periodo1[[#This Row],[CLASS]])&gt;=7,LEFT(Base_Periodo1[[#This Row],[CLASS]],7),"")</f>
        <v>2.4.1.1</v>
      </c>
      <c r="F4957" s="3" t="str">
        <f>VLOOKUP(Base_Periodo1[[#This Row],[Aux]],Base_Contas_Balanco[#All],2,FALSE)</f>
        <v>Capital Social Realizado</v>
      </c>
      <c r="G4957" s="1"/>
      <c r="H4957" s="225">
        <v>172.06</v>
      </c>
      <c r="I4957" s="225">
        <v>0</v>
      </c>
      <c r="J4957" s="225">
        <v>0</v>
      </c>
      <c r="K4957" s="225">
        <v>172.06</v>
      </c>
      <c r="L49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172.06</v>
      </c>
      <c r="M4957" s="225">
        <f>ROUND(IF(AND(Base_Periodo1[[#This Row],[Tipo_Linha]]="-",Base_Periodo1[[#This Row],[TIPOSALDO]]="D"),Base_Periodo1[[#This Row],[SALDO_ATUAL]]*-1,Base_Periodo1[[#This Row],[SALDO_ATUAL]]),4)</f>
        <v>172.06</v>
      </c>
      <c r="N4957" t="s">
        <v>116</v>
      </c>
      <c r="O4957" t="s">
        <v>459</v>
      </c>
      <c r="P4957" t="s">
        <v>459</v>
      </c>
      <c r="Q4957">
        <v>6</v>
      </c>
      <c r="R4957" s="225">
        <f>Base_Periodo1[[#This Row],[CREDITOS]]-Base_Periodo1[[#This Row],[DEBITOS]]</f>
        <v>0</v>
      </c>
      <c r="S4957" s="3" t="str">
        <f>IF(ISERROR(VLOOKUP(Base_Periodo1[[#This Row],[CONTA]],BaseContasDRE[#All],4,FALSE)),"Fora do DRE",VLOOKUP(Base_Periodo1[[#This Row],[CONTA]],BaseContasDRE[#All],4,FALSE))</f>
        <v>Fora do DRE</v>
      </c>
      <c r="T4957" s="3" t="str">
        <f>IF(ISERROR(VLOOKUP(Base_Periodo1[[#This Row],[CONTA]],BaseContasDRE[#All],5,FALSE)),"Fora do DRE",VLOOKUP(Base_Periodo1[[#This Row],[CONTA]],BaseContasDRE[#All],6,FALSE))</f>
        <v>Fora do DRE</v>
      </c>
      <c r="U4957" s="3" t="str">
        <f>IF(ISERROR(VLOOKUP(Base_Periodo1[[#This Row],[CONTA]],BaseContasDRE[#All],7,FALSE)),"Fora do DRE",VLOOKUP(Base_Periodo1[[#This Row],[CONTA]],BaseContasDRE[#All],7,FALSE))</f>
        <v>Fora do DRE</v>
      </c>
      <c r="V4957" s="3" t="str">
        <f>IF(Base_Periodo1[[#This Row],[Tipo_Linha]]="Fora do DRE","Fora do DRE","( "&amp;Base_Periodo1[[#This Row],[Tipo_Linha]]&amp;" ) "&amp;Base_Periodo1[[#This Row],[Filtro]])</f>
        <v>Fora do DRE</v>
      </c>
      <c r="W4957" s="3" t="str">
        <f>LEFT(Base_Periodo1[[#This Row],[CLASS]],3)</f>
        <v>2.4</v>
      </c>
    </row>
    <row r="4958" spans="1:23" hidden="1">
      <c r="A4958" s="3" t="str">
        <f t="shared" si="77"/>
        <v>Período 1</v>
      </c>
      <c r="B4958">
        <v>25842</v>
      </c>
      <c r="C4958" t="s">
        <v>2300</v>
      </c>
      <c r="D4958" t="s">
        <v>2867</v>
      </c>
      <c r="E4958" s="3" t="str">
        <f>IF(LEN(Base_Periodo1[[#This Row],[CLASS]])&gt;=7,LEFT(Base_Periodo1[[#This Row],[CLASS]],7),"")</f>
        <v>2.4.1.1</v>
      </c>
      <c r="F4958" s="3" t="str">
        <f>VLOOKUP(Base_Periodo1[[#This Row],[Aux]],Base_Contas_Balanco[#All],2,FALSE)</f>
        <v>Capital Social Realizado</v>
      </c>
      <c r="G4958" s="1"/>
      <c r="H4958" s="225">
        <v>756.65</v>
      </c>
      <c r="I4958" s="225">
        <v>0</v>
      </c>
      <c r="J4958" s="225">
        <v>0</v>
      </c>
      <c r="K4958" s="225">
        <v>756.65</v>
      </c>
      <c r="L49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756.65</v>
      </c>
      <c r="M4958" s="225">
        <f>ROUND(IF(AND(Base_Periodo1[[#This Row],[Tipo_Linha]]="-",Base_Periodo1[[#This Row],[TIPOSALDO]]="D"),Base_Periodo1[[#This Row],[SALDO_ATUAL]]*-1,Base_Periodo1[[#This Row],[SALDO_ATUAL]]),4)</f>
        <v>756.65</v>
      </c>
      <c r="N4958" t="s">
        <v>116</v>
      </c>
      <c r="O4958" t="s">
        <v>459</v>
      </c>
      <c r="P4958" t="s">
        <v>459</v>
      </c>
      <c r="Q4958">
        <v>6</v>
      </c>
      <c r="R4958" s="225">
        <f>Base_Periodo1[[#This Row],[CREDITOS]]-Base_Periodo1[[#This Row],[DEBITOS]]</f>
        <v>0</v>
      </c>
      <c r="S4958" s="3" t="str">
        <f>IF(ISERROR(VLOOKUP(Base_Periodo1[[#This Row],[CONTA]],BaseContasDRE[#All],4,FALSE)),"Fora do DRE",VLOOKUP(Base_Periodo1[[#This Row],[CONTA]],BaseContasDRE[#All],4,FALSE))</f>
        <v>Fora do DRE</v>
      </c>
      <c r="T4958" s="3" t="str">
        <f>IF(ISERROR(VLOOKUP(Base_Periodo1[[#This Row],[CONTA]],BaseContasDRE[#All],5,FALSE)),"Fora do DRE",VLOOKUP(Base_Periodo1[[#This Row],[CONTA]],BaseContasDRE[#All],6,FALSE))</f>
        <v>Fora do DRE</v>
      </c>
      <c r="U4958" s="3" t="str">
        <f>IF(ISERROR(VLOOKUP(Base_Periodo1[[#This Row],[CONTA]],BaseContasDRE[#All],7,FALSE)),"Fora do DRE",VLOOKUP(Base_Periodo1[[#This Row],[CONTA]],BaseContasDRE[#All],7,FALSE))</f>
        <v>Fora do DRE</v>
      </c>
      <c r="V4958" s="3" t="str">
        <f>IF(Base_Periodo1[[#This Row],[Tipo_Linha]]="Fora do DRE","Fora do DRE","( "&amp;Base_Periodo1[[#This Row],[Tipo_Linha]]&amp;" ) "&amp;Base_Periodo1[[#This Row],[Filtro]])</f>
        <v>Fora do DRE</v>
      </c>
      <c r="W4958" s="3" t="str">
        <f>LEFT(Base_Periodo1[[#This Row],[CLASS]],3)</f>
        <v>2.4</v>
      </c>
    </row>
    <row r="4959" spans="1:23" hidden="1">
      <c r="A4959" s="3" t="str">
        <f t="shared" si="77"/>
        <v>Período 1</v>
      </c>
      <c r="B4959">
        <v>49278</v>
      </c>
      <c r="C4959" t="s">
        <v>2300</v>
      </c>
      <c r="D4959" t="s">
        <v>4313</v>
      </c>
      <c r="E4959" s="3" t="str">
        <f>IF(LEN(Base_Periodo1[[#This Row],[CLASS]])&gt;=7,LEFT(Base_Periodo1[[#This Row],[CLASS]],7),"")</f>
        <v>2.4.1.1</v>
      </c>
      <c r="F4959" s="3" t="str">
        <f>VLOOKUP(Base_Periodo1[[#This Row],[Aux]],Base_Contas_Balanco[#All],2,FALSE)</f>
        <v>Capital Social Realizado</v>
      </c>
      <c r="G4959" s="1"/>
      <c r="H4959" s="225">
        <v>270.99</v>
      </c>
      <c r="I4959" s="225">
        <v>0</v>
      </c>
      <c r="J4959" s="225">
        <v>0</v>
      </c>
      <c r="K4959" s="225">
        <v>270.99</v>
      </c>
      <c r="L49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270.99</v>
      </c>
      <c r="M4959" s="225">
        <f>ROUND(IF(AND(Base_Periodo1[[#This Row],[Tipo_Linha]]="-",Base_Periodo1[[#This Row],[TIPOSALDO]]="D"),Base_Periodo1[[#This Row],[SALDO_ATUAL]]*-1,Base_Periodo1[[#This Row],[SALDO_ATUAL]]),4)</f>
        <v>270.99</v>
      </c>
      <c r="N4959" t="s">
        <v>116</v>
      </c>
      <c r="O4959" t="s">
        <v>459</v>
      </c>
      <c r="P4959" t="s">
        <v>459</v>
      </c>
      <c r="Q4959">
        <v>6</v>
      </c>
      <c r="R4959" s="225">
        <f>Base_Periodo1[[#This Row],[CREDITOS]]-Base_Periodo1[[#This Row],[DEBITOS]]</f>
        <v>0</v>
      </c>
      <c r="S4959" s="3" t="str">
        <f>IF(ISERROR(VLOOKUP(Base_Periodo1[[#This Row],[CONTA]],BaseContasDRE[#All],4,FALSE)),"Fora do DRE",VLOOKUP(Base_Periodo1[[#This Row],[CONTA]],BaseContasDRE[#All],4,FALSE))</f>
        <v>Fora do DRE</v>
      </c>
      <c r="T4959" s="3" t="str">
        <f>IF(ISERROR(VLOOKUP(Base_Periodo1[[#This Row],[CONTA]],BaseContasDRE[#All],5,FALSE)),"Fora do DRE",VLOOKUP(Base_Periodo1[[#This Row],[CONTA]],BaseContasDRE[#All],6,FALSE))</f>
        <v>Fora do DRE</v>
      </c>
      <c r="U4959" s="3" t="str">
        <f>IF(ISERROR(VLOOKUP(Base_Periodo1[[#This Row],[CONTA]],BaseContasDRE[#All],7,FALSE)),"Fora do DRE",VLOOKUP(Base_Periodo1[[#This Row],[CONTA]],BaseContasDRE[#All],7,FALSE))</f>
        <v>Fora do DRE</v>
      </c>
      <c r="V4959" s="3" t="str">
        <f>IF(Base_Periodo1[[#This Row],[Tipo_Linha]]="Fora do DRE","Fora do DRE","( "&amp;Base_Periodo1[[#This Row],[Tipo_Linha]]&amp;" ) "&amp;Base_Periodo1[[#This Row],[Filtro]])</f>
        <v>Fora do DRE</v>
      </c>
      <c r="W4959" s="3" t="str">
        <f>LEFT(Base_Periodo1[[#This Row],[CLASS]],3)</f>
        <v>2.4</v>
      </c>
    </row>
    <row r="4960" spans="1:23" hidden="1">
      <c r="A4960" s="3" t="str">
        <f t="shared" si="77"/>
        <v>Período 1</v>
      </c>
      <c r="B4960">
        <v>25578</v>
      </c>
      <c r="C4960" t="s">
        <v>2300</v>
      </c>
      <c r="D4960" t="s">
        <v>2868</v>
      </c>
      <c r="E4960" s="3" t="str">
        <f>IF(LEN(Base_Periodo1[[#This Row],[CLASS]])&gt;=7,LEFT(Base_Periodo1[[#This Row],[CLASS]],7),"")</f>
        <v>2.4.1.1</v>
      </c>
      <c r="F4960" s="3" t="str">
        <f>VLOOKUP(Base_Periodo1[[#This Row],[Aux]],Base_Contas_Balanco[#All],2,FALSE)</f>
        <v>Capital Social Realizado</v>
      </c>
      <c r="G4960" s="1"/>
      <c r="H4960" s="225">
        <v>59.53</v>
      </c>
      <c r="I4960" s="225">
        <v>0</v>
      </c>
      <c r="J4960" s="225">
        <v>0</v>
      </c>
      <c r="K4960" s="225">
        <v>59.53</v>
      </c>
      <c r="L49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59.53</v>
      </c>
      <c r="M4960" s="225">
        <f>ROUND(IF(AND(Base_Periodo1[[#This Row],[Tipo_Linha]]="-",Base_Periodo1[[#This Row],[TIPOSALDO]]="D"),Base_Periodo1[[#This Row],[SALDO_ATUAL]]*-1,Base_Periodo1[[#This Row],[SALDO_ATUAL]]),4)</f>
        <v>59.53</v>
      </c>
      <c r="N4960" t="s">
        <v>116</v>
      </c>
      <c r="O4960" t="s">
        <v>459</v>
      </c>
      <c r="P4960" t="s">
        <v>459</v>
      </c>
      <c r="Q4960">
        <v>6</v>
      </c>
      <c r="R4960" s="225">
        <f>Base_Periodo1[[#This Row],[CREDITOS]]-Base_Periodo1[[#This Row],[DEBITOS]]</f>
        <v>0</v>
      </c>
      <c r="S4960" s="3" t="str">
        <f>IF(ISERROR(VLOOKUP(Base_Periodo1[[#This Row],[CONTA]],BaseContasDRE[#All],4,FALSE)),"Fora do DRE",VLOOKUP(Base_Periodo1[[#This Row],[CONTA]],BaseContasDRE[#All],4,FALSE))</f>
        <v>Fora do DRE</v>
      </c>
      <c r="T4960" s="3" t="str">
        <f>IF(ISERROR(VLOOKUP(Base_Periodo1[[#This Row],[CONTA]],BaseContasDRE[#All],5,FALSE)),"Fora do DRE",VLOOKUP(Base_Periodo1[[#This Row],[CONTA]],BaseContasDRE[#All],6,FALSE))</f>
        <v>Fora do DRE</v>
      </c>
      <c r="U4960" s="3" t="str">
        <f>IF(ISERROR(VLOOKUP(Base_Periodo1[[#This Row],[CONTA]],BaseContasDRE[#All],7,FALSE)),"Fora do DRE",VLOOKUP(Base_Periodo1[[#This Row],[CONTA]],BaseContasDRE[#All],7,FALSE))</f>
        <v>Fora do DRE</v>
      </c>
      <c r="V4960" s="3" t="str">
        <f>IF(Base_Periodo1[[#This Row],[Tipo_Linha]]="Fora do DRE","Fora do DRE","( "&amp;Base_Periodo1[[#This Row],[Tipo_Linha]]&amp;" ) "&amp;Base_Periodo1[[#This Row],[Filtro]])</f>
        <v>Fora do DRE</v>
      </c>
      <c r="W4960" s="3" t="str">
        <f>LEFT(Base_Periodo1[[#This Row],[CLASS]],3)</f>
        <v>2.4</v>
      </c>
    </row>
    <row r="4961" spans="1:23" hidden="1">
      <c r="A4961" s="3" t="str">
        <f t="shared" si="77"/>
        <v>Período 1</v>
      </c>
      <c r="B4961">
        <v>47239</v>
      </c>
      <c r="C4961" t="s">
        <v>2300</v>
      </c>
      <c r="D4961" t="s">
        <v>2869</v>
      </c>
      <c r="E4961" s="3" t="str">
        <f>IF(LEN(Base_Periodo1[[#This Row],[CLASS]])&gt;=7,LEFT(Base_Periodo1[[#This Row],[CLASS]],7),"")</f>
        <v>2.4.1.1</v>
      </c>
      <c r="F4961" s="3" t="str">
        <f>VLOOKUP(Base_Periodo1[[#This Row],[Aux]],Base_Contas_Balanco[#All],2,FALSE)</f>
        <v>Capital Social Realizado</v>
      </c>
      <c r="G4961" s="1"/>
      <c r="H4961" s="225">
        <v>170.76999999999998</v>
      </c>
      <c r="I4961" s="225">
        <v>0</v>
      </c>
      <c r="J4961" s="225">
        <v>0</v>
      </c>
      <c r="K4961" s="225">
        <v>170.76999999999998</v>
      </c>
      <c r="L49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170.77</v>
      </c>
      <c r="M4961" s="225">
        <f>ROUND(IF(AND(Base_Periodo1[[#This Row],[Tipo_Linha]]="-",Base_Periodo1[[#This Row],[TIPOSALDO]]="D"),Base_Periodo1[[#This Row],[SALDO_ATUAL]]*-1,Base_Periodo1[[#This Row],[SALDO_ATUAL]]),4)</f>
        <v>170.77</v>
      </c>
      <c r="N4961" t="s">
        <v>116</v>
      </c>
      <c r="O4961" t="s">
        <v>459</v>
      </c>
      <c r="P4961" t="s">
        <v>459</v>
      </c>
      <c r="Q4961">
        <v>6</v>
      </c>
      <c r="R4961" s="225">
        <f>Base_Periodo1[[#This Row],[CREDITOS]]-Base_Periodo1[[#This Row],[DEBITOS]]</f>
        <v>0</v>
      </c>
      <c r="S4961" s="3" t="str">
        <f>IF(ISERROR(VLOOKUP(Base_Periodo1[[#This Row],[CONTA]],BaseContasDRE[#All],4,FALSE)),"Fora do DRE",VLOOKUP(Base_Periodo1[[#This Row],[CONTA]],BaseContasDRE[#All],4,FALSE))</f>
        <v>Fora do DRE</v>
      </c>
      <c r="T4961" s="3" t="str">
        <f>IF(ISERROR(VLOOKUP(Base_Periodo1[[#This Row],[CONTA]],BaseContasDRE[#All],5,FALSE)),"Fora do DRE",VLOOKUP(Base_Periodo1[[#This Row],[CONTA]],BaseContasDRE[#All],6,FALSE))</f>
        <v>Fora do DRE</v>
      </c>
      <c r="U4961" s="3" t="str">
        <f>IF(ISERROR(VLOOKUP(Base_Periodo1[[#This Row],[CONTA]],BaseContasDRE[#All],7,FALSE)),"Fora do DRE",VLOOKUP(Base_Periodo1[[#This Row],[CONTA]],BaseContasDRE[#All],7,FALSE))</f>
        <v>Fora do DRE</v>
      </c>
      <c r="V4961" s="3" t="str">
        <f>IF(Base_Periodo1[[#This Row],[Tipo_Linha]]="Fora do DRE","Fora do DRE","( "&amp;Base_Periodo1[[#This Row],[Tipo_Linha]]&amp;" ) "&amp;Base_Periodo1[[#This Row],[Filtro]])</f>
        <v>Fora do DRE</v>
      </c>
      <c r="W4961" s="3" t="str">
        <f>LEFT(Base_Periodo1[[#This Row],[CLASS]],3)</f>
        <v>2.4</v>
      </c>
    </row>
    <row r="4962" spans="1:23" hidden="1">
      <c r="A4962" s="3" t="str">
        <f t="shared" si="77"/>
        <v>Período 1</v>
      </c>
      <c r="B4962">
        <v>25562</v>
      </c>
      <c r="C4962" t="s">
        <v>2300</v>
      </c>
      <c r="D4962" t="s">
        <v>2870</v>
      </c>
      <c r="E4962" s="3" t="str">
        <f>IF(LEN(Base_Periodo1[[#This Row],[CLASS]])&gt;=7,LEFT(Base_Periodo1[[#This Row],[CLASS]],7),"")</f>
        <v>2.4.1.1</v>
      </c>
      <c r="F4962" s="3" t="str">
        <f>VLOOKUP(Base_Periodo1[[#This Row],[Aux]],Base_Contas_Balanco[#All],2,FALSE)</f>
        <v>Capital Social Realizado</v>
      </c>
      <c r="G4962" s="1"/>
      <c r="H4962" s="225">
        <v>60.480000000000004</v>
      </c>
      <c r="I4962" s="225">
        <v>0</v>
      </c>
      <c r="J4962" s="225">
        <v>0</v>
      </c>
      <c r="K4962" s="225">
        <v>60.480000000000004</v>
      </c>
      <c r="L49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60.48</v>
      </c>
      <c r="M4962" s="225">
        <f>ROUND(IF(AND(Base_Periodo1[[#This Row],[Tipo_Linha]]="-",Base_Periodo1[[#This Row],[TIPOSALDO]]="D"),Base_Periodo1[[#This Row],[SALDO_ATUAL]]*-1,Base_Periodo1[[#This Row],[SALDO_ATUAL]]),4)</f>
        <v>60.48</v>
      </c>
      <c r="N4962" t="s">
        <v>116</v>
      </c>
      <c r="O4962" t="s">
        <v>459</v>
      </c>
      <c r="P4962" t="s">
        <v>459</v>
      </c>
      <c r="Q4962">
        <v>6</v>
      </c>
      <c r="R4962" s="225">
        <f>Base_Periodo1[[#This Row],[CREDITOS]]-Base_Periodo1[[#This Row],[DEBITOS]]</f>
        <v>0</v>
      </c>
      <c r="S4962" s="3" t="str">
        <f>IF(ISERROR(VLOOKUP(Base_Periodo1[[#This Row],[CONTA]],BaseContasDRE[#All],4,FALSE)),"Fora do DRE",VLOOKUP(Base_Periodo1[[#This Row],[CONTA]],BaseContasDRE[#All],4,FALSE))</f>
        <v>Fora do DRE</v>
      </c>
      <c r="T4962" s="3" t="str">
        <f>IF(ISERROR(VLOOKUP(Base_Periodo1[[#This Row],[CONTA]],BaseContasDRE[#All],5,FALSE)),"Fora do DRE",VLOOKUP(Base_Periodo1[[#This Row],[CONTA]],BaseContasDRE[#All],6,FALSE))</f>
        <v>Fora do DRE</v>
      </c>
      <c r="U4962" s="3" t="str">
        <f>IF(ISERROR(VLOOKUP(Base_Periodo1[[#This Row],[CONTA]],BaseContasDRE[#All],7,FALSE)),"Fora do DRE",VLOOKUP(Base_Periodo1[[#This Row],[CONTA]],BaseContasDRE[#All],7,FALSE))</f>
        <v>Fora do DRE</v>
      </c>
      <c r="V4962" s="3" t="str">
        <f>IF(Base_Periodo1[[#This Row],[Tipo_Linha]]="Fora do DRE","Fora do DRE","( "&amp;Base_Periodo1[[#This Row],[Tipo_Linha]]&amp;" ) "&amp;Base_Periodo1[[#This Row],[Filtro]])</f>
        <v>Fora do DRE</v>
      </c>
      <c r="W4962" s="3" t="str">
        <f>LEFT(Base_Periodo1[[#This Row],[CLASS]],3)</f>
        <v>2.4</v>
      </c>
    </row>
    <row r="4963" spans="1:23" hidden="1">
      <c r="A4963" s="3" t="str">
        <f t="shared" si="77"/>
        <v>Período 1</v>
      </c>
      <c r="B4963">
        <v>16096</v>
      </c>
      <c r="C4963" t="s">
        <v>2300</v>
      </c>
      <c r="D4963" t="s">
        <v>2871</v>
      </c>
      <c r="E4963" s="3" t="str">
        <f>IF(LEN(Base_Periodo1[[#This Row],[CLASS]])&gt;=7,LEFT(Base_Periodo1[[#This Row],[CLASS]],7),"")</f>
        <v>2.4.1.1</v>
      </c>
      <c r="F4963" s="3" t="str">
        <f>VLOOKUP(Base_Periodo1[[#This Row],[Aux]],Base_Contas_Balanco[#All],2,FALSE)</f>
        <v>Capital Social Realizado</v>
      </c>
      <c r="G4963" s="1"/>
      <c r="H4963" s="225">
        <v>10254.17</v>
      </c>
      <c r="I4963" s="225">
        <v>0</v>
      </c>
      <c r="J4963" s="225">
        <v>0</v>
      </c>
      <c r="K4963" s="225">
        <v>10254.17</v>
      </c>
      <c r="L49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10254.17</v>
      </c>
      <c r="M4963" s="225">
        <f>ROUND(IF(AND(Base_Periodo1[[#This Row],[Tipo_Linha]]="-",Base_Periodo1[[#This Row],[TIPOSALDO]]="D"),Base_Periodo1[[#This Row],[SALDO_ATUAL]]*-1,Base_Periodo1[[#This Row],[SALDO_ATUAL]]),4)</f>
        <v>10254.17</v>
      </c>
      <c r="N4963" t="s">
        <v>116</v>
      </c>
      <c r="O4963" t="s">
        <v>459</v>
      </c>
      <c r="P4963" t="s">
        <v>459</v>
      </c>
      <c r="Q4963">
        <v>6</v>
      </c>
      <c r="R4963" s="225">
        <f>Base_Periodo1[[#This Row],[CREDITOS]]-Base_Periodo1[[#This Row],[DEBITOS]]</f>
        <v>0</v>
      </c>
      <c r="S4963" s="3" t="str">
        <f>IF(ISERROR(VLOOKUP(Base_Periodo1[[#This Row],[CONTA]],BaseContasDRE[#All],4,FALSE)),"Fora do DRE",VLOOKUP(Base_Periodo1[[#This Row],[CONTA]],BaseContasDRE[#All],4,FALSE))</f>
        <v>Fora do DRE</v>
      </c>
      <c r="T4963" s="3" t="str">
        <f>IF(ISERROR(VLOOKUP(Base_Periodo1[[#This Row],[CONTA]],BaseContasDRE[#All],5,FALSE)),"Fora do DRE",VLOOKUP(Base_Periodo1[[#This Row],[CONTA]],BaseContasDRE[#All],6,FALSE))</f>
        <v>Fora do DRE</v>
      </c>
      <c r="U4963" s="3" t="str">
        <f>IF(ISERROR(VLOOKUP(Base_Periodo1[[#This Row],[CONTA]],BaseContasDRE[#All],7,FALSE)),"Fora do DRE",VLOOKUP(Base_Periodo1[[#This Row],[CONTA]],BaseContasDRE[#All],7,FALSE))</f>
        <v>Fora do DRE</v>
      </c>
      <c r="V4963" s="3" t="str">
        <f>IF(Base_Periodo1[[#This Row],[Tipo_Linha]]="Fora do DRE","Fora do DRE","( "&amp;Base_Periodo1[[#This Row],[Tipo_Linha]]&amp;" ) "&amp;Base_Periodo1[[#This Row],[Filtro]])</f>
        <v>Fora do DRE</v>
      </c>
      <c r="W4963" s="3" t="str">
        <f>LEFT(Base_Periodo1[[#This Row],[CLASS]],3)</f>
        <v>2.4</v>
      </c>
    </row>
    <row r="4964" spans="1:23" hidden="1">
      <c r="A4964" s="3" t="str">
        <f t="shared" si="77"/>
        <v>Período 1</v>
      </c>
      <c r="B4964">
        <v>51561</v>
      </c>
      <c r="C4964" t="s">
        <v>2300</v>
      </c>
      <c r="D4964" t="s">
        <v>4624</v>
      </c>
      <c r="E4964" s="3" t="str">
        <f>IF(LEN(Base_Periodo1[[#This Row],[CLASS]])&gt;=7,LEFT(Base_Periodo1[[#This Row],[CLASS]],7),"")</f>
        <v>2.4.1.1</v>
      </c>
      <c r="F4964" s="3" t="str">
        <f>VLOOKUP(Base_Periodo1[[#This Row],[Aux]],Base_Contas_Balanco[#All],2,FALSE)</f>
        <v>Capital Social Realizado</v>
      </c>
      <c r="G4964" s="1"/>
      <c r="H4964" s="225">
        <v>50</v>
      </c>
      <c r="I4964" s="225">
        <v>0</v>
      </c>
      <c r="J4964" s="225">
        <v>0</v>
      </c>
      <c r="K4964" s="225">
        <v>50</v>
      </c>
      <c r="L49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964" s="225">
        <f>ROUND(IF(AND(Base_Periodo1[[#This Row],[Tipo_Linha]]="-",Base_Periodo1[[#This Row],[TIPOSALDO]]="D"),Base_Periodo1[[#This Row],[SALDO_ATUAL]]*-1,Base_Periodo1[[#This Row],[SALDO_ATUAL]]),4)</f>
        <v>50</v>
      </c>
      <c r="N4964" t="s">
        <v>116</v>
      </c>
      <c r="O4964" t="s">
        <v>459</v>
      </c>
      <c r="P4964" t="s">
        <v>459</v>
      </c>
      <c r="Q4964">
        <v>6</v>
      </c>
      <c r="R4964" s="225">
        <f>Base_Periodo1[[#This Row],[CREDITOS]]-Base_Periodo1[[#This Row],[DEBITOS]]</f>
        <v>0</v>
      </c>
      <c r="S4964" s="3" t="str">
        <f>IF(ISERROR(VLOOKUP(Base_Periodo1[[#This Row],[CONTA]],BaseContasDRE[#All],4,FALSE)),"Fora do DRE",VLOOKUP(Base_Periodo1[[#This Row],[CONTA]],BaseContasDRE[#All],4,FALSE))</f>
        <v>Fora do DRE</v>
      </c>
      <c r="T4964" s="3" t="str">
        <f>IF(ISERROR(VLOOKUP(Base_Periodo1[[#This Row],[CONTA]],BaseContasDRE[#All],5,FALSE)),"Fora do DRE",VLOOKUP(Base_Periodo1[[#This Row],[CONTA]],BaseContasDRE[#All],6,FALSE))</f>
        <v>Fora do DRE</v>
      </c>
      <c r="U4964" s="3" t="str">
        <f>IF(ISERROR(VLOOKUP(Base_Periodo1[[#This Row],[CONTA]],BaseContasDRE[#All],7,FALSE)),"Fora do DRE",VLOOKUP(Base_Periodo1[[#This Row],[CONTA]],BaseContasDRE[#All],7,FALSE))</f>
        <v>Fora do DRE</v>
      </c>
      <c r="V4964" s="3" t="str">
        <f>IF(Base_Periodo1[[#This Row],[Tipo_Linha]]="Fora do DRE","Fora do DRE","( "&amp;Base_Periodo1[[#This Row],[Tipo_Linha]]&amp;" ) "&amp;Base_Periodo1[[#This Row],[Filtro]])</f>
        <v>Fora do DRE</v>
      </c>
      <c r="W4964" s="3" t="str">
        <f>LEFT(Base_Periodo1[[#This Row],[CLASS]],3)</f>
        <v>2.4</v>
      </c>
    </row>
    <row r="4965" spans="1:23" hidden="1">
      <c r="A4965" s="3" t="str">
        <f t="shared" si="77"/>
        <v>Período 1</v>
      </c>
      <c r="B4965">
        <v>17164</v>
      </c>
      <c r="C4965" t="s">
        <v>2300</v>
      </c>
      <c r="D4965" t="s">
        <v>2872</v>
      </c>
      <c r="E4965" s="3" t="str">
        <f>IF(LEN(Base_Periodo1[[#This Row],[CLASS]])&gt;=7,LEFT(Base_Periodo1[[#This Row],[CLASS]],7),"")</f>
        <v>2.4.1.1</v>
      </c>
      <c r="F4965" s="3" t="str">
        <f>VLOOKUP(Base_Periodo1[[#This Row],[Aux]],Base_Contas_Balanco[#All],2,FALSE)</f>
        <v>Capital Social Realizado</v>
      </c>
      <c r="G4965" s="1">
        <v>42460</v>
      </c>
      <c r="H4965" s="225">
        <v>333.69000000000005</v>
      </c>
      <c r="I4965" s="225">
        <v>0</v>
      </c>
      <c r="J4965" s="225">
        <v>0</v>
      </c>
      <c r="K4965" s="225">
        <v>333.69000000000005</v>
      </c>
      <c r="L49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333.69</v>
      </c>
      <c r="M4965" s="225">
        <f>ROUND(IF(AND(Base_Periodo1[[#This Row],[Tipo_Linha]]="-",Base_Periodo1[[#This Row],[TIPOSALDO]]="D"),Base_Periodo1[[#This Row],[SALDO_ATUAL]]*-1,Base_Periodo1[[#This Row],[SALDO_ATUAL]]),4)</f>
        <v>333.69</v>
      </c>
      <c r="N4965" t="s">
        <v>116</v>
      </c>
      <c r="O4965" t="s">
        <v>459</v>
      </c>
      <c r="P4965" t="s">
        <v>459</v>
      </c>
      <c r="Q4965">
        <v>6</v>
      </c>
      <c r="R4965" s="225">
        <f>Base_Periodo1[[#This Row],[CREDITOS]]-Base_Periodo1[[#This Row],[DEBITOS]]</f>
        <v>0</v>
      </c>
      <c r="S4965" s="3" t="str">
        <f>IF(ISERROR(VLOOKUP(Base_Periodo1[[#This Row],[CONTA]],BaseContasDRE[#All],4,FALSE)),"Fora do DRE",VLOOKUP(Base_Periodo1[[#This Row],[CONTA]],BaseContasDRE[#All],4,FALSE))</f>
        <v>Fora do DRE</v>
      </c>
      <c r="T4965" s="3" t="str">
        <f>IF(ISERROR(VLOOKUP(Base_Periodo1[[#This Row],[CONTA]],BaseContasDRE[#All],5,FALSE)),"Fora do DRE",VLOOKUP(Base_Periodo1[[#This Row],[CONTA]],BaseContasDRE[#All],6,FALSE))</f>
        <v>Fora do DRE</v>
      </c>
      <c r="U4965" s="3" t="str">
        <f>IF(ISERROR(VLOOKUP(Base_Periodo1[[#This Row],[CONTA]],BaseContasDRE[#All],7,FALSE)),"Fora do DRE",VLOOKUP(Base_Periodo1[[#This Row],[CONTA]],BaseContasDRE[#All],7,FALSE))</f>
        <v>Fora do DRE</v>
      </c>
      <c r="V4965" s="3" t="str">
        <f>IF(Base_Periodo1[[#This Row],[Tipo_Linha]]="Fora do DRE","Fora do DRE","( "&amp;Base_Periodo1[[#This Row],[Tipo_Linha]]&amp;" ) "&amp;Base_Periodo1[[#This Row],[Filtro]])</f>
        <v>Fora do DRE</v>
      </c>
      <c r="W4965" s="3" t="str">
        <f>LEFT(Base_Periodo1[[#This Row],[CLASS]],3)</f>
        <v>2.4</v>
      </c>
    </row>
    <row r="4966" spans="1:23" hidden="1">
      <c r="A4966" s="3" t="str">
        <f t="shared" si="77"/>
        <v>Período 1</v>
      </c>
      <c r="B4966">
        <v>16235</v>
      </c>
      <c r="C4966" t="s">
        <v>2300</v>
      </c>
      <c r="D4966" t="s">
        <v>2873</v>
      </c>
      <c r="E4966" s="3" t="str">
        <f>IF(LEN(Base_Periodo1[[#This Row],[CLASS]])&gt;=7,LEFT(Base_Periodo1[[#This Row],[CLASS]],7),"")</f>
        <v>2.4.1.1</v>
      </c>
      <c r="F4966" s="3" t="str">
        <f>VLOOKUP(Base_Periodo1[[#This Row],[Aux]],Base_Contas_Balanco[#All],2,FALSE)</f>
        <v>Capital Social Realizado</v>
      </c>
      <c r="G4966" s="1"/>
      <c r="H4966" s="225">
        <v>5285.5599999999995</v>
      </c>
      <c r="I4966" s="225">
        <v>0</v>
      </c>
      <c r="J4966" s="225">
        <v>0</v>
      </c>
      <c r="K4966" s="225">
        <v>5285.5599999999995</v>
      </c>
      <c r="L49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5285.56</v>
      </c>
      <c r="M4966" s="225">
        <f>ROUND(IF(AND(Base_Periodo1[[#This Row],[Tipo_Linha]]="-",Base_Periodo1[[#This Row],[TIPOSALDO]]="D"),Base_Periodo1[[#This Row],[SALDO_ATUAL]]*-1,Base_Periodo1[[#This Row],[SALDO_ATUAL]]),4)</f>
        <v>5285.56</v>
      </c>
      <c r="N4966" t="s">
        <v>116</v>
      </c>
      <c r="O4966" t="s">
        <v>459</v>
      </c>
      <c r="P4966" t="s">
        <v>459</v>
      </c>
      <c r="Q4966">
        <v>6</v>
      </c>
      <c r="R4966" s="225">
        <f>Base_Periodo1[[#This Row],[CREDITOS]]-Base_Periodo1[[#This Row],[DEBITOS]]</f>
        <v>0</v>
      </c>
      <c r="S4966" s="3" t="str">
        <f>IF(ISERROR(VLOOKUP(Base_Periodo1[[#This Row],[CONTA]],BaseContasDRE[#All],4,FALSE)),"Fora do DRE",VLOOKUP(Base_Periodo1[[#This Row],[CONTA]],BaseContasDRE[#All],4,FALSE))</f>
        <v>Fora do DRE</v>
      </c>
      <c r="T4966" s="3" t="str">
        <f>IF(ISERROR(VLOOKUP(Base_Periodo1[[#This Row],[CONTA]],BaseContasDRE[#All],5,FALSE)),"Fora do DRE",VLOOKUP(Base_Periodo1[[#This Row],[CONTA]],BaseContasDRE[#All],6,FALSE))</f>
        <v>Fora do DRE</v>
      </c>
      <c r="U4966" s="3" t="str">
        <f>IF(ISERROR(VLOOKUP(Base_Periodo1[[#This Row],[CONTA]],BaseContasDRE[#All],7,FALSE)),"Fora do DRE",VLOOKUP(Base_Periodo1[[#This Row],[CONTA]],BaseContasDRE[#All],7,FALSE))</f>
        <v>Fora do DRE</v>
      </c>
      <c r="V4966" s="3" t="str">
        <f>IF(Base_Periodo1[[#This Row],[Tipo_Linha]]="Fora do DRE","Fora do DRE","( "&amp;Base_Periodo1[[#This Row],[Tipo_Linha]]&amp;" ) "&amp;Base_Periodo1[[#This Row],[Filtro]])</f>
        <v>Fora do DRE</v>
      </c>
      <c r="W4966" s="3" t="str">
        <f>LEFT(Base_Periodo1[[#This Row],[CLASS]],3)</f>
        <v>2.4</v>
      </c>
    </row>
    <row r="4967" spans="1:23" hidden="1">
      <c r="A4967" s="3" t="str">
        <f t="shared" si="77"/>
        <v>Período 1</v>
      </c>
      <c r="B4967">
        <v>16275</v>
      </c>
      <c r="C4967" t="s">
        <v>2300</v>
      </c>
      <c r="D4967" t="s">
        <v>2874</v>
      </c>
      <c r="E4967" s="3" t="str">
        <f>IF(LEN(Base_Periodo1[[#This Row],[CLASS]])&gt;=7,LEFT(Base_Periodo1[[#This Row],[CLASS]],7),"")</f>
        <v>2.4.1.1</v>
      </c>
      <c r="F4967" s="3" t="str">
        <f>VLOOKUP(Base_Periodo1[[#This Row],[Aux]],Base_Contas_Balanco[#All],2,FALSE)</f>
        <v>Capital Social Realizado</v>
      </c>
      <c r="G4967" s="1"/>
      <c r="H4967" s="225">
        <v>34419.509999999995</v>
      </c>
      <c r="I4967" s="225">
        <v>0</v>
      </c>
      <c r="J4967" s="225">
        <v>0</v>
      </c>
      <c r="K4967" s="225">
        <v>34419.509999999995</v>
      </c>
      <c r="L49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34419.51</v>
      </c>
      <c r="M4967" s="225">
        <f>ROUND(IF(AND(Base_Periodo1[[#This Row],[Tipo_Linha]]="-",Base_Periodo1[[#This Row],[TIPOSALDO]]="D"),Base_Periodo1[[#This Row],[SALDO_ATUAL]]*-1,Base_Periodo1[[#This Row],[SALDO_ATUAL]]),4)</f>
        <v>34419.51</v>
      </c>
      <c r="N4967" t="s">
        <v>116</v>
      </c>
      <c r="O4967" t="s">
        <v>459</v>
      </c>
      <c r="P4967" t="s">
        <v>459</v>
      </c>
      <c r="Q4967">
        <v>6</v>
      </c>
      <c r="R4967" s="225">
        <f>Base_Periodo1[[#This Row],[CREDITOS]]-Base_Periodo1[[#This Row],[DEBITOS]]</f>
        <v>0</v>
      </c>
      <c r="S4967" s="3" t="str">
        <f>IF(ISERROR(VLOOKUP(Base_Periodo1[[#This Row],[CONTA]],BaseContasDRE[#All],4,FALSE)),"Fora do DRE",VLOOKUP(Base_Periodo1[[#This Row],[CONTA]],BaseContasDRE[#All],4,FALSE))</f>
        <v>Fora do DRE</v>
      </c>
      <c r="T4967" s="3" t="str">
        <f>IF(ISERROR(VLOOKUP(Base_Periodo1[[#This Row],[CONTA]],BaseContasDRE[#All],5,FALSE)),"Fora do DRE",VLOOKUP(Base_Periodo1[[#This Row],[CONTA]],BaseContasDRE[#All],6,FALSE))</f>
        <v>Fora do DRE</v>
      </c>
      <c r="U4967" s="3" t="str">
        <f>IF(ISERROR(VLOOKUP(Base_Periodo1[[#This Row],[CONTA]],BaseContasDRE[#All],7,FALSE)),"Fora do DRE",VLOOKUP(Base_Periodo1[[#This Row],[CONTA]],BaseContasDRE[#All],7,FALSE))</f>
        <v>Fora do DRE</v>
      </c>
      <c r="V4967" s="3" t="str">
        <f>IF(Base_Periodo1[[#This Row],[Tipo_Linha]]="Fora do DRE","Fora do DRE","( "&amp;Base_Periodo1[[#This Row],[Tipo_Linha]]&amp;" ) "&amp;Base_Periodo1[[#This Row],[Filtro]])</f>
        <v>Fora do DRE</v>
      </c>
      <c r="W4967" s="3" t="str">
        <f>LEFT(Base_Periodo1[[#This Row],[CLASS]],3)</f>
        <v>2.4</v>
      </c>
    </row>
    <row r="4968" spans="1:23" hidden="1">
      <c r="A4968" s="3" t="str">
        <f t="shared" si="77"/>
        <v>Período 1</v>
      </c>
      <c r="B4968">
        <v>27385</v>
      </c>
      <c r="C4968" t="s">
        <v>2300</v>
      </c>
      <c r="D4968" t="s">
        <v>2875</v>
      </c>
      <c r="E4968" s="3" t="str">
        <f>IF(LEN(Base_Periodo1[[#This Row],[CLASS]])&gt;=7,LEFT(Base_Periodo1[[#This Row],[CLASS]],7),"")</f>
        <v>2.4.1.1</v>
      </c>
      <c r="F4968" s="3" t="str">
        <f>VLOOKUP(Base_Periodo1[[#This Row],[Aux]],Base_Contas_Balanco[#All],2,FALSE)</f>
        <v>Capital Social Realizado</v>
      </c>
      <c r="G4968" s="1"/>
      <c r="H4968" s="225">
        <v>229.06</v>
      </c>
      <c r="I4968" s="225">
        <v>0</v>
      </c>
      <c r="J4968" s="225">
        <v>0</v>
      </c>
      <c r="K4968" s="225">
        <v>229.06</v>
      </c>
      <c r="L49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229.06</v>
      </c>
      <c r="M4968" s="225">
        <f>ROUND(IF(AND(Base_Periodo1[[#This Row],[Tipo_Linha]]="-",Base_Periodo1[[#This Row],[TIPOSALDO]]="D"),Base_Periodo1[[#This Row],[SALDO_ATUAL]]*-1,Base_Periodo1[[#This Row],[SALDO_ATUAL]]),4)</f>
        <v>229.06</v>
      </c>
      <c r="N4968" t="s">
        <v>116</v>
      </c>
      <c r="O4968" t="s">
        <v>459</v>
      </c>
      <c r="P4968" t="s">
        <v>459</v>
      </c>
      <c r="Q4968">
        <v>6</v>
      </c>
      <c r="R4968" s="225">
        <f>Base_Periodo1[[#This Row],[CREDITOS]]-Base_Periodo1[[#This Row],[DEBITOS]]</f>
        <v>0</v>
      </c>
      <c r="S4968" s="3" t="str">
        <f>IF(ISERROR(VLOOKUP(Base_Periodo1[[#This Row],[CONTA]],BaseContasDRE[#All],4,FALSE)),"Fora do DRE",VLOOKUP(Base_Periodo1[[#This Row],[CONTA]],BaseContasDRE[#All],4,FALSE))</f>
        <v>Fora do DRE</v>
      </c>
      <c r="T4968" s="3" t="str">
        <f>IF(ISERROR(VLOOKUP(Base_Periodo1[[#This Row],[CONTA]],BaseContasDRE[#All],5,FALSE)),"Fora do DRE",VLOOKUP(Base_Periodo1[[#This Row],[CONTA]],BaseContasDRE[#All],6,FALSE))</f>
        <v>Fora do DRE</v>
      </c>
      <c r="U4968" s="3" t="str">
        <f>IF(ISERROR(VLOOKUP(Base_Periodo1[[#This Row],[CONTA]],BaseContasDRE[#All],7,FALSE)),"Fora do DRE",VLOOKUP(Base_Periodo1[[#This Row],[CONTA]],BaseContasDRE[#All],7,FALSE))</f>
        <v>Fora do DRE</v>
      </c>
      <c r="V4968" s="3" t="str">
        <f>IF(Base_Periodo1[[#This Row],[Tipo_Linha]]="Fora do DRE","Fora do DRE","( "&amp;Base_Periodo1[[#This Row],[Tipo_Linha]]&amp;" ) "&amp;Base_Periodo1[[#This Row],[Filtro]])</f>
        <v>Fora do DRE</v>
      </c>
      <c r="W4968" s="3" t="str">
        <f>LEFT(Base_Periodo1[[#This Row],[CLASS]],3)</f>
        <v>2.4</v>
      </c>
    </row>
    <row r="4969" spans="1:23" hidden="1">
      <c r="A4969" s="3" t="str">
        <f t="shared" si="77"/>
        <v>Período 1</v>
      </c>
      <c r="B4969">
        <v>25244</v>
      </c>
      <c r="C4969" t="s">
        <v>2300</v>
      </c>
      <c r="D4969" t="s">
        <v>2876</v>
      </c>
      <c r="E4969" s="3" t="str">
        <f>IF(LEN(Base_Periodo1[[#This Row],[CLASS]])&gt;=7,LEFT(Base_Periodo1[[#This Row],[CLASS]],7),"")</f>
        <v>2.4.1.1</v>
      </c>
      <c r="F4969" s="3" t="str">
        <f>VLOOKUP(Base_Periodo1[[#This Row],[Aux]],Base_Contas_Balanco[#All],2,FALSE)</f>
        <v>Capital Social Realizado</v>
      </c>
      <c r="G4969" s="1"/>
      <c r="H4969" s="225">
        <v>1503.54</v>
      </c>
      <c r="I4969" s="225">
        <v>0</v>
      </c>
      <c r="J4969" s="225">
        <v>0</v>
      </c>
      <c r="K4969" s="225">
        <v>1503.54</v>
      </c>
      <c r="L49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1503.54</v>
      </c>
      <c r="M4969" s="225">
        <f>ROUND(IF(AND(Base_Periodo1[[#This Row],[Tipo_Linha]]="-",Base_Periodo1[[#This Row],[TIPOSALDO]]="D"),Base_Periodo1[[#This Row],[SALDO_ATUAL]]*-1,Base_Periodo1[[#This Row],[SALDO_ATUAL]]),4)</f>
        <v>1503.54</v>
      </c>
      <c r="N4969" t="s">
        <v>116</v>
      </c>
      <c r="O4969" t="s">
        <v>459</v>
      </c>
      <c r="P4969" t="s">
        <v>459</v>
      </c>
      <c r="Q4969">
        <v>6</v>
      </c>
      <c r="R4969" s="225">
        <f>Base_Periodo1[[#This Row],[CREDITOS]]-Base_Periodo1[[#This Row],[DEBITOS]]</f>
        <v>0</v>
      </c>
      <c r="S4969" s="3" t="str">
        <f>IF(ISERROR(VLOOKUP(Base_Periodo1[[#This Row],[CONTA]],BaseContasDRE[#All],4,FALSE)),"Fora do DRE",VLOOKUP(Base_Periodo1[[#This Row],[CONTA]],BaseContasDRE[#All],4,FALSE))</f>
        <v>Fora do DRE</v>
      </c>
      <c r="T4969" s="3" t="str">
        <f>IF(ISERROR(VLOOKUP(Base_Periodo1[[#This Row],[CONTA]],BaseContasDRE[#All],5,FALSE)),"Fora do DRE",VLOOKUP(Base_Periodo1[[#This Row],[CONTA]],BaseContasDRE[#All],6,FALSE))</f>
        <v>Fora do DRE</v>
      </c>
      <c r="U4969" s="3" t="str">
        <f>IF(ISERROR(VLOOKUP(Base_Periodo1[[#This Row],[CONTA]],BaseContasDRE[#All],7,FALSE)),"Fora do DRE",VLOOKUP(Base_Periodo1[[#This Row],[CONTA]],BaseContasDRE[#All],7,FALSE))</f>
        <v>Fora do DRE</v>
      </c>
      <c r="V4969" s="3" t="str">
        <f>IF(Base_Periodo1[[#This Row],[Tipo_Linha]]="Fora do DRE","Fora do DRE","( "&amp;Base_Periodo1[[#This Row],[Tipo_Linha]]&amp;" ) "&amp;Base_Periodo1[[#This Row],[Filtro]])</f>
        <v>Fora do DRE</v>
      </c>
      <c r="W4969" s="3" t="str">
        <f>LEFT(Base_Periodo1[[#This Row],[CLASS]],3)</f>
        <v>2.4</v>
      </c>
    </row>
    <row r="4970" spans="1:23" hidden="1">
      <c r="A4970" s="3" t="str">
        <f t="shared" si="77"/>
        <v>Período 1</v>
      </c>
      <c r="B4970">
        <v>48367</v>
      </c>
      <c r="C4970" t="s">
        <v>2300</v>
      </c>
      <c r="D4970" t="s">
        <v>2877</v>
      </c>
      <c r="E4970" s="3" t="str">
        <f>IF(LEN(Base_Periodo1[[#This Row],[CLASS]])&gt;=7,LEFT(Base_Periodo1[[#This Row],[CLASS]],7),"")</f>
        <v>2.4.1.1</v>
      </c>
      <c r="F4970" s="3" t="str">
        <f>VLOOKUP(Base_Periodo1[[#This Row],[Aux]],Base_Contas_Balanco[#All],2,FALSE)</f>
        <v>Capital Social Realizado</v>
      </c>
      <c r="G4970" s="1"/>
      <c r="H4970" s="225">
        <v>50</v>
      </c>
      <c r="I4970" s="225">
        <v>0</v>
      </c>
      <c r="J4970" s="225">
        <v>0</v>
      </c>
      <c r="K4970" s="225">
        <v>50</v>
      </c>
      <c r="L49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970" s="225">
        <f>ROUND(IF(AND(Base_Periodo1[[#This Row],[Tipo_Linha]]="-",Base_Periodo1[[#This Row],[TIPOSALDO]]="D"),Base_Periodo1[[#This Row],[SALDO_ATUAL]]*-1,Base_Periodo1[[#This Row],[SALDO_ATUAL]]),4)</f>
        <v>50</v>
      </c>
      <c r="N4970" t="s">
        <v>116</v>
      </c>
      <c r="O4970" t="s">
        <v>459</v>
      </c>
      <c r="P4970" t="s">
        <v>459</v>
      </c>
      <c r="Q4970">
        <v>6</v>
      </c>
      <c r="R4970" s="225">
        <f>Base_Periodo1[[#This Row],[CREDITOS]]-Base_Periodo1[[#This Row],[DEBITOS]]</f>
        <v>0</v>
      </c>
      <c r="S4970" s="3" t="str">
        <f>IF(ISERROR(VLOOKUP(Base_Periodo1[[#This Row],[CONTA]],BaseContasDRE[#All],4,FALSE)),"Fora do DRE",VLOOKUP(Base_Periodo1[[#This Row],[CONTA]],BaseContasDRE[#All],4,FALSE))</f>
        <v>Fora do DRE</v>
      </c>
      <c r="T4970" s="3" t="str">
        <f>IF(ISERROR(VLOOKUP(Base_Periodo1[[#This Row],[CONTA]],BaseContasDRE[#All],5,FALSE)),"Fora do DRE",VLOOKUP(Base_Periodo1[[#This Row],[CONTA]],BaseContasDRE[#All],6,FALSE))</f>
        <v>Fora do DRE</v>
      </c>
      <c r="U4970" s="3" t="str">
        <f>IF(ISERROR(VLOOKUP(Base_Periodo1[[#This Row],[CONTA]],BaseContasDRE[#All],7,FALSE)),"Fora do DRE",VLOOKUP(Base_Periodo1[[#This Row],[CONTA]],BaseContasDRE[#All],7,FALSE))</f>
        <v>Fora do DRE</v>
      </c>
      <c r="V4970" s="3" t="str">
        <f>IF(Base_Periodo1[[#This Row],[Tipo_Linha]]="Fora do DRE","Fora do DRE","( "&amp;Base_Periodo1[[#This Row],[Tipo_Linha]]&amp;" ) "&amp;Base_Periodo1[[#This Row],[Filtro]])</f>
        <v>Fora do DRE</v>
      </c>
      <c r="W4970" s="3" t="str">
        <f>LEFT(Base_Periodo1[[#This Row],[CLASS]],3)</f>
        <v>2.4</v>
      </c>
    </row>
    <row r="4971" spans="1:23" hidden="1">
      <c r="A4971" s="3" t="str">
        <f t="shared" si="77"/>
        <v>Período 1</v>
      </c>
      <c r="B4971">
        <v>32784</v>
      </c>
      <c r="C4971" t="s">
        <v>2300</v>
      </c>
      <c r="D4971" t="s">
        <v>2878</v>
      </c>
      <c r="E4971" s="3" t="str">
        <f>IF(LEN(Base_Periodo1[[#This Row],[CLASS]])&gt;=7,LEFT(Base_Periodo1[[#This Row],[CLASS]],7),"")</f>
        <v>2.4.1.1</v>
      </c>
      <c r="F4971" s="3" t="str">
        <f>VLOOKUP(Base_Periodo1[[#This Row],[Aux]],Base_Contas_Balanco[#All],2,FALSE)</f>
        <v>Capital Social Realizado</v>
      </c>
      <c r="G4971" s="1"/>
      <c r="H4971" s="225">
        <v>1000</v>
      </c>
      <c r="I4971" s="225">
        <v>0</v>
      </c>
      <c r="J4971" s="225">
        <v>0</v>
      </c>
      <c r="K4971" s="225">
        <v>1000</v>
      </c>
      <c r="L49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</v>
      </c>
      <c r="M4971" s="225">
        <f>ROUND(IF(AND(Base_Periodo1[[#This Row],[Tipo_Linha]]="-",Base_Periodo1[[#This Row],[TIPOSALDO]]="D"),Base_Periodo1[[#This Row],[SALDO_ATUAL]]*-1,Base_Periodo1[[#This Row],[SALDO_ATUAL]]),4)</f>
        <v>1000</v>
      </c>
      <c r="N4971" t="s">
        <v>116</v>
      </c>
      <c r="O4971" t="s">
        <v>459</v>
      </c>
      <c r="P4971" t="s">
        <v>459</v>
      </c>
      <c r="Q4971">
        <v>6</v>
      </c>
      <c r="R4971" s="225">
        <f>Base_Periodo1[[#This Row],[CREDITOS]]-Base_Periodo1[[#This Row],[DEBITOS]]</f>
        <v>0</v>
      </c>
      <c r="S4971" s="3" t="str">
        <f>IF(ISERROR(VLOOKUP(Base_Periodo1[[#This Row],[CONTA]],BaseContasDRE[#All],4,FALSE)),"Fora do DRE",VLOOKUP(Base_Periodo1[[#This Row],[CONTA]],BaseContasDRE[#All],4,FALSE))</f>
        <v>Fora do DRE</v>
      </c>
      <c r="T4971" s="3" t="str">
        <f>IF(ISERROR(VLOOKUP(Base_Periodo1[[#This Row],[CONTA]],BaseContasDRE[#All],5,FALSE)),"Fora do DRE",VLOOKUP(Base_Periodo1[[#This Row],[CONTA]],BaseContasDRE[#All],6,FALSE))</f>
        <v>Fora do DRE</v>
      </c>
      <c r="U4971" s="3" t="str">
        <f>IF(ISERROR(VLOOKUP(Base_Periodo1[[#This Row],[CONTA]],BaseContasDRE[#All],7,FALSE)),"Fora do DRE",VLOOKUP(Base_Periodo1[[#This Row],[CONTA]],BaseContasDRE[#All],7,FALSE))</f>
        <v>Fora do DRE</v>
      </c>
      <c r="V4971" s="3" t="str">
        <f>IF(Base_Periodo1[[#This Row],[Tipo_Linha]]="Fora do DRE","Fora do DRE","( "&amp;Base_Periodo1[[#This Row],[Tipo_Linha]]&amp;" ) "&amp;Base_Periodo1[[#This Row],[Filtro]])</f>
        <v>Fora do DRE</v>
      </c>
      <c r="W4971" s="3" t="str">
        <f>LEFT(Base_Periodo1[[#This Row],[CLASS]],3)</f>
        <v>2.4</v>
      </c>
    </row>
    <row r="4972" spans="1:23" hidden="1">
      <c r="A4972" s="3" t="str">
        <f t="shared" si="77"/>
        <v>Período 1</v>
      </c>
      <c r="B4972">
        <v>25334</v>
      </c>
      <c r="C4972" t="s">
        <v>2300</v>
      </c>
      <c r="D4972" t="s">
        <v>2879</v>
      </c>
      <c r="E4972" s="3" t="str">
        <f>IF(LEN(Base_Periodo1[[#This Row],[CLASS]])&gt;=7,LEFT(Base_Periodo1[[#This Row],[CLASS]],7),"")</f>
        <v>2.4.1.1</v>
      </c>
      <c r="F4972" s="3" t="str">
        <f>VLOOKUP(Base_Periodo1[[#This Row],[Aux]],Base_Contas_Balanco[#All],2,FALSE)</f>
        <v>Capital Social Realizado</v>
      </c>
      <c r="G4972" s="1"/>
      <c r="H4972" s="225">
        <v>219.4</v>
      </c>
      <c r="I4972" s="225">
        <v>0</v>
      </c>
      <c r="J4972" s="225">
        <v>0</v>
      </c>
      <c r="K4972" s="225">
        <v>219.4</v>
      </c>
      <c r="L49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219.4</v>
      </c>
      <c r="M4972" s="225">
        <f>ROUND(IF(AND(Base_Periodo1[[#This Row],[Tipo_Linha]]="-",Base_Periodo1[[#This Row],[TIPOSALDO]]="D"),Base_Periodo1[[#This Row],[SALDO_ATUAL]]*-1,Base_Periodo1[[#This Row],[SALDO_ATUAL]]),4)</f>
        <v>219.4</v>
      </c>
      <c r="N4972" t="s">
        <v>116</v>
      </c>
      <c r="O4972" t="s">
        <v>459</v>
      </c>
      <c r="P4972" t="s">
        <v>459</v>
      </c>
      <c r="Q4972">
        <v>6</v>
      </c>
      <c r="R4972" s="225">
        <f>Base_Periodo1[[#This Row],[CREDITOS]]-Base_Periodo1[[#This Row],[DEBITOS]]</f>
        <v>0</v>
      </c>
      <c r="S4972" s="3" t="str">
        <f>IF(ISERROR(VLOOKUP(Base_Periodo1[[#This Row],[CONTA]],BaseContasDRE[#All],4,FALSE)),"Fora do DRE",VLOOKUP(Base_Periodo1[[#This Row],[CONTA]],BaseContasDRE[#All],4,FALSE))</f>
        <v>Fora do DRE</v>
      </c>
      <c r="T4972" s="3" t="str">
        <f>IF(ISERROR(VLOOKUP(Base_Periodo1[[#This Row],[CONTA]],BaseContasDRE[#All],5,FALSE)),"Fora do DRE",VLOOKUP(Base_Periodo1[[#This Row],[CONTA]],BaseContasDRE[#All],6,FALSE))</f>
        <v>Fora do DRE</v>
      </c>
      <c r="U4972" s="3" t="str">
        <f>IF(ISERROR(VLOOKUP(Base_Periodo1[[#This Row],[CONTA]],BaseContasDRE[#All],7,FALSE)),"Fora do DRE",VLOOKUP(Base_Periodo1[[#This Row],[CONTA]],BaseContasDRE[#All],7,FALSE))</f>
        <v>Fora do DRE</v>
      </c>
      <c r="V4972" s="3" t="str">
        <f>IF(Base_Periodo1[[#This Row],[Tipo_Linha]]="Fora do DRE","Fora do DRE","( "&amp;Base_Periodo1[[#This Row],[Tipo_Linha]]&amp;" ) "&amp;Base_Periodo1[[#This Row],[Filtro]])</f>
        <v>Fora do DRE</v>
      </c>
      <c r="W4972" s="3" t="str">
        <f>LEFT(Base_Periodo1[[#This Row],[CLASS]],3)</f>
        <v>2.4</v>
      </c>
    </row>
    <row r="4973" spans="1:23" hidden="1">
      <c r="A4973" s="3" t="str">
        <f t="shared" si="77"/>
        <v>Período 1</v>
      </c>
      <c r="B4973">
        <v>25504</v>
      </c>
      <c r="C4973" t="s">
        <v>2300</v>
      </c>
      <c r="D4973" t="s">
        <v>2880</v>
      </c>
      <c r="E4973" s="3" t="str">
        <f>IF(LEN(Base_Periodo1[[#This Row],[CLASS]])&gt;=7,LEFT(Base_Periodo1[[#This Row],[CLASS]],7),"")</f>
        <v>2.4.1.1</v>
      </c>
      <c r="F4973" s="3" t="str">
        <f>VLOOKUP(Base_Periodo1[[#This Row],[Aux]],Base_Contas_Balanco[#All],2,FALSE)</f>
        <v>Capital Social Realizado</v>
      </c>
      <c r="G4973" s="1"/>
      <c r="H4973" s="225">
        <v>68.11</v>
      </c>
      <c r="I4973" s="225">
        <v>0</v>
      </c>
      <c r="J4973" s="225">
        <v>0</v>
      </c>
      <c r="K4973" s="225">
        <v>68.11</v>
      </c>
      <c r="L49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68.11</v>
      </c>
      <c r="M4973" s="225">
        <f>ROUND(IF(AND(Base_Periodo1[[#This Row],[Tipo_Linha]]="-",Base_Periodo1[[#This Row],[TIPOSALDO]]="D"),Base_Periodo1[[#This Row],[SALDO_ATUAL]]*-1,Base_Periodo1[[#This Row],[SALDO_ATUAL]]),4)</f>
        <v>68.11</v>
      </c>
      <c r="N4973" t="s">
        <v>116</v>
      </c>
      <c r="O4973" t="s">
        <v>459</v>
      </c>
      <c r="P4973" t="s">
        <v>459</v>
      </c>
      <c r="Q4973">
        <v>6</v>
      </c>
      <c r="R4973" s="225">
        <f>Base_Periodo1[[#This Row],[CREDITOS]]-Base_Periodo1[[#This Row],[DEBITOS]]</f>
        <v>0</v>
      </c>
      <c r="S4973" s="3" t="str">
        <f>IF(ISERROR(VLOOKUP(Base_Periodo1[[#This Row],[CONTA]],BaseContasDRE[#All],4,FALSE)),"Fora do DRE",VLOOKUP(Base_Periodo1[[#This Row],[CONTA]],BaseContasDRE[#All],4,FALSE))</f>
        <v>Fora do DRE</v>
      </c>
      <c r="T4973" s="3" t="str">
        <f>IF(ISERROR(VLOOKUP(Base_Periodo1[[#This Row],[CONTA]],BaseContasDRE[#All],5,FALSE)),"Fora do DRE",VLOOKUP(Base_Periodo1[[#This Row],[CONTA]],BaseContasDRE[#All],6,FALSE))</f>
        <v>Fora do DRE</v>
      </c>
      <c r="U4973" s="3" t="str">
        <f>IF(ISERROR(VLOOKUP(Base_Periodo1[[#This Row],[CONTA]],BaseContasDRE[#All],7,FALSE)),"Fora do DRE",VLOOKUP(Base_Periodo1[[#This Row],[CONTA]],BaseContasDRE[#All],7,FALSE))</f>
        <v>Fora do DRE</v>
      </c>
      <c r="V4973" s="3" t="str">
        <f>IF(Base_Periodo1[[#This Row],[Tipo_Linha]]="Fora do DRE","Fora do DRE","( "&amp;Base_Periodo1[[#This Row],[Tipo_Linha]]&amp;" ) "&amp;Base_Periodo1[[#This Row],[Filtro]])</f>
        <v>Fora do DRE</v>
      </c>
      <c r="W4973" s="3" t="str">
        <f>LEFT(Base_Periodo1[[#This Row],[CLASS]],3)</f>
        <v>2.4</v>
      </c>
    </row>
    <row r="4974" spans="1:23" hidden="1">
      <c r="A4974" s="3" t="str">
        <f t="shared" si="77"/>
        <v>Período 1</v>
      </c>
      <c r="B4974">
        <v>16113</v>
      </c>
      <c r="C4974" t="s">
        <v>2300</v>
      </c>
      <c r="D4974" t="s">
        <v>2881</v>
      </c>
      <c r="E4974" s="3" t="str">
        <f>IF(LEN(Base_Periodo1[[#This Row],[CLASS]])&gt;=7,LEFT(Base_Periodo1[[#This Row],[CLASS]],7),"")</f>
        <v>2.4.1.1</v>
      </c>
      <c r="F4974" s="3" t="str">
        <f>VLOOKUP(Base_Periodo1[[#This Row],[Aux]],Base_Contas_Balanco[#All],2,FALSE)</f>
        <v>Capital Social Realizado</v>
      </c>
      <c r="G4974" s="1"/>
      <c r="H4974" s="225">
        <v>495.5</v>
      </c>
      <c r="I4974" s="225">
        <v>0</v>
      </c>
      <c r="J4974" s="225">
        <v>0</v>
      </c>
      <c r="K4974" s="225">
        <v>495.5</v>
      </c>
      <c r="L49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495.5</v>
      </c>
      <c r="M4974" s="225">
        <f>ROUND(IF(AND(Base_Periodo1[[#This Row],[Tipo_Linha]]="-",Base_Periodo1[[#This Row],[TIPOSALDO]]="D"),Base_Periodo1[[#This Row],[SALDO_ATUAL]]*-1,Base_Periodo1[[#This Row],[SALDO_ATUAL]]),4)</f>
        <v>495.5</v>
      </c>
      <c r="N4974" t="s">
        <v>116</v>
      </c>
      <c r="O4974" t="s">
        <v>459</v>
      </c>
      <c r="P4974" t="s">
        <v>459</v>
      </c>
      <c r="Q4974">
        <v>6</v>
      </c>
      <c r="R4974" s="225">
        <f>Base_Periodo1[[#This Row],[CREDITOS]]-Base_Periodo1[[#This Row],[DEBITOS]]</f>
        <v>0</v>
      </c>
      <c r="S4974" s="3" t="str">
        <f>IF(ISERROR(VLOOKUP(Base_Periodo1[[#This Row],[CONTA]],BaseContasDRE[#All],4,FALSE)),"Fora do DRE",VLOOKUP(Base_Periodo1[[#This Row],[CONTA]],BaseContasDRE[#All],4,FALSE))</f>
        <v>Fora do DRE</v>
      </c>
      <c r="T4974" s="3" t="str">
        <f>IF(ISERROR(VLOOKUP(Base_Periodo1[[#This Row],[CONTA]],BaseContasDRE[#All],5,FALSE)),"Fora do DRE",VLOOKUP(Base_Periodo1[[#This Row],[CONTA]],BaseContasDRE[#All],6,FALSE))</f>
        <v>Fora do DRE</v>
      </c>
      <c r="U4974" s="3" t="str">
        <f>IF(ISERROR(VLOOKUP(Base_Periodo1[[#This Row],[CONTA]],BaseContasDRE[#All],7,FALSE)),"Fora do DRE",VLOOKUP(Base_Periodo1[[#This Row],[CONTA]],BaseContasDRE[#All],7,FALSE))</f>
        <v>Fora do DRE</v>
      </c>
      <c r="V4974" s="3" t="str">
        <f>IF(Base_Periodo1[[#This Row],[Tipo_Linha]]="Fora do DRE","Fora do DRE","( "&amp;Base_Periodo1[[#This Row],[Tipo_Linha]]&amp;" ) "&amp;Base_Periodo1[[#This Row],[Filtro]])</f>
        <v>Fora do DRE</v>
      </c>
      <c r="W4974" s="3" t="str">
        <f>LEFT(Base_Periodo1[[#This Row],[CLASS]],3)</f>
        <v>2.4</v>
      </c>
    </row>
    <row r="4975" spans="1:23" hidden="1">
      <c r="A4975" s="3" t="str">
        <f t="shared" si="77"/>
        <v>Período 1</v>
      </c>
      <c r="B4975">
        <v>57905</v>
      </c>
      <c r="C4975" t="s">
        <v>2300</v>
      </c>
      <c r="D4975" t="s">
        <v>6565</v>
      </c>
      <c r="E4975" s="3" t="str">
        <f>IF(LEN(Base_Periodo1[[#This Row],[CLASS]])&gt;=7,LEFT(Base_Periodo1[[#This Row],[CLASS]],7),"")</f>
        <v>2.4.1.1</v>
      </c>
      <c r="F4975" s="3" t="str">
        <f>VLOOKUP(Base_Periodo1[[#This Row],[Aux]],Base_Contas_Balanco[#All],2,FALSE)</f>
        <v>Capital Social Realizado</v>
      </c>
      <c r="G4975" s="1"/>
      <c r="H4975" s="225">
        <v>50</v>
      </c>
      <c r="I4975" s="225">
        <v>0</v>
      </c>
      <c r="J4975" s="225">
        <v>0</v>
      </c>
      <c r="K4975" s="225">
        <v>50</v>
      </c>
      <c r="L49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975" s="225">
        <f>ROUND(IF(AND(Base_Periodo1[[#This Row],[Tipo_Linha]]="-",Base_Periodo1[[#This Row],[TIPOSALDO]]="D"),Base_Periodo1[[#This Row],[SALDO_ATUAL]]*-1,Base_Periodo1[[#This Row],[SALDO_ATUAL]]),4)</f>
        <v>50</v>
      </c>
      <c r="N4975" t="s">
        <v>116</v>
      </c>
      <c r="O4975" t="s">
        <v>459</v>
      </c>
      <c r="P4975" t="s">
        <v>459</v>
      </c>
      <c r="Q4975">
        <v>6</v>
      </c>
      <c r="R4975" s="225">
        <f>Base_Periodo1[[#This Row],[CREDITOS]]-Base_Periodo1[[#This Row],[DEBITOS]]</f>
        <v>0</v>
      </c>
      <c r="S4975" s="3" t="str">
        <f>IF(ISERROR(VLOOKUP(Base_Periodo1[[#This Row],[CONTA]],BaseContasDRE[#All],4,FALSE)),"Fora do DRE",VLOOKUP(Base_Periodo1[[#This Row],[CONTA]],BaseContasDRE[#All],4,FALSE))</f>
        <v>Fora do DRE</v>
      </c>
      <c r="T4975" s="3" t="str">
        <f>IF(ISERROR(VLOOKUP(Base_Periodo1[[#This Row],[CONTA]],BaseContasDRE[#All],5,FALSE)),"Fora do DRE",VLOOKUP(Base_Periodo1[[#This Row],[CONTA]],BaseContasDRE[#All],6,FALSE))</f>
        <v>Fora do DRE</v>
      </c>
      <c r="U4975" s="3" t="str">
        <f>IF(ISERROR(VLOOKUP(Base_Periodo1[[#This Row],[CONTA]],BaseContasDRE[#All],7,FALSE)),"Fora do DRE",VLOOKUP(Base_Periodo1[[#This Row],[CONTA]],BaseContasDRE[#All],7,FALSE))</f>
        <v>Fora do DRE</v>
      </c>
      <c r="V4975" s="3" t="str">
        <f>IF(Base_Periodo1[[#This Row],[Tipo_Linha]]="Fora do DRE","Fora do DRE","( "&amp;Base_Periodo1[[#This Row],[Tipo_Linha]]&amp;" ) "&amp;Base_Periodo1[[#This Row],[Filtro]])</f>
        <v>Fora do DRE</v>
      </c>
      <c r="W4975" s="3" t="str">
        <f>LEFT(Base_Periodo1[[#This Row],[CLASS]],3)</f>
        <v>2.4</v>
      </c>
    </row>
    <row r="4976" spans="1:23" hidden="1">
      <c r="A4976" s="3" t="str">
        <f t="shared" si="77"/>
        <v>Período 1</v>
      </c>
      <c r="B4976">
        <v>48469</v>
      </c>
      <c r="C4976" t="s">
        <v>2300</v>
      </c>
      <c r="D4976" t="s">
        <v>4216</v>
      </c>
      <c r="E4976" s="3" t="str">
        <f>IF(LEN(Base_Periodo1[[#This Row],[CLASS]])&gt;=7,LEFT(Base_Periodo1[[#This Row],[CLASS]],7),"")</f>
        <v>2.4.1.1</v>
      </c>
      <c r="F4976" s="3" t="str">
        <f>VLOOKUP(Base_Periodo1[[#This Row],[Aux]],Base_Contas_Balanco[#All],2,FALSE)</f>
        <v>Capital Social Realizado</v>
      </c>
      <c r="G4976" s="1"/>
      <c r="H4976" s="225">
        <v>139</v>
      </c>
      <c r="I4976" s="225">
        <v>0</v>
      </c>
      <c r="J4976" s="225">
        <v>0</v>
      </c>
      <c r="K4976" s="225">
        <v>139</v>
      </c>
      <c r="L49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139</v>
      </c>
      <c r="M4976" s="225">
        <f>ROUND(IF(AND(Base_Periodo1[[#This Row],[Tipo_Linha]]="-",Base_Periodo1[[#This Row],[TIPOSALDO]]="D"),Base_Periodo1[[#This Row],[SALDO_ATUAL]]*-1,Base_Periodo1[[#This Row],[SALDO_ATUAL]]),4)</f>
        <v>139</v>
      </c>
      <c r="N4976" t="s">
        <v>116</v>
      </c>
      <c r="O4976" t="s">
        <v>459</v>
      </c>
      <c r="P4976" t="s">
        <v>459</v>
      </c>
      <c r="Q4976">
        <v>6</v>
      </c>
      <c r="R4976" s="225">
        <f>Base_Periodo1[[#This Row],[CREDITOS]]-Base_Periodo1[[#This Row],[DEBITOS]]</f>
        <v>0</v>
      </c>
      <c r="S4976" s="3" t="str">
        <f>IF(ISERROR(VLOOKUP(Base_Periodo1[[#This Row],[CONTA]],BaseContasDRE[#All],4,FALSE)),"Fora do DRE",VLOOKUP(Base_Periodo1[[#This Row],[CONTA]],BaseContasDRE[#All],4,FALSE))</f>
        <v>Fora do DRE</v>
      </c>
      <c r="T4976" s="3" t="str">
        <f>IF(ISERROR(VLOOKUP(Base_Periodo1[[#This Row],[CONTA]],BaseContasDRE[#All],5,FALSE)),"Fora do DRE",VLOOKUP(Base_Periodo1[[#This Row],[CONTA]],BaseContasDRE[#All],6,FALSE))</f>
        <v>Fora do DRE</v>
      </c>
      <c r="U4976" s="3" t="str">
        <f>IF(ISERROR(VLOOKUP(Base_Periodo1[[#This Row],[CONTA]],BaseContasDRE[#All],7,FALSE)),"Fora do DRE",VLOOKUP(Base_Periodo1[[#This Row],[CONTA]],BaseContasDRE[#All],7,FALSE))</f>
        <v>Fora do DRE</v>
      </c>
      <c r="V4976" s="3" t="str">
        <f>IF(Base_Periodo1[[#This Row],[Tipo_Linha]]="Fora do DRE","Fora do DRE","( "&amp;Base_Periodo1[[#This Row],[Tipo_Linha]]&amp;" ) "&amp;Base_Periodo1[[#This Row],[Filtro]])</f>
        <v>Fora do DRE</v>
      </c>
      <c r="W4976" s="3" t="str">
        <f>LEFT(Base_Periodo1[[#This Row],[CLASS]],3)</f>
        <v>2.4</v>
      </c>
    </row>
    <row r="4977" spans="1:23" hidden="1">
      <c r="A4977" s="3" t="str">
        <f t="shared" si="77"/>
        <v>Período 1</v>
      </c>
      <c r="B4977">
        <v>51180</v>
      </c>
      <c r="C4977" t="s">
        <v>2300</v>
      </c>
      <c r="D4977" t="s">
        <v>4625</v>
      </c>
      <c r="E4977" s="3" t="str">
        <f>IF(LEN(Base_Periodo1[[#This Row],[CLASS]])&gt;=7,LEFT(Base_Periodo1[[#This Row],[CLASS]],7),"")</f>
        <v>2.4.1.1</v>
      </c>
      <c r="F4977" s="3" t="str">
        <f>VLOOKUP(Base_Periodo1[[#This Row],[Aux]],Base_Contas_Balanco[#All],2,FALSE)</f>
        <v>Capital Social Realizado</v>
      </c>
      <c r="G4977" s="1"/>
      <c r="H4977" s="225">
        <v>50</v>
      </c>
      <c r="I4977" s="225">
        <v>0</v>
      </c>
      <c r="J4977" s="225">
        <v>0</v>
      </c>
      <c r="K4977" s="225">
        <v>50</v>
      </c>
      <c r="L49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977" s="225">
        <f>ROUND(IF(AND(Base_Periodo1[[#This Row],[Tipo_Linha]]="-",Base_Periodo1[[#This Row],[TIPOSALDO]]="D"),Base_Periodo1[[#This Row],[SALDO_ATUAL]]*-1,Base_Periodo1[[#This Row],[SALDO_ATUAL]]),4)</f>
        <v>50</v>
      </c>
      <c r="N4977" t="s">
        <v>116</v>
      </c>
      <c r="O4977" t="s">
        <v>459</v>
      </c>
      <c r="P4977" t="s">
        <v>459</v>
      </c>
      <c r="Q4977">
        <v>6</v>
      </c>
      <c r="R4977" s="225">
        <f>Base_Periodo1[[#This Row],[CREDITOS]]-Base_Periodo1[[#This Row],[DEBITOS]]</f>
        <v>0</v>
      </c>
      <c r="S4977" s="3" t="str">
        <f>IF(ISERROR(VLOOKUP(Base_Periodo1[[#This Row],[CONTA]],BaseContasDRE[#All],4,FALSE)),"Fora do DRE",VLOOKUP(Base_Periodo1[[#This Row],[CONTA]],BaseContasDRE[#All],4,FALSE))</f>
        <v>Fora do DRE</v>
      </c>
      <c r="T4977" s="3" t="str">
        <f>IF(ISERROR(VLOOKUP(Base_Periodo1[[#This Row],[CONTA]],BaseContasDRE[#All],5,FALSE)),"Fora do DRE",VLOOKUP(Base_Periodo1[[#This Row],[CONTA]],BaseContasDRE[#All],6,FALSE))</f>
        <v>Fora do DRE</v>
      </c>
      <c r="U4977" s="3" t="str">
        <f>IF(ISERROR(VLOOKUP(Base_Periodo1[[#This Row],[CONTA]],BaseContasDRE[#All],7,FALSE)),"Fora do DRE",VLOOKUP(Base_Periodo1[[#This Row],[CONTA]],BaseContasDRE[#All],7,FALSE))</f>
        <v>Fora do DRE</v>
      </c>
      <c r="V4977" s="3" t="str">
        <f>IF(Base_Periodo1[[#This Row],[Tipo_Linha]]="Fora do DRE","Fora do DRE","( "&amp;Base_Periodo1[[#This Row],[Tipo_Linha]]&amp;" ) "&amp;Base_Periodo1[[#This Row],[Filtro]])</f>
        <v>Fora do DRE</v>
      </c>
      <c r="W4977" s="3" t="str">
        <f>LEFT(Base_Periodo1[[#This Row],[CLASS]],3)</f>
        <v>2.4</v>
      </c>
    </row>
    <row r="4978" spans="1:23" hidden="1">
      <c r="A4978" s="3" t="str">
        <f t="shared" si="77"/>
        <v>Período 1</v>
      </c>
      <c r="B4978">
        <v>19289</v>
      </c>
      <c r="C4978" t="s">
        <v>2300</v>
      </c>
      <c r="D4978" t="s">
        <v>2882</v>
      </c>
      <c r="E4978" s="3" t="str">
        <f>IF(LEN(Base_Periodo1[[#This Row],[CLASS]])&gt;=7,LEFT(Base_Periodo1[[#This Row],[CLASS]],7),"")</f>
        <v>2.4.1.1</v>
      </c>
      <c r="F4978" s="3" t="str">
        <f>VLOOKUP(Base_Periodo1[[#This Row],[Aux]],Base_Contas_Balanco[#All],2,FALSE)</f>
        <v>Capital Social Realizado</v>
      </c>
      <c r="G4978" s="1"/>
      <c r="H4978" s="225">
        <v>580.41</v>
      </c>
      <c r="I4978" s="225">
        <v>0</v>
      </c>
      <c r="J4978" s="225">
        <v>0</v>
      </c>
      <c r="K4978" s="225">
        <v>580.41</v>
      </c>
      <c r="L49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580.41</v>
      </c>
      <c r="M4978" s="225">
        <f>ROUND(IF(AND(Base_Periodo1[[#This Row],[Tipo_Linha]]="-",Base_Periodo1[[#This Row],[TIPOSALDO]]="D"),Base_Periodo1[[#This Row],[SALDO_ATUAL]]*-1,Base_Periodo1[[#This Row],[SALDO_ATUAL]]),4)</f>
        <v>580.41</v>
      </c>
      <c r="N4978" t="s">
        <v>116</v>
      </c>
      <c r="O4978" t="s">
        <v>459</v>
      </c>
      <c r="P4978" t="s">
        <v>459</v>
      </c>
      <c r="Q4978">
        <v>6</v>
      </c>
      <c r="R4978" s="225">
        <f>Base_Periodo1[[#This Row],[CREDITOS]]-Base_Periodo1[[#This Row],[DEBITOS]]</f>
        <v>0</v>
      </c>
      <c r="S4978" s="3" t="str">
        <f>IF(ISERROR(VLOOKUP(Base_Periodo1[[#This Row],[CONTA]],BaseContasDRE[#All],4,FALSE)),"Fora do DRE",VLOOKUP(Base_Periodo1[[#This Row],[CONTA]],BaseContasDRE[#All],4,FALSE))</f>
        <v>Fora do DRE</v>
      </c>
      <c r="T4978" s="3" t="str">
        <f>IF(ISERROR(VLOOKUP(Base_Periodo1[[#This Row],[CONTA]],BaseContasDRE[#All],5,FALSE)),"Fora do DRE",VLOOKUP(Base_Periodo1[[#This Row],[CONTA]],BaseContasDRE[#All],6,FALSE))</f>
        <v>Fora do DRE</v>
      </c>
      <c r="U4978" s="3" t="str">
        <f>IF(ISERROR(VLOOKUP(Base_Periodo1[[#This Row],[CONTA]],BaseContasDRE[#All],7,FALSE)),"Fora do DRE",VLOOKUP(Base_Periodo1[[#This Row],[CONTA]],BaseContasDRE[#All],7,FALSE))</f>
        <v>Fora do DRE</v>
      </c>
      <c r="V4978" s="3" t="str">
        <f>IF(Base_Periodo1[[#This Row],[Tipo_Linha]]="Fora do DRE","Fora do DRE","( "&amp;Base_Periodo1[[#This Row],[Tipo_Linha]]&amp;" ) "&amp;Base_Periodo1[[#This Row],[Filtro]])</f>
        <v>Fora do DRE</v>
      </c>
      <c r="W4978" s="3" t="str">
        <f>LEFT(Base_Periodo1[[#This Row],[CLASS]],3)</f>
        <v>2.4</v>
      </c>
    </row>
    <row r="4979" spans="1:23" hidden="1">
      <c r="A4979" s="3" t="str">
        <f t="shared" si="77"/>
        <v>Período 1</v>
      </c>
      <c r="B4979">
        <v>47489</v>
      </c>
      <c r="C4979" t="s">
        <v>2300</v>
      </c>
      <c r="D4979" t="s">
        <v>2883</v>
      </c>
      <c r="E4979" s="3" t="str">
        <f>IF(LEN(Base_Periodo1[[#This Row],[CLASS]])&gt;=7,LEFT(Base_Periodo1[[#This Row],[CLASS]],7),"")</f>
        <v>2.4.1.1</v>
      </c>
      <c r="F4979" s="3" t="str">
        <f>VLOOKUP(Base_Periodo1[[#This Row],[Aux]],Base_Contas_Balanco[#All],2,FALSE)</f>
        <v>Capital Social Realizado</v>
      </c>
      <c r="G4979" s="1"/>
      <c r="H4979" s="225">
        <v>110.11</v>
      </c>
      <c r="I4979" s="225">
        <v>0</v>
      </c>
      <c r="J4979" s="225">
        <v>0</v>
      </c>
      <c r="K4979" s="225">
        <v>110.11</v>
      </c>
      <c r="L49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110.11</v>
      </c>
      <c r="M4979" s="225">
        <f>ROUND(IF(AND(Base_Periodo1[[#This Row],[Tipo_Linha]]="-",Base_Periodo1[[#This Row],[TIPOSALDO]]="D"),Base_Periodo1[[#This Row],[SALDO_ATUAL]]*-1,Base_Periodo1[[#This Row],[SALDO_ATUAL]]),4)</f>
        <v>110.11</v>
      </c>
      <c r="N4979" t="s">
        <v>116</v>
      </c>
      <c r="O4979" t="s">
        <v>459</v>
      </c>
      <c r="P4979" t="s">
        <v>459</v>
      </c>
      <c r="Q4979">
        <v>6</v>
      </c>
      <c r="R4979" s="225">
        <f>Base_Periodo1[[#This Row],[CREDITOS]]-Base_Periodo1[[#This Row],[DEBITOS]]</f>
        <v>0</v>
      </c>
      <c r="S4979" s="3" t="str">
        <f>IF(ISERROR(VLOOKUP(Base_Periodo1[[#This Row],[CONTA]],BaseContasDRE[#All],4,FALSE)),"Fora do DRE",VLOOKUP(Base_Periodo1[[#This Row],[CONTA]],BaseContasDRE[#All],4,FALSE))</f>
        <v>Fora do DRE</v>
      </c>
      <c r="T4979" s="3" t="str">
        <f>IF(ISERROR(VLOOKUP(Base_Periodo1[[#This Row],[CONTA]],BaseContasDRE[#All],5,FALSE)),"Fora do DRE",VLOOKUP(Base_Periodo1[[#This Row],[CONTA]],BaseContasDRE[#All],6,FALSE))</f>
        <v>Fora do DRE</v>
      </c>
      <c r="U4979" s="3" t="str">
        <f>IF(ISERROR(VLOOKUP(Base_Periodo1[[#This Row],[CONTA]],BaseContasDRE[#All],7,FALSE)),"Fora do DRE",VLOOKUP(Base_Periodo1[[#This Row],[CONTA]],BaseContasDRE[#All],7,FALSE))</f>
        <v>Fora do DRE</v>
      </c>
      <c r="V4979" s="3" t="str">
        <f>IF(Base_Periodo1[[#This Row],[Tipo_Linha]]="Fora do DRE","Fora do DRE","( "&amp;Base_Periodo1[[#This Row],[Tipo_Linha]]&amp;" ) "&amp;Base_Periodo1[[#This Row],[Filtro]])</f>
        <v>Fora do DRE</v>
      </c>
      <c r="W4979" s="3" t="str">
        <f>LEFT(Base_Periodo1[[#This Row],[CLASS]],3)</f>
        <v>2.4</v>
      </c>
    </row>
    <row r="4980" spans="1:23" hidden="1">
      <c r="A4980" s="3" t="str">
        <f t="shared" si="77"/>
        <v>Período 1</v>
      </c>
      <c r="B4980">
        <v>25756</v>
      </c>
      <c r="C4980" t="s">
        <v>2300</v>
      </c>
      <c r="D4980" t="s">
        <v>2884</v>
      </c>
      <c r="E4980" s="3" t="str">
        <f>IF(LEN(Base_Periodo1[[#This Row],[CLASS]])&gt;=7,LEFT(Base_Periodo1[[#This Row],[CLASS]],7),"")</f>
        <v>2.4.1.1</v>
      </c>
      <c r="F4980" s="3" t="str">
        <f>VLOOKUP(Base_Periodo1[[#This Row],[Aux]],Base_Contas_Balanco[#All],2,FALSE)</f>
        <v>Capital Social Realizado</v>
      </c>
      <c r="G4980" s="1"/>
      <c r="H4980" s="225">
        <v>487.21999999999997</v>
      </c>
      <c r="I4980" s="225">
        <v>0</v>
      </c>
      <c r="J4980" s="225">
        <v>0</v>
      </c>
      <c r="K4980" s="225">
        <v>487.21999999999997</v>
      </c>
      <c r="L49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487.22</v>
      </c>
      <c r="M4980" s="225">
        <f>ROUND(IF(AND(Base_Periodo1[[#This Row],[Tipo_Linha]]="-",Base_Periodo1[[#This Row],[TIPOSALDO]]="D"),Base_Periodo1[[#This Row],[SALDO_ATUAL]]*-1,Base_Periodo1[[#This Row],[SALDO_ATUAL]]),4)</f>
        <v>487.22</v>
      </c>
      <c r="N4980" t="s">
        <v>116</v>
      </c>
      <c r="O4980" t="s">
        <v>459</v>
      </c>
      <c r="P4980" t="s">
        <v>459</v>
      </c>
      <c r="Q4980">
        <v>6</v>
      </c>
      <c r="R4980" s="225">
        <f>Base_Periodo1[[#This Row],[CREDITOS]]-Base_Periodo1[[#This Row],[DEBITOS]]</f>
        <v>0</v>
      </c>
      <c r="S4980" s="3" t="str">
        <f>IF(ISERROR(VLOOKUP(Base_Periodo1[[#This Row],[CONTA]],BaseContasDRE[#All],4,FALSE)),"Fora do DRE",VLOOKUP(Base_Periodo1[[#This Row],[CONTA]],BaseContasDRE[#All],4,FALSE))</f>
        <v>Fora do DRE</v>
      </c>
      <c r="T4980" s="3" t="str">
        <f>IF(ISERROR(VLOOKUP(Base_Periodo1[[#This Row],[CONTA]],BaseContasDRE[#All],5,FALSE)),"Fora do DRE",VLOOKUP(Base_Periodo1[[#This Row],[CONTA]],BaseContasDRE[#All],6,FALSE))</f>
        <v>Fora do DRE</v>
      </c>
      <c r="U4980" s="3" t="str">
        <f>IF(ISERROR(VLOOKUP(Base_Periodo1[[#This Row],[CONTA]],BaseContasDRE[#All],7,FALSE)),"Fora do DRE",VLOOKUP(Base_Periodo1[[#This Row],[CONTA]],BaseContasDRE[#All],7,FALSE))</f>
        <v>Fora do DRE</v>
      </c>
      <c r="V4980" s="3" t="str">
        <f>IF(Base_Periodo1[[#This Row],[Tipo_Linha]]="Fora do DRE","Fora do DRE","( "&amp;Base_Periodo1[[#This Row],[Tipo_Linha]]&amp;" ) "&amp;Base_Periodo1[[#This Row],[Filtro]])</f>
        <v>Fora do DRE</v>
      </c>
      <c r="W4980" s="3" t="str">
        <f>LEFT(Base_Periodo1[[#This Row],[CLASS]],3)</f>
        <v>2.4</v>
      </c>
    </row>
    <row r="4981" spans="1:23" hidden="1">
      <c r="A4981" s="3" t="str">
        <f t="shared" si="77"/>
        <v>Período 1</v>
      </c>
      <c r="B4981">
        <v>25227</v>
      </c>
      <c r="C4981" t="s">
        <v>2300</v>
      </c>
      <c r="D4981" t="s">
        <v>2885</v>
      </c>
      <c r="E4981" s="3" t="str">
        <f>IF(LEN(Base_Periodo1[[#This Row],[CLASS]])&gt;=7,LEFT(Base_Periodo1[[#This Row],[CLASS]],7),"")</f>
        <v>2.4.1.1</v>
      </c>
      <c r="F4981" s="3" t="str">
        <f>VLOOKUP(Base_Periodo1[[#This Row],[Aux]],Base_Contas_Balanco[#All],2,FALSE)</f>
        <v>Capital Social Realizado</v>
      </c>
      <c r="G4981" s="1"/>
      <c r="H4981" s="225">
        <v>176.86</v>
      </c>
      <c r="I4981" s="225">
        <v>0</v>
      </c>
      <c r="J4981" s="225">
        <v>0</v>
      </c>
      <c r="K4981" s="225">
        <v>176.86</v>
      </c>
      <c r="L49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176.86</v>
      </c>
      <c r="M4981" s="225">
        <f>ROUND(IF(AND(Base_Periodo1[[#This Row],[Tipo_Linha]]="-",Base_Periodo1[[#This Row],[TIPOSALDO]]="D"),Base_Periodo1[[#This Row],[SALDO_ATUAL]]*-1,Base_Periodo1[[#This Row],[SALDO_ATUAL]]),4)</f>
        <v>176.86</v>
      </c>
      <c r="N4981" t="s">
        <v>116</v>
      </c>
      <c r="O4981" t="s">
        <v>459</v>
      </c>
      <c r="P4981" t="s">
        <v>459</v>
      </c>
      <c r="Q4981">
        <v>6</v>
      </c>
      <c r="R4981" s="225">
        <f>Base_Periodo1[[#This Row],[CREDITOS]]-Base_Periodo1[[#This Row],[DEBITOS]]</f>
        <v>0</v>
      </c>
      <c r="S4981" s="3" t="str">
        <f>IF(ISERROR(VLOOKUP(Base_Periodo1[[#This Row],[CONTA]],BaseContasDRE[#All],4,FALSE)),"Fora do DRE",VLOOKUP(Base_Periodo1[[#This Row],[CONTA]],BaseContasDRE[#All],4,FALSE))</f>
        <v>Fora do DRE</v>
      </c>
      <c r="T4981" s="3" t="str">
        <f>IF(ISERROR(VLOOKUP(Base_Periodo1[[#This Row],[CONTA]],BaseContasDRE[#All],5,FALSE)),"Fora do DRE",VLOOKUP(Base_Periodo1[[#This Row],[CONTA]],BaseContasDRE[#All],6,FALSE))</f>
        <v>Fora do DRE</v>
      </c>
      <c r="U4981" s="3" t="str">
        <f>IF(ISERROR(VLOOKUP(Base_Periodo1[[#This Row],[CONTA]],BaseContasDRE[#All],7,FALSE)),"Fora do DRE",VLOOKUP(Base_Periodo1[[#This Row],[CONTA]],BaseContasDRE[#All],7,FALSE))</f>
        <v>Fora do DRE</v>
      </c>
      <c r="V4981" s="3" t="str">
        <f>IF(Base_Periodo1[[#This Row],[Tipo_Linha]]="Fora do DRE","Fora do DRE","( "&amp;Base_Periodo1[[#This Row],[Tipo_Linha]]&amp;" ) "&amp;Base_Periodo1[[#This Row],[Filtro]])</f>
        <v>Fora do DRE</v>
      </c>
      <c r="W4981" s="3" t="str">
        <f>LEFT(Base_Periodo1[[#This Row],[CLASS]],3)</f>
        <v>2.4</v>
      </c>
    </row>
    <row r="4982" spans="1:23" hidden="1">
      <c r="A4982" s="3" t="str">
        <f t="shared" si="77"/>
        <v>Período 1</v>
      </c>
      <c r="B4982">
        <v>52964</v>
      </c>
      <c r="C4982" t="s">
        <v>2300</v>
      </c>
      <c r="D4982" t="s">
        <v>4886</v>
      </c>
      <c r="E4982" s="3" t="str">
        <f>IF(LEN(Base_Periodo1[[#This Row],[CLASS]])&gt;=7,LEFT(Base_Periodo1[[#This Row],[CLASS]],7),"")</f>
        <v>2.4.1.1</v>
      </c>
      <c r="F4982" s="3" t="str">
        <f>VLOOKUP(Base_Periodo1[[#This Row],[Aux]],Base_Contas_Balanco[#All],2,FALSE)</f>
        <v>Capital Social Realizado</v>
      </c>
      <c r="G4982" s="1"/>
      <c r="H4982" s="225">
        <v>200</v>
      </c>
      <c r="I4982" s="225">
        <v>0</v>
      </c>
      <c r="J4982" s="225">
        <v>0</v>
      </c>
      <c r="K4982" s="225">
        <v>200</v>
      </c>
      <c r="L49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</v>
      </c>
      <c r="M4982" s="225">
        <f>ROUND(IF(AND(Base_Periodo1[[#This Row],[Tipo_Linha]]="-",Base_Periodo1[[#This Row],[TIPOSALDO]]="D"),Base_Periodo1[[#This Row],[SALDO_ATUAL]]*-1,Base_Periodo1[[#This Row],[SALDO_ATUAL]]),4)</f>
        <v>200</v>
      </c>
      <c r="N4982" t="s">
        <v>116</v>
      </c>
      <c r="O4982" t="s">
        <v>459</v>
      </c>
      <c r="P4982" t="s">
        <v>459</v>
      </c>
      <c r="Q4982">
        <v>6</v>
      </c>
      <c r="R4982" s="225">
        <f>Base_Periodo1[[#This Row],[CREDITOS]]-Base_Periodo1[[#This Row],[DEBITOS]]</f>
        <v>0</v>
      </c>
      <c r="S4982" s="3" t="str">
        <f>IF(ISERROR(VLOOKUP(Base_Periodo1[[#This Row],[CONTA]],BaseContasDRE[#All],4,FALSE)),"Fora do DRE",VLOOKUP(Base_Periodo1[[#This Row],[CONTA]],BaseContasDRE[#All],4,FALSE))</f>
        <v>Fora do DRE</v>
      </c>
      <c r="T4982" s="3" t="str">
        <f>IF(ISERROR(VLOOKUP(Base_Periodo1[[#This Row],[CONTA]],BaseContasDRE[#All],5,FALSE)),"Fora do DRE",VLOOKUP(Base_Periodo1[[#This Row],[CONTA]],BaseContasDRE[#All],6,FALSE))</f>
        <v>Fora do DRE</v>
      </c>
      <c r="U4982" s="3" t="str">
        <f>IF(ISERROR(VLOOKUP(Base_Periodo1[[#This Row],[CONTA]],BaseContasDRE[#All],7,FALSE)),"Fora do DRE",VLOOKUP(Base_Periodo1[[#This Row],[CONTA]],BaseContasDRE[#All],7,FALSE))</f>
        <v>Fora do DRE</v>
      </c>
      <c r="V4982" s="3" t="str">
        <f>IF(Base_Periodo1[[#This Row],[Tipo_Linha]]="Fora do DRE","Fora do DRE","( "&amp;Base_Periodo1[[#This Row],[Tipo_Linha]]&amp;" ) "&amp;Base_Periodo1[[#This Row],[Filtro]])</f>
        <v>Fora do DRE</v>
      </c>
      <c r="W4982" s="3" t="str">
        <f>LEFT(Base_Periodo1[[#This Row],[CLASS]],3)</f>
        <v>2.4</v>
      </c>
    </row>
    <row r="4983" spans="1:23" hidden="1">
      <c r="A4983" s="3" t="str">
        <f t="shared" si="77"/>
        <v>Período 1</v>
      </c>
      <c r="B4983">
        <v>33543</v>
      </c>
      <c r="C4983" t="s">
        <v>2300</v>
      </c>
      <c r="D4983" t="s">
        <v>2886</v>
      </c>
      <c r="E4983" s="3" t="str">
        <f>IF(LEN(Base_Periodo1[[#This Row],[CLASS]])&gt;=7,LEFT(Base_Periodo1[[#This Row],[CLASS]],7),"")</f>
        <v>2.4.1.1</v>
      </c>
      <c r="F4983" s="3" t="str">
        <f>VLOOKUP(Base_Periodo1[[#This Row],[Aux]],Base_Contas_Balanco[#All],2,FALSE)</f>
        <v>Capital Social Realizado</v>
      </c>
      <c r="G4983" s="1"/>
      <c r="H4983" s="225">
        <v>141.80000000000001</v>
      </c>
      <c r="I4983" s="225">
        <v>0</v>
      </c>
      <c r="J4983" s="225">
        <v>0</v>
      </c>
      <c r="K4983" s="225">
        <v>141.80000000000001</v>
      </c>
      <c r="L49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141.80000000000001</v>
      </c>
      <c r="M4983" s="225">
        <f>ROUND(IF(AND(Base_Periodo1[[#This Row],[Tipo_Linha]]="-",Base_Periodo1[[#This Row],[TIPOSALDO]]="D"),Base_Periodo1[[#This Row],[SALDO_ATUAL]]*-1,Base_Periodo1[[#This Row],[SALDO_ATUAL]]),4)</f>
        <v>141.80000000000001</v>
      </c>
      <c r="N4983" t="s">
        <v>116</v>
      </c>
      <c r="O4983" t="s">
        <v>459</v>
      </c>
      <c r="P4983" t="s">
        <v>459</v>
      </c>
      <c r="Q4983">
        <v>6</v>
      </c>
      <c r="R4983" s="225">
        <f>Base_Periodo1[[#This Row],[CREDITOS]]-Base_Periodo1[[#This Row],[DEBITOS]]</f>
        <v>0</v>
      </c>
      <c r="S4983" s="3" t="str">
        <f>IF(ISERROR(VLOOKUP(Base_Periodo1[[#This Row],[CONTA]],BaseContasDRE[#All],4,FALSE)),"Fora do DRE",VLOOKUP(Base_Periodo1[[#This Row],[CONTA]],BaseContasDRE[#All],4,FALSE))</f>
        <v>Fora do DRE</v>
      </c>
      <c r="T4983" s="3" t="str">
        <f>IF(ISERROR(VLOOKUP(Base_Periodo1[[#This Row],[CONTA]],BaseContasDRE[#All],5,FALSE)),"Fora do DRE",VLOOKUP(Base_Periodo1[[#This Row],[CONTA]],BaseContasDRE[#All],6,FALSE))</f>
        <v>Fora do DRE</v>
      </c>
      <c r="U4983" s="3" t="str">
        <f>IF(ISERROR(VLOOKUP(Base_Periodo1[[#This Row],[CONTA]],BaseContasDRE[#All],7,FALSE)),"Fora do DRE",VLOOKUP(Base_Periodo1[[#This Row],[CONTA]],BaseContasDRE[#All],7,FALSE))</f>
        <v>Fora do DRE</v>
      </c>
      <c r="V4983" s="3" t="str">
        <f>IF(Base_Periodo1[[#This Row],[Tipo_Linha]]="Fora do DRE","Fora do DRE","( "&amp;Base_Periodo1[[#This Row],[Tipo_Linha]]&amp;" ) "&amp;Base_Periodo1[[#This Row],[Filtro]])</f>
        <v>Fora do DRE</v>
      </c>
      <c r="W4983" s="3" t="str">
        <f>LEFT(Base_Periodo1[[#This Row],[CLASS]],3)</f>
        <v>2.4</v>
      </c>
    </row>
    <row r="4984" spans="1:23" hidden="1">
      <c r="A4984" s="3" t="str">
        <f t="shared" si="77"/>
        <v>Período 1</v>
      </c>
      <c r="B4984">
        <v>27328</v>
      </c>
      <c r="C4984" t="s">
        <v>2300</v>
      </c>
      <c r="D4984" t="s">
        <v>2887</v>
      </c>
      <c r="E4984" s="3" t="str">
        <f>IF(LEN(Base_Periodo1[[#This Row],[CLASS]])&gt;=7,LEFT(Base_Periodo1[[#This Row],[CLASS]],7),"")</f>
        <v>2.4.1.1</v>
      </c>
      <c r="F4984" s="3" t="str">
        <f>VLOOKUP(Base_Periodo1[[#This Row],[Aux]],Base_Contas_Balanco[#All],2,FALSE)</f>
        <v>Capital Social Realizado</v>
      </c>
      <c r="G4984" s="1"/>
      <c r="H4984" s="225">
        <v>264.34000000000003</v>
      </c>
      <c r="I4984" s="225">
        <v>0</v>
      </c>
      <c r="J4984" s="225">
        <v>0</v>
      </c>
      <c r="K4984" s="225">
        <v>264.34000000000003</v>
      </c>
      <c r="L49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264.33999999999997</v>
      </c>
      <c r="M4984" s="225">
        <f>ROUND(IF(AND(Base_Periodo1[[#This Row],[Tipo_Linha]]="-",Base_Periodo1[[#This Row],[TIPOSALDO]]="D"),Base_Periodo1[[#This Row],[SALDO_ATUAL]]*-1,Base_Periodo1[[#This Row],[SALDO_ATUAL]]),4)</f>
        <v>264.33999999999997</v>
      </c>
      <c r="N4984" t="s">
        <v>116</v>
      </c>
      <c r="O4984" t="s">
        <v>459</v>
      </c>
      <c r="P4984" t="s">
        <v>459</v>
      </c>
      <c r="Q4984">
        <v>6</v>
      </c>
      <c r="R4984" s="225">
        <f>Base_Periodo1[[#This Row],[CREDITOS]]-Base_Periodo1[[#This Row],[DEBITOS]]</f>
        <v>0</v>
      </c>
      <c r="S4984" s="3" t="str">
        <f>IF(ISERROR(VLOOKUP(Base_Periodo1[[#This Row],[CONTA]],BaseContasDRE[#All],4,FALSE)),"Fora do DRE",VLOOKUP(Base_Periodo1[[#This Row],[CONTA]],BaseContasDRE[#All],4,FALSE))</f>
        <v>Fora do DRE</v>
      </c>
      <c r="T4984" s="3" t="str">
        <f>IF(ISERROR(VLOOKUP(Base_Periodo1[[#This Row],[CONTA]],BaseContasDRE[#All],5,FALSE)),"Fora do DRE",VLOOKUP(Base_Periodo1[[#This Row],[CONTA]],BaseContasDRE[#All],6,FALSE))</f>
        <v>Fora do DRE</v>
      </c>
      <c r="U4984" s="3" t="str">
        <f>IF(ISERROR(VLOOKUP(Base_Periodo1[[#This Row],[CONTA]],BaseContasDRE[#All],7,FALSE)),"Fora do DRE",VLOOKUP(Base_Periodo1[[#This Row],[CONTA]],BaseContasDRE[#All],7,FALSE))</f>
        <v>Fora do DRE</v>
      </c>
      <c r="V4984" s="3" t="str">
        <f>IF(Base_Periodo1[[#This Row],[Tipo_Linha]]="Fora do DRE","Fora do DRE","( "&amp;Base_Periodo1[[#This Row],[Tipo_Linha]]&amp;" ) "&amp;Base_Periodo1[[#This Row],[Filtro]])</f>
        <v>Fora do DRE</v>
      </c>
      <c r="W4984" s="3" t="str">
        <f>LEFT(Base_Periodo1[[#This Row],[CLASS]],3)</f>
        <v>2.4</v>
      </c>
    </row>
    <row r="4985" spans="1:23" hidden="1">
      <c r="A4985" s="3" t="str">
        <f t="shared" si="77"/>
        <v>Período 1</v>
      </c>
      <c r="B4985">
        <v>36220</v>
      </c>
      <c r="C4985" t="s">
        <v>2300</v>
      </c>
      <c r="D4985" t="s">
        <v>4626</v>
      </c>
      <c r="E4985" s="3" t="str">
        <f>IF(LEN(Base_Periodo1[[#This Row],[CLASS]])&gt;=7,LEFT(Base_Periodo1[[#This Row],[CLASS]],7),"")</f>
        <v>2.4.1.1</v>
      </c>
      <c r="F4985" s="3" t="str">
        <f>VLOOKUP(Base_Periodo1[[#This Row],[Aux]],Base_Contas_Balanco[#All],2,FALSE)</f>
        <v>Capital Social Realizado</v>
      </c>
      <c r="G4985" s="1"/>
      <c r="H4985" s="225">
        <v>365.63</v>
      </c>
      <c r="I4985" s="225">
        <v>0</v>
      </c>
      <c r="J4985" s="225">
        <v>0</v>
      </c>
      <c r="K4985" s="225">
        <v>365.63</v>
      </c>
      <c r="L49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365.63</v>
      </c>
      <c r="M4985" s="225">
        <f>ROUND(IF(AND(Base_Periodo1[[#This Row],[Tipo_Linha]]="-",Base_Periodo1[[#This Row],[TIPOSALDO]]="D"),Base_Periodo1[[#This Row],[SALDO_ATUAL]]*-1,Base_Periodo1[[#This Row],[SALDO_ATUAL]]),4)</f>
        <v>365.63</v>
      </c>
      <c r="N4985" t="s">
        <v>116</v>
      </c>
      <c r="O4985" t="s">
        <v>459</v>
      </c>
      <c r="P4985" t="s">
        <v>459</v>
      </c>
      <c r="Q4985">
        <v>6</v>
      </c>
      <c r="R4985" s="225">
        <f>Base_Periodo1[[#This Row],[CREDITOS]]-Base_Periodo1[[#This Row],[DEBITOS]]</f>
        <v>0</v>
      </c>
      <c r="S4985" s="3" t="str">
        <f>IF(ISERROR(VLOOKUP(Base_Periodo1[[#This Row],[CONTA]],BaseContasDRE[#All],4,FALSE)),"Fora do DRE",VLOOKUP(Base_Periodo1[[#This Row],[CONTA]],BaseContasDRE[#All],4,FALSE))</f>
        <v>Fora do DRE</v>
      </c>
      <c r="T4985" s="3" t="str">
        <f>IF(ISERROR(VLOOKUP(Base_Periodo1[[#This Row],[CONTA]],BaseContasDRE[#All],5,FALSE)),"Fora do DRE",VLOOKUP(Base_Periodo1[[#This Row],[CONTA]],BaseContasDRE[#All],6,FALSE))</f>
        <v>Fora do DRE</v>
      </c>
      <c r="U4985" s="3" t="str">
        <f>IF(ISERROR(VLOOKUP(Base_Periodo1[[#This Row],[CONTA]],BaseContasDRE[#All],7,FALSE)),"Fora do DRE",VLOOKUP(Base_Periodo1[[#This Row],[CONTA]],BaseContasDRE[#All],7,FALSE))</f>
        <v>Fora do DRE</v>
      </c>
      <c r="V4985" s="3" t="str">
        <f>IF(Base_Periodo1[[#This Row],[Tipo_Linha]]="Fora do DRE","Fora do DRE","( "&amp;Base_Periodo1[[#This Row],[Tipo_Linha]]&amp;" ) "&amp;Base_Periodo1[[#This Row],[Filtro]])</f>
        <v>Fora do DRE</v>
      </c>
      <c r="W4985" s="3" t="str">
        <f>LEFT(Base_Periodo1[[#This Row],[CLASS]],3)</f>
        <v>2.4</v>
      </c>
    </row>
    <row r="4986" spans="1:23" hidden="1">
      <c r="A4986" s="3" t="str">
        <f t="shared" si="77"/>
        <v>Período 1</v>
      </c>
      <c r="B4986">
        <v>34346</v>
      </c>
      <c r="C4986" t="s">
        <v>2300</v>
      </c>
      <c r="D4986" t="s">
        <v>2888</v>
      </c>
      <c r="E4986" s="3" t="str">
        <f>IF(LEN(Base_Periodo1[[#This Row],[CLASS]])&gt;=7,LEFT(Base_Periodo1[[#This Row],[CLASS]],7),"")</f>
        <v>2.4.1.1</v>
      </c>
      <c r="F4986" s="3" t="str">
        <f>VLOOKUP(Base_Periodo1[[#This Row],[Aux]],Base_Contas_Balanco[#All],2,FALSE)</f>
        <v>Capital Social Realizado</v>
      </c>
      <c r="G4986" s="1"/>
      <c r="H4986" s="225">
        <v>5342.5</v>
      </c>
      <c r="I4986" s="225">
        <v>0</v>
      </c>
      <c r="J4986" s="225">
        <v>0</v>
      </c>
      <c r="K4986" s="225">
        <v>5342.5</v>
      </c>
      <c r="L49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5342.5</v>
      </c>
      <c r="M4986" s="225">
        <f>ROUND(IF(AND(Base_Periodo1[[#This Row],[Tipo_Linha]]="-",Base_Periodo1[[#This Row],[TIPOSALDO]]="D"),Base_Periodo1[[#This Row],[SALDO_ATUAL]]*-1,Base_Periodo1[[#This Row],[SALDO_ATUAL]]),4)</f>
        <v>5342.5</v>
      </c>
      <c r="N4986" t="s">
        <v>116</v>
      </c>
      <c r="O4986" t="s">
        <v>459</v>
      </c>
      <c r="P4986" t="s">
        <v>459</v>
      </c>
      <c r="Q4986">
        <v>6</v>
      </c>
      <c r="R4986" s="225">
        <f>Base_Periodo1[[#This Row],[CREDITOS]]-Base_Periodo1[[#This Row],[DEBITOS]]</f>
        <v>0</v>
      </c>
      <c r="S4986" s="3" t="str">
        <f>IF(ISERROR(VLOOKUP(Base_Periodo1[[#This Row],[CONTA]],BaseContasDRE[#All],4,FALSE)),"Fora do DRE",VLOOKUP(Base_Periodo1[[#This Row],[CONTA]],BaseContasDRE[#All],4,FALSE))</f>
        <v>Fora do DRE</v>
      </c>
      <c r="T4986" s="3" t="str">
        <f>IF(ISERROR(VLOOKUP(Base_Periodo1[[#This Row],[CONTA]],BaseContasDRE[#All],5,FALSE)),"Fora do DRE",VLOOKUP(Base_Periodo1[[#This Row],[CONTA]],BaseContasDRE[#All],6,FALSE))</f>
        <v>Fora do DRE</v>
      </c>
      <c r="U4986" s="3" t="str">
        <f>IF(ISERROR(VLOOKUP(Base_Periodo1[[#This Row],[CONTA]],BaseContasDRE[#All],7,FALSE)),"Fora do DRE",VLOOKUP(Base_Periodo1[[#This Row],[CONTA]],BaseContasDRE[#All],7,FALSE))</f>
        <v>Fora do DRE</v>
      </c>
      <c r="V4986" s="3" t="str">
        <f>IF(Base_Periodo1[[#This Row],[Tipo_Linha]]="Fora do DRE","Fora do DRE","( "&amp;Base_Periodo1[[#This Row],[Tipo_Linha]]&amp;" ) "&amp;Base_Periodo1[[#This Row],[Filtro]])</f>
        <v>Fora do DRE</v>
      </c>
      <c r="W4986" s="3" t="str">
        <f>LEFT(Base_Periodo1[[#This Row],[CLASS]],3)</f>
        <v>2.4</v>
      </c>
    </row>
    <row r="4987" spans="1:23" hidden="1">
      <c r="A4987" s="3" t="str">
        <f t="shared" si="77"/>
        <v>Período 1</v>
      </c>
      <c r="B4987">
        <v>16313</v>
      </c>
      <c r="C4987" t="s">
        <v>2300</v>
      </c>
      <c r="D4987" t="s">
        <v>2889</v>
      </c>
      <c r="E4987" s="3" t="str">
        <f>IF(LEN(Base_Periodo1[[#This Row],[CLASS]])&gt;=7,LEFT(Base_Periodo1[[#This Row],[CLASS]],7),"")</f>
        <v>2.4.1.1</v>
      </c>
      <c r="F4987" s="3" t="str">
        <f>VLOOKUP(Base_Periodo1[[#This Row],[Aux]],Base_Contas_Balanco[#All],2,FALSE)</f>
        <v>Capital Social Realizado</v>
      </c>
      <c r="G4987" s="1"/>
      <c r="H4987" s="225">
        <v>4102.4799999999996</v>
      </c>
      <c r="I4987" s="225">
        <v>0</v>
      </c>
      <c r="J4987" s="225">
        <v>0</v>
      </c>
      <c r="K4987" s="225">
        <v>4102.4799999999996</v>
      </c>
      <c r="L49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4102.4799999999996</v>
      </c>
      <c r="M4987" s="225">
        <f>ROUND(IF(AND(Base_Periodo1[[#This Row],[Tipo_Linha]]="-",Base_Periodo1[[#This Row],[TIPOSALDO]]="D"),Base_Periodo1[[#This Row],[SALDO_ATUAL]]*-1,Base_Periodo1[[#This Row],[SALDO_ATUAL]]),4)</f>
        <v>4102.4799999999996</v>
      </c>
      <c r="N4987" t="s">
        <v>116</v>
      </c>
      <c r="O4987" t="s">
        <v>459</v>
      </c>
      <c r="P4987" t="s">
        <v>459</v>
      </c>
      <c r="Q4987">
        <v>6</v>
      </c>
      <c r="R4987" s="225">
        <f>Base_Periodo1[[#This Row],[CREDITOS]]-Base_Periodo1[[#This Row],[DEBITOS]]</f>
        <v>0</v>
      </c>
      <c r="S4987" s="3" t="str">
        <f>IF(ISERROR(VLOOKUP(Base_Periodo1[[#This Row],[CONTA]],BaseContasDRE[#All],4,FALSE)),"Fora do DRE",VLOOKUP(Base_Periodo1[[#This Row],[CONTA]],BaseContasDRE[#All],4,FALSE))</f>
        <v>Fora do DRE</v>
      </c>
      <c r="T4987" s="3" t="str">
        <f>IF(ISERROR(VLOOKUP(Base_Periodo1[[#This Row],[CONTA]],BaseContasDRE[#All],5,FALSE)),"Fora do DRE",VLOOKUP(Base_Periodo1[[#This Row],[CONTA]],BaseContasDRE[#All],6,FALSE))</f>
        <v>Fora do DRE</v>
      </c>
      <c r="U4987" s="3" t="str">
        <f>IF(ISERROR(VLOOKUP(Base_Periodo1[[#This Row],[CONTA]],BaseContasDRE[#All],7,FALSE)),"Fora do DRE",VLOOKUP(Base_Periodo1[[#This Row],[CONTA]],BaseContasDRE[#All],7,FALSE))</f>
        <v>Fora do DRE</v>
      </c>
      <c r="V4987" s="3" t="str">
        <f>IF(Base_Periodo1[[#This Row],[Tipo_Linha]]="Fora do DRE","Fora do DRE","( "&amp;Base_Periodo1[[#This Row],[Tipo_Linha]]&amp;" ) "&amp;Base_Periodo1[[#This Row],[Filtro]])</f>
        <v>Fora do DRE</v>
      </c>
      <c r="W4987" s="3" t="str">
        <f>LEFT(Base_Periodo1[[#This Row],[CLASS]],3)</f>
        <v>2.4</v>
      </c>
    </row>
    <row r="4988" spans="1:23" hidden="1">
      <c r="A4988" s="3" t="str">
        <f t="shared" si="77"/>
        <v>Período 1</v>
      </c>
      <c r="B4988">
        <v>24903</v>
      </c>
      <c r="C4988" t="s">
        <v>2300</v>
      </c>
      <c r="D4988" t="s">
        <v>2890</v>
      </c>
      <c r="E4988" s="3" t="str">
        <f>IF(LEN(Base_Periodo1[[#This Row],[CLASS]])&gt;=7,LEFT(Base_Periodo1[[#This Row],[CLASS]],7),"")</f>
        <v>2.4.1.1</v>
      </c>
      <c r="F4988" s="3" t="str">
        <f>VLOOKUP(Base_Periodo1[[#This Row],[Aux]],Base_Contas_Balanco[#All],2,FALSE)</f>
        <v>Capital Social Realizado</v>
      </c>
      <c r="G4988" s="1"/>
      <c r="H4988" s="225">
        <v>22384.33</v>
      </c>
      <c r="I4988" s="225">
        <v>0</v>
      </c>
      <c r="J4988" s="225">
        <v>0</v>
      </c>
      <c r="K4988" s="225">
        <v>22384.33</v>
      </c>
      <c r="L49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22384.33</v>
      </c>
      <c r="M4988" s="225">
        <f>ROUND(IF(AND(Base_Periodo1[[#This Row],[Tipo_Linha]]="-",Base_Periodo1[[#This Row],[TIPOSALDO]]="D"),Base_Periodo1[[#This Row],[SALDO_ATUAL]]*-1,Base_Periodo1[[#This Row],[SALDO_ATUAL]]),4)</f>
        <v>22384.33</v>
      </c>
      <c r="N4988" t="s">
        <v>116</v>
      </c>
      <c r="O4988" t="s">
        <v>459</v>
      </c>
      <c r="P4988" t="s">
        <v>459</v>
      </c>
      <c r="Q4988">
        <v>6</v>
      </c>
      <c r="R4988" s="225">
        <f>Base_Periodo1[[#This Row],[CREDITOS]]-Base_Periodo1[[#This Row],[DEBITOS]]</f>
        <v>0</v>
      </c>
      <c r="S4988" s="3" t="str">
        <f>IF(ISERROR(VLOOKUP(Base_Periodo1[[#This Row],[CONTA]],BaseContasDRE[#All],4,FALSE)),"Fora do DRE",VLOOKUP(Base_Periodo1[[#This Row],[CONTA]],BaseContasDRE[#All],4,FALSE))</f>
        <v>Fora do DRE</v>
      </c>
      <c r="T4988" s="3" t="str">
        <f>IF(ISERROR(VLOOKUP(Base_Periodo1[[#This Row],[CONTA]],BaseContasDRE[#All],5,FALSE)),"Fora do DRE",VLOOKUP(Base_Periodo1[[#This Row],[CONTA]],BaseContasDRE[#All],6,FALSE))</f>
        <v>Fora do DRE</v>
      </c>
      <c r="U4988" s="3" t="str">
        <f>IF(ISERROR(VLOOKUP(Base_Periodo1[[#This Row],[CONTA]],BaseContasDRE[#All],7,FALSE)),"Fora do DRE",VLOOKUP(Base_Periodo1[[#This Row],[CONTA]],BaseContasDRE[#All],7,FALSE))</f>
        <v>Fora do DRE</v>
      </c>
      <c r="V4988" s="3" t="str">
        <f>IF(Base_Periodo1[[#This Row],[Tipo_Linha]]="Fora do DRE","Fora do DRE","( "&amp;Base_Periodo1[[#This Row],[Tipo_Linha]]&amp;" ) "&amp;Base_Periodo1[[#This Row],[Filtro]])</f>
        <v>Fora do DRE</v>
      </c>
      <c r="W4988" s="3" t="str">
        <f>LEFT(Base_Periodo1[[#This Row],[CLASS]],3)</f>
        <v>2.4</v>
      </c>
    </row>
    <row r="4989" spans="1:23" hidden="1">
      <c r="A4989" s="3" t="str">
        <f t="shared" si="77"/>
        <v>Período 1</v>
      </c>
      <c r="B4989">
        <v>49082</v>
      </c>
      <c r="C4989" t="s">
        <v>2300</v>
      </c>
      <c r="D4989" t="s">
        <v>2890</v>
      </c>
      <c r="E4989" s="3" t="str">
        <f>IF(LEN(Base_Periodo1[[#This Row],[CLASS]])&gt;=7,LEFT(Base_Periodo1[[#This Row],[CLASS]],7),"")</f>
        <v>2.4.1.1</v>
      </c>
      <c r="F4989" s="3" t="str">
        <f>VLOOKUP(Base_Periodo1[[#This Row],[Aux]],Base_Contas_Balanco[#All],2,FALSE)</f>
        <v>Capital Social Realizado</v>
      </c>
      <c r="G4989" s="1"/>
      <c r="H4989" s="225">
        <v>1484.04</v>
      </c>
      <c r="I4989" s="225">
        <v>0</v>
      </c>
      <c r="J4989" s="225">
        <v>0</v>
      </c>
      <c r="K4989" s="225">
        <v>1484.04</v>
      </c>
      <c r="L49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1484.04</v>
      </c>
      <c r="M4989" s="225">
        <f>ROUND(IF(AND(Base_Periodo1[[#This Row],[Tipo_Linha]]="-",Base_Periodo1[[#This Row],[TIPOSALDO]]="D"),Base_Periodo1[[#This Row],[SALDO_ATUAL]]*-1,Base_Periodo1[[#This Row],[SALDO_ATUAL]]),4)</f>
        <v>1484.04</v>
      </c>
      <c r="N4989" t="s">
        <v>116</v>
      </c>
      <c r="O4989" t="s">
        <v>459</v>
      </c>
      <c r="P4989" t="s">
        <v>459</v>
      </c>
      <c r="Q4989">
        <v>6</v>
      </c>
      <c r="R4989" s="225">
        <f>Base_Periodo1[[#This Row],[CREDITOS]]-Base_Periodo1[[#This Row],[DEBITOS]]</f>
        <v>0</v>
      </c>
      <c r="S4989" s="3" t="str">
        <f>IF(ISERROR(VLOOKUP(Base_Periodo1[[#This Row],[CONTA]],BaseContasDRE[#All],4,FALSE)),"Fora do DRE",VLOOKUP(Base_Periodo1[[#This Row],[CONTA]],BaseContasDRE[#All],4,FALSE))</f>
        <v>Fora do DRE</v>
      </c>
      <c r="T4989" s="3" t="str">
        <f>IF(ISERROR(VLOOKUP(Base_Periodo1[[#This Row],[CONTA]],BaseContasDRE[#All],5,FALSE)),"Fora do DRE",VLOOKUP(Base_Periodo1[[#This Row],[CONTA]],BaseContasDRE[#All],6,FALSE))</f>
        <v>Fora do DRE</v>
      </c>
      <c r="U4989" s="3" t="str">
        <f>IF(ISERROR(VLOOKUP(Base_Periodo1[[#This Row],[CONTA]],BaseContasDRE[#All],7,FALSE)),"Fora do DRE",VLOOKUP(Base_Periodo1[[#This Row],[CONTA]],BaseContasDRE[#All],7,FALSE))</f>
        <v>Fora do DRE</v>
      </c>
      <c r="V4989" s="3" t="str">
        <f>IF(Base_Periodo1[[#This Row],[Tipo_Linha]]="Fora do DRE","Fora do DRE","( "&amp;Base_Periodo1[[#This Row],[Tipo_Linha]]&amp;" ) "&amp;Base_Periodo1[[#This Row],[Filtro]])</f>
        <v>Fora do DRE</v>
      </c>
      <c r="W4989" s="3" t="str">
        <f>LEFT(Base_Periodo1[[#This Row],[CLASS]],3)</f>
        <v>2.4</v>
      </c>
    </row>
    <row r="4990" spans="1:23" hidden="1">
      <c r="A4990" s="3" t="str">
        <f t="shared" si="77"/>
        <v>Período 1</v>
      </c>
      <c r="B4990">
        <v>16386</v>
      </c>
      <c r="C4990" t="s">
        <v>2300</v>
      </c>
      <c r="D4990" t="s">
        <v>2891</v>
      </c>
      <c r="E4990" s="3" t="str">
        <f>IF(LEN(Base_Periodo1[[#This Row],[CLASS]])&gt;=7,LEFT(Base_Periodo1[[#This Row],[CLASS]],7),"")</f>
        <v>2.4.1.1</v>
      </c>
      <c r="F4990" s="3" t="str">
        <f>VLOOKUP(Base_Periodo1[[#This Row],[Aux]],Base_Contas_Balanco[#All],2,FALSE)</f>
        <v>Capital Social Realizado</v>
      </c>
      <c r="G4990" s="1"/>
      <c r="H4990" s="225">
        <v>1793.12</v>
      </c>
      <c r="I4990" s="225">
        <v>0</v>
      </c>
      <c r="J4990" s="225">
        <v>0</v>
      </c>
      <c r="K4990" s="225">
        <v>1793.12</v>
      </c>
      <c r="L49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1793.12</v>
      </c>
      <c r="M4990" s="225">
        <f>ROUND(IF(AND(Base_Periodo1[[#This Row],[Tipo_Linha]]="-",Base_Periodo1[[#This Row],[TIPOSALDO]]="D"),Base_Periodo1[[#This Row],[SALDO_ATUAL]]*-1,Base_Periodo1[[#This Row],[SALDO_ATUAL]]),4)</f>
        <v>1793.12</v>
      </c>
      <c r="N4990" t="s">
        <v>116</v>
      </c>
      <c r="O4990" t="s">
        <v>459</v>
      </c>
      <c r="P4990" t="s">
        <v>459</v>
      </c>
      <c r="Q4990">
        <v>6</v>
      </c>
      <c r="R4990" s="225">
        <f>Base_Periodo1[[#This Row],[CREDITOS]]-Base_Periodo1[[#This Row],[DEBITOS]]</f>
        <v>0</v>
      </c>
      <c r="S4990" s="3" t="str">
        <f>IF(ISERROR(VLOOKUP(Base_Periodo1[[#This Row],[CONTA]],BaseContasDRE[#All],4,FALSE)),"Fora do DRE",VLOOKUP(Base_Periodo1[[#This Row],[CONTA]],BaseContasDRE[#All],4,FALSE))</f>
        <v>Fora do DRE</v>
      </c>
      <c r="T4990" s="3" t="str">
        <f>IF(ISERROR(VLOOKUP(Base_Periodo1[[#This Row],[CONTA]],BaseContasDRE[#All],5,FALSE)),"Fora do DRE",VLOOKUP(Base_Periodo1[[#This Row],[CONTA]],BaseContasDRE[#All],6,FALSE))</f>
        <v>Fora do DRE</v>
      </c>
      <c r="U4990" s="3" t="str">
        <f>IF(ISERROR(VLOOKUP(Base_Periodo1[[#This Row],[CONTA]],BaseContasDRE[#All],7,FALSE)),"Fora do DRE",VLOOKUP(Base_Periodo1[[#This Row],[CONTA]],BaseContasDRE[#All],7,FALSE))</f>
        <v>Fora do DRE</v>
      </c>
      <c r="V4990" s="3" t="str">
        <f>IF(Base_Periodo1[[#This Row],[Tipo_Linha]]="Fora do DRE","Fora do DRE","( "&amp;Base_Periodo1[[#This Row],[Tipo_Linha]]&amp;" ) "&amp;Base_Periodo1[[#This Row],[Filtro]])</f>
        <v>Fora do DRE</v>
      </c>
      <c r="W4990" s="3" t="str">
        <f>LEFT(Base_Periodo1[[#This Row],[CLASS]],3)</f>
        <v>2.4</v>
      </c>
    </row>
    <row r="4991" spans="1:23" hidden="1">
      <c r="A4991" s="3" t="str">
        <f t="shared" si="77"/>
        <v>Período 1</v>
      </c>
      <c r="B4991">
        <v>16147</v>
      </c>
      <c r="C4991" t="s">
        <v>2300</v>
      </c>
      <c r="D4991" t="s">
        <v>2892</v>
      </c>
      <c r="E4991" s="3" t="str">
        <f>IF(LEN(Base_Periodo1[[#This Row],[CLASS]])&gt;=7,LEFT(Base_Periodo1[[#This Row],[CLASS]],7),"")</f>
        <v>2.4.1.1</v>
      </c>
      <c r="F4991" s="3" t="str">
        <f>VLOOKUP(Base_Periodo1[[#This Row],[Aux]],Base_Contas_Balanco[#All],2,FALSE)</f>
        <v>Capital Social Realizado</v>
      </c>
      <c r="G4991" s="1"/>
      <c r="H4991" s="225">
        <v>6911.55</v>
      </c>
      <c r="I4991" s="225">
        <v>0</v>
      </c>
      <c r="J4991" s="225">
        <v>0</v>
      </c>
      <c r="K4991" s="225">
        <v>6911.55</v>
      </c>
      <c r="L49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6911.55</v>
      </c>
      <c r="M4991" s="225">
        <f>ROUND(IF(AND(Base_Periodo1[[#This Row],[Tipo_Linha]]="-",Base_Periodo1[[#This Row],[TIPOSALDO]]="D"),Base_Periodo1[[#This Row],[SALDO_ATUAL]]*-1,Base_Periodo1[[#This Row],[SALDO_ATUAL]]),4)</f>
        <v>6911.55</v>
      </c>
      <c r="N4991" t="s">
        <v>116</v>
      </c>
      <c r="O4991" t="s">
        <v>459</v>
      </c>
      <c r="P4991" t="s">
        <v>459</v>
      </c>
      <c r="Q4991">
        <v>6</v>
      </c>
      <c r="R4991" s="225">
        <f>Base_Periodo1[[#This Row],[CREDITOS]]-Base_Periodo1[[#This Row],[DEBITOS]]</f>
        <v>0</v>
      </c>
      <c r="S4991" s="3" t="str">
        <f>IF(ISERROR(VLOOKUP(Base_Periodo1[[#This Row],[CONTA]],BaseContasDRE[#All],4,FALSE)),"Fora do DRE",VLOOKUP(Base_Periodo1[[#This Row],[CONTA]],BaseContasDRE[#All],4,FALSE))</f>
        <v>Fora do DRE</v>
      </c>
      <c r="T4991" s="3" t="str">
        <f>IF(ISERROR(VLOOKUP(Base_Periodo1[[#This Row],[CONTA]],BaseContasDRE[#All],5,FALSE)),"Fora do DRE",VLOOKUP(Base_Periodo1[[#This Row],[CONTA]],BaseContasDRE[#All],6,FALSE))</f>
        <v>Fora do DRE</v>
      </c>
      <c r="U4991" s="3" t="str">
        <f>IF(ISERROR(VLOOKUP(Base_Periodo1[[#This Row],[CONTA]],BaseContasDRE[#All],7,FALSE)),"Fora do DRE",VLOOKUP(Base_Periodo1[[#This Row],[CONTA]],BaseContasDRE[#All],7,FALSE))</f>
        <v>Fora do DRE</v>
      </c>
      <c r="V4991" s="3" t="str">
        <f>IF(Base_Periodo1[[#This Row],[Tipo_Linha]]="Fora do DRE","Fora do DRE","( "&amp;Base_Periodo1[[#This Row],[Tipo_Linha]]&amp;" ) "&amp;Base_Periodo1[[#This Row],[Filtro]])</f>
        <v>Fora do DRE</v>
      </c>
      <c r="W4991" s="3" t="str">
        <f>LEFT(Base_Periodo1[[#This Row],[CLASS]],3)</f>
        <v>2.4</v>
      </c>
    </row>
    <row r="4992" spans="1:23" hidden="1">
      <c r="A4992" s="3" t="str">
        <f t="shared" si="77"/>
        <v>Período 1</v>
      </c>
      <c r="B4992">
        <v>16387</v>
      </c>
      <c r="C4992" t="s">
        <v>2300</v>
      </c>
      <c r="D4992" t="s">
        <v>2893</v>
      </c>
      <c r="E4992" s="3" t="str">
        <f>IF(LEN(Base_Periodo1[[#This Row],[CLASS]])&gt;=7,LEFT(Base_Periodo1[[#This Row],[CLASS]],7),"")</f>
        <v>2.4.1.1</v>
      </c>
      <c r="F4992" s="3" t="str">
        <f>VLOOKUP(Base_Periodo1[[#This Row],[Aux]],Base_Contas_Balanco[#All],2,FALSE)</f>
        <v>Capital Social Realizado</v>
      </c>
      <c r="G4992" s="1"/>
      <c r="H4992" s="225">
        <v>1883.58</v>
      </c>
      <c r="I4992" s="225">
        <v>0</v>
      </c>
      <c r="J4992" s="225">
        <v>0</v>
      </c>
      <c r="K4992" s="225">
        <v>1883.58</v>
      </c>
      <c r="L49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1883.58</v>
      </c>
      <c r="M4992" s="225">
        <f>ROUND(IF(AND(Base_Periodo1[[#This Row],[Tipo_Linha]]="-",Base_Periodo1[[#This Row],[TIPOSALDO]]="D"),Base_Periodo1[[#This Row],[SALDO_ATUAL]]*-1,Base_Periodo1[[#This Row],[SALDO_ATUAL]]),4)</f>
        <v>1883.58</v>
      </c>
      <c r="N4992" t="s">
        <v>116</v>
      </c>
      <c r="O4992" t="s">
        <v>459</v>
      </c>
      <c r="P4992" t="s">
        <v>459</v>
      </c>
      <c r="Q4992">
        <v>6</v>
      </c>
      <c r="R4992" s="225">
        <f>Base_Periodo1[[#This Row],[CREDITOS]]-Base_Periodo1[[#This Row],[DEBITOS]]</f>
        <v>0</v>
      </c>
      <c r="S4992" s="3" t="str">
        <f>IF(ISERROR(VLOOKUP(Base_Periodo1[[#This Row],[CONTA]],BaseContasDRE[#All],4,FALSE)),"Fora do DRE",VLOOKUP(Base_Periodo1[[#This Row],[CONTA]],BaseContasDRE[#All],4,FALSE))</f>
        <v>Fora do DRE</v>
      </c>
      <c r="T4992" s="3" t="str">
        <f>IF(ISERROR(VLOOKUP(Base_Periodo1[[#This Row],[CONTA]],BaseContasDRE[#All],5,FALSE)),"Fora do DRE",VLOOKUP(Base_Periodo1[[#This Row],[CONTA]],BaseContasDRE[#All],6,FALSE))</f>
        <v>Fora do DRE</v>
      </c>
      <c r="U4992" s="3" t="str">
        <f>IF(ISERROR(VLOOKUP(Base_Periodo1[[#This Row],[CONTA]],BaseContasDRE[#All],7,FALSE)),"Fora do DRE",VLOOKUP(Base_Periodo1[[#This Row],[CONTA]],BaseContasDRE[#All],7,FALSE))</f>
        <v>Fora do DRE</v>
      </c>
      <c r="V4992" s="3" t="str">
        <f>IF(Base_Periodo1[[#This Row],[Tipo_Linha]]="Fora do DRE","Fora do DRE","( "&amp;Base_Periodo1[[#This Row],[Tipo_Linha]]&amp;" ) "&amp;Base_Periodo1[[#This Row],[Filtro]])</f>
        <v>Fora do DRE</v>
      </c>
      <c r="W4992" s="3" t="str">
        <f>LEFT(Base_Periodo1[[#This Row],[CLASS]],3)</f>
        <v>2.4</v>
      </c>
    </row>
    <row r="4993" spans="1:23" hidden="1">
      <c r="A4993" s="3" t="str">
        <f t="shared" si="77"/>
        <v>Período 1</v>
      </c>
      <c r="B4993">
        <v>51846</v>
      </c>
      <c r="C4993" t="s">
        <v>2300</v>
      </c>
      <c r="D4993" t="s">
        <v>4704</v>
      </c>
      <c r="E4993" s="3" t="str">
        <f>IF(LEN(Base_Periodo1[[#This Row],[CLASS]])&gt;=7,LEFT(Base_Periodo1[[#This Row],[CLASS]],7),"")</f>
        <v>2.4.1.1</v>
      </c>
      <c r="F4993" s="3" t="str">
        <f>VLOOKUP(Base_Periodo1[[#This Row],[Aux]],Base_Contas_Balanco[#All],2,FALSE)</f>
        <v>Capital Social Realizado</v>
      </c>
      <c r="G4993" s="1"/>
      <c r="H4993" s="225">
        <v>1000</v>
      </c>
      <c r="I4993" s="225">
        <v>0</v>
      </c>
      <c r="J4993" s="225">
        <v>0</v>
      </c>
      <c r="K4993" s="225">
        <v>1000</v>
      </c>
      <c r="L49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</v>
      </c>
      <c r="M4993" s="225">
        <f>ROUND(IF(AND(Base_Periodo1[[#This Row],[Tipo_Linha]]="-",Base_Periodo1[[#This Row],[TIPOSALDO]]="D"),Base_Periodo1[[#This Row],[SALDO_ATUAL]]*-1,Base_Periodo1[[#This Row],[SALDO_ATUAL]]),4)</f>
        <v>1000</v>
      </c>
      <c r="N4993" t="s">
        <v>116</v>
      </c>
      <c r="O4993" t="s">
        <v>459</v>
      </c>
      <c r="P4993" t="s">
        <v>459</v>
      </c>
      <c r="Q4993">
        <v>6</v>
      </c>
      <c r="R4993" s="225">
        <f>Base_Periodo1[[#This Row],[CREDITOS]]-Base_Periodo1[[#This Row],[DEBITOS]]</f>
        <v>0</v>
      </c>
      <c r="S4993" s="3" t="str">
        <f>IF(ISERROR(VLOOKUP(Base_Periodo1[[#This Row],[CONTA]],BaseContasDRE[#All],4,FALSE)),"Fora do DRE",VLOOKUP(Base_Periodo1[[#This Row],[CONTA]],BaseContasDRE[#All],4,FALSE))</f>
        <v>Fora do DRE</v>
      </c>
      <c r="T4993" s="3" t="str">
        <f>IF(ISERROR(VLOOKUP(Base_Periodo1[[#This Row],[CONTA]],BaseContasDRE[#All],5,FALSE)),"Fora do DRE",VLOOKUP(Base_Periodo1[[#This Row],[CONTA]],BaseContasDRE[#All],6,FALSE))</f>
        <v>Fora do DRE</v>
      </c>
      <c r="U4993" s="3" t="str">
        <f>IF(ISERROR(VLOOKUP(Base_Periodo1[[#This Row],[CONTA]],BaseContasDRE[#All],7,FALSE)),"Fora do DRE",VLOOKUP(Base_Periodo1[[#This Row],[CONTA]],BaseContasDRE[#All],7,FALSE))</f>
        <v>Fora do DRE</v>
      </c>
      <c r="V4993" s="3" t="str">
        <f>IF(Base_Periodo1[[#This Row],[Tipo_Linha]]="Fora do DRE","Fora do DRE","( "&amp;Base_Periodo1[[#This Row],[Tipo_Linha]]&amp;" ) "&amp;Base_Periodo1[[#This Row],[Filtro]])</f>
        <v>Fora do DRE</v>
      </c>
      <c r="W4993" s="3" t="str">
        <f>LEFT(Base_Periodo1[[#This Row],[CLASS]],3)</f>
        <v>2.4</v>
      </c>
    </row>
    <row r="4994" spans="1:23" hidden="1">
      <c r="A4994" s="3" t="str">
        <f t="shared" si="77"/>
        <v>Período 1</v>
      </c>
      <c r="B4994">
        <v>24592</v>
      </c>
      <c r="C4994" t="s">
        <v>2300</v>
      </c>
      <c r="D4994" t="s">
        <v>2894</v>
      </c>
      <c r="E4994" s="3" t="str">
        <f>IF(LEN(Base_Periodo1[[#This Row],[CLASS]])&gt;=7,LEFT(Base_Periodo1[[#This Row],[CLASS]],7),"")</f>
        <v>2.4.1.1</v>
      </c>
      <c r="F4994" s="3" t="str">
        <f>VLOOKUP(Base_Periodo1[[#This Row],[Aux]],Base_Contas_Balanco[#All],2,FALSE)</f>
        <v>Capital Social Realizado</v>
      </c>
      <c r="G4994" s="1"/>
      <c r="H4994" s="225">
        <v>1101.49</v>
      </c>
      <c r="I4994" s="225">
        <v>0</v>
      </c>
      <c r="J4994" s="225">
        <v>0</v>
      </c>
      <c r="K4994" s="225">
        <v>1101.49</v>
      </c>
      <c r="L49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1101.49</v>
      </c>
      <c r="M4994" s="225">
        <f>ROUND(IF(AND(Base_Periodo1[[#This Row],[Tipo_Linha]]="-",Base_Periodo1[[#This Row],[TIPOSALDO]]="D"),Base_Periodo1[[#This Row],[SALDO_ATUAL]]*-1,Base_Periodo1[[#This Row],[SALDO_ATUAL]]),4)</f>
        <v>1101.49</v>
      </c>
      <c r="N4994" t="s">
        <v>116</v>
      </c>
      <c r="O4994" t="s">
        <v>459</v>
      </c>
      <c r="P4994" t="s">
        <v>459</v>
      </c>
      <c r="Q4994">
        <v>6</v>
      </c>
      <c r="R4994" s="225">
        <f>Base_Periodo1[[#This Row],[CREDITOS]]-Base_Periodo1[[#This Row],[DEBITOS]]</f>
        <v>0</v>
      </c>
      <c r="S4994" s="3" t="str">
        <f>IF(ISERROR(VLOOKUP(Base_Periodo1[[#This Row],[CONTA]],BaseContasDRE[#All],4,FALSE)),"Fora do DRE",VLOOKUP(Base_Periodo1[[#This Row],[CONTA]],BaseContasDRE[#All],4,FALSE))</f>
        <v>Fora do DRE</v>
      </c>
      <c r="T4994" s="3" t="str">
        <f>IF(ISERROR(VLOOKUP(Base_Periodo1[[#This Row],[CONTA]],BaseContasDRE[#All],5,FALSE)),"Fora do DRE",VLOOKUP(Base_Periodo1[[#This Row],[CONTA]],BaseContasDRE[#All],6,FALSE))</f>
        <v>Fora do DRE</v>
      </c>
      <c r="U4994" s="3" t="str">
        <f>IF(ISERROR(VLOOKUP(Base_Periodo1[[#This Row],[CONTA]],BaseContasDRE[#All],7,FALSE)),"Fora do DRE",VLOOKUP(Base_Periodo1[[#This Row],[CONTA]],BaseContasDRE[#All],7,FALSE))</f>
        <v>Fora do DRE</v>
      </c>
      <c r="V4994" s="3" t="str">
        <f>IF(Base_Periodo1[[#This Row],[Tipo_Linha]]="Fora do DRE","Fora do DRE","( "&amp;Base_Periodo1[[#This Row],[Tipo_Linha]]&amp;" ) "&amp;Base_Periodo1[[#This Row],[Filtro]])</f>
        <v>Fora do DRE</v>
      </c>
      <c r="W4994" s="3" t="str">
        <f>LEFT(Base_Periodo1[[#This Row],[CLASS]],3)</f>
        <v>2.4</v>
      </c>
    </row>
    <row r="4995" spans="1:23" hidden="1">
      <c r="A4995" s="3" t="str">
        <f t="shared" si="77"/>
        <v>Período 1</v>
      </c>
      <c r="B4995">
        <v>47835</v>
      </c>
      <c r="C4995" t="s">
        <v>2300</v>
      </c>
      <c r="D4995" t="s">
        <v>2895</v>
      </c>
      <c r="E4995" s="3" t="str">
        <f>IF(LEN(Base_Periodo1[[#This Row],[CLASS]])&gt;=7,LEFT(Base_Periodo1[[#This Row],[CLASS]],7),"")</f>
        <v>2.4.1.1</v>
      </c>
      <c r="F4995" s="3" t="str">
        <f>VLOOKUP(Base_Periodo1[[#This Row],[Aux]],Base_Contas_Balanco[#All],2,FALSE)</f>
        <v>Capital Social Realizado</v>
      </c>
      <c r="G4995" s="1"/>
      <c r="H4995" s="225">
        <v>598.92000000000007</v>
      </c>
      <c r="I4995" s="225">
        <v>0</v>
      </c>
      <c r="J4995" s="225">
        <v>0</v>
      </c>
      <c r="K4995" s="225">
        <v>598.92000000000007</v>
      </c>
      <c r="L49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598.91999999999996</v>
      </c>
      <c r="M4995" s="225">
        <f>ROUND(IF(AND(Base_Periodo1[[#This Row],[Tipo_Linha]]="-",Base_Periodo1[[#This Row],[TIPOSALDO]]="D"),Base_Periodo1[[#This Row],[SALDO_ATUAL]]*-1,Base_Periodo1[[#This Row],[SALDO_ATUAL]]),4)</f>
        <v>598.91999999999996</v>
      </c>
      <c r="N4995" t="s">
        <v>116</v>
      </c>
      <c r="O4995" t="s">
        <v>459</v>
      </c>
      <c r="P4995" t="s">
        <v>459</v>
      </c>
      <c r="Q4995">
        <v>6</v>
      </c>
      <c r="R4995" s="225">
        <f>Base_Periodo1[[#This Row],[CREDITOS]]-Base_Periodo1[[#This Row],[DEBITOS]]</f>
        <v>0</v>
      </c>
      <c r="S4995" s="3" t="str">
        <f>IF(ISERROR(VLOOKUP(Base_Periodo1[[#This Row],[CONTA]],BaseContasDRE[#All],4,FALSE)),"Fora do DRE",VLOOKUP(Base_Periodo1[[#This Row],[CONTA]],BaseContasDRE[#All],4,FALSE))</f>
        <v>Fora do DRE</v>
      </c>
      <c r="T4995" s="3" t="str">
        <f>IF(ISERROR(VLOOKUP(Base_Periodo1[[#This Row],[CONTA]],BaseContasDRE[#All],5,FALSE)),"Fora do DRE",VLOOKUP(Base_Periodo1[[#This Row],[CONTA]],BaseContasDRE[#All],6,FALSE))</f>
        <v>Fora do DRE</v>
      </c>
      <c r="U4995" s="3" t="str">
        <f>IF(ISERROR(VLOOKUP(Base_Periodo1[[#This Row],[CONTA]],BaseContasDRE[#All],7,FALSE)),"Fora do DRE",VLOOKUP(Base_Periodo1[[#This Row],[CONTA]],BaseContasDRE[#All],7,FALSE))</f>
        <v>Fora do DRE</v>
      </c>
      <c r="V4995" s="3" t="str">
        <f>IF(Base_Periodo1[[#This Row],[Tipo_Linha]]="Fora do DRE","Fora do DRE","( "&amp;Base_Periodo1[[#This Row],[Tipo_Linha]]&amp;" ) "&amp;Base_Periodo1[[#This Row],[Filtro]])</f>
        <v>Fora do DRE</v>
      </c>
      <c r="W4995" s="3" t="str">
        <f>LEFT(Base_Periodo1[[#This Row],[CLASS]],3)</f>
        <v>2.4</v>
      </c>
    </row>
    <row r="4996" spans="1:23" hidden="1">
      <c r="A4996" s="3" t="str">
        <f t="shared" si="77"/>
        <v>Período 1</v>
      </c>
      <c r="B4996">
        <v>47886</v>
      </c>
      <c r="C4996" t="s">
        <v>2300</v>
      </c>
      <c r="D4996" t="s">
        <v>2896</v>
      </c>
      <c r="E4996" s="3" t="str">
        <f>IF(LEN(Base_Periodo1[[#This Row],[CLASS]])&gt;=7,LEFT(Base_Periodo1[[#This Row],[CLASS]],7),"")</f>
        <v>2.4.1.1</v>
      </c>
      <c r="F4996" s="3" t="str">
        <f>VLOOKUP(Base_Periodo1[[#This Row],[Aux]],Base_Contas_Balanco[#All],2,FALSE)</f>
        <v>Capital Social Realizado</v>
      </c>
      <c r="G4996" s="1"/>
      <c r="H4996" s="225">
        <v>625.79999999999995</v>
      </c>
      <c r="I4996" s="225">
        <v>0</v>
      </c>
      <c r="J4996" s="225">
        <v>0</v>
      </c>
      <c r="K4996" s="225">
        <v>625.79999999999995</v>
      </c>
      <c r="L49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625.79999999999995</v>
      </c>
      <c r="M4996" s="225">
        <f>ROUND(IF(AND(Base_Periodo1[[#This Row],[Tipo_Linha]]="-",Base_Periodo1[[#This Row],[TIPOSALDO]]="D"),Base_Periodo1[[#This Row],[SALDO_ATUAL]]*-1,Base_Periodo1[[#This Row],[SALDO_ATUAL]]),4)</f>
        <v>625.79999999999995</v>
      </c>
      <c r="N4996" t="s">
        <v>116</v>
      </c>
      <c r="O4996" t="s">
        <v>459</v>
      </c>
      <c r="P4996" t="s">
        <v>459</v>
      </c>
      <c r="Q4996">
        <v>6</v>
      </c>
      <c r="R4996" s="225">
        <f>Base_Periodo1[[#This Row],[CREDITOS]]-Base_Periodo1[[#This Row],[DEBITOS]]</f>
        <v>0</v>
      </c>
      <c r="S4996" s="3" t="str">
        <f>IF(ISERROR(VLOOKUP(Base_Periodo1[[#This Row],[CONTA]],BaseContasDRE[#All],4,FALSE)),"Fora do DRE",VLOOKUP(Base_Periodo1[[#This Row],[CONTA]],BaseContasDRE[#All],4,FALSE))</f>
        <v>Fora do DRE</v>
      </c>
      <c r="T4996" s="3" t="str">
        <f>IF(ISERROR(VLOOKUP(Base_Periodo1[[#This Row],[CONTA]],BaseContasDRE[#All],5,FALSE)),"Fora do DRE",VLOOKUP(Base_Periodo1[[#This Row],[CONTA]],BaseContasDRE[#All],6,FALSE))</f>
        <v>Fora do DRE</v>
      </c>
      <c r="U4996" s="3" t="str">
        <f>IF(ISERROR(VLOOKUP(Base_Periodo1[[#This Row],[CONTA]],BaseContasDRE[#All],7,FALSE)),"Fora do DRE",VLOOKUP(Base_Periodo1[[#This Row],[CONTA]],BaseContasDRE[#All],7,FALSE))</f>
        <v>Fora do DRE</v>
      </c>
      <c r="V4996" s="3" t="str">
        <f>IF(Base_Periodo1[[#This Row],[Tipo_Linha]]="Fora do DRE","Fora do DRE","( "&amp;Base_Periodo1[[#This Row],[Tipo_Linha]]&amp;" ) "&amp;Base_Periodo1[[#This Row],[Filtro]])</f>
        <v>Fora do DRE</v>
      </c>
      <c r="W4996" s="3" t="str">
        <f>LEFT(Base_Periodo1[[#This Row],[CLASS]],3)</f>
        <v>2.4</v>
      </c>
    </row>
    <row r="4997" spans="1:23" hidden="1">
      <c r="A4997" s="3" t="str">
        <f t="shared" si="77"/>
        <v>Período 1</v>
      </c>
      <c r="B4997">
        <v>16125</v>
      </c>
      <c r="C4997" t="s">
        <v>2300</v>
      </c>
      <c r="D4997" t="s">
        <v>2897</v>
      </c>
      <c r="E4997" s="3" t="str">
        <f>IF(LEN(Base_Periodo1[[#This Row],[CLASS]])&gt;=7,LEFT(Base_Periodo1[[#This Row],[CLASS]],7),"")</f>
        <v>2.4.1.1</v>
      </c>
      <c r="F4997" s="3" t="str">
        <f>VLOOKUP(Base_Periodo1[[#This Row],[Aux]],Base_Contas_Balanco[#All],2,FALSE)</f>
        <v>Capital Social Realizado</v>
      </c>
      <c r="G4997" s="1"/>
      <c r="H4997" s="225">
        <v>14748.1</v>
      </c>
      <c r="I4997" s="225">
        <v>0</v>
      </c>
      <c r="J4997" s="225">
        <v>0</v>
      </c>
      <c r="K4997" s="225">
        <v>14748.1</v>
      </c>
      <c r="L49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14748.1</v>
      </c>
      <c r="M4997" s="225">
        <f>ROUND(IF(AND(Base_Periodo1[[#This Row],[Tipo_Linha]]="-",Base_Periodo1[[#This Row],[TIPOSALDO]]="D"),Base_Periodo1[[#This Row],[SALDO_ATUAL]]*-1,Base_Periodo1[[#This Row],[SALDO_ATUAL]]),4)</f>
        <v>14748.1</v>
      </c>
      <c r="N4997" t="s">
        <v>116</v>
      </c>
      <c r="O4997" t="s">
        <v>459</v>
      </c>
      <c r="P4997" t="s">
        <v>459</v>
      </c>
      <c r="Q4997">
        <v>6</v>
      </c>
      <c r="R4997" s="225">
        <f>Base_Periodo1[[#This Row],[CREDITOS]]-Base_Periodo1[[#This Row],[DEBITOS]]</f>
        <v>0</v>
      </c>
      <c r="S4997" s="3" t="str">
        <f>IF(ISERROR(VLOOKUP(Base_Periodo1[[#This Row],[CONTA]],BaseContasDRE[#All],4,FALSE)),"Fora do DRE",VLOOKUP(Base_Periodo1[[#This Row],[CONTA]],BaseContasDRE[#All],4,FALSE))</f>
        <v>Fora do DRE</v>
      </c>
      <c r="T4997" s="3" t="str">
        <f>IF(ISERROR(VLOOKUP(Base_Periodo1[[#This Row],[CONTA]],BaseContasDRE[#All],5,FALSE)),"Fora do DRE",VLOOKUP(Base_Periodo1[[#This Row],[CONTA]],BaseContasDRE[#All],6,FALSE))</f>
        <v>Fora do DRE</v>
      </c>
      <c r="U4997" s="3" t="str">
        <f>IF(ISERROR(VLOOKUP(Base_Periodo1[[#This Row],[CONTA]],BaseContasDRE[#All],7,FALSE)),"Fora do DRE",VLOOKUP(Base_Periodo1[[#This Row],[CONTA]],BaseContasDRE[#All],7,FALSE))</f>
        <v>Fora do DRE</v>
      </c>
      <c r="V4997" s="3" t="str">
        <f>IF(Base_Periodo1[[#This Row],[Tipo_Linha]]="Fora do DRE","Fora do DRE","( "&amp;Base_Periodo1[[#This Row],[Tipo_Linha]]&amp;" ) "&amp;Base_Periodo1[[#This Row],[Filtro]])</f>
        <v>Fora do DRE</v>
      </c>
      <c r="W4997" s="3" t="str">
        <f>LEFT(Base_Periodo1[[#This Row],[CLASS]],3)</f>
        <v>2.4</v>
      </c>
    </row>
    <row r="4998" spans="1:23" hidden="1">
      <c r="A4998" s="3" t="str">
        <f t="shared" ref="A4998:A5061" si="78">"Período 1"</f>
        <v>Período 1</v>
      </c>
      <c r="B4998">
        <v>53958</v>
      </c>
      <c r="C4998" t="s">
        <v>2300</v>
      </c>
      <c r="D4998" t="s">
        <v>5096</v>
      </c>
      <c r="E4998" s="3" t="str">
        <f>IF(LEN(Base_Periodo1[[#This Row],[CLASS]])&gt;=7,LEFT(Base_Periodo1[[#This Row],[CLASS]],7),"")</f>
        <v>2.4.1.1</v>
      </c>
      <c r="F4998" s="3" t="str">
        <f>VLOOKUP(Base_Periodo1[[#This Row],[Aux]],Base_Contas_Balanco[#All],2,FALSE)</f>
        <v>Capital Social Realizado</v>
      </c>
      <c r="G4998" s="1"/>
      <c r="H4998" s="225">
        <v>50</v>
      </c>
      <c r="I4998" s="225">
        <v>0</v>
      </c>
      <c r="J4998" s="225">
        <v>0</v>
      </c>
      <c r="K4998" s="225">
        <v>50</v>
      </c>
      <c r="L49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4998" s="225">
        <f>ROUND(IF(AND(Base_Periodo1[[#This Row],[Tipo_Linha]]="-",Base_Periodo1[[#This Row],[TIPOSALDO]]="D"),Base_Periodo1[[#This Row],[SALDO_ATUAL]]*-1,Base_Periodo1[[#This Row],[SALDO_ATUAL]]),4)</f>
        <v>50</v>
      </c>
      <c r="N4998" t="s">
        <v>116</v>
      </c>
      <c r="O4998" t="s">
        <v>459</v>
      </c>
      <c r="P4998" t="s">
        <v>459</v>
      </c>
      <c r="Q4998">
        <v>6</v>
      </c>
      <c r="R4998" s="225">
        <f>Base_Periodo1[[#This Row],[CREDITOS]]-Base_Periodo1[[#This Row],[DEBITOS]]</f>
        <v>0</v>
      </c>
      <c r="S4998" s="3" t="str">
        <f>IF(ISERROR(VLOOKUP(Base_Periodo1[[#This Row],[CONTA]],BaseContasDRE[#All],4,FALSE)),"Fora do DRE",VLOOKUP(Base_Periodo1[[#This Row],[CONTA]],BaseContasDRE[#All],4,FALSE))</f>
        <v>Fora do DRE</v>
      </c>
      <c r="T4998" s="3" t="str">
        <f>IF(ISERROR(VLOOKUP(Base_Periodo1[[#This Row],[CONTA]],BaseContasDRE[#All],5,FALSE)),"Fora do DRE",VLOOKUP(Base_Periodo1[[#This Row],[CONTA]],BaseContasDRE[#All],6,FALSE))</f>
        <v>Fora do DRE</v>
      </c>
      <c r="U4998" s="3" t="str">
        <f>IF(ISERROR(VLOOKUP(Base_Periodo1[[#This Row],[CONTA]],BaseContasDRE[#All],7,FALSE)),"Fora do DRE",VLOOKUP(Base_Periodo1[[#This Row],[CONTA]],BaseContasDRE[#All],7,FALSE))</f>
        <v>Fora do DRE</v>
      </c>
      <c r="V4998" s="3" t="str">
        <f>IF(Base_Periodo1[[#This Row],[Tipo_Linha]]="Fora do DRE","Fora do DRE","( "&amp;Base_Periodo1[[#This Row],[Tipo_Linha]]&amp;" ) "&amp;Base_Periodo1[[#This Row],[Filtro]])</f>
        <v>Fora do DRE</v>
      </c>
      <c r="W4998" s="3" t="str">
        <f>LEFT(Base_Periodo1[[#This Row],[CLASS]],3)</f>
        <v>2.4</v>
      </c>
    </row>
    <row r="4999" spans="1:23" hidden="1">
      <c r="A4999" s="3" t="str">
        <f t="shared" si="78"/>
        <v>Período 1</v>
      </c>
      <c r="B4999">
        <v>47141</v>
      </c>
      <c r="C4999" t="s">
        <v>2300</v>
      </c>
      <c r="D4999" t="s">
        <v>2898</v>
      </c>
      <c r="E4999" s="3" t="str">
        <f>IF(LEN(Base_Periodo1[[#This Row],[CLASS]])&gt;=7,LEFT(Base_Periodo1[[#This Row],[CLASS]],7),"")</f>
        <v>2.4.1.1</v>
      </c>
      <c r="F4999" s="3" t="str">
        <f>VLOOKUP(Base_Periodo1[[#This Row],[Aux]],Base_Contas_Balanco[#All],2,FALSE)</f>
        <v>Capital Social Realizado</v>
      </c>
      <c r="G4999" s="1"/>
      <c r="H4999" s="225">
        <v>2828.06</v>
      </c>
      <c r="I4999" s="225">
        <v>0</v>
      </c>
      <c r="J4999" s="225">
        <v>0</v>
      </c>
      <c r="K4999" s="225">
        <v>2828.06</v>
      </c>
      <c r="L49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2828.06</v>
      </c>
      <c r="M4999" s="225">
        <f>ROUND(IF(AND(Base_Periodo1[[#This Row],[Tipo_Linha]]="-",Base_Periodo1[[#This Row],[TIPOSALDO]]="D"),Base_Periodo1[[#This Row],[SALDO_ATUAL]]*-1,Base_Periodo1[[#This Row],[SALDO_ATUAL]]),4)</f>
        <v>2828.06</v>
      </c>
      <c r="N4999" t="s">
        <v>116</v>
      </c>
      <c r="O4999" t="s">
        <v>459</v>
      </c>
      <c r="P4999" t="s">
        <v>459</v>
      </c>
      <c r="Q4999">
        <v>6</v>
      </c>
      <c r="R4999" s="225">
        <f>Base_Periodo1[[#This Row],[CREDITOS]]-Base_Periodo1[[#This Row],[DEBITOS]]</f>
        <v>0</v>
      </c>
      <c r="S4999" s="3" t="str">
        <f>IF(ISERROR(VLOOKUP(Base_Periodo1[[#This Row],[CONTA]],BaseContasDRE[#All],4,FALSE)),"Fora do DRE",VLOOKUP(Base_Periodo1[[#This Row],[CONTA]],BaseContasDRE[#All],4,FALSE))</f>
        <v>Fora do DRE</v>
      </c>
      <c r="T4999" s="3" t="str">
        <f>IF(ISERROR(VLOOKUP(Base_Periodo1[[#This Row],[CONTA]],BaseContasDRE[#All],5,FALSE)),"Fora do DRE",VLOOKUP(Base_Periodo1[[#This Row],[CONTA]],BaseContasDRE[#All],6,FALSE))</f>
        <v>Fora do DRE</v>
      </c>
      <c r="U4999" s="3" t="str">
        <f>IF(ISERROR(VLOOKUP(Base_Periodo1[[#This Row],[CONTA]],BaseContasDRE[#All],7,FALSE)),"Fora do DRE",VLOOKUP(Base_Periodo1[[#This Row],[CONTA]],BaseContasDRE[#All],7,FALSE))</f>
        <v>Fora do DRE</v>
      </c>
      <c r="V4999" s="3" t="str">
        <f>IF(Base_Periodo1[[#This Row],[Tipo_Linha]]="Fora do DRE","Fora do DRE","( "&amp;Base_Periodo1[[#This Row],[Tipo_Linha]]&amp;" ) "&amp;Base_Periodo1[[#This Row],[Filtro]])</f>
        <v>Fora do DRE</v>
      </c>
      <c r="W4999" s="3" t="str">
        <f>LEFT(Base_Periodo1[[#This Row],[CLASS]],3)</f>
        <v>2.4</v>
      </c>
    </row>
    <row r="5000" spans="1:23" hidden="1">
      <c r="A5000" s="3" t="str">
        <f t="shared" si="78"/>
        <v>Período 1</v>
      </c>
      <c r="B5000">
        <v>16390</v>
      </c>
      <c r="C5000" t="s">
        <v>2300</v>
      </c>
      <c r="D5000" t="s">
        <v>2899</v>
      </c>
      <c r="E5000" s="3" t="str">
        <f>IF(LEN(Base_Periodo1[[#This Row],[CLASS]])&gt;=7,LEFT(Base_Periodo1[[#This Row],[CLASS]],7),"")</f>
        <v>2.4.1.1</v>
      </c>
      <c r="F5000" s="3" t="str">
        <f>VLOOKUP(Base_Periodo1[[#This Row],[Aux]],Base_Contas_Balanco[#All],2,FALSE)</f>
        <v>Capital Social Realizado</v>
      </c>
      <c r="G5000" s="1">
        <v>42524</v>
      </c>
      <c r="H5000" s="225">
        <v>240</v>
      </c>
      <c r="I5000" s="225">
        <v>0</v>
      </c>
      <c r="J5000" s="225">
        <v>0</v>
      </c>
      <c r="K5000" s="225">
        <v>240</v>
      </c>
      <c r="L50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000" s="225">
        <f>ROUND(IF(AND(Base_Periodo1[[#This Row],[Tipo_Linha]]="-",Base_Periodo1[[#This Row],[TIPOSALDO]]="D"),Base_Periodo1[[#This Row],[SALDO_ATUAL]]*-1,Base_Periodo1[[#This Row],[SALDO_ATUAL]]),4)</f>
        <v>240</v>
      </c>
      <c r="N5000" t="s">
        <v>116</v>
      </c>
      <c r="O5000" t="s">
        <v>459</v>
      </c>
      <c r="P5000" t="s">
        <v>459</v>
      </c>
      <c r="Q5000">
        <v>6</v>
      </c>
      <c r="R5000" s="225">
        <f>Base_Periodo1[[#This Row],[CREDITOS]]-Base_Periodo1[[#This Row],[DEBITOS]]</f>
        <v>0</v>
      </c>
      <c r="S5000" s="3" t="str">
        <f>IF(ISERROR(VLOOKUP(Base_Periodo1[[#This Row],[CONTA]],BaseContasDRE[#All],4,FALSE)),"Fora do DRE",VLOOKUP(Base_Periodo1[[#This Row],[CONTA]],BaseContasDRE[#All],4,FALSE))</f>
        <v>Fora do DRE</v>
      </c>
      <c r="T5000" s="3" t="str">
        <f>IF(ISERROR(VLOOKUP(Base_Periodo1[[#This Row],[CONTA]],BaseContasDRE[#All],5,FALSE)),"Fora do DRE",VLOOKUP(Base_Periodo1[[#This Row],[CONTA]],BaseContasDRE[#All],6,FALSE))</f>
        <v>Fora do DRE</v>
      </c>
      <c r="U5000" s="3" t="str">
        <f>IF(ISERROR(VLOOKUP(Base_Periodo1[[#This Row],[CONTA]],BaseContasDRE[#All],7,FALSE)),"Fora do DRE",VLOOKUP(Base_Periodo1[[#This Row],[CONTA]],BaseContasDRE[#All],7,FALSE))</f>
        <v>Fora do DRE</v>
      </c>
      <c r="V5000" s="3" t="str">
        <f>IF(Base_Periodo1[[#This Row],[Tipo_Linha]]="Fora do DRE","Fora do DRE","( "&amp;Base_Periodo1[[#This Row],[Tipo_Linha]]&amp;" ) "&amp;Base_Periodo1[[#This Row],[Filtro]])</f>
        <v>Fora do DRE</v>
      </c>
      <c r="W5000" s="3" t="str">
        <f>LEFT(Base_Periodo1[[#This Row],[CLASS]],3)</f>
        <v>2.4</v>
      </c>
    </row>
    <row r="5001" spans="1:23" hidden="1">
      <c r="A5001" s="3" t="str">
        <f t="shared" si="78"/>
        <v>Período 1</v>
      </c>
      <c r="B5001">
        <v>16349</v>
      </c>
      <c r="C5001" t="s">
        <v>2300</v>
      </c>
      <c r="D5001" t="s">
        <v>2900</v>
      </c>
      <c r="E5001" s="3" t="str">
        <f>IF(LEN(Base_Periodo1[[#This Row],[CLASS]])&gt;=7,LEFT(Base_Periodo1[[#This Row],[CLASS]],7),"")</f>
        <v>2.4.1.1</v>
      </c>
      <c r="F5001" s="3" t="str">
        <f>VLOOKUP(Base_Periodo1[[#This Row],[Aux]],Base_Contas_Balanco[#All],2,FALSE)</f>
        <v>Capital Social Realizado</v>
      </c>
      <c r="G5001" s="1"/>
      <c r="H5001" s="225">
        <v>1658.54</v>
      </c>
      <c r="I5001" s="225">
        <v>0</v>
      </c>
      <c r="J5001" s="225">
        <v>0</v>
      </c>
      <c r="K5001" s="225">
        <v>1658.54</v>
      </c>
      <c r="L50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1658.54</v>
      </c>
      <c r="M5001" s="225">
        <f>ROUND(IF(AND(Base_Periodo1[[#This Row],[Tipo_Linha]]="-",Base_Periodo1[[#This Row],[TIPOSALDO]]="D"),Base_Periodo1[[#This Row],[SALDO_ATUAL]]*-1,Base_Periodo1[[#This Row],[SALDO_ATUAL]]),4)</f>
        <v>1658.54</v>
      </c>
      <c r="N5001" t="s">
        <v>116</v>
      </c>
      <c r="O5001" t="s">
        <v>459</v>
      </c>
      <c r="P5001" t="s">
        <v>459</v>
      </c>
      <c r="Q5001">
        <v>6</v>
      </c>
      <c r="R5001" s="225">
        <f>Base_Periodo1[[#This Row],[CREDITOS]]-Base_Periodo1[[#This Row],[DEBITOS]]</f>
        <v>0</v>
      </c>
      <c r="S5001" s="3" t="str">
        <f>IF(ISERROR(VLOOKUP(Base_Periodo1[[#This Row],[CONTA]],BaseContasDRE[#All],4,FALSE)),"Fora do DRE",VLOOKUP(Base_Periodo1[[#This Row],[CONTA]],BaseContasDRE[#All],4,FALSE))</f>
        <v>Fora do DRE</v>
      </c>
      <c r="T5001" s="3" t="str">
        <f>IF(ISERROR(VLOOKUP(Base_Periodo1[[#This Row],[CONTA]],BaseContasDRE[#All],5,FALSE)),"Fora do DRE",VLOOKUP(Base_Periodo1[[#This Row],[CONTA]],BaseContasDRE[#All],6,FALSE))</f>
        <v>Fora do DRE</v>
      </c>
      <c r="U5001" s="3" t="str">
        <f>IF(ISERROR(VLOOKUP(Base_Periodo1[[#This Row],[CONTA]],BaseContasDRE[#All],7,FALSE)),"Fora do DRE",VLOOKUP(Base_Periodo1[[#This Row],[CONTA]],BaseContasDRE[#All],7,FALSE))</f>
        <v>Fora do DRE</v>
      </c>
      <c r="V5001" s="3" t="str">
        <f>IF(Base_Periodo1[[#This Row],[Tipo_Linha]]="Fora do DRE","Fora do DRE","( "&amp;Base_Periodo1[[#This Row],[Tipo_Linha]]&amp;" ) "&amp;Base_Periodo1[[#This Row],[Filtro]])</f>
        <v>Fora do DRE</v>
      </c>
      <c r="W5001" s="3" t="str">
        <f>LEFT(Base_Periodo1[[#This Row],[CLASS]],3)</f>
        <v>2.4</v>
      </c>
    </row>
    <row r="5002" spans="1:23" hidden="1">
      <c r="A5002" s="3" t="str">
        <f t="shared" si="78"/>
        <v>Período 1</v>
      </c>
      <c r="B5002">
        <v>40793</v>
      </c>
      <c r="C5002" t="s">
        <v>2300</v>
      </c>
      <c r="D5002" t="s">
        <v>2901</v>
      </c>
      <c r="E5002" s="3" t="str">
        <f>IF(LEN(Base_Periodo1[[#This Row],[CLASS]])&gt;=7,LEFT(Base_Periodo1[[#This Row],[CLASS]],7),"")</f>
        <v>2.4.1.1</v>
      </c>
      <c r="F5002" s="3" t="str">
        <f>VLOOKUP(Base_Periodo1[[#This Row],[Aux]],Base_Contas_Balanco[#All],2,FALSE)</f>
        <v>Capital Social Realizado</v>
      </c>
      <c r="G5002" s="1"/>
      <c r="H5002" s="225">
        <v>50</v>
      </c>
      <c r="I5002" s="225">
        <v>0</v>
      </c>
      <c r="J5002" s="225">
        <v>0</v>
      </c>
      <c r="K5002" s="225">
        <v>50</v>
      </c>
      <c r="L50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02" s="225">
        <f>ROUND(IF(AND(Base_Periodo1[[#This Row],[Tipo_Linha]]="-",Base_Periodo1[[#This Row],[TIPOSALDO]]="D"),Base_Periodo1[[#This Row],[SALDO_ATUAL]]*-1,Base_Periodo1[[#This Row],[SALDO_ATUAL]]),4)</f>
        <v>50</v>
      </c>
      <c r="N5002" t="s">
        <v>116</v>
      </c>
      <c r="O5002" t="s">
        <v>459</v>
      </c>
      <c r="P5002" t="s">
        <v>459</v>
      </c>
      <c r="Q5002">
        <v>6</v>
      </c>
      <c r="R5002" s="225">
        <f>Base_Periodo1[[#This Row],[CREDITOS]]-Base_Periodo1[[#This Row],[DEBITOS]]</f>
        <v>0</v>
      </c>
      <c r="S5002" s="3" t="str">
        <f>IF(ISERROR(VLOOKUP(Base_Periodo1[[#This Row],[CONTA]],BaseContasDRE[#All],4,FALSE)),"Fora do DRE",VLOOKUP(Base_Periodo1[[#This Row],[CONTA]],BaseContasDRE[#All],4,FALSE))</f>
        <v>Fora do DRE</v>
      </c>
      <c r="T5002" s="3" t="str">
        <f>IF(ISERROR(VLOOKUP(Base_Periodo1[[#This Row],[CONTA]],BaseContasDRE[#All],5,FALSE)),"Fora do DRE",VLOOKUP(Base_Periodo1[[#This Row],[CONTA]],BaseContasDRE[#All],6,FALSE))</f>
        <v>Fora do DRE</v>
      </c>
      <c r="U5002" s="3" t="str">
        <f>IF(ISERROR(VLOOKUP(Base_Periodo1[[#This Row],[CONTA]],BaseContasDRE[#All],7,FALSE)),"Fora do DRE",VLOOKUP(Base_Periodo1[[#This Row],[CONTA]],BaseContasDRE[#All],7,FALSE))</f>
        <v>Fora do DRE</v>
      </c>
      <c r="V5002" s="3" t="str">
        <f>IF(Base_Periodo1[[#This Row],[Tipo_Linha]]="Fora do DRE","Fora do DRE","( "&amp;Base_Periodo1[[#This Row],[Tipo_Linha]]&amp;" ) "&amp;Base_Periodo1[[#This Row],[Filtro]])</f>
        <v>Fora do DRE</v>
      </c>
      <c r="W5002" s="3" t="str">
        <f>LEFT(Base_Periodo1[[#This Row],[CLASS]],3)</f>
        <v>2.4</v>
      </c>
    </row>
    <row r="5003" spans="1:23" hidden="1">
      <c r="A5003" s="3" t="str">
        <f t="shared" si="78"/>
        <v>Período 1</v>
      </c>
      <c r="B5003">
        <v>22597</v>
      </c>
      <c r="C5003" t="s">
        <v>2300</v>
      </c>
      <c r="D5003" t="s">
        <v>2902</v>
      </c>
      <c r="E5003" s="3" t="str">
        <f>IF(LEN(Base_Periodo1[[#This Row],[CLASS]])&gt;=7,LEFT(Base_Periodo1[[#This Row],[CLASS]],7),"")</f>
        <v>2.4.1.1</v>
      </c>
      <c r="F5003" s="3" t="str">
        <f>VLOOKUP(Base_Periodo1[[#This Row],[Aux]],Base_Contas_Balanco[#All],2,FALSE)</f>
        <v>Capital Social Realizado</v>
      </c>
      <c r="G5003" s="1"/>
      <c r="H5003" s="225">
        <v>140.57</v>
      </c>
      <c r="I5003" s="225">
        <v>0</v>
      </c>
      <c r="J5003" s="225">
        <v>0</v>
      </c>
      <c r="K5003" s="225">
        <v>140.57</v>
      </c>
      <c r="L50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140.57</v>
      </c>
      <c r="M5003" s="225">
        <f>ROUND(IF(AND(Base_Periodo1[[#This Row],[Tipo_Linha]]="-",Base_Periodo1[[#This Row],[TIPOSALDO]]="D"),Base_Periodo1[[#This Row],[SALDO_ATUAL]]*-1,Base_Periodo1[[#This Row],[SALDO_ATUAL]]),4)</f>
        <v>140.57</v>
      </c>
      <c r="N5003" t="s">
        <v>116</v>
      </c>
      <c r="O5003" t="s">
        <v>459</v>
      </c>
      <c r="P5003" t="s">
        <v>459</v>
      </c>
      <c r="Q5003">
        <v>6</v>
      </c>
      <c r="R5003" s="225">
        <f>Base_Periodo1[[#This Row],[CREDITOS]]-Base_Periodo1[[#This Row],[DEBITOS]]</f>
        <v>0</v>
      </c>
      <c r="S5003" s="3" t="str">
        <f>IF(ISERROR(VLOOKUP(Base_Periodo1[[#This Row],[CONTA]],BaseContasDRE[#All],4,FALSE)),"Fora do DRE",VLOOKUP(Base_Periodo1[[#This Row],[CONTA]],BaseContasDRE[#All],4,FALSE))</f>
        <v>Fora do DRE</v>
      </c>
      <c r="T5003" s="3" t="str">
        <f>IF(ISERROR(VLOOKUP(Base_Periodo1[[#This Row],[CONTA]],BaseContasDRE[#All],5,FALSE)),"Fora do DRE",VLOOKUP(Base_Periodo1[[#This Row],[CONTA]],BaseContasDRE[#All],6,FALSE))</f>
        <v>Fora do DRE</v>
      </c>
      <c r="U5003" s="3" t="str">
        <f>IF(ISERROR(VLOOKUP(Base_Periodo1[[#This Row],[CONTA]],BaseContasDRE[#All],7,FALSE)),"Fora do DRE",VLOOKUP(Base_Periodo1[[#This Row],[CONTA]],BaseContasDRE[#All],7,FALSE))</f>
        <v>Fora do DRE</v>
      </c>
      <c r="V5003" s="3" t="str">
        <f>IF(Base_Periodo1[[#This Row],[Tipo_Linha]]="Fora do DRE","Fora do DRE","( "&amp;Base_Periodo1[[#This Row],[Tipo_Linha]]&amp;" ) "&amp;Base_Periodo1[[#This Row],[Filtro]])</f>
        <v>Fora do DRE</v>
      </c>
      <c r="W5003" s="3" t="str">
        <f>LEFT(Base_Periodo1[[#This Row],[CLASS]],3)</f>
        <v>2.4</v>
      </c>
    </row>
    <row r="5004" spans="1:23" hidden="1">
      <c r="A5004" s="3" t="str">
        <f t="shared" si="78"/>
        <v>Período 1</v>
      </c>
      <c r="B5004">
        <v>19357</v>
      </c>
      <c r="C5004" t="s">
        <v>2300</v>
      </c>
      <c r="D5004" t="s">
        <v>2903</v>
      </c>
      <c r="E5004" s="3" t="str">
        <f>IF(LEN(Base_Periodo1[[#This Row],[CLASS]])&gt;=7,LEFT(Base_Periodo1[[#This Row],[CLASS]],7),"")</f>
        <v>2.4.1.1</v>
      </c>
      <c r="F5004" s="3" t="str">
        <f>VLOOKUP(Base_Periodo1[[#This Row],[Aux]],Base_Contas_Balanco[#All],2,FALSE)</f>
        <v>Capital Social Realizado</v>
      </c>
      <c r="G5004" s="1"/>
      <c r="H5004" s="225">
        <v>947.64</v>
      </c>
      <c r="I5004" s="225">
        <v>0</v>
      </c>
      <c r="J5004" s="225">
        <v>0</v>
      </c>
      <c r="K5004" s="225">
        <v>947.64</v>
      </c>
      <c r="L50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947.64</v>
      </c>
      <c r="M5004" s="225">
        <f>ROUND(IF(AND(Base_Periodo1[[#This Row],[Tipo_Linha]]="-",Base_Periodo1[[#This Row],[TIPOSALDO]]="D"),Base_Periodo1[[#This Row],[SALDO_ATUAL]]*-1,Base_Periodo1[[#This Row],[SALDO_ATUAL]]),4)</f>
        <v>947.64</v>
      </c>
      <c r="N5004" t="s">
        <v>116</v>
      </c>
      <c r="O5004" t="s">
        <v>459</v>
      </c>
      <c r="P5004" t="s">
        <v>459</v>
      </c>
      <c r="Q5004">
        <v>6</v>
      </c>
      <c r="R5004" s="225">
        <f>Base_Periodo1[[#This Row],[CREDITOS]]-Base_Periodo1[[#This Row],[DEBITOS]]</f>
        <v>0</v>
      </c>
      <c r="S5004" s="3" t="str">
        <f>IF(ISERROR(VLOOKUP(Base_Periodo1[[#This Row],[CONTA]],BaseContasDRE[#All],4,FALSE)),"Fora do DRE",VLOOKUP(Base_Periodo1[[#This Row],[CONTA]],BaseContasDRE[#All],4,FALSE))</f>
        <v>Fora do DRE</v>
      </c>
      <c r="T5004" s="3" t="str">
        <f>IF(ISERROR(VLOOKUP(Base_Periodo1[[#This Row],[CONTA]],BaseContasDRE[#All],5,FALSE)),"Fora do DRE",VLOOKUP(Base_Periodo1[[#This Row],[CONTA]],BaseContasDRE[#All],6,FALSE))</f>
        <v>Fora do DRE</v>
      </c>
      <c r="U5004" s="3" t="str">
        <f>IF(ISERROR(VLOOKUP(Base_Periodo1[[#This Row],[CONTA]],BaseContasDRE[#All],7,FALSE)),"Fora do DRE",VLOOKUP(Base_Periodo1[[#This Row],[CONTA]],BaseContasDRE[#All],7,FALSE))</f>
        <v>Fora do DRE</v>
      </c>
      <c r="V5004" s="3" t="str">
        <f>IF(Base_Periodo1[[#This Row],[Tipo_Linha]]="Fora do DRE","Fora do DRE","( "&amp;Base_Periodo1[[#This Row],[Tipo_Linha]]&amp;" ) "&amp;Base_Periodo1[[#This Row],[Filtro]])</f>
        <v>Fora do DRE</v>
      </c>
      <c r="W5004" s="3" t="str">
        <f>LEFT(Base_Periodo1[[#This Row],[CLASS]],3)</f>
        <v>2.4</v>
      </c>
    </row>
    <row r="5005" spans="1:23" hidden="1">
      <c r="A5005" s="3" t="str">
        <f t="shared" si="78"/>
        <v>Período 1</v>
      </c>
      <c r="B5005">
        <v>16181</v>
      </c>
      <c r="C5005" t="s">
        <v>2300</v>
      </c>
      <c r="D5005" t="s">
        <v>2904</v>
      </c>
      <c r="E5005" s="3" t="str">
        <f>IF(LEN(Base_Periodo1[[#This Row],[CLASS]])&gt;=7,LEFT(Base_Periodo1[[#This Row],[CLASS]],7),"")</f>
        <v>2.4.1.1</v>
      </c>
      <c r="F5005" s="3" t="str">
        <f>VLOOKUP(Base_Periodo1[[#This Row],[Aux]],Base_Contas_Balanco[#All],2,FALSE)</f>
        <v>Capital Social Realizado</v>
      </c>
      <c r="G5005" s="1"/>
      <c r="H5005" s="225">
        <v>584.63000000000011</v>
      </c>
      <c r="I5005" s="225">
        <v>0</v>
      </c>
      <c r="J5005" s="225">
        <v>0</v>
      </c>
      <c r="K5005" s="225">
        <v>584.63000000000011</v>
      </c>
      <c r="L50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584.63</v>
      </c>
      <c r="M5005" s="225">
        <f>ROUND(IF(AND(Base_Periodo1[[#This Row],[Tipo_Linha]]="-",Base_Periodo1[[#This Row],[TIPOSALDO]]="D"),Base_Periodo1[[#This Row],[SALDO_ATUAL]]*-1,Base_Periodo1[[#This Row],[SALDO_ATUAL]]),4)</f>
        <v>584.63</v>
      </c>
      <c r="N5005" t="s">
        <v>116</v>
      </c>
      <c r="O5005" t="s">
        <v>459</v>
      </c>
      <c r="P5005" t="s">
        <v>459</v>
      </c>
      <c r="Q5005">
        <v>6</v>
      </c>
      <c r="R5005" s="225">
        <f>Base_Periodo1[[#This Row],[CREDITOS]]-Base_Periodo1[[#This Row],[DEBITOS]]</f>
        <v>0</v>
      </c>
      <c r="S5005" s="3" t="str">
        <f>IF(ISERROR(VLOOKUP(Base_Periodo1[[#This Row],[CONTA]],BaseContasDRE[#All],4,FALSE)),"Fora do DRE",VLOOKUP(Base_Periodo1[[#This Row],[CONTA]],BaseContasDRE[#All],4,FALSE))</f>
        <v>Fora do DRE</v>
      </c>
      <c r="T5005" s="3" t="str">
        <f>IF(ISERROR(VLOOKUP(Base_Periodo1[[#This Row],[CONTA]],BaseContasDRE[#All],5,FALSE)),"Fora do DRE",VLOOKUP(Base_Periodo1[[#This Row],[CONTA]],BaseContasDRE[#All],6,FALSE))</f>
        <v>Fora do DRE</v>
      </c>
      <c r="U5005" s="3" t="str">
        <f>IF(ISERROR(VLOOKUP(Base_Periodo1[[#This Row],[CONTA]],BaseContasDRE[#All],7,FALSE)),"Fora do DRE",VLOOKUP(Base_Periodo1[[#This Row],[CONTA]],BaseContasDRE[#All],7,FALSE))</f>
        <v>Fora do DRE</v>
      </c>
      <c r="V5005" s="3" t="str">
        <f>IF(Base_Periodo1[[#This Row],[Tipo_Linha]]="Fora do DRE","Fora do DRE","( "&amp;Base_Periodo1[[#This Row],[Tipo_Linha]]&amp;" ) "&amp;Base_Periodo1[[#This Row],[Filtro]])</f>
        <v>Fora do DRE</v>
      </c>
      <c r="W5005" s="3" t="str">
        <f>LEFT(Base_Periodo1[[#This Row],[CLASS]],3)</f>
        <v>2.4</v>
      </c>
    </row>
    <row r="5006" spans="1:23" hidden="1">
      <c r="A5006" s="3" t="str">
        <f t="shared" si="78"/>
        <v>Período 1</v>
      </c>
      <c r="B5006">
        <v>52563</v>
      </c>
      <c r="C5006" t="s">
        <v>2300</v>
      </c>
      <c r="D5006" t="s">
        <v>4788</v>
      </c>
      <c r="E5006" s="3" t="str">
        <f>IF(LEN(Base_Periodo1[[#This Row],[CLASS]])&gt;=7,LEFT(Base_Periodo1[[#This Row],[CLASS]],7),"")</f>
        <v>2.4.1.1</v>
      </c>
      <c r="F5006" s="3" t="str">
        <f>VLOOKUP(Base_Periodo1[[#This Row],[Aux]],Base_Contas_Balanco[#All],2,FALSE)</f>
        <v>Capital Social Realizado</v>
      </c>
      <c r="G5006" s="1"/>
      <c r="H5006" s="225">
        <v>50</v>
      </c>
      <c r="I5006" s="225">
        <v>0</v>
      </c>
      <c r="J5006" s="225">
        <v>0</v>
      </c>
      <c r="K5006" s="225">
        <v>50</v>
      </c>
      <c r="L50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06" s="225">
        <f>ROUND(IF(AND(Base_Periodo1[[#This Row],[Tipo_Linha]]="-",Base_Periodo1[[#This Row],[TIPOSALDO]]="D"),Base_Periodo1[[#This Row],[SALDO_ATUAL]]*-1,Base_Periodo1[[#This Row],[SALDO_ATUAL]]),4)</f>
        <v>50</v>
      </c>
      <c r="N5006" t="s">
        <v>116</v>
      </c>
      <c r="O5006" t="s">
        <v>459</v>
      </c>
      <c r="P5006" t="s">
        <v>459</v>
      </c>
      <c r="Q5006">
        <v>6</v>
      </c>
      <c r="R5006" s="225">
        <f>Base_Periodo1[[#This Row],[CREDITOS]]-Base_Periodo1[[#This Row],[DEBITOS]]</f>
        <v>0</v>
      </c>
      <c r="S5006" s="3" t="str">
        <f>IF(ISERROR(VLOOKUP(Base_Periodo1[[#This Row],[CONTA]],BaseContasDRE[#All],4,FALSE)),"Fora do DRE",VLOOKUP(Base_Periodo1[[#This Row],[CONTA]],BaseContasDRE[#All],4,FALSE))</f>
        <v>Fora do DRE</v>
      </c>
      <c r="T5006" s="3" t="str">
        <f>IF(ISERROR(VLOOKUP(Base_Periodo1[[#This Row],[CONTA]],BaseContasDRE[#All],5,FALSE)),"Fora do DRE",VLOOKUP(Base_Periodo1[[#This Row],[CONTA]],BaseContasDRE[#All],6,FALSE))</f>
        <v>Fora do DRE</v>
      </c>
      <c r="U5006" s="3" t="str">
        <f>IF(ISERROR(VLOOKUP(Base_Periodo1[[#This Row],[CONTA]],BaseContasDRE[#All],7,FALSE)),"Fora do DRE",VLOOKUP(Base_Periodo1[[#This Row],[CONTA]],BaseContasDRE[#All],7,FALSE))</f>
        <v>Fora do DRE</v>
      </c>
      <c r="V5006" s="3" t="str">
        <f>IF(Base_Periodo1[[#This Row],[Tipo_Linha]]="Fora do DRE","Fora do DRE","( "&amp;Base_Periodo1[[#This Row],[Tipo_Linha]]&amp;" ) "&amp;Base_Periodo1[[#This Row],[Filtro]])</f>
        <v>Fora do DRE</v>
      </c>
      <c r="W5006" s="3" t="str">
        <f>LEFT(Base_Periodo1[[#This Row],[CLASS]],3)</f>
        <v>2.4</v>
      </c>
    </row>
    <row r="5007" spans="1:23" hidden="1">
      <c r="A5007" s="3" t="str">
        <f t="shared" si="78"/>
        <v>Período 1</v>
      </c>
      <c r="B5007">
        <v>16052</v>
      </c>
      <c r="C5007" t="s">
        <v>2300</v>
      </c>
      <c r="D5007" t="s">
        <v>2905</v>
      </c>
      <c r="E5007" s="3" t="str">
        <f>IF(LEN(Base_Periodo1[[#This Row],[CLASS]])&gt;=7,LEFT(Base_Periodo1[[#This Row],[CLASS]],7),"")</f>
        <v>2.4.1.1</v>
      </c>
      <c r="F5007" s="3" t="str">
        <f>VLOOKUP(Base_Periodo1[[#This Row],[Aux]],Base_Contas_Balanco[#All],2,FALSE)</f>
        <v>Capital Social Realizado</v>
      </c>
      <c r="G5007" s="1"/>
      <c r="H5007" s="225">
        <v>33371.550000000003</v>
      </c>
      <c r="I5007" s="225">
        <v>0</v>
      </c>
      <c r="J5007" s="225">
        <v>0</v>
      </c>
      <c r="K5007" s="225">
        <v>33371.550000000003</v>
      </c>
      <c r="L50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33371.550000000003</v>
      </c>
      <c r="M5007" s="225">
        <f>ROUND(IF(AND(Base_Periodo1[[#This Row],[Tipo_Linha]]="-",Base_Periodo1[[#This Row],[TIPOSALDO]]="D"),Base_Periodo1[[#This Row],[SALDO_ATUAL]]*-1,Base_Periodo1[[#This Row],[SALDO_ATUAL]]),4)</f>
        <v>33371.550000000003</v>
      </c>
      <c r="N5007" t="s">
        <v>116</v>
      </c>
      <c r="O5007" t="s">
        <v>459</v>
      </c>
      <c r="P5007" t="s">
        <v>459</v>
      </c>
      <c r="Q5007">
        <v>6</v>
      </c>
      <c r="R5007" s="225">
        <f>Base_Periodo1[[#This Row],[CREDITOS]]-Base_Periodo1[[#This Row],[DEBITOS]]</f>
        <v>0</v>
      </c>
      <c r="S5007" s="3" t="str">
        <f>IF(ISERROR(VLOOKUP(Base_Periodo1[[#This Row],[CONTA]],BaseContasDRE[#All],4,FALSE)),"Fora do DRE",VLOOKUP(Base_Periodo1[[#This Row],[CONTA]],BaseContasDRE[#All],4,FALSE))</f>
        <v>Fora do DRE</v>
      </c>
      <c r="T5007" s="3" t="str">
        <f>IF(ISERROR(VLOOKUP(Base_Periodo1[[#This Row],[CONTA]],BaseContasDRE[#All],5,FALSE)),"Fora do DRE",VLOOKUP(Base_Periodo1[[#This Row],[CONTA]],BaseContasDRE[#All],6,FALSE))</f>
        <v>Fora do DRE</v>
      </c>
      <c r="U5007" s="3" t="str">
        <f>IF(ISERROR(VLOOKUP(Base_Periodo1[[#This Row],[CONTA]],BaseContasDRE[#All],7,FALSE)),"Fora do DRE",VLOOKUP(Base_Periodo1[[#This Row],[CONTA]],BaseContasDRE[#All],7,FALSE))</f>
        <v>Fora do DRE</v>
      </c>
      <c r="V5007" s="3" t="str">
        <f>IF(Base_Periodo1[[#This Row],[Tipo_Linha]]="Fora do DRE","Fora do DRE","( "&amp;Base_Periodo1[[#This Row],[Tipo_Linha]]&amp;" ) "&amp;Base_Periodo1[[#This Row],[Filtro]])</f>
        <v>Fora do DRE</v>
      </c>
      <c r="W5007" s="3" t="str">
        <f>LEFT(Base_Periodo1[[#This Row],[CLASS]],3)</f>
        <v>2.4</v>
      </c>
    </row>
    <row r="5008" spans="1:23" hidden="1">
      <c r="A5008" s="3" t="str">
        <f t="shared" si="78"/>
        <v>Período 1</v>
      </c>
      <c r="B5008">
        <v>16117</v>
      </c>
      <c r="C5008" t="s">
        <v>2300</v>
      </c>
      <c r="D5008" t="s">
        <v>2906</v>
      </c>
      <c r="E5008" s="3" t="str">
        <f>IF(LEN(Base_Periodo1[[#This Row],[CLASS]])&gt;=7,LEFT(Base_Periodo1[[#This Row],[CLASS]],7),"")</f>
        <v>2.4.1.1</v>
      </c>
      <c r="F5008" s="3" t="str">
        <f>VLOOKUP(Base_Periodo1[[#This Row],[Aux]],Base_Contas_Balanco[#All],2,FALSE)</f>
        <v>Capital Social Realizado</v>
      </c>
      <c r="G5008" s="1"/>
      <c r="H5008" s="225">
        <v>316.63</v>
      </c>
      <c r="I5008" s="225">
        <v>0</v>
      </c>
      <c r="J5008" s="225">
        <v>0</v>
      </c>
      <c r="K5008" s="225">
        <v>316.63</v>
      </c>
      <c r="L50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316.63</v>
      </c>
      <c r="M5008" s="225">
        <f>ROUND(IF(AND(Base_Periodo1[[#This Row],[Tipo_Linha]]="-",Base_Periodo1[[#This Row],[TIPOSALDO]]="D"),Base_Periodo1[[#This Row],[SALDO_ATUAL]]*-1,Base_Periodo1[[#This Row],[SALDO_ATUAL]]),4)</f>
        <v>316.63</v>
      </c>
      <c r="N5008" t="s">
        <v>116</v>
      </c>
      <c r="O5008" t="s">
        <v>459</v>
      </c>
      <c r="P5008" t="s">
        <v>459</v>
      </c>
      <c r="Q5008">
        <v>6</v>
      </c>
      <c r="R5008" s="225">
        <f>Base_Periodo1[[#This Row],[CREDITOS]]-Base_Periodo1[[#This Row],[DEBITOS]]</f>
        <v>0</v>
      </c>
      <c r="S5008" s="3" t="str">
        <f>IF(ISERROR(VLOOKUP(Base_Periodo1[[#This Row],[CONTA]],BaseContasDRE[#All],4,FALSE)),"Fora do DRE",VLOOKUP(Base_Periodo1[[#This Row],[CONTA]],BaseContasDRE[#All],4,FALSE))</f>
        <v>Fora do DRE</v>
      </c>
      <c r="T5008" s="3" t="str">
        <f>IF(ISERROR(VLOOKUP(Base_Periodo1[[#This Row],[CONTA]],BaseContasDRE[#All],5,FALSE)),"Fora do DRE",VLOOKUP(Base_Periodo1[[#This Row],[CONTA]],BaseContasDRE[#All],6,FALSE))</f>
        <v>Fora do DRE</v>
      </c>
      <c r="U5008" s="3" t="str">
        <f>IF(ISERROR(VLOOKUP(Base_Periodo1[[#This Row],[CONTA]],BaseContasDRE[#All],7,FALSE)),"Fora do DRE",VLOOKUP(Base_Periodo1[[#This Row],[CONTA]],BaseContasDRE[#All],7,FALSE))</f>
        <v>Fora do DRE</v>
      </c>
      <c r="V5008" s="3" t="str">
        <f>IF(Base_Periodo1[[#This Row],[Tipo_Linha]]="Fora do DRE","Fora do DRE","( "&amp;Base_Periodo1[[#This Row],[Tipo_Linha]]&amp;" ) "&amp;Base_Periodo1[[#This Row],[Filtro]])</f>
        <v>Fora do DRE</v>
      </c>
      <c r="W5008" s="3" t="str">
        <f>LEFT(Base_Periodo1[[#This Row],[CLASS]],3)</f>
        <v>2.4</v>
      </c>
    </row>
    <row r="5009" spans="1:23" hidden="1">
      <c r="A5009" s="3" t="str">
        <f t="shared" si="78"/>
        <v>Período 1</v>
      </c>
      <c r="B5009">
        <v>25545</v>
      </c>
      <c r="C5009" t="s">
        <v>2300</v>
      </c>
      <c r="D5009" t="s">
        <v>2907</v>
      </c>
      <c r="E5009" s="3" t="str">
        <f>IF(LEN(Base_Periodo1[[#This Row],[CLASS]])&gt;=7,LEFT(Base_Periodo1[[#This Row],[CLASS]],7),"")</f>
        <v>2.4.1.1</v>
      </c>
      <c r="F5009" s="3" t="str">
        <f>VLOOKUP(Base_Periodo1[[#This Row],[Aux]],Base_Contas_Balanco[#All],2,FALSE)</f>
        <v>Capital Social Realizado</v>
      </c>
      <c r="G5009" s="1"/>
      <c r="H5009" s="225">
        <v>395.61</v>
      </c>
      <c r="I5009" s="225">
        <v>0</v>
      </c>
      <c r="J5009" s="225">
        <v>0</v>
      </c>
      <c r="K5009" s="225">
        <v>395.61</v>
      </c>
      <c r="L50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395.61</v>
      </c>
      <c r="M5009" s="225">
        <f>ROUND(IF(AND(Base_Periodo1[[#This Row],[Tipo_Linha]]="-",Base_Periodo1[[#This Row],[TIPOSALDO]]="D"),Base_Periodo1[[#This Row],[SALDO_ATUAL]]*-1,Base_Periodo1[[#This Row],[SALDO_ATUAL]]),4)</f>
        <v>395.61</v>
      </c>
      <c r="N5009" t="s">
        <v>116</v>
      </c>
      <c r="O5009" t="s">
        <v>459</v>
      </c>
      <c r="P5009" t="s">
        <v>459</v>
      </c>
      <c r="Q5009">
        <v>6</v>
      </c>
      <c r="R5009" s="225">
        <f>Base_Periodo1[[#This Row],[CREDITOS]]-Base_Periodo1[[#This Row],[DEBITOS]]</f>
        <v>0</v>
      </c>
      <c r="S5009" s="3" t="str">
        <f>IF(ISERROR(VLOOKUP(Base_Periodo1[[#This Row],[CONTA]],BaseContasDRE[#All],4,FALSE)),"Fora do DRE",VLOOKUP(Base_Periodo1[[#This Row],[CONTA]],BaseContasDRE[#All],4,FALSE))</f>
        <v>Fora do DRE</v>
      </c>
      <c r="T5009" s="3" t="str">
        <f>IF(ISERROR(VLOOKUP(Base_Periodo1[[#This Row],[CONTA]],BaseContasDRE[#All],5,FALSE)),"Fora do DRE",VLOOKUP(Base_Periodo1[[#This Row],[CONTA]],BaseContasDRE[#All],6,FALSE))</f>
        <v>Fora do DRE</v>
      </c>
      <c r="U5009" s="3" t="str">
        <f>IF(ISERROR(VLOOKUP(Base_Periodo1[[#This Row],[CONTA]],BaseContasDRE[#All],7,FALSE)),"Fora do DRE",VLOOKUP(Base_Periodo1[[#This Row],[CONTA]],BaseContasDRE[#All],7,FALSE))</f>
        <v>Fora do DRE</v>
      </c>
      <c r="V5009" s="3" t="str">
        <f>IF(Base_Periodo1[[#This Row],[Tipo_Linha]]="Fora do DRE","Fora do DRE","( "&amp;Base_Periodo1[[#This Row],[Tipo_Linha]]&amp;" ) "&amp;Base_Periodo1[[#This Row],[Filtro]])</f>
        <v>Fora do DRE</v>
      </c>
      <c r="W5009" s="3" t="str">
        <f>LEFT(Base_Periodo1[[#This Row],[CLASS]],3)</f>
        <v>2.4</v>
      </c>
    </row>
    <row r="5010" spans="1:23" hidden="1">
      <c r="A5010" s="3" t="str">
        <f t="shared" si="78"/>
        <v>Período 1</v>
      </c>
      <c r="B5010">
        <v>32040</v>
      </c>
      <c r="C5010" t="s">
        <v>2300</v>
      </c>
      <c r="D5010" t="s">
        <v>2908</v>
      </c>
      <c r="E5010" s="3" t="str">
        <f>IF(LEN(Base_Periodo1[[#This Row],[CLASS]])&gt;=7,LEFT(Base_Periodo1[[#This Row],[CLASS]],7),"")</f>
        <v>2.4.1.1</v>
      </c>
      <c r="F5010" s="3" t="str">
        <f>VLOOKUP(Base_Periodo1[[#This Row],[Aux]],Base_Contas_Balanco[#All],2,FALSE)</f>
        <v>Capital Social Realizado</v>
      </c>
      <c r="G5010" s="1"/>
      <c r="H5010" s="225">
        <v>50</v>
      </c>
      <c r="I5010" s="225">
        <v>0</v>
      </c>
      <c r="J5010" s="225">
        <v>0</v>
      </c>
      <c r="K5010" s="225">
        <v>50</v>
      </c>
      <c r="L50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10" s="225">
        <f>ROUND(IF(AND(Base_Periodo1[[#This Row],[Tipo_Linha]]="-",Base_Periodo1[[#This Row],[TIPOSALDO]]="D"),Base_Periodo1[[#This Row],[SALDO_ATUAL]]*-1,Base_Periodo1[[#This Row],[SALDO_ATUAL]]),4)</f>
        <v>50</v>
      </c>
      <c r="N5010" t="s">
        <v>116</v>
      </c>
      <c r="O5010" t="s">
        <v>459</v>
      </c>
      <c r="P5010" t="s">
        <v>459</v>
      </c>
      <c r="Q5010">
        <v>6</v>
      </c>
      <c r="R5010" s="225">
        <f>Base_Periodo1[[#This Row],[CREDITOS]]-Base_Periodo1[[#This Row],[DEBITOS]]</f>
        <v>0</v>
      </c>
      <c r="S5010" s="3" t="str">
        <f>IF(ISERROR(VLOOKUP(Base_Periodo1[[#This Row],[CONTA]],BaseContasDRE[#All],4,FALSE)),"Fora do DRE",VLOOKUP(Base_Periodo1[[#This Row],[CONTA]],BaseContasDRE[#All],4,FALSE))</f>
        <v>Fora do DRE</v>
      </c>
      <c r="T5010" s="3" t="str">
        <f>IF(ISERROR(VLOOKUP(Base_Periodo1[[#This Row],[CONTA]],BaseContasDRE[#All],5,FALSE)),"Fora do DRE",VLOOKUP(Base_Periodo1[[#This Row],[CONTA]],BaseContasDRE[#All],6,FALSE))</f>
        <v>Fora do DRE</v>
      </c>
      <c r="U5010" s="3" t="str">
        <f>IF(ISERROR(VLOOKUP(Base_Periodo1[[#This Row],[CONTA]],BaseContasDRE[#All],7,FALSE)),"Fora do DRE",VLOOKUP(Base_Periodo1[[#This Row],[CONTA]],BaseContasDRE[#All],7,FALSE))</f>
        <v>Fora do DRE</v>
      </c>
      <c r="V5010" s="3" t="str">
        <f>IF(Base_Periodo1[[#This Row],[Tipo_Linha]]="Fora do DRE","Fora do DRE","( "&amp;Base_Periodo1[[#This Row],[Tipo_Linha]]&amp;" ) "&amp;Base_Periodo1[[#This Row],[Filtro]])</f>
        <v>Fora do DRE</v>
      </c>
      <c r="W5010" s="3" t="str">
        <f>LEFT(Base_Periodo1[[#This Row],[CLASS]],3)</f>
        <v>2.4</v>
      </c>
    </row>
    <row r="5011" spans="1:23" hidden="1">
      <c r="A5011" s="3" t="str">
        <f t="shared" si="78"/>
        <v>Período 1</v>
      </c>
      <c r="B5011">
        <v>40755</v>
      </c>
      <c r="C5011" t="s">
        <v>2300</v>
      </c>
      <c r="D5011" t="s">
        <v>2909</v>
      </c>
      <c r="E5011" s="3" t="str">
        <f>IF(LEN(Base_Periodo1[[#This Row],[CLASS]])&gt;=7,LEFT(Base_Periodo1[[#This Row],[CLASS]],7),"")</f>
        <v>2.4.1.1</v>
      </c>
      <c r="F5011" s="3" t="str">
        <f>VLOOKUP(Base_Periodo1[[#This Row],[Aux]],Base_Contas_Balanco[#All],2,FALSE)</f>
        <v>Capital Social Realizado</v>
      </c>
      <c r="G5011" s="1"/>
      <c r="H5011" s="225">
        <v>93.88</v>
      </c>
      <c r="I5011" s="225">
        <v>0</v>
      </c>
      <c r="J5011" s="225">
        <v>0</v>
      </c>
      <c r="K5011" s="225">
        <v>93.88</v>
      </c>
      <c r="L50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93.88</v>
      </c>
      <c r="M5011" s="225">
        <f>ROUND(IF(AND(Base_Periodo1[[#This Row],[Tipo_Linha]]="-",Base_Periodo1[[#This Row],[TIPOSALDO]]="D"),Base_Periodo1[[#This Row],[SALDO_ATUAL]]*-1,Base_Periodo1[[#This Row],[SALDO_ATUAL]]),4)</f>
        <v>93.88</v>
      </c>
      <c r="N5011" t="s">
        <v>116</v>
      </c>
      <c r="O5011" t="s">
        <v>459</v>
      </c>
      <c r="P5011" t="s">
        <v>459</v>
      </c>
      <c r="Q5011">
        <v>6</v>
      </c>
      <c r="R5011" s="225">
        <f>Base_Periodo1[[#This Row],[CREDITOS]]-Base_Periodo1[[#This Row],[DEBITOS]]</f>
        <v>0</v>
      </c>
      <c r="S5011" s="3" t="str">
        <f>IF(ISERROR(VLOOKUP(Base_Periodo1[[#This Row],[CONTA]],BaseContasDRE[#All],4,FALSE)),"Fora do DRE",VLOOKUP(Base_Periodo1[[#This Row],[CONTA]],BaseContasDRE[#All],4,FALSE))</f>
        <v>Fora do DRE</v>
      </c>
      <c r="T5011" s="3" t="str">
        <f>IF(ISERROR(VLOOKUP(Base_Periodo1[[#This Row],[CONTA]],BaseContasDRE[#All],5,FALSE)),"Fora do DRE",VLOOKUP(Base_Periodo1[[#This Row],[CONTA]],BaseContasDRE[#All],6,FALSE))</f>
        <v>Fora do DRE</v>
      </c>
      <c r="U5011" s="3" t="str">
        <f>IF(ISERROR(VLOOKUP(Base_Periodo1[[#This Row],[CONTA]],BaseContasDRE[#All],7,FALSE)),"Fora do DRE",VLOOKUP(Base_Periodo1[[#This Row],[CONTA]],BaseContasDRE[#All],7,FALSE))</f>
        <v>Fora do DRE</v>
      </c>
      <c r="V5011" s="3" t="str">
        <f>IF(Base_Periodo1[[#This Row],[Tipo_Linha]]="Fora do DRE","Fora do DRE","( "&amp;Base_Periodo1[[#This Row],[Tipo_Linha]]&amp;" ) "&amp;Base_Periodo1[[#This Row],[Filtro]])</f>
        <v>Fora do DRE</v>
      </c>
      <c r="W5011" s="3" t="str">
        <f>LEFT(Base_Periodo1[[#This Row],[CLASS]],3)</f>
        <v>2.4</v>
      </c>
    </row>
    <row r="5012" spans="1:23" hidden="1">
      <c r="A5012" s="3" t="str">
        <f t="shared" si="78"/>
        <v>Período 1</v>
      </c>
      <c r="B5012">
        <v>25568</v>
      </c>
      <c r="C5012" t="s">
        <v>2300</v>
      </c>
      <c r="D5012" t="s">
        <v>2910</v>
      </c>
      <c r="E5012" s="3" t="str">
        <f>IF(LEN(Base_Periodo1[[#This Row],[CLASS]])&gt;=7,LEFT(Base_Periodo1[[#This Row],[CLASS]],7),"")</f>
        <v>2.4.1.1</v>
      </c>
      <c r="F5012" s="3" t="str">
        <f>VLOOKUP(Base_Periodo1[[#This Row],[Aux]],Base_Contas_Balanco[#All],2,FALSE)</f>
        <v>Capital Social Realizado</v>
      </c>
      <c r="G5012" s="1"/>
      <c r="H5012" s="225">
        <v>77.95</v>
      </c>
      <c r="I5012" s="225">
        <v>0</v>
      </c>
      <c r="J5012" s="225">
        <v>0</v>
      </c>
      <c r="K5012" s="225">
        <v>77.95</v>
      </c>
      <c r="L50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77.95</v>
      </c>
      <c r="M5012" s="225">
        <f>ROUND(IF(AND(Base_Periodo1[[#This Row],[Tipo_Linha]]="-",Base_Periodo1[[#This Row],[TIPOSALDO]]="D"),Base_Periodo1[[#This Row],[SALDO_ATUAL]]*-1,Base_Periodo1[[#This Row],[SALDO_ATUAL]]),4)</f>
        <v>77.95</v>
      </c>
      <c r="N5012" t="s">
        <v>116</v>
      </c>
      <c r="O5012" t="s">
        <v>459</v>
      </c>
      <c r="P5012" t="s">
        <v>459</v>
      </c>
      <c r="Q5012">
        <v>6</v>
      </c>
      <c r="R5012" s="225">
        <f>Base_Periodo1[[#This Row],[CREDITOS]]-Base_Periodo1[[#This Row],[DEBITOS]]</f>
        <v>0</v>
      </c>
      <c r="S5012" s="3" t="str">
        <f>IF(ISERROR(VLOOKUP(Base_Periodo1[[#This Row],[CONTA]],BaseContasDRE[#All],4,FALSE)),"Fora do DRE",VLOOKUP(Base_Periodo1[[#This Row],[CONTA]],BaseContasDRE[#All],4,FALSE))</f>
        <v>Fora do DRE</v>
      </c>
      <c r="T5012" s="3" t="str">
        <f>IF(ISERROR(VLOOKUP(Base_Periodo1[[#This Row],[CONTA]],BaseContasDRE[#All],5,FALSE)),"Fora do DRE",VLOOKUP(Base_Periodo1[[#This Row],[CONTA]],BaseContasDRE[#All],6,FALSE))</f>
        <v>Fora do DRE</v>
      </c>
      <c r="U5012" s="3" t="str">
        <f>IF(ISERROR(VLOOKUP(Base_Periodo1[[#This Row],[CONTA]],BaseContasDRE[#All],7,FALSE)),"Fora do DRE",VLOOKUP(Base_Periodo1[[#This Row],[CONTA]],BaseContasDRE[#All],7,FALSE))</f>
        <v>Fora do DRE</v>
      </c>
      <c r="V5012" s="3" t="str">
        <f>IF(Base_Periodo1[[#This Row],[Tipo_Linha]]="Fora do DRE","Fora do DRE","( "&amp;Base_Periodo1[[#This Row],[Tipo_Linha]]&amp;" ) "&amp;Base_Periodo1[[#This Row],[Filtro]])</f>
        <v>Fora do DRE</v>
      </c>
      <c r="W5012" s="3" t="str">
        <f>LEFT(Base_Periodo1[[#This Row],[CLASS]],3)</f>
        <v>2.4</v>
      </c>
    </row>
    <row r="5013" spans="1:23" hidden="1">
      <c r="A5013" s="3" t="str">
        <f t="shared" si="78"/>
        <v>Período 1</v>
      </c>
      <c r="B5013">
        <v>19786</v>
      </c>
      <c r="C5013" t="s">
        <v>2300</v>
      </c>
      <c r="D5013" t="s">
        <v>2911</v>
      </c>
      <c r="E5013" s="3" t="str">
        <f>IF(LEN(Base_Periodo1[[#This Row],[CLASS]])&gt;=7,LEFT(Base_Periodo1[[#This Row],[CLASS]],7),"")</f>
        <v>2.4.1.1</v>
      </c>
      <c r="F5013" s="3" t="str">
        <f>VLOOKUP(Base_Periodo1[[#This Row],[Aux]],Base_Contas_Balanco[#All],2,FALSE)</f>
        <v>Capital Social Realizado</v>
      </c>
      <c r="G5013" s="1"/>
      <c r="H5013" s="225">
        <v>335.19</v>
      </c>
      <c r="I5013" s="225">
        <v>0</v>
      </c>
      <c r="J5013" s="225">
        <v>0</v>
      </c>
      <c r="K5013" s="225">
        <v>335.19</v>
      </c>
      <c r="L50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335.19</v>
      </c>
      <c r="M5013" s="225">
        <f>ROUND(IF(AND(Base_Periodo1[[#This Row],[Tipo_Linha]]="-",Base_Periodo1[[#This Row],[TIPOSALDO]]="D"),Base_Periodo1[[#This Row],[SALDO_ATUAL]]*-1,Base_Periodo1[[#This Row],[SALDO_ATUAL]]),4)</f>
        <v>335.19</v>
      </c>
      <c r="N5013" t="s">
        <v>116</v>
      </c>
      <c r="O5013" t="s">
        <v>459</v>
      </c>
      <c r="P5013" t="s">
        <v>459</v>
      </c>
      <c r="Q5013">
        <v>6</v>
      </c>
      <c r="R5013" s="225">
        <f>Base_Periodo1[[#This Row],[CREDITOS]]-Base_Periodo1[[#This Row],[DEBITOS]]</f>
        <v>0</v>
      </c>
      <c r="S5013" s="3" t="str">
        <f>IF(ISERROR(VLOOKUP(Base_Periodo1[[#This Row],[CONTA]],BaseContasDRE[#All],4,FALSE)),"Fora do DRE",VLOOKUP(Base_Periodo1[[#This Row],[CONTA]],BaseContasDRE[#All],4,FALSE))</f>
        <v>Fora do DRE</v>
      </c>
      <c r="T5013" s="3" t="str">
        <f>IF(ISERROR(VLOOKUP(Base_Periodo1[[#This Row],[CONTA]],BaseContasDRE[#All],5,FALSE)),"Fora do DRE",VLOOKUP(Base_Periodo1[[#This Row],[CONTA]],BaseContasDRE[#All],6,FALSE))</f>
        <v>Fora do DRE</v>
      </c>
      <c r="U5013" s="3" t="str">
        <f>IF(ISERROR(VLOOKUP(Base_Periodo1[[#This Row],[CONTA]],BaseContasDRE[#All],7,FALSE)),"Fora do DRE",VLOOKUP(Base_Periodo1[[#This Row],[CONTA]],BaseContasDRE[#All],7,FALSE))</f>
        <v>Fora do DRE</v>
      </c>
      <c r="V5013" s="3" t="str">
        <f>IF(Base_Periodo1[[#This Row],[Tipo_Linha]]="Fora do DRE","Fora do DRE","( "&amp;Base_Periodo1[[#This Row],[Tipo_Linha]]&amp;" ) "&amp;Base_Periodo1[[#This Row],[Filtro]])</f>
        <v>Fora do DRE</v>
      </c>
      <c r="W5013" s="3" t="str">
        <f>LEFT(Base_Periodo1[[#This Row],[CLASS]],3)</f>
        <v>2.4</v>
      </c>
    </row>
    <row r="5014" spans="1:23" hidden="1">
      <c r="A5014" s="3" t="str">
        <f t="shared" si="78"/>
        <v>Período 1</v>
      </c>
      <c r="B5014">
        <v>24591</v>
      </c>
      <c r="C5014" t="s">
        <v>2300</v>
      </c>
      <c r="D5014" t="s">
        <v>2912</v>
      </c>
      <c r="E5014" s="3" t="str">
        <f>IF(LEN(Base_Periodo1[[#This Row],[CLASS]])&gt;=7,LEFT(Base_Periodo1[[#This Row],[CLASS]],7),"")</f>
        <v>2.4.1.1</v>
      </c>
      <c r="F5014" s="3" t="str">
        <f>VLOOKUP(Base_Periodo1[[#This Row],[Aux]],Base_Contas_Balanco[#All],2,FALSE)</f>
        <v>Capital Social Realizado</v>
      </c>
      <c r="G5014" s="1"/>
      <c r="H5014" s="225">
        <v>69.56</v>
      </c>
      <c r="I5014" s="225">
        <v>0</v>
      </c>
      <c r="J5014" s="225">
        <v>0</v>
      </c>
      <c r="K5014" s="225">
        <v>69.56</v>
      </c>
      <c r="L50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69.56</v>
      </c>
      <c r="M5014" s="225">
        <f>ROUND(IF(AND(Base_Periodo1[[#This Row],[Tipo_Linha]]="-",Base_Periodo1[[#This Row],[TIPOSALDO]]="D"),Base_Periodo1[[#This Row],[SALDO_ATUAL]]*-1,Base_Periodo1[[#This Row],[SALDO_ATUAL]]),4)</f>
        <v>69.56</v>
      </c>
      <c r="N5014" t="s">
        <v>116</v>
      </c>
      <c r="O5014" t="s">
        <v>459</v>
      </c>
      <c r="P5014" t="s">
        <v>459</v>
      </c>
      <c r="Q5014">
        <v>6</v>
      </c>
      <c r="R5014" s="225">
        <f>Base_Periodo1[[#This Row],[CREDITOS]]-Base_Periodo1[[#This Row],[DEBITOS]]</f>
        <v>0</v>
      </c>
      <c r="S5014" s="3" t="str">
        <f>IF(ISERROR(VLOOKUP(Base_Periodo1[[#This Row],[CONTA]],BaseContasDRE[#All],4,FALSE)),"Fora do DRE",VLOOKUP(Base_Periodo1[[#This Row],[CONTA]],BaseContasDRE[#All],4,FALSE))</f>
        <v>Fora do DRE</v>
      </c>
      <c r="T5014" s="3" t="str">
        <f>IF(ISERROR(VLOOKUP(Base_Periodo1[[#This Row],[CONTA]],BaseContasDRE[#All],5,FALSE)),"Fora do DRE",VLOOKUP(Base_Periodo1[[#This Row],[CONTA]],BaseContasDRE[#All],6,FALSE))</f>
        <v>Fora do DRE</v>
      </c>
      <c r="U5014" s="3" t="str">
        <f>IF(ISERROR(VLOOKUP(Base_Periodo1[[#This Row],[CONTA]],BaseContasDRE[#All],7,FALSE)),"Fora do DRE",VLOOKUP(Base_Periodo1[[#This Row],[CONTA]],BaseContasDRE[#All],7,FALSE))</f>
        <v>Fora do DRE</v>
      </c>
      <c r="V5014" s="3" t="str">
        <f>IF(Base_Periodo1[[#This Row],[Tipo_Linha]]="Fora do DRE","Fora do DRE","( "&amp;Base_Periodo1[[#This Row],[Tipo_Linha]]&amp;" ) "&amp;Base_Periodo1[[#This Row],[Filtro]])</f>
        <v>Fora do DRE</v>
      </c>
      <c r="W5014" s="3" t="str">
        <f>LEFT(Base_Periodo1[[#This Row],[CLASS]],3)</f>
        <v>2.4</v>
      </c>
    </row>
    <row r="5015" spans="1:23" hidden="1">
      <c r="A5015" s="3" t="str">
        <f t="shared" si="78"/>
        <v>Período 1</v>
      </c>
      <c r="B5015">
        <v>24634</v>
      </c>
      <c r="C5015" t="s">
        <v>2300</v>
      </c>
      <c r="D5015" t="s">
        <v>2913</v>
      </c>
      <c r="E5015" s="3" t="str">
        <f>IF(LEN(Base_Periodo1[[#This Row],[CLASS]])&gt;=7,LEFT(Base_Periodo1[[#This Row],[CLASS]],7),"")</f>
        <v>2.4.1.1</v>
      </c>
      <c r="F5015" s="3" t="str">
        <f>VLOOKUP(Base_Periodo1[[#This Row],[Aux]],Base_Contas_Balanco[#All],2,FALSE)</f>
        <v>Capital Social Realizado</v>
      </c>
      <c r="G5015" s="1"/>
      <c r="H5015" s="225">
        <v>213.76</v>
      </c>
      <c r="I5015" s="225">
        <v>0</v>
      </c>
      <c r="J5015" s="225">
        <v>0</v>
      </c>
      <c r="K5015" s="225">
        <v>213.76</v>
      </c>
      <c r="L50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213.76</v>
      </c>
      <c r="M5015" s="225">
        <f>ROUND(IF(AND(Base_Periodo1[[#This Row],[Tipo_Linha]]="-",Base_Periodo1[[#This Row],[TIPOSALDO]]="D"),Base_Periodo1[[#This Row],[SALDO_ATUAL]]*-1,Base_Periodo1[[#This Row],[SALDO_ATUAL]]),4)</f>
        <v>213.76</v>
      </c>
      <c r="N5015" t="s">
        <v>116</v>
      </c>
      <c r="O5015" t="s">
        <v>459</v>
      </c>
      <c r="P5015" t="s">
        <v>459</v>
      </c>
      <c r="Q5015">
        <v>6</v>
      </c>
      <c r="R5015" s="225">
        <f>Base_Periodo1[[#This Row],[CREDITOS]]-Base_Periodo1[[#This Row],[DEBITOS]]</f>
        <v>0</v>
      </c>
      <c r="S5015" s="3" t="str">
        <f>IF(ISERROR(VLOOKUP(Base_Periodo1[[#This Row],[CONTA]],BaseContasDRE[#All],4,FALSE)),"Fora do DRE",VLOOKUP(Base_Periodo1[[#This Row],[CONTA]],BaseContasDRE[#All],4,FALSE))</f>
        <v>Fora do DRE</v>
      </c>
      <c r="T5015" s="3" t="str">
        <f>IF(ISERROR(VLOOKUP(Base_Periodo1[[#This Row],[CONTA]],BaseContasDRE[#All],5,FALSE)),"Fora do DRE",VLOOKUP(Base_Periodo1[[#This Row],[CONTA]],BaseContasDRE[#All],6,FALSE))</f>
        <v>Fora do DRE</v>
      </c>
      <c r="U5015" s="3" t="str">
        <f>IF(ISERROR(VLOOKUP(Base_Periodo1[[#This Row],[CONTA]],BaseContasDRE[#All],7,FALSE)),"Fora do DRE",VLOOKUP(Base_Periodo1[[#This Row],[CONTA]],BaseContasDRE[#All],7,FALSE))</f>
        <v>Fora do DRE</v>
      </c>
      <c r="V5015" s="3" t="str">
        <f>IF(Base_Periodo1[[#This Row],[Tipo_Linha]]="Fora do DRE","Fora do DRE","( "&amp;Base_Periodo1[[#This Row],[Tipo_Linha]]&amp;" ) "&amp;Base_Periodo1[[#This Row],[Filtro]])</f>
        <v>Fora do DRE</v>
      </c>
      <c r="W5015" s="3" t="str">
        <f>LEFT(Base_Periodo1[[#This Row],[CLASS]],3)</f>
        <v>2.4</v>
      </c>
    </row>
    <row r="5016" spans="1:23" hidden="1">
      <c r="A5016" s="3" t="str">
        <f t="shared" si="78"/>
        <v>Período 1</v>
      </c>
      <c r="B5016">
        <v>25506</v>
      </c>
      <c r="C5016" t="s">
        <v>2300</v>
      </c>
      <c r="D5016" t="s">
        <v>2914</v>
      </c>
      <c r="E5016" s="3" t="str">
        <f>IF(LEN(Base_Periodo1[[#This Row],[CLASS]])&gt;=7,LEFT(Base_Periodo1[[#This Row],[CLASS]],7),"")</f>
        <v>2.4.1.1</v>
      </c>
      <c r="F5016" s="3" t="str">
        <f>VLOOKUP(Base_Periodo1[[#This Row],[Aux]],Base_Contas_Balanco[#All],2,FALSE)</f>
        <v>Capital Social Realizado</v>
      </c>
      <c r="G5016" s="1"/>
      <c r="H5016" s="225">
        <v>95.72999999999999</v>
      </c>
      <c r="I5016" s="225">
        <v>0</v>
      </c>
      <c r="J5016" s="225">
        <v>0</v>
      </c>
      <c r="K5016" s="225">
        <v>95.72999999999999</v>
      </c>
      <c r="L50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95.73</v>
      </c>
      <c r="M5016" s="225">
        <f>ROUND(IF(AND(Base_Periodo1[[#This Row],[Tipo_Linha]]="-",Base_Periodo1[[#This Row],[TIPOSALDO]]="D"),Base_Periodo1[[#This Row],[SALDO_ATUAL]]*-1,Base_Periodo1[[#This Row],[SALDO_ATUAL]]),4)</f>
        <v>95.73</v>
      </c>
      <c r="N5016" t="s">
        <v>116</v>
      </c>
      <c r="O5016" t="s">
        <v>459</v>
      </c>
      <c r="P5016" t="s">
        <v>459</v>
      </c>
      <c r="Q5016">
        <v>6</v>
      </c>
      <c r="R5016" s="225">
        <f>Base_Periodo1[[#This Row],[CREDITOS]]-Base_Periodo1[[#This Row],[DEBITOS]]</f>
        <v>0</v>
      </c>
      <c r="S5016" s="3" t="str">
        <f>IF(ISERROR(VLOOKUP(Base_Periodo1[[#This Row],[CONTA]],BaseContasDRE[#All],4,FALSE)),"Fora do DRE",VLOOKUP(Base_Periodo1[[#This Row],[CONTA]],BaseContasDRE[#All],4,FALSE))</f>
        <v>Fora do DRE</v>
      </c>
      <c r="T5016" s="3" t="str">
        <f>IF(ISERROR(VLOOKUP(Base_Periodo1[[#This Row],[CONTA]],BaseContasDRE[#All],5,FALSE)),"Fora do DRE",VLOOKUP(Base_Periodo1[[#This Row],[CONTA]],BaseContasDRE[#All],6,FALSE))</f>
        <v>Fora do DRE</v>
      </c>
      <c r="U5016" s="3" t="str">
        <f>IF(ISERROR(VLOOKUP(Base_Periodo1[[#This Row],[CONTA]],BaseContasDRE[#All],7,FALSE)),"Fora do DRE",VLOOKUP(Base_Periodo1[[#This Row],[CONTA]],BaseContasDRE[#All],7,FALSE))</f>
        <v>Fora do DRE</v>
      </c>
      <c r="V5016" s="3" t="str">
        <f>IF(Base_Periodo1[[#This Row],[Tipo_Linha]]="Fora do DRE","Fora do DRE","( "&amp;Base_Periodo1[[#This Row],[Tipo_Linha]]&amp;" ) "&amp;Base_Periodo1[[#This Row],[Filtro]])</f>
        <v>Fora do DRE</v>
      </c>
      <c r="W5016" s="3" t="str">
        <f>LEFT(Base_Periodo1[[#This Row],[CLASS]],3)</f>
        <v>2.4</v>
      </c>
    </row>
    <row r="5017" spans="1:23" hidden="1">
      <c r="A5017" s="3" t="str">
        <f t="shared" si="78"/>
        <v>Período 1</v>
      </c>
      <c r="B5017">
        <v>23313</v>
      </c>
      <c r="C5017" t="s">
        <v>2300</v>
      </c>
      <c r="D5017" t="s">
        <v>2915</v>
      </c>
      <c r="E5017" s="3" t="str">
        <f>IF(LEN(Base_Periodo1[[#This Row],[CLASS]])&gt;=7,LEFT(Base_Periodo1[[#This Row],[CLASS]],7),"")</f>
        <v>2.4.1.1</v>
      </c>
      <c r="F5017" s="3" t="str">
        <f>VLOOKUP(Base_Periodo1[[#This Row],[Aux]],Base_Contas_Balanco[#All],2,FALSE)</f>
        <v>Capital Social Realizado</v>
      </c>
      <c r="G5017" s="1"/>
      <c r="H5017" s="225">
        <v>333.90000000000003</v>
      </c>
      <c r="I5017" s="225">
        <v>0</v>
      </c>
      <c r="J5017" s="225">
        <v>0</v>
      </c>
      <c r="K5017" s="225">
        <v>333.90000000000003</v>
      </c>
      <c r="L50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333.9</v>
      </c>
      <c r="M5017" s="225">
        <f>ROUND(IF(AND(Base_Periodo1[[#This Row],[Tipo_Linha]]="-",Base_Periodo1[[#This Row],[TIPOSALDO]]="D"),Base_Periodo1[[#This Row],[SALDO_ATUAL]]*-1,Base_Periodo1[[#This Row],[SALDO_ATUAL]]),4)</f>
        <v>333.9</v>
      </c>
      <c r="N5017" t="s">
        <v>116</v>
      </c>
      <c r="O5017" t="s">
        <v>459</v>
      </c>
      <c r="P5017" t="s">
        <v>459</v>
      </c>
      <c r="Q5017">
        <v>6</v>
      </c>
      <c r="R5017" s="225">
        <f>Base_Periodo1[[#This Row],[CREDITOS]]-Base_Periodo1[[#This Row],[DEBITOS]]</f>
        <v>0</v>
      </c>
      <c r="S5017" s="3" t="str">
        <f>IF(ISERROR(VLOOKUP(Base_Periodo1[[#This Row],[CONTA]],BaseContasDRE[#All],4,FALSE)),"Fora do DRE",VLOOKUP(Base_Periodo1[[#This Row],[CONTA]],BaseContasDRE[#All],4,FALSE))</f>
        <v>Fora do DRE</v>
      </c>
      <c r="T5017" s="3" t="str">
        <f>IF(ISERROR(VLOOKUP(Base_Periodo1[[#This Row],[CONTA]],BaseContasDRE[#All],5,FALSE)),"Fora do DRE",VLOOKUP(Base_Periodo1[[#This Row],[CONTA]],BaseContasDRE[#All],6,FALSE))</f>
        <v>Fora do DRE</v>
      </c>
      <c r="U5017" s="3" t="str">
        <f>IF(ISERROR(VLOOKUP(Base_Periodo1[[#This Row],[CONTA]],BaseContasDRE[#All],7,FALSE)),"Fora do DRE",VLOOKUP(Base_Periodo1[[#This Row],[CONTA]],BaseContasDRE[#All],7,FALSE))</f>
        <v>Fora do DRE</v>
      </c>
      <c r="V5017" s="3" t="str">
        <f>IF(Base_Periodo1[[#This Row],[Tipo_Linha]]="Fora do DRE","Fora do DRE","( "&amp;Base_Periodo1[[#This Row],[Tipo_Linha]]&amp;" ) "&amp;Base_Periodo1[[#This Row],[Filtro]])</f>
        <v>Fora do DRE</v>
      </c>
      <c r="W5017" s="3" t="str">
        <f>LEFT(Base_Periodo1[[#This Row],[CLASS]],3)</f>
        <v>2.4</v>
      </c>
    </row>
    <row r="5018" spans="1:23" hidden="1">
      <c r="A5018" s="3" t="str">
        <f t="shared" si="78"/>
        <v>Período 1</v>
      </c>
      <c r="B5018">
        <v>19274</v>
      </c>
      <c r="C5018" t="s">
        <v>2300</v>
      </c>
      <c r="D5018" t="s">
        <v>2916</v>
      </c>
      <c r="E5018" s="3" t="str">
        <f>IF(LEN(Base_Periodo1[[#This Row],[CLASS]])&gt;=7,LEFT(Base_Periodo1[[#This Row],[CLASS]],7),"")</f>
        <v>2.4.1.1</v>
      </c>
      <c r="F5018" s="3" t="str">
        <f>VLOOKUP(Base_Periodo1[[#This Row],[Aux]],Base_Contas_Balanco[#All],2,FALSE)</f>
        <v>Capital Social Realizado</v>
      </c>
      <c r="G5018" s="1"/>
      <c r="H5018" s="225">
        <v>633.62</v>
      </c>
      <c r="I5018" s="225">
        <v>0</v>
      </c>
      <c r="J5018" s="225">
        <v>0</v>
      </c>
      <c r="K5018" s="225">
        <v>633.62</v>
      </c>
      <c r="L50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633.62</v>
      </c>
      <c r="M5018" s="225">
        <f>ROUND(IF(AND(Base_Periodo1[[#This Row],[Tipo_Linha]]="-",Base_Periodo1[[#This Row],[TIPOSALDO]]="D"),Base_Periodo1[[#This Row],[SALDO_ATUAL]]*-1,Base_Periodo1[[#This Row],[SALDO_ATUAL]]),4)</f>
        <v>633.62</v>
      </c>
      <c r="N5018" t="s">
        <v>116</v>
      </c>
      <c r="O5018" t="s">
        <v>459</v>
      </c>
      <c r="P5018" t="s">
        <v>459</v>
      </c>
      <c r="Q5018">
        <v>6</v>
      </c>
      <c r="R5018" s="225">
        <f>Base_Periodo1[[#This Row],[CREDITOS]]-Base_Periodo1[[#This Row],[DEBITOS]]</f>
        <v>0</v>
      </c>
      <c r="S5018" s="3" t="str">
        <f>IF(ISERROR(VLOOKUP(Base_Periodo1[[#This Row],[CONTA]],BaseContasDRE[#All],4,FALSE)),"Fora do DRE",VLOOKUP(Base_Periodo1[[#This Row],[CONTA]],BaseContasDRE[#All],4,FALSE))</f>
        <v>Fora do DRE</v>
      </c>
      <c r="T5018" s="3" t="str">
        <f>IF(ISERROR(VLOOKUP(Base_Periodo1[[#This Row],[CONTA]],BaseContasDRE[#All],5,FALSE)),"Fora do DRE",VLOOKUP(Base_Periodo1[[#This Row],[CONTA]],BaseContasDRE[#All],6,FALSE))</f>
        <v>Fora do DRE</v>
      </c>
      <c r="U5018" s="3" t="str">
        <f>IF(ISERROR(VLOOKUP(Base_Periodo1[[#This Row],[CONTA]],BaseContasDRE[#All],7,FALSE)),"Fora do DRE",VLOOKUP(Base_Periodo1[[#This Row],[CONTA]],BaseContasDRE[#All],7,FALSE))</f>
        <v>Fora do DRE</v>
      </c>
      <c r="V5018" s="3" t="str">
        <f>IF(Base_Periodo1[[#This Row],[Tipo_Linha]]="Fora do DRE","Fora do DRE","( "&amp;Base_Periodo1[[#This Row],[Tipo_Linha]]&amp;" ) "&amp;Base_Periodo1[[#This Row],[Filtro]])</f>
        <v>Fora do DRE</v>
      </c>
      <c r="W5018" s="3" t="str">
        <f>LEFT(Base_Periodo1[[#This Row],[CLASS]],3)</f>
        <v>2.4</v>
      </c>
    </row>
    <row r="5019" spans="1:23" hidden="1">
      <c r="A5019" s="3" t="str">
        <f t="shared" si="78"/>
        <v>Período 1</v>
      </c>
      <c r="B5019">
        <v>16067</v>
      </c>
      <c r="C5019" t="s">
        <v>2300</v>
      </c>
      <c r="D5019" t="s">
        <v>2917</v>
      </c>
      <c r="E5019" s="3" t="str">
        <f>IF(LEN(Base_Periodo1[[#This Row],[CLASS]])&gt;=7,LEFT(Base_Periodo1[[#This Row],[CLASS]],7),"")</f>
        <v>2.4.1.1</v>
      </c>
      <c r="F5019" s="3" t="str">
        <f>VLOOKUP(Base_Periodo1[[#This Row],[Aux]],Base_Contas_Balanco[#All],2,FALSE)</f>
        <v>Capital Social Realizado</v>
      </c>
      <c r="G5019" s="1"/>
      <c r="H5019" s="225">
        <v>9609.86</v>
      </c>
      <c r="I5019" s="225">
        <v>0</v>
      </c>
      <c r="J5019" s="225">
        <v>0</v>
      </c>
      <c r="K5019" s="225">
        <v>9609.86</v>
      </c>
      <c r="L50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9609.86</v>
      </c>
      <c r="M5019" s="225">
        <f>ROUND(IF(AND(Base_Periodo1[[#This Row],[Tipo_Linha]]="-",Base_Periodo1[[#This Row],[TIPOSALDO]]="D"),Base_Periodo1[[#This Row],[SALDO_ATUAL]]*-1,Base_Periodo1[[#This Row],[SALDO_ATUAL]]),4)</f>
        <v>9609.86</v>
      </c>
      <c r="N5019" t="s">
        <v>116</v>
      </c>
      <c r="O5019" t="s">
        <v>459</v>
      </c>
      <c r="P5019" t="s">
        <v>459</v>
      </c>
      <c r="Q5019">
        <v>6</v>
      </c>
      <c r="R5019" s="225">
        <f>Base_Periodo1[[#This Row],[CREDITOS]]-Base_Periodo1[[#This Row],[DEBITOS]]</f>
        <v>0</v>
      </c>
      <c r="S5019" s="3" t="str">
        <f>IF(ISERROR(VLOOKUP(Base_Periodo1[[#This Row],[CONTA]],BaseContasDRE[#All],4,FALSE)),"Fora do DRE",VLOOKUP(Base_Periodo1[[#This Row],[CONTA]],BaseContasDRE[#All],4,FALSE))</f>
        <v>Fora do DRE</v>
      </c>
      <c r="T5019" s="3" t="str">
        <f>IF(ISERROR(VLOOKUP(Base_Periodo1[[#This Row],[CONTA]],BaseContasDRE[#All],5,FALSE)),"Fora do DRE",VLOOKUP(Base_Periodo1[[#This Row],[CONTA]],BaseContasDRE[#All],6,FALSE))</f>
        <v>Fora do DRE</v>
      </c>
      <c r="U5019" s="3" t="str">
        <f>IF(ISERROR(VLOOKUP(Base_Periodo1[[#This Row],[CONTA]],BaseContasDRE[#All],7,FALSE)),"Fora do DRE",VLOOKUP(Base_Periodo1[[#This Row],[CONTA]],BaseContasDRE[#All],7,FALSE))</f>
        <v>Fora do DRE</v>
      </c>
      <c r="V5019" s="3" t="str">
        <f>IF(Base_Periodo1[[#This Row],[Tipo_Linha]]="Fora do DRE","Fora do DRE","( "&amp;Base_Periodo1[[#This Row],[Tipo_Linha]]&amp;" ) "&amp;Base_Periodo1[[#This Row],[Filtro]])</f>
        <v>Fora do DRE</v>
      </c>
      <c r="W5019" s="3" t="str">
        <f>LEFT(Base_Periodo1[[#This Row],[CLASS]],3)</f>
        <v>2.4</v>
      </c>
    </row>
    <row r="5020" spans="1:23" hidden="1">
      <c r="A5020" s="3" t="str">
        <f t="shared" si="78"/>
        <v>Período 1</v>
      </c>
      <c r="B5020">
        <v>19273</v>
      </c>
      <c r="C5020" t="s">
        <v>2300</v>
      </c>
      <c r="D5020" t="s">
        <v>2918</v>
      </c>
      <c r="E5020" s="3" t="str">
        <f>IF(LEN(Base_Periodo1[[#This Row],[CLASS]])&gt;=7,LEFT(Base_Periodo1[[#This Row],[CLASS]],7),"")</f>
        <v>2.4.1.1</v>
      </c>
      <c r="F5020" s="3" t="str">
        <f>VLOOKUP(Base_Periodo1[[#This Row],[Aux]],Base_Contas_Balanco[#All],2,FALSE)</f>
        <v>Capital Social Realizado</v>
      </c>
      <c r="G5020" s="1"/>
      <c r="H5020" s="225">
        <v>456.22</v>
      </c>
      <c r="I5020" s="225">
        <v>0</v>
      </c>
      <c r="J5020" s="225">
        <v>0</v>
      </c>
      <c r="K5020" s="225">
        <v>456.22</v>
      </c>
      <c r="L50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456.22</v>
      </c>
      <c r="M5020" s="225">
        <f>ROUND(IF(AND(Base_Periodo1[[#This Row],[Tipo_Linha]]="-",Base_Periodo1[[#This Row],[TIPOSALDO]]="D"),Base_Periodo1[[#This Row],[SALDO_ATUAL]]*-1,Base_Periodo1[[#This Row],[SALDO_ATUAL]]),4)</f>
        <v>456.22</v>
      </c>
      <c r="N5020" t="s">
        <v>116</v>
      </c>
      <c r="O5020" t="s">
        <v>459</v>
      </c>
      <c r="P5020" t="s">
        <v>459</v>
      </c>
      <c r="Q5020">
        <v>6</v>
      </c>
      <c r="R5020" s="225">
        <f>Base_Periodo1[[#This Row],[CREDITOS]]-Base_Periodo1[[#This Row],[DEBITOS]]</f>
        <v>0</v>
      </c>
      <c r="S5020" s="3" t="str">
        <f>IF(ISERROR(VLOOKUP(Base_Periodo1[[#This Row],[CONTA]],BaseContasDRE[#All],4,FALSE)),"Fora do DRE",VLOOKUP(Base_Periodo1[[#This Row],[CONTA]],BaseContasDRE[#All],4,FALSE))</f>
        <v>Fora do DRE</v>
      </c>
      <c r="T5020" s="3" t="str">
        <f>IF(ISERROR(VLOOKUP(Base_Periodo1[[#This Row],[CONTA]],BaseContasDRE[#All],5,FALSE)),"Fora do DRE",VLOOKUP(Base_Periodo1[[#This Row],[CONTA]],BaseContasDRE[#All],6,FALSE))</f>
        <v>Fora do DRE</v>
      </c>
      <c r="U5020" s="3" t="str">
        <f>IF(ISERROR(VLOOKUP(Base_Periodo1[[#This Row],[CONTA]],BaseContasDRE[#All],7,FALSE)),"Fora do DRE",VLOOKUP(Base_Periodo1[[#This Row],[CONTA]],BaseContasDRE[#All],7,FALSE))</f>
        <v>Fora do DRE</v>
      </c>
      <c r="V5020" s="3" t="str">
        <f>IF(Base_Periodo1[[#This Row],[Tipo_Linha]]="Fora do DRE","Fora do DRE","( "&amp;Base_Periodo1[[#This Row],[Tipo_Linha]]&amp;" ) "&amp;Base_Periodo1[[#This Row],[Filtro]])</f>
        <v>Fora do DRE</v>
      </c>
      <c r="W5020" s="3" t="str">
        <f>LEFT(Base_Periodo1[[#This Row],[CLASS]],3)</f>
        <v>2.4</v>
      </c>
    </row>
    <row r="5021" spans="1:23" hidden="1">
      <c r="A5021" s="3" t="str">
        <f t="shared" si="78"/>
        <v>Período 1</v>
      </c>
      <c r="B5021">
        <v>16044</v>
      </c>
      <c r="C5021" t="s">
        <v>2300</v>
      </c>
      <c r="D5021" t="s">
        <v>2919</v>
      </c>
      <c r="E5021" s="3" t="str">
        <f>IF(LEN(Base_Periodo1[[#This Row],[CLASS]])&gt;=7,LEFT(Base_Periodo1[[#This Row],[CLASS]],7),"")</f>
        <v>2.4.1.1</v>
      </c>
      <c r="F5021" s="3" t="str">
        <f>VLOOKUP(Base_Periodo1[[#This Row],[Aux]],Base_Contas_Balanco[#All],2,FALSE)</f>
        <v>Capital Social Realizado</v>
      </c>
      <c r="G5021" s="1"/>
      <c r="H5021" s="225">
        <v>1598.04</v>
      </c>
      <c r="I5021" s="225">
        <v>0</v>
      </c>
      <c r="J5021" s="225">
        <v>0</v>
      </c>
      <c r="K5021" s="225">
        <v>1598.04</v>
      </c>
      <c r="L50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1598.04</v>
      </c>
      <c r="M5021" s="225">
        <f>ROUND(IF(AND(Base_Periodo1[[#This Row],[Tipo_Linha]]="-",Base_Periodo1[[#This Row],[TIPOSALDO]]="D"),Base_Periodo1[[#This Row],[SALDO_ATUAL]]*-1,Base_Periodo1[[#This Row],[SALDO_ATUAL]]),4)</f>
        <v>1598.04</v>
      </c>
      <c r="N5021" t="s">
        <v>116</v>
      </c>
      <c r="O5021" t="s">
        <v>459</v>
      </c>
      <c r="P5021" t="s">
        <v>459</v>
      </c>
      <c r="Q5021">
        <v>6</v>
      </c>
      <c r="R5021" s="225">
        <f>Base_Periodo1[[#This Row],[CREDITOS]]-Base_Periodo1[[#This Row],[DEBITOS]]</f>
        <v>0</v>
      </c>
      <c r="S5021" s="3" t="str">
        <f>IF(ISERROR(VLOOKUP(Base_Periodo1[[#This Row],[CONTA]],BaseContasDRE[#All],4,FALSE)),"Fora do DRE",VLOOKUP(Base_Periodo1[[#This Row],[CONTA]],BaseContasDRE[#All],4,FALSE))</f>
        <v>Fora do DRE</v>
      </c>
      <c r="T5021" s="3" t="str">
        <f>IF(ISERROR(VLOOKUP(Base_Periodo1[[#This Row],[CONTA]],BaseContasDRE[#All],5,FALSE)),"Fora do DRE",VLOOKUP(Base_Periodo1[[#This Row],[CONTA]],BaseContasDRE[#All],6,FALSE))</f>
        <v>Fora do DRE</v>
      </c>
      <c r="U5021" s="3" t="str">
        <f>IF(ISERROR(VLOOKUP(Base_Periodo1[[#This Row],[CONTA]],BaseContasDRE[#All],7,FALSE)),"Fora do DRE",VLOOKUP(Base_Periodo1[[#This Row],[CONTA]],BaseContasDRE[#All],7,FALSE))</f>
        <v>Fora do DRE</v>
      </c>
      <c r="V5021" s="3" t="str">
        <f>IF(Base_Periodo1[[#This Row],[Tipo_Linha]]="Fora do DRE","Fora do DRE","( "&amp;Base_Periodo1[[#This Row],[Tipo_Linha]]&amp;" ) "&amp;Base_Periodo1[[#This Row],[Filtro]])</f>
        <v>Fora do DRE</v>
      </c>
      <c r="W5021" s="3" t="str">
        <f>LEFT(Base_Periodo1[[#This Row],[CLASS]],3)</f>
        <v>2.4</v>
      </c>
    </row>
    <row r="5022" spans="1:23" hidden="1">
      <c r="A5022" s="3" t="str">
        <f t="shared" si="78"/>
        <v>Período 1</v>
      </c>
      <c r="B5022">
        <v>25547</v>
      </c>
      <c r="C5022" t="s">
        <v>2300</v>
      </c>
      <c r="D5022" t="s">
        <v>2920</v>
      </c>
      <c r="E5022" s="3" t="str">
        <f>IF(LEN(Base_Periodo1[[#This Row],[CLASS]])&gt;=7,LEFT(Base_Periodo1[[#This Row],[CLASS]],7),"")</f>
        <v>2.4.1.1</v>
      </c>
      <c r="F5022" s="3" t="str">
        <f>VLOOKUP(Base_Periodo1[[#This Row],[Aux]],Base_Contas_Balanco[#All],2,FALSE)</f>
        <v>Capital Social Realizado</v>
      </c>
      <c r="G5022" s="1"/>
      <c r="H5022" s="225">
        <v>157.19</v>
      </c>
      <c r="I5022" s="225">
        <v>0</v>
      </c>
      <c r="J5022" s="225">
        <v>0</v>
      </c>
      <c r="K5022" s="225">
        <v>157.19</v>
      </c>
      <c r="L50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157.19</v>
      </c>
      <c r="M5022" s="225">
        <f>ROUND(IF(AND(Base_Periodo1[[#This Row],[Tipo_Linha]]="-",Base_Periodo1[[#This Row],[TIPOSALDO]]="D"),Base_Periodo1[[#This Row],[SALDO_ATUAL]]*-1,Base_Periodo1[[#This Row],[SALDO_ATUAL]]),4)</f>
        <v>157.19</v>
      </c>
      <c r="N5022" t="s">
        <v>116</v>
      </c>
      <c r="O5022" t="s">
        <v>459</v>
      </c>
      <c r="P5022" t="s">
        <v>459</v>
      </c>
      <c r="Q5022">
        <v>6</v>
      </c>
      <c r="R5022" s="225">
        <f>Base_Periodo1[[#This Row],[CREDITOS]]-Base_Periodo1[[#This Row],[DEBITOS]]</f>
        <v>0</v>
      </c>
      <c r="S5022" s="3" t="str">
        <f>IF(ISERROR(VLOOKUP(Base_Periodo1[[#This Row],[CONTA]],BaseContasDRE[#All],4,FALSE)),"Fora do DRE",VLOOKUP(Base_Periodo1[[#This Row],[CONTA]],BaseContasDRE[#All],4,FALSE))</f>
        <v>Fora do DRE</v>
      </c>
      <c r="T5022" s="3" t="str">
        <f>IF(ISERROR(VLOOKUP(Base_Periodo1[[#This Row],[CONTA]],BaseContasDRE[#All],5,FALSE)),"Fora do DRE",VLOOKUP(Base_Periodo1[[#This Row],[CONTA]],BaseContasDRE[#All],6,FALSE))</f>
        <v>Fora do DRE</v>
      </c>
      <c r="U5022" s="3" t="str">
        <f>IF(ISERROR(VLOOKUP(Base_Periodo1[[#This Row],[CONTA]],BaseContasDRE[#All],7,FALSE)),"Fora do DRE",VLOOKUP(Base_Periodo1[[#This Row],[CONTA]],BaseContasDRE[#All],7,FALSE))</f>
        <v>Fora do DRE</v>
      </c>
      <c r="V5022" s="3" t="str">
        <f>IF(Base_Periodo1[[#This Row],[Tipo_Linha]]="Fora do DRE","Fora do DRE","( "&amp;Base_Periodo1[[#This Row],[Tipo_Linha]]&amp;" ) "&amp;Base_Periodo1[[#This Row],[Filtro]])</f>
        <v>Fora do DRE</v>
      </c>
      <c r="W5022" s="3" t="str">
        <f>LEFT(Base_Periodo1[[#This Row],[CLASS]],3)</f>
        <v>2.4</v>
      </c>
    </row>
    <row r="5023" spans="1:23" hidden="1">
      <c r="A5023" s="3" t="str">
        <f t="shared" si="78"/>
        <v>Período 1</v>
      </c>
      <c r="B5023">
        <v>19358</v>
      </c>
      <c r="C5023" t="s">
        <v>2300</v>
      </c>
      <c r="D5023" t="s">
        <v>2921</v>
      </c>
      <c r="E5023" s="3" t="str">
        <f>IF(LEN(Base_Periodo1[[#This Row],[CLASS]])&gt;=7,LEFT(Base_Periodo1[[#This Row],[CLASS]],7),"")</f>
        <v>2.4.1.1</v>
      </c>
      <c r="F5023" s="3" t="str">
        <f>VLOOKUP(Base_Periodo1[[#This Row],[Aux]],Base_Contas_Balanco[#All],2,FALSE)</f>
        <v>Capital Social Realizado</v>
      </c>
      <c r="G5023" s="1"/>
      <c r="H5023" s="225">
        <v>702.18999999999994</v>
      </c>
      <c r="I5023" s="225">
        <v>0</v>
      </c>
      <c r="J5023" s="225">
        <v>0</v>
      </c>
      <c r="K5023" s="225">
        <v>702.18999999999994</v>
      </c>
      <c r="L50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702.19</v>
      </c>
      <c r="M5023" s="225">
        <f>ROUND(IF(AND(Base_Periodo1[[#This Row],[Tipo_Linha]]="-",Base_Periodo1[[#This Row],[TIPOSALDO]]="D"),Base_Periodo1[[#This Row],[SALDO_ATUAL]]*-1,Base_Periodo1[[#This Row],[SALDO_ATUAL]]),4)</f>
        <v>702.19</v>
      </c>
      <c r="N5023" t="s">
        <v>116</v>
      </c>
      <c r="O5023" t="s">
        <v>459</v>
      </c>
      <c r="P5023" t="s">
        <v>459</v>
      </c>
      <c r="Q5023">
        <v>6</v>
      </c>
      <c r="R5023" s="225">
        <f>Base_Periodo1[[#This Row],[CREDITOS]]-Base_Periodo1[[#This Row],[DEBITOS]]</f>
        <v>0</v>
      </c>
      <c r="S5023" s="3" t="str">
        <f>IF(ISERROR(VLOOKUP(Base_Periodo1[[#This Row],[CONTA]],BaseContasDRE[#All],4,FALSE)),"Fora do DRE",VLOOKUP(Base_Periodo1[[#This Row],[CONTA]],BaseContasDRE[#All],4,FALSE))</f>
        <v>Fora do DRE</v>
      </c>
      <c r="T5023" s="3" t="str">
        <f>IF(ISERROR(VLOOKUP(Base_Periodo1[[#This Row],[CONTA]],BaseContasDRE[#All],5,FALSE)),"Fora do DRE",VLOOKUP(Base_Periodo1[[#This Row],[CONTA]],BaseContasDRE[#All],6,FALSE))</f>
        <v>Fora do DRE</v>
      </c>
      <c r="U5023" s="3" t="str">
        <f>IF(ISERROR(VLOOKUP(Base_Periodo1[[#This Row],[CONTA]],BaseContasDRE[#All],7,FALSE)),"Fora do DRE",VLOOKUP(Base_Periodo1[[#This Row],[CONTA]],BaseContasDRE[#All],7,FALSE))</f>
        <v>Fora do DRE</v>
      </c>
      <c r="V5023" s="3" t="str">
        <f>IF(Base_Periodo1[[#This Row],[Tipo_Linha]]="Fora do DRE","Fora do DRE","( "&amp;Base_Periodo1[[#This Row],[Tipo_Linha]]&amp;" ) "&amp;Base_Periodo1[[#This Row],[Filtro]])</f>
        <v>Fora do DRE</v>
      </c>
      <c r="W5023" s="3" t="str">
        <f>LEFT(Base_Periodo1[[#This Row],[CLASS]],3)</f>
        <v>2.4</v>
      </c>
    </row>
    <row r="5024" spans="1:23" hidden="1">
      <c r="A5024" s="3" t="str">
        <f t="shared" si="78"/>
        <v>Período 1</v>
      </c>
      <c r="B5024">
        <v>59349</v>
      </c>
      <c r="C5024" t="s">
        <v>2300</v>
      </c>
      <c r="D5024" t="s">
        <v>7185</v>
      </c>
      <c r="E5024" s="3" t="str">
        <f>IF(LEN(Base_Periodo1[[#This Row],[CLASS]])&gt;=7,LEFT(Base_Periodo1[[#This Row],[CLASS]],7),"")</f>
        <v>2.4.1.1</v>
      </c>
      <c r="F5024" s="3" t="str">
        <f>VLOOKUP(Base_Periodo1[[#This Row],[Aux]],Base_Contas_Balanco[#All],2,FALSE)</f>
        <v>Capital Social Realizado</v>
      </c>
      <c r="G5024" s="1"/>
      <c r="I5024" s="225">
        <v>0</v>
      </c>
      <c r="J5024" s="225">
        <v>240</v>
      </c>
      <c r="K5024" s="225">
        <v>240</v>
      </c>
      <c r="L50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024" s="225">
        <f>ROUND(IF(AND(Base_Periodo1[[#This Row],[Tipo_Linha]]="-",Base_Periodo1[[#This Row],[TIPOSALDO]]="D"),Base_Periodo1[[#This Row],[SALDO_ATUAL]]*-1,Base_Periodo1[[#This Row],[SALDO_ATUAL]]),4)</f>
        <v>240</v>
      </c>
      <c r="N5024" t="s">
        <v>116</v>
      </c>
      <c r="O5024" t="s">
        <v>436</v>
      </c>
      <c r="P5024" t="s">
        <v>459</v>
      </c>
      <c r="Q5024">
        <v>6</v>
      </c>
      <c r="R5024" s="225">
        <f>Base_Periodo1[[#This Row],[CREDITOS]]-Base_Periodo1[[#This Row],[DEBITOS]]</f>
        <v>240</v>
      </c>
      <c r="S5024" s="3" t="str">
        <f>IF(ISERROR(VLOOKUP(Base_Periodo1[[#This Row],[CONTA]],BaseContasDRE[#All],4,FALSE)),"Fora do DRE",VLOOKUP(Base_Periodo1[[#This Row],[CONTA]],BaseContasDRE[#All],4,FALSE))</f>
        <v>Fora do DRE</v>
      </c>
      <c r="T5024" s="3" t="str">
        <f>IF(ISERROR(VLOOKUP(Base_Periodo1[[#This Row],[CONTA]],BaseContasDRE[#All],5,FALSE)),"Fora do DRE",VLOOKUP(Base_Periodo1[[#This Row],[CONTA]],BaseContasDRE[#All],6,FALSE))</f>
        <v>Fora do DRE</v>
      </c>
      <c r="U5024" s="3" t="str">
        <f>IF(ISERROR(VLOOKUP(Base_Periodo1[[#This Row],[CONTA]],BaseContasDRE[#All],7,FALSE)),"Fora do DRE",VLOOKUP(Base_Periodo1[[#This Row],[CONTA]],BaseContasDRE[#All],7,FALSE))</f>
        <v>Fora do DRE</v>
      </c>
      <c r="V5024" s="3" t="str">
        <f>IF(Base_Periodo1[[#This Row],[Tipo_Linha]]="Fora do DRE","Fora do DRE","( "&amp;Base_Periodo1[[#This Row],[Tipo_Linha]]&amp;" ) "&amp;Base_Periodo1[[#This Row],[Filtro]])</f>
        <v>Fora do DRE</v>
      </c>
      <c r="W5024" s="3" t="str">
        <f>LEFT(Base_Periodo1[[#This Row],[CLASS]],3)</f>
        <v>2.4</v>
      </c>
    </row>
    <row r="5025" spans="1:23" hidden="1">
      <c r="A5025" s="3" t="str">
        <f t="shared" si="78"/>
        <v>Período 1</v>
      </c>
      <c r="B5025">
        <v>16014</v>
      </c>
      <c r="C5025" t="s">
        <v>2300</v>
      </c>
      <c r="D5025" t="s">
        <v>2922</v>
      </c>
      <c r="E5025" s="3" t="str">
        <f>IF(LEN(Base_Periodo1[[#This Row],[CLASS]])&gt;=7,LEFT(Base_Periodo1[[#This Row],[CLASS]],7),"")</f>
        <v>2.4.1.1</v>
      </c>
      <c r="F5025" s="3" t="str">
        <f>VLOOKUP(Base_Periodo1[[#This Row],[Aux]],Base_Contas_Balanco[#All],2,FALSE)</f>
        <v>Capital Social Realizado</v>
      </c>
      <c r="G5025" s="1"/>
      <c r="H5025" s="225">
        <v>24823.86</v>
      </c>
      <c r="I5025" s="225">
        <v>0</v>
      </c>
      <c r="J5025" s="225">
        <v>0</v>
      </c>
      <c r="K5025" s="225">
        <v>24823.86</v>
      </c>
      <c r="L50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24823.86</v>
      </c>
      <c r="M5025" s="225">
        <f>ROUND(IF(AND(Base_Periodo1[[#This Row],[Tipo_Linha]]="-",Base_Periodo1[[#This Row],[TIPOSALDO]]="D"),Base_Periodo1[[#This Row],[SALDO_ATUAL]]*-1,Base_Periodo1[[#This Row],[SALDO_ATUAL]]),4)</f>
        <v>24823.86</v>
      </c>
      <c r="N5025" t="s">
        <v>116</v>
      </c>
      <c r="O5025" t="s">
        <v>459</v>
      </c>
      <c r="P5025" t="s">
        <v>459</v>
      </c>
      <c r="Q5025">
        <v>6</v>
      </c>
      <c r="R5025" s="225">
        <f>Base_Periodo1[[#This Row],[CREDITOS]]-Base_Periodo1[[#This Row],[DEBITOS]]</f>
        <v>0</v>
      </c>
      <c r="S5025" s="3" t="str">
        <f>IF(ISERROR(VLOOKUP(Base_Periodo1[[#This Row],[CONTA]],BaseContasDRE[#All],4,FALSE)),"Fora do DRE",VLOOKUP(Base_Periodo1[[#This Row],[CONTA]],BaseContasDRE[#All],4,FALSE))</f>
        <v>Fora do DRE</v>
      </c>
      <c r="T5025" s="3" t="str">
        <f>IF(ISERROR(VLOOKUP(Base_Periodo1[[#This Row],[CONTA]],BaseContasDRE[#All],5,FALSE)),"Fora do DRE",VLOOKUP(Base_Periodo1[[#This Row],[CONTA]],BaseContasDRE[#All],6,FALSE))</f>
        <v>Fora do DRE</v>
      </c>
      <c r="U5025" s="3" t="str">
        <f>IF(ISERROR(VLOOKUP(Base_Periodo1[[#This Row],[CONTA]],BaseContasDRE[#All],7,FALSE)),"Fora do DRE",VLOOKUP(Base_Periodo1[[#This Row],[CONTA]],BaseContasDRE[#All],7,FALSE))</f>
        <v>Fora do DRE</v>
      </c>
      <c r="V5025" s="3" t="str">
        <f>IF(Base_Periodo1[[#This Row],[Tipo_Linha]]="Fora do DRE","Fora do DRE","( "&amp;Base_Periodo1[[#This Row],[Tipo_Linha]]&amp;" ) "&amp;Base_Periodo1[[#This Row],[Filtro]])</f>
        <v>Fora do DRE</v>
      </c>
      <c r="W5025" s="3" t="str">
        <f>LEFT(Base_Periodo1[[#This Row],[CLASS]],3)</f>
        <v>2.4</v>
      </c>
    </row>
    <row r="5026" spans="1:23" hidden="1">
      <c r="A5026" s="3" t="str">
        <f t="shared" si="78"/>
        <v>Período 1</v>
      </c>
      <c r="B5026">
        <v>29680</v>
      </c>
      <c r="C5026" t="s">
        <v>2300</v>
      </c>
      <c r="D5026" t="s">
        <v>2923</v>
      </c>
      <c r="E5026" s="3" t="str">
        <f>IF(LEN(Base_Periodo1[[#This Row],[CLASS]])&gt;=7,LEFT(Base_Periodo1[[#This Row],[CLASS]],7),"")</f>
        <v>2.4.1.1</v>
      </c>
      <c r="F5026" s="3" t="str">
        <f>VLOOKUP(Base_Periodo1[[#This Row],[Aux]],Base_Contas_Balanco[#All],2,FALSE)</f>
        <v>Capital Social Realizado</v>
      </c>
      <c r="G5026" s="1"/>
      <c r="H5026" s="225">
        <v>721.16</v>
      </c>
      <c r="I5026" s="225">
        <v>0</v>
      </c>
      <c r="J5026" s="225">
        <v>0</v>
      </c>
      <c r="K5026" s="225">
        <v>721.16</v>
      </c>
      <c r="L50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721.16</v>
      </c>
      <c r="M5026" s="225">
        <f>ROUND(IF(AND(Base_Periodo1[[#This Row],[Tipo_Linha]]="-",Base_Periodo1[[#This Row],[TIPOSALDO]]="D"),Base_Periodo1[[#This Row],[SALDO_ATUAL]]*-1,Base_Periodo1[[#This Row],[SALDO_ATUAL]]),4)</f>
        <v>721.16</v>
      </c>
      <c r="N5026" t="s">
        <v>116</v>
      </c>
      <c r="O5026" t="s">
        <v>459</v>
      </c>
      <c r="P5026" t="s">
        <v>459</v>
      </c>
      <c r="Q5026">
        <v>6</v>
      </c>
      <c r="R5026" s="225">
        <f>Base_Periodo1[[#This Row],[CREDITOS]]-Base_Periodo1[[#This Row],[DEBITOS]]</f>
        <v>0</v>
      </c>
      <c r="S5026" s="3" t="str">
        <f>IF(ISERROR(VLOOKUP(Base_Periodo1[[#This Row],[CONTA]],BaseContasDRE[#All],4,FALSE)),"Fora do DRE",VLOOKUP(Base_Periodo1[[#This Row],[CONTA]],BaseContasDRE[#All],4,FALSE))</f>
        <v>Fora do DRE</v>
      </c>
      <c r="T5026" s="3" t="str">
        <f>IF(ISERROR(VLOOKUP(Base_Periodo1[[#This Row],[CONTA]],BaseContasDRE[#All],5,FALSE)),"Fora do DRE",VLOOKUP(Base_Periodo1[[#This Row],[CONTA]],BaseContasDRE[#All],6,FALSE))</f>
        <v>Fora do DRE</v>
      </c>
      <c r="U5026" s="3" t="str">
        <f>IF(ISERROR(VLOOKUP(Base_Periodo1[[#This Row],[CONTA]],BaseContasDRE[#All],7,FALSE)),"Fora do DRE",VLOOKUP(Base_Periodo1[[#This Row],[CONTA]],BaseContasDRE[#All],7,FALSE))</f>
        <v>Fora do DRE</v>
      </c>
      <c r="V5026" s="3" t="str">
        <f>IF(Base_Periodo1[[#This Row],[Tipo_Linha]]="Fora do DRE","Fora do DRE","( "&amp;Base_Periodo1[[#This Row],[Tipo_Linha]]&amp;" ) "&amp;Base_Periodo1[[#This Row],[Filtro]])</f>
        <v>Fora do DRE</v>
      </c>
      <c r="W5026" s="3" t="str">
        <f>LEFT(Base_Periodo1[[#This Row],[CLASS]],3)</f>
        <v>2.4</v>
      </c>
    </row>
    <row r="5027" spans="1:23" hidden="1">
      <c r="A5027" s="3" t="str">
        <f t="shared" si="78"/>
        <v>Período 1</v>
      </c>
      <c r="B5027">
        <v>53978</v>
      </c>
      <c r="C5027" t="s">
        <v>2300</v>
      </c>
      <c r="D5027" t="s">
        <v>5097</v>
      </c>
      <c r="E5027" s="3" t="str">
        <f>IF(LEN(Base_Periodo1[[#This Row],[CLASS]])&gt;=7,LEFT(Base_Periodo1[[#This Row],[CLASS]],7),"")</f>
        <v>2.4.1.1</v>
      </c>
      <c r="F5027" s="3" t="str">
        <f>VLOOKUP(Base_Periodo1[[#This Row],[Aux]],Base_Contas_Balanco[#All],2,FALSE)</f>
        <v>Capital Social Realizado</v>
      </c>
      <c r="G5027" s="1"/>
      <c r="H5027" s="225">
        <v>62.6</v>
      </c>
      <c r="I5027" s="225">
        <v>0</v>
      </c>
      <c r="J5027" s="225">
        <v>0</v>
      </c>
      <c r="K5027" s="225">
        <v>62.6</v>
      </c>
      <c r="L50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62.6</v>
      </c>
      <c r="M5027" s="225">
        <f>ROUND(IF(AND(Base_Periodo1[[#This Row],[Tipo_Linha]]="-",Base_Periodo1[[#This Row],[TIPOSALDO]]="D"),Base_Periodo1[[#This Row],[SALDO_ATUAL]]*-1,Base_Periodo1[[#This Row],[SALDO_ATUAL]]),4)</f>
        <v>62.6</v>
      </c>
      <c r="N5027" t="s">
        <v>116</v>
      </c>
      <c r="O5027" t="s">
        <v>459</v>
      </c>
      <c r="P5027" t="s">
        <v>459</v>
      </c>
      <c r="Q5027">
        <v>6</v>
      </c>
      <c r="R5027" s="225">
        <f>Base_Periodo1[[#This Row],[CREDITOS]]-Base_Periodo1[[#This Row],[DEBITOS]]</f>
        <v>0</v>
      </c>
      <c r="S5027" s="3" t="str">
        <f>IF(ISERROR(VLOOKUP(Base_Periodo1[[#This Row],[CONTA]],BaseContasDRE[#All],4,FALSE)),"Fora do DRE",VLOOKUP(Base_Periodo1[[#This Row],[CONTA]],BaseContasDRE[#All],4,FALSE))</f>
        <v>Fora do DRE</v>
      </c>
      <c r="T5027" s="3" t="str">
        <f>IF(ISERROR(VLOOKUP(Base_Periodo1[[#This Row],[CONTA]],BaseContasDRE[#All],5,FALSE)),"Fora do DRE",VLOOKUP(Base_Periodo1[[#This Row],[CONTA]],BaseContasDRE[#All],6,FALSE))</f>
        <v>Fora do DRE</v>
      </c>
      <c r="U5027" s="3" t="str">
        <f>IF(ISERROR(VLOOKUP(Base_Periodo1[[#This Row],[CONTA]],BaseContasDRE[#All],7,FALSE)),"Fora do DRE",VLOOKUP(Base_Periodo1[[#This Row],[CONTA]],BaseContasDRE[#All],7,FALSE))</f>
        <v>Fora do DRE</v>
      </c>
      <c r="V5027" s="3" t="str">
        <f>IF(Base_Periodo1[[#This Row],[Tipo_Linha]]="Fora do DRE","Fora do DRE","( "&amp;Base_Periodo1[[#This Row],[Tipo_Linha]]&amp;" ) "&amp;Base_Periodo1[[#This Row],[Filtro]])</f>
        <v>Fora do DRE</v>
      </c>
      <c r="W5027" s="3" t="str">
        <f>LEFT(Base_Periodo1[[#This Row],[CLASS]],3)</f>
        <v>2.4</v>
      </c>
    </row>
    <row r="5028" spans="1:23" hidden="1">
      <c r="A5028" s="3" t="str">
        <f t="shared" si="78"/>
        <v>Período 1</v>
      </c>
      <c r="B5028">
        <v>52568</v>
      </c>
      <c r="C5028" t="s">
        <v>2300</v>
      </c>
      <c r="D5028" t="s">
        <v>4789</v>
      </c>
      <c r="E5028" s="3" t="str">
        <f>IF(LEN(Base_Periodo1[[#This Row],[CLASS]])&gt;=7,LEFT(Base_Periodo1[[#This Row],[CLASS]],7),"")</f>
        <v>2.4.1.1</v>
      </c>
      <c r="F5028" s="3" t="str">
        <f>VLOOKUP(Base_Periodo1[[#This Row],[Aux]],Base_Contas_Balanco[#All],2,FALSE)</f>
        <v>Capital Social Realizado</v>
      </c>
      <c r="G5028" s="1"/>
      <c r="H5028" s="225">
        <v>50</v>
      </c>
      <c r="I5028" s="225">
        <v>0</v>
      </c>
      <c r="J5028" s="225">
        <v>0</v>
      </c>
      <c r="K5028" s="225">
        <v>50</v>
      </c>
      <c r="L50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28" s="225">
        <f>ROUND(IF(AND(Base_Periodo1[[#This Row],[Tipo_Linha]]="-",Base_Periodo1[[#This Row],[TIPOSALDO]]="D"),Base_Periodo1[[#This Row],[SALDO_ATUAL]]*-1,Base_Periodo1[[#This Row],[SALDO_ATUAL]]),4)</f>
        <v>50</v>
      </c>
      <c r="N5028" t="s">
        <v>116</v>
      </c>
      <c r="O5028" t="s">
        <v>459</v>
      </c>
      <c r="P5028" t="s">
        <v>459</v>
      </c>
      <c r="Q5028">
        <v>6</v>
      </c>
      <c r="R5028" s="225">
        <f>Base_Periodo1[[#This Row],[CREDITOS]]-Base_Periodo1[[#This Row],[DEBITOS]]</f>
        <v>0</v>
      </c>
      <c r="S5028" s="3" t="str">
        <f>IF(ISERROR(VLOOKUP(Base_Periodo1[[#This Row],[CONTA]],BaseContasDRE[#All],4,FALSE)),"Fora do DRE",VLOOKUP(Base_Periodo1[[#This Row],[CONTA]],BaseContasDRE[#All],4,FALSE))</f>
        <v>Fora do DRE</v>
      </c>
      <c r="T5028" s="3" t="str">
        <f>IF(ISERROR(VLOOKUP(Base_Periodo1[[#This Row],[CONTA]],BaseContasDRE[#All],5,FALSE)),"Fora do DRE",VLOOKUP(Base_Periodo1[[#This Row],[CONTA]],BaseContasDRE[#All],6,FALSE))</f>
        <v>Fora do DRE</v>
      </c>
      <c r="U5028" s="3" t="str">
        <f>IF(ISERROR(VLOOKUP(Base_Periodo1[[#This Row],[CONTA]],BaseContasDRE[#All],7,FALSE)),"Fora do DRE",VLOOKUP(Base_Periodo1[[#This Row],[CONTA]],BaseContasDRE[#All],7,FALSE))</f>
        <v>Fora do DRE</v>
      </c>
      <c r="V5028" s="3" t="str">
        <f>IF(Base_Periodo1[[#This Row],[Tipo_Linha]]="Fora do DRE","Fora do DRE","( "&amp;Base_Periodo1[[#This Row],[Tipo_Linha]]&amp;" ) "&amp;Base_Periodo1[[#This Row],[Filtro]])</f>
        <v>Fora do DRE</v>
      </c>
      <c r="W5028" s="3" t="str">
        <f>LEFT(Base_Periodo1[[#This Row],[CLASS]],3)</f>
        <v>2.4</v>
      </c>
    </row>
    <row r="5029" spans="1:23" hidden="1">
      <c r="A5029" s="3" t="str">
        <f t="shared" si="78"/>
        <v>Período 1</v>
      </c>
      <c r="B5029">
        <v>24610</v>
      </c>
      <c r="C5029" t="s">
        <v>2300</v>
      </c>
      <c r="D5029" t="s">
        <v>2924</v>
      </c>
      <c r="E5029" s="3" t="str">
        <f>IF(LEN(Base_Periodo1[[#This Row],[CLASS]])&gt;=7,LEFT(Base_Periodo1[[#This Row],[CLASS]],7),"")</f>
        <v>2.4.1.1</v>
      </c>
      <c r="F5029" s="3" t="str">
        <f>VLOOKUP(Base_Periodo1[[#This Row],[Aux]],Base_Contas_Balanco[#All],2,FALSE)</f>
        <v>Capital Social Realizado</v>
      </c>
      <c r="G5029" s="1"/>
      <c r="H5029" s="225">
        <v>467.06</v>
      </c>
      <c r="I5029" s="225">
        <v>0</v>
      </c>
      <c r="J5029" s="225">
        <v>0</v>
      </c>
      <c r="K5029" s="225">
        <v>467.06</v>
      </c>
      <c r="L50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467.06</v>
      </c>
      <c r="M5029" s="225">
        <f>ROUND(IF(AND(Base_Periodo1[[#This Row],[Tipo_Linha]]="-",Base_Periodo1[[#This Row],[TIPOSALDO]]="D"),Base_Periodo1[[#This Row],[SALDO_ATUAL]]*-1,Base_Periodo1[[#This Row],[SALDO_ATUAL]]),4)</f>
        <v>467.06</v>
      </c>
      <c r="N5029" t="s">
        <v>116</v>
      </c>
      <c r="O5029" t="s">
        <v>459</v>
      </c>
      <c r="P5029" t="s">
        <v>459</v>
      </c>
      <c r="Q5029">
        <v>6</v>
      </c>
      <c r="R5029" s="225">
        <f>Base_Periodo1[[#This Row],[CREDITOS]]-Base_Periodo1[[#This Row],[DEBITOS]]</f>
        <v>0</v>
      </c>
      <c r="S5029" s="3" t="str">
        <f>IF(ISERROR(VLOOKUP(Base_Periodo1[[#This Row],[CONTA]],BaseContasDRE[#All],4,FALSE)),"Fora do DRE",VLOOKUP(Base_Periodo1[[#This Row],[CONTA]],BaseContasDRE[#All],4,FALSE))</f>
        <v>Fora do DRE</v>
      </c>
      <c r="T5029" s="3" t="str">
        <f>IF(ISERROR(VLOOKUP(Base_Periodo1[[#This Row],[CONTA]],BaseContasDRE[#All],5,FALSE)),"Fora do DRE",VLOOKUP(Base_Periodo1[[#This Row],[CONTA]],BaseContasDRE[#All],6,FALSE))</f>
        <v>Fora do DRE</v>
      </c>
      <c r="U5029" s="3" t="str">
        <f>IF(ISERROR(VLOOKUP(Base_Periodo1[[#This Row],[CONTA]],BaseContasDRE[#All],7,FALSE)),"Fora do DRE",VLOOKUP(Base_Periodo1[[#This Row],[CONTA]],BaseContasDRE[#All],7,FALSE))</f>
        <v>Fora do DRE</v>
      </c>
      <c r="V5029" s="3" t="str">
        <f>IF(Base_Periodo1[[#This Row],[Tipo_Linha]]="Fora do DRE","Fora do DRE","( "&amp;Base_Periodo1[[#This Row],[Tipo_Linha]]&amp;" ) "&amp;Base_Periodo1[[#This Row],[Filtro]])</f>
        <v>Fora do DRE</v>
      </c>
      <c r="W5029" s="3" t="str">
        <f>LEFT(Base_Periodo1[[#This Row],[CLASS]],3)</f>
        <v>2.4</v>
      </c>
    </row>
    <row r="5030" spans="1:23" hidden="1">
      <c r="A5030" s="3" t="str">
        <f t="shared" si="78"/>
        <v>Período 1</v>
      </c>
      <c r="B5030">
        <v>29671</v>
      </c>
      <c r="C5030" t="s">
        <v>2300</v>
      </c>
      <c r="D5030" t="s">
        <v>2925</v>
      </c>
      <c r="E5030" s="3" t="str">
        <f>IF(LEN(Base_Periodo1[[#This Row],[CLASS]])&gt;=7,LEFT(Base_Periodo1[[#This Row],[CLASS]],7),"")</f>
        <v>2.4.1.1</v>
      </c>
      <c r="F5030" s="3" t="str">
        <f>VLOOKUP(Base_Periodo1[[#This Row],[Aux]],Base_Contas_Balanco[#All],2,FALSE)</f>
        <v>Capital Social Realizado</v>
      </c>
      <c r="G5030" s="1"/>
      <c r="H5030" s="225">
        <v>95.13</v>
      </c>
      <c r="I5030" s="225">
        <v>0</v>
      </c>
      <c r="J5030" s="225">
        <v>0</v>
      </c>
      <c r="K5030" s="225">
        <v>95.13</v>
      </c>
      <c r="L50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95.13</v>
      </c>
      <c r="M5030" s="225">
        <f>ROUND(IF(AND(Base_Periodo1[[#This Row],[Tipo_Linha]]="-",Base_Periodo1[[#This Row],[TIPOSALDO]]="D"),Base_Periodo1[[#This Row],[SALDO_ATUAL]]*-1,Base_Periodo1[[#This Row],[SALDO_ATUAL]]),4)</f>
        <v>95.13</v>
      </c>
      <c r="N5030" t="s">
        <v>116</v>
      </c>
      <c r="O5030" t="s">
        <v>459</v>
      </c>
      <c r="P5030" t="s">
        <v>459</v>
      </c>
      <c r="Q5030">
        <v>6</v>
      </c>
      <c r="R5030" s="225">
        <f>Base_Periodo1[[#This Row],[CREDITOS]]-Base_Periodo1[[#This Row],[DEBITOS]]</f>
        <v>0</v>
      </c>
      <c r="S5030" s="3" t="str">
        <f>IF(ISERROR(VLOOKUP(Base_Periodo1[[#This Row],[CONTA]],BaseContasDRE[#All],4,FALSE)),"Fora do DRE",VLOOKUP(Base_Periodo1[[#This Row],[CONTA]],BaseContasDRE[#All],4,FALSE))</f>
        <v>Fora do DRE</v>
      </c>
      <c r="T5030" s="3" t="str">
        <f>IF(ISERROR(VLOOKUP(Base_Periodo1[[#This Row],[CONTA]],BaseContasDRE[#All],5,FALSE)),"Fora do DRE",VLOOKUP(Base_Periodo1[[#This Row],[CONTA]],BaseContasDRE[#All],6,FALSE))</f>
        <v>Fora do DRE</v>
      </c>
      <c r="U5030" s="3" t="str">
        <f>IF(ISERROR(VLOOKUP(Base_Periodo1[[#This Row],[CONTA]],BaseContasDRE[#All],7,FALSE)),"Fora do DRE",VLOOKUP(Base_Periodo1[[#This Row],[CONTA]],BaseContasDRE[#All],7,FALSE))</f>
        <v>Fora do DRE</v>
      </c>
      <c r="V5030" s="3" t="str">
        <f>IF(Base_Periodo1[[#This Row],[Tipo_Linha]]="Fora do DRE","Fora do DRE","( "&amp;Base_Periodo1[[#This Row],[Tipo_Linha]]&amp;" ) "&amp;Base_Periodo1[[#This Row],[Filtro]])</f>
        <v>Fora do DRE</v>
      </c>
      <c r="W5030" s="3" t="str">
        <f>LEFT(Base_Periodo1[[#This Row],[CLASS]],3)</f>
        <v>2.4</v>
      </c>
    </row>
    <row r="5031" spans="1:23" hidden="1">
      <c r="A5031" s="3" t="str">
        <f t="shared" si="78"/>
        <v>Período 1</v>
      </c>
      <c r="B5031">
        <v>19359</v>
      </c>
      <c r="C5031" t="s">
        <v>2300</v>
      </c>
      <c r="D5031" t="s">
        <v>2926</v>
      </c>
      <c r="E5031" s="3" t="str">
        <f>IF(LEN(Base_Periodo1[[#This Row],[CLASS]])&gt;=7,LEFT(Base_Periodo1[[#This Row],[CLASS]],7),"")</f>
        <v>2.4.1.1</v>
      </c>
      <c r="F5031" s="3" t="str">
        <f>VLOOKUP(Base_Periodo1[[#This Row],[Aux]],Base_Contas_Balanco[#All],2,FALSE)</f>
        <v>Capital Social Realizado</v>
      </c>
      <c r="G5031" s="1"/>
      <c r="H5031" s="225">
        <v>349.07</v>
      </c>
      <c r="I5031" s="225">
        <v>0</v>
      </c>
      <c r="J5031" s="225">
        <v>0</v>
      </c>
      <c r="K5031" s="225">
        <v>349.07</v>
      </c>
      <c r="L50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349.07</v>
      </c>
      <c r="M5031" s="225">
        <f>ROUND(IF(AND(Base_Periodo1[[#This Row],[Tipo_Linha]]="-",Base_Periodo1[[#This Row],[TIPOSALDO]]="D"),Base_Periodo1[[#This Row],[SALDO_ATUAL]]*-1,Base_Periodo1[[#This Row],[SALDO_ATUAL]]),4)</f>
        <v>349.07</v>
      </c>
      <c r="N5031" t="s">
        <v>116</v>
      </c>
      <c r="O5031" t="s">
        <v>459</v>
      </c>
      <c r="P5031" t="s">
        <v>459</v>
      </c>
      <c r="Q5031">
        <v>6</v>
      </c>
      <c r="R5031" s="225">
        <f>Base_Periodo1[[#This Row],[CREDITOS]]-Base_Periodo1[[#This Row],[DEBITOS]]</f>
        <v>0</v>
      </c>
      <c r="S5031" s="3" t="str">
        <f>IF(ISERROR(VLOOKUP(Base_Periodo1[[#This Row],[CONTA]],BaseContasDRE[#All],4,FALSE)),"Fora do DRE",VLOOKUP(Base_Periodo1[[#This Row],[CONTA]],BaseContasDRE[#All],4,FALSE))</f>
        <v>Fora do DRE</v>
      </c>
      <c r="T5031" s="3" t="str">
        <f>IF(ISERROR(VLOOKUP(Base_Periodo1[[#This Row],[CONTA]],BaseContasDRE[#All],5,FALSE)),"Fora do DRE",VLOOKUP(Base_Periodo1[[#This Row],[CONTA]],BaseContasDRE[#All],6,FALSE))</f>
        <v>Fora do DRE</v>
      </c>
      <c r="U5031" s="3" t="str">
        <f>IF(ISERROR(VLOOKUP(Base_Periodo1[[#This Row],[CONTA]],BaseContasDRE[#All],7,FALSE)),"Fora do DRE",VLOOKUP(Base_Periodo1[[#This Row],[CONTA]],BaseContasDRE[#All],7,FALSE))</f>
        <v>Fora do DRE</v>
      </c>
      <c r="V5031" s="3" t="str">
        <f>IF(Base_Periodo1[[#This Row],[Tipo_Linha]]="Fora do DRE","Fora do DRE","( "&amp;Base_Periodo1[[#This Row],[Tipo_Linha]]&amp;" ) "&amp;Base_Periodo1[[#This Row],[Filtro]])</f>
        <v>Fora do DRE</v>
      </c>
      <c r="W5031" s="3" t="str">
        <f>LEFT(Base_Periodo1[[#This Row],[CLASS]],3)</f>
        <v>2.4</v>
      </c>
    </row>
    <row r="5032" spans="1:23" hidden="1">
      <c r="A5032" s="3" t="str">
        <f t="shared" si="78"/>
        <v>Período 1</v>
      </c>
      <c r="B5032">
        <v>49655</v>
      </c>
      <c r="C5032" t="s">
        <v>2300</v>
      </c>
      <c r="D5032" t="s">
        <v>4314</v>
      </c>
      <c r="E5032" s="3" t="str">
        <f>IF(LEN(Base_Periodo1[[#This Row],[CLASS]])&gt;=7,LEFT(Base_Periodo1[[#This Row],[CLASS]],7),"")</f>
        <v>2.4.1.1</v>
      </c>
      <c r="F5032" s="3" t="str">
        <f>VLOOKUP(Base_Periodo1[[#This Row],[Aux]],Base_Contas_Balanco[#All],2,FALSE)</f>
        <v>Capital Social Realizado</v>
      </c>
      <c r="G5032" s="1"/>
      <c r="H5032" s="225">
        <v>50</v>
      </c>
      <c r="I5032" s="225">
        <v>0</v>
      </c>
      <c r="J5032" s="225">
        <v>0</v>
      </c>
      <c r="K5032" s="225">
        <v>50</v>
      </c>
      <c r="L50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32" s="225">
        <f>ROUND(IF(AND(Base_Periodo1[[#This Row],[Tipo_Linha]]="-",Base_Periodo1[[#This Row],[TIPOSALDO]]="D"),Base_Periodo1[[#This Row],[SALDO_ATUAL]]*-1,Base_Periodo1[[#This Row],[SALDO_ATUAL]]),4)</f>
        <v>50</v>
      </c>
      <c r="N5032" t="s">
        <v>116</v>
      </c>
      <c r="O5032" t="s">
        <v>459</v>
      </c>
      <c r="P5032" t="s">
        <v>459</v>
      </c>
      <c r="Q5032">
        <v>6</v>
      </c>
      <c r="R5032" s="225">
        <f>Base_Periodo1[[#This Row],[CREDITOS]]-Base_Periodo1[[#This Row],[DEBITOS]]</f>
        <v>0</v>
      </c>
      <c r="S5032" s="3" t="str">
        <f>IF(ISERROR(VLOOKUP(Base_Periodo1[[#This Row],[CONTA]],BaseContasDRE[#All],4,FALSE)),"Fora do DRE",VLOOKUP(Base_Periodo1[[#This Row],[CONTA]],BaseContasDRE[#All],4,FALSE))</f>
        <v>Fora do DRE</v>
      </c>
      <c r="T5032" s="3" t="str">
        <f>IF(ISERROR(VLOOKUP(Base_Periodo1[[#This Row],[CONTA]],BaseContasDRE[#All],5,FALSE)),"Fora do DRE",VLOOKUP(Base_Periodo1[[#This Row],[CONTA]],BaseContasDRE[#All],6,FALSE))</f>
        <v>Fora do DRE</v>
      </c>
      <c r="U5032" s="3" t="str">
        <f>IF(ISERROR(VLOOKUP(Base_Periodo1[[#This Row],[CONTA]],BaseContasDRE[#All],7,FALSE)),"Fora do DRE",VLOOKUP(Base_Periodo1[[#This Row],[CONTA]],BaseContasDRE[#All],7,FALSE))</f>
        <v>Fora do DRE</v>
      </c>
      <c r="V5032" s="3" t="str">
        <f>IF(Base_Periodo1[[#This Row],[Tipo_Linha]]="Fora do DRE","Fora do DRE","( "&amp;Base_Periodo1[[#This Row],[Tipo_Linha]]&amp;" ) "&amp;Base_Periodo1[[#This Row],[Filtro]])</f>
        <v>Fora do DRE</v>
      </c>
      <c r="W5032" s="3" t="str">
        <f>LEFT(Base_Periodo1[[#This Row],[CLASS]],3)</f>
        <v>2.4</v>
      </c>
    </row>
    <row r="5033" spans="1:23" hidden="1">
      <c r="A5033" s="3" t="str">
        <f t="shared" si="78"/>
        <v>Período 1</v>
      </c>
      <c r="B5033">
        <v>17170</v>
      </c>
      <c r="C5033" t="s">
        <v>2300</v>
      </c>
      <c r="D5033" t="s">
        <v>2927</v>
      </c>
      <c r="E5033" s="3" t="str">
        <f>IF(LEN(Base_Periodo1[[#This Row],[CLASS]])&gt;=7,LEFT(Base_Periodo1[[#This Row],[CLASS]],7),"")</f>
        <v>2.4.1.1</v>
      </c>
      <c r="F5033" s="3" t="str">
        <f>VLOOKUP(Base_Periodo1[[#This Row],[Aux]],Base_Contas_Balanco[#All],2,FALSE)</f>
        <v>Capital Social Realizado</v>
      </c>
      <c r="G5033" s="1"/>
      <c r="H5033" s="225">
        <v>240</v>
      </c>
      <c r="I5033" s="225">
        <v>0</v>
      </c>
      <c r="J5033" s="225">
        <v>0</v>
      </c>
      <c r="K5033" s="225">
        <v>240</v>
      </c>
      <c r="L50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033" s="225">
        <f>ROUND(IF(AND(Base_Periodo1[[#This Row],[Tipo_Linha]]="-",Base_Periodo1[[#This Row],[TIPOSALDO]]="D"),Base_Periodo1[[#This Row],[SALDO_ATUAL]]*-1,Base_Periodo1[[#This Row],[SALDO_ATUAL]]),4)</f>
        <v>240</v>
      </c>
      <c r="N5033" t="s">
        <v>116</v>
      </c>
      <c r="O5033" t="s">
        <v>459</v>
      </c>
      <c r="P5033" t="s">
        <v>459</v>
      </c>
      <c r="Q5033">
        <v>6</v>
      </c>
      <c r="R5033" s="225">
        <f>Base_Periodo1[[#This Row],[CREDITOS]]-Base_Periodo1[[#This Row],[DEBITOS]]</f>
        <v>0</v>
      </c>
      <c r="S5033" s="3" t="str">
        <f>IF(ISERROR(VLOOKUP(Base_Periodo1[[#This Row],[CONTA]],BaseContasDRE[#All],4,FALSE)),"Fora do DRE",VLOOKUP(Base_Periodo1[[#This Row],[CONTA]],BaseContasDRE[#All],4,FALSE))</f>
        <v>Fora do DRE</v>
      </c>
      <c r="T5033" s="3" t="str">
        <f>IF(ISERROR(VLOOKUP(Base_Periodo1[[#This Row],[CONTA]],BaseContasDRE[#All],5,FALSE)),"Fora do DRE",VLOOKUP(Base_Periodo1[[#This Row],[CONTA]],BaseContasDRE[#All],6,FALSE))</f>
        <v>Fora do DRE</v>
      </c>
      <c r="U5033" s="3" t="str">
        <f>IF(ISERROR(VLOOKUP(Base_Periodo1[[#This Row],[CONTA]],BaseContasDRE[#All],7,FALSE)),"Fora do DRE",VLOOKUP(Base_Periodo1[[#This Row],[CONTA]],BaseContasDRE[#All],7,FALSE))</f>
        <v>Fora do DRE</v>
      </c>
      <c r="V5033" s="3" t="str">
        <f>IF(Base_Periodo1[[#This Row],[Tipo_Linha]]="Fora do DRE","Fora do DRE","( "&amp;Base_Periodo1[[#This Row],[Tipo_Linha]]&amp;" ) "&amp;Base_Periodo1[[#This Row],[Filtro]])</f>
        <v>Fora do DRE</v>
      </c>
      <c r="W5033" s="3" t="str">
        <f>LEFT(Base_Periodo1[[#This Row],[CLASS]],3)</f>
        <v>2.4</v>
      </c>
    </row>
    <row r="5034" spans="1:23" hidden="1">
      <c r="A5034" s="3" t="str">
        <f t="shared" si="78"/>
        <v>Período 1</v>
      </c>
      <c r="B5034">
        <v>39770</v>
      </c>
      <c r="C5034" t="s">
        <v>2300</v>
      </c>
      <c r="D5034" t="s">
        <v>2928</v>
      </c>
      <c r="E5034" s="3" t="str">
        <f>IF(LEN(Base_Periodo1[[#This Row],[CLASS]])&gt;=7,LEFT(Base_Periodo1[[#This Row],[CLASS]],7),"")</f>
        <v>2.4.1.1</v>
      </c>
      <c r="F5034" s="3" t="str">
        <f>VLOOKUP(Base_Periodo1[[#This Row],[Aux]],Base_Contas_Balanco[#All],2,FALSE)</f>
        <v>Capital Social Realizado</v>
      </c>
      <c r="G5034" s="1"/>
      <c r="H5034" s="225">
        <v>222.44</v>
      </c>
      <c r="I5034" s="225">
        <v>0</v>
      </c>
      <c r="J5034" s="225">
        <v>0</v>
      </c>
      <c r="K5034" s="225">
        <v>222.44</v>
      </c>
      <c r="L50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222.44</v>
      </c>
      <c r="M5034" s="225">
        <f>ROUND(IF(AND(Base_Periodo1[[#This Row],[Tipo_Linha]]="-",Base_Periodo1[[#This Row],[TIPOSALDO]]="D"),Base_Periodo1[[#This Row],[SALDO_ATUAL]]*-1,Base_Periodo1[[#This Row],[SALDO_ATUAL]]),4)</f>
        <v>222.44</v>
      </c>
      <c r="N5034" t="s">
        <v>116</v>
      </c>
      <c r="O5034" t="s">
        <v>459</v>
      </c>
      <c r="P5034" t="s">
        <v>459</v>
      </c>
      <c r="Q5034">
        <v>6</v>
      </c>
      <c r="R5034" s="225">
        <f>Base_Periodo1[[#This Row],[CREDITOS]]-Base_Periodo1[[#This Row],[DEBITOS]]</f>
        <v>0</v>
      </c>
      <c r="S5034" s="3" t="str">
        <f>IF(ISERROR(VLOOKUP(Base_Periodo1[[#This Row],[CONTA]],BaseContasDRE[#All],4,FALSE)),"Fora do DRE",VLOOKUP(Base_Periodo1[[#This Row],[CONTA]],BaseContasDRE[#All],4,FALSE))</f>
        <v>Fora do DRE</v>
      </c>
      <c r="T5034" s="3" t="str">
        <f>IF(ISERROR(VLOOKUP(Base_Periodo1[[#This Row],[CONTA]],BaseContasDRE[#All],5,FALSE)),"Fora do DRE",VLOOKUP(Base_Periodo1[[#This Row],[CONTA]],BaseContasDRE[#All],6,FALSE))</f>
        <v>Fora do DRE</v>
      </c>
      <c r="U5034" s="3" t="str">
        <f>IF(ISERROR(VLOOKUP(Base_Periodo1[[#This Row],[CONTA]],BaseContasDRE[#All],7,FALSE)),"Fora do DRE",VLOOKUP(Base_Periodo1[[#This Row],[CONTA]],BaseContasDRE[#All],7,FALSE))</f>
        <v>Fora do DRE</v>
      </c>
      <c r="V5034" s="3" t="str">
        <f>IF(Base_Periodo1[[#This Row],[Tipo_Linha]]="Fora do DRE","Fora do DRE","( "&amp;Base_Periodo1[[#This Row],[Tipo_Linha]]&amp;" ) "&amp;Base_Periodo1[[#This Row],[Filtro]])</f>
        <v>Fora do DRE</v>
      </c>
      <c r="W5034" s="3" t="str">
        <f>LEFT(Base_Periodo1[[#This Row],[CLASS]],3)</f>
        <v>2.4</v>
      </c>
    </row>
    <row r="5035" spans="1:23" hidden="1">
      <c r="A5035" s="3" t="str">
        <f t="shared" si="78"/>
        <v>Período 1</v>
      </c>
      <c r="B5035">
        <v>47969</v>
      </c>
      <c r="C5035" t="s">
        <v>2300</v>
      </c>
      <c r="D5035" t="s">
        <v>2929</v>
      </c>
      <c r="E5035" s="3" t="str">
        <f>IF(LEN(Base_Periodo1[[#This Row],[CLASS]])&gt;=7,LEFT(Base_Periodo1[[#This Row],[CLASS]],7),"")</f>
        <v>2.4.1.1</v>
      </c>
      <c r="F5035" s="3" t="str">
        <f>VLOOKUP(Base_Periodo1[[#This Row],[Aux]],Base_Contas_Balanco[#All],2,FALSE)</f>
        <v>Capital Social Realizado</v>
      </c>
      <c r="G5035" s="1"/>
      <c r="H5035" s="225">
        <v>172.23000000000002</v>
      </c>
      <c r="I5035" s="225">
        <v>0</v>
      </c>
      <c r="J5035" s="225">
        <v>0</v>
      </c>
      <c r="K5035" s="225">
        <v>172.23000000000002</v>
      </c>
      <c r="L50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172.23</v>
      </c>
      <c r="M5035" s="225">
        <f>ROUND(IF(AND(Base_Periodo1[[#This Row],[Tipo_Linha]]="-",Base_Periodo1[[#This Row],[TIPOSALDO]]="D"),Base_Periodo1[[#This Row],[SALDO_ATUAL]]*-1,Base_Periodo1[[#This Row],[SALDO_ATUAL]]),4)</f>
        <v>172.23</v>
      </c>
      <c r="N5035" t="s">
        <v>116</v>
      </c>
      <c r="O5035" t="s">
        <v>459</v>
      </c>
      <c r="P5035" t="s">
        <v>459</v>
      </c>
      <c r="Q5035">
        <v>6</v>
      </c>
      <c r="R5035" s="225">
        <f>Base_Periodo1[[#This Row],[CREDITOS]]-Base_Periodo1[[#This Row],[DEBITOS]]</f>
        <v>0</v>
      </c>
      <c r="S5035" s="3" t="str">
        <f>IF(ISERROR(VLOOKUP(Base_Periodo1[[#This Row],[CONTA]],BaseContasDRE[#All],4,FALSE)),"Fora do DRE",VLOOKUP(Base_Periodo1[[#This Row],[CONTA]],BaseContasDRE[#All],4,FALSE))</f>
        <v>Fora do DRE</v>
      </c>
      <c r="T5035" s="3" t="str">
        <f>IF(ISERROR(VLOOKUP(Base_Periodo1[[#This Row],[CONTA]],BaseContasDRE[#All],5,FALSE)),"Fora do DRE",VLOOKUP(Base_Periodo1[[#This Row],[CONTA]],BaseContasDRE[#All],6,FALSE))</f>
        <v>Fora do DRE</v>
      </c>
      <c r="U5035" s="3" t="str">
        <f>IF(ISERROR(VLOOKUP(Base_Periodo1[[#This Row],[CONTA]],BaseContasDRE[#All],7,FALSE)),"Fora do DRE",VLOOKUP(Base_Periodo1[[#This Row],[CONTA]],BaseContasDRE[#All],7,FALSE))</f>
        <v>Fora do DRE</v>
      </c>
      <c r="V5035" s="3" t="str">
        <f>IF(Base_Periodo1[[#This Row],[Tipo_Linha]]="Fora do DRE","Fora do DRE","( "&amp;Base_Periodo1[[#This Row],[Tipo_Linha]]&amp;" ) "&amp;Base_Periodo1[[#This Row],[Filtro]])</f>
        <v>Fora do DRE</v>
      </c>
      <c r="W5035" s="3" t="str">
        <f>LEFT(Base_Periodo1[[#This Row],[CLASS]],3)</f>
        <v>2.4</v>
      </c>
    </row>
    <row r="5036" spans="1:23" hidden="1">
      <c r="A5036" s="3" t="str">
        <f t="shared" si="78"/>
        <v>Período 1</v>
      </c>
      <c r="B5036">
        <v>19360</v>
      </c>
      <c r="C5036" t="s">
        <v>2300</v>
      </c>
      <c r="D5036" t="s">
        <v>2930</v>
      </c>
      <c r="E5036" s="3" t="str">
        <f>IF(LEN(Base_Periodo1[[#This Row],[CLASS]])&gt;=7,LEFT(Base_Periodo1[[#This Row],[CLASS]],7),"")</f>
        <v>2.4.1.1</v>
      </c>
      <c r="F5036" s="3" t="str">
        <f>VLOOKUP(Base_Periodo1[[#This Row],[Aux]],Base_Contas_Balanco[#All],2,FALSE)</f>
        <v>Capital Social Realizado</v>
      </c>
      <c r="G5036" s="1"/>
      <c r="H5036" s="225">
        <v>887.22000000000014</v>
      </c>
      <c r="I5036" s="225">
        <v>0</v>
      </c>
      <c r="J5036" s="225">
        <v>0</v>
      </c>
      <c r="K5036" s="225">
        <v>887.22000000000014</v>
      </c>
      <c r="L50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887.22</v>
      </c>
      <c r="M5036" s="225">
        <f>ROUND(IF(AND(Base_Periodo1[[#This Row],[Tipo_Linha]]="-",Base_Periodo1[[#This Row],[TIPOSALDO]]="D"),Base_Periodo1[[#This Row],[SALDO_ATUAL]]*-1,Base_Periodo1[[#This Row],[SALDO_ATUAL]]),4)</f>
        <v>887.22</v>
      </c>
      <c r="N5036" t="s">
        <v>116</v>
      </c>
      <c r="O5036" t="s">
        <v>459</v>
      </c>
      <c r="P5036" t="s">
        <v>459</v>
      </c>
      <c r="Q5036">
        <v>6</v>
      </c>
      <c r="R5036" s="225">
        <f>Base_Periodo1[[#This Row],[CREDITOS]]-Base_Periodo1[[#This Row],[DEBITOS]]</f>
        <v>0</v>
      </c>
      <c r="S5036" s="3" t="str">
        <f>IF(ISERROR(VLOOKUP(Base_Periodo1[[#This Row],[CONTA]],BaseContasDRE[#All],4,FALSE)),"Fora do DRE",VLOOKUP(Base_Periodo1[[#This Row],[CONTA]],BaseContasDRE[#All],4,FALSE))</f>
        <v>Fora do DRE</v>
      </c>
      <c r="T5036" s="3" t="str">
        <f>IF(ISERROR(VLOOKUP(Base_Periodo1[[#This Row],[CONTA]],BaseContasDRE[#All],5,FALSE)),"Fora do DRE",VLOOKUP(Base_Periodo1[[#This Row],[CONTA]],BaseContasDRE[#All],6,FALSE))</f>
        <v>Fora do DRE</v>
      </c>
      <c r="U5036" s="3" t="str">
        <f>IF(ISERROR(VLOOKUP(Base_Periodo1[[#This Row],[CONTA]],BaseContasDRE[#All],7,FALSE)),"Fora do DRE",VLOOKUP(Base_Periodo1[[#This Row],[CONTA]],BaseContasDRE[#All],7,FALSE))</f>
        <v>Fora do DRE</v>
      </c>
      <c r="V5036" s="3" t="str">
        <f>IF(Base_Periodo1[[#This Row],[Tipo_Linha]]="Fora do DRE","Fora do DRE","( "&amp;Base_Periodo1[[#This Row],[Tipo_Linha]]&amp;" ) "&amp;Base_Periodo1[[#This Row],[Filtro]])</f>
        <v>Fora do DRE</v>
      </c>
      <c r="W5036" s="3" t="str">
        <f>LEFT(Base_Periodo1[[#This Row],[CLASS]],3)</f>
        <v>2.4</v>
      </c>
    </row>
    <row r="5037" spans="1:23" hidden="1">
      <c r="A5037" s="3" t="str">
        <f t="shared" si="78"/>
        <v>Período 1</v>
      </c>
      <c r="B5037">
        <v>47708</v>
      </c>
      <c r="C5037" t="s">
        <v>2300</v>
      </c>
      <c r="D5037" t="s">
        <v>2931</v>
      </c>
      <c r="E5037" s="3" t="str">
        <f>IF(LEN(Base_Periodo1[[#This Row],[CLASS]])&gt;=7,LEFT(Base_Periodo1[[#This Row],[CLASS]],7),"")</f>
        <v>2.4.1.1</v>
      </c>
      <c r="F5037" s="3" t="str">
        <f>VLOOKUP(Base_Periodo1[[#This Row],[Aux]],Base_Contas_Balanco[#All],2,FALSE)</f>
        <v>Capital Social Realizado</v>
      </c>
      <c r="G5037" s="1"/>
      <c r="H5037" s="225">
        <v>65.42</v>
      </c>
      <c r="I5037" s="225">
        <v>0</v>
      </c>
      <c r="J5037" s="225">
        <v>0</v>
      </c>
      <c r="K5037" s="225">
        <v>65.42</v>
      </c>
      <c r="L50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65.42</v>
      </c>
      <c r="M5037" s="225">
        <f>ROUND(IF(AND(Base_Periodo1[[#This Row],[Tipo_Linha]]="-",Base_Periodo1[[#This Row],[TIPOSALDO]]="D"),Base_Periodo1[[#This Row],[SALDO_ATUAL]]*-1,Base_Periodo1[[#This Row],[SALDO_ATUAL]]),4)</f>
        <v>65.42</v>
      </c>
      <c r="N5037" t="s">
        <v>116</v>
      </c>
      <c r="O5037" t="s">
        <v>459</v>
      </c>
      <c r="P5037" t="s">
        <v>459</v>
      </c>
      <c r="Q5037">
        <v>6</v>
      </c>
      <c r="R5037" s="225">
        <f>Base_Periodo1[[#This Row],[CREDITOS]]-Base_Periodo1[[#This Row],[DEBITOS]]</f>
        <v>0</v>
      </c>
      <c r="S5037" s="3" t="str">
        <f>IF(ISERROR(VLOOKUP(Base_Periodo1[[#This Row],[CONTA]],BaseContasDRE[#All],4,FALSE)),"Fora do DRE",VLOOKUP(Base_Periodo1[[#This Row],[CONTA]],BaseContasDRE[#All],4,FALSE))</f>
        <v>Fora do DRE</v>
      </c>
      <c r="T5037" s="3" t="str">
        <f>IF(ISERROR(VLOOKUP(Base_Periodo1[[#This Row],[CONTA]],BaseContasDRE[#All],5,FALSE)),"Fora do DRE",VLOOKUP(Base_Periodo1[[#This Row],[CONTA]],BaseContasDRE[#All],6,FALSE))</f>
        <v>Fora do DRE</v>
      </c>
      <c r="U5037" s="3" t="str">
        <f>IF(ISERROR(VLOOKUP(Base_Periodo1[[#This Row],[CONTA]],BaseContasDRE[#All],7,FALSE)),"Fora do DRE",VLOOKUP(Base_Periodo1[[#This Row],[CONTA]],BaseContasDRE[#All],7,FALSE))</f>
        <v>Fora do DRE</v>
      </c>
      <c r="V5037" s="3" t="str">
        <f>IF(Base_Periodo1[[#This Row],[Tipo_Linha]]="Fora do DRE","Fora do DRE","( "&amp;Base_Periodo1[[#This Row],[Tipo_Linha]]&amp;" ) "&amp;Base_Periodo1[[#This Row],[Filtro]])</f>
        <v>Fora do DRE</v>
      </c>
      <c r="W5037" s="3" t="str">
        <f>LEFT(Base_Periodo1[[#This Row],[CLASS]],3)</f>
        <v>2.4</v>
      </c>
    </row>
    <row r="5038" spans="1:23" hidden="1">
      <c r="A5038" s="3" t="str">
        <f t="shared" si="78"/>
        <v>Período 1</v>
      </c>
      <c r="B5038">
        <v>19791</v>
      </c>
      <c r="C5038" t="s">
        <v>2300</v>
      </c>
      <c r="D5038" t="s">
        <v>2932</v>
      </c>
      <c r="E5038" s="3" t="str">
        <f>IF(LEN(Base_Periodo1[[#This Row],[CLASS]])&gt;=7,LEFT(Base_Periodo1[[#This Row],[CLASS]],7),"")</f>
        <v>2.4.1.1</v>
      </c>
      <c r="F5038" s="3" t="str">
        <f>VLOOKUP(Base_Periodo1[[#This Row],[Aux]],Base_Contas_Balanco[#All],2,FALSE)</f>
        <v>Capital Social Realizado</v>
      </c>
      <c r="G5038" s="1"/>
      <c r="H5038" s="225">
        <v>51.69</v>
      </c>
      <c r="I5038" s="225">
        <v>0</v>
      </c>
      <c r="J5038" s="225">
        <v>0</v>
      </c>
      <c r="K5038" s="225">
        <v>51.69</v>
      </c>
      <c r="L50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51.69</v>
      </c>
      <c r="M5038" s="225">
        <f>ROUND(IF(AND(Base_Periodo1[[#This Row],[Tipo_Linha]]="-",Base_Periodo1[[#This Row],[TIPOSALDO]]="D"),Base_Periodo1[[#This Row],[SALDO_ATUAL]]*-1,Base_Periodo1[[#This Row],[SALDO_ATUAL]]),4)</f>
        <v>51.69</v>
      </c>
      <c r="N5038" t="s">
        <v>116</v>
      </c>
      <c r="O5038" t="s">
        <v>459</v>
      </c>
      <c r="P5038" t="s">
        <v>459</v>
      </c>
      <c r="Q5038">
        <v>6</v>
      </c>
      <c r="R5038" s="225">
        <f>Base_Periodo1[[#This Row],[CREDITOS]]-Base_Periodo1[[#This Row],[DEBITOS]]</f>
        <v>0</v>
      </c>
      <c r="S5038" s="3" t="str">
        <f>IF(ISERROR(VLOOKUP(Base_Periodo1[[#This Row],[CONTA]],BaseContasDRE[#All],4,FALSE)),"Fora do DRE",VLOOKUP(Base_Periodo1[[#This Row],[CONTA]],BaseContasDRE[#All],4,FALSE))</f>
        <v>Fora do DRE</v>
      </c>
      <c r="T5038" s="3" t="str">
        <f>IF(ISERROR(VLOOKUP(Base_Periodo1[[#This Row],[CONTA]],BaseContasDRE[#All],5,FALSE)),"Fora do DRE",VLOOKUP(Base_Periodo1[[#This Row],[CONTA]],BaseContasDRE[#All],6,FALSE))</f>
        <v>Fora do DRE</v>
      </c>
      <c r="U5038" s="3" t="str">
        <f>IF(ISERROR(VLOOKUP(Base_Periodo1[[#This Row],[CONTA]],BaseContasDRE[#All],7,FALSE)),"Fora do DRE",VLOOKUP(Base_Periodo1[[#This Row],[CONTA]],BaseContasDRE[#All],7,FALSE))</f>
        <v>Fora do DRE</v>
      </c>
      <c r="V5038" s="3" t="str">
        <f>IF(Base_Periodo1[[#This Row],[Tipo_Linha]]="Fora do DRE","Fora do DRE","( "&amp;Base_Periodo1[[#This Row],[Tipo_Linha]]&amp;" ) "&amp;Base_Periodo1[[#This Row],[Filtro]])</f>
        <v>Fora do DRE</v>
      </c>
      <c r="W5038" s="3" t="str">
        <f>LEFT(Base_Periodo1[[#This Row],[CLASS]],3)</f>
        <v>2.4</v>
      </c>
    </row>
    <row r="5039" spans="1:23" hidden="1">
      <c r="A5039" s="3" t="str">
        <f t="shared" si="78"/>
        <v>Período 1</v>
      </c>
      <c r="B5039">
        <v>16293</v>
      </c>
      <c r="C5039" t="s">
        <v>2300</v>
      </c>
      <c r="D5039" t="s">
        <v>2933</v>
      </c>
      <c r="E5039" s="3" t="str">
        <f>IF(LEN(Base_Periodo1[[#This Row],[CLASS]])&gt;=7,LEFT(Base_Periodo1[[#This Row],[CLASS]],7),"")</f>
        <v>2.4.1.1</v>
      </c>
      <c r="F5039" s="3" t="str">
        <f>VLOOKUP(Base_Periodo1[[#This Row],[Aux]],Base_Contas_Balanco[#All],2,FALSE)</f>
        <v>Capital Social Realizado</v>
      </c>
      <c r="G5039" s="1">
        <v>42460</v>
      </c>
      <c r="H5039" s="225">
        <v>22352.870000000003</v>
      </c>
      <c r="I5039" s="225">
        <v>0</v>
      </c>
      <c r="J5039" s="225">
        <v>0</v>
      </c>
      <c r="K5039" s="225">
        <v>22352.870000000003</v>
      </c>
      <c r="L50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22352.87</v>
      </c>
      <c r="M5039" s="225">
        <f>ROUND(IF(AND(Base_Periodo1[[#This Row],[Tipo_Linha]]="-",Base_Periodo1[[#This Row],[TIPOSALDO]]="D"),Base_Periodo1[[#This Row],[SALDO_ATUAL]]*-1,Base_Periodo1[[#This Row],[SALDO_ATUAL]]),4)</f>
        <v>22352.87</v>
      </c>
      <c r="N5039" t="s">
        <v>116</v>
      </c>
      <c r="O5039" t="s">
        <v>459</v>
      </c>
      <c r="P5039" t="s">
        <v>459</v>
      </c>
      <c r="Q5039">
        <v>6</v>
      </c>
      <c r="R5039" s="225">
        <f>Base_Periodo1[[#This Row],[CREDITOS]]-Base_Periodo1[[#This Row],[DEBITOS]]</f>
        <v>0</v>
      </c>
      <c r="S5039" s="3" t="str">
        <f>IF(ISERROR(VLOOKUP(Base_Periodo1[[#This Row],[CONTA]],BaseContasDRE[#All],4,FALSE)),"Fora do DRE",VLOOKUP(Base_Periodo1[[#This Row],[CONTA]],BaseContasDRE[#All],4,FALSE))</f>
        <v>Fora do DRE</v>
      </c>
      <c r="T5039" s="3" t="str">
        <f>IF(ISERROR(VLOOKUP(Base_Periodo1[[#This Row],[CONTA]],BaseContasDRE[#All],5,FALSE)),"Fora do DRE",VLOOKUP(Base_Periodo1[[#This Row],[CONTA]],BaseContasDRE[#All],6,FALSE))</f>
        <v>Fora do DRE</v>
      </c>
      <c r="U5039" s="3" t="str">
        <f>IF(ISERROR(VLOOKUP(Base_Periodo1[[#This Row],[CONTA]],BaseContasDRE[#All],7,FALSE)),"Fora do DRE",VLOOKUP(Base_Periodo1[[#This Row],[CONTA]],BaseContasDRE[#All],7,FALSE))</f>
        <v>Fora do DRE</v>
      </c>
      <c r="V5039" s="3" t="str">
        <f>IF(Base_Periodo1[[#This Row],[Tipo_Linha]]="Fora do DRE","Fora do DRE","( "&amp;Base_Periodo1[[#This Row],[Tipo_Linha]]&amp;" ) "&amp;Base_Periodo1[[#This Row],[Filtro]])</f>
        <v>Fora do DRE</v>
      </c>
      <c r="W5039" s="3" t="str">
        <f>LEFT(Base_Periodo1[[#This Row],[CLASS]],3)</f>
        <v>2.4</v>
      </c>
    </row>
    <row r="5040" spans="1:23" hidden="1">
      <c r="A5040" s="3" t="str">
        <f t="shared" si="78"/>
        <v>Período 1</v>
      </c>
      <c r="B5040">
        <v>30940</v>
      </c>
      <c r="C5040" t="s">
        <v>2300</v>
      </c>
      <c r="D5040" t="s">
        <v>2934</v>
      </c>
      <c r="E5040" s="3" t="str">
        <f>IF(LEN(Base_Periodo1[[#This Row],[CLASS]])&gt;=7,LEFT(Base_Periodo1[[#This Row],[CLASS]],7),"")</f>
        <v>2.4.1.1</v>
      </c>
      <c r="F5040" s="3" t="str">
        <f>VLOOKUP(Base_Periodo1[[#This Row],[Aux]],Base_Contas_Balanco[#All],2,FALSE)</f>
        <v>Capital Social Realizado</v>
      </c>
      <c r="G5040" s="1"/>
      <c r="H5040" s="225">
        <v>209.48</v>
      </c>
      <c r="I5040" s="225">
        <v>0</v>
      </c>
      <c r="J5040" s="225">
        <v>0</v>
      </c>
      <c r="K5040" s="225">
        <v>209.48</v>
      </c>
      <c r="L50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209.48</v>
      </c>
      <c r="M5040" s="225">
        <f>ROUND(IF(AND(Base_Periodo1[[#This Row],[Tipo_Linha]]="-",Base_Periodo1[[#This Row],[TIPOSALDO]]="D"),Base_Periodo1[[#This Row],[SALDO_ATUAL]]*-1,Base_Periodo1[[#This Row],[SALDO_ATUAL]]),4)</f>
        <v>209.48</v>
      </c>
      <c r="N5040" t="s">
        <v>116</v>
      </c>
      <c r="O5040" t="s">
        <v>459</v>
      </c>
      <c r="P5040" t="s">
        <v>459</v>
      </c>
      <c r="Q5040">
        <v>6</v>
      </c>
      <c r="R5040" s="225">
        <f>Base_Periodo1[[#This Row],[CREDITOS]]-Base_Periodo1[[#This Row],[DEBITOS]]</f>
        <v>0</v>
      </c>
      <c r="S5040" s="3" t="str">
        <f>IF(ISERROR(VLOOKUP(Base_Periodo1[[#This Row],[CONTA]],BaseContasDRE[#All],4,FALSE)),"Fora do DRE",VLOOKUP(Base_Periodo1[[#This Row],[CONTA]],BaseContasDRE[#All],4,FALSE))</f>
        <v>Fora do DRE</v>
      </c>
      <c r="T5040" s="3" t="str">
        <f>IF(ISERROR(VLOOKUP(Base_Periodo1[[#This Row],[CONTA]],BaseContasDRE[#All],5,FALSE)),"Fora do DRE",VLOOKUP(Base_Periodo1[[#This Row],[CONTA]],BaseContasDRE[#All],6,FALSE))</f>
        <v>Fora do DRE</v>
      </c>
      <c r="U5040" s="3" t="str">
        <f>IF(ISERROR(VLOOKUP(Base_Periodo1[[#This Row],[CONTA]],BaseContasDRE[#All],7,FALSE)),"Fora do DRE",VLOOKUP(Base_Periodo1[[#This Row],[CONTA]],BaseContasDRE[#All],7,FALSE))</f>
        <v>Fora do DRE</v>
      </c>
      <c r="V5040" s="3" t="str">
        <f>IF(Base_Periodo1[[#This Row],[Tipo_Linha]]="Fora do DRE","Fora do DRE","( "&amp;Base_Periodo1[[#This Row],[Tipo_Linha]]&amp;" ) "&amp;Base_Periodo1[[#This Row],[Filtro]])</f>
        <v>Fora do DRE</v>
      </c>
      <c r="W5040" s="3" t="str">
        <f>LEFT(Base_Periodo1[[#This Row],[CLASS]],3)</f>
        <v>2.4</v>
      </c>
    </row>
    <row r="5041" spans="1:23" hidden="1">
      <c r="A5041" s="3" t="str">
        <f t="shared" si="78"/>
        <v>Período 1</v>
      </c>
      <c r="B5041">
        <v>53553</v>
      </c>
      <c r="C5041" t="s">
        <v>2300</v>
      </c>
      <c r="D5041" t="s">
        <v>4964</v>
      </c>
      <c r="E5041" s="3" t="str">
        <f>IF(LEN(Base_Periodo1[[#This Row],[CLASS]])&gt;=7,LEFT(Base_Periodo1[[#This Row],[CLASS]],7),"")</f>
        <v>2.4.1.1</v>
      </c>
      <c r="F5041" s="3" t="str">
        <f>VLOOKUP(Base_Periodo1[[#This Row],[Aux]],Base_Contas_Balanco[#All],2,FALSE)</f>
        <v>Capital Social Realizado</v>
      </c>
      <c r="G5041" s="1"/>
      <c r="H5041" s="225">
        <v>50</v>
      </c>
      <c r="I5041" s="225">
        <v>0</v>
      </c>
      <c r="J5041" s="225">
        <v>0</v>
      </c>
      <c r="K5041" s="225">
        <v>50</v>
      </c>
      <c r="L50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41" s="225">
        <f>ROUND(IF(AND(Base_Periodo1[[#This Row],[Tipo_Linha]]="-",Base_Periodo1[[#This Row],[TIPOSALDO]]="D"),Base_Periodo1[[#This Row],[SALDO_ATUAL]]*-1,Base_Periodo1[[#This Row],[SALDO_ATUAL]]),4)</f>
        <v>50</v>
      </c>
      <c r="N5041" t="s">
        <v>116</v>
      </c>
      <c r="O5041" t="s">
        <v>459</v>
      </c>
      <c r="P5041" t="s">
        <v>459</v>
      </c>
      <c r="Q5041">
        <v>6</v>
      </c>
      <c r="R5041" s="225">
        <f>Base_Periodo1[[#This Row],[CREDITOS]]-Base_Periodo1[[#This Row],[DEBITOS]]</f>
        <v>0</v>
      </c>
      <c r="S5041" s="3" t="str">
        <f>IF(ISERROR(VLOOKUP(Base_Periodo1[[#This Row],[CONTA]],BaseContasDRE[#All],4,FALSE)),"Fora do DRE",VLOOKUP(Base_Periodo1[[#This Row],[CONTA]],BaseContasDRE[#All],4,FALSE))</f>
        <v>Fora do DRE</v>
      </c>
      <c r="T5041" s="3" t="str">
        <f>IF(ISERROR(VLOOKUP(Base_Periodo1[[#This Row],[CONTA]],BaseContasDRE[#All],5,FALSE)),"Fora do DRE",VLOOKUP(Base_Periodo1[[#This Row],[CONTA]],BaseContasDRE[#All],6,FALSE))</f>
        <v>Fora do DRE</v>
      </c>
      <c r="U5041" s="3" t="str">
        <f>IF(ISERROR(VLOOKUP(Base_Periodo1[[#This Row],[CONTA]],BaseContasDRE[#All],7,FALSE)),"Fora do DRE",VLOOKUP(Base_Periodo1[[#This Row],[CONTA]],BaseContasDRE[#All],7,FALSE))</f>
        <v>Fora do DRE</v>
      </c>
      <c r="V5041" s="3" t="str">
        <f>IF(Base_Periodo1[[#This Row],[Tipo_Linha]]="Fora do DRE","Fora do DRE","( "&amp;Base_Periodo1[[#This Row],[Tipo_Linha]]&amp;" ) "&amp;Base_Periodo1[[#This Row],[Filtro]])</f>
        <v>Fora do DRE</v>
      </c>
      <c r="W5041" s="3" t="str">
        <f>LEFT(Base_Periodo1[[#This Row],[CLASS]],3)</f>
        <v>2.4</v>
      </c>
    </row>
    <row r="5042" spans="1:23" hidden="1">
      <c r="A5042" s="3" t="str">
        <f t="shared" si="78"/>
        <v>Período 1</v>
      </c>
      <c r="B5042">
        <v>16233</v>
      </c>
      <c r="C5042" t="s">
        <v>2300</v>
      </c>
      <c r="D5042" t="s">
        <v>2935</v>
      </c>
      <c r="E5042" s="3" t="str">
        <f>IF(LEN(Base_Periodo1[[#This Row],[CLASS]])&gt;=7,LEFT(Base_Periodo1[[#This Row],[CLASS]],7),"")</f>
        <v>2.4.1.1</v>
      </c>
      <c r="F5042" s="3" t="str">
        <f>VLOOKUP(Base_Periodo1[[#This Row],[Aux]],Base_Contas_Balanco[#All],2,FALSE)</f>
        <v>Capital Social Realizado</v>
      </c>
      <c r="G5042" s="1"/>
      <c r="H5042" s="225">
        <v>3825.87</v>
      </c>
      <c r="I5042" s="225">
        <v>0</v>
      </c>
      <c r="J5042" s="225">
        <v>0</v>
      </c>
      <c r="K5042" s="225">
        <v>3825.87</v>
      </c>
      <c r="L50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3825.87</v>
      </c>
      <c r="M5042" s="225">
        <f>ROUND(IF(AND(Base_Periodo1[[#This Row],[Tipo_Linha]]="-",Base_Periodo1[[#This Row],[TIPOSALDO]]="D"),Base_Periodo1[[#This Row],[SALDO_ATUAL]]*-1,Base_Periodo1[[#This Row],[SALDO_ATUAL]]),4)</f>
        <v>3825.87</v>
      </c>
      <c r="N5042" t="s">
        <v>116</v>
      </c>
      <c r="O5042" t="s">
        <v>459</v>
      </c>
      <c r="P5042" t="s">
        <v>459</v>
      </c>
      <c r="Q5042">
        <v>6</v>
      </c>
      <c r="R5042" s="225">
        <f>Base_Periodo1[[#This Row],[CREDITOS]]-Base_Periodo1[[#This Row],[DEBITOS]]</f>
        <v>0</v>
      </c>
      <c r="S5042" s="3" t="str">
        <f>IF(ISERROR(VLOOKUP(Base_Periodo1[[#This Row],[CONTA]],BaseContasDRE[#All],4,FALSE)),"Fora do DRE",VLOOKUP(Base_Periodo1[[#This Row],[CONTA]],BaseContasDRE[#All],4,FALSE))</f>
        <v>Fora do DRE</v>
      </c>
      <c r="T5042" s="3" t="str">
        <f>IF(ISERROR(VLOOKUP(Base_Periodo1[[#This Row],[CONTA]],BaseContasDRE[#All],5,FALSE)),"Fora do DRE",VLOOKUP(Base_Periodo1[[#This Row],[CONTA]],BaseContasDRE[#All],6,FALSE))</f>
        <v>Fora do DRE</v>
      </c>
      <c r="U5042" s="3" t="str">
        <f>IF(ISERROR(VLOOKUP(Base_Periodo1[[#This Row],[CONTA]],BaseContasDRE[#All],7,FALSE)),"Fora do DRE",VLOOKUP(Base_Periodo1[[#This Row],[CONTA]],BaseContasDRE[#All],7,FALSE))</f>
        <v>Fora do DRE</v>
      </c>
      <c r="V5042" s="3" t="str">
        <f>IF(Base_Periodo1[[#This Row],[Tipo_Linha]]="Fora do DRE","Fora do DRE","( "&amp;Base_Periodo1[[#This Row],[Tipo_Linha]]&amp;" ) "&amp;Base_Periodo1[[#This Row],[Filtro]])</f>
        <v>Fora do DRE</v>
      </c>
      <c r="W5042" s="3" t="str">
        <f>LEFT(Base_Periodo1[[#This Row],[CLASS]],3)</f>
        <v>2.4</v>
      </c>
    </row>
    <row r="5043" spans="1:23" hidden="1">
      <c r="A5043" s="3" t="str">
        <f t="shared" si="78"/>
        <v>Período 1</v>
      </c>
      <c r="B5043">
        <v>25647</v>
      </c>
      <c r="C5043" t="s">
        <v>2300</v>
      </c>
      <c r="D5043" t="s">
        <v>2936</v>
      </c>
      <c r="E5043" s="3" t="str">
        <f>IF(LEN(Base_Periodo1[[#This Row],[CLASS]])&gt;=7,LEFT(Base_Periodo1[[#This Row],[CLASS]],7),"")</f>
        <v>2.4.1.1</v>
      </c>
      <c r="F5043" s="3" t="str">
        <f>VLOOKUP(Base_Periodo1[[#This Row],[Aux]],Base_Contas_Balanco[#All],2,FALSE)</f>
        <v>Capital Social Realizado</v>
      </c>
      <c r="G5043" s="1"/>
      <c r="H5043" s="225">
        <v>50</v>
      </c>
      <c r="I5043" s="225">
        <v>0</v>
      </c>
      <c r="J5043" s="225">
        <v>0</v>
      </c>
      <c r="K5043" s="225">
        <v>50</v>
      </c>
      <c r="L50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43" s="225">
        <f>ROUND(IF(AND(Base_Periodo1[[#This Row],[Tipo_Linha]]="-",Base_Periodo1[[#This Row],[TIPOSALDO]]="D"),Base_Periodo1[[#This Row],[SALDO_ATUAL]]*-1,Base_Periodo1[[#This Row],[SALDO_ATUAL]]),4)</f>
        <v>50</v>
      </c>
      <c r="N5043" t="s">
        <v>116</v>
      </c>
      <c r="O5043" t="s">
        <v>459</v>
      </c>
      <c r="P5043" t="s">
        <v>459</v>
      </c>
      <c r="Q5043">
        <v>6</v>
      </c>
      <c r="R5043" s="225">
        <f>Base_Periodo1[[#This Row],[CREDITOS]]-Base_Periodo1[[#This Row],[DEBITOS]]</f>
        <v>0</v>
      </c>
      <c r="S5043" s="3" t="str">
        <f>IF(ISERROR(VLOOKUP(Base_Periodo1[[#This Row],[CONTA]],BaseContasDRE[#All],4,FALSE)),"Fora do DRE",VLOOKUP(Base_Periodo1[[#This Row],[CONTA]],BaseContasDRE[#All],4,FALSE))</f>
        <v>Fora do DRE</v>
      </c>
      <c r="T5043" s="3" t="str">
        <f>IF(ISERROR(VLOOKUP(Base_Periodo1[[#This Row],[CONTA]],BaseContasDRE[#All],5,FALSE)),"Fora do DRE",VLOOKUP(Base_Periodo1[[#This Row],[CONTA]],BaseContasDRE[#All],6,FALSE))</f>
        <v>Fora do DRE</v>
      </c>
      <c r="U5043" s="3" t="str">
        <f>IF(ISERROR(VLOOKUP(Base_Periodo1[[#This Row],[CONTA]],BaseContasDRE[#All],7,FALSE)),"Fora do DRE",VLOOKUP(Base_Periodo1[[#This Row],[CONTA]],BaseContasDRE[#All],7,FALSE))</f>
        <v>Fora do DRE</v>
      </c>
      <c r="V5043" s="3" t="str">
        <f>IF(Base_Periodo1[[#This Row],[Tipo_Linha]]="Fora do DRE","Fora do DRE","( "&amp;Base_Periodo1[[#This Row],[Tipo_Linha]]&amp;" ) "&amp;Base_Periodo1[[#This Row],[Filtro]])</f>
        <v>Fora do DRE</v>
      </c>
      <c r="W5043" s="3" t="str">
        <f>LEFT(Base_Periodo1[[#This Row],[CLASS]],3)</f>
        <v>2.4</v>
      </c>
    </row>
    <row r="5044" spans="1:23" hidden="1">
      <c r="A5044" s="3" t="str">
        <f t="shared" si="78"/>
        <v>Período 1</v>
      </c>
      <c r="B5044">
        <v>28289</v>
      </c>
      <c r="C5044" t="s">
        <v>2300</v>
      </c>
      <c r="D5044" t="s">
        <v>2937</v>
      </c>
      <c r="E5044" s="3" t="str">
        <f>IF(LEN(Base_Periodo1[[#This Row],[CLASS]])&gt;=7,LEFT(Base_Periodo1[[#This Row],[CLASS]],7),"")</f>
        <v>2.4.1.1</v>
      </c>
      <c r="F5044" s="3" t="str">
        <f>VLOOKUP(Base_Periodo1[[#This Row],[Aux]],Base_Contas_Balanco[#All],2,FALSE)</f>
        <v>Capital Social Realizado</v>
      </c>
      <c r="G5044" s="1"/>
      <c r="H5044" s="225">
        <v>1354.33</v>
      </c>
      <c r="I5044" s="225">
        <v>0</v>
      </c>
      <c r="J5044" s="225">
        <v>0</v>
      </c>
      <c r="K5044" s="225">
        <v>1354.33</v>
      </c>
      <c r="L50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1354.33</v>
      </c>
      <c r="M5044" s="225">
        <f>ROUND(IF(AND(Base_Periodo1[[#This Row],[Tipo_Linha]]="-",Base_Periodo1[[#This Row],[TIPOSALDO]]="D"),Base_Periodo1[[#This Row],[SALDO_ATUAL]]*-1,Base_Periodo1[[#This Row],[SALDO_ATUAL]]),4)</f>
        <v>1354.33</v>
      </c>
      <c r="N5044" t="s">
        <v>116</v>
      </c>
      <c r="O5044" t="s">
        <v>459</v>
      </c>
      <c r="P5044" t="s">
        <v>459</v>
      </c>
      <c r="Q5044">
        <v>6</v>
      </c>
      <c r="R5044" s="225">
        <f>Base_Periodo1[[#This Row],[CREDITOS]]-Base_Periodo1[[#This Row],[DEBITOS]]</f>
        <v>0</v>
      </c>
      <c r="S5044" s="3" t="str">
        <f>IF(ISERROR(VLOOKUP(Base_Periodo1[[#This Row],[CONTA]],BaseContasDRE[#All],4,FALSE)),"Fora do DRE",VLOOKUP(Base_Periodo1[[#This Row],[CONTA]],BaseContasDRE[#All],4,FALSE))</f>
        <v>Fora do DRE</v>
      </c>
      <c r="T5044" s="3" t="str">
        <f>IF(ISERROR(VLOOKUP(Base_Periodo1[[#This Row],[CONTA]],BaseContasDRE[#All],5,FALSE)),"Fora do DRE",VLOOKUP(Base_Periodo1[[#This Row],[CONTA]],BaseContasDRE[#All],6,FALSE))</f>
        <v>Fora do DRE</v>
      </c>
      <c r="U5044" s="3" t="str">
        <f>IF(ISERROR(VLOOKUP(Base_Periodo1[[#This Row],[CONTA]],BaseContasDRE[#All],7,FALSE)),"Fora do DRE",VLOOKUP(Base_Periodo1[[#This Row],[CONTA]],BaseContasDRE[#All],7,FALSE))</f>
        <v>Fora do DRE</v>
      </c>
      <c r="V5044" s="3" t="str">
        <f>IF(Base_Periodo1[[#This Row],[Tipo_Linha]]="Fora do DRE","Fora do DRE","( "&amp;Base_Periodo1[[#This Row],[Tipo_Linha]]&amp;" ) "&amp;Base_Periodo1[[#This Row],[Filtro]])</f>
        <v>Fora do DRE</v>
      </c>
      <c r="W5044" s="3" t="str">
        <f>LEFT(Base_Periodo1[[#This Row],[CLASS]],3)</f>
        <v>2.4</v>
      </c>
    </row>
    <row r="5045" spans="1:23" hidden="1">
      <c r="A5045" s="3" t="str">
        <f t="shared" si="78"/>
        <v>Período 1</v>
      </c>
      <c r="B5045">
        <v>47718</v>
      </c>
      <c r="C5045" t="s">
        <v>2300</v>
      </c>
      <c r="D5045" t="s">
        <v>2938</v>
      </c>
      <c r="E5045" s="3" t="str">
        <f>IF(LEN(Base_Periodo1[[#This Row],[CLASS]])&gt;=7,LEFT(Base_Periodo1[[#This Row],[CLASS]],7),"")</f>
        <v>2.4.1.1</v>
      </c>
      <c r="F5045" s="3" t="str">
        <f>VLOOKUP(Base_Periodo1[[#This Row],[Aux]],Base_Contas_Balanco[#All],2,FALSE)</f>
        <v>Capital Social Realizado</v>
      </c>
      <c r="G5045" s="1"/>
      <c r="H5045" s="225">
        <v>86.42</v>
      </c>
      <c r="I5045" s="225">
        <v>0</v>
      </c>
      <c r="J5045" s="225">
        <v>0</v>
      </c>
      <c r="K5045" s="225">
        <v>86.42</v>
      </c>
      <c r="L50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86.42</v>
      </c>
      <c r="M5045" s="225">
        <f>ROUND(IF(AND(Base_Periodo1[[#This Row],[Tipo_Linha]]="-",Base_Periodo1[[#This Row],[TIPOSALDO]]="D"),Base_Periodo1[[#This Row],[SALDO_ATUAL]]*-1,Base_Periodo1[[#This Row],[SALDO_ATUAL]]),4)</f>
        <v>86.42</v>
      </c>
      <c r="N5045" t="s">
        <v>116</v>
      </c>
      <c r="O5045" t="s">
        <v>459</v>
      </c>
      <c r="P5045" t="s">
        <v>459</v>
      </c>
      <c r="Q5045">
        <v>6</v>
      </c>
      <c r="R5045" s="225">
        <f>Base_Periodo1[[#This Row],[CREDITOS]]-Base_Periodo1[[#This Row],[DEBITOS]]</f>
        <v>0</v>
      </c>
      <c r="S5045" s="3" t="str">
        <f>IF(ISERROR(VLOOKUP(Base_Periodo1[[#This Row],[CONTA]],BaseContasDRE[#All],4,FALSE)),"Fora do DRE",VLOOKUP(Base_Periodo1[[#This Row],[CONTA]],BaseContasDRE[#All],4,FALSE))</f>
        <v>Fora do DRE</v>
      </c>
      <c r="T5045" s="3" t="str">
        <f>IF(ISERROR(VLOOKUP(Base_Periodo1[[#This Row],[CONTA]],BaseContasDRE[#All],5,FALSE)),"Fora do DRE",VLOOKUP(Base_Periodo1[[#This Row],[CONTA]],BaseContasDRE[#All],6,FALSE))</f>
        <v>Fora do DRE</v>
      </c>
      <c r="U5045" s="3" t="str">
        <f>IF(ISERROR(VLOOKUP(Base_Periodo1[[#This Row],[CONTA]],BaseContasDRE[#All],7,FALSE)),"Fora do DRE",VLOOKUP(Base_Periodo1[[#This Row],[CONTA]],BaseContasDRE[#All],7,FALSE))</f>
        <v>Fora do DRE</v>
      </c>
      <c r="V5045" s="3" t="str">
        <f>IF(Base_Periodo1[[#This Row],[Tipo_Linha]]="Fora do DRE","Fora do DRE","( "&amp;Base_Periodo1[[#This Row],[Tipo_Linha]]&amp;" ) "&amp;Base_Periodo1[[#This Row],[Filtro]])</f>
        <v>Fora do DRE</v>
      </c>
      <c r="W5045" s="3" t="str">
        <f>LEFT(Base_Periodo1[[#This Row],[CLASS]],3)</f>
        <v>2.4</v>
      </c>
    </row>
    <row r="5046" spans="1:23" hidden="1">
      <c r="A5046" s="3" t="str">
        <f t="shared" si="78"/>
        <v>Período 1</v>
      </c>
      <c r="B5046">
        <v>19257</v>
      </c>
      <c r="C5046" t="s">
        <v>2300</v>
      </c>
      <c r="D5046" t="s">
        <v>2939</v>
      </c>
      <c r="E5046" s="3" t="str">
        <f>IF(LEN(Base_Periodo1[[#This Row],[CLASS]])&gt;=7,LEFT(Base_Periodo1[[#This Row],[CLASS]],7),"")</f>
        <v>2.4.1.1</v>
      </c>
      <c r="F5046" s="3" t="str">
        <f>VLOOKUP(Base_Periodo1[[#This Row],[Aux]],Base_Contas_Balanco[#All],2,FALSE)</f>
        <v>Capital Social Realizado</v>
      </c>
      <c r="G5046" s="1"/>
      <c r="H5046" s="225">
        <v>466.09000000000003</v>
      </c>
      <c r="I5046" s="225">
        <v>0</v>
      </c>
      <c r="J5046" s="225">
        <v>0</v>
      </c>
      <c r="K5046" s="225">
        <v>466.09000000000003</v>
      </c>
      <c r="L50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466.09</v>
      </c>
      <c r="M5046" s="225">
        <f>ROUND(IF(AND(Base_Periodo1[[#This Row],[Tipo_Linha]]="-",Base_Periodo1[[#This Row],[TIPOSALDO]]="D"),Base_Periodo1[[#This Row],[SALDO_ATUAL]]*-1,Base_Periodo1[[#This Row],[SALDO_ATUAL]]),4)</f>
        <v>466.09</v>
      </c>
      <c r="N5046" t="s">
        <v>116</v>
      </c>
      <c r="O5046" t="s">
        <v>459</v>
      </c>
      <c r="P5046" t="s">
        <v>459</v>
      </c>
      <c r="Q5046">
        <v>6</v>
      </c>
      <c r="R5046" s="225">
        <f>Base_Periodo1[[#This Row],[CREDITOS]]-Base_Periodo1[[#This Row],[DEBITOS]]</f>
        <v>0</v>
      </c>
      <c r="S5046" s="3" t="str">
        <f>IF(ISERROR(VLOOKUP(Base_Periodo1[[#This Row],[CONTA]],BaseContasDRE[#All],4,FALSE)),"Fora do DRE",VLOOKUP(Base_Periodo1[[#This Row],[CONTA]],BaseContasDRE[#All],4,FALSE))</f>
        <v>Fora do DRE</v>
      </c>
      <c r="T5046" s="3" t="str">
        <f>IF(ISERROR(VLOOKUP(Base_Periodo1[[#This Row],[CONTA]],BaseContasDRE[#All],5,FALSE)),"Fora do DRE",VLOOKUP(Base_Periodo1[[#This Row],[CONTA]],BaseContasDRE[#All],6,FALSE))</f>
        <v>Fora do DRE</v>
      </c>
      <c r="U5046" s="3" t="str">
        <f>IF(ISERROR(VLOOKUP(Base_Periodo1[[#This Row],[CONTA]],BaseContasDRE[#All],7,FALSE)),"Fora do DRE",VLOOKUP(Base_Periodo1[[#This Row],[CONTA]],BaseContasDRE[#All],7,FALSE))</f>
        <v>Fora do DRE</v>
      </c>
      <c r="V5046" s="3" t="str">
        <f>IF(Base_Periodo1[[#This Row],[Tipo_Linha]]="Fora do DRE","Fora do DRE","( "&amp;Base_Periodo1[[#This Row],[Tipo_Linha]]&amp;" ) "&amp;Base_Periodo1[[#This Row],[Filtro]])</f>
        <v>Fora do DRE</v>
      </c>
      <c r="W5046" s="3" t="str">
        <f>LEFT(Base_Periodo1[[#This Row],[CLASS]],3)</f>
        <v>2.4</v>
      </c>
    </row>
    <row r="5047" spans="1:23" hidden="1">
      <c r="A5047" s="3" t="str">
        <f t="shared" si="78"/>
        <v>Período 1</v>
      </c>
      <c r="B5047">
        <v>16381</v>
      </c>
      <c r="C5047" t="s">
        <v>2300</v>
      </c>
      <c r="D5047" t="s">
        <v>2940</v>
      </c>
      <c r="E5047" s="3" t="str">
        <f>IF(LEN(Base_Periodo1[[#This Row],[CLASS]])&gt;=7,LEFT(Base_Periodo1[[#This Row],[CLASS]],7),"")</f>
        <v>2.4.1.1</v>
      </c>
      <c r="F5047" s="3" t="str">
        <f>VLOOKUP(Base_Periodo1[[#This Row],[Aux]],Base_Contas_Balanco[#All],2,FALSE)</f>
        <v>Capital Social Realizado</v>
      </c>
      <c r="G5047" s="1"/>
      <c r="H5047" s="225">
        <v>492.01000000000005</v>
      </c>
      <c r="I5047" s="225">
        <v>0</v>
      </c>
      <c r="J5047" s="225">
        <v>0</v>
      </c>
      <c r="K5047" s="225">
        <v>492.01000000000005</v>
      </c>
      <c r="L50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492.01</v>
      </c>
      <c r="M5047" s="225">
        <f>ROUND(IF(AND(Base_Periodo1[[#This Row],[Tipo_Linha]]="-",Base_Periodo1[[#This Row],[TIPOSALDO]]="D"),Base_Periodo1[[#This Row],[SALDO_ATUAL]]*-1,Base_Periodo1[[#This Row],[SALDO_ATUAL]]),4)</f>
        <v>492.01</v>
      </c>
      <c r="N5047" t="s">
        <v>116</v>
      </c>
      <c r="O5047" t="s">
        <v>459</v>
      </c>
      <c r="P5047" t="s">
        <v>459</v>
      </c>
      <c r="Q5047">
        <v>6</v>
      </c>
      <c r="R5047" s="225">
        <f>Base_Periodo1[[#This Row],[CREDITOS]]-Base_Periodo1[[#This Row],[DEBITOS]]</f>
        <v>0</v>
      </c>
      <c r="S5047" s="3" t="str">
        <f>IF(ISERROR(VLOOKUP(Base_Periodo1[[#This Row],[CONTA]],BaseContasDRE[#All],4,FALSE)),"Fora do DRE",VLOOKUP(Base_Periodo1[[#This Row],[CONTA]],BaseContasDRE[#All],4,FALSE))</f>
        <v>Fora do DRE</v>
      </c>
      <c r="T5047" s="3" t="str">
        <f>IF(ISERROR(VLOOKUP(Base_Periodo1[[#This Row],[CONTA]],BaseContasDRE[#All],5,FALSE)),"Fora do DRE",VLOOKUP(Base_Periodo1[[#This Row],[CONTA]],BaseContasDRE[#All],6,FALSE))</f>
        <v>Fora do DRE</v>
      </c>
      <c r="U5047" s="3" t="str">
        <f>IF(ISERROR(VLOOKUP(Base_Periodo1[[#This Row],[CONTA]],BaseContasDRE[#All],7,FALSE)),"Fora do DRE",VLOOKUP(Base_Periodo1[[#This Row],[CONTA]],BaseContasDRE[#All],7,FALSE))</f>
        <v>Fora do DRE</v>
      </c>
      <c r="V5047" s="3" t="str">
        <f>IF(Base_Periodo1[[#This Row],[Tipo_Linha]]="Fora do DRE","Fora do DRE","( "&amp;Base_Periodo1[[#This Row],[Tipo_Linha]]&amp;" ) "&amp;Base_Periodo1[[#This Row],[Filtro]])</f>
        <v>Fora do DRE</v>
      </c>
      <c r="W5047" s="3" t="str">
        <f>LEFT(Base_Periodo1[[#This Row],[CLASS]],3)</f>
        <v>2.4</v>
      </c>
    </row>
    <row r="5048" spans="1:23" hidden="1">
      <c r="A5048" s="3" t="str">
        <f t="shared" si="78"/>
        <v>Período 1</v>
      </c>
      <c r="B5048">
        <v>19259</v>
      </c>
      <c r="C5048" t="s">
        <v>2300</v>
      </c>
      <c r="D5048" t="s">
        <v>2941</v>
      </c>
      <c r="E5048" s="3" t="str">
        <f>IF(LEN(Base_Periodo1[[#This Row],[CLASS]])&gt;=7,LEFT(Base_Periodo1[[#This Row],[CLASS]],7),"")</f>
        <v>2.4.1.1</v>
      </c>
      <c r="F5048" s="3" t="str">
        <f>VLOOKUP(Base_Periodo1[[#This Row],[Aux]],Base_Contas_Balanco[#All],2,FALSE)</f>
        <v>Capital Social Realizado</v>
      </c>
      <c r="G5048" s="1"/>
      <c r="H5048" s="225">
        <v>1299.33</v>
      </c>
      <c r="I5048" s="225">
        <v>0</v>
      </c>
      <c r="J5048" s="225">
        <v>0</v>
      </c>
      <c r="K5048" s="225">
        <v>1299.33</v>
      </c>
      <c r="L50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1299.33</v>
      </c>
      <c r="M5048" s="225">
        <f>ROUND(IF(AND(Base_Periodo1[[#This Row],[Tipo_Linha]]="-",Base_Periodo1[[#This Row],[TIPOSALDO]]="D"),Base_Periodo1[[#This Row],[SALDO_ATUAL]]*-1,Base_Periodo1[[#This Row],[SALDO_ATUAL]]),4)</f>
        <v>1299.33</v>
      </c>
      <c r="N5048" t="s">
        <v>116</v>
      </c>
      <c r="O5048" t="s">
        <v>459</v>
      </c>
      <c r="P5048" t="s">
        <v>459</v>
      </c>
      <c r="Q5048">
        <v>6</v>
      </c>
      <c r="R5048" s="225">
        <f>Base_Periodo1[[#This Row],[CREDITOS]]-Base_Periodo1[[#This Row],[DEBITOS]]</f>
        <v>0</v>
      </c>
      <c r="S5048" s="3" t="str">
        <f>IF(ISERROR(VLOOKUP(Base_Periodo1[[#This Row],[CONTA]],BaseContasDRE[#All],4,FALSE)),"Fora do DRE",VLOOKUP(Base_Periodo1[[#This Row],[CONTA]],BaseContasDRE[#All],4,FALSE))</f>
        <v>Fora do DRE</v>
      </c>
      <c r="T5048" s="3" t="str">
        <f>IF(ISERROR(VLOOKUP(Base_Periodo1[[#This Row],[CONTA]],BaseContasDRE[#All],5,FALSE)),"Fora do DRE",VLOOKUP(Base_Periodo1[[#This Row],[CONTA]],BaseContasDRE[#All],6,FALSE))</f>
        <v>Fora do DRE</v>
      </c>
      <c r="U5048" s="3" t="str">
        <f>IF(ISERROR(VLOOKUP(Base_Periodo1[[#This Row],[CONTA]],BaseContasDRE[#All],7,FALSE)),"Fora do DRE",VLOOKUP(Base_Periodo1[[#This Row],[CONTA]],BaseContasDRE[#All],7,FALSE))</f>
        <v>Fora do DRE</v>
      </c>
      <c r="V5048" s="3" t="str">
        <f>IF(Base_Periodo1[[#This Row],[Tipo_Linha]]="Fora do DRE","Fora do DRE","( "&amp;Base_Periodo1[[#This Row],[Tipo_Linha]]&amp;" ) "&amp;Base_Periodo1[[#This Row],[Filtro]])</f>
        <v>Fora do DRE</v>
      </c>
      <c r="W5048" s="3" t="str">
        <f>LEFT(Base_Periodo1[[#This Row],[CLASS]],3)</f>
        <v>2.4</v>
      </c>
    </row>
    <row r="5049" spans="1:23" hidden="1">
      <c r="A5049" s="3" t="str">
        <f t="shared" si="78"/>
        <v>Período 1</v>
      </c>
      <c r="B5049">
        <v>16375</v>
      </c>
      <c r="C5049" t="s">
        <v>2300</v>
      </c>
      <c r="D5049" t="s">
        <v>2942</v>
      </c>
      <c r="E5049" s="3" t="str">
        <f>IF(LEN(Base_Periodo1[[#This Row],[CLASS]])&gt;=7,LEFT(Base_Periodo1[[#This Row],[CLASS]],7),"")</f>
        <v>2.4.1.1</v>
      </c>
      <c r="F5049" s="3" t="str">
        <f>VLOOKUP(Base_Periodo1[[#This Row],[Aux]],Base_Contas_Balanco[#All],2,FALSE)</f>
        <v>Capital Social Realizado</v>
      </c>
      <c r="G5049" s="1"/>
      <c r="H5049" s="225">
        <v>2270.9300000000003</v>
      </c>
      <c r="I5049" s="225">
        <v>0</v>
      </c>
      <c r="J5049" s="225">
        <v>0</v>
      </c>
      <c r="K5049" s="225">
        <v>2270.9300000000003</v>
      </c>
      <c r="L50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2270.9299999999998</v>
      </c>
      <c r="M5049" s="225">
        <f>ROUND(IF(AND(Base_Periodo1[[#This Row],[Tipo_Linha]]="-",Base_Periodo1[[#This Row],[TIPOSALDO]]="D"),Base_Periodo1[[#This Row],[SALDO_ATUAL]]*-1,Base_Periodo1[[#This Row],[SALDO_ATUAL]]),4)</f>
        <v>2270.9299999999998</v>
      </c>
      <c r="N5049" t="s">
        <v>116</v>
      </c>
      <c r="O5049" t="s">
        <v>459</v>
      </c>
      <c r="P5049" t="s">
        <v>459</v>
      </c>
      <c r="Q5049">
        <v>6</v>
      </c>
      <c r="R5049" s="225">
        <f>Base_Periodo1[[#This Row],[CREDITOS]]-Base_Periodo1[[#This Row],[DEBITOS]]</f>
        <v>0</v>
      </c>
      <c r="S5049" s="3" t="str">
        <f>IF(ISERROR(VLOOKUP(Base_Periodo1[[#This Row],[CONTA]],BaseContasDRE[#All],4,FALSE)),"Fora do DRE",VLOOKUP(Base_Periodo1[[#This Row],[CONTA]],BaseContasDRE[#All],4,FALSE))</f>
        <v>Fora do DRE</v>
      </c>
      <c r="T5049" s="3" t="str">
        <f>IF(ISERROR(VLOOKUP(Base_Periodo1[[#This Row],[CONTA]],BaseContasDRE[#All],5,FALSE)),"Fora do DRE",VLOOKUP(Base_Periodo1[[#This Row],[CONTA]],BaseContasDRE[#All],6,FALSE))</f>
        <v>Fora do DRE</v>
      </c>
      <c r="U5049" s="3" t="str">
        <f>IF(ISERROR(VLOOKUP(Base_Periodo1[[#This Row],[CONTA]],BaseContasDRE[#All],7,FALSE)),"Fora do DRE",VLOOKUP(Base_Periodo1[[#This Row],[CONTA]],BaseContasDRE[#All],7,FALSE))</f>
        <v>Fora do DRE</v>
      </c>
      <c r="V5049" s="3" t="str">
        <f>IF(Base_Periodo1[[#This Row],[Tipo_Linha]]="Fora do DRE","Fora do DRE","( "&amp;Base_Periodo1[[#This Row],[Tipo_Linha]]&amp;" ) "&amp;Base_Periodo1[[#This Row],[Filtro]])</f>
        <v>Fora do DRE</v>
      </c>
      <c r="W5049" s="3" t="str">
        <f>LEFT(Base_Periodo1[[#This Row],[CLASS]],3)</f>
        <v>2.4</v>
      </c>
    </row>
    <row r="5050" spans="1:23" hidden="1">
      <c r="A5050" s="3" t="str">
        <f t="shared" si="78"/>
        <v>Período 1</v>
      </c>
      <c r="B5050">
        <v>16062</v>
      </c>
      <c r="C5050" t="s">
        <v>2300</v>
      </c>
      <c r="D5050" t="s">
        <v>2943</v>
      </c>
      <c r="E5050" s="3" t="str">
        <f>IF(LEN(Base_Periodo1[[#This Row],[CLASS]])&gt;=7,LEFT(Base_Periodo1[[#This Row],[CLASS]],7),"")</f>
        <v>2.4.1.1</v>
      </c>
      <c r="F5050" s="3" t="str">
        <f>VLOOKUP(Base_Periodo1[[#This Row],[Aux]],Base_Contas_Balanco[#All],2,FALSE)</f>
        <v>Capital Social Realizado</v>
      </c>
      <c r="G5050" s="1"/>
      <c r="H5050" s="225">
        <v>6627.84</v>
      </c>
      <c r="I5050" s="225">
        <v>0</v>
      </c>
      <c r="J5050" s="225">
        <v>0</v>
      </c>
      <c r="K5050" s="225">
        <v>6627.84</v>
      </c>
      <c r="L50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6627.84</v>
      </c>
      <c r="M5050" s="225">
        <f>ROUND(IF(AND(Base_Periodo1[[#This Row],[Tipo_Linha]]="-",Base_Periodo1[[#This Row],[TIPOSALDO]]="D"),Base_Periodo1[[#This Row],[SALDO_ATUAL]]*-1,Base_Periodo1[[#This Row],[SALDO_ATUAL]]),4)</f>
        <v>6627.84</v>
      </c>
      <c r="N5050" t="s">
        <v>116</v>
      </c>
      <c r="O5050" t="s">
        <v>459</v>
      </c>
      <c r="P5050" t="s">
        <v>459</v>
      </c>
      <c r="Q5050">
        <v>6</v>
      </c>
      <c r="R5050" s="225">
        <f>Base_Periodo1[[#This Row],[CREDITOS]]-Base_Periodo1[[#This Row],[DEBITOS]]</f>
        <v>0</v>
      </c>
      <c r="S5050" s="3" t="str">
        <f>IF(ISERROR(VLOOKUP(Base_Periodo1[[#This Row],[CONTA]],BaseContasDRE[#All],4,FALSE)),"Fora do DRE",VLOOKUP(Base_Periodo1[[#This Row],[CONTA]],BaseContasDRE[#All],4,FALSE))</f>
        <v>Fora do DRE</v>
      </c>
      <c r="T5050" s="3" t="str">
        <f>IF(ISERROR(VLOOKUP(Base_Periodo1[[#This Row],[CONTA]],BaseContasDRE[#All],5,FALSE)),"Fora do DRE",VLOOKUP(Base_Periodo1[[#This Row],[CONTA]],BaseContasDRE[#All],6,FALSE))</f>
        <v>Fora do DRE</v>
      </c>
      <c r="U5050" s="3" t="str">
        <f>IF(ISERROR(VLOOKUP(Base_Periodo1[[#This Row],[CONTA]],BaseContasDRE[#All],7,FALSE)),"Fora do DRE",VLOOKUP(Base_Periodo1[[#This Row],[CONTA]],BaseContasDRE[#All],7,FALSE))</f>
        <v>Fora do DRE</v>
      </c>
      <c r="V5050" s="3" t="str">
        <f>IF(Base_Periodo1[[#This Row],[Tipo_Linha]]="Fora do DRE","Fora do DRE","( "&amp;Base_Periodo1[[#This Row],[Tipo_Linha]]&amp;" ) "&amp;Base_Periodo1[[#This Row],[Filtro]])</f>
        <v>Fora do DRE</v>
      </c>
      <c r="W5050" s="3" t="str">
        <f>LEFT(Base_Periodo1[[#This Row],[CLASS]],3)</f>
        <v>2.4</v>
      </c>
    </row>
    <row r="5051" spans="1:23" hidden="1">
      <c r="A5051" s="3" t="str">
        <f t="shared" si="78"/>
        <v>Período 1</v>
      </c>
      <c r="B5051">
        <v>36101</v>
      </c>
      <c r="C5051" t="s">
        <v>2300</v>
      </c>
      <c r="D5051" t="s">
        <v>2944</v>
      </c>
      <c r="E5051" s="3" t="str">
        <f>IF(LEN(Base_Periodo1[[#This Row],[CLASS]])&gt;=7,LEFT(Base_Periodo1[[#This Row],[CLASS]],7),"")</f>
        <v>2.4.1.1</v>
      </c>
      <c r="F5051" s="3" t="str">
        <f>VLOOKUP(Base_Periodo1[[#This Row],[Aux]],Base_Contas_Balanco[#All],2,FALSE)</f>
        <v>Capital Social Realizado</v>
      </c>
      <c r="G5051" s="1"/>
      <c r="H5051" s="225">
        <v>324.38</v>
      </c>
      <c r="I5051" s="225">
        <v>0</v>
      </c>
      <c r="J5051" s="225">
        <v>0</v>
      </c>
      <c r="K5051" s="225">
        <v>324.38</v>
      </c>
      <c r="L50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324.38</v>
      </c>
      <c r="M5051" s="225">
        <f>ROUND(IF(AND(Base_Periodo1[[#This Row],[Tipo_Linha]]="-",Base_Periodo1[[#This Row],[TIPOSALDO]]="D"),Base_Periodo1[[#This Row],[SALDO_ATUAL]]*-1,Base_Periodo1[[#This Row],[SALDO_ATUAL]]),4)</f>
        <v>324.38</v>
      </c>
      <c r="N5051" t="s">
        <v>116</v>
      </c>
      <c r="O5051" t="s">
        <v>459</v>
      </c>
      <c r="P5051" t="s">
        <v>459</v>
      </c>
      <c r="Q5051">
        <v>6</v>
      </c>
      <c r="R5051" s="225">
        <f>Base_Periodo1[[#This Row],[CREDITOS]]-Base_Periodo1[[#This Row],[DEBITOS]]</f>
        <v>0</v>
      </c>
      <c r="S5051" s="3" t="str">
        <f>IF(ISERROR(VLOOKUP(Base_Periodo1[[#This Row],[CONTA]],BaseContasDRE[#All],4,FALSE)),"Fora do DRE",VLOOKUP(Base_Periodo1[[#This Row],[CONTA]],BaseContasDRE[#All],4,FALSE))</f>
        <v>Fora do DRE</v>
      </c>
      <c r="T5051" s="3" t="str">
        <f>IF(ISERROR(VLOOKUP(Base_Periodo1[[#This Row],[CONTA]],BaseContasDRE[#All],5,FALSE)),"Fora do DRE",VLOOKUP(Base_Periodo1[[#This Row],[CONTA]],BaseContasDRE[#All],6,FALSE))</f>
        <v>Fora do DRE</v>
      </c>
      <c r="U5051" s="3" t="str">
        <f>IF(ISERROR(VLOOKUP(Base_Periodo1[[#This Row],[CONTA]],BaseContasDRE[#All],7,FALSE)),"Fora do DRE",VLOOKUP(Base_Periodo1[[#This Row],[CONTA]],BaseContasDRE[#All],7,FALSE))</f>
        <v>Fora do DRE</v>
      </c>
      <c r="V5051" s="3" t="str">
        <f>IF(Base_Periodo1[[#This Row],[Tipo_Linha]]="Fora do DRE","Fora do DRE","( "&amp;Base_Periodo1[[#This Row],[Tipo_Linha]]&amp;" ) "&amp;Base_Periodo1[[#This Row],[Filtro]])</f>
        <v>Fora do DRE</v>
      </c>
      <c r="W5051" s="3" t="str">
        <f>LEFT(Base_Periodo1[[#This Row],[CLASS]],3)</f>
        <v>2.4</v>
      </c>
    </row>
    <row r="5052" spans="1:23" hidden="1">
      <c r="A5052" s="3" t="str">
        <f t="shared" si="78"/>
        <v>Período 1</v>
      </c>
      <c r="B5052">
        <v>55075</v>
      </c>
      <c r="C5052" t="s">
        <v>2300</v>
      </c>
      <c r="D5052" t="s">
        <v>5351</v>
      </c>
      <c r="E5052" s="3" t="str">
        <f>IF(LEN(Base_Periodo1[[#This Row],[CLASS]])&gt;=7,LEFT(Base_Periodo1[[#This Row],[CLASS]],7),"")</f>
        <v>2.4.1.1</v>
      </c>
      <c r="F5052" s="3" t="str">
        <f>VLOOKUP(Base_Periodo1[[#This Row],[Aux]],Base_Contas_Balanco[#All],2,FALSE)</f>
        <v>Capital Social Realizado</v>
      </c>
      <c r="G5052" s="1"/>
      <c r="H5052" s="225">
        <v>50</v>
      </c>
      <c r="I5052" s="225">
        <v>0</v>
      </c>
      <c r="J5052" s="225">
        <v>0</v>
      </c>
      <c r="K5052" s="225">
        <v>50</v>
      </c>
      <c r="L50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52" s="225">
        <f>ROUND(IF(AND(Base_Periodo1[[#This Row],[Tipo_Linha]]="-",Base_Periodo1[[#This Row],[TIPOSALDO]]="D"),Base_Periodo1[[#This Row],[SALDO_ATUAL]]*-1,Base_Periodo1[[#This Row],[SALDO_ATUAL]]),4)</f>
        <v>50</v>
      </c>
      <c r="N5052" t="s">
        <v>116</v>
      </c>
      <c r="O5052" t="s">
        <v>459</v>
      </c>
      <c r="P5052" t="s">
        <v>459</v>
      </c>
      <c r="Q5052">
        <v>6</v>
      </c>
      <c r="R5052" s="225">
        <f>Base_Periodo1[[#This Row],[CREDITOS]]-Base_Periodo1[[#This Row],[DEBITOS]]</f>
        <v>0</v>
      </c>
      <c r="S5052" s="3" t="str">
        <f>IF(ISERROR(VLOOKUP(Base_Periodo1[[#This Row],[CONTA]],BaseContasDRE[#All],4,FALSE)),"Fora do DRE",VLOOKUP(Base_Periodo1[[#This Row],[CONTA]],BaseContasDRE[#All],4,FALSE))</f>
        <v>Fora do DRE</v>
      </c>
      <c r="T5052" s="3" t="str">
        <f>IF(ISERROR(VLOOKUP(Base_Periodo1[[#This Row],[CONTA]],BaseContasDRE[#All],5,FALSE)),"Fora do DRE",VLOOKUP(Base_Periodo1[[#This Row],[CONTA]],BaseContasDRE[#All],6,FALSE))</f>
        <v>Fora do DRE</v>
      </c>
      <c r="U5052" s="3" t="str">
        <f>IF(ISERROR(VLOOKUP(Base_Periodo1[[#This Row],[CONTA]],BaseContasDRE[#All],7,FALSE)),"Fora do DRE",VLOOKUP(Base_Periodo1[[#This Row],[CONTA]],BaseContasDRE[#All],7,FALSE))</f>
        <v>Fora do DRE</v>
      </c>
      <c r="V5052" s="3" t="str">
        <f>IF(Base_Periodo1[[#This Row],[Tipo_Linha]]="Fora do DRE","Fora do DRE","( "&amp;Base_Periodo1[[#This Row],[Tipo_Linha]]&amp;" ) "&amp;Base_Periodo1[[#This Row],[Filtro]])</f>
        <v>Fora do DRE</v>
      </c>
      <c r="W5052" s="3" t="str">
        <f>LEFT(Base_Periodo1[[#This Row],[CLASS]],3)</f>
        <v>2.4</v>
      </c>
    </row>
    <row r="5053" spans="1:23" hidden="1">
      <c r="A5053" s="3" t="str">
        <f t="shared" si="78"/>
        <v>Período 1</v>
      </c>
      <c r="B5053">
        <v>25573</v>
      </c>
      <c r="C5053" t="s">
        <v>2300</v>
      </c>
      <c r="D5053" t="s">
        <v>2945</v>
      </c>
      <c r="E5053" s="3" t="str">
        <f>IF(LEN(Base_Periodo1[[#This Row],[CLASS]])&gt;=7,LEFT(Base_Periodo1[[#This Row],[CLASS]],7),"")</f>
        <v>2.4.1.1</v>
      </c>
      <c r="F5053" s="3" t="str">
        <f>VLOOKUP(Base_Periodo1[[#This Row],[Aux]],Base_Contas_Balanco[#All],2,FALSE)</f>
        <v>Capital Social Realizado</v>
      </c>
      <c r="G5053" s="1">
        <v>41452</v>
      </c>
      <c r="H5053" s="225">
        <v>6.259999999999998</v>
      </c>
      <c r="I5053" s="225">
        <v>0</v>
      </c>
      <c r="J5053" s="225">
        <v>0</v>
      </c>
      <c r="K5053" s="225">
        <v>6.259999999999998</v>
      </c>
      <c r="L50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6.26</v>
      </c>
      <c r="M5053" s="225">
        <f>ROUND(IF(AND(Base_Periodo1[[#This Row],[Tipo_Linha]]="-",Base_Periodo1[[#This Row],[TIPOSALDO]]="D"),Base_Periodo1[[#This Row],[SALDO_ATUAL]]*-1,Base_Periodo1[[#This Row],[SALDO_ATUAL]]),4)</f>
        <v>6.26</v>
      </c>
      <c r="N5053" t="s">
        <v>116</v>
      </c>
      <c r="O5053" t="s">
        <v>459</v>
      </c>
      <c r="P5053" t="s">
        <v>459</v>
      </c>
      <c r="Q5053">
        <v>6</v>
      </c>
      <c r="R5053" s="225">
        <f>Base_Periodo1[[#This Row],[CREDITOS]]-Base_Periodo1[[#This Row],[DEBITOS]]</f>
        <v>0</v>
      </c>
      <c r="S5053" s="3" t="str">
        <f>IF(ISERROR(VLOOKUP(Base_Periodo1[[#This Row],[CONTA]],BaseContasDRE[#All],4,FALSE)),"Fora do DRE",VLOOKUP(Base_Periodo1[[#This Row],[CONTA]],BaseContasDRE[#All],4,FALSE))</f>
        <v>Fora do DRE</v>
      </c>
      <c r="T5053" s="3" t="str">
        <f>IF(ISERROR(VLOOKUP(Base_Periodo1[[#This Row],[CONTA]],BaseContasDRE[#All],5,FALSE)),"Fora do DRE",VLOOKUP(Base_Periodo1[[#This Row],[CONTA]],BaseContasDRE[#All],6,FALSE))</f>
        <v>Fora do DRE</v>
      </c>
      <c r="U5053" s="3" t="str">
        <f>IF(ISERROR(VLOOKUP(Base_Periodo1[[#This Row],[CONTA]],BaseContasDRE[#All],7,FALSE)),"Fora do DRE",VLOOKUP(Base_Periodo1[[#This Row],[CONTA]],BaseContasDRE[#All],7,FALSE))</f>
        <v>Fora do DRE</v>
      </c>
      <c r="V5053" s="3" t="str">
        <f>IF(Base_Periodo1[[#This Row],[Tipo_Linha]]="Fora do DRE","Fora do DRE","( "&amp;Base_Periodo1[[#This Row],[Tipo_Linha]]&amp;" ) "&amp;Base_Periodo1[[#This Row],[Filtro]])</f>
        <v>Fora do DRE</v>
      </c>
      <c r="W5053" s="3" t="str">
        <f>LEFT(Base_Periodo1[[#This Row],[CLASS]],3)</f>
        <v>2.4</v>
      </c>
    </row>
    <row r="5054" spans="1:23" hidden="1">
      <c r="A5054" s="3" t="str">
        <f t="shared" si="78"/>
        <v>Período 1</v>
      </c>
      <c r="B5054">
        <v>16225</v>
      </c>
      <c r="C5054" t="s">
        <v>2300</v>
      </c>
      <c r="D5054" t="s">
        <v>2946</v>
      </c>
      <c r="E5054" s="3" t="str">
        <f>IF(LEN(Base_Periodo1[[#This Row],[CLASS]])&gt;=7,LEFT(Base_Periodo1[[#This Row],[CLASS]],7),"")</f>
        <v>2.4.1.1</v>
      </c>
      <c r="F5054" s="3" t="str">
        <f>VLOOKUP(Base_Periodo1[[#This Row],[Aux]],Base_Contas_Balanco[#All],2,FALSE)</f>
        <v>Capital Social Realizado</v>
      </c>
      <c r="G5054" s="1"/>
      <c r="H5054" s="225">
        <v>1977.32</v>
      </c>
      <c r="I5054" s="225">
        <v>0</v>
      </c>
      <c r="J5054" s="225">
        <v>0</v>
      </c>
      <c r="K5054" s="225">
        <v>1977.32</v>
      </c>
      <c r="L50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1977.32</v>
      </c>
      <c r="M5054" s="225">
        <f>ROUND(IF(AND(Base_Periodo1[[#This Row],[Tipo_Linha]]="-",Base_Periodo1[[#This Row],[TIPOSALDO]]="D"),Base_Periodo1[[#This Row],[SALDO_ATUAL]]*-1,Base_Periodo1[[#This Row],[SALDO_ATUAL]]),4)</f>
        <v>1977.32</v>
      </c>
      <c r="N5054" t="s">
        <v>116</v>
      </c>
      <c r="O5054" t="s">
        <v>459</v>
      </c>
      <c r="P5054" t="s">
        <v>459</v>
      </c>
      <c r="Q5054">
        <v>6</v>
      </c>
      <c r="R5054" s="225">
        <f>Base_Periodo1[[#This Row],[CREDITOS]]-Base_Periodo1[[#This Row],[DEBITOS]]</f>
        <v>0</v>
      </c>
      <c r="S5054" s="3" t="str">
        <f>IF(ISERROR(VLOOKUP(Base_Periodo1[[#This Row],[CONTA]],BaseContasDRE[#All],4,FALSE)),"Fora do DRE",VLOOKUP(Base_Periodo1[[#This Row],[CONTA]],BaseContasDRE[#All],4,FALSE))</f>
        <v>Fora do DRE</v>
      </c>
      <c r="T5054" s="3" t="str">
        <f>IF(ISERROR(VLOOKUP(Base_Periodo1[[#This Row],[CONTA]],BaseContasDRE[#All],5,FALSE)),"Fora do DRE",VLOOKUP(Base_Periodo1[[#This Row],[CONTA]],BaseContasDRE[#All],6,FALSE))</f>
        <v>Fora do DRE</v>
      </c>
      <c r="U5054" s="3" t="str">
        <f>IF(ISERROR(VLOOKUP(Base_Periodo1[[#This Row],[CONTA]],BaseContasDRE[#All],7,FALSE)),"Fora do DRE",VLOOKUP(Base_Periodo1[[#This Row],[CONTA]],BaseContasDRE[#All],7,FALSE))</f>
        <v>Fora do DRE</v>
      </c>
      <c r="V5054" s="3" t="str">
        <f>IF(Base_Periodo1[[#This Row],[Tipo_Linha]]="Fora do DRE","Fora do DRE","( "&amp;Base_Periodo1[[#This Row],[Tipo_Linha]]&amp;" ) "&amp;Base_Periodo1[[#This Row],[Filtro]])</f>
        <v>Fora do DRE</v>
      </c>
      <c r="W5054" s="3" t="str">
        <f>LEFT(Base_Periodo1[[#This Row],[CLASS]],3)</f>
        <v>2.4</v>
      </c>
    </row>
    <row r="5055" spans="1:23" hidden="1">
      <c r="A5055" s="3" t="str">
        <f t="shared" si="78"/>
        <v>Período 1</v>
      </c>
      <c r="B5055">
        <v>16080</v>
      </c>
      <c r="C5055" t="s">
        <v>2300</v>
      </c>
      <c r="D5055" t="s">
        <v>2947</v>
      </c>
      <c r="E5055" s="3" t="str">
        <f>IF(LEN(Base_Periodo1[[#This Row],[CLASS]])&gt;=7,LEFT(Base_Periodo1[[#This Row],[CLASS]],7),"")</f>
        <v>2.4.1.1</v>
      </c>
      <c r="F5055" s="3" t="str">
        <f>VLOOKUP(Base_Periodo1[[#This Row],[Aux]],Base_Contas_Balanco[#All],2,FALSE)</f>
        <v>Capital Social Realizado</v>
      </c>
      <c r="G5055" s="1"/>
      <c r="H5055" s="225">
        <v>5995.11</v>
      </c>
      <c r="I5055" s="225">
        <v>0</v>
      </c>
      <c r="J5055" s="225">
        <v>0</v>
      </c>
      <c r="K5055" s="225">
        <v>5995.11</v>
      </c>
      <c r="L50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5995.11</v>
      </c>
      <c r="M5055" s="225">
        <f>ROUND(IF(AND(Base_Periodo1[[#This Row],[Tipo_Linha]]="-",Base_Periodo1[[#This Row],[TIPOSALDO]]="D"),Base_Periodo1[[#This Row],[SALDO_ATUAL]]*-1,Base_Periodo1[[#This Row],[SALDO_ATUAL]]),4)</f>
        <v>5995.11</v>
      </c>
      <c r="N5055" t="s">
        <v>116</v>
      </c>
      <c r="O5055" t="s">
        <v>459</v>
      </c>
      <c r="P5055" t="s">
        <v>459</v>
      </c>
      <c r="Q5055">
        <v>6</v>
      </c>
      <c r="R5055" s="225">
        <f>Base_Periodo1[[#This Row],[CREDITOS]]-Base_Periodo1[[#This Row],[DEBITOS]]</f>
        <v>0</v>
      </c>
      <c r="S5055" s="3" t="str">
        <f>IF(ISERROR(VLOOKUP(Base_Periodo1[[#This Row],[CONTA]],BaseContasDRE[#All],4,FALSE)),"Fora do DRE",VLOOKUP(Base_Periodo1[[#This Row],[CONTA]],BaseContasDRE[#All],4,FALSE))</f>
        <v>Fora do DRE</v>
      </c>
      <c r="T5055" s="3" t="str">
        <f>IF(ISERROR(VLOOKUP(Base_Periodo1[[#This Row],[CONTA]],BaseContasDRE[#All],5,FALSE)),"Fora do DRE",VLOOKUP(Base_Periodo1[[#This Row],[CONTA]],BaseContasDRE[#All],6,FALSE))</f>
        <v>Fora do DRE</v>
      </c>
      <c r="U5055" s="3" t="str">
        <f>IF(ISERROR(VLOOKUP(Base_Periodo1[[#This Row],[CONTA]],BaseContasDRE[#All],7,FALSE)),"Fora do DRE",VLOOKUP(Base_Periodo1[[#This Row],[CONTA]],BaseContasDRE[#All],7,FALSE))</f>
        <v>Fora do DRE</v>
      </c>
      <c r="V5055" s="3" t="str">
        <f>IF(Base_Periodo1[[#This Row],[Tipo_Linha]]="Fora do DRE","Fora do DRE","( "&amp;Base_Periodo1[[#This Row],[Tipo_Linha]]&amp;" ) "&amp;Base_Periodo1[[#This Row],[Filtro]])</f>
        <v>Fora do DRE</v>
      </c>
      <c r="W5055" s="3" t="str">
        <f>LEFT(Base_Periodo1[[#This Row],[CLASS]],3)</f>
        <v>2.4</v>
      </c>
    </row>
    <row r="5056" spans="1:23" hidden="1">
      <c r="A5056" s="3" t="str">
        <f t="shared" si="78"/>
        <v>Período 1</v>
      </c>
      <c r="B5056">
        <v>19361</v>
      </c>
      <c r="C5056" t="s">
        <v>2300</v>
      </c>
      <c r="D5056" t="s">
        <v>2948</v>
      </c>
      <c r="E5056" s="3" t="str">
        <f>IF(LEN(Base_Periodo1[[#This Row],[CLASS]])&gt;=7,LEFT(Base_Periodo1[[#This Row],[CLASS]],7),"")</f>
        <v>2.4.1.1</v>
      </c>
      <c r="F5056" s="3" t="str">
        <f>VLOOKUP(Base_Periodo1[[#This Row],[Aux]],Base_Contas_Balanco[#All],2,FALSE)</f>
        <v>Capital Social Realizado</v>
      </c>
      <c r="G5056" s="1"/>
      <c r="H5056" s="225">
        <v>69.11</v>
      </c>
      <c r="I5056" s="225">
        <v>0</v>
      </c>
      <c r="J5056" s="225">
        <v>0</v>
      </c>
      <c r="K5056" s="225">
        <v>69.11</v>
      </c>
      <c r="L50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69.11</v>
      </c>
      <c r="M5056" s="225">
        <f>ROUND(IF(AND(Base_Periodo1[[#This Row],[Tipo_Linha]]="-",Base_Periodo1[[#This Row],[TIPOSALDO]]="D"),Base_Periodo1[[#This Row],[SALDO_ATUAL]]*-1,Base_Periodo1[[#This Row],[SALDO_ATUAL]]),4)</f>
        <v>69.11</v>
      </c>
      <c r="N5056" t="s">
        <v>116</v>
      </c>
      <c r="O5056" t="s">
        <v>459</v>
      </c>
      <c r="P5056" t="s">
        <v>459</v>
      </c>
      <c r="Q5056">
        <v>6</v>
      </c>
      <c r="R5056" s="225">
        <f>Base_Periodo1[[#This Row],[CREDITOS]]-Base_Periodo1[[#This Row],[DEBITOS]]</f>
        <v>0</v>
      </c>
      <c r="S5056" s="3" t="str">
        <f>IF(ISERROR(VLOOKUP(Base_Periodo1[[#This Row],[CONTA]],BaseContasDRE[#All],4,FALSE)),"Fora do DRE",VLOOKUP(Base_Periodo1[[#This Row],[CONTA]],BaseContasDRE[#All],4,FALSE))</f>
        <v>Fora do DRE</v>
      </c>
      <c r="T5056" s="3" t="str">
        <f>IF(ISERROR(VLOOKUP(Base_Periodo1[[#This Row],[CONTA]],BaseContasDRE[#All],5,FALSE)),"Fora do DRE",VLOOKUP(Base_Periodo1[[#This Row],[CONTA]],BaseContasDRE[#All],6,FALSE))</f>
        <v>Fora do DRE</v>
      </c>
      <c r="U5056" s="3" t="str">
        <f>IF(ISERROR(VLOOKUP(Base_Periodo1[[#This Row],[CONTA]],BaseContasDRE[#All],7,FALSE)),"Fora do DRE",VLOOKUP(Base_Periodo1[[#This Row],[CONTA]],BaseContasDRE[#All],7,FALSE))</f>
        <v>Fora do DRE</v>
      </c>
      <c r="V5056" s="3" t="str">
        <f>IF(Base_Periodo1[[#This Row],[Tipo_Linha]]="Fora do DRE","Fora do DRE","( "&amp;Base_Periodo1[[#This Row],[Tipo_Linha]]&amp;" ) "&amp;Base_Periodo1[[#This Row],[Filtro]])</f>
        <v>Fora do DRE</v>
      </c>
      <c r="W5056" s="3" t="str">
        <f>LEFT(Base_Periodo1[[#This Row],[CLASS]],3)</f>
        <v>2.4</v>
      </c>
    </row>
    <row r="5057" spans="1:23" hidden="1">
      <c r="A5057" s="3" t="str">
        <f t="shared" si="78"/>
        <v>Período 1</v>
      </c>
      <c r="B5057">
        <v>39550</v>
      </c>
      <c r="C5057" t="s">
        <v>2300</v>
      </c>
      <c r="D5057" t="s">
        <v>2949</v>
      </c>
      <c r="E5057" s="3" t="str">
        <f>IF(LEN(Base_Periodo1[[#This Row],[CLASS]])&gt;=7,LEFT(Base_Periodo1[[#This Row],[CLASS]],7),"")</f>
        <v>2.4.1.1</v>
      </c>
      <c r="F5057" s="3" t="str">
        <f>VLOOKUP(Base_Periodo1[[#This Row],[Aux]],Base_Contas_Balanco[#All],2,FALSE)</f>
        <v>Capital Social Realizado</v>
      </c>
      <c r="G5057" s="1"/>
      <c r="H5057" s="225">
        <v>188.85</v>
      </c>
      <c r="I5057" s="225">
        <v>0</v>
      </c>
      <c r="J5057" s="225">
        <v>0</v>
      </c>
      <c r="K5057" s="225">
        <v>188.85</v>
      </c>
      <c r="L50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188.85</v>
      </c>
      <c r="M5057" s="225">
        <f>ROUND(IF(AND(Base_Periodo1[[#This Row],[Tipo_Linha]]="-",Base_Periodo1[[#This Row],[TIPOSALDO]]="D"),Base_Periodo1[[#This Row],[SALDO_ATUAL]]*-1,Base_Periodo1[[#This Row],[SALDO_ATUAL]]),4)</f>
        <v>188.85</v>
      </c>
      <c r="N5057" t="s">
        <v>116</v>
      </c>
      <c r="O5057" t="s">
        <v>459</v>
      </c>
      <c r="P5057" t="s">
        <v>459</v>
      </c>
      <c r="Q5057">
        <v>6</v>
      </c>
      <c r="R5057" s="225">
        <f>Base_Periodo1[[#This Row],[CREDITOS]]-Base_Periodo1[[#This Row],[DEBITOS]]</f>
        <v>0</v>
      </c>
      <c r="S5057" s="3" t="str">
        <f>IF(ISERROR(VLOOKUP(Base_Periodo1[[#This Row],[CONTA]],BaseContasDRE[#All],4,FALSE)),"Fora do DRE",VLOOKUP(Base_Periodo1[[#This Row],[CONTA]],BaseContasDRE[#All],4,FALSE))</f>
        <v>Fora do DRE</v>
      </c>
      <c r="T5057" s="3" t="str">
        <f>IF(ISERROR(VLOOKUP(Base_Periodo1[[#This Row],[CONTA]],BaseContasDRE[#All],5,FALSE)),"Fora do DRE",VLOOKUP(Base_Periodo1[[#This Row],[CONTA]],BaseContasDRE[#All],6,FALSE))</f>
        <v>Fora do DRE</v>
      </c>
      <c r="U5057" s="3" t="str">
        <f>IF(ISERROR(VLOOKUP(Base_Periodo1[[#This Row],[CONTA]],BaseContasDRE[#All],7,FALSE)),"Fora do DRE",VLOOKUP(Base_Periodo1[[#This Row],[CONTA]],BaseContasDRE[#All],7,FALSE))</f>
        <v>Fora do DRE</v>
      </c>
      <c r="V5057" s="3" t="str">
        <f>IF(Base_Periodo1[[#This Row],[Tipo_Linha]]="Fora do DRE","Fora do DRE","( "&amp;Base_Periodo1[[#This Row],[Tipo_Linha]]&amp;" ) "&amp;Base_Periodo1[[#This Row],[Filtro]])</f>
        <v>Fora do DRE</v>
      </c>
      <c r="W5057" s="3" t="str">
        <f>LEFT(Base_Periodo1[[#This Row],[CLASS]],3)</f>
        <v>2.4</v>
      </c>
    </row>
    <row r="5058" spans="1:23" hidden="1">
      <c r="A5058" s="3" t="str">
        <f t="shared" si="78"/>
        <v>Período 1</v>
      </c>
      <c r="B5058">
        <v>19743</v>
      </c>
      <c r="C5058" t="s">
        <v>2300</v>
      </c>
      <c r="D5058" t="s">
        <v>2950</v>
      </c>
      <c r="E5058" s="3" t="str">
        <f>IF(LEN(Base_Periodo1[[#This Row],[CLASS]])&gt;=7,LEFT(Base_Periodo1[[#This Row],[CLASS]],7),"")</f>
        <v>2.4.1.1</v>
      </c>
      <c r="F5058" s="3" t="str">
        <f>VLOOKUP(Base_Periodo1[[#This Row],[Aux]],Base_Contas_Balanco[#All],2,FALSE)</f>
        <v>Capital Social Realizado</v>
      </c>
      <c r="G5058" s="1"/>
      <c r="H5058" s="225">
        <v>352.89</v>
      </c>
      <c r="I5058" s="225">
        <v>0</v>
      </c>
      <c r="J5058" s="225">
        <v>0</v>
      </c>
      <c r="K5058" s="225">
        <v>352.89</v>
      </c>
      <c r="L50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352.89</v>
      </c>
      <c r="M5058" s="225">
        <f>ROUND(IF(AND(Base_Periodo1[[#This Row],[Tipo_Linha]]="-",Base_Periodo1[[#This Row],[TIPOSALDO]]="D"),Base_Periodo1[[#This Row],[SALDO_ATUAL]]*-1,Base_Periodo1[[#This Row],[SALDO_ATUAL]]),4)</f>
        <v>352.89</v>
      </c>
      <c r="N5058" t="s">
        <v>116</v>
      </c>
      <c r="O5058" t="s">
        <v>459</v>
      </c>
      <c r="P5058" t="s">
        <v>459</v>
      </c>
      <c r="Q5058">
        <v>6</v>
      </c>
      <c r="R5058" s="225">
        <f>Base_Periodo1[[#This Row],[CREDITOS]]-Base_Periodo1[[#This Row],[DEBITOS]]</f>
        <v>0</v>
      </c>
      <c r="S5058" s="3" t="str">
        <f>IF(ISERROR(VLOOKUP(Base_Periodo1[[#This Row],[CONTA]],BaseContasDRE[#All],4,FALSE)),"Fora do DRE",VLOOKUP(Base_Periodo1[[#This Row],[CONTA]],BaseContasDRE[#All],4,FALSE))</f>
        <v>Fora do DRE</v>
      </c>
      <c r="T5058" s="3" t="str">
        <f>IF(ISERROR(VLOOKUP(Base_Periodo1[[#This Row],[CONTA]],BaseContasDRE[#All],5,FALSE)),"Fora do DRE",VLOOKUP(Base_Periodo1[[#This Row],[CONTA]],BaseContasDRE[#All],6,FALSE))</f>
        <v>Fora do DRE</v>
      </c>
      <c r="U5058" s="3" t="str">
        <f>IF(ISERROR(VLOOKUP(Base_Periodo1[[#This Row],[CONTA]],BaseContasDRE[#All],7,FALSE)),"Fora do DRE",VLOOKUP(Base_Periodo1[[#This Row],[CONTA]],BaseContasDRE[#All],7,FALSE))</f>
        <v>Fora do DRE</v>
      </c>
      <c r="V5058" s="3" t="str">
        <f>IF(Base_Periodo1[[#This Row],[Tipo_Linha]]="Fora do DRE","Fora do DRE","( "&amp;Base_Periodo1[[#This Row],[Tipo_Linha]]&amp;" ) "&amp;Base_Periodo1[[#This Row],[Filtro]])</f>
        <v>Fora do DRE</v>
      </c>
      <c r="W5058" s="3" t="str">
        <f>LEFT(Base_Periodo1[[#This Row],[CLASS]],3)</f>
        <v>2.4</v>
      </c>
    </row>
    <row r="5059" spans="1:23" hidden="1">
      <c r="A5059" s="3" t="str">
        <f t="shared" si="78"/>
        <v>Período 1</v>
      </c>
      <c r="B5059">
        <v>53988</v>
      </c>
      <c r="C5059" t="s">
        <v>2300</v>
      </c>
      <c r="D5059" t="s">
        <v>5098</v>
      </c>
      <c r="E5059" s="3" t="str">
        <f>IF(LEN(Base_Periodo1[[#This Row],[CLASS]])&gt;=7,LEFT(Base_Periodo1[[#This Row],[CLASS]],7),"")</f>
        <v>2.4.1.1</v>
      </c>
      <c r="F5059" s="3" t="str">
        <f>VLOOKUP(Base_Periodo1[[#This Row],[Aux]],Base_Contas_Balanco[#All],2,FALSE)</f>
        <v>Capital Social Realizado</v>
      </c>
      <c r="G5059" s="1"/>
      <c r="H5059" s="225">
        <v>50</v>
      </c>
      <c r="I5059" s="225">
        <v>0</v>
      </c>
      <c r="J5059" s="225">
        <v>0</v>
      </c>
      <c r="K5059" s="225">
        <v>50</v>
      </c>
      <c r="L50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59" s="225">
        <f>ROUND(IF(AND(Base_Periodo1[[#This Row],[Tipo_Linha]]="-",Base_Periodo1[[#This Row],[TIPOSALDO]]="D"),Base_Periodo1[[#This Row],[SALDO_ATUAL]]*-1,Base_Periodo1[[#This Row],[SALDO_ATUAL]]),4)</f>
        <v>50</v>
      </c>
      <c r="N5059" t="s">
        <v>116</v>
      </c>
      <c r="O5059" t="s">
        <v>459</v>
      </c>
      <c r="P5059" t="s">
        <v>459</v>
      </c>
      <c r="Q5059">
        <v>6</v>
      </c>
      <c r="R5059" s="225">
        <f>Base_Periodo1[[#This Row],[CREDITOS]]-Base_Periodo1[[#This Row],[DEBITOS]]</f>
        <v>0</v>
      </c>
      <c r="S5059" s="3" t="str">
        <f>IF(ISERROR(VLOOKUP(Base_Periodo1[[#This Row],[CONTA]],BaseContasDRE[#All],4,FALSE)),"Fora do DRE",VLOOKUP(Base_Periodo1[[#This Row],[CONTA]],BaseContasDRE[#All],4,FALSE))</f>
        <v>Fora do DRE</v>
      </c>
      <c r="T5059" s="3" t="str">
        <f>IF(ISERROR(VLOOKUP(Base_Periodo1[[#This Row],[CONTA]],BaseContasDRE[#All],5,FALSE)),"Fora do DRE",VLOOKUP(Base_Periodo1[[#This Row],[CONTA]],BaseContasDRE[#All],6,FALSE))</f>
        <v>Fora do DRE</v>
      </c>
      <c r="U5059" s="3" t="str">
        <f>IF(ISERROR(VLOOKUP(Base_Periodo1[[#This Row],[CONTA]],BaseContasDRE[#All],7,FALSE)),"Fora do DRE",VLOOKUP(Base_Periodo1[[#This Row],[CONTA]],BaseContasDRE[#All],7,FALSE))</f>
        <v>Fora do DRE</v>
      </c>
      <c r="V5059" s="3" t="str">
        <f>IF(Base_Periodo1[[#This Row],[Tipo_Linha]]="Fora do DRE","Fora do DRE","( "&amp;Base_Periodo1[[#This Row],[Tipo_Linha]]&amp;" ) "&amp;Base_Periodo1[[#This Row],[Filtro]])</f>
        <v>Fora do DRE</v>
      </c>
      <c r="W5059" s="3" t="str">
        <f>LEFT(Base_Periodo1[[#This Row],[CLASS]],3)</f>
        <v>2.4</v>
      </c>
    </row>
    <row r="5060" spans="1:23" hidden="1">
      <c r="A5060" s="3" t="str">
        <f t="shared" si="78"/>
        <v>Período 1</v>
      </c>
      <c r="B5060">
        <v>25702</v>
      </c>
      <c r="C5060" t="s">
        <v>2300</v>
      </c>
      <c r="D5060" t="s">
        <v>2951</v>
      </c>
      <c r="E5060" s="3" t="str">
        <f>IF(LEN(Base_Periodo1[[#This Row],[CLASS]])&gt;=7,LEFT(Base_Periodo1[[#This Row],[CLASS]],7),"")</f>
        <v>2.4.1.1</v>
      </c>
      <c r="F5060" s="3" t="str">
        <f>VLOOKUP(Base_Periodo1[[#This Row],[Aux]],Base_Contas_Balanco[#All],2,FALSE)</f>
        <v>Capital Social Realizado</v>
      </c>
      <c r="G5060" s="1"/>
      <c r="H5060" s="225">
        <v>88.15</v>
      </c>
      <c r="I5060" s="225">
        <v>0</v>
      </c>
      <c r="J5060" s="225">
        <v>0</v>
      </c>
      <c r="K5060" s="225">
        <v>88.15</v>
      </c>
      <c r="L50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88.15</v>
      </c>
      <c r="M5060" s="225">
        <f>ROUND(IF(AND(Base_Periodo1[[#This Row],[Tipo_Linha]]="-",Base_Periodo1[[#This Row],[TIPOSALDO]]="D"),Base_Periodo1[[#This Row],[SALDO_ATUAL]]*-1,Base_Periodo1[[#This Row],[SALDO_ATUAL]]),4)</f>
        <v>88.15</v>
      </c>
      <c r="N5060" t="s">
        <v>116</v>
      </c>
      <c r="O5060" t="s">
        <v>459</v>
      </c>
      <c r="P5060" t="s">
        <v>459</v>
      </c>
      <c r="Q5060">
        <v>6</v>
      </c>
      <c r="R5060" s="225">
        <f>Base_Periodo1[[#This Row],[CREDITOS]]-Base_Periodo1[[#This Row],[DEBITOS]]</f>
        <v>0</v>
      </c>
      <c r="S5060" s="3" t="str">
        <f>IF(ISERROR(VLOOKUP(Base_Periodo1[[#This Row],[CONTA]],BaseContasDRE[#All],4,FALSE)),"Fora do DRE",VLOOKUP(Base_Periodo1[[#This Row],[CONTA]],BaseContasDRE[#All],4,FALSE))</f>
        <v>Fora do DRE</v>
      </c>
      <c r="T5060" s="3" t="str">
        <f>IF(ISERROR(VLOOKUP(Base_Periodo1[[#This Row],[CONTA]],BaseContasDRE[#All],5,FALSE)),"Fora do DRE",VLOOKUP(Base_Periodo1[[#This Row],[CONTA]],BaseContasDRE[#All],6,FALSE))</f>
        <v>Fora do DRE</v>
      </c>
      <c r="U5060" s="3" t="str">
        <f>IF(ISERROR(VLOOKUP(Base_Periodo1[[#This Row],[CONTA]],BaseContasDRE[#All],7,FALSE)),"Fora do DRE",VLOOKUP(Base_Periodo1[[#This Row],[CONTA]],BaseContasDRE[#All],7,FALSE))</f>
        <v>Fora do DRE</v>
      </c>
      <c r="V5060" s="3" t="str">
        <f>IF(Base_Periodo1[[#This Row],[Tipo_Linha]]="Fora do DRE","Fora do DRE","( "&amp;Base_Periodo1[[#This Row],[Tipo_Linha]]&amp;" ) "&amp;Base_Periodo1[[#This Row],[Filtro]])</f>
        <v>Fora do DRE</v>
      </c>
      <c r="W5060" s="3" t="str">
        <f>LEFT(Base_Periodo1[[#This Row],[CLASS]],3)</f>
        <v>2.4</v>
      </c>
    </row>
    <row r="5061" spans="1:23" hidden="1">
      <c r="A5061" s="3" t="str">
        <f t="shared" si="78"/>
        <v>Período 1</v>
      </c>
      <c r="B5061">
        <v>19306</v>
      </c>
      <c r="C5061" t="s">
        <v>2300</v>
      </c>
      <c r="D5061" t="s">
        <v>2952</v>
      </c>
      <c r="E5061" s="3" t="str">
        <f>IF(LEN(Base_Periodo1[[#This Row],[CLASS]])&gt;=7,LEFT(Base_Periodo1[[#This Row],[CLASS]],7),"")</f>
        <v>2.4.1.1</v>
      </c>
      <c r="F5061" s="3" t="str">
        <f>VLOOKUP(Base_Periodo1[[#This Row],[Aux]],Base_Contas_Balanco[#All],2,FALSE)</f>
        <v>Capital Social Realizado</v>
      </c>
      <c r="G5061" s="1"/>
      <c r="H5061" s="225">
        <v>267.39999999999998</v>
      </c>
      <c r="I5061" s="225">
        <v>0</v>
      </c>
      <c r="J5061" s="225">
        <v>0</v>
      </c>
      <c r="K5061" s="225">
        <v>267.39999999999998</v>
      </c>
      <c r="L50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267.39999999999998</v>
      </c>
      <c r="M5061" s="225">
        <f>ROUND(IF(AND(Base_Periodo1[[#This Row],[Tipo_Linha]]="-",Base_Periodo1[[#This Row],[TIPOSALDO]]="D"),Base_Periodo1[[#This Row],[SALDO_ATUAL]]*-1,Base_Periodo1[[#This Row],[SALDO_ATUAL]]),4)</f>
        <v>267.39999999999998</v>
      </c>
      <c r="N5061" t="s">
        <v>116</v>
      </c>
      <c r="O5061" t="s">
        <v>459</v>
      </c>
      <c r="P5061" t="s">
        <v>459</v>
      </c>
      <c r="Q5061">
        <v>6</v>
      </c>
      <c r="R5061" s="225">
        <f>Base_Periodo1[[#This Row],[CREDITOS]]-Base_Periodo1[[#This Row],[DEBITOS]]</f>
        <v>0</v>
      </c>
      <c r="S5061" s="3" t="str">
        <f>IF(ISERROR(VLOOKUP(Base_Periodo1[[#This Row],[CONTA]],BaseContasDRE[#All],4,FALSE)),"Fora do DRE",VLOOKUP(Base_Periodo1[[#This Row],[CONTA]],BaseContasDRE[#All],4,FALSE))</f>
        <v>Fora do DRE</v>
      </c>
      <c r="T5061" s="3" t="str">
        <f>IF(ISERROR(VLOOKUP(Base_Periodo1[[#This Row],[CONTA]],BaseContasDRE[#All],5,FALSE)),"Fora do DRE",VLOOKUP(Base_Periodo1[[#This Row],[CONTA]],BaseContasDRE[#All],6,FALSE))</f>
        <v>Fora do DRE</v>
      </c>
      <c r="U5061" s="3" t="str">
        <f>IF(ISERROR(VLOOKUP(Base_Periodo1[[#This Row],[CONTA]],BaseContasDRE[#All],7,FALSE)),"Fora do DRE",VLOOKUP(Base_Periodo1[[#This Row],[CONTA]],BaseContasDRE[#All],7,FALSE))</f>
        <v>Fora do DRE</v>
      </c>
      <c r="V5061" s="3" t="str">
        <f>IF(Base_Periodo1[[#This Row],[Tipo_Linha]]="Fora do DRE","Fora do DRE","( "&amp;Base_Periodo1[[#This Row],[Tipo_Linha]]&amp;" ) "&amp;Base_Periodo1[[#This Row],[Filtro]])</f>
        <v>Fora do DRE</v>
      </c>
      <c r="W5061" s="3" t="str">
        <f>LEFT(Base_Periodo1[[#This Row],[CLASS]],3)</f>
        <v>2.4</v>
      </c>
    </row>
    <row r="5062" spans="1:23" hidden="1">
      <c r="A5062" s="3" t="str">
        <f t="shared" ref="A5062:A5125" si="79">"Período 1"</f>
        <v>Período 1</v>
      </c>
      <c r="B5062">
        <v>40748</v>
      </c>
      <c r="C5062" t="s">
        <v>2300</v>
      </c>
      <c r="D5062" t="s">
        <v>2953</v>
      </c>
      <c r="E5062" s="3" t="str">
        <f>IF(LEN(Base_Periodo1[[#This Row],[CLASS]])&gt;=7,LEFT(Base_Periodo1[[#This Row],[CLASS]],7),"")</f>
        <v>2.4.1.1</v>
      </c>
      <c r="F5062" s="3" t="str">
        <f>VLOOKUP(Base_Periodo1[[#This Row],[Aux]],Base_Contas_Balanco[#All],2,FALSE)</f>
        <v>Capital Social Realizado</v>
      </c>
      <c r="G5062" s="1"/>
      <c r="H5062" s="225">
        <v>64.94</v>
      </c>
      <c r="I5062" s="225">
        <v>0</v>
      </c>
      <c r="J5062" s="225">
        <v>0</v>
      </c>
      <c r="K5062" s="225">
        <v>64.94</v>
      </c>
      <c r="L50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64.94</v>
      </c>
      <c r="M5062" s="225">
        <f>ROUND(IF(AND(Base_Periodo1[[#This Row],[Tipo_Linha]]="-",Base_Periodo1[[#This Row],[TIPOSALDO]]="D"),Base_Periodo1[[#This Row],[SALDO_ATUAL]]*-1,Base_Periodo1[[#This Row],[SALDO_ATUAL]]),4)</f>
        <v>64.94</v>
      </c>
      <c r="N5062" t="s">
        <v>116</v>
      </c>
      <c r="O5062" t="s">
        <v>459</v>
      </c>
      <c r="P5062" t="s">
        <v>459</v>
      </c>
      <c r="Q5062">
        <v>6</v>
      </c>
      <c r="R5062" s="225">
        <f>Base_Periodo1[[#This Row],[CREDITOS]]-Base_Periodo1[[#This Row],[DEBITOS]]</f>
        <v>0</v>
      </c>
      <c r="S5062" s="3" t="str">
        <f>IF(ISERROR(VLOOKUP(Base_Periodo1[[#This Row],[CONTA]],BaseContasDRE[#All],4,FALSE)),"Fora do DRE",VLOOKUP(Base_Periodo1[[#This Row],[CONTA]],BaseContasDRE[#All],4,FALSE))</f>
        <v>Fora do DRE</v>
      </c>
      <c r="T5062" s="3" t="str">
        <f>IF(ISERROR(VLOOKUP(Base_Periodo1[[#This Row],[CONTA]],BaseContasDRE[#All],5,FALSE)),"Fora do DRE",VLOOKUP(Base_Periodo1[[#This Row],[CONTA]],BaseContasDRE[#All],6,FALSE))</f>
        <v>Fora do DRE</v>
      </c>
      <c r="U5062" s="3" t="str">
        <f>IF(ISERROR(VLOOKUP(Base_Periodo1[[#This Row],[CONTA]],BaseContasDRE[#All],7,FALSE)),"Fora do DRE",VLOOKUP(Base_Periodo1[[#This Row],[CONTA]],BaseContasDRE[#All],7,FALSE))</f>
        <v>Fora do DRE</v>
      </c>
      <c r="V5062" s="3" t="str">
        <f>IF(Base_Periodo1[[#This Row],[Tipo_Linha]]="Fora do DRE","Fora do DRE","( "&amp;Base_Periodo1[[#This Row],[Tipo_Linha]]&amp;" ) "&amp;Base_Periodo1[[#This Row],[Filtro]])</f>
        <v>Fora do DRE</v>
      </c>
      <c r="W5062" s="3" t="str">
        <f>LEFT(Base_Periodo1[[#This Row],[CLASS]],3)</f>
        <v>2.4</v>
      </c>
    </row>
    <row r="5063" spans="1:23" hidden="1">
      <c r="A5063" s="3" t="str">
        <f t="shared" si="79"/>
        <v>Período 1</v>
      </c>
      <c r="B5063">
        <v>24994</v>
      </c>
      <c r="C5063" t="s">
        <v>2300</v>
      </c>
      <c r="D5063" t="s">
        <v>2954</v>
      </c>
      <c r="E5063" s="3" t="str">
        <f>IF(LEN(Base_Periodo1[[#This Row],[CLASS]])&gt;=7,LEFT(Base_Periodo1[[#This Row],[CLASS]],7),"")</f>
        <v>2.4.1.1</v>
      </c>
      <c r="F5063" s="3" t="str">
        <f>VLOOKUP(Base_Periodo1[[#This Row],[Aux]],Base_Contas_Balanco[#All],2,FALSE)</f>
        <v>Capital Social Realizado</v>
      </c>
      <c r="G5063" s="1"/>
      <c r="H5063" s="225">
        <v>1411.92</v>
      </c>
      <c r="I5063" s="225">
        <v>0</v>
      </c>
      <c r="J5063" s="225">
        <v>0</v>
      </c>
      <c r="K5063" s="225">
        <v>1411.92</v>
      </c>
      <c r="L50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1411.92</v>
      </c>
      <c r="M5063" s="225">
        <f>ROUND(IF(AND(Base_Periodo1[[#This Row],[Tipo_Linha]]="-",Base_Periodo1[[#This Row],[TIPOSALDO]]="D"),Base_Periodo1[[#This Row],[SALDO_ATUAL]]*-1,Base_Periodo1[[#This Row],[SALDO_ATUAL]]),4)</f>
        <v>1411.92</v>
      </c>
      <c r="N5063" t="s">
        <v>116</v>
      </c>
      <c r="O5063" t="s">
        <v>459</v>
      </c>
      <c r="P5063" t="s">
        <v>459</v>
      </c>
      <c r="Q5063">
        <v>6</v>
      </c>
      <c r="R5063" s="225">
        <f>Base_Periodo1[[#This Row],[CREDITOS]]-Base_Periodo1[[#This Row],[DEBITOS]]</f>
        <v>0</v>
      </c>
      <c r="S5063" s="3" t="str">
        <f>IF(ISERROR(VLOOKUP(Base_Periodo1[[#This Row],[CONTA]],BaseContasDRE[#All],4,FALSE)),"Fora do DRE",VLOOKUP(Base_Periodo1[[#This Row],[CONTA]],BaseContasDRE[#All],4,FALSE))</f>
        <v>Fora do DRE</v>
      </c>
      <c r="T5063" s="3" t="str">
        <f>IF(ISERROR(VLOOKUP(Base_Periodo1[[#This Row],[CONTA]],BaseContasDRE[#All],5,FALSE)),"Fora do DRE",VLOOKUP(Base_Periodo1[[#This Row],[CONTA]],BaseContasDRE[#All],6,FALSE))</f>
        <v>Fora do DRE</v>
      </c>
      <c r="U5063" s="3" t="str">
        <f>IF(ISERROR(VLOOKUP(Base_Periodo1[[#This Row],[CONTA]],BaseContasDRE[#All],7,FALSE)),"Fora do DRE",VLOOKUP(Base_Periodo1[[#This Row],[CONTA]],BaseContasDRE[#All],7,FALSE))</f>
        <v>Fora do DRE</v>
      </c>
      <c r="V5063" s="3" t="str">
        <f>IF(Base_Periodo1[[#This Row],[Tipo_Linha]]="Fora do DRE","Fora do DRE","( "&amp;Base_Periodo1[[#This Row],[Tipo_Linha]]&amp;" ) "&amp;Base_Periodo1[[#This Row],[Filtro]])</f>
        <v>Fora do DRE</v>
      </c>
      <c r="W5063" s="3" t="str">
        <f>LEFT(Base_Periodo1[[#This Row],[CLASS]],3)</f>
        <v>2.4</v>
      </c>
    </row>
    <row r="5064" spans="1:23" hidden="1">
      <c r="A5064" s="3" t="str">
        <f t="shared" si="79"/>
        <v>Período 1</v>
      </c>
      <c r="B5064">
        <v>16188</v>
      </c>
      <c r="C5064" t="s">
        <v>2300</v>
      </c>
      <c r="D5064" t="s">
        <v>2955</v>
      </c>
      <c r="E5064" s="3" t="str">
        <f>IF(LEN(Base_Periodo1[[#This Row],[CLASS]])&gt;=7,LEFT(Base_Periodo1[[#This Row],[CLASS]],7),"")</f>
        <v>2.4.1.1</v>
      </c>
      <c r="F5064" s="3" t="str">
        <f>VLOOKUP(Base_Periodo1[[#This Row],[Aux]],Base_Contas_Balanco[#All],2,FALSE)</f>
        <v>Capital Social Realizado</v>
      </c>
      <c r="G5064" s="1"/>
      <c r="H5064" s="225">
        <v>12982.269999999999</v>
      </c>
      <c r="I5064" s="225">
        <v>0</v>
      </c>
      <c r="J5064" s="225">
        <v>0</v>
      </c>
      <c r="K5064" s="225">
        <v>12982.269999999999</v>
      </c>
      <c r="L50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12982.27</v>
      </c>
      <c r="M5064" s="225">
        <f>ROUND(IF(AND(Base_Periodo1[[#This Row],[Tipo_Linha]]="-",Base_Periodo1[[#This Row],[TIPOSALDO]]="D"),Base_Periodo1[[#This Row],[SALDO_ATUAL]]*-1,Base_Periodo1[[#This Row],[SALDO_ATUAL]]),4)</f>
        <v>12982.27</v>
      </c>
      <c r="N5064" t="s">
        <v>116</v>
      </c>
      <c r="O5064" t="s">
        <v>459</v>
      </c>
      <c r="P5064" t="s">
        <v>459</v>
      </c>
      <c r="Q5064">
        <v>6</v>
      </c>
      <c r="R5064" s="225">
        <f>Base_Periodo1[[#This Row],[CREDITOS]]-Base_Periodo1[[#This Row],[DEBITOS]]</f>
        <v>0</v>
      </c>
      <c r="S5064" s="3" t="str">
        <f>IF(ISERROR(VLOOKUP(Base_Periodo1[[#This Row],[CONTA]],BaseContasDRE[#All],4,FALSE)),"Fora do DRE",VLOOKUP(Base_Periodo1[[#This Row],[CONTA]],BaseContasDRE[#All],4,FALSE))</f>
        <v>Fora do DRE</v>
      </c>
      <c r="T5064" s="3" t="str">
        <f>IF(ISERROR(VLOOKUP(Base_Periodo1[[#This Row],[CONTA]],BaseContasDRE[#All],5,FALSE)),"Fora do DRE",VLOOKUP(Base_Periodo1[[#This Row],[CONTA]],BaseContasDRE[#All],6,FALSE))</f>
        <v>Fora do DRE</v>
      </c>
      <c r="U5064" s="3" t="str">
        <f>IF(ISERROR(VLOOKUP(Base_Periodo1[[#This Row],[CONTA]],BaseContasDRE[#All],7,FALSE)),"Fora do DRE",VLOOKUP(Base_Periodo1[[#This Row],[CONTA]],BaseContasDRE[#All],7,FALSE))</f>
        <v>Fora do DRE</v>
      </c>
      <c r="V5064" s="3" t="str">
        <f>IF(Base_Periodo1[[#This Row],[Tipo_Linha]]="Fora do DRE","Fora do DRE","( "&amp;Base_Periodo1[[#This Row],[Tipo_Linha]]&amp;" ) "&amp;Base_Periodo1[[#This Row],[Filtro]])</f>
        <v>Fora do DRE</v>
      </c>
      <c r="W5064" s="3" t="str">
        <f>LEFT(Base_Periodo1[[#This Row],[CLASS]],3)</f>
        <v>2.4</v>
      </c>
    </row>
    <row r="5065" spans="1:23" hidden="1">
      <c r="A5065" s="3" t="str">
        <f t="shared" si="79"/>
        <v>Período 1</v>
      </c>
      <c r="B5065">
        <v>38829</v>
      </c>
      <c r="C5065" t="s">
        <v>2300</v>
      </c>
      <c r="D5065" t="s">
        <v>2956</v>
      </c>
      <c r="E5065" s="3" t="str">
        <f>IF(LEN(Base_Periodo1[[#This Row],[CLASS]])&gt;=7,LEFT(Base_Periodo1[[#This Row],[CLASS]],7),"")</f>
        <v>2.4.1.1</v>
      </c>
      <c r="F5065" s="3" t="str">
        <f>VLOOKUP(Base_Periodo1[[#This Row],[Aux]],Base_Contas_Balanco[#All],2,FALSE)</f>
        <v>Capital Social Realizado</v>
      </c>
      <c r="G5065" s="1"/>
      <c r="H5065" s="225">
        <v>122.19</v>
      </c>
      <c r="I5065" s="225">
        <v>0</v>
      </c>
      <c r="J5065" s="225">
        <v>0</v>
      </c>
      <c r="K5065" s="225">
        <v>122.19</v>
      </c>
      <c r="L50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122.19</v>
      </c>
      <c r="M5065" s="225">
        <f>ROUND(IF(AND(Base_Periodo1[[#This Row],[Tipo_Linha]]="-",Base_Periodo1[[#This Row],[TIPOSALDO]]="D"),Base_Periodo1[[#This Row],[SALDO_ATUAL]]*-1,Base_Periodo1[[#This Row],[SALDO_ATUAL]]),4)</f>
        <v>122.19</v>
      </c>
      <c r="N5065" t="s">
        <v>116</v>
      </c>
      <c r="O5065" t="s">
        <v>459</v>
      </c>
      <c r="P5065" t="s">
        <v>459</v>
      </c>
      <c r="Q5065">
        <v>6</v>
      </c>
      <c r="R5065" s="225">
        <f>Base_Periodo1[[#This Row],[CREDITOS]]-Base_Periodo1[[#This Row],[DEBITOS]]</f>
        <v>0</v>
      </c>
      <c r="S5065" s="3" t="str">
        <f>IF(ISERROR(VLOOKUP(Base_Periodo1[[#This Row],[CONTA]],BaseContasDRE[#All],4,FALSE)),"Fora do DRE",VLOOKUP(Base_Periodo1[[#This Row],[CONTA]],BaseContasDRE[#All],4,FALSE))</f>
        <v>Fora do DRE</v>
      </c>
      <c r="T5065" s="3" t="str">
        <f>IF(ISERROR(VLOOKUP(Base_Periodo1[[#This Row],[CONTA]],BaseContasDRE[#All],5,FALSE)),"Fora do DRE",VLOOKUP(Base_Periodo1[[#This Row],[CONTA]],BaseContasDRE[#All],6,FALSE))</f>
        <v>Fora do DRE</v>
      </c>
      <c r="U5065" s="3" t="str">
        <f>IF(ISERROR(VLOOKUP(Base_Periodo1[[#This Row],[CONTA]],BaseContasDRE[#All],7,FALSE)),"Fora do DRE",VLOOKUP(Base_Periodo1[[#This Row],[CONTA]],BaseContasDRE[#All],7,FALSE))</f>
        <v>Fora do DRE</v>
      </c>
      <c r="V5065" s="3" t="str">
        <f>IF(Base_Periodo1[[#This Row],[Tipo_Linha]]="Fora do DRE","Fora do DRE","( "&amp;Base_Periodo1[[#This Row],[Tipo_Linha]]&amp;" ) "&amp;Base_Periodo1[[#This Row],[Filtro]])</f>
        <v>Fora do DRE</v>
      </c>
      <c r="W5065" s="3" t="str">
        <f>LEFT(Base_Periodo1[[#This Row],[CLASS]],3)</f>
        <v>2.4</v>
      </c>
    </row>
    <row r="5066" spans="1:23" hidden="1">
      <c r="A5066" s="3" t="str">
        <f t="shared" si="79"/>
        <v>Período 1</v>
      </c>
      <c r="B5066">
        <v>47560</v>
      </c>
      <c r="C5066" t="s">
        <v>2300</v>
      </c>
      <c r="D5066" t="s">
        <v>2957</v>
      </c>
      <c r="E5066" s="3" t="str">
        <f>IF(LEN(Base_Periodo1[[#This Row],[CLASS]])&gt;=7,LEFT(Base_Periodo1[[#This Row],[CLASS]],7),"")</f>
        <v>2.4.1.1</v>
      </c>
      <c r="F5066" s="3" t="str">
        <f>VLOOKUP(Base_Periodo1[[#This Row],[Aux]],Base_Contas_Balanco[#All],2,FALSE)</f>
        <v>Capital Social Realizado</v>
      </c>
      <c r="G5066" s="1"/>
      <c r="H5066" s="225">
        <v>73.08</v>
      </c>
      <c r="I5066" s="225">
        <v>0</v>
      </c>
      <c r="J5066" s="225">
        <v>0</v>
      </c>
      <c r="K5066" s="225">
        <v>73.08</v>
      </c>
      <c r="L50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73.08</v>
      </c>
      <c r="M5066" s="225">
        <f>ROUND(IF(AND(Base_Periodo1[[#This Row],[Tipo_Linha]]="-",Base_Periodo1[[#This Row],[TIPOSALDO]]="D"),Base_Periodo1[[#This Row],[SALDO_ATUAL]]*-1,Base_Periodo1[[#This Row],[SALDO_ATUAL]]),4)</f>
        <v>73.08</v>
      </c>
      <c r="N5066" t="s">
        <v>116</v>
      </c>
      <c r="O5066" t="s">
        <v>459</v>
      </c>
      <c r="P5066" t="s">
        <v>459</v>
      </c>
      <c r="Q5066">
        <v>6</v>
      </c>
      <c r="R5066" s="225">
        <f>Base_Periodo1[[#This Row],[CREDITOS]]-Base_Periodo1[[#This Row],[DEBITOS]]</f>
        <v>0</v>
      </c>
      <c r="S5066" s="3" t="str">
        <f>IF(ISERROR(VLOOKUP(Base_Periodo1[[#This Row],[CONTA]],BaseContasDRE[#All],4,FALSE)),"Fora do DRE",VLOOKUP(Base_Periodo1[[#This Row],[CONTA]],BaseContasDRE[#All],4,FALSE))</f>
        <v>Fora do DRE</v>
      </c>
      <c r="T5066" s="3" t="str">
        <f>IF(ISERROR(VLOOKUP(Base_Periodo1[[#This Row],[CONTA]],BaseContasDRE[#All],5,FALSE)),"Fora do DRE",VLOOKUP(Base_Periodo1[[#This Row],[CONTA]],BaseContasDRE[#All],6,FALSE))</f>
        <v>Fora do DRE</v>
      </c>
      <c r="U5066" s="3" t="str">
        <f>IF(ISERROR(VLOOKUP(Base_Periodo1[[#This Row],[CONTA]],BaseContasDRE[#All],7,FALSE)),"Fora do DRE",VLOOKUP(Base_Periodo1[[#This Row],[CONTA]],BaseContasDRE[#All],7,FALSE))</f>
        <v>Fora do DRE</v>
      </c>
      <c r="V5066" s="3" t="str">
        <f>IF(Base_Periodo1[[#This Row],[Tipo_Linha]]="Fora do DRE","Fora do DRE","( "&amp;Base_Periodo1[[#This Row],[Tipo_Linha]]&amp;" ) "&amp;Base_Periodo1[[#This Row],[Filtro]])</f>
        <v>Fora do DRE</v>
      </c>
      <c r="W5066" s="3" t="str">
        <f>LEFT(Base_Periodo1[[#This Row],[CLASS]],3)</f>
        <v>2.4</v>
      </c>
    </row>
    <row r="5067" spans="1:23" hidden="1">
      <c r="A5067" s="3" t="str">
        <f t="shared" si="79"/>
        <v>Período 1</v>
      </c>
      <c r="B5067">
        <v>25736</v>
      </c>
      <c r="C5067" t="s">
        <v>2300</v>
      </c>
      <c r="D5067" t="s">
        <v>2958</v>
      </c>
      <c r="E5067" s="3" t="str">
        <f>IF(LEN(Base_Periodo1[[#This Row],[CLASS]])&gt;=7,LEFT(Base_Periodo1[[#This Row],[CLASS]],7),"")</f>
        <v>2.4.1.1</v>
      </c>
      <c r="F5067" s="3" t="str">
        <f>VLOOKUP(Base_Periodo1[[#This Row],[Aux]],Base_Contas_Balanco[#All],2,FALSE)</f>
        <v>Capital Social Realizado</v>
      </c>
      <c r="G5067" s="1"/>
      <c r="H5067" s="225">
        <v>127.19</v>
      </c>
      <c r="I5067" s="225">
        <v>0</v>
      </c>
      <c r="J5067" s="225">
        <v>0</v>
      </c>
      <c r="K5067" s="225">
        <v>127.19</v>
      </c>
      <c r="L50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127.19</v>
      </c>
      <c r="M5067" s="225">
        <f>ROUND(IF(AND(Base_Periodo1[[#This Row],[Tipo_Linha]]="-",Base_Periodo1[[#This Row],[TIPOSALDO]]="D"),Base_Periodo1[[#This Row],[SALDO_ATUAL]]*-1,Base_Periodo1[[#This Row],[SALDO_ATUAL]]),4)</f>
        <v>127.19</v>
      </c>
      <c r="N5067" t="s">
        <v>116</v>
      </c>
      <c r="O5067" t="s">
        <v>459</v>
      </c>
      <c r="P5067" t="s">
        <v>459</v>
      </c>
      <c r="Q5067">
        <v>6</v>
      </c>
      <c r="R5067" s="225">
        <f>Base_Periodo1[[#This Row],[CREDITOS]]-Base_Periodo1[[#This Row],[DEBITOS]]</f>
        <v>0</v>
      </c>
      <c r="S5067" s="3" t="str">
        <f>IF(ISERROR(VLOOKUP(Base_Periodo1[[#This Row],[CONTA]],BaseContasDRE[#All],4,FALSE)),"Fora do DRE",VLOOKUP(Base_Periodo1[[#This Row],[CONTA]],BaseContasDRE[#All],4,FALSE))</f>
        <v>Fora do DRE</v>
      </c>
      <c r="T5067" s="3" t="str">
        <f>IF(ISERROR(VLOOKUP(Base_Periodo1[[#This Row],[CONTA]],BaseContasDRE[#All],5,FALSE)),"Fora do DRE",VLOOKUP(Base_Periodo1[[#This Row],[CONTA]],BaseContasDRE[#All],6,FALSE))</f>
        <v>Fora do DRE</v>
      </c>
      <c r="U5067" s="3" t="str">
        <f>IF(ISERROR(VLOOKUP(Base_Periodo1[[#This Row],[CONTA]],BaseContasDRE[#All],7,FALSE)),"Fora do DRE",VLOOKUP(Base_Periodo1[[#This Row],[CONTA]],BaseContasDRE[#All],7,FALSE))</f>
        <v>Fora do DRE</v>
      </c>
      <c r="V5067" s="3" t="str">
        <f>IF(Base_Periodo1[[#This Row],[Tipo_Linha]]="Fora do DRE","Fora do DRE","( "&amp;Base_Periodo1[[#This Row],[Tipo_Linha]]&amp;" ) "&amp;Base_Periodo1[[#This Row],[Filtro]])</f>
        <v>Fora do DRE</v>
      </c>
      <c r="W5067" s="3" t="str">
        <f>LEFT(Base_Periodo1[[#This Row],[CLASS]],3)</f>
        <v>2.4</v>
      </c>
    </row>
    <row r="5068" spans="1:23" hidden="1">
      <c r="A5068" s="3" t="str">
        <f t="shared" si="79"/>
        <v>Período 1</v>
      </c>
      <c r="B5068">
        <v>25575</v>
      </c>
      <c r="C5068" t="s">
        <v>2300</v>
      </c>
      <c r="D5068" t="s">
        <v>2959</v>
      </c>
      <c r="E5068" s="3" t="str">
        <f>IF(LEN(Base_Periodo1[[#This Row],[CLASS]])&gt;=7,LEFT(Base_Periodo1[[#This Row],[CLASS]],7),"")</f>
        <v>2.4.1.1</v>
      </c>
      <c r="F5068" s="3" t="str">
        <f>VLOOKUP(Base_Periodo1[[#This Row],[Aux]],Base_Contas_Balanco[#All],2,FALSE)</f>
        <v>Capital Social Realizado</v>
      </c>
      <c r="G5068" s="1"/>
      <c r="H5068" s="225">
        <v>545.65</v>
      </c>
      <c r="I5068" s="225">
        <v>0</v>
      </c>
      <c r="J5068" s="225">
        <v>0</v>
      </c>
      <c r="K5068" s="225">
        <v>545.65</v>
      </c>
      <c r="L50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545.65</v>
      </c>
      <c r="M5068" s="225">
        <f>ROUND(IF(AND(Base_Periodo1[[#This Row],[Tipo_Linha]]="-",Base_Periodo1[[#This Row],[TIPOSALDO]]="D"),Base_Periodo1[[#This Row],[SALDO_ATUAL]]*-1,Base_Periodo1[[#This Row],[SALDO_ATUAL]]),4)</f>
        <v>545.65</v>
      </c>
      <c r="N5068" t="s">
        <v>116</v>
      </c>
      <c r="O5068" t="s">
        <v>459</v>
      </c>
      <c r="P5068" t="s">
        <v>459</v>
      </c>
      <c r="Q5068">
        <v>6</v>
      </c>
      <c r="R5068" s="225">
        <f>Base_Periodo1[[#This Row],[CREDITOS]]-Base_Periodo1[[#This Row],[DEBITOS]]</f>
        <v>0</v>
      </c>
      <c r="S5068" s="3" t="str">
        <f>IF(ISERROR(VLOOKUP(Base_Periodo1[[#This Row],[CONTA]],BaseContasDRE[#All],4,FALSE)),"Fora do DRE",VLOOKUP(Base_Periodo1[[#This Row],[CONTA]],BaseContasDRE[#All],4,FALSE))</f>
        <v>Fora do DRE</v>
      </c>
      <c r="T5068" s="3" t="str">
        <f>IF(ISERROR(VLOOKUP(Base_Periodo1[[#This Row],[CONTA]],BaseContasDRE[#All],5,FALSE)),"Fora do DRE",VLOOKUP(Base_Periodo1[[#This Row],[CONTA]],BaseContasDRE[#All],6,FALSE))</f>
        <v>Fora do DRE</v>
      </c>
      <c r="U5068" s="3" t="str">
        <f>IF(ISERROR(VLOOKUP(Base_Periodo1[[#This Row],[CONTA]],BaseContasDRE[#All],7,FALSE)),"Fora do DRE",VLOOKUP(Base_Periodo1[[#This Row],[CONTA]],BaseContasDRE[#All],7,FALSE))</f>
        <v>Fora do DRE</v>
      </c>
      <c r="V5068" s="3" t="str">
        <f>IF(Base_Periodo1[[#This Row],[Tipo_Linha]]="Fora do DRE","Fora do DRE","( "&amp;Base_Periodo1[[#This Row],[Tipo_Linha]]&amp;" ) "&amp;Base_Periodo1[[#This Row],[Filtro]])</f>
        <v>Fora do DRE</v>
      </c>
      <c r="W5068" s="3" t="str">
        <f>LEFT(Base_Periodo1[[#This Row],[CLASS]],3)</f>
        <v>2.4</v>
      </c>
    </row>
    <row r="5069" spans="1:23" hidden="1">
      <c r="A5069" s="3" t="str">
        <f t="shared" si="79"/>
        <v>Período 1</v>
      </c>
      <c r="B5069">
        <v>50776</v>
      </c>
      <c r="C5069" t="s">
        <v>2300</v>
      </c>
      <c r="D5069" t="s">
        <v>4473</v>
      </c>
      <c r="E5069" s="3" t="str">
        <f>IF(LEN(Base_Periodo1[[#This Row],[CLASS]])&gt;=7,LEFT(Base_Periodo1[[#This Row],[CLASS]],7),"")</f>
        <v>2.4.1.1</v>
      </c>
      <c r="F5069" s="3" t="str">
        <f>VLOOKUP(Base_Periodo1[[#This Row],[Aux]],Base_Contas_Balanco[#All],2,FALSE)</f>
        <v>Capital Social Realizado</v>
      </c>
      <c r="G5069" s="1"/>
      <c r="H5069" s="225">
        <v>240</v>
      </c>
      <c r="I5069" s="225">
        <v>0</v>
      </c>
      <c r="J5069" s="225">
        <v>0</v>
      </c>
      <c r="K5069" s="225">
        <v>240</v>
      </c>
      <c r="L50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069" s="225">
        <f>ROUND(IF(AND(Base_Periodo1[[#This Row],[Tipo_Linha]]="-",Base_Periodo1[[#This Row],[TIPOSALDO]]="D"),Base_Periodo1[[#This Row],[SALDO_ATUAL]]*-1,Base_Periodo1[[#This Row],[SALDO_ATUAL]]),4)</f>
        <v>240</v>
      </c>
      <c r="N5069" t="s">
        <v>116</v>
      </c>
      <c r="O5069" t="s">
        <v>459</v>
      </c>
      <c r="P5069" t="s">
        <v>459</v>
      </c>
      <c r="Q5069">
        <v>6</v>
      </c>
      <c r="R5069" s="225">
        <f>Base_Periodo1[[#This Row],[CREDITOS]]-Base_Periodo1[[#This Row],[DEBITOS]]</f>
        <v>0</v>
      </c>
      <c r="S5069" s="3" t="str">
        <f>IF(ISERROR(VLOOKUP(Base_Periodo1[[#This Row],[CONTA]],BaseContasDRE[#All],4,FALSE)),"Fora do DRE",VLOOKUP(Base_Periodo1[[#This Row],[CONTA]],BaseContasDRE[#All],4,FALSE))</f>
        <v>Fora do DRE</v>
      </c>
      <c r="T5069" s="3" t="str">
        <f>IF(ISERROR(VLOOKUP(Base_Periodo1[[#This Row],[CONTA]],BaseContasDRE[#All],5,FALSE)),"Fora do DRE",VLOOKUP(Base_Periodo1[[#This Row],[CONTA]],BaseContasDRE[#All],6,FALSE))</f>
        <v>Fora do DRE</v>
      </c>
      <c r="U5069" s="3" t="str">
        <f>IF(ISERROR(VLOOKUP(Base_Periodo1[[#This Row],[CONTA]],BaseContasDRE[#All],7,FALSE)),"Fora do DRE",VLOOKUP(Base_Periodo1[[#This Row],[CONTA]],BaseContasDRE[#All],7,FALSE))</f>
        <v>Fora do DRE</v>
      </c>
      <c r="V5069" s="3" t="str">
        <f>IF(Base_Periodo1[[#This Row],[Tipo_Linha]]="Fora do DRE","Fora do DRE","( "&amp;Base_Periodo1[[#This Row],[Tipo_Linha]]&amp;" ) "&amp;Base_Periodo1[[#This Row],[Filtro]])</f>
        <v>Fora do DRE</v>
      </c>
      <c r="W5069" s="3" t="str">
        <f>LEFT(Base_Periodo1[[#This Row],[CLASS]],3)</f>
        <v>2.4</v>
      </c>
    </row>
    <row r="5070" spans="1:23" hidden="1">
      <c r="A5070" s="3" t="str">
        <f t="shared" si="79"/>
        <v>Período 1</v>
      </c>
      <c r="B5070">
        <v>25222</v>
      </c>
      <c r="C5070" t="s">
        <v>2300</v>
      </c>
      <c r="D5070" t="s">
        <v>2960</v>
      </c>
      <c r="E5070" s="3" t="str">
        <f>IF(LEN(Base_Periodo1[[#This Row],[CLASS]])&gt;=7,LEFT(Base_Periodo1[[#This Row],[CLASS]],7),"")</f>
        <v>2.4.1.1</v>
      </c>
      <c r="F5070" s="3" t="str">
        <f>VLOOKUP(Base_Periodo1[[#This Row],[Aux]],Base_Contas_Balanco[#All],2,FALSE)</f>
        <v>Capital Social Realizado</v>
      </c>
      <c r="G5070" s="1"/>
      <c r="H5070" s="225">
        <v>660.80000000000007</v>
      </c>
      <c r="I5070" s="225">
        <v>0</v>
      </c>
      <c r="J5070" s="225">
        <v>0</v>
      </c>
      <c r="K5070" s="225">
        <v>660.80000000000007</v>
      </c>
      <c r="L50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660.8</v>
      </c>
      <c r="M5070" s="225">
        <f>ROUND(IF(AND(Base_Periodo1[[#This Row],[Tipo_Linha]]="-",Base_Periodo1[[#This Row],[TIPOSALDO]]="D"),Base_Periodo1[[#This Row],[SALDO_ATUAL]]*-1,Base_Periodo1[[#This Row],[SALDO_ATUAL]]),4)</f>
        <v>660.8</v>
      </c>
      <c r="N5070" t="s">
        <v>116</v>
      </c>
      <c r="O5070" t="s">
        <v>459</v>
      </c>
      <c r="P5070" t="s">
        <v>459</v>
      </c>
      <c r="Q5070">
        <v>6</v>
      </c>
      <c r="R5070" s="225">
        <f>Base_Periodo1[[#This Row],[CREDITOS]]-Base_Periodo1[[#This Row],[DEBITOS]]</f>
        <v>0</v>
      </c>
      <c r="S5070" s="3" t="str">
        <f>IF(ISERROR(VLOOKUP(Base_Periodo1[[#This Row],[CONTA]],BaseContasDRE[#All],4,FALSE)),"Fora do DRE",VLOOKUP(Base_Periodo1[[#This Row],[CONTA]],BaseContasDRE[#All],4,FALSE))</f>
        <v>Fora do DRE</v>
      </c>
      <c r="T5070" s="3" t="str">
        <f>IF(ISERROR(VLOOKUP(Base_Periodo1[[#This Row],[CONTA]],BaseContasDRE[#All],5,FALSE)),"Fora do DRE",VLOOKUP(Base_Periodo1[[#This Row],[CONTA]],BaseContasDRE[#All],6,FALSE))</f>
        <v>Fora do DRE</v>
      </c>
      <c r="U5070" s="3" t="str">
        <f>IF(ISERROR(VLOOKUP(Base_Periodo1[[#This Row],[CONTA]],BaseContasDRE[#All],7,FALSE)),"Fora do DRE",VLOOKUP(Base_Periodo1[[#This Row],[CONTA]],BaseContasDRE[#All],7,FALSE))</f>
        <v>Fora do DRE</v>
      </c>
      <c r="V5070" s="3" t="str">
        <f>IF(Base_Periodo1[[#This Row],[Tipo_Linha]]="Fora do DRE","Fora do DRE","( "&amp;Base_Periodo1[[#This Row],[Tipo_Linha]]&amp;" ) "&amp;Base_Periodo1[[#This Row],[Filtro]])</f>
        <v>Fora do DRE</v>
      </c>
      <c r="W5070" s="3" t="str">
        <f>LEFT(Base_Periodo1[[#This Row],[CLASS]],3)</f>
        <v>2.4</v>
      </c>
    </row>
    <row r="5071" spans="1:23" hidden="1">
      <c r="A5071" s="3" t="str">
        <f t="shared" si="79"/>
        <v>Período 1</v>
      </c>
      <c r="B5071">
        <v>39826</v>
      </c>
      <c r="C5071" t="s">
        <v>2300</v>
      </c>
      <c r="D5071" t="s">
        <v>2961</v>
      </c>
      <c r="E5071" s="3" t="str">
        <f>IF(LEN(Base_Periodo1[[#This Row],[CLASS]])&gt;=7,LEFT(Base_Periodo1[[#This Row],[CLASS]],7),"")</f>
        <v>2.4.1.1</v>
      </c>
      <c r="F5071" s="3" t="str">
        <f>VLOOKUP(Base_Periodo1[[#This Row],[Aux]],Base_Contas_Balanco[#All],2,FALSE)</f>
        <v>Capital Social Realizado</v>
      </c>
      <c r="G5071" s="1"/>
      <c r="H5071" s="225">
        <v>224.09</v>
      </c>
      <c r="I5071" s="225">
        <v>0</v>
      </c>
      <c r="J5071" s="225">
        <v>0</v>
      </c>
      <c r="K5071" s="225">
        <v>224.09</v>
      </c>
      <c r="L50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224.09</v>
      </c>
      <c r="M5071" s="225">
        <f>ROUND(IF(AND(Base_Periodo1[[#This Row],[Tipo_Linha]]="-",Base_Periodo1[[#This Row],[TIPOSALDO]]="D"),Base_Periodo1[[#This Row],[SALDO_ATUAL]]*-1,Base_Periodo1[[#This Row],[SALDO_ATUAL]]),4)</f>
        <v>224.09</v>
      </c>
      <c r="N5071" t="s">
        <v>116</v>
      </c>
      <c r="O5071" t="s">
        <v>459</v>
      </c>
      <c r="P5071" t="s">
        <v>459</v>
      </c>
      <c r="Q5071">
        <v>6</v>
      </c>
      <c r="R5071" s="225">
        <f>Base_Periodo1[[#This Row],[CREDITOS]]-Base_Periodo1[[#This Row],[DEBITOS]]</f>
        <v>0</v>
      </c>
      <c r="S5071" s="3" t="str">
        <f>IF(ISERROR(VLOOKUP(Base_Periodo1[[#This Row],[CONTA]],BaseContasDRE[#All],4,FALSE)),"Fora do DRE",VLOOKUP(Base_Periodo1[[#This Row],[CONTA]],BaseContasDRE[#All],4,FALSE))</f>
        <v>Fora do DRE</v>
      </c>
      <c r="T5071" s="3" t="str">
        <f>IF(ISERROR(VLOOKUP(Base_Periodo1[[#This Row],[CONTA]],BaseContasDRE[#All],5,FALSE)),"Fora do DRE",VLOOKUP(Base_Periodo1[[#This Row],[CONTA]],BaseContasDRE[#All],6,FALSE))</f>
        <v>Fora do DRE</v>
      </c>
      <c r="U5071" s="3" t="str">
        <f>IF(ISERROR(VLOOKUP(Base_Periodo1[[#This Row],[CONTA]],BaseContasDRE[#All],7,FALSE)),"Fora do DRE",VLOOKUP(Base_Periodo1[[#This Row],[CONTA]],BaseContasDRE[#All],7,FALSE))</f>
        <v>Fora do DRE</v>
      </c>
      <c r="V5071" s="3" t="str">
        <f>IF(Base_Periodo1[[#This Row],[Tipo_Linha]]="Fora do DRE","Fora do DRE","( "&amp;Base_Periodo1[[#This Row],[Tipo_Linha]]&amp;" ) "&amp;Base_Periodo1[[#This Row],[Filtro]])</f>
        <v>Fora do DRE</v>
      </c>
      <c r="W5071" s="3" t="str">
        <f>LEFT(Base_Periodo1[[#This Row],[CLASS]],3)</f>
        <v>2.4</v>
      </c>
    </row>
    <row r="5072" spans="1:23" hidden="1">
      <c r="A5072" s="3" t="str">
        <f t="shared" si="79"/>
        <v>Período 1</v>
      </c>
      <c r="B5072">
        <v>57855</v>
      </c>
      <c r="C5072" t="s">
        <v>2300</v>
      </c>
      <c r="D5072" t="s">
        <v>6566</v>
      </c>
      <c r="E5072" s="3" t="str">
        <f>IF(LEN(Base_Periodo1[[#This Row],[CLASS]])&gt;=7,LEFT(Base_Periodo1[[#This Row],[CLASS]],7),"")</f>
        <v>2.4.1.1</v>
      </c>
      <c r="F5072" s="3" t="str">
        <f>VLOOKUP(Base_Periodo1[[#This Row],[Aux]],Base_Contas_Balanco[#All],2,FALSE)</f>
        <v>Capital Social Realizado</v>
      </c>
      <c r="G5072" s="1"/>
      <c r="H5072" s="225">
        <v>50</v>
      </c>
      <c r="I5072" s="225">
        <v>0</v>
      </c>
      <c r="J5072" s="225">
        <v>0</v>
      </c>
      <c r="K5072" s="225">
        <v>50</v>
      </c>
      <c r="L50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72" s="225">
        <f>ROUND(IF(AND(Base_Periodo1[[#This Row],[Tipo_Linha]]="-",Base_Periodo1[[#This Row],[TIPOSALDO]]="D"),Base_Periodo1[[#This Row],[SALDO_ATUAL]]*-1,Base_Periodo1[[#This Row],[SALDO_ATUAL]]),4)</f>
        <v>50</v>
      </c>
      <c r="N5072" t="s">
        <v>116</v>
      </c>
      <c r="O5072" t="s">
        <v>459</v>
      </c>
      <c r="P5072" t="s">
        <v>459</v>
      </c>
      <c r="Q5072">
        <v>6</v>
      </c>
      <c r="R5072" s="225">
        <f>Base_Periodo1[[#This Row],[CREDITOS]]-Base_Periodo1[[#This Row],[DEBITOS]]</f>
        <v>0</v>
      </c>
      <c r="S5072" s="3" t="str">
        <f>IF(ISERROR(VLOOKUP(Base_Periodo1[[#This Row],[CONTA]],BaseContasDRE[#All],4,FALSE)),"Fora do DRE",VLOOKUP(Base_Periodo1[[#This Row],[CONTA]],BaseContasDRE[#All],4,FALSE))</f>
        <v>Fora do DRE</v>
      </c>
      <c r="T5072" s="3" t="str">
        <f>IF(ISERROR(VLOOKUP(Base_Periodo1[[#This Row],[CONTA]],BaseContasDRE[#All],5,FALSE)),"Fora do DRE",VLOOKUP(Base_Periodo1[[#This Row],[CONTA]],BaseContasDRE[#All],6,FALSE))</f>
        <v>Fora do DRE</v>
      </c>
      <c r="U5072" s="3" t="str">
        <f>IF(ISERROR(VLOOKUP(Base_Periodo1[[#This Row],[CONTA]],BaseContasDRE[#All],7,FALSE)),"Fora do DRE",VLOOKUP(Base_Periodo1[[#This Row],[CONTA]],BaseContasDRE[#All],7,FALSE))</f>
        <v>Fora do DRE</v>
      </c>
      <c r="V5072" s="3" t="str">
        <f>IF(Base_Periodo1[[#This Row],[Tipo_Linha]]="Fora do DRE","Fora do DRE","( "&amp;Base_Periodo1[[#This Row],[Tipo_Linha]]&amp;" ) "&amp;Base_Periodo1[[#This Row],[Filtro]])</f>
        <v>Fora do DRE</v>
      </c>
      <c r="W5072" s="3" t="str">
        <f>LEFT(Base_Periodo1[[#This Row],[CLASS]],3)</f>
        <v>2.4</v>
      </c>
    </row>
    <row r="5073" spans="1:23" hidden="1">
      <c r="A5073" s="3" t="str">
        <f t="shared" si="79"/>
        <v>Período 1</v>
      </c>
      <c r="B5073">
        <v>36031</v>
      </c>
      <c r="C5073" t="s">
        <v>2300</v>
      </c>
      <c r="D5073" t="s">
        <v>2962</v>
      </c>
      <c r="E5073" s="3" t="str">
        <f>IF(LEN(Base_Periodo1[[#This Row],[CLASS]])&gt;=7,LEFT(Base_Periodo1[[#This Row],[CLASS]],7),"")</f>
        <v>2.4.1.1</v>
      </c>
      <c r="F5073" s="3" t="str">
        <f>VLOOKUP(Base_Periodo1[[#This Row],[Aux]],Base_Contas_Balanco[#All],2,FALSE)</f>
        <v>Capital Social Realizado</v>
      </c>
      <c r="G5073" s="1"/>
      <c r="H5073" s="225">
        <v>143.82999999999998</v>
      </c>
      <c r="I5073" s="225">
        <v>0</v>
      </c>
      <c r="J5073" s="225">
        <v>0</v>
      </c>
      <c r="K5073" s="225">
        <v>143.82999999999998</v>
      </c>
      <c r="L50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143.83000000000001</v>
      </c>
      <c r="M5073" s="225">
        <f>ROUND(IF(AND(Base_Periodo1[[#This Row],[Tipo_Linha]]="-",Base_Periodo1[[#This Row],[TIPOSALDO]]="D"),Base_Periodo1[[#This Row],[SALDO_ATUAL]]*-1,Base_Periodo1[[#This Row],[SALDO_ATUAL]]),4)</f>
        <v>143.83000000000001</v>
      </c>
      <c r="N5073" t="s">
        <v>116</v>
      </c>
      <c r="O5073" t="s">
        <v>459</v>
      </c>
      <c r="P5073" t="s">
        <v>459</v>
      </c>
      <c r="Q5073">
        <v>6</v>
      </c>
      <c r="R5073" s="225">
        <f>Base_Periodo1[[#This Row],[CREDITOS]]-Base_Periodo1[[#This Row],[DEBITOS]]</f>
        <v>0</v>
      </c>
      <c r="S5073" s="3" t="str">
        <f>IF(ISERROR(VLOOKUP(Base_Periodo1[[#This Row],[CONTA]],BaseContasDRE[#All],4,FALSE)),"Fora do DRE",VLOOKUP(Base_Periodo1[[#This Row],[CONTA]],BaseContasDRE[#All],4,FALSE))</f>
        <v>Fora do DRE</v>
      </c>
      <c r="T5073" s="3" t="str">
        <f>IF(ISERROR(VLOOKUP(Base_Periodo1[[#This Row],[CONTA]],BaseContasDRE[#All],5,FALSE)),"Fora do DRE",VLOOKUP(Base_Periodo1[[#This Row],[CONTA]],BaseContasDRE[#All],6,FALSE))</f>
        <v>Fora do DRE</v>
      </c>
      <c r="U5073" s="3" t="str">
        <f>IF(ISERROR(VLOOKUP(Base_Periodo1[[#This Row],[CONTA]],BaseContasDRE[#All],7,FALSE)),"Fora do DRE",VLOOKUP(Base_Periodo1[[#This Row],[CONTA]],BaseContasDRE[#All],7,FALSE))</f>
        <v>Fora do DRE</v>
      </c>
      <c r="V5073" s="3" t="str">
        <f>IF(Base_Periodo1[[#This Row],[Tipo_Linha]]="Fora do DRE","Fora do DRE","( "&amp;Base_Periodo1[[#This Row],[Tipo_Linha]]&amp;" ) "&amp;Base_Periodo1[[#This Row],[Filtro]])</f>
        <v>Fora do DRE</v>
      </c>
      <c r="W5073" s="3" t="str">
        <f>LEFT(Base_Periodo1[[#This Row],[CLASS]],3)</f>
        <v>2.4</v>
      </c>
    </row>
    <row r="5074" spans="1:23" hidden="1">
      <c r="A5074" s="3" t="str">
        <f t="shared" si="79"/>
        <v>Período 1</v>
      </c>
      <c r="B5074">
        <v>19763</v>
      </c>
      <c r="C5074" t="s">
        <v>2300</v>
      </c>
      <c r="D5074" t="s">
        <v>2963</v>
      </c>
      <c r="E5074" s="3" t="str">
        <f>IF(LEN(Base_Periodo1[[#This Row],[CLASS]])&gt;=7,LEFT(Base_Periodo1[[#This Row],[CLASS]],7),"")</f>
        <v>2.4.1.1</v>
      </c>
      <c r="F5074" s="3" t="str">
        <f>VLOOKUP(Base_Periodo1[[#This Row],[Aux]],Base_Contas_Balanco[#All],2,FALSE)</f>
        <v>Capital Social Realizado</v>
      </c>
      <c r="G5074" s="1"/>
      <c r="H5074" s="225">
        <v>204.9</v>
      </c>
      <c r="I5074" s="225">
        <v>0</v>
      </c>
      <c r="J5074" s="225">
        <v>0</v>
      </c>
      <c r="K5074" s="225">
        <v>204.9</v>
      </c>
      <c r="L50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204.9</v>
      </c>
      <c r="M5074" s="225">
        <f>ROUND(IF(AND(Base_Periodo1[[#This Row],[Tipo_Linha]]="-",Base_Periodo1[[#This Row],[TIPOSALDO]]="D"),Base_Periodo1[[#This Row],[SALDO_ATUAL]]*-1,Base_Periodo1[[#This Row],[SALDO_ATUAL]]),4)</f>
        <v>204.9</v>
      </c>
      <c r="N5074" t="s">
        <v>116</v>
      </c>
      <c r="O5074" t="s">
        <v>459</v>
      </c>
      <c r="P5074" t="s">
        <v>459</v>
      </c>
      <c r="Q5074">
        <v>6</v>
      </c>
      <c r="R5074" s="225">
        <f>Base_Periodo1[[#This Row],[CREDITOS]]-Base_Periodo1[[#This Row],[DEBITOS]]</f>
        <v>0</v>
      </c>
      <c r="S5074" s="3" t="str">
        <f>IF(ISERROR(VLOOKUP(Base_Periodo1[[#This Row],[CONTA]],BaseContasDRE[#All],4,FALSE)),"Fora do DRE",VLOOKUP(Base_Periodo1[[#This Row],[CONTA]],BaseContasDRE[#All],4,FALSE))</f>
        <v>Fora do DRE</v>
      </c>
      <c r="T5074" s="3" t="str">
        <f>IF(ISERROR(VLOOKUP(Base_Periodo1[[#This Row],[CONTA]],BaseContasDRE[#All],5,FALSE)),"Fora do DRE",VLOOKUP(Base_Periodo1[[#This Row],[CONTA]],BaseContasDRE[#All],6,FALSE))</f>
        <v>Fora do DRE</v>
      </c>
      <c r="U5074" s="3" t="str">
        <f>IF(ISERROR(VLOOKUP(Base_Periodo1[[#This Row],[CONTA]],BaseContasDRE[#All],7,FALSE)),"Fora do DRE",VLOOKUP(Base_Periodo1[[#This Row],[CONTA]],BaseContasDRE[#All],7,FALSE))</f>
        <v>Fora do DRE</v>
      </c>
      <c r="V5074" s="3" t="str">
        <f>IF(Base_Periodo1[[#This Row],[Tipo_Linha]]="Fora do DRE","Fora do DRE","( "&amp;Base_Periodo1[[#This Row],[Tipo_Linha]]&amp;" ) "&amp;Base_Periodo1[[#This Row],[Filtro]])</f>
        <v>Fora do DRE</v>
      </c>
      <c r="W5074" s="3" t="str">
        <f>LEFT(Base_Periodo1[[#This Row],[CLASS]],3)</f>
        <v>2.4</v>
      </c>
    </row>
    <row r="5075" spans="1:23" hidden="1">
      <c r="A5075" s="3" t="str">
        <f t="shared" si="79"/>
        <v>Período 1</v>
      </c>
      <c r="B5075">
        <v>40118</v>
      </c>
      <c r="C5075" t="s">
        <v>2300</v>
      </c>
      <c r="D5075" t="s">
        <v>2964</v>
      </c>
      <c r="E5075" s="3" t="str">
        <f>IF(LEN(Base_Periodo1[[#This Row],[CLASS]])&gt;=7,LEFT(Base_Periodo1[[#This Row],[CLASS]],7),"")</f>
        <v>2.4.1.1</v>
      </c>
      <c r="F5075" s="3" t="str">
        <f>VLOOKUP(Base_Periodo1[[#This Row],[Aux]],Base_Contas_Balanco[#All],2,FALSE)</f>
        <v>Capital Social Realizado</v>
      </c>
      <c r="G5075" s="1"/>
      <c r="H5075" s="225">
        <v>2523.63</v>
      </c>
      <c r="I5075" s="225">
        <v>0</v>
      </c>
      <c r="J5075" s="225">
        <v>0</v>
      </c>
      <c r="K5075" s="225">
        <v>2523.63</v>
      </c>
      <c r="L50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2523.63</v>
      </c>
      <c r="M5075" s="225">
        <f>ROUND(IF(AND(Base_Periodo1[[#This Row],[Tipo_Linha]]="-",Base_Periodo1[[#This Row],[TIPOSALDO]]="D"),Base_Periodo1[[#This Row],[SALDO_ATUAL]]*-1,Base_Periodo1[[#This Row],[SALDO_ATUAL]]),4)</f>
        <v>2523.63</v>
      </c>
      <c r="N5075" t="s">
        <v>116</v>
      </c>
      <c r="O5075" t="s">
        <v>459</v>
      </c>
      <c r="P5075" t="s">
        <v>459</v>
      </c>
      <c r="Q5075">
        <v>6</v>
      </c>
      <c r="R5075" s="225">
        <f>Base_Periodo1[[#This Row],[CREDITOS]]-Base_Periodo1[[#This Row],[DEBITOS]]</f>
        <v>0</v>
      </c>
      <c r="S5075" s="3" t="str">
        <f>IF(ISERROR(VLOOKUP(Base_Periodo1[[#This Row],[CONTA]],BaseContasDRE[#All],4,FALSE)),"Fora do DRE",VLOOKUP(Base_Periodo1[[#This Row],[CONTA]],BaseContasDRE[#All],4,FALSE))</f>
        <v>Fora do DRE</v>
      </c>
      <c r="T5075" s="3" t="str">
        <f>IF(ISERROR(VLOOKUP(Base_Periodo1[[#This Row],[CONTA]],BaseContasDRE[#All],5,FALSE)),"Fora do DRE",VLOOKUP(Base_Periodo1[[#This Row],[CONTA]],BaseContasDRE[#All],6,FALSE))</f>
        <v>Fora do DRE</v>
      </c>
      <c r="U5075" s="3" t="str">
        <f>IF(ISERROR(VLOOKUP(Base_Periodo1[[#This Row],[CONTA]],BaseContasDRE[#All],7,FALSE)),"Fora do DRE",VLOOKUP(Base_Periodo1[[#This Row],[CONTA]],BaseContasDRE[#All],7,FALSE))</f>
        <v>Fora do DRE</v>
      </c>
      <c r="V5075" s="3" t="str">
        <f>IF(Base_Periodo1[[#This Row],[Tipo_Linha]]="Fora do DRE","Fora do DRE","( "&amp;Base_Periodo1[[#This Row],[Tipo_Linha]]&amp;" ) "&amp;Base_Periodo1[[#This Row],[Filtro]])</f>
        <v>Fora do DRE</v>
      </c>
      <c r="W5075" s="3" t="str">
        <f>LEFT(Base_Periodo1[[#This Row],[CLASS]],3)</f>
        <v>2.4</v>
      </c>
    </row>
    <row r="5076" spans="1:23" hidden="1">
      <c r="A5076" s="3" t="str">
        <f t="shared" si="79"/>
        <v>Período 1</v>
      </c>
      <c r="B5076">
        <v>25737</v>
      </c>
      <c r="C5076" t="s">
        <v>2300</v>
      </c>
      <c r="D5076" t="s">
        <v>2965</v>
      </c>
      <c r="E5076" s="3" t="str">
        <f>IF(LEN(Base_Periodo1[[#This Row],[CLASS]])&gt;=7,LEFT(Base_Periodo1[[#This Row],[CLASS]],7),"")</f>
        <v>2.4.1.1</v>
      </c>
      <c r="F5076" s="3" t="str">
        <f>VLOOKUP(Base_Periodo1[[#This Row],[Aux]],Base_Contas_Balanco[#All],2,FALSE)</f>
        <v>Capital Social Realizado</v>
      </c>
      <c r="G5076" s="1">
        <v>42461</v>
      </c>
      <c r="H5076" s="225">
        <v>50</v>
      </c>
      <c r="I5076" s="225">
        <v>0</v>
      </c>
      <c r="J5076" s="225">
        <v>0</v>
      </c>
      <c r="K5076" s="225">
        <v>50</v>
      </c>
      <c r="L50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76" s="225">
        <f>ROUND(IF(AND(Base_Periodo1[[#This Row],[Tipo_Linha]]="-",Base_Periodo1[[#This Row],[TIPOSALDO]]="D"),Base_Periodo1[[#This Row],[SALDO_ATUAL]]*-1,Base_Periodo1[[#This Row],[SALDO_ATUAL]]),4)</f>
        <v>50</v>
      </c>
      <c r="N5076" t="s">
        <v>116</v>
      </c>
      <c r="O5076" t="s">
        <v>459</v>
      </c>
      <c r="P5076" t="s">
        <v>459</v>
      </c>
      <c r="Q5076">
        <v>6</v>
      </c>
      <c r="R5076" s="225">
        <f>Base_Periodo1[[#This Row],[CREDITOS]]-Base_Periodo1[[#This Row],[DEBITOS]]</f>
        <v>0</v>
      </c>
      <c r="S5076" s="3" t="str">
        <f>IF(ISERROR(VLOOKUP(Base_Periodo1[[#This Row],[CONTA]],BaseContasDRE[#All],4,FALSE)),"Fora do DRE",VLOOKUP(Base_Periodo1[[#This Row],[CONTA]],BaseContasDRE[#All],4,FALSE))</f>
        <v>Fora do DRE</v>
      </c>
      <c r="T5076" s="3" t="str">
        <f>IF(ISERROR(VLOOKUP(Base_Periodo1[[#This Row],[CONTA]],BaseContasDRE[#All],5,FALSE)),"Fora do DRE",VLOOKUP(Base_Periodo1[[#This Row],[CONTA]],BaseContasDRE[#All],6,FALSE))</f>
        <v>Fora do DRE</v>
      </c>
      <c r="U5076" s="3" t="str">
        <f>IF(ISERROR(VLOOKUP(Base_Periodo1[[#This Row],[CONTA]],BaseContasDRE[#All],7,FALSE)),"Fora do DRE",VLOOKUP(Base_Periodo1[[#This Row],[CONTA]],BaseContasDRE[#All],7,FALSE))</f>
        <v>Fora do DRE</v>
      </c>
      <c r="V5076" s="3" t="str">
        <f>IF(Base_Periodo1[[#This Row],[Tipo_Linha]]="Fora do DRE","Fora do DRE","( "&amp;Base_Periodo1[[#This Row],[Tipo_Linha]]&amp;" ) "&amp;Base_Periodo1[[#This Row],[Filtro]])</f>
        <v>Fora do DRE</v>
      </c>
      <c r="W5076" s="3" t="str">
        <f>LEFT(Base_Periodo1[[#This Row],[CLASS]],3)</f>
        <v>2.4</v>
      </c>
    </row>
    <row r="5077" spans="1:23" hidden="1">
      <c r="A5077" s="3" t="str">
        <f t="shared" si="79"/>
        <v>Período 1</v>
      </c>
      <c r="B5077">
        <v>25534</v>
      </c>
      <c r="C5077" t="s">
        <v>2300</v>
      </c>
      <c r="D5077" t="s">
        <v>2966</v>
      </c>
      <c r="E5077" s="3" t="str">
        <f>IF(LEN(Base_Periodo1[[#This Row],[CLASS]])&gt;=7,LEFT(Base_Periodo1[[#This Row],[CLASS]],7),"")</f>
        <v>2.4.1.1</v>
      </c>
      <c r="F5077" s="3" t="str">
        <f>VLOOKUP(Base_Periodo1[[#This Row],[Aux]],Base_Contas_Balanco[#All],2,FALSE)</f>
        <v>Capital Social Realizado</v>
      </c>
      <c r="G5077" s="1"/>
      <c r="H5077" s="225">
        <v>327.09000000000003</v>
      </c>
      <c r="I5077" s="225">
        <v>0</v>
      </c>
      <c r="J5077" s="225">
        <v>0</v>
      </c>
      <c r="K5077" s="225">
        <v>327.09000000000003</v>
      </c>
      <c r="L50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327.08999999999997</v>
      </c>
      <c r="M5077" s="225">
        <f>ROUND(IF(AND(Base_Periodo1[[#This Row],[Tipo_Linha]]="-",Base_Periodo1[[#This Row],[TIPOSALDO]]="D"),Base_Periodo1[[#This Row],[SALDO_ATUAL]]*-1,Base_Periodo1[[#This Row],[SALDO_ATUAL]]),4)</f>
        <v>327.08999999999997</v>
      </c>
      <c r="N5077" t="s">
        <v>116</v>
      </c>
      <c r="O5077" t="s">
        <v>459</v>
      </c>
      <c r="P5077" t="s">
        <v>459</v>
      </c>
      <c r="Q5077">
        <v>6</v>
      </c>
      <c r="R5077" s="225">
        <f>Base_Periodo1[[#This Row],[CREDITOS]]-Base_Periodo1[[#This Row],[DEBITOS]]</f>
        <v>0</v>
      </c>
      <c r="S5077" s="3" t="str">
        <f>IF(ISERROR(VLOOKUP(Base_Periodo1[[#This Row],[CONTA]],BaseContasDRE[#All],4,FALSE)),"Fora do DRE",VLOOKUP(Base_Periodo1[[#This Row],[CONTA]],BaseContasDRE[#All],4,FALSE))</f>
        <v>Fora do DRE</v>
      </c>
      <c r="T5077" s="3" t="str">
        <f>IF(ISERROR(VLOOKUP(Base_Periodo1[[#This Row],[CONTA]],BaseContasDRE[#All],5,FALSE)),"Fora do DRE",VLOOKUP(Base_Periodo1[[#This Row],[CONTA]],BaseContasDRE[#All],6,FALSE))</f>
        <v>Fora do DRE</v>
      </c>
      <c r="U5077" s="3" t="str">
        <f>IF(ISERROR(VLOOKUP(Base_Periodo1[[#This Row],[CONTA]],BaseContasDRE[#All],7,FALSE)),"Fora do DRE",VLOOKUP(Base_Periodo1[[#This Row],[CONTA]],BaseContasDRE[#All],7,FALSE))</f>
        <v>Fora do DRE</v>
      </c>
      <c r="V5077" s="3" t="str">
        <f>IF(Base_Periodo1[[#This Row],[Tipo_Linha]]="Fora do DRE","Fora do DRE","( "&amp;Base_Periodo1[[#This Row],[Tipo_Linha]]&amp;" ) "&amp;Base_Periodo1[[#This Row],[Filtro]])</f>
        <v>Fora do DRE</v>
      </c>
      <c r="W5077" s="3" t="str">
        <f>LEFT(Base_Periodo1[[#This Row],[CLASS]],3)</f>
        <v>2.4</v>
      </c>
    </row>
    <row r="5078" spans="1:23" hidden="1">
      <c r="A5078" s="3" t="str">
        <f t="shared" si="79"/>
        <v>Período 1</v>
      </c>
      <c r="B5078">
        <v>47595</v>
      </c>
      <c r="C5078" t="s">
        <v>2300</v>
      </c>
      <c r="D5078" t="s">
        <v>2967</v>
      </c>
      <c r="E5078" s="3" t="str">
        <f>IF(LEN(Base_Periodo1[[#This Row],[CLASS]])&gt;=7,LEFT(Base_Periodo1[[#This Row],[CLASS]],7),"")</f>
        <v>2.4.1.1</v>
      </c>
      <c r="F5078" s="3" t="str">
        <f>VLOOKUP(Base_Periodo1[[#This Row],[Aux]],Base_Contas_Balanco[#All],2,FALSE)</f>
        <v>Capital Social Realizado</v>
      </c>
      <c r="G5078" s="1"/>
      <c r="H5078" s="225">
        <v>70.23</v>
      </c>
      <c r="I5078" s="225">
        <v>0</v>
      </c>
      <c r="J5078" s="225">
        <v>0</v>
      </c>
      <c r="K5078" s="225">
        <v>70.23</v>
      </c>
      <c r="L50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70.23</v>
      </c>
      <c r="M5078" s="225">
        <f>ROUND(IF(AND(Base_Periodo1[[#This Row],[Tipo_Linha]]="-",Base_Periodo1[[#This Row],[TIPOSALDO]]="D"),Base_Periodo1[[#This Row],[SALDO_ATUAL]]*-1,Base_Periodo1[[#This Row],[SALDO_ATUAL]]),4)</f>
        <v>70.23</v>
      </c>
      <c r="N5078" t="s">
        <v>116</v>
      </c>
      <c r="O5078" t="s">
        <v>459</v>
      </c>
      <c r="P5078" t="s">
        <v>459</v>
      </c>
      <c r="Q5078">
        <v>6</v>
      </c>
      <c r="R5078" s="225">
        <f>Base_Periodo1[[#This Row],[CREDITOS]]-Base_Periodo1[[#This Row],[DEBITOS]]</f>
        <v>0</v>
      </c>
      <c r="S5078" s="3" t="str">
        <f>IF(ISERROR(VLOOKUP(Base_Periodo1[[#This Row],[CONTA]],BaseContasDRE[#All],4,FALSE)),"Fora do DRE",VLOOKUP(Base_Periodo1[[#This Row],[CONTA]],BaseContasDRE[#All],4,FALSE))</f>
        <v>Fora do DRE</v>
      </c>
      <c r="T5078" s="3" t="str">
        <f>IF(ISERROR(VLOOKUP(Base_Periodo1[[#This Row],[CONTA]],BaseContasDRE[#All],5,FALSE)),"Fora do DRE",VLOOKUP(Base_Periodo1[[#This Row],[CONTA]],BaseContasDRE[#All],6,FALSE))</f>
        <v>Fora do DRE</v>
      </c>
      <c r="U5078" s="3" t="str">
        <f>IF(ISERROR(VLOOKUP(Base_Periodo1[[#This Row],[CONTA]],BaseContasDRE[#All],7,FALSE)),"Fora do DRE",VLOOKUP(Base_Periodo1[[#This Row],[CONTA]],BaseContasDRE[#All],7,FALSE))</f>
        <v>Fora do DRE</v>
      </c>
      <c r="V5078" s="3" t="str">
        <f>IF(Base_Periodo1[[#This Row],[Tipo_Linha]]="Fora do DRE","Fora do DRE","( "&amp;Base_Periodo1[[#This Row],[Tipo_Linha]]&amp;" ) "&amp;Base_Periodo1[[#This Row],[Filtro]])</f>
        <v>Fora do DRE</v>
      </c>
      <c r="W5078" s="3" t="str">
        <f>LEFT(Base_Periodo1[[#This Row],[CLASS]],3)</f>
        <v>2.4</v>
      </c>
    </row>
    <row r="5079" spans="1:23" hidden="1">
      <c r="A5079" s="3" t="str">
        <f t="shared" si="79"/>
        <v>Período 1</v>
      </c>
      <c r="B5079">
        <v>49273</v>
      </c>
      <c r="C5079" t="s">
        <v>2300</v>
      </c>
      <c r="D5079" t="s">
        <v>4315</v>
      </c>
      <c r="E5079" s="3" t="str">
        <f>IF(LEN(Base_Periodo1[[#This Row],[CLASS]])&gt;=7,LEFT(Base_Periodo1[[#This Row],[CLASS]],7),"")</f>
        <v>2.4.1.1</v>
      </c>
      <c r="F5079" s="3" t="str">
        <f>VLOOKUP(Base_Periodo1[[#This Row],[Aux]],Base_Contas_Balanco[#All],2,FALSE)</f>
        <v>Capital Social Realizado</v>
      </c>
      <c r="G5079" s="1"/>
      <c r="H5079" s="225">
        <v>51.75</v>
      </c>
      <c r="I5079" s="225">
        <v>0</v>
      </c>
      <c r="J5079" s="225">
        <v>0</v>
      </c>
      <c r="K5079" s="225">
        <v>51.75</v>
      </c>
      <c r="L50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51.75</v>
      </c>
      <c r="M5079" s="225">
        <f>ROUND(IF(AND(Base_Periodo1[[#This Row],[Tipo_Linha]]="-",Base_Periodo1[[#This Row],[TIPOSALDO]]="D"),Base_Periodo1[[#This Row],[SALDO_ATUAL]]*-1,Base_Periodo1[[#This Row],[SALDO_ATUAL]]),4)</f>
        <v>51.75</v>
      </c>
      <c r="N5079" t="s">
        <v>116</v>
      </c>
      <c r="O5079" t="s">
        <v>459</v>
      </c>
      <c r="P5079" t="s">
        <v>459</v>
      </c>
      <c r="Q5079">
        <v>6</v>
      </c>
      <c r="R5079" s="225">
        <f>Base_Periodo1[[#This Row],[CREDITOS]]-Base_Periodo1[[#This Row],[DEBITOS]]</f>
        <v>0</v>
      </c>
      <c r="S5079" s="3" t="str">
        <f>IF(ISERROR(VLOOKUP(Base_Periodo1[[#This Row],[CONTA]],BaseContasDRE[#All],4,FALSE)),"Fora do DRE",VLOOKUP(Base_Periodo1[[#This Row],[CONTA]],BaseContasDRE[#All],4,FALSE))</f>
        <v>Fora do DRE</v>
      </c>
      <c r="T5079" s="3" t="str">
        <f>IF(ISERROR(VLOOKUP(Base_Periodo1[[#This Row],[CONTA]],BaseContasDRE[#All],5,FALSE)),"Fora do DRE",VLOOKUP(Base_Periodo1[[#This Row],[CONTA]],BaseContasDRE[#All],6,FALSE))</f>
        <v>Fora do DRE</v>
      </c>
      <c r="U5079" s="3" t="str">
        <f>IF(ISERROR(VLOOKUP(Base_Periodo1[[#This Row],[CONTA]],BaseContasDRE[#All],7,FALSE)),"Fora do DRE",VLOOKUP(Base_Periodo1[[#This Row],[CONTA]],BaseContasDRE[#All],7,FALSE))</f>
        <v>Fora do DRE</v>
      </c>
      <c r="V5079" s="3" t="str">
        <f>IF(Base_Periodo1[[#This Row],[Tipo_Linha]]="Fora do DRE","Fora do DRE","( "&amp;Base_Periodo1[[#This Row],[Tipo_Linha]]&amp;" ) "&amp;Base_Periodo1[[#This Row],[Filtro]])</f>
        <v>Fora do DRE</v>
      </c>
      <c r="W5079" s="3" t="str">
        <f>LEFT(Base_Periodo1[[#This Row],[CLASS]],3)</f>
        <v>2.4</v>
      </c>
    </row>
    <row r="5080" spans="1:23" hidden="1">
      <c r="A5080" s="3" t="str">
        <f t="shared" si="79"/>
        <v>Período 1</v>
      </c>
      <c r="B5080">
        <v>19362</v>
      </c>
      <c r="C5080" t="s">
        <v>2300</v>
      </c>
      <c r="D5080" t="s">
        <v>2968</v>
      </c>
      <c r="E5080" s="3" t="str">
        <f>IF(LEN(Base_Periodo1[[#This Row],[CLASS]])&gt;=7,LEFT(Base_Periodo1[[#This Row],[CLASS]],7),"")</f>
        <v>2.4.1.1</v>
      </c>
      <c r="F5080" s="3" t="str">
        <f>VLOOKUP(Base_Periodo1[[#This Row],[Aux]],Base_Contas_Balanco[#All],2,FALSE)</f>
        <v>Capital Social Realizado</v>
      </c>
      <c r="G5080" s="1"/>
      <c r="H5080" s="225">
        <v>2109.7600000000002</v>
      </c>
      <c r="I5080" s="225">
        <v>0</v>
      </c>
      <c r="J5080" s="225">
        <v>0</v>
      </c>
      <c r="K5080" s="225">
        <v>2109.7600000000002</v>
      </c>
      <c r="L50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2109.7600000000002</v>
      </c>
      <c r="M5080" s="225">
        <f>ROUND(IF(AND(Base_Periodo1[[#This Row],[Tipo_Linha]]="-",Base_Periodo1[[#This Row],[TIPOSALDO]]="D"),Base_Periodo1[[#This Row],[SALDO_ATUAL]]*-1,Base_Periodo1[[#This Row],[SALDO_ATUAL]]),4)</f>
        <v>2109.7600000000002</v>
      </c>
      <c r="N5080" t="s">
        <v>116</v>
      </c>
      <c r="O5080" t="s">
        <v>459</v>
      </c>
      <c r="P5080" t="s">
        <v>459</v>
      </c>
      <c r="Q5080">
        <v>6</v>
      </c>
      <c r="R5080" s="225">
        <f>Base_Periodo1[[#This Row],[CREDITOS]]-Base_Periodo1[[#This Row],[DEBITOS]]</f>
        <v>0</v>
      </c>
      <c r="S5080" s="3" t="str">
        <f>IF(ISERROR(VLOOKUP(Base_Periodo1[[#This Row],[CONTA]],BaseContasDRE[#All],4,FALSE)),"Fora do DRE",VLOOKUP(Base_Periodo1[[#This Row],[CONTA]],BaseContasDRE[#All],4,FALSE))</f>
        <v>Fora do DRE</v>
      </c>
      <c r="T5080" s="3" t="str">
        <f>IF(ISERROR(VLOOKUP(Base_Periodo1[[#This Row],[CONTA]],BaseContasDRE[#All],5,FALSE)),"Fora do DRE",VLOOKUP(Base_Periodo1[[#This Row],[CONTA]],BaseContasDRE[#All],6,FALSE))</f>
        <v>Fora do DRE</v>
      </c>
      <c r="U5080" s="3" t="str">
        <f>IF(ISERROR(VLOOKUP(Base_Periodo1[[#This Row],[CONTA]],BaseContasDRE[#All],7,FALSE)),"Fora do DRE",VLOOKUP(Base_Periodo1[[#This Row],[CONTA]],BaseContasDRE[#All],7,FALSE))</f>
        <v>Fora do DRE</v>
      </c>
      <c r="V5080" s="3" t="str">
        <f>IF(Base_Periodo1[[#This Row],[Tipo_Linha]]="Fora do DRE","Fora do DRE","( "&amp;Base_Periodo1[[#This Row],[Tipo_Linha]]&amp;" ) "&amp;Base_Periodo1[[#This Row],[Filtro]])</f>
        <v>Fora do DRE</v>
      </c>
      <c r="W5080" s="3" t="str">
        <f>LEFT(Base_Periodo1[[#This Row],[CLASS]],3)</f>
        <v>2.4</v>
      </c>
    </row>
    <row r="5081" spans="1:23" hidden="1">
      <c r="A5081" s="3" t="str">
        <f t="shared" si="79"/>
        <v>Período 1</v>
      </c>
      <c r="B5081">
        <v>40724</v>
      </c>
      <c r="C5081" t="s">
        <v>2300</v>
      </c>
      <c r="D5081" t="s">
        <v>2969</v>
      </c>
      <c r="E5081" s="3" t="str">
        <f>IF(LEN(Base_Periodo1[[#This Row],[CLASS]])&gt;=7,LEFT(Base_Periodo1[[#This Row],[CLASS]],7),"")</f>
        <v>2.4.1.1</v>
      </c>
      <c r="F5081" s="3" t="str">
        <f>VLOOKUP(Base_Periodo1[[#This Row],[Aux]],Base_Contas_Balanco[#All],2,FALSE)</f>
        <v>Capital Social Realizado</v>
      </c>
      <c r="G5081" s="1"/>
      <c r="H5081" s="225">
        <v>50</v>
      </c>
      <c r="I5081" s="225">
        <v>0</v>
      </c>
      <c r="J5081" s="225">
        <v>0</v>
      </c>
      <c r="K5081" s="225">
        <v>50</v>
      </c>
      <c r="L50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81" s="225">
        <f>ROUND(IF(AND(Base_Periodo1[[#This Row],[Tipo_Linha]]="-",Base_Periodo1[[#This Row],[TIPOSALDO]]="D"),Base_Periodo1[[#This Row],[SALDO_ATUAL]]*-1,Base_Periodo1[[#This Row],[SALDO_ATUAL]]),4)</f>
        <v>50</v>
      </c>
      <c r="N5081" t="s">
        <v>116</v>
      </c>
      <c r="O5081" t="s">
        <v>459</v>
      </c>
      <c r="P5081" t="s">
        <v>459</v>
      </c>
      <c r="Q5081">
        <v>6</v>
      </c>
      <c r="R5081" s="225">
        <f>Base_Periodo1[[#This Row],[CREDITOS]]-Base_Periodo1[[#This Row],[DEBITOS]]</f>
        <v>0</v>
      </c>
      <c r="S5081" s="3" t="str">
        <f>IF(ISERROR(VLOOKUP(Base_Periodo1[[#This Row],[CONTA]],BaseContasDRE[#All],4,FALSE)),"Fora do DRE",VLOOKUP(Base_Periodo1[[#This Row],[CONTA]],BaseContasDRE[#All],4,FALSE))</f>
        <v>Fora do DRE</v>
      </c>
      <c r="T5081" s="3" t="str">
        <f>IF(ISERROR(VLOOKUP(Base_Periodo1[[#This Row],[CONTA]],BaseContasDRE[#All],5,FALSE)),"Fora do DRE",VLOOKUP(Base_Periodo1[[#This Row],[CONTA]],BaseContasDRE[#All],6,FALSE))</f>
        <v>Fora do DRE</v>
      </c>
      <c r="U5081" s="3" t="str">
        <f>IF(ISERROR(VLOOKUP(Base_Periodo1[[#This Row],[CONTA]],BaseContasDRE[#All],7,FALSE)),"Fora do DRE",VLOOKUP(Base_Periodo1[[#This Row],[CONTA]],BaseContasDRE[#All],7,FALSE))</f>
        <v>Fora do DRE</v>
      </c>
      <c r="V5081" s="3" t="str">
        <f>IF(Base_Periodo1[[#This Row],[Tipo_Linha]]="Fora do DRE","Fora do DRE","( "&amp;Base_Periodo1[[#This Row],[Tipo_Linha]]&amp;" ) "&amp;Base_Periodo1[[#This Row],[Filtro]])</f>
        <v>Fora do DRE</v>
      </c>
      <c r="W5081" s="3" t="str">
        <f>LEFT(Base_Periodo1[[#This Row],[CLASS]],3)</f>
        <v>2.4</v>
      </c>
    </row>
    <row r="5082" spans="1:23" hidden="1">
      <c r="A5082" s="3" t="str">
        <f t="shared" si="79"/>
        <v>Período 1</v>
      </c>
      <c r="B5082">
        <v>25219</v>
      </c>
      <c r="C5082" t="s">
        <v>2300</v>
      </c>
      <c r="D5082" t="s">
        <v>2970</v>
      </c>
      <c r="E5082" s="3" t="str">
        <f>IF(LEN(Base_Periodo1[[#This Row],[CLASS]])&gt;=7,LEFT(Base_Periodo1[[#This Row],[CLASS]],7),"")</f>
        <v>2.4.1.1</v>
      </c>
      <c r="F5082" s="3" t="str">
        <f>VLOOKUP(Base_Periodo1[[#This Row],[Aux]],Base_Contas_Balanco[#All],2,FALSE)</f>
        <v>Capital Social Realizado</v>
      </c>
      <c r="G5082" s="1"/>
      <c r="H5082" s="225">
        <v>519.67999999999995</v>
      </c>
      <c r="I5082" s="225">
        <v>0</v>
      </c>
      <c r="J5082" s="225">
        <v>0</v>
      </c>
      <c r="K5082" s="225">
        <v>519.67999999999995</v>
      </c>
      <c r="L50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519.67999999999995</v>
      </c>
      <c r="M5082" s="225">
        <f>ROUND(IF(AND(Base_Periodo1[[#This Row],[Tipo_Linha]]="-",Base_Periodo1[[#This Row],[TIPOSALDO]]="D"),Base_Periodo1[[#This Row],[SALDO_ATUAL]]*-1,Base_Periodo1[[#This Row],[SALDO_ATUAL]]),4)</f>
        <v>519.67999999999995</v>
      </c>
      <c r="N5082" t="s">
        <v>116</v>
      </c>
      <c r="O5082" t="s">
        <v>459</v>
      </c>
      <c r="P5082" t="s">
        <v>459</v>
      </c>
      <c r="Q5082">
        <v>6</v>
      </c>
      <c r="R5082" s="225">
        <f>Base_Periodo1[[#This Row],[CREDITOS]]-Base_Periodo1[[#This Row],[DEBITOS]]</f>
        <v>0</v>
      </c>
      <c r="S5082" s="3" t="str">
        <f>IF(ISERROR(VLOOKUP(Base_Periodo1[[#This Row],[CONTA]],BaseContasDRE[#All],4,FALSE)),"Fora do DRE",VLOOKUP(Base_Periodo1[[#This Row],[CONTA]],BaseContasDRE[#All],4,FALSE))</f>
        <v>Fora do DRE</v>
      </c>
      <c r="T5082" s="3" t="str">
        <f>IF(ISERROR(VLOOKUP(Base_Periodo1[[#This Row],[CONTA]],BaseContasDRE[#All],5,FALSE)),"Fora do DRE",VLOOKUP(Base_Periodo1[[#This Row],[CONTA]],BaseContasDRE[#All],6,FALSE))</f>
        <v>Fora do DRE</v>
      </c>
      <c r="U5082" s="3" t="str">
        <f>IF(ISERROR(VLOOKUP(Base_Periodo1[[#This Row],[CONTA]],BaseContasDRE[#All],7,FALSE)),"Fora do DRE",VLOOKUP(Base_Periodo1[[#This Row],[CONTA]],BaseContasDRE[#All],7,FALSE))</f>
        <v>Fora do DRE</v>
      </c>
      <c r="V5082" s="3" t="str">
        <f>IF(Base_Periodo1[[#This Row],[Tipo_Linha]]="Fora do DRE","Fora do DRE","( "&amp;Base_Periodo1[[#This Row],[Tipo_Linha]]&amp;" ) "&amp;Base_Periodo1[[#This Row],[Filtro]])</f>
        <v>Fora do DRE</v>
      </c>
      <c r="W5082" s="3" t="str">
        <f>LEFT(Base_Periodo1[[#This Row],[CLASS]],3)</f>
        <v>2.4</v>
      </c>
    </row>
    <row r="5083" spans="1:23" hidden="1">
      <c r="A5083" s="3" t="str">
        <f t="shared" si="79"/>
        <v>Período 1</v>
      </c>
      <c r="B5083">
        <v>52979</v>
      </c>
      <c r="C5083" t="s">
        <v>2300</v>
      </c>
      <c r="D5083" t="s">
        <v>4887</v>
      </c>
      <c r="E5083" s="3" t="str">
        <f>IF(LEN(Base_Periodo1[[#This Row],[CLASS]])&gt;=7,LEFT(Base_Periodo1[[#This Row],[CLASS]],7),"")</f>
        <v>2.4.1.1</v>
      </c>
      <c r="F5083" s="3" t="str">
        <f>VLOOKUP(Base_Periodo1[[#This Row],[Aux]],Base_Contas_Balanco[#All],2,FALSE)</f>
        <v>Capital Social Realizado</v>
      </c>
      <c r="G5083" s="1"/>
      <c r="H5083" s="225">
        <v>500</v>
      </c>
      <c r="I5083" s="225">
        <v>0</v>
      </c>
      <c r="J5083" s="225">
        <v>0</v>
      </c>
      <c r="K5083" s="225">
        <v>500</v>
      </c>
      <c r="L50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5083" s="225">
        <f>ROUND(IF(AND(Base_Periodo1[[#This Row],[Tipo_Linha]]="-",Base_Periodo1[[#This Row],[TIPOSALDO]]="D"),Base_Periodo1[[#This Row],[SALDO_ATUAL]]*-1,Base_Periodo1[[#This Row],[SALDO_ATUAL]]),4)</f>
        <v>500</v>
      </c>
      <c r="N5083" t="s">
        <v>116</v>
      </c>
      <c r="O5083" t="s">
        <v>459</v>
      </c>
      <c r="P5083" t="s">
        <v>459</v>
      </c>
      <c r="Q5083">
        <v>6</v>
      </c>
      <c r="R5083" s="225">
        <f>Base_Periodo1[[#This Row],[CREDITOS]]-Base_Periodo1[[#This Row],[DEBITOS]]</f>
        <v>0</v>
      </c>
      <c r="S5083" s="3" t="str">
        <f>IF(ISERROR(VLOOKUP(Base_Periodo1[[#This Row],[CONTA]],BaseContasDRE[#All],4,FALSE)),"Fora do DRE",VLOOKUP(Base_Periodo1[[#This Row],[CONTA]],BaseContasDRE[#All],4,FALSE))</f>
        <v>Fora do DRE</v>
      </c>
      <c r="T5083" s="3" t="str">
        <f>IF(ISERROR(VLOOKUP(Base_Periodo1[[#This Row],[CONTA]],BaseContasDRE[#All],5,FALSE)),"Fora do DRE",VLOOKUP(Base_Periodo1[[#This Row],[CONTA]],BaseContasDRE[#All],6,FALSE))</f>
        <v>Fora do DRE</v>
      </c>
      <c r="U5083" s="3" t="str">
        <f>IF(ISERROR(VLOOKUP(Base_Periodo1[[#This Row],[CONTA]],BaseContasDRE[#All],7,FALSE)),"Fora do DRE",VLOOKUP(Base_Periodo1[[#This Row],[CONTA]],BaseContasDRE[#All],7,FALSE))</f>
        <v>Fora do DRE</v>
      </c>
      <c r="V5083" s="3" t="str">
        <f>IF(Base_Periodo1[[#This Row],[Tipo_Linha]]="Fora do DRE","Fora do DRE","( "&amp;Base_Periodo1[[#This Row],[Tipo_Linha]]&amp;" ) "&amp;Base_Periodo1[[#This Row],[Filtro]])</f>
        <v>Fora do DRE</v>
      </c>
      <c r="W5083" s="3" t="str">
        <f>LEFT(Base_Periodo1[[#This Row],[CLASS]],3)</f>
        <v>2.4</v>
      </c>
    </row>
    <row r="5084" spans="1:23" hidden="1">
      <c r="A5084" s="3" t="str">
        <f t="shared" si="79"/>
        <v>Período 1</v>
      </c>
      <c r="B5084">
        <v>21226</v>
      </c>
      <c r="C5084" t="s">
        <v>2300</v>
      </c>
      <c r="D5084" t="s">
        <v>2971</v>
      </c>
      <c r="E5084" s="3" t="str">
        <f>IF(LEN(Base_Periodo1[[#This Row],[CLASS]])&gt;=7,LEFT(Base_Periodo1[[#This Row],[CLASS]],7),"")</f>
        <v>2.4.1.1</v>
      </c>
      <c r="F5084" s="3" t="str">
        <f>VLOOKUP(Base_Periodo1[[#This Row],[Aux]],Base_Contas_Balanco[#All],2,FALSE)</f>
        <v>Capital Social Realizado</v>
      </c>
      <c r="G5084" s="1"/>
      <c r="H5084" s="225">
        <v>1383.5</v>
      </c>
      <c r="I5084" s="225">
        <v>0</v>
      </c>
      <c r="J5084" s="225">
        <v>0</v>
      </c>
      <c r="K5084" s="225">
        <v>1383.5</v>
      </c>
      <c r="L50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1383.5</v>
      </c>
      <c r="M5084" s="225">
        <f>ROUND(IF(AND(Base_Periodo1[[#This Row],[Tipo_Linha]]="-",Base_Periodo1[[#This Row],[TIPOSALDO]]="D"),Base_Periodo1[[#This Row],[SALDO_ATUAL]]*-1,Base_Periodo1[[#This Row],[SALDO_ATUAL]]),4)</f>
        <v>1383.5</v>
      </c>
      <c r="N5084" t="s">
        <v>116</v>
      </c>
      <c r="O5084" t="s">
        <v>459</v>
      </c>
      <c r="P5084" t="s">
        <v>459</v>
      </c>
      <c r="Q5084">
        <v>6</v>
      </c>
      <c r="R5084" s="225">
        <f>Base_Periodo1[[#This Row],[CREDITOS]]-Base_Periodo1[[#This Row],[DEBITOS]]</f>
        <v>0</v>
      </c>
      <c r="S5084" s="3" t="str">
        <f>IF(ISERROR(VLOOKUP(Base_Periodo1[[#This Row],[CONTA]],BaseContasDRE[#All],4,FALSE)),"Fora do DRE",VLOOKUP(Base_Periodo1[[#This Row],[CONTA]],BaseContasDRE[#All],4,FALSE))</f>
        <v>Fora do DRE</v>
      </c>
      <c r="T5084" s="3" t="str">
        <f>IF(ISERROR(VLOOKUP(Base_Periodo1[[#This Row],[CONTA]],BaseContasDRE[#All],5,FALSE)),"Fora do DRE",VLOOKUP(Base_Periodo1[[#This Row],[CONTA]],BaseContasDRE[#All],6,FALSE))</f>
        <v>Fora do DRE</v>
      </c>
      <c r="U5084" s="3" t="str">
        <f>IF(ISERROR(VLOOKUP(Base_Periodo1[[#This Row],[CONTA]],BaseContasDRE[#All],7,FALSE)),"Fora do DRE",VLOOKUP(Base_Periodo1[[#This Row],[CONTA]],BaseContasDRE[#All],7,FALSE))</f>
        <v>Fora do DRE</v>
      </c>
      <c r="V5084" s="3" t="str">
        <f>IF(Base_Periodo1[[#This Row],[Tipo_Linha]]="Fora do DRE","Fora do DRE","( "&amp;Base_Periodo1[[#This Row],[Tipo_Linha]]&amp;" ) "&amp;Base_Periodo1[[#This Row],[Filtro]])</f>
        <v>Fora do DRE</v>
      </c>
      <c r="W5084" s="3" t="str">
        <f>LEFT(Base_Periodo1[[#This Row],[CLASS]],3)</f>
        <v>2.4</v>
      </c>
    </row>
    <row r="5085" spans="1:23" hidden="1">
      <c r="A5085" s="3" t="str">
        <f t="shared" si="79"/>
        <v>Período 1</v>
      </c>
      <c r="B5085">
        <v>40753</v>
      </c>
      <c r="C5085" t="s">
        <v>2300</v>
      </c>
      <c r="D5085" t="s">
        <v>2972</v>
      </c>
      <c r="E5085" s="3" t="str">
        <f>IF(LEN(Base_Periodo1[[#This Row],[CLASS]])&gt;=7,LEFT(Base_Periodo1[[#This Row],[CLASS]],7),"")</f>
        <v>2.4.1.1</v>
      </c>
      <c r="F5085" s="3" t="str">
        <f>VLOOKUP(Base_Periodo1[[#This Row],[Aux]],Base_Contas_Balanco[#All],2,FALSE)</f>
        <v>Capital Social Realizado</v>
      </c>
      <c r="G5085" s="1"/>
      <c r="H5085" s="225">
        <v>62.25</v>
      </c>
      <c r="I5085" s="225">
        <v>0</v>
      </c>
      <c r="J5085" s="225">
        <v>0</v>
      </c>
      <c r="K5085" s="225">
        <v>62.25</v>
      </c>
      <c r="L50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62.25</v>
      </c>
      <c r="M5085" s="225">
        <f>ROUND(IF(AND(Base_Periodo1[[#This Row],[Tipo_Linha]]="-",Base_Periodo1[[#This Row],[TIPOSALDO]]="D"),Base_Periodo1[[#This Row],[SALDO_ATUAL]]*-1,Base_Periodo1[[#This Row],[SALDO_ATUAL]]),4)</f>
        <v>62.25</v>
      </c>
      <c r="N5085" t="s">
        <v>116</v>
      </c>
      <c r="O5085" t="s">
        <v>459</v>
      </c>
      <c r="P5085" t="s">
        <v>459</v>
      </c>
      <c r="Q5085">
        <v>6</v>
      </c>
      <c r="R5085" s="225">
        <f>Base_Periodo1[[#This Row],[CREDITOS]]-Base_Periodo1[[#This Row],[DEBITOS]]</f>
        <v>0</v>
      </c>
      <c r="S5085" s="3" t="str">
        <f>IF(ISERROR(VLOOKUP(Base_Periodo1[[#This Row],[CONTA]],BaseContasDRE[#All],4,FALSE)),"Fora do DRE",VLOOKUP(Base_Periodo1[[#This Row],[CONTA]],BaseContasDRE[#All],4,FALSE))</f>
        <v>Fora do DRE</v>
      </c>
      <c r="T5085" s="3" t="str">
        <f>IF(ISERROR(VLOOKUP(Base_Periodo1[[#This Row],[CONTA]],BaseContasDRE[#All],5,FALSE)),"Fora do DRE",VLOOKUP(Base_Periodo1[[#This Row],[CONTA]],BaseContasDRE[#All],6,FALSE))</f>
        <v>Fora do DRE</v>
      </c>
      <c r="U5085" s="3" t="str">
        <f>IF(ISERROR(VLOOKUP(Base_Periodo1[[#This Row],[CONTA]],BaseContasDRE[#All],7,FALSE)),"Fora do DRE",VLOOKUP(Base_Periodo1[[#This Row],[CONTA]],BaseContasDRE[#All],7,FALSE))</f>
        <v>Fora do DRE</v>
      </c>
      <c r="V5085" s="3" t="str">
        <f>IF(Base_Periodo1[[#This Row],[Tipo_Linha]]="Fora do DRE","Fora do DRE","( "&amp;Base_Periodo1[[#This Row],[Tipo_Linha]]&amp;" ) "&amp;Base_Periodo1[[#This Row],[Filtro]])</f>
        <v>Fora do DRE</v>
      </c>
      <c r="W5085" s="3" t="str">
        <f>LEFT(Base_Periodo1[[#This Row],[CLASS]],3)</f>
        <v>2.4</v>
      </c>
    </row>
    <row r="5086" spans="1:23" hidden="1">
      <c r="A5086" s="3" t="str">
        <f t="shared" si="79"/>
        <v>Período 1</v>
      </c>
      <c r="B5086">
        <v>57900</v>
      </c>
      <c r="C5086" t="s">
        <v>2300</v>
      </c>
      <c r="D5086" t="s">
        <v>6567</v>
      </c>
      <c r="E5086" s="3" t="str">
        <f>IF(LEN(Base_Periodo1[[#This Row],[CLASS]])&gt;=7,LEFT(Base_Periodo1[[#This Row],[CLASS]],7),"")</f>
        <v>2.4.1.1</v>
      </c>
      <c r="F5086" s="3" t="str">
        <f>VLOOKUP(Base_Periodo1[[#This Row],[Aux]],Base_Contas_Balanco[#All],2,FALSE)</f>
        <v>Capital Social Realizado</v>
      </c>
      <c r="G5086" s="1"/>
      <c r="H5086" s="225">
        <v>50</v>
      </c>
      <c r="I5086" s="225">
        <v>0</v>
      </c>
      <c r="J5086" s="225">
        <v>0</v>
      </c>
      <c r="K5086" s="225">
        <v>50</v>
      </c>
      <c r="L50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86" s="225">
        <f>ROUND(IF(AND(Base_Periodo1[[#This Row],[Tipo_Linha]]="-",Base_Periodo1[[#This Row],[TIPOSALDO]]="D"),Base_Periodo1[[#This Row],[SALDO_ATUAL]]*-1,Base_Periodo1[[#This Row],[SALDO_ATUAL]]),4)</f>
        <v>50</v>
      </c>
      <c r="N5086" t="s">
        <v>116</v>
      </c>
      <c r="O5086" t="s">
        <v>459</v>
      </c>
      <c r="P5086" t="s">
        <v>459</v>
      </c>
      <c r="Q5086">
        <v>6</v>
      </c>
      <c r="R5086" s="225">
        <f>Base_Periodo1[[#This Row],[CREDITOS]]-Base_Periodo1[[#This Row],[DEBITOS]]</f>
        <v>0</v>
      </c>
      <c r="S5086" s="3" t="str">
        <f>IF(ISERROR(VLOOKUP(Base_Periodo1[[#This Row],[CONTA]],BaseContasDRE[#All],4,FALSE)),"Fora do DRE",VLOOKUP(Base_Periodo1[[#This Row],[CONTA]],BaseContasDRE[#All],4,FALSE))</f>
        <v>Fora do DRE</v>
      </c>
      <c r="T5086" s="3" t="str">
        <f>IF(ISERROR(VLOOKUP(Base_Periodo1[[#This Row],[CONTA]],BaseContasDRE[#All],5,FALSE)),"Fora do DRE",VLOOKUP(Base_Periodo1[[#This Row],[CONTA]],BaseContasDRE[#All],6,FALSE))</f>
        <v>Fora do DRE</v>
      </c>
      <c r="U5086" s="3" t="str">
        <f>IF(ISERROR(VLOOKUP(Base_Periodo1[[#This Row],[CONTA]],BaseContasDRE[#All],7,FALSE)),"Fora do DRE",VLOOKUP(Base_Periodo1[[#This Row],[CONTA]],BaseContasDRE[#All],7,FALSE))</f>
        <v>Fora do DRE</v>
      </c>
      <c r="V5086" s="3" t="str">
        <f>IF(Base_Periodo1[[#This Row],[Tipo_Linha]]="Fora do DRE","Fora do DRE","( "&amp;Base_Periodo1[[#This Row],[Tipo_Linha]]&amp;" ) "&amp;Base_Periodo1[[#This Row],[Filtro]])</f>
        <v>Fora do DRE</v>
      </c>
      <c r="W5086" s="3" t="str">
        <f>LEFT(Base_Periodo1[[#This Row],[CLASS]],3)</f>
        <v>2.4</v>
      </c>
    </row>
    <row r="5087" spans="1:23" hidden="1">
      <c r="A5087" s="3" t="str">
        <f t="shared" si="79"/>
        <v>Período 1</v>
      </c>
      <c r="B5087">
        <v>16024</v>
      </c>
      <c r="C5087" t="s">
        <v>2300</v>
      </c>
      <c r="D5087" t="s">
        <v>2973</v>
      </c>
      <c r="E5087" s="3" t="str">
        <f>IF(LEN(Base_Periodo1[[#This Row],[CLASS]])&gt;=7,LEFT(Base_Periodo1[[#This Row],[CLASS]],7),"")</f>
        <v>2.4.1.1</v>
      </c>
      <c r="F5087" s="3" t="str">
        <f>VLOOKUP(Base_Periodo1[[#This Row],[Aux]],Base_Contas_Balanco[#All],2,FALSE)</f>
        <v>Capital Social Realizado</v>
      </c>
      <c r="G5087" s="1"/>
      <c r="H5087" s="225">
        <v>5180.13</v>
      </c>
      <c r="I5087" s="225">
        <v>0</v>
      </c>
      <c r="J5087" s="225">
        <v>0</v>
      </c>
      <c r="K5087" s="225">
        <v>5180.13</v>
      </c>
      <c r="L50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5180.13</v>
      </c>
      <c r="M5087" s="225">
        <f>ROUND(IF(AND(Base_Periodo1[[#This Row],[Tipo_Linha]]="-",Base_Periodo1[[#This Row],[TIPOSALDO]]="D"),Base_Periodo1[[#This Row],[SALDO_ATUAL]]*-1,Base_Periodo1[[#This Row],[SALDO_ATUAL]]),4)</f>
        <v>5180.13</v>
      </c>
      <c r="N5087" t="s">
        <v>116</v>
      </c>
      <c r="O5087" t="s">
        <v>459</v>
      </c>
      <c r="P5087" t="s">
        <v>459</v>
      </c>
      <c r="Q5087">
        <v>6</v>
      </c>
      <c r="R5087" s="225">
        <f>Base_Periodo1[[#This Row],[CREDITOS]]-Base_Periodo1[[#This Row],[DEBITOS]]</f>
        <v>0</v>
      </c>
      <c r="S5087" s="3" t="str">
        <f>IF(ISERROR(VLOOKUP(Base_Periodo1[[#This Row],[CONTA]],BaseContasDRE[#All],4,FALSE)),"Fora do DRE",VLOOKUP(Base_Periodo1[[#This Row],[CONTA]],BaseContasDRE[#All],4,FALSE))</f>
        <v>Fora do DRE</v>
      </c>
      <c r="T5087" s="3" t="str">
        <f>IF(ISERROR(VLOOKUP(Base_Periodo1[[#This Row],[CONTA]],BaseContasDRE[#All],5,FALSE)),"Fora do DRE",VLOOKUP(Base_Periodo1[[#This Row],[CONTA]],BaseContasDRE[#All],6,FALSE))</f>
        <v>Fora do DRE</v>
      </c>
      <c r="U5087" s="3" t="str">
        <f>IF(ISERROR(VLOOKUP(Base_Periodo1[[#This Row],[CONTA]],BaseContasDRE[#All],7,FALSE)),"Fora do DRE",VLOOKUP(Base_Periodo1[[#This Row],[CONTA]],BaseContasDRE[#All],7,FALSE))</f>
        <v>Fora do DRE</v>
      </c>
      <c r="V5087" s="3" t="str">
        <f>IF(Base_Periodo1[[#This Row],[Tipo_Linha]]="Fora do DRE","Fora do DRE","( "&amp;Base_Periodo1[[#This Row],[Tipo_Linha]]&amp;" ) "&amp;Base_Periodo1[[#This Row],[Filtro]])</f>
        <v>Fora do DRE</v>
      </c>
      <c r="W5087" s="3" t="str">
        <f>LEFT(Base_Periodo1[[#This Row],[CLASS]],3)</f>
        <v>2.4</v>
      </c>
    </row>
    <row r="5088" spans="1:23" hidden="1">
      <c r="A5088" s="3" t="str">
        <f t="shared" si="79"/>
        <v>Período 1</v>
      </c>
      <c r="B5088">
        <v>17202</v>
      </c>
      <c r="C5088" t="s">
        <v>2300</v>
      </c>
      <c r="D5088" t="s">
        <v>2974</v>
      </c>
      <c r="E5088" s="3" t="str">
        <f>IF(LEN(Base_Periodo1[[#This Row],[CLASS]])&gt;=7,LEFT(Base_Periodo1[[#This Row],[CLASS]],7),"")</f>
        <v>2.4.1.1</v>
      </c>
      <c r="F5088" s="3" t="str">
        <f>VLOOKUP(Base_Periodo1[[#This Row],[Aux]],Base_Contas_Balanco[#All],2,FALSE)</f>
        <v>Capital Social Realizado</v>
      </c>
      <c r="G5088" s="1"/>
      <c r="H5088" s="225">
        <v>344.9</v>
      </c>
      <c r="I5088" s="225">
        <v>0</v>
      </c>
      <c r="J5088" s="225">
        <v>0</v>
      </c>
      <c r="K5088" s="225">
        <v>344.9</v>
      </c>
      <c r="L50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344.9</v>
      </c>
      <c r="M5088" s="225">
        <f>ROUND(IF(AND(Base_Periodo1[[#This Row],[Tipo_Linha]]="-",Base_Periodo1[[#This Row],[TIPOSALDO]]="D"),Base_Periodo1[[#This Row],[SALDO_ATUAL]]*-1,Base_Periodo1[[#This Row],[SALDO_ATUAL]]),4)</f>
        <v>344.9</v>
      </c>
      <c r="N5088" t="s">
        <v>116</v>
      </c>
      <c r="O5088" t="s">
        <v>459</v>
      </c>
      <c r="P5088" t="s">
        <v>459</v>
      </c>
      <c r="Q5088">
        <v>6</v>
      </c>
      <c r="R5088" s="225">
        <f>Base_Periodo1[[#This Row],[CREDITOS]]-Base_Periodo1[[#This Row],[DEBITOS]]</f>
        <v>0</v>
      </c>
      <c r="S5088" s="3" t="str">
        <f>IF(ISERROR(VLOOKUP(Base_Periodo1[[#This Row],[CONTA]],BaseContasDRE[#All],4,FALSE)),"Fora do DRE",VLOOKUP(Base_Periodo1[[#This Row],[CONTA]],BaseContasDRE[#All],4,FALSE))</f>
        <v>Fora do DRE</v>
      </c>
      <c r="T5088" s="3" t="str">
        <f>IF(ISERROR(VLOOKUP(Base_Periodo1[[#This Row],[CONTA]],BaseContasDRE[#All],5,FALSE)),"Fora do DRE",VLOOKUP(Base_Periodo1[[#This Row],[CONTA]],BaseContasDRE[#All],6,FALSE))</f>
        <v>Fora do DRE</v>
      </c>
      <c r="U5088" s="3" t="str">
        <f>IF(ISERROR(VLOOKUP(Base_Periodo1[[#This Row],[CONTA]],BaseContasDRE[#All],7,FALSE)),"Fora do DRE",VLOOKUP(Base_Periodo1[[#This Row],[CONTA]],BaseContasDRE[#All],7,FALSE))</f>
        <v>Fora do DRE</v>
      </c>
      <c r="V5088" s="3" t="str">
        <f>IF(Base_Periodo1[[#This Row],[Tipo_Linha]]="Fora do DRE","Fora do DRE","( "&amp;Base_Periodo1[[#This Row],[Tipo_Linha]]&amp;" ) "&amp;Base_Periodo1[[#This Row],[Filtro]])</f>
        <v>Fora do DRE</v>
      </c>
      <c r="W5088" s="3" t="str">
        <f>LEFT(Base_Periodo1[[#This Row],[CLASS]],3)</f>
        <v>2.4</v>
      </c>
    </row>
    <row r="5089" spans="1:23" hidden="1">
      <c r="A5089" s="3" t="str">
        <f t="shared" si="79"/>
        <v>Período 1</v>
      </c>
      <c r="B5089">
        <v>25256</v>
      </c>
      <c r="C5089" t="s">
        <v>2300</v>
      </c>
      <c r="D5089" t="s">
        <v>2975</v>
      </c>
      <c r="E5089" s="3" t="str">
        <f>IF(LEN(Base_Periodo1[[#This Row],[CLASS]])&gt;=7,LEFT(Base_Periodo1[[#This Row],[CLASS]],7),"")</f>
        <v>2.4.1.1</v>
      </c>
      <c r="F5089" s="3" t="str">
        <f>VLOOKUP(Base_Periodo1[[#This Row],[Aux]],Base_Contas_Balanco[#All],2,FALSE)</f>
        <v>Capital Social Realizado</v>
      </c>
      <c r="G5089" s="1"/>
      <c r="H5089" s="225">
        <v>1389.67</v>
      </c>
      <c r="I5089" s="225">
        <v>0</v>
      </c>
      <c r="J5089" s="225">
        <v>0</v>
      </c>
      <c r="K5089" s="225">
        <v>1389.67</v>
      </c>
      <c r="L50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1389.67</v>
      </c>
      <c r="M5089" s="225">
        <f>ROUND(IF(AND(Base_Periodo1[[#This Row],[Tipo_Linha]]="-",Base_Periodo1[[#This Row],[TIPOSALDO]]="D"),Base_Periodo1[[#This Row],[SALDO_ATUAL]]*-1,Base_Periodo1[[#This Row],[SALDO_ATUAL]]),4)</f>
        <v>1389.67</v>
      </c>
      <c r="N5089" t="s">
        <v>116</v>
      </c>
      <c r="O5089" t="s">
        <v>459</v>
      </c>
      <c r="P5089" t="s">
        <v>459</v>
      </c>
      <c r="Q5089">
        <v>6</v>
      </c>
      <c r="R5089" s="225">
        <f>Base_Periodo1[[#This Row],[CREDITOS]]-Base_Periodo1[[#This Row],[DEBITOS]]</f>
        <v>0</v>
      </c>
      <c r="S5089" s="3" t="str">
        <f>IF(ISERROR(VLOOKUP(Base_Periodo1[[#This Row],[CONTA]],BaseContasDRE[#All],4,FALSE)),"Fora do DRE",VLOOKUP(Base_Periodo1[[#This Row],[CONTA]],BaseContasDRE[#All],4,FALSE))</f>
        <v>Fora do DRE</v>
      </c>
      <c r="T5089" s="3" t="str">
        <f>IF(ISERROR(VLOOKUP(Base_Periodo1[[#This Row],[CONTA]],BaseContasDRE[#All],5,FALSE)),"Fora do DRE",VLOOKUP(Base_Periodo1[[#This Row],[CONTA]],BaseContasDRE[#All],6,FALSE))</f>
        <v>Fora do DRE</v>
      </c>
      <c r="U5089" s="3" t="str">
        <f>IF(ISERROR(VLOOKUP(Base_Periodo1[[#This Row],[CONTA]],BaseContasDRE[#All],7,FALSE)),"Fora do DRE",VLOOKUP(Base_Periodo1[[#This Row],[CONTA]],BaseContasDRE[#All],7,FALSE))</f>
        <v>Fora do DRE</v>
      </c>
      <c r="V5089" s="3" t="str">
        <f>IF(Base_Periodo1[[#This Row],[Tipo_Linha]]="Fora do DRE","Fora do DRE","( "&amp;Base_Periodo1[[#This Row],[Tipo_Linha]]&amp;" ) "&amp;Base_Periodo1[[#This Row],[Filtro]])</f>
        <v>Fora do DRE</v>
      </c>
      <c r="W5089" s="3" t="str">
        <f>LEFT(Base_Periodo1[[#This Row],[CLASS]],3)</f>
        <v>2.4</v>
      </c>
    </row>
    <row r="5090" spans="1:23" hidden="1">
      <c r="A5090" s="3" t="str">
        <f t="shared" si="79"/>
        <v>Período 1</v>
      </c>
      <c r="B5090">
        <v>22599</v>
      </c>
      <c r="C5090" t="s">
        <v>2300</v>
      </c>
      <c r="D5090" t="s">
        <v>2976</v>
      </c>
      <c r="E5090" s="3" t="str">
        <f>IF(LEN(Base_Periodo1[[#This Row],[CLASS]])&gt;=7,LEFT(Base_Periodo1[[#This Row],[CLASS]],7),"")</f>
        <v>2.4.1.1</v>
      </c>
      <c r="F5090" s="3" t="str">
        <f>VLOOKUP(Base_Periodo1[[#This Row],[Aux]],Base_Contas_Balanco[#All],2,FALSE)</f>
        <v>Capital Social Realizado</v>
      </c>
      <c r="G5090" s="1"/>
      <c r="H5090" s="225">
        <v>743.4</v>
      </c>
      <c r="I5090" s="225">
        <v>0</v>
      </c>
      <c r="J5090" s="225">
        <v>0</v>
      </c>
      <c r="K5090" s="225">
        <v>743.4</v>
      </c>
      <c r="L50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743.4</v>
      </c>
      <c r="M5090" s="225">
        <f>ROUND(IF(AND(Base_Periodo1[[#This Row],[Tipo_Linha]]="-",Base_Periodo1[[#This Row],[TIPOSALDO]]="D"),Base_Periodo1[[#This Row],[SALDO_ATUAL]]*-1,Base_Periodo1[[#This Row],[SALDO_ATUAL]]),4)</f>
        <v>743.4</v>
      </c>
      <c r="N5090" t="s">
        <v>116</v>
      </c>
      <c r="O5090" t="s">
        <v>459</v>
      </c>
      <c r="P5090" t="s">
        <v>459</v>
      </c>
      <c r="Q5090">
        <v>6</v>
      </c>
      <c r="R5090" s="225">
        <f>Base_Periodo1[[#This Row],[CREDITOS]]-Base_Periodo1[[#This Row],[DEBITOS]]</f>
        <v>0</v>
      </c>
      <c r="S5090" s="3" t="str">
        <f>IF(ISERROR(VLOOKUP(Base_Periodo1[[#This Row],[CONTA]],BaseContasDRE[#All],4,FALSE)),"Fora do DRE",VLOOKUP(Base_Periodo1[[#This Row],[CONTA]],BaseContasDRE[#All],4,FALSE))</f>
        <v>Fora do DRE</v>
      </c>
      <c r="T5090" s="3" t="str">
        <f>IF(ISERROR(VLOOKUP(Base_Periodo1[[#This Row],[CONTA]],BaseContasDRE[#All],5,FALSE)),"Fora do DRE",VLOOKUP(Base_Periodo1[[#This Row],[CONTA]],BaseContasDRE[#All],6,FALSE))</f>
        <v>Fora do DRE</v>
      </c>
      <c r="U5090" s="3" t="str">
        <f>IF(ISERROR(VLOOKUP(Base_Periodo1[[#This Row],[CONTA]],BaseContasDRE[#All],7,FALSE)),"Fora do DRE",VLOOKUP(Base_Periodo1[[#This Row],[CONTA]],BaseContasDRE[#All],7,FALSE))</f>
        <v>Fora do DRE</v>
      </c>
      <c r="V5090" s="3" t="str">
        <f>IF(Base_Periodo1[[#This Row],[Tipo_Linha]]="Fora do DRE","Fora do DRE","( "&amp;Base_Periodo1[[#This Row],[Tipo_Linha]]&amp;" ) "&amp;Base_Periodo1[[#This Row],[Filtro]])</f>
        <v>Fora do DRE</v>
      </c>
      <c r="W5090" s="3" t="str">
        <f>LEFT(Base_Periodo1[[#This Row],[CLASS]],3)</f>
        <v>2.4</v>
      </c>
    </row>
    <row r="5091" spans="1:23" hidden="1">
      <c r="A5091" s="3" t="str">
        <f t="shared" si="79"/>
        <v>Período 1</v>
      </c>
      <c r="B5091">
        <v>16229</v>
      </c>
      <c r="C5091" t="s">
        <v>2300</v>
      </c>
      <c r="D5091" t="s">
        <v>2977</v>
      </c>
      <c r="E5091" s="3" t="str">
        <f>IF(LEN(Base_Periodo1[[#This Row],[CLASS]])&gt;=7,LEFT(Base_Periodo1[[#This Row],[CLASS]],7),"")</f>
        <v>2.4.1.1</v>
      </c>
      <c r="F5091" s="3" t="str">
        <f>VLOOKUP(Base_Periodo1[[#This Row],[Aux]],Base_Contas_Balanco[#All],2,FALSE)</f>
        <v>Capital Social Realizado</v>
      </c>
      <c r="G5091" s="1"/>
      <c r="H5091" s="225">
        <v>3791.7900000000004</v>
      </c>
      <c r="I5091" s="225">
        <v>0</v>
      </c>
      <c r="J5091" s="225">
        <v>0</v>
      </c>
      <c r="K5091" s="225">
        <v>3791.7900000000004</v>
      </c>
      <c r="L50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3791.79</v>
      </c>
      <c r="M5091" s="225">
        <f>ROUND(IF(AND(Base_Periodo1[[#This Row],[Tipo_Linha]]="-",Base_Periodo1[[#This Row],[TIPOSALDO]]="D"),Base_Periodo1[[#This Row],[SALDO_ATUAL]]*-1,Base_Periodo1[[#This Row],[SALDO_ATUAL]]),4)</f>
        <v>3791.79</v>
      </c>
      <c r="N5091" t="s">
        <v>116</v>
      </c>
      <c r="O5091" t="s">
        <v>459</v>
      </c>
      <c r="P5091" t="s">
        <v>459</v>
      </c>
      <c r="Q5091">
        <v>6</v>
      </c>
      <c r="R5091" s="225">
        <f>Base_Periodo1[[#This Row],[CREDITOS]]-Base_Periodo1[[#This Row],[DEBITOS]]</f>
        <v>0</v>
      </c>
      <c r="S5091" s="3" t="str">
        <f>IF(ISERROR(VLOOKUP(Base_Periodo1[[#This Row],[CONTA]],BaseContasDRE[#All],4,FALSE)),"Fora do DRE",VLOOKUP(Base_Periodo1[[#This Row],[CONTA]],BaseContasDRE[#All],4,FALSE))</f>
        <v>Fora do DRE</v>
      </c>
      <c r="T5091" s="3" t="str">
        <f>IF(ISERROR(VLOOKUP(Base_Periodo1[[#This Row],[CONTA]],BaseContasDRE[#All],5,FALSE)),"Fora do DRE",VLOOKUP(Base_Periodo1[[#This Row],[CONTA]],BaseContasDRE[#All],6,FALSE))</f>
        <v>Fora do DRE</v>
      </c>
      <c r="U5091" s="3" t="str">
        <f>IF(ISERROR(VLOOKUP(Base_Periodo1[[#This Row],[CONTA]],BaseContasDRE[#All],7,FALSE)),"Fora do DRE",VLOOKUP(Base_Periodo1[[#This Row],[CONTA]],BaseContasDRE[#All],7,FALSE))</f>
        <v>Fora do DRE</v>
      </c>
      <c r="V5091" s="3" t="str">
        <f>IF(Base_Periodo1[[#This Row],[Tipo_Linha]]="Fora do DRE","Fora do DRE","( "&amp;Base_Periodo1[[#This Row],[Tipo_Linha]]&amp;" ) "&amp;Base_Periodo1[[#This Row],[Filtro]])</f>
        <v>Fora do DRE</v>
      </c>
      <c r="W5091" s="3" t="str">
        <f>LEFT(Base_Periodo1[[#This Row],[CLASS]],3)</f>
        <v>2.4</v>
      </c>
    </row>
    <row r="5092" spans="1:23" hidden="1">
      <c r="A5092" s="3" t="str">
        <f t="shared" si="79"/>
        <v>Período 1</v>
      </c>
      <c r="B5092">
        <v>25519</v>
      </c>
      <c r="C5092" t="s">
        <v>2300</v>
      </c>
      <c r="D5092" t="s">
        <v>2978</v>
      </c>
      <c r="E5092" s="3" t="str">
        <f>IF(LEN(Base_Periodo1[[#This Row],[CLASS]])&gt;=7,LEFT(Base_Periodo1[[#This Row],[CLASS]],7),"")</f>
        <v>2.4.1.1</v>
      </c>
      <c r="F5092" s="3" t="str">
        <f>VLOOKUP(Base_Periodo1[[#This Row],[Aux]],Base_Contas_Balanco[#All],2,FALSE)</f>
        <v>Capital Social Realizado</v>
      </c>
      <c r="G5092" s="1"/>
      <c r="H5092" s="225">
        <v>415.4</v>
      </c>
      <c r="I5092" s="225">
        <v>0</v>
      </c>
      <c r="J5092" s="225">
        <v>0</v>
      </c>
      <c r="K5092" s="225">
        <v>415.4</v>
      </c>
      <c r="L50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415.4</v>
      </c>
      <c r="M5092" s="225">
        <f>ROUND(IF(AND(Base_Periodo1[[#This Row],[Tipo_Linha]]="-",Base_Periodo1[[#This Row],[TIPOSALDO]]="D"),Base_Periodo1[[#This Row],[SALDO_ATUAL]]*-1,Base_Periodo1[[#This Row],[SALDO_ATUAL]]),4)</f>
        <v>415.4</v>
      </c>
      <c r="N5092" t="s">
        <v>116</v>
      </c>
      <c r="O5092" t="s">
        <v>459</v>
      </c>
      <c r="P5092" t="s">
        <v>459</v>
      </c>
      <c r="Q5092">
        <v>6</v>
      </c>
      <c r="R5092" s="225">
        <f>Base_Periodo1[[#This Row],[CREDITOS]]-Base_Periodo1[[#This Row],[DEBITOS]]</f>
        <v>0</v>
      </c>
      <c r="S5092" s="3" t="str">
        <f>IF(ISERROR(VLOOKUP(Base_Periodo1[[#This Row],[CONTA]],BaseContasDRE[#All],4,FALSE)),"Fora do DRE",VLOOKUP(Base_Periodo1[[#This Row],[CONTA]],BaseContasDRE[#All],4,FALSE))</f>
        <v>Fora do DRE</v>
      </c>
      <c r="T5092" s="3" t="str">
        <f>IF(ISERROR(VLOOKUP(Base_Periodo1[[#This Row],[CONTA]],BaseContasDRE[#All],5,FALSE)),"Fora do DRE",VLOOKUP(Base_Periodo1[[#This Row],[CONTA]],BaseContasDRE[#All],6,FALSE))</f>
        <v>Fora do DRE</v>
      </c>
      <c r="U5092" s="3" t="str">
        <f>IF(ISERROR(VLOOKUP(Base_Periodo1[[#This Row],[CONTA]],BaseContasDRE[#All],7,FALSE)),"Fora do DRE",VLOOKUP(Base_Periodo1[[#This Row],[CONTA]],BaseContasDRE[#All],7,FALSE))</f>
        <v>Fora do DRE</v>
      </c>
      <c r="V5092" s="3" t="str">
        <f>IF(Base_Periodo1[[#This Row],[Tipo_Linha]]="Fora do DRE","Fora do DRE","( "&amp;Base_Periodo1[[#This Row],[Tipo_Linha]]&amp;" ) "&amp;Base_Periodo1[[#This Row],[Filtro]])</f>
        <v>Fora do DRE</v>
      </c>
      <c r="W5092" s="3" t="str">
        <f>LEFT(Base_Periodo1[[#This Row],[CLASS]],3)</f>
        <v>2.4</v>
      </c>
    </row>
    <row r="5093" spans="1:23" hidden="1">
      <c r="A5093" s="3" t="str">
        <f t="shared" si="79"/>
        <v>Período 1</v>
      </c>
      <c r="B5093">
        <v>46944</v>
      </c>
      <c r="C5093" t="s">
        <v>2300</v>
      </c>
      <c r="D5093" t="s">
        <v>2979</v>
      </c>
      <c r="E5093" s="3" t="str">
        <f>IF(LEN(Base_Periodo1[[#This Row],[CLASS]])&gt;=7,LEFT(Base_Periodo1[[#This Row],[CLASS]],7),"")</f>
        <v>2.4.1.1</v>
      </c>
      <c r="F5093" s="3" t="str">
        <f>VLOOKUP(Base_Periodo1[[#This Row],[Aux]],Base_Contas_Balanco[#All],2,FALSE)</f>
        <v>Capital Social Realizado</v>
      </c>
      <c r="G5093" s="1"/>
      <c r="H5093" s="225">
        <v>50</v>
      </c>
      <c r="I5093" s="225">
        <v>0</v>
      </c>
      <c r="J5093" s="225">
        <v>0</v>
      </c>
      <c r="K5093" s="225">
        <v>50</v>
      </c>
      <c r="L50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93" s="225">
        <f>ROUND(IF(AND(Base_Periodo1[[#This Row],[Tipo_Linha]]="-",Base_Periodo1[[#This Row],[TIPOSALDO]]="D"),Base_Periodo1[[#This Row],[SALDO_ATUAL]]*-1,Base_Periodo1[[#This Row],[SALDO_ATUAL]]),4)</f>
        <v>50</v>
      </c>
      <c r="N5093" t="s">
        <v>116</v>
      </c>
      <c r="O5093" t="s">
        <v>459</v>
      </c>
      <c r="P5093" t="s">
        <v>459</v>
      </c>
      <c r="Q5093">
        <v>6</v>
      </c>
      <c r="R5093" s="225">
        <f>Base_Periodo1[[#This Row],[CREDITOS]]-Base_Periodo1[[#This Row],[DEBITOS]]</f>
        <v>0</v>
      </c>
      <c r="S5093" s="3" t="str">
        <f>IF(ISERROR(VLOOKUP(Base_Periodo1[[#This Row],[CONTA]],BaseContasDRE[#All],4,FALSE)),"Fora do DRE",VLOOKUP(Base_Periodo1[[#This Row],[CONTA]],BaseContasDRE[#All],4,FALSE))</f>
        <v>Fora do DRE</v>
      </c>
      <c r="T5093" s="3" t="str">
        <f>IF(ISERROR(VLOOKUP(Base_Periodo1[[#This Row],[CONTA]],BaseContasDRE[#All],5,FALSE)),"Fora do DRE",VLOOKUP(Base_Periodo1[[#This Row],[CONTA]],BaseContasDRE[#All],6,FALSE))</f>
        <v>Fora do DRE</v>
      </c>
      <c r="U5093" s="3" t="str">
        <f>IF(ISERROR(VLOOKUP(Base_Periodo1[[#This Row],[CONTA]],BaseContasDRE[#All],7,FALSE)),"Fora do DRE",VLOOKUP(Base_Periodo1[[#This Row],[CONTA]],BaseContasDRE[#All],7,FALSE))</f>
        <v>Fora do DRE</v>
      </c>
      <c r="V5093" s="3" t="str">
        <f>IF(Base_Periodo1[[#This Row],[Tipo_Linha]]="Fora do DRE","Fora do DRE","( "&amp;Base_Periodo1[[#This Row],[Tipo_Linha]]&amp;" ) "&amp;Base_Periodo1[[#This Row],[Filtro]])</f>
        <v>Fora do DRE</v>
      </c>
      <c r="W5093" s="3" t="str">
        <f>LEFT(Base_Periodo1[[#This Row],[CLASS]],3)</f>
        <v>2.4</v>
      </c>
    </row>
    <row r="5094" spans="1:23" hidden="1">
      <c r="A5094" s="3" t="str">
        <f t="shared" si="79"/>
        <v>Período 1</v>
      </c>
      <c r="B5094">
        <v>19764</v>
      </c>
      <c r="C5094" t="s">
        <v>2300</v>
      </c>
      <c r="D5094" t="s">
        <v>2980</v>
      </c>
      <c r="E5094" s="3" t="str">
        <f>IF(LEN(Base_Periodo1[[#This Row],[CLASS]])&gt;=7,LEFT(Base_Periodo1[[#This Row],[CLASS]],7),"")</f>
        <v>2.4.1.1</v>
      </c>
      <c r="F5094" s="3" t="str">
        <f>VLOOKUP(Base_Periodo1[[#This Row],[Aux]],Base_Contas_Balanco[#All],2,FALSE)</f>
        <v>Capital Social Realizado</v>
      </c>
      <c r="G5094" s="1"/>
      <c r="H5094" s="225">
        <v>72.2</v>
      </c>
      <c r="I5094" s="225">
        <v>0</v>
      </c>
      <c r="J5094" s="225">
        <v>0</v>
      </c>
      <c r="K5094" s="225">
        <v>72.2</v>
      </c>
      <c r="L50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72.2</v>
      </c>
      <c r="M5094" s="225">
        <f>ROUND(IF(AND(Base_Periodo1[[#This Row],[Tipo_Linha]]="-",Base_Periodo1[[#This Row],[TIPOSALDO]]="D"),Base_Periodo1[[#This Row],[SALDO_ATUAL]]*-1,Base_Periodo1[[#This Row],[SALDO_ATUAL]]),4)</f>
        <v>72.2</v>
      </c>
      <c r="N5094" t="s">
        <v>116</v>
      </c>
      <c r="O5094" t="s">
        <v>459</v>
      </c>
      <c r="P5094" t="s">
        <v>459</v>
      </c>
      <c r="Q5094">
        <v>6</v>
      </c>
      <c r="R5094" s="225">
        <f>Base_Periodo1[[#This Row],[CREDITOS]]-Base_Periodo1[[#This Row],[DEBITOS]]</f>
        <v>0</v>
      </c>
      <c r="S5094" s="3" t="str">
        <f>IF(ISERROR(VLOOKUP(Base_Periodo1[[#This Row],[CONTA]],BaseContasDRE[#All],4,FALSE)),"Fora do DRE",VLOOKUP(Base_Periodo1[[#This Row],[CONTA]],BaseContasDRE[#All],4,FALSE))</f>
        <v>Fora do DRE</v>
      </c>
      <c r="T5094" s="3" t="str">
        <f>IF(ISERROR(VLOOKUP(Base_Periodo1[[#This Row],[CONTA]],BaseContasDRE[#All],5,FALSE)),"Fora do DRE",VLOOKUP(Base_Periodo1[[#This Row],[CONTA]],BaseContasDRE[#All],6,FALSE))</f>
        <v>Fora do DRE</v>
      </c>
      <c r="U5094" s="3" t="str">
        <f>IF(ISERROR(VLOOKUP(Base_Periodo1[[#This Row],[CONTA]],BaseContasDRE[#All],7,FALSE)),"Fora do DRE",VLOOKUP(Base_Periodo1[[#This Row],[CONTA]],BaseContasDRE[#All],7,FALSE))</f>
        <v>Fora do DRE</v>
      </c>
      <c r="V5094" s="3" t="str">
        <f>IF(Base_Periodo1[[#This Row],[Tipo_Linha]]="Fora do DRE","Fora do DRE","( "&amp;Base_Periodo1[[#This Row],[Tipo_Linha]]&amp;" ) "&amp;Base_Periodo1[[#This Row],[Filtro]])</f>
        <v>Fora do DRE</v>
      </c>
      <c r="W5094" s="3" t="str">
        <f>LEFT(Base_Periodo1[[#This Row],[CLASS]],3)</f>
        <v>2.4</v>
      </c>
    </row>
    <row r="5095" spans="1:23" hidden="1">
      <c r="A5095" s="3" t="str">
        <f t="shared" si="79"/>
        <v>Período 1</v>
      </c>
      <c r="B5095">
        <v>25769</v>
      </c>
      <c r="C5095" t="s">
        <v>2300</v>
      </c>
      <c r="D5095" t="s">
        <v>2981</v>
      </c>
      <c r="E5095" s="3" t="str">
        <f>IF(LEN(Base_Periodo1[[#This Row],[CLASS]])&gt;=7,LEFT(Base_Periodo1[[#This Row],[CLASS]],7),"")</f>
        <v>2.4.1.1</v>
      </c>
      <c r="F5095" s="3" t="str">
        <f>VLOOKUP(Base_Periodo1[[#This Row],[Aux]],Base_Contas_Balanco[#All],2,FALSE)</f>
        <v>Capital Social Realizado</v>
      </c>
      <c r="G5095" s="1"/>
      <c r="H5095" s="225">
        <v>321.33000000000004</v>
      </c>
      <c r="I5095" s="225">
        <v>0</v>
      </c>
      <c r="J5095" s="225">
        <v>0</v>
      </c>
      <c r="K5095" s="225">
        <v>321.33000000000004</v>
      </c>
      <c r="L50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321.33</v>
      </c>
      <c r="M5095" s="225">
        <f>ROUND(IF(AND(Base_Periodo1[[#This Row],[Tipo_Linha]]="-",Base_Periodo1[[#This Row],[TIPOSALDO]]="D"),Base_Periodo1[[#This Row],[SALDO_ATUAL]]*-1,Base_Periodo1[[#This Row],[SALDO_ATUAL]]),4)</f>
        <v>321.33</v>
      </c>
      <c r="N5095" t="s">
        <v>116</v>
      </c>
      <c r="O5095" t="s">
        <v>459</v>
      </c>
      <c r="P5095" t="s">
        <v>459</v>
      </c>
      <c r="Q5095">
        <v>6</v>
      </c>
      <c r="R5095" s="225">
        <f>Base_Periodo1[[#This Row],[CREDITOS]]-Base_Periodo1[[#This Row],[DEBITOS]]</f>
        <v>0</v>
      </c>
      <c r="S5095" s="3" t="str">
        <f>IF(ISERROR(VLOOKUP(Base_Periodo1[[#This Row],[CONTA]],BaseContasDRE[#All],4,FALSE)),"Fora do DRE",VLOOKUP(Base_Periodo1[[#This Row],[CONTA]],BaseContasDRE[#All],4,FALSE))</f>
        <v>Fora do DRE</v>
      </c>
      <c r="T5095" s="3" t="str">
        <f>IF(ISERROR(VLOOKUP(Base_Periodo1[[#This Row],[CONTA]],BaseContasDRE[#All],5,FALSE)),"Fora do DRE",VLOOKUP(Base_Periodo1[[#This Row],[CONTA]],BaseContasDRE[#All],6,FALSE))</f>
        <v>Fora do DRE</v>
      </c>
      <c r="U5095" s="3" t="str">
        <f>IF(ISERROR(VLOOKUP(Base_Periodo1[[#This Row],[CONTA]],BaseContasDRE[#All],7,FALSE)),"Fora do DRE",VLOOKUP(Base_Periodo1[[#This Row],[CONTA]],BaseContasDRE[#All],7,FALSE))</f>
        <v>Fora do DRE</v>
      </c>
      <c r="V5095" s="3" t="str">
        <f>IF(Base_Periodo1[[#This Row],[Tipo_Linha]]="Fora do DRE","Fora do DRE","( "&amp;Base_Periodo1[[#This Row],[Tipo_Linha]]&amp;" ) "&amp;Base_Periodo1[[#This Row],[Filtro]])</f>
        <v>Fora do DRE</v>
      </c>
      <c r="W5095" s="3" t="str">
        <f>LEFT(Base_Periodo1[[#This Row],[CLASS]],3)</f>
        <v>2.4</v>
      </c>
    </row>
    <row r="5096" spans="1:23" hidden="1">
      <c r="A5096" s="3" t="str">
        <f t="shared" si="79"/>
        <v>Período 1</v>
      </c>
      <c r="B5096">
        <v>19272</v>
      </c>
      <c r="C5096" t="s">
        <v>2300</v>
      </c>
      <c r="D5096" t="s">
        <v>2982</v>
      </c>
      <c r="E5096" s="3" t="str">
        <f>IF(LEN(Base_Periodo1[[#This Row],[CLASS]])&gt;=7,LEFT(Base_Periodo1[[#This Row],[CLASS]],7),"")</f>
        <v>2.4.1.1</v>
      </c>
      <c r="F5096" s="3" t="str">
        <f>VLOOKUP(Base_Periodo1[[#This Row],[Aux]],Base_Contas_Balanco[#All],2,FALSE)</f>
        <v>Capital Social Realizado</v>
      </c>
      <c r="G5096" s="1"/>
      <c r="H5096" s="225">
        <v>465.61</v>
      </c>
      <c r="I5096" s="225">
        <v>0</v>
      </c>
      <c r="J5096" s="225">
        <v>0</v>
      </c>
      <c r="K5096" s="225">
        <v>465.61</v>
      </c>
      <c r="L50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465.61</v>
      </c>
      <c r="M5096" s="225">
        <f>ROUND(IF(AND(Base_Periodo1[[#This Row],[Tipo_Linha]]="-",Base_Periodo1[[#This Row],[TIPOSALDO]]="D"),Base_Periodo1[[#This Row],[SALDO_ATUAL]]*-1,Base_Periodo1[[#This Row],[SALDO_ATUAL]]),4)</f>
        <v>465.61</v>
      </c>
      <c r="N5096" t="s">
        <v>116</v>
      </c>
      <c r="O5096" t="s">
        <v>459</v>
      </c>
      <c r="P5096" t="s">
        <v>459</v>
      </c>
      <c r="Q5096">
        <v>6</v>
      </c>
      <c r="R5096" s="225">
        <f>Base_Periodo1[[#This Row],[CREDITOS]]-Base_Periodo1[[#This Row],[DEBITOS]]</f>
        <v>0</v>
      </c>
      <c r="S5096" s="3" t="str">
        <f>IF(ISERROR(VLOOKUP(Base_Periodo1[[#This Row],[CONTA]],BaseContasDRE[#All],4,FALSE)),"Fora do DRE",VLOOKUP(Base_Periodo1[[#This Row],[CONTA]],BaseContasDRE[#All],4,FALSE))</f>
        <v>Fora do DRE</v>
      </c>
      <c r="T5096" s="3" t="str">
        <f>IF(ISERROR(VLOOKUP(Base_Periodo1[[#This Row],[CONTA]],BaseContasDRE[#All],5,FALSE)),"Fora do DRE",VLOOKUP(Base_Periodo1[[#This Row],[CONTA]],BaseContasDRE[#All],6,FALSE))</f>
        <v>Fora do DRE</v>
      </c>
      <c r="U5096" s="3" t="str">
        <f>IF(ISERROR(VLOOKUP(Base_Periodo1[[#This Row],[CONTA]],BaseContasDRE[#All],7,FALSE)),"Fora do DRE",VLOOKUP(Base_Periodo1[[#This Row],[CONTA]],BaseContasDRE[#All],7,FALSE))</f>
        <v>Fora do DRE</v>
      </c>
      <c r="V5096" s="3" t="str">
        <f>IF(Base_Periodo1[[#This Row],[Tipo_Linha]]="Fora do DRE","Fora do DRE","( "&amp;Base_Periodo1[[#This Row],[Tipo_Linha]]&amp;" ) "&amp;Base_Periodo1[[#This Row],[Filtro]])</f>
        <v>Fora do DRE</v>
      </c>
      <c r="W5096" s="3" t="str">
        <f>LEFT(Base_Periodo1[[#This Row],[CLASS]],3)</f>
        <v>2.4</v>
      </c>
    </row>
    <row r="5097" spans="1:23" hidden="1">
      <c r="A5097" s="3" t="str">
        <f t="shared" si="79"/>
        <v>Período 1</v>
      </c>
      <c r="B5097">
        <v>54156</v>
      </c>
      <c r="C5097" t="s">
        <v>2300</v>
      </c>
      <c r="D5097" t="s">
        <v>5099</v>
      </c>
      <c r="E5097" s="3" t="str">
        <f>IF(LEN(Base_Periodo1[[#This Row],[CLASS]])&gt;=7,LEFT(Base_Periodo1[[#This Row],[CLASS]],7),"")</f>
        <v>2.4.1.1</v>
      </c>
      <c r="F5097" s="3" t="str">
        <f>VLOOKUP(Base_Periodo1[[#This Row],[Aux]],Base_Contas_Balanco[#All],2,FALSE)</f>
        <v>Capital Social Realizado</v>
      </c>
      <c r="G5097" s="1"/>
      <c r="H5097" s="225">
        <v>50</v>
      </c>
      <c r="I5097" s="225">
        <v>0</v>
      </c>
      <c r="J5097" s="225">
        <v>0</v>
      </c>
      <c r="K5097" s="225">
        <v>50</v>
      </c>
      <c r="L50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097" s="225">
        <f>ROUND(IF(AND(Base_Periodo1[[#This Row],[Tipo_Linha]]="-",Base_Periodo1[[#This Row],[TIPOSALDO]]="D"),Base_Periodo1[[#This Row],[SALDO_ATUAL]]*-1,Base_Periodo1[[#This Row],[SALDO_ATUAL]]),4)</f>
        <v>50</v>
      </c>
      <c r="N5097" t="s">
        <v>116</v>
      </c>
      <c r="O5097" t="s">
        <v>459</v>
      </c>
      <c r="P5097" t="s">
        <v>459</v>
      </c>
      <c r="Q5097">
        <v>6</v>
      </c>
      <c r="R5097" s="225">
        <f>Base_Periodo1[[#This Row],[CREDITOS]]-Base_Periodo1[[#This Row],[DEBITOS]]</f>
        <v>0</v>
      </c>
      <c r="S5097" s="3" t="str">
        <f>IF(ISERROR(VLOOKUP(Base_Periodo1[[#This Row],[CONTA]],BaseContasDRE[#All],4,FALSE)),"Fora do DRE",VLOOKUP(Base_Periodo1[[#This Row],[CONTA]],BaseContasDRE[#All],4,FALSE))</f>
        <v>Fora do DRE</v>
      </c>
      <c r="T5097" s="3" t="str">
        <f>IF(ISERROR(VLOOKUP(Base_Periodo1[[#This Row],[CONTA]],BaseContasDRE[#All],5,FALSE)),"Fora do DRE",VLOOKUP(Base_Periodo1[[#This Row],[CONTA]],BaseContasDRE[#All],6,FALSE))</f>
        <v>Fora do DRE</v>
      </c>
      <c r="U5097" s="3" t="str">
        <f>IF(ISERROR(VLOOKUP(Base_Periodo1[[#This Row],[CONTA]],BaseContasDRE[#All],7,FALSE)),"Fora do DRE",VLOOKUP(Base_Periodo1[[#This Row],[CONTA]],BaseContasDRE[#All],7,FALSE))</f>
        <v>Fora do DRE</v>
      </c>
      <c r="V5097" s="3" t="str">
        <f>IF(Base_Periodo1[[#This Row],[Tipo_Linha]]="Fora do DRE","Fora do DRE","( "&amp;Base_Periodo1[[#This Row],[Tipo_Linha]]&amp;" ) "&amp;Base_Periodo1[[#This Row],[Filtro]])</f>
        <v>Fora do DRE</v>
      </c>
      <c r="W5097" s="3" t="str">
        <f>LEFT(Base_Periodo1[[#This Row],[CLASS]],3)</f>
        <v>2.4</v>
      </c>
    </row>
    <row r="5098" spans="1:23" hidden="1">
      <c r="A5098" s="3" t="str">
        <f t="shared" si="79"/>
        <v>Período 1</v>
      </c>
      <c r="B5098">
        <v>16047</v>
      </c>
      <c r="C5098" t="s">
        <v>2300</v>
      </c>
      <c r="D5098" t="s">
        <v>2983</v>
      </c>
      <c r="E5098" s="3" t="str">
        <f>IF(LEN(Base_Periodo1[[#This Row],[CLASS]])&gt;=7,LEFT(Base_Periodo1[[#This Row],[CLASS]],7),"")</f>
        <v>2.4.1.1</v>
      </c>
      <c r="F5098" s="3" t="str">
        <f>VLOOKUP(Base_Periodo1[[#This Row],[Aux]],Base_Contas_Balanco[#All],2,FALSE)</f>
        <v>Capital Social Realizado</v>
      </c>
      <c r="G5098" s="1"/>
      <c r="H5098" s="225">
        <v>113.86</v>
      </c>
      <c r="I5098" s="225">
        <v>0</v>
      </c>
      <c r="J5098" s="225">
        <v>0</v>
      </c>
      <c r="K5098" s="225">
        <v>113.86</v>
      </c>
      <c r="L50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113.86</v>
      </c>
      <c r="M5098" s="225">
        <f>ROUND(IF(AND(Base_Periodo1[[#This Row],[Tipo_Linha]]="-",Base_Periodo1[[#This Row],[TIPOSALDO]]="D"),Base_Periodo1[[#This Row],[SALDO_ATUAL]]*-1,Base_Periodo1[[#This Row],[SALDO_ATUAL]]),4)</f>
        <v>113.86</v>
      </c>
      <c r="N5098" t="s">
        <v>116</v>
      </c>
      <c r="O5098" t="s">
        <v>459</v>
      </c>
      <c r="P5098" t="s">
        <v>459</v>
      </c>
      <c r="Q5098">
        <v>6</v>
      </c>
      <c r="R5098" s="225">
        <f>Base_Periodo1[[#This Row],[CREDITOS]]-Base_Periodo1[[#This Row],[DEBITOS]]</f>
        <v>0</v>
      </c>
      <c r="S5098" s="3" t="str">
        <f>IF(ISERROR(VLOOKUP(Base_Periodo1[[#This Row],[CONTA]],BaseContasDRE[#All],4,FALSE)),"Fora do DRE",VLOOKUP(Base_Periodo1[[#This Row],[CONTA]],BaseContasDRE[#All],4,FALSE))</f>
        <v>Fora do DRE</v>
      </c>
      <c r="T5098" s="3" t="str">
        <f>IF(ISERROR(VLOOKUP(Base_Periodo1[[#This Row],[CONTA]],BaseContasDRE[#All],5,FALSE)),"Fora do DRE",VLOOKUP(Base_Periodo1[[#This Row],[CONTA]],BaseContasDRE[#All],6,FALSE))</f>
        <v>Fora do DRE</v>
      </c>
      <c r="U5098" s="3" t="str">
        <f>IF(ISERROR(VLOOKUP(Base_Periodo1[[#This Row],[CONTA]],BaseContasDRE[#All],7,FALSE)),"Fora do DRE",VLOOKUP(Base_Periodo1[[#This Row],[CONTA]],BaseContasDRE[#All],7,FALSE))</f>
        <v>Fora do DRE</v>
      </c>
      <c r="V5098" s="3" t="str">
        <f>IF(Base_Periodo1[[#This Row],[Tipo_Linha]]="Fora do DRE","Fora do DRE","( "&amp;Base_Periodo1[[#This Row],[Tipo_Linha]]&amp;" ) "&amp;Base_Periodo1[[#This Row],[Filtro]])</f>
        <v>Fora do DRE</v>
      </c>
      <c r="W5098" s="3" t="str">
        <f>LEFT(Base_Periodo1[[#This Row],[CLASS]],3)</f>
        <v>2.4</v>
      </c>
    </row>
    <row r="5099" spans="1:23" hidden="1">
      <c r="A5099" s="3" t="str">
        <f t="shared" si="79"/>
        <v>Período 1</v>
      </c>
      <c r="B5099">
        <v>15932</v>
      </c>
      <c r="C5099" t="s">
        <v>2300</v>
      </c>
      <c r="D5099" t="s">
        <v>2984</v>
      </c>
      <c r="E5099" s="3" t="str">
        <f>IF(LEN(Base_Periodo1[[#This Row],[CLASS]])&gt;=7,LEFT(Base_Periodo1[[#This Row],[CLASS]],7),"")</f>
        <v>2.4.1.1</v>
      </c>
      <c r="F5099" s="3" t="str">
        <f>VLOOKUP(Base_Periodo1[[#This Row],[Aux]],Base_Contas_Balanco[#All],2,FALSE)</f>
        <v>Capital Social Realizado</v>
      </c>
      <c r="G5099" s="1"/>
      <c r="H5099" s="225">
        <v>873.79</v>
      </c>
      <c r="I5099" s="225">
        <v>0</v>
      </c>
      <c r="J5099" s="225">
        <v>0</v>
      </c>
      <c r="K5099" s="225">
        <v>873.79</v>
      </c>
      <c r="L50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873.79</v>
      </c>
      <c r="M5099" s="225">
        <f>ROUND(IF(AND(Base_Periodo1[[#This Row],[Tipo_Linha]]="-",Base_Periodo1[[#This Row],[TIPOSALDO]]="D"),Base_Periodo1[[#This Row],[SALDO_ATUAL]]*-1,Base_Periodo1[[#This Row],[SALDO_ATUAL]]),4)</f>
        <v>873.79</v>
      </c>
      <c r="N5099" t="s">
        <v>116</v>
      </c>
      <c r="O5099" t="s">
        <v>459</v>
      </c>
      <c r="P5099" t="s">
        <v>459</v>
      </c>
      <c r="Q5099">
        <v>6</v>
      </c>
      <c r="R5099" s="225">
        <f>Base_Periodo1[[#This Row],[CREDITOS]]-Base_Periodo1[[#This Row],[DEBITOS]]</f>
        <v>0</v>
      </c>
      <c r="S5099" s="3" t="str">
        <f>IF(ISERROR(VLOOKUP(Base_Periodo1[[#This Row],[CONTA]],BaseContasDRE[#All],4,FALSE)),"Fora do DRE",VLOOKUP(Base_Periodo1[[#This Row],[CONTA]],BaseContasDRE[#All],4,FALSE))</f>
        <v>Fora do DRE</v>
      </c>
      <c r="T5099" s="3" t="str">
        <f>IF(ISERROR(VLOOKUP(Base_Periodo1[[#This Row],[CONTA]],BaseContasDRE[#All],5,FALSE)),"Fora do DRE",VLOOKUP(Base_Periodo1[[#This Row],[CONTA]],BaseContasDRE[#All],6,FALSE))</f>
        <v>Fora do DRE</v>
      </c>
      <c r="U5099" s="3" t="str">
        <f>IF(ISERROR(VLOOKUP(Base_Periodo1[[#This Row],[CONTA]],BaseContasDRE[#All],7,FALSE)),"Fora do DRE",VLOOKUP(Base_Periodo1[[#This Row],[CONTA]],BaseContasDRE[#All],7,FALSE))</f>
        <v>Fora do DRE</v>
      </c>
      <c r="V5099" s="3" t="str">
        <f>IF(Base_Periodo1[[#This Row],[Tipo_Linha]]="Fora do DRE","Fora do DRE","( "&amp;Base_Periodo1[[#This Row],[Tipo_Linha]]&amp;" ) "&amp;Base_Periodo1[[#This Row],[Filtro]])</f>
        <v>Fora do DRE</v>
      </c>
      <c r="W5099" s="3" t="str">
        <f>LEFT(Base_Periodo1[[#This Row],[CLASS]],3)</f>
        <v>2.4</v>
      </c>
    </row>
    <row r="5100" spans="1:23" hidden="1">
      <c r="A5100" s="3" t="str">
        <f t="shared" si="79"/>
        <v>Período 1</v>
      </c>
      <c r="B5100">
        <v>27198</v>
      </c>
      <c r="C5100" t="s">
        <v>2300</v>
      </c>
      <c r="D5100" t="s">
        <v>2985</v>
      </c>
      <c r="E5100" s="3" t="str">
        <f>IF(LEN(Base_Periodo1[[#This Row],[CLASS]])&gt;=7,LEFT(Base_Periodo1[[#This Row],[CLASS]],7),"")</f>
        <v>2.4.1.1</v>
      </c>
      <c r="F5100" s="3" t="str">
        <f>VLOOKUP(Base_Periodo1[[#This Row],[Aux]],Base_Contas_Balanco[#All],2,FALSE)</f>
        <v>Capital Social Realizado</v>
      </c>
      <c r="G5100" s="1"/>
      <c r="H5100" s="225">
        <v>50</v>
      </c>
      <c r="I5100" s="225">
        <v>0</v>
      </c>
      <c r="J5100" s="225">
        <v>0</v>
      </c>
      <c r="K5100" s="225">
        <v>50</v>
      </c>
      <c r="L51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00" s="225">
        <f>ROUND(IF(AND(Base_Periodo1[[#This Row],[Tipo_Linha]]="-",Base_Periodo1[[#This Row],[TIPOSALDO]]="D"),Base_Periodo1[[#This Row],[SALDO_ATUAL]]*-1,Base_Periodo1[[#This Row],[SALDO_ATUAL]]),4)</f>
        <v>50</v>
      </c>
      <c r="N5100" t="s">
        <v>116</v>
      </c>
      <c r="O5100" t="s">
        <v>459</v>
      </c>
      <c r="P5100" t="s">
        <v>459</v>
      </c>
      <c r="Q5100">
        <v>6</v>
      </c>
      <c r="R5100" s="225">
        <f>Base_Periodo1[[#This Row],[CREDITOS]]-Base_Periodo1[[#This Row],[DEBITOS]]</f>
        <v>0</v>
      </c>
      <c r="S5100" s="3" t="str">
        <f>IF(ISERROR(VLOOKUP(Base_Periodo1[[#This Row],[CONTA]],BaseContasDRE[#All],4,FALSE)),"Fora do DRE",VLOOKUP(Base_Periodo1[[#This Row],[CONTA]],BaseContasDRE[#All],4,FALSE))</f>
        <v>Fora do DRE</v>
      </c>
      <c r="T5100" s="3" t="str">
        <f>IF(ISERROR(VLOOKUP(Base_Periodo1[[#This Row],[CONTA]],BaseContasDRE[#All],5,FALSE)),"Fora do DRE",VLOOKUP(Base_Periodo1[[#This Row],[CONTA]],BaseContasDRE[#All],6,FALSE))</f>
        <v>Fora do DRE</v>
      </c>
      <c r="U5100" s="3" t="str">
        <f>IF(ISERROR(VLOOKUP(Base_Periodo1[[#This Row],[CONTA]],BaseContasDRE[#All],7,FALSE)),"Fora do DRE",VLOOKUP(Base_Periodo1[[#This Row],[CONTA]],BaseContasDRE[#All],7,FALSE))</f>
        <v>Fora do DRE</v>
      </c>
      <c r="V5100" s="3" t="str">
        <f>IF(Base_Periodo1[[#This Row],[Tipo_Linha]]="Fora do DRE","Fora do DRE","( "&amp;Base_Periodo1[[#This Row],[Tipo_Linha]]&amp;" ) "&amp;Base_Periodo1[[#This Row],[Filtro]])</f>
        <v>Fora do DRE</v>
      </c>
      <c r="W5100" s="3" t="str">
        <f>LEFT(Base_Periodo1[[#This Row],[CLASS]],3)</f>
        <v>2.4</v>
      </c>
    </row>
    <row r="5101" spans="1:23" hidden="1">
      <c r="A5101" s="3" t="str">
        <f t="shared" si="79"/>
        <v>Período 1</v>
      </c>
      <c r="B5101">
        <v>16206</v>
      </c>
      <c r="C5101" t="s">
        <v>2300</v>
      </c>
      <c r="D5101" t="s">
        <v>2986</v>
      </c>
      <c r="E5101" s="3" t="str">
        <f>IF(LEN(Base_Periodo1[[#This Row],[CLASS]])&gt;=7,LEFT(Base_Periodo1[[#This Row],[CLASS]],7),"")</f>
        <v>2.4.1.1</v>
      </c>
      <c r="F5101" s="3" t="str">
        <f>VLOOKUP(Base_Periodo1[[#This Row],[Aux]],Base_Contas_Balanco[#All],2,FALSE)</f>
        <v>Capital Social Realizado</v>
      </c>
      <c r="G5101" s="1">
        <v>42255</v>
      </c>
      <c r="H5101" s="225">
        <v>240</v>
      </c>
      <c r="I5101" s="225">
        <v>0</v>
      </c>
      <c r="J5101" s="225">
        <v>0</v>
      </c>
      <c r="K5101" s="225">
        <v>240</v>
      </c>
      <c r="L51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101" s="225">
        <f>ROUND(IF(AND(Base_Periodo1[[#This Row],[Tipo_Linha]]="-",Base_Periodo1[[#This Row],[TIPOSALDO]]="D"),Base_Periodo1[[#This Row],[SALDO_ATUAL]]*-1,Base_Periodo1[[#This Row],[SALDO_ATUAL]]),4)</f>
        <v>240</v>
      </c>
      <c r="N5101" t="s">
        <v>116</v>
      </c>
      <c r="O5101" t="s">
        <v>459</v>
      </c>
      <c r="P5101" t="s">
        <v>459</v>
      </c>
      <c r="Q5101">
        <v>6</v>
      </c>
      <c r="R5101" s="225">
        <f>Base_Periodo1[[#This Row],[CREDITOS]]-Base_Periodo1[[#This Row],[DEBITOS]]</f>
        <v>0</v>
      </c>
      <c r="S5101" s="3" t="str">
        <f>IF(ISERROR(VLOOKUP(Base_Periodo1[[#This Row],[CONTA]],BaseContasDRE[#All],4,FALSE)),"Fora do DRE",VLOOKUP(Base_Periodo1[[#This Row],[CONTA]],BaseContasDRE[#All],4,FALSE))</f>
        <v>Fora do DRE</v>
      </c>
      <c r="T5101" s="3" t="str">
        <f>IF(ISERROR(VLOOKUP(Base_Periodo1[[#This Row],[CONTA]],BaseContasDRE[#All],5,FALSE)),"Fora do DRE",VLOOKUP(Base_Periodo1[[#This Row],[CONTA]],BaseContasDRE[#All],6,FALSE))</f>
        <v>Fora do DRE</v>
      </c>
      <c r="U5101" s="3" t="str">
        <f>IF(ISERROR(VLOOKUP(Base_Periodo1[[#This Row],[CONTA]],BaseContasDRE[#All],7,FALSE)),"Fora do DRE",VLOOKUP(Base_Periodo1[[#This Row],[CONTA]],BaseContasDRE[#All],7,FALSE))</f>
        <v>Fora do DRE</v>
      </c>
      <c r="V5101" s="3" t="str">
        <f>IF(Base_Periodo1[[#This Row],[Tipo_Linha]]="Fora do DRE","Fora do DRE","( "&amp;Base_Periodo1[[#This Row],[Tipo_Linha]]&amp;" ) "&amp;Base_Periodo1[[#This Row],[Filtro]])</f>
        <v>Fora do DRE</v>
      </c>
      <c r="W5101" s="3" t="str">
        <f>LEFT(Base_Periodo1[[#This Row],[CLASS]],3)</f>
        <v>2.4</v>
      </c>
    </row>
    <row r="5102" spans="1:23" hidden="1">
      <c r="A5102" s="3" t="str">
        <f t="shared" si="79"/>
        <v>Período 1</v>
      </c>
      <c r="B5102">
        <v>15934</v>
      </c>
      <c r="C5102" t="s">
        <v>2300</v>
      </c>
      <c r="D5102" t="s">
        <v>2987</v>
      </c>
      <c r="E5102" s="3" t="str">
        <f>IF(LEN(Base_Periodo1[[#This Row],[CLASS]])&gt;=7,LEFT(Base_Periodo1[[#This Row],[CLASS]],7),"")</f>
        <v>2.4.1.1</v>
      </c>
      <c r="F5102" s="3" t="str">
        <f>VLOOKUP(Base_Periodo1[[#This Row],[Aux]],Base_Contas_Balanco[#All],2,FALSE)</f>
        <v>Capital Social Realizado</v>
      </c>
      <c r="G5102" s="1"/>
      <c r="H5102" s="225">
        <v>3405.98</v>
      </c>
      <c r="I5102" s="225">
        <v>0</v>
      </c>
      <c r="J5102" s="225">
        <v>0</v>
      </c>
      <c r="K5102" s="225">
        <v>3405.98</v>
      </c>
      <c r="L51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3405.98</v>
      </c>
      <c r="M5102" s="225">
        <f>ROUND(IF(AND(Base_Periodo1[[#This Row],[Tipo_Linha]]="-",Base_Periodo1[[#This Row],[TIPOSALDO]]="D"),Base_Periodo1[[#This Row],[SALDO_ATUAL]]*-1,Base_Periodo1[[#This Row],[SALDO_ATUAL]]),4)</f>
        <v>3405.98</v>
      </c>
      <c r="N5102" t="s">
        <v>116</v>
      </c>
      <c r="O5102" t="s">
        <v>459</v>
      </c>
      <c r="P5102" t="s">
        <v>459</v>
      </c>
      <c r="Q5102">
        <v>6</v>
      </c>
      <c r="R5102" s="225">
        <f>Base_Periodo1[[#This Row],[CREDITOS]]-Base_Periodo1[[#This Row],[DEBITOS]]</f>
        <v>0</v>
      </c>
      <c r="S5102" s="3" t="str">
        <f>IF(ISERROR(VLOOKUP(Base_Periodo1[[#This Row],[CONTA]],BaseContasDRE[#All],4,FALSE)),"Fora do DRE",VLOOKUP(Base_Periodo1[[#This Row],[CONTA]],BaseContasDRE[#All],4,FALSE))</f>
        <v>Fora do DRE</v>
      </c>
      <c r="T5102" s="3" t="str">
        <f>IF(ISERROR(VLOOKUP(Base_Periodo1[[#This Row],[CONTA]],BaseContasDRE[#All],5,FALSE)),"Fora do DRE",VLOOKUP(Base_Periodo1[[#This Row],[CONTA]],BaseContasDRE[#All],6,FALSE))</f>
        <v>Fora do DRE</v>
      </c>
      <c r="U5102" s="3" t="str">
        <f>IF(ISERROR(VLOOKUP(Base_Periodo1[[#This Row],[CONTA]],BaseContasDRE[#All],7,FALSE)),"Fora do DRE",VLOOKUP(Base_Periodo1[[#This Row],[CONTA]],BaseContasDRE[#All],7,FALSE))</f>
        <v>Fora do DRE</v>
      </c>
      <c r="V5102" s="3" t="str">
        <f>IF(Base_Periodo1[[#This Row],[Tipo_Linha]]="Fora do DRE","Fora do DRE","( "&amp;Base_Periodo1[[#This Row],[Tipo_Linha]]&amp;" ) "&amp;Base_Periodo1[[#This Row],[Filtro]])</f>
        <v>Fora do DRE</v>
      </c>
      <c r="W5102" s="3" t="str">
        <f>LEFT(Base_Periodo1[[#This Row],[CLASS]],3)</f>
        <v>2.4</v>
      </c>
    </row>
    <row r="5103" spans="1:23" hidden="1">
      <c r="A5103" s="3" t="str">
        <f t="shared" si="79"/>
        <v>Período 1</v>
      </c>
      <c r="B5103">
        <v>16144</v>
      </c>
      <c r="C5103" t="s">
        <v>2300</v>
      </c>
      <c r="D5103" t="s">
        <v>2988</v>
      </c>
      <c r="E5103" s="3" t="str">
        <f>IF(LEN(Base_Periodo1[[#This Row],[CLASS]])&gt;=7,LEFT(Base_Periodo1[[#This Row],[CLASS]],7),"")</f>
        <v>2.4.1.1</v>
      </c>
      <c r="F5103" s="3" t="str">
        <f>VLOOKUP(Base_Periodo1[[#This Row],[Aux]],Base_Contas_Balanco[#All],2,FALSE)</f>
        <v>Capital Social Realizado</v>
      </c>
      <c r="G5103" s="1"/>
      <c r="H5103" s="225">
        <v>2626.17</v>
      </c>
      <c r="I5103" s="225">
        <v>0</v>
      </c>
      <c r="J5103" s="225">
        <v>0</v>
      </c>
      <c r="K5103" s="225">
        <v>2626.17</v>
      </c>
      <c r="L51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2626.17</v>
      </c>
      <c r="M5103" s="225">
        <f>ROUND(IF(AND(Base_Periodo1[[#This Row],[Tipo_Linha]]="-",Base_Periodo1[[#This Row],[TIPOSALDO]]="D"),Base_Periodo1[[#This Row],[SALDO_ATUAL]]*-1,Base_Periodo1[[#This Row],[SALDO_ATUAL]]),4)</f>
        <v>2626.17</v>
      </c>
      <c r="N5103" t="s">
        <v>116</v>
      </c>
      <c r="O5103" t="s">
        <v>459</v>
      </c>
      <c r="P5103" t="s">
        <v>459</v>
      </c>
      <c r="Q5103">
        <v>6</v>
      </c>
      <c r="R5103" s="225">
        <f>Base_Periodo1[[#This Row],[CREDITOS]]-Base_Periodo1[[#This Row],[DEBITOS]]</f>
        <v>0</v>
      </c>
      <c r="S5103" s="3" t="str">
        <f>IF(ISERROR(VLOOKUP(Base_Periodo1[[#This Row],[CONTA]],BaseContasDRE[#All],4,FALSE)),"Fora do DRE",VLOOKUP(Base_Periodo1[[#This Row],[CONTA]],BaseContasDRE[#All],4,FALSE))</f>
        <v>Fora do DRE</v>
      </c>
      <c r="T5103" s="3" t="str">
        <f>IF(ISERROR(VLOOKUP(Base_Periodo1[[#This Row],[CONTA]],BaseContasDRE[#All],5,FALSE)),"Fora do DRE",VLOOKUP(Base_Periodo1[[#This Row],[CONTA]],BaseContasDRE[#All],6,FALSE))</f>
        <v>Fora do DRE</v>
      </c>
      <c r="U5103" s="3" t="str">
        <f>IF(ISERROR(VLOOKUP(Base_Periodo1[[#This Row],[CONTA]],BaseContasDRE[#All],7,FALSE)),"Fora do DRE",VLOOKUP(Base_Periodo1[[#This Row],[CONTA]],BaseContasDRE[#All],7,FALSE))</f>
        <v>Fora do DRE</v>
      </c>
      <c r="V5103" s="3" t="str">
        <f>IF(Base_Periodo1[[#This Row],[Tipo_Linha]]="Fora do DRE","Fora do DRE","( "&amp;Base_Periodo1[[#This Row],[Tipo_Linha]]&amp;" ) "&amp;Base_Periodo1[[#This Row],[Filtro]])</f>
        <v>Fora do DRE</v>
      </c>
      <c r="W5103" s="3" t="str">
        <f>LEFT(Base_Periodo1[[#This Row],[CLASS]],3)</f>
        <v>2.4</v>
      </c>
    </row>
    <row r="5104" spans="1:23" hidden="1">
      <c r="A5104" s="3" t="str">
        <f t="shared" si="79"/>
        <v>Período 1</v>
      </c>
      <c r="B5104">
        <v>57925</v>
      </c>
      <c r="C5104" t="s">
        <v>2300</v>
      </c>
      <c r="D5104" t="s">
        <v>6568</v>
      </c>
      <c r="E5104" s="3" t="str">
        <f>IF(LEN(Base_Periodo1[[#This Row],[CLASS]])&gt;=7,LEFT(Base_Periodo1[[#This Row],[CLASS]],7),"")</f>
        <v>2.4.1.1</v>
      </c>
      <c r="F5104" s="3" t="str">
        <f>VLOOKUP(Base_Periodo1[[#This Row],[Aux]],Base_Contas_Balanco[#All],2,FALSE)</f>
        <v>Capital Social Realizado</v>
      </c>
      <c r="G5104" s="1"/>
      <c r="H5104" s="225">
        <v>1000</v>
      </c>
      <c r="I5104" s="225">
        <v>0</v>
      </c>
      <c r="J5104" s="225">
        <v>0</v>
      </c>
      <c r="K5104" s="225">
        <v>1000</v>
      </c>
      <c r="L51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</v>
      </c>
      <c r="M5104" s="225">
        <f>ROUND(IF(AND(Base_Periodo1[[#This Row],[Tipo_Linha]]="-",Base_Periodo1[[#This Row],[TIPOSALDO]]="D"),Base_Periodo1[[#This Row],[SALDO_ATUAL]]*-1,Base_Periodo1[[#This Row],[SALDO_ATUAL]]),4)</f>
        <v>1000</v>
      </c>
      <c r="N5104" t="s">
        <v>116</v>
      </c>
      <c r="O5104" t="s">
        <v>459</v>
      </c>
      <c r="P5104" t="s">
        <v>459</v>
      </c>
      <c r="Q5104">
        <v>6</v>
      </c>
      <c r="R5104" s="225">
        <f>Base_Periodo1[[#This Row],[CREDITOS]]-Base_Periodo1[[#This Row],[DEBITOS]]</f>
        <v>0</v>
      </c>
      <c r="S5104" s="3" t="str">
        <f>IF(ISERROR(VLOOKUP(Base_Periodo1[[#This Row],[CONTA]],BaseContasDRE[#All],4,FALSE)),"Fora do DRE",VLOOKUP(Base_Periodo1[[#This Row],[CONTA]],BaseContasDRE[#All],4,FALSE))</f>
        <v>Fora do DRE</v>
      </c>
      <c r="T5104" s="3" t="str">
        <f>IF(ISERROR(VLOOKUP(Base_Periodo1[[#This Row],[CONTA]],BaseContasDRE[#All],5,FALSE)),"Fora do DRE",VLOOKUP(Base_Periodo1[[#This Row],[CONTA]],BaseContasDRE[#All],6,FALSE))</f>
        <v>Fora do DRE</v>
      </c>
      <c r="U5104" s="3" t="str">
        <f>IF(ISERROR(VLOOKUP(Base_Periodo1[[#This Row],[CONTA]],BaseContasDRE[#All],7,FALSE)),"Fora do DRE",VLOOKUP(Base_Periodo1[[#This Row],[CONTA]],BaseContasDRE[#All],7,FALSE))</f>
        <v>Fora do DRE</v>
      </c>
      <c r="V5104" s="3" t="str">
        <f>IF(Base_Periodo1[[#This Row],[Tipo_Linha]]="Fora do DRE","Fora do DRE","( "&amp;Base_Periodo1[[#This Row],[Tipo_Linha]]&amp;" ) "&amp;Base_Periodo1[[#This Row],[Filtro]])</f>
        <v>Fora do DRE</v>
      </c>
      <c r="W5104" s="3" t="str">
        <f>LEFT(Base_Periodo1[[#This Row],[CLASS]],3)</f>
        <v>2.4</v>
      </c>
    </row>
    <row r="5105" spans="1:23" hidden="1">
      <c r="A5105" s="3" t="str">
        <f t="shared" si="79"/>
        <v>Período 1</v>
      </c>
      <c r="B5105">
        <v>30540</v>
      </c>
      <c r="C5105" t="s">
        <v>2300</v>
      </c>
      <c r="D5105" t="s">
        <v>2989</v>
      </c>
      <c r="E5105" s="3" t="str">
        <f>IF(LEN(Base_Periodo1[[#This Row],[CLASS]])&gt;=7,LEFT(Base_Periodo1[[#This Row],[CLASS]],7),"")</f>
        <v>2.4.1.1</v>
      </c>
      <c r="F5105" s="3" t="str">
        <f>VLOOKUP(Base_Periodo1[[#This Row],[Aux]],Base_Contas_Balanco[#All],2,FALSE)</f>
        <v>Capital Social Realizado</v>
      </c>
      <c r="G5105" s="1"/>
      <c r="H5105" s="225">
        <v>50</v>
      </c>
      <c r="I5105" s="225">
        <v>0</v>
      </c>
      <c r="J5105" s="225">
        <v>0</v>
      </c>
      <c r="K5105" s="225">
        <v>50</v>
      </c>
      <c r="L51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05" s="225">
        <f>ROUND(IF(AND(Base_Periodo1[[#This Row],[Tipo_Linha]]="-",Base_Periodo1[[#This Row],[TIPOSALDO]]="D"),Base_Periodo1[[#This Row],[SALDO_ATUAL]]*-1,Base_Periodo1[[#This Row],[SALDO_ATUAL]]),4)</f>
        <v>50</v>
      </c>
      <c r="N5105" t="s">
        <v>116</v>
      </c>
      <c r="O5105" t="s">
        <v>459</v>
      </c>
      <c r="P5105" t="s">
        <v>459</v>
      </c>
      <c r="Q5105">
        <v>6</v>
      </c>
      <c r="R5105" s="225">
        <f>Base_Periodo1[[#This Row],[CREDITOS]]-Base_Periodo1[[#This Row],[DEBITOS]]</f>
        <v>0</v>
      </c>
      <c r="S5105" s="3" t="str">
        <f>IF(ISERROR(VLOOKUP(Base_Periodo1[[#This Row],[CONTA]],BaseContasDRE[#All],4,FALSE)),"Fora do DRE",VLOOKUP(Base_Periodo1[[#This Row],[CONTA]],BaseContasDRE[#All],4,FALSE))</f>
        <v>Fora do DRE</v>
      </c>
      <c r="T5105" s="3" t="str">
        <f>IF(ISERROR(VLOOKUP(Base_Periodo1[[#This Row],[CONTA]],BaseContasDRE[#All],5,FALSE)),"Fora do DRE",VLOOKUP(Base_Periodo1[[#This Row],[CONTA]],BaseContasDRE[#All],6,FALSE))</f>
        <v>Fora do DRE</v>
      </c>
      <c r="U5105" s="3" t="str">
        <f>IF(ISERROR(VLOOKUP(Base_Periodo1[[#This Row],[CONTA]],BaseContasDRE[#All],7,FALSE)),"Fora do DRE",VLOOKUP(Base_Periodo1[[#This Row],[CONTA]],BaseContasDRE[#All],7,FALSE))</f>
        <v>Fora do DRE</v>
      </c>
      <c r="V5105" s="3" t="str">
        <f>IF(Base_Periodo1[[#This Row],[Tipo_Linha]]="Fora do DRE","Fora do DRE","( "&amp;Base_Periodo1[[#This Row],[Tipo_Linha]]&amp;" ) "&amp;Base_Periodo1[[#This Row],[Filtro]])</f>
        <v>Fora do DRE</v>
      </c>
      <c r="W5105" s="3" t="str">
        <f>LEFT(Base_Periodo1[[#This Row],[CLASS]],3)</f>
        <v>2.4</v>
      </c>
    </row>
    <row r="5106" spans="1:23" hidden="1">
      <c r="A5106" s="3" t="str">
        <f t="shared" si="79"/>
        <v>Período 1</v>
      </c>
      <c r="B5106">
        <v>30656</v>
      </c>
      <c r="C5106" t="s">
        <v>2300</v>
      </c>
      <c r="D5106" t="s">
        <v>2990</v>
      </c>
      <c r="E5106" s="3" t="str">
        <f>IF(LEN(Base_Periodo1[[#This Row],[CLASS]])&gt;=7,LEFT(Base_Periodo1[[#This Row],[CLASS]],7),"")</f>
        <v>2.4.1.1</v>
      </c>
      <c r="F5106" s="3" t="str">
        <f>VLOOKUP(Base_Periodo1[[#This Row],[Aux]],Base_Contas_Balanco[#All],2,FALSE)</f>
        <v>Capital Social Realizado</v>
      </c>
      <c r="G5106" s="1"/>
      <c r="H5106" s="225">
        <v>79.16</v>
      </c>
      <c r="I5106" s="225">
        <v>0</v>
      </c>
      <c r="J5106" s="225">
        <v>0</v>
      </c>
      <c r="K5106" s="225">
        <v>79.16</v>
      </c>
      <c r="L51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79.16</v>
      </c>
      <c r="M5106" s="225">
        <f>ROUND(IF(AND(Base_Periodo1[[#This Row],[Tipo_Linha]]="-",Base_Periodo1[[#This Row],[TIPOSALDO]]="D"),Base_Periodo1[[#This Row],[SALDO_ATUAL]]*-1,Base_Periodo1[[#This Row],[SALDO_ATUAL]]),4)</f>
        <v>79.16</v>
      </c>
      <c r="N5106" t="s">
        <v>116</v>
      </c>
      <c r="O5106" t="s">
        <v>459</v>
      </c>
      <c r="P5106" t="s">
        <v>459</v>
      </c>
      <c r="Q5106">
        <v>6</v>
      </c>
      <c r="R5106" s="225">
        <f>Base_Periodo1[[#This Row],[CREDITOS]]-Base_Periodo1[[#This Row],[DEBITOS]]</f>
        <v>0</v>
      </c>
      <c r="S5106" s="3" t="str">
        <f>IF(ISERROR(VLOOKUP(Base_Periodo1[[#This Row],[CONTA]],BaseContasDRE[#All],4,FALSE)),"Fora do DRE",VLOOKUP(Base_Periodo1[[#This Row],[CONTA]],BaseContasDRE[#All],4,FALSE))</f>
        <v>Fora do DRE</v>
      </c>
      <c r="T5106" s="3" t="str">
        <f>IF(ISERROR(VLOOKUP(Base_Periodo1[[#This Row],[CONTA]],BaseContasDRE[#All],5,FALSE)),"Fora do DRE",VLOOKUP(Base_Periodo1[[#This Row],[CONTA]],BaseContasDRE[#All],6,FALSE))</f>
        <v>Fora do DRE</v>
      </c>
      <c r="U5106" s="3" t="str">
        <f>IF(ISERROR(VLOOKUP(Base_Periodo1[[#This Row],[CONTA]],BaseContasDRE[#All],7,FALSE)),"Fora do DRE",VLOOKUP(Base_Periodo1[[#This Row],[CONTA]],BaseContasDRE[#All],7,FALSE))</f>
        <v>Fora do DRE</v>
      </c>
      <c r="V5106" s="3" t="str">
        <f>IF(Base_Periodo1[[#This Row],[Tipo_Linha]]="Fora do DRE","Fora do DRE","( "&amp;Base_Periodo1[[#This Row],[Tipo_Linha]]&amp;" ) "&amp;Base_Periodo1[[#This Row],[Filtro]])</f>
        <v>Fora do DRE</v>
      </c>
      <c r="W5106" s="3" t="str">
        <f>LEFT(Base_Periodo1[[#This Row],[CLASS]],3)</f>
        <v>2.4</v>
      </c>
    </row>
    <row r="5107" spans="1:23" hidden="1">
      <c r="A5107" s="3" t="str">
        <f t="shared" si="79"/>
        <v>Período 1</v>
      </c>
      <c r="B5107">
        <v>48430</v>
      </c>
      <c r="C5107" t="s">
        <v>2300</v>
      </c>
      <c r="D5107" t="s">
        <v>2991</v>
      </c>
      <c r="E5107" s="3" t="str">
        <f>IF(LEN(Base_Periodo1[[#This Row],[CLASS]])&gt;=7,LEFT(Base_Periodo1[[#This Row],[CLASS]],7),"")</f>
        <v>2.4.1.1</v>
      </c>
      <c r="F5107" s="3" t="str">
        <f>VLOOKUP(Base_Periodo1[[#This Row],[Aux]],Base_Contas_Balanco[#All],2,FALSE)</f>
        <v>Capital Social Realizado</v>
      </c>
      <c r="G5107" s="1"/>
      <c r="H5107" s="225">
        <v>80.55</v>
      </c>
      <c r="I5107" s="225">
        <v>0</v>
      </c>
      <c r="J5107" s="225">
        <v>0</v>
      </c>
      <c r="K5107" s="225">
        <v>80.55</v>
      </c>
      <c r="L51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80.55</v>
      </c>
      <c r="M5107" s="225">
        <f>ROUND(IF(AND(Base_Periodo1[[#This Row],[Tipo_Linha]]="-",Base_Periodo1[[#This Row],[TIPOSALDO]]="D"),Base_Periodo1[[#This Row],[SALDO_ATUAL]]*-1,Base_Periodo1[[#This Row],[SALDO_ATUAL]]),4)</f>
        <v>80.55</v>
      </c>
      <c r="N5107" t="s">
        <v>116</v>
      </c>
      <c r="O5107" t="s">
        <v>459</v>
      </c>
      <c r="P5107" t="s">
        <v>459</v>
      </c>
      <c r="Q5107">
        <v>6</v>
      </c>
      <c r="R5107" s="225">
        <f>Base_Periodo1[[#This Row],[CREDITOS]]-Base_Periodo1[[#This Row],[DEBITOS]]</f>
        <v>0</v>
      </c>
      <c r="S5107" s="3" t="str">
        <f>IF(ISERROR(VLOOKUP(Base_Periodo1[[#This Row],[CONTA]],BaseContasDRE[#All],4,FALSE)),"Fora do DRE",VLOOKUP(Base_Periodo1[[#This Row],[CONTA]],BaseContasDRE[#All],4,FALSE))</f>
        <v>Fora do DRE</v>
      </c>
      <c r="T5107" s="3" t="str">
        <f>IF(ISERROR(VLOOKUP(Base_Periodo1[[#This Row],[CONTA]],BaseContasDRE[#All],5,FALSE)),"Fora do DRE",VLOOKUP(Base_Periodo1[[#This Row],[CONTA]],BaseContasDRE[#All],6,FALSE))</f>
        <v>Fora do DRE</v>
      </c>
      <c r="U5107" s="3" t="str">
        <f>IF(ISERROR(VLOOKUP(Base_Periodo1[[#This Row],[CONTA]],BaseContasDRE[#All],7,FALSE)),"Fora do DRE",VLOOKUP(Base_Periodo1[[#This Row],[CONTA]],BaseContasDRE[#All],7,FALSE))</f>
        <v>Fora do DRE</v>
      </c>
      <c r="V5107" s="3" t="str">
        <f>IF(Base_Periodo1[[#This Row],[Tipo_Linha]]="Fora do DRE","Fora do DRE","( "&amp;Base_Periodo1[[#This Row],[Tipo_Linha]]&amp;" ) "&amp;Base_Periodo1[[#This Row],[Filtro]])</f>
        <v>Fora do DRE</v>
      </c>
      <c r="W5107" s="3" t="str">
        <f>LEFT(Base_Periodo1[[#This Row],[CLASS]],3)</f>
        <v>2.4</v>
      </c>
    </row>
    <row r="5108" spans="1:23" hidden="1">
      <c r="A5108" s="3" t="str">
        <f t="shared" si="79"/>
        <v>Período 1</v>
      </c>
      <c r="B5108">
        <v>25868</v>
      </c>
      <c r="C5108" t="s">
        <v>2300</v>
      </c>
      <c r="D5108" t="s">
        <v>2992</v>
      </c>
      <c r="E5108" s="3" t="str">
        <f>IF(LEN(Base_Periodo1[[#This Row],[CLASS]])&gt;=7,LEFT(Base_Periodo1[[#This Row],[CLASS]],7),"")</f>
        <v>2.4.1.1</v>
      </c>
      <c r="F5108" s="3" t="str">
        <f>VLOOKUP(Base_Periodo1[[#This Row],[Aux]],Base_Contas_Balanco[#All],2,FALSE)</f>
        <v>Capital Social Realizado</v>
      </c>
      <c r="G5108" s="1"/>
      <c r="H5108" s="225">
        <v>84.82</v>
      </c>
      <c r="I5108" s="225">
        <v>0</v>
      </c>
      <c r="J5108" s="225">
        <v>0</v>
      </c>
      <c r="K5108" s="225">
        <v>84.82</v>
      </c>
      <c r="L51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84.82</v>
      </c>
      <c r="M5108" s="225">
        <f>ROUND(IF(AND(Base_Periodo1[[#This Row],[Tipo_Linha]]="-",Base_Periodo1[[#This Row],[TIPOSALDO]]="D"),Base_Periodo1[[#This Row],[SALDO_ATUAL]]*-1,Base_Periodo1[[#This Row],[SALDO_ATUAL]]),4)</f>
        <v>84.82</v>
      </c>
      <c r="N5108" t="s">
        <v>116</v>
      </c>
      <c r="O5108" t="s">
        <v>459</v>
      </c>
      <c r="P5108" t="s">
        <v>459</v>
      </c>
      <c r="Q5108">
        <v>6</v>
      </c>
      <c r="R5108" s="225">
        <f>Base_Periodo1[[#This Row],[CREDITOS]]-Base_Periodo1[[#This Row],[DEBITOS]]</f>
        <v>0</v>
      </c>
      <c r="S5108" s="3" t="str">
        <f>IF(ISERROR(VLOOKUP(Base_Periodo1[[#This Row],[CONTA]],BaseContasDRE[#All],4,FALSE)),"Fora do DRE",VLOOKUP(Base_Periodo1[[#This Row],[CONTA]],BaseContasDRE[#All],4,FALSE))</f>
        <v>Fora do DRE</v>
      </c>
      <c r="T5108" s="3" t="str">
        <f>IF(ISERROR(VLOOKUP(Base_Periodo1[[#This Row],[CONTA]],BaseContasDRE[#All],5,FALSE)),"Fora do DRE",VLOOKUP(Base_Periodo1[[#This Row],[CONTA]],BaseContasDRE[#All],6,FALSE))</f>
        <v>Fora do DRE</v>
      </c>
      <c r="U5108" s="3" t="str">
        <f>IF(ISERROR(VLOOKUP(Base_Periodo1[[#This Row],[CONTA]],BaseContasDRE[#All],7,FALSE)),"Fora do DRE",VLOOKUP(Base_Periodo1[[#This Row],[CONTA]],BaseContasDRE[#All],7,FALSE))</f>
        <v>Fora do DRE</v>
      </c>
      <c r="V5108" s="3" t="str">
        <f>IF(Base_Periodo1[[#This Row],[Tipo_Linha]]="Fora do DRE","Fora do DRE","( "&amp;Base_Periodo1[[#This Row],[Tipo_Linha]]&amp;" ) "&amp;Base_Periodo1[[#This Row],[Filtro]])</f>
        <v>Fora do DRE</v>
      </c>
      <c r="W5108" s="3" t="str">
        <f>LEFT(Base_Periodo1[[#This Row],[CLASS]],3)</f>
        <v>2.4</v>
      </c>
    </row>
    <row r="5109" spans="1:23" hidden="1">
      <c r="A5109" s="3" t="str">
        <f t="shared" si="79"/>
        <v>Período 1</v>
      </c>
      <c r="B5109">
        <v>36187</v>
      </c>
      <c r="C5109" t="s">
        <v>2300</v>
      </c>
      <c r="D5109" t="s">
        <v>2993</v>
      </c>
      <c r="E5109" s="3" t="str">
        <f>IF(LEN(Base_Periodo1[[#This Row],[CLASS]])&gt;=7,LEFT(Base_Periodo1[[#This Row],[CLASS]],7),"")</f>
        <v>2.4.1.1</v>
      </c>
      <c r="F5109" s="3" t="str">
        <f>VLOOKUP(Base_Periodo1[[#This Row],[Aux]],Base_Contas_Balanco[#All],2,FALSE)</f>
        <v>Capital Social Realizado</v>
      </c>
      <c r="G5109" s="1"/>
      <c r="H5109" s="225">
        <v>176.81</v>
      </c>
      <c r="I5109" s="225">
        <v>0</v>
      </c>
      <c r="J5109" s="225">
        <v>0</v>
      </c>
      <c r="K5109" s="225">
        <v>176.81</v>
      </c>
      <c r="L51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176.81</v>
      </c>
      <c r="M5109" s="225">
        <f>ROUND(IF(AND(Base_Periodo1[[#This Row],[Tipo_Linha]]="-",Base_Periodo1[[#This Row],[TIPOSALDO]]="D"),Base_Periodo1[[#This Row],[SALDO_ATUAL]]*-1,Base_Periodo1[[#This Row],[SALDO_ATUAL]]),4)</f>
        <v>176.81</v>
      </c>
      <c r="N5109" t="s">
        <v>116</v>
      </c>
      <c r="O5109" t="s">
        <v>459</v>
      </c>
      <c r="P5109" t="s">
        <v>459</v>
      </c>
      <c r="Q5109">
        <v>6</v>
      </c>
      <c r="R5109" s="225">
        <f>Base_Periodo1[[#This Row],[CREDITOS]]-Base_Periodo1[[#This Row],[DEBITOS]]</f>
        <v>0</v>
      </c>
      <c r="S5109" s="3" t="str">
        <f>IF(ISERROR(VLOOKUP(Base_Periodo1[[#This Row],[CONTA]],BaseContasDRE[#All],4,FALSE)),"Fora do DRE",VLOOKUP(Base_Periodo1[[#This Row],[CONTA]],BaseContasDRE[#All],4,FALSE))</f>
        <v>Fora do DRE</v>
      </c>
      <c r="T5109" s="3" t="str">
        <f>IF(ISERROR(VLOOKUP(Base_Periodo1[[#This Row],[CONTA]],BaseContasDRE[#All],5,FALSE)),"Fora do DRE",VLOOKUP(Base_Periodo1[[#This Row],[CONTA]],BaseContasDRE[#All],6,FALSE))</f>
        <v>Fora do DRE</v>
      </c>
      <c r="U5109" s="3" t="str">
        <f>IF(ISERROR(VLOOKUP(Base_Periodo1[[#This Row],[CONTA]],BaseContasDRE[#All],7,FALSE)),"Fora do DRE",VLOOKUP(Base_Periodo1[[#This Row],[CONTA]],BaseContasDRE[#All],7,FALSE))</f>
        <v>Fora do DRE</v>
      </c>
      <c r="V5109" s="3" t="str">
        <f>IF(Base_Periodo1[[#This Row],[Tipo_Linha]]="Fora do DRE","Fora do DRE","( "&amp;Base_Periodo1[[#This Row],[Tipo_Linha]]&amp;" ) "&amp;Base_Periodo1[[#This Row],[Filtro]])</f>
        <v>Fora do DRE</v>
      </c>
      <c r="W5109" s="3" t="str">
        <f>LEFT(Base_Periodo1[[#This Row],[CLASS]],3)</f>
        <v>2.4</v>
      </c>
    </row>
    <row r="5110" spans="1:23" hidden="1">
      <c r="A5110" s="3" t="str">
        <f t="shared" si="79"/>
        <v>Período 1</v>
      </c>
      <c r="B5110">
        <v>46954</v>
      </c>
      <c r="C5110" t="s">
        <v>2300</v>
      </c>
      <c r="D5110" t="s">
        <v>2994</v>
      </c>
      <c r="E5110" s="3" t="str">
        <f>IF(LEN(Base_Periodo1[[#This Row],[CLASS]])&gt;=7,LEFT(Base_Periodo1[[#This Row],[CLASS]],7),"")</f>
        <v>2.4.1.1</v>
      </c>
      <c r="F5110" s="3" t="str">
        <f>VLOOKUP(Base_Periodo1[[#This Row],[Aux]],Base_Contas_Balanco[#All],2,FALSE)</f>
        <v>Capital Social Realizado</v>
      </c>
      <c r="G5110" s="1"/>
      <c r="H5110" s="225">
        <v>91.25</v>
      </c>
      <c r="I5110" s="225">
        <v>0</v>
      </c>
      <c r="J5110" s="225">
        <v>0</v>
      </c>
      <c r="K5110" s="225">
        <v>91.25</v>
      </c>
      <c r="L51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91.25</v>
      </c>
      <c r="M5110" s="225">
        <f>ROUND(IF(AND(Base_Periodo1[[#This Row],[Tipo_Linha]]="-",Base_Periodo1[[#This Row],[TIPOSALDO]]="D"),Base_Periodo1[[#This Row],[SALDO_ATUAL]]*-1,Base_Periodo1[[#This Row],[SALDO_ATUAL]]),4)</f>
        <v>91.25</v>
      </c>
      <c r="N5110" t="s">
        <v>116</v>
      </c>
      <c r="O5110" t="s">
        <v>459</v>
      </c>
      <c r="P5110" t="s">
        <v>459</v>
      </c>
      <c r="Q5110">
        <v>6</v>
      </c>
      <c r="R5110" s="225">
        <f>Base_Periodo1[[#This Row],[CREDITOS]]-Base_Periodo1[[#This Row],[DEBITOS]]</f>
        <v>0</v>
      </c>
      <c r="S5110" s="3" t="str">
        <f>IF(ISERROR(VLOOKUP(Base_Periodo1[[#This Row],[CONTA]],BaseContasDRE[#All],4,FALSE)),"Fora do DRE",VLOOKUP(Base_Periodo1[[#This Row],[CONTA]],BaseContasDRE[#All],4,FALSE))</f>
        <v>Fora do DRE</v>
      </c>
      <c r="T5110" s="3" t="str">
        <f>IF(ISERROR(VLOOKUP(Base_Periodo1[[#This Row],[CONTA]],BaseContasDRE[#All],5,FALSE)),"Fora do DRE",VLOOKUP(Base_Periodo1[[#This Row],[CONTA]],BaseContasDRE[#All],6,FALSE))</f>
        <v>Fora do DRE</v>
      </c>
      <c r="U5110" s="3" t="str">
        <f>IF(ISERROR(VLOOKUP(Base_Periodo1[[#This Row],[CONTA]],BaseContasDRE[#All],7,FALSE)),"Fora do DRE",VLOOKUP(Base_Periodo1[[#This Row],[CONTA]],BaseContasDRE[#All],7,FALSE))</f>
        <v>Fora do DRE</v>
      </c>
      <c r="V5110" s="3" t="str">
        <f>IF(Base_Periodo1[[#This Row],[Tipo_Linha]]="Fora do DRE","Fora do DRE","( "&amp;Base_Periodo1[[#This Row],[Tipo_Linha]]&amp;" ) "&amp;Base_Periodo1[[#This Row],[Filtro]])</f>
        <v>Fora do DRE</v>
      </c>
      <c r="W5110" s="3" t="str">
        <f>LEFT(Base_Periodo1[[#This Row],[CLASS]],3)</f>
        <v>2.4</v>
      </c>
    </row>
    <row r="5111" spans="1:23" hidden="1">
      <c r="A5111" s="3" t="str">
        <f t="shared" si="79"/>
        <v>Período 1</v>
      </c>
      <c r="B5111">
        <v>53107</v>
      </c>
      <c r="C5111" t="s">
        <v>2300</v>
      </c>
      <c r="D5111" t="s">
        <v>4888</v>
      </c>
      <c r="E5111" s="3" t="str">
        <f>IF(LEN(Base_Periodo1[[#This Row],[CLASS]])&gt;=7,LEFT(Base_Periodo1[[#This Row],[CLASS]],7),"")</f>
        <v>2.4.1.1</v>
      </c>
      <c r="F5111" s="3" t="str">
        <f>VLOOKUP(Base_Periodo1[[#This Row],[Aux]],Base_Contas_Balanco[#All],2,FALSE)</f>
        <v>Capital Social Realizado</v>
      </c>
      <c r="G5111" s="1"/>
      <c r="H5111" s="225">
        <v>500</v>
      </c>
      <c r="I5111" s="225">
        <v>0</v>
      </c>
      <c r="J5111" s="225">
        <v>0</v>
      </c>
      <c r="K5111" s="225">
        <v>500</v>
      </c>
      <c r="L51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5111" s="225">
        <f>ROUND(IF(AND(Base_Periodo1[[#This Row],[Tipo_Linha]]="-",Base_Periodo1[[#This Row],[TIPOSALDO]]="D"),Base_Periodo1[[#This Row],[SALDO_ATUAL]]*-1,Base_Periodo1[[#This Row],[SALDO_ATUAL]]),4)</f>
        <v>500</v>
      </c>
      <c r="N5111" t="s">
        <v>116</v>
      </c>
      <c r="O5111" t="s">
        <v>459</v>
      </c>
      <c r="P5111" t="s">
        <v>459</v>
      </c>
      <c r="Q5111">
        <v>6</v>
      </c>
      <c r="R5111" s="225">
        <f>Base_Periodo1[[#This Row],[CREDITOS]]-Base_Periodo1[[#This Row],[DEBITOS]]</f>
        <v>0</v>
      </c>
      <c r="S5111" s="3" t="str">
        <f>IF(ISERROR(VLOOKUP(Base_Periodo1[[#This Row],[CONTA]],BaseContasDRE[#All],4,FALSE)),"Fora do DRE",VLOOKUP(Base_Periodo1[[#This Row],[CONTA]],BaseContasDRE[#All],4,FALSE))</f>
        <v>Fora do DRE</v>
      </c>
      <c r="T5111" s="3" t="str">
        <f>IF(ISERROR(VLOOKUP(Base_Periodo1[[#This Row],[CONTA]],BaseContasDRE[#All],5,FALSE)),"Fora do DRE",VLOOKUP(Base_Periodo1[[#This Row],[CONTA]],BaseContasDRE[#All],6,FALSE))</f>
        <v>Fora do DRE</v>
      </c>
      <c r="U5111" s="3" t="str">
        <f>IF(ISERROR(VLOOKUP(Base_Periodo1[[#This Row],[CONTA]],BaseContasDRE[#All],7,FALSE)),"Fora do DRE",VLOOKUP(Base_Periodo1[[#This Row],[CONTA]],BaseContasDRE[#All],7,FALSE))</f>
        <v>Fora do DRE</v>
      </c>
      <c r="V5111" s="3" t="str">
        <f>IF(Base_Periodo1[[#This Row],[Tipo_Linha]]="Fora do DRE","Fora do DRE","( "&amp;Base_Periodo1[[#This Row],[Tipo_Linha]]&amp;" ) "&amp;Base_Periodo1[[#This Row],[Filtro]])</f>
        <v>Fora do DRE</v>
      </c>
      <c r="W5111" s="3" t="str">
        <f>LEFT(Base_Periodo1[[#This Row],[CLASS]],3)</f>
        <v>2.4</v>
      </c>
    </row>
    <row r="5112" spans="1:23" hidden="1">
      <c r="A5112" s="3" t="str">
        <f t="shared" si="79"/>
        <v>Período 1</v>
      </c>
      <c r="B5112">
        <v>33544</v>
      </c>
      <c r="C5112" t="s">
        <v>2300</v>
      </c>
      <c r="D5112" t="s">
        <v>2995</v>
      </c>
      <c r="E5112" s="3" t="str">
        <f>IF(LEN(Base_Periodo1[[#This Row],[CLASS]])&gt;=7,LEFT(Base_Periodo1[[#This Row],[CLASS]],7),"")</f>
        <v>2.4.1.1</v>
      </c>
      <c r="F5112" s="3" t="str">
        <f>VLOOKUP(Base_Periodo1[[#This Row],[Aux]],Base_Contas_Balanco[#All],2,FALSE)</f>
        <v>Capital Social Realizado</v>
      </c>
      <c r="G5112" s="1"/>
      <c r="H5112" s="225">
        <v>489.87</v>
      </c>
      <c r="I5112" s="225">
        <v>0</v>
      </c>
      <c r="J5112" s="225">
        <v>0</v>
      </c>
      <c r="K5112" s="225">
        <v>489.87</v>
      </c>
      <c r="L51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489.87</v>
      </c>
      <c r="M5112" s="225">
        <f>ROUND(IF(AND(Base_Periodo1[[#This Row],[Tipo_Linha]]="-",Base_Periodo1[[#This Row],[TIPOSALDO]]="D"),Base_Periodo1[[#This Row],[SALDO_ATUAL]]*-1,Base_Periodo1[[#This Row],[SALDO_ATUAL]]),4)</f>
        <v>489.87</v>
      </c>
      <c r="N5112" t="s">
        <v>116</v>
      </c>
      <c r="O5112" t="s">
        <v>459</v>
      </c>
      <c r="P5112" t="s">
        <v>459</v>
      </c>
      <c r="Q5112">
        <v>6</v>
      </c>
      <c r="R5112" s="225">
        <f>Base_Periodo1[[#This Row],[CREDITOS]]-Base_Periodo1[[#This Row],[DEBITOS]]</f>
        <v>0</v>
      </c>
      <c r="S5112" s="3" t="str">
        <f>IF(ISERROR(VLOOKUP(Base_Periodo1[[#This Row],[CONTA]],BaseContasDRE[#All],4,FALSE)),"Fora do DRE",VLOOKUP(Base_Periodo1[[#This Row],[CONTA]],BaseContasDRE[#All],4,FALSE))</f>
        <v>Fora do DRE</v>
      </c>
      <c r="T5112" s="3" t="str">
        <f>IF(ISERROR(VLOOKUP(Base_Periodo1[[#This Row],[CONTA]],BaseContasDRE[#All],5,FALSE)),"Fora do DRE",VLOOKUP(Base_Periodo1[[#This Row],[CONTA]],BaseContasDRE[#All],6,FALSE))</f>
        <v>Fora do DRE</v>
      </c>
      <c r="U5112" s="3" t="str">
        <f>IF(ISERROR(VLOOKUP(Base_Periodo1[[#This Row],[CONTA]],BaseContasDRE[#All],7,FALSE)),"Fora do DRE",VLOOKUP(Base_Periodo1[[#This Row],[CONTA]],BaseContasDRE[#All],7,FALSE))</f>
        <v>Fora do DRE</v>
      </c>
      <c r="V5112" s="3" t="str">
        <f>IF(Base_Periodo1[[#This Row],[Tipo_Linha]]="Fora do DRE","Fora do DRE","( "&amp;Base_Periodo1[[#This Row],[Tipo_Linha]]&amp;" ) "&amp;Base_Periodo1[[#This Row],[Filtro]])</f>
        <v>Fora do DRE</v>
      </c>
      <c r="W5112" s="3" t="str">
        <f>LEFT(Base_Periodo1[[#This Row],[CLASS]],3)</f>
        <v>2.4</v>
      </c>
    </row>
    <row r="5113" spans="1:23" hidden="1">
      <c r="A5113" s="3" t="str">
        <f t="shared" si="79"/>
        <v>Período 1</v>
      </c>
      <c r="B5113">
        <v>52593</v>
      </c>
      <c r="C5113" t="s">
        <v>2300</v>
      </c>
      <c r="D5113" t="s">
        <v>4790</v>
      </c>
      <c r="E5113" s="3" t="str">
        <f>IF(LEN(Base_Periodo1[[#This Row],[CLASS]])&gt;=7,LEFT(Base_Periodo1[[#This Row],[CLASS]],7),"")</f>
        <v>2.4.1.1</v>
      </c>
      <c r="F5113" s="3" t="str">
        <f>VLOOKUP(Base_Periodo1[[#This Row],[Aux]],Base_Contas_Balanco[#All],2,FALSE)</f>
        <v>Capital Social Realizado</v>
      </c>
      <c r="G5113" s="1"/>
      <c r="H5113" s="225">
        <v>50</v>
      </c>
      <c r="I5113" s="225">
        <v>0</v>
      </c>
      <c r="J5113" s="225">
        <v>0</v>
      </c>
      <c r="K5113" s="225">
        <v>50</v>
      </c>
      <c r="L51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13" s="225">
        <f>ROUND(IF(AND(Base_Periodo1[[#This Row],[Tipo_Linha]]="-",Base_Periodo1[[#This Row],[TIPOSALDO]]="D"),Base_Periodo1[[#This Row],[SALDO_ATUAL]]*-1,Base_Periodo1[[#This Row],[SALDO_ATUAL]]),4)</f>
        <v>50</v>
      </c>
      <c r="N5113" t="s">
        <v>116</v>
      </c>
      <c r="O5113" t="s">
        <v>459</v>
      </c>
      <c r="P5113" t="s">
        <v>459</v>
      </c>
      <c r="Q5113">
        <v>6</v>
      </c>
      <c r="R5113" s="225">
        <f>Base_Periodo1[[#This Row],[CREDITOS]]-Base_Periodo1[[#This Row],[DEBITOS]]</f>
        <v>0</v>
      </c>
      <c r="S5113" s="3" t="str">
        <f>IF(ISERROR(VLOOKUP(Base_Periodo1[[#This Row],[CONTA]],BaseContasDRE[#All],4,FALSE)),"Fora do DRE",VLOOKUP(Base_Periodo1[[#This Row],[CONTA]],BaseContasDRE[#All],4,FALSE))</f>
        <v>Fora do DRE</v>
      </c>
      <c r="T5113" s="3" t="str">
        <f>IF(ISERROR(VLOOKUP(Base_Periodo1[[#This Row],[CONTA]],BaseContasDRE[#All],5,FALSE)),"Fora do DRE",VLOOKUP(Base_Periodo1[[#This Row],[CONTA]],BaseContasDRE[#All],6,FALSE))</f>
        <v>Fora do DRE</v>
      </c>
      <c r="U5113" s="3" t="str">
        <f>IF(ISERROR(VLOOKUP(Base_Periodo1[[#This Row],[CONTA]],BaseContasDRE[#All],7,FALSE)),"Fora do DRE",VLOOKUP(Base_Periodo1[[#This Row],[CONTA]],BaseContasDRE[#All],7,FALSE))</f>
        <v>Fora do DRE</v>
      </c>
      <c r="V5113" s="3" t="str">
        <f>IF(Base_Periodo1[[#This Row],[Tipo_Linha]]="Fora do DRE","Fora do DRE","( "&amp;Base_Periodo1[[#This Row],[Tipo_Linha]]&amp;" ) "&amp;Base_Periodo1[[#This Row],[Filtro]])</f>
        <v>Fora do DRE</v>
      </c>
      <c r="W5113" s="3" t="str">
        <f>LEFT(Base_Periodo1[[#This Row],[CLASS]],3)</f>
        <v>2.4</v>
      </c>
    </row>
    <row r="5114" spans="1:23" hidden="1">
      <c r="A5114" s="3" t="str">
        <f t="shared" si="79"/>
        <v>Período 1</v>
      </c>
      <c r="B5114">
        <v>27119</v>
      </c>
      <c r="C5114" t="s">
        <v>2300</v>
      </c>
      <c r="D5114" t="s">
        <v>2996</v>
      </c>
      <c r="E5114" s="3" t="str">
        <f>IF(LEN(Base_Periodo1[[#This Row],[CLASS]])&gt;=7,LEFT(Base_Periodo1[[#This Row],[CLASS]],7),"")</f>
        <v>2.4.1.1</v>
      </c>
      <c r="F5114" s="3" t="str">
        <f>VLOOKUP(Base_Periodo1[[#This Row],[Aux]],Base_Contas_Balanco[#All],2,FALSE)</f>
        <v>Capital Social Realizado</v>
      </c>
      <c r="G5114" s="1"/>
      <c r="H5114" s="225">
        <v>50</v>
      </c>
      <c r="I5114" s="225">
        <v>0</v>
      </c>
      <c r="J5114" s="225">
        <v>0</v>
      </c>
      <c r="K5114" s="225">
        <v>50</v>
      </c>
      <c r="L51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14" s="225">
        <f>ROUND(IF(AND(Base_Periodo1[[#This Row],[Tipo_Linha]]="-",Base_Periodo1[[#This Row],[TIPOSALDO]]="D"),Base_Periodo1[[#This Row],[SALDO_ATUAL]]*-1,Base_Periodo1[[#This Row],[SALDO_ATUAL]]),4)</f>
        <v>50</v>
      </c>
      <c r="N5114" t="s">
        <v>116</v>
      </c>
      <c r="O5114" t="s">
        <v>459</v>
      </c>
      <c r="P5114" t="s">
        <v>459</v>
      </c>
      <c r="Q5114">
        <v>6</v>
      </c>
      <c r="R5114" s="225">
        <f>Base_Periodo1[[#This Row],[CREDITOS]]-Base_Periodo1[[#This Row],[DEBITOS]]</f>
        <v>0</v>
      </c>
      <c r="S5114" s="3" t="str">
        <f>IF(ISERROR(VLOOKUP(Base_Periodo1[[#This Row],[CONTA]],BaseContasDRE[#All],4,FALSE)),"Fora do DRE",VLOOKUP(Base_Periodo1[[#This Row],[CONTA]],BaseContasDRE[#All],4,FALSE))</f>
        <v>Fora do DRE</v>
      </c>
      <c r="T5114" s="3" t="str">
        <f>IF(ISERROR(VLOOKUP(Base_Periodo1[[#This Row],[CONTA]],BaseContasDRE[#All],5,FALSE)),"Fora do DRE",VLOOKUP(Base_Periodo1[[#This Row],[CONTA]],BaseContasDRE[#All],6,FALSE))</f>
        <v>Fora do DRE</v>
      </c>
      <c r="U5114" s="3" t="str">
        <f>IF(ISERROR(VLOOKUP(Base_Periodo1[[#This Row],[CONTA]],BaseContasDRE[#All],7,FALSE)),"Fora do DRE",VLOOKUP(Base_Periodo1[[#This Row],[CONTA]],BaseContasDRE[#All],7,FALSE))</f>
        <v>Fora do DRE</v>
      </c>
      <c r="V5114" s="3" t="str">
        <f>IF(Base_Periodo1[[#This Row],[Tipo_Linha]]="Fora do DRE","Fora do DRE","( "&amp;Base_Periodo1[[#This Row],[Tipo_Linha]]&amp;" ) "&amp;Base_Periodo1[[#This Row],[Filtro]])</f>
        <v>Fora do DRE</v>
      </c>
      <c r="W5114" s="3" t="str">
        <f>LEFT(Base_Periodo1[[#This Row],[CLASS]],3)</f>
        <v>2.4</v>
      </c>
    </row>
    <row r="5115" spans="1:23" hidden="1">
      <c r="A5115" s="3" t="str">
        <f t="shared" si="79"/>
        <v>Período 1</v>
      </c>
      <c r="B5115">
        <v>55878</v>
      </c>
      <c r="C5115" t="s">
        <v>2300</v>
      </c>
      <c r="D5115" t="s">
        <v>5540</v>
      </c>
      <c r="E5115" s="3" t="str">
        <f>IF(LEN(Base_Periodo1[[#This Row],[CLASS]])&gt;=7,LEFT(Base_Periodo1[[#This Row],[CLASS]],7),"")</f>
        <v>2.4.1.1</v>
      </c>
      <c r="F5115" s="3" t="str">
        <f>VLOOKUP(Base_Periodo1[[#This Row],[Aux]],Base_Contas_Balanco[#All],2,FALSE)</f>
        <v>Capital Social Realizado</v>
      </c>
      <c r="G5115" s="1"/>
      <c r="H5115" s="225">
        <v>800</v>
      </c>
      <c r="I5115" s="225">
        <v>0</v>
      </c>
      <c r="J5115" s="225">
        <v>0</v>
      </c>
      <c r="K5115" s="225">
        <v>800</v>
      </c>
      <c r="L51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800</v>
      </c>
      <c r="M5115" s="225">
        <f>ROUND(IF(AND(Base_Periodo1[[#This Row],[Tipo_Linha]]="-",Base_Periodo1[[#This Row],[TIPOSALDO]]="D"),Base_Periodo1[[#This Row],[SALDO_ATUAL]]*-1,Base_Periodo1[[#This Row],[SALDO_ATUAL]]),4)</f>
        <v>800</v>
      </c>
      <c r="N5115" t="s">
        <v>116</v>
      </c>
      <c r="O5115" t="s">
        <v>459</v>
      </c>
      <c r="P5115" t="s">
        <v>459</v>
      </c>
      <c r="Q5115">
        <v>6</v>
      </c>
      <c r="R5115" s="225">
        <f>Base_Periodo1[[#This Row],[CREDITOS]]-Base_Periodo1[[#This Row],[DEBITOS]]</f>
        <v>0</v>
      </c>
      <c r="S5115" s="3" t="str">
        <f>IF(ISERROR(VLOOKUP(Base_Periodo1[[#This Row],[CONTA]],BaseContasDRE[#All],4,FALSE)),"Fora do DRE",VLOOKUP(Base_Periodo1[[#This Row],[CONTA]],BaseContasDRE[#All],4,FALSE))</f>
        <v>Fora do DRE</v>
      </c>
      <c r="T5115" s="3" t="str">
        <f>IF(ISERROR(VLOOKUP(Base_Periodo1[[#This Row],[CONTA]],BaseContasDRE[#All],5,FALSE)),"Fora do DRE",VLOOKUP(Base_Periodo1[[#This Row],[CONTA]],BaseContasDRE[#All],6,FALSE))</f>
        <v>Fora do DRE</v>
      </c>
      <c r="U5115" s="3" t="str">
        <f>IF(ISERROR(VLOOKUP(Base_Periodo1[[#This Row],[CONTA]],BaseContasDRE[#All],7,FALSE)),"Fora do DRE",VLOOKUP(Base_Periodo1[[#This Row],[CONTA]],BaseContasDRE[#All],7,FALSE))</f>
        <v>Fora do DRE</v>
      </c>
      <c r="V5115" s="3" t="str">
        <f>IF(Base_Periodo1[[#This Row],[Tipo_Linha]]="Fora do DRE","Fora do DRE","( "&amp;Base_Periodo1[[#This Row],[Tipo_Linha]]&amp;" ) "&amp;Base_Periodo1[[#This Row],[Filtro]])</f>
        <v>Fora do DRE</v>
      </c>
      <c r="W5115" s="3" t="str">
        <f>LEFT(Base_Periodo1[[#This Row],[CLASS]],3)</f>
        <v>2.4</v>
      </c>
    </row>
    <row r="5116" spans="1:23" hidden="1">
      <c r="A5116" s="3" t="str">
        <f t="shared" si="79"/>
        <v>Período 1</v>
      </c>
      <c r="B5116">
        <v>19258</v>
      </c>
      <c r="C5116" t="s">
        <v>2300</v>
      </c>
      <c r="D5116" t="s">
        <v>2997</v>
      </c>
      <c r="E5116" s="3" t="str">
        <f>IF(LEN(Base_Periodo1[[#This Row],[CLASS]])&gt;=7,LEFT(Base_Periodo1[[#This Row],[CLASS]],7),"")</f>
        <v>2.4.1.1</v>
      </c>
      <c r="F5116" s="3" t="str">
        <f>VLOOKUP(Base_Periodo1[[#This Row],[Aux]],Base_Contas_Balanco[#All],2,FALSE)</f>
        <v>Capital Social Realizado</v>
      </c>
      <c r="G5116" s="1"/>
      <c r="H5116" s="225">
        <v>311.14000000000004</v>
      </c>
      <c r="I5116" s="225">
        <v>0</v>
      </c>
      <c r="J5116" s="225">
        <v>0</v>
      </c>
      <c r="K5116" s="225">
        <v>311.14000000000004</v>
      </c>
      <c r="L51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311.14</v>
      </c>
      <c r="M5116" s="225">
        <f>ROUND(IF(AND(Base_Periodo1[[#This Row],[Tipo_Linha]]="-",Base_Periodo1[[#This Row],[TIPOSALDO]]="D"),Base_Periodo1[[#This Row],[SALDO_ATUAL]]*-1,Base_Periodo1[[#This Row],[SALDO_ATUAL]]),4)</f>
        <v>311.14</v>
      </c>
      <c r="N5116" t="s">
        <v>116</v>
      </c>
      <c r="O5116" t="s">
        <v>459</v>
      </c>
      <c r="P5116" t="s">
        <v>459</v>
      </c>
      <c r="Q5116">
        <v>6</v>
      </c>
      <c r="R5116" s="225">
        <f>Base_Periodo1[[#This Row],[CREDITOS]]-Base_Periodo1[[#This Row],[DEBITOS]]</f>
        <v>0</v>
      </c>
      <c r="S5116" s="3" t="str">
        <f>IF(ISERROR(VLOOKUP(Base_Periodo1[[#This Row],[CONTA]],BaseContasDRE[#All],4,FALSE)),"Fora do DRE",VLOOKUP(Base_Periodo1[[#This Row],[CONTA]],BaseContasDRE[#All],4,FALSE))</f>
        <v>Fora do DRE</v>
      </c>
      <c r="T5116" s="3" t="str">
        <f>IF(ISERROR(VLOOKUP(Base_Periodo1[[#This Row],[CONTA]],BaseContasDRE[#All],5,FALSE)),"Fora do DRE",VLOOKUP(Base_Periodo1[[#This Row],[CONTA]],BaseContasDRE[#All],6,FALSE))</f>
        <v>Fora do DRE</v>
      </c>
      <c r="U5116" s="3" t="str">
        <f>IF(ISERROR(VLOOKUP(Base_Periodo1[[#This Row],[CONTA]],BaseContasDRE[#All],7,FALSE)),"Fora do DRE",VLOOKUP(Base_Periodo1[[#This Row],[CONTA]],BaseContasDRE[#All],7,FALSE))</f>
        <v>Fora do DRE</v>
      </c>
      <c r="V5116" s="3" t="str">
        <f>IF(Base_Periodo1[[#This Row],[Tipo_Linha]]="Fora do DRE","Fora do DRE","( "&amp;Base_Periodo1[[#This Row],[Tipo_Linha]]&amp;" ) "&amp;Base_Periodo1[[#This Row],[Filtro]])</f>
        <v>Fora do DRE</v>
      </c>
      <c r="W5116" s="3" t="str">
        <f>LEFT(Base_Periodo1[[#This Row],[CLASS]],3)</f>
        <v>2.4</v>
      </c>
    </row>
    <row r="5117" spans="1:23" hidden="1">
      <c r="A5117" s="3" t="str">
        <f t="shared" si="79"/>
        <v>Período 1</v>
      </c>
      <c r="B5117">
        <v>19959</v>
      </c>
      <c r="C5117" t="s">
        <v>2300</v>
      </c>
      <c r="D5117" t="s">
        <v>2998</v>
      </c>
      <c r="E5117" s="3" t="str">
        <f>IF(LEN(Base_Periodo1[[#This Row],[CLASS]])&gt;=7,LEFT(Base_Periodo1[[#This Row],[CLASS]],7),"")</f>
        <v>2.4.1.1</v>
      </c>
      <c r="F5117" s="3" t="str">
        <f>VLOOKUP(Base_Periodo1[[#This Row],[Aux]],Base_Contas_Balanco[#All],2,FALSE)</f>
        <v>Capital Social Realizado</v>
      </c>
      <c r="G5117" s="1"/>
      <c r="H5117" s="225">
        <v>4967.29</v>
      </c>
      <c r="I5117" s="225">
        <v>0</v>
      </c>
      <c r="J5117" s="225">
        <v>0</v>
      </c>
      <c r="K5117" s="225">
        <v>4967.29</v>
      </c>
      <c r="L51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4967.29</v>
      </c>
      <c r="M5117" s="225">
        <f>ROUND(IF(AND(Base_Periodo1[[#This Row],[Tipo_Linha]]="-",Base_Periodo1[[#This Row],[TIPOSALDO]]="D"),Base_Periodo1[[#This Row],[SALDO_ATUAL]]*-1,Base_Periodo1[[#This Row],[SALDO_ATUAL]]),4)</f>
        <v>4967.29</v>
      </c>
      <c r="N5117" t="s">
        <v>116</v>
      </c>
      <c r="O5117" t="s">
        <v>459</v>
      </c>
      <c r="P5117" t="s">
        <v>459</v>
      </c>
      <c r="Q5117">
        <v>6</v>
      </c>
      <c r="R5117" s="225">
        <f>Base_Periodo1[[#This Row],[CREDITOS]]-Base_Periodo1[[#This Row],[DEBITOS]]</f>
        <v>0</v>
      </c>
      <c r="S5117" s="3" t="str">
        <f>IF(ISERROR(VLOOKUP(Base_Periodo1[[#This Row],[CONTA]],BaseContasDRE[#All],4,FALSE)),"Fora do DRE",VLOOKUP(Base_Periodo1[[#This Row],[CONTA]],BaseContasDRE[#All],4,FALSE))</f>
        <v>Fora do DRE</v>
      </c>
      <c r="T5117" s="3" t="str">
        <f>IF(ISERROR(VLOOKUP(Base_Periodo1[[#This Row],[CONTA]],BaseContasDRE[#All],5,FALSE)),"Fora do DRE",VLOOKUP(Base_Periodo1[[#This Row],[CONTA]],BaseContasDRE[#All],6,FALSE))</f>
        <v>Fora do DRE</v>
      </c>
      <c r="U5117" s="3" t="str">
        <f>IF(ISERROR(VLOOKUP(Base_Periodo1[[#This Row],[CONTA]],BaseContasDRE[#All],7,FALSE)),"Fora do DRE",VLOOKUP(Base_Periodo1[[#This Row],[CONTA]],BaseContasDRE[#All],7,FALSE))</f>
        <v>Fora do DRE</v>
      </c>
      <c r="V5117" s="3" t="str">
        <f>IF(Base_Periodo1[[#This Row],[Tipo_Linha]]="Fora do DRE","Fora do DRE","( "&amp;Base_Periodo1[[#This Row],[Tipo_Linha]]&amp;" ) "&amp;Base_Periodo1[[#This Row],[Filtro]])</f>
        <v>Fora do DRE</v>
      </c>
      <c r="W5117" s="3" t="str">
        <f>LEFT(Base_Periodo1[[#This Row],[CLASS]],3)</f>
        <v>2.4</v>
      </c>
    </row>
    <row r="5118" spans="1:23" hidden="1">
      <c r="A5118" s="3" t="str">
        <f t="shared" si="79"/>
        <v>Período 1</v>
      </c>
      <c r="B5118">
        <v>34404</v>
      </c>
      <c r="C5118" t="s">
        <v>2300</v>
      </c>
      <c r="D5118" t="s">
        <v>2999</v>
      </c>
      <c r="E5118" s="3" t="str">
        <f>IF(LEN(Base_Periodo1[[#This Row],[CLASS]])&gt;=7,LEFT(Base_Periodo1[[#This Row],[CLASS]],7),"")</f>
        <v>2.4.1.1</v>
      </c>
      <c r="F5118" s="3" t="str">
        <f>VLOOKUP(Base_Periodo1[[#This Row],[Aux]],Base_Contas_Balanco[#All],2,FALSE)</f>
        <v>Capital Social Realizado</v>
      </c>
      <c r="G5118" s="1"/>
      <c r="H5118" s="225">
        <v>708.69</v>
      </c>
      <c r="I5118" s="225">
        <v>0</v>
      </c>
      <c r="J5118" s="225">
        <v>0</v>
      </c>
      <c r="K5118" s="225">
        <v>708.69</v>
      </c>
      <c r="L51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708.69</v>
      </c>
      <c r="M5118" s="225">
        <f>ROUND(IF(AND(Base_Periodo1[[#This Row],[Tipo_Linha]]="-",Base_Periodo1[[#This Row],[TIPOSALDO]]="D"),Base_Periodo1[[#This Row],[SALDO_ATUAL]]*-1,Base_Periodo1[[#This Row],[SALDO_ATUAL]]),4)</f>
        <v>708.69</v>
      </c>
      <c r="N5118" t="s">
        <v>116</v>
      </c>
      <c r="O5118" t="s">
        <v>459</v>
      </c>
      <c r="P5118" t="s">
        <v>459</v>
      </c>
      <c r="Q5118">
        <v>6</v>
      </c>
      <c r="R5118" s="225">
        <f>Base_Periodo1[[#This Row],[CREDITOS]]-Base_Periodo1[[#This Row],[DEBITOS]]</f>
        <v>0</v>
      </c>
      <c r="S5118" s="3" t="str">
        <f>IF(ISERROR(VLOOKUP(Base_Periodo1[[#This Row],[CONTA]],BaseContasDRE[#All],4,FALSE)),"Fora do DRE",VLOOKUP(Base_Periodo1[[#This Row],[CONTA]],BaseContasDRE[#All],4,FALSE))</f>
        <v>Fora do DRE</v>
      </c>
      <c r="T5118" s="3" t="str">
        <f>IF(ISERROR(VLOOKUP(Base_Periodo1[[#This Row],[CONTA]],BaseContasDRE[#All],5,FALSE)),"Fora do DRE",VLOOKUP(Base_Periodo1[[#This Row],[CONTA]],BaseContasDRE[#All],6,FALSE))</f>
        <v>Fora do DRE</v>
      </c>
      <c r="U5118" s="3" t="str">
        <f>IF(ISERROR(VLOOKUP(Base_Periodo1[[#This Row],[CONTA]],BaseContasDRE[#All],7,FALSE)),"Fora do DRE",VLOOKUP(Base_Periodo1[[#This Row],[CONTA]],BaseContasDRE[#All],7,FALSE))</f>
        <v>Fora do DRE</v>
      </c>
      <c r="V5118" s="3" t="str">
        <f>IF(Base_Periodo1[[#This Row],[Tipo_Linha]]="Fora do DRE","Fora do DRE","( "&amp;Base_Periodo1[[#This Row],[Tipo_Linha]]&amp;" ) "&amp;Base_Periodo1[[#This Row],[Filtro]])</f>
        <v>Fora do DRE</v>
      </c>
      <c r="W5118" s="3" t="str">
        <f>LEFT(Base_Periodo1[[#This Row],[CLASS]],3)</f>
        <v>2.4</v>
      </c>
    </row>
    <row r="5119" spans="1:23" hidden="1">
      <c r="A5119" s="3" t="str">
        <f t="shared" si="79"/>
        <v>Período 1</v>
      </c>
      <c r="B5119">
        <v>25214</v>
      </c>
      <c r="C5119" t="s">
        <v>2300</v>
      </c>
      <c r="D5119" t="s">
        <v>3000</v>
      </c>
      <c r="E5119" s="3" t="str">
        <f>IF(LEN(Base_Periodo1[[#This Row],[CLASS]])&gt;=7,LEFT(Base_Periodo1[[#This Row],[CLASS]],7),"")</f>
        <v>2.4.1.1</v>
      </c>
      <c r="F5119" s="3" t="str">
        <f>VLOOKUP(Base_Periodo1[[#This Row],[Aux]],Base_Contas_Balanco[#All],2,FALSE)</f>
        <v>Capital Social Realizado</v>
      </c>
      <c r="G5119" s="1"/>
      <c r="H5119" s="225">
        <v>448.87</v>
      </c>
      <c r="I5119" s="225">
        <v>0</v>
      </c>
      <c r="J5119" s="225">
        <v>0</v>
      </c>
      <c r="K5119" s="225">
        <v>448.87</v>
      </c>
      <c r="L51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448.87</v>
      </c>
      <c r="M5119" s="225">
        <f>ROUND(IF(AND(Base_Periodo1[[#This Row],[Tipo_Linha]]="-",Base_Periodo1[[#This Row],[TIPOSALDO]]="D"),Base_Periodo1[[#This Row],[SALDO_ATUAL]]*-1,Base_Periodo1[[#This Row],[SALDO_ATUAL]]),4)</f>
        <v>448.87</v>
      </c>
      <c r="N5119" t="s">
        <v>116</v>
      </c>
      <c r="O5119" t="s">
        <v>459</v>
      </c>
      <c r="P5119" t="s">
        <v>459</v>
      </c>
      <c r="Q5119">
        <v>6</v>
      </c>
      <c r="R5119" s="225">
        <f>Base_Periodo1[[#This Row],[CREDITOS]]-Base_Periodo1[[#This Row],[DEBITOS]]</f>
        <v>0</v>
      </c>
      <c r="S5119" s="3" t="str">
        <f>IF(ISERROR(VLOOKUP(Base_Periodo1[[#This Row],[CONTA]],BaseContasDRE[#All],4,FALSE)),"Fora do DRE",VLOOKUP(Base_Periodo1[[#This Row],[CONTA]],BaseContasDRE[#All],4,FALSE))</f>
        <v>Fora do DRE</v>
      </c>
      <c r="T5119" s="3" t="str">
        <f>IF(ISERROR(VLOOKUP(Base_Periodo1[[#This Row],[CONTA]],BaseContasDRE[#All],5,FALSE)),"Fora do DRE",VLOOKUP(Base_Periodo1[[#This Row],[CONTA]],BaseContasDRE[#All],6,FALSE))</f>
        <v>Fora do DRE</v>
      </c>
      <c r="U5119" s="3" t="str">
        <f>IF(ISERROR(VLOOKUP(Base_Periodo1[[#This Row],[CONTA]],BaseContasDRE[#All],7,FALSE)),"Fora do DRE",VLOOKUP(Base_Periodo1[[#This Row],[CONTA]],BaseContasDRE[#All],7,FALSE))</f>
        <v>Fora do DRE</v>
      </c>
      <c r="V5119" s="3" t="str">
        <f>IF(Base_Periodo1[[#This Row],[Tipo_Linha]]="Fora do DRE","Fora do DRE","( "&amp;Base_Periodo1[[#This Row],[Tipo_Linha]]&amp;" ) "&amp;Base_Periodo1[[#This Row],[Filtro]])</f>
        <v>Fora do DRE</v>
      </c>
      <c r="W5119" s="3" t="str">
        <f>LEFT(Base_Periodo1[[#This Row],[CLASS]],3)</f>
        <v>2.4</v>
      </c>
    </row>
    <row r="5120" spans="1:23" hidden="1">
      <c r="A5120" s="3" t="str">
        <f t="shared" si="79"/>
        <v>Período 1</v>
      </c>
      <c r="B5120">
        <v>26104</v>
      </c>
      <c r="C5120" t="s">
        <v>2300</v>
      </c>
      <c r="D5120" t="s">
        <v>3001</v>
      </c>
      <c r="E5120" s="3" t="str">
        <f>IF(LEN(Base_Periodo1[[#This Row],[CLASS]])&gt;=7,LEFT(Base_Periodo1[[#This Row],[CLASS]],7),"")</f>
        <v>2.4.1.1</v>
      </c>
      <c r="F5120" s="3" t="str">
        <f>VLOOKUP(Base_Periodo1[[#This Row],[Aux]],Base_Contas_Balanco[#All],2,FALSE)</f>
        <v>Capital Social Realizado</v>
      </c>
      <c r="G5120" s="1"/>
      <c r="H5120" s="225">
        <v>259.97000000000003</v>
      </c>
      <c r="I5120" s="225">
        <v>0</v>
      </c>
      <c r="J5120" s="225">
        <v>0</v>
      </c>
      <c r="K5120" s="225">
        <v>259.97000000000003</v>
      </c>
      <c r="L51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259.97000000000003</v>
      </c>
      <c r="M5120" s="225">
        <f>ROUND(IF(AND(Base_Periodo1[[#This Row],[Tipo_Linha]]="-",Base_Periodo1[[#This Row],[TIPOSALDO]]="D"),Base_Periodo1[[#This Row],[SALDO_ATUAL]]*-1,Base_Periodo1[[#This Row],[SALDO_ATUAL]]),4)</f>
        <v>259.97000000000003</v>
      </c>
      <c r="N5120" t="s">
        <v>116</v>
      </c>
      <c r="O5120" t="s">
        <v>459</v>
      </c>
      <c r="P5120" t="s">
        <v>459</v>
      </c>
      <c r="Q5120">
        <v>6</v>
      </c>
      <c r="R5120" s="225">
        <f>Base_Periodo1[[#This Row],[CREDITOS]]-Base_Periodo1[[#This Row],[DEBITOS]]</f>
        <v>0</v>
      </c>
      <c r="S5120" s="3" t="str">
        <f>IF(ISERROR(VLOOKUP(Base_Periodo1[[#This Row],[CONTA]],BaseContasDRE[#All],4,FALSE)),"Fora do DRE",VLOOKUP(Base_Periodo1[[#This Row],[CONTA]],BaseContasDRE[#All],4,FALSE))</f>
        <v>Fora do DRE</v>
      </c>
      <c r="T5120" s="3" t="str">
        <f>IF(ISERROR(VLOOKUP(Base_Periodo1[[#This Row],[CONTA]],BaseContasDRE[#All],5,FALSE)),"Fora do DRE",VLOOKUP(Base_Periodo1[[#This Row],[CONTA]],BaseContasDRE[#All],6,FALSE))</f>
        <v>Fora do DRE</v>
      </c>
      <c r="U5120" s="3" t="str">
        <f>IF(ISERROR(VLOOKUP(Base_Periodo1[[#This Row],[CONTA]],BaseContasDRE[#All],7,FALSE)),"Fora do DRE",VLOOKUP(Base_Periodo1[[#This Row],[CONTA]],BaseContasDRE[#All],7,FALSE))</f>
        <v>Fora do DRE</v>
      </c>
      <c r="V5120" s="3" t="str">
        <f>IF(Base_Periodo1[[#This Row],[Tipo_Linha]]="Fora do DRE","Fora do DRE","( "&amp;Base_Periodo1[[#This Row],[Tipo_Linha]]&amp;" ) "&amp;Base_Periodo1[[#This Row],[Filtro]])</f>
        <v>Fora do DRE</v>
      </c>
      <c r="W5120" s="3" t="str">
        <f>LEFT(Base_Periodo1[[#This Row],[CLASS]],3)</f>
        <v>2.4</v>
      </c>
    </row>
    <row r="5121" spans="1:23" hidden="1">
      <c r="A5121" s="3" t="str">
        <f t="shared" si="79"/>
        <v>Período 1</v>
      </c>
      <c r="B5121">
        <v>28130</v>
      </c>
      <c r="C5121" t="s">
        <v>2300</v>
      </c>
      <c r="D5121" t="s">
        <v>3002</v>
      </c>
      <c r="E5121" s="3" t="str">
        <f>IF(LEN(Base_Periodo1[[#This Row],[CLASS]])&gt;=7,LEFT(Base_Periodo1[[#This Row],[CLASS]],7),"")</f>
        <v>2.4.1.1</v>
      </c>
      <c r="F5121" s="3" t="str">
        <f>VLOOKUP(Base_Periodo1[[#This Row],[Aux]],Base_Contas_Balanco[#All],2,FALSE)</f>
        <v>Capital Social Realizado</v>
      </c>
      <c r="G5121" s="1"/>
      <c r="H5121" s="225">
        <v>803.05</v>
      </c>
      <c r="I5121" s="225">
        <v>0</v>
      </c>
      <c r="J5121" s="225">
        <v>0</v>
      </c>
      <c r="K5121" s="225">
        <v>803.05</v>
      </c>
      <c r="L51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803.05</v>
      </c>
      <c r="M5121" s="225">
        <f>ROUND(IF(AND(Base_Periodo1[[#This Row],[Tipo_Linha]]="-",Base_Periodo1[[#This Row],[TIPOSALDO]]="D"),Base_Periodo1[[#This Row],[SALDO_ATUAL]]*-1,Base_Periodo1[[#This Row],[SALDO_ATUAL]]),4)</f>
        <v>803.05</v>
      </c>
      <c r="N5121" t="s">
        <v>116</v>
      </c>
      <c r="O5121" t="s">
        <v>459</v>
      </c>
      <c r="P5121" t="s">
        <v>459</v>
      </c>
      <c r="Q5121">
        <v>6</v>
      </c>
      <c r="R5121" s="225">
        <f>Base_Periodo1[[#This Row],[CREDITOS]]-Base_Periodo1[[#This Row],[DEBITOS]]</f>
        <v>0</v>
      </c>
      <c r="S5121" s="3" t="str">
        <f>IF(ISERROR(VLOOKUP(Base_Periodo1[[#This Row],[CONTA]],BaseContasDRE[#All],4,FALSE)),"Fora do DRE",VLOOKUP(Base_Periodo1[[#This Row],[CONTA]],BaseContasDRE[#All],4,FALSE))</f>
        <v>Fora do DRE</v>
      </c>
      <c r="T5121" s="3" t="str">
        <f>IF(ISERROR(VLOOKUP(Base_Periodo1[[#This Row],[CONTA]],BaseContasDRE[#All],5,FALSE)),"Fora do DRE",VLOOKUP(Base_Periodo1[[#This Row],[CONTA]],BaseContasDRE[#All],6,FALSE))</f>
        <v>Fora do DRE</v>
      </c>
      <c r="U5121" s="3" t="str">
        <f>IF(ISERROR(VLOOKUP(Base_Periodo1[[#This Row],[CONTA]],BaseContasDRE[#All],7,FALSE)),"Fora do DRE",VLOOKUP(Base_Periodo1[[#This Row],[CONTA]],BaseContasDRE[#All],7,FALSE))</f>
        <v>Fora do DRE</v>
      </c>
      <c r="V5121" s="3" t="str">
        <f>IF(Base_Periodo1[[#This Row],[Tipo_Linha]]="Fora do DRE","Fora do DRE","( "&amp;Base_Periodo1[[#This Row],[Tipo_Linha]]&amp;" ) "&amp;Base_Periodo1[[#This Row],[Filtro]])</f>
        <v>Fora do DRE</v>
      </c>
      <c r="W5121" s="3" t="str">
        <f>LEFT(Base_Periodo1[[#This Row],[CLASS]],3)</f>
        <v>2.4</v>
      </c>
    </row>
    <row r="5122" spans="1:23" hidden="1">
      <c r="A5122" s="3" t="str">
        <f t="shared" si="79"/>
        <v>Período 1</v>
      </c>
      <c r="B5122">
        <v>40758</v>
      </c>
      <c r="C5122" t="s">
        <v>2300</v>
      </c>
      <c r="D5122" t="s">
        <v>3003</v>
      </c>
      <c r="E5122" s="3" t="str">
        <f>IF(LEN(Base_Periodo1[[#This Row],[CLASS]])&gt;=7,LEFT(Base_Periodo1[[#This Row],[CLASS]],7),"")</f>
        <v>2.4.1.1</v>
      </c>
      <c r="F5122" s="3" t="str">
        <f>VLOOKUP(Base_Periodo1[[#This Row],[Aux]],Base_Contas_Balanco[#All],2,FALSE)</f>
        <v>Capital Social Realizado</v>
      </c>
      <c r="G5122" s="1"/>
      <c r="H5122" s="225">
        <v>73.14</v>
      </c>
      <c r="I5122" s="225">
        <v>0</v>
      </c>
      <c r="J5122" s="225">
        <v>0</v>
      </c>
      <c r="K5122" s="225">
        <v>73.14</v>
      </c>
      <c r="L51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73.14</v>
      </c>
      <c r="M5122" s="225">
        <f>ROUND(IF(AND(Base_Periodo1[[#This Row],[Tipo_Linha]]="-",Base_Periodo1[[#This Row],[TIPOSALDO]]="D"),Base_Periodo1[[#This Row],[SALDO_ATUAL]]*-1,Base_Periodo1[[#This Row],[SALDO_ATUAL]]),4)</f>
        <v>73.14</v>
      </c>
      <c r="N5122" t="s">
        <v>116</v>
      </c>
      <c r="O5122" t="s">
        <v>459</v>
      </c>
      <c r="P5122" t="s">
        <v>459</v>
      </c>
      <c r="Q5122">
        <v>6</v>
      </c>
      <c r="R5122" s="225">
        <f>Base_Periodo1[[#This Row],[CREDITOS]]-Base_Periodo1[[#This Row],[DEBITOS]]</f>
        <v>0</v>
      </c>
      <c r="S5122" s="3" t="str">
        <f>IF(ISERROR(VLOOKUP(Base_Periodo1[[#This Row],[CONTA]],BaseContasDRE[#All],4,FALSE)),"Fora do DRE",VLOOKUP(Base_Periodo1[[#This Row],[CONTA]],BaseContasDRE[#All],4,FALSE))</f>
        <v>Fora do DRE</v>
      </c>
      <c r="T5122" s="3" t="str">
        <f>IF(ISERROR(VLOOKUP(Base_Periodo1[[#This Row],[CONTA]],BaseContasDRE[#All],5,FALSE)),"Fora do DRE",VLOOKUP(Base_Periodo1[[#This Row],[CONTA]],BaseContasDRE[#All],6,FALSE))</f>
        <v>Fora do DRE</v>
      </c>
      <c r="U5122" s="3" t="str">
        <f>IF(ISERROR(VLOOKUP(Base_Periodo1[[#This Row],[CONTA]],BaseContasDRE[#All],7,FALSE)),"Fora do DRE",VLOOKUP(Base_Periodo1[[#This Row],[CONTA]],BaseContasDRE[#All],7,FALSE))</f>
        <v>Fora do DRE</v>
      </c>
      <c r="V5122" s="3" t="str">
        <f>IF(Base_Periodo1[[#This Row],[Tipo_Linha]]="Fora do DRE","Fora do DRE","( "&amp;Base_Periodo1[[#This Row],[Tipo_Linha]]&amp;" ) "&amp;Base_Periodo1[[#This Row],[Filtro]])</f>
        <v>Fora do DRE</v>
      </c>
      <c r="W5122" s="3" t="str">
        <f>LEFT(Base_Periodo1[[#This Row],[CLASS]],3)</f>
        <v>2.4</v>
      </c>
    </row>
    <row r="5123" spans="1:23" hidden="1">
      <c r="A5123" s="3" t="str">
        <f t="shared" si="79"/>
        <v>Período 1</v>
      </c>
      <c r="B5123">
        <v>25664</v>
      </c>
      <c r="C5123" t="s">
        <v>2300</v>
      </c>
      <c r="D5123" t="s">
        <v>3004</v>
      </c>
      <c r="E5123" s="3" t="str">
        <f>IF(LEN(Base_Periodo1[[#This Row],[CLASS]])&gt;=7,LEFT(Base_Periodo1[[#This Row],[CLASS]],7),"")</f>
        <v>2.4.1.1</v>
      </c>
      <c r="F5123" s="3" t="str">
        <f>VLOOKUP(Base_Periodo1[[#This Row],[Aux]],Base_Contas_Balanco[#All],2,FALSE)</f>
        <v>Capital Social Realizado</v>
      </c>
      <c r="G5123" s="1"/>
      <c r="H5123" s="225">
        <v>50</v>
      </c>
      <c r="I5123" s="225">
        <v>0</v>
      </c>
      <c r="J5123" s="225">
        <v>0</v>
      </c>
      <c r="K5123" s="225">
        <v>50</v>
      </c>
      <c r="L51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23" s="225">
        <f>ROUND(IF(AND(Base_Periodo1[[#This Row],[Tipo_Linha]]="-",Base_Periodo1[[#This Row],[TIPOSALDO]]="D"),Base_Periodo1[[#This Row],[SALDO_ATUAL]]*-1,Base_Periodo1[[#This Row],[SALDO_ATUAL]]),4)</f>
        <v>50</v>
      </c>
      <c r="N5123" t="s">
        <v>116</v>
      </c>
      <c r="O5123" t="s">
        <v>459</v>
      </c>
      <c r="P5123" t="s">
        <v>459</v>
      </c>
      <c r="Q5123">
        <v>6</v>
      </c>
      <c r="R5123" s="225">
        <f>Base_Periodo1[[#This Row],[CREDITOS]]-Base_Periodo1[[#This Row],[DEBITOS]]</f>
        <v>0</v>
      </c>
      <c r="S5123" s="3" t="str">
        <f>IF(ISERROR(VLOOKUP(Base_Periodo1[[#This Row],[CONTA]],BaseContasDRE[#All],4,FALSE)),"Fora do DRE",VLOOKUP(Base_Periodo1[[#This Row],[CONTA]],BaseContasDRE[#All],4,FALSE))</f>
        <v>Fora do DRE</v>
      </c>
      <c r="T5123" s="3" t="str">
        <f>IF(ISERROR(VLOOKUP(Base_Periodo1[[#This Row],[CONTA]],BaseContasDRE[#All],5,FALSE)),"Fora do DRE",VLOOKUP(Base_Periodo1[[#This Row],[CONTA]],BaseContasDRE[#All],6,FALSE))</f>
        <v>Fora do DRE</v>
      </c>
      <c r="U5123" s="3" t="str">
        <f>IF(ISERROR(VLOOKUP(Base_Periodo1[[#This Row],[CONTA]],BaseContasDRE[#All],7,FALSE)),"Fora do DRE",VLOOKUP(Base_Periodo1[[#This Row],[CONTA]],BaseContasDRE[#All],7,FALSE))</f>
        <v>Fora do DRE</v>
      </c>
      <c r="V5123" s="3" t="str">
        <f>IF(Base_Periodo1[[#This Row],[Tipo_Linha]]="Fora do DRE","Fora do DRE","( "&amp;Base_Periodo1[[#This Row],[Tipo_Linha]]&amp;" ) "&amp;Base_Periodo1[[#This Row],[Filtro]])</f>
        <v>Fora do DRE</v>
      </c>
      <c r="W5123" s="3" t="str">
        <f>LEFT(Base_Periodo1[[#This Row],[CLASS]],3)</f>
        <v>2.4</v>
      </c>
    </row>
    <row r="5124" spans="1:23" hidden="1">
      <c r="A5124" s="3" t="str">
        <f t="shared" si="79"/>
        <v>Período 1</v>
      </c>
      <c r="B5124">
        <v>50729</v>
      </c>
      <c r="C5124" t="s">
        <v>2300</v>
      </c>
      <c r="D5124" t="s">
        <v>4474</v>
      </c>
      <c r="E5124" s="3" t="str">
        <f>IF(LEN(Base_Periodo1[[#This Row],[CLASS]])&gt;=7,LEFT(Base_Periodo1[[#This Row],[CLASS]],7),"")</f>
        <v>2.4.1.1</v>
      </c>
      <c r="F5124" s="3" t="str">
        <f>VLOOKUP(Base_Periodo1[[#This Row],[Aux]],Base_Contas_Balanco[#All],2,FALSE)</f>
        <v>Capital Social Realizado</v>
      </c>
      <c r="G5124" s="1"/>
      <c r="H5124" s="225">
        <v>50</v>
      </c>
      <c r="I5124" s="225">
        <v>0</v>
      </c>
      <c r="J5124" s="225">
        <v>0</v>
      </c>
      <c r="K5124" s="225">
        <v>50</v>
      </c>
      <c r="L51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24" s="225">
        <f>ROUND(IF(AND(Base_Periodo1[[#This Row],[Tipo_Linha]]="-",Base_Periodo1[[#This Row],[TIPOSALDO]]="D"),Base_Periodo1[[#This Row],[SALDO_ATUAL]]*-1,Base_Periodo1[[#This Row],[SALDO_ATUAL]]),4)</f>
        <v>50</v>
      </c>
      <c r="N5124" t="s">
        <v>116</v>
      </c>
      <c r="O5124" t="s">
        <v>459</v>
      </c>
      <c r="P5124" t="s">
        <v>459</v>
      </c>
      <c r="Q5124">
        <v>6</v>
      </c>
      <c r="R5124" s="225">
        <f>Base_Periodo1[[#This Row],[CREDITOS]]-Base_Periodo1[[#This Row],[DEBITOS]]</f>
        <v>0</v>
      </c>
      <c r="S5124" s="3" t="str">
        <f>IF(ISERROR(VLOOKUP(Base_Periodo1[[#This Row],[CONTA]],BaseContasDRE[#All],4,FALSE)),"Fora do DRE",VLOOKUP(Base_Periodo1[[#This Row],[CONTA]],BaseContasDRE[#All],4,FALSE))</f>
        <v>Fora do DRE</v>
      </c>
      <c r="T5124" s="3" t="str">
        <f>IF(ISERROR(VLOOKUP(Base_Periodo1[[#This Row],[CONTA]],BaseContasDRE[#All],5,FALSE)),"Fora do DRE",VLOOKUP(Base_Periodo1[[#This Row],[CONTA]],BaseContasDRE[#All],6,FALSE))</f>
        <v>Fora do DRE</v>
      </c>
      <c r="U5124" s="3" t="str">
        <f>IF(ISERROR(VLOOKUP(Base_Periodo1[[#This Row],[CONTA]],BaseContasDRE[#All],7,FALSE)),"Fora do DRE",VLOOKUP(Base_Periodo1[[#This Row],[CONTA]],BaseContasDRE[#All],7,FALSE))</f>
        <v>Fora do DRE</v>
      </c>
      <c r="V5124" s="3" t="str">
        <f>IF(Base_Periodo1[[#This Row],[Tipo_Linha]]="Fora do DRE","Fora do DRE","( "&amp;Base_Periodo1[[#This Row],[Tipo_Linha]]&amp;" ) "&amp;Base_Periodo1[[#This Row],[Filtro]])</f>
        <v>Fora do DRE</v>
      </c>
      <c r="W5124" s="3" t="str">
        <f>LEFT(Base_Periodo1[[#This Row],[CLASS]],3)</f>
        <v>2.4</v>
      </c>
    </row>
    <row r="5125" spans="1:23" hidden="1">
      <c r="A5125" s="3" t="str">
        <f t="shared" si="79"/>
        <v>Período 1</v>
      </c>
      <c r="B5125">
        <v>15937</v>
      </c>
      <c r="C5125" t="s">
        <v>2300</v>
      </c>
      <c r="D5125" t="s">
        <v>3005</v>
      </c>
      <c r="E5125" s="3" t="str">
        <f>IF(LEN(Base_Periodo1[[#This Row],[CLASS]])&gt;=7,LEFT(Base_Periodo1[[#This Row],[CLASS]],7),"")</f>
        <v>2.4.1.1</v>
      </c>
      <c r="F5125" s="3" t="str">
        <f>VLOOKUP(Base_Periodo1[[#This Row],[Aux]],Base_Contas_Balanco[#All],2,FALSE)</f>
        <v>Capital Social Realizado</v>
      </c>
      <c r="G5125" s="1"/>
      <c r="H5125" s="225">
        <v>3755.14</v>
      </c>
      <c r="I5125" s="225">
        <v>0</v>
      </c>
      <c r="J5125" s="225">
        <v>0</v>
      </c>
      <c r="K5125" s="225">
        <v>3755.14</v>
      </c>
      <c r="L51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3755.14</v>
      </c>
      <c r="M5125" s="225">
        <f>ROUND(IF(AND(Base_Periodo1[[#This Row],[Tipo_Linha]]="-",Base_Periodo1[[#This Row],[TIPOSALDO]]="D"),Base_Periodo1[[#This Row],[SALDO_ATUAL]]*-1,Base_Periodo1[[#This Row],[SALDO_ATUAL]]),4)</f>
        <v>3755.14</v>
      </c>
      <c r="N5125" t="s">
        <v>116</v>
      </c>
      <c r="O5125" t="s">
        <v>459</v>
      </c>
      <c r="P5125" t="s">
        <v>459</v>
      </c>
      <c r="Q5125">
        <v>6</v>
      </c>
      <c r="R5125" s="225">
        <f>Base_Periodo1[[#This Row],[CREDITOS]]-Base_Periodo1[[#This Row],[DEBITOS]]</f>
        <v>0</v>
      </c>
      <c r="S5125" s="3" t="str">
        <f>IF(ISERROR(VLOOKUP(Base_Periodo1[[#This Row],[CONTA]],BaseContasDRE[#All],4,FALSE)),"Fora do DRE",VLOOKUP(Base_Periodo1[[#This Row],[CONTA]],BaseContasDRE[#All],4,FALSE))</f>
        <v>Fora do DRE</v>
      </c>
      <c r="T5125" s="3" t="str">
        <f>IF(ISERROR(VLOOKUP(Base_Periodo1[[#This Row],[CONTA]],BaseContasDRE[#All],5,FALSE)),"Fora do DRE",VLOOKUP(Base_Periodo1[[#This Row],[CONTA]],BaseContasDRE[#All],6,FALSE))</f>
        <v>Fora do DRE</v>
      </c>
      <c r="U5125" s="3" t="str">
        <f>IF(ISERROR(VLOOKUP(Base_Periodo1[[#This Row],[CONTA]],BaseContasDRE[#All],7,FALSE)),"Fora do DRE",VLOOKUP(Base_Periodo1[[#This Row],[CONTA]],BaseContasDRE[#All],7,FALSE))</f>
        <v>Fora do DRE</v>
      </c>
      <c r="V5125" s="3" t="str">
        <f>IF(Base_Periodo1[[#This Row],[Tipo_Linha]]="Fora do DRE","Fora do DRE","( "&amp;Base_Periodo1[[#This Row],[Tipo_Linha]]&amp;" ) "&amp;Base_Periodo1[[#This Row],[Filtro]])</f>
        <v>Fora do DRE</v>
      </c>
      <c r="W5125" s="3" t="str">
        <f>LEFT(Base_Periodo1[[#This Row],[CLASS]],3)</f>
        <v>2.4</v>
      </c>
    </row>
    <row r="5126" spans="1:23" hidden="1">
      <c r="A5126" s="3" t="str">
        <f t="shared" ref="A5126:A5189" si="80">"Período 1"</f>
        <v>Período 1</v>
      </c>
      <c r="B5126">
        <v>21288</v>
      </c>
      <c r="C5126" t="s">
        <v>2300</v>
      </c>
      <c r="D5126" t="s">
        <v>3006</v>
      </c>
      <c r="E5126" s="3" t="str">
        <f>IF(LEN(Base_Periodo1[[#This Row],[CLASS]])&gt;=7,LEFT(Base_Periodo1[[#This Row],[CLASS]],7),"")</f>
        <v>2.4.1.1</v>
      </c>
      <c r="F5126" s="3" t="str">
        <f>VLOOKUP(Base_Periodo1[[#This Row],[Aux]],Base_Contas_Balanco[#All],2,FALSE)</f>
        <v>Capital Social Realizado</v>
      </c>
      <c r="G5126" s="1"/>
      <c r="H5126" s="225">
        <v>963.01</v>
      </c>
      <c r="I5126" s="225">
        <v>0</v>
      </c>
      <c r="J5126" s="225">
        <v>0</v>
      </c>
      <c r="K5126" s="225">
        <v>963.01</v>
      </c>
      <c r="L51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963.01</v>
      </c>
      <c r="M5126" s="225">
        <f>ROUND(IF(AND(Base_Periodo1[[#This Row],[Tipo_Linha]]="-",Base_Periodo1[[#This Row],[TIPOSALDO]]="D"),Base_Periodo1[[#This Row],[SALDO_ATUAL]]*-1,Base_Periodo1[[#This Row],[SALDO_ATUAL]]),4)</f>
        <v>963.01</v>
      </c>
      <c r="N5126" t="s">
        <v>116</v>
      </c>
      <c r="O5126" t="s">
        <v>459</v>
      </c>
      <c r="P5126" t="s">
        <v>459</v>
      </c>
      <c r="Q5126">
        <v>6</v>
      </c>
      <c r="R5126" s="225">
        <f>Base_Periodo1[[#This Row],[CREDITOS]]-Base_Periodo1[[#This Row],[DEBITOS]]</f>
        <v>0</v>
      </c>
      <c r="S5126" s="3" t="str">
        <f>IF(ISERROR(VLOOKUP(Base_Periodo1[[#This Row],[CONTA]],BaseContasDRE[#All],4,FALSE)),"Fora do DRE",VLOOKUP(Base_Periodo1[[#This Row],[CONTA]],BaseContasDRE[#All],4,FALSE))</f>
        <v>Fora do DRE</v>
      </c>
      <c r="T5126" s="3" t="str">
        <f>IF(ISERROR(VLOOKUP(Base_Periodo1[[#This Row],[CONTA]],BaseContasDRE[#All],5,FALSE)),"Fora do DRE",VLOOKUP(Base_Periodo1[[#This Row],[CONTA]],BaseContasDRE[#All],6,FALSE))</f>
        <v>Fora do DRE</v>
      </c>
      <c r="U5126" s="3" t="str">
        <f>IF(ISERROR(VLOOKUP(Base_Periodo1[[#This Row],[CONTA]],BaseContasDRE[#All],7,FALSE)),"Fora do DRE",VLOOKUP(Base_Periodo1[[#This Row],[CONTA]],BaseContasDRE[#All],7,FALSE))</f>
        <v>Fora do DRE</v>
      </c>
      <c r="V5126" s="3" t="str">
        <f>IF(Base_Periodo1[[#This Row],[Tipo_Linha]]="Fora do DRE","Fora do DRE","( "&amp;Base_Periodo1[[#This Row],[Tipo_Linha]]&amp;" ) "&amp;Base_Periodo1[[#This Row],[Filtro]])</f>
        <v>Fora do DRE</v>
      </c>
      <c r="W5126" s="3" t="str">
        <f>LEFT(Base_Periodo1[[#This Row],[CLASS]],3)</f>
        <v>2.4</v>
      </c>
    </row>
    <row r="5127" spans="1:23" hidden="1">
      <c r="A5127" s="3" t="str">
        <f t="shared" si="80"/>
        <v>Período 1</v>
      </c>
      <c r="B5127">
        <v>25536</v>
      </c>
      <c r="C5127" t="s">
        <v>2300</v>
      </c>
      <c r="D5127" t="s">
        <v>3007</v>
      </c>
      <c r="E5127" s="3" t="str">
        <f>IF(LEN(Base_Periodo1[[#This Row],[CLASS]])&gt;=7,LEFT(Base_Periodo1[[#This Row],[CLASS]],7),"")</f>
        <v>2.4.1.1</v>
      </c>
      <c r="F5127" s="3" t="str">
        <f>VLOOKUP(Base_Periodo1[[#This Row],[Aux]],Base_Contas_Balanco[#All],2,FALSE)</f>
        <v>Capital Social Realizado</v>
      </c>
      <c r="G5127" s="1"/>
      <c r="H5127" s="225">
        <v>77.260000000000005</v>
      </c>
      <c r="I5127" s="225">
        <v>0</v>
      </c>
      <c r="J5127" s="225">
        <v>0</v>
      </c>
      <c r="K5127" s="225">
        <v>77.260000000000005</v>
      </c>
      <c r="L51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77.260000000000005</v>
      </c>
      <c r="M5127" s="225">
        <f>ROUND(IF(AND(Base_Periodo1[[#This Row],[Tipo_Linha]]="-",Base_Periodo1[[#This Row],[TIPOSALDO]]="D"),Base_Periodo1[[#This Row],[SALDO_ATUAL]]*-1,Base_Periodo1[[#This Row],[SALDO_ATUAL]]),4)</f>
        <v>77.260000000000005</v>
      </c>
      <c r="N5127" t="s">
        <v>116</v>
      </c>
      <c r="O5127" t="s">
        <v>459</v>
      </c>
      <c r="P5127" t="s">
        <v>459</v>
      </c>
      <c r="Q5127">
        <v>6</v>
      </c>
      <c r="R5127" s="225">
        <f>Base_Periodo1[[#This Row],[CREDITOS]]-Base_Periodo1[[#This Row],[DEBITOS]]</f>
        <v>0</v>
      </c>
      <c r="S5127" s="3" t="str">
        <f>IF(ISERROR(VLOOKUP(Base_Periodo1[[#This Row],[CONTA]],BaseContasDRE[#All],4,FALSE)),"Fora do DRE",VLOOKUP(Base_Periodo1[[#This Row],[CONTA]],BaseContasDRE[#All],4,FALSE))</f>
        <v>Fora do DRE</v>
      </c>
      <c r="T5127" s="3" t="str">
        <f>IF(ISERROR(VLOOKUP(Base_Periodo1[[#This Row],[CONTA]],BaseContasDRE[#All],5,FALSE)),"Fora do DRE",VLOOKUP(Base_Periodo1[[#This Row],[CONTA]],BaseContasDRE[#All],6,FALSE))</f>
        <v>Fora do DRE</v>
      </c>
      <c r="U5127" s="3" t="str">
        <f>IF(ISERROR(VLOOKUP(Base_Periodo1[[#This Row],[CONTA]],BaseContasDRE[#All],7,FALSE)),"Fora do DRE",VLOOKUP(Base_Periodo1[[#This Row],[CONTA]],BaseContasDRE[#All],7,FALSE))</f>
        <v>Fora do DRE</v>
      </c>
      <c r="V5127" s="3" t="str">
        <f>IF(Base_Periodo1[[#This Row],[Tipo_Linha]]="Fora do DRE","Fora do DRE","( "&amp;Base_Periodo1[[#This Row],[Tipo_Linha]]&amp;" ) "&amp;Base_Periodo1[[#This Row],[Filtro]])</f>
        <v>Fora do DRE</v>
      </c>
      <c r="W5127" s="3" t="str">
        <f>LEFT(Base_Periodo1[[#This Row],[CLASS]],3)</f>
        <v>2.4</v>
      </c>
    </row>
    <row r="5128" spans="1:23" hidden="1">
      <c r="A5128" s="3" t="str">
        <f t="shared" si="80"/>
        <v>Período 1</v>
      </c>
      <c r="B5128">
        <v>54040</v>
      </c>
      <c r="C5128" t="s">
        <v>2300</v>
      </c>
      <c r="D5128" t="s">
        <v>5100</v>
      </c>
      <c r="E5128" s="3" t="str">
        <f>IF(LEN(Base_Periodo1[[#This Row],[CLASS]])&gt;=7,LEFT(Base_Periodo1[[#This Row],[CLASS]],7),"")</f>
        <v>2.4.1.1</v>
      </c>
      <c r="F5128" s="3" t="str">
        <f>VLOOKUP(Base_Periodo1[[#This Row],[Aux]],Base_Contas_Balanco[#All],2,FALSE)</f>
        <v>Capital Social Realizado</v>
      </c>
      <c r="G5128" s="1"/>
      <c r="H5128" s="225">
        <v>50</v>
      </c>
      <c r="I5128" s="225">
        <v>0</v>
      </c>
      <c r="J5128" s="225">
        <v>0</v>
      </c>
      <c r="K5128" s="225">
        <v>50</v>
      </c>
      <c r="L51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28" s="225">
        <f>ROUND(IF(AND(Base_Periodo1[[#This Row],[Tipo_Linha]]="-",Base_Periodo1[[#This Row],[TIPOSALDO]]="D"),Base_Periodo1[[#This Row],[SALDO_ATUAL]]*-1,Base_Periodo1[[#This Row],[SALDO_ATUAL]]),4)</f>
        <v>50</v>
      </c>
      <c r="N5128" t="s">
        <v>116</v>
      </c>
      <c r="O5128" t="s">
        <v>459</v>
      </c>
      <c r="P5128" t="s">
        <v>459</v>
      </c>
      <c r="Q5128">
        <v>6</v>
      </c>
      <c r="R5128" s="225">
        <f>Base_Periodo1[[#This Row],[CREDITOS]]-Base_Periodo1[[#This Row],[DEBITOS]]</f>
        <v>0</v>
      </c>
      <c r="S5128" s="3" t="str">
        <f>IF(ISERROR(VLOOKUP(Base_Periodo1[[#This Row],[CONTA]],BaseContasDRE[#All],4,FALSE)),"Fora do DRE",VLOOKUP(Base_Periodo1[[#This Row],[CONTA]],BaseContasDRE[#All],4,FALSE))</f>
        <v>Fora do DRE</v>
      </c>
      <c r="T5128" s="3" t="str">
        <f>IF(ISERROR(VLOOKUP(Base_Periodo1[[#This Row],[CONTA]],BaseContasDRE[#All],5,FALSE)),"Fora do DRE",VLOOKUP(Base_Periodo1[[#This Row],[CONTA]],BaseContasDRE[#All],6,FALSE))</f>
        <v>Fora do DRE</v>
      </c>
      <c r="U5128" s="3" t="str">
        <f>IF(ISERROR(VLOOKUP(Base_Periodo1[[#This Row],[CONTA]],BaseContasDRE[#All],7,FALSE)),"Fora do DRE",VLOOKUP(Base_Periodo1[[#This Row],[CONTA]],BaseContasDRE[#All],7,FALSE))</f>
        <v>Fora do DRE</v>
      </c>
      <c r="V5128" s="3" t="str">
        <f>IF(Base_Periodo1[[#This Row],[Tipo_Linha]]="Fora do DRE","Fora do DRE","( "&amp;Base_Periodo1[[#This Row],[Tipo_Linha]]&amp;" ) "&amp;Base_Periodo1[[#This Row],[Filtro]])</f>
        <v>Fora do DRE</v>
      </c>
      <c r="W5128" s="3" t="str">
        <f>LEFT(Base_Periodo1[[#This Row],[CLASS]],3)</f>
        <v>2.4</v>
      </c>
    </row>
    <row r="5129" spans="1:23" hidden="1">
      <c r="A5129" s="3" t="str">
        <f t="shared" si="80"/>
        <v>Período 1</v>
      </c>
      <c r="B5129">
        <v>16276</v>
      </c>
      <c r="C5129" t="s">
        <v>2300</v>
      </c>
      <c r="D5129" t="s">
        <v>3008</v>
      </c>
      <c r="E5129" s="3" t="str">
        <f>IF(LEN(Base_Periodo1[[#This Row],[CLASS]])&gt;=7,LEFT(Base_Periodo1[[#This Row],[CLASS]],7),"")</f>
        <v>2.4.1.1</v>
      </c>
      <c r="F5129" s="3" t="str">
        <f>VLOOKUP(Base_Periodo1[[#This Row],[Aux]],Base_Contas_Balanco[#All],2,FALSE)</f>
        <v>Capital Social Realizado</v>
      </c>
      <c r="G5129" s="1"/>
      <c r="H5129" s="225">
        <v>19025.02</v>
      </c>
      <c r="I5129" s="225">
        <v>0</v>
      </c>
      <c r="J5129" s="225">
        <v>0</v>
      </c>
      <c r="K5129" s="225">
        <v>19025.02</v>
      </c>
      <c r="L51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19025.02</v>
      </c>
      <c r="M5129" s="225">
        <f>ROUND(IF(AND(Base_Periodo1[[#This Row],[Tipo_Linha]]="-",Base_Periodo1[[#This Row],[TIPOSALDO]]="D"),Base_Periodo1[[#This Row],[SALDO_ATUAL]]*-1,Base_Periodo1[[#This Row],[SALDO_ATUAL]]),4)</f>
        <v>19025.02</v>
      </c>
      <c r="N5129" t="s">
        <v>116</v>
      </c>
      <c r="O5129" t="s">
        <v>459</v>
      </c>
      <c r="P5129" t="s">
        <v>459</v>
      </c>
      <c r="Q5129">
        <v>6</v>
      </c>
      <c r="R5129" s="225">
        <f>Base_Periodo1[[#This Row],[CREDITOS]]-Base_Periodo1[[#This Row],[DEBITOS]]</f>
        <v>0</v>
      </c>
      <c r="S5129" s="3" t="str">
        <f>IF(ISERROR(VLOOKUP(Base_Periodo1[[#This Row],[CONTA]],BaseContasDRE[#All],4,FALSE)),"Fora do DRE",VLOOKUP(Base_Periodo1[[#This Row],[CONTA]],BaseContasDRE[#All],4,FALSE))</f>
        <v>Fora do DRE</v>
      </c>
      <c r="T5129" s="3" t="str">
        <f>IF(ISERROR(VLOOKUP(Base_Periodo1[[#This Row],[CONTA]],BaseContasDRE[#All],5,FALSE)),"Fora do DRE",VLOOKUP(Base_Periodo1[[#This Row],[CONTA]],BaseContasDRE[#All],6,FALSE))</f>
        <v>Fora do DRE</v>
      </c>
      <c r="U5129" s="3" t="str">
        <f>IF(ISERROR(VLOOKUP(Base_Periodo1[[#This Row],[CONTA]],BaseContasDRE[#All],7,FALSE)),"Fora do DRE",VLOOKUP(Base_Periodo1[[#This Row],[CONTA]],BaseContasDRE[#All],7,FALSE))</f>
        <v>Fora do DRE</v>
      </c>
      <c r="V5129" s="3" t="str">
        <f>IF(Base_Periodo1[[#This Row],[Tipo_Linha]]="Fora do DRE","Fora do DRE","( "&amp;Base_Periodo1[[#This Row],[Tipo_Linha]]&amp;" ) "&amp;Base_Periodo1[[#This Row],[Filtro]])</f>
        <v>Fora do DRE</v>
      </c>
      <c r="W5129" s="3" t="str">
        <f>LEFT(Base_Periodo1[[#This Row],[CLASS]],3)</f>
        <v>2.4</v>
      </c>
    </row>
    <row r="5130" spans="1:23" hidden="1">
      <c r="A5130" s="3" t="str">
        <f t="shared" si="80"/>
        <v>Período 1</v>
      </c>
      <c r="B5130">
        <v>16389</v>
      </c>
      <c r="C5130" t="s">
        <v>2300</v>
      </c>
      <c r="D5130" t="s">
        <v>3009</v>
      </c>
      <c r="E5130" s="3" t="str">
        <f>IF(LEN(Base_Periodo1[[#This Row],[CLASS]])&gt;=7,LEFT(Base_Periodo1[[#This Row],[CLASS]],7),"")</f>
        <v>2.4.1.1</v>
      </c>
      <c r="F5130" s="3" t="str">
        <f>VLOOKUP(Base_Periodo1[[#This Row],[Aux]],Base_Contas_Balanco[#All],2,FALSE)</f>
        <v>Capital Social Realizado</v>
      </c>
      <c r="G5130" s="1"/>
      <c r="H5130" s="225">
        <v>6179.39</v>
      </c>
      <c r="I5130" s="225">
        <v>0</v>
      </c>
      <c r="J5130" s="225">
        <v>0</v>
      </c>
      <c r="K5130" s="225">
        <v>6179.39</v>
      </c>
      <c r="L51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6179.39</v>
      </c>
      <c r="M5130" s="225">
        <f>ROUND(IF(AND(Base_Periodo1[[#This Row],[Tipo_Linha]]="-",Base_Periodo1[[#This Row],[TIPOSALDO]]="D"),Base_Periodo1[[#This Row],[SALDO_ATUAL]]*-1,Base_Periodo1[[#This Row],[SALDO_ATUAL]]),4)</f>
        <v>6179.39</v>
      </c>
      <c r="N5130" t="s">
        <v>116</v>
      </c>
      <c r="O5130" t="s">
        <v>459</v>
      </c>
      <c r="P5130" t="s">
        <v>459</v>
      </c>
      <c r="Q5130">
        <v>6</v>
      </c>
      <c r="R5130" s="225">
        <f>Base_Periodo1[[#This Row],[CREDITOS]]-Base_Periodo1[[#This Row],[DEBITOS]]</f>
        <v>0</v>
      </c>
      <c r="S5130" s="3" t="str">
        <f>IF(ISERROR(VLOOKUP(Base_Periodo1[[#This Row],[CONTA]],BaseContasDRE[#All],4,FALSE)),"Fora do DRE",VLOOKUP(Base_Periodo1[[#This Row],[CONTA]],BaseContasDRE[#All],4,FALSE))</f>
        <v>Fora do DRE</v>
      </c>
      <c r="T5130" s="3" t="str">
        <f>IF(ISERROR(VLOOKUP(Base_Periodo1[[#This Row],[CONTA]],BaseContasDRE[#All],5,FALSE)),"Fora do DRE",VLOOKUP(Base_Periodo1[[#This Row],[CONTA]],BaseContasDRE[#All],6,FALSE))</f>
        <v>Fora do DRE</v>
      </c>
      <c r="U5130" s="3" t="str">
        <f>IF(ISERROR(VLOOKUP(Base_Periodo1[[#This Row],[CONTA]],BaseContasDRE[#All],7,FALSE)),"Fora do DRE",VLOOKUP(Base_Periodo1[[#This Row],[CONTA]],BaseContasDRE[#All],7,FALSE))</f>
        <v>Fora do DRE</v>
      </c>
      <c r="V5130" s="3" t="str">
        <f>IF(Base_Periodo1[[#This Row],[Tipo_Linha]]="Fora do DRE","Fora do DRE","( "&amp;Base_Periodo1[[#This Row],[Tipo_Linha]]&amp;" ) "&amp;Base_Periodo1[[#This Row],[Filtro]])</f>
        <v>Fora do DRE</v>
      </c>
      <c r="W5130" s="3" t="str">
        <f>LEFT(Base_Periodo1[[#This Row],[CLASS]],3)</f>
        <v>2.4</v>
      </c>
    </row>
    <row r="5131" spans="1:23" hidden="1">
      <c r="A5131" s="3" t="str">
        <f t="shared" si="80"/>
        <v>Período 1</v>
      </c>
      <c r="B5131">
        <v>15924</v>
      </c>
      <c r="C5131" t="s">
        <v>2300</v>
      </c>
      <c r="D5131" t="s">
        <v>3010</v>
      </c>
      <c r="E5131" s="3" t="str">
        <f>IF(LEN(Base_Periodo1[[#This Row],[CLASS]])&gt;=7,LEFT(Base_Periodo1[[#This Row],[CLASS]],7),"")</f>
        <v>2.4.1.1</v>
      </c>
      <c r="F5131" s="3" t="str">
        <f>VLOOKUP(Base_Periodo1[[#This Row],[Aux]],Base_Contas_Balanco[#All],2,FALSE)</f>
        <v>Capital Social Realizado</v>
      </c>
      <c r="G5131" s="1"/>
      <c r="H5131" s="225">
        <v>3954.54</v>
      </c>
      <c r="I5131" s="225">
        <v>0</v>
      </c>
      <c r="J5131" s="225">
        <v>0</v>
      </c>
      <c r="K5131" s="225">
        <v>3954.54</v>
      </c>
      <c r="L51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3954.54</v>
      </c>
      <c r="M5131" s="225">
        <f>ROUND(IF(AND(Base_Periodo1[[#This Row],[Tipo_Linha]]="-",Base_Periodo1[[#This Row],[TIPOSALDO]]="D"),Base_Periodo1[[#This Row],[SALDO_ATUAL]]*-1,Base_Periodo1[[#This Row],[SALDO_ATUAL]]),4)</f>
        <v>3954.54</v>
      </c>
      <c r="N5131" t="s">
        <v>116</v>
      </c>
      <c r="O5131" t="s">
        <v>459</v>
      </c>
      <c r="P5131" t="s">
        <v>459</v>
      </c>
      <c r="Q5131">
        <v>6</v>
      </c>
      <c r="R5131" s="225">
        <f>Base_Periodo1[[#This Row],[CREDITOS]]-Base_Periodo1[[#This Row],[DEBITOS]]</f>
        <v>0</v>
      </c>
      <c r="S5131" s="3" t="str">
        <f>IF(ISERROR(VLOOKUP(Base_Periodo1[[#This Row],[CONTA]],BaseContasDRE[#All],4,FALSE)),"Fora do DRE",VLOOKUP(Base_Periodo1[[#This Row],[CONTA]],BaseContasDRE[#All],4,FALSE))</f>
        <v>Fora do DRE</v>
      </c>
      <c r="T5131" s="3" t="str">
        <f>IF(ISERROR(VLOOKUP(Base_Periodo1[[#This Row],[CONTA]],BaseContasDRE[#All],5,FALSE)),"Fora do DRE",VLOOKUP(Base_Periodo1[[#This Row],[CONTA]],BaseContasDRE[#All],6,FALSE))</f>
        <v>Fora do DRE</v>
      </c>
      <c r="U5131" s="3" t="str">
        <f>IF(ISERROR(VLOOKUP(Base_Periodo1[[#This Row],[CONTA]],BaseContasDRE[#All],7,FALSE)),"Fora do DRE",VLOOKUP(Base_Periodo1[[#This Row],[CONTA]],BaseContasDRE[#All],7,FALSE))</f>
        <v>Fora do DRE</v>
      </c>
      <c r="V5131" s="3" t="str">
        <f>IF(Base_Periodo1[[#This Row],[Tipo_Linha]]="Fora do DRE","Fora do DRE","( "&amp;Base_Periodo1[[#This Row],[Tipo_Linha]]&amp;" ) "&amp;Base_Periodo1[[#This Row],[Filtro]])</f>
        <v>Fora do DRE</v>
      </c>
      <c r="W5131" s="3" t="str">
        <f>LEFT(Base_Periodo1[[#This Row],[CLASS]],3)</f>
        <v>2.4</v>
      </c>
    </row>
    <row r="5132" spans="1:23" hidden="1">
      <c r="A5132" s="3" t="str">
        <f t="shared" si="80"/>
        <v>Período 1</v>
      </c>
      <c r="B5132">
        <v>16107</v>
      </c>
      <c r="C5132" t="s">
        <v>2300</v>
      </c>
      <c r="D5132" t="s">
        <v>3011</v>
      </c>
      <c r="E5132" s="3" t="str">
        <f>IF(LEN(Base_Periodo1[[#This Row],[CLASS]])&gt;=7,LEFT(Base_Periodo1[[#This Row],[CLASS]],7),"")</f>
        <v>2.4.1.1</v>
      </c>
      <c r="F5132" s="3" t="str">
        <f>VLOOKUP(Base_Periodo1[[#This Row],[Aux]],Base_Contas_Balanco[#All],2,FALSE)</f>
        <v>Capital Social Realizado</v>
      </c>
      <c r="G5132" s="1"/>
      <c r="H5132" s="225">
        <v>16531.86</v>
      </c>
      <c r="I5132" s="225">
        <v>0</v>
      </c>
      <c r="J5132" s="225">
        <v>0</v>
      </c>
      <c r="K5132" s="225">
        <v>16531.86</v>
      </c>
      <c r="L51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16531.86</v>
      </c>
      <c r="M5132" s="225">
        <f>ROUND(IF(AND(Base_Periodo1[[#This Row],[Tipo_Linha]]="-",Base_Periodo1[[#This Row],[TIPOSALDO]]="D"),Base_Periodo1[[#This Row],[SALDO_ATUAL]]*-1,Base_Periodo1[[#This Row],[SALDO_ATUAL]]),4)</f>
        <v>16531.86</v>
      </c>
      <c r="N5132" t="s">
        <v>116</v>
      </c>
      <c r="O5132" t="s">
        <v>459</v>
      </c>
      <c r="P5132" t="s">
        <v>459</v>
      </c>
      <c r="Q5132">
        <v>6</v>
      </c>
      <c r="R5132" s="225">
        <f>Base_Periodo1[[#This Row],[CREDITOS]]-Base_Periodo1[[#This Row],[DEBITOS]]</f>
        <v>0</v>
      </c>
      <c r="S5132" s="3" t="str">
        <f>IF(ISERROR(VLOOKUP(Base_Periodo1[[#This Row],[CONTA]],BaseContasDRE[#All],4,FALSE)),"Fora do DRE",VLOOKUP(Base_Periodo1[[#This Row],[CONTA]],BaseContasDRE[#All],4,FALSE))</f>
        <v>Fora do DRE</v>
      </c>
      <c r="T5132" s="3" t="str">
        <f>IF(ISERROR(VLOOKUP(Base_Periodo1[[#This Row],[CONTA]],BaseContasDRE[#All],5,FALSE)),"Fora do DRE",VLOOKUP(Base_Periodo1[[#This Row],[CONTA]],BaseContasDRE[#All],6,FALSE))</f>
        <v>Fora do DRE</v>
      </c>
      <c r="U5132" s="3" t="str">
        <f>IF(ISERROR(VLOOKUP(Base_Periodo1[[#This Row],[CONTA]],BaseContasDRE[#All],7,FALSE)),"Fora do DRE",VLOOKUP(Base_Periodo1[[#This Row],[CONTA]],BaseContasDRE[#All],7,FALSE))</f>
        <v>Fora do DRE</v>
      </c>
      <c r="V5132" s="3" t="str">
        <f>IF(Base_Periodo1[[#This Row],[Tipo_Linha]]="Fora do DRE","Fora do DRE","( "&amp;Base_Periodo1[[#This Row],[Tipo_Linha]]&amp;" ) "&amp;Base_Periodo1[[#This Row],[Filtro]])</f>
        <v>Fora do DRE</v>
      </c>
      <c r="W5132" s="3" t="str">
        <f>LEFT(Base_Periodo1[[#This Row],[CLASS]],3)</f>
        <v>2.4</v>
      </c>
    </row>
    <row r="5133" spans="1:23" hidden="1">
      <c r="A5133" s="3" t="str">
        <f t="shared" si="80"/>
        <v>Período 1</v>
      </c>
      <c r="B5133">
        <v>16037</v>
      </c>
      <c r="C5133" t="s">
        <v>2300</v>
      </c>
      <c r="D5133" t="s">
        <v>3012</v>
      </c>
      <c r="E5133" s="3" t="str">
        <f>IF(LEN(Base_Periodo1[[#This Row],[CLASS]])&gt;=7,LEFT(Base_Periodo1[[#This Row],[CLASS]],7),"")</f>
        <v>2.4.1.1</v>
      </c>
      <c r="F5133" s="3" t="str">
        <f>VLOOKUP(Base_Periodo1[[#This Row],[Aux]],Base_Contas_Balanco[#All],2,FALSE)</f>
        <v>Capital Social Realizado</v>
      </c>
      <c r="G5133" s="1"/>
      <c r="H5133" s="225">
        <v>2093.25</v>
      </c>
      <c r="I5133" s="225">
        <v>0</v>
      </c>
      <c r="J5133" s="225">
        <v>0</v>
      </c>
      <c r="K5133" s="225">
        <v>2093.25</v>
      </c>
      <c r="L51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2093.25</v>
      </c>
      <c r="M5133" s="225">
        <f>ROUND(IF(AND(Base_Periodo1[[#This Row],[Tipo_Linha]]="-",Base_Periodo1[[#This Row],[TIPOSALDO]]="D"),Base_Periodo1[[#This Row],[SALDO_ATUAL]]*-1,Base_Periodo1[[#This Row],[SALDO_ATUAL]]),4)</f>
        <v>2093.25</v>
      </c>
      <c r="N5133" t="s">
        <v>116</v>
      </c>
      <c r="O5133" t="s">
        <v>459</v>
      </c>
      <c r="P5133" t="s">
        <v>459</v>
      </c>
      <c r="Q5133">
        <v>6</v>
      </c>
      <c r="R5133" s="225">
        <f>Base_Periodo1[[#This Row],[CREDITOS]]-Base_Periodo1[[#This Row],[DEBITOS]]</f>
        <v>0</v>
      </c>
      <c r="S5133" s="3" t="str">
        <f>IF(ISERROR(VLOOKUP(Base_Periodo1[[#This Row],[CONTA]],BaseContasDRE[#All],4,FALSE)),"Fora do DRE",VLOOKUP(Base_Periodo1[[#This Row],[CONTA]],BaseContasDRE[#All],4,FALSE))</f>
        <v>Fora do DRE</v>
      </c>
      <c r="T5133" s="3" t="str">
        <f>IF(ISERROR(VLOOKUP(Base_Periodo1[[#This Row],[CONTA]],BaseContasDRE[#All],5,FALSE)),"Fora do DRE",VLOOKUP(Base_Periodo1[[#This Row],[CONTA]],BaseContasDRE[#All],6,FALSE))</f>
        <v>Fora do DRE</v>
      </c>
      <c r="U5133" s="3" t="str">
        <f>IF(ISERROR(VLOOKUP(Base_Periodo1[[#This Row],[CONTA]],BaseContasDRE[#All],7,FALSE)),"Fora do DRE",VLOOKUP(Base_Periodo1[[#This Row],[CONTA]],BaseContasDRE[#All],7,FALSE))</f>
        <v>Fora do DRE</v>
      </c>
      <c r="V5133" s="3" t="str">
        <f>IF(Base_Periodo1[[#This Row],[Tipo_Linha]]="Fora do DRE","Fora do DRE","( "&amp;Base_Periodo1[[#This Row],[Tipo_Linha]]&amp;" ) "&amp;Base_Periodo1[[#This Row],[Filtro]])</f>
        <v>Fora do DRE</v>
      </c>
      <c r="W5133" s="3" t="str">
        <f>LEFT(Base_Periodo1[[#This Row],[CLASS]],3)</f>
        <v>2.4</v>
      </c>
    </row>
    <row r="5134" spans="1:23" hidden="1">
      <c r="A5134" s="3" t="str">
        <f t="shared" si="80"/>
        <v>Período 1</v>
      </c>
      <c r="B5134">
        <v>16025</v>
      </c>
      <c r="C5134" t="s">
        <v>2300</v>
      </c>
      <c r="D5134" t="s">
        <v>3013</v>
      </c>
      <c r="E5134" s="3" t="str">
        <f>IF(LEN(Base_Periodo1[[#This Row],[CLASS]])&gt;=7,LEFT(Base_Periodo1[[#This Row],[CLASS]],7),"")</f>
        <v>2.4.1.1</v>
      </c>
      <c r="F5134" s="3" t="str">
        <f>VLOOKUP(Base_Periodo1[[#This Row],[Aux]],Base_Contas_Balanco[#All],2,FALSE)</f>
        <v>Capital Social Realizado</v>
      </c>
      <c r="G5134" s="1"/>
      <c r="H5134" s="225">
        <v>1896.16</v>
      </c>
      <c r="I5134" s="225">
        <v>0</v>
      </c>
      <c r="J5134" s="225">
        <v>0</v>
      </c>
      <c r="K5134" s="225">
        <v>1896.16</v>
      </c>
      <c r="L51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1896.16</v>
      </c>
      <c r="M5134" s="225">
        <f>ROUND(IF(AND(Base_Periodo1[[#This Row],[Tipo_Linha]]="-",Base_Periodo1[[#This Row],[TIPOSALDO]]="D"),Base_Periodo1[[#This Row],[SALDO_ATUAL]]*-1,Base_Periodo1[[#This Row],[SALDO_ATUAL]]),4)</f>
        <v>1896.16</v>
      </c>
      <c r="N5134" t="s">
        <v>116</v>
      </c>
      <c r="O5134" t="s">
        <v>459</v>
      </c>
      <c r="P5134" t="s">
        <v>459</v>
      </c>
      <c r="Q5134">
        <v>6</v>
      </c>
      <c r="R5134" s="225">
        <f>Base_Periodo1[[#This Row],[CREDITOS]]-Base_Periodo1[[#This Row],[DEBITOS]]</f>
        <v>0</v>
      </c>
      <c r="S5134" s="3" t="str">
        <f>IF(ISERROR(VLOOKUP(Base_Periodo1[[#This Row],[CONTA]],BaseContasDRE[#All],4,FALSE)),"Fora do DRE",VLOOKUP(Base_Periodo1[[#This Row],[CONTA]],BaseContasDRE[#All],4,FALSE))</f>
        <v>Fora do DRE</v>
      </c>
      <c r="T5134" s="3" t="str">
        <f>IF(ISERROR(VLOOKUP(Base_Periodo1[[#This Row],[CONTA]],BaseContasDRE[#All],5,FALSE)),"Fora do DRE",VLOOKUP(Base_Periodo1[[#This Row],[CONTA]],BaseContasDRE[#All],6,FALSE))</f>
        <v>Fora do DRE</v>
      </c>
      <c r="U5134" s="3" t="str">
        <f>IF(ISERROR(VLOOKUP(Base_Periodo1[[#This Row],[CONTA]],BaseContasDRE[#All],7,FALSE)),"Fora do DRE",VLOOKUP(Base_Periodo1[[#This Row],[CONTA]],BaseContasDRE[#All],7,FALSE))</f>
        <v>Fora do DRE</v>
      </c>
      <c r="V5134" s="3" t="str">
        <f>IF(Base_Periodo1[[#This Row],[Tipo_Linha]]="Fora do DRE","Fora do DRE","( "&amp;Base_Periodo1[[#This Row],[Tipo_Linha]]&amp;" ) "&amp;Base_Periodo1[[#This Row],[Filtro]])</f>
        <v>Fora do DRE</v>
      </c>
      <c r="W5134" s="3" t="str">
        <f>LEFT(Base_Periodo1[[#This Row],[CLASS]],3)</f>
        <v>2.4</v>
      </c>
    </row>
    <row r="5135" spans="1:23" hidden="1">
      <c r="A5135" s="3" t="str">
        <f t="shared" si="80"/>
        <v>Período 1</v>
      </c>
      <c r="B5135">
        <v>15960</v>
      </c>
      <c r="C5135" t="s">
        <v>2300</v>
      </c>
      <c r="D5135" t="s">
        <v>3014</v>
      </c>
      <c r="E5135" s="3" t="str">
        <f>IF(LEN(Base_Periodo1[[#This Row],[CLASS]])&gt;=7,LEFT(Base_Periodo1[[#This Row],[CLASS]],7),"")</f>
        <v>2.4.1.1</v>
      </c>
      <c r="F5135" s="3" t="str">
        <f>VLOOKUP(Base_Periodo1[[#This Row],[Aux]],Base_Contas_Balanco[#All],2,FALSE)</f>
        <v>Capital Social Realizado</v>
      </c>
      <c r="G5135" s="1"/>
      <c r="H5135" s="225">
        <v>2966.17</v>
      </c>
      <c r="I5135" s="225">
        <v>0</v>
      </c>
      <c r="J5135" s="225">
        <v>0</v>
      </c>
      <c r="K5135" s="225">
        <v>2966.17</v>
      </c>
      <c r="L51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2966.17</v>
      </c>
      <c r="M5135" s="225">
        <f>ROUND(IF(AND(Base_Periodo1[[#This Row],[Tipo_Linha]]="-",Base_Periodo1[[#This Row],[TIPOSALDO]]="D"),Base_Periodo1[[#This Row],[SALDO_ATUAL]]*-1,Base_Periodo1[[#This Row],[SALDO_ATUAL]]),4)</f>
        <v>2966.17</v>
      </c>
      <c r="N5135" t="s">
        <v>116</v>
      </c>
      <c r="O5135" t="s">
        <v>459</v>
      </c>
      <c r="P5135" t="s">
        <v>459</v>
      </c>
      <c r="Q5135">
        <v>6</v>
      </c>
      <c r="R5135" s="225">
        <f>Base_Periodo1[[#This Row],[CREDITOS]]-Base_Periodo1[[#This Row],[DEBITOS]]</f>
        <v>0</v>
      </c>
      <c r="S5135" s="3" t="str">
        <f>IF(ISERROR(VLOOKUP(Base_Periodo1[[#This Row],[CONTA]],BaseContasDRE[#All],4,FALSE)),"Fora do DRE",VLOOKUP(Base_Periodo1[[#This Row],[CONTA]],BaseContasDRE[#All],4,FALSE))</f>
        <v>Fora do DRE</v>
      </c>
      <c r="T5135" s="3" t="str">
        <f>IF(ISERROR(VLOOKUP(Base_Periodo1[[#This Row],[CONTA]],BaseContasDRE[#All],5,FALSE)),"Fora do DRE",VLOOKUP(Base_Periodo1[[#This Row],[CONTA]],BaseContasDRE[#All],6,FALSE))</f>
        <v>Fora do DRE</v>
      </c>
      <c r="U5135" s="3" t="str">
        <f>IF(ISERROR(VLOOKUP(Base_Periodo1[[#This Row],[CONTA]],BaseContasDRE[#All],7,FALSE)),"Fora do DRE",VLOOKUP(Base_Periodo1[[#This Row],[CONTA]],BaseContasDRE[#All],7,FALSE))</f>
        <v>Fora do DRE</v>
      </c>
      <c r="V5135" s="3" t="str">
        <f>IF(Base_Periodo1[[#This Row],[Tipo_Linha]]="Fora do DRE","Fora do DRE","( "&amp;Base_Periodo1[[#This Row],[Tipo_Linha]]&amp;" ) "&amp;Base_Periodo1[[#This Row],[Filtro]])</f>
        <v>Fora do DRE</v>
      </c>
      <c r="W5135" s="3" t="str">
        <f>LEFT(Base_Periodo1[[#This Row],[CLASS]],3)</f>
        <v>2.4</v>
      </c>
    </row>
    <row r="5136" spans="1:23" hidden="1">
      <c r="A5136" s="3" t="str">
        <f t="shared" si="80"/>
        <v>Período 1</v>
      </c>
      <c r="B5136">
        <v>16300</v>
      </c>
      <c r="C5136" t="s">
        <v>2300</v>
      </c>
      <c r="D5136" t="s">
        <v>3015</v>
      </c>
      <c r="E5136" s="3" t="str">
        <f>IF(LEN(Base_Periodo1[[#This Row],[CLASS]])&gt;=7,LEFT(Base_Periodo1[[#This Row],[CLASS]],7),"")</f>
        <v>2.4.1.1</v>
      </c>
      <c r="F5136" s="3" t="str">
        <f>VLOOKUP(Base_Periodo1[[#This Row],[Aux]],Base_Contas_Balanco[#All],2,FALSE)</f>
        <v>Capital Social Realizado</v>
      </c>
      <c r="G5136" s="1"/>
      <c r="H5136" s="225">
        <v>513.45000000000005</v>
      </c>
      <c r="I5136" s="225">
        <v>0</v>
      </c>
      <c r="J5136" s="225">
        <v>0</v>
      </c>
      <c r="K5136" s="225">
        <v>513.45000000000005</v>
      </c>
      <c r="L51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513.45000000000005</v>
      </c>
      <c r="M5136" s="225">
        <f>ROUND(IF(AND(Base_Periodo1[[#This Row],[Tipo_Linha]]="-",Base_Periodo1[[#This Row],[TIPOSALDO]]="D"),Base_Periodo1[[#This Row],[SALDO_ATUAL]]*-1,Base_Periodo1[[#This Row],[SALDO_ATUAL]]),4)</f>
        <v>513.45000000000005</v>
      </c>
      <c r="N5136" t="s">
        <v>116</v>
      </c>
      <c r="O5136" t="s">
        <v>459</v>
      </c>
      <c r="P5136" t="s">
        <v>459</v>
      </c>
      <c r="Q5136">
        <v>6</v>
      </c>
      <c r="R5136" s="225">
        <f>Base_Periodo1[[#This Row],[CREDITOS]]-Base_Periodo1[[#This Row],[DEBITOS]]</f>
        <v>0</v>
      </c>
      <c r="S5136" s="3" t="str">
        <f>IF(ISERROR(VLOOKUP(Base_Periodo1[[#This Row],[CONTA]],BaseContasDRE[#All],4,FALSE)),"Fora do DRE",VLOOKUP(Base_Periodo1[[#This Row],[CONTA]],BaseContasDRE[#All],4,FALSE))</f>
        <v>Fora do DRE</v>
      </c>
      <c r="T5136" s="3" t="str">
        <f>IF(ISERROR(VLOOKUP(Base_Periodo1[[#This Row],[CONTA]],BaseContasDRE[#All],5,FALSE)),"Fora do DRE",VLOOKUP(Base_Periodo1[[#This Row],[CONTA]],BaseContasDRE[#All],6,FALSE))</f>
        <v>Fora do DRE</v>
      </c>
      <c r="U5136" s="3" t="str">
        <f>IF(ISERROR(VLOOKUP(Base_Periodo1[[#This Row],[CONTA]],BaseContasDRE[#All],7,FALSE)),"Fora do DRE",VLOOKUP(Base_Periodo1[[#This Row],[CONTA]],BaseContasDRE[#All],7,FALSE))</f>
        <v>Fora do DRE</v>
      </c>
      <c r="V5136" s="3" t="str">
        <f>IF(Base_Periodo1[[#This Row],[Tipo_Linha]]="Fora do DRE","Fora do DRE","( "&amp;Base_Periodo1[[#This Row],[Tipo_Linha]]&amp;" ) "&amp;Base_Periodo1[[#This Row],[Filtro]])</f>
        <v>Fora do DRE</v>
      </c>
      <c r="W5136" s="3" t="str">
        <f>LEFT(Base_Periodo1[[#This Row],[CLASS]],3)</f>
        <v>2.4</v>
      </c>
    </row>
    <row r="5137" spans="1:23" hidden="1">
      <c r="A5137" s="3" t="str">
        <f t="shared" si="80"/>
        <v>Período 1</v>
      </c>
      <c r="B5137">
        <v>16095</v>
      </c>
      <c r="C5137" t="s">
        <v>2300</v>
      </c>
      <c r="D5137" t="s">
        <v>3016</v>
      </c>
      <c r="E5137" s="3" t="str">
        <f>IF(LEN(Base_Periodo1[[#This Row],[CLASS]])&gt;=7,LEFT(Base_Periodo1[[#This Row],[CLASS]],7),"")</f>
        <v>2.4.1.1</v>
      </c>
      <c r="F5137" s="3" t="str">
        <f>VLOOKUP(Base_Periodo1[[#This Row],[Aux]],Base_Contas_Balanco[#All],2,FALSE)</f>
        <v>Capital Social Realizado</v>
      </c>
      <c r="G5137" s="1"/>
      <c r="H5137" s="225">
        <v>9888.34</v>
      </c>
      <c r="I5137" s="225">
        <v>0</v>
      </c>
      <c r="J5137" s="225">
        <v>0</v>
      </c>
      <c r="K5137" s="225">
        <v>9888.34</v>
      </c>
      <c r="L51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9888.34</v>
      </c>
      <c r="M5137" s="225">
        <f>ROUND(IF(AND(Base_Periodo1[[#This Row],[Tipo_Linha]]="-",Base_Periodo1[[#This Row],[TIPOSALDO]]="D"),Base_Periodo1[[#This Row],[SALDO_ATUAL]]*-1,Base_Periodo1[[#This Row],[SALDO_ATUAL]]),4)</f>
        <v>9888.34</v>
      </c>
      <c r="N5137" t="s">
        <v>116</v>
      </c>
      <c r="O5137" t="s">
        <v>459</v>
      </c>
      <c r="P5137" t="s">
        <v>459</v>
      </c>
      <c r="Q5137">
        <v>6</v>
      </c>
      <c r="R5137" s="225">
        <f>Base_Periodo1[[#This Row],[CREDITOS]]-Base_Periodo1[[#This Row],[DEBITOS]]</f>
        <v>0</v>
      </c>
      <c r="S5137" s="3" t="str">
        <f>IF(ISERROR(VLOOKUP(Base_Periodo1[[#This Row],[CONTA]],BaseContasDRE[#All],4,FALSE)),"Fora do DRE",VLOOKUP(Base_Periodo1[[#This Row],[CONTA]],BaseContasDRE[#All],4,FALSE))</f>
        <v>Fora do DRE</v>
      </c>
      <c r="T5137" s="3" t="str">
        <f>IF(ISERROR(VLOOKUP(Base_Periodo1[[#This Row],[CONTA]],BaseContasDRE[#All],5,FALSE)),"Fora do DRE",VLOOKUP(Base_Periodo1[[#This Row],[CONTA]],BaseContasDRE[#All],6,FALSE))</f>
        <v>Fora do DRE</v>
      </c>
      <c r="U5137" s="3" t="str">
        <f>IF(ISERROR(VLOOKUP(Base_Periodo1[[#This Row],[CONTA]],BaseContasDRE[#All],7,FALSE)),"Fora do DRE",VLOOKUP(Base_Periodo1[[#This Row],[CONTA]],BaseContasDRE[#All],7,FALSE))</f>
        <v>Fora do DRE</v>
      </c>
      <c r="V5137" s="3" t="str">
        <f>IF(Base_Periodo1[[#This Row],[Tipo_Linha]]="Fora do DRE","Fora do DRE","( "&amp;Base_Periodo1[[#This Row],[Tipo_Linha]]&amp;" ) "&amp;Base_Periodo1[[#This Row],[Filtro]])</f>
        <v>Fora do DRE</v>
      </c>
      <c r="W5137" s="3" t="str">
        <f>LEFT(Base_Periodo1[[#This Row],[CLASS]],3)</f>
        <v>2.4</v>
      </c>
    </row>
    <row r="5138" spans="1:23" hidden="1">
      <c r="A5138" s="3" t="str">
        <f t="shared" si="80"/>
        <v>Período 1</v>
      </c>
      <c r="B5138">
        <v>19861</v>
      </c>
      <c r="C5138" t="s">
        <v>2300</v>
      </c>
      <c r="D5138" t="s">
        <v>3017</v>
      </c>
      <c r="E5138" s="3" t="str">
        <f>IF(LEN(Base_Periodo1[[#This Row],[CLASS]])&gt;=7,LEFT(Base_Periodo1[[#This Row],[CLASS]],7),"")</f>
        <v>2.4.1.1</v>
      </c>
      <c r="F5138" s="3" t="str">
        <f>VLOOKUP(Base_Periodo1[[#This Row],[Aux]],Base_Contas_Balanco[#All],2,FALSE)</f>
        <v>Capital Social Realizado</v>
      </c>
      <c r="G5138" s="1"/>
      <c r="H5138" s="225">
        <v>59.01</v>
      </c>
      <c r="I5138" s="225">
        <v>0</v>
      </c>
      <c r="J5138" s="225">
        <v>0</v>
      </c>
      <c r="K5138" s="225">
        <v>59.01</v>
      </c>
      <c r="L51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59.01</v>
      </c>
      <c r="M5138" s="225">
        <f>ROUND(IF(AND(Base_Periodo1[[#This Row],[Tipo_Linha]]="-",Base_Periodo1[[#This Row],[TIPOSALDO]]="D"),Base_Periodo1[[#This Row],[SALDO_ATUAL]]*-1,Base_Periodo1[[#This Row],[SALDO_ATUAL]]),4)</f>
        <v>59.01</v>
      </c>
      <c r="N5138" t="s">
        <v>116</v>
      </c>
      <c r="O5138" t="s">
        <v>459</v>
      </c>
      <c r="P5138" t="s">
        <v>459</v>
      </c>
      <c r="Q5138">
        <v>6</v>
      </c>
      <c r="R5138" s="225">
        <f>Base_Periodo1[[#This Row],[CREDITOS]]-Base_Periodo1[[#This Row],[DEBITOS]]</f>
        <v>0</v>
      </c>
      <c r="S5138" s="3" t="str">
        <f>IF(ISERROR(VLOOKUP(Base_Periodo1[[#This Row],[CONTA]],BaseContasDRE[#All],4,FALSE)),"Fora do DRE",VLOOKUP(Base_Periodo1[[#This Row],[CONTA]],BaseContasDRE[#All],4,FALSE))</f>
        <v>Fora do DRE</v>
      </c>
      <c r="T5138" s="3" t="str">
        <f>IF(ISERROR(VLOOKUP(Base_Periodo1[[#This Row],[CONTA]],BaseContasDRE[#All],5,FALSE)),"Fora do DRE",VLOOKUP(Base_Periodo1[[#This Row],[CONTA]],BaseContasDRE[#All],6,FALSE))</f>
        <v>Fora do DRE</v>
      </c>
      <c r="U5138" s="3" t="str">
        <f>IF(ISERROR(VLOOKUP(Base_Periodo1[[#This Row],[CONTA]],BaseContasDRE[#All],7,FALSE)),"Fora do DRE",VLOOKUP(Base_Periodo1[[#This Row],[CONTA]],BaseContasDRE[#All],7,FALSE))</f>
        <v>Fora do DRE</v>
      </c>
      <c r="V5138" s="3" t="str">
        <f>IF(Base_Periodo1[[#This Row],[Tipo_Linha]]="Fora do DRE","Fora do DRE","( "&amp;Base_Periodo1[[#This Row],[Tipo_Linha]]&amp;" ) "&amp;Base_Periodo1[[#This Row],[Filtro]])</f>
        <v>Fora do DRE</v>
      </c>
      <c r="W5138" s="3" t="str">
        <f>LEFT(Base_Periodo1[[#This Row],[CLASS]],3)</f>
        <v>2.4</v>
      </c>
    </row>
    <row r="5139" spans="1:23" hidden="1">
      <c r="A5139" s="3" t="str">
        <f t="shared" si="80"/>
        <v>Período 1</v>
      </c>
      <c r="B5139">
        <v>19271</v>
      </c>
      <c r="C5139" t="s">
        <v>2300</v>
      </c>
      <c r="D5139" t="s">
        <v>3018</v>
      </c>
      <c r="E5139" s="3" t="str">
        <f>IF(LEN(Base_Periodo1[[#This Row],[CLASS]])&gt;=7,LEFT(Base_Periodo1[[#This Row],[CLASS]],7),"")</f>
        <v>2.4.1.1</v>
      </c>
      <c r="F5139" s="3" t="str">
        <f>VLOOKUP(Base_Periodo1[[#This Row],[Aux]],Base_Contas_Balanco[#All],2,FALSE)</f>
        <v>Capital Social Realizado</v>
      </c>
      <c r="G5139" s="1"/>
      <c r="H5139" s="225">
        <v>389.30999999999995</v>
      </c>
      <c r="I5139" s="225">
        <v>0</v>
      </c>
      <c r="J5139" s="225">
        <v>0</v>
      </c>
      <c r="K5139" s="225">
        <v>389.30999999999995</v>
      </c>
      <c r="L51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389.31</v>
      </c>
      <c r="M5139" s="225">
        <f>ROUND(IF(AND(Base_Periodo1[[#This Row],[Tipo_Linha]]="-",Base_Periodo1[[#This Row],[TIPOSALDO]]="D"),Base_Periodo1[[#This Row],[SALDO_ATUAL]]*-1,Base_Periodo1[[#This Row],[SALDO_ATUAL]]),4)</f>
        <v>389.31</v>
      </c>
      <c r="N5139" t="s">
        <v>116</v>
      </c>
      <c r="O5139" t="s">
        <v>459</v>
      </c>
      <c r="P5139" t="s">
        <v>459</v>
      </c>
      <c r="Q5139">
        <v>6</v>
      </c>
      <c r="R5139" s="225">
        <f>Base_Periodo1[[#This Row],[CREDITOS]]-Base_Periodo1[[#This Row],[DEBITOS]]</f>
        <v>0</v>
      </c>
      <c r="S5139" s="3" t="str">
        <f>IF(ISERROR(VLOOKUP(Base_Periodo1[[#This Row],[CONTA]],BaseContasDRE[#All],4,FALSE)),"Fora do DRE",VLOOKUP(Base_Periodo1[[#This Row],[CONTA]],BaseContasDRE[#All],4,FALSE))</f>
        <v>Fora do DRE</v>
      </c>
      <c r="T5139" s="3" t="str">
        <f>IF(ISERROR(VLOOKUP(Base_Periodo1[[#This Row],[CONTA]],BaseContasDRE[#All],5,FALSE)),"Fora do DRE",VLOOKUP(Base_Periodo1[[#This Row],[CONTA]],BaseContasDRE[#All],6,FALSE))</f>
        <v>Fora do DRE</v>
      </c>
      <c r="U5139" s="3" t="str">
        <f>IF(ISERROR(VLOOKUP(Base_Periodo1[[#This Row],[CONTA]],BaseContasDRE[#All],7,FALSE)),"Fora do DRE",VLOOKUP(Base_Periodo1[[#This Row],[CONTA]],BaseContasDRE[#All],7,FALSE))</f>
        <v>Fora do DRE</v>
      </c>
      <c r="V5139" s="3" t="str">
        <f>IF(Base_Periodo1[[#This Row],[Tipo_Linha]]="Fora do DRE","Fora do DRE","( "&amp;Base_Periodo1[[#This Row],[Tipo_Linha]]&amp;" ) "&amp;Base_Periodo1[[#This Row],[Filtro]])</f>
        <v>Fora do DRE</v>
      </c>
      <c r="W5139" s="3" t="str">
        <f>LEFT(Base_Periodo1[[#This Row],[CLASS]],3)</f>
        <v>2.4</v>
      </c>
    </row>
    <row r="5140" spans="1:23" hidden="1">
      <c r="A5140" s="3" t="str">
        <f t="shared" si="80"/>
        <v>Período 1</v>
      </c>
      <c r="B5140">
        <v>34406</v>
      </c>
      <c r="C5140" t="s">
        <v>2300</v>
      </c>
      <c r="D5140" t="s">
        <v>3019</v>
      </c>
      <c r="E5140" s="3" t="str">
        <f>IF(LEN(Base_Periodo1[[#This Row],[CLASS]])&gt;=7,LEFT(Base_Periodo1[[#This Row],[CLASS]],7),"")</f>
        <v>2.4.1.1</v>
      </c>
      <c r="F5140" s="3" t="str">
        <f>VLOOKUP(Base_Periodo1[[#This Row],[Aux]],Base_Contas_Balanco[#All],2,FALSE)</f>
        <v>Capital Social Realizado</v>
      </c>
      <c r="G5140" s="1"/>
      <c r="H5140" s="225">
        <v>78.17</v>
      </c>
      <c r="I5140" s="225">
        <v>0</v>
      </c>
      <c r="J5140" s="225">
        <v>0</v>
      </c>
      <c r="K5140" s="225">
        <v>78.17</v>
      </c>
      <c r="L51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78.17</v>
      </c>
      <c r="M5140" s="225">
        <f>ROUND(IF(AND(Base_Periodo1[[#This Row],[Tipo_Linha]]="-",Base_Periodo1[[#This Row],[TIPOSALDO]]="D"),Base_Periodo1[[#This Row],[SALDO_ATUAL]]*-1,Base_Periodo1[[#This Row],[SALDO_ATUAL]]),4)</f>
        <v>78.17</v>
      </c>
      <c r="N5140" t="s">
        <v>116</v>
      </c>
      <c r="O5140" t="s">
        <v>459</v>
      </c>
      <c r="P5140" t="s">
        <v>459</v>
      </c>
      <c r="Q5140">
        <v>6</v>
      </c>
      <c r="R5140" s="225">
        <f>Base_Periodo1[[#This Row],[CREDITOS]]-Base_Periodo1[[#This Row],[DEBITOS]]</f>
        <v>0</v>
      </c>
      <c r="S5140" s="3" t="str">
        <f>IF(ISERROR(VLOOKUP(Base_Periodo1[[#This Row],[CONTA]],BaseContasDRE[#All],4,FALSE)),"Fora do DRE",VLOOKUP(Base_Periodo1[[#This Row],[CONTA]],BaseContasDRE[#All],4,FALSE))</f>
        <v>Fora do DRE</v>
      </c>
      <c r="T5140" s="3" t="str">
        <f>IF(ISERROR(VLOOKUP(Base_Periodo1[[#This Row],[CONTA]],BaseContasDRE[#All],5,FALSE)),"Fora do DRE",VLOOKUP(Base_Periodo1[[#This Row],[CONTA]],BaseContasDRE[#All],6,FALSE))</f>
        <v>Fora do DRE</v>
      </c>
      <c r="U5140" s="3" t="str">
        <f>IF(ISERROR(VLOOKUP(Base_Periodo1[[#This Row],[CONTA]],BaseContasDRE[#All],7,FALSE)),"Fora do DRE",VLOOKUP(Base_Periodo1[[#This Row],[CONTA]],BaseContasDRE[#All],7,FALSE))</f>
        <v>Fora do DRE</v>
      </c>
      <c r="V5140" s="3" t="str">
        <f>IF(Base_Periodo1[[#This Row],[Tipo_Linha]]="Fora do DRE","Fora do DRE","( "&amp;Base_Periodo1[[#This Row],[Tipo_Linha]]&amp;" ) "&amp;Base_Periodo1[[#This Row],[Filtro]])</f>
        <v>Fora do DRE</v>
      </c>
      <c r="W5140" s="3" t="str">
        <f>LEFT(Base_Periodo1[[#This Row],[CLASS]],3)</f>
        <v>2.4</v>
      </c>
    </row>
    <row r="5141" spans="1:23" hidden="1">
      <c r="A5141" s="3" t="str">
        <f t="shared" si="80"/>
        <v>Período 1</v>
      </c>
      <c r="B5141">
        <v>47840</v>
      </c>
      <c r="C5141" t="s">
        <v>2300</v>
      </c>
      <c r="D5141" t="s">
        <v>3020</v>
      </c>
      <c r="E5141" s="3" t="str">
        <f>IF(LEN(Base_Periodo1[[#This Row],[CLASS]])&gt;=7,LEFT(Base_Periodo1[[#This Row],[CLASS]],7),"")</f>
        <v>2.4.1.1</v>
      </c>
      <c r="F5141" s="3" t="str">
        <f>VLOOKUP(Base_Periodo1[[#This Row],[Aux]],Base_Contas_Balanco[#All],2,FALSE)</f>
        <v>Capital Social Realizado</v>
      </c>
      <c r="G5141" s="1"/>
      <c r="H5141" s="225">
        <v>124.17</v>
      </c>
      <c r="I5141" s="225">
        <v>0</v>
      </c>
      <c r="J5141" s="225">
        <v>0</v>
      </c>
      <c r="K5141" s="225">
        <v>124.17</v>
      </c>
      <c r="L51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124.17</v>
      </c>
      <c r="M5141" s="225">
        <f>ROUND(IF(AND(Base_Periodo1[[#This Row],[Tipo_Linha]]="-",Base_Periodo1[[#This Row],[TIPOSALDO]]="D"),Base_Periodo1[[#This Row],[SALDO_ATUAL]]*-1,Base_Periodo1[[#This Row],[SALDO_ATUAL]]),4)</f>
        <v>124.17</v>
      </c>
      <c r="N5141" t="s">
        <v>116</v>
      </c>
      <c r="O5141" t="s">
        <v>459</v>
      </c>
      <c r="P5141" t="s">
        <v>459</v>
      </c>
      <c r="Q5141">
        <v>6</v>
      </c>
      <c r="R5141" s="225">
        <f>Base_Periodo1[[#This Row],[CREDITOS]]-Base_Periodo1[[#This Row],[DEBITOS]]</f>
        <v>0</v>
      </c>
      <c r="S5141" s="3" t="str">
        <f>IF(ISERROR(VLOOKUP(Base_Periodo1[[#This Row],[CONTA]],BaseContasDRE[#All],4,FALSE)),"Fora do DRE",VLOOKUP(Base_Periodo1[[#This Row],[CONTA]],BaseContasDRE[#All],4,FALSE))</f>
        <v>Fora do DRE</v>
      </c>
      <c r="T5141" s="3" t="str">
        <f>IF(ISERROR(VLOOKUP(Base_Periodo1[[#This Row],[CONTA]],BaseContasDRE[#All],5,FALSE)),"Fora do DRE",VLOOKUP(Base_Periodo1[[#This Row],[CONTA]],BaseContasDRE[#All],6,FALSE))</f>
        <v>Fora do DRE</v>
      </c>
      <c r="U5141" s="3" t="str">
        <f>IF(ISERROR(VLOOKUP(Base_Periodo1[[#This Row],[CONTA]],BaseContasDRE[#All],7,FALSE)),"Fora do DRE",VLOOKUP(Base_Periodo1[[#This Row],[CONTA]],BaseContasDRE[#All],7,FALSE))</f>
        <v>Fora do DRE</v>
      </c>
      <c r="V5141" s="3" t="str">
        <f>IF(Base_Periodo1[[#This Row],[Tipo_Linha]]="Fora do DRE","Fora do DRE","( "&amp;Base_Periodo1[[#This Row],[Tipo_Linha]]&amp;" ) "&amp;Base_Periodo1[[#This Row],[Filtro]])</f>
        <v>Fora do DRE</v>
      </c>
      <c r="W5141" s="3" t="str">
        <f>LEFT(Base_Periodo1[[#This Row],[CLASS]],3)</f>
        <v>2.4</v>
      </c>
    </row>
    <row r="5142" spans="1:23" hidden="1">
      <c r="A5142" s="3" t="str">
        <f t="shared" si="80"/>
        <v>Período 1</v>
      </c>
      <c r="B5142">
        <v>16028</v>
      </c>
      <c r="C5142" t="s">
        <v>2300</v>
      </c>
      <c r="D5142" t="s">
        <v>3021</v>
      </c>
      <c r="E5142" s="3" t="str">
        <f>IF(LEN(Base_Periodo1[[#This Row],[CLASS]])&gt;=7,LEFT(Base_Periodo1[[#This Row],[CLASS]],7),"")</f>
        <v>2.4.1.1</v>
      </c>
      <c r="F5142" s="3" t="str">
        <f>VLOOKUP(Base_Periodo1[[#This Row],[Aux]],Base_Contas_Balanco[#All],2,FALSE)</f>
        <v>Capital Social Realizado</v>
      </c>
      <c r="G5142" s="1"/>
      <c r="H5142" s="225">
        <v>5282.18</v>
      </c>
      <c r="I5142" s="225">
        <v>0</v>
      </c>
      <c r="J5142" s="225">
        <v>0</v>
      </c>
      <c r="K5142" s="225">
        <v>5282.18</v>
      </c>
      <c r="L51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5282.18</v>
      </c>
      <c r="M5142" s="225">
        <f>ROUND(IF(AND(Base_Periodo1[[#This Row],[Tipo_Linha]]="-",Base_Periodo1[[#This Row],[TIPOSALDO]]="D"),Base_Periodo1[[#This Row],[SALDO_ATUAL]]*-1,Base_Periodo1[[#This Row],[SALDO_ATUAL]]),4)</f>
        <v>5282.18</v>
      </c>
      <c r="N5142" t="s">
        <v>116</v>
      </c>
      <c r="O5142" t="s">
        <v>459</v>
      </c>
      <c r="P5142" t="s">
        <v>459</v>
      </c>
      <c r="Q5142">
        <v>6</v>
      </c>
      <c r="R5142" s="225">
        <f>Base_Periodo1[[#This Row],[CREDITOS]]-Base_Periodo1[[#This Row],[DEBITOS]]</f>
        <v>0</v>
      </c>
      <c r="S5142" s="3" t="str">
        <f>IF(ISERROR(VLOOKUP(Base_Periodo1[[#This Row],[CONTA]],BaseContasDRE[#All],4,FALSE)),"Fora do DRE",VLOOKUP(Base_Periodo1[[#This Row],[CONTA]],BaseContasDRE[#All],4,FALSE))</f>
        <v>Fora do DRE</v>
      </c>
      <c r="T5142" s="3" t="str">
        <f>IF(ISERROR(VLOOKUP(Base_Periodo1[[#This Row],[CONTA]],BaseContasDRE[#All],5,FALSE)),"Fora do DRE",VLOOKUP(Base_Periodo1[[#This Row],[CONTA]],BaseContasDRE[#All],6,FALSE))</f>
        <v>Fora do DRE</v>
      </c>
      <c r="U5142" s="3" t="str">
        <f>IF(ISERROR(VLOOKUP(Base_Periodo1[[#This Row],[CONTA]],BaseContasDRE[#All],7,FALSE)),"Fora do DRE",VLOOKUP(Base_Periodo1[[#This Row],[CONTA]],BaseContasDRE[#All],7,FALSE))</f>
        <v>Fora do DRE</v>
      </c>
      <c r="V5142" s="3" t="str">
        <f>IF(Base_Periodo1[[#This Row],[Tipo_Linha]]="Fora do DRE","Fora do DRE","( "&amp;Base_Periodo1[[#This Row],[Tipo_Linha]]&amp;" ) "&amp;Base_Periodo1[[#This Row],[Filtro]])</f>
        <v>Fora do DRE</v>
      </c>
      <c r="W5142" s="3" t="str">
        <f>LEFT(Base_Periodo1[[#This Row],[CLASS]],3)</f>
        <v>2.4</v>
      </c>
    </row>
    <row r="5143" spans="1:23" hidden="1">
      <c r="A5143" s="3" t="str">
        <f t="shared" si="80"/>
        <v>Período 1</v>
      </c>
      <c r="B5143">
        <v>16106</v>
      </c>
      <c r="C5143" t="s">
        <v>2300</v>
      </c>
      <c r="D5143" t="s">
        <v>3022</v>
      </c>
      <c r="E5143" s="3" t="str">
        <f>IF(LEN(Base_Periodo1[[#This Row],[CLASS]])&gt;=7,LEFT(Base_Periodo1[[#This Row],[CLASS]],7),"")</f>
        <v>2.4.1.1</v>
      </c>
      <c r="F5143" s="3" t="str">
        <f>VLOOKUP(Base_Periodo1[[#This Row],[Aux]],Base_Contas_Balanco[#All],2,FALSE)</f>
        <v>Capital Social Realizado</v>
      </c>
      <c r="G5143" s="1"/>
      <c r="H5143" s="225">
        <v>11478.89</v>
      </c>
      <c r="I5143" s="225">
        <v>0</v>
      </c>
      <c r="J5143" s="225">
        <v>0</v>
      </c>
      <c r="K5143" s="225">
        <v>11478.89</v>
      </c>
      <c r="L51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11478.89</v>
      </c>
      <c r="M5143" s="225">
        <f>ROUND(IF(AND(Base_Periodo1[[#This Row],[Tipo_Linha]]="-",Base_Periodo1[[#This Row],[TIPOSALDO]]="D"),Base_Periodo1[[#This Row],[SALDO_ATUAL]]*-1,Base_Periodo1[[#This Row],[SALDO_ATUAL]]),4)</f>
        <v>11478.89</v>
      </c>
      <c r="N5143" t="s">
        <v>116</v>
      </c>
      <c r="O5143" t="s">
        <v>459</v>
      </c>
      <c r="P5143" t="s">
        <v>459</v>
      </c>
      <c r="Q5143">
        <v>6</v>
      </c>
      <c r="R5143" s="225">
        <f>Base_Periodo1[[#This Row],[CREDITOS]]-Base_Periodo1[[#This Row],[DEBITOS]]</f>
        <v>0</v>
      </c>
      <c r="S5143" s="3" t="str">
        <f>IF(ISERROR(VLOOKUP(Base_Periodo1[[#This Row],[CONTA]],BaseContasDRE[#All],4,FALSE)),"Fora do DRE",VLOOKUP(Base_Periodo1[[#This Row],[CONTA]],BaseContasDRE[#All],4,FALSE))</f>
        <v>Fora do DRE</v>
      </c>
      <c r="T5143" s="3" t="str">
        <f>IF(ISERROR(VLOOKUP(Base_Periodo1[[#This Row],[CONTA]],BaseContasDRE[#All],5,FALSE)),"Fora do DRE",VLOOKUP(Base_Periodo1[[#This Row],[CONTA]],BaseContasDRE[#All],6,FALSE))</f>
        <v>Fora do DRE</v>
      </c>
      <c r="U5143" s="3" t="str">
        <f>IF(ISERROR(VLOOKUP(Base_Periodo1[[#This Row],[CONTA]],BaseContasDRE[#All],7,FALSE)),"Fora do DRE",VLOOKUP(Base_Periodo1[[#This Row],[CONTA]],BaseContasDRE[#All],7,FALSE))</f>
        <v>Fora do DRE</v>
      </c>
      <c r="V5143" s="3" t="str">
        <f>IF(Base_Periodo1[[#This Row],[Tipo_Linha]]="Fora do DRE","Fora do DRE","( "&amp;Base_Periodo1[[#This Row],[Tipo_Linha]]&amp;" ) "&amp;Base_Periodo1[[#This Row],[Filtro]])</f>
        <v>Fora do DRE</v>
      </c>
      <c r="W5143" s="3" t="str">
        <f>LEFT(Base_Periodo1[[#This Row],[CLASS]],3)</f>
        <v>2.4</v>
      </c>
    </row>
    <row r="5144" spans="1:23" hidden="1">
      <c r="A5144" s="3" t="str">
        <f t="shared" si="80"/>
        <v>Período 1</v>
      </c>
      <c r="B5144">
        <v>16399</v>
      </c>
      <c r="C5144" t="s">
        <v>2300</v>
      </c>
      <c r="D5144" t="s">
        <v>3023</v>
      </c>
      <c r="E5144" s="3" t="str">
        <f>IF(LEN(Base_Periodo1[[#This Row],[CLASS]])&gt;=7,LEFT(Base_Periodo1[[#This Row],[CLASS]],7),"")</f>
        <v>2.4.1.1</v>
      </c>
      <c r="F5144" s="3" t="str">
        <f>VLOOKUP(Base_Periodo1[[#This Row],[Aux]],Base_Contas_Balanco[#All],2,FALSE)</f>
        <v>Capital Social Realizado</v>
      </c>
      <c r="G5144" s="1"/>
      <c r="H5144" s="225">
        <v>1760.3</v>
      </c>
      <c r="I5144" s="225">
        <v>0</v>
      </c>
      <c r="J5144" s="225">
        <v>0</v>
      </c>
      <c r="K5144" s="225">
        <v>1760.3</v>
      </c>
      <c r="L51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1760.3</v>
      </c>
      <c r="M5144" s="225">
        <f>ROUND(IF(AND(Base_Periodo1[[#This Row],[Tipo_Linha]]="-",Base_Periodo1[[#This Row],[TIPOSALDO]]="D"),Base_Periodo1[[#This Row],[SALDO_ATUAL]]*-1,Base_Periodo1[[#This Row],[SALDO_ATUAL]]),4)</f>
        <v>1760.3</v>
      </c>
      <c r="N5144" t="s">
        <v>116</v>
      </c>
      <c r="O5144" t="s">
        <v>459</v>
      </c>
      <c r="P5144" t="s">
        <v>459</v>
      </c>
      <c r="Q5144">
        <v>6</v>
      </c>
      <c r="R5144" s="225">
        <f>Base_Periodo1[[#This Row],[CREDITOS]]-Base_Periodo1[[#This Row],[DEBITOS]]</f>
        <v>0</v>
      </c>
      <c r="S5144" s="3" t="str">
        <f>IF(ISERROR(VLOOKUP(Base_Periodo1[[#This Row],[CONTA]],BaseContasDRE[#All],4,FALSE)),"Fora do DRE",VLOOKUP(Base_Periodo1[[#This Row],[CONTA]],BaseContasDRE[#All],4,FALSE))</f>
        <v>Fora do DRE</v>
      </c>
      <c r="T5144" s="3" t="str">
        <f>IF(ISERROR(VLOOKUP(Base_Periodo1[[#This Row],[CONTA]],BaseContasDRE[#All],5,FALSE)),"Fora do DRE",VLOOKUP(Base_Periodo1[[#This Row],[CONTA]],BaseContasDRE[#All],6,FALSE))</f>
        <v>Fora do DRE</v>
      </c>
      <c r="U5144" s="3" t="str">
        <f>IF(ISERROR(VLOOKUP(Base_Periodo1[[#This Row],[CONTA]],BaseContasDRE[#All],7,FALSE)),"Fora do DRE",VLOOKUP(Base_Periodo1[[#This Row],[CONTA]],BaseContasDRE[#All],7,FALSE))</f>
        <v>Fora do DRE</v>
      </c>
      <c r="V5144" s="3" t="str">
        <f>IF(Base_Periodo1[[#This Row],[Tipo_Linha]]="Fora do DRE","Fora do DRE","( "&amp;Base_Periodo1[[#This Row],[Tipo_Linha]]&amp;" ) "&amp;Base_Periodo1[[#This Row],[Filtro]])</f>
        <v>Fora do DRE</v>
      </c>
      <c r="W5144" s="3" t="str">
        <f>LEFT(Base_Periodo1[[#This Row],[CLASS]],3)</f>
        <v>2.4</v>
      </c>
    </row>
    <row r="5145" spans="1:23" hidden="1">
      <c r="A5145" s="3" t="str">
        <f t="shared" si="80"/>
        <v>Período 1</v>
      </c>
      <c r="B5145">
        <v>16065</v>
      </c>
      <c r="C5145" t="s">
        <v>2300</v>
      </c>
      <c r="D5145" t="s">
        <v>3024</v>
      </c>
      <c r="E5145" s="3" t="str">
        <f>IF(LEN(Base_Periodo1[[#This Row],[CLASS]])&gt;=7,LEFT(Base_Periodo1[[#This Row],[CLASS]],7),"")</f>
        <v>2.4.1.1</v>
      </c>
      <c r="F5145" s="3" t="str">
        <f>VLOOKUP(Base_Periodo1[[#This Row],[Aux]],Base_Contas_Balanco[#All],2,FALSE)</f>
        <v>Capital Social Realizado</v>
      </c>
      <c r="G5145" s="1">
        <v>42460</v>
      </c>
      <c r="H5145" s="225">
        <v>5810.2999999999993</v>
      </c>
      <c r="I5145" s="225">
        <v>0</v>
      </c>
      <c r="J5145" s="225">
        <v>0</v>
      </c>
      <c r="K5145" s="225">
        <v>5810.2999999999993</v>
      </c>
      <c r="L51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5810.3</v>
      </c>
      <c r="M5145" s="225">
        <f>ROUND(IF(AND(Base_Periodo1[[#This Row],[Tipo_Linha]]="-",Base_Periodo1[[#This Row],[TIPOSALDO]]="D"),Base_Periodo1[[#This Row],[SALDO_ATUAL]]*-1,Base_Periodo1[[#This Row],[SALDO_ATUAL]]),4)</f>
        <v>5810.3</v>
      </c>
      <c r="N5145" t="s">
        <v>116</v>
      </c>
      <c r="O5145" t="s">
        <v>459</v>
      </c>
      <c r="P5145" t="s">
        <v>459</v>
      </c>
      <c r="Q5145">
        <v>6</v>
      </c>
      <c r="R5145" s="225">
        <f>Base_Periodo1[[#This Row],[CREDITOS]]-Base_Periodo1[[#This Row],[DEBITOS]]</f>
        <v>0</v>
      </c>
      <c r="S5145" s="3" t="str">
        <f>IF(ISERROR(VLOOKUP(Base_Periodo1[[#This Row],[CONTA]],BaseContasDRE[#All],4,FALSE)),"Fora do DRE",VLOOKUP(Base_Periodo1[[#This Row],[CONTA]],BaseContasDRE[#All],4,FALSE))</f>
        <v>Fora do DRE</v>
      </c>
      <c r="T5145" s="3" t="str">
        <f>IF(ISERROR(VLOOKUP(Base_Periodo1[[#This Row],[CONTA]],BaseContasDRE[#All],5,FALSE)),"Fora do DRE",VLOOKUP(Base_Periodo1[[#This Row],[CONTA]],BaseContasDRE[#All],6,FALSE))</f>
        <v>Fora do DRE</v>
      </c>
      <c r="U5145" s="3" t="str">
        <f>IF(ISERROR(VLOOKUP(Base_Periodo1[[#This Row],[CONTA]],BaseContasDRE[#All],7,FALSE)),"Fora do DRE",VLOOKUP(Base_Periodo1[[#This Row],[CONTA]],BaseContasDRE[#All],7,FALSE))</f>
        <v>Fora do DRE</v>
      </c>
      <c r="V5145" s="3" t="str">
        <f>IF(Base_Periodo1[[#This Row],[Tipo_Linha]]="Fora do DRE","Fora do DRE","( "&amp;Base_Periodo1[[#This Row],[Tipo_Linha]]&amp;" ) "&amp;Base_Periodo1[[#This Row],[Filtro]])</f>
        <v>Fora do DRE</v>
      </c>
      <c r="W5145" s="3" t="str">
        <f>LEFT(Base_Periodo1[[#This Row],[CLASS]],3)</f>
        <v>2.4</v>
      </c>
    </row>
    <row r="5146" spans="1:23" hidden="1">
      <c r="A5146" s="3" t="str">
        <f t="shared" si="80"/>
        <v>Período 1</v>
      </c>
      <c r="B5146">
        <v>15987</v>
      </c>
      <c r="C5146" t="s">
        <v>2300</v>
      </c>
      <c r="D5146" t="s">
        <v>3025</v>
      </c>
      <c r="E5146" s="3" t="str">
        <f>IF(LEN(Base_Periodo1[[#This Row],[CLASS]])&gt;=7,LEFT(Base_Periodo1[[#This Row],[CLASS]],7),"")</f>
        <v>2.4.1.1</v>
      </c>
      <c r="F5146" s="3" t="str">
        <f>VLOOKUP(Base_Periodo1[[#This Row],[Aux]],Base_Contas_Balanco[#All],2,FALSE)</f>
        <v>Capital Social Realizado</v>
      </c>
      <c r="G5146" s="1"/>
      <c r="H5146" s="225">
        <v>1409.2</v>
      </c>
      <c r="I5146" s="225">
        <v>0</v>
      </c>
      <c r="J5146" s="225">
        <v>0</v>
      </c>
      <c r="K5146" s="225">
        <v>1409.2</v>
      </c>
      <c r="L51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1409.2</v>
      </c>
      <c r="M5146" s="225">
        <f>ROUND(IF(AND(Base_Periodo1[[#This Row],[Tipo_Linha]]="-",Base_Periodo1[[#This Row],[TIPOSALDO]]="D"),Base_Periodo1[[#This Row],[SALDO_ATUAL]]*-1,Base_Periodo1[[#This Row],[SALDO_ATUAL]]),4)</f>
        <v>1409.2</v>
      </c>
      <c r="N5146" t="s">
        <v>116</v>
      </c>
      <c r="O5146" t="s">
        <v>459</v>
      </c>
      <c r="P5146" t="s">
        <v>459</v>
      </c>
      <c r="Q5146">
        <v>6</v>
      </c>
      <c r="R5146" s="225">
        <f>Base_Periodo1[[#This Row],[CREDITOS]]-Base_Periodo1[[#This Row],[DEBITOS]]</f>
        <v>0</v>
      </c>
      <c r="S5146" s="3" t="str">
        <f>IF(ISERROR(VLOOKUP(Base_Periodo1[[#This Row],[CONTA]],BaseContasDRE[#All],4,FALSE)),"Fora do DRE",VLOOKUP(Base_Periodo1[[#This Row],[CONTA]],BaseContasDRE[#All],4,FALSE))</f>
        <v>Fora do DRE</v>
      </c>
      <c r="T5146" s="3" t="str">
        <f>IF(ISERROR(VLOOKUP(Base_Periodo1[[#This Row],[CONTA]],BaseContasDRE[#All],5,FALSE)),"Fora do DRE",VLOOKUP(Base_Periodo1[[#This Row],[CONTA]],BaseContasDRE[#All],6,FALSE))</f>
        <v>Fora do DRE</v>
      </c>
      <c r="U5146" s="3" t="str">
        <f>IF(ISERROR(VLOOKUP(Base_Periodo1[[#This Row],[CONTA]],BaseContasDRE[#All],7,FALSE)),"Fora do DRE",VLOOKUP(Base_Periodo1[[#This Row],[CONTA]],BaseContasDRE[#All],7,FALSE))</f>
        <v>Fora do DRE</v>
      </c>
      <c r="V5146" s="3" t="str">
        <f>IF(Base_Periodo1[[#This Row],[Tipo_Linha]]="Fora do DRE","Fora do DRE","( "&amp;Base_Periodo1[[#This Row],[Tipo_Linha]]&amp;" ) "&amp;Base_Periodo1[[#This Row],[Filtro]])</f>
        <v>Fora do DRE</v>
      </c>
      <c r="W5146" s="3" t="str">
        <f>LEFT(Base_Periodo1[[#This Row],[CLASS]],3)</f>
        <v>2.4</v>
      </c>
    </row>
    <row r="5147" spans="1:23" hidden="1">
      <c r="A5147" s="3" t="str">
        <f t="shared" si="80"/>
        <v>Período 1</v>
      </c>
      <c r="B5147">
        <v>16179</v>
      </c>
      <c r="C5147" t="s">
        <v>2300</v>
      </c>
      <c r="D5147" t="s">
        <v>3026</v>
      </c>
      <c r="E5147" s="3" t="str">
        <f>IF(LEN(Base_Periodo1[[#This Row],[CLASS]])&gt;=7,LEFT(Base_Periodo1[[#This Row],[CLASS]],7),"")</f>
        <v>2.4.1.1</v>
      </c>
      <c r="F5147" s="3" t="str">
        <f>VLOOKUP(Base_Periodo1[[#This Row],[Aux]],Base_Contas_Balanco[#All],2,FALSE)</f>
        <v>Capital Social Realizado</v>
      </c>
      <c r="G5147" s="1"/>
      <c r="H5147" s="225">
        <v>8930.5199999999986</v>
      </c>
      <c r="I5147" s="225">
        <v>0</v>
      </c>
      <c r="J5147" s="225">
        <v>0</v>
      </c>
      <c r="K5147" s="225">
        <v>8930.5199999999986</v>
      </c>
      <c r="L51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8930.52</v>
      </c>
      <c r="M5147" s="225">
        <f>ROUND(IF(AND(Base_Periodo1[[#This Row],[Tipo_Linha]]="-",Base_Periodo1[[#This Row],[TIPOSALDO]]="D"),Base_Periodo1[[#This Row],[SALDO_ATUAL]]*-1,Base_Periodo1[[#This Row],[SALDO_ATUAL]]),4)</f>
        <v>8930.52</v>
      </c>
      <c r="N5147" t="s">
        <v>116</v>
      </c>
      <c r="O5147" t="s">
        <v>459</v>
      </c>
      <c r="P5147" t="s">
        <v>459</v>
      </c>
      <c r="Q5147">
        <v>6</v>
      </c>
      <c r="R5147" s="225">
        <f>Base_Periodo1[[#This Row],[CREDITOS]]-Base_Periodo1[[#This Row],[DEBITOS]]</f>
        <v>0</v>
      </c>
      <c r="S5147" s="3" t="str">
        <f>IF(ISERROR(VLOOKUP(Base_Periodo1[[#This Row],[CONTA]],BaseContasDRE[#All],4,FALSE)),"Fora do DRE",VLOOKUP(Base_Periodo1[[#This Row],[CONTA]],BaseContasDRE[#All],4,FALSE))</f>
        <v>Fora do DRE</v>
      </c>
      <c r="T5147" s="3" t="str">
        <f>IF(ISERROR(VLOOKUP(Base_Periodo1[[#This Row],[CONTA]],BaseContasDRE[#All],5,FALSE)),"Fora do DRE",VLOOKUP(Base_Periodo1[[#This Row],[CONTA]],BaseContasDRE[#All],6,FALSE))</f>
        <v>Fora do DRE</v>
      </c>
      <c r="U5147" s="3" t="str">
        <f>IF(ISERROR(VLOOKUP(Base_Periodo1[[#This Row],[CONTA]],BaseContasDRE[#All],7,FALSE)),"Fora do DRE",VLOOKUP(Base_Periodo1[[#This Row],[CONTA]],BaseContasDRE[#All],7,FALSE))</f>
        <v>Fora do DRE</v>
      </c>
      <c r="V5147" s="3" t="str">
        <f>IF(Base_Periodo1[[#This Row],[Tipo_Linha]]="Fora do DRE","Fora do DRE","( "&amp;Base_Periodo1[[#This Row],[Tipo_Linha]]&amp;" ) "&amp;Base_Periodo1[[#This Row],[Filtro]])</f>
        <v>Fora do DRE</v>
      </c>
      <c r="W5147" s="3" t="str">
        <f>LEFT(Base_Periodo1[[#This Row],[CLASS]],3)</f>
        <v>2.4</v>
      </c>
    </row>
    <row r="5148" spans="1:23" hidden="1">
      <c r="A5148" s="3" t="str">
        <f t="shared" si="80"/>
        <v>Período 1</v>
      </c>
      <c r="B5148">
        <v>16327</v>
      </c>
      <c r="C5148" t="s">
        <v>2300</v>
      </c>
      <c r="D5148" t="s">
        <v>3027</v>
      </c>
      <c r="E5148" s="3" t="str">
        <f>IF(LEN(Base_Periodo1[[#This Row],[CLASS]])&gt;=7,LEFT(Base_Periodo1[[#This Row],[CLASS]],7),"")</f>
        <v>2.4.1.1</v>
      </c>
      <c r="F5148" s="3" t="str">
        <f>VLOOKUP(Base_Periodo1[[#This Row],[Aux]],Base_Contas_Balanco[#All],2,FALSE)</f>
        <v>Capital Social Realizado</v>
      </c>
      <c r="G5148" s="1"/>
      <c r="H5148" s="225">
        <v>9612.09</v>
      </c>
      <c r="I5148" s="225">
        <v>0</v>
      </c>
      <c r="J5148" s="225">
        <v>0</v>
      </c>
      <c r="K5148" s="225">
        <v>9612.09</v>
      </c>
      <c r="L51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9612.09</v>
      </c>
      <c r="M5148" s="225">
        <f>ROUND(IF(AND(Base_Periodo1[[#This Row],[Tipo_Linha]]="-",Base_Periodo1[[#This Row],[TIPOSALDO]]="D"),Base_Periodo1[[#This Row],[SALDO_ATUAL]]*-1,Base_Periodo1[[#This Row],[SALDO_ATUAL]]),4)</f>
        <v>9612.09</v>
      </c>
      <c r="N5148" t="s">
        <v>116</v>
      </c>
      <c r="O5148" t="s">
        <v>459</v>
      </c>
      <c r="P5148" t="s">
        <v>459</v>
      </c>
      <c r="Q5148">
        <v>6</v>
      </c>
      <c r="R5148" s="225">
        <f>Base_Periodo1[[#This Row],[CREDITOS]]-Base_Periodo1[[#This Row],[DEBITOS]]</f>
        <v>0</v>
      </c>
      <c r="S5148" s="3" t="str">
        <f>IF(ISERROR(VLOOKUP(Base_Periodo1[[#This Row],[CONTA]],BaseContasDRE[#All],4,FALSE)),"Fora do DRE",VLOOKUP(Base_Periodo1[[#This Row],[CONTA]],BaseContasDRE[#All],4,FALSE))</f>
        <v>Fora do DRE</v>
      </c>
      <c r="T5148" s="3" t="str">
        <f>IF(ISERROR(VLOOKUP(Base_Periodo1[[#This Row],[CONTA]],BaseContasDRE[#All],5,FALSE)),"Fora do DRE",VLOOKUP(Base_Periodo1[[#This Row],[CONTA]],BaseContasDRE[#All],6,FALSE))</f>
        <v>Fora do DRE</v>
      </c>
      <c r="U5148" s="3" t="str">
        <f>IF(ISERROR(VLOOKUP(Base_Periodo1[[#This Row],[CONTA]],BaseContasDRE[#All],7,FALSE)),"Fora do DRE",VLOOKUP(Base_Periodo1[[#This Row],[CONTA]],BaseContasDRE[#All],7,FALSE))</f>
        <v>Fora do DRE</v>
      </c>
      <c r="V5148" s="3" t="str">
        <f>IF(Base_Periodo1[[#This Row],[Tipo_Linha]]="Fora do DRE","Fora do DRE","( "&amp;Base_Periodo1[[#This Row],[Tipo_Linha]]&amp;" ) "&amp;Base_Periodo1[[#This Row],[Filtro]])</f>
        <v>Fora do DRE</v>
      </c>
      <c r="W5148" s="3" t="str">
        <f>LEFT(Base_Periodo1[[#This Row],[CLASS]],3)</f>
        <v>2.4</v>
      </c>
    </row>
    <row r="5149" spans="1:23" hidden="1">
      <c r="A5149" s="3" t="str">
        <f t="shared" si="80"/>
        <v>Período 1</v>
      </c>
      <c r="B5149">
        <v>25673</v>
      </c>
      <c r="C5149" t="s">
        <v>2300</v>
      </c>
      <c r="D5149" t="s">
        <v>3028</v>
      </c>
      <c r="E5149" s="3" t="str">
        <f>IF(LEN(Base_Periodo1[[#This Row],[CLASS]])&gt;=7,LEFT(Base_Periodo1[[#This Row],[CLASS]],7),"")</f>
        <v>2.4.1.1</v>
      </c>
      <c r="F5149" s="3" t="str">
        <f>VLOOKUP(Base_Periodo1[[#This Row],[Aux]],Base_Contas_Balanco[#All],2,FALSE)</f>
        <v>Capital Social Realizado</v>
      </c>
      <c r="G5149" s="1"/>
      <c r="H5149" s="225">
        <v>186.8</v>
      </c>
      <c r="I5149" s="225">
        <v>0</v>
      </c>
      <c r="J5149" s="225">
        <v>0</v>
      </c>
      <c r="K5149" s="225">
        <v>186.8</v>
      </c>
      <c r="L51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186.8</v>
      </c>
      <c r="M5149" s="225">
        <f>ROUND(IF(AND(Base_Periodo1[[#This Row],[Tipo_Linha]]="-",Base_Periodo1[[#This Row],[TIPOSALDO]]="D"),Base_Periodo1[[#This Row],[SALDO_ATUAL]]*-1,Base_Periodo1[[#This Row],[SALDO_ATUAL]]),4)</f>
        <v>186.8</v>
      </c>
      <c r="N5149" t="s">
        <v>116</v>
      </c>
      <c r="O5149" t="s">
        <v>459</v>
      </c>
      <c r="P5149" t="s">
        <v>459</v>
      </c>
      <c r="Q5149">
        <v>6</v>
      </c>
      <c r="R5149" s="225">
        <f>Base_Periodo1[[#This Row],[CREDITOS]]-Base_Periodo1[[#This Row],[DEBITOS]]</f>
        <v>0</v>
      </c>
      <c r="S5149" s="3" t="str">
        <f>IF(ISERROR(VLOOKUP(Base_Periodo1[[#This Row],[CONTA]],BaseContasDRE[#All],4,FALSE)),"Fora do DRE",VLOOKUP(Base_Periodo1[[#This Row],[CONTA]],BaseContasDRE[#All],4,FALSE))</f>
        <v>Fora do DRE</v>
      </c>
      <c r="T5149" s="3" t="str">
        <f>IF(ISERROR(VLOOKUP(Base_Periodo1[[#This Row],[CONTA]],BaseContasDRE[#All],5,FALSE)),"Fora do DRE",VLOOKUP(Base_Periodo1[[#This Row],[CONTA]],BaseContasDRE[#All],6,FALSE))</f>
        <v>Fora do DRE</v>
      </c>
      <c r="U5149" s="3" t="str">
        <f>IF(ISERROR(VLOOKUP(Base_Periodo1[[#This Row],[CONTA]],BaseContasDRE[#All],7,FALSE)),"Fora do DRE",VLOOKUP(Base_Periodo1[[#This Row],[CONTA]],BaseContasDRE[#All],7,FALSE))</f>
        <v>Fora do DRE</v>
      </c>
      <c r="V5149" s="3" t="str">
        <f>IF(Base_Periodo1[[#This Row],[Tipo_Linha]]="Fora do DRE","Fora do DRE","( "&amp;Base_Periodo1[[#This Row],[Tipo_Linha]]&amp;" ) "&amp;Base_Periodo1[[#This Row],[Filtro]])</f>
        <v>Fora do DRE</v>
      </c>
      <c r="W5149" s="3" t="str">
        <f>LEFT(Base_Periodo1[[#This Row],[CLASS]],3)</f>
        <v>2.4</v>
      </c>
    </row>
    <row r="5150" spans="1:23" hidden="1">
      <c r="A5150" s="3" t="str">
        <f t="shared" si="80"/>
        <v>Período 1</v>
      </c>
      <c r="B5150">
        <v>53248</v>
      </c>
      <c r="C5150" t="s">
        <v>2300</v>
      </c>
      <c r="D5150" t="s">
        <v>4889</v>
      </c>
      <c r="E5150" s="3" t="str">
        <f>IF(LEN(Base_Periodo1[[#This Row],[CLASS]])&gt;=7,LEFT(Base_Periodo1[[#This Row],[CLASS]],7),"")</f>
        <v>2.4.1.1</v>
      </c>
      <c r="F5150" s="3" t="str">
        <f>VLOOKUP(Base_Periodo1[[#This Row],[Aux]],Base_Contas_Balanco[#All],2,FALSE)</f>
        <v>Capital Social Realizado</v>
      </c>
      <c r="G5150" s="1"/>
      <c r="H5150" s="225">
        <v>50</v>
      </c>
      <c r="I5150" s="225">
        <v>0</v>
      </c>
      <c r="J5150" s="225">
        <v>0</v>
      </c>
      <c r="K5150" s="225">
        <v>50</v>
      </c>
      <c r="L51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50" s="225">
        <f>ROUND(IF(AND(Base_Periodo1[[#This Row],[Tipo_Linha]]="-",Base_Periodo1[[#This Row],[TIPOSALDO]]="D"),Base_Periodo1[[#This Row],[SALDO_ATUAL]]*-1,Base_Periodo1[[#This Row],[SALDO_ATUAL]]),4)</f>
        <v>50</v>
      </c>
      <c r="N5150" t="s">
        <v>116</v>
      </c>
      <c r="O5150" t="s">
        <v>459</v>
      </c>
      <c r="P5150" t="s">
        <v>459</v>
      </c>
      <c r="Q5150">
        <v>6</v>
      </c>
      <c r="R5150" s="225">
        <f>Base_Periodo1[[#This Row],[CREDITOS]]-Base_Periodo1[[#This Row],[DEBITOS]]</f>
        <v>0</v>
      </c>
      <c r="S5150" s="3" t="str">
        <f>IF(ISERROR(VLOOKUP(Base_Periodo1[[#This Row],[CONTA]],BaseContasDRE[#All],4,FALSE)),"Fora do DRE",VLOOKUP(Base_Periodo1[[#This Row],[CONTA]],BaseContasDRE[#All],4,FALSE))</f>
        <v>Fora do DRE</v>
      </c>
      <c r="T5150" s="3" t="str">
        <f>IF(ISERROR(VLOOKUP(Base_Periodo1[[#This Row],[CONTA]],BaseContasDRE[#All],5,FALSE)),"Fora do DRE",VLOOKUP(Base_Periodo1[[#This Row],[CONTA]],BaseContasDRE[#All],6,FALSE))</f>
        <v>Fora do DRE</v>
      </c>
      <c r="U5150" s="3" t="str">
        <f>IF(ISERROR(VLOOKUP(Base_Periodo1[[#This Row],[CONTA]],BaseContasDRE[#All],7,FALSE)),"Fora do DRE",VLOOKUP(Base_Periodo1[[#This Row],[CONTA]],BaseContasDRE[#All],7,FALSE))</f>
        <v>Fora do DRE</v>
      </c>
      <c r="V5150" s="3" t="str">
        <f>IF(Base_Periodo1[[#This Row],[Tipo_Linha]]="Fora do DRE","Fora do DRE","( "&amp;Base_Periodo1[[#This Row],[Tipo_Linha]]&amp;" ) "&amp;Base_Periodo1[[#This Row],[Filtro]])</f>
        <v>Fora do DRE</v>
      </c>
      <c r="W5150" s="3" t="str">
        <f>LEFT(Base_Periodo1[[#This Row],[CLASS]],3)</f>
        <v>2.4</v>
      </c>
    </row>
    <row r="5151" spans="1:23" hidden="1">
      <c r="A5151" s="3" t="str">
        <f t="shared" si="80"/>
        <v>Período 1</v>
      </c>
      <c r="B5151">
        <v>16283</v>
      </c>
      <c r="C5151" t="s">
        <v>2300</v>
      </c>
      <c r="D5151" t="s">
        <v>3029</v>
      </c>
      <c r="E5151" s="3" t="str">
        <f>IF(LEN(Base_Periodo1[[#This Row],[CLASS]])&gt;=7,LEFT(Base_Periodo1[[#This Row],[CLASS]],7),"")</f>
        <v>2.4.1.1</v>
      </c>
      <c r="F5151" s="3" t="str">
        <f>VLOOKUP(Base_Periodo1[[#This Row],[Aux]],Base_Contas_Balanco[#All],2,FALSE)</f>
        <v>Capital Social Realizado</v>
      </c>
      <c r="G5151" s="1">
        <v>42460</v>
      </c>
      <c r="H5151" s="225">
        <v>9946.67</v>
      </c>
      <c r="I5151" s="225">
        <v>0</v>
      </c>
      <c r="J5151" s="225">
        <v>0</v>
      </c>
      <c r="K5151" s="225">
        <v>9946.67</v>
      </c>
      <c r="L51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9946.67</v>
      </c>
      <c r="M5151" s="225">
        <f>ROUND(IF(AND(Base_Periodo1[[#This Row],[Tipo_Linha]]="-",Base_Periodo1[[#This Row],[TIPOSALDO]]="D"),Base_Periodo1[[#This Row],[SALDO_ATUAL]]*-1,Base_Periodo1[[#This Row],[SALDO_ATUAL]]),4)</f>
        <v>9946.67</v>
      </c>
      <c r="N5151" t="s">
        <v>116</v>
      </c>
      <c r="O5151" t="s">
        <v>459</v>
      </c>
      <c r="P5151" t="s">
        <v>459</v>
      </c>
      <c r="Q5151">
        <v>6</v>
      </c>
      <c r="R5151" s="225">
        <f>Base_Periodo1[[#This Row],[CREDITOS]]-Base_Periodo1[[#This Row],[DEBITOS]]</f>
        <v>0</v>
      </c>
      <c r="S5151" s="3" t="str">
        <f>IF(ISERROR(VLOOKUP(Base_Periodo1[[#This Row],[CONTA]],BaseContasDRE[#All],4,FALSE)),"Fora do DRE",VLOOKUP(Base_Periodo1[[#This Row],[CONTA]],BaseContasDRE[#All],4,FALSE))</f>
        <v>Fora do DRE</v>
      </c>
      <c r="T5151" s="3" t="str">
        <f>IF(ISERROR(VLOOKUP(Base_Periodo1[[#This Row],[CONTA]],BaseContasDRE[#All],5,FALSE)),"Fora do DRE",VLOOKUP(Base_Periodo1[[#This Row],[CONTA]],BaseContasDRE[#All],6,FALSE))</f>
        <v>Fora do DRE</v>
      </c>
      <c r="U5151" s="3" t="str">
        <f>IF(ISERROR(VLOOKUP(Base_Periodo1[[#This Row],[CONTA]],BaseContasDRE[#All],7,FALSE)),"Fora do DRE",VLOOKUP(Base_Periodo1[[#This Row],[CONTA]],BaseContasDRE[#All],7,FALSE))</f>
        <v>Fora do DRE</v>
      </c>
      <c r="V5151" s="3" t="str">
        <f>IF(Base_Periodo1[[#This Row],[Tipo_Linha]]="Fora do DRE","Fora do DRE","( "&amp;Base_Periodo1[[#This Row],[Tipo_Linha]]&amp;" ) "&amp;Base_Periodo1[[#This Row],[Filtro]])</f>
        <v>Fora do DRE</v>
      </c>
      <c r="W5151" s="3" t="str">
        <f>LEFT(Base_Periodo1[[#This Row],[CLASS]],3)</f>
        <v>2.4</v>
      </c>
    </row>
    <row r="5152" spans="1:23" hidden="1">
      <c r="A5152" s="3" t="str">
        <f t="shared" si="80"/>
        <v>Período 1</v>
      </c>
      <c r="B5152">
        <v>48552</v>
      </c>
      <c r="C5152" t="s">
        <v>2300</v>
      </c>
      <c r="D5152" t="s">
        <v>4217</v>
      </c>
      <c r="E5152" s="3" t="str">
        <f>IF(LEN(Base_Periodo1[[#This Row],[CLASS]])&gt;=7,LEFT(Base_Periodo1[[#This Row],[CLASS]],7),"")</f>
        <v>2.4.1.1</v>
      </c>
      <c r="F5152" s="3" t="str">
        <f>VLOOKUP(Base_Periodo1[[#This Row],[Aux]],Base_Contas_Balanco[#All],2,FALSE)</f>
        <v>Capital Social Realizado</v>
      </c>
      <c r="G5152" s="1"/>
      <c r="H5152" s="225">
        <v>153.30000000000001</v>
      </c>
      <c r="I5152" s="225">
        <v>0</v>
      </c>
      <c r="J5152" s="225">
        <v>0</v>
      </c>
      <c r="K5152" s="225">
        <v>153.30000000000001</v>
      </c>
      <c r="L51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153.30000000000001</v>
      </c>
      <c r="M5152" s="225">
        <f>ROUND(IF(AND(Base_Periodo1[[#This Row],[Tipo_Linha]]="-",Base_Periodo1[[#This Row],[TIPOSALDO]]="D"),Base_Periodo1[[#This Row],[SALDO_ATUAL]]*-1,Base_Periodo1[[#This Row],[SALDO_ATUAL]]),4)</f>
        <v>153.30000000000001</v>
      </c>
      <c r="N5152" t="s">
        <v>116</v>
      </c>
      <c r="O5152" t="s">
        <v>459</v>
      </c>
      <c r="P5152" t="s">
        <v>459</v>
      </c>
      <c r="Q5152">
        <v>6</v>
      </c>
      <c r="R5152" s="225">
        <f>Base_Periodo1[[#This Row],[CREDITOS]]-Base_Periodo1[[#This Row],[DEBITOS]]</f>
        <v>0</v>
      </c>
      <c r="S5152" s="3" t="str">
        <f>IF(ISERROR(VLOOKUP(Base_Periodo1[[#This Row],[CONTA]],BaseContasDRE[#All],4,FALSE)),"Fora do DRE",VLOOKUP(Base_Periodo1[[#This Row],[CONTA]],BaseContasDRE[#All],4,FALSE))</f>
        <v>Fora do DRE</v>
      </c>
      <c r="T5152" s="3" t="str">
        <f>IF(ISERROR(VLOOKUP(Base_Periodo1[[#This Row],[CONTA]],BaseContasDRE[#All],5,FALSE)),"Fora do DRE",VLOOKUP(Base_Periodo1[[#This Row],[CONTA]],BaseContasDRE[#All],6,FALSE))</f>
        <v>Fora do DRE</v>
      </c>
      <c r="U5152" s="3" t="str">
        <f>IF(ISERROR(VLOOKUP(Base_Periodo1[[#This Row],[CONTA]],BaseContasDRE[#All],7,FALSE)),"Fora do DRE",VLOOKUP(Base_Periodo1[[#This Row],[CONTA]],BaseContasDRE[#All],7,FALSE))</f>
        <v>Fora do DRE</v>
      </c>
      <c r="V5152" s="3" t="str">
        <f>IF(Base_Periodo1[[#This Row],[Tipo_Linha]]="Fora do DRE","Fora do DRE","( "&amp;Base_Periodo1[[#This Row],[Tipo_Linha]]&amp;" ) "&amp;Base_Periodo1[[#This Row],[Filtro]])</f>
        <v>Fora do DRE</v>
      </c>
      <c r="W5152" s="3" t="str">
        <f>LEFT(Base_Periodo1[[#This Row],[CLASS]],3)</f>
        <v>2.4</v>
      </c>
    </row>
    <row r="5153" spans="1:23" hidden="1">
      <c r="A5153" s="3" t="str">
        <f t="shared" si="80"/>
        <v>Período 1</v>
      </c>
      <c r="B5153">
        <v>25233</v>
      </c>
      <c r="C5153" t="s">
        <v>2300</v>
      </c>
      <c r="D5153" t="s">
        <v>3030</v>
      </c>
      <c r="E5153" s="3" t="str">
        <f>IF(LEN(Base_Periodo1[[#This Row],[CLASS]])&gt;=7,LEFT(Base_Periodo1[[#This Row],[CLASS]],7),"")</f>
        <v>2.4.1.1</v>
      </c>
      <c r="F5153" s="3" t="str">
        <f>VLOOKUP(Base_Periodo1[[#This Row],[Aux]],Base_Contas_Balanco[#All],2,FALSE)</f>
        <v>Capital Social Realizado</v>
      </c>
      <c r="G5153" s="1"/>
      <c r="H5153" s="225">
        <v>515.31999999999994</v>
      </c>
      <c r="I5153" s="225">
        <v>0</v>
      </c>
      <c r="J5153" s="225">
        <v>0</v>
      </c>
      <c r="K5153" s="225">
        <v>515.31999999999994</v>
      </c>
      <c r="L51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515.32000000000005</v>
      </c>
      <c r="M5153" s="225">
        <f>ROUND(IF(AND(Base_Periodo1[[#This Row],[Tipo_Linha]]="-",Base_Periodo1[[#This Row],[TIPOSALDO]]="D"),Base_Periodo1[[#This Row],[SALDO_ATUAL]]*-1,Base_Periodo1[[#This Row],[SALDO_ATUAL]]),4)</f>
        <v>515.32000000000005</v>
      </c>
      <c r="N5153" t="s">
        <v>116</v>
      </c>
      <c r="O5153" t="s">
        <v>459</v>
      </c>
      <c r="P5153" t="s">
        <v>459</v>
      </c>
      <c r="Q5153">
        <v>6</v>
      </c>
      <c r="R5153" s="225">
        <f>Base_Periodo1[[#This Row],[CREDITOS]]-Base_Periodo1[[#This Row],[DEBITOS]]</f>
        <v>0</v>
      </c>
      <c r="S5153" s="3" t="str">
        <f>IF(ISERROR(VLOOKUP(Base_Periodo1[[#This Row],[CONTA]],BaseContasDRE[#All],4,FALSE)),"Fora do DRE",VLOOKUP(Base_Periodo1[[#This Row],[CONTA]],BaseContasDRE[#All],4,FALSE))</f>
        <v>Fora do DRE</v>
      </c>
      <c r="T5153" s="3" t="str">
        <f>IF(ISERROR(VLOOKUP(Base_Periodo1[[#This Row],[CONTA]],BaseContasDRE[#All],5,FALSE)),"Fora do DRE",VLOOKUP(Base_Periodo1[[#This Row],[CONTA]],BaseContasDRE[#All],6,FALSE))</f>
        <v>Fora do DRE</v>
      </c>
      <c r="U5153" s="3" t="str">
        <f>IF(ISERROR(VLOOKUP(Base_Periodo1[[#This Row],[CONTA]],BaseContasDRE[#All],7,FALSE)),"Fora do DRE",VLOOKUP(Base_Periodo1[[#This Row],[CONTA]],BaseContasDRE[#All],7,FALSE))</f>
        <v>Fora do DRE</v>
      </c>
      <c r="V5153" s="3" t="str">
        <f>IF(Base_Periodo1[[#This Row],[Tipo_Linha]]="Fora do DRE","Fora do DRE","( "&amp;Base_Periodo1[[#This Row],[Tipo_Linha]]&amp;" ) "&amp;Base_Periodo1[[#This Row],[Filtro]])</f>
        <v>Fora do DRE</v>
      </c>
      <c r="W5153" s="3" t="str">
        <f>LEFT(Base_Periodo1[[#This Row],[CLASS]],3)</f>
        <v>2.4</v>
      </c>
    </row>
    <row r="5154" spans="1:23" hidden="1">
      <c r="A5154" s="3" t="str">
        <f t="shared" si="80"/>
        <v>Período 1</v>
      </c>
      <c r="B5154">
        <v>47513</v>
      </c>
      <c r="C5154" t="s">
        <v>2300</v>
      </c>
      <c r="D5154" t="s">
        <v>3031</v>
      </c>
      <c r="E5154" s="3" t="str">
        <f>IF(LEN(Base_Periodo1[[#This Row],[CLASS]])&gt;=7,LEFT(Base_Periodo1[[#This Row],[CLASS]],7),"")</f>
        <v>2.4.1.1</v>
      </c>
      <c r="F5154" s="3" t="str">
        <f>VLOOKUP(Base_Periodo1[[#This Row],[Aux]],Base_Contas_Balanco[#All],2,FALSE)</f>
        <v>Capital Social Realizado</v>
      </c>
      <c r="G5154" s="1"/>
      <c r="H5154" s="281">
        <v>50</v>
      </c>
      <c r="I5154" s="281">
        <v>0</v>
      </c>
      <c r="J5154" s="281">
        <v>0</v>
      </c>
      <c r="K5154" s="281">
        <v>50</v>
      </c>
      <c r="L515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54" s="281">
        <f>ROUND(IF(AND(Base_Periodo1[[#This Row],[Tipo_Linha]]="-",Base_Periodo1[[#This Row],[TIPOSALDO]]="D"),Base_Periodo1[[#This Row],[SALDO_ATUAL]]*-1,Base_Periodo1[[#This Row],[SALDO_ATUAL]]),4)</f>
        <v>50</v>
      </c>
      <c r="N5154" t="s">
        <v>116</v>
      </c>
      <c r="O5154" t="s">
        <v>459</v>
      </c>
      <c r="P5154" t="s">
        <v>459</v>
      </c>
      <c r="Q5154">
        <v>6</v>
      </c>
      <c r="R5154" s="281">
        <f>Base_Periodo1[[#This Row],[CREDITOS]]-Base_Periodo1[[#This Row],[DEBITOS]]</f>
        <v>0</v>
      </c>
      <c r="S5154" s="3" t="str">
        <f>IF(ISERROR(VLOOKUP(Base_Periodo1[[#This Row],[CONTA]],BaseContasDRE[#All],4,FALSE)),"Fora do DRE",VLOOKUP(Base_Periodo1[[#This Row],[CONTA]],BaseContasDRE[#All],4,FALSE))</f>
        <v>Fora do DRE</v>
      </c>
      <c r="T5154" s="3" t="str">
        <f>IF(ISERROR(VLOOKUP(Base_Periodo1[[#This Row],[CONTA]],BaseContasDRE[#All],5,FALSE)),"Fora do DRE",VLOOKUP(Base_Periodo1[[#This Row],[CONTA]],BaseContasDRE[#All],6,FALSE))</f>
        <v>Fora do DRE</v>
      </c>
      <c r="U5154" s="3" t="str">
        <f>IF(ISERROR(VLOOKUP(Base_Periodo1[[#This Row],[CONTA]],BaseContasDRE[#All],7,FALSE)),"Fora do DRE",VLOOKUP(Base_Periodo1[[#This Row],[CONTA]],BaseContasDRE[#All],7,FALSE))</f>
        <v>Fora do DRE</v>
      </c>
      <c r="V5154" s="3" t="str">
        <f>IF(Base_Periodo1[[#This Row],[Tipo_Linha]]="Fora do DRE","Fora do DRE","( "&amp;Base_Periodo1[[#This Row],[Tipo_Linha]]&amp;" ) "&amp;Base_Periodo1[[#This Row],[Filtro]])</f>
        <v>Fora do DRE</v>
      </c>
      <c r="W5154" s="3" t="str">
        <f>LEFT(Base_Periodo1[[#This Row],[CLASS]],3)</f>
        <v>2.4</v>
      </c>
    </row>
    <row r="5155" spans="1:23" hidden="1">
      <c r="A5155" s="3" t="str">
        <f t="shared" si="80"/>
        <v>Período 1</v>
      </c>
      <c r="B5155">
        <v>54264</v>
      </c>
      <c r="C5155" t="s">
        <v>2300</v>
      </c>
      <c r="D5155" t="s">
        <v>5101</v>
      </c>
      <c r="E5155" s="3" t="str">
        <f>IF(LEN(Base_Periodo1[[#This Row],[CLASS]])&gt;=7,LEFT(Base_Periodo1[[#This Row],[CLASS]],7),"")</f>
        <v>2.4.1.1</v>
      </c>
      <c r="F5155" s="3" t="str">
        <f>VLOOKUP(Base_Periodo1[[#This Row],[Aux]],Base_Contas_Balanco[#All],2,FALSE)</f>
        <v>Capital Social Realizado</v>
      </c>
      <c r="G5155" s="1"/>
      <c r="H5155" s="281">
        <v>50</v>
      </c>
      <c r="I5155" s="281">
        <v>0</v>
      </c>
      <c r="J5155" s="281">
        <v>0</v>
      </c>
      <c r="K5155" s="281">
        <v>50</v>
      </c>
      <c r="L515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55" s="281">
        <f>ROUND(IF(AND(Base_Periodo1[[#This Row],[Tipo_Linha]]="-",Base_Periodo1[[#This Row],[TIPOSALDO]]="D"),Base_Periodo1[[#This Row],[SALDO_ATUAL]]*-1,Base_Periodo1[[#This Row],[SALDO_ATUAL]]),4)</f>
        <v>50</v>
      </c>
      <c r="N5155" t="s">
        <v>116</v>
      </c>
      <c r="O5155" t="s">
        <v>459</v>
      </c>
      <c r="P5155" t="s">
        <v>459</v>
      </c>
      <c r="Q5155">
        <v>6</v>
      </c>
      <c r="R5155" s="281">
        <f>Base_Periodo1[[#This Row],[CREDITOS]]-Base_Periodo1[[#This Row],[DEBITOS]]</f>
        <v>0</v>
      </c>
      <c r="S5155" s="3" t="str">
        <f>IF(ISERROR(VLOOKUP(Base_Periodo1[[#This Row],[CONTA]],BaseContasDRE[#All],4,FALSE)),"Fora do DRE",VLOOKUP(Base_Periodo1[[#This Row],[CONTA]],BaseContasDRE[#All],4,FALSE))</f>
        <v>Fora do DRE</v>
      </c>
      <c r="T5155" s="3" t="str">
        <f>IF(ISERROR(VLOOKUP(Base_Periodo1[[#This Row],[CONTA]],BaseContasDRE[#All],5,FALSE)),"Fora do DRE",VLOOKUP(Base_Periodo1[[#This Row],[CONTA]],BaseContasDRE[#All],6,FALSE))</f>
        <v>Fora do DRE</v>
      </c>
      <c r="U5155" s="3" t="str">
        <f>IF(ISERROR(VLOOKUP(Base_Periodo1[[#This Row],[CONTA]],BaseContasDRE[#All],7,FALSE)),"Fora do DRE",VLOOKUP(Base_Periodo1[[#This Row],[CONTA]],BaseContasDRE[#All],7,FALSE))</f>
        <v>Fora do DRE</v>
      </c>
      <c r="V5155" s="3" t="str">
        <f>IF(Base_Periodo1[[#This Row],[Tipo_Linha]]="Fora do DRE","Fora do DRE","( "&amp;Base_Periodo1[[#This Row],[Tipo_Linha]]&amp;" ) "&amp;Base_Periodo1[[#This Row],[Filtro]])</f>
        <v>Fora do DRE</v>
      </c>
      <c r="W5155" s="3" t="str">
        <f>LEFT(Base_Periodo1[[#This Row],[CLASS]],3)</f>
        <v>2.4</v>
      </c>
    </row>
    <row r="5156" spans="1:23" hidden="1">
      <c r="A5156" s="3" t="str">
        <f t="shared" si="80"/>
        <v>Período 1</v>
      </c>
      <c r="B5156">
        <v>22612</v>
      </c>
      <c r="C5156" t="s">
        <v>2300</v>
      </c>
      <c r="D5156" t="s">
        <v>3032</v>
      </c>
      <c r="E5156" s="3" t="str">
        <f>IF(LEN(Base_Periodo1[[#This Row],[CLASS]])&gt;=7,LEFT(Base_Periodo1[[#This Row],[CLASS]],7),"")</f>
        <v>2.4.1.1</v>
      </c>
      <c r="F5156" s="3" t="str">
        <f>VLOOKUP(Base_Periodo1[[#This Row],[Aux]],Base_Contas_Balanco[#All],2,FALSE)</f>
        <v>Capital Social Realizado</v>
      </c>
      <c r="G5156" s="1"/>
      <c r="H5156" s="281">
        <v>156.82</v>
      </c>
      <c r="I5156" s="281">
        <v>0</v>
      </c>
      <c r="J5156" s="281">
        <v>0</v>
      </c>
      <c r="K5156" s="281">
        <v>156.82</v>
      </c>
      <c r="L515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156.82</v>
      </c>
      <c r="M5156" s="281">
        <f>ROUND(IF(AND(Base_Periodo1[[#This Row],[Tipo_Linha]]="-",Base_Periodo1[[#This Row],[TIPOSALDO]]="D"),Base_Periodo1[[#This Row],[SALDO_ATUAL]]*-1,Base_Periodo1[[#This Row],[SALDO_ATUAL]]),4)</f>
        <v>156.82</v>
      </c>
      <c r="N5156" t="s">
        <v>116</v>
      </c>
      <c r="O5156" t="s">
        <v>459</v>
      </c>
      <c r="P5156" t="s">
        <v>459</v>
      </c>
      <c r="Q5156">
        <v>6</v>
      </c>
      <c r="R5156" s="281">
        <f>Base_Periodo1[[#This Row],[CREDITOS]]-Base_Periodo1[[#This Row],[DEBITOS]]</f>
        <v>0</v>
      </c>
      <c r="S5156" s="3" t="str">
        <f>IF(ISERROR(VLOOKUP(Base_Periodo1[[#This Row],[CONTA]],BaseContasDRE[#All],4,FALSE)),"Fora do DRE",VLOOKUP(Base_Periodo1[[#This Row],[CONTA]],BaseContasDRE[#All],4,FALSE))</f>
        <v>Fora do DRE</v>
      </c>
      <c r="T5156" s="3" t="str">
        <f>IF(ISERROR(VLOOKUP(Base_Periodo1[[#This Row],[CONTA]],BaseContasDRE[#All],5,FALSE)),"Fora do DRE",VLOOKUP(Base_Periodo1[[#This Row],[CONTA]],BaseContasDRE[#All],6,FALSE))</f>
        <v>Fora do DRE</v>
      </c>
      <c r="U5156" s="3" t="str">
        <f>IF(ISERROR(VLOOKUP(Base_Periodo1[[#This Row],[CONTA]],BaseContasDRE[#All],7,FALSE)),"Fora do DRE",VLOOKUP(Base_Periodo1[[#This Row],[CONTA]],BaseContasDRE[#All],7,FALSE))</f>
        <v>Fora do DRE</v>
      </c>
      <c r="V5156" s="3" t="str">
        <f>IF(Base_Periodo1[[#This Row],[Tipo_Linha]]="Fora do DRE","Fora do DRE","( "&amp;Base_Periodo1[[#This Row],[Tipo_Linha]]&amp;" ) "&amp;Base_Periodo1[[#This Row],[Filtro]])</f>
        <v>Fora do DRE</v>
      </c>
      <c r="W5156" s="3" t="str">
        <f>LEFT(Base_Periodo1[[#This Row],[CLASS]],3)</f>
        <v>2.4</v>
      </c>
    </row>
    <row r="5157" spans="1:23" hidden="1">
      <c r="A5157" s="3" t="str">
        <f t="shared" si="80"/>
        <v>Período 1</v>
      </c>
      <c r="B5157">
        <v>25521</v>
      </c>
      <c r="C5157" t="s">
        <v>2300</v>
      </c>
      <c r="D5157" t="s">
        <v>3033</v>
      </c>
      <c r="E5157" s="3" t="str">
        <f>IF(LEN(Base_Periodo1[[#This Row],[CLASS]])&gt;=7,LEFT(Base_Periodo1[[#This Row],[CLASS]],7),"")</f>
        <v>2.4.1.1</v>
      </c>
      <c r="F5157" s="3" t="str">
        <f>VLOOKUP(Base_Periodo1[[#This Row],[Aux]],Base_Contas_Balanco[#All],2,FALSE)</f>
        <v>Capital Social Realizado</v>
      </c>
      <c r="G5157" s="1"/>
      <c r="H5157" s="281">
        <v>139.73000000000002</v>
      </c>
      <c r="I5157" s="281">
        <v>0</v>
      </c>
      <c r="J5157" s="281">
        <v>0</v>
      </c>
      <c r="K5157" s="281">
        <v>139.73000000000002</v>
      </c>
      <c r="L515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139.72999999999999</v>
      </c>
      <c r="M5157" s="281">
        <f>ROUND(IF(AND(Base_Periodo1[[#This Row],[Tipo_Linha]]="-",Base_Periodo1[[#This Row],[TIPOSALDO]]="D"),Base_Periodo1[[#This Row],[SALDO_ATUAL]]*-1,Base_Periodo1[[#This Row],[SALDO_ATUAL]]),4)</f>
        <v>139.72999999999999</v>
      </c>
      <c r="N5157" t="s">
        <v>116</v>
      </c>
      <c r="O5157" t="s">
        <v>459</v>
      </c>
      <c r="P5157" t="s">
        <v>459</v>
      </c>
      <c r="Q5157">
        <v>6</v>
      </c>
      <c r="R5157" s="281">
        <f>Base_Periodo1[[#This Row],[CREDITOS]]-Base_Periodo1[[#This Row],[DEBITOS]]</f>
        <v>0</v>
      </c>
      <c r="S5157" s="3" t="str">
        <f>IF(ISERROR(VLOOKUP(Base_Periodo1[[#This Row],[CONTA]],BaseContasDRE[#All],4,FALSE)),"Fora do DRE",VLOOKUP(Base_Periodo1[[#This Row],[CONTA]],BaseContasDRE[#All],4,FALSE))</f>
        <v>Fora do DRE</v>
      </c>
      <c r="T5157" s="3" t="str">
        <f>IF(ISERROR(VLOOKUP(Base_Periodo1[[#This Row],[CONTA]],BaseContasDRE[#All],5,FALSE)),"Fora do DRE",VLOOKUP(Base_Periodo1[[#This Row],[CONTA]],BaseContasDRE[#All],6,FALSE))</f>
        <v>Fora do DRE</v>
      </c>
      <c r="U5157" s="3" t="str">
        <f>IF(ISERROR(VLOOKUP(Base_Periodo1[[#This Row],[CONTA]],BaseContasDRE[#All],7,FALSE)),"Fora do DRE",VLOOKUP(Base_Periodo1[[#This Row],[CONTA]],BaseContasDRE[#All],7,FALSE))</f>
        <v>Fora do DRE</v>
      </c>
      <c r="V5157" s="3" t="str">
        <f>IF(Base_Periodo1[[#This Row],[Tipo_Linha]]="Fora do DRE","Fora do DRE","( "&amp;Base_Periodo1[[#This Row],[Tipo_Linha]]&amp;" ) "&amp;Base_Periodo1[[#This Row],[Filtro]])</f>
        <v>Fora do DRE</v>
      </c>
      <c r="W5157" s="3" t="str">
        <f>LEFT(Base_Periodo1[[#This Row],[CLASS]],3)</f>
        <v>2.4</v>
      </c>
    </row>
    <row r="5158" spans="1:23" hidden="1">
      <c r="A5158" s="3" t="str">
        <f t="shared" si="80"/>
        <v>Período 1</v>
      </c>
      <c r="B5158">
        <v>16142</v>
      </c>
      <c r="C5158" t="s">
        <v>2300</v>
      </c>
      <c r="D5158" t="s">
        <v>3034</v>
      </c>
      <c r="E5158" s="3" t="str">
        <f>IF(LEN(Base_Periodo1[[#This Row],[CLASS]])&gt;=7,LEFT(Base_Periodo1[[#This Row],[CLASS]],7),"")</f>
        <v>2.4.1.1</v>
      </c>
      <c r="F5158" s="3" t="str">
        <f>VLOOKUP(Base_Periodo1[[#This Row],[Aux]],Base_Contas_Balanco[#All],2,FALSE)</f>
        <v>Capital Social Realizado</v>
      </c>
      <c r="G5158" s="1"/>
      <c r="H5158" s="281">
        <v>3175.7</v>
      </c>
      <c r="I5158" s="281">
        <v>0</v>
      </c>
      <c r="J5158" s="281">
        <v>0</v>
      </c>
      <c r="K5158" s="281">
        <v>3175.7</v>
      </c>
      <c r="L515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3175.7</v>
      </c>
      <c r="M5158" s="281">
        <f>ROUND(IF(AND(Base_Periodo1[[#This Row],[Tipo_Linha]]="-",Base_Periodo1[[#This Row],[TIPOSALDO]]="D"),Base_Periodo1[[#This Row],[SALDO_ATUAL]]*-1,Base_Periodo1[[#This Row],[SALDO_ATUAL]]),4)</f>
        <v>3175.7</v>
      </c>
      <c r="N5158" t="s">
        <v>116</v>
      </c>
      <c r="O5158" t="s">
        <v>459</v>
      </c>
      <c r="P5158" t="s">
        <v>459</v>
      </c>
      <c r="Q5158">
        <v>6</v>
      </c>
      <c r="R5158" s="281">
        <f>Base_Periodo1[[#This Row],[CREDITOS]]-Base_Periodo1[[#This Row],[DEBITOS]]</f>
        <v>0</v>
      </c>
      <c r="S5158" s="3" t="str">
        <f>IF(ISERROR(VLOOKUP(Base_Periodo1[[#This Row],[CONTA]],BaseContasDRE[#All],4,FALSE)),"Fora do DRE",VLOOKUP(Base_Periodo1[[#This Row],[CONTA]],BaseContasDRE[#All],4,FALSE))</f>
        <v>Fora do DRE</v>
      </c>
      <c r="T5158" s="3" t="str">
        <f>IF(ISERROR(VLOOKUP(Base_Periodo1[[#This Row],[CONTA]],BaseContasDRE[#All],5,FALSE)),"Fora do DRE",VLOOKUP(Base_Periodo1[[#This Row],[CONTA]],BaseContasDRE[#All],6,FALSE))</f>
        <v>Fora do DRE</v>
      </c>
      <c r="U5158" s="3" t="str">
        <f>IF(ISERROR(VLOOKUP(Base_Periodo1[[#This Row],[CONTA]],BaseContasDRE[#All],7,FALSE)),"Fora do DRE",VLOOKUP(Base_Periodo1[[#This Row],[CONTA]],BaseContasDRE[#All],7,FALSE))</f>
        <v>Fora do DRE</v>
      </c>
      <c r="V5158" s="3" t="str">
        <f>IF(Base_Periodo1[[#This Row],[Tipo_Linha]]="Fora do DRE","Fora do DRE","( "&amp;Base_Periodo1[[#This Row],[Tipo_Linha]]&amp;" ) "&amp;Base_Periodo1[[#This Row],[Filtro]])</f>
        <v>Fora do DRE</v>
      </c>
      <c r="W5158" s="3" t="str">
        <f>LEFT(Base_Periodo1[[#This Row],[CLASS]],3)</f>
        <v>2.4</v>
      </c>
    </row>
    <row r="5159" spans="1:23" hidden="1">
      <c r="A5159" s="3" t="str">
        <f t="shared" si="80"/>
        <v>Período 1</v>
      </c>
      <c r="B5159">
        <v>19304</v>
      </c>
      <c r="C5159" t="s">
        <v>2300</v>
      </c>
      <c r="D5159" t="s">
        <v>3035</v>
      </c>
      <c r="E5159" s="3" t="str">
        <f>IF(LEN(Base_Periodo1[[#This Row],[CLASS]])&gt;=7,LEFT(Base_Periodo1[[#This Row],[CLASS]],7),"")</f>
        <v>2.4.1.1</v>
      </c>
      <c r="F5159" s="3" t="str">
        <f>VLOOKUP(Base_Periodo1[[#This Row],[Aux]],Base_Contas_Balanco[#All],2,FALSE)</f>
        <v>Capital Social Realizado</v>
      </c>
      <c r="G5159" s="1"/>
      <c r="H5159" s="281">
        <v>312</v>
      </c>
      <c r="I5159" s="281">
        <v>0</v>
      </c>
      <c r="J5159" s="281">
        <v>0</v>
      </c>
      <c r="K5159" s="281">
        <v>312</v>
      </c>
      <c r="L515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312</v>
      </c>
      <c r="M5159" s="281">
        <f>ROUND(IF(AND(Base_Periodo1[[#This Row],[Tipo_Linha]]="-",Base_Periodo1[[#This Row],[TIPOSALDO]]="D"),Base_Periodo1[[#This Row],[SALDO_ATUAL]]*-1,Base_Periodo1[[#This Row],[SALDO_ATUAL]]),4)</f>
        <v>312</v>
      </c>
      <c r="N5159" t="s">
        <v>116</v>
      </c>
      <c r="O5159" t="s">
        <v>459</v>
      </c>
      <c r="P5159" t="s">
        <v>459</v>
      </c>
      <c r="Q5159">
        <v>6</v>
      </c>
      <c r="R5159" s="281">
        <f>Base_Periodo1[[#This Row],[CREDITOS]]-Base_Periodo1[[#This Row],[DEBITOS]]</f>
        <v>0</v>
      </c>
      <c r="S5159" s="3" t="str">
        <f>IF(ISERROR(VLOOKUP(Base_Periodo1[[#This Row],[CONTA]],BaseContasDRE[#All],4,FALSE)),"Fora do DRE",VLOOKUP(Base_Periodo1[[#This Row],[CONTA]],BaseContasDRE[#All],4,FALSE))</f>
        <v>Fora do DRE</v>
      </c>
      <c r="T5159" s="3" t="str">
        <f>IF(ISERROR(VLOOKUP(Base_Periodo1[[#This Row],[CONTA]],BaseContasDRE[#All],5,FALSE)),"Fora do DRE",VLOOKUP(Base_Periodo1[[#This Row],[CONTA]],BaseContasDRE[#All],6,FALSE))</f>
        <v>Fora do DRE</v>
      </c>
      <c r="U5159" s="3" t="str">
        <f>IF(ISERROR(VLOOKUP(Base_Periodo1[[#This Row],[CONTA]],BaseContasDRE[#All],7,FALSE)),"Fora do DRE",VLOOKUP(Base_Periodo1[[#This Row],[CONTA]],BaseContasDRE[#All],7,FALSE))</f>
        <v>Fora do DRE</v>
      </c>
      <c r="V5159" s="3" t="str">
        <f>IF(Base_Periodo1[[#This Row],[Tipo_Linha]]="Fora do DRE","Fora do DRE","( "&amp;Base_Periodo1[[#This Row],[Tipo_Linha]]&amp;" ) "&amp;Base_Periodo1[[#This Row],[Filtro]])</f>
        <v>Fora do DRE</v>
      </c>
      <c r="W5159" s="3" t="str">
        <f>LEFT(Base_Periodo1[[#This Row],[CLASS]],3)</f>
        <v>2.4</v>
      </c>
    </row>
    <row r="5160" spans="1:23" hidden="1">
      <c r="A5160" s="3" t="str">
        <f t="shared" si="80"/>
        <v>Período 1</v>
      </c>
      <c r="B5160">
        <v>54165</v>
      </c>
      <c r="C5160" t="s">
        <v>2300</v>
      </c>
      <c r="D5160" t="s">
        <v>5102</v>
      </c>
      <c r="E5160" s="3" t="str">
        <f>IF(LEN(Base_Periodo1[[#This Row],[CLASS]])&gt;=7,LEFT(Base_Periodo1[[#This Row],[CLASS]],7),"")</f>
        <v>2.4.1.1</v>
      </c>
      <c r="F5160" s="3" t="str">
        <f>VLOOKUP(Base_Periodo1[[#This Row],[Aux]],Base_Contas_Balanco[#All],2,FALSE)</f>
        <v>Capital Social Realizado</v>
      </c>
      <c r="G5160" s="1"/>
      <c r="H5160" s="281">
        <v>50</v>
      </c>
      <c r="I5160" s="281">
        <v>0</v>
      </c>
      <c r="J5160" s="281">
        <v>0</v>
      </c>
      <c r="K5160" s="281">
        <v>50</v>
      </c>
      <c r="L516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60" s="281">
        <f>ROUND(IF(AND(Base_Periodo1[[#This Row],[Tipo_Linha]]="-",Base_Periodo1[[#This Row],[TIPOSALDO]]="D"),Base_Periodo1[[#This Row],[SALDO_ATUAL]]*-1,Base_Periodo1[[#This Row],[SALDO_ATUAL]]),4)</f>
        <v>50</v>
      </c>
      <c r="N5160" t="s">
        <v>116</v>
      </c>
      <c r="O5160" t="s">
        <v>459</v>
      </c>
      <c r="P5160" t="s">
        <v>459</v>
      </c>
      <c r="Q5160">
        <v>6</v>
      </c>
      <c r="R5160" s="281">
        <f>Base_Periodo1[[#This Row],[CREDITOS]]-Base_Periodo1[[#This Row],[DEBITOS]]</f>
        <v>0</v>
      </c>
      <c r="S5160" s="3" t="str">
        <f>IF(ISERROR(VLOOKUP(Base_Periodo1[[#This Row],[CONTA]],BaseContasDRE[#All],4,FALSE)),"Fora do DRE",VLOOKUP(Base_Periodo1[[#This Row],[CONTA]],BaseContasDRE[#All],4,FALSE))</f>
        <v>Fora do DRE</v>
      </c>
      <c r="T5160" s="3" t="str">
        <f>IF(ISERROR(VLOOKUP(Base_Periodo1[[#This Row],[CONTA]],BaseContasDRE[#All],5,FALSE)),"Fora do DRE",VLOOKUP(Base_Periodo1[[#This Row],[CONTA]],BaseContasDRE[#All],6,FALSE))</f>
        <v>Fora do DRE</v>
      </c>
      <c r="U5160" s="3" t="str">
        <f>IF(ISERROR(VLOOKUP(Base_Periodo1[[#This Row],[CONTA]],BaseContasDRE[#All],7,FALSE)),"Fora do DRE",VLOOKUP(Base_Periodo1[[#This Row],[CONTA]],BaseContasDRE[#All],7,FALSE))</f>
        <v>Fora do DRE</v>
      </c>
      <c r="V5160" s="3" t="str">
        <f>IF(Base_Periodo1[[#This Row],[Tipo_Linha]]="Fora do DRE","Fora do DRE","( "&amp;Base_Periodo1[[#This Row],[Tipo_Linha]]&amp;" ) "&amp;Base_Periodo1[[#This Row],[Filtro]])</f>
        <v>Fora do DRE</v>
      </c>
      <c r="W5160" s="3" t="str">
        <f>LEFT(Base_Periodo1[[#This Row],[CLASS]],3)</f>
        <v>2.4</v>
      </c>
    </row>
    <row r="5161" spans="1:23" hidden="1">
      <c r="A5161" s="3" t="str">
        <f t="shared" si="80"/>
        <v>Período 1</v>
      </c>
      <c r="B5161">
        <v>25508</v>
      </c>
      <c r="C5161" t="s">
        <v>2300</v>
      </c>
      <c r="D5161" t="s">
        <v>3036</v>
      </c>
      <c r="E5161" s="3" t="str">
        <f>IF(LEN(Base_Periodo1[[#This Row],[CLASS]])&gt;=7,LEFT(Base_Periodo1[[#This Row],[CLASS]],7),"")</f>
        <v>2.4.1.1</v>
      </c>
      <c r="F5161" s="3" t="str">
        <f>VLOOKUP(Base_Periodo1[[#This Row],[Aux]],Base_Contas_Balanco[#All],2,FALSE)</f>
        <v>Capital Social Realizado</v>
      </c>
      <c r="G5161" s="1"/>
      <c r="H5161" s="281">
        <v>303.90999999999997</v>
      </c>
      <c r="I5161" s="281">
        <v>0</v>
      </c>
      <c r="J5161" s="281">
        <v>0</v>
      </c>
      <c r="K5161" s="281">
        <v>303.90999999999997</v>
      </c>
      <c r="L516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303.91000000000003</v>
      </c>
      <c r="M5161" s="281">
        <f>ROUND(IF(AND(Base_Periodo1[[#This Row],[Tipo_Linha]]="-",Base_Periodo1[[#This Row],[TIPOSALDO]]="D"),Base_Periodo1[[#This Row],[SALDO_ATUAL]]*-1,Base_Periodo1[[#This Row],[SALDO_ATUAL]]),4)</f>
        <v>303.91000000000003</v>
      </c>
      <c r="N5161" t="s">
        <v>116</v>
      </c>
      <c r="O5161" t="s">
        <v>459</v>
      </c>
      <c r="P5161" t="s">
        <v>459</v>
      </c>
      <c r="Q5161">
        <v>6</v>
      </c>
      <c r="R5161" s="281">
        <f>Base_Periodo1[[#This Row],[CREDITOS]]-Base_Periodo1[[#This Row],[DEBITOS]]</f>
        <v>0</v>
      </c>
      <c r="S5161" s="3" t="str">
        <f>IF(ISERROR(VLOOKUP(Base_Periodo1[[#This Row],[CONTA]],BaseContasDRE[#All],4,FALSE)),"Fora do DRE",VLOOKUP(Base_Periodo1[[#This Row],[CONTA]],BaseContasDRE[#All],4,FALSE))</f>
        <v>Fora do DRE</v>
      </c>
      <c r="T5161" s="3" t="str">
        <f>IF(ISERROR(VLOOKUP(Base_Periodo1[[#This Row],[CONTA]],BaseContasDRE[#All],5,FALSE)),"Fora do DRE",VLOOKUP(Base_Periodo1[[#This Row],[CONTA]],BaseContasDRE[#All],6,FALSE))</f>
        <v>Fora do DRE</v>
      </c>
      <c r="U5161" s="3" t="str">
        <f>IF(ISERROR(VLOOKUP(Base_Periodo1[[#This Row],[CONTA]],BaseContasDRE[#All],7,FALSE)),"Fora do DRE",VLOOKUP(Base_Periodo1[[#This Row],[CONTA]],BaseContasDRE[#All],7,FALSE))</f>
        <v>Fora do DRE</v>
      </c>
      <c r="V5161" s="3" t="str">
        <f>IF(Base_Periodo1[[#This Row],[Tipo_Linha]]="Fora do DRE","Fora do DRE","( "&amp;Base_Periodo1[[#This Row],[Tipo_Linha]]&amp;" ) "&amp;Base_Periodo1[[#This Row],[Filtro]])</f>
        <v>Fora do DRE</v>
      </c>
      <c r="W5161" s="3" t="str">
        <f>LEFT(Base_Periodo1[[#This Row],[CLASS]],3)</f>
        <v>2.4</v>
      </c>
    </row>
    <row r="5162" spans="1:23" hidden="1">
      <c r="A5162" s="3" t="str">
        <f t="shared" si="80"/>
        <v>Período 1</v>
      </c>
      <c r="B5162">
        <v>15917</v>
      </c>
      <c r="C5162" t="s">
        <v>2300</v>
      </c>
      <c r="D5162" t="s">
        <v>3037</v>
      </c>
      <c r="E5162" s="3" t="str">
        <f>IF(LEN(Base_Periodo1[[#This Row],[CLASS]])&gt;=7,LEFT(Base_Periodo1[[#This Row],[CLASS]],7),"")</f>
        <v>2.4.1.1</v>
      </c>
      <c r="F5162" s="3" t="str">
        <f>VLOOKUP(Base_Periodo1[[#This Row],[Aux]],Base_Contas_Balanco[#All],2,FALSE)</f>
        <v>Capital Social Realizado</v>
      </c>
      <c r="G5162" s="1"/>
      <c r="H5162" s="281">
        <v>86566.729999999981</v>
      </c>
      <c r="I5162" s="281">
        <v>0</v>
      </c>
      <c r="J5162" s="281">
        <v>0</v>
      </c>
      <c r="K5162" s="281">
        <v>86566.729999999981</v>
      </c>
      <c r="L516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86566.73</v>
      </c>
      <c r="M5162" s="281">
        <f>ROUND(IF(AND(Base_Periodo1[[#This Row],[Tipo_Linha]]="-",Base_Periodo1[[#This Row],[TIPOSALDO]]="D"),Base_Periodo1[[#This Row],[SALDO_ATUAL]]*-1,Base_Periodo1[[#This Row],[SALDO_ATUAL]]),4)</f>
        <v>86566.73</v>
      </c>
      <c r="N5162" t="s">
        <v>116</v>
      </c>
      <c r="O5162" t="s">
        <v>459</v>
      </c>
      <c r="P5162" t="s">
        <v>459</v>
      </c>
      <c r="Q5162">
        <v>6</v>
      </c>
      <c r="R5162" s="281">
        <f>Base_Periodo1[[#This Row],[CREDITOS]]-Base_Periodo1[[#This Row],[DEBITOS]]</f>
        <v>0</v>
      </c>
      <c r="S5162" s="3" t="str">
        <f>IF(ISERROR(VLOOKUP(Base_Periodo1[[#This Row],[CONTA]],BaseContasDRE[#All],4,FALSE)),"Fora do DRE",VLOOKUP(Base_Periodo1[[#This Row],[CONTA]],BaseContasDRE[#All],4,FALSE))</f>
        <v>Fora do DRE</v>
      </c>
      <c r="T5162" s="3" t="str">
        <f>IF(ISERROR(VLOOKUP(Base_Periodo1[[#This Row],[CONTA]],BaseContasDRE[#All],5,FALSE)),"Fora do DRE",VLOOKUP(Base_Periodo1[[#This Row],[CONTA]],BaseContasDRE[#All],6,FALSE))</f>
        <v>Fora do DRE</v>
      </c>
      <c r="U5162" s="3" t="str">
        <f>IF(ISERROR(VLOOKUP(Base_Periodo1[[#This Row],[CONTA]],BaseContasDRE[#All],7,FALSE)),"Fora do DRE",VLOOKUP(Base_Periodo1[[#This Row],[CONTA]],BaseContasDRE[#All],7,FALSE))</f>
        <v>Fora do DRE</v>
      </c>
      <c r="V5162" s="3" t="str">
        <f>IF(Base_Periodo1[[#This Row],[Tipo_Linha]]="Fora do DRE","Fora do DRE","( "&amp;Base_Periodo1[[#This Row],[Tipo_Linha]]&amp;" ) "&amp;Base_Periodo1[[#This Row],[Filtro]])</f>
        <v>Fora do DRE</v>
      </c>
      <c r="W5162" s="3" t="str">
        <f>LEFT(Base_Periodo1[[#This Row],[CLASS]],3)</f>
        <v>2.4</v>
      </c>
    </row>
    <row r="5163" spans="1:23" hidden="1">
      <c r="A5163" s="3" t="str">
        <f t="shared" si="80"/>
        <v>Período 1</v>
      </c>
      <c r="B5163">
        <v>47703</v>
      </c>
      <c r="C5163" t="s">
        <v>2300</v>
      </c>
      <c r="D5163" t="s">
        <v>3038</v>
      </c>
      <c r="E5163" s="3" t="str">
        <f>IF(LEN(Base_Periodo1[[#This Row],[CLASS]])&gt;=7,LEFT(Base_Periodo1[[#This Row],[CLASS]],7),"")</f>
        <v>2.4.1.1</v>
      </c>
      <c r="F5163" s="3" t="str">
        <f>VLOOKUP(Base_Periodo1[[#This Row],[Aux]],Base_Contas_Balanco[#All],2,FALSE)</f>
        <v>Capital Social Realizado</v>
      </c>
      <c r="G5163" s="1"/>
      <c r="H5163" s="281">
        <v>50</v>
      </c>
      <c r="I5163" s="281">
        <v>0</v>
      </c>
      <c r="J5163" s="281">
        <v>0</v>
      </c>
      <c r="K5163" s="281">
        <v>50</v>
      </c>
      <c r="L516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63" s="281">
        <f>ROUND(IF(AND(Base_Periodo1[[#This Row],[Tipo_Linha]]="-",Base_Periodo1[[#This Row],[TIPOSALDO]]="D"),Base_Periodo1[[#This Row],[SALDO_ATUAL]]*-1,Base_Periodo1[[#This Row],[SALDO_ATUAL]]),4)</f>
        <v>50</v>
      </c>
      <c r="N5163" t="s">
        <v>116</v>
      </c>
      <c r="O5163" t="s">
        <v>459</v>
      </c>
      <c r="P5163" t="s">
        <v>459</v>
      </c>
      <c r="Q5163">
        <v>6</v>
      </c>
      <c r="R5163" s="281">
        <f>Base_Periodo1[[#This Row],[CREDITOS]]-Base_Periodo1[[#This Row],[DEBITOS]]</f>
        <v>0</v>
      </c>
      <c r="S5163" s="3" t="str">
        <f>IF(ISERROR(VLOOKUP(Base_Periodo1[[#This Row],[CONTA]],BaseContasDRE[#All],4,FALSE)),"Fora do DRE",VLOOKUP(Base_Periodo1[[#This Row],[CONTA]],BaseContasDRE[#All],4,FALSE))</f>
        <v>Fora do DRE</v>
      </c>
      <c r="T5163" s="3" t="str">
        <f>IF(ISERROR(VLOOKUP(Base_Periodo1[[#This Row],[CONTA]],BaseContasDRE[#All],5,FALSE)),"Fora do DRE",VLOOKUP(Base_Periodo1[[#This Row],[CONTA]],BaseContasDRE[#All],6,FALSE))</f>
        <v>Fora do DRE</v>
      </c>
      <c r="U5163" s="3" t="str">
        <f>IF(ISERROR(VLOOKUP(Base_Periodo1[[#This Row],[CONTA]],BaseContasDRE[#All],7,FALSE)),"Fora do DRE",VLOOKUP(Base_Periodo1[[#This Row],[CONTA]],BaseContasDRE[#All],7,FALSE))</f>
        <v>Fora do DRE</v>
      </c>
      <c r="V5163" s="3" t="str">
        <f>IF(Base_Periodo1[[#This Row],[Tipo_Linha]]="Fora do DRE","Fora do DRE","( "&amp;Base_Periodo1[[#This Row],[Tipo_Linha]]&amp;" ) "&amp;Base_Periodo1[[#This Row],[Filtro]])</f>
        <v>Fora do DRE</v>
      </c>
      <c r="W5163" s="3" t="str">
        <f>LEFT(Base_Periodo1[[#This Row],[CLASS]],3)</f>
        <v>2.4</v>
      </c>
    </row>
    <row r="5164" spans="1:23" hidden="1">
      <c r="A5164" s="3" t="str">
        <f t="shared" si="80"/>
        <v>Período 1</v>
      </c>
      <c r="B5164">
        <v>16477</v>
      </c>
      <c r="C5164" t="s">
        <v>2300</v>
      </c>
      <c r="D5164" t="s">
        <v>3039</v>
      </c>
      <c r="E5164" s="3" t="str">
        <f>IF(LEN(Base_Periodo1[[#This Row],[CLASS]])&gt;=7,LEFT(Base_Periodo1[[#This Row],[CLASS]],7),"")</f>
        <v>2.4.1.1</v>
      </c>
      <c r="F5164" s="3" t="str">
        <f>VLOOKUP(Base_Periodo1[[#This Row],[Aux]],Base_Contas_Balanco[#All],2,FALSE)</f>
        <v>Capital Social Realizado</v>
      </c>
      <c r="G5164" s="1"/>
      <c r="H5164" s="281">
        <v>223.89</v>
      </c>
      <c r="I5164" s="281">
        <v>0</v>
      </c>
      <c r="J5164" s="281">
        <v>0</v>
      </c>
      <c r="K5164" s="281">
        <v>223.89</v>
      </c>
      <c r="L516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223.89</v>
      </c>
      <c r="M5164" s="281">
        <f>ROUND(IF(AND(Base_Periodo1[[#This Row],[Tipo_Linha]]="-",Base_Periodo1[[#This Row],[TIPOSALDO]]="D"),Base_Periodo1[[#This Row],[SALDO_ATUAL]]*-1,Base_Periodo1[[#This Row],[SALDO_ATUAL]]),4)</f>
        <v>223.89</v>
      </c>
      <c r="N5164" t="s">
        <v>116</v>
      </c>
      <c r="O5164" t="s">
        <v>459</v>
      </c>
      <c r="P5164" t="s">
        <v>459</v>
      </c>
      <c r="Q5164">
        <v>6</v>
      </c>
      <c r="R5164" s="281">
        <f>Base_Periodo1[[#This Row],[CREDITOS]]-Base_Periodo1[[#This Row],[DEBITOS]]</f>
        <v>0</v>
      </c>
      <c r="S5164" s="3" t="str">
        <f>IF(ISERROR(VLOOKUP(Base_Periodo1[[#This Row],[CONTA]],BaseContasDRE[#All],4,FALSE)),"Fora do DRE",VLOOKUP(Base_Periodo1[[#This Row],[CONTA]],BaseContasDRE[#All],4,FALSE))</f>
        <v>Fora do DRE</v>
      </c>
      <c r="T5164" s="3" t="str">
        <f>IF(ISERROR(VLOOKUP(Base_Periodo1[[#This Row],[CONTA]],BaseContasDRE[#All],5,FALSE)),"Fora do DRE",VLOOKUP(Base_Periodo1[[#This Row],[CONTA]],BaseContasDRE[#All],6,FALSE))</f>
        <v>Fora do DRE</v>
      </c>
      <c r="U5164" s="3" t="str">
        <f>IF(ISERROR(VLOOKUP(Base_Periodo1[[#This Row],[CONTA]],BaseContasDRE[#All],7,FALSE)),"Fora do DRE",VLOOKUP(Base_Periodo1[[#This Row],[CONTA]],BaseContasDRE[#All],7,FALSE))</f>
        <v>Fora do DRE</v>
      </c>
      <c r="V5164" s="3" t="str">
        <f>IF(Base_Periodo1[[#This Row],[Tipo_Linha]]="Fora do DRE","Fora do DRE","( "&amp;Base_Periodo1[[#This Row],[Tipo_Linha]]&amp;" ) "&amp;Base_Periodo1[[#This Row],[Filtro]])</f>
        <v>Fora do DRE</v>
      </c>
      <c r="W5164" s="3" t="str">
        <f>LEFT(Base_Periodo1[[#This Row],[CLASS]],3)</f>
        <v>2.4</v>
      </c>
    </row>
    <row r="5165" spans="1:23" hidden="1">
      <c r="A5165" s="3" t="str">
        <f t="shared" si="80"/>
        <v>Período 1</v>
      </c>
      <c r="B5165">
        <v>25221</v>
      </c>
      <c r="C5165" t="s">
        <v>2300</v>
      </c>
      <c r="D5165" t="s">
        <v>3040</v>
      </c>
      <c r="E5165" s="3" t="str">
        <f>IF(LEN(Base_Periodo1[[#This Row],[CLASS]])&gt;=7,LEFT(Base_Periodo1[[#This Row],[CLASS]],7),"")</f>
        <v>2.4.1.1</v>
      </c>
      <c r="F5165" s="3" t="str">
        <f>VLOOKUP(Base_Periodo1[[#This Row],[Aux]],Base_Contas_Balanco[#All],2,FALSE)</f>
        <v>Capital Social Realizado</v>
      </c>
      <c r="G5165" s="1"/>
      <c r="H5165" s="281">
        <v>355.48</v>
      </c>
      <c r="I5165" s="281">
        <v>0</v>
      </c>
      <c r="J5165" s="281">
        <v>0</v>
      </c>
      <c r="K5165" s="281">
        <v>355.48</v>
      </c>
      <c r="L516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355.48</v>
      </c>
      <c r="M5165" s="281">
        <f>ROUND(IF(AND(Base_Periodo1[[#This Row],[Tipo_Linha]]="-",Base_Periodo1[[#This Row],[TIPOSALDO]]="D"),Base_Periodo1[[#This Row],[SALDO_ATUAL]]*-1,Base_Periodo1[[#This Row],[SALDO_ATUAL]]),4)</f>
        <v>355.48</v>
      </c>
      <c r="N5165" t="s">
        <v>116</v>
      </c>
      <c r="O5165" t="s">
        <v>459</v>
      </c>
      <c r="P5165" t="s">
        <v>459</v>
      </c>
      <c r="Q5165">
        <v>6</v>
      </c>
      <c r="R5165" s="281">
        <f>Base_Periodo1[[#This Row],[CREDITOS]]-Base_Periodo1[[#This Row],[DEBITOS]]</f>
        <v>0</v>
      </c>
      <c r="S5165" s="3" t="str">
        <f>IF(ISERROR(VLOOKUP(Base_Periodo1[[#This Row],[CONTA]],BaseContasDRE[#All],4,FALSE)),"Fora do DRE",VLOOKUP(Base_Periodo1[[#This Row],[CONTA]],BaseContasDRE[#All],4,FALSE))</f>
        <v>Fora do DRE</v>
      </c>
      <c r="T5165" s="3" t="str">
        <f>IF(ISERROR(VLOOKUP(Base_Periodo1[[#This Row],[CONTA]],BaseContasDRE[#All],5,FALSE)),"Fora do DRE",VLOOKUP(Base_Periodo1[[#This Row],[CONTA]],BaseContasDRE[#All],6,FALSE))</f>
        <v>Fora do DRE</v>
      </c>
      <c r="U5165" s="3" t="str">
        <f>IF(ISERROR(VLOOKUP(Base_Periodo1[[#This Row],[CONTA]],BaseContasDRE[#All],7,FALSE)),"Fora do DRE",VLOOKUP(Base_Periodo1[[#This Row],[CONTA]],BaseContasDRE[#All],7,FALSE))</f>
        <v>Fora do DRE</v>
      </c>
      <c r="V5165" s="3" t="str">
        <f>IF(Base_Periodo1[[#This Row],[Tipo_Linha]]="Fora do DRE","Fora do DRE","( "&amp;Base_Periodo1[[#This Row],[Tipo_Linha]]&amp;" ) "&amp;Base_Periodo1[[#This Row],[Filtro]])</f>
        <v>Fora do DRE</v>
      </c>
      <c r="W5165" s="3" t="str">
        <f>LEFT(Base_Periodo1[[#This Row],[CLASS]],3)</f>
        <v>2.4</v>
      </c>
    </row>
    <row r="5166" spans="1:23" hidden="1">
      <c r="A5166" s="3" t="str">
        <f t="shared" si="80"/>
        <v>Período 1</v>
      </c>
      <c r="B5166">
        <v>32780</v>
      </c>
      <c r="C5166" t="s">
        <v>2300</v>
      </c>
      <c r="D5166" t="s">
        <v>3041</v>
      </c>
      <c r="E5166" s="3" t="str">
        <f>IF(LEN(Base_Periodo1[[#This Row],[CLASS]])&gt;=7,LEFT(Base_Periodo1[[#This Row],[CLASS]],7),"")</f>
        <v>2.4.1.1</v>
      </c>
      <c r="F5166" s="3" t="str">
        <f>VLOOKUP(Base_Periodo1[[#This Row],[Aux]],Base_Contas_Balanco[#All],2,FALSE)</f>
        <v>Capital Social Realizado</v>
      </c>
      <c r="G5166" s="1"/>
      <c r="H5166" s="281">
        <v>3789.44</v>
      </c>
      <c r="I5166" s="281">
        <v>0</v>
      </c>
      <c r="J5166" s="281">
        <v>0</v>
      </c>
      <c r="K5166" s="281">
        <v>3789.44</v>
      </c>
      <c r="L516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3789.44</v>
      </c>
      <c r="M5166" s="281">
        <f>ROUND(IF(AND(Base_Periodo1[[#This Row],[Tipo_Linha]]="-",Base_Periodo1[[#This Row],[TIPOSALDO]]="D"),Base_Periodo1[[#This Row],[SALDO_ATUAL]]*-1,Base_Periodo1[[#This Row],[SALDO_ATUAL]]),4)</f>
        <v>3789.44</v>
      </c>
      <c r="N5166" t="s">
        <v>116</v>
      </c>
      <c r="O5166" t="s">
        <v>459</v>
      </c>
      <c r="P5166" t="s">
        <v>459</v>
      </c>
      <c r="Q5166">
        <v>6</v>
      </c>
      <c r="R5166" s="281">
        <f>Base_Periodo1[[#This Row],[CREDITOS]]-Base_Periodo1[[#This Row],[DEBITOS]]</f>
        <v>0</v>
      </c>
      <c r="S5166" s="3" t="str">
        <f>IF(ISERROR(VLOOKUP(Base_Periodo1[[#This Row],[CONTA]],BaseContasDRE[#All],4,FALSE)),"Fora do DRE",VLOOKUP(Base_Periodo1[[#This Row],[CONTA]],BaseContasDRE[#All],4,FALSE))</f>
        <v>Fora do DRE</v>
      </c>
      <c r="T5166" s="3" t="str">
        <f>IF(ISERROR(VLOOKUP(Base_Periodo1[[#This Row],[CONTA]],BaseContasDRE[#All],5,FALSE)),"Fora do DRE",VLOOKUP(Base_Periodo1[[#This Row],[CONTA]],BaseContasDRE[#All],6,FALSE))</f>
        <v>Fora do DRE</v>
      </c>
      <c r="U5166" s="3" t="str">
        <f>IF(ISERROR(VLOOKUP(Base_Periodo1[[#This Row],[CONTA]],BaseContasDRE[#All],7,FALSE)),"Fora do DRE",VLOOKUP(Base_Periodo1[[#This Row],[CONTA]],BaseContasDRE[#All],7,FALSE))</f>
        <v>Fora do DRE</v>
      </c>
      <c r="V5166" s="3" t="str">
        <f>IF(Base_Periodo1[[#This Row],[Tipo_Linha]]="Fora do DRE","Fora do DRE","( "&amp;Base_Periodo1[[#This Row],[Tipo_Linha]]&amp;" ) "&amp;Base_Periodo1[[#This Row],[Filtro]])</f>
        <v>Fora do DRE</v>
      </c>
      <c r="W5166" s="3" t="str">
        <f>LEFT(Base_Periodo1[[#This Row],[CLASS]],3)</f>
        <v>2.4</v>
      </c>
    </row>
    <row r="5167" spans="1:23" hidden="1">
      <c r="A5167" s="3" t="str">
        <f t="shared" si="80"/>
        <v>Período 1</v>
      </c>
      <c r="B5167">
        <v>17030</v>
      </c>
      <c r="C5167" t="s">
        <v>2300</v>
      </c>
      <c r="D5167" t="s">
        <v>3042</v>
      </c>
      <c r="E5167" s="3" t="str">
        <f>IF(LEN(Base_Periodo1[[#This Row],[CLASS]])&gt;=7,LEFT(Base_Periodo1[[#This Row],[CLASS]],7),"")</f>
        <v>2.4.1.1</v>
      </c>
      <c r="F5167" s="3" t="str">
        <f>VLOOKUP(Base_Periodo1[[#This Row],[Aux]],Base_Contas_Balanco[#All],2,FALSE)</f>
        <v>Capital Social Realizado</v>
      </c>
      <c r="G5167" s="1"/>
      <c r="H5167" s="281">
        <v>4044.76</v>
      </c>
      <c r="I5167" s="281">
        <v>0</v>
      </c>
      <c r="J5167" s="281">
        <v>0</v>
      </c>
      <c r="K5167" s="281">
        <v>4044.76</v>
      </c>
      <c r="L516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4044.76</v>
      </c>
      <c r="M5167" s="281">
        <f>ROUND(IF(AND(Base_Periodo1[[#This Row],[Tipo_Linha]]="-",Base_Periodo1[[#This Row],[TIPOSALDO]]="D"),Base_Periodo1[[#This Row],[SALDO_ATUAL]]*-1,Base_Periodo1[[#This Row],[SALDO_ATUAL]]),4)</f>
        <v>4044.76</v>
      </c>
      <c r="N5167" t="s">
        <v>116</v>
      </c>
      <c r="O5167" t="s">
        <v>459</v>
      </c>
      <c r="P5167" t="s">
        <v>459</v>
      </c>
      <c r="Q5167">
        <v>6</v>
      </c>
      <c r="R5167" s="281">
        <f>Base_Periodo1[[#This Row],[CREDITOS]]-Base_Periodo1[[#This Row],[DEBITOS]]</f>
        <v>0</v>
      </c>
      <c r="S5167" s="3" t="str">
        <f>IF(ISERROR(VLOOKUP(Base_Periodo1[[#This Row],[CONTA]],BaseContasDRE[#All],4,FALSE)),"Fora do DRE",VLOOKUP(Base_Periodo1[[#This Row],[CONTA]],BaseContasDRE[#All],4,FALSE))</f>
        <v>Fora do DRE</v>
      </c>
      <c r="T5167" s="3" t="str">
        <f>IF(ISERROR(VLOOKUP(Base_Periodo1[[#This Row],[CONTA]],BaseContasDRE[#All],5,FALSE)),"Fora do DRE",VLOOKUP(Base_Periodo1[[#This Row],[CONTA]],BaseContasDRE[#All],6,FALSE))</f>
        <v>Fora do DRE</v>
      </c>
      <c r="U5167" s="3" t="str">
        <f>IF(ISERROR(VLOOKUP(Base_Periodo1[[#This Row],[CONTA]],BaseContasDRE[#All],7,FALSE)),"Fora do DRE",VLOOKUP(Base_Periodo1[[#This Row],[CONTA]],BaseContasDRE[#All],7,FALSE))</f>
        <v>Fora do DRE</v>
      </c>
      <c r="V5167" s="3" t="str">
        <f>IF(Base_Periodo1[[#This Row],[Tipo_Linha]]="Fora do DRE","Fora do DRE","( "&amp;Base_Periodo1[[#This Row],[Tipo_Linha]]&amp;" ) "&amp;Base_Periodo1[[#This Row],[Filtro]])</f>
        <v>Fora do DRE</v>
      </c>
      <c r="W5167" s="3" t="str">
        <f>LEFT(Base_Periodo1[[#This Row],[CLASS]],3)</f>
        <v>2.4</v>
      </c>
    </row>
    <row r="5168" spans="1:23" hidden="1">
      <c r="A5168" s="3" t="str">
        <f t="shared" si="80"/>
        <v>Período 1</v>
      </c>
      <c r="B5168">
        <v>16410</v>
      </c>
      <c r="C5168" t="s">
        <v>2300</v>
      </c>
      <c r="D5168" t="s">
        <v>3043</v>
      </c>
      <c r="E5168" s="3" t="str">
        <f>IF(LEN(Base_Periodo1[[#This Row],[CLASS]])&gt;=7,LEFT(Base_Periodo1[[#This Row],[CLASS]],7),"")</f>
        <v>2.4.1.1</v>
      </c>
      <c r="F5168" s="3" t="str">
        <f>VLOOKUP(Base_Periodo1[[#This Row],[Aux]],Base_Contas_Balanco[#All],2,FALSE)</f>
        <v>Capital Social Realizado</v>
      </c>
      <c r="G5168" s="1"/>
      <c r="H5168" s="281">
        <v>5939.4699999999993</v>
      </c>
      <c r="I5168" s="281">
        <v>0</v>
      </c>
      <c r="J5168" s="281">
        <v>0</v>
      </c>
      <c r="K5168" s="281">
        <v>5939.4699999999993</v>
      </c>
      <c r="L516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5939.47</v>
      </c>
      <c r="M5168" s="281">
        <f>ROUND(IF(AND(Base_Periodo1[[#This Row],[Tipo_Linha]]="-",Base_Periodo1[[#This Row],[TIPOSALDO]]="D"),Base_Periodo1[[#This Row],[SALDO_ATUAL]]*-1,Base_Periodo1[[#This Row],[SALDO_ATUAL]]),4)</f>
        <v>5939.47</v>
      </c>
      <c r="N5168" t="s">
        <v>116</v>
      </c>
      <c r="O5168" t="s">
        <v>459</v>
      </c>
      <c r="P5168" t="s">
        <v>459</v>
      </c>
      <c r="Q5168">
        <v>6</v>
      </c>
      <c r="R5168" s="281">
        <f>Base_Periodo1[[#This Row],[CREDITOS]]-Base_Periodo1[[#This Row],[DEBITOS]]</f>
        <v>0</v>
      </c>
      <c r="S5168" s="3" t="str">
        <f>IF(ISERROR(VLOOKUP(Base_Periodo1[[#This Row],[CONTA]],BaseContasDRE[#All],4,FALSE)),"Fora do DRE",VLOOKUP(Base_Periodo1[[#This Row],[CONTA]],BaseContasDRE[#All],4,FALSE))</f>
        <v>Fora do DRE</v>
      </c>
      <c r="T5168" s="3" t="str">
        <f>IF(ISERROR(VLOOKUP(Base_Periodo1[[#This Row],[CONTA]],BaseContasDRE[#All],5,FALSE)),"Fora do DRE",VLOOKUP(Base_Periodo1[[#This Row],[CONTA]],BaseContasDRE[#All],6,FALSE))</f>
        <v>Fora do DRE</v>
      </c>
      <c r="U5168" s="3" t="str">
        <f>IF(ISERROR(VLOOKUP(Base_Periodo1[[#This Row],[CONTA]],BaseContasDRE[#All],7,FALSE)),"Fora do DRE",VLOOKUP(Base_Periodo1[[#This Row],[CONTA]],BaseContasDRE[#All],7,FALSE))</f>
        <v>Fora do DRE</v>
      </c>
      <c r="V5168" s="3" t="str">
        <f>IF(Base_Periodo1[[#This Row],[Tipo_Linha]]="Fora do DRE","Fora do DRE","( "&amp;Base_Periodo1[[#This Row],[Tipo_Linha]]&amp;" ) "&amp;Base_Periodo1[[#This Row],[Filtro]])</f>
        <v>Fora do DRE</v>
      </c>
      <c r="W5168" s="3" t="str">
        <f>LEFT(Base_Periodo1[[#This Row],[CLASS]],3)</f>
        <v>2.4</v>
      </c>
    </row>
    <row r="5169" spans="1:23" hidden="1">
      <c r="A5169" s="3" t="str">
        <f t="shared" si="80"/>
        <v>Período 1</v>
      </c>
      <c r="B5169">
        <v>19263</v>
      </c>
      <c r="C5169" t="s">
        <v>2300</v>
      </c>
      <c r="D5169" t="s">
        <v>3044</v>
      </c>
      <c r="E5169" s="3" t="str">
        <f>IF(LEN(Base_Periodo1[[#This Row],[CLASS]])&gt;=7,LEFT(Base_Periodo1[[#This Row],[CLASS]],7),"")</f>
        <v>2.4.1.1</v>
      </c>
      <c r="F5169" s="3" t="str">
        <f>VLOOKUP(Base_Periodo1[[#This Row],[Aux]],Base_Contas_Balanco[#All],2,FALSE)</f>
        <v>Capital Social Realizado</v>
      </c>
      <c r="G5169" s="1"/>
      <c r="H5169" s="281">
        <v>761.59999999999991</v>
      </c>
      <c r="I5169" s="281">
        <v>0</v>
      </c>
      <c r="J5169" s="281">
        <v>0</v>
      </c>
      <c r="K5169" s="281">
        <v>761.59999999999991</v>
      </c>
      <c r="L516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761.6</v>
      </c>
      <c r="M5169" s="281">
        <f>ROUND(IF(AND(Base_Periodo1[[#This Row],[Tipo_Linha]]="-",Base_Periodo1[[#This Row],[TIPOSALDO]]="D"),Base_Periodo1[[#This Row],[SALDO_ATUAL]]*-1,Base_Periodo1[[#This Row],[SALDO_ATUAL]]),4)</f>
        <v>761.6</v>
      </c>
      <c r="N5169" t="s">
        <v>116</v>
      </c>
      <c r="O5169" t="s">
        <v>459</v>
      </c>
      <c r="P5169" t="s">
        <v>459</v>
      </c>
      <c r="Q5169">
        <v>6</v>
      </c>
      <c r="R5169" s="281">
        <f>Base_Periodo1[[#This Row],[CREDITOS]]-Base_Periodo1[[#This Row],[DEBITOS]]</f>
        <v>0</v>
      </c>
      <c r="S5169" s="3" t="str">
        <f>IF(ISERROR(VLOOKUP(Base_Periodo1[[#This Row],[CONTA]],BaseContasDRE[#All],4,FALSE)),"Fora do DRE",VLOOKUP(Base_Periodo1[[#This Row],[CONTA]],BaseContasDRE[#All],4,FALSE))</f>
        <v>Fora do DRE</v>
      </c>
      <c r="T5169" s="3" t="str">
        <f>IF(ISERROR(VLOOKUP(Base_Periodo1[[#This Row],[CONTA]],BaseContasDRE[#All],5,FALSE)),"Fora do DRE",VLOOKUP(Base_Periodo1[[#This Row],[CONTA]],BaseContasDRE[#All],6,FALSE))</f>
        <v>Fora do DRE</v>
      </c>
      <c r="U5169" s="3" t="str">
        <f>IF(ISERROR(VLOOKUP(Base_Periodo1[[#This Row],[CONTA]],BaseContasDRE[#All],7,FALSE)),"Fora do DRE",VLOOKUP(Base_Periodo1[[#This Row],[CONTA]],BaseContasDRE[#All],7,FALSE))</f>
        <v>Fora do DRE</v>
      </c>
      <c r="V5169" s="3" t="str">
        <f>IF(Base_Periodo1[[#This Row],[Tipo_Linha]]="Fora do DRE","Fora do DRE","( "&amp;Base_Periodo1[[#This Row],[Tipo_Linha]]&amp;" ) "&amp;Base_Periodo1[[#This Row],[Filtro]])</f>
        <v>Fora do DRE</v>
      </c>
      <c r="W5169" s="3" t="str">
        <f>LEFT(Base_Periodo1[[#This Row],[CLASS]],3)</f>
        <v>2.4</v>
      </c>
    </row>
    <row r="5170" spans="1:23" hidden="1">
      <c r="A5170" s="3" t="str">
        <f t="shared" si="80"/>
        <v>Período 1</v>
      </c>
      <c r="B5170">
        <v>15985</v>
      </c>
      <c r="C5170" t="s">
        <v>2300</v>
      </c>
      <c r="D5170" t="s">
        <v>3045</v>
      </c>
      <c r="E5170" s="3" t="str">
        <f>IF(LEN(Base_Periodo1[[#This Row],[CLASS]])&gt;=7,LEFT(Base_Periodo1[[#This Row],[CLASS]],7),"")</f>
        <v>2.4.1.1</v>
      </c>
      <c r="F5170" s="3" t="str">
        <f>VLOOKUP(Base_Periodo1[[#This Row],[Aux]],Base_Contas_Balanco[#All],2,FALSE)</f>
        <v>Capital Social Realizado</v>
      </c>
      <c r="G5170" s="1"/>
      <c r="H5170" s="281">
        <v>10102.120000000001</v>
      </c>
      <c r="I5170" s="281">
        <v>0</v>
      </c>
      <c r="J5170" s="281">
        <v>0</v>
      </c>
      <c r="K5170" s="281">
        <v>10102.120000000001</v>
      </c>
      <c r="L517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10102.120000000001</v>
      </c>
      <c r="M5170" s="281">
        <f>ROUND(IF(AND(Base_Periodo1[[#This Row],[Tipo_Linha]]="-",Base_Periodo1[[#This Row],[TIPOSALDO]]="D"),Base_Periodo1[[#This Row],[SALDO_ATUAL]]*-1,Base_Periodo1[[#This Row],[SALDO_ATUAL]]),4)</f>
        <v>10102.120000000001</v>
      </c>
      <c r="N5170" t="s">
        <v>116</v>
      </c>
      <c r="O5170" t="s">
        <v>459</v>
      </c>
      <c r="P5170" t="s">
        <v>459</v>
      </c>
      <c r="Q5170">
        <v>6</v>
      </c>
      <c r="R5170" s="281">
        <f>Base_Periodo1[[#This Row],[CREDITOS]]-Base_Periodo1[[#This Row],[DEBITOS]]</f>
        <v>0</v>
      </c>
      <c r="S5170" s="3" t="str">
        <f>IF(ISERROR(VLOOKUP(Base_Periodo1[[#This Row],[CONTA]],BaseContasDRE[#All],4,FALSE)),"Fora do DRE",VLOOKUP(Base_Periodo1[[#This Row],[CONTA]],BaseContasDRE[#All],4,FALSE))</f>
        <v>Fora do DRE</v>
      </c>
      <c r="T5170" s="3" t="str">
        <f>IF(ISERROR(VLOOKUP(Base_Periodo1[[#This Row],[CONTA]],BaseContasDRE[#All],5,FALSE)),"Fora do DRE",VLOOKUP(Base_Periodo1[[#This Row],[CONTA]],BaseContasDRE[#All],6,FALSE))</f>
        <v>Fora do DRE</v>
      </c>
      <c r="U5170" s="3" t="str">
        <f>IF(ISERROR(VLOOKUP(Base_Periodo1[[#This Row],[CONTA]],BaseContasDRE[#All],7,FALSE)),"Fora do DRE",VLOOKUP(Base_Periodo1[[#This Row],[CONTA]],BaseContasDRE[#All],7,FALSE))</f>
        <v>Fora do DRE</v>
      </c>
      <c r="V5170" s="3" t="str">
        <f>IF(Base_Periodo1[[#This Row],[Tipo_Linha]]="Fora do DRE","Fora do DRE","( "&amp;Base_Periodo1[[#This Row],[Tipo_Linha]]&amp;" ) "&amp;Base_Periodo1[[#This Row],[Filtro]])</f>
        <v>Fora do DRE</v>
      </c>
      <c r="W5170" s="3" t="str">
        <f>LEFT(Base_Periodo1[[#This Row],[CLASS]],3)</f>
        <v>2.4</v>
      </c>
    </row>
    <row r="5171" spans="1:23" hidden="1">
      <c r="A5171" s="3" t="str">
        <f t="shared" si="80"/>
        <v>Período 1</v>
      </c>
      <c r="B5171">
        <v>30655</v>
      </c>
      <c r="C5171" t="s">
        <v>2300</v>
      </c>
      <c r="D5171" t="s">
        <v>3046</v>
      </c>
      <c r="E5171" s="3" t="str">
        <f>IF(LEN(Base_Periodo1[[#This Row],[CLASS]])&gt;=7,LEFT(Base_Periodo1[[#This Row],[CLASS]],7),"")</f>
        <v>2.4.1.1</v>
      </c>
      <c r="F5171" s="3" t="str">
        <f>VLOOKUP(Base_Periodo1[[#This Row],[Aux]],Base_Contas_Balanco[#All],2,FALSE)</f>
        <v>Capital Social Realizado</v>
      </c>
      <c r="G5171" s="1"/>
      <c r="H5171" s="281">
        <v>69.05</v>
      </c>
      <c r="I5171" s="281">
        <v>0</v>
      </c>
      <c r="J5171" s="281">
        <v>0</v>
      </c>
      <c r="K5171" s="281">
        <v>69.05</v>
      </c>
      <c r="L517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69.05</v>
      </c>
      <c r="M5171" s="281">
        <f>ROUND(IF(AND(Base_Periodo1[[#This Row],[Tipo_Linha]]="-",Base_Periodo1[[#This Row],[TIPOSALDO]]="D"),Base_Periodo1[[#This Row],[SALDO_ATUAL]]*-1,Base_Periodo1[[#This Row],[SALDO_ATUAL]]),4)</f>
        <v>69.05</v>
      </c>
      <c r="N5171" t="s">
        <v>116</v>
      </c>
      <c r="O5171" t="s">
        <v>459</v>
      </c>
      <c r="P5171" t="s">
        <v>459</v>
      </c>
      <c r="Q5171">
        <v>6</v>
      </c>
      <c r="R5171" s="281">
        <f>Base_Periodo1[[#This Row],[CREDITOS]]-Base_Periodo1[[#This Row],[DEBITOS]]</f>
        <v>0</v>
      </c>
      <c r="S5171" s="3" t="str">
        <f>IF(ISERROR(VLOOKUP(Base_Periodo1[[#This Row],[CONTA]],BaseContasDRE[#All],4,FALSE)),"Fora do DRE",VLOOKUP(Base_Periodo1[[#This Row],[CONTA]],BaseContasDRE[#All],4,FALSE))</f>
        <v>Fora do DRE</v>
      </c>
      <c r="T5171" s="3" t="str">
        <f>IF(ISERROR(VLOOKUP(Base_Periodo1[[#This Row],[CONTA]],BaseContasDRE[#All],5,FALSE)),"Fora do DRE",VLOOKUP(Base_Periodo1[[#This Row],[CONTA]],BaseContasDRE[#All],6,FALSE))</f>
        <v>Fora do DRE</v>
      </c>
      <c r="U5171" s="3" t="str">
        <f>IF(ISERROR(VLOOKUP(Base_Periodo1[[#This Row],[CONTA]],BaseContasDRE[#All],7,FALSE)),"Fora do DRE",VLOOKUP(Base_Periodo1[[#This Row],[CONTA]],BaseContasDRE[#All],7,FALSE))</f>
        <v>Fora do DRE</v>
      </c>
      <c r="V5171" s="3" t="str">
        <f>IF(Base_Periodo1[[#This Row],[Tipo_Linha]]="Fora do DRE","Fora do DRE","( "&amp;Base_Periodo1[[#This Row],[Tipo_Linha]]&amp;" ) "&amp;Base_Periodo1[[#This Row],[Filtro]])</f>
        <v>Fora do DRE</v>
      </c>
      <c r="W5171" s="3" t="str">
        <f>LEFT(Base_Periodo1[[#This Row],[CLASS]],3)</f>
        <v>2.4</v>
      </c>
    </row>
    <row r="5172" spans="1:23" hidden="1">
      <c r="A5172" s="3" t="str">
        <f t="shared" si="80"/>
        <v>Período 1</v>
      </c>
      <c r="B5172">
        <v>46929</v>
      </c>
      <c r="C5172" t="s">
        <v>2300</v>
      </c>
      <c r="D5172" t="s">
        <v>3047</v>
      </c>
      <c r="E5172" s="3" t="str">
        <f>IF(LEN(Base_Periodo1[[#This Row],[CLASS]])&gt;=7,LEFT(Base_Periodo1[[#This Row],[CLASS]],7),"")</f>
        <v>2.4.1.1</v>
      </c>
      <c r="F5172" s="3" t="str">
        <f>VLOOKUP(Base_Periodo1[[#This Row],[Aux]],Base_Contas_Balanco[#All],2,FALSE)</f>
        <v>Capital Social Realizado</v>
      </c>
      <c r="G5172" s="1"/>
      <c r="H5172" s="281">
        <v>126.64</v>
      </c>
      <c r="I5172" s="281">
        <v>0</v>
      </c>
      <c r="J5172" s="281">
        <v>0</v>
      </c>
      <c r="K5172" s="281">
        <v>126.64</v>
      </c>
      <c r="L517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126.64</v>
      </c>
      <c r="M5172" s="281">
        <f>ROUND(IF(AND(Base_Periodo1[[#This Row],[Tipo_Linha]]="-",Base_Periodo1[[#This Row],[TIPOSALDO]]="D"),Base_Periodo1[[#This Row],[SALDO_ATUAL]]*-1,Base_Periodo1[[#This Row],[SALDO_ATUAL]]),4)</f>
        <v>126.64</v>
      </c>
      <c r="N5172" t="s">
        <v>116</v>
      </c>
      <c r="O5172" t="s">
        <v>459</v>
      </c>
      <c r="P5172" t="s">
        <v>459</v>
      </c>
      <c r="Q5172">
        <v>6</v>
      </c>
      <c r="R5172" s="281">
        <f>Base_Periodo1[[#This Row],[CREDITOS]]-Base_Periodo1[[#This Row],[DEBITOS]]</f>
        <v>0</v>
      </c>
      <c r="S5172" s="3" t="str">
        <f>IF(ISERROR(VLOOKUP(Base_Periodo1[[#This Row],[CONTA]],BaseContasDRE[#All],4,FALSE)),"Fora do DRE",VLOOKUP(Base_Periodo1[[#This Row],[CONTA]],BaseContasDRE[#All],4,FALSE))</f>
        <v>Fora do DRE</v>
      </c>
      <c r="T5172" s="3" t="str">
        <f>IF(ISERROR(VLOOKUP(Base_Periodo1[[#This Row],[CONTA]],BaseContasDRE[#All],5,FALSE)),"Fora do DRE",VLOOKUP(Base_Periodo1[[#This Row],[CONTA]],BaseContasDRE[#All],6,FALSE))</f>
        <v>Fora do DRE</v>
      </c>
      <c r="U5172" s="3" t="str">
        <f>IF(ISERROR(VLOOKUP(Base_Periodo1[[#This Row],[CONTA]],BaseContasDRE[#All],7,FALSE)),"Fora do DRE",VLOOKUP(Base_Periodo1[[#This Row],[CONTA]],BaseContasDRE[#All],7,FALSE))</f>
        <v>Fora do DRE</v>
      </c>
      <c r="V5172" s="3" t="str">
        <f>IF(Base_Periodo1[[#This Row],[Tipo_Linha]]="Fora do DRE","Fora do DRE","( "&amp;Base_Periodo1[[#This Row],[Tipo_Linha]]&amp;" ) "&amp;Base_Periodo1[[#This Row],[Filtro]])</f>
        <v>Fora do DRE</v>
      </c>
      <c r="W5172" s="3" t="str">
        <f>LEFT(Base_Periodo1[[#This Row],[CLASS]],3)</f>
        <v>2.4</v>
      </c>
    </row>
    <row r="5173" spans="1:23" hidden="1">
      <c r="A5173" s="3" t="str">
        <f t="shared" si="80"/>
        <v>Período 1</v>
      </c>
      <c r="B5173">
        <v>52583</v>
      </c>
      <c r="C5173" t="s">
        <v>2300</v>
      </c>
      <c r="D5173" t="s">
        <v>4791</v>
      </c>
      <c r="E5173" s="3" t="str">
        <f>IF(LEN(Base_Periodo1[[#This Row],[CLASS]])&gt;=7,LEFT(Base_Periodo1[[#This Row],[CLASS]],7),"")</f>
        <v>2.4.1.1</v>
      </c>
      <c r="F5173" s="3" t="str">
        <f>VLOOKUP(Base_Periodo1[[#This Row],[Aux]],Base_Contas_Balanco[#All],2,FALSE)</f>
        <v>Capital Social Realizado</v>
      </c>
      <c r="G5173" s="1"/>
      <c r="H5173" s="281">
        <v>50</v>
      </c>
      <c r="I5173" s="281">
        <v>0</v>
      </c>
      <c r="J5173" s="281">
        <v>0</v>
      </c>
      <c r="K5173" s="281">
        <v>50</v>
      </c>
      <c r="L517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73" s="281">
        <f>ROUND(IF(AND(Base_Periodo1[[#This Row],[Tipo_Linha]]="-",Base_Periodo1[[#This Row],[TIPOSALDO]]="D"),Base_Periodo1[[#This Row],[SALDO_ATUAL]]*-1,Base_Periodo1[[#This Row],[SALDO_ATUAL]]),4)</f>
        <v>50</v>
      </c>
      <c r="N5173" t="s">
        <v>116</v>
      </c>
      <c r="O5173" t="s">
        <v>459</v>
      </c>
      <c r="P5173" t="s">
        <v>459</v>
      </c>
      <c r="Q5173">
        <v>6</v>
      </c>
      <c r="R5173" s="281">
        <f>Base_Periodo1[[#This Row],[CREDITOS]]-Base_Periodo1[[#This Row],[DEBITOS]]</f>
        <v>0</v>
      </c>
      <c r="S5173" s="3" t="str">
        <f>IF(ISERROR(VLOOKUP(Base_Periodo1[[#This Row],[CONTA]],BaseContasDRE[#All],4,FALSE)),"Fora do DRE",VLOOKUP(Base_Periodo1[[#This Row],[CONTA]],BaseContasDRE[#All],4,FALSE))</f>
        <v>Fora do DRE</v>
      </c>
      <c r="T5173" s="3" t="str">
        <f>IF(ISERROR(VLOOKUP(Base_Periodo1[[#This Row],[CONTA]],BaseContasDRE[#All],5,FALSE)),"Fora do DRE",VLOOKUP(Base_Periodo1[[#This Row],[CONTA]],BaseContasDRE[#All],6,FALSE))</f>
        <v>Fora do DRE</v>
      </c>
      <c r="U5173" s="3" t="str">
        <f>IF(ISERROR(VLOOKUP(Base_Periodo1[[#This Row],[CONTA]],BaseContasDRE[#All],7,FALSE)),"Fora do DRE",VLOOKUP(Base_Periodo1[[#This Row],[CONTA]],BaseContasDRE[#All],7,FALSE))</f>
        <v>Fora do DRE</v>
      </c>
      <c r="V5173" s="3" t="str">
        <f>IF(Base_Periodo1[[#This Row],[Tipo_Linha]]="Fora do DRE","Fora do DRE","( "&amp;Base_Periodo1[[#This Row],[Tipo_Linha]]&amp;" ) "&amp;Base_Periodo1[[#This Row],[Filtro]])</f>
        <v>Fora do DRE</v>
      </c>
      <c r="W5173" s="3" t="str">
        <f>LEFT(Base_Periodo1[[#This Row],[CLASS]],3)</f>
        <v>2.4</v>
      </c>
    </row>
    <row r="5174" spans="1:23" hidden="1">
      <c r="A5174" s="3" t="str">
        <f t="shared" si="80"/>
        <v>Período 1</v>
      </c>
      <c r="B5174">
        <v>15938</v>
      </c>
      <c r="C5174" t="s">
        <v>2300</v>
      </c>
      <c r="D5174" t="s">
        <v>3048</v>
      </c>
      <c r="E5174" s="3" t="str">
        <f>IF(LEN(Base_Periodo1[[#This Row],[CLASS]])&gt;=7,LEFT(Base_Periodo1[[#This Row],[CLASS]],7),"")</f>
        <v>2.4.1.1</v>
      </c>
      <c r="F5174" s="3" t="str">
        <f>VLOOKUP(Base_Periodo1[[#This Row],[Aux]],Base_Contas_Balanco[#All],2,FALSE)</f>
        <v>Capital Social Realizado</v>
      </c>
      <c r="G5174" s="1"/>
      <c r="H5174" s="281">
        <v>1106.6600000000001</v>
      </c>
      <c r="I5174" s="281">
        <v>0</v>
      </c>
      <c r="J5174" s="281">
        <v>0</v>
      </c>
      <c r="K5174" s="281">
        <v>1106.6600000000001</v>
      </c>
      <c r="L517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1106.6600000000001</v>
      </c>
      <c r="M5174" s="281">
        <f>ROUND(IF(AND(Base_Periodo1[[#This Row],[Tipo_Linha]]="-",Base_Periodo1[[#This Row],[TIPOSALDO]]="D"),Base_Periodo1[[#This Row],[SALDO_ATUAL]]*-1,Base_Periodo1[[#This Row],[SALDO_ATUAL]]),4)</f>
        <v>1106.6600000000001</v>
      </c>
      <c r="N5174" t="s">
        <v>116</v>
      </c>
      <c r="O5174" t="s">
        <v>459</v>
      </c>
      <c r="P5174" t="s">
        <v>459</v>
      </c>
      <c r="Q5174">
        <v>6</v>
      </c>
      <c r="R5174" s="281">
        <f>Base_Periodo1[[#This Row],[CREDITOS]]-Base_Periodo1[[#This Row],[DEBITOS]]</f>
        <v>0</v>
      </c>
      <c r="S5174" s="3" t="str">
        <f>IF(ISERROR(VLOOKUP(Base_Periodo1[[#This Row],[CONTA]],BaseContasDRE[#All],4,FALSE)),"Fora do DRE",VLOOKUP(Base_Periodo1[[#This Row],[CONTA]],BaseContasDRE[#All],4,FALSE))</f>
        <v>Fora do DRE</v>
      </c>
      <c r="T5174" s="3" t="str">
        <f>IF(ISERROR(VLOOKUP(Base_Periodo1[[#This Row],[CONTA]],BaseContasDRE[#All],5,FALSE)),"Fora do DRE",VLOOKUP(Base_Periodo1[[#This Row],[CONTA]],BaseContasDRE[#All],6,FALSE))</f>
        <v>Fora do DRE</v>
      </c>
      <c r="U5174" s="3" t="str">
        <f>IF(ISERROR(VLOOKUP(Base_Periodo1[[#This Row],[CONTA]],BaseContasDRE[#All],7,FALSE)),"Fora do DRE",VLOOKUP(Base_Periodo1[[#This Row],[CONTA]],BaseContasDRE[#All],7,FALSE))</f>
        <v>Fora do DRE</v>
      </c>
      <c r="V5174" s="3" t="str">
        <f>IF(Base_Periodo1[[#This Row],[Tipo_Linha]]="Fora do DRE","Fora do DRE","( "&amp;Base_Periodo1[[#This Row],[Tipo_Linha]]&amp;" ) "&amp;Base_Periodo1[[#This Row],[Filtro]])</f>
        <v>Fora do DRE</v>
      </c>
      <c r="W5174" s="3" t="str">
        <f>LEFT(Base_Periodo1[[#This Row],[CLASS]],3)</f>
        <v>2.4</v>
      </c>
    </row>
    <row r="5175" spans="1:23" hidden="1">
      <c r="A5175" s="3" t="str">
        <f t="shared" si="80"/>
        <v>Período 1</v>
      </c>
      <c r="B5175">
        <v>19787</v>
      </c>
      <c r="C5175" t="s">
        <v>2300</v>
      </c>
      <c r="D5175" t="s">
        <v>3049</v>
      </c>
      <c r="E5175" s="3" t="str">
        <f>IF(LEN(Base_Periodo1[[#This Row],[CLASS]])&gt;=7,LEFT(Base_Periodo1[[#This Row],[CLASS]],7),"")</f>
        <v>2.4.1.1</v>
      </c>
      <c r="F5175" s="3" t="str">
        <f>VLOOKUP(Base_Periodo1[[#This Row],[Aux]],Base_Contas_Balanco[#All],2,FALSE)</f>
        <v>Capital Social Realizado</v>
      </c>
      <c r="G5175" s="1"/>
      <c r="H5175" s="281">
        <v>50</v>
      </c>
      <c r="I5175" s="281">
        <v>0</v>
      </c>
      <c r="J5175" s="281">
        <v>0</v>
      </c>
      <c r="K5175" s="281">
        <v>50</v>
      </c>
      <c r="L517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75" s="281">
        <f>ROUND(IF(AND(Base_Periodo1[[#This Row],[Tipo_Linha]]="-",Base_Periodo1[[#This Row],[TIPOSALDO]]="D"),Base_Periodo1[[#This Row],[SALDO_ATUAL]]*-1,Base_Periodo1[[#This Row],[SALDO_ATUAL]]),4)</f>
        <v>50</v>
      </c>
      <c r="N5175" t="s">
        <v>116</v>
      </c>
      <c r="O5175" t="s">
        <v>459</v>
      </c>
      <c r="P5175" t="s">
        <v>459</v>
      </c>
      <c r="Q5175">
        <v>6</v>
      </c>
      <c r="R5175" s="281">
        <f>Base_Periodo1[[#This Row],[CREDITOS]]-Base_Periodo1[[#This Row],[DEBITOS]]</f>
        <v>0</v>
      </c>
      <c r="S5175" s="3" t="str">
        <f>IF(ISERROR(VLOOKUP(Base_Periodo1[[#This Row],[CONTA]],BaseContasDRE[#All],4,FALSE)),"Fora do DRE",VLOOKUP(Base_Periodo1[[#This Row],[CONTA]],BaseContasDRE[#All],4,FALSE))</f>
        <v>Fora do DRE</v>
      </c>
      <c r="T5175" s="3" t="str">
        <f>IF(ISERROR(VLOOKUP(Base_Periodo1[[#This Row],[CONTA]],BaseContasDRE[#All],5,FALSE)),"Fora do DRE",VLOOKUP(Base_Periodo1[[#This Row],[CONTA]],BaseContasDRE[#All],6,FALSE))</f>
        <v>Fora do DRE</v>
      </c>
      <c r="U5175" s="3" t="str">
        <f>IF(ISERROR(VLOOKUP(Base_Periodo1[[#This Row],[CONTA]],BaseContasDRE[#All],7,FALSE)),"Fora do DRE",VLOOKUP(Base_Periodo1[[#This Row],[CONTA]],BaseContasDRE[#All],7,FALSE))</f>
        <v>Fora do DRE</v>
      </c>
      <c r="V5175" s="3" t="str">
        <f>IF(Base_Periodo1[[#This Row],[Tipo_Linha]]="Fora do DRE","Fora do DRE","( "&amp;Base_Periodo1[[#This Row],[Tipo_Linha]]&amp;" ) "&amp;Base_Periodo1[[#This Row],[Filtro]])</f>
        <v>Fora do DRE</v>
      </c>
      <c r="W5175" s="3" t="str">
        <f>LEFT(Base_Periodo1[[#This Row],[CLASS]],3)</f>
        <v>2.4</v>
      </c>
    </row>
    <row r="5176" spans="1:23" hidden="1">
      <c r="A5176" s="3" t="str">
        <f t="shared" si="80"/>
        <v>Período 1</v>
      </c>
      <c r="B5176">
        <v>19301</v>
      </c>
      <c r="C5176" t="s">
        <v>2300</v>
      </c>
      <c r="D5176" t="s">
        <v>3050</v>
      </c>
      <c r="E5176" s="3" t="str">
        <f>IF(LEN(Base_Periodo1[[#This Row],[CLASS]])&gt;=7,LEFT(Base_Periodo1[[#This Row],[CLASS]],7),"")</f>
        <v>2.4.1.1</v>
      </c>
      <c r="F5176" s="3" t="str">
        <f>VLOOKUP(Base_Periodo1[[#This Row],[Aux]],Base_Contas_Balanco[#All],2,FALSE)</f>
        <v>Capital Social Realizado</v>
      </c>
      <c r="G5176" s="1"/>
      <c r="H5176" s="281">
        <v>806.16</v>
      </c>
      <c r="I5176" s="281">
        <v>0</v>
      </c>
      <c r="J5176" s="281">
        <v>0</v>
      </c>
      <c r="K5176" s="281">
        <v>806.16</v>
      </c>
      <c r="L517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806.16</v>
      </c>
      <c r="M5176" s="281">
        <f>ROUND(IF(AND(Base_Periodo1[[#This Row],[Tipo_Linha]]="-",Base_Periodo1[[#This Row],[TIPOSALDO]]="D"),Base_Periodo1[[#This Row],[SALDO_ATUAL]]*-1,Base_Periodo1[[#This Row],[SALDO_ATUAL]]),4)</f>
        <v>806.16</v>
      </c>
      <c r="N5176" t="s">
        <v>116</v>
      </c>
      <c r="O5176" t="s">
        <v>459</v>
      </c>
      <c r="P5176" t="s">
        <v>459</v>
      </c>
      <c r="Q5176">
        <v>6</v>
      </c>
      <c r="R5176" s="281">
        <f>Base_Periodo1[[#This Row],[CREDITOS]]-Base_Periodo1[[#This Row],[DEBITOS]]</f>
        <v>0</v>
      </c>
      <c r="S5176" s="3" t="str">
        <f>IF(ISERROR(VLOOKUP(Base_Periodo1[[#This Row],[CONTA]],BaseContasDRE[#All],4,FALSE)),"Fora do DRE",VLOOKUP(Base_Periodo1[[#This Row],[CONTA]],BaseContasDRE[#All],4,FALSE))</f>
        <v>Fora do DRE</v>
      </c>
      <c r="T5176" s="3" t="str">
        <f>IF(ISERROR(VLOOKUP(Base_Periodo1[[#This Row],[CONTA]],BaseContasDRE[#All],5,FALSE)),"Fora do DRE",VLOOKUP(Base_Periodo1[[#This Row],[CONTA]],BaseContasDRE[#All],6,FALSE))</f>
        <v>Fora do DRE</v>
      </c>
      <c r="U5176" s="3" t="str">
        <f>IF(ISERROR(VLOOKUP(Base_Periodo1[[#This Row],[CONTA]],BaseContasDRE[#All],7,FALSE)),"Fora do DRE",VLOOKUP(Base_Periodo1[[#This Row],[CONTA]],BaseContasDRE[#All],7,FALSE))</f>
        <v>Fora do DRE</v>
      </c>
      <c r="V5176" s="3" t="str">
        <f>IF(Base_Periodo1[[#This Row],[Tipo_Linha]]="Fora do DRE","Fora do DRE","( "&amp;Base_Periodo1[[#This Row],[Tipo_Linha]]&amp;" ) "&amp;Base_Periodo1[[#This Row],[Filtro]])</f>
        <v>Fora do DRE</v>
      </c>
      <c r="W5176" s="3" t="str">
        <f>LEFT(Base_Periodo1[[#This Row],[CLASS]],3)</f>
        <v>2.4</v>
      </c>
    </row>
    <row r="5177" spans="1:23" hidden="1">
      <c r="A5177" s="3" t="str">
        <f t="shared" si="80"/>
        <v>Período 1</v>
      </c>
      <c r="B5177">
        <v>18411</v>
      </c>
      <c r="C5177" t="s">
        <v>2300</v>
      </c>
      <c r="D5177" t="s">
        <v>3051</v>
      </c>
      <c r="E5177" s="3" t="str">
        <f>IF(LEN(Base_Periodo1[[#This Row],[CLASS]])&gt;=7,LEFT(Base_Periodo1[[#This Row],[CLASS]],7),"")</f>
        <v>2.4.1.1</v>
      </c>
      <c r="F5177" s="3" t="str">
        <f>VLOOKUP(Base_Periodo1[[#This Row],[Aux]],Base_Contas_Balanco[#All],2,FALSE)</f>
        <v>Capital Social Realizado</v>
      </c>
      <c r="G5177" s="1"/>
      <c r="H5177" s="281">
        <v>1588.55</v>
      </c>
      <c r="I5177" s="281">
        <v>0</v>
      </c>
      <c r="J5177" s="281">
        <v>0</v>
      </c>
      <c r="K5177" s="281">
        <v>1588.55</v>
      </c>
      <c r="L517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1588.55</v>
      </c>
      <c r="M5177" s="281">
        <f>ROUND(IF(AND(Base_Periodo1[[#This Row],[Tipo_Linha]]="-",Base_Periodo1[[#This Row],[TIPOSALDO]]="D"),Base_Periodo1[[#This Row],[SALDO_ATUAL]]*-1,Base_Periodo1[[#This Row],[SALDO_ATUAL]]),4)</f>
        <v>1588.55</v>
      </c>
      <c r="N5177" t="s">
        <v>116</v>
      </c>
      <c r="O5177" t="s">
        <v>459</v>
      </c>
      <c r="P5177" t="s">
        <v>459</v>
      </c>
      <c r="Q5177">
        <v>6</v>
      </c>
      <c r="R5177" s="281">
        <f>Base_Periodo1[[#This Row],[CREDITOS]]-Base_Periodo1[[#This Row],[DEBITOS]]</f>
        <v>0</v>
      </c>
      <c r="S5177" s="3" t="str">
        <f>IF(ISERROR(VLOOKUP(Base_Periodo1[[#This Row],[CONTA]],BaseContasDRE[#All],4,FALSE)),"Fora do DRE",VLOOKUP(Base_Periodo1[[#This Row],[CONTA]],BaseContasDRE[#All],4,FALSE))</f>
        <v>Fora do DRE</v>
      </c>
      <c r="T5177" s="3" t="str">
        <f>IF(ISERROR(VLOOKUP(Base_Periodo1[[#This Row],[CONTA]],BaseContasDRE[#All],5,FALSE)),"Fora do DRE",VLOOKUP(Base_Periodo1[[#This Row],[CONTA]],BaseContasDRE[#All],6,FALSE))</f>
        <v>Fora do DRE</v>
      </c>
      <c r="U5177" s="3" t="str">
        <f>IF(ISERROR(VLOOKUP(Base_Periodo1[[#This Row],[CONTA]],BaseContasDRE[#All],7,FALSE)),"Fora do DRE",VLOOKUP(Base_Periodo1[[#This Row],[CONTA]],BaseContasDRE[#All],7,FALSE))</f>
        <v>Fora do DRE</v>
      </c>
      <c r="V5177" s="3" t="str">
        <f>IF(Base_Periodo1[[#This Row],[Tipo_Linha]]="Fora do DRE","Fora do DRE","( "&amp;Base_Periodo1[[#This Row],[Tipo_Linha]]&amp;" ) "&amp;Base_Periodo1[[#This Row],[Filtro]])</f>
        <v>Fora do DRE</v>
      </c>
      <c r="W5177" s="3" t="str">
        <f>LEFT(Base_Periodo1[[#This Row],[CLASS]],3)</f>
        <v>2.4</v>
      </c>
    </row>
    <row r="5178" spans="1:23" hidden="1">
      <c r="A5178" s="3" t="str">
        <f t="shared" si="80"/>
        <v>Período 1</v>
      </c>
      <c r="B5178">
        <v>50714</v>
      </c>
      <c r="C5178" t="s">
        <v>2300</v>
      </c>
      <c r="D5178" t="s">
        <v>4475</v>
      </c>
      <c r="E5178" s="3" t="str">
        <f>IF(LEN(Base_Periodo1[[#This Row],[CLASS]])&gt;=7,LEFT(Base_Periodo1[[#This Row],[CLASS]],7),"")</f>
        <v>2.4.1.1</v>
      </c>
      <c r="F5178" s="3" t="str">
        <f>VLOOKUP(Base_Periodo1[[#This Row],[Aux]],Base_Contas_Balanco[#All],2,FALSE)</f>
        <v>Capital Social Realizado</v>
      </c>
      <c r="G5178" s="1"/>
      <c r="H5178" s="281">
        <v>240</v>
      </c>
      <c r="I5178" s="281">
        <v>0</v>
      </c>
      <c r="J5178" s="281">
        <v>0</v>
      </c>
      <c r="K5178" s="281">
        <v>240</v>
      </c>
      <c r="L517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178" s="281">
        <f>ROUND(IF(AND(Base_Periodo1[[#This Row],[Tipo_Linha]]="-",Base_Periodo1[[#This Row],[TIPOSALDO]]="D"),Base_Periodo1[[#This Row],[SALDO_ATUAL]]*-1,Base_Periodo1[[#This Row],[SALDO_ATUAL]]),4)</f>
        <v>240</v>
      </c>
      <c r="N5178" t="s">
        <v>116</v>
      </c>
      <c r="O5178" t="s">
        <v>459</v>
      </c>
      <c r="P5178" t="s">
        <v>459</v>
      </c>
      <c r="Q5178">
        <v>6</v>
      </c>
      <c r="R5178" s="281">
        <f>Base_Periodo1[[#This Row],[CREDITOS]]-Base_Periodo1[[#This Row],[DEBITOS]]</f>
        <v>0</v>
      </c>
      <c r="S5178" s="3" t="str">
        <f>IF(ISERROR(VLOOKUP(Base_Periodo1[[#This Row],[CONTA]],BaseContasDRE[#All],4,FALSE)),"Fora do DRE",VLOOKUP(Base_Periodo1[[#This Row],[CONTA]],BaseContasDRE[#All],4,FALSE))</f>
        <v>Fora do DRE</v>
      </c>
      <c r="T5178" s="3" t="str">
        <f>IF(ISERROR(VLOOKUP(Base_Periodo1[[#This Row],[CONTA]],BaseContasDRE[#All],5,FALSE)),"Fora do DRE",VLOOKUP(Base_Periodo1[[#This Row],[CONTA]],BaseContasDRE[#All],6,FALSE))</f>
        <v>Fora do DRE</v>
      </c>
      <c r="U5178" s="3" t="str">
        <f>IF(ISERROR(VLOOKUP(Base_Periodo1[[#This Row],[CONTA]],BaseContasDRE[#All],7,FALSE)),"Fora do DRE",VLOOKUP(Base_Periodo1[[#This Row],[CONTA]],BaseContasDRE[#All],7,FALSE))</f>
        <v>Fora do DRE</v>
      </c>
      <c r="V5178" s="3" t="str">
        <f>IF(Base_Periodo1[[#This Row],[Tipo_Linha]]="Fora do DRE","Fora do DRE","( "&amp;Base_Periodo1[[#This Row],[Tipo_Linha]]&amp;" ) "&amp;Base_Periodo1[[#This Row],[Filtro]])</f>
        <v>Fora do DRE</v>
      </c>
      <c r="W5178" s="3" t="str">
        <f>LEFT(Base_Periodo1[[#This Row],[CLASS]],3)</f>
        <v>2.4</v>
      </c>
    </row>
    <row r="5179" spans="1:23" hidden="1">
      <c r="A5179" s="3" t="str">
        <f t="shared" si="80"/>
        <v>Período 1</v>
      </c>
      <c r="B5179">
        <v>16161</v>
      </c>
      <c r="C5179" t="s">
        <v>2300</v>
      </c>
      <c r="D5179" t="s">
        <v>3052</v>
      </c>
      <c r="E5179" s="3" t="str">
        <f>IF(LEN(Base_Periodo1[[#This Row],[CLASS]])&gt;=7,LEFT(Base_Periodo1[[#This Row],[CLASS]],7),"")</f>
        <v>2.4.1.1</v>
      </c>
      <c r="F5179" s="3" t="str">
        <f>VLOOKUP(Base_Periodo1[[#This Row],[Aux]],Base_Contas_Balanco[#All],2,FALSE)</f>
        <v>Capital Social Realizado</v>
      </c>
      <c r="G5179" s="1"/>
      <c r="H5179" s="281">
        <v>14134.59</v>
      </c>
      <c r="I5179" s="281">
        <v>0</v>
      </c>
      <c r="J5179" s="281">
        <v>0</v>
      </c>
      <c r="K5179" s="281">
        <v>14134.59</v>
      </c>
      <c r="L517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14134.59</v>
      </c>
      <c r="M5179" s="281">
        <f>ROUND(IF(AND(Base_Periodo1[[#This Row],[Tipo_Linha]]="-",Base_Periodo1[[#This Row],[TIPOSALDO]]="D"),Base_Periodo1[[#This Row],[SALDO_ATUAL]]*-1,Base_Periodo1[[#This Row],[SALDO_ATUAL]]),4)</f>
        <v>14134.59</v>
      </c>
      <c r="N5179" t="s">
        <v>116</v>
      </c>
      <c r="O5179" t="s">
        <v>459</v>
      </c>
      <c r="P5179" t="s">
        <v>459</v>
      </c>
      <c r="Q5179">
        <v>6</v>
      </c>
      <c r="R5179" s="281">
        <f>Base_Periodo1[[#This Row],[CREDITOS]]-Base_Periodo1[[#This Row],[DEBITOS]]</f>
        <v>0</v>
      </c>
      <c r="S5179" s="3" t="str">
        <f>IF(ISERROR(VLOOKUP(Base_Periodo1[[#This Row],[CONTA]],BaseContasDRE[#All],4,FALSE)),"Fora do DRE",VLOOKUP(Base_Periodo1[[#This Row],[CONTA]],BaseContasDRE[#All],4,FALSE))</f>
        <v>Fora do DRE</v>
      </c>
      <c r="T5179" s="3" t="str">
        <f>IF(ISERROR(VLOOKUP(Base_Periodo1[[#This Row],[CONTA]],BaseContasDRE[#All],5,FALSE)),"Fora do DRE",VLOOKUP(Base_Periodo1[[#This Row],[CONTA]],BaseContasDRE[#All],6,FALSE))</f>
        <v>Fora do DRE</v>
      </c>
      <c r="U5179" s="3" t="str">
        <f>IF(ISERROR(VLOOKUP(Base_Periodo1[[#This Row],[CONTA]],BaseContasDRE[#All],7,FALSE)),"Fora do DRE",VLOOKUP(Base_Periodo1[[#This Row],[CONTA]],BaseContasDRE[#All],7,FALSE))</f>
        <v>Fora do DRE</v>
      </c>
      <c r="V5179" s="3" t="str">
        <f>IF(Base_Periodo1[[#This Row],[Tipo_Linha]]="Fora do DRE","Fora do DRE","( "&amp;Base_Periodo1[[#This Row],[Tipo_Linha]]&amp;" ) "&amp;Base_Periodo1[[#This Row],[Filtro]])</f>
        <v>Fora do DRE</v>
      </c>
      <c r="W5179" s="3" t="str">
        <f>LEFT(Base_Periodo1[[#This Row],[CLASS]],3)</f>
        <v>2.4</v>
      </c>
    </row>
    <row r="5180" spans="1:23" hidden="1">
      <c r="A5180" s="3" t="str">
        <f t="shared" si="80"/>
        <v>Período 1</v>
      </c>
      <c r="B5180">
        <v>19303</v>
      </c>
      <c r="C5180" t="s">
        <v>2300</v>
      </c>
      <c r="D5180" t="s">
        <v>3053</v>
      </c>
      <c r="E5180" s="3" t="str">
        <f>IF(LEN(Base_Periodo1[[#This Row],[CLASS]])&gt;=7,LEFT(Base_Periodo1[[#This Row],[CLASS]],7),"")</f>
        <v>2.4.1.1</v>
      </c>
      <c r="F5180" s="3" t="str">
        <f>VLOOKUP(Base_Periodo1[[#This Row],[Aux]],Base_Contas_Balanco[#All],2,FALSE)</f>
        <v>Capital Social Realizado</v>
      </c>
      <c r="G5180" s="1"/>
      <c r="H5180" s="281">
        <v>498.24</v>
      </c>
      <c r="I5180" s="281">
        <v>0</v>
      </c>
      <c r="J5180" s="281">
        <v>0</v>
      </c>
      <c r="K5180" s="281">
        <v>498.24</v>
      </c>
      <c r="L518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498.24</v>
      </c>
      <c r="M5180" s="281">
        <f>ROUND(IF(AND(Base_Periodo1[[#This Row],[Tipo_Linha]]="-",Base_Periodo1[[#This Row],[TIPOSALDO]]="D"),Base_Periodo1[[#This Row],[SALDO_ATUAL]]*-1,Base_Periodo1[[#This Row],[SALDO_ATUAL]]),4)</f>
        <v>498.24</v>
      </c>
      <c r="N5180" t="s">
        <v>116</v>
      </c>
      <c r="O5180" t="s">
        <v>459</v>
      </c>
      <c r="P5180" t="s">
        <v>459</v>
      </c>
      <c r="Q5180">
        <v>6</v>
      </c>
      <c r="R5180" s="281">
        <f>Base_Periodo1[[#This Row],[CREDITOS]]-Base_Periodo1[[#This Row],[DEBITOS]]</f>
        <v>0</v>
      </c>
      <c r="S5180" s="3" t="str">
        <f>IF(ISERROR(VLOOKUP(Base_Periodo1[[#This Row],[CONTA]],BaseContasDRE[#All],4,FALSE)),"Fora do DRE",VLOOKUP(Base_Periodo1[[#This Row],[CONTA]],BaseContasDRE[#All],4,FALSE))</f>
        <v>Fora do DRE</v>
      </c>
      <c r="T5180" s="3" t="str">
        <f>IF(ISERROR(VLOOKUP(Base_Periodo1[[#This Row],[CONTA]],BaseContasDRE[#All],5,FALSE)),"Fora do DRE",VLOOKUP(Base_Periodo1[[#This Row],[CONTA]],BaseContasDRE[#All],6,FALSE))</f>
        <v>Fora do DRE</v>
      </c>
      <c r="U5180" s="3" t="str">
        <f>IF(ISERROR(VLOOKUP(Base_Periodo1[[#This Row],[CONTA]],BaseContasDRE[#All],7,FALSE)),"Fora do DRE",VLOOKUP(Base_Periodo1[[#This Row],[CONTA]],BaseContasDRE[#All],7,FALSE))</f>
        <v>Fora do DRE</v>
      </c>
      <c r="V5180" s="3" t="str">
        <f>IF(Base_Periodo1[[#This Row],[Tipo_Linha]]="Fora do DRE","Fora do DRE","( "&amp;Base_Periodo1[[#This Row],[Tipo_Linha]]&amp;" ) "&amp;Base_Periodo1[[#This Row],[Filtro]])</f>
        <v>Fora do DRE</v>
      </c>
      <c r="W5180" s="3" t="str">
        <f>LEFT(Base_Periodo1[[#This Row],[CLASS]],3)</f>
        <v>2.4</v>
      </c>
    </row>
    <row r="5181" spans="1:23" hidden="1">
      <c r="A5181" s="3" t="str">
        <f t="shared" si="80"/>
        <v>Período 1</v>
      </c>
      <c r="B5181">
        <v>25567</v>
      </c>
      <c r="C5181" t="s">
        <v>2300</v>
      </c>
      <c r="D5181" t="s">
        <v>3054</v>
      </c>
      <c r="E5181" s="3" t="str">
        <f>IF(LEN(Base_Periodo1[[#This Row],[CLASS]])&gt;=7,LEFT(Base_Periodo1[[#This Row],[CLASS]],7),"")</f>
        <v>2.4.1.1</v>
      </c>
      <c r="F5181" s="3" t="str">
        <f>VLOOKUP(Base_Periodo1[[#This Row],[Aux]],Base_Contas_Balanco[#All],2,FALSE)</f>
        <v>Capital Social Realizado</v>
      </c>
      <c r="G5181" s="1"/>
      <c r="H5181" s="281">
        <v>86.53</v>
      </c>
      <c r="I5181" s="281">
        <v>0</v>
      </c>
      <c r="J5181" s="281">
        <v>0</v>
      </c>
      <c r="K5181" s="281">
        <v>86.53</v>
      </c>
      <c r="L518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86.53</v>
      </c>
      <c r="M5181" s="281">
        <f>ROUND(IF(AND(Base_Periodo1[[#This Row],[Tipo_Linha]]="-",Base_Periodo1[[#This Row],[TIPOSALDO]]="D"),Base_Periodo1[[#This Row],[SALDO_ATUAL]]*-1,Base_Periodo1[[#This Row],[SALDO_ATUAL]]),4)</f>
        <v>86.53</v>
      </c>
      <c r="N5181" t="s">
        <v>116</v>
      </c>
      <c r="O5181" t="s">
        <v>459</v>
      </c>
      <c r="P5181" t="s">
        <v>459</v>
      </c>
      <c r="Q5181">
        <v>6</v>
      </c>
      <c r="R5181" s="281">
        <f>Base_Periodo1[[#This Row],[CREDITOS]]-Base_Periodo1[[#This Row],[DEBITOS]]</f>
        <v>0</v>
      </c>
      <c r="S5181" s="3" t="str">
        <f>IF(ISERROR(VLOOKUP(Base_Periodo1[[#This Row],[CONTA]],BaseContasDRE[#All],4,FALSE)),"Fora do DRE",VLOOKUP(Base_Periodo1[[#This Row],[CONTA]],BaseContasDRE[#All],4,FALSE))</f>
        <v>Fora do DRE</v>
      </c>
      <c r="T5181" s="3" t="str">
        <f>IF(ISERROR(VLOOKUP(Base_Periodo1[[#This Row],[CONTA]],BaseContasDRE[#All],5,FALSE)),"Fora do DRE",VLOOKUP(Base_Periodo1[[#This Row],[CONTA]],BaseContasDRE[#All],6,FALSE))</f>
        <v>Fora do DRE</v>
      </c>
      <c r="U5181" s="3" t="str">
        <f>IF(ISERROR(VLOOKUP(Base_Periodo1[[#This Row],[CONTA]],BaseContasDRE[#All],7,FALSE)),"Fora do DRE",VLOOKUP(Base_Periodo1[[#This Row],[CONTA]],BaseContasDRE[#All],7,FALSE))</f>
        <v>Fora do DRE</v>
      </c>
      <c r="V5181" s="3" t="str">
        <f>IF(Base_Periodo1[[#This Row],[Tipo_Linha]]="Fora do DRE","Fora do DRE","( "&amp;Base_Periodo1[[#This Row],[Tipo_Linha]]&amp;" ) "&amp;Base_Periodo1[[#This Row],[Filtro]])</f>
        <v>Fora do DRE</v>
      </c>
      <c r="W5181" s="3" t="str">
        <f>LEFT(Base_Periodo1[[#This Row],[CLASS]],3)</f>
        <v>2.4</v>
      </c>
    </row>
    <row r="5182" spans="1:23" hidden="1">
      <c r="A5182" s="3" t="str">
        <f t="shared" si="80"/>
        <v>Período 1</v>
      </c>
      <c r="B5182">
        <v>40759</v>
      </c>
      <c r="C5182" t="s">
        <v>2300</v>
      </c>
      <c r="D5182" t="s">
        <v>3055</v>
      </c>
      <c r="E5182" s="3" t="str">
        <f>IF(LEN(Base_Periodo1[[#This Row],[CLASS]])&gt;=7,LEFT(Base_Periodo1[[#This Row],[CLASS]],7),"")</f>
        <v>2.4.1.1</v>
      </c>
      <c r="F5182" s="3" t="str">
        <f>VLOOKUP(Base_Periodo1[[#This Row],[Aux]],Base_Contas_Balanco[#All],2,FALSE)</f>
        <v>Capital Social Realizado</v>
      </c>
      <c r="G5182" s="1"/>
      <c r="H5182" s="281">
        <v>240.94</v>
      </c>
      <c r="I5182" s="281">
        <v>0</v>
      </c>
      <c r="J5182" s="281">
        <v>0</v>
      </c>
      <c r="K5182" s="281">
        <v>240.94</v>
      </c>
      <c r="L518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240.94</v>
      </c>
      <c r="M5182" s="281">
        <f>ROUND(IF(AND(Base_Periodo1[[#This Row],[Tipo_Linha]]="-",Base_Periodo1[[#This Row],[TIPOSALDO]]="D"),Base_Periodo1[[#This Row],[SALDO_ATUAL]]*-1,Base_Periodo1[[#This Row],[SALDO_ATUAL]]),4)</f>
        <v>240.94</v>
      </c>
      <c r="N5182" t="s">
        <v>116</v>
      </c>
      <c r="O5182" t="s">
        <v>459</v>
      </c>
      <c r="P5182" t="s">
        <v>459</v>
      </c>
      <c r="Q5182">
        <v>6</v>
      </c>
      <c r="R5182" s="281">
        <f>Base_Periodo1[[#This Row],[CREDITOS]]-Base_Periodo1[[#This Row],[DEBITOS]]</f>
        <v>0</v>
      </c>
      <c r="S5182" s="3" t="str">
        <f>IF(ISERROR(VLOOKUP(Base_Periodo1[[#This Row],[CONTA]],BaseContasDRE[#All],4,FALSE)),"Fora do DRE",VLOOKUP(Base_Periodo1[[#This Row],[CONTA]],BaseContasDRE[#All],4,FALSE))</f>
        <v>Fora do DRE</v>
      </c>
      <c r="T5182" s="3" t="str">
        <f>IF(ISERROR(VLOOKUP(Base_Periodo1[[#This Row],[CONTA]],BaseContasDRE[#All],5,FALSE)),"Fora do DRE",VLOOKUP(Base_Periodo1[[#This Row],[CONTA]],BaseContasDRE[#All],6,FALSE))</f>
        <v>Fora do DRE</v>
      </c>
      <c r="U5182" s="3" t="str">
        <f>IF(ISERROR(VLOOKUP(Base_Periodo1[[#This Row],[CONTA]],BaseContasDRE[#All],7,FALSE)),"Fora do DRE",VLOOKUP(Base_Periodo1[[#This Row],[CONTA]],BaseContasDRE[#All],7,FALSE))</f>
        <v>Fora do DRE</v>
      </c>
      <c r="V5182" s="3" t="str">
        <f>IF(Base_Periodo1[[#This Row],[Tipo_Linha]]="Fora do DRE","Fora do DRE","( "&amp;Base_Periodo1[[#This Row],[Tipo_Linha]]&amp;" ) "&amp;Base_Periodo1[[#This Row],[Filtro]])</f>
        <v>Fora do DRE</v>
      </c>
      <c r="W5182" s="3" t="str">
        <f>LEFT(Base_Periodo1[[#This Row],[CLASS]],3)</f>
        <v>2.4</v>
      </c>
    </row>
    <row r="5183" spans="1:23" hidden="1">
      <c r="A5183" s="3" t="str">
        <f t="shared" si="80"/>
        <v>Período 1</v>
      </c>
      <c r="B5183">
        <v>53558</v>
      </c>
      <c r="C5183" t="s">
        <v>2300</v>
      </c>
      <c r="D5183" t="s">
        <v>4965</v>
      </c>
      <c r="E5183" s="3" t="str">
        <f>IF(LEN(Base_Periodo1[[#This Row],[CLASS]])&gt;=7,LEFT(Base_Periodo1[[#This Row],[CLASS]],7),"")</f>
        <v>2.4.1.1</v>
      </c>
      <c r="F5183" s="3" t="str">
        <f>VLOOKUP(Base_Periodo1[[#This Row],[Aux]],Base_Contas_Balanco[#All],2,FALSE)</f>
        <v>Capital Social Realizado</v>
      </c>
      <c r="G5183" s="1"/>
      <c r="H5183" s="281">
        <v>50</v>
      </c>
      <c r="I5183" s="281">
        <v>0</v>
      </c>
      <c r="J5183" s="281">
        <v>0</v>
      </c>
      <c r="K5183" s="281">
        <v>50</v>
      </c>
      <c r="L518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83" s="281">
        <f>ROUND(IF(AND(Base_Periodo1[[#This Row],[Tipo_Linha]]="-",Base_Periodo1[[#This Row],[TIPOSALDO]]="D"),Base_Periodo1[[#This Row],[SALDO_ATUAL]]*-1,Base_Periodo1[[#This Row],[SALDO_ATUAL]]),4)</f>
        <v>50</v>
      </c>
      <c r="N5183" t="s">
        <v>116</v>
      </c>
      <c r="O5183" t="s">
        <v>459</v>
      </c>
      <c r="P5183" t="s">
        <v>459</v>
      </c>
      <c r="Q5183">
        <v>6</v>
      </c>
      <c r="R5183" s="281">
        <f>Base_Periodo1[[#This Row],[CREDITOS]]-Base_Periodo1[[#This Row],[DEBITOS]]</f>
        <v>0</v>
      </c>
      <c r="S5183" s="3" t="str">
        <f>IF(ISERROR(VLOOKUP(Base_Periodo1[[#This Row],[CONTA]],BaseContasDRE[#All],4,FALSE)),"Fora do DRE",VLOOKUP(Base_Periodo1[[#This Row],[CONTA]],BaseContasDRE[#All],4,FALSE))</f>
        <v>Fora do DRE</v>
      </c>
      <c r="T5183" s="3" t="str">
        <f>IF(ISERROR(VLOOKUP(Base_Periodo1[[#This Row],[CONTA]],BaseContasDRE[#All],5,FALSE)),"Fora do DRE",VLOOKUP(Base_Periodo1[[#This Row],[CONTA]],BaseContasDRE[#All],6,FALSE))</f>
        <v>Fora do DRE</v>
      </c>
      <c r="U5183" s="3" t="str">
        <f>IF(ISERROR(VLOOKUP(Base_Periodo1[[#This Row],[CONTA]],BaseContasDRE[#All],7,FALSE)),"Fora do DRE",VLOOKUP(Base_Periodo1[[#This Row],[CONTA]],BaseContasDRE[#All],7,FALSE))</f>
        <v>Fora do DRE</v>
      </c>
      <c r="V5183" s="3" t="str">
        <f>IF(Base_Periodo1[[#This Row],[Tipo_Linha]]="Fora do DRE","Fora do DRE","( "&amp;Base_Periodo1[[#This Row],[Tipo_Linha]]&amp;" ) "&amp;Base_Periodo1[[#This Row],[Filtro]])</f>
        <v>Fora do DRE</v>
      </c>
      <c r="W5183" s="3" t="str">
        <f>LEFT(Base_Periodo1[[#This Row],[CLASS]],3)</f>
        <v>2.4</v>
      </c>
    </row>
    <row r="5184" spans="1:23" hidden="1">
      <c r="A5184" s="3" t="str">
        <f t="shared" si="80"/>
        <v>Período 1</v>
      </c>
      <c r="B5184">
        <v>19431</v>
      </c>
      <c r="C5184" t="s">
        <v>2300</v>
      </c>
      <c r="D5184" t="s">
        <v>3056</v>
      </c>
      <c r="E5184" s="3" t="str">
        <f>IF(LEN(Base_Periodo1[[#This Row],[CLASS]])&gt;=7,LEFT(Base_Periodo1[[#This Row],[CLASS]],7),"")</f>
        <v>2.4.1.1</v>
      </c>
      <c r="F5184" s="3" t="str">
        <f>VLOOKUP(Base_Periodo1[[#This Row],[Aux]],Base_Contas_Balanco[#All],2,FALSE)</f>
        <v>Capital Social Realizado</v>
      </c>
      <c r="G5184" s="1"/>
      <c r="H5184" s="281">
        <v>11227.5</v>
      </c>
      <c r="I5184" s="281">
        <v>0</v>
      </c>
      <c r="J5184" s="281">
        <v>0</v>
      </c>
      <c r="K5184" s="281">
        <v>11227.5</v>
      </c>
      <c r="L518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11227.5</v>
      </c>
      <c r="M5184" s="281">
        <f>ROUND(IF(AND(Base_Periodo1[[#This Row],[Tipo_Linha]]="-",Base_Periodo1[[#This Row],[TIPOSALDO]]="D"),Base_Periodo1[[#This Row],[SALDO_ATUAL]]*-1,Base_Periodo1[[#This Row],[SALDO_ATUAL]]),4)</f>
        <v>11227.5</v>
      </c>
      <c r="N5184" t="s">
        <v>116</v>
      </c>
      <c r="O5184" t="s">
        <v>459</v>
      </c>
      <c r="P5184" t="s">
        <v>459</v>
      </c>
      <c r="Q5184">
        <v>6</v>
      </c>
      <c r="R5184" s="281">
        <f>Base_Periodo1[[#This Row],[CREDITOS]]-Base_Periodo1[[#This Row],[DEBITOS]]</f>
        <v>0</v>
      </c>
      <c r="S5184" s="3" t="str">
        <f>IF(ISERROR(VLOOKUP(Base_Periodo1[[#This Row],[CONTA]],BaseContasDRE[#All],4,FALSE)),"Fora do DRE",VLOOKUP(Base_Periodo1[[#This Row],[CONTA]],BaseContasDRE[#All],4,FALSE))</f>
        <v>Fora do DRE</v>
      </c>
      <c r="T5184" s="3" t="str">
        <f>IF(ISERROR(VLOOKUP(Base_Periodo1[[#This Row],[CONTA]],BaseContasDRE[#All],5,FALSE)),"Fora do DRE",VLOOKUP(Base_Periodo1[[#This Row],[CONTA]],BaseContasDRE[#All],6,FALSE))</f>
        <v>Fora do DRE</v>
      </c>
      <c r="U5184" s="3" t="str">
        <f>IF(ISERROR(VLOOKUP(Base_Periodo1[[#This Row],[CONTA]],BaseContasDRE[#All],7,FALSE)),"Fora do DRE",VLOOKUP(Base_Periodo1[[#This Row],[CONTA]],BaseContasDRE[#All],7,FALSE))</f>
        <v>Fora do DRE</v>
      </c>
      <c r="V5184" s="3" t="str">
        <f>IF(Base_Periodo1[[#This Row],[Tipo_Linha]]="Fora do DRE","Fora do DRE","( "&amp;Base_Periodo1[[#This Row],[Tipo_Linha]]&amp;" ) "&amp;Base_Periodo1[[#This Row],[Filtro]])</f>
        <v>Fora do DRE</v>
      </c>
      <c r="W5184" s="3" t="str">
        <f>LEFT(Base_Periodo1[[#This Row],[CLASS]],3)</f>
        <v>2.4</v>
      </c>
    </row>
    <row r="5185" spans="1:23" hidden="1">
      <c r="A5185" s="3" t="str">
        <f t="shared" si="80"/>
        <v>Período 1</v>
      </c>
      <c r="B5185">
        <v>19430</v>
      </c>
      <c r="C5185" t="s">
        <v>2300</v>
      </c>
      <c r="D5185" t="s">
        <v>3057</v>
      </c>
      <c r="E5185" s="3" t="str">
        <f>IF(LEN(Base_Periodo1[[#This Row],[CLASS]])&gt;=7,LEFT(Base_Periodo1[[#This Row],[CLASS]],7),"")</f>
        <v>2.4.1.1</v>
      </c>
      <c r="F5185" s="3" t="str">
        <f>VLOOKUP(Base_Periodo1[[#This Row],[Aux]],Base_Contas_Balanco[#All],2,FALSE)</f>
        <v>Capital Social Realizado</v>
      </c>
      <c r="G5185" s="1"/>
      <c r="H5185" s="281">
        <v>22831.439999999999</v>
      </c>
      <c r="I5185" s="281">
        <v>0</v>
      </c>
      <c r="J5185" s="281">
        <v>0</v>
      </c>
      <c r="K5185" s="281">
        <v>22831.439999999999</v>
      </c>
      <c r="L518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22831.439999999999</v>
      </c>
      <c r="M5185" s="281">
        <f>ROUND(IF(AND(Base_Periodo1[[#This Row],[Tipo_Linha]]="-",Base_Periodo1[[#This Row],[TIPOSALDO]]="D"),Base_Periodo1[[#This Row],[SALDO_ATUAL]]*-1,Base_Periodo1[[#This Row],[SALDO_ATUAL]]),4)</f>
        <v>22831.439999999999</v>
      </c>
      <c r="N5185" t="s">
        <v>116</v>
      </c>
      <c r="O5185" t="s">
        <v>459</v>
      </c>
      <c r="P5185" t="s">
        <v>459</v>
      </c>
      <c r="Q5185">
        <v>6</v>
      </c>
      <c r="R5185" s="281">
        <f>Base_Periodo1[[#This Row],[CREDITOS]]-Base_Periodo1[[#This Row],[DEBITOS]]</f>
        <v>0</v>
      </c>
      <c r="S5185" s="3" t="str">
        <f>IF(ISERROR(VLOOKUP(Base_Periodo1[[#This Row],[CONTA]],BaseContasDRE[#All],4,FALSE)),"Fora do DRE",VLOOKUP(Base_Periodo1[[#This Row],[CONTA]],BaseContasDRE[#All],4,FALSE))</f>
        <v>Fora do DRE</v>
      </c>
      <c r="T5185" s="3" t="str">
        <f>IF(ISERROR(VLOOKUP(Base_Periodo1[[#This Row],[CONTA]],BaseContasDRE[#All],5,FALSE)),"Fora do DRE",VLOOKUP(Base_Periodo1[[#This Row],[CONTA]],BaseContasDRE[#All],6,FALSE))</f>
        <v>Fora do DRE</v>
      </c>
      <c r="U5185" s="3" t="str">
        <f>IF(ISERROR(VLOOKUP(Base_Periodo1[[#This Row],[CONTA]],BaseContasDRE[#All],7,FALSE)),"Fora do DRE",VLOOKUP(Base_Periodo1[[#This Row],[CONTA]],BaseContasDRE[#All],7,FALSE))</f>
        <v>Fora do DRE</v>
      </c>
      <c r="V5185" s="3" t="str">
        <f>IF(Base_Periodo1[[#This Row],[Tipo_Linha]]="Fora do DRE","Fora do DRE","( "&amp;Base_Periodo1[[#This Row],[Tipo_Linha]]&amp;" ) "&amp;Base_Periodo1[[#This Row],[Filtro]])</f>
        <v>Fora do DRE</v>
      </c>
      <c r="W5185" s="3" t="str">
        <f>LEFT(Base_Periodo1[[#This Row],[CLASS]],3)</f>
        <v>2.4</v>
      </c>
    </row>
    <row r="5186" spans="1:23" hidden="1">
      <c r="A5186" s="3" t="str">
        <f t="shared" si="80"/>
        <v>Período 1</v>
      </c>
      <c r="B5186">
        <v>35319</v>
      </c>
      <c r="C5186" t="s">
        <v>2300</v>
      </c>
      <c r="D5186" t="s">
        <v>3058</v>
      </c>
      <c r="E5186" s="3" t="str">
        <f>IF(LEN(Base_Periodo1[[#This Row],[CLASS]])&gt;=7,LEFT(Base_Periodo1[[#This Row],[CLASS]],7),"")</f>
        <v>2.4.1.1</v>
      </c>
      <c r="F5186" s="3" t="str">
        <f>VLOOKUP(Base_Periodo1[[#This Row],[Aux]],Base_Contas_Balanco[#All],2,FALSE)</f>
        <v>Capital Social Realizado</v>
      </c>
      <c r="G5186" s="1"/>
      <c r="H5186" s="281">
        <v>283.5</v>
      </c>
      <c r="I5186" s="281">
        <v>0</v>
      </c>
      <c r="J5186" s="281">
        <v>0</v>
      </c>
      <c r="K5186" s="281">
        <v>283.5</v>
      </c>
      <c r="L518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283.5</v>
      </c>
      <c r="M5186" s="281">
        <f>ROUND(IF(AND(Base_Periodo1[[#This Row],[Tipo_Linha]]="-",Base_Periodo1[[#This Row],[TIPOSALDO]]="D"),Base_Periodo1[[#This Row],[SALDO_ATUAL]]*-1,Base_Periodo1[[#This Row],[SALDO_ATUAL]]),4)</f>
        <v>283.5</v>
      </c>
      <c r="N5186" t="s">
        <v>116</v>
      </c>
      <c r="O5186" t="s">
        <v>459</v>
      </c>
      <c r="P5186" t="s">
        <v>459</v>
      </c>
      <c r="Q5186">
        <v>6</v>
      </c>
      <c r="R5186" s="281">
        <f>Base_Periodo1[[#This Row],[CREDITOS]]-Base_Periodo1[[#This Row],[DEBITOS]]</f>
        <v>0</v>
      </c>
      <c r="S5186" s="3" t="str">
        <f>IF(ISERROR(VLOOKUP(Base_Periodo1[[#This Row],[CONTA]],BaseContasDRE[#All],4,FALSE)),"Fora do DRE",VLOOKUP(Base_Periodo1[[#This Row],[CONTA]],BaseContasDRE[#All],4,FALSE))</f>
        <v>Fora do DRE</v>
      </c>
      <c r="T5186" s="3" t="str">
        <f>IF(ISERROR(VLOOKUP(Base_Periodo1[[#This Row],[CONTA]],BaseContasDRE[#All],5,FALSE)),"Fora do DRE",VLOOKUP(Base_Periodo1[[#This Row],[CONTA]],BaseContasDRE[#All],6,FALSE))</f>
        <v>Fora do DRE</v>
      </c>
      <c r="U5186" s="3" t="str">
        <f>IF(ISERROR(VLOOKUP(Base_Periodo1[[#This Row],[CONTA]],BaseContasDRE[#All],7,FALSE)),"Fora do DRE",VLOOKUP(Base_Periodo1[[#This Row],[CONTA]],BaseContasDRE[#All],7,FALSE))</f>
        <v>Fora do DRE</v>
      </c>
      <c r="V5186" s="3" t="str">
        <f>IF(Base_Periodo1[[#This Row],[Tipo_Linha]]="Fora do DRE","Fora do DRE","( "&amp;Base_Periodo1[[#This Row],[Tipo_Linha]]&amp;" ) "&amp;Base_Periodo1[[#This Row],[Filtro]])</f>
        <v>Fora do DRE</v>
      </c>
      <c r="W5186" s="3" t="str">
        <f>LEFT(Base_Periodo1[[#This Row],[CLASS]],3)</f>
        <v>2.4</v>
      </c>
    </row>
    <row r="5187" spans="1:23" hidden="1">
      <c r="A5187" s="3" t="str">
        <f t="shared" si="80"/>
        <v>Período 1</v>
      </c>
      <c r="B5187">
        <v>30663</v>
      </c>
      <c r="C5187" t="s">
        <v>2300</v>
      </c>
      <c r="D5187" t="s">
        <v>3059</v>
      </c>
      <c r="E5187" s="3" t="str">
        <f>IF(LEN(Base_Periodo1[[#This Row],[CLASS]])&gt;=7,LEFT(Base_Periodo1[[#This Row],[CLASS]],7),"")</f>
        <v>2.4.1.1</v>
      </c>
      <c r="F5187" s="3" t="str">
        <f>VLOOKUP(Base_Periodo1[[#This Row],[Aux]],Base_Contas_Balanco[#All],2,FALSE)</f>
        <v>Capital Social Realizado</v>
      </c>
      <c r="G5187" s="1"/>
      <c r="H5187" s="281">
        <v>54.1</v>
      </c>
      <c r="I5187" s="281">
        <v>0</v>
      </c>
      <c r="J5187" s="281">
        <v>0</v>
      </c>
      <c r="K5187" s="281">
        <v>54.1</v>
      </c>
      <c r="L518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54.1</v>
      </c>
      <c r="M5187" s="281">
        <f>ROUND(IF(AND(Base_Periodo1[[#This Row],[Tipo_Linha]]="-",Base_Periodo1[[#This Row],[TIPOSALDO]]="D"),Base_Periodo1[[#This Row],[SALDO_ATUAL]]*-1,Base_Periodo1[[#This Row],[SALDO_ATUAL]]),4)</f>
        <v>54.1</v>
      </c>
      <c r="N5187" t="s">
        <v>116</v>
      </c>
      <c r="O5187" t="s">
        <v>459</v>
      </c>
      <c r="P5187" t="s">
        <v>459</v>
      </c>
      <c r="Q5187">
        <v>6</v>
      </c>
      <c r="R5187" s="281">
        <f>Base_Periodo1[[#This Row],[CREDITOS]]-Base_Periodo1[[#This Row],[DEBITOS]]</f>
        <v>0</v>
      </c>
      <c r="S5187" s="3" t="str">
        <f>IF(ISERROR(VLOOKUP(Base_Periodo1[[#This Row],[CONTA]],BaseContasDRE[#All],4,FALSE)),"Fora do DRE",VLOOKUP(Base_Periodo1[[#This Row],[CONTA]],BaseContasDRE[#All],4,FALSE))</f>
        <v>Fora do DRE</v>
      </c>
      <c r="T5187" s="3" t="str">
        <f>IF(ISERROR(VLOOKUP(Base_Periodo1[[#This Row],[CONTA]],BaseContasDRE[#All],5,FALSE)),"Fora do DRE",VLOOKUP(Base_Periodo1[[#This Row],[CONTA]],BaseContasDRE[#All],6,FALSE))</f>
        <v>Fora do DRE</v>
      </c>
      <c r="U5187" s="3" t="str">
        <f>IF(ISERROR(VLOOKUP(Base_Periodo1[[#This Row],[CONTA]],BaseContasDRE[#All],7,FALSE)),"Fora do DRE",VLOOKUP(Base_Periodo1[[#This Row],[CONTA]],BaseContasDRE[#All],7,FALSE))</f>
        <v>Fora do DRE</v>
      </c>
      <c r="V5187" s="3" t="str">
        <f>IF(Base_Periodo1[[#This Row],[Tipo_Linha]]="Fora do DRE","Fora do DRE","( "&amp;Base_Periodo1[[#This Row],[Tipo_Linha]]&amp;" ) "&amp;Base_Periodo1[[#This Row],[Filtro]])</f>
        <v>Fora do DRE</v>
      </c>
      <c r="W5187" s="3" t="str">
        <f>LEFT(Base_Periodo1[[#This Row],[CLASS]],3)</f>
        <v>2.4</v>
      </c>
    </row>
    <row r="5188" spans="1:23" hidden="1">
      <c r="A5188" s="3" t="str">
        <f t="shared" si="80"/>
        <v>Período 1</v>
      </c>
      <c r="B5188">
        <v>57865</v>
      </c>
      <c r="C5188" t="s">
        <v>2300</v>
      </c>
      <c r="D5188" t="s">
        <v>6569</v>
      </c>
      <c r="E5188" s="3" t="str">
        <f>IF(LEN(Base_Periodo1[[#This Row],[CLASS]])&gt;=7,LEFT(Base_Periodo1[[#This Row],[CLASS]],7),"")</f>
        <v>2.4.1.1</v>
      </c>
      <c r="F5188" s="3" t="str">
        <f>VLOOKUP(Base_Periodo1[[#This Row],[Aux]],Base_Contas_Balanco[#All],2,FALSE)</f>
        <v>Capital Social Realizado</v>
      </c>
      <c r="G5188" s="1"/>
      <c r="H5188" s="281">
        <v>50</v>
      </c>
      <c r="I5188" s="281">
        <v>0</v>
      </c>
      <c r="J5188" s="281">
        <v>0</v>
      </c>
      <c r="K5188" s="281">
        <v>50</v>
      </c>
      <c r="L518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88" s="281">
        <f>ROUND(IF(AND(Base_Periodo1[[#This Row],[Tipo_Linha]]="-",Base_Periodo1[[#This Row],[TIPOSALDO]]="D"),Base_Periodo1[[#This Row],[SALDO_ATUAL]]*-1,Base_Periodo1[[#This Row],[SALDO_ATUAL]]),4)</f>
        <v>50</v>
      </c>
      <c r="N5188" t="s">
        <v>116</v>
      </c>
      <c r="O5188" t="s">
        <v>459</v>
      </c>
      <c r="P5188" t="s">
        <v>459</v>
      </c>
      <c r="Q5188">
        <v>6</v>
      </c>
      <c r="R5188" s="281">
        <f>Base_Periodo1[[#This Row],[CREDITOS]]-Base_Periodo1[[#This Row],[DEBITOS]]</f>
        <v>0</v>
      </c>
      <c r="S5188" s="3" t="str">
        <f>IF(ISERROR(VLOOKUP(Base_Periodo1[[#This Row],[CONTA]],BaseContasDRE[#All],4,FALSE)),"Fora do DRE",VLOOKUP(Base_Periodo1[[#This Row],[CONTA]],BaseContasDRE[#All],4,FALSE))</f>
        <v>Fora do DRE</v>
      </c>
      <c r="T5188" s="3" t="str">
        <f>IF(ISERROR(VLOOKUP(Base_Periodo1[[#This Row],[CONTA]],BaseContasDRE[#All],5,FALSE)),"Fora do DRE",VLOOKUP(Base_Periodo1[[#This Row],[CONTA]],BaseContasDRE[#All],6,FALSE))</f>
        <v>Fora do DRE</v>
      </c>
      <c r="U5188" s="3" t="str">
        <f>IF(ISERROR(VLOOKUP(Base_Periodo1[[#This Row],[CONTA]],BaseContasDRE[#All],7,FALSE)),"Fora do DRE",VLOOKUP(Base_Periodo1[[#This Row],[CONTA]],BaseContasDRE[#All],7,FALSE))</f>
        <v>Fora do DRE</v>
      </c>
      <c r="V5188" s="3" t="str">
        <f>IF(Base_Periodo1[[#This Row],[Tipo_Linha]]="Fora do DRE","Fora do DRE","( "&amp;Base_Periodo1[[#This Row],[Tipo_Linha]]&amp;" ) "&amp;Base_Periodo1[[#This Row],[Filtro]])</f>
        <v>Fora do DRE</v>
      </c>
      <c r="W5188" s="3" t="str">
        <f>LEFT(Base_Periodo1[[#This Row],[CLASS]],3)</f>
        <v>2.4</v>
      </c>
    </row>
    <row r="5189" spans="1:23" hidden="1">
      <c r="A5189" s="3" t="str">
        <f t="shared" si="80"/>
        <v>Período 1</v>
      </c>
      <c r="B5189">
        <v>46886</v>
      </c>
      <c r="C5189" t="s">
        <v>2300</v>
      </c>
      <c r="D5189" t="s">
        <v>3060</v>
      </c>
      <c r="E5189" s="3" t="str">
        <f>IF(LEN(Base_Periodo1[[#This Row],[CLASS]])&gt;=7,LEFT(Base_Periodo1[[#This Row],[CLASS]],7),"")</f>
        <v>2.4.1.1</v>
      </c>
      <c r="F5189" s="3" t="str">
        <f>VLOOKUP(Base_Periodo1[[#This Row],[Aux]],Base_Contas_Balanco[#All],2,FALSE)</f>
        <v>Capital Social Realizado</v>
      </c>
      <c r="G5189" s="1"/>
      <c r="H5189" s="281">
        <v>367.11</v>
      </c>
      <c r="I5189" s="281">
        <v>0</v>
      </c>
      <c r="J5189" s="281">
        <v>0</v>
      </c>
      <c r="K5189" s="281">
        <v>367.11</v>
      </c>
      <c r="L518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367.11</v>
      </c>
      <c r="M5189" s="281">
        <f>ROUND(IF(AND(Base_Periodo1[[#This Row],[Tipo_Linha]]="-",Base_Periodo1[[#This Row],[TIPOSALDO]]="D"),Base_Periodo1[[#This Row],[SALDO_ATUAL]]*-1,Base_Periodo1[[#This Row],[SALDO_ATUAL]]),4)</f>
        <v>367.11</v>
      </c>
      <c r="N5189" t="s">
        <v>116</v>
      </c>
      <c r="O5189" t="s">
        <v>459</v>
      </c>
      <c r="P5189" t="s">
        <v>459</v>
      </c>
      <c r="Q5189">
        <v>6</v>
      </c>
      <c r="R5189" s="281">
        <f>Base_Periodo1[[#This Row],[CREDITOS]]-Base_Periodo1[[#This Row],[DEBITOS]]</f>
        <v>0</v>
      </c>
      <c r="S5189" s="3" t="str">
        <f>IF(ISERROR(VLOOKUP(Base_Periodo1[[#This Row],[CONTA]],BaseContasDRE[#All],4,FALSE)),"Fora do DRE",VLOOKUP(Base_Periodo1[[#This Row],[CONTA]],BaseContasDRE[#All],4,FALSE))</f>
        <v>Fora do DRE</v>
      </c>
      <c r="T5189" s="3" t="str">
        <f>IF(ISERROR(VLOOKUP(Base_Periodo1[[#This Row],[CONTA]],BaseContasDRE[#All],5,FALSE)),"Fora do DRE",VLOOKUP(Base_Periodo1[[#This Row],[CONTA]],BaseContasDRE[#All],6,FALSE))</f>
        <v>Fora do DRE</v>
      </c>
      <c r="U5189" s="3" t="str">
        <f>IF(ISERROR(VLOOKUP(Base_Periodo1[[#This Row],[CONTA]],BaseContasDRE[#All],7,FALSE)),"Fora do DRE",VLOOKUP(Base_Periodo1[[#This Row],[CONTA]],BaseContasDRE[#All],7,FALSE))</f>
        <v>Fora do DRE</v>
      </c>
      <c r="V5189" s="3" t="str">
        <f>IF(Base_Periodo1[[#This Row],[Tipo_Linha]]="Fora do DRE","Fora do DRE","( "&amp;Base_Periodo1[[#This Row],[Tipo_Linha]]&amp;" ) "&amp;Base_Periodo1[[#This Row],[Filtro]])</f>
        <v>Fora do DRE</v>
      </c>
      <c r="W5189" s="3" t="str">
        <f>LEFT(Base_Periodo1[[#This Row],[CLASS]],3)</f>
        <v>2.4</v>
      </c>
    </row>
    <row r="5190" spans="1:23" hidden="1">
      <c r="A5190" s="3" t="str">
        <f t="shared" ref="A5190:A5253" si="81">"Período 1"</f>
        <v>Período 1</v>
      </c>
      <c r="B5190">
        <v>19363</v>
      </c>
      <c r="C5190" t="s">
        <v>2300</v>
      </c>
      <c r="D5190" t="s">
        <v>3061</v>
      </c>
      <c r="E5190" s="3" t="str">
        <f>IF(LEN(Base_Periodo1[[#This Row],[CLASS]])&gt;=7,LEFT(Base_Periodo1[[#This Row],[CLASS]],7),"")</f>
        <v>2.4.1.1</v>
      </c>
      <c r="F5190" s="3" t="str">
        <f>VLOOKUP(Base_Periodo1[[#This Row],[Aux]],Base_Contas_Balanco[#All],2,FALSE)</f>
        <v>Capital Social Realizado</v>
      </c>
      <c r="G5190" s="1"/>
      <c r="H5190" s="281">
        <v>119.99</v>
      </c>
      <c r="I5190" s="281">
        <v>0</v>
      </c>
      <c r="J5190" s="281">
        <v>0</v>
      </c>
      <c r="K5190" s="281">
        <v>119.99</v>
      </c>
      <c r="L519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119.99</v>
      </c>
      <c r="M5190" s="281">
        <f>ROUND(IF(AND(Base_Periodo1[[#This Row],[Tipo_Linha]]="-",Base_Periodo1[[#This Row],[TIPOSALDO]]="D"),Base_Periodo1[[#This Row],[SALDO_ATUAL]]*-1,Base_Periodo1[[#This Row],[SALDO_ATUAL]]),4)</f>
        <v>119.99</v>
      </c>
      <c r="N5190" t="s">
        <v>116</v>
      </c>
      <c r="O5190" t="s">
        <v>459</v>
      </c>
      <c r="P5190" t="s">
        <v>459</v>
      </c>
      <c r="Q5190">
        <v>6</v>
      </c>
      <c r="R5190" s="281">
        <f>Base_Periodo1[[#This Row],[CREDITOS]]-Base_Periodo1[[#This Row],[DEBITOS]]</f>
        <v>0</v>
      </c>
      <c r="S5190" s="3" t="str">
        <f>IF(ISERROR(VLOOKUP(Base_Periodo1[[#This Row],[CONTA]],BaseContasDRE[#All],4,FALSE)),"Fora do DRE",VLOOKUP(Base_Periodo1[[#This Row],[CONTA]],BaseContasDRE[#All],4,FALSE))</f>
        <v>Fora do DRE</v>
      </c>
      <c r="T5190" s="3" t="str">
        <f>IF(ISERROR(VLOOKUP(Base_Periodo1[[#This Row],[CONTA]],BaseContasDRE[#All],5,FALSE)),"Fora do DRE",VLOOKUP(Base_Periodo1[[#This Row],[CONTA]],BaseContasDRE[#All],6,FALSE))</f>
        <v>Fora do DRE</v>
      </c>
      <c r="U5190" s="3" t="str">
        <f>IF(ISERROR(VLOOKUP(Base_Periodo1[[#This Row],[CONTA]],BaseContasDRE[#All],7,FALSE)),"Fora do DRE",VLOOKUP(Base_Periodo1[[#This Row],[CONTA]],BaseContasDRE[#All],7,FALSE))</f>
        <v>Fora do DRE</v>
      </c>
      <c r="V5190" s="3" t="str">
        <f>IF(Base_Periodo1[[#This Row],[Tipo_Linha]]="Fora do DRE","Fora do DRE","( "&amp;Base_Periodo1[[#This Row],[Tipo_Linha]]&amp;" ) "&amp;Base_Periodo1[[#This Row],[Filtro]])</f>
        <v>Fora do DRE</v>
      </c>
      <c r="W5190" s="3" t="str">
        <f>LEFT(Base_Periodo1[[#This Row],[CLASS]],3)</f>
        <v>2.4</v>
      </c>
    </row>
    <row r="5191" spans="1:23" hidden="1">
      <c r="A5191" s="3" t="str">
        <f t="shared" si="81"/>
        <v>Período 1</v>
      </c>
      <c r="B5191">
        <v>16209</v>
      </c>
      <c r="C5191" t="s">
        <v>2300</v>
      </c>
      <c r="D5191" t="s">
        <v>3062</v>
      </c>
      <c r="E5191" s="3" t="str">
        <f>IF(LEN(Base_Periodo1[[#This Row],[CLASS]])&gt;=7,LEFT(Base_Periodo1[[#This Row],[CLASS]],7),"")</f>
        <v>2.4.1.1</v>
      </c>
      <c r="F5191" s="3" t="str">
        <f>VLOOKUP(Base_Periodo1[[#This Row],[Aux]],Base_Contas_Balanco[#All],2,FALSE)</f>
        <v>Capital Social Realizado</v>
      </c>
      <c r="G5191" s="1"/>
      <c r="H5191" s="281">
        <v>839.50000000000011</v>
      </c>
      <c r="I5191" s="281">
        <v>0</v>
      </c>
      <c r="J5191" s="281">
        <v>0</v>
      </c>
      <c r="K5191" s="281">
        <v>839.50000000000011</v>
      </c>
      <c r="L519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839.5</v>
      </c>
      <c r="M5191" s="281">
        <f>ROUND(IF(AND(Base_Periodo1[[#This Row],[Tipo_Linha]]="-",Base_Periodo1[[#This Row],[TIPOSALDO]]="D"),Base_Periodo1[[#This Row],[SALDO_ATUAL]]*-1,Base_Periodo1[[#This Row],[SALDO_ATUAL]]),4)</f>
        <v>839.5</v>
      </c>
      <c r="N5191" t="s">
        <v>116</v>
      </c>
      <c r="O5191" t="s">
        <v>459</v>
      </c>
      <c r="P5191" t="s">
        <v>459</v>
      </c>
      <c r="Q5191">
        <v>6</v>
      </c>
      <c r="R5191" s="281">
        <f>Base_Periodo1[[#This Row],[CREDITOS]]-Base_Periodo1[[#This Row],[DEBITOS]]</f>
        <v>0</v>
      </c>
      <c r="S5191" s="3" t="str">
        <f>IF(ISERROR(VLOOKUP(Base_Periodo1[[#This Row],[CONTA]],BaseContasDRE[#All],4,FALSE)),"Fora do DRE",VLOOKUP(Base_Periodo1[[#This Row],[CONTA]],BaseContasDRE[#All],4,FALSE))</f>
        <v>Fora do DRE</v>
      </c>
      <c r="T5191" s="3" t="str">
        <f>IF(ISERROR(VLOOKUP(Base_Periodo1[[#This Row],[CONTA]],BaseContasDRE[#All],5,FALSE)),"Fora do DRE",VLOOKUP(Base_Periodo1[[#This Row],[CONTA]],BaseContasDRE[#All],6,FALSE))</f>
        <v>Fora do DRE</v>
      </c>
      <c r="U5191" s="3" t="str">
        <f>IF(ISERROR(VLOOKUP(Base_Periodo1[[#This Row],[CONTA]],BaseContasDRE[#All],7,FALSE)),"Fora do DRE",VLOOKUP(Base_Periodo1[[#This Row],[CONTA]],BaseContasDRE[#All],7,FALSE))</f>
        <v>Fora do DRE</v>
      </c>
      <c r="V5191" s="3" t="str">
        <f>IF(Base_Periodo1[[#This Row],[Tipo_Linha]]="Fora do DRE","Fora do DRE","( "&amp;Base_Periodo1[[#This Row],[Tipo_Linha]]&amp;" ) "&amp;Base_Periodo1[[#This Row],[Filtro]])</f>
        <v>Fora do DRE</v>
      </c>
      <c r="W5191" s="3" t="str">
        <f>LEFT(Base_Periodo1[[#This Row],[CLASS]],3)</f>
        <v>2.4</v>
      </c>
    </row>
    <row r="5192" spans="1:23" hidden="1">
      <c r="A5192" s="3" t="str">
        <f t="shared" si="81"/>
        <v>Período 1</v>
      </c>
      <c r="B5192">
        <v>19322</v>
      </c>
      <c r="C5192" t="s">
        <v>2300</v>
      </c>
      <c r="D5192" t="s">
        <v>3063</v>
      </c>
      <c r="E5192" s="3" t="str">
        <f>IF(LEN(Base_Periodo1[[#This Row],[CLASS]])&gt;=7,LEFT(Base_Periodo1[[#This Row],[CLASS]],7),"")</f>
        <v>2.4.1.1</v>
      </c>
      <c r="F5192" s="3" t="str">
        <f>VLOOKUP(Base_Periodo1[[#This Row],[Aux]],Base_Contas_Balanco[#All],2,FALSE)</f>
        <v>Capital Social Realizado</v>
      </c>
      <c r="G5192" s="1"/>
      <c r="H5192" s="281">
        <v>50</v>
      </c>
      <c r="I5192" s="281">
        <v>0</v>
      </c>
      <c r="J5192" s="281">
        <v>0</v>
      </c>
      <c r="K5192" s="281">
        <v>50</v>
      </c>
      <c r="L519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192" s="281">
        <f>ROUND(IF(AND(Base_Periodo1[[#This Row],[Tipo_Linha]]="-",Base_Periodo1[[#This Row],[TIPOSALDO]]="D"),Base_Periodo1[[#This Row],[SALDO_ATUAL]]*-1,Base_Periodo1[[#This Row],[SALDO_ATUAL]]),4)</f>
        <v>50</v>
      </c>
      <c r="N5192" t="s">
        <v>116</v>
      </c>
      <c r="O5192" t="s">
        <v>459</v>
      </c>
      <c r="P5192" t="s">
        <v>459</v>
      </c>
      <c r="Q5192">
        <v>6</v>
      </c>
      <c r="R5192" s="281">
        <f>Base_Periodo1[[#This Row],[CREDITOS]]-Base_Periodo1[[#This Row],[DEBITOS]]</f>
        <v>0</v>
      </c>
      <c r="S5192" s="3" t="str">
        <f>IF(ISERROR(VLOOKUP(Base_Periodo1[[#This Row],[CONTA]],BaseContasDRE[#All],4,FALSE)),"Fora do DRE",VLOOKUP(Base_Periodo1[[#This Row],[CONTA]],BaseContasDRE[#All],4,FALSE))</f>
        <v>Fora do DRE</v>
      </c>
      <c r="T5192" s="3" t="str">
        <f>IF(ISERROR(VLOOKUP(Base_Periodo1[[#This Row],[CONTA]],BaseContasDRE[#All],5,FALSE)),"Fora do DRE",VLOOKUP(Base_Periodo1[[#This Row],[CONTA]],BaseContasDRE[#All],6,FALSE))</f>
        <v>Fora do DRE</v>
      </c>
      <c r="U5192" s="3" t="str">
        <f>IF(ISERROR(VLOOKUP(Base_Periodo1[[#This Row],[CONTA]],BaseContasDRE[#All],7,FALSE)),"Fora do DRE",VLOOKUP(Base_Periodo1[[#This Row],[CONTA]],BaseContasDRE[#All],7,FALSE))</f>
        <v>Fora do DRE</v>
      </c>
      <c r="V5192" s="3" t="str">
        <f>IF(Base_Periodo1[[#This Row],[Tipo_Linha]]="Fora do DRE","Fora do DRE","( "&amp;Base_Periodo1[[#This Row],[Tipo_Linha]]&amp;" ) "&amp;Base_Periodo1[[#This Row],[Filtro]])</f>
        <v>Fora do DRE</v>
      </c>
      <c r="W5192" s="3" t="str">
        <f>LEFT(Base_Periodo1[[#This Row],[CLASS]],3)</f>
        <v>2.4</v>
      </c>
    </row>
    <row r="5193" spans="1:23" hidden="1">
      <c r="A5193" s="3" t="str">
        <f t="shared" si="81"/>
        <v>Período 1</v>
      </c>
      <c r="B5193">
        <v>37124</v>
      </c>
      <c r="C5193" t="s">
        <v>2300</v>
      </c>
      <c r="D5193" t="s">
        <v>3064</v>
      </c>
      <c r="E5193" s="3" t="str">
        <f>IF(LEN(Base_Periodo1[[#This Row],[CLASS]])&gt;=7,LEFT(Base_Periodo1[[#This Row],[CLASS]],7),"")</f>
        <v>2.4.1.1</v>
      </c>
      <c r="F5193" s="3" t="str">
        <f>VLOOKUP(Base_Periodo1[[#This Row],[Aux]],Base_Contas_Balanco[#All],2,FALSE)</f>
        <v>Capital Social Realizado</v>
      </c>
      <c r="G5193" s="1"/>
      <c r="H5193" s="281">
        <v>379.33</v>
      </c>
      <c r="I5193" s="281">
        <v>0</v>
      </c>
      <c r="J5193" s="281">
        <v>0</v>
      </c>
      <c r="K5193" s="281">
        <v>379.33</v>
      </c>
      <c r="L519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379.33</v>
      </c>
      <c r="M5193" s="281">
        <f>ROUND(IF(AND(Base_Periodo1[[#This Row],[Tipo_Linha]]="-",Base_Periodo1[[#This Row],[TIPOSALDO]]="D"),Base_Periodo1[[#This Row],[SALDO_ATUAL]]*-1,Base_Periodo1[[#This Row],[SALDO_ATUAL]]),4)</f>
        <v>379.33</v>
      </c>
      <c r="N5193" t="s">
        <v>116</v>
      </c>
      <c r="O5193" t="s">
        <v>459</v>
      </c>
      <c r="P5193" t="s">
        <v>459</v>
      </c>
      <c r="Q5193">
        <v>6</v>
      </c>
      <c r="R5193" s="281">
        <f>Base_Periodo1[[#This Row],[CREDITOS]]-Base_Periodo1[[#This Row],[DEBITOS]]</f>
        <v>0</v>
      </c>
      <c r="S5193" s="3" t="str">
        <f>IF(ISERROR(VLOOKUP(Base_Periodo1[[#This Row],[CONTA]],BaseContasDRE[#All],4,FALSE)),"Fora do DRE",VLOOKUP(Base_Periodo1[[#This Row],[CONTA]],BaseContasDRE[#All],4,FALSE))</f>
        <v>Fora do DRE</v>
      </c>
      <c r="T5193" s="3" t="str">
        <f>IF(ISERROR(VLOOKUP(Base_Periodo1[[#This Row],[CONTA]],BaseContasDRE[#All],5,FALSE)),"Fora do DRE",VLOOKUP(Base_Periodo1[[#This Row],[CONTA]],BaseContasDRE[#All],6,FALSE))</f>
        <v>Fora do DRE</v>
      </c>
      <c r="U5193" s="3" t="str">
        <f>IF(ISERROR(VLOOKUP(Base_Periodo1[[#This Row],[CONTA]],BaseContasDRE[#All],7,FALSE)),"Fora do DRE",VLOOKUP(Base_Periodo1[[#This Row],[CONTA]],BaseContasDRE[#All],7,FALSE))</f>
        <v>Fora do DRE</v>
      </c>
      <c r="V5193" s="3" t="str">
        <f>IF(Base_Periodo1[[#This Row],[Tipo_Linha]]="Fora do DRE","Fora do DRE","( "&amp;Base_Periodo1[[#This Row],[Tipo_Linha]]&amp;" ) "&amp;Base_Periodo1[[#This Row],[Filtro]])</f>
        <v>Fora do DRE</v>
      </c>
      <c r="W5193" s="3" t="str">
        <f>LEFT(Base_Periodo1[[#This Row],[CLASS]],3)</f>
        <v>2.4</v>
      </c>
    </row>
    <row r="5194" spans="1:23" hidden="1">
      <c r="A5194" s="3" t="str">
        <f t="shared" si="81"/>
        <v>Período 1</v>
      </c>
      <c r="B5194">
        <v>16328</v>
      </c>
      <c r="C5194" t="s">
        <v>2300</v>
      </c>
      <c r="D5194" t="s">
        <v>3065</v>
      </c>
      <c r="E5194" s="3" t="str">
        <f>IF(LEN(Base_Periodo1[[#This Row],[CLASS]])&gt;=7,LEFT(Base_Periodo1[[#This Row],[CLASS]],7),"")</f>
        <v>2.4.1.1</v>
      </c>
      <c r="F5194" s="3" t="str">
        <f>VLOOKUP(Base_Periodo1[[#This Row],[Aux]],Base_Contas_Balanco[#All],2,FALSE)</f>
        <v>Capital Social Realizado</v>
      </c>
      <c r="G5194" s="1"/>
      <c r="H5194" s="281">
        <v>11476.65</v>
      </c>
      <c r="I5194" s="281">
        <v>0</v>
      </c>
      <c r="J5194" s="281">
        <v>0</v>
      </c>
      <c r="K5194" s="281">
        <v>11476.65</v>
      </c>
      <c r="L519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11476.65</v>
      </c>
      <c r="M5194" s="281">
        <f>ROUND(IF(AND(Base_Periodo1[[#This Row],[Tipo_Linha]]="-",Base_Periodo1[[#This Row],[TIPOSALDO]]="D"),Base_Periodo1[[#This Row],[SALDO_ATUAL]]*-1,Base_Periodo1[[#This Row],[SALDO_ATUAL]]),4)</f>
        <v>11476.65</v>
      </c>
      <c r="N5194" t="s">
        <v>116</v>
      </c>
      <c r="O5194" t="s">
        <v>459</v>
      </c>
      <c r="P5194" t="s">
        <v>459</v>
      </c>
      <c r="Q5194">
        <v>6</v>
      </c>
      <c r="R5194" s="281">
        <f>Base_Periodo1[[#This Row],[CREDITOS]]-Base_Periodo1[[#This Row],[DEBITOS]]</f>
        <v>0</v>
      </c>
      <c r="S5194" s="3" t="str">
        <f>IF(ISERROR(VLOOKUP(Base_Periodo1[[#This Row],[CONTA]],BaseContasDRE[#All],4,FALSE)),"Fora do DRE",VLOOKUP(Base_Periodo1[[#This Row],[CONTA]],BaseContasDRE[#All],4,FALSE))</f>
        <v>Fora do DRE</v>
      </c>
      <c r="T5194" s="3" t="str">
        <f>IF(ISERROR(VLOOKUP(Base_Periodo1[[#This Row],[CONTA]],BaseContasDRE[#All],5,FALSE)),"Fora do DRE",VLOOKUP(Base_Periodo1[[#This Row],[CONTA]],BaseContasDRE[#All],6,FALSE))</f>
        <v>Fora do DRE</v>
      </c>
      <c r="U5194" s="3" t="str">
        <f>IF(ISERROR(VLOOKUP(Base_Periodo1[[#This Row],[CONTA]],BaseContasDRE[#All],7,FALSE)),"Fora do DRE",VLOOKUP(Base_Periodo1[[#This Row],[CONTA]],BaseContasDRE[#All],7,FALSE))</f>
        <v>Fora do DRE</v>
      </c>
      <c r="V5194" s="3" t="str">
        <f>IF(Base_Periodo1[[#This Row],[Tipo_Linha]]="Fora do DRE","Fora do DRE","( "&amp;Base_Periodo1[[#This Row],[Tipo_Linha]]&amp;" ) "&amp;Base_Periodo1[[#This Row],[Filtro]])</f>
        <v>Fora do DRE</v>
      </c>
      <c r="W5194" s="3" t="str">
        <f>LEFT(Base_Periodo1[[#This Row],[CLASS]],3)</f>
        <v>2.4</v>
      </c>
    </row>
    <row r="5195" spans="1:23" hidden="1">
      <c r="A5195" s="3" t="str">
        <f t="shared" si="81"/>
        <v>Período 1</v>
      </c>
      <c r="B5195">
        <v>25571</v>
      </c>
      <c r="C5195" t="s">
        <v>2300</v>
      </c>
      <c r="D5195" t="s">
        <v>3066</v>
      </c>
      <c r="E5195" s="3" t="str">
        <f>IF(LEN(Base_Periodo1[[#This Row],[CLASS]])&gt;=7,LEFT(Base_Periodo1[[#This Row],[CLASS]],7),"")</f>
        <v>2.4.1.1</v>
      </c>
      <c r="F5195" s="3" t="str">
        <f>VLOOKUP(Base_Periodo1[[#This Row],[Aux]],Base_Contas_Balanco[#All],2,FALSE)</f>
        <v>Capital Social Realizado</v>
      </c>
      <c r="G5195" s="1"/>
      <c r="H5195" s="281">
        <v>84.759999999999991</v>
      </c>
      <c r="I5195" s="281">
        <v>0</v>
      </c>
      <c r="J5195" s="281">
        <v>0</v>
      </c>
      <c r="K5195" s="281">
        <v>84.759999999999991</v>
      </c>
      <c r="L519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84.76</v>
      </c>
      <c r="M5195" s="281">
        <f>ROUND(IF(AND(Base_Periodo1[[#This Row],[Tipo_Linha]]="-",Base_Periodo1[[#This Row],[TIPOSALDO]]="D"),Base_Periodo1[[#This Row],[SALDO_ATUAL]]*-1,Base_Periodo1[[#This Row],[SALDO_ATUAL]]),4)</f>
        <v>84.76</v>
      </c>
      <c r="N5195" t="s">
        <v>116</v>
      </c>
      <c r="O5195" t="s">
        <v>459</v>
      </c>
      <c r="P5195" t="s">
        <v>459</v>
      </c>
      <c r="Q5195">
        <v>6</v>
      </c>
      <c r="R5195" s="281">
        <f>Base_Periodo1[[#This Row],[CREDITOS]]-Base_Periodo1[[#This Row],[DEBITOS]]</f>
        <v>0</v>
      </c>
      <c r="S5195" s="3" t="str">
        <f>IF(ISERROR(VLOOKUP(Base_Periodo1[[#This Row],[CONTA]],BaseContasDRE[#All],4,FALSE)),"Fora do DRE",VLOOKUP(Base_Periodo1[[#This Row],[CONTA]],BaseContasDRE[#All],4,FALSE))</f>
        <v>Fora do DRE</v>
      </c>
      <c r="T5195" s="3" t="str">
        <f>IF(ISERROR(VLOOKUP(Base_Periodo1[[#This Row],[CONTA]],BaseContasDRE[#All],5,FALSE)),"Fora do DRE",VLOOKUP(Base_Periodo1[[#This Row],[CONTA]],BaseContasDRE[#All],6,FALSE))</f>
        <v>Fora do DRE</v>
      </c>
      <c r="U5195" s="3" t="str">
        <f>IF(ISERROR(VLOOKUP(Base_Periodo1[[#This Row],[CONTA]],BaseContasDRE[#All],7,FALSE)),"Fora do DRE",VLOOKUP(Base_Periodo1[[#This Row],[CONTA]],BaseContasDRE[#All],7,FALSE))</f>
        <v>Fora do DRE</v>
      </c>
      <c r="V5195" s="3" t="str">
        <f>IF(Base_Periodo1[[#This Row],[Tipo_Linha]]="Fora do DRE","Fora do DRE","( "&amp;Base_Periodo1[[#This Row],[Tipo_Linha]]&amp;" ) "&amp;Base_Periodo1[[#This Row],[Filtro]])</f>
        <v>Fora do DRE</v>
      </c>
      <c r="W5195" s="3" t="str">
        <f>LEFT(Base_Periodo1[[#This Row],[CLASS]],3)</f>
        <v>2.4</v>
      </c>
    </row>
    <row r="5196" spans="1:23" hidden="1">
      <c r="A5196" s="3" t="str">
        <f t="shared" si="81"/>
        <v>Período 1</v>
      </c>
      <c r="B5196">
        <v>24489</v>
      </c>
      <c r="C5196" t="s">
        <v>2300</v>
      </c>
      <c r="D5196" t="s">
        <v>3067</v>
      </c>
      <c r="E5196" s="3" t="str">
        <f>IF(LEN(Base_Periodo1[[#This Row],[CLASS]])&gt;=7,LEFT(Base_Periodo1[[#This Row],[CLASS]],7),"")</f>
        <v>2.4.1.1</v>
      </c>
      <c r="F5196" s="3" t="str">
        <f>VLOOKUP(Base_Periodo1[[#This Row],[Aux]],Base_Contas_Balanco[#All],2,FALSE)</f>
        <v>Capital Social Realizado</v>
      </c>
      <c r="G5196" s="1"/>
      <c r="H5196" s="281">
        <v>2023.48</v>
      </c>
      <c r="I5196" s="281">
        <v>0</v>
      </c>
      <c r="J5196" s="281">
        <v>0</v>
      </c>
      <c r="K5196" s="281">
        <v>2023.48</v>
      </c>
      <c r="L519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2023.48</v>
      </c>
      <c r="M5196" s="281">
        <f>ROUND(IF(AND(Base_Periodo1[[#This Row],[Tipo_Linha]]="-",Base_Periodo1[[#This Row],[TIPOSALDO]]="D"),Base_Periodo1[[#This Row],[SALDO_ATUAL]]*-1,Base_Periodo1[[#This Row],[SALDO_ATUAL]]),4)</f>
        <v>2023.48</v>
      </c>
      <c r="N5196" t="s">
        <v>116</v>
      </c>
      <c r="O5196" t="s">
        <v>459</v>
      </c>
      <c r="P5196" t="s">
        <v>459</v>
      </c>
      <c r="Q5196">
        <v>6</v>
      </c>
      <c r="R5196" s="281">
        <f>Base_Periodo1[[#This Row],[CREDITOS]]-Base_Periodo1[[#This Row],[DEBITOS]]</f>
        <v>0</v>
      </c>
      <c r="S5196" s="3" t="str">
        <f>IF(ISERROR(VLOOKUP(Base_Periodo1[[#This Row],[CONTA]],BaseContasDRE[#All],4,FALSE)),"Fora do DRE",VLOOKUP(Base_Periodo1[[#This Row],[CONTA]],BaseContasDRE[#All],4,FALSE))</f>
        <v>Fora do DRE</v>
      </c>
      <c r="T5196" s="3" t="str">
        <f>IF(ISERROR(VLOOKUP(Base_Periodo1[[#This Row],[CONTA]],BaseContasDRE[#All],5,FALSE)),"Fora do DRE",VLOOKUP(Base_Periodo1[[#This Row],[CONTA]],BaseContasDRE[#All],6,FALSE))</f>
        <v>Fora do DRE</v>
      </c>
      <c r="U5196" s="3" t="str">
        <f>IF(ISERROR(VLOOKUP(Base_Periodo1[[#This Row],[CONTA]],BaseContasDRE[#All],7,FALSE)),"Fora do DRE",VLOOKUP(Base_Periodo1[[#This Row],[CONTA]],BaseContasDRE[#All],7,FALSE))</f>
        <v>Fora do DRE</v>
      </c>
      <c r="V5196" s="3" t="str">
        <f>IF(Base_Periodo1[[#This Row],[Tipo_Linha]]="Fora do DRE","Fora do DRE","( "&amp;Base_Periodo1[[#This Row],[Tipo_Linha]]&amp;" ) "&amp;Base_Periodo1[[#This Row],[Filtro]])</f>
        <v>Fora do DRE</v>
      </c>
      <c r="W5196" s="3" t="str">
        <f>LEFT(Base_Periodo1[[#This Row],[CLASS]],3)</f>
        <v>2.4</v>
      </c>
    </row>
    <row r="5197" spans="1:23" hidden="1">
      <c r="A5197" s="3" t="str">
        <f t="shared" si="81"/>
        <v>Período 1</v>
      </c>
      <c r="B5197">
        <v>16264</v>
      </c>
      <c r="C5197" t="s">
        <v>2300</v>
      </c>
      <c r="D5197" t="s">
        <v>3068</v>
      </c>
      <c r="E5197" s="3" t="str">
        <f>IF(LEN(Base_Periodo1[[#This Row],[CLASS]])&gt;=7,LEFT(Base_Periodo1[[#This Row],[CLASS]],7),"")</f>
        <v>2.4.1.1</v>
      </c>
      <c r="F5197" s="3" t="str">
        <f>VLOOKUP(Base_Periodo1[[#This Row],[Aux]],Base_Contas_Balanco[#All],2,FALSE)</f>
        <v>Capital Social Realizado</v>
      </c>
      <c r="G5197" s="1"/>
      <c r="H5197" s="281">
        <v>9428.9500000000007</v>
      </c>
      <c r="I5197" s="281">
        <v>0</v>
      </c>
      <c r="J5197" s="281">
        <v>0</v>
      </c>
      <c r="K5197" s="281">
        <v>9428.9500000000007</v>
      </c>
      <c r="L519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9428.9500000000007</v>
      </c>
      <c r="M5197" s="281">
        <f>ROUND(IF(AND(Base_Periodo1[[#This Row],[Tipo_Linha]]="-",Base_Periodo1[[#This Row],[TIPOSALDO]]="D"),Base_Periodo1[[#This Row],[SALDO_ATUAL]]*-1,Base_Periodo1[[#This Row],[SALDO_ATUAL]]),4)</f>
        <v>9428.9500000000007</v>
      </c>
      <c r="N5197" t="s">
        <v>116</v>
      </c>
      <c r="O5197" t="s">
        <v>459</v>
      </c>
      <c r="P5197" t="s">
        <v>459</v>
      </c>
      <c r="Q5197">
        <v>6</v>
      </c>
      <c r="R5197" s="281">
        <f>Base_Periodo1[[#This Row],[CREDITOS]]-Base_Periodo1[[#This Row],[DEBITOS]]</f>
        <v>0</v>
      </c>
      <c r="S5197" s="3" t="str">
        <f>IF(ISERROR(VLOOKUP(Base_Periodo1[[#This Row],[CONTA]],BaseContasDRE[#All],4,FALSE)),"Fora do DRE",VLOOKUP(Base_Periodo1[[#This Row],[CONTA]],BaseContasDRE[#All],4,FALSE))</f>
        <v>Fora do DRE</v>
      </c>
      <c r="T5197" s="3" t="str">
        <f>IF(ISERROR(VLOOKUP(Base_Periodo1[[#This Row],[CONTA]],BaseContasDRE[#All],5,FALSE)),"Fora do DRE",VLOOKUP(Base_Periodo1[[#This Row],[CONTA]],BaseContasDRE[#All],6,FALSE))</f>
        <v>Fora do DRE</v>
      </c>
      <c r="U5197" s="3" t="str">
        <f>IF(ISERROR(VLOOKUP(Base_Periodo1[[#This Row],[CONTA]],BaseContasDRE[#All],7,FALSE)),"Fora do DRE",VLOOKUP(Base_Periodo1[[#This Row],[CONTA]],BaseContasDRE[#All],7,FALSE))</f>
        <v>Fora do DRE</v>
      </c>
      <c r="V5197" s="3" t="str">
        <f>IF(Base_Periodo1[[#This Row],[Tipo_Linha]]="Fora do DRE","Fora do DRE","( "&amp;Base_Periodo1[[#This Row],[Tipo_Linha]]&amp;" ) "&amp;Base_Periodo1[[#This Row],[Filtro]])</f>
        <v>Fora do DRE</v>
      </c>
      <c r="W5197" s="3" t="str">
        <f>LEFT(Base_Periodo1[[#This Row],[CLASS]],3)</f>
        <v>2.4</v>
      </c>
    </row>
    <row r="5198" spans="1:23" hidden="1">
      <c r="A5198" s="3" t="str">
        <f t="shared" si="81"/>
        <v>Período 1</v>
      </c>
      <c r="B5198">
        <v>19766</v>
      </c>
      <c r="C5198" t="s">
        <v>2300</v>
      </c>
      <c r="D5198" t="s">
        <v>3069</v>
      </c>
      <c r="E5198" s="3" t="str">
        <f>IF(LEN(Base_Periodo1[[#This Row],[CLASS]])&gt;=7,LEFT(Base_Periodo1[[#This Row],[CLASS]],7),"")</f>
        <v>2.4.1.1</v>
      </c>
      <c r="F5198" s="3" t="str">
        <f>VLOOKUP(Base_Periodo1[[#This Row],[Aux]],Base_Contas_Balanco[#All],2,FALSE)</f>
        <v>Capital Social Realizado</v>
      </c>
      <c r="G5198" s="1"/>
      <c r="H5198" s="281">
        <v>723.26</v>
      </c>
      <c r="I5198" s="281">
        <v>0</v>
      </c>
      <c r="J5198" s="281">
        <v>0</v>
      </c>
      <c r="K5198" s="281">
        <v>723.26</v>
      </c>
      <c r="L519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723.26</v>
      </c>
      <c r="M5198" s="281">
        <f>ROUND(IF(AND(Base_Periodo1[[#This Row],[Tipo_Linha]]="-",Base_Periodo1[[#This Row],[TIPOSALDO]]="D"),Base_Periodo1[[#This Row],[SALDO_ATUAL]]*-1,Base_Periodo1[[#This Row],[SALDO_ATUAL]]),4)</f>
        <v>723.26</v>
      </c>
      <c r="N5198" t="s">
        <v>116</v>
      </c>
      <c r="O5198" t="s">
        <v>459</v>
      </c>
      <c r="P5198" t="s">
        <v>459</v>
      </c>
      <c r="Q5198">
        <v>6</v>
      </c>
      <c r="R5198" s="281">
        <f>Base_Periodo1[[#This Row],[CREDITOS]]-Base_Periodo1[[#This Row],[DEBITOS]]</f>
        <v>0</v>
      </c>
      <c r="S5198" s="3" t="str">
        <f>IF(ISERROR(VLOOKUP(Base_Periodo1[[#This Row],[CONTA]],BaseContasDRE[#All],4,FALSE)),"Fora do DRE",VLOOKUP(Base_Periodo1[[#This Row],[CONTA]],BaseContasDRE[#All],4,FALSE))</f>
        <v>Fora do DRE</v>
      </c>
      <c r="T5198" s="3" t="str">
        <f>IF(ISERROR(VLOOKUP(Base_Periodo1[[#This Row],[CONTA]],BaseContasDRE[#All],5,FALSE)),"Fora do DRE",VLOOKUP(Base_Periodo1[[#This Row],[CONTA]],BaseContasDRE[#All],6,FALSE))</f>
        <v>Fora do DRE</v>
      </c>
      <c r="U5198" s="3" t="str">
        <f>IF(ISERROR(VLOOKUP(Base_Periodo1[[#This Row],[CONTA]],BaseContasDRE[#All],7,FALSE)),"Fora do DRE",VLOOKUP(Base_Periodo1[[#This Row],[CONTA]],BaseContasDRE[#All],7,FALSE))</f>
        <v>Fora do DRE</v>
      </c>
      <c r="V5198" s="3" t="str">
        <f>IF(Base_Periodo1[[#This Row],[Tipo_Linha]]="Fora do DRE","Fora do DRE","( "&amp;Base_Periodo1[[#This Row],[Tipo_Linha]]&amp;" ) "&amp;Base_Periodo1[[#This Row],[Filtro]])</f>
        <v>Fora do DRE</v>
      </c>
      <c r="W5198" s="3" t="str">
        <f>LEFT(Base_Periodo1[[#This Row],[CLASS]],3)</f>
        <v>2.4</v>
      </c>
    </row>
    <row r="5199" spans="1:23" hidden="1">
      <c r="A5199" s="3" t="str">
        <f t="shared" si="81"/>
        <v>Período 1</v>
      </c>
      <c r="B5199">
        <v>16397</v>
      </c>
      <c r="C5199" t="s">
        <v>2300</v>
      </c>
      <c r="D5199" t="s">
        <v>3070</v>
      </c>
      <c r="E5199" s="3" t="str">
        <f>IF(LEN(Base_Periodo1[[#This Row],[CLASS]])&gt;=7,LEFT(Base_Periodo1[[#This Row],[CLASS]],7),"")</f>
        <v>2.4.1.1</v>
      </c>
      <c r="F5199" s="3" t="str">
        <f>VLOOKUP(Base_Periodo1[[#This Row],[Aux]],Base_Contas_Balanco[#All],2,FALSE)</f>
        <v>Capital Social Realizado</v>
      </c>
      <c r="G5199" s="1"/>
      <c r="H5199" s="281">
        <v>916.91000000000008</v>
      </c>
      <c r="I5199" s="281">
        <v>0</v>
      </c>
      <c r="J5199" s="281">
        <v>0</v>
      </c>
      <c r="K5199" s="281">
        <v>916.91000000000008</v>
      </c>
      <c r="L519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916.91</v>
      </c>
      <c r="M5199" s="281">
        <f>ROUND(IF(AND(Base_Periodo1[[#This Row],[Tipo_Linha]]="-",Base_Periodo1[[#This Row],[TIPOSALDO]]="D"),Base_Periodo1[[#This Row],[SALDO_ATUAL]]*-1,Base_Periodo1[[#This Row],[SALDO_ATUAL]]),4)</f>
        <v>916.91</v>
      </c>
      <c r="N5199" t="s">
        <v>116</v>
      </c>
      <c r="O5199" t="s">
        <v>459</v>
      </c>
      <c r="P5199" t="s">
        <v>459</v>
      </c>
      <c r="Q5199">
        <v>6</v>
      </c>
      <c r="R5199" s="281">
        <f>Base_Periodo1[[#This Row],[CREDITOS]]-Base_Periodo1[[#This Row],[DEBITOS]]</f>
        <v>0</v>
      </c>
      <c r="S5199" s="3" t="str">
        <f>IF(ISERROR(VLOOKUP(Base_Periodo1[[#This Row],[CONTA]],BaseContasDRE[#All],4,FALSE)),"Fora do DRE",VLOOKUP(Base_Periodo1[[#This Row],[CONTA]],BaseContasDRE[#All],4,FALSE))</f>
        <v>Fora do DRE</v>
      </c>
      <c r="T5199" s="3" t="str">
        <f>IF(ISERROR(VLOOKUP(Base_Periodo1[[#This Row],[CONTA]],BaseContasDRE[#All],5,FALSE)),"Fora do DRE",VLOOKUP(Base_Periodo1[[#This Row],[CONTA]],BaseContasDRE[#All],6,FALSE))</f>
        <v>Fora do DRE</v>
      </c>
      <c r="U5199" s="3" t="str">
        <f>IF(ISERROR(VLOOKUP(Base_Periodo1[[#This Row],[CONTA]],BaseContasDRE[#All],7,FALSE)),"Fora do DRE",VLOOKUP(Base_Periodo1[[#This Row],[CONTA]],BaseContasDRE[#All],7,FALSE))</f>
        <v>Fora do DRE</v>
      </c>
      <c r="V5199" s="3" t="str">
        <f>IF(Base_Periodo1[[#This Row],[Tipo_Linha]]="Fora do DRE","Fora do DRE","( "&amp;Base_Periodo1[[#This Row],[Tipo_Linha]]&amp;" ) "&amp;Base_Periodo1[[#This Row],[Filtro]])</f>
        <v>Fora do DRE</v>
      </c>
      <c r="W5199" s="3" t="str">
        <f>LEFT(Base_Periodo1[[#This Row],[CLASS]],3)</f>
        <v>2.4</v>
      </c>
    </row>
    <row r="5200" spans="1:23" hidden="1">
      <c r="A5200" s="3" t="str">
        <f t="shared" si="81"/>
        <v>Período 1</v>
      </c>
      <c r="B5200">
        <v>19312</v>
      </c>
      <c r="C5200" t="s">
        <v>2300</v>
      </c>
      <c r="D5200" t="s">
        <v>3071</v>
      </c>
      <c r="E5200" s="3" t="str">
        <f>IF(LEN(Base_Periodo1[[#This Row],[CLASS]])&gt;=7,LEFT(Base_Periodo1[[#This Row],[CLASS]],7),"")</f>
        <v>2.4.1.1</v>
      </c>
      <c r="F5200" s="3" t="str">
        <f>VLOOKUP(Base_Periodo1[[#This Row],[Aux]],Base_Contas_Balanco[#All],2,FALSE)</f>
        <v>Capital Social Realizado</v>
      </c>
      <c r="G5200" s="1"/>
      <c r="H5200" s="281">
        <v>2382.4499999999998</v>
      </c>
      <c r="I5200" s="281">
        <v>0</v>
      </c>
      <c r="J5200" s="281">
        <v>0</v>
      </c>
      <c r="K5200" s="281">
        <v>2382.4499999999998</v>
      </c>
      <c r="L520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2382.4499999999998</v>
      </c>
      <c r="M5200" s="281">
        <f>ROUND(IF(AND(Base_Periodo1[[#This Row],[Tipo_Linha]]="-",Base_Periodo1[[#This Row],[TIPOSALDO]]="D"),Base_Periodo1[[#This Row],[SALDO_ATUAL]]*-1,Base_Periodo1[[#This Row],[SALDO_ATUAL]]),4)</f>
        <v>2382.4499999999998</v>
      </c>
      <c r="N5200" t="s">
        <v>116</v>
      </c>
      <c r="O5200" t="s">
        <v>459</v>
      </c>
      <c r="P5200" t="s">
        <v>459</v>
      </c>
      <c r="Q5200">
        <v>6</v>
      </c>
      <c r="R5200" s="281">
        <f>Base_Periodo1[[#This Row],[CREDITOS]]-Base_Periodo1[[#This Row],[DEBITOS]]</f>
        <v>0</v>
      </c>
      <c r="S5200" s="3" t="str">
        <f>IF(ISERROR(VLOOKUP(Base_Periodo1[[#This Row],[CONTA]],BaseContasDRE[#All],4,FALSE)),"Fora do DRE",VLOOKUP(Base_Periodo1[[#This Row],[CONTA]],BaseContasDRE[#All],4,FALSE))</f>
        <v>Fora do DRE</v>
      </c>
      <c r="T5200" s="3" t="str">
        <f>IF(ISERROR(VLOOKUP(Base_Periodo1[[#This Row],[CONTA]],BaseContasDRE[#All],5,FALSE)),"Fora do DRE",VLOOKUP(Base_Periodo1[[#This Row],[CONTA]],BaseContasDRE[#All],6,FALSE))</f>
        <v>Fora do DRE</v>
      </c>
      <c r="U5200" s="3" t="str">
        <f>IF(ISERROR(VLOOKUP(Base_Periodo1[[#This Row],[CONTA]],BaseContasDRE[#All],7,FALSE)),"Fora do DRE",VLOOKUP(Base_Periodo1[[#This Row],[CONTA]],BaseContasDRE[#All],7,FALSE))</f>
        <v>Fora do DRE</v>
      </c>
      <c r="V5200" s="3" t="str">
        <f>IF(Base_Periodo1[[#This Row],[Tipo_Linha]]="Fora do DRE","Fora do DRE","( "&amp;Base_Periodo1[[#This Row],[Tipo_Linha]]&amp;" ) "&amp;Base_Periodo1[[#This Row],[Filtro]])</f>
        <v>Fora do DRE</v>
      </c>
      <c r="W5200" s="3" t="str">
        <f>LEFT(Base_Periodo1[[#This Row],[CLASS]],3)</f>
        <v>2.4</v>
      </c>
    </row>
    <row r="5201" spans="1:23" hidden="1">
      <c r="A5201" s="3" t="str">
        <f t="shared" si="81"/>
        <v>Período 1</v>
      </c>
      <c r="B5201">
        <v>25697</v>
      </c>
      <c r="C5201" t="s">
        <v>2300</v>
      </c>
      <c r="D5201" t="s">
        <v>3072</v>
      </c>
      <c r="E5201" s="3" t="str">
        <f>IF(LEN(Base_Periodo1[[#This Row],[CLASS]])&gt;=7,LEFT(Base_Periodo1[[#This Row],[CLASS]],7),"")</f>
        <v>2.4.1.1</v>
      </c>
      <c r="F5201" s="3" t="str">
        <f>VLOOKUP(Base_Periodo1[[#This Row],[Aux]],Base_Contas_Balanco[#All],2,FALSE)</f>
        <v>Capital Social Realizado</v>
      </c>
      <c r="G5201" s="1"/>
      <c r="H5201" s="281">
        <v>190.27</v>
      </c>
      <c r="I5201" s="281">
        <v>0</v>
      </c>
      <c r="J5201" s="281">
        <v>0</v>
      </c>
      <c r="K5201" s="281">
        <v>190.27</v>
      </c>
      <c r="L520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190.27</v>
      </c>
      <c r="M5201" s="281">
        <f>ROUND(IF(AND(Base_Periodo1[[#This Row],[Tipo_Linha]]="-",Base_Periodo1[[#This Row],[TIPOSALDO]]="D"),Base_Periodo1[[#This Row],[SALDO_ATUAL]]*-1,Base_Periodo1[[#This Row],[SALDO_ATUAL]]),4)</f>
        <v>190.27</v>
      </c>
      <c r="N5201" t="s">
        <v>116</v>
      </c>
      <c r="O5201" t="s">
        <v>459</v>
      </c>
      <c r="P5201" t="s">
        <v>459</v>
      </c>
      <c r="Q5201">
        <v>6</v>
      </c>
      <c r="R5201" s="281">
        <f>Base_Periodo1[[#This Row],[CREDITOS]]-Base_Periodo1[[#This Row],[DEBITOS]]</f>
        <v>0</v>
      </c>
      <c r="S5201" s="3" t="str">
        <f>IF(ISERROR(VLOOKUP(Base_Periodo1[[#This Row],[CONTA]],BaseContasDRE[#All],4,FALSE)),"Fora do DRE",VLOOKUP(Base_Periodo1[[#This Row],[CONTA]],BaseContasDRE[#All],4,FALSE))</f>
        <v>Fora do DRE</v>
      </c>
      <c r="T5201" s="3" t="str">
        <f>IF(ISERROR(VLOOKUP(Base_Periodo1[[#This Row],[CONTA]],BaseContasDRE[#All],5,FALSE)),"Fora do DRE",VLOOKUP(Base_Periodo1[[#This Row],[CONTA]],BaseContasDRE[#All],6,FALSE))</f>
        <v>Fora do DRE</v>
      </c>
      <c r="U5201" s="3" t="str">
        <f>IF(ISERROR(VLOOKUP(Base_Periodo1[[#This Row],[CONTA]],BaseContasDRE[#All],7,FALSE)),"Fora do DRE",VLOOKUP(Base_Periodo1[[#This Row],[CONTA]],BaseContasDRE[#All],7,FALSE))</f>
        <v>Fora do DRE</v>
      </c>
      <c r="V5201" s="3" t="str">
        <f>IF(Base_Periodo1[[#This Row],[Tipo_Linha]]="Fora do DRE","Fora do DRE","( "&amp;Base_Periodo1[[#This Row],[Tipo_Linha]]&amp;" ) "&amp;Base_Periodo1[[#This Row],[Filtro]])</f>
        <v>Fora do DRE</v>
      </c>
      <c r="W5201" s="3" t="str">
        <f>LEFT(Base_Periodo1[[#This Row],[CLASS]],3)</f>
        <v>2.4</v>
      </c>
    </row>
    <row r="5202" spans="1:23" hidden="1">
      <c r="A5202" s="3" t="str">
        <f t="shared" si="81"/>
        <v>Período 1</v>
      </c>
      <c r="B5202">
        <v>19847</v>
      </c>
      <c r="C5202" t="s">
        <v>2300</v>
      </c>
      <c r="D5202" t="s">
        <v>3073</v>
      </c>
      <c r="E5202" s="3" t="str">
        <f>IF(LEN(Base_Periodo1[[#This Row],[CLASS]])&gt;=7,LEFT(Base_Periodo1[[#This Row],[CLASS]],7),"")</f>
        <v>2.4.1.1</v>
      </c>
      <c r="F5202" s="3" t="str">
        <f>VLOOKUP(Base_Periodo1[[#This Row],[Aux]],Base_Contas_Balanco[#All],2,FALSE)</f>
        <v>Capital Social Realizado</v>
      </c>
      <c r="G5202" s="1"/>
      <c r="H5202" s="281">
        <v>925.26</v>
      </c>
      <c r="I5202" s="281">
        <v>0</v>
      </c>
      <c r="J5202" s="281">
        <v>0</v>
      </c>
      <c r="K5202" s="281">
        <v>925.26</v>
      </c>
      <c r="L520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925.26</v>
      </c>
      <c r="M5202" s="281">
        <f>ROUND(IF(AND(Base_Periodo1[[#This Row],[Tipo_Linha]]="-",Base_Periodo1[[#This Row],[TIPOSALDO]]="D"),Base_Periodo1[[#This Row],[SALDO_ATUAL]]*-1,Base_Periodo1[[#This Row],[SALDO_ATUAL]]),4)</f>
        <v>925.26</v>
      </c>
      <c r="N5202" t="s">
        <v>116</v>
      </c>
      <c r="O5202" t="s">
        <v>459</v>
      </c>
      <c r="P5202" t="s">
        <v>459</v>
      </c>
      <c r="Q5202">
        <v>6</v>
      </c>
      <c r="R5202" s="281">
        <f>Base_Periodo1[[#This Row],[CREDITOS]]-Base_Periodo1[[#This Row],[DEBITOS]]</f>
        <v>0</v>
      </c>
      <c r="S5202" s="3" t="str">
        <f>IF(ISERROR(VLOOKUP(Base_Periodo1[[#This Row],[CONTA]],BaseContasDRE[#All],4,FALSE)),"Fora do DRE",VLOOKUP(Base_Periodo1[[#This Row],[CONTA]],BaseContasDRE[#All],4,FALSE))</f>
        <v>Fora do DRE</v>
      </c>
      <c r="T5202" s="3" t="str">
        <f>IF(ISERROR(VLOOKUP(Base_Periodo1[[#This Row],[CONTA]],BaseContasDRE[#All],5,FALSE)),"Fora do DRE",VLOOKUP(Base_Periodo1[[#This Row],[CONTA]],BaseContasDRE[#All],6,FALSE))</f>
        <v>Fora do DRE</v>
      </c>
      <c r="U5202" s="3" t="str">
        <f>IF(ISERROR(VLOOKUP(Base_Periodo1[[#This Row],[CONTA]],BaseContasDRE[#All],7,FALSE)),"Fora do DRE",VLOOKUP(Base_Periodo1[[#This Row],[CONTA]],BaseContasDRE[#All],7,FALSE))</f>
        <v>Fora do DRE</v>
      </c>
      <c r="V5202" s="3" t="str">
        <f>IF(Base_Periodo1[[#This Row],[Tipo_Linha]]="Fora do DRE","Fora do DRE","( "&amp;Base_Periodo1[[#This Row],[Tipo_Linha]]&amp;" ) "&amp;Base_Periodo1[[#This Row],[Filtro]])</f>
        <v>Fora do DRE</v>
      </c>
      <c r="W5202" s="3" t="str">
        <f>LEFT(Base_Periodo1[[#This Row],[CLASS]],3)</f>
        <v>2.4</v>
      </c>
    </row>
    <row r="5203" spans="1:23" hidden="1">
      <c r="A5203" s="3" t="str">
        <f t="shared" si="81"/>
        <v>Período 1</v>
      </c>
      <c r="B5203">
        <v>47756</v>
      </c>
      <c r="C5203" t="s">
        <v>2300</v>
      </c>
      <c r="D5203" t="s">
        <v>3074</v>
      </c>
      <c r="E5203" s="3" t="str">
        <f>IF(LEN(Base_Periodo1[[#This Row],[CLASS]])&gt;=7,LEFT(Base_Periodo1[[#This Row],[CLASS]],7),"")</f>
        <v>2.4.1.1</v>
      </c>
      <c r="F5203" s="3" t="str">
        <f>VLOOKUP(Base_Periodo1[[#This Row],[Aux]],Base_Contas_Balanco[#All],2,FALSE)</f>
        <v>Capital Social Realizado</v>
      </c>
      <c r="G5203" s="1"/>
      <c r="H5203" s="281">
        <v>77.13</v>
      </c>
      <c r="I5203" s="281">
        <v>0</v>
      </c>
      <c r="J5203" s="281">
        <v>0</v>
      </c>
      <c r="K5203" s="281">
        <v>77.13</v>
      </c>
      <c r="L520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77.13</v>
      </c>
      <c r="M5203" s="281">
        <f>ROUND(IF(AND(Base_Periodo1[[#This Row],[Tipo_Linha]]="-",Base_Periodo1[[#This Row],[TIPOSALDO]]="D"),Base_Periodo1[[#This Row],[SALDO_ATUAL]]*-1,Base_Periodo1[[#This Row],[SALDO_ATUAL]]),4)</f>
        <v>77.13</v>
      </c>
      <c r="N5203" t="s">
        <v>116</v>
      </c>
      <c r="O5203" t="s">
        <v>459</v>
      </c>
      <c r="P5203" t="s">
        <v>459</v>
      </c>
      <c r="Q5203">
        <v>6</v>
      </c>
      <c r="R5203" s="281">
        <f>Base_Periodo1[[#This Row],[CREDITOS]]-Base_Periodo1[[#This Row],[DEBITOS]]</f>
        <v>0</v>
      </c>
      <c r="S5203" s="3" t="str">
        <f>IF(ISERROR(VLOOKUP(Base_Periodo1[[#This Row],[CONTA]],BaseContasDRE[#All],4,FALSE)),"Fora do DRE",VLOOKUP(Base_Periodo1[[#This Row],[CONTA]],BaseContasDRE[#All],4,FALSE))</f>
        <v>Fora do DRE</v>
      </c>
      <c r="T5203" s="3" t="str">
        <f>IF(ISERROR(VLOOKUP(Base_Periodo1[[#This Row],[CONTA]],BaseContasDRE[#All],5,FALSE)),"Fora do DRE",VLOOKUP(Base_Periodo1[[#This Row],[CONTA]],BaseContasDRE[#All],6,FALSE))</f>
        <v>Fora do DRE</v>
      </c>
      <c r="U5203" s="3" t="str">
        <f>IF(ISERROR(VLOOKUP(Base_Periodo1[[#This Row],[CONTA]],BaseContasDRE[#All],7,FALSE)),"Fora do DRE",VLOOKUP(Base_Periodo1[[#This Row],[CONTA]],BaseContasDRE[#All],7,FALSE))</f>
        <v>Fora do DRE</v>
      </c>
      <c r="V5203" s="3" t="str">
        <f>IF(Base_Periodo1[[#This Row],[Tipo_Linha]]="Fora do DRE","Fora do DRE","( "&amp;Base_Periodo1[[#This Row],[Tipo_Linha]]&amp;" ) "&amp;Base_Periodo1[[#This Row],[Filtro]])</f>
        <v>Fora do DRE</v>
      </c>
      <c r="W5203" s="3" t="str">
        <f>LEFT(Base_Periodo1[[#This Row],[CLASS]],3)</f>
        <v>2.4</v>
      </c>
    </row>
    <row r="5204" spans="1:23" hidden="1">
      <c r="A5204" s="3" t="str">
        <f t="shared" si="81"/>
        <v>Período 1</v>
      </c>
      <c r="B5204">
        <v>55124</v>
      </c>
      <c r="C5204" t="s">
        <v>2300</v>
      </c>
      <c r="D5204" t="s">
        <v>5352</v>
      </c>
      <c r="E5204" s="3" t="str">
        <f>IF(LEN(Base_Periodo1[[#This Row],[CLASS]])&gt;=7,LEFT(Base_Periodo1[[#This Row],[CLASS]],7),"")</f>
        <v>2.4.1.1</v>
      </c>
      <c r="F5204" s="3" t="str">
        <f>VLOOKUP(Base_Periodo1[[#This Row],[Aux]],Base_Contas_Balanco[#All],2,FALSE)</f>
        <v>Capital Social Realizado</v>
      </c>
      <c r="G5204" s="1"/>
      <c r="H5204" s="281">
        <v>50</v>
      </c>
      <c r="I5204" s="281">
        <v>0</v>
      </c>
      <c r="J5204" s="281">
        <v>0</v>
      </c>
      <c r="K5204" s="281">
        <v>50</v>
      </c>
      <c r="L520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204" s="281">
        <f>ROUND(IF(AND(Base_Periodo1[[#This Row],[Tipo_Linha]]="-",Base_Periodo1[[#This Row],[TIPOSALDO]]="D"),Base_Periodo1[[#This Row],[SALDO_ATUAL]]*-1,Base_Periodo1[[#This Row],[SALDO_ATUAL]]),4)</f>
        <v>50</v>
      </c>
      <c r="N5204" t="s">
        <v>116</v>
      </c>
      <c r="O5204" t="s">
        <v>459</v>
      </c>
      <c r="P5204" t="s">
        <v>459</v>
      </c>
      <c r="Q5204">
        <v>6</v>
      </c>
      <c r="R5204" s="281">
        <f>Base_Periodo1[[#This Row],[CREDITOS]]-Base_Periodo1[[#This Row],[DEBITOS]]</f>
        <v>0</v>
      </c>
      <c r="S5204" s="3" t="str">
        <f>IF(ISERROR(VLOOKUP(Base_Periodo1[[#This Row],[CONTA]],BaseContasDRE[#All],4,FALSE)),"Fora do DRE",VLOOKUP(Base_Periodo1[[#This Row],[CONTA]],BaseContasDRE[#All],4,FALSE))</f>
        <v>Fora do DRE</v>
      </c>
      <c r="T5204" s="3" t="str">
        <f>IF(ISERROR(VLOOKUP(Base_Periodo1[[#This Row],[CONTA]],BaseContasDRE[#All],5,FALSE)),"Fora do DRE",VLOOKUP(Base_Periodo1[[#This Row],[CONTA]],BaseContasDRE[#All],6,FALSE))</f>
        <v>Fora do DRE</v>
      </c>
      <c r="U5204" s="3" t="str">
        <f>IF(ISERROR(VLOOKUP(Base_Periodo1[[#This Row],[CONTA]],BaseContasDRE[#All],7,FALSE)),"Fora do DRE",VLOOKUP(Base_Periodo1[[#This Row],[CONTA]],BaseContasDRE[#All],7,FALSE))</f>
        <v>Fora do DRE</v>
      </c>
      <c r="V5204" s="3" t="str">
        <f>IF(Base_Periodo1[[#This Row],[Tipo_Linha]]="Fora do DRE","Fora do DRE","( "&amp;Base_Periodo1[[#This Row],[Tipo_Linha]]&amp;" ) "&amp;Base_Periodo1[[#This Row],[Filtro]])</f>
        <v>Fora do DRE</v>
      </c>
      <c r="W5204" s="3" t="str">
        <f>LEFT(Base_Periodo1[[#This Row],[CLASS]],3)</f>
        <v>2.4</v>
      </c>
    </row>
    <row r="5205" spans="1:23" hidden="1">
      <c r="A5205" s="3" t="str">
        <f t="shared" si="81"/>
        <v>Período 1</v>
      </c>
      <c r="B5205">
        <v>40280</v>
      </c>
      <c r="C5205" t="s">
        <v>2300</v>
      </c>
      <c r="D5205" t="s">
        <v>3075</v>
      </c>
      <c r="E5205" s="3" t="str">
        <f>IF(LEN(Base_Periodo1[[#This Row],[CLASS]])&gt;=7,LEFT(Base_Periodo1[[#This Row],[CLASS]],7),"")</f>
        <v>2.4.1.1</v>
      </c>
      <c r="F5205" s="3" t="str">
        <f>VLOOKUP(Base_Periodo1[[#This Row],[Aux]],Base_Contas_Balanco[#All],2,FALSE)</f>
        <v>Capital Social Realizado</v>
      </c>
      <c r="G5205" s="1"/>
      <c r="H5205" s="281">
        <v>556.04999999999995</v>
      </c>
      <c r="I5205" s="281">
        <v>0</v>
      </c>
      <c r="J5205" s="281">
        <v>0</v>
      </c>
      <c r="K5205" s="281">
        <v>556.04999999999995</v>
      </c>
      <c r="L520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556.04999999999995</v>
      </c>
      <c r="M5205" s="281">
        <f>ROUND(IF(AND(Base_Periodo1[[#This Row],[Tipo_Linha]]="-",Base_Periodo1[[#This Row],[TIPOSALDO]]="D"),Base_Periodo1[[#This Row],[SALDO_ATUAL]]*-1,Base_Periodo1[[#This Row],[SALDO_ATUAL]]),4)</f>
        <v>556.04999999999995</v>
      </c>
      <c r="N5205" t="s">
        <v>116</v>
      </c>
      <c r="O5205" t="s">
        <v>459</v>
      </c>
      <c r="P5205" t="s">
        <v>459</v>
      </c>
      <c r="Q5205">
        <v>6</v>
      </c>
      <c r="R5205" s="281">
        <f>Base_Periodo1[[#This Row],[CREDITOS]]-Base_Periodo1[[#This Row],[DEBITOS]]</f>
        <v>0</v>
      </c>
      <c r="S5205" s="3" t="str">
        <f>IF(ISERROR(VLOOKUP(Base_Periodo1[[#This Row],[CONTA]],BaseContasDRE[#All],4,FALSE)),"Fora do DRE",VLOOKUP(Base_Periodo1[[#This Row],[CONTA]],BaseContasDRE[#All],4,FALSE))</f>
        <v>Fora do DRE</v>
      </c>
      <c r="T5205" s="3" t="str">
        <f>IF(ISERROR(VLOOKUP(Base_Periodo1[[#This Row],[CONTA]],BaseContasDRE[#All],5,FALSE)),"Fora do DRE",VLOOKUP(Base_Periodo1[[#This Row],[CONTA]],BaseContasDRE[#All],6,FALSE))</f>
        <v>Fora do DRE</v>
      </c>
      <c r="U5205" s="3" t="str">
        <f>IF(ISERROR(VLOOKUP(Base_Periodo1[[#This Row],[CONTA]],BaseContasDRE[#All],7,FALSE)),"Fora do DRE",VLOOKUP(Base_Periodo1[[#This Row],[CONTA]],BaseContasDRE[#All],7,FALSE))</f>
        <v>Fora do DRE</v>
      </c>
      <c r="V5205" s="3" t="str">
        <f>IF(Base_Periodo1[[#This Row],[Tipo_Linha]]="Fora do DRE","Fora do DRE","( "&amp;Base_Periodo1[[#This Row],[Tipo_Linha]]&amp;" ) "&amp;Base_Periodo1[[#This Row],[Filtro]])</f>
        <v>Fora do DRE</v>
      </c>
      <c r="W5205" s="3" t="str">
        <f>LEFT(Base_Periodo1[[#This Row],[CLASS]],3)</f>
        <v>2.4</v>
      </c>
    </row>
    <row r="5206" spans="1:23" hidden="1">
      <c r="A5206" s="3" t="str">
        <f t="shared" si="81"/>
        <v>Período 1</v>
      </c>
      <c r="B5206">
        <v>48927</v>
      </c>
      <c r="C5206" t="s">
        <v>2300</v>
      </c>
      <c r="D5206" t="s">
        <v>4218</v>
      </c>
      <c r="E5206" s="3" t="str">
        <f>IF(LEN(Base_Periodo1[[#This Row],[CLASS]])&gt;=7,LEFT(Base_Periodo1[[#This Row],[CLASS]],7),"")</f>
        <v>2.4.1.1</v>
      </c>
      <c r="F5206" s="3" t="str">
        <f>VLOOKUP(Base_Periodo1[[#This Row],[Aux]],Base_Contas_Balanco[#All],2,FALSE)</f>
        <v>Capital Social Realizado</v>
      </c>
      <c r="G5206" s="1"/>
      <c r="H5206" s="281">
        <v>63.12</v>
      </c>
      <c r="I5206" s="281">
        <v>0</v>
      </c>
      <c r="J5206" s="281">
        <v>0</v>
      </c>
      <c r="K5206" s="281">
        <v>63.12</v>
      </c>
      <c r="L520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63.12</v>
      </c>
      <c r="M5206" s="281">
        <f>ROUND(IF(AND(Base_Periodo1[[#This Row],[Tipo_Linha]]="-",Base_Periodo1[[#This Row],[TIPOSALDO]]="D"),Base_Periodo1[[#This Row],[SALDO_ATUAL]]*-1,Base_Periodo1[[#This Row],[SALDO_ATUAL]]),4)</f>
        <v>63.12</v>
      </c>
      <c r="N5206" t="s">
        <v>116</v>
      </c>
      <c r="O5206" t="s">
        <v>459</v>
      </c>
      <c r="P5206" t="s">
        <v>459</v>
      </c>
      <c r="Q5206">
        <v>6</v>
      </c>
      <c r="R5206" s="281">
        <f>Base_Periodo1[[#This Row],[CREDITOS]]-Base_Periodo1[[#This Row],[DEBITOS]]</f>
        <v>0</v>
      </c>
      <c r="S5206" s="3" t="str">
        <f>IF(ISERROR(VLOOKUP(Base_Periodo1[[#This Row],[CONTA]],BaseContasDRE[#All],4,FALSE)),"Fora do DRE",VLOOKUP(Base_Periodo1[[#This Row],[CONTA]],BaseContasDRE[#All],4,FALSE))</f>
        <v>Fora do DRE</v>
      </c>
      <c r="T5206" s="3" t="str">
        <f>IF(ISERROR(VLOOKUP(Base_Periodo1[[#This Row],[CONTA]],BaseContasDRE[#All],5,FALSE)),"Fora do DRE",VLOOKUP(Base_Periodo1[[#This Row],[CONTA]],BaseContasDRE[#All],6,FALSE))</f>
        <v>Fora do DRE</v>
      </c>
      <c r="U5206" s="3" t="str">
        <f>IF(ISERROR(VLOOKUP(Base_Periodo1[[#This Row],[CONTA]],BaseContasDRE[#All],7,FALSE)),"Fora do DRE",VLOOKUP(Base_Periodo1[[#This Row],[CONTA]],BaseContasDRE[#All],7,FALSE))</f>
        <v>Fora do DRE</v>
      </c>
      <c r="V5206" s="3" t="str">
        <f>IF(Base_Periodo1[[#This Row],[Tipo_Linha]]="Fora do DRE","Fora do DRE","( "&amp;Base_Periodo1[[#This Row],[Tipo_Linha]]&amp;" ) "&amp;Base_Periodo1[[#This Row],[Filtro]])</f>
        <v>Fora do DRE</v>
      </c>
      <c r="W5206" s="3" t="str">
        <f>LEFT(Base_Periodo1[[#This Row],[CLASS]],3)</f>
        <v>2.4</v>
      </c>
    </row>
    <row r="5207" spans="1:23" hidden="1">
      <c r="A5207" s="3" t="str">
        <f t="shared" si="81"/>
        <v>Período 1</v>
      </c>
      <c r="B5207">
        <v>38927</v>
      </c>
      <c r="C5207" t="s">
        <v>2300</v>
      </c>
      <c r="D5207" t="s">
        <v>4627</v>
      </c>
      <c r="E5207" s="3" t="str">
        <f>IF(LEN(Base_Periodo1[[#This Row],[CLASS]])&gt;=7,LEFT(Base_Periodo1[[#This Row],[CLASS]],7),"")</f>
        <v>2.4.1.1</v>
      </c>
      <c r="F5207" s="3" t="str">
        <f>VLOOKUP(Base_Periodo1[[#This Row],[Aux]],Base_Contas_Balanco[#All],2,FALSE)</f>
        <v>Capital Social Realizado</v>
      </c>
      <c r="G5207" s="1"/>
      <c r="H5207" s="281">
        <v>274.68</v>
      </c>
      <c r="I5207" s="281">
        <v>0</v>
      </c>
      <c r="J5207" s="281">
        <v>0</v>
      </c>
      <c r="K5207" s="281">
        <v>274.68</v>
      </c>
      <c r="L520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274.68</v>
      </c>
      <c r="M5207" s="281">
        <f>ROUND(IF(AND(Base_Periodo1[[#This Row],[Tipo_Linha]]="-",Base_Periodo1[[#This Row],[TIPOSALDO]]="D"),Base_Periodo1[[#This Row],[SALDO_ATUAL]]*-1,Base_Periodo1[[#This Row],[SALDO_ATUAL]]),4)</f>
        <v>274.68</v>
      </c>
      <c r="N5207" t="s">
        <v>116</v>
      </c>
      <c r="O5207" t="s">
        <v>459</v>
      </c>
      <c r="P5207" t="s">
        <v>459</v>
      </c>
      <c r="Q5207">
        <v>6</v>
      </c>
      <c r="R5207" s="281">
        <f>Base_Periodo1[[#This Row],[CREDITOS]]-Base_Periodo1[[#This Row],[DEBITOS]]</f>
        <v>0</v>
      </c>
      <c r="S5207" s="3" t="str">
        <f>IF(ISERROR(VLOOKUP(Base_Periodo1[[#This Row],[CONTA]],BaseContasDRE[#All],4,FALSE)),"Fora do DRE",VLOOKUP(Base_Periodo1[[#This Row],[CONTA]],BaseContasDRE[#All],4,FALSE))</f>
        <v>Fora do DRE</v>
      </c>
      <c r="T5207" s="3" t="str">
        <f>IF(ISERROR(VLOOKUP(Base_Periodo1[[#This Row],[CONTA]],BaseContasDRE[#All],5,FALSE)),"Fora do DRE",VLOOKUP(Base_Periodo1[[#This Row],[CONTA]],BaseContasDRE[#All],6,FALSE))</f>
        <v>Fora do DRE</v>
      </c>
      <c r="U5207" s="3" t="str">
        <f>IF(ISERROR(VLOOKUP(Base_Periodo1[[#This Row],[CONTA]],BaseContasDRE[#All],7,FALSE)),"Fora do DRE",VLOOKUP(Base_Periodo1[[#This Row],[CONTA]],BaseContasDRE[#All],7,FALSE))</f>
        <v>Fora do DRE</v>
      </c>
      <c r="V5207" s="3" t="str">
        <f>IF(Base_Periodo1[[#This Row],[Tipo_Linha]]="Fora do DRE","Fora do DRE","( "&amp;Base_Periodo1[[#This Row],[Tipo_Linha]]&amp;" ) "&amp;Base_Periodo1[[#This Row],[Filtro]])</f>
        <v>Fora do DRE</v>
      </c>
      <c r="W5207" s="3" t="str">
        <f>LEFT(Base_Periodo1[[#This Row],[CLASS]],3)</f>
        <v>2.4</v>
      </c>
    </row>
    <row r="5208" spans="1:23" hidden="1">
      <c r="A5208" s="3" t="str">
        <f t="shared" si="81"/>
        <v>Período 1</v>
      </c>
      <c r="B5208">
        <v>15962</v>
      </c>
      <c r="C5208" t="s">
        <v>2300</v>
      </c>
      <c r="D5208" t="s">
        <v>3076</v>
      </c>
      <c r="E5208" s="3" t="str">
        <f>IF(LEN(Base_Periodo1[[#This Row],[CLASS]])&gt;=7,LEFT(Base_Periodo1[[#This Row],[CLASS]],7),"")</f>
        <v>2.4.1.1</v>
      </c>
      <c r="F5208" s="3" t="str">
        <f>VLOOKUP(Base_Periodo1[[#This Row],[Aux]],Base_Contas_Balanco[#All],2,FALSE)</f>
        <v>Capital Social Realizado</v>
      </c>
      <c r="G5208" s="1"/>
      <c r="H5208" s="281">
        <v>1711.32</v>
      </c>
      <c r="I5208" s="281">
        <v>0</v>
      </c>
      <c r="J5208" s="281">
        <v>0</v>
      </c>
      <c r="K5208" s="281">
        <v>1711.32</v>
      </c>
      <c r="L520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1711.32</v>
      </c>
      <c r="M5208" s="281">
        <f>ROUND(IF(AND(Base_Periodo1[[#This Row],[Tipo_Linha]]="-",Base_Periodo1[[#This Row],[TIPOSALDO]]="D"),Base_Periodo1[[#This Row],[SALDO_ATUAL]]*-1,Base_Periodo1[[#This Row],[SALDO_ATUAL]]),4)</f>
        <v>1711.32</v>
      </c>
      <c r="N5208" t="s">
        <v>116</v>
      </c>
      <c r="O5208" t="s">
        <v>459</v>
      </c>
      <c r="P5208" t="s">
        <v>459</v>
      </c>
      <c r="Q5208">
        <v>6</v>
      </c>
      <c r="R5208" s="281">
        <f>Base_Periodo1[[#This Row],[CREDITOS]]-Base_Periodo1[[#This Row],[DEBITOS]]</f>
        <v>0</v>
      </c>
      <c r="S5208" s="3" t="str">
        <f>IF(ISERROR(VLOOKUP(Base_Periodo1[[#This Row],[CONTA]],BaseContasDRE[#All],4,FALSE)),"Fora do DRE",VLOOKUP(Base_Periodo1[[#This Row],[CONTA]],BaseContasDRE[#All],4,FALSE))</f>
        <v>Fora do DRE</v>
      </c>
      <c r="T5208" s="3" t="str">
        <f>IF(ISERROR(VLOOKUP(Base_Periodo1[[#This Row],[CONTA]],BaseContasDRE[#All],5,FALSE)),"Fora do DRE",VLOOKUP(Base_Periodo1[[#This Row],[CONTA]],BaseContasDRE[#All],6,FALSE))</f>
        <v>Fora do DRE</v>
      </c>
      <c r="U5208" s="3" t="str">
        <f>IF(ISERROR(VLOOKUP(Base_Periodo1[[#This Row],[CONTA]],BaseContasDRE[#All],7,FALSE)),"Fora do DRE",VLOOKUP(Base_Periodo1[[#This Row],[CONTA]],BaseContasDRE[#All],7,FALSE))</f>
        <v>Fora do DRE</v>
      </c>
      <c r="V5208" s="3" t="str">
        <f>IF(Base_Periodo1[[#This Row],[Tipo_Linha]]="Fora do DRE","Fora do DRE","( "&amp;Base_Periodo1[[#This Row],[Tipo_Linha]]&amp;" ) "&amp;Base_Periodo1[[#This Row],[Filtro]])</f>
        <v>Fora do DRE</v>
      </c>
      <c r="W5208" s="3" t="str">
        <f>LEFT(Base_Periodo1[[#This Row],[CLASS]],3)</f>
        <v>2.4</v>
      </c>
    </row>
    <row r="5209" spans="1:23" hidden="1">
      <c r="A5209" s="3" t="str">
        <f t="shared" si="81"/>
        <v>Período 1</v>
      </c>
      <c r="B5209">
        <v>57930</v>
      </c>
      <c r="C5209" t="s">
        <v>2300</v>
      </c>
      <c r="D5209" t="s">
        <v>6570</v>
      </c>
      <c r="E5209" s="3" t="str">
        <f>IF(LEN(Base_Periodo1[[#This Row],[CLASS]])&gt;=7,LEFT(Base_Periodo1[[#This Row],[CLASS]],7),"")</f>
        <v>2.4.1.1</v>
      </c>
      <c r="F5209" s="3" t="str">
        <f>VLOOKUP(Base_Periodo1[[#This Row],[Aux]],Base_Contas_Balanco[#All],2,FALSE)</f>
        <v>Capital Social Realizado</v>
      </c>
      <c r="G5209" s="1"/>
      <c r="H5209" s="281">
        <v>50</v>
      </c>
      <c r="I5209" s="281">
        <v>0</v>
      </c>
      <c r="J5209" s="281">
        <v>0</v>
      </c>
      <c r="K5209" s="281">
        <v>50</v>
      </c>
      <c r="L520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209" s="281">
        <f>ROUND(IF(AND(Base_Periodo1[[#This Row],[Tipo_Linha]]="-",Base_Periodo1[[#This Row],[TIPOSALDO]]="D"),Base_Periodo1[[#This Row],[SALDO_ATUAL]]*-1,Base_Periodo1[[#This Row],[SALDO_ATUAL]]),4)</f>
        <v>50</v>
      </c>
      <c r="N5209" t="s">
        <v>116</v>
      </c>
      <c r="O5209" t="s">
        <v>459</v>
      </c>
      <c r="P5209" t="s">
        <v>459</v>
      </c>
      <c r="Q5209">
        <v>6</v>
      </c>
      <c r="R5209" s="281">
        <f>Base_Periodo1[[#This Row],[CREDITOS]]-Base_Periodo1[[#This Row],[DEBITOS]]</f>
        <v>0</v>
      </c>
      <c r="S5209" s="3" t="str">
        <f>IF(ISERROR(VLOOKUP(Base_Periodo1[[#This Row],[CONTA]],BaseContasDRE[#All],4,FALSE)),"Fora do DRE",VLOOKUP(Base_Periodo1[[#This Row],[CONTA]],BaseContasDRE[#All],4,FALSE))</f>
        <v>Fora do DRE</v>
      </c>
      <c r="T5209" s="3" t="str">
        <f>IF(ISERROR(VLOOKUP(Base_Periodo1[[#This Row],[CONTA]],BaseContasDRE[#All],5,FALSE)),"Fora do DRE",VLOOKUP(Base_Periodo1[[#This Row],[CONTA]],BaseContasDRE[#All],6,FALSE))</f>
        <v>Fora do DRE</v>
      </c>
      <c r="U5209" s="3" t="str">
        <f>IF(ISERROR(VLOOKUP(Base_Periodo1[[#This Row],[CONTA]],BaseContasDRE[#All],7,FALSE)),"Fora do DRE",VLOOKUP(Base_Periodo1[[#This Row],[CONTA]],BaseContasDRE[#All],7,FALSE))</f>
        <v>Fora do DRE</v>
      </c>
      <c r="V5209" s="3" t="str">
        <f>IF(Base_Periodo1[[#This Row],[Tipo_Linha]]="Fora do DRE","Fora do DRE","( "&amp;Base_Periodo1[[#This Row],[Tipo_Linha]]&amp;" ) "&amp;Base_Periodo1[[#This Row],[Filtro]])</f>
        <v>Fora do DRE</v>
      </c>
      <c r="W5209" s="3" t="str">
        <f>LEFT(Base_Periodo1[[#This Row],[CLASS]],3)</f>
        <v>2.4</v>
      </c>
    </row>
    <row r="5210" spans="1:23" hidden="1">
      <c r="A5210" s="3" t="str">
        <f t="shared" si="81"/>
        <v>Período 1</v>
      </c>
      <c r="B5210">
        <v>19767</v>
      </c>
      <c r="C5210" t="s">
        <v>2300</v>
      </c>
      <c r="D5210" t="s">
        <v>3077</v>
      </c>
      <c r="E5210" s="3" t="str">
        <f>IF(LEN(Base_Periodo1[[#This Row],[CLASS]])&gt;=7,LEFT(Base_Periodo1[[#This Row],[CLASS]],7),"")</f>
        <v>2.4.1.1</v>
      </c>
      <c r="F5210" s="3" t="str">
        <f>VLOOKUP(Base_Periodo1[[#This Row],[Aux]],Base_Contas_Balanco[#All],2,FALSE)</f>
        <v>Capital Social Realizado</v>
      </c>
      <c r="G5210" s="1"/>
      <c r="H5210" s="281">
        <v>50</v>
      </c>
      <c r="I5210" s="281">
        <v>0</v>
      </c>
      <c r="J5210" s="281">
        <v>0</v>
      </c>
      <c r="K5210" s="281">
        <v>50</v>
      </c>
      <c r="L521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210" s="281">
        <f>ROUND(IF(AND(Base_Periodo1[[#This Row],[Tipo_Linha]]="-",Base_Periodo1[[#This Row],[TIPOSALDO]]="D"),Base_Periodo1[[#This Row],[SALDO_ATUAL]]*-1,Base_Periodo1[[#This Row],[SALDO_ATUAL]]),4)</f>
        <v>50</v>
      </c>
      <c r="N5210" t="s">
        <v>116</v>
      </c>
      <c r="O5210" t="s">
        <v>459</v>
      </c>
      <c r="P5210" t="s">
        <v>459</v>
      </c>
      <c r="Q5210">
        <v>6</v>
      </c>
      <c r="R5210" s="281">
        <f>Base_Periodo1[[#This Row],[CREDITOS]]-Base_Periodo1[[#This Row],[DEBITOS]]</f>
        <v>0</v>
      </c>
      <c r="S5210" s="3" t="str">
        <f>IF(ISERROR(VLOOKUP(Base_Periodo1[[#This Row],[CONTA]],BaseContasDRE[#All],4,FALSE)),"Fora do DRE",VLOOKUP(Base_Periodo1[[#This Row],[CONTA]],BaseContasDRE[#All],4,FALSE))</f>
        <v>Fora do DRE</v>
      </c>
      <c r="T5210" s="3" t="str">
        <f>IF(ISERROR(VLOOKUP(Base_Periodo1[[#This Row],[CONTA]],BaseContasDRE[#All],5,FALSE)),"Fora do DRE",VLOOKUP(Base_Periodo1[[#This Row],[CONTA]],BaseContasDRE[#All],6,FALSE))</f>
        <v>Fora do DRE</v>
      </c>
      <c r="U5210" s="3" t="str">
        <f>IF(ISERROR(VLOOKUP(Base_Periodo1[[#This Row],[CONTA]],BaseContasDRE[#All],7,FALSE)),"Fora do DRE",VLOOKUP(Base_Periodo1[[#This Row],[CONTA]],BaseContasDRE[#All],7,FALSE))</f>
        <v>Fora do DRE</v>
      </c>
      <c r="V5210" s="3" t="str">
        <f>IF(Base_Periodo1[[#This Row],[Tipo_Linha]]="Fora do DRE","Fora do DRE","( "&amp;Base_Periodo1[[#This Row],[Tipo_Linha]]&amp;" ) "&amp;Base_Periodo1[[#This Row],[Filtro]])</f>
        <v>Fora do DRE</v>
      </c>
      <c r="W5210" s="3" t="str">
        <f>LEFT(Base_Periodo1[[#This Row],[CLASS]],3)</f>
        <v>2.4</v>
      </c>
    </row>
    <row r="5211" spans="1:23" hidden="1">
      <c r="A5211" s="3" t="str">
        <f t="shared" si="81"/>
        <v>Período 1</v>
      </c>
      <c r="B5211">
        <v>19364</v>
      </c>
      <c r="C5211" t="s">
        <v>2300</v>
      </c>
      <c r="D5211" t="s">
        <v>3078</v>
      </c>
      <c r="E5211" s="3" t="str">
        <f>IF(LEN(Base_Periodo1[[#This Row],[CLASS]])&gt;=7,LEFT(Base_Periodo1[[#This Row],[CLASS]],7),"")</f>
        <v>2.4.1.1</v>
      </c>
      <c r="F5211" s="3" t="str">
        <f>VLOOKUP(Base_Periodo1[[#This Row],[Aux]],Base_Contas_Balanco[#All],2,FALSE)</f>
        <v>Capital Social Realizado</v>
      </c>
      <c r="G5211" s="1"/>
      <c r="H5211" s="281">
        <v>2187.27</v>
      </c>
      <c r="I5211" s="281">
        <v>0</v>
      </c>
      <c r="J5211" s="281">
        <v>0</v>
      </c>
      <c r="K5211" s="281">
        <v>2187.27</v>
      </c>
      <c r="L521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2187.27</v>
      </c>
      <c r="M5211" s="281">
        <f>ROUND(IF(AND(Base_Periodo1[[#This Row],[Tipo_Linha]]="-",Base_Periodo1[[#This Row],[TIPOSALDO]]="D"),Base_Periodo1[[#This Row],[SALDO_ATUAL]]*-1,Base_Periodo1[[#This Row],[SALDO_ATUAL]]),4)</f>
        <v>2187.27</v>
      </c>
      <c r="N5211" t="s">
        <v>116</v>
      </c>
      <c r="O5211" t="s">
        <v>459</v>
      </c>
      <c r="P5211" t="s">
        <v>459</v>
      </c>
      <c r="Q5211">
        <v>6</v>
      </c>
      <c r="R5211" s="281">
        <f>Base_Periodo1[[#This Row],[CREDITOS]]-Base_Periodo1[[#This Row],[DEBITOS]]</f>
        <v>0</v>
      </c>
      <c r="S5211" s="3" t="str">
        <f>IF(ISERROR(VLOOKUP(Base_Periodo1[[#This Row],[CONTA]],BaseContasDRE[#All],4,FALSE)),"Fora do DRE",VLOOKUP(Base_Periodo1[[#This Row],[CONTA]],BaseContasDRE[#All],4,FALSE))</f>
        <v>Fora do DRE</v>
      </c>
      <c r="T5211" s="3" t="str">
        <f>IF(ISERROR(VLOOKUP(Base_Periodo1[[#This Row],[CONTA]],BaseContasDRE[#All],5,FALSE)),"Fora do DRE",VLOOKUP(Base_Periodo1[[#This Row],[CONTA]],BaseContasDRE[#All],6,FALSE))</f>
        <v>Fora do DRE</v>
      </c>
      <c r="U5211" s="3" t="str">
        <f>IF(ISERROR(VLOOKUP(Base_Periodo1[[#This Row],[CONTA]],BaseContasDRE[#All],7,FALSE)),"Fora do DRE",VLOOKUP(Base_Periodo1[[#This Row],[CONTA]],BaseContasDRE[#All],7,FALSE))</f>
        <v>Fora do DRE</v>
      </c>
      <c r="V5211" s="3" t="str">
        <f>IF(Base_Periodo1[[#This Row],[Tipo_Linha]]="Fora do DRE","Fora do DRE","( "&amp;Base_Periodo1[[#This Row],[Tipo_Linha]]&amp;" ) "&amp;Base_Periodo1[[#This Row],[Filtro]])</f>
        <v>Fora do DRE</v>
      </c>
      <c r="W5211" s="3" t="str">
        <f>LEFT(Base_Periodo1[[#This Row],[CLASS]],3)</f>
        <v>2.4</v>
      </c>
    </row>
    <row r="5212" spans="1:23" hidden="1">
      <c r="A5212" s="3" t="str">
        <f t="shared" si="81"/>
        <v>Período 1</v>
      </c>
      <c r="B5212">
        <v>26367</v>
      </c>
      <c r="C5212" t="s">
        <v>2300</v>
      </c>
      <c r="D5212" t="s">
        <v>3079</v>
      </c>
      <c r="E5212" s="3" t="str">
        <f>IF(LEN(Base_Periodo1[[#This Row],[CLASS]])&gt;=7,LEFT(Base_Periodo1[[#This Row],[CLASS]],7),"")</f>
        <v>2.4.1.1</v>
      </c>
      <c r="F5212" s="3" t="str">
        <f>VLOOKUP(Base_Periodo1[[#This Row],[Aux]],Base_Contas_Balanco[#All],2,FALSE)</f>
        <v>Capital Social Realizado</v>
      </c>
      <c r="G5212" s="1"/>
      <c r="H5212" s="281">
        <v>66.900000000000006</v>
      </c>
      <c r="I5212" s="281">
        <v>0</v>
      </c>
      <c r="J5212" s="281">
        <v>0</v>
      </c>
      <c r="K5212" s="281">
        <v>66.900000000000006</v>
      </c>
      <c r="L521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66.900000000000006</v>
      </c>
      <c r="M5212" s="281">
        <f>ROUND(IF(AND(Base_Periodo1[[#This Row],[Tipo_Linha]]="-",Base_Periodo1[[#This Row],[TIPOSALDO]]="D"),Base_Periodo1[[#This Row],[SALDO_ATUAL]]*-1,Base_Periodo1[[#This Row],[SALDO_ATUAL]]),4)</f>
        <v>66.900000000000006</v>
      </c>
      <c r="N5212" t="s">
        <v>116</v>
      </c>
      <c r="O5212" t="s">
        <v>459</v>
      </c>
      <c r="P5212" t="s">
        <v>459</v>
      </c>
      <c r="Q5212">
        <v>6</v>
      </c>
      <c r="R5212" s="281">
        <f>Base_Periodo1[[#This Row],[CREDITOS]]-Base_Periodo1[[#This Row],[DEBITOS]]</f>
        <v>0</v>
      </c>
      <c r="S5212" s="3" t="str">
        <f>IF(ISERROR(VLOOKUP(Base_Periodo1[[#This Row],[CONTA]],BaseContasDRE[#All],4,FALSE)),"Fora do DRE",VLOOKUP(Base_Periodo1[[#This Row],[CONTA]],BaseContasDRE[#All],4,FALSE))</f>
        <v>Fora do DRE</v>
      </c>
      <c r="T5212" s="3" t="str">
        <f>IF(ISERROR(VLOOKUP(Base_Periodo1[[#This Row],[CONTA]],BaseContasDRE[#All],5,FALSE)),"Fora do DRE",VLOOKUP(Base_Periodo1[[#This Row],[CONTA]],BaseContasDRE[#All],6,FALSE))</f>
        <v>Fora do DRE</v>
      </c>
      <c r="U5212" s="3" t="str">
        <f>IF(ISERROR(VLOOKUP(Base_Periodo1[[#This Row],[CONTA]],BaseContasDRE[#All],7,FALSE)),"Fora do DRE",VLOOKUP(Base_Periodo1[[#This Row],[CONTA]],BaseContasDRE[#All],7,FALSE))</f>
        <v>Fora do DRE</v>
      </c>
      <c r="V5212" s="3" t="str">
        <f>IF(Base_Periodo1[[#This Row],[Tipo_Linha]]="Fora do DRE","Fora do DRE","( "&amp;Base_Periodo1[[#This Row],[Tipo_Linha]]&amp;" ) "&amp;Base_Periodo1[[#This Row],[Filtro]])</f>
        <v>Fora do DRE</v>
      </c>
      <c r="W5212" s="3" t="str">
        <f>LEFT(Base_Periodo1[[#This Row],[CLASS]],3)</f>
        <v>2.4</v>
      </c>
    </row>
    <row r="5213" spans="1:23" hidden="1">
      <c r="A5213" s="3" t="str">
        <f t="shared" si="81"/>
        <v>Período 1</v>
      </c>
      <c r="B5213">
        <v>16226</v>
      </c>
      <c r="C5213" t="s">
        <v>2300</v>
      </c>
      <c r="D5213" t="s">
        <v>3080</v>
      </c>
      <c r="E5213" s="3" t="str">
        <f>IF(LEN(Base_Periodo1[[#This Row],[CLASS]])&gt;=7,LEFT(Base_Periodo1[[#This Row],[CLASS]],7),"")</f>
        <v>2.4.1.1</v>
      </c>
      <c r="F5213" s="3" t="str">
        <f>VLOOKUP(Base_Periodo1[[#This Row],[Aux]],Base_Contas_Balanco[#All],2,FALSE)</f>
        <v>Capital Social Realizado</v>
      </c>
      <c r="G5213" s="1"/>
      <c r="H5213" s="281">
        <v>1183.56</v>
      </c>
      <c r="I5213" s="281">
        <v>0</v>
      </c>
      <c r="J5213" s="281">
        <v>0</v>
      </c>
      <c r="K5213" s="281">
        <v>1183.56</v>
      </c>
      <c r="L521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1183.56</v>
      </c>
      <c r="M5213" s="281">
        <f>ROUND(IF(AND(Base_Periodo1[[#This Row],[Tipo_Linha]]="-",Base_Periodo1[[#This Row],[TIPOSALDO]]="D"),Base_Periodo1[[#This Row],[SALDO_ATUAL]]*-1,Base_Periodo1[[#This Row],[SALDO_ATUAL]]),4)</f>
        <v>1183.56</v>
      </c>
      <c r="N5213" t="s">
        <v>116</v>
      </c>
      <c r="O5213" t="s">
        <v>459</v>
      </c>
      <c r="P5213" t="s">
        <v>459</v>
      </c>
      <c r="Q5213">
        <v>6</v>
      </c>
      <c r="R5213" s="281">
        <f>Base_Periodo1[[#This Row],[CREDITOS]]-Base_Periodo1[[#This Row],[DEBITOS]]</f>
        <v>0</v>
      </c>
      <c r="S5213" s="3" t="str">
        <f>IF(ISERROR(VLOOKUP(Base_Periodo1[[#This Row],[CONTA]],BaseContasDRE[#All],4,FALSE)),"Fora do DRE",VLOOKUP(Base_Periodo1[[#This Row],[CONTA]],BaseContasDRE[#All],4,FALSE))</f>
        <v>Fora do DRE</v>
      </c>
      <c r="T5213" s="3" t="str">
        <f>IF(ISERROR(VLOOKUP(Base_Periodo1[[#This Row],[CONTA]],BaseContasDRE[#All],5,FALSE)),"Fora do DRE",VLOOKUP(Base_Periodo1[[#This Row],[CONTA]],BaseContasDRE[#All],6,FALSE))</f>
        <v>Fora do DRE</v>
      </c>
      <c r="U5213" s="3" t="str">
        <f>IF(ISERROR(VLOOKUP(Base_Periodo1[[#This Row],[CONTA]],BaseContasDRE[#All],7,FALSE)),"Fora do DRE",VLOOKUP(Base_Periodo1[[#This Row],[CONTA]],BaseContasDRE[#All],7,FALSE))</f>
        <v>Fora do DRE</v>
      </c>
      <c r="V5213" s="3" t="str">
        <f>IF(Base_Periodo1[[#This Row],[Tipo_Linha]]="Fora do DRE","Fora do DRE","( "&amp;Base_Periodo1[[#This Row],[Tipo_Linha]]&amp;" ) "&amp;Base_Periodo1[[#This Row],[Filtro]])</f>
        <v>Fora do DRE</v>
      </c>
      <c r="W5213" s="3" t="str">
        <f>LEFT(Base_Periodo1[[#This Row],[CLASS]],3)</f>
        <v>2.4</v>
      </c>
    </row>
    <row r="5214" spans="1:23" hidden="1">
      <c r="A5214" s="3" t="str">
        <f t="shared" si="81"/>
        <v>Período 1</v>
      </c>
      <c r="B5214">
        <v>16156</v>
      </c>
      <c r="C5214" t="s">
        <v>2300</v>
      </c>
      <c r="D5214" t="s">
        <v>3081</v>
      </c>
      <c r="E5214" s="3" t="str">
        <f>IF(LEN(Base_Periodo1[[#This Row],[CLASS]])&gt;=7,LEFT(Base_Periodo1[[#This Row],[CLASS]],7),"")</f>
        <v>2.4.1.1</v>
      </c>
      <c r="F5214" s="3" t="str">
        <f>VLOOKUP(Base_Periodo1[[#This Row],[Aux]],Base_Contas_Balanco[#All],2,FALSE)</f>
        <v>Capital Social Realizado</v>
      </c>
      <c r="G5214" s="1"/>
      <c r="H5214" s="281">
        <v>3903.91</v>
      </c>
      <c r="I5214" s="281">
        <v>0</v>
      </c>
      <c r="J5214" s="281">
        <v>0</v>
      </c>
      <c r="K5214" s="281">
        <v>3903.91</v>
      </c>
      <c r="L521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3903.91</v>
      </c>
      <c r="M5214" s="281">
        <f>ROUND(IF(AND(Base_Periodo1[[#This Row],[Tipo_Linha]]="-",Base_Periodo1[[#This Row],[TIPOSALDO]]="D"),Base_Periodo1[[#This Row],[SALDO_ATUAL]]*-1,Base_Periodo1[[#This Row],[SALDO_ATUAL]]),4)</f>
        <v>3903.91</v>
      </c>
      <c r="N5214" t="s">
        <v>116</v>
      </c>
      <c r="O5214" t="s">
        <v>459</v>
      </c>
      <c r="P5214" t="s">
        <v>459</v>
      </c>
      <c r="Q5214">
        <v>6</v>
      </c>
      <c r="R5214" s="281">
        <f>Base_Periodo1[[#This Row],[CREDITOS]]-Base_Periodo1[[#This Row],[DEBITOS]]</f>
        <v>0</v>
      </c>
      <c r="S5214" s="3" t="str">
        <f>IF(ISERROR(VLOOKUP(Base_Periodo1[[#This Row],[CONTA]],BaseContasDRE[#All],4,FALSE)),"Fora do DRE",VLOOKUP(Base_Periodo1[[#This Row],[CONTA]],BaseContasDRE[#All],4,FALSE))</f>
        <v>Fora do DRE</v>
      </c>
      <c r="T5214" s="3" t="str">
        <f>IF(ISERROR(VLOOKUP(Base_Periodo1[[#This Row],[CONTA]],BaseContasDRE[#All],5,FALSE)),"Fora do DRE",VLOOKUP(Base_Periodo1[[#This Row],[CONTA]],BaseContasDRE[#All],6,FALSE))</f>
        <v>Fora do DRE</v>
      </c>
      <c r="U5214" s="3" t="str">
        <f>IF(ISERROR(VLOOKUP(Base_Periodo1[[#This Row],[CONTA]],BaseContasDRE[#All],7,FALSE)),"Fora do DRE",VLOOKUP(Base_Periodo1[[#This Row],[CONTA]],BaseContasDRE[#All],7,FALSE))</f>
        <v>Fora do DRE</v>
      </c>
      <c r="V5214" s="3" t="str">
        <f>IF(Base_Periodo1[[#This Row],[Tipo_Linha]]="Fora do DRE","Fora do DRE","( "&amp;Base_Periodo1[[#This Row],[Tipo_Linha]]&amp;" ) "&amp;Base_Periodo1[[#This Row],[Filtro]])</f>
        <v>Fora do DRE</v>
      </c>
      <c r="W5214" s="3" t="str">
        <f>LEFT(Base_Periodo1[[#This Row],[CLASS]],3)</f>
        <v>2.4</v>
      </c>
    </row>
    <row r="5215" spans="1:23" hidden="1">
      <c r="A5215" s="3" t="str">
        <f t="shared" si="81"/>
        <v>Período 1</v>
      </c>
      <c r="B5215">
        <v>38823</v>
      </c>
      <c r="C5215" t="s">
        <v>2300</v>
      </c>
      <c r="D5215" t="s">
        <v>3082</v>
      </c>
      <c r="E5215" s="3" t="str">
        <f>IF(LEN(Base_Periodo1[[#This Row],[CLASS]])&gt;=7,LEFT(Base_Periodo1[[#This Row],[CLASS]],7),"")</f>
        <v>2.4.1.1</v>
      </c>
      <c r="F5215" s="3" t="str">
        <f>VLOOKUP(Base_Periodo1[[#This Row],[Aux]],Base_Contas_Balanco[#All],2,FALSE)</f>
        <v>Capital Social Realizado</v>
      </c>
      <c r="G5215" s="1"/>
      <c r="H5215" s="281">
        <v>137.29000000000002</v>
      </c>
      <c r="I5215" s="281">
        <v>0</v>
      </c>
      <c r="J5215" s="281">
        <v>0</v>
      </c>
      <c r="K5215" s="281">
        <v>137.29000000000002</v>
      </c>
      <c r="L521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137.29</v>
      </c>
      <c r="M5215" s="281">
        <f>ROUND(IF(AND(Base_Periodo1[[#This Row],[Tipo_Linha]]="-",Base_Periodo1[[#This Row],[TIPOSALDO]]="D"),Base_Periodo1[[#This Row],[SALDO_ATUAL]]*-1,Base_Periodo1[[#This Row],[SALDO_ATUAL]]),4)</f>
        <v>137.29</v>
      </c>
      <c r="N5215" t="s">
        <v>116</v>
      </c>
      <c r="O5215" t="s">
        <v>459</v>
      </c>
      <c r="P5215" t="s">
        <v>459</v>
      </c>
      <c r="Q5215">
        <v>6</v>
      </c>
      <c r="R5215" s="281">
        <f>Base_Periodo1[[#This Row],[CREDITOS]]-Base_Periodo1[[#This Row],[DEBITOS]]</f>
        <v>0</v>
      </c>
      <c r="S5215" s="3" t="str">
        <f>IF(ISERROR(VLOOKUP(Base_Periodo1[[#This Row],[CONTA]],BaseContasDRE[#All],4,FALSE)),"Fora do DRE",VLOOKUP(Base_Periodo1[[#This Row],[CONTA]],BaseContasDRE[#All],4,FALSE))</f>
        <v>Fora do DRE</v>
      </c>
      <c r="T5215" s="3" t="str">
        <f>IF(ISERROR(VLOOKUP(Base_Periodo1[[#This Row],[CONTA]],BaseContasDRE[#All],5,FALSE)),"Fora do DRE",VLOOKUP(Base_Periodo1[[#This Row],[CONTA]],BaseContasDRE[#All],6,FALSE))</f>
        <v>Fora do DRE</v>
      </c>
      <c r="U5215" s="3" t="str">
        <f>IF(ISERROR(VLOOKUP(Base_Periodo1[[#This Row],[CONTA]],BaseContasDRE[#All],7,FALSE)),"Fora do DRE",VLOOKUP(Base_Periodo1[[#This Row],[CONTA]],BaseContasDRE[#All],7,FALSE))</f>
        <v>Fora do DRE</v>
      </c>
      <c r="V5215" s="3" t="str">
        <f>IF(Base_Periodo1[[#This Row],[Tipo_Linha]]="Fora do DRE","Fora do DRE","( "&amp;Base_Periodo1[[#This Row],[Tipo_Linha]]&amp;" ) "&amp;Base_Periodo1[[#This Row],[Filtro]])</f>
        <v>Fora do DRE</v>
      </c>
      <c r="W5215" s="3" t="str">
        <f>LEFT(Base_Periodo1[[#This Row],[CLASS]],3)</f>
        <v>2.4</v>
      </c>
    </row>
    <row r="5216" spans="1:23" hidden="1">
      <c r="A5216" s="3" t="str">
        <f t="shared" si="81"/>
        <v>Período 1</v>
      </c>
      <c r="B5216">
        <v>19365</v>
      </c>
      <c r="C5216" t="s">
        <v>2300</v>
      </c>
      <c r="D5216" t="s">
        <v>3083</v>
      </c>
      <c r="E5216" s="3" t="str">
        <f>IF(LEN(Base_Periodo1[[#This Row],[CLASS]])&gt;=7,LEFT(Base_Periodo1[[#This Row],[CLASS]],7),"")</f>
        <v>2.4.1.1</v>
      </c>
      <c r="F5216" s="3" t="str">
        <f>VLOOKUP(Base_Periodo1[[#This Row],[Aux]],Base_Contas_Balanco[#All],2,FALSE)</f>
        <v>Capital Social Realizado</v>
      </c>
      <c r="G5216" s="1"/>
      <c r="H5216" s="281">
        <v>410.87</v>
      </c>
      <c r="I5216" s="281">
        <v>0</v>
      </c>
      <c r="J5216" s="281">
        <v>0</v>
      </c>
      <c r="K5216" s="281">
        <v>410.87</v>
      </c>
      <c r="L521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410.87</v>
      </c>
      <c r="M5216" s="281">
        <f>ROUND(IF(AND(Base_Periodo1[[#This Row],[Tipo_Linha]]="-",Base_Periodo1[[#This Row],[TIPOSALDO]]="D"),Base_Periodo1[[#This Row],[SALDO_ATUAL]]*-1,Base_Periodo1[[#This Row],[SALDO_ATUAL]]),4)</f>
        <v>410.87</v>
      </c>
      <c r="N5216" t="s">
        <v>116</v>
      </c>
      <c r="O5216" t="s">
        <v>459</v>
      </c>
      <c r="P5216" t="s">
        <v>459</v>
      </c>
      <c r="Q5216">
        <v>6</v>
      </c>
      <c r="R5216" s="281">
        <f>Base_Periodo1[[#This Row],[CREDITOS]]-Base_Periodo1[[#This Row],[DEBITOS]]</f>
        <v>0</v>
      </c>
      <c r="S5216" s="3" t="str">
        <f>IF(ISERROR(VLOOKUP(Base_Periodo1[[#This Row],[CONTA]],BaseContasDRE[#All],4,FALSE)),"Fora do DRE",VLOOKUP(Base_Periodo1[[#This Row],[CONTA]],BaseContasDRE[#All],4,FALSE))</f>
        <v>Fora do DRE</v>
      </c>
      <c r="T5216" s="3" t="str">
        <f>IF(ISERROR(VLOOKUP(Base_Periodo1[[#This Row],[CONTA]],BaseContasDRE[#All],5,FALSE)),"Fora do DRE",VLOOKUP(Base_Periodo1[[#This Row],[CONTA]],BaseContasDRE[#All],6,FALSE))</f>
        <v>Fora do DRE</v>
      </c>
      <c r="U5216" s="3" t="str">
        <f>IF(ISERROR(VLOOKUP(Base_Periodo1[[#This Row],[CONTA]],BaseContasDRE[#All],7,FALSE)),"Fora do DRE",VLOOKUP(Base_Periodo1[[#This Row],[CONTA]],BaseContasDRE[#All],7,FALSE))</f>
        <v>Fora do DRE</v>
      </c>
      <c r="V5216" s="3" t="str">
        <f>IF(Base_Periodo1[[#This Row],[Tipo_Linha]]="Fora do DRE","Fora do DRE","( "&amp;Base_Periodo1[[#This Row],[Tipo_Linha]]&amp;" ) "&amp;Base_Periodo1[[#This Row],[Filtro]])</f>
        <v>Fora do DRE</v>
      </c>
      <c r="W5216" s="3" t="str">
        <f>LEFT(Base_Periodo1[[#This Row],[CLASS]],3)</f>
        <v>2.4</v>
      </c>
    </row>
    <row r="5217" spans="1:23" hidden="1">
      <c r="A5217" s="3" t="str">
        <f t="shared" si="81"/>
        <v>Período 1</v>
      </c>
      <c r="B5217">
        <v>19288</v>
      </c>
      <c r="C5217" t="s">
        <v>2300</v>
      </c>
      <c r="D5217" t="s">
        <v>3084</v>
      </c>
      <c r="E5217" s="3" t="str">
        <f>IF(LEN(Base_Periodo1[[#This Row],[CLASS]])&gt;=7,LEFT(Base_Periodo1[[#This Row],[CLASS]],7),"")</f>
        <v>2.4.1.1</v>
      </c>
      <c r="F5217" s="3" t="str">
        <f>VLOOKUP(Base_Periodo1[[#This Row],[Aux]],Base_Contas_Balanco[#All],2,FALSE)</f>
        <v>Capital Social Realizado</v>
      </c>
      <c r="G5217" s="1"/>
      <c r="H5217" s="281">
        <v>887.97</v>
      </c>
      <c r="I5217" s="281">
        <v>0</v>
      </c>
      <c r="J5217" s="281">
        <v>0</v>
      </c>
      <c r="K5217" s="281">
        <v>887.97</v>
      </c>
      <c r="L521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887.97</v>
      </c>
      <c r="M5217" s="281">
        <f>ROUND(IF(AND(Base_Periodo1[[#This Row],[Tipo_Linha]]="-",Base_Periodo1[[#This Row],[TIPOSALDO]]="D"),Base_Periodo1[[#This Row],[SALDO_ATUAL]]*-1,Base_Periodo1[[#This Row],[SALDO_ATUAL]]),4)</f>
        <v>887.97</v>
      </c>
      <c r="N5217" t="s">
        <v>116</v>
      </c>
      <c r="O5217" t="s">
        <v>459</v>
      </c>
      <c r="P5217" t="s">
        <v>459</v>
      </c>
      <c r="Q5217">
        <v>6</v>
      </c>
      <c r="R5217" s="281">
        <f>Base_Periodo1[[#This Row],[CREDITOS]]-Base_Periodo1[[#This Row],[DEBITOS]]</f>
        <v>0</v>
      </c>
      <c r="S5217" s="3" t="str">
        <f>IF(ISERROR(VLOOKUP(Base_Periodo1[[#This Row],[CONTA]],BaseContasDRE[#All],4,FALSE)),"Fora do DRE",VLOOKUP(Base_Periodo1[[#This Row],[CONTA]],BaseContasDRE[#All],4,FALSE))</f>
        <v>Fora do DRE</v>
      </c>
      <c r="T5217" s="3" t="str">
        <f>IF(ISERROR(VLOOKUP(Base_Periodo1[[#This Row],[CONTA]],BaseContasDRE[#All],5,FALSE)),"Fora do DRE",VLOOKUP(Base_Periodo1[[#This Row],[CONTA]],BaseContasDRE[#All],6,FALSE))</f>
        <v>Fora do DRE</v>
      </c>
      <c r="U5217" s="3" t="str">
        <f>IF(ISERROR(VLOOKUP(Base_Periodo1[[#This Row],[CONTA]],BaseContasDRE[#All],7,FALSE)),"Fora do DRE",VLOOKUP(Base_Periodo1[[#This Row],[CONTA]],BaseContasDRE[#All],7,FALSE))</f>
        <v>Fora do DRE</v>
      </c>
      <c r="V5217" s="3" t="str">
        <f>IF(Base_Periodo1[[#This Row],[Tipo_Linha]]="Fora do DRE","Fora do DRE","( "&amp;Base_Periodo1[[#This Row],[Tipo_Linha]]&amp;" ) "&amp;Base_Periodo1[[#This Row],[Filtro]])</f>
        <v>Fora do DRE</v>
      </c>
      <c r="W5217" s="3" t="str">
        <f>LEFT(Base_Periodo1[[#This Row],[CLASS]],3)</f>
        <v>2.4</v>
      </c>
    </row>
    <row r="5218" spans="1:23" hidden="1">
      <c r="A5218" s="3" t="str">
        <f t="shared" si="81"/>
        <v>Período 1</v>
      </c>
      <c r="B5218">
        <v>19366</v>
      </c>
      <c r="C5218" t="s">
        <v>2300</v>
      </c>
      <c r="D5218" t="s">
        <v>3085</v>
      </c>
      <c r="E5218" s="3" t="str">
        <f>IF(LEN(Base_Periodo1[[#This Row],[CLASS]])&gt;=7,LEFT(Base_Periodo1[[#This Row],[CLASS]],7),"")</f>
        <v>2.4.1.1</v>
      </c>
      <c r="F5218" s="3" t="str">
        <f>VLOOKUP(Base_Periodo1[[#This Row],[Aux]],Base_Contas_Balanco[#All],2,FALSE)</f>
        <v>Capital Social Realizado</v>
      </c>
      <c r="G5218" s="1"/>
      <c r="H5218" s="281">
        <v>165.03</v>
      </c>
      <c r="I5218" s="281">
        <v>0</v>
      </c>
      <c r="J5218" s="281">
        <v>0</v>
      </c>
      <c r="K5218" s="281">
        <v>165.03</v>
      </c>
      <c r="L521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165.03</v>
      </c>
      <c r="M5218" s="281">
        <f>ROUND(IF(AND(Base_Periodo1[[#This Row],[Tipo_Linha]]="-",Base_Periodo1[[#This Row],[TIPOSALDO]]="D"),Base_Periodo1[[#This Row],[SALDO_ATUAL]]*-1,Base_Periodo1[[#This Row],[SALDO_ATUAL]]),4)</f>
        <v>165.03</v>
      </c>
      <c r="N5218" t="s">
        <v>116</v>
      </c>
      <c r="O5218" t="s">
        <v>459</v>
      </c>
      <c r="P5218" t="s">
        <v>459</v>
      </c>
      <c r="Q5218">
        <v>6</v>
      </c>
      <c r="R5218" s="281">
        <f>Base_Periodo1[[#This Row],[CREDITOS]]-Base_Periodo1[[#This Row],[DEBITOS]]</f>
        <v>0</v>
      </c>
      <c r="S5218" s="3" t="str">
        <f>IF(ISERROR(VLOOKUP(Base_Periodo1[[#This Row],[CONTA]],BaseContasDRE[#All],4,FALSE)),"Fora do DRE",VLOOKUP(Base_Periodo1[[#This Row],[CONTA]],BaseContasDRE[#All],4,FALSE))</f>
        <v>Fora do DRE</v>
      </c>
      <c r="T5218" s="3" t="str">
        <f>IF(ISERROR(VLOOKUP(Base_Periodo1[[#This Row],[CONTA]],BaseContasDRE[#All],5,FALSE)),"Fora do DRE",VLOOKUP(Base_Periodo1[[#This Row],[CONTA]],BaseContasDRE[#All],6,FALSE))</f>
        <v>Fora do DRE</v>
      </c>
      <c r="U5218" s="3" t="str">
        <f>IF(ISERROR(VLOOKUP(Base_Periodo1[[#This Row],[CONTA]],BaseContasDRE[#All],7,FALSE)),"Fora do DRE",VLOOKUP(Base_Periodo1[[#This Row],[CONTA]],BaseContasDRE[#All],7,FALSE))</f>
        <v>Fora do DRE</v>
      </c>
      <c r="V5218" s="3" t="str">
        <f>IF(Base_Periodo1[[#This Row],[Tipo_Linha]]="Fora do DRE","Fora do DRE","( "&amp;Base_Periodo1[[#This Row],[Tipo_Linha]]&amp;" ) "&amp;Base_Periodo1[[#This Row],[Filtro]])</f>
        <v>Fora do DRE</v>
      </c>
      <c r="W5218" s="3" t="str">
        <f>LEFT(Base_Periodo1[[#This Row],[CLASS]],3)</f>
        <v>2.4</v>
      </c>
    </row>
    <row r="5219" spans="1:23" hidden="1">
      <c r="A5219" s="3" t="str">
        <f t="shared" si="81"/>
        <v>Período 1</v>
      </c>
      <c r="B5219">
        <v>16265</v>
      </c>
      <c r="C5219" t="s">
        <v>2300</v>
      </c>
      <c r="D5219" t="s">
        <v>3086</v>
      </c>
      <c r="E5219" s="3" t="str">
        <f>IF(LEN(Base_Periodo1[[#This Row],[CLASS]])&gt;=7,LEFT(Base_Periodo1[[#This Row],[CLASS]],7),"")</f>
        <v>2.4.1.1</v>
      </c>
      <c r="F5219" s="3" t="str">
        <f>VLOOKUP(Base_Periodo1[[#This Row],[Aux]],Base_Contas_Balanco[#All],2,FALSE)</f>
        <v>Capital Social Realizado</v>
      </c>
      <c r="G5219" s="1"/>
      <c r="H5219" s="281">
        <v>10797.26</v>
      </c>
      <c r="I5219" s="281">
        <v>0</v>
      </c>
      <c r="J5219" s="281">
        <v>0</v>
      </c>
      <c r="K5219" s="281">
        <v>10797.26</v>
      </c>
      <c r="L521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10797.26</v>
      </c>
      <c r="M5219" s="281">
        <f>ROUND(IF(AND(Base_Periodo1[[#This Row],[Tipo_Linha]]="-",Base_Periodo1[[#This Row],[TIPOSALDO]]="D"),Base_Periodo1[[#This Row],[SALDO_ATUAL]]*-1,Base_Periodo1[[#This Row],[SALDO_ATUAL]]),4)</f>
        <v>10797.26</v>
      </c>
      <c r="N5219" t="s">
        <v>116</v>
      </c>
      <c r="O5219" t="s">
        <v>459</v>
      </c>
      <c r="P5219" t="s">
        <v>459</v>
      </c>
      <c r="Q5219">
        <v>6</v>
      </c>
      <c r="R5219" s="281">
        <f>Base_Periodo1[[#This Row],[CREDITOS]]-Base_Periodo1[[#This Row],[DEBITOS]]</f>
        <v>0</v>
      </c>
      <c r="S5219" s="3" t="str">
        <f>IF(ISERROR(VLOOKUP(Base_Periodo1[[#This Row],[CONTA]],BaseContasDRE[#All],4,FALSE)),"Fora do DRE",VLOOKUP(Base_Periodo1[[#This Row],[CONTA]],BaseContasDRE[#All],4,FALSE))</f>
        <v>Fora do DRE</v>
      </c>
      <c r="T5219" s="3" t="str">
        <f>IF(ISERROR(VLOOKUP(Base_Periodo1[[#This Row],[CONTA]],BaseContasDRE[#All],5,FALSE)),"Fora do DRE",VLOOKUP(Base_Periodo1[[#This Row],[CONTA]],BaseContasDRE[#All],6,FALSE))</f>
        <v>Fora do DRE</v>
      </c>
      <c r="U5219" s="3" t="str">
        <f>IF(ISERROR(VLOOKUP(Base_Periodo1[[#This Row],[CONTA]],BaseContasDRE[#All],7,FALSE)),"Fora do DRE",VLOOKUP(Base_Periodo1[[#This Row],[CONTA]],BaseContasDRE[#All],7,FALSE))</f>
        <v>Fora do DRE</v>
      </c>
      <c r="V5219" s="3" t="str">
        <f>IF(Base_Periodo1[[#This Row],[Tipo_Linha]]="Fora do DRE","Fora do DRE","( "&amp;Base_Periodo1[[#This Row],[Tipo_Linha]]&amp;" ) "&amp;Base_Periodo1[[#This Row],[Filtro]])</f>
        <v>Fora do DRE</v>
      </c>
      <c r="W5219" s="3" t="str">
        <f>LEFT(Base_Periodo1[[#This Row],[CLASS]],3)</f>
        <v>2.4</v>
      </c>
    </row>
    <row r="5220" spans="1:23" hidden="1">
      <c r="A5220" s="3" t="str">
        <f t="shared" si="81"/>
        <v>Período 1</v>
      </c>
      <c r="B5220">
        <v>47244</v>
      </c>
      <c r="C5220" t="s">
        <v>2300</v>
      </c>
      <c r="D5220" t="s">
        <v>3087</v>
      </c>
      <c r="E5220" s="3" t="str">
        <f>IF(LEN(Base_Periodo1[[#This Row],[CLASS]])&gt;=7,LEFT(Base_Periodo1[[#This Row],[CLASS]],7),"")</f>
        <v>2.4.1.1</v>
      </c>
      <c r="F5220" s="3" t="str">
        <f>VLOOKUP(Base_Periodo1[[#This Row],[Aux]],Base_Contas_Balanco[#All],2,FALSE)</f>
        <v>Capital Social Realizado</v>
      </c>
      <c r="G5220" s="1"/>
      <c r="H5220" s="281">
        <v>59.62</v>
      </c>
      <c r="I5220" s="281">
        <v>0</v>
      </c>
      <c r="J5220" s="281">
        <v>0</v>
      </c>
      <c r="K5220" s="281">
        <v>59.62</v>
      </c>
      <c r="L522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59.62</v>
      </c>
      <c r="M5220" s="281">
        <f>ROUND(IF(AND(Base_Periodo1[[#This Row],[Tipo_Linha]]="-",Base_Periodo1[[#This Row],[TIPOSALDO]]="D"),Base_Periodo1[[#This Row],[SALDO_ATUAL]]*-1,Base_Periodo1[[#This Row],[SALDO_ATUAL]]),4)</f>
        <v>59.62</v>
      </c>
      <c r="N5220" t="s">
        <v>116</v>
      </c>
      <c r="O5220" t="s">
        <v>459</v>
      </c>
      <c r="P5220" t="s">
        <v>459</v>
      </c>
      <c r="Q5220">
        <v>6</v>
      </c>
      <c r="R5220" s="281">
        <f>Base_Periodo1[[#This Row],[CREDITOS]]-Base_Periodo1[[#This Row],[DEBITOS]]</f>
        <v>0</v>
      </c>
      <c r="S5220" s="3" t="str">
        <f>IF(ISERROR(VLOOKUP(Base_Periodo1[[#This Row],[CONTA]],BaseContasDRE[#All],4,FALSE)),"Fora do DRE",VLOOKUP(Base_Periodo1[[#This Row],[CONTA]],BaseContasDRE[#All],4,FALSE))</f>
        <v>Fora do DRE</v>
      </c>
      <c r="T5220" s="3" t="str">
        <f>IF(ISERROR(VLOOKUP(Base_Periodo1[[#This Row],[CONTA]],BaseContasDRE[#All],5,FALSE)),"Fora do DRE",VLOOKUP(Base_Periodo1[[#This Row],[CONTA]],BaseContasDRE[#All],6,FALSE))</f>
        <v>Fora do DRE</v>
      </c>
      <c r="U5220" s="3" t="str">
        <f>IF(ISERROR(VLOOKUP(Base_Periodo1[[#This Row],[CONTA]],BaseContasDRE[#All],7,FALSE)),"Fora do DRE",VLOOKUP(Base_Periodo1[[#This Row],[CONTA]],BaseContasDRE[#All],7,FALSE))</f>
        <v>Fora do DRE</v>
      </c>
      <c r="V5220" s="3" t="str">
        <f>IF(Base_Periodo1[[#This Row],[Tipo_Linha]]="Fora do DRE","Fora do DRE","( "&amp;Base_Periodo1[[#This Row],[Tipo_Linha]]&amp;" ) "&amp;Base_Periodo1[[#This Row],[Filtro]])</f>
        <v>Fora do DRE</v>
      </c>
      <c r="W5220" s="3" t="str">
        <f>LEFT(Base_Periodo1[[#This Row],[CLASS]],3)</f>
        <v>2.4</v>
      </c>
    </row>
    <row r="5221" spans="1:23" hidden="1">
      <c r="A5221" s="3" t="str">
        <f t="shared" si="81"/>
        <v>Período 1</v>
      </c>
      <c r="B5221">
        <v>46934</v>
      </c>
      <c r="C5221" t="s">
        <v>2300</v>
      </c>
      <c r="D5221" t="s">
        <v>3088</v>
      </c>
      <c r="E5221" s="3" t="str">
        <f>IF(LEN(Base_Periodo1[[#This Row],[CLASS]])&gt;=7,LEFT(Base_Periodo1[[#This Row],[CLASS]],7),"")</f>
        <v>2.4.1.1</v>
      </c>
      <c r="F5221" s="3" t="str">
        <f>VLOOKUP(Base_Periodo1[[#This Row],[Aux]],Base_Contas_Balanco[#All],2,FALSE)</f>
        <v>Capital Social Realizado</v>
      </c>
      <c r="G5221" s="1"/>
      <c r="H5221" s="281">
        <v>78.17</v>
      </c>
      <c r="I5221" s="281">
        <v>0</v>
      </c>
      <c r="J5221" s="281">
        <v>0</v>
      </c>
      <c r="K5221" s="281">
        <v>78.17</v>
      </c>
      <c r="L522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78.17</v>
      </c>
      <c r="M5221" s="281">
        <f>ROUND(IF(AND(Base_Periodo1[[#This Row],[Tipo_Linha]]="-",Base_Periodo1[[#This Row],[TIPOSALDO]]="D"),Base_Periodo1[[#This Row],[SALDO_ATUAL]]*-1,Base_Periodo1[[#This Row],[SALDO_ATUAL]]),4)</f>
        <v>78.17</v>
      </c>
      <c r="N5221" t="s">
        <v>116</v>
      </c>
      <c r="O5221" t="s">
        <v>459</v>
      </c>
      <c r="P5221" t="s">
        <v>459</v>
      </c>
      <c r="Q5221">
        <v>6</v>
      </c>
      <c r="R5221" s="281">
        <f>Base_Periodo1[[#This Row],[CREDITOS]]-Base_Periodo1[[#This Row],[DEBITOS]]</f>
        <v>0</v>
      </c>
      <c r="S5221" s="3" t="str">
        <f>IF(ISERROR(VLOOKUP(Base_Periodo1[[#This Row],[CONTA]],BaseContasDRE[#All],4,FALSE)),"Fora do DRE",VLOOKUP(Base_Periodo1[[#This Row],[CONTA]],BaseContasDRE[#All],4,FALSE))</f>
        <v>Fora do DRE</v>
      </c>
      <c r="T5221" s="3" t="str">
        <f>IF(ISERROR(VLOOKUP(Base_Periodo1[[#This Row],[CONTA]],BaseContasDRE[#All],5,FALSE)),"Fora do DRE",VLOOKUP(Base_Periodo1[[#This Row],[CONTA]],BaseContasDRE[#All],6,FALSE))</f>
        <v>Fora do DRE</v>
      </c>
      <c r="U5221" s="3" t="str">
        <f>IF(ISERROR(VLOOKUP(Base_Periodo1[[#This Row],[CONTA]],BaseContasDRE[#All],7,FALSE)),"Fora do DRE",VLOOKUP(Base_Periodo1[[#This Row],[CONTA]],BaseContasDRE[#All],7,FALSE))</f>
        <v>Fora do DRE</v>
      </c>
      <c r="V5221" s="3" t="str">
        <f>IF(Base_Periodo1[[#This Row],[Tipo_Linha]]="Fora do DRE","Fora do DRE","( "&amp;Base_Periodo1[[#This Row],[Tipo_Linha]]&amp;" ) "&amp;Base_Periodo1[[#This Row],[Filtro]])</f>
        <v>Fora do DRE</v>
      </c>
      <c r="W5221" s="3" t="str">
        <f>LEFT(Base_Periodo1[[#This Row],[CLASS]],3)</f>
        <v>2.4</v>
      </c>
    </row>
    <row r="5222" spans="1:23" hidden="1">
      <c r="A5222" s="3" t="str">
        <f t="shared" si="81"/>
        <v>Período 1</v>
      </c>
      <c r="B5222">
        <v>19738</v>
      </c>
      <c r="C5222" t="s">
        <v>2300</v>
      </c>
      <c r="D5222" t="s">
        <v>3089</v>
      </c>
      <c r="E5222" s="3" t="str">
        <f>IF(LEN(Base_Periodo1[[#This Row],[CLASS]])&gt;=7,LEFT(Base_Periodo1[[#This Row],[CLASS]],7),"")</f>
        <v>2.4.1.1</v>
      </c>
      <c r="F5222" s="3" t="str">
        <f>VLOOKUP(Base_Periodo1[[#This Row],[Aux]],Base_Contas_Balanco[#All],2,FALSE)</f>
        <v>Capital Social Realizado</v>
      </c>
      <c r="G5222" s="1"/>
      <c r="H5222" s="281">
        <v>409.7</v>
      </c>
      <c r="I5222" s="281">
        <v>0</v>
      </c>
      <c r="J5222" s="281">
        <v>0</v>
      </c>
      <c r="K5222" s="281">
        <v>409.7</v>
      </c>
      <c r="L522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409.7</v>
      </c>
      <c r="M5222" s="281">
        <f>ROUND(IF(AND(Base_Periodo1[[#This Row],[Tipo_Linha]]="-",Base_Periodo1[[#This Row],[TIPOSALDO]]="D"),Base_Periodo1[[#This Row],[SALDO_ATUAL]]*-1,Base_Periodo1[[#This Row],[SALDO_ATUAL]]),4)</f>
        <v>409.7</v>
      </c>
      <c r="N5222" t="s">
        <v>116</v>
      </c>
      <c r="O5222" t="s">
        <v>459</v>
      </c>
      <c r="P5222" t="s">
        <v>459</v>
      </c>
      <c r="Q5222">
        <v>6</v>
      </c>
      <c r="R5222" s="281">
        <f>Base_Periodo1[[#This Row],[CREDITOS]]-Base_Periodo1[[#This Row],[DEBITOS]]</f>
        <v>0</v>
      </c>
      <c r="S5222" s="3" t="str">
        <f>IF(ISERROR(VLOOKUP(Base_Periodo1[[#This Row],[CONTA]],BaseContasDRE[#All],4,FALSE)),"Fora do DRE",VLOOKUP(Base_Periodo1[[#This Row],[CONTA]],BaseContasDRE[#All],4,FALSE))</f>
        <v>Fora do DRE</v>
      </c>
      <c r="T5222" s="3" t="str">
        <f>IF(ISERROR(VLOOKUP(Base_Periodo1[[#This Row],[CONTA]],BaseContasDRE[#All],5,FALSE)),"Fora do DRE",VLOOKUP(Base_Periodo1[[#This Row],[CONTA]],BaseContasDRE[#All],6,FALSE))</f>
        <v>Fora do DRE</v>
      </c>
      <c r="U5222" s="3" t="str">
        <f>IF(ISERROR(VLOOKUP(Base_Periodo1[[#This Row],[CONTA]],BaseContasDRE[#All],7,FALSE)),"Fora do DRE",VLOOKUP(Base_Periodo1[[#This Row],[CONTA]],BaseContasDRE[#All],7,FALSE))</f>
        <v>Fora do DRE</v>
      </c>
      <c r="V5222" s="3" t="str">
        <f>IF(Base_Periodo1[[#This Row],[Tipo_Linha]]="Fora do DRE","Fora do DRE","( "&amp;Base_Periodo1[[#This Row],[Tipo_Linha]]&amp;" ) "&amp;Base_Periodo1[[#This Row],[Filtro]])</f>
        <v>Fora do DRE</v>
      </c>
      <c r="W5222" s="3" t="str">
        <f>LEFT(Base_Periodo1[[#This Row],[CLASS]],3)</f>
        <v>2.4</v>
      </c>
    </row>
    <row r="5223" spans="1:23" hidden="1">
      <c r="A5223" s="3" t="str">
        <f t="shared" si="81"/>
        <v>Período 1</v>
      </c>
      <c r="B5223">
        <v>48121</v>
      </c>
      <c r="C5223" t="s">
        <v>2300</v>
      </c>
      <c r="D5223" t="s">
        <v>3090</v>
      </c>
      <c r="E5223" s="3" t="str">
        <f>IF(LEN(Base_Periodo1[[#This Row],[CLASS]])&gt;=7,LEFT(Base_Periodo1[[#This Row],[CLASS]],7),"")</f>
        <v>2.4.1.1</v>
      </c>
      <c r="F5223" s="3" t="str">
        <f>VLOOKUP(Base_Periodo1[[#This Row],[Aux]],Base_Contas_Balanco[#All],2,FALSE)</f>
        <v>Capital Social Realizado</v>
      </c>
      <c r="G5223" s="1"/>
      <c r="H5223" s="281">
        <v>56.63</v>
      </c>
      <c r="I5223" s="281">
        <v>0</v>
      </c>
      <c r="J5223" s="281">
        <v>0</v>
      </c>
      <c r="K5223" s="281">
        <v>56.63</v>
      </c>
      <c r="L522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56.63</v>
      </c>
      <c r="M5223" s="281">
        <f>ROUND(IF(AND(Base_Periodo1[[#This Row],[Tipo_Linha]]="-",Base_Periodo1[[#This Row],[TIPOSALDO]]="D"),Base_Periodo1[[#This Row],[SALDO_ATUAL]]*-1,Base_Periodo1[[#This Row],[SALDO_ATUAL]]),4)</f>
        <v>56.63</v>
      </c>
      <c r="N5223" t="s">
        <v>116</v>
      </c>
      <c r="O5223" t="s">
        <v>459</v>
      </c>
      <c r="P5223" t="s">
        <v>459</v>
      </c>
      <c r="Q5223">
        <v>6</v>
      </c>
      <c r="R5223" s="281">
        <f>Base_Periodo1[[#This Row],[CREDITOS]]-Base_Periodo1[[#This Row],[DEBITOS]]</f>
        <v>0</v>
      </c>
      <c r="S5223" s="3" t="str">
        <f>IF(ISERROR(VLOOKUP(Base_Periodo1[[#This Row],[CONTA]],BaseContasDRE[#All],4,FALSE)),"Fora do DRE",VLOOKUP(Base_Periodo1[[#This Row],[CONTA]],BaseContasDRE[#All],4,FALSE))</f>
        <v>Fora do DRE</v>
      </c>
      <c r="T5223" s="3" t="str">
        <f>IF(ISERROR(VLOOKUP(Base_Periodo1[[#This Row],[CONTA]],BaseContasDRE[#All],5,FALSE)),"Fora do DRE",VLOOKUP(Base_Periodo1[[#This Row],[CONTA]],BaseContasDRE[#All],6,FALSE))</f>
        <v>Fora do DRE</v>
      </c>
      <c r="U5223" s="3" t="str">
        <f>IF(ISERROR(VLOOKUP(Base_Periodo1[[#This Row],[CONTA]],BaseContasDRE[#All],7,FALSE)),"Fora do DRE",VLOOKUP(Base_Periodo1[[#This Row],[CONTA]],BaseContasDRE[#All],7,FALSE))</f>
        <v>Fora do DRE</v>
      </c>
      <c r="V5223" s="3" t="str">
        <f>IF(Base_Periodo1[[#This Row],[Tipo_Linha]]="Fora do DRE","Fora do DRE","( "&amp;Base_Periodo1[[#This Row],[Tipo_Linha]]&amp;" ) "&amp;Base_Periodo1[[#This Row],[Filtro]])</f>
        <v>Fora do DRE</v>
      </c>
      <c r="W5223" s="3" t="str">
        <f>LEFT(Base_Periodo1[[#This Row],[CLASS]],3)</f>
        <v>2.4</v>
      </c>
    </row>
    <row r="5224" spans="1:23" hidden="1">
      <c r="A5224" s="3" t="str">
        <f t="shared" si="81"/>
        <v>Período 1</v>
      </c>
      <c r="B5224">
        <v>16299</v>
      </c>
      <c r="C5224" t="s">
        <v>2300</v>
      </c>
      <c r="D5224" t="s">
        <v>3091</v>
      </c>
      <c r="E5224" s="3" t="str">
        <f>IF(LEN(Base_Periodo1[[#This Row],[CLASS]])&gt;=7,LEFT(Base_Periodo1[[#This Row],[CLASS]],7),"")</f>
        <v>2.4.1.1</v>
      </c>
      <c r="F5224" s="3" t="str">
        <f>VLOOKUP(Base_Periodo1[[#This Row],[Aux]],Base_Contas_Balanco[#All],2,FALSE)</f>
        <v>Capital Social Realizado</v>
      </c>
      <c r="G5224" s="1"/>
      <c r="H5224" s="281">
        <v>9947.49</v>
      </c>
      <c r="I5224" s="281">
        <v>0</v>
      </c>
      <c r="J5224" s="281">
        <v>0</v>
      </c>
      <c r="K5224" s="281">
        <v>9947.49</v>
      </c>
      <c r="L522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9947.49</v>
      </c>
      <c r="M5224" s="281">
        <f>ROUND(IF(AND(Base_Periodo1[[#This Row],[Tipo_Linha]]="-",Base_Periodo1[[#This Row],[TIPOSALDO]]="D"),Base_Periodo1[[#This Row],[SALDO_ATUAL]]*-1,Base_Periodo1[[#This Row],[SALDO_ATUAL]]),4)</f>
        <v>9947.49</v>
      </c>
      <c r="N5224" t="s">
        <v>116</v>
      </c>
      <c r="O5224" t="s">
        <v>459</v>
      </c>
      <c r="P5224" t="s">
        <v>459</v>
      </c>
      <c r="Q5224">
        <v>6</v>
      </c>
      <c r="R5224" s="281">
        <f>Base_Periodo1[[#This Row],[CREDITOS]]-Base_Periodo1[[#This Row],[DEBITOS]]</f>
        <v>0</v>
      </c>
      <c r="S5224" s="3" t="str">
        <f>IF(ISERROR(VLOOKUP(Base_Periodo1[[#This Row],[CONTA]],BaseContasDRE[#All],4,FALSE)),"Fora do DRE",VLOOKUP(Base_Periodo1[[#This Row],[CONTA]],BaseContasDRE[#All],4,FALSE))</f>
        <v>Fora do DRE</v>
      </c>
      <c r="T5224" s="3" t="str">
        <f>IF(ISERROR(VLOOKUP(Base_Periodo1[[#This Row],[CONTA]],BaseContasDRE[#All],5,FALSE)),"Fora do DRE",VLOOKUP(Base_Periodo1[[#This Row],[CONTA]],BaseContasDRE[#All],6,FALSE))</f>
        <v>Fora do DRE</v>
      </c>
      <c r="U5224" s="3" t="str">
        <f>IF(ISERROR(VLOOKUP(Base_Periodo1[[#This Row],[CONTA]],BaseContasDRE[#All],7,FALSE)),"Fora do DRE",VLOOKUP(Base_Periodo1[[#This Row],[CONTA]],BaseContasDRE[#All],7,FALSE))</f>
        <v>Fora do DRE</v>
      </c>
      <c r="V5224" s="3" t="str">
        <f>IF(Base_Periodo1[[#This Row],[Tipo_Linha]]="Fora do DRE","Fora do DRE","( "&amp;Base_Periodo1[[#This Row],[Tipo_Linha]]&amp;" ) "&amp;Base_Periodo1[[#This Row],[Filtro]])</f>
        <v>Fora do DRE</v>
      </c>
      <c r="W5224" s="3" t="str">
        <f>LEFT(Base_Periodo1[[#This Row],[CLASS]],3)</f>
        <v>2.4</v>
      </c>
    </row>
    <row r="5225" spans="1:23" hidden="1">
      <c r="A5225" s="3" t="str">
        <f t="shared" si="81"/>
        <v>Período 1</v>
      </c>
      <c r="B5225">
        <v>26366</v>
      </c>
      <c r="C5225" t="s">
        <v>2300</v>
      </c>
      <c r="D5225" t="s">
        <v>3092</v>
      </c>
      <c r="E5225" s="3" t="str">
        <f>IF(LEN(Base_Periodo1[[#This Row],[CLASS]])&gt;=7,LEFT(Base_Periodo1[[#This Row],[CLASS]],7),"")</f>
        <v>2.4.1.1</v>
      </c>
      <c r="F5225" s="3" t="str">
        <f>VLOOKUP(Base_Periodo1[[#This Row],[Aux]],Base_Contas_Balanco[#All],2,FALSE)</f>
        <v>Capital Social Realizado</v>
      </c>
      <c r="G5225" s="1"/>
      <c r="H5225" s="281">
        <v>156.59</v>
      </c>
      <c r="I5225" s="281">
        <v>0</v>
      </c>
      <c r="J5225" s="281">
        <v>0</v>
      </c>
      <c r="K5225" s="281">
        <v>156.59</v>
      </c>
      <c r="L522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156.59</v>
      </c>
      <c r="M5225" s="281">
        <f>ROUND(IF(AND(Base_Periodo1[[#This Row],[Tipo_Linha]]="-",Base_Periodo1[[#This Row],[TIPOSALDO]]="D"),Base_Periodo1[[#This Row],[SALDO_ATUAL]]*-1,Base_Periodo1[[#This Row],[SALDO_ATUAL]]),4)</f>
        <v>156.59</v>
      </c>
      <c r="N5225" t="s">
        <v>116</v>
      </c>
      <c r="O5225" t="s">
        <v>459</v>
      </c>
      <c r="P5225" t="s">
        <v>459</v>
      </c>
      <c r="Q5225">
        <v>6</v>
      </c>
      <c r="R5225" s="281">
        <f>Base_Periodo1[[#This Row],[CREDITOS]]-Base_Periodo1[[#This Row],[DEBITOS]]</f>
        <v>0</v>
      </c>
      <c r="S5225" s="3" t="str">
        <f>IF(ISERROR(VLOOKUP(Base_Periodo1[[#This Row],[CONTA]],BaseContasDRE[#All],4,FALSE)),"Fora do DRE",VLOOKUP(Base_Periodo1[[#This Row],[CONTA]],BaseContasDRE[#All],4,FALSE))</f>
        <v>Fora do DRE</v>
      </c>
      <c r="T5225" s="3" t="str">
        <f>IF(ISERROR(VLOOKUP(Base_Periodo1[[#This Row],[CONTA]],BaseContasDRE[#All],5,FALSE)),"Fora do DRE",VLOOKUP(Base_Periodo1[[#This Row],[CONTA]],BaseContasDRE[#All],6,FALSE))</f>
        <v>Fora do DRE</v>
      </c>
      <c r="U5225" s="3" t="str">
        <f>IF(ISERROR(VLOOKUP(Base_Periodo1[[#This Row],[CONTA]],BaseContasDRE[#All],7,FALSE)),"Fora do DRE",VLOOKUP(Base_Periodo1[[#This Row],[CONTA]],BaseContasDRE[#All],7,FALSE))</f>
        <v>Fora do DRE</v>
      </c>
      <c r="V5225" s="3" t="str">
        <f>IF(Base_Periodo1[[#This Row],[Tipo_Linha]]="Fora do DRE","Fora do DRE","( "&amp;Base_Periodo1[[#This Row],[Tipo_Linha]]&amp;" ) "&amp;Base_Periodo1[[#This Row],[Filtro]])</f>
        <v>Fora do DRE</v>
      </c>
      <c r="W5225" s="3" t="str">
        <f>LEFT(Base_Periodo1[[#This Row],[CLASS]],3)</f>
        <v>2.4</v>
      </c>
    </row>
    <row r="5226" spans="1:23" hidden="1">
      <c r="A5226" s="3" t="str">
        <f t="shared" si="81"/>
        <v>Período 1</v>
      </c>
      <c r="B5226">
        <v>19311</v>
      </c>
      <c r="C5226" t="s">
        <v>2300</v>
      </c>
      <c r="D5226" t="s">
        <v>3093</v>
      </c>
      <c r="E5226" s="3" t="str">
        <f>IF(LEN(Base_Periodo1[[#This Row],[CLASS]])&gt;=7,LEFT(Base_Periodo1[[#This Row],[CLASS]],7),"")</f>
        <v>2.4.1.1</v>
      </c>
      <c r="F5226" s="3" t="str">
        <f>VLOOKUP(Base_Periodo1[[#This Row],[Aux]],Base_Contas_Balanco[#All],2,FALSE)</f>
        <v>Capital Social Realizado</v>
      </c>
      <c r="G5226" s="1"/>
      <c r="H5226" s="281">
        <v>2732.77</v>
      </c>
      <c r="I5226" s="281">
        <v>0</v>
      </c>
      <c r="J5226" s="281">
        <v>0</v>
      </c>
      <c r="K5226" s="281">
        <v>2732.77</v>
      </c>
      <c r="L522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2732.77</v>
      </c>
      <c r="M5226" s="281">
        <f>ROUND(IF(AND(Base_Periodo1[[#This Row],[Tipo_Linha]]="-",Base_Periodo1[[#This Row],[TIPOSALDO]]="D"),Base_Periodo1[[#This Row],[SALDO_ATUAL]]*-1,Base_Periodo1[[#This Row],[SALDO_ATUAL]]),4)</f>
        <v>2732.77</v>
      </c>
      <c r="N5226" t="s">
        <v>116</v>
      </c>
      <c r="O5226" t="s">
        <v>459</v>
      </c>
      <c r="P5226" t="s">
        <v>459</v>
      </c>
      <c r="Q5226">
        <v>6</v>
      </c>
      <c r="R5226" s="281">
        <f>Base_Periodo1[[#This Row],[CREDITOS]]-Base_Periodo1[[#This Row],[DEBITOS]]</f>
        <v>0</v>
      </c>
      <c r="S5226" s="3" t="str">
        <f>IF(ISERROR(VLOOKUP(Base_Periodo1[[#This Row],[CONTA]],BaseContasDRE[#All],4,FALSE)),"Fora do DRE",VLOOKUP(Base_Periodo1[[#This Row],[CONTA]],BaseContasDRE[#All],4,FALSE))</f>
        <v>Fora do DRE</v>
      </c>
      <c r="T5226" s="3" t="str">
        <f>IF(ISERROR(VLOOKUP(Base_Periodo1[[#This Row],[CONTA]],BaseContasDRE[#All],5,FALSE)),"Fora do DRE",VLOOKUP(Base_Periodo1[[#This Row],[CONTA]],BaseContasDRE[#All],6,FALSE))</f>
        <v>Fora do DRE</v>
      </c>
      <c r="U5226" s="3" t="str">
        <f>IF(ISERROR(VLOOKUP(Base_Periodo1[[#This Row],[CONTA]],BaseContasDRE[#All],7,FALSE)),"Fora do DRE",VLOOKUP(Base_Periodo1[[#This Row],[CONTA]],BaseContasDRE[#All],7,FALSE))</f>
        <v>Fora do DRE</v>
      </c>
      <c r="V5226" s="3" t="str">
        <f>IF(Base_Periodo1[[#This Row],[Tipo_Linha]]="Fora do DRE","Fora do DRE","( "&amp;Base_Periodo1[[#This Row],[Tipo_Linha]]&amp;" ) "&amp;Base_Periodo1[[#This Row],[Filtro]])</f>
        <v>Fora do DRE</v>
      </c>
      <c r="W5226" s="3" t="str">
        <f>LEFT(Base_Periodo1[[#This Row],[CLASS]],3)</f>
        <v>2.4</v>
      </c>
    </row>
    <row r="5227" spans="1:23" hidden="1">
      <c r="A5227" s="3" t="str">
        <f t="shared" si="81"/>
        <v>Período 1</v>
      </c>
      <c r="B5227">
        <v>36617</v>
      </c>
      <c r="C5227" t="s">
        <v>2300</v>
      </c>
      <c r="D5227" t="s">
        <v>3094</v>
      </c>
      <c r="E5227" s="3" t="str">
        <f>IF(LEN(Base_Periodo1[[#This Row],[CLASS]])&gt;=7,LEFT(Base_Periodo1[[#This Row],[CLASS]],7),"")</f>
        <v>2.4.1.1</v>
      </c>
      <c r="F5227" s="3" t="str">
        <f>VLOOKUP(Base_Periodo1[[#This Row],[Aux]],Base_Contas_Balanco[#All],2,FALSE)</f>
        <v>Capital Social Realizado</v>
      </c>
      <c r="G5227" s="1"/>
      <c r="H5227" s="281">
        <v>287.37</v>
      </c>
      <c r="I5227" s="281">
        <v>0</v>
      </c>
      <c r="J5227" s="281">
        <v>0</v>
      </c>
      <c r="K5227" s="281">
        <v>287.37</v>
      </c>
      <c r="L522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287.37</v>
      </c>
      <c r="M5227" s="281">
        <f>ROUND(IF(AND(Base_Periodo1[[#This Row],[Tipo_Linha]]="-",Base_Periodo1[[#This Row],[TIPOSALDO]]="D"),Base_Periodo1[[#This Row],[SALDO_ATUAL]]*-1,Base_Periodo1[[#This Row],[SALDO_ATUAL]]),4)</f>
        <v>287.37</v>
      </c>
      <c r="N5227" t="s">
        <v>116</v>
      </c>
      <c r="O5227" t="s">
        <v>459</v>
      </c>
      <c r="P5227" t="s">
        <v>459</v>
      </c>
      <c r="Q5227">
        <v>6</v>
      </c>
      <c r="R5227" s="281">
        <f>Base_Periodo1[[#This Row],[CREDITOS]]-Base_Periodo1[[#This Row],[DEBITOS]]</f>
        <v>0</v>
      </c>
      <c r="S5227" s="3" t="str">
        <f>IF(ISERROR(VLOOKUP(Base_Periodo1[[#This Row],[CONTA]],BaseContasDRE[#All],4,FALSE)),"Fora do DRE",VLOOKUP(Base_Periodo1[[#This Row],[CONTA]],BaseContasDRE[#All],4,FALSE))</f>
        <v>Fora do DRE</v>
      </c>
      <c r="T5227" s="3" t="str">
        <f>IF(ISERROR(VLOOKUP(Base_Periodo1[[#This Row],[CONTA]],BaseContasDRE[#All],5,FALSE)),"Fora do DRE",VLOOKUP(Base_Periodo1[[#This Row],[CONTA]],BaseContasDRE[#All],6,FALSE))</f>
        <v>Fora do DRE</v>
      </c>
      <c r="U5227" s="3" t="str">
        <f>IF(ISERROR(VLOOKUP(Base_Periodo1[[#This Row],[CONTA]],BaseContasDRE[#All],7,FALSE)),"Fora do DRE",VLOOKUP(Base_Periodo1[[#This Row],[CONTA]],BaseContasDRE[#All],7,FALSE))</f>
        <v>Fora do DRE</v>
      </c>
      <c r="V5227" s="3" t="str">
        <f>IF(Base_Periodo1[[#This Row],[Tipo_Linha]]="Fora do DRE","Fora do DRE","( "&amp;Base_Periodo1[[#This Row],[Tipo_Linha]]&amp;" ) "&amp;Base_Periodo1[[#This Row],[Filtro]])</f>
        <v>Fora do DRE</v>
      </c>
      <c r="W5227" s="3" t="str">
        <f>LEFT(Base_Periodo1[[#This Row],[CLASS]],3)</f>
        <v>2.4</v>
      </c>
    </row>
    <row r="5228" spans="1:23" hidden="1">
      <c r="A5228" s="3" t="str">
        <f t="shared" si="81"/>
        <v>Período 1</v>
      </c>
      <c r="B5228">
        <v>48376</v>
      </c>
      <c r="C5228" t="s">
        <v>2300</v>
      </c>
      <c r="D5228" t="s">
        <v>3095</v>
      </c>
      <c r="E5228" s="3" t="str">
        <f>IF(LEN(Base_Periodo1[[#This Row],[CLASS]])&gt;=7,LEFT(Base_Periodo1[[#This Row],[CLASS]],7),"")</f>
        <v>2.4.1.1</v>
      </c>
      <c r="F5228" s="3" t="str">
        <f>VLOOKUP(Base_Periodo1[[#This Row],[Aux]],Base_Contas_Balanco[#All],2,FALSE)</f>
        <v>Capital Social Realizado</v>
      </c>
      <c r="G5228" s="1"/>
      <c r="H5228" s="281">
        <v>475.73</v>
      </c>
      <c r="I5228" s="281">
        <v>0</v>
      </c>
      <c r="J5228" s="281">
        <v>0</v>
      </c>
      <c r="K5228" s="281">
        <v>475.73</v>
      </c>
      <c r="L522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475.73</v>
      </c>
      <c r="M5228" s="281">
        <f>ROUND(IF(AND(Base_Periodo1[[#This Row],[Tipo_Linha]]="-",Base_Periodo1[[#This Row],[TIPOSALDO]]="D"),Base_Periodo1[[#This Row],[SALDO_ATUAL]]*-1,Base_Periodo1[[#This Row],[SALDO_ATUAL]]),4)</f>
        <v>475.73</v>
      </c>
      <c r="N5228" t="s">
        <v>116</v>
      </c>
      <c r="O5228" t="s">
        <v>459</v>
      </c>
      <c r="P5228" t="s">
        <v>459</v>
      </c>
      <c r="Q5228">
        <v>6</v>
      </c>
      <c r="R5228" s="281">
        <f>Base_Periodo1[[#This Row],[CREDITOS]]-Base_Periodo1[[#This Row],[DEBITOS]]</f>
        <v>0</v>
      </c>
      <c r="S5228" s="3" t="str">
        <f>IF(ISERROR(VLOOKUP(Base_Periodo1[[#This Row],[CONTA]],BaseContasDRE[#All],4,FALSE)),"Fora do DRE",VLOOKUP(Base_Periodo1[[#This Row],[CONTA]],BaseContasDRE[#All],4,FALSE))</f>
        <v>Fora do DRE</v>
      </c>
      <c r="T5228" s="3" t="str">
        <f>IF(ISERROR(VLOOKUP(Base_Periodo1[[#This Row],[CONTA]],BaseContasDRE[#All],5,FALSE)),"Fora do DRE",VLOOKUP(Base_Periodo1[[#This Row],[CONTA]],BaseContasDRE[#All],6,FALSE))</f>
        <v>Fora do DRE</v>
      </c>
      <c r="U5228" s="3" t="str">
        <f>IF(ISERROR(VLOOKUP(Base_Periodo1[[#This Row],[CONTA]],BaseContasDRE[#All],7,FALSE)),"Fora do DRE",VLOOKUP(Base_Periodo1[[#This Row],[CONTA]],BaseContasDRE[#All],7,FALSE))</f>
        <v>Fora do DRE</v>
      </c>
      <c r="V5228" s="3" t="str">
        <f>IF(Base_Periodo1[[#This Row],[Tipo_Linha]]="Fora do DRE","Fora do DRE","( "&amp;Base_Periodo1[[#This Row],[Tipo_Linha]]&amp;" ) "&amp;Base_Periodo1[[#This Row],[Filtro]])</f>
        <v>Fora do DRE</v>
      </c>
      <c r="W5228" s="3" t="str">
        <f>LEFT(Base_Periodo1[[#This Row],[CLASS]],3)</f>
        <v>2.4</v>
      </c>
    </row>
    <row r="5229" spans="1:23" hidden="1">
      <c r="A5229" s="3" t="str">
        <f t="shared" si="81"/>
        <v>Período 1</v>
      </c>
      <c r="B5229">
        <v>52959</v>
      </c>
      <c r="C5229" t="s">
        <v>2300</v>
      </c>
      <c r="D5229" t="s">
        <v>4890</v>
      </c>
      <c r="E5229" s="3" t="str">
        <f>IF(LEN(Base_Periodo1[[#This Row],[CLASS]])&gt;=7,LEFT(Base_Periodo1[[#This Row],[CLASS]],7),"")</f>
        <v>2.4.1.1</v>
      </c>
      <c r="F5229" s="3" t="str">
        <f>VLOOKUP(Base_Periodo1[[#This Row],[Aux]],Base_Contas_Balanco[#All],2,FALSE)</f>
        <v>Capital Social Realizado</v>
      </c>
      <c r="G5229" s="1"/>
      <c r="H5229" s="281">
        <v>50</v>
      </c>
      <c r="I5229" s="281">
        <v>0</v>
      </c>
      <c r="J5229" s="281">
        <v>0</v>
      </c>
      <c r="K5229" s="281">
        <v>50</v>
      </c>
      <c r="L522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229" s="281">
        <f>ROUND(IF(AND(Base_Periodo1[[#This Row],[Tipo_Linha]]="-",Base_Periodo1[[#This Row],[TIPOSALDO]]="D"),Base_Periodo1[[#This Row],[SALDO_ATUAL]]*-1,Base_Periodo1[[#This Row],[SALDO_ATUAL]]),4)</f>
        <v>50</v>
      </c>
      <c r="N5229" t="s">
        <v>116</v>
      </c>
      <c r="O5229" t="s">
        <v>459</v>
      </c>
      <c r="P5229" t="s">
        <v>459</v>
      </c>
      <c r="Q5229">
        <v>6</v>
      </c>
      <c r="R5229" s="281">
        <f>Base_Periodo1[[#This Row],[CREDITOS]]-Base_Periodo1[[#This Row],[DEBITOS]]</f>
        <v>0</v>
      </c>
      <c r="S5229" s="3" t="str">
        <f>IF(ISERROR(VLOOKUP(Base_Periodo1[[#This Row],[CONTA]],BaseContasDRE[#All],4,FALSE)),"Fora do DRE",VLOOKUP(Base_Periodo1[[#This Row],[CONTA]],BaseContasDRE[#All],4,FALSE))</f>
        <v>Fora do DRE</v>
      </c>
      <c r="T5229" s="3" t="str">
        <f>IF(ISERROR(VLOOKUP(Base_Periodo1[[#This Row],[CONTA]],BaseContasDRE[#All],5,FALSE)),"Fora do DRE",VLOOKUP(Base_Periodo1[[#This Row],[CONTA]],BaseContasDRE[#All],6,FALSE))</f>
        <v>Fora do DRE</v>
      </c>
      <c r="U5229" s="3" t="str">
        <f>IF(ISERROR(VLOOKUP(Base_Periodo1[[#This Row],[CONTA]],BaseContasDRE[#All],7,FALSE)),"Fora do DRE",VLOOKUP(Base_Periodo1[[#This Row],[CONTA]],BaseContasDRE[#All],7,FALSE))</f>
        <v>Fora do DRE</v>
      </c>
      <c r="V5229" s="3" t="str">
        <f>IF(Base_Periodo1[[#This Row],[Tipo_Linha]]="Fora do DRE","Fora do DRE","( "&amp;Base_Periodo1[[#This Row],[Tipo_Linha]]&amp;" ) "&amp;Base_Periodo1[[#This Row],[Filtro]])</f>
        <v>Fora do DRE</v>
      </c>
      <c r="W5229" s="3" t="str">
        <f>LEFT(Base_Periodo1[[#This Row],[CLASS]],3)</f>
        <v>2.4</v>
      </c>
    </row>
    <row r="5230" spans="1:23" hidden="1">
      <c r="A5230" s="3" t="str">
        <f t="shared" si="81"/>
        <v>Período 1</v>
      </c>
      <c r="B5230">
        <v>16248</v>
      </c>
      <c r="C5230" t="s">
        <v>2300</v>
      </c>
      <c r="D5230" t="s">
        <v>3096</v>
      </c>
      <c r="E5230" s="3" t="str">
        <f>IF(LEN(Base_Periodo1[[#This Row],[CLASS]])&gt;=7,LEFT(Base_Periodo1[[#This Row],[CLASS]],7),"")</f>
        <v>2.4.1.1</v>
      </c>
      <c r="F5230" s="3" t="str">
        <f>VLOOKUP(Base_Periodo1[[#This Row],[Aux]],Base_Contas_Balanco[#All],2,FALSE)</f>
        <v>Capital Social Realizado</v>
      </c>
      <c r="G5230" s="1"/>
      <c r="H5230" s="281">
        <v>11409.160000000002</v>
      </c>
      <c r="I5230" s="281">
        <v>0</v>
      </c>
      <c r="J5230" s="281">
        <v>0</v>
      </c>
      <c r="K5230" s="281">
        <v>11409.160000000002</v>
      </c>
      <c r="L523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11409.16</v>
      </c>
      <c r="M5230" s="281">
        <f>ROUND(IF(AND(Base_Periodo1[[#This Row],[Tipo_Linha]]="-",Base_Periodo1[[#This Row],[TIPOSALDO]]="D"),Base_Periodo1[[#This Row],[SALDO_ATUAL]]*-1,Base_Periodo1[[#This Row],[SALDO_ATUAL]]),4)</f>
        <v>11409.16</v>
      </c>
      <c r="N5230" t="s">
        <v>116</v>
      </c>
      <c r="O5230" t="s">
        <v>459</v>
      </c>
      <c r="P5230" t="s">
        <v>459</v>
      </c>
      <c r="Q5230">
        <v>6</v>
      </c>
      <c r="R5230" s="281">
        <f>Base_Periodo1[[#This Row],[CREDITOS]]-Base_Periodo1[[#This Row],[DEBITOS]]</f>
        <v>0</v>
      </c>
      <c r="S5230" s="3" t="str">
        <f>IF(ISERROR(VLOOKUP(Base_Periodo1[[#This Row],[CONTA]],BaseContasDRE[#All],4,FALSE)),"Fora do DRE",VLOOKUP(Base_Periodo1[[#This Row],[CONTA]],BaseContasDRE[#All],4,FALSE))</f>
        <v>Fora do DRE</v>
      </c>
      <c r="T5230" s="3" t="str">
        <f>IF(ISERROR(VLOOKUP(Base_Periodo1[[#This Row],[CONTA]],BaseContasDRE[#All],5,FALSE)),"Fora do DRE",VLOOKUP(Base_Periodo1[[#This Row],[CONTA]],BaseContasDRE[#All],6,FALSE))</f>
        <v>Fora do DRE</v>
      </c>
      <c r="U5230" s="3" t="str">
        <f>IF(ISERROR(VLOOKUP(Base_Periodo1[[#This Row],[CONTA]],BaseContasDRE[#All],7,FALSE)),"Fora do DRE",VLOOKUP(Base_Periodo1[[#This Row],[CONTA]],BaseContasDRE[#All],7,FALSE))</f>
        <v>Fora do DRE</v>
      </c>
      <c r="V5230" s="3" t="str">
        <f>IF(Base_Periodo1[[#This Row],[Tipo_Linha]]="Fora do DRE","Fora do DRE","( "&amp;Base_Periodo1[[#This Row],[Tipo_Linha]]&amp;" ) "&amp;Base_Periodo1[[#This Row],[Filtro]])</f>
        <v>Fora do DRE</v>
      </c>
      <c r="W5230" s="3" t="str">
        <f>LEFT(Base_Periodo1[[#This Row],[CLASS]],3)</f>
        <v>2.4</v>
      </c>
    </row>
    <row r="5231" spans="1:23" hidden="1">
      <c r="A5231" s="3" t="str">
        <f t="shared" si="81"/>
        <v>Período 1</v>
      </c>
      <c r="B5231">
        <v>16263</v>
      </c>
      <c r="C5231" t="s">
        <v>2300</v>
      </c>
      <c r="D5231" t="s">
        <v>3097</v>
      </c>
      <c r="E5231" s="3" t="str">
        <f>IF(LEN(Base_Periodo1[[#This Row],[CLASS]])&gt;=7,LEFT(Base_Periodo1[[#This Row],[CLASS]],7),"")</f>
        <v>2.4.1.1</v>
      </c>
      <c r="F5231" s="3" t="str">
        <f>VLOOKUP(Base_Periodo1[[#This Row],[Aux]],Base_Contas_Balanco[#All],2,FALSE)</f>
        <v>Capital Social Realizado</v>
      </c>
      <c r="G5231" s="1">
        <v>41332</v>
      </c>
      <c r="H5231" s="281">
        <v>1076.69</v>
      </c>
      <c r="I5231" s="281">
        <v>0</v>
      </c>
      <c r="J5231" s="281">
        <v>0</v>
      </c>
      <c r="K5231" s="281">
        <v>1076.69</v>
      </c>
      <c r="L523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1076.69</v>
      </c>
      <c r="M5231" s="281">
        <f>ROUND(IF(AND(Base_Periodo1[[#This Row],[Tipo_Linha]]="-",Base_Periodo1[[#This Row],[TIPOSALDO]]="D"),Base_Periodo1[[#This Row],[SALDO_ATUAL]]*-1,Base_Periodo1[[#This Row],[SALDO_ATUAL]]),4)</f>
        <v>1076.69</v>
      </c>
      <c r="N5231" t="s">
        <v>116</v>
      </c>
      <c r="O5231" t="s">
        <v>459</v>
      </c>
      <c r="P5231" t="s">
        <v>459</v>
      </c>
      <c r="Q5231">
        <v>6</v>
      </c>
      <c r="R5231" s="281">
        <f>Base_Periodo1[[#This Row],[CREDITOS]]-Base_Periodo1[[#This Row],[DEBITOS]]</f>
        <v>0</v>
      </c>
      <c r="S5231" s="3" t="str">
        <f>IF(ISERROR(VLOOKUP(Base_Periodo1[[#This Row],[CONTA]],BaseContasDRE[#All],4,FALSE)),"Fora do DRE",VLOOKUP(Base_Periodo1[[#This Row],[CONTA]],BaseContasDRE[#All],4,FALSE))</f>
        <v>Fora do DRE</v>
      </c>
      <c r="T5231" s="3" t="str">
        <f>IF(ISERROR(VLOOKUP(Base_Periodo1[[#This Row],[CONTA]],BaseContasDRE[#All],5,FALSE)),"Fora do DRE",VLOOKUP(Base_Periodo1[[#This Row],[CONTA]],BaseContasDRE[#All],6,FALSE))</f>
        <v>Fora do DRE</v>
      </c>
      <c r="U5231" s="3" t="str">
        <f>IF(ISERROR(VLOOKUP(Base_Periodo1[[#This Row],[CONTA]],BaseContasDRE[#All],7,FALSE)),"Fora do DRE",VLOOKUP(Base_Periodo1[[#This Row],[CONTA]],BaseContasDRE[#All],7,FALSE))</f>
        <v>Fora do DRE</v>
      </c>
      <c r="V5231" s="3" t="str">
        <f>IF(Base_Periodo1[[#This Row],[Tipo_Linha]]="Fora do DRE","Fora do DRE","( "&amp;Base_Periodo1[[#This Row],[Tipo_Linha]]&amp;" ) "&amp;Base_Periodo1[[#This Row],[Filtro]])</f>
        <v>Fora do DRE</v>
      </c>
      <c r="W5231" s="3" t="str">
        <f>LEFT(Base_Periodo1[[#This Row],[CLASS]],3)</f>
        <v>2.4</v>
      </c>
    </row>
    <row r="5232" spans="1:23" hidden="1">
      <c r="A5232" s="3" t="str">
        <f t="shared" si="81"/>
        <v>Período 1</v>
      </c>
      <c r="B5232">
        <v>54049</v>
      </c>
      <c r="C5232" t="s">
        <v>2300</v>
      </c>
      <c r="D5232" t="s">
        <v>5103</v>
      </c>
      <c r="E5232" s="3" t="str">
        <f>IF(LEN(Base_Periodo1[[#This Row],[CLASS]])&gt;=7,LEFT(Base_Periodo1[[#This Row],[CLASS]],7),"")</f>
        <v>2.4.1.1</v>
      </c>
      <c r="F5232" s="3" t="str">
        <f>VLOOKUP(Base_Periodo1[[#This Row],[Aux]],Base_Contas_Balanco[#All],2,FALSE)</f>
        <v>Capital Social Realizado</v>
      </c>
      <c r="G5232" s="1"/>
      <c r="H5232" s="281">
        <v>1000</v>
      </c>
      <c r="I5232" s="281">
        <v>0</v>
      </c>
      <c r="J5232" s="281">
        <v>0</v>
      </c>
      <c r="K5232" s="281">
        <v>1000</v>
      </c>
      <c r="L523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</v>
      </c>
      <c r="M5232" s="281">
        <f>ROUND(IF(AND(Base_Periodo1[[#This Row],[Tipo_Linha]]="-",Base_Periodo1[[#This Row],[TIPOSALDO]]="D"),Base_Periodo1[[#This Row],[SALDO_ATUAL]]*-1,Base_Periodo1[[#This Row],[SALDO_ATUAL]]),4)</f>
        <v>1000</v>
      </c>
      <c r="N5232" t="s">
        <v>116</v>
      </c>
      <c r="O5232" t="s">
        <v>459</v>
      </c>
      <c r="P5232" t="s">
        <v>459</v>
      </c>
      <c r="Q5232">
        <v>6</v>
      </c>
      <c r="R5232" s="281">
        <f>Base_Periodo1[[#This Row],[CREDITOS]]-Base_Periodo1[[#This Row],[DEBITOS]]</f>
        <v>0</v>
      </c>
      <c r="S5232" s="3" t="str">
        <f>IF(ISERROR(VLOOKUP(Base_Periodo1[[#This Row],[CONTA]],BaseContasDRE[#All],4,FALSE)),"Fora do DRE",VLOOKUP(Base_Periodo1[[#This Row],[CONTA]],BaseContasDRE[#All],4,FALSE))</f>
        <v>Fora do DRE</v>
      </c>
      <c r="T5232" s="3" t="str">
        <f>IF(ISERROR(VLOOKUP(Base_Periodo1[[#This Row],[CONTA]],BaseContasDRE[#All],5,FALSE)),"Fora do DRE",VLOOKUP(Base_Periodo1[[#This Row],[CONTA]],BaseContasDRE[#All],6,FALSE))</f>
        <v>Fora do DRE</v>
      </c>
      <c r="U5232" s="3" t="str">
        <f>IF(ISERROR(VLOOKUP(Base_Periodo1[[#This Row],[CONTA]],BaseContasDRE[#All],7,FALSE)),"Fora do DRE",VLOOKUP(Base_Periodo1[[#This Row],[CONTA]],BaseContasDRE[#All],7,FALSE))</f>
        <v>Fora do DRE</v>
      </c>
      <c r="V5232" s="3" t="str">
        <f>IF(Base_Periodo1[[#This Row],[Tipo_Linha]]="Fora do DRE","Fora do DRE","( "&amp;Base_Periodo1[[#This Row],[Tipo_Linha]]&amp;" ) "&amp;Base_Periodo1[[#This Row],[Filtro]])</f>
        <v>Fora do DRE</v>
      </c>
      <c r="W5232" s="3" t="str">
        <f>LEFT(Base_Periodo1[[#This Row],[CLASS]],3)</f>
        <v>2.4</v>
      </c>
    </row>
    <row r="5233" spans="1:23" hidden="1">
      <c r="A5233" s="3" t="str">
        <f t="shared" si="81"/>
        <v>Período 1</v>
      </c>
      <c r="B5233">
        <v>19294</v>
      </c>
      <c r="C5233" t="s">
        <v>2300</v>
      </c>
      <c r="D5233" t="s">
        <v>3098</v>
      </c>
      <c r="E5233" s="3" t="str">
        <f>IF(LEN(Base_Periodo1[[#This Row],[CLASS]])&gt;=7,LEFT(Base_Periodo1[[#This Row],[CLASS]],7),"")</f>
        <v>2.4.1.1</v>
      </c>
      <c r="F5233" s="3" t="str">
        <f>VLOOKUP(Base_Periodo1[[#This Row],[Aux]],Base_Contas_Balanco[#All],2,FALSE)</f>
        <v>Capital Social Realizado</v>
      </c>
      <c r="G5233" s="1"/>
      <c r="H5233" s="281">
        <v>405.71000000000004</v>
      </c>
      <c r="I5233" s="281">
        <v>0</v>
      </c>
      <c r="J5233" s="281">
        <v>0</v>
      </c>
      <c r="K5233" s="281">
        <v>405.71000000000004</v>
      </c>
      <c r="L523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405.71</v>
      </c>
      <c r="M5233" s="281">
        <f>ROUND(IF(AND(Base_Periodo1[[#This Row],[Tipo_Linha]]="-",Base_Periodo1[[#This Row],[TIPOSALDO]]="D"),Base_Periodo1[[#This Row],[SALDO_ATUAL]]*-1,Base_Periodo1[[#This Row],[SALDO_ATUAL]]),4)</f>
        <v>405.71</v>
      </c>
      <c r="N5233" t="s">
        <v>116</v>
      </c>
      <c r="O5233" t="s">
        <v>459</v>
      </c>
      <c r="P5233" t="s">
        <v>459</v>
      </c>
      <c r="Q5233">
        <v>6</v>
      </c>
      <c r="R5233" s="281">
        <f>Base_Periodo1[[#This Row],[CREDITOS]]-Base_Periodo1[[#This Row],[DEBITOS]]</f>
        <v>0</v>
      </c>
      <c r="S5233" s="3" t="str">
        <f>IF(ISERROR(VLOOKUP(Base_Periodo1[[#This Row],[CONTA]],BaseContasDRE[#All],4,FALSE)),"Fora do DRE",VLOOKUP(Base_Periodo1[[#This Row],[CONTA]],BaseContasDRE[#All],4,FALSE))</f>
        <v>Fora do DRE</v>
      </c>
      <c r="T5233" s="3" t="str">
        <f>IF(ISERROR(VLOOKUP(Base_Periodo1[[#This Row],[CONTA]],BaseContasDRE[#All],5,FALSE)),"Fora do DRE",VLOOKUP(Base_Periodo1[[#This Row],[CONTA]],BaseContasDRE[#All],6,FALSE))</f>
        <v>Fora do DRE</v>
      </c>
      <c r="U5233" s="3" t="str">
        <f>IF(ISERROR(VLOOKUP(Base_Periodo1[[#This Row],[CONTA]],BaseContasDRE[#All],7,FALSE)),"Fora do DRE",VLOOKUP(Base_Periodo1[[#This Row],[CONTA]],BaseContasDRE[#All],7,FALSE))</f>
        <v>Fora do DRE</v>
      </c>
      <c r="V5233" s="3" t="str">
        <f>IF(Base_Periodo1[[#This Row],[Tipo_Linha]]="Fora do DRE","Fora do DRE","( "&amp;Base_Periodo1[[#This Row],[Tipo_Linha]]&amp;" ) "&amp;Base_Periodo1[[#This Row],[Filtro]])</f>
        <v>Fora do DRE</v>
      </c>
      <c r="W5233" s="3" t="str">
        <f>LEFT(Base_Periodo1[[#This Row],[CLASS]],3)</f>
        <v>2.4</v>
      </c>
    </row>
    <row r="5234" spans="1:23" hidden="1">
      <c r="A5234" s="3" t="str">
        <f t="shared" si="81"/>
        <v>Período 1</v>
      </c>
      <c r="B5234">
        <v>56489</v>
      </c>
      <c r="C5234" t="s">
        <v>2300</v>
      </c>
      <c r="D5234" t="s">
        <v>6011</v>
      </c>
      <c r="E5234" s="3" t="str">
        <f>IF(LEN(Base_Periodo1[[#This Row],[CLASS]])&gt;=7,LEFT(Base_Periodo1[[#This Row],[CLASS]],7),"")</f>
        <v>2.4.1.1</v>
      </c>
      <c r="F5234" s="3" t="str">
        <f>VLOOKUP(Base_Periodo1[[#This Row],[Aux]],Base_Contas_Balanco[#All],2,FALSE)</f>
        <v>Capital Social Realizado</v>
      </c>
      <c r="G5234" s="1"/>
      <c r="H5234" s="281">
        <v>2000</v>
      </c>
      <c r="I5234" s="281">
        <v>0</v>
      </c>
      <c r="J5234" s="281">
        <v>0</v>
      </c>
      <c r="K5234" s="281">
        <v>2000</v>
      </c>
      <c r="L523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2000</v>
      </c>
      <c r="M5234" s="281">
        <f>ROUND(IF(AND(Base_Periodo1[[#This Row],[Tipo_Linha]]="-",Base_Periodo1[[#This Row],[TIPOSALDO]]="D"),Base_Periodo1[[#This Row],[SALDO_ATUAL]]*-1,Base_Periodo1[[#This Row],[SALDO_ATUAL]]),4)</f>
        <v>2000</v>
      </c>
      <c r="N5234" t="s">
        <v>116</v>
      </c>
      <c r="O5234" t="s">
        <v>459</v>
      </c>
      <c r="P5234" t="s">
        <v>459</v>
      </c>
      <c r="Q5234">
        <v>6</v>
      </c>
      <c r="R5234" s="281">
        <f>Base_Periodo1[[#This Row],[CREDITOS]]-Base_Periodo1[[#This Row],[DEBITOS]]</f>
        <v>0</v>
      </c>
      <c r="S5234" s="3" t="str">
        <f>IF(ISERROR(VLOOKUP(Base_Periodo1[[#This Row],[CONTA]],BaseContasDRE[#All],4,FALSE)),"Fora do DRE",VLOOKUP(Base_Periodo1[[#This Row],[CONTA]],BaseContasDRE[#All],4,FALSE))</f>
        <v>Fora do DRE</v>
      </c>
      <c r="T5234" s="3" t="str">
        <f>IF(ISERROR(VLOOKUP(Base_Periodo1[[#This Row],[CONTA]],BaseContasDRE[#All],5,FALSE)),"Fora do DRE",VLOOKUP(Base_Periodo1[[#This Row],[CONTA]],BaseContasDRE[#All],6,FALSE))</f>
        <v>Fora do DRE</v>
      </c>
      <c r="U5234" s="3" t="str">
        <f>IF(ISERROR(VLOOKUP(Base_Periodo1[[#This Row],[CONTA]],BaseContasDRE[#All],7,FALSE)),"Fora do DRE",VLOOKUP(Base_Periodo1[[#This Row],[CONTA]],BaseContasDRE[#All],7,FALSE))</f>
        <v>Fora do DRE</v>
      </c>
      <c r="V5234" s="3" t="str">
        <f>IF(Base_Periodo1[[#This Row],[Tipo_Linha]]="Fora do DRE","Fora do DRE","( "&amp;Base_Periodo1[[#This Row],[Tipo_Linha]]&amp;" ) "&amp;Base_Periodo1[[#This Row],[Filtro]])</f>
        <v>Fora do DRE</v>
      </c>
      <c r="W5234" s="3" t="str">
        <f>LEFT(Base_Periodo1[[#This Row],[CLASS]],3)</f>
        <v>2.4</v>
      </c>
    </row>
    <row r="5235" spans="1:23" hidden="1">
      <c r="A5235" s="3" t="str">
        <f t="shared" si="81"/>
        <v>Período 1</v>
      </c>
      <c r="B5235">
        <v>21311</v>
      </c>
      <c r="C5235" t="s">
        <v>2300</v>
      </c>
      <c r="D5235" t="s">
        <v>3099</v>
      </c>
      <c r="E5235" s="3" t="str">
        <f>IF(LEN(Base_Periodo1[[#This Row],[CLASS]])&gt;=7,LEFT(Base_Periodo1[[#This Row],[CLASS]],7),"")</f>
        <v>2.4.1.1</v>
      </c>
      <c r="F5235" s="3" t="str">
        <f>VLOOKUP(Base_Periodo1[[#This Row],[Aux]],Base_Contas_Balanco[#All],2,FALSE)</f>
        <v>Capital Social Realizado</v>
      </c>
      <c r="G5235" s="1"/>
      <c r="H5235" s="281">
        <v>794.18000000000006</v>
      </c>
      <c r="I5235" s="281">
        <v>0</v>
      </c>
      <c r="J5235" s="281">
        <v>0</v>
      </c>
      <c r="K5235" s="281">
        <v>794.18000000000006</v>
      </c>
      <c r="L523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794.18</v>
      </c>
      <c r="M5235" s="281">
        <f>ROUND(IF(AND(Base_Periodo1[[#This Row],[Tipo_Linha]]="-",Base_Periodo1[[#This Row],[TIPOSALDO]]="D"),Base_Periodo1[[#This Row],[SALDO_ATUAL]]*-1,Base_Periodo1[[#This Row],[SALDO_ATUAL]]),4)</f>
        <v>794.18</v>
      </c>
      <c r="N5235" t="s">
        <v>116</v>
      </c>
      <c r="O5235" t="s">
        <v>459</v>
      </c>
      <c r="P5235" t="s">
        <v>459</v>
      </c>
      <c r="Q5235">
        <v>6</v>
      </c>
      <c r="R5235" s="281">
        <f>Base_Periodo1[[#This Row],[CREDITOS]]-Base_Periodo1[[#This Row],[DEBITOS]]</f>
        <v>0</v>
      </c>
      <c r="S5235" s="3" t="str">
        <f>IF(ISERROR(VLOOKUP(Base_Periodo1[[#This Row],[CONTA]],BaseContasDRE[#All],4,FALSE)),"Fora do DRE",VLOOKUP(Base_Periodo1[[#This Row],[CONTA]],BaseContasDRE[#All],4,FALSE))</f>
        <v>Fora do DRE</v>
      </c>
      <c r="T5235" s="3" t="str">
        <f>IF(ISERROR(VLOOKUP(Base_Periodo1[[#This Row],[CONTA]],BaseContasDRE[#All],5,FALSE)),"Fora do DRE",VLOOKUP(Base_Periodo1[[#This Row],[CONTA]],BaseContasDRE[#All],6,FALSE))</f>
        <v>Fora do DRE</v>
      </c>
      <c r="U5235" s="3" t="str">
        <f>IF(ISERROR(VLOOKUP(Base_Periodo1[[#This Row],[CONTA]],BaseContasDRE[#All],7,FALSE)),"Fora do DRE",VLOOKUP(Base_Periodo1[[#This Row],[CONTA]],BaseContasDRE[#All],7,FALSE))</f>
        <v>Fora do DRE</v>
      </c>
      <c r="V5235" s="3" t="str">
        <f>IF(Base_Periodo1[[#This Row],[Tipo_Linha]]="Fora do DRE","Fora do DRE","( "&amp;Base_Periodo1[[#This Row],[Tipo_Linha]]&amp;" ) "&amp;Base_Periodo1[[#This Row],[Filtro]])</f>
        <v>Fora do DRE</v>
      </c>
      <c r="W5235" s="3" t="str">
        <f>LEFT(Base_Periodo1[[#This Row],[CLASS]],3)</f>
        <v>2.4</v>
      </c>
    </row>
    <row r="5236" spans="1:23" hidden="1">
      <c r="A5236" s="3" t="str">
        <f t="shared" si="81"/>
        <v>Período 1</v>
      </c>
      <c r="B5236">
        <v>49538</v>
      </c>
      <c r="C5236" t="s">
        <v>2300</v>
      </c>
      <c r="D5236" t="s">
        <v>4316</v>
      </c>
      <c r="E5236" s="3" t="str">
        <f>IF(LEN(Base_Periodo1[[#This Row],[CLASS]])&gt;=7,LEFT(Base_Periodo1[[#This Row],[CLASS]],7),"")</f>
        <v>2.4.1.1</v>
      </c>
      <c r="F5236" s="3" t="str">
        <f>VLOOKUP(Base_Periodo1[[#This Row],[Aux]],Base_Contas_Balanco[#All],2,FALSE)</f>
        <v>Capital Social Realizado</v>
      </c>
      <c r="G5236" s="1"/>
      <c r="H5236" s="281">
        <v>101.99000000000001</v>
      </c>
      <c r="I5236" s="281">
        <v>0</v>
      </c>
      <c r="J5236" s="281">
        <v>0</v>
      </c>
      <c r="K5236" s="281">
        <v>101.99000000000001</v>
      </c>
      <c r="L523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101.99</v>
      </c>
      <c r="M5236" s="281">
        <f>ROUND(IF(AND(Base_Periodo1[[#This Row],[Tipo_Linha]]="-",Base_Periodo1[[#This Row],[TIPOSALDO]]="D"),Base_Periodo1[[#This Row],[SALDO_ATUAL]]*-1,Base_Periodo1[[#This Row],[SALDO_ATUAL]]),4)</f>
        <v>101.99</v>
      </c>
      <c r="N5236" t="s">
        <v>116</v>
      </c>
      <c r="O5236" t="s">
        <v>459</v>
      </c>
      <c r="P5236" t="s">
        <v>459</v>
      </c>
      <c r="Q5236">
        <v>6</v>
      </c>
      <c r="R5236" s="281">
        <f>Base_Periodo1[[#This Row],[CREDITOS]]-Base_Periodo1[[#This Row],[DEBITOS]]</f>
        <v>0</v>
      </c>
      <c r="S5236" s="3" t="str">
        <f>IF(ISERROR(VLOOKUP(Base_Periodo1[[#This Row],[CONTA]],BaseContasDRE[#All],4,FALSE)),"Fora do DRE",VLOOKUP(Base_Periodo1[[#This Row],[CONTA]],BaseContasDRE[#All],4,FALSE))</f>
        <v>Fora do DRE</v>
      </c>
      <c r="T5236" s="3" t="str">
        <f>IF(ISERROR(VLOOKUP(Base_Periodo1[[#This Row],[CONTA]],BaseContasDRE[#All],5,FALSE)),"Fora do DRE",VLOOKUP(Base_Periodo1[[#This Row],[CONTA]],BaseContasDRE[#All],6,FALSE))</f>
        <v>Fora do DRE</v>
      </c>
      <c r="U5236" s="3" t="str">
        <f>IF(ISERROR(VLOOKUP(Base_Periodo1[[#This Row],[CONTA]],BaseContasDRE[#All],7,FALSE)),"Fora do DRE",VLOOKUP(Base_Periodo1[[#This Row],[CONTA]],BaseContasDRE[#All],7,FALSE))</f>
        <v>Fora do DRE</v>
      </c>
      <c r="V5236" s="3" t="str">
        <f>IF(Base_Periodo1[[#This Row],[Tipo_Linha]]="Fora do DRE","Fora do DRE","( "&amp;Base_Periodo1[[#This Row],[Tipo_Linha]]&amp;" ) "&amp;Base_Periodo1[[#This Row],[Filtro]])</f>
        <v>Fora do DRE</v>
      </c>
      <c r="W5236" s="3" t="str">
        <f>LEFT(Base_Periodo1[[#This Row],[CLASS]],3)</f>
        <v>2.4</v>
      </c>
    </row>
    <row r="5237" spans="1:23" hidden="1">
      <c r="A5237" s="3" t="str">
        <f t="shared" si="81"/>
        <v>Período 1</v>
      </c>
      <c r="B5237">
        <v>19475</v>
      </c>
      <c r="C5237" t="s">
        <v>2300</v>
      </c>
      <c r="D5237" t="s">
        <v>3100</v>
      </c>
      <c r="E5237" s="3" t="str">
        <f>IF(LEN(Base_Periodo1[[#This Row],[CLASS]])&gt;=7,LEFT(Base_Periodo1[[#This Row],[CLASS]],7),"")</f>
        <v>2.4.1.1</v>
      </c>
      <c r="F5237" s="3" t="str">
        <f>VLOOKUP(Base_Periodo1[[#This Row],[Aux]],Base_Contas_Balanco[#All],2,FALSE)</f>
        <v>Capital Social Realizado</v>
      </c>
      <c r="G5237" s="1"/>
      <c r="H5237" s="281">
        <v>5538.8</v>
      </c>
      <c r="I5237" s="281">
        <v>0</v>
      </c>
      <c r="J5237" s="281">
        <v>0</v>
      </c>
      <c r="K5237" s="281">
        <v>5538.8</v>
      </c>
      <c r="L523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5538.8</v>
      </c>
      <c r="M5237" s="281">
        <f>ROUND(IF(AND(Base_Periodo1[[#This Row],[Tipo_Linha]]="-",Base_Periodo1[[#This Row],[TIPOSALDO]]="D"),Base_Periodo1[[#This Row],[SALDO_ATUAL]]*-1,Base_Periodo1[[#This Row],[SALDO_ATUAL]]),4)</f>
        <v>5538.8</v>
      </c>
      <c r="N5237" t="s">
        <v>116</v>
      </c>
      <c r="O5237" t="s">
        <v>459</v>
      </c>
      <c r="P5237" t="s">
        <v>459</v>
      </c>
      <c r="Q5237">
        <v>6</v>
      </c>
      <c r="R5237" s="281">
        <f>Base_Periodo1[[#This Row],[CREDITOS]]-Base_Periodo1[[#This Row],[DEBITOS]]</f>
        <v>0</v>
      </c>
      <c r="S5237" s="3" t="str">
        <f>IF(ISERROR(VLOOKUP(Base_Periodo1[[#This Row],[CONTA]],BaseContasDRE[#All],4,FALSE)),"Fora do DRE",VLOOKUP(Base_Periodo1[[#This Row],[CONTA]],BaseContasDRE[#All],4,FALSE))</f>
        <v>Fora do DRE</v>
      </c>
      <c r="T5237" s="3" t="str">
        <f>IF(ISERROR(VLOOKUP(Base_Periodo1[[#This Row],[CONTA]],BaseContasDRE[#All],5,FALSE)),"Fora do DRE",VLOOKUP(Base_Periodo1[[#This Row],[CONTA]],BaseContasDRE[#All],6,FALSE))</f>
        <v>Fora do DRE</v>
      </c>
      <c r="U5237" s="3" t="str">
        <f>IF(ISERROR(VLOOKUP(Base_Periodo1[[#This Row],[CONTA]],BaseContasDRE[#All],7,FALSE)),"Fora do DRE",VLOOKUP(Base_Periodo1[[#This Row],[CONTA]],BaseContasDRE[#All],7,FALSE))</f>
        <v>Fora do DRE</v>
      </c>
      <c r="V5237" s="3" t="str">
        <f>IF(Base_Periodo1[[#This Row],[Tipo_Linha]]="Fora do DRE","Fora do DRE","( "&amp;Base_Periodo1[[#This Row],[Tipo_Linha]]&amp;" ) "&amp;Base_Periodo1[[#This Row],[Filtro]])</f>
        <v>Fora do DRE</v>
      </c>
      <c r="W5237" s="3" t="str">
        <f>LEFT(Base_Periodo1[[#This Row],[CLASS]],3)</f>
        <v>2.4</v>
      </c>
    </row>
    <row r="5238" spans="1:23" hidden="1">
      <c r="A5238" s="3" t="str">
        <f t="shared" si="81"/>
        <v>Período 1</v>
      </c>
      <c r="B5238">
        <v>19367</v>
      </c>
      <c r="C5238" t="s">
        <v>2300</v>
      </c>
      <c r="D5238" t="s">
        <v>3101</v>
      </c>
      <c r="E5238" s="3" t="str">
        <f>IF(LEN(Base_Periodo1[[#This Row],[CLASS]])&gt;=7,LEFT(Base_Periodo1[[#This Row],[CLASS]],7),"")</f>
        <v>2.4.1.1</v>
      </c>
      <c r="F5238" s="3" t="str">
        <f>VLOOKUP(Base_Periodo1[[#This Row],[Aux]],Base_Contas_Balanco[#All],2,FALSE)</f>
        <v>Capital Social Realizado</v>
      </c>
      <c r="G5238" s="1"/>
      <c r="H5238" s="281">
        <v>720.33</v>
      </c>
      <c r="I5238" s="281">
        <v>0</v>
      </c>
      <c r="J5238" s="281">
        <v>0</v>
      </c>
      <c r="K5238" s="281">
        <v>720.33</v>
      </c>
      <c r="L523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720.33</v>
      </c>
      <c r="M5238" s="281">
        <f>ROUND(IF(AND(Base_Periodo1[[#This Row],[Tipo_Linha]]="-",Base_Periodo1[[#This Row],[TIPOSALDO]]="D"),Base_Periodo1[[#This Row],[SALDO_ATUAL]]*-1,Base_Periodo1[[#This Row],[SALDO_ATUAL]]),4)</f>
        <v>720.33</v>
      </c>
      <c r="N5238" t="s">
        <v>116</v>
      </c>
      <c r="O5238" t="s">
        <v>459</v>
      </c>
      <c r="P5238" t="s">
        <v>459</v>
      </c>
      <c r="Q5238">
        <v>6</v>
      </c>
      <c r="R5238" s="281">
        <f>Base_Periodo1[[#This Row],[CREDITOS]]-Base_Periodo1[[#This Row],[DEBITOS]]</f>
        <v>0</v>
      </c>
      <c r="S5238" s="3" t="str">
        <f>IF(ISERROR(VLOOKUP(Base_Periodo1[[#This Row],[CONTA]],BaseContasDRE[#All],4,FALSE)),"Fora do DRE",VLOOKUP(Base_Periodo1[[#This Row],[CONTA]],BaseContasDRE[#All],4,FALSE))</f>
        <v>Fora do DRE</v>
      </c>
      <c r="T5238" s="3" t="str">
        <f>IF(ISERROR(VLOOKUP(Base_Periodo1[[#This Row],[CONTA]],BaseContasDRE[#All],5,FALSE)),"Fora do DRE",VLOOKUP(Base_Periodo1[[#This Row],[CONTA]],BaseContasDRE[#All],6,FALSE))</f>
        <v>Fora do DRE</v>
      </c>
      <c r="U5238" s="3" t="str">
        <f>IF(ISERROR(VLOOKUP(Base_Periodo1[[#This Row],[CONTA]],BaseContasDRE[#All],7,FALSE)),"Fora do DRE",VLOOKUP(Base_Periodo1[[#This Row],[CONTA]],BaseContasDRE[#All],7,FALSE))</f>
        <v>Fora do DRE</v>
      </c>
      <c r="V5238" s="3" t="str">
        <f>IF(Base_Periodo1[[#This Row],[Tipo_Linha]]="Fora do DRE","Fora do DRE","( "&amp;Base_Periodo1[[#This Row],[Tipo_Linha]]&amp;" ) "&amp;Base_Periodo1[[#This Row],[Filtro]])</f>
        <v>Fora do DRE</v>
      </c>
      <c r="W5238" s="3" t="str">
        <f>LEFT(Base_Periodo1[[#This Row],[CLASS]],3)</f>
        <v>2.4</v>
      </c>
    </row>
    <row r="5239" spans="1:23" hidden="1">
      <c r="A5239" s="3" t="str">
        <f t="shared" si="81"/>
        <v>Período 1</v>
      </c>
      <c r="B5239">
        <v>25543</v>
      </c>
      <c r="C5239" t="s">
        <v>2300</v>
      </c>
      <c r="D5239" t="s">
        <v>3102</v>
      </c>
      <c r="E5239" s="3" t="str">
        <f>IF(LEN(Base_Periodo1[[#This Row],[CLASS]])&gt;=7,LEFT(Base_Periodo1[[#This Row],[CLASS]],7),"")</f>
        <v>2.4.1.1</v>
      </c>
      <c r="F5239" s="3" t="str">
        <f>VLOOKUP(Base_Periodo1[[#This Row],[Aux]],Base_Contas_Balanco[#All],2,FALSE)</f>
        <v>Capital Social Realizado</v>
      </c>
      <c r="G5239" s="1"/>
      <c r="H5239" s="281">
        <v>160.80000000000001</v>
      </c>
      <c r="I5239" s="281">
        <v>0</v>
      </c>
      <c r="J5239" s="281">
        <v>0</v>
      </c>
      <c r="K5239" s="281">
        <v>160.80000000000001</v>
      </c>
      <c r="L523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160.80000000000001</v>
      </c>
      <c r="M5239" s="281">
        <f>ROUND(IF(AND(Base_Periodo1[[#This Row],[Tipo_Linha]]="-",Base_Periodo1[[#This Row],[TIPOSALDO]]="D"),Base_Periodo1[[#This Row],[SALDO_ATUAL]]*-1,Base_Periodo1[[#This Row],[SALDO_ATUAL]]),4)</f>
        <v>160.80000000000001</v>
      </c>
      <c r="N5239" t="s">
        <v>116</v>
      </c>
      <c r="O5239" t="s">
        <v>459</v>
      </c>
      <c r="P5239" t="s">
        <v>459</v>
      </c>
      <c r="Q5239">
        <v>6</v>
      </c>
      <c r="R5239" s="281">
        <f>Base_Periodo1[[#This Row],[CREDITOS]]-Base_Periodo1[[#This Row],[DEBITOS]]</f>
        <v>0</v>
      </c>
      <c r="S5239" s="3" t="str">
        <f>IF(ISERROR(VLOOKUP(Base_Periodo1[[#This Row],[CONTA]],BaseContasDRE[#All],4,FALSE)),"Fora do DRE",VLOOKUP(Base_Periodo1[[#This Row],[CONTA]],BaseContasDRE[#All],4,FALSE))</f>
        <v>Fora do DRE</v>
      </c>
      <c r="T5239" s="3" t="str">
        <f>IF(ISERROR(VLOOKUP(Base_Periodo1[[#This Row],[CONTA]],BaseContasDRE[#All],5,FALSE)),"Fora do DRE",VLOOKUP(Base_Periodo1[[#This Row],[CONTA]],BaseContasDRE[#All],6,FALSE))</f>
        <v>Fora do DRE</v>
      </c>
      <c r="U5239" s="3" t="str">
        <f>IF(ISERROR(VLOOKUP(Base_Periodo1[[#This Row],[CONTA]],BaseContasDRE[#All],7,FALSE)),"Fora do DRE",VLOOKUP(Base_Periodo1[[#This Row],[CONTA]],BaseContasDRE[#All],7,FALSE))</f>
        <v>Fora do DRE</v>
      </c>
      <c r="V5239" s="3" t="str">
        <f>IF(Base_Periodo1[[#This Row],[Tipo_Linha]]="Fora do DRE","Fora do DRE","( "&amp;Base_Periodo1[[#This Row],[Tipo_Linha]]&amp;" ) "&amp;Base_Periodo1[[#This Row],[Filtro]])</f>
        <v>Fora do DRE</v>
      </c>
      <c r="W5239" s="3" t="str">
        <f>LEFT(Base_Periodo1[[#This Row],[CLASS]],3)</f>
        <v>2.4</v>
      </c>
    </row>
    <row r="5240" spans="1:23" hidden="1">
      <c r="A5240" s="3" t="str">
        <f t="shared" si="81"/>
        <v>Período 1</v>
      </c>
      <c r="B5240">
        <v>19803</v>
      </c>
      <c r="C5240" t="s">
        <v>2300</v>
      </c>
      <c r="D5240" t="s">
        <v>4705</v>
      </c>
      <c r="E5240" s="3" t="str">
        <f>IF(LEN(Base_Periodo1[[#This Row],[CLASS]])&gt;=7,LEFT(Base_Periodo1[[#This Row],[CLASS]],7),"")</f>
        <v>2.4.1.1</v>
      </c>
      <c r="F5240" s="3" t="str">
        <f>VLOOKUP(Base_Periodo1[[#This Row],[Aux]],Base_Contas_Balanco[#All],2,FALSE)</f>
        <v>Capital Social Realizado</v>
      </c>
      <c r="G5240" s="1">
        <v>42465</v>
      </c>
      <c r="H5240" s="281">
        <v>1000</v>
      </c>
      <c r="I5240" s="281">
        <v>0</v>
      </c>
      <c r="J5240" s="281">
        <v>0</v>
      </c>
      <c r="K5240" s="281">
        <v>1000</v>
      </c>
      <c r="L524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</v>
      </c>
      <c r="M5240" s="281">
        <f>ROUND(IF(AND(Base_Periodo1[[#This Row],[Tipo_Linha]]="-",Base_Periodo1[[#This Row],[TIPOSALDO]]="D"),Base_Periodo1[[#This Row],[SALDO_ATUAL]]*-1,Base_Periodo1[[#This Row],[SALDO_ATUAL]]),4)</f>
        <v>1000</v>
      </c>
      <c r="N5240" t="s">
        <v>116</v>
      </c>
      <c r="O5240" t="s">
        <v>459</v>
      </c>
      <c r="P5240" t="s">
        <v>459</v>
      </c>
      <c r="Q5240">
        <v>6</v>
      </c>
      <c r="R5240" s="281">
        <f>Base_Periodo1[[#This Row],[CREDITOS]]-Base_Periodo1[[#This Row],[DEBITOS]]</f>
        <v>0</v>
      </c>
      <c r="S5240" s="3" t="str">
        <f>IF(ISERROR(VLOOKUP(Base_Periodo1[[#This Row],[CONTA]],BaseContasDRE[#All],4,FALSE)),"Fora do DRE",VLOOKUP(Base_Periodo1[[#This Row],[CONTA]],BaseContasDRE[#All],4,FALSE))</f>
        <v>Fora do DRE</v>
      </c>
      <c r="T5240" s="3" t="str">
        <f>IF(ISERROR(VLOOKUP(Base_Periodo1[[#This Row],[CONTA]],BaseContasDRE[#All],5,FALSE)),"Fora do DRE",VLOOKUP(Base_Periodo1[[#This Row],[CONTA]],BaseContasDRE[#All],6,FALSE))</f>
        <v>Fora do DRE</v>
      </c>
      <c r="U5240" s="3" t="str">
        <f>IF(ISERROR(VLOOKUP(Base_Periodo1[[#This Row],[CONTA]],BaseContasDRE[#All],7,FALSE)),"Fora do DRE",VLOOKUP(Base_Periodo1[[#This Row],[CONTA]],BaseContasDRE[#All],7,FALSE))</f>
        <v>Fora do DRE</v>
      </c>
      <c r="V5240" s="3" t="str">
        <f>IF(Base_Periodo1[[#This Row],[Tipo_Linha]]="Fora do DRE","Fora do DRE","( "&amp;Base_Periodo1[[#This Row],[Tipo_Linha]]&amp;" ) "&amp;Base_Periodo1[[#This Row],[Filtro]])</f>
        <v>Fora do DRE</v>
      </c>
      <c r="W5240" s="3" t="str">
        <f>LEFT(Base_Periodo1[[#This Row],[CLASS]],3)</f>
        <v>2.4</v>
      </c>
    </row>
    <row r="5241" spans="1:23" hidden="1">
      <c r="A5241" s="3" t="str">
        <f t="shared" si="81"/>
        <v>Período 1</v>
      </c>
      <c r="B5241">
        <v>50851</v>
      </c>
      <c r="C5241" t="s">
        <v>2300</v>
      </c>
      <c r="D5241" t="s">
        <v>4476</v>
      </c>
      <c r="E5241" s="3" t="str">
        <f>IF(LEN(Base_Periodo1[[#This Row],[CLASS]])&gt;=7,LEFT(Base_Periodo1[[#This Row],[CLASS]],7),"")</f>
        <v>2.4.1.1</v>
      </c>
      <c r="F5241" s="3" t="str">
        <f>VLOOKUP(Base_Periodo1[[#This Row],[Aux]],Base_Contas_Balanco[#All],2,FALSE)</f>
        <v>Capital Social Realizado</v>
      </c>
      <c r="G5241" s="1"/>
      <c r="H5241" s="281">
        <v>50</v>
      </c>
      <c r="I5241" s="281">
        <v>0</v>
      </c>
      <c r="J5241" s="281">
        <v>0</v>
      </c>
      <c r="K5241" s="281">
        <v>50</v>
      </c>
      <c r="L524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241" s="281">
        <f>ROUND(IF(AND(Base_Periodo1[[#This Row],[Tipo_Linha]]="-",Base_Periodo1[[#This Row],[TIPOSALDO]]="D"),Base_Periodo1[[#This Row],[SALDO_ATUAL]]*-1,Base_Periodo1[[#This Row],[SALDO_ATUAL]]),4)</f>
        <v>50</v>
      </c>
      <c r="N5241" t="s">
        <v>116</v>
      </c>
      <c r="O5241" t="s">
        <v>459</v>
      </c>
      <c r="P5241" t="s">
        <v>459</v>
      </c>
      <c r="Q5241">
        <v>6</v>
      </c>
      <c r="R5241" s="281">
        <f>Base_Periodo1[[#This Row],[CREDITOS]]-Base_Periodo1[[#This Row],[DEBITOS]]</f>
        <v>0</v>
      </c>
      <c r="S5241" s="3" t="str">
        <f>IF(ISERROR(VLOOKUP(Base_Periodo1[[#This Row],[CONTA]],BaseContasDRE[#All],4,FALSE)),"Fora do DRE",VLOOKUP(Base_Periodo1[[#This Row],[CONTA]],BaseContasDRE[#All],4,FALSE))</f>
        <v>Fora do DRE</v>
      </c>
      <c r="T5241" s="3" t="str">
        <f>IF(ISERROR(VLOOKUP(Base_Periodo1[[#This Row],[CONTA]],BaseContasDRE[#All],5,FALSE)),"Fora do DRE",VLOOKUP(Base_Periodo1[[#This Row],[CONTA]],BaseContasDRE[#All],6,FALSE))</f>
        <v>Fora do DRE</v>
      </c>
      <c r="U5241" s="3" t="str">
        <f>IF(ISERROR(VLOOKUP(Base_Periodo1[[#This Row],[CONTA]],BaseContasDRE[#All],7,FALSE)),"Fora do DRE",VLOOKUP(Base_Periodo1[[#This Row],[CONTA]],BaseContasDRE[#All],7,FALSE))</f>
        <v>Fora do DRE</v>
      </c>
      <c r="V5241" s="3" t="str">
        <f>IF(Base_Periodo1[[#This Row],[Tipo_Linha]]="Fora do DRE","Fora do DRE","( "&amp;Base_Periodo1[[#This Row],[Tipo_Linha]]&amp;" ) "&amp;Base_Periodo1[[#This Row],[Filtro]])</f>
        <v>Fora do DRE</v>
      </c>
      <c r="W5241" s="3" t="str">
        <f>LEFT(Base_Periodo1[[#This Row],[CLASS]],3)</f>
        <v>2.4</v>
      </c>
    </row>
    <row r="5242" spans="1:23" hidden="1">
      <c r="A5242" s="3" t="str">
        <f t="shared" si="81"/>
        <v>Período 1</v>
      </c>
      <c r="B5242">
        <v>48905</v>
      </c>
      <c r="C5242" t="s">
        <v>2300</v>
      </c>
      <c r="D5242" t="s">
        <v>4219</v>
      </c>
      <c r="E5242" s="3" t="str">
        <f>IF(LEN(Base_Periodo1[[#This Row],[CLASS]])&gt;=7,LEFT(Base_Periodo1[[#This Row],[CLASS]],7),"")</f>
        <v>2.4.1.1</v>
      </c>
      <c r="F5242" s="3" t="str">
        <f>VLOOKUP(Base_Periodo1[[#This Row],[Aux]],Base_Contas_Balanco[#All],2,FALSE)</f>
        <v>Capital Social Realizado</v>
      </c>
      <c r="G5242" s="1"/>
      <c r="H5242" s="281">
        <v>234.08</v>
      </c>
      <c r="I5242" s="281">
        <v>0</v>
      </c>
      <c r="J5242" s="281">
        <v>0</v>
      </c>
      <c r="K5242" s="281">
        <v>234.08</v>
      </c>
      <c r="L524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234.08</v>
      </c>
      <c r="M5242" s="281">
        <f>ROUND(IF(AND(Base_Periodo1[[#This Row],[Tipo_Linha]]="-",Base_Periodo1[[#This Row],[TIPOSALDO]]="D"),Base_Periodo1[[#This Row],[SALDO_ATUAL]]*-1,Base_Periodo1[[#This Row],[SALDO_ATUAL]]),4)</f>
        <v>234.08</v>
      </c>
      <c r="N5242" t="s">
        <v>116</v>
      </c>
      <c r="O5242" t="s">
        <v>459</v>
      </c>
      <c r="P5242" t="s">
        <v>459</v>
      </c>
      <c r="Q5242">
        <v>6</v>
      </c>
      <c r="R5242" s="281">
        <f>Base_Periodo1[[#This Row],[CREDITOS]]-Base_Periodo1[[#This Row],[DEBITOS]]</f>
        <v>0</v>
      </c>
      <c r="S5242" s="3" t="str">
        <f>IF(ISERROR(VLOOKUP(Base_Periodo1[[#This Row],[CONTA]],BaseContasDRE[#All],4,FALSE)),"Fora do DRE",VLOOKUP(Base_Periodo1[[#This Row],[CONTA]],BaseContasDRE[#All],4,FALSE))</f>
        <v>Fora do DRE</v>
      </c>
      <c r="T5242" s="3" t="str">
        <f>IF(ISERROR(VLOOKUP(Base_Periodo1[[#This Row],[CONTA]],BaseContasDRE[#All],5,FALSE)),"Fora do DRE",VLOOKUP(Base_Periodo1[[#This Row],[CONTA]],BaseContasDRE[#All],6,FALSE))</f>
        <v>Fora do DRE</v>
      </c>
      <c r="U5242" s="3" t="str">
        <f>IF(ISERROR(VLOOKUP(Base_Periodo1[[#This Row],[CONTA]],BaseContasDRE[#All],7,FALSE)),"Fora do DRE",VLOOKUP(Base_Periodo1[[#This Row],[CONTA]],BaseContasDRE[#All],7,FALSE))</f>
        <v>Fora do DRE</v>
      </c>
      <c r="V5242" s="3" t="str">
        <f>IF(Base_Periodo1[[#This Row],[Tipo_Linha]]="Fora do DRE","Fora do DRE","( "&amp;Base_Periodo1[[#This Row],[Tipo_Linha]]&amp;" ) "&amp;Base_Periodo1[[#This Row],[Filtro]])</f>
        <v>Fora do DRE</v>
      </c>
      <c r="W5242" s="3" t="str">
        <f>LEFT(Base_Periodo1[[#This Row],[CLASS]],3)</f>
        <v>2.4</v>
      </c>
    </row>
    <row r="5243" spans="1:23" hidden="1">
      <c r="A5243" s="3" t="str">
        <f t="shared" si="81"/>
        <v>Período 1</v>
      </c>
      <c r="B5243">
        <v>15993</v>
      </c>
      <c r="C5243" t="s">
        <v>2300</v>
      </c>
      <c r="D5243" t="s">
        <v>3103</v>
      </c>
      <c r="E5243" s="3" t="str">
        <f>IF(LEN(Base_Periodo1[[#This Row],[CLASS]])&gt;=7,LEFT(Base_Periodo1[[#This Row],[CLASS]],7),"")</f>
        <v>2.4.1.1</v>
      </c>
      <c r="F5243" s="3" t="str">
        <f>VLOOKUP(Base_Periodo1[[#This Row],[Aux]],Base_Contas_Balanco[#All],2,FALSE)</f>
        <v>Capital Social Realizado</v>
      </c>
      <c r="G5243" s="1"/>
      <c r="H5243" s="281">
        <v>7798.1500000000005</v>
      </c>
      <c r="I5243" s="281">
        <v>0</v>
      </c>
      <c r="J5243" s="281">
        <v>0</v>
      </c>
      <c r="K5243" s="281">
        <v>7798.1500000000005</v>
      </c>
      <c r="L524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7798.15</v>
      </c>
      <c r="M5243" s="281">
        <f>ROUND(IF(AND(Base_Periodo1[[#This Row],[Tipo_Linha]]="-",Base_Periodo1[[#This Row],[TIPOSALDO]]="D"),Base_Periodo1[[#This Row],[SALDO_ATUAL]]*-1,Base_Periodo1[[#This Row],[SALDO_ATUAL]]),4)</f>
        <v>7798.15</v>
      </c>
      <c r="N5243" t="s">
        <v>116</v>
      </c>
      <c r="O5243" t="s">
        <v>459</v>
      </c>
      <c r="P5243" t="s">
        <v>459</v>
      </c>
      <c r="Q5243">
        <v>6</v>
      </c>
      <c r="R5243" s="281">
        <f>Base_Periodo1[[#This Row],[CREDITOS]]-Base_Periodo1[[#This Row],[DEBITOS]]</f>
        <v>0</v>
      </c>
      <c r="S5243" s="3" t="str">
        <f>IF(ISERROR(VLOOKUP(Base_Periodo1[[#This Row],[CONTA]],BaseContasDRE[#All],4,FALSE)),"Fora do DRE",VLOOKUP(Base_Periodo1[[#This Row],[CONTA]],BaseContasDRE[#All],4,FALSE))</f>
        <v>Fora do DRE</v>
      </c>
      <c r="T5243" s="3" t="str">
        <f>IF(ISERROR(VLOOKUP(Base_Periodo1[[#This Row],[CONTA]],BaseContasDRE[#All],5,FALSE)),"Fora do DRE",VLOOKUP(Base_Periodo1[[#This Row],[CONTA]],BaseContasDRE[#All],6,FALSE))</f>
        <v>Fora do DRE</v>
      </c>
      <c r="U5243" s="3" t="str">
        <f>IF(ISERROR(VLOOKUP(Base_Periodo1[[#This Row],[CONTA]],BaseContasDRE[#All],7,FALSE)),"Fora do DRE",VLOOKUP(Base_Periodo1[[#This Row],[CONTA]],BaseContasDRE[#All],7,FALSE))</f>
        <v>Fora do DRE</v>
      </c>
      <c r="V5243" s="3" t="str">
        <f>IF(Base_Periodo1[[#This Row],[Tipo_Linha]]="Fora do DRE","Fora do DRE","( "&amp;Base_Periodo1[[#This Row],[Tipo_Linha]]&amp;" ) "&amp;Base_Periodo1[[#This Row],[Filtro]])</f>
        <v>Fora do DRE</v>
      </c>
      <c r="W5243" s="3" t="str">
        <f>LEFT(Base_Periodo1[[#This Row],[CLASS]],3)</f>
        <v>2.4</v>
      </c>
    </row>
    <row r="5244" spans="1:23" hidden="1">
      <c r="A5244" s="3" t="str">
        <f t="shared" si="81"/>
        <v>Período 1</v>
      </c>
      <c r="B5244">
        <v>16307</v>
      </c>
      <c r="C5244" t="s">
        <v>2300</v>
      </c>
      <c r="D5244" t="s">
        <v>3104</v>
      </c>
      <c r="E5244" s="3" t="str">
        <f>IF(LEN(Base_Periodo1[[#This Row],[CLASS]])&gt;=7,LEFT(Base_Periodo1[[#This Row],[CLASS]],7),"")</f>
        <v>2.4.1.1</v>
      </c>
      <c r="F5244" s="3" t="str">
        <f>VLOOKUP(Base_Periodo1[[#This Row],[Aux]],Base_Contas_Balanco[#All],2,FALSE)</f>
        <v>Capital Social Realizado</v>
      </c>
      <c r="G5244" s="1"/>
      <c r="H5244" s="281">
        <v>612.78</v>
      </c>
      <c r="I5244" s="281">
        <v>0</v>
      </c>
      <c r="J5244" s="281">
        <v>0</v>
      </c>
      <c r="K5244" s="281">
        <v>612.78</v>
      </c>
      <c r="L524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612.78</v>
      </c>
      <c r="M5244" s="281">
        <f>ROUND(IF(AND(Base_Periodo1[[#This Row],[Tipo_Linha]]="-",Base_Periodo1[[#This Row],[TIPOSALDO]]="D"),Base_Periodo1[[#This Row],[SALDO_ATUAL]]*-1,Base_Periodo1[[#This Row],[SALDO_ATUAL]]),4)</f>
        <v>612.78</v>
      </c>
      <c r="N5244" t="s">
        <v>116</v>
      </c>
      <c r="O5244" t="s">
        <v>459</v>
      </c>
      <c r="P5244" t="s">
        <v>459</v>
      </c>
      <c r="Q5244">
        <v>6</v>
      </c>
      <c r="R5244" s="281">
        <f>Base_Periodo1[[#This Row],[CREDITOS]]-Base_Periodo1[[#This Row],[DEBITOS]]</f>
        <v>0</v>
      </c>
      <c r="S5244" s="3" t="str">
        <f>IF(ISERROR(VLOOKUP(Base_Periodo1[[#This Row],[CONTA]],BaseContasDRE[#All],4,FALSE)),"Fora do DRE",VLOOKUP(Base_Periodo1[[#This Row],[CONTA]],BaseContasDRE[#All],4,FALSE))</f>
        <v>Fora do DRE</v>
      </c>
      <c r="T5244" s="3" t="str">
        <f>IF(ISERROR(VLOOKUP(Base_Periodo1[[#This Row],[CONTA]],BaseContasDRE[#All],5,FALSE)),"Fora do DRE",VLOOKUP(Base_Periodo1[[#This Row],[CONTA]],BaseContasDRE[#All],6,FALSE))</f>
        <v>Fora do DRE</v>
      </c>
      <c r="U5244" s="3" t="str">
        <f>IF(ISERROR(VLOOKUP(Base_Periodo1[[#This Row],[CONTA]],BaseContasDRE[#All],7,FALSE)),"Fora do DRE",VLOOKUP(Base_Periodo1[[#This Row],[CONTA]],BaseContasDRE[#All],7,FALSE))</f>
        <v>Fora do DRE</v>
      </c>
      <c r="V5244" s="3" t="str">
        <f>IF(Base_Periodo1[[#This Row],[Tipo_Linha]]="Fora do DRE","Fora do DRE","( "&amp;Base_Periodo1[[#This Row],[Tipo_Linha]]&amp;" ) "&amp;Base_Periodo1[[#This Row],[Filtro]])</f>
        <v>Fora do DRE</v>
      </c>
      <c r="W5244" s="3" t="str">
        <f>LEFT(Base_Periodo1[[#This Row],[CLASS]],3)</f>
        <v>2.4</v>
      </c>
    </row>
    <row r="5245" spans="1:23" hidden="1">
      <c r="A5245" s="3" t="str">
        <f t="shared" si="81"/>
        <v>Período 1</v>
      </c>
      <c r="B5245">
        <v>16292</v>
      </c>
      <c r="C5245" t="s">
        <v>2300</v>
      </c>
      <c r="D5245" t="s">
        <v>3105</v>
      </c>
      <c r="E5245" s="3" t="str">
        <f>IF(LEN(Base_Periodo1[[#This Row],[CLASS]])&gt;=7,LEFT(Base_Periodo1[[#This Row],[CLASS]],7),"")</f>
        <v>2.4.1.1</v>
      </c>
      <c r="F5245" s="3" t="str">
        <f>VLOOKUP(Base_Periodo1[[#This Row],[Aux]],Base_Contas_Balanco[#All],2,FALSE)</f>
        <v>Capital Social Realizado</v>
      </c>
      <c r="G5245" s="1">
        <v>42460</v>
      </c>
      <c r="H5245" s="281">
        <v>2261.04</v>
      </c>
      <c r="I5245" s="281">
        <v>0</v>
      </c>
      <c r="J5245" s="281">
        <v>0</v>
      </c>
      <c r="K5245" s="281">
        <v>2261.04</v>
      </c>
      <c r="L524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2261.04</v>
      </c>
      <c r="M5245" s="281">
        <f>ROUND(IF(AND(Base_Periodo1[[#This Row],[Tipo_Linha]]="-",Base_Periodo1[[#This Row],[TIPOSALDO]]="D"),Base_Periodo1[[#This Row],[SALDO_ATUAL]]*-1,Base_Periodo1[[#This Row],[SALDO_ATUAL]]),4)</f>
        <v>2261.04</v>
      </c>
      <c r="N5245" t="s">
        <v>116</v>
      </c>
      <c r="O5245" t="s">
        <v>459</v>
      </c>
      <c r="P5245" t="s">
        <v>459</v>
      </c>
      <c r="Q5245">
        <v>6</v>
      </c>
      <c r="R5245" s="281">
        <f>Base_Periodo1[[#This Row],[CREDITOS]]-Base_Periodo1[[#This Row],[DEBITOS]]</f>
        <v>0</v>
      </c>
      <c r="S5245" s="3" t="str">
        <f>IF(ISERROR(VLOOKUP(Base_Periodo1[[#This Row],[CONTA]],BaseContasDRE[#All],4,FALSE)),"Fora do DRE",VLOOKUP(Base_Periodo1[[#This Row],[CONTA]],BaseContasDRE[#All],4,FALSE))</f>
        <v>Fora do DRE</v>
      </c>
      <c r="T5245" s="3" t="str">
        <f>IF(ISERROR(VLOOKUP(Base_Periodo1[[#This Row],[CONTA]],BaseContasDRE[#All],5,FALSE)),"Fora do DRE",VLOOKUP(Base_Periodo1[[#This Row],[CONTA]],BaseContasDRE[#All],6,FALSE))</f>
        <v>Fora do DRE</v>
      </c>
      <c r="U5245" s="3" t="str">
        <f>IF(ISERROR(VLOOKUP(Base_Periodo1[[#This Row],[CONTA]],BaseContasDRE[#All],7,FALSE)),"Fora do DRE",VLOOKUP(Base_Periodo1[[#This Row],[CONTA]],BaseContasDRE[#All],7,FALSE))</f>
        <v>Fora do DRE</v>
      </c>
      <c r="V5245" s="3" t="str">
        <f>IF(Base_Periodo1[[#This Row],[Tipo_Linha]]="Fora do DRE","Fora do DRE","( "&amp;Base_Periodo1[[#This Row],[Tipo_Linha]]&amp;" ) "&amp;Base_Periodo1[[#This Row],[Filtro]])</f>
        <v>Fora do DRE</v>
      </c>
      <c r="W5245" s="3" t="str">
        <f>LEFT(Base_Periodo1[[#This Row],[CLASS]],3)</f>
        <v>2.4</v>
      </c>
    </row>
    <row r="5246" spans="1:23" hidden="1">
      <c r="A5246" s="3" t="str">
        <f t="shared" si="81"/>
        <v>Período 1</v>
      </c>
      <c r="B5246">
        <v>55090</v>
      </c>
      <c r="C5246" t="s">
        <v>2300</v>
      </c>
      <c r="D5246" t="s">
        <v>5353</v>
      </c>
      <c r="E5246" s="3" t="str">
        <f>IF(LEN(Base_Periodo1[[#This Row],[CLASS]])&gt;=7,LEFT(Base_Periodo1[[#This Row],[CLASS]],7),"")</f>
        <v>2.4.1.1</v>
      </c>
      <c r="F5246" s="3" t="str">
        <f>VLOOKUP(Base_Periodo1[[#This Row],[Aux]],Base_Contas_Balanco[#All],2,FALSE)</f>
        <v>Capital Social Realizado</v>
      </c>
      <c r="G5246" s="1"/>
      <c r="H5246" s="281">
        <v>50</v>
      </c>
      <c r="I5246" s="281">
        <v>0</v>
      </c>
      <c r="J5246" s="281">
        <v>0</v>
      </c>
      <c r="K5246" s="281">
        <v>50</v>
      </c>
      <c r="L524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246" s="281">
        <f>ROUND(IF(AND(Base_Periodo1[[#This Row],[Tipo_Linha]]="-",Base_Periodo1[[#This Row],[TIPOSALDO]]="D"),Base_Periodo1[[#This Row],[SALDO_ATUAL]]*-1,Base_Periodo1[[#This Row],[SALDO_ATUAL]]),4)</f>
        <v>50</v>
      </c>
      <c r="N5246" t="s">
        <v>116</v>
      </c>
      <c r="O5246" t="s">
        <v>459</v>
      </c>
      <c r="P5246" t="s">
        <v>459</v>
      </c>
      <c r="Q5246">
        <v>6</v>
      </c>
      <c r="R5246" s="281">
        <f>Base_Periodo1[[#This Row],[CREDITOS]]-Base_Periodo1[[#This Row],[DEBITOS]]</f>
        <v>0</v>
      </c>
      <c r="S5246" s="3" t="str">
        <f>IF(ISERROR(VLOOKUP(Base_Periodo1[[#This Row],[CONTA]],BaseContasDRE[#All],4,FALSE)),"Fora do DRE",VLOOKUP(Base_Periodo1[[#This Row],[CONTA]],BaseContasDRE[#All],4,FALSE))</f>
        <v>Fora do DRE</v>
      </c>
      <c r="T5246" s="3" t="str">
        <f>IF(ISERROR(VLOOKUP(Base_Periodo1[[#This Row],[CONTA]],BaseContasDRE[#All],5,FALSE)),"Fora do DRE",VLOOKUP(Base_Periodo1[[#This Row],[CONTA]],BaseContasDRE[#All],6,FALSE))</f>
        <v>Fora do DRE</v>
      </c>
      <c r="U5246" s="3" t="str">
        <f>IF(ISERROR(VLOOKUP(Base_Periodo1[[#This Row],[CONTA]],BaseContasDRE[#All],7,FALSE)),"Fora do DRE",VLOOKUP(Base_Periodo1[[#This Row],[CONTA]],BaseContasDRE[#All],7,FALSE))</f>
        <v>Fora do DRE</v>
      </c>
      <c r="V5246" s="3" t="str">
        <f>IF(Base_Periodo1[[#This Row],[Tipo_Linha]]="Fora do DRE","Fora do DRE","( "&amp;Base_Periodo1[[#This Row],[Tipo_Linha]]&amp;" ) "&amp;Base_Periodo1[[#This Row],[Filtro]])</f>
        <v>Fora do DRE</v>
      </c>
      <c r="W5246" s="3" t="str">
        <f>LEFT(Base_Periodo1[[#This Row],[CLASS]],3)</f>
        <v>2.4</v>
      </c>
    </row>
    <row r="5247" spans="1:23" hidden="1">
      <c r="A5247" s="3" t="str">
        <f t="shared" si="81"/>
        <v>Período 1</v>
      </c>
      <c r="B5247">
        <v>29681</v>
      </c>
      <c r="C5247" t="s">
        <v>2300</v>
      </c>
      <c r="D5247" t="s">
        <v>3106</v>
      </c>
      <c r="E5247" s="3" t="str">
        <f>IF(LEN(Base_Periodo1[[#This Row],[CLASS]])&gt;=7,LEFT(Base_Periodo1[[#This Row],[CLASS]],7),"")</f>
        <v>2.4.1.1</v>
      </c>
      <c r="F5247" s="3" t="str">
        <f>VLOOKUP(Base_Periodo1[[#This Row],[Aux]],Base_Contas_Balanco[#All],2,FALSE)</f>
        <v>Capital Social Realizado</v>
      </c>
      <c r="G5247" s="1"/>
      <c r="H5247" s="281">
        <v>142.32999999999998</v>
      </c>
      <c r="I5247" s="281">
        <v>0</v>
      </c>
      <c r="J5247" s="281">
        <v>0</v>
      </c>
      <c r="K5247" s="281">
        <v>142.32999999999998</v>
      </c>
      <c r="L524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142.33000000000001</v>
      </c>
      <c r="M5247" s="281">
        <f>ROUND(IF(AND(Base_Periodo1[[#This Row],[Tipo_Linha]]="-",Base_Periodo1[[#This Row],[TIPOSALDO]]="D"),Base_Periodo1[[#This Row],[SALDO_ATUAL]]*-1,Base_Periodo1[[#This Row],[SALDO_ATUAL]]),4)</f>
        <v>142.33000000000001</v>
      </c>
      <c r="N5247" t="s">
        <v>116</v>
      </c>
      <c r="O5247" t="s">
        <v>459</v>
      </c>
      <c r="P5247" t="s">
        <v>459</v>
      </c>
      <c r="Q5247">
        <v>6</v>
      </c>
      <c r="R5247" s="281">
        <f>Base_Periodo1[[#This Row],[CREDITOS]]-Base_Periodo1[[#This Row],[DEBITOS]]</f>
        <v>0</v>
      </c>
      <c r="S5247" s="3" t="str">
        <f>IF(ISERROR(VLOOKUP(Base_Periodo1[[#This Row],[CONTA]],BaseContasDRE[#All],4,FALSE)),"Fora do DRE",VLOOKUP(Base_Periodo1[[#This Row],[CONTA]],BaseContasDRE[#All],4,FALSE))</f>
        <v>Fora do DRE</v>
      </c>
      <c r="T5247" s="3" t="str">
        <f>IF(ISERROR(VLOOKUP(Base_Periodo1[[#This Row],[CONTA]],BaseContasDRE[#All],5,FALSE)),"Fora do DRE",VLOOKUP(Base_Periodo1[[#This Row],[CONTA]],BaseContasDRE[#All],6,FALSE))</f>
        <v>Fora do DRE</v>
      </c>
      <c r="U5247" s="3" t="str">
        <f>IF(ISERROR(VLOOKUP(Base_Periodo1[[#This Row],[CONTA]],BaseContasDRE[#All],7,FALSE)),"Fora do DRE",VLOOKUP(Base_Periodo1[[#This Row],[CONTA]],BaseContasDRE[#All],7,FALSE))</f>
        <v>Fora do DRE</v>
      </c>
      <c r="V5247" s="3" t="str">
        <f>IF(Base_Periodo1[[#This Row],[Tipo_Linha]]="Fora do DRE","Fora do DRE","( "&amp;Base_Periodo1[[#This Row],[Tipo_Linha]]&amp;" ) "&amp;Base_Periodo1[[#This Row],[Filtro]])</f>
        <v>Fora do DRE</v>
      </c>
      <c r="W5247" s="3" t="str">
        <f>LEFT(Base_Periodo1[[#This Row],[CLASS]],3)</f>
        <v>2.4</v>
      </c>
    </row>
    <row r="5248" spans="1:23" hidden="1">
      <c r="A5248" s="3" t="str">
        <f t="shared" si="81"/>
        <v>Período 1</v>
      </c>
      <c r="B5248">
        <v>40597</v>
      </c>
      <c r="C5248" t="s">
        <v>2300</v>
      </c>
      <c r="D5248" t="s">
        <v>3107</v>
      </c>
      <c r="E5248" s="3" t="str">
        <f>IF(LEN(Base_Periodo1[[#This Row],[CLASS]])&gt;=7,LEFT(Base_Periodo1[[#This Row],[CLASS]],7),"")</f>
        <v>2.4.1.1</v>
      </c>
      <c r="F5248" s="3" t="str">
        <f>VLOOKUP(Base_Periodo1[[#This Row],[Aux]],Base_Contas_Balanco[#All],2,FALSE)</f>
        <v>Capital Social Realizado</v>
      </c>
      <c r="G5248" s="1"/>
      <c r="H5248" s="281">
        <v>80.28</v>
      </c>
      <c r="I5248" s="281">
        <v>0</v>
      </c>
      <c r="J5248" s="281">
        <v>0</v>
      </c>
      <c r="K5248" s="281">
        <v>80.28</v>
      </c>
      <c r="L524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80.28</v>
      </c>
      <c r="M5248" s="281">
        <f>ROUND(IF(AND(Base_Periodo1[[#This Row],[Tipo_Linha]]="-",Base_Periodo1[[#This Row],[TIPOSALDO]]="D"),Base_Periodo1[[#This Row],[SALDO_ATUAL]]*-1,Base_Periodo1[[#This Row],[SALDO_ATUAL]]),4)</f>
        <v>80.28</v>
      </c>
      <c r="N5248" t="s">
        <v>116</v>
      </c>
      <c r="O5248" t="s">
        <v>459</v>
      </c>
      <c r="P5248" t="s">
        <v>459</v>
      </c>
      <c r="Q5248">
        <v>6</v>
      </c>
      <c r="R5248" s="281">
        <f>Base_Periodo1[[#This Row],[CREDITOS]]-Base_Periodo1[[#This Row],[DEBITOS]]</f>
        <v>0</v>
      </c>
      <c r="S5248" s="3" t="str">
        <f>IF(ISERROR(VLOOKUP(Base_Periodo1[[#This Row],[CONTA]],BaseContasDRE[#All],4,FALSE)),"Fora do DRE",VLOOKUP(Base_Periodo1[[#This Row],[CONTA]],BaseContasDRE[#All],4,FALSE))</f>
        <v>Fora do DRE</v>
      </c>
      <c r="T5248" s="3" t="str">
        <f>IF(ISERROR(VLOOKUP(Base_Periodo1[[#This Row],[CONTA]],BaseContasDRE[#All],5,FALSE)),"Fora do DRE",VLOOKUP(Base_Periodo1[[#This Row],[CONTA]],BaseContasDRE[#All],6,FALSE))</f>
        <v>Fora do DRE</v>
      </c>
      <c r="U5248" s="3" t="str">
        <f>IF(ISERROR(VLOOKUP(Base_Periodo1[[#This Row],[CONTA]],BaseContasDRE[#All],7,FALSE)),"Fora do DRE",VLOOKUP(Base_Periodo1[[#This Row],[CONTA]],BaseContasDRE[#All],7,FALSE))</f>
        <v>Fora do DRE</v>
      </c>
      <c r="V5248" s="3" t="str">
        <f>IF(Base_Periodo1[[#This Row],[Tipo_Linha]]="Fora do DRE","Fora do DRE","( "&amp;Base_Periodo1[[#This Row],[Tipo_Linha]]&amp;" ) "&amp;Base_Periodo1[[#This Row],[Filtro]])</f>
        <v>Fora do DRE</v>
      </c>
      <c r="W5248" s="3" t="str">
        <f>LEFT(Base_Periodo1[[#This Row],[CLASS]],3)</f>
        <v>2.4</v>
      </c>
    </row>
    <row r="5249" spans="1:23" hidden="1">
      <c r="A5249" s="3" t="str">
        <f t="shared" si="81"/>
        <v>Período 1</v>
      </c>
      <c r="B5249">
        <v>25509</v>
      </c>
      <c r="C5249" t="s">
        <v>2300</v>
      </c>
      <c r="D5249" t="s">
        <v>3108</v>
      </c>
      <c r="E5249" s="3" t="str">
        <f>IF(LEN(Base_Periodo1[[#This Row],[CLASS]])&gt;=7,LEFT(Base_Periodo1[[#This Row],[CLASS]],7),"")</f>
        <v>2.4.1.1</v>
      </c>
      <c r="F5249" s="3" t="str">
        <f>VLOOKUP(Base_Periodo1[[#This Row],[Aux]],Base_Contas_Balanco[#All],2,FALSE)</f>
        <v>Capital Social Realizado</v>
      </c>
      <c r="G5249" s="1"/>
      <c r="H5249" s="281">
        <v>69.61</v>
      </c>
      <c r="I5249" s="281">
        <v>0</v>
      </c>
      <c r="J5249" s="281">
        <v>0</v>
      </c>
      <c r="K5249" s="281">
        <v>69.61</v>
      </c>
      <c r="L524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69.61</v>
      </c>
      <c r="M5249" s="281">
        <f>ROUND(IF(AND(Base_Periodo1[[#This Row],[Tipo_Linha]]="-",Base_Periodo1[[#This Row],[TIPOSALDO]]="D"),Base_Periodo1[[#This Row],[SALDO_ATUAL]]*-1,Base_Periodo1[[#This Row],[SALDO_ATUAL]]),4)</f>
        <v>69.61</v>
      </c>
      <c r="N5249" t="s">
        <v>116</v>
      </c>
      <c r="O5249" t="s">
        <v>459</v>
      </c>
      <c r="P5249" t="s">
        <v>459</v>
      </c>
      <c r="Q5249">
        <v>6</v>
      </c>
      <c r="R5249" s="281">
        <f>Base_Periodo1[[#This Row],[CREDITOS]]-Base_Periodo1[[#This Row],[DEBITOS]]</f>
        <v>0</v>
      </c>
      <c r="S5249" s="3" t="str">
        <f>IF(ISERROR(VLOOKUP(Base_Periodo1[[#This Row],[CONTA]],BaseContasDRE[#All],4,FALSE)),"Fora do DRE",VLOOKUP(Base_Periodo1[[#This Row],[CONTA]],BaseContasDRE[#All],4,FALSE))</f>
        <v>Fora do DRE</v>
      </c>
      <c r="T5249" s="3" t="str">
        <f>IF(ISERROR(VLOOKUP(Base_Periodo1[[#This Row],[CONTA]],BaseContasDRE[#All],5,FALSE)),"Fora do DRE",VLOOKUP(Base_Periodo1[[#This Row],[CONTA]],BaseContasDRE[#All],6,FALSE))</f>
        <v>Fora do DRE</v>
      </c>
      <c r="U5249" s="3" t="str">
        <f>IF(ISERROR(VLOOKUP(Base_Periodo1[[#This Row],[CONTA]],BaseContasDRE[#All],7,FALSE)),"Fora do DRE",VLOOKUP(Base_Periodo1[[#This Row],[CONTA]],BaseContasDRE[#All],7,FALSE))</f>
        <v>Fora do DRE</v>
      </c>
      <c r="V5249" s="3" t="str">
        <f>IF(Base_Periodo1[[#This Row],[Tipo_Linha]]="Fora do DRE","Fora do DRE","( "&amp;Base_Periodo1[[#This Row],[Tipo_Linha]]&amp;" ) "&amp;Base_Periodo1[[#This Row],[Filtro]])</f>
        <v>Fora do DRE</v>
      </c>
      <c r="W5249" s="3" t="str">
        <f>LEFT(Base_Periodo1[[#This Row],[CLASS]],3)</f>
        <v>2.4</v>
      </c>
    </row>
    <row r="5250" spans="1:23" hidden="1">
      <c r="A5250" s="3" t="str">
        <f t="shared" si="81"/>
        <v>Período 1</v>
      </c>
      <c r="B5250">
        <v>16377</v>
      </c>
      <c r="C5250" t="s">
        <v>2300</v>
      </c>
      <c r="D5250" t="s">
        <v>3109</v>
      </c>
      <c r="E5250" s="3" t="str">
        <f>IF(LEN(Base_Periodo1[[#This Row],[CLASS]])&gt;=7,LEFT(Base_Periodo1[[#This Row],[CLASS]],7),"")</f>
        <v>2.4.1.1</v>
      </c>
      <c r="F5250" s="3" t="str">
        <f>VLOOKUP(Base_Periodo1[[#This Row],[Aux]],Base_Contas_Balanco[#All],2,FALSE)</f>
        <v>Capital Social Realizado</v>
      </c>
      <c r="G5250" s="1"/>
      <c r="H5250" s="281">
        <v>883.98</v>
      </c>
      <c r="I5250" s="281">
        <v>0</v>
      </c>
      <c r="J5250" s="281">
        <v>0</v>
      </c>
      <c r="K5250" s="281">
        <v>883.98</v>
      </c>
      <c r="L525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883.98</v>
      </c>
      <c r="M5250" s="281">
        <f>ROUND(IF(AND(Base_Periodo1[[#This Row],[Tipo_Linha]]="-",Base_Periodo1[[#This Row],[TIPOSALDO]]="D"),Base_Periodo1[[#This Row],[SALDO_ATUAL]]*-1,Base_Periodo1[[#This Row],[SALDO_ATUAL]]),4)</f>
        <v>883.98</v>
      </c>
      <c r="N5250" t="s">
        <v>116</v>
      </c>
      <c r="O5250" t="s">
        <v>459</v>
      </c>
      <c r="P5250" t="s">
        <v>459</v>
      </c>
      <c r="Q5250">
        <v>6</v>
      </c>
      <c r="R5250" s="281">
        <f>Base_Periodo1[[#This Row],[CREDITOS]]-Base_Periodo1[[#This Row],[DEBITOS]]</f>
        <v>0</v>
      </c>
      <c r="S5250" s="3" t="str">
        <f>IF(ISERROR(VLOOKUP(Base_Periodo1[[#This Row],[CONTA]],BaseContasDRE[#All],4,FALSE)),"Fora do DRE",VLOOKUP(Base_Periodo1[[#This Row],[CONTA]],BaseContasDRE[#All],4,FALSE))</f>
        <v>Fora do DRE</v>
      </c>
      <c r="T5250" s="3" t="str">
        <f>IF(ISERROR(VLOOKUP(Base_Periodo1[[#This Row],[CONTA]],BaseContasDRE[#All],5,FALSE)),"Fora do DRE",VLOOKUP(Base_Periodo1[[#This Row],[CONTA]],BaseContasDRE[#All],6,FALSE))</f>
        <v>Fora do DRE</v>
      </c>
      <c r="U5250" s="3" t="str">
        <f>IF(ISERROR(VLOOKUP(Base_Periodo1[[#This Row],[CONTA]],BaseContasDRE[#All],7,FALSE)),"Fora do DRE",VLOOKUP(Base_Periodo1[[#This Row],[CONTA]],BaseContasDRE[#All],7,FALSE))</f>
        <v>Fora do DRE</v>
      </c>
      <c r="V5250" s="3" t="str">
        <f>IF(Base_Periodo1[[#This Row],[Tipo_Linha]]="Fora do DRE","Fora do DRE","( "&amp;Base_Periodo1[[#This Row],[Tipo_Linha]]&amp;" ) "&amp;Base_Periodo1[[#This Row],[Filtro]])</f>
        <v>Fora do DRE</v>
      </c>
      <c r="W5250" s="3" t="str">
        <f>LEFT(Base_Periodo1[[#This Row],[CLASS]],3)</f>
        <v>2.4</v>
      </c>
    </row>
    <row r="5251" spans="1:23" hidden="1">
      <c r="A5251" s="3" t="str">
        <f t="shared" si="81"/>
        <v>Período 1</v>
      </c>
      <c r="B5251">
        <v>55105</v>
      </c>
      <c r="C5251" t="s">
        <v>2300</v>
      </c>
      <c r="D5251" t="s">
        <v>5354</v>
      </c>
      <c r="E5251" s="3" t="str">
        <f>IF(LEN(Base_Periodo1[[#This Row],[CLASS]])&gt;=7,LEFT(Base_Periodo1[[#This Row],[CLASS]],7),"")</f>
        <v>2.4.1.1</v>
      </c>
      <c r="F5251" s="3" t="str">
        <f>VLOOKUP(Base_Periodo1[[#This Row],[Aux]],Base_Contas_Balanco[#All],2,FALSE)</f>
        <v>Capital Social Realizado</v>
      </c>
      <c r="G5251" s="1"/>
      <c r="H5251" s="281">
        <v>1000</v>
      </c>
      <c r="I5251" s="281">
        <v>0</v>
      </c>
      <c r="J5251" s="281">
        <v>0</v>
      </c>
      <c r="K5251" s="281">
        <v>1000</v>
      </c>
      <c r="L525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1000</v>
      </c>
      <c r="M5251" s="281">
        <f>ROUND(IF(AND(Base_Periodo1[[#This Row],[Tipo_Linha]]="-",Base_Periodo1[[#This Row],[TIPOSALDO]]="D"),Base_Periodo1[[#This Row],[SALDO_ATUAL]]*-1,Base_Periodo1[[#This Row],[SALDO_ATUAL]]),4)</f>
        <v>1000</v>
      </c>
      <c r="N5251" t="s">
        <v>116</v>
      </c>
      <c r="O5251" t="s">
        <v>459</v>
      </c>
      <c r="P5251" t="s">
        <v>459</v>
      </c>
      <c r="Q5251">
        <v>6</v>
      </c>
      <c r="R5251" s="281">
        <f>Base_Periodo1[[#This Row],[CREDITOS]]-Base_Periodo1[[#This Row],[DEBITOS]]</f>
        <v>0</v>
      </c>
      <c r="S5251" s="3" t="str">
        <f>IF(ISERROR(VLOOKUP(Base_Periodo1[[#This Row],[CONTA]],BaseContasDRE[#All],4,FALSE)),"Fora do DRE",VLOOKUP(Base_Periodo1[[#This Row],[CONTA]],BaseContasDRE[#All],4,FALSE))</f>
        <v>Fora do DRE</v>
      </c>
      <c r="T5251" s="3" t="str">
        <f>IF(ISERROR(VLOOKUP(Base_Periodo1[[#This Row],[CONTA]],BaseContasDRE[#All],5,FALSE)),"Fora do DRE",VLOOKUP(Base_Periodo1[[#This Row],[CONTA]],BaseContasDRE[#All],6,FALSE))</f>
        <v>Fora do DRE</v>
      </c>
      <c r="U5251" s="3" t="str">
        <f>IF(ISERROR(VLOOKUP(Base_Periodo1[[#This Row],[CONTA]],BaseContasDRE[#All],7,FALSE)),"Fora do DRE",VLOOKUP(Base_Periodo1[[#This Row],[CONTA]],BaseContasDRE[#All],7,FALSE))</f>
        <v>Fora do DRE</v>
      </c>
      <c r="V5251" s="3" t="str">
        <f>IF(Base_Periodo1[[#This Row],[Tipo_Linha]]="Fora do DRE","Fora do DRE","( "&amp;Base_Periodo1[[#This Row],[Tipo_Linha]]&amp;" ) "&amp;Base_Periodo1[[#This Row],[Filtro]])</f>
        <v>Fora do DRE</v>
      </c>
      <c r="W5251" s="3" t="str">
        <f>LEFT(Base_Periodo1[[#This Row],[CLASS]],3)</f>
        <v>2.4</v>
      </c>
    </row>
    <row r="5252" spans="1:23" hidden="1">
      <c r="A5252" s="3" t="str">
        <f t="shared" si="81"/>
        <v>Período 1</v>
      </c>
      <c r="B5252">
        <v>46964</v>
      </c>
      <c r="C5252" t="s">
        <v>2300</v>
      </c>
      <c r="D5252" t="s">
        <v>3110</v>
      </c>
      <c r="E5252" s="3" t="str">
        <f>IF(LEN(Base_Periodo1[[#This Row],[CLASS]])&gt;=7,LEFT(Base_Periodo1[[#This Row],[CLASS]],7),"")</f>
        <v>2.4.1.1</v>
      </c>
      <c r="F5252" s="3" t="str">
        <f>VLOOKUP(Base_Periodo1[[#This Row],[Aux]],Base_Contas_Balanco[#All],2,FALSE)</f>
        <v>Capital Social Realizado</v>
      </c>
      <c r="G5252" s="1"/>
      <c r="H5252" s="281">
        <v>181.65</v>
      </c>
      <c r="I5252" s="281">
        <v>0</v>
      </c>
      <c r="J5252" s="281">
        <v>0</v>
      </c>
      <c r="K5252" s="281">
        <v>181.65</v>
      </c>
      <c r="L525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181.65</v>
      </c>
      <c r="M5252" s="281">
        <f>ROUND(IF(AND(Base_Periodo1[[#This Row],[Tipo_Linha]]="-",Base_Periodo1[[#This Row],[TIPOSALDO]]="D"),Base_Periodo1[[#This Row],[SALDO_ATUAL]]*-1,Base_Periodo1[[#This Row],[SALDO_ATUAL]]),4)</f>
        <v>181.65</v>
      </c>
      <c r="N5252" t="s">
        <v>116</v>
      </c>
      <c r="O5252" t="s">
        <v>459</v>
      </c>
      <c r="P5252" t="s">
        <v>459</v>
      </c>
      <c r="Q5252">
        <v>6</v>
      </c>
      <c r="R5252" s="281">
        <f>Base_Periodo1[[#This Row],[CREDITOS]]-Base_Periodo1[[#This Row],[DEBITOS]]</f>
        <v>0</v>
      </c>
      <c r="S5252" s="3" t="str">
        <f>IF(ISERROR(VLOOKUP(Base_Periodo1[[#This Row],[CONTA]],BaseContasDRE[#All],4,FALSE)),"Fora do DRE",VLOOKUP(Base_Periodo1[[#This Row],[CONTA]],BaseContasDRE[#All],4,FALSE))</f>
        <v>Fora do DRE</v>
      </c>
      <c r="T5252" s="3" t="str">
        <f>IF(ISERROR(VLOOKUP(Base_Periodo1[[#This Row],[CONTA]],BaseContasDRE[#All],5,FALSE)),"Fora do DRE",VLOOKUP(Base_Periodo1[[#This Row],[CONTA]],BaseContasDRE[#All],6,FALSE))</f>
        <v>Fora do DRE</v>
      </c>
      <c r="U5252" s="3" t="str">
        <f>IF(ISERROR(VLOOKUP(Base_Periodo1[[#This Row],[CONTA]],BaseContasDRE[#All],7,FALSE)),"Fora do DRE",VLOOKUP(Base_Periodo1[[#This Row],[CONTA]],BaseContasDRE[#All],7,FALSE))</f>
        <v>Fora do DRE</v>
      </c>
      <c r="V5252" s="3" t="str">
        <f>IF(Base_Periodo1[[#This Row],[Tipo_Linha]]="Fora do DRE","Fora do DRE","( "&amp;Base_Periodo1[[#This Row],[Tipo_Linha]]&amp;" ) "&amp;Base_Periodo1[[#This Row],[Filtro]])</f>
        <v>Fora do DRE</v>
      </c>
      <c r="W5252" s="3" t="str">
        <f>LEFT(Base_Periodo1[[#This Row],[CLASS]],3)</f>
        <v>2.4</v>
      </c>
    </row>
    <row r="5253" spans="1:23" hidden="1">
      <c r="A5253" s="3" t="str">
        <f t="shared" si="81"/>
        <v>Período 1</v>
      </c>
      <c r="B5253">
        <v>16192</v>
      </c>
      <c r="C5253" t="s">
        <v>2300</v>
      </c>
      <c r="D5253" t="s">
        <v>3111</v>
      </c>
      <c r="E5253" s="3" t="str">
        <f>IF(LEN(Base_Periodo1[[#This Row],[CLASS]])&gt;=7,LEFT(Base_Periodo1[[#This Row],[CLASS]],7),"")</f>
        <v>2.4.1.1</v>
      </c>
      <c r="F5253" s="3" t="str">
        <f>VLOOKUP(Base_Periodo1[[#This Row],[Aux]],Base_Contas_Balanco[#All],2,FALSE)</f>
        <v>Capital Social Realizado</v>
      </c>
      <c r="G5253" s="1"/>
      <c r="H5253" s="281">
        <v>35340.85</v>
      </c>
      <c r="I5253" s="281">
        <v>0</v>
      </c>
      <c r="J5253" s="281">
        <v>0</v>
      </c>
      <c r="K5253" s="281">
        <v>35340.85</v>
      </c>
      <c r="L525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35340.85</v>
      </c>
      <c r="M5253" s="281">
        <f>ROUND(IF(AND(Base_Periodo1[[#This Row],[Tipo_Linha]]="-",Base_Periodo1[[#This Row],[TIPOSALDO]]="D"),Base_Periodo1[[#This Row],[SALDO_ATUAL]]*-1,Base_Periodo1[[#This Row],[SALDO_ATUAL]]),4)</f>
        <v>35340.85</v>
      </c>
      <c r="N5253" t="s">
        <v>116</v>
      </c>
      <c r="O5253" t="s">
        <v>459</v>
      </c>
      <c r="P5253" t="s">
        <v>459</v>
      </c>
      <c r="Q5253">
        <v>6</v>
      </c>
      <c r="R5253" s="281">
        <f>Base_Periodo1[[#This Row],[CREDITOS]]-Base_Periodo1[[#This Row],[DEBITOS]]</f>
        <v>0</v>
      </c>
      <c r="S5253" s="3" t="str">
        <f>IF(ISERROR(VLOOKUP(Base_Periodo1[[#This Row],[CONTA]],BaseContasDRE[#All],4,FALSE)),"Fora do DRE",VLOOKUP(Base_Periodo1[[#This Row],[CONTA]],BaseContasDRE[#All],4,FALSE))</f>
        <v>Fora do DRE</v>
      </c>
      <c r="T5253" s="3" t="str">
        <f>IF(ISERROR(VLOOKUP(Base_Periodo1[[#This Row],[CONTA]],BaseContasDRE[#All],5,FALSE)),"Fora do DRE",VLOOKUP(Base_Periodo1[[#This Row],[CONTA]],BaseContasDRE[#All],6,FALSE))</f>
        <v>Fora do DRE</v>
      </c>
      <c r="U5253" s="3" t="str">
        <f>IF(ISERROR(VLOOKUP(Base_Periodo1[[#This Row],[CONTA]],BaseContasDRE[#All],7,FALSE)),"Fora do DRE",VLOOKUP(Base_Periodo1[[#This Row],[CONTA]],BaseContasDRE[#All],7,FALSE))</f>
        <v>Fora do DRE</v>
      </c>
      <c r="V5253" s="3" t="str">
        <f>IF(Base_Periodo1[[#This Row],[Tipo_Linha]]="Fora do DRE","Fora do DRE","( "&amp;Base_Periodo1[[#This Row],[Tipo_Linha]]&amp;" ) "&amp;Base_Periodo1[[#This Row],[Filtro]])</f>
        <v>Fora do DRE</v>
      </c>
      <c r="W5253" s="3" t="str">
        <f>LEFT(Base_Periodo1[[#This Row],[CLASS]],3)</f>
        <v>2.4</v>
      </c>
    </row>
    <row r="5254" spans="1:23" hidden="1">
      <c r="A5254" s="3" t="str">
        <f t="shared" ref="A5254:A5317" si="82">"Período 1"</f>
        <v>Período 1</v>
      </c>
      <c r="B5254">
        <v>55095</v>
      </c>
      <c r="C5254" t="s">
        <v>2300</v>
      </c>
      <c r="D5254" t="s">
        <v>5355</v>
      </c>
      <c r="E5254" s="3" t="str">
        <f>IF(LEN(Base_Periodo1[[#This Row],[CLASS]])&gt;=7,LEFT(Base_Periodo1[[#This Row],[CLASS]],7),"")</f>
        <v>2.4.1.1</v>
      </c>
      <c r="F5254" s="3" t="str">
        <f>VLOOKUP(Base_Periodo1[[#This Row],[Aux]],Base_Contas_Balanco[#All],2,FALSE)</f>
        <v>Capital Social Realizado</v>
      </c>
      <c r="G5254" s="1"/>
      <c r="H5254" s="281">
        <v>240</v>
      </c>
      <c r="I5254" s="281">
        <v>0</v>
      </c>
      <c r="J5254" s="281">
        <v>0</v>
      </c>
      <c r="K5254" s="281">
        <v>240</v>
      </c>
      <c r="L525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254" s="281">
        <f>ROUND(IF(AND(Base_Periodo1[[#This Row],[Tipo_Linha]]="-",Base_Periodo1[[#This Row],[TIPOSALDO]]="D"),Base_Periodo1[[#This Row],[SALDO_ATUAL]]*-1,Base_Periodo1[[#This Row],[SALDO_ATUAL]]),4)</f>
        <v>240</v>
      </c>
      <c r="N5254" t="s">
        <v>116</v>
      </c>
      <c r="O5254" t="s">
        <v>459</v>
      </c>
      <c r="P5254" t="s">
        <v>459</v>
      </c>
      <c r="Q5254">
        <v>6</v>
      </c>
      <c r="R5254" s="281">
        <f>Base_Periodo1[[#This Row],[CREDITOS]]-Base_Periodo1[[#This Row],[DEBITOS]]</f>
        <v>0</v>
      </c>
      <c r="S5254" s="3" t="str">
        <f>IF(ISERROR(VLOOKUP(Base_Periodo1[[#This Row],[CONTA]],BaseContasDRE[#All],4,FALSE)),"Fora do DRE",VLOOKUP(Base_Periodo1[[#This Row],[CONTA]],BaseContasDRE[#All],4,FALSE))</f>
        <v>Fora do DRE</v>
      </c>
      <c r="T5254" s="3" t="str">
        <f>IF(ISERROR(VLOOKUP(Base_Periodo1[[#This Row],[CONTA]],BaseContasDRE[#All],5,FALSE)),"Fora do DRE",VLOOKUP(Base_Periodo1[[#This Row],[CONTA]],BaseContasDRE[#All],6,FALSE))</f>
        <v>Fora do DRE</v>
      </c>
      <c r="U5254" s="3" t="str">
        <f>IF(ISERROR(VLOOKUP(Base_Periodo1[[#This Row],[CONTA]],BaseContasDRE[#All],7,FALSE)),"Fora do DRE",VLOOKUP(Base_Periodo1[[#This Row],[CONTA]],BaseContasDRE[#All],7,FALSE))</f>
        <v>Fora do DRE</v>
      </c>
      <c r="V5254" s="3" t="str">
        <f>IF(Base_Periodo1[[#This Row],[Tipo_Linha]]="Fora do DRE","Fora do DRE","( "&amp;Base_Periodo1[[#This Row],[Tipo_Linha]]&amp;" ) "&amp;Base_Periodo1[[#This Row],[Filtro]])</f>
        <v>Fora do DRE</v>
      </c>
      <c r="W5254" s="3" t="str">
        <f>LEFT(Base_Periodo1[[#This Row],[CLASS]],3)</f>
        <v>2.4</v>
      </c>
    </row>
    <row r="5255" spans="1:23" hidden="1">
      <c r="A5255" s="3" t="str">
        <f t="shared" si="82"/>
        <v>Período 1</v>
      </c>
      <c r="B5255">
        <v>57870</v>
      </c>
      <c r="C5255" t="s">
        <v>2300</v>
      </c>
      <c r="D5255" t="s">
        <v>6571</v>
      </c>
      <c r="E5255" s="3" t="str">
        <f>IF(LEN(Base_Periodo1[[#This Row],[CLASS]])&gt;=7,LEFT(Base_Periodo1[[#This Row],[CLASS]],7),"")</f>
        <v>2.4.1.1</v>
      </c>
      <c r="F5255" s="3" t="str">
        <f>VLOOKUP(Base_Periodo1[[#This Row],[Aux]],Base_Contas_Balanco[#All],2,FALSE)</f>
        <v>Capital Social Realizado</v>
      </c>
      <c r="G5255" s="1"/>
      <c r="H5255" s="281">
        <v>50</v>
      </c>
      <c r="I5255" s="281">
        <v>0</v>
      </c>
      <c r="J5255" s="281">
        <v>0</v>
      </c>
      <c r="K5255" s="281">
        <v>50</v>
      </c>
      <c r="L525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255" s="281">
        <f>ROUND(IF(AND(Base_Periodo1[[#This Row],[Tipo_Linha]]="-",Base_Periodo1[[#This Row],[TIPOSALDO]]="D"),Base_Periodo1[[#This Row],[SALDO_ATUAL]]*-1,Base_Periodo1[[#This Row],[SALDO_ATUAL]]),4)</f>
        <v>50</v>
      </c>
      <c r="N5255" t="s">
        <v>116</v>
      </c>
      <c r="O5255" t="s">
        <v>459</v>
      </c>
      <c r="P5255" t="s">
        <v>459</v>
      </c>
      <c r="Q5255">
        <v>6</v>
      </c>
      <c r="R5255" s="281">
        <f>Base_Periodo1[[#This Row],[CREDITOS]]-Base_Periodo1[[#This Row],[DEBITOS]]</f>
        <v>0</v>
      </c>
      <c r="S5255" s="3" t="str">
        <f>IF(ISERROR(VLOOKUP(Base_Periodo1[[#This Row],[CONTA]],BaseContasDRE[#All],4,FALSE)),"Fora do DRE",VLOOKUP(Base_Periodo1[[#This Row],[CONTA]],BaseContasDRE[#All],4,FALSE))</f>
        <v>Fora do DRE</v>
      </c>
      <c r="T5255" s="3" t="str">
        <f>IF(ISERROR(VLOOKUP(Base_Periodo1[[#This Row],[CONTA]],BaseContasDRE[#All],5,FALSE)),"Fora do DRE",VLOOKUP(Base_Periodo1[[#This Row],[CONTA]],BaseContasDRE[#All],6,FALSE))</f>
        <v>Fora do DRE</v>
      </c>
      <c r="U5255" s="3" t="str">
        <f>IF(ISERROR(VLOOKUP(Base_Periodo1[[#This Row],[CONTA]],BaseContasDRE[#All],7,FALSE)),"Fora do DRE",VLOOKUP(Base_Periodo1[[#This Row],[CONTA]],BaseContasDRE[#All],7,FALSE))</f>
        <v>Fora do DRE</v>
      </c>
      <c r="V5255" s="3" t="str">
        <f>IF(Base_Periodo1[[#This Row],[Tipo_Linha]]="Fora do DRE","Fora do DRE","( "&amp;Base_Periodo1[[#This Row],[Tipo_Linha]]&amp;" ) "&amp;Base_Periodo1[[#This Row],[Filtro]])</f>
        <v>Fora do DRE</v>
      </c>
      <c r="W5255" s="3" t="str">
        <f>LEFT(Base_Periodo1[[#This Row],[CLASS]],3)</f>
        <v>2.4</v>
      </c>
    </row>
    <row r="5256" spans="1:23" hidden="1">
      <c r="A5256" s="3" t="str">
        <f t="shared" si="82"/>
        <v>Período 1</v>
      </c>
      <c r="B5256">
        <v>16001</v>
      </c>
      <c r="C5256" t="s">
        <v>2300</v>
      </c>
      <c r="D5256" t="s">
        <v>3112</v>
      </c>
      <c r="E5256" s="3" t="str">
        <f>IF(LEN(Base_Periodo1[[#This Row],[CLASS]])&gt;=7,LEFT(Base_Periodo1[[#This Row],[CLASS]],7),"")</f>
        <v>2.4.1.1</v>
      </c>
      <c r="F5256" s="3" t="str">
        <f>VLOOKUP(Base_Periodo1[[#This Row],[Aux]],Base_Contas_Balanco[#All],2,FALSE)</f>
        <v>Capital Social Realizado</v>
      </c>
      <c r="G5256" s="1"/>
      <c r="H5256" s="281">
        <v>1025.82</v>
      </c>
      <c r="I5256" s="281">
        <v>0</v>
      </c>
      <c r="J5256" s="281">
        <v>0</v>
      </c>
      <c r="K5256" s="281">
        <v>1025.82</v>
      </c>
      <c r="L525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1025.82</v>
      </c>
      <c r="M5256" s="281">
        <f>ROUND(IF(AND(Base_Periodo1[[#This Row],[Tipo_Linha]]="-",Base_Periodo1[[#This Row],[TIPOSALDO]]="D"),Base_Periodo1[[#This Row],[SALDO_ATUAL]]*-1,Base_Periodo1[[#This Row],[SALDO_ATUAL]]),4)</f>
        <v>1025.82</v>
      </c>
      <c r="N5256" t="s">
        <v>116</v>
      </c>
      <c r="O5256" t="s">
        <v>459</v>
      </c>
      <c r="P5256" t="s">
        <v>459</v>
      </c>
      <c r="Q5256">
        <v>6</v>
      </c>
      <c r="R5256" s="281">
        <f>Base_Periodo1[[#This Row],[CREDITOS]]-Base_Periodo1[[#This Row],[DEBITOS]]</f>
        <v>0</v>
      </c>
      <c r="S5256" s="3" t="str">
        <f>IF(ISERROR(VLOOKUP(Base_Periodo1[[#This Row],[CONTA]],BaseContasDRE[#All],4,FALSE)),"Fora do DRE",VLOOKUP(Base_Periodo1[[#This Row],[CONTA]],BaseContasDRE[#All],4,FALSE))</f>
        <v>Fora do DRE</v>
      </c>
      <c r="T5256" s="3" t="str">
        <f>IF(ISERROR(VLOOKUP(Base_Periodo1[[#This Row],[CONTA]],BaseContasDRE[#All],5,FALSE)),"Fora do DRE",VLOOKUP(Base_Periodo1[[#This Row],[CONTA]],BaseContasDRE[#All],6,FALSE))</f>
        <v>Fora do DRE</v>
      </c>
      <c r="U5256" s="3" t="str">
        <f>IF(ISERROR(VLOOKUP(Base_Periodo1[[#This Row],[CONTA]],BaseContasDRE[#All],7,FALSE)),"Fora do DRE",VLOOKUP(Base_Periodo1[[#This Row],[CONTA]],BaseContasDRE[#All],7,FALSE))</f>
        <v>Fora do DRE</v>
      </c>
      <c r="V5256" s="3" t="str">
        <f>IF(Base_Periodo1[[#This Row],[Tipo_Linha]]="Fora do DRE","Fora do DRE","( "&amp;Base_Periodo1[[#This Row],[Tipo_Linha]]&amp;" ) "&amp;Base_Periodo1[[#This Row],[Filtro]])</f>
        <v>Fora do DRE</v>
      </c>
      <c r="W5256" s="3" t="str">
        <f>LEFT(Base_Periodo1[[#This Row],[CLASS]],3)</f>
        <v>2.4</v>
      </c>
    </row>
    <row r="5257" spans="1:23" hidden="1">
      <c r="A5257" s="3" t="str">
        <f t="shared" si="82"/>
        <v>Período 1</v>
      </c>
      <c r="B5257">
        <v>27199</v>
      </c>
      <c r="C5257" t="s">
        <v>2300</v>
      </c>
      <c r="D5257" t="s">
        <v>3113</v>
      </c>
      <c r="E5257" s="3" t="str">
        <f>IF(LEN(Base_Periodo1[[#This Row],[CLASS]])&gt;=7,LEFT(Base_Periodo1[[#This Row],[CLASS]],7),"")</f>
        <v>2.4.1.1</v>
      </c>
      <c r="F5257" s="3" t="str">
        <f>VLOOKUP(Base_Periodo1[[#This Row],[Aux]],Base_Contas_Balanco[#All],2,FALSE)</f>
        <v>Capital Social Realizado</v>
      </c>
      <c r="G5257" s="1"/>
      <c r="H5257" s="281">
        <v>50</v>
      </c>
      <c r="I5257" s="281">
        <v>0</v>
      </c>
      <c r="J5257" s="281">
        <v>0</v>
      </c>
      <c r="K5257" s="281">
        <v>50</v>
      </c>
      <c r="L525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257" s="281">
        <f>ROUND(IF(AND(Base_Periodo1[[#This Row],[Tipo_Linha]]="-",Base_Periodo1[[#This Row],[TIPOSALDO]]="D"),Base_Periodo1[[#This Row],[SALDO_ATUAL]]*-1,Base_Periodo1[[#This Row],[SALDO_ATUAL]]),4)</f>
        <v>50</v>
      </c>
      <c r="N5257" t="s">
        <v>116</v>
      </c>
      <c r="O5257" t="s">
        <v>459</v>
      </c>
      <c r="P5257" t="s">
        <v>459</v>
      </c>
      <c r="Q5257">
        <v>6</v>
      </c>
      <c r="R5257" s="281">
        <f>Base_Periodo1[[#This Row],[CREDITOS]]-Base_Periodo1[[#This Row],[DEBITOS]]</f>
        <v>0</v>
      </c>
      <c r="S5257" s="3" t="str">
        <f>IF(ISERROR(VLOOKUP(Base_Periodo1[[#This Row],[CONTA]],BaseContasDRE[#All],4,FALSE)),"Fora do DRE",VLOOKUP(Base_Periodo1[[#This Row],[CONTA]],BaseContasDRE[#All],4,FALSE))</f>
        <v>Fora do DRE</v>
      </c>
      <c r="T5257" s="3" t="str">
        <f>IF(ISERROR(VLOOKUP(Base_Periodo1[[#This Row],[CONTA]],BaseContasDRE[#All],5,FALSE)),"Fora do DRE",VLOOKUP(Base_Periodo1[[#This Row],[CONTA]],BaseContasDRE[#All],6,FALSE))</f>
        <v>Fora do DRE</v>
      </c>
      <c r="U5257" s="3" t="str">
        <f>IF(ISERROR(VLOOKUP(Base_Periodo1[[#This Row],[CONTA]],BaseContasDRE[#All],7,FALSE)),"Fora do DRE",VLOOKUP(Base_Periodo1[[#This Row],[CONTA]],BaseContasDRE[#All],7,FALSE))</f>
        <v>Fora do DRE</v>
      </c>
      <c r="V5257" s="3" t="str">
        <f>IF(Base_Periodo1[[#This Row],[Tipo_Linha]]="Fora do DRE","Fora do DRE","( "&amp;Base_Periodo1[[#This Row],[Tipo_Linha]]&amp;" ) "&amp;Base_Periodo1[[#This Row],[Filtro]])</f>
        <v>Fora do DRE</v>
      </c>
      <c r="W5257" s="3" t="str">
        <f>LEFT(Base_Periodo1[[#This Row],[CLASS]],3)</f>
        <v>2.4</v>
      </c>
    </row>
    <row r="5258" spans="1:23" hidden="1">
      <c r="A5258" s="3" t="str">
        <f t="shared" si="82"/>
        <v>Período 1</v>
      </c>
      <c r="B5258">
        <v>53953</v>
      </c>
      <c r="C5258" t="s">
        <v>2300</v>
      </c>
      <c r="D5258" t="s">
        <v>5104</v>
      </c>
      <c r="E5258" s="3" t="str">
        <f>IF(LEN(Base_Periodo1[[#This Row],[CLASS]])&gt;=7,LEFT(Base_Periodo1[[#This Row],[CLASS]],7),"")</f>
        <v>2.4.1.1</v>
      </c>
      <c r="F5258" s="3" t="str">
        <f>VLOOKUP(Base_Periodo1[[#This Row],[Aux]],Base_Contas_Balanco[#All],2,FALSE)</f>
        <v>Capital Social Realizado</v>
      </c>
      <c r="G5258" s="1"/>
      <c r="H5258" s="281">
        <v>240</v>
      </c>
      <c r="I5258" s="281">
        <v>0</v>
      </c>
      <c r="J5258" s="281">
        <v>0</v>
      </c>
      <c r="K5258" s="281">
        <v>240</v>
      </c>
      <c r="L525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258" s="281">
        <f>ROUND(IF(AND(Base_Periodo1[[#This Row],[Tipo_Linha]]="-",Base_Periodo1[[#This Row],[TIPOSALDO]]="D"),Base_Periodo1[[#This Row],[SALDO_ATUAL]]*-1,Base_Periodo1[[#This Row],[SALDO_ATUAL]]),4)</f>
        <v>240</v>
      </c>
      <c r="N5258" t="s">
        <v>116</v>
      </c>
      <c r="O5258" t="s">
        <v>459</v>
      </c>
      <c r="P5258" t="s">
        <v>459</v>
      </c>
      <c r="Q5258">
        <v>6</v>
      </c>
      <c r="R5258" s="281">
        <f>Base_Periodo1[[#This Row],[CREDITOS]]-Base_Periodo1[[#This Row],[DEBITOS]]</f>
        <v>0</v>
      </c>
      <c r="S5258" s="3" t="str">
        <f>IF(ISERROR(VLOOKUP(Base_Periodo1[[#This Row],[CONTA]],BaseContasDRE[#All],4,FALSE)),"Fora do DRE",VLOOKUP(Base_Periodo1[[#This Row],[CONTA]],BaseContasDRE[#All],4,FALSE))</f>
        <v>Fora do DRE</v>
      </c>
      <c r="T5258" s="3" t="str">
        <f>IF(ISERROR(VLOOKUP(Base_Periodo1[[#This Row],[CONTA]],BaseContasDRE[#All],5,FALSE)),"Fora do DRE",VLOOKUP(Base_Periodo1[[#This Row],[CONTA]],BaseContasDRE[#All],6,FALSE))</f>
        <v>Fora do DRE</v>
      </c>
      <c r="U5258" s="3" t="str">
        <f>IF(ISERROR(VLOOKUP(Base_Periodo1[[#This Row],[CONTA]],BaseContasDRE[#All],7,FALSE)),"Fora do DRE",VLOOKUP(Base_Periodo1[[#This Row],[CONTA]],BaseContasDRE[#All],7,FALSE))</f>
        <v>Fora do DRE</v>
      </c>
      <c r="V5258" s="3" t="str">
        <f>IF(Base_Periodo1[[#This Row],[Tipo_Linha]]="Fora do DRE","Fora do DRE","( "&amp;Base_Periodo1[[#This Row],[Tipo_Linha]]&amp;" ) "&amp;Base_Periodo1[[#This Row],[Filtro]])</f>
        <v>Fora do DRE</v>
      </c>
      <c r="W5258" s="3" t="str">
        <f>LEFT(Base_Periodo1[[#This Row],[CLASS]],3)</f>
        <v>2.4</v>
      </c>
    </row>
    <row r="5259" spans="1:23" hidden="1">
      <c r="A5259" s="3" t="str">
        <f t="shared" si="82"/>
        <v>Período 1</v>
      </c>
      <c r="B5259">
        <v>15979</v>
      </c>
      <c r="C5259" t="s">
        <v>2300</v>
      </c>
      <c r="D5259" t="s">
        <v>3114</v>
      </c>
      <c r="E5259" s="3" t="str">
        <f>IF(LEN(Base_Periodo1[[#This Row],[CLASS]])&gt;=7,LEFT(Base_Periodo1[[#This Row],[CLASS]],7),"")</f>
        <v>2.4.1.1</v>
      </c>
      <c r="F5259" s="3" t="str">
        <f>VLOOKUP(Base_Periodo1[[#This Row],[Aux]],Base_Contas_Balanco[#All],2,FALSE)</f>
        <v>Capital Social Realizado</v>
      </c>
      <c r="G5259" s="1"/>
      <c r="H5259" s="281">
        <v>2471.31</v>
      </c>
      <c r="I5259" s="281">
        <v>0</v>
      </c>
      <c r="J5259" s="281">
        <v>0</v>
      </c>
      <c r="K5259" s="281">
        <v>2471.31</v>
      </c>
      <c r="L525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2471.31</v>
      </c>
      <c r="M5259" s="281">
        <f>ROUND(IF(AND(Base_Periodo1[[#This Row],[Tipo_Linha]]="-",Base_Periodo1[[#This Row],[TIPOSALDO]]="D"),Base_Periodo1[[#This Row],[SALDO_ATUAL]]*-1,Base_Periodo1[[#This Row],[SALDO_ATUAL]]),4)</f>
        <v>2471.31</v>
      </c>
      <c r="N5259" t="s">
        <v>116</v>
      </c>
      <c r="O5259" t="s">
        <v>459</v>
      </c>
      <c r="P5259" t="s">
        <v>459</v>
      </c>
      <c r="Q5259">
        <v>6</v>
      </c>
      <c r="R5259" s="281">
        <f>Base_Periodo1[[#This Row],[CREDITOS]]-Base_Periodo1[[#This Row],[DEBITOS]]</f>
        <v>0</v>
      </c>
      <c r="S5259" s="3" t="str">
        <f>IF(ISERROR(VLOOKUP(Base_Periodo1[[#This Row],[CONTA]],BaseContasDRE[#All],4,FALSE)),"Fora do DRE",VLOOKUP(Base_Periodo1[[#This Row],[CONTA]],BaseContasDRE[#All],4,FALSE))</f>
        <v>Fora do DRE</v>
      </c>
      <c r="T5259" s="3" t="str">
        <f>IF(ISERROR(VLOOKUP(Base_Periodo1[[#This Row],[CONTA]],BaseContasDRE[#All],5,FALSE)),"Fora do DRE",VLOOKUP(Base_Periodo1[[#This Row],[CONTA]],BaseContasDRE[#All],6,FALSE))</f>
        <v>Fora do DRE</v>
      </c>
      <c r="U5259" s="3" t="str">
        <f>IF(ISERROR(VLOOKUP(Base_Periodo1[[#This Row],[CONTA]],BaseContasDRE[#All],7,FALSE)),"Fora do DRE",VLOOKUP(Base_Periodo1[[#This Row],[CONTA]],BaseContasDRE[#All],7,FALSE))</f>
        <v>Fora do DRE</v>
      </c>
      <c r="V5259" s="3" t="str">
        <f>IF(Base_Periodo1[[#This Row],[Tipo_Linha]]="Fora do DRE","Fora do DRE","( "&amp;Base_Periodo1[[#This Row],[Tipo_Linha]]&amp;" ) "&amp;Base_Periodo1[[#This Row],[Filtro]])</f>
        <v>Fora do DRE</v>
      </c>
      <c r="W5259" s="3" t="str">
        <f>LEFT(Base_Periodo1[[#This Row],[CLASS]],3)</f>
        <v>2.4</v>
      </c>
    </row>
    <row r="5260" spans="1:23" hidden="1">
      <c r="A5260" s="3" t="str">
        <f t="shared" si="82"/>
        <v>Período 1</v>
      </c>
      <c r="B5260">
        <v>25555</v>
      </c>
      <c r="C5260" t="s">
        <v>2300</v>
      </c>
      <c r="D5260" t="s">
        <v>3115</v>
      </c>
      <c r="E5260" s="3" t="str">
        <f>IF(LEN(Base_Periodo1[[#This Row],[CLASS]])&gt;=7,LEFT(Base_Periodo1[[#This Row],[CLASS]],7),"")</f>
        <v>2.4.1.1</v>
      </c>
      <c r="F5260" s="3" t="str">
        <f>VLOOKUP(Base_Periodo1[[#This Row],[Aux]],Base_Contas_Balanco[#All],2,FALSE)</f>
        <v>Capital Social Realizado</v>
      </c>
      <c r="G5260" s="1"/>
      <c r="H5260" s="281">
        <v>248.89</v>
      </c>
      <c r="I5260" s="281">
        <v>0</v>
      </c>
      <c r="J5260" s="281">
        <v>0</v>
      </c>
      <c r="K5260" s="281">
        <v>248.89</v>
      </c>
      <c r="L526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248.89</v>
      </c>
      <c r="M5260" s="281">
        <f>ROUND(IF(AND(Base_Periodo1[[#This Row],[Tipo_Linha]]="-",Base_Periodo1[[#This Row],[TIPOSALDO]]="D"),Base_Periodo1[[#This Row],[SALDO_ATUAL]]*-1,Base_Periodo1[[#This Row],[SALDO_ATUAL]]),4)</f>
        <v>248.89</v>
      </c>
      <c r="N5260" t="s">
        <v>116</v>
      </c>
      <c r="O5260" t="s">
        <v>459</v>
      </c>
      <c r="P5260" t="s">
        <v>459</v>
      </c>
      <c r="Q5260">
        <v>6</v>
      </c>
      <c r="R5260" s="281">
        <f>Base_Periodo1[[#This Row],[CREDITOS]]-Base_Periodo1[[#This Row],[DEBITOS]]</f>
        <v>0</v>
      </c>
      <c r="S5260" s="3" t="str">
        <f>IF(ISERROR(VLOOKUP(Base_Periodo1[[#This Row],[CONTA]],BaseContasDRE[#All],4,FALSE)),"Fora do DRE",VLOOKUP(Base_Periodo1[[#This Row],[CONTA]],BaseContasDRE[#All],4,FALSE))</f>
        <v>Fora do DRE</v>
      </c>
      <c r="T5260" s="3" t="str">
        <f>IF(ISERROR(VLOOKUP(Base_Periodo1[[#This Row],[CONTA]],BaseContasDRE[#All],5,FALSE)),"Fora do DRE",VLOOKUP(Base_Periodo1[[#This Row],[CONTA]],BaseContasDRE[#All],6,FALSE))</f>
        <v>Fora do DRE</v>
      </c>
      <c r="U5260" s="3" t="str">
        <f>IF(ISERROR(VLOOKUP(Base_Periodo1[[#This Row],[CONTA]],BaseContasDRE[#All],7,FALSE)),"Fora do DRE",VLOOKUP(Base_Periodo1[[#This Row],[CONTA]],BaseContasDRE[#All],7,FALSE))</f>
        <v>Fora do DRE</v>
      </c>
      <c r="V5260" s="3" t="str">
        <f>IF(Base_Periodo1[[#This Row],[Tipo_Linha]]="Fora do DRE","Fora do DRE","( "&amp;Base_Periodo1[[#This Row],[Tipo_Linha]]&amp;" ) "&amp;Base_Periodo1[[#This Row],[Filtro]])</f>
        <v>Fora do DRE</v>
      </c>
      <c r="W5260" s="3" t="str">
        <f>LEFT(Base_Periodo1[[#This Row],[CLASS]],3)</f>
        <v>2.4</v>
      </c>
    </row>
    <row r="5261" spans="1:23" hidden="1">
      <c r="A5261" s="3" t="str">
        <f t="shared" si="82"/>
        <v>Período 1</v>
      </c>
      <c r="B5261">
        <v>46876</v>
      </c>
      <c r="C5261" t="s">
        <v>2300</v>
      </c>
      <c r="D5261" t="s">
        <v>3116</v>
      </c>
      <c r="E5261" s="3" t="str">
        <f>IF(LEN(Base_Periodo1[[#This Row],[CLASS]])&gt;=7,LEFT(Base_Periodo1[[#This Row],[CLASS]],7),"")</f>
        <v>2.4.1.1</v>
      </c>
      <c r="F5261" s="3" t="str">
        <f>VLOOKUP(Base_Periodo1[[#This Row],[Aux]],Base_Contas_Balanco[#All],2,FALSE)</f>
        <v>Capital Social Realizado</v>
      </c>
      <c r="G5261" s="1"/>
      <c r="H5261" s="281">
        <v>68.37</v>
      </c>
      <c r="I5261" s="281">
        <v>0</v>
      </c>
      <c r="J5261" s="281">
        <v>0</v>
      </c>
      <c r="K5261" s="281">
        <v>68.37</v>
      </c>
      <c r="L526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68.37</v>
      </c>
      <c r="M5261" s="281">
        <f>ROUND(IF(AND(Base_Periodo1[[#This Row],[Tipo_Linha]]="-",Base_Periodo1[[#This Row],[TIPOSALDO]]="D"),Base_Periodo1[[#This Row],[SALDO_ATUAL]]*-1,Base_Periodo1[[#This Row],[SALDO_ATUAL]]),4)</f>
        <v>68.37</v>
      </c>
      <c r="N5261" t="s">
        <v>116</v>
      </c>
      <c r="O5261" t="s">
        <v>459</v>
      </c>
      <c r="P5261" t="s">
        <v>459</v>
      </c>
      <c r="Q5261">
        <v>6</v>
      </c>
      <c r="R5261" s="281">
        <f>Base_Periodo1[[#This Row],[CREDITOS]]-Base_Periodo1[[#This Row],[DEBITOS]]</f>
        <v>0</v>
      </c>
      <c r="S5261" s="3" t="str">
        <f>IF(ISERROR(VLOOKUP(Base_Periodo1[[#This Row],[CONTA]],BaseContasDRE[#All],4,FALSE)),"Fora do DRE",VLOOKUP(Base_Periodo1[[#This Row],[CONTA]],BaseContasDRE[#All],4,FALSE))</f>
        <v>Fora do DRE</v>
      </c>
      <c r="T5261" s="3" t="str">
        <f>IF(ISERROR(VLOOKUP(Base_Periodo1[[#This Row],[CONTA]],BaseContasDRE[#All],5,FALSE)),"Fora do DRE",VLOOKUP(Base_Periodo1[[#This Row],[CONTA]],BaseContasDRE[#All],6,FALSE))</f>
        <v>Fora do DRE</v>
      </c>
      <c r="U5261" s="3" t="str">
        <f>IF(ISERROR(VLOOKUP(Base_Periodo1[[#This Row],[CONTA]],BaseContasDRE[#All],7,FALSE)),"Fora do DRE",VLOOKUP(Base_Periodo1[[#This Row],[CONTA]],BaseContasDRE[#All],7,FALSE))</f>
        <v>Fora do DRE</v>
      </c>
      <c r="V5261" s="3" t="str">
        <f>IF(Base_Periodo1[[#This Row],[Tipo_Linha]]="Fora do DRE","Fora do DRE","( "&amp;Base_Periodo1[[#This Row],[Tipo_Linha]]&amp;" ) "&amp;Base_Periodo1[[#This Row],[Filtro]])</f>
        <v>Fora do DRE</v>
      </c>
      <c r="W5261" s="3" t="str">
        <f>LEFT(Base_Periodo1[[#This Row],[CLASS]],3)</f>
        <v>2.4</v>
      </c>
    </row>
    <row r="5262" spans="1:23" hidden="1">
      <c r="A5262" s="3" t="str">
        <f t="shared" si="82"/>
        <v>Período 1</v>
      </c>
      <c r="B5262">
        <v>16400</v>
      </c>
      <c r="C5262" t="s">
        <v>2300</v>
      </c>
      <c r="D5262" t="s">
        <v>3117</v>
      </c>
      <c r="E5262" s="3" t="str">
        <f>IF(LEN(Base_Periodo1[[#This Row],[CLASS]])&gt;=7,LEFT(Base_Periodo1[[#This Row],[CLASS]],7),"")</f>
        <v>2.4.1.1</v>
      </c>
      <c r="F5262" s="3" t="str">
        <f>VLOOKUP(Base_Periodo1[[#This Row],[Aux]],Base_Contas_Balanco[#All],2,FALSE)</f>
        <v>Capital Social Realizado</v>
      </c>
      <c r="G5262" s="1"/>
      <c r="H5262" s="281">
        <v>755.79</v>
      </c>
      <c r="I5262" s="281">
        <v>0</v>
      </c>
      <c r="J5262" s="281">
        <v>0</v>
      </c>
      <c r="K5262" s="281">
        <v>755.79</v>
      </c>
      <c r="L526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755.79</v>
      </c>
      <c r="M5262" s="281">
        <f>ROUND(IF(AND(Base_Periodo1[[#This Row],[Tipo_Linha]]="-",Base_Periodo1[[#This Row],[TIPOSALDO]]="D"),Base_Periodo1[[#This Row],[SALDO_ATUAL]]*-1,Base_Periodo1[[#This Row],[SALDO_ATUAL]]),4)</f>
        <v>755.79</v>
      </c>
      <c r="N5262" t="s">
        <v>116</v>
      </c>
      <c r="O5262" t="s">
        <v>459</v>
      </c>
      <c r="P5262" t="s">
        <v>459</v>
      </c>
      <c r="Q5262">
        <v>6</v>
      </c>
      <c r="R5262" s="281">
        <f>Base_Periodo1[[#This Row],[CREDITOS]]-Base_Periodo1[[#This Row],[DEBITOS]]</f>
        <v>0</v>
      </c>
      <c r="S5262" s="3" t="str">
        <f>IF(ISERROR(VLOOKUP(Base_Periodo1[[#This Row],[CONTA]],BaseContasDRE[#All],4,FALSE)),"Fora do DRE",VLOOKUP(Base_Periodo1[[#This Row],[CONTA]],BaseContasDRE[#All],4,FALSE))</f>
        <v>Fora do DRE</v>
      </c>
      <c r="T5262" s="3" t="str">
        <f>IF(ISERROR(VLOOKUP(Base_Periodo1[[#This Row],[CONTA]],BaseContasDRE[#All],5,FALSE)),"Fora do DRE",VLOOKUP(Base_Periodo1[[#This Row],[CONTA]],BaseContasDRE[#All],6,FALSE))</f>
        <v>Fora do DRE</v>
      </c>
      <c r="U5262" s="3" t="str">
        <f>IF(ISERROR(VLOOKUP(Base_Periodo1[[#This Row],[CONTA]],BaseContasDRE[#All],7,FALSE)),"Fora do DRE",VLOOKUP(Base_Periodo1[[#This Row],[CONTA]],BaseContasDRE[#All],7,FALSE))</f>
        <v>Fora do DRE</v>
      </c>
      <c r="V5262" s="3" t="str">
        <f>IF(Base_Periodo1[[#This Row],[Tipo_Linha]]="Fora do DRE","Fora do DRE","( "&amp;Base_Periodo1[[#This Row],[Tipo_Linha]]&amp;" ) "&amp;Base_Periodo1[[#This Row],[Filtro]])</f>
        <v>Fora do DRE</v>
      </c>
      <c r="W5262" s="3" t="str">
        <f>LEFT(Base_Periodo1[[#This Row],[CLASS]],3)</f>
        <v>2.4</v>
      </c>
    </row>
    <row r="5263" spans="1:23" hidden="1">
      <c r="A5263" s="3" t="str">
        <f t="shared" si="82"/>
        <v>Período 1</v>
      </c>
      <c r="B5263">
        <v>54259</v>
      </c>
      <c r="C5263" t="s">
        <v>2300</v>
      </c>
      <c r="D5263" t="s">
        <v>5105</v>
      </c>
      <c r="E5263" s="3" t="str">
        <f>IF(LEN(Base_Periodo1[[#This Row],[CLASS]])&gt;=7,LEFT(Base_Periodo1[[#This Row],[CLASS]],7),"")</f>
        <v>2.4.1.1</v>
      </c>
      <c r="F5263" s="3" t="str">
        <f>VLOOKUP(Base_Periodo1[[#This Row],[Aux]],Base_Contas_Balanco[#All],2,FALSE)</f>
        <v>Capital Social Realizado</v>
      </c>
      <c r="G5263" s="1"/>
      <c r="H5263" s="281">
        <v>200</v>
      </c>
      <c r="I5263" s="281">
        <v>0</v>
      </c>
      <c r="J5263" s="281">
        <v>0</v>
      </c>
      <c r="K5263" s="281">
        <v>200</v>
      </c>
      <c r="L526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</v>
      </c>
      <c r="M5263" s="281">
        <f>ROUND(IF(AND(Base_Periodo1[[#This Row],[Tipo_Linha]]="-",Base_Periodo1[[#This Row],[TIPOSALDO]]="D"),Base_Periodo1[[#This Row],[SALDO_ATUAL]]*-1,Base_Periodo1[[#This Row],[SALDO_ATUAL]]),4)</f>
        <v>200</v>
      </c>
      <c r="N5263" t="s">
        <v>116</v>
      </c>
      <c r="O5263" t="s">
        <v>459</v>
      </c>
      <c r="P5263" t="s">
        <v>459</v>
      </c>
      <c r="Q5263">
        <v>6</v>
      </c>
      <c r="R5263" s="281">
        <f>Base_Periodo1[[#This Row],[CREDITOS]]-Base_Periodo1[[#This Row],[DEBITOS]]</f>
        <v>0</v>
      </c>
      <c r="S5263" s="3" t="str">
        <f>IF(ISERROR(VLOOKUP(Base_Periodo1[[#This Row],[CONTA]],BaseContasDRE[#All],4,FALSE)),"Fora do DRE",VLOOKUP(Base_Periodo1[[#This Row],[CONTA]],BaseContasDRE[#All],4,FALSE))</f>
        <v>Fora do DRE</v>
      </c>
      <c r="T5263" s="3" t="str">
        <f>IF(ISERROR(VLOOKUP(Base_Periodo1[[#This Row],[CONTA]],BaseContasDRE[#All],5,FALSE)),"Fora do DRE",VLOOKUP(Base_Periodo1[[#This Row],[CONTA]],BaseContasDRE[#All],6,FALSE))</f>
        <v>Fora do DRE</v>
      </c>
      <c r="U5263" s="3" t="str">
        <f>IF(ISERROR(VLOOKUP(Base_Periodo1[[#This Row],[CONTA]],BaseContasDRE[#All],7,FALSE)),"Fora do DRE",VLOOKUP(Base_Periodo1[[#This Row],[CONTA]],BaseContasDRE[#All],7,FALSE))</f>
        <v>Fora do DRE</v>
      </c>
      <c r="V5263" s="3" t="str">
        <f>IF(Base_Periodo1[[#This Row],[Tipo_Linha]]="Fora do DRE","Fora do DRE","( "&amp;Base_Periodo1[[#This Row],[Tipo_Linha]]&amp;" ) "&amp;Base_Periodo1[[#This Row],[Filtro]])</f>
        <v>Fora do DRE</v>
      </c>
      <c r="W5263" s="3" t="str">
        <f>LEFT(Base_Periodo1[[#This Row],[CLASS]],3)</f>
        <v>2.4</v>
      </c>
    </row>
    <row r="5264" spans="1:23" hidden="1">
      <c r="A5264" s="3" t="str">
        <f t="shared" si="82"/>
        <v>Período 1</v>
      </c>
      <c r="B5264">
        <v>19769</v>
      </c>
      <c r="C5264" t="s">
        <v>2300</v>
      </c>
      <c r="D5264" t="s">
        <v>3118</v>
      </c>
      <c r="E5264" s="3" t="str">
        <f>IF(LEN(Base_Periodo1[[#This Row],[CLASS]])&gt;=7,LEFT(Base_Periodo1[[#This Row],[CLASS]],7),"")</f>
        <v>2.4.1.1</v>
      </c>
      <c r="F5264" s="3" t="str">
        <f>VLOOKUP(Base_Periodo1[[#This Row],[Aux]],Base_Contas_Balanco[#All],2,FALSE)</f>
        <v>Capital Social Realizado</v>
      </c>
      <c r="G5264" s="1"/>
      <c r="H5264" s="281">
        <v>172.81</v>
      </c>
      <c r="I5264" s="281">
        <v>0</v>
      </c>
      <c r="J5264" s="281">
        <v>0</v>
      </c>
      <c r="K5264" s="281">
        <v>172.81</v>
      </c>
      <c r="L526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172.81</v>
      </c>
      <c r="M5264" s="281">
        <f>ROUND(IF(AND(Base_Periodo1[[#This Row],[Tipo_Linha]]="-",Base_Periodo1[[#This Row],[TIPOSALDO]]="D"),Base_Periodo1[[#This Row],[SALDO_ATUAL]]*-1,Base_Periodo1[[#This Row],[SALDO_ATUAL]]),4)</f>
        <v>172.81</v>
      </c>
      <c r="N5264" t="s">
        <v>116</v>
      </c>
      <c r="O5264" t="s">
        <v>459</v>
      </c>
      <c r="P5264" t="s">
        <v>459</v>
      </c>
      <c r="Q5264">
        <v>6</v>
      </c>
      <c r="R5264" s="281">
        <f>Base_Periodo1[[#This Row],[CREDITOS]]-Base_Periodo1[[#This Row],[DEBITOS]]</f>
        <v>0</v>
      </c>
      <c r="S5264" s="3" t="str">
        <f>IF(ISERROR(VLOOKUP(Base_Periodo1[[#This Row],[CONTA]],BaseContasDRE[#All],4,FALSE)),"Fora do DRE",VLOOKUP(Base_Periodo1[[#This Row],[CONTA]],BaseContasDRE[#All],4,FALSE))</f>
        <v>Fora do DRE</v>
      </c>
      <c r="T5264" s="3" t="str">
        <f>IF(ISERROR(VLOOKUP(Base_Periodo1[[#This Row],[CONTA]],BaseContasDRE[#All],5,FALSE)),"Fora do DRE",VLOOKUP(Base_Periodo1[[#This Row],[CONTA]],BaseContasDRE[#All],6,FALSE))</f>
        <v>Fora do DRE</v>
      </c>
      <c r="U5264" s="3" t="str">
        <f>IF(ISERROR(VLOOKUP(Base_Periodo1[[#This Row],[CONTA]],BaseContasDRE[#All],7,FALSE)),"Fora do DRE",VLOOKUP(Base_Periodo1[[#This Row],[CONTA]],BaseContasDRE[#All],7,FALSE))</f>
        <v>Fora do DRE</v>
      </c>
      <c r="V5264" s="3" t="str">
        <f>IF(Base_Periodo1[[#This Row],[Tipo_Linha]]="Fora do DRE","Fora do DRE","( "&amp;Base_Periodo1[[#This Row],[Tipo_Linha]]&amp;" ) "&amp;Base_Periodo1[[#This Row],[Filtro]])</f>
        <v>Fora do DRE</v>
      </c>
      <c r="W5264" s="3" t="str">
        <f>LEFT(Base_Periodo1[[#This Row],[CLASS]],3)</f>
        <v>2.4</v>
      </c>
    </row>
    <row r="5265" spans="1:23" hidden="1">
      <c r="A5265" s="3" t="str">
        <f t="shared" si="82"/>
        <v>Período 1</v>
      </c>
      <c r="B5265">
        <v>19734</v>
      </c>
      <c r="C5265" t="s">
        <v>2300</v>
      </c>
      <c r="D5265" t="s">
        <v>3119</v>
      </c>
      <c r="E5265" s="3" t="str">
        <f>IF(LEN(Base_Periodo1[[#This Row],[CLASS]])&gt;=7,LEFT(Base_Periodo1[[#This Row],[CLASS]],7),"")</f>
        <v>2.4.1.1</v>
      </c>
      <c r="F5265" s="3" t="str">
        <f>VLOOKUP(Base_Periodo1[[#This Row],[Aux]],Base_Contas_Balanco[#All],2,FALSE)</f>
        <v>Capital Social Realizado</v>
      </c>
      <c r="G5265" s="1"/>
      <c r="H5265" s="281">
        <v>972.7</v>
      </c>
      <c r="I5265" s="281">
        <v>0</v>
      </c>
      <c r="J5265" s="281">
        <v>0</v>
      </c>
      <c r="K5265" s="281">
        <v>972.7</v>
      </c>
      <c r="L526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972.7</v>
      </c>
      <c r="M5265" s="281">
        <f>ROUND(IF(AND(Base_Periodo1[[#This Row],[Tipo_Linha]]="-",Base_Periodo1[[#This Row],[TIPOSALDO]]="D"),Base_Periodo1[[#This Row],[SALDO_ATUAL]]*-1,Base_Periodo1[[#This Row],[SALDO_ATUAL]]),4)</f>
        <v>972.7</v>
      </c>
      <c r="N5265" t="s">
        <v>116</v>
      </c>
      <c r="O5265" t="s">
        <v>459</v>
      </c>
      <c r="P5265" t="s">
        <v>459</v>
      </c>
      <c r="Q5265">
        <v>6</v>
      </c>
      <c r="R5265" s="281">
        <f>Base_Periodo1[[#This Row],[CREDITOS]]-Base_Periodo1[[#This Row],[DEBITOS]]</f>
        <v>0</v>
      </c>
      <c r="S5265" s="3" t="str">
        <f>IF(ISERROR(VLOOKUP(Base_Periodo1[[#This Row],[CONTA]],BaseContasDRE[#All],4,FALSE)),"Fora do DRE",VLOOKUP(Base_Periodo1[[#This Row],[CONTA]],BaseContasDRE[#All],4,FALSE))</f>
        <v>Fora do DRE</v>
      </c>
      <c r="T5265" s="3" t="str">
        <f>IF(ISERROR(VLOOKUP(Base_Periodo1[[#This Row],[CONTA]],BaseContasDRE[#All],5,FALSE)),"Fora do DRE",VLOOKUP(Base_Periodo1[[#This Row],[CONTA]],BaseContasDRE[#All],6,FALSE))</f>
        <v>Fora do DRE</v>
      </c>
      <c r="U5265" s="3" t="str">
        <f>IF(ISERROR(VLOOKUP(Base_Periodo1[[#This Row],[CONTA]],BaseContasDRE[#All],7,FALSE)),"Fora do DRE",VLOOKUP(Base_Periodo1[[#This Row],[CONTA]],BaseContasDRE[#All],7,FALSE))</f>
        <v>Fora do DRE</v>
      </c>
      <c r="V5265" s="3" t="str">
        <f>IF(Base_Periodo1[[#This Row],[Tipo_Linha]]="Fora do DRE","Fora do DRE","( "&amp;Base_Periodo1[[#This Row],[Tipo_Linha]]&amp;" ) "&amp;Base_Periodo1[[#This Row],[Filtro]])</f>
        <v>Fora do DRE</v>
      </c>
      <c r="W5265" s="3" t="str">
        <f>LEFT(Base_Periodo1[[#This Row],[CLASS]],3)</f>
        <v>2.4</v>
      </c>
    </row>
    <row r="5266" spans="1:23" hidden="1">
      <c r="A5266" s="3" t="str">
        <f t="shared" si="82"/>
        <v>Período 1</v>
      </c>
      <c r="B5266">
        <v>28310</v>
      </c>
      <c r="C5266" t="s">
        <v>2300</v>
      </c>
      <c r="D5266" t="s">
        <v>3120</v>
      </c>
      <c r="E5266" s="3" t="str">
        <f>IF(LEN(Base_Periodo1[[#This Row],[CLASS]])&gt;=7,LEFT(Base_Periodo1[[#This Row],[CLASS]],7),"")</f>
        <v>2.4.1.1</v>
      </c>
      <c r="F5266" s="3" t="str">
        <f>VLOOKUP(Base_Periodo1[[#This Row],[Aux]],Base_Contas_Balanco[#All],2,FALSE)</f>
        <v>Capital Social Realizado</v>
      </c>
      <c r="G5266" s="1"/>
      <c r="H5266" s="281">
        <v>240</v>
      </c>
      <c r="I5266" s="281">
        <v>0</v>
      </c>
      <c r="J5266" s="281">
        <v>0</v>
      </c>
      <c r="K5266" s="281">
        <v>240</v>
      </c>
      <c r="L526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266" s="281">
        <f>ROUND(IF(AND(Base_Periodo1[[#This Row],[Tipo_Linha]]="-",Base_Periodo1[[#This Row],[TIPOSALDO]]="D"),Base_Periodo1[[#This Row],[SALDO_ATUAL]]*-1,Base_Periodo1[[#This Row],[SALDO_ATUAL]]),4)</f>
        <v>240</v>
      </c>
      <c r="N5266" t="s">
        <v>116</v>
      </c>
      <c r="O5266" t="s">
        <v>459</v>
      </c>
      <c r="P5266" t="s">
        <v>459</v>
      </c>
      <c r="Q5266">
        <v>6</v>
      </c>
      <c r="R5266" s="281">
        <f>Base_Periodo1[[#This Row],[CREDITOS]]-Base_Periodo1[[#This Row],[DEBITOS]]</f>
        <v>0</v>
      </c>
      <c r="S5266" s="3" t="str">
        <f>IF(ISERROR(VLOOKUP(Base_Periodo1[[#This Row],[CONTA]],BaseContasDRE[#All],4,FALSE)),"Fora do DRE",VLOOKUP(Base_Periodo1[[#This Row],[CONTA]],BaseContasDRE[#All],4,FALSE))</f>
        <v>Fora do DRE</v>
      </c>
      <c r="T5266" s="3" t="str">
        <f>IF(ISERROR(VLOOKUP(Base_Periodo1[[#This Row],[CONTA]],BaseContasDRE[#All],5,FALSE)),"Fora do DRE",VLOOKUP(Base_Periodo1[[#This Row],[CONTA]],BaseContasDRE[#All],6,FALSE))</f>
        <v>Fora do DRE</v>
      </c>
      <c r="U5266" s="3" t="str">
        <f>IF(ISERROR(VLOOKUP(Base_Periodo1[[#This Row],[CONTA]],BaseContasDRE[#All],7,FALSE)),"Fora do DRE",VLOOKUP(Base_Periodo1[[#This Row],[CONTA]],BaseContasDRE[#All],7,FALSE))</f>
        <v>Fora do DRE</v>
      </c>
      <c r="V5266" s="3" t="str">
        <f>IF(Base_Periodo1[[#This Row],[Tipo_Linha]]="Fora do DRE","Fora do DRE","( "&amp;Base_Periodo1[[#This Row],[Tipo_Linha]]&amp;" ) "&amp;Base_Periodo1[[#This Row],[Filtro]])</f>
        <v>Fora do DRE</v>
      </c>
      <c r="W5266" s="3" t="str">
        <f>LEFT(Base_Periodo1[[#This Row],[CLASS]],3)</f>
        <v>2.4</v>
      </c>
    </row>
    <row r="5267" spans="1:23" hidden="1">
      <c r="A5267" s="3" t="str">
        <f t="shared" si="82"/>
        <v>Período 1</v>
      </c>
      <c r="B5267">
        <v>16174</v>
      </c>
      <c r="C5267" t="s">
        <v>2300</v>
      </c>
      <c r="D5267" t="s">
        <v>3121</v>
      </c>
      <c r="E5267" s="3" t="str">
        <f>IF(LEN(Base_Periodo1[[#This Row],[CLASS]])&gt;=7,LEFT(Base_Periodo1[[#This Row],[CLASS]],7),"")</f>
        <v>2.4.1.1</v>
      </c>
      <c r="F5267" s="3" t="str">
        <f>VLOOKUP(Base_Periodo1[[#This Row],[Aux]],Base_Contas_Balanco[#All],2,FALSE)</f>
        <v>Capital Social Realizado</v>
      </c>
      <c r="G5267" s="1"/>
      <c r="H5267" s="281">
        <v>6464.6</v>
      </c>
      <c r="I5267" s="281">
        <v>0</v>
      </c>
      <c r="J5267" s="281">
        <v>0</v>
      </c>
      <c r="K5267" s="281">
        <v>6464.6</v>
      </c>
      <c r="L526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6464.6</v>
      </c>
      <c r="M5267" s="281">
        <f>ROUND(IF(AND(Base_Periodo1[[#This Row],[Tipo_Linha]]="-",Base_Periodo1[[#This Row],[TIPOSALDO]]="D"),Base_Periodo1[[#This Row],[SALDO_ATUAL]]*-1,Base_Periodo1[[#This Row],[SALDO_ATUAL]]),4)</f>
        <v>6464.6</v>
      </c>
      <c r="N5267" t="s">
        <v>116</v>
      </c>
      <c r="O5267" t="s">
        <v>459</v>
      </c>
      <c r="P5267" t="s">
        <v>459</v>
      </c>
      <c r="Q5267">
        <v>6</v>
      </c>
      <c r="R5267" s="281">
        <f>Base_Periodo1[[#This Row],[CREDITOS]]-Base_Periodo1[[#This Row],[DEBITOS]]</f>
        <v>0</v>
      </c>
      <c r="S5267" s="3" t="str">
        <f>IF(ISERROR(VLOOKUP(Base_Periodo1[[#This Row],[CONTA]],BaseContasDRE[#All],4,FALSE)),"Fora do DRE",VLOOKUP(Base_Periodo1[[#This Row],[CONTA]],BaseContasDRE[#All],4,FALSE))</f>
        <v>Fora do DRE</v>
      </c>
      <c r="T5267" s="3" t="str">
        <f>IF(ISERROR(VLOOKUP(Base_Periodo1[[#This Row],[CONTA]],BaseContasDRE[#All],5,FALSE)),"Fora do DRE",VLOOKUP(Base_Periodo1[[#This Row],[CONTA]],BaseContasDRE[#All],6,FALSE))</f>
        <v>Fora do DRE</v>
      </c>
      <c r="U5267" s="3" t="str">
        <f>IF(ISERROR(VLOOKUP(Base_Periodo1[[#This Row],[CONTA]],BaseContasDRE[#All],7,FALSE)),"Fora do DRE",VLOOKUP(Base_Periodo1[[#This Row],[CONTA]],BaseContasDRE[#All],7,FALSE))</f>
        <v>Fora do DRE</v>
      </c>
      <c r="V5267" s="3" t="str">
        <f>IF(Base_Periodo1[[#This Row],[Tipo_Linha]]="Fora do DRE","Fora do DRE","( "&amp;Base_Periodo1[[#This Row],[Tipo_Linha]]&amp;" ) "&amp;Base_Periodo1[[#This Row],[Filtro]])</f>
        <v>Fora do DRE</v>
      </c>
      <c r="W5267" s="3" t="str">
        <f>LEFT(Base_Periodo1[[#This Row],[CLASS]],3)</f>
        <v>2.4</v>
      </c>
    </row>
    <row r="5268" spans="1:23" hidden="1">
      <c r="A5268" s="3" t="str">
        <f t="shared" si="82"/>
        <v>Período 1</v>
      </c>
      <c r="B5268">
        <v>21227</v>
      </c>
      <c r="C5268" t="s">
        <v>2300</v>
      </c>
      <c r="D5268" t="s">
        <v>3122</v>
      </c>
      <c r="E5268" s="3" t="str">
        <f>IF(LEN(Base_Periodo1[[#This Row],[CLASS]])&gt;=7,LEFT(Base_Periodo1[[#This Row],[CLASS]],7),"")</f>
        <v>2.4.1.1</v>
      </c>
      <c r="F5268" s="3" t="str">
        <f>VLOOKUP(Base_Periodo1[[#This Row],[Aux]],Base_Contas_Balanco[#All],2,FALSE)</f>
        <v>Capital Social Realizado</v>
      </c>
      <c r="G5268" s="1"/>
      <c r="H5268" s="281">
        <v>155.06</v>
      </c>
      <c r="I5268" s="281">
        <v>0</v>
      </c>
      <c r="J5268" s="281">
        <v>0</v>
      </c>
      <c r="K5268" s="281">
        <v>155.06</v>
      </c>
      <c r="L526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155.06</v>
      </c>
      <c r="M5268" s="281">
        <f>ROUND(IF(AND(Base_Periodo1[[#This Row],[Tipo_Linha]]="-",Base_Periodo1[[#This Row],[TIPOSALDO]]="D"),Base_Periodo1[[#This Row],[SALDO_ATUAL]]*-1,Base_Periodo1[[#This Row],[SALDO_ATUAL]]),4)</f>
        <v>155.06</v>
      </c>
      <c r="N5268" t="s">
        <v>116</v>
      </c>
      <c r="O5268" t="s">
        <v>459</v>
      </c>
      <c r="P5268" t="s">
        <v>459</v>
      </c>
      <c r="Q5268">
        <v>6</v>
      </c>
      <c r="R5268" s="281">
        <f>Base_Periodo1[[#This Row],[CREDITOS]]-Base_Periodo1[[#This Row],[DEBITOS]]</f>
        <v>0</v>
      </c>
      <c r="S5268" s="3" t="str">
        <f>IF(ISERROR(VLOOKUP(Base_Periodo1[[#This Row],[CONTA]],BaseContasDRE[#All],4,FALSE)),"Fora do DRE",VLOOKUP(Base_Periodo1[[#This Row],[CONTA]],BaseContasDRE[#All],4,FALSE))</f>
        <v>Fora do DRE</v>
      </c>
      <c r="T5268" s="3" t="str">
        <f>IF(ISERROR(VLOOKUP(Base_Periodo1[[#This Row],[CONTA]],BaseContasDRE[#All],5,FALSE)),"Fora do DRE",VLOOKUP(Base_Periodo1[[#This Row],[CONTA]],BaseContasDRE[#All],6,FALSE))</f>
        <v>Fora do DRE</v>
      </c>
      <c r="U5268" s="3" t="str">
        <f>IF(ISERROR(VLOOKUP(Base_Periodo1[[#This Row],[CONTA]],BaseContasDRE[#All],7,FALSE)),"Fora do DRE",VLOOKUP(Base_Periodo1[[#This Row],[CONTA]],BaseContasDRE[#All],7,FALSE))</f>
        <v>Fora do DRE</v>
      </c>
      <c r="V5268" s="3" t="str">
        <f>IF(Base_Periodo1[[#This Row],[Tipo_Linha]]="Fora do DRE","Fora do DRE","( "&amp;Base_Periodo1[[#This Row],[Tipo_Linha]]&amp;" ) "&amp;Base_Periodo1[[#This Row],[Filtro]])</f>
        <v>Fora do DRE</v>
      </c>
      <c r="W5268" s="3" t="str">
        <f>LEFT(Base_Periodo1[[#This Row],[CLASS]],3)</f>
        <v>2.4</v>
      </c>
    </row>
    <row r="5269" spans="1:23" hidden="1">
      <c r="A5269" s="3" t="str">
        <f t="shared" si="82"/>
        <v>Período 1</v>
      </c>
      <c r="B5269">
        <v>16136</v>
      </c>
      <c r="C5269" t="s">
        <v>2300</v>
      </c>
      <c r="D5269" t="s">
        <v>3123</v>
      </c>
      <c r="E5269" s="3" t="str">
        <f>IF(LEN(Base_Periodo1[[#This Row],[CLASS]])&gt;=7,LEFT(Base_Periodo1[[#This Row],[CLASS]],7),"")</f>
        <v>2.4.1.1</v>
      </c>
      <c r="F5269" s="3" t="str">
        <f>VLOOKUP(Base_Periodo1[[#This Row],[Aux]],Base_Contas_Balanco[#All],2,FALSE)</f>
        <v>Capital Social Realizado</v>
      </c>
      <c r="G5269" s="1"/>
      <c r="H5269" s="281">
        <v>6467.71</v>
      </c>
      <c r="I5269" s="281">
        <v>0</v>
      </c>
      <c r="J5269" s="281">
        <v>0</v>
      </c>
      <c r="K5269" s="281">
        <v>6467.71</v>
      </c>
      <c r="L526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6467.71</v>
      </c>
      <c r="M5269" s="281">
        <f>ROUND(IF(AND(Base_Periodo1[[#This Row],[Tipo_Linha]]="-",Base_Periodo1[[#This Row],[TIPOSALDO]]="D"),Base_Periodo1[[#This Row],[SALDO_ATUAL]]*-1,Base_Periodo1[[#This Row],[SALDO_ATUAL]]),4)</f>
        <v>6467.71</v>
      </c>
      <c r="N5269" t="s">
        <v>116</v>
      </c>
      <c r="O5269" t="s">
        <v>459</v>
      </c>
      <c r="P5269" t="s">
        <v>459</v>
      </c>
      <c r="Q5269">
        <v>6</v>
      </c>
      <c r="R5269" s="281">
        <f>Base_Periodo1[[#This Row],[CREDITOS]]-Base_Periodo1[[#This Row],[DEBITOS]]</f>
        <v>0</v>
      </c>
      <c r="S5269" s="3" t="str">
        <f>IF(ISERROR(VLOOKUP(Base_Periodo1[[#This Row],[CONTA]],BaseContasDRE[#All],4,FALSE)),"Fora do DRE",VLOOKUP(Base_Periodo1[[#This Row],[CONTA]],BaseContasDRE[#All],4,FALSE))</f>
        <v>Fora do DRE</v>
      </c>
      <c r="T5269" s="3" t="str">
        <f>IF(ISERROR(VLOOKUP(Base_Periodo1[[#This Row],[CONTA]],BaseContasDRE[#All],5,FALSE)),"Fora do DRE",VLOOKUP(Base_Periodo1[[#This Row],[CONTA]],BaseContasDRE[#All],6,FALSE))</f>
        <v>Fora do DRE</v>
      </c>
      <c r="U5269" s="3" t="str">
        <f>IF(ISERROR(VLOOKUP(Base_Periodo1[[#This Row],[CONTA]],BaseContasDRE[#All],7,FALSE)),"Fora do DRE",VLOOKUP(Base_Periodo1[[#This Row],[CONTA]],BaseContasDRE[#All],7,FALSE))</f>
        <v>Fora do DRE</v>
      </c>
      <c r="V5269" s="3" t="str">
        <f>IF(Base_Periodo1[[#This Row],[Tipo_Linha]]="Fora do DRE","Fora do DRE","( "&amp;Base_Periodo1[[#This Row],[Tipo_Linha]]&amp;" ) "&amp;Base_Periodo1[[#This Row],[Filtro]])</f>
        <v>Fora do DRE</v>
      </c>
      <c r="W5269" s="3" t="str">
        <f>LEFT(Base_Periodo1[[#This Row],[CLASS]],3)</f>
        <v>2.4</v>
      </c>
    </row>
    <row r="5270" spans="1:23" hidden="1">
      <c r="A5270" s="3" t="str">
        <f t="shared" si="82"/>
        <v>Período 1</v>
      </c>
      <c r="B5270">
        <v>16281</v>
      </c>
      <c r="C5270" t="s">
        <v>2300</v>
      </c>
      <c r="D5270" t="s">
        <v>3124</v>
      </c>
      <c r="E5270" s="3" t="str">
        <f>IF(LEN(Base_Periodo1[[#This Row],[CLASS]])&gt;=7,LEFT(Base_Periodo1[[#This Row],[CLASS]],7),"")</f>
        <v>2.4.1.1</v>
      </c>
      <c r="F5270" s="3" t="str">
        <f>VLOOKUP(Base_Periodo1[[#This Row],[Aux]],Base_Contas_Balanco[#All],2,FALSE)</f>
        <v>Capital Social Realizado</v>
      </c>
      <c r="G5270" s="1"/>
      <c r="H5270" s="281">
        <v>6845.4400000000005</v>
      </c>
      <c r="I5270" s="281">
        <v>0</v>
      </c>
      <c r="J5270" s="281">
        <v>0</v>
      </c>
      <c r="K5270" s="281">
        <v>6845.4400000000005</v>
      </c>
      <c r="L527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6845.44</v>
      </c>
      <c r="M5270" s="281">
        <f>ROUND(IF(AND(Base_Periodo1[[#This Row],[Tipo_Linha]]="-",Base_Periodo1[[#This Row],[TIPOSALDO]]="D"),Base_Periodo1[[#This Row],[SALDO_ATUAL]]*-1,Base_Periodo1[[#This Row],[SALDO_ATUAL]]),4)</f>
        <v>6845.44</v>
      </c>
      <c r="N5270" t="s">
        <v>116</v>
      </c>
      <c r="O5270" t="s">
        <v>459</v>
      </c>
      <c r="P5270" t="s">
        <v>459</v>
      </c>
      <c r="Q5270">
        <v>6</v>
      </c>
      <c r="R5270" s="281">
        <f>Base_Periodo1[[#This Row],[CREDITOS]]-Base_Periodo1[[#This Row],[DEBITOS]]</f>
        <v>0</v>
      </c>
      <c r="S5270" s="3" t="str">
        <f>IF(ISERROR(VLOOKUP(Base_Periodo1[[#This Row],[CONTA]],BaseContasDRE[#All],4,FALSE)),"Fora do DRE",VLOOKUP(Base_Periodo1[[#This Row],[CONTA]],BaseContasDRE[#All],4,FALSE))</f>
        <v>Fora do DRE</v>
      </c>
      <c r="T5270" s="3" t="str">
        <f>IF(ISERROR(VLOOKUP(Base_Periodo1[[#This Row],[CONTA]],BaseContasDRE[#All],5,FALSE)),"Fora do DRE",VLOOKUP(Base_Periodo1[[#This Row],[CONTA]],BaseContasDRE[#All],6,FALSE))</f>
        <v>Fora do DRE</v>
      </c>
      <c r="U5270" s="3" t="str">
        <f>IF(ISERROR(VLOOKUP(Base_Periodo1[[#This Row],[CONTA]],BaseContasDRE[#All],7,FALSE)),"Fora do DRE",VLOOKUP(Base_Periodo1[[#This Row],[CONTA]],BaseContasDRE[#All],7,FALSE))</f>
        <v>Fora do DRE</v>
      </c>
      <c r="V5270" s="3" t="str">
        <f>IF(Base_Periodo1[[#This Row],[Tipo_Linha]]="Fora do DRE","Fora do DRE","( "&amp;Base_Periodo1[[#This Row],[Tipo_Linha]]&amp;" ) "&amp;Base_Periodo1[[#This Row],[Filtro]])</f>
        <v>Fora do DRE</v>
      </c>
      <c r="W5270" s="3" t="str">
        <f>LEFT(Base_Periodo1[[#This Row],[CLASS]],3)</f>
        <v>2.4</v>
      </c>
    </row>
    <row r="5271" spans="1:23" hidden="1">
      <c r="A5271" s="3" t="str">
        <f t="shared" si="82"/>
        <v>Período 1</v>
      </c>
      <c r="B5271">
        <v>19770</v>
      </c>
      <c r="C5271" t="s">
        <v>2300</v>
      </c>
      <c r="D5271" t="s">
        <v>3125</v>
      </c>
      <c r="E5271" s="3" t="str">
        <f>IF(LEN(Base_Periodo1[[#This Row],[CLASS]])&gt;=7,LEFT(Base_Periodo1[[#This Row],[CLASS]],7),"")</f>
        <v>2.4.1.1</v>
      </c>
      <c r="F5271" s="3" t="str">
        <f>VLOOKUP(Base_Periodo1[[#This Row],[Aux]],Base_Contas_Balanco[#All],2,FALSE)</f>
        <v>Capital Social Realizado</v>
      </c>
      <c r="G5271" s="1"/>
      <c r="H5271" s="281">
        <v>987.27</v>
      </c>
      <c r="I5271" s="281">
        <v>0</v>
      </c>
      <c r="J5271" s="281">
        <v>0</v>
      </c>
      <c r="K5271" s="281">
        <v>987.27</v>
      </c>
      <c r="L527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987.27</v>
      </c>
      <c r="M5271" s="281">
        <f>ROUND(IF(AND(Base_Periodo1[[#This Row],[Tipo_Linha]]="-",Base_Periodo1[[#This Row],[TIPOSALDO]]="D"),Base_Periodo1[[#This Row],[SALDO_ATUAL]]*-1,Base_Periodo1[[#This Row],[SALDO_ATUAL]]),4)</f>
        <v>987.27</v>
      </c>
      <c r="N5271" t="s">
        <v>116</v>
      </c>
      <c r="O5271" t="s">
        <v>459</v>
      </c>
      <c r="P5271" t="s">
        <v>459</v>
      </c>
      <c r="Q5271">
        <v>6</v>
      </c>
      <c r="R5271" s="281">
        <f>Base_Periodo1[[#This Row],[CREDITOS]]-Base_Periodo1[[#This Row],[DEBITOS]]</f>
        <v>0</v>
      </c>
      <c r="S5271" s="3" t="str">
        <f>IF(ISERROR(VLOOKUP(Base_Periodo1[[#This Row],[CONTA]],BaseContasDRE[#All],4,FALSE)),"Fora do DRE",VLOOKUP(Base_Periodo1[[#This Row],[CONTA]],BaseContasDRE[#All],4,FALSE))</f>
        <v>Fora do DRE</v>
      </c>
      <c r="T5271" s="3" t="str">
        <f>IF(ISERROR(VLOOKUP(Base_Periodo1[[#This Row],[CONTA]],BaseContasDRE[#All],5,FALSE)),"Fora do DRE",VLOOKUP(Base_Periodo1[[#This Row],[CONTA]],BaseContasDRE[#All],6,FALSE))</f>
        <v>Fora do DRE</v>
      </c>
      <c r="U5271" s="3" t="str">
        <f>IF(ISERROR(VLOOKUP(Base_Periodo1[[#This Row],[CONTA]],BaseContasDRE[#All],7,FALSE)),"Fora do DRE",VLOOKUP(Base_Periodo1[[#This Row],[CONTA]],BaseContasDRE[#All],7,FALSE))</f>
        <v>Fora do DRE</v>
      </c>
      <c r="V5271" s="3" t="str">
        <f>IF(Base_Periodo1[[#This Row],[Tipo_Linha]]="Fora do DRE","Fora do DRE","( "&amp;Base_Periodo1[[#This Row],[Tipo_Linha]]&amp;" ) "&amp;Base_Periodo1[[#This Row],[Filtro]])</f>
        <v>Fora do DRE</v>
      </c>
      <c r="W5271" s="3" t="str">
        <f>LEFT(Base_Periodo1[[#This Row],[CLASS]],3)</f>
        <v>2.4</v>
      </c>
    </row>
    <row r="5272" spans="1:23" hidden="1">
      <c r="A5272" s="3" t="str">
        <f t="shared" si="82"/>
        <v>Período 1</v>
      </c>
      <c r="B5272">
        <v>25667</v>
      </c>
      <c r="C5272" t="s">
        <v>2300</v>
      </c>
      <c r="D5272" t="s">
        <v>3126</v>
      </c>
      <c r="E5272" s="3" t="str">
        <f>IF(LEN(Base_Periodo1[[#This Row],[CLASS]])&gt;=7,LEFT(Base_Periodo1[[#This Row],[CLASS]],7),"")</f>
        <v>2.4.1.1</v>
      </c>
      <c r="F5272" s="3" t="str">
        <f>VLOOKUP(Base_Periodo1[[#This Row],[Aux]],Base_Contas_Balanco[#All],2,FALSE)</f>
        <v>Capital Social Realizado</v>
      </c>
      <c r="G5272" s="1"/>
      <c r="H5272" s="281">
        <v>58.68</v>
      </c>
      <c r="I5272" s="281">
        <v>0</v>
      </c>
      <c r="J5272" s="281">
        <v>0</v>
      </c>
      <c r="K5272" s="281">
        <v>58.68</v>
      </c>
      <c r="L527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58.68</v>
      </c>
      <c r="M5272" s="281">
        <f>ROUND(IF(AND(Base_Periodo1[[#This Row],[Tipo_Linha]]="-",Base_Periodo1[[#This Row],[TIPOSALDO]]="D"),Base_Periodo1[[#This Row],[SALDO_ATUAL]]*-1,Base_Periodo1[[#This Row],[SALDO_ATUAL]]),4)</f>
        <v>58.68</v>
      </c>
      <c r="N5272" t="s">
        <v>116</v>
      </c>
      <c r="O5272" t="s">
        <v>459</v>
      </c>
      <c r="P5272" t="s">
        <v>459</v>
      </c>
      <c r="Q5272">
        <v>6</v>
      </c>
      <c r="R5272" s="281">
        <f>Base_Periodo1[[#This Row],[CREDITOS]]-Base_Periodo1[[#This Row],[DEBITOS]]</f>
        <v>0</v>
      </c>
      <c r="S5272" s="3" t="str">
        <f>IF(ISERROR(VLOOKUP(Base_Periodo1[[#This Row],[CONTA]],BaseContasDRE[#All],4,FALSE)),"Fora do DRE",VLOOKUP(Base_Periodo1[[#This Row],[CONTA]],BaseContasDRE[#All],4,FALSE))</f>
        <v>Fora do DRE</v>
      </c>
      <c r="T5272" s="3" t="str">
        <f>IF(ISERROR(VLOOKUP(Base_Periodo1[[#This Row],[CONTA]],BaseContasDRE[#All],5,FALSE)),"Fora do DRE",VLOOKUP(Base_Periodo1[[#This Row],[CONTA]],BaseContasDRE[#All],6,FALSE))</f>
        <v>Fora do DRE</v>
      </c>
      <c r="U5272" s="3" t="str">
        <f>IF(ISERROR(VLOOKUP(Base_Periodo1[[#This Row],[CONTA]],BaseContasDRE[#All],7,FALSE)),"Fora do DRE",VLOOKUP(Base_Periodo1[[#This Row],[CONTA]],BaseContasDRE[#All],7,FALSE))</f>
        <v>Fora do DRE</v>
      </c>
      <c r="V5272" s="3" t="str">
        <f>IF(Base_Periodo1[[#This Row],[Tipo_Linha]]="Fora do DRE","Fora do DRE","( "&amp;Base_Periodo1[[#This Row],[Tipo_Linha]]&amp;" ) "&amp;Base_Periodo1[[#This Row],[Filtro]])</f>
        <v>Fora do DRE</v>
      </c>
      <c r="W5272" s="3" t="str">
        <f>LEFT(Base_Periodo1[[#This Row],[CLASS]],3)</f>
        <v>2.4</v>
      </c>
    </row>
    <row r="5273" spans="1:23" hidden="1">
      <c r="A5273" s="3" t="str">
        <f t="shared" si="82"/>
        <v>Período 1</v>
      </c>
      <c r="B5273">
        <v>19368</v>
      </c>
      <c r="C5273" t="s">
        <v>2300</v>
      </c>
      <c r="D5273" t="s">
        <v>3127</v>
      </c>
      <c r="E5273" s="3" t="str">
        <f>IF(LEN(Base_Periodo1[[#This Row],[CLASS]])&gt;=7,LEFT(Base_Periodo1[[#This Row],[CLASS]],7),"")</f>
        <v>2.4.1.1</v>
      </c>
      <c r="F5273" s="3" t="str">
        <f>VLOOKUP(Base_Periodo1[[#This Row],[Aux]],Base_Contas_Balanco[#All],2,FALSE)</f>
        <v>Capital Social Realizado</v>
      </c>
      <c r="G5273" s="1"/>
      <c r="H5273" s="281">
        <v>2337.69</v>
      </c>
      <c r="I5273" s="281">
        <v>0</v>
      </c>
      <c r="J5273" s="281">
        <v>0</v>
      </c>
      <c r="K5273" s="281">
        <v>2337.69</v>
      </c>
      <c r="L527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2337.69</v>
      </c>
      <c r="M5273" s="281">
        <f>ROUND(IF(AND(Base_Periodo1[[#This Row],[Tipo_Linha]]="-",Base_Periodo1[[#This Row],[TIPOSALDO]]="D"),Base_Periodo1[[#This Row],[SALDO_ATUAL]]*-1,Base_Periodo1[[#This Row],[SALDO_ATUAL]]),4)</f>
        <v>2337.69</v>
      </c>
      <c r="N5273" t="s">
        <v>116</v>
      </c>
      <c r="O5273" t="s">
        <v>459</v>
      </c>
      <c r="P5273" t="s">
        <v>459</v>
      </c>
      <c r="Q5273">
        <v>6</v>
      </c>
      <c r="R5273" s="281">
        <f>Base_Periodo1[[#This Row],[CREDITOS]]-Base_Periodo1[[#This Row],[DEBITOS]]</f>
        <v>0</v>
      </c>
      <c r="S5273" s="3" t="str">
        <f>IF(ISERROR(VLOOKUP(Base_Periodo1[[#This Row],[CONTA]],BaseContasDRE[#All],4,FALSE)),"Fora do DRE",VLOOKUP(Base_Periodo1[[#This Row],[CONTA]],BaseContasDRE[#All],4,FALSE))</f>
        <v>Fora do DRE</v>
      </c>
      <c r="T5273" s="3" t="str">
        <f>IF(ISERROR(VLOOKUP(Base_Periodo1[[#This Row],[CONTA]],BaseContasDRE[#All],5,FALSE)),"Fora do DRE",VLOOKUP(Base_Periodo1[[#This Row],[CONTA]],BaseContasDRE[#All],6,FALSE))</f>
        <v>Fora do DRE</v>
      </c>
      <c r="U5273" s="3" t="str">
        <f>IF(ISERROR(VLOOKUP(Base_Periodo1[[#This Row],[CONTA]],BaseContasDRE[#All],7,FALSE)),"Fora do DRE",VLOOKUP(Base_Periodo1[[#This Row],[CONTA]],BaseContasDRE[#All],7,FALSE))</f>
        <v>Fora do DRE</v>
      </c>
      <c r="V5273" s="3" t="str">
        <f>IF(Base_Periodo1[[#This Row],[Tipo_Linha]]="Fora do DRE","Fora do DRE","( "&amp;Base_Periodo1[[#This Row],[Tipo_Linha]]&amp;" ) "&amp;Base_Periodo1[[#This Row],[Filtro]])</f>
        <v>Fora do DRE</v>
      </c>
      <c r="W5273" s="3" t="str">
        <f>LEFT(Base_Periodo1[[#This Row],[CLASS]],3)</f>
        <v>2.4</v>
      </c>
    </row>
    <row r="5274" spans="1:23" hidden="1">
      <c r="A5274" s="3" t="str">
        <f t="shared" si="82"/>
        <v>Período 1</v>
      </c>
      <c r="B5274">
        <v>36188</v>
      </c>
      <c r="C5274" t="s">
        <v>2300</v>
      </c>
      <c r="D5274" t="s">
        <v>3128</v>
      </c>
      <c r="E5274" s="3" t="str">
        <f>IF(LEN(Base_Periodo1[[#This Row],[CLASS]])&gt;=7,LEFT(Base_Periodo1[[#This Row],[CLASS]],7),"")</f>
        <v>2.4.1.1</v>
      </c>
      <c r="F5274" s="3" t="str">
        <f>VLOOKUP(Base_Periodo1[[#This Row],[Aux]],Base_Contas_Balanco[#All],2,FALSE)</f>
        <v>Capital Social Realizado</v>
      </c>
      <c r="G5274" s="1"/>
      <c r="H5274" s="281">
        <v>240</v>
      </c>
      <c r="I5274" s="281">
        <v>0</v>
      </c>
      <c r="J5274" s="281">
        <v>0</v>
      </c>
      <c r="K5274" s="281">
        <v>240</v>
      </c>
      <c r="L527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274" s="281">
        <f>ROUND(IF(AND(Base_Periodo1[[#This Row],[Tipo_Linha]]="-",Base_Periodo1[[#This Row],[TIPOSALDO]]="D"),Base_Periodo1[[#This Row],[SALDO_ATUAL]]*-1,Base_Periodo1[[#This Row],[SALDO_ATUAL]]),4)</f>
        <v>240</v>
      </c>
      <c r="N5274" t="s">
        <v>116</v>
      </c>
      <c r="O5274" t="s">
        <v>459</v>
      </c>
      <c r="P5274" t="s">
        <v>459</v>
      </c>
      <c r="Q5274">
        <v>6</v>
      </c>
      <c r="R5274" s="281">
        <f>Base_Periodo1[[#This Row],[CREDITOS]]-Base_Periodo1[[#This Row],[DEBITOS]]</f>
        <v>0</v>
      </c>
      <c r="S5274" s="3" t="str">
        <f>IF(ISERROR(VLOOKUP(Base_Periodo1[[#This Row],[CONTA]],BaseContasDRE[#All],4,FALSE)),"Fora do DRE",VLOOKUP(Base_Periodo1[[#This Row],[CONTA]],BaseContasDRE[#All],4,FALSE))</f>
        <v>Fora do DRE</v>
      </c>
      <c r="T5274" s="3" t="str">
        <f>IF(ISERROR(VLOOKUP(Base_Periodo1[[#This Row],[CONTA]],BaseContasDRE[#All],5,FALSE)),"Fora do DRE",VLOOKUP(Base_Periodo1[[#This Row],[CONTA]],BaseContasDRE[#All],6,FALSE))</f>
        <v>Fora do DRE</v>
      </c>
      <c r="U5274" s="3" t="str">
        <f>IF(ISERROR(VLOOKUP(Base_Periodo1[[#This Row],[CONTA]],BaseContasDRE[#All],7,FALSE)),"Fora do DRE",VLOOKUP(Base_Periodo1[[#This Row],[CONTA]],BaseContasDRE[#All],7,FALSE))</f>
        <v>Fora do DRE</v>
      </c>
      <c r="V5274" s="3" t="str">
        <f>IF(Base_Periodo1[[#This Row],[Tipo_Linha]]="Fora do DRE","Fora do DRE","( "&amp;Base_Periodo1[[#This Row],[Tipo_Linha]]&amp;" ) "&amp;Base_Periodo1[[#This Row],[Filtro]])</f>
        <v>Fora do DRE</v>
      </c>
      <c r="W5274" s="3" t="str">
        <f>LEFT(Base_Periodo1[[#This Row],[CLASS]],3)</f>
        <v>2.4</v>
      </c>
    </row>
    <row r="5275" spans="1:23" hidden="1">
      <c r="A5275" s="3" t="str">
        <f t="shared" si="82"/>
        <v>Período 1</v>
      </c>
      <c r="B5275">
        <v>16012</v>
      </c>
      <c r="C5275" t="s">
        <v>2300</v>
      </c>
      <c r="D5275" t="s">
        <v>3129</v>
      </c>
      <c r="E5275" s="3" t="str">
        <f>IF(LEN(Base_Periodo1[[#This Row],[CLASS]])&gt;=7,LEFT(Base_Periodo1[[#This Row],[CLASS]],7),"")</f>
        <v>2.4.1.1</v>
      </c>
      <c r="F5275" s="3" t="str">
        <f>VLOOKUP(Base_Periodo1[[#This Row],[Aux]],Base_Contas_Balanco[#All],2,FALSE)</f>
        <v>Capital Social Realizado</v>
      </c>
      <c r="G5275" s="1"/>
      <c r="H5275" s="281">
        <v>5016.96</v>
      </c>
      <c r="I5275" s="281">
        <v>0</v>
      </c>
      <c r="J5275" s="281">
        <v>0</v>
      </c>
      <c r="K5275" s="281">
        <v>5016.96</v>
      </c>
      <c r="L527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5016.96</v>
      </c>
      <c r="M5275" s="281">
        <f>ROUND(IF(AND(Base_Periodo1[[#This Row],[Tipo_Linha]]="-",Base_Periodo1[[#This Row],[TIPOSALDO]]="D"),Base_Periodo1[[#This Row],[SALDO_ATUAL]]*-1,Base_Periodo1[[#This Row],[SALDO_ATUAL]]),4)</f>
        <v>5016.96</v>
      </c>
      <c r="N5275" t="s">
        <v>116</v>
      </c>
      <c r="O5275" t="s">
        <v>459</v>
      </c>
      <c r="P5275" t="s">
        <v>459</v>
      </c>
      <c r="Q5275">
        <v>6</v>
      </c>
      <c r="R5275" s="281">
        <f>Base_Periodo1[[#This Row],[CREDITOS]]-Base_Periodo1[[#This Row],[DEBITOS]]</f>
        <v>0</v>
      </c>
      <c r="S5275" s="3" t="str">
        <f>IF(ISERROR(VLOOKUP(Base_Periodo1[[#This Row],[CONTA]],BaseContasDRE[#All],4,FALSE)),"Fora do DRE",VLOOKUP(Base_Periodo1[[#This Row],[CONTA]],BaseContasDRE[#All],4,FALSE))</f>
        <v>Fora do DRE</v>
      </c>
      <c r="T5275" s="3" t="str">
        <f>IF(ISERROR(VLOOKUP(Base_Periodo1[[#This Row],[CONTA]],BaseContasDRE[#All],5,FALSE)),"Fora do DRE",VLOOKUP(Base_Periodo1[[#This Row],[CONTA]],BaseContasDRE[#All],6,FALSE))</f>
        <v>Fora do DRE</v>
      </c>
      <c r="U5275" s="3" t="str">
        <f>IF(ISERROR(VLOOKUP(Base_Periodo1[[#This Row],[CONTA]],BaseContasDRE[#All],7,FALSE)),"Fora do DRE",VLOOKUP(Base_Periodo1[[#This Row],[CONTA]],BaseContasDRE[#All],7,FALSE))</f>
        <v>Fora do DRE</v>
      </c>
      <c r="V5275" s="3" t="str">
        <f>IF(Base_Periodo1[[#This Row],[Tipo_Linha]]="Fora do DRE","Fora do DRE","( "&amp;Base_Periodo1[[#This Row],[Tipo_Linha]]&amp;" ) "&amp;Base_Periodo1[[#This Row],[Filtro]])</f>
        <v>Fora do DRE</v>
      </c>
      <c r="W5275" s="3" t="str">
        <f>LEFT(Base_Periodo1[[#This Row],[CLASS]],3)</f>
        <v>2.4</v>
      </c>
    </row>
    <row r="5276" spans="1:23" hidden="1">
      <c r="A5276" s="3" t="str">
        <f t="shared" si="82"/>
        <v>Período 1</v>
      </c>
      <c r="B5276">
        <v>25503</v>
      </c>
      <c r="C5276" t="s">
        <v>2300</v>
      </c>
      <c r="D5276" t="s">
        <v>3130</v>
      </c>
      <c r="E5276" s="3" t="str">
        <f>IF(LEN(Base_Periodo1[[#This Row],[CLASS]])&gt;=7,LEFT(Base_Periodo1[[#This Row],[CLASS]],7),"")</f>
        <v>2.4.1.1</v>
      </c>
      <c r="F5276" s="3" t="str">
        <f>VLOOKUP(Base_Periodo1[[#This Row],[Aux]],Base_Contas_Balanco[#All],2,FALSE)</f>
        <v>Capital Social Realizado</v>
      </c>
      <c r="G5276" s="1"/>
      <c r="H5276" s="281">
        <v>539.13</v>
      </c>
      <c r="I5276" s="281">
        <v>0</v>
      </c>
      <c r="J5276" s="281">
        <v>0</v>
      </c>
      <c r="K5276" s="281">
        <v>539.13</v>
      </c>
      <c r="L527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539.13</v>
      </c>
      <c r="M5276" s="281">
        <f>ROUND(IF(AND(Base_Periodo1[[#This Row],[Tipo_Linha]]="-",Base_Periodo1[[#This Row],[TIPOSALDO]]="D"),Base_Periodo1[[#This Row],[SALDO_ATUAL]]*-1,Base_Periodo1[[#This Row],[SALDO_ATUAL]]),4)</f>
        <v>539.13</v>
      </c>
      <c r="N5276" t="s">
        <v>116</v>
      </c>
      <c r="O5276" t="s">
        <v>459</v>
      </c>
      <c r="P5276" t="s">
        <v>459</v>
      </c>
      <c r="Q5276">
        <v>6</v>
      </c>
      <c r="R5276" s="281">
        <f>Base_Periodo1[[#This Row],[CREDITOS]]-Base_Periodo1[[#This Row],[DEBITOS]]</f>
        <v>0</v>
      </c>
      <c r="S5276" s="3" t="str">
        <f>IF(ISERROR(VLOOKUP(Base_Periodo1[[#This Row],[CONTA]],BaseContasDRE[#All],4,FALSE)),"Fora do DRE",VLOOKUP(Base_Periodo1[[#This Row],[CONTA]],BaseContasDRE[#All],4,FALSE))</f>
        <v>Fora do DRE</v>
      </c>
      <c r="T5276" s="3" t="str">
        <f>IF(ISERROR(VLOOKUP(Base_Periodo1[[#This Row],[CONTA]],BaseContasDRE[#All],5,FALSE)),"Fora do DRE",VLOOKUP(Base_Periodo1[[#This Row],[CONTA]],BaseContasDRE[#All],6,FALSE))</f>
        <v>Fora do DRE</v>
      </c>
      <c r="U5276" s="3" t="str">
        <f>IF(ISERROR(VLOOKUP(Base_Periodo1[[#This Row],[CONTA]],BaseContasDRE[#All],7,FALSE)),"Fora do DRE",VLOOKUP(Base_Periodo1[[#This Row],[CONTA]],BaseContasDRE[#All],7,FALSE))</f>
        <v>Fora do DRE</v>
      </c>
      <c r="V5276" s="3" t="str">
        <f>IF(Base_Periodo1[[#This Row],[Tipo_Linha]]="Fora do DRE","Fora do DRE","( "&amp;Base_Periodo1[[#This Row],[Tipo_Linha]]&amp;" ) "&amp;Base_Periodo1[[#This Row],[Filtro]])</f>
        <v>Fora do DRE</v>
      </c>
      <c r="W5276" s="3" t="str">
        <f>LEFT(Base_Periodo1[[#This Row],[CLASS]],3)</f>
        <v>2.4</v>
      </c>
    </row>
    <row r="5277" spans="1:23" hidden="1">
      <c r="A5277" s="3" t="str">
        <f t="shared" si="82"/>
        <v>Período 1</v>
      </c>
      <c r="B5277">
        <v>16314</v>
      </c>
      <c r="C5277" t="s">
        <v>2300</v>
      </c>
      <c r="D5277" t="s">
        <v>3131</v>
      </c>
      <c r="E5277" s="3" t="str">
        <f>IF(LEN(Base_Periodo1[[#This Row],[CLASS]])&gt;=7,LEFT(Base_Periodo1[[#This Row],[CLASS]],7),"")</f>
        <v>2.4.1.1</v>
      </c>
      <c r="F5277" s="3" t="str">
        <f>VLOOKUP(Base_Periodo1[[#This Row],[Aux]],Base_Contas_Balanco[#All],2,FALSE)</f>
        <v>Capital Social Realizado</v>
      </c>
      <c r="G5277" s="1"/>
      <c r="H5277" s="281">
        <v>5896.68</v>
      </c>
      <c r="I5277" s="281">
        <v>0</v>
      </c>
      <c r="J5277" s="281">
        <v>0</v>
      </c>
      <c r="K5277" s="281">
        <v>5896.68</v>
      </c>
      <c r="L527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5896.68</v>
      </c>
      <c r="M5277" s="281">
        <f>ROUND(IF(AND(Base_Periodo1[[#This Row],[Tipo_Linha]]="-",Base_Periodo1[[#This Row],[TIPOSALDO]]="D"),Base_Periodo1[[#This Row],[SALDO_ATUAL]]*-1,Base_Periodo1[[#This Row],[SALDO_ATUAL]]),4)</f>
        <v>5896.68</v>
      </c>
      <c r="N5277" t="s">
        <v>116</v>
      </c>
      <c r="O5277" t="s">
        <v>459</v>
      </c>
      <c r="P5277" t="s">
        <v>459</v>
      </c>
      <c r="Q5277">
        <v>6</v>
      </c>
      <c r="R5277" s="281">
        <f>Base_Periodo1[[#This Row],[CREDITOS]]-Base_Periodo1[[#This Row],[DEBITOS]]</f>
        <v>0</v>
      </c>
      <c r="S5277" s="3" t="str">
        <f>IF(ISERROR(VLOOKUP(Base_Periodo1[[#This Row],[CONTA]],BaseContasDRE[#All],4,FALSE)),"Fora do DRE",VLOOKUP(Base_Periodo1[[#This Row],[CONTA]],BaseContasDRE[#All],4,FALSE))</f>
        <v>Fora do DRE</v>
      </c>
      <c r="T5277" s="3" t="str">
        <f>IF(ISERROR(VLOOKUP(Base_Periodo1[[#This Row],[CONTA]],BaseContasDRE[#All],5,FALSE)),"Fora do DRE",VLOOKUP(Base_Periodo1[[#This Row],[CONTA]],BaseContasDRE[#All],6,FALSE))</f>
        <v>Fora do DRE</v>
      </c>
      <c r="U5277" s="3" t="str">
        <f>IF(ISERROR(VLOOKUP(Base_Periodo1[[#This Row],[CONTA]],BaseContasDRE[#All],7,FALSE)),"Fora do DRE",VLOOKUP(Base_Periodo1[[#This Row],[CONTA]],BaseContasDRE[#All],7,FALSE))</f>
        <v>Fora do DRE</v>
      </c>
      <c r="V5277" s="3" t="str">
        <f>IF(Base_Periodo1[[#This Row],[Tipo_Linha]]="Fora do DRE","Fora do DRE","( "&amp;Base_Periodo1[[#This Row],[Tipo_Linha]]&amp;" ) "&amp;Base_Periodo1[[#This Row],[Filtro]])</f>
        <v>Fora do DRE</v>
      </c>
      <c r="W5277" s="3" t="str">
        <f>LEFT(Base_Periodo1[[#This Row],[CLASS]],3)</f>
        <v>2.4</v>
      </c>
    </row>
    <row r="5278" spans="1:23" hidden="1">
      <c r="A5278" s="3" t="str">
        <f t="shared" si="82"/>
        <v>Período 1</v>
      </c>
      <c r="B5278">
        <v>25544</v>
      </c>
      <c r="C5278" t="s">
        <v>2300</v>
      </c>
      <c r="D5278" t="s">
        <v>3132</v>
      </c>
      <c r="E5278" s="3" t="str">
        <f>IF(LEN(Base_Periodo1[[#This Row],[CLASS]])&gt;=7,LEFT(Base_Periodo1[[#This Row],[CLASS]],7),"")</f>
        <v>2.4.1.1</v>
      </c>
      <c r="F5278" s="3" t="str">
        <f>VLOOKUP(Base_Periodo1[[#This Row],[Aux]],Base_Contas_Balanco[#All],2,FALSE)</f>
        <v>Capital Social Realizado</v>
      </c>
      <c r="G5278" s="1"/>
      <c r="H5278" s="281">
        <v>131.19999999999999</v>
      </c>
      <c r="I5278" s="281">
        <v>0</v>
      </c>
      <c r="J5278" s="281">
        <v>0</v>
      </c>
      <c r="K5278" s="281">
        <v>131.19999999999999</v>
      </c>
      <c r="L527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131.19999999999999</v>
      </c>
      <c r="M5278" s="281">
        <f>ROUND(IF(AND(Base_Periodo1[[#This Row],[Tipo_Linha]]="-",Base_Periodo1[[#This Row],[TIPOSALDO]]="D"),Base_Periodo1[[#This Row],[SALDO_ATUAL]]*-1,Base_Periodo1[[#This Row],[SALDO_ATUAL]]),4)</f>
        <v>131.19999999999999</v>
      </c>
      <c r="N5278" t="s">
        <v>116</v>
      </c>
      <c r="O5278" t="s">
        <v>459</v>
      </c>
      <c r="P5278" t="s">
        <v>459</v>
      </c>
      <c r="Q5278">
        <v>6</v>
      </c>
      <c r="R5278" s="281">
        <f>Base_Periodo1[[#This Row],[CREDITOS]]-Base_Periodo1[[#This Row],[DEBITOS]]</f>
        <v>0</v>
      </c>
      <c r="S5278" s="3" t="str">
        <f>IF(ISERROR(VLOOKUP(Base_Periodo1[[#This Row],[CONTA]],BaseContasDRE[#All],4,FALSE)),"Fora do DRE",VLOOKUP(Base_Periodo1[[#This Row],[CONTA]],BaseContasDRE[#All],4,FALSE))</f>
        <v>Fora do DRE</v>
      </c>
      <c r="T5278" s="3" t="str">
        <f>IF(ISERROR(VLOOKUP(Base_Periodo1[[#This Row],[CONTA]],BaseContasDRE[#All],5,FALSE)),"Fora do DRE",VLOOKUP(Base_Periodo1[[#This Row],[CONTA]],BaseContasDRE[#All],6,FALSE))</f>
        <v>Fora do DRE</v>
      </c>
      <c r="U5278" s="3" t="str">
        <f>IF(ISERROR(VLOOKUP(Base_Periodo1[[#This Row],[CONTA]],BaseContasDRE[#All],7,FALSE)),"Fora do DRE",VLOOKUP(Base_Periodo1[[#This Row],[CONTA]],BaseContasDRE[#All],7,FALSE))</f>
        <v>Fora do DRE</v>
      </c>
      <c r="V5278" s="3" t="str">
        <f>IF(Base_Periodo1[[#This Row],[Tipo_Linha]]="Fora do DRE","Fora do DRE","( "&amp;Base_Periodo1[[#This Row],[Tipo_Linha]]&amp;" ) "&amp;Base_Periodo1[[#This Row],[Filtro]])</f>
        <v>Fora do DRE</v>
      </c>
      <c r="W5278" s="3" t="str">
        <f>LEFT(Base_Periodo1[[#This Row],[CLASS]],3)</f>
        <v>2.4</v>
      </c>
    </row>
    <row r="5279" spans="1:23" hidden="1">
      <c r="A5279" s="3" t="str">
        <f t="shared" si="82"/>
        <v>Período 1</v>
      </c>
      <c r="B5279">
        <v>15966</v>
      </c>
      <c r="C5279" t="s">
        <v>2300</v>
      </c>
      <c r="D5279" t="s">
        <v>3133</v>
      </c>
      <c r="E5279" s="3" t="str">
        <f>IF(LEN(Base_Periodo1[[#This Row],[CLASS]])&gt;=7,LEFT(Base_Periodo1[[#This Row],[CLASS]],7),"")</f>
        <v>2.4.1.1</v>
      </c>
      <c r="F5279" s="3" t="str">
        <f>VLOOKUP(Base_Periodo1[[#This Row],[Aux]],Base_Contas_Balanco[#All],2,FALSE)</f>
        <v>Capital Social Realizado</v>
      </c>
      <c r="G5279" s="1">
        <v>41332</v>
      </c>
      <c r="H5279" s="281">
        <v>51.170000000000073</v>
      </c>
      <c r="I5279" s="281">
        <v>0</v>
      </c>
      <c r="J5279" s="281">
        <v>0</v>
      </c>
      <c r="K5279" s="281">
        <v>51.170000000000073</v>
      </c>
      <c r="L527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51.17</v>
      </c>
      <c r="M5279" s="281">
        <f>ROUND(IF(AND(Base_Periodo1[[#This Row],[Tipo_Linha]]="-",Base_Periodo1[[#This Row],[TIPOSALDO]]="D"),Base_Periodo1[[#This Row],[SALDO_ATUAL]]*-1,Base_Periodo1[[#This Row],[SALDO_ATUAL]]),4)</f>
        <v>51.17</v>
      </c>
      <c r="N5279" t="s">
        <v>116</v>
      </c>
      <c r="O5279" t="s">
        <v>459</v>
      </c>
      <c r="P5279" t="s">
        <v>459</v>
      </c>
      <c r="Q5279">
        <v>6</v>
      </c>
      <c r="R5279" s="281">
        <f>Base_Periodo1[[#This Row],[CREDITOS]]-Base_Periodo1[[#This Row],[DEBITOS]]</f>
        <v>0</v>
      </c>
      <c r="S5279" s="3" t="str">
        <f>IF(ISERROR(VLOOKUP(Base_Periodo1[[#This Row],[CONTA]],BaseContasDRE[#All],4,FALSE)),"Fora do DRE",VLOOKUP(Base_Periodo1[[#This Row],[CONTA]],BaseContasDRE[#All],4,FALSE))</f>
        <v>Fora do DRE</v>
      </c>
      <c r="T5279" s="3" t="str">
        <f>IF(ISERROR(VLOOKUP(Base_Periodo1[[#This Row],[CONTA]],BaseContasDRE[#All],5,FALSE)),"Fora do DRE",VLOOKUP(Base_Periodo1[[#This Row],[CONTA]],BaseContasDRE[#All],6,FALSE))</f>
        <v>Fora do DRE</v>
      </c>
      <c r="U5279" s="3" t="str">
        <f>IF(ISERROR(VLOOKUP(Base_Periodo1[[#This Row],[CONTA]],BaseContasDRE[#All],7,FALSE)),"Fora do DRE",VLOOKUP(Base_Periodo1[[#This Row],[CONTA]],BaseContasDRE[#All],7,FALSE))</f>
        <v>Fora do DRE</v>
      </c>
      <c r="V5279" s="3" t="str">
        <f>IF(Base_Periodo1[[#This Row],[Tipo_Linha]]="Fora do DRE","Fora do DRE","( "&amp;Base_Periodo1[[#This Row],[Tipo_Linha]]&amp;" ) "&amp;Base_Periodo1[[#This Row],[Filtro]])</f>
        <v>Fora do DRE</v>
      </c>
      <c r="W5279" s="3" t="str">
        <f>LEFT(Base_Periodo1[[#This Row],[CLASS]],3)</f>
        <v>2.4</v>
      </c>
    </row>
    <row r="5280" spans="1:23" hidden="1">
      <c r="A5280" s="3" t="str">
        <f t="shared" si="82"/>
        <v>Período 1</v>
      </c>
      <c r="B5280">
        <v>19369</v>
      </c>
      <c r="C5280" t="s">
        <v>2300</v>
      </c>
      <c r="D5280" t="s">
        <v>3134</v>
      </c>
      <c r="E5280" s="3" t="str">
        <f>IF(LEN(Base_Periodo1[[#This Row],[CLASS]])&gt;=7,LEFT(Base_Periodo1[[#This Row],[CLASS]],7),"")</f>
        <v>2.4.1.1</v>
      </c>
      <c r="F5280" s="3" t="str">
        <f>VLOOKUP(Base_Periodo1[[#This Row],[Aux]],Base_Contas_Balanco[#All],2,FALSE)</f>
        <v>Capital Social Realizado</v>
      </c>
      <c r="G5280" s="1"/>
      <c r="H5280" s="281">
        <v>121.17</v>
      </c>
      <c r="I5280" s="281">
        <v>0</v>
      </c>
      <c r="J5280" s="281">
        <v>0</v>
      </c>
      <c r="K5280" s="281">
        <v>121.17</v>
      </c>
      <c r="L528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121.17</v>
      </c>
      <c r="M5280" s="281">
        <f>ROUND(IF(AND(Base_Periodo1[[#This Row],[Tipo_Linha]]="-",Base_Periodo1[[#This Row],[TIPOSALDO]]="D"),Base_Periodo1[[#This Row],[SALDO_ATUAL]]*-1,Base_Periodo1[[#This Row],[SALDO_ATUAL]]),4)</f>
        <v>121.17</v>
      </c>
      <c r="N5280" t="s">
        <v>116</v>
      </c>
      <c r="O5280" t="s">
        <v>459</v>
      </c>
      <c r="P5280" t="s">
        <v>459</v>
      </c>
      <c r="Q5280">
        <v>6</v>
      </c>
      <c r="R5280" s="281">
        <f>Base_Periodo1[[#This Row],[CREDITOS]]-Base_Periodo1[[#This Row],[DEBITOS]]</f>
        <v>0</v>
      </c>
      <c r="S5280" s="3" t="str">
        <f>IF(ISERROR(VLOOKUP(Base_Periodo1[[#This Row],[CONTA]],BaseContasDRE[#All],4,FALSE)),"Fora do DRE",VLOOKUP(Base_Periodo1[[#This Row],[CONTA]],BaseContasDRE[#All],4,FALSE))</f>
        <v>Fora do DRE</v>
      </c>
      <c r="T5280" s="3" t="str">
        <f>IF(ISERROR(VLOOKUP(Base_Periodo1[[#This Row],[CONTA]],BaseContasDRE[#All],5,FALSE)),"Fora do DRE",VLOOKUP(Base_Periodo1[[#This Row],[CONTA]],BaseContasDRE[#All],6,FALSE))</f>
        <v>Fora do DRE</v>
      </c>
      <c r="U5280" s="3" t="str">
        <f>IF(ISERROR(VLOOKUP(Base_Periodo1[[#This Row],[CONTA]],BaseContasDRE[#All],7,FALSE)),"Fora do DRE",VLOOKUP(Base_Periodo1[[#This Row],[CONTA]],BaseContasDRE[#All],7,FALSE))</f>
        <v>Fora do DRE</v>
      </c>
      <c r="V5280" s="3" t="str">
        <f>IF(Base_Periodo1[[#This Row],[Tipo_Linha]]="Fora do DRE","Fora do DRE","( "&amp;Base_Periodo1[[#This Row],[Tipo_Linha]]&amp;" ) "&amp;Base_Periodo1[[#This Row],[Filtro]])</f>
        <v>Fora do DRE</v>
      </c>
      <c r="W5280" s="3" t="str">
        <f>LEFT(Base_Periodo1[[#This Row],[CLASS]],3)</f>
        <v>2.4</v>
      </c>
    </row>
    <row r="5281" spans="1:23" hidden="1">
      <c r="A5281" s="3" t="str">
        <f t="shared" si="82"/>
        <v>Período 1</v>
      </c>
      <c r="B5281">
        <v>15940</v>
      </c>
      <c r="C5281" t="s">
        <v>2300</v>
      </c>
      <c r="D5281" t="s">
        <v>3135</v>
      </c>
      <c r="E5281" s="3" t="str">
        <f>IF(LEN(Base_Periodo1[[#This Row],[CLASS]])&gt;=7,LEFT(Base_Periodo1[[#This Row],[CLASS]],7),"")</f>
        <v>2.4.1.1</v>
      </c>
      <c r="F5281" s="3" t="str">
        <f>VLOOKUP(Base_Periodo1[[#This Row],[Aux]],Base_Contas_Balanco[#All],2,FALSE)</f>
        <v>Capital Social Realizado</v>
      </c>
      <c r="G5281" s="1"/>
      <c r="H5281" s="281">
        <v>2996.6500000000005</v>
      </c>
      <c r="I5281" s="281">
        <v>0</v>
      </c>
      <c r="J5281" s="281">
        <v>0</v>
      </c>
      <c r="K5281" s="281">
        <v>2996.6500000000005</v>
      </c>
      <c r="L528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2996.65</v>
      </c>
      <c r="M5281" s="281">
        <f>ROUND(IF(AND(Base_Periodo1[[#This Row],[Tipo_Linha]]="-",Base_Periodo1[[#This Row],[TIPOSALDO]]="D"),Base_Periodo1[[#This Row],[SALDO_ATUAL]]*-1,Base_Periodo1[[#This Row],[SALDO_ATUAL]]),4)</f>
        <v>2996.65</v>
      </c>
      <c r="N5281" t="s">
        <v>116</v>
      </c>
      <c r="O5281" t="s">
        <v>459</v>
      </c>
      <c r="P5281" t="s">
        <v>459</v>
      </c>
      <c r="Q5281">
        <v>6</v>
      </c>
      <c r="R5281" s="281">
        <f>Base_Periodo1[[#This Row],[CREDITOS]]-Base_Periodo1[[#This Row],[DEBITOS]]</f>
        <v>0</v>
      </c>
      <c r="S5281" s="3" t="str">
        <f>IF(ISERROR(VLOOKUP(Base_Periodo1[[#This Row],[CONTA]],BaseContasDRE[#All],4,FALSE)),"Fora do DRE",VLOOKUP(Base_Periodo1[[#This Row],[CONTA]],BaseContasDRE[#All],4,FALSE))</f>
        <v>Fora do DRE</v>
      </c>
      <c r="T5281" s="3" t="str">
        <f>IF(ISERROR(VLOOKUP(Base_Periodo1[[#This Row],[CONTA]],BaseContasDRE[#All],5,FALSE)),"Fora do DRE",VLOOKUP(Base_Periodo1[[#This Row],[CONTA]],BaseContasDRE[#All],6,FALSE))</f>
        <v>Fora do DRE</v>
      </c>
      <c r="U5281" s="3" t="str">
        <f>IF(ISERROR(VLOOKUP(Base_Periodo1[[#This Row],[CONTA]],BaseContasDRE[#All],7,FALSE)),"Fora do DRE",VLOOKUP(Base_Periodo1[[#This Row],[CONTA]],BaseContasDRE[#All],7,FALSE))</f>
        <v>Fora do DRE</v>
      </c>
      <c r="V5281" s="3" t="str">
        <f>IF(Base_Periodo1[[#This Row],[Tipo_Linha]]="Fora do DRE","Fora do DRE","( "&amp;Base_Periodo1[[#This Row],[Tipo_Linha]]&amp;" ) "&amp;Base_Periodo1[[#This Row],[Filtro]])</f>
        <v>Fora do DRE</v>
      </c>
      <c r="W5281" s="3" t="str">
        <f>LEFT(Base_Periodo1[[#This Row],[CLASS]],3)</f>
        <v>2.4</v>
      </c>
    </row>
    <row r="5282" spans="1:23" hidden="1">
      <c r="A5282" s="3" t="str">
        <f t="shared" si="82"/>
        <v>Período 1</v>
      </c>
      <c r="B5282">
        <v>49678</v>
      </c>
      <c r="C5282" t="s">
        <v>2300</v>
      </c>
      <c r="D5282" t="s">
        <v>4317</v>
      </c>
      <c r="E5282" s="3" t="str">
        <f>IF(LEN(Base_Periodo1[[#This Row],[CLASS]])&gt;=7,LEFT(Base_Periodo1[[#This Row],[CLASS]],7),"")</f>
        <v>2.4.1.1</v>
      </c>
      <c r="F5282" s="3" t="str">
        <f>VLOOKUP(Base_Periodo1[[#This Row],[Aux]],Base_Contas_Balanco[#All],2,FALSE)</f>
        <v>Capital Social Realizado</v>
      </c>
      <c r="G5282" s="1"/>
      <c r="H5282" s="281">
        <v>279.83000000000004</v>
      </c>
      <c r="I5282" s="281">
        <v>0</v>
      </c>
      <c r="J5282" s="281">
        <v>0</v>
      </c>
      <c r="K5282" s="281">
        <v>279.83000000000004</v>
      </c>
      <c r="L528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279.83</v>
      </c>
      <c r="M5282" s="281">
        <f>ROUND(IF(AND(Base_Periodo1[[#This Row],[Tipo_Linha]]="-",Base_Periodo1[[#This Row],[TIPOSALDO]]="D"),Base_Periodo1[[#This Row],[SALDO_ATUAL]]*-1,Base_Periodo1[[#This Row],[SALDO_ATUAL]]),4)</f>
        <v>279.83</v>
      </c>
      <c r="N5282" t="s">
        <v>116</v>
      </c>
      <c r="O5282" t="s">
        <v>459</v>
      </c>
      <c r="P5282" t="s">
        <v>459</v>
      </c>
      <c r="Q5282">
        <v>6</v>
      </c>
      <c r="R5282" s="281">
        <f>Base_Periodo1[[#This Row],[CREDITOS]]-Base_Periodo1[[#This Row],[DEBITOS]]</f>
        <v>0</v>
      </c>
      <c r="S5282" s="3" t="str">
        <f>IF(ISERROR(VLOOKUP(Base_Periodo1[[#This Row],[CONTA]],BaseContasDRE[#All],4,FALSE)),"Fora do DRE",VLOOKUP(Base_Periodo1[[#This Row],[CONTA]],BaseContasDRE[#All],4,FALSE))</f>
        <v>Fora do DRE</v>
      </c>
      <c r="T5282" s="3" t="str">
        <f>IF(ISERROR(VLOOKUP(Base_Periodo1[[#This Row],[CONTA]],BaseContasDRE[#All],5,FALSE)),"Fora do DRE",VLOOKUP(Base_Periodo1[[#This Row],[CONTA]],BaseContasDRE[#All],6,FALSE))</f>
        <v>Fora do DRE</v>
      </c>
      <c r="U5282" s="3" t="str">
        <f>IF(ISERROR(VLOOKUP(Base_Periodo1[[#This Row],[CONTA]],BaseContasDRE[#All],7,FALSE)),"Fora do DRE",VLOOKUP(Base_Periodo1[[#This Row],[CONTA]],BaseContasDRE[#All],7,FALSE))</f>
        <v>Fora do DRE</v>
      </c>
      <c r="V5282" s="3" t="str">
        <f>IF(Base_Periodo1[[#This Row],[Tipo_Linha]]="Fora do DRE","Fora do DRE","( "&amp;Base_Periodo1[[#This Row],[Tipo_Linha]]&amp;" ) "&amp;Base_Periodo1[[#This Row],[Filtro]])</f>
        <v>Fora do DRE</v>
      </c>
      <c r="W5282" s="3" t="str">
        <f>LEFT(Base_Periodo1[[#This Row],[CLASS]],3)</f>
        <v>2.4</v>
      </c>
    </row>
    <row r="5283" spans="1:23" hidden="1">
      <c r="A5283" s="3" t="str">
        <f t="shared" si="82"/>
        <v>Período 1</v>
      </c>
      <c r="B5283">
        <v>47766</v>
      </c>
      <c r="C5283" t="s">
        <v>2300</v>
      </c>
      <c r="D5283" t="s">
        <v>3136</v>
      </c>
      <c r="E5283" s="3" t="str">
        <f>IF(LEN(Base_Periodo1[[#This Row],[CLASS]])&gt;=7,LEFT(Base_Periodo1[[#This Row],[CLASS]],7),"")</f>
        <v>2.4.1.1</v>
      </c>
      <c r="F5283" s="3" t="str">
        <f>VLOOKUP(Base_Periodo1[[#This Row],[Aux]],Base_Contas_Balanco[#All],2,FALSE)</f>
        <v>Capital Social Realizado</v>
      </c>
      <c r="G5283" s="1"/>
      <c r="H5283" s="281">
        <v>2068.1800000000003</v>
      </c>
      <c r="I5283" s="281">
        <v>0</v>
      </c>
      <c r="J5283" s="281">
        <v>0</v>
      </c>
      <c r="K5283" s="281">
        <v>2068.1800000000003</v>
      </c>
      <c r="L528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2068.1799999999998</v>
      </c>
      <c r="M5283" s="281">
        <f>ROUND(IF(AND(Base_Periodo1[[#This Row],[Tipo_Linha]]="-",Base_Periodo1[[#This Row],[TIPOSALDO]]="D"),Base_Periodo1[[#This Row],[SALDO_ATUAL]]*-1,Base_Periodo1[[#This Row],[SALDO_ATUAL]]),4)</f>
        <v>2068.1799999999998</v>
      </c>
      <c r="N5283" t="s">
        <v>116</v>
      </c>
      <c r="O5283" t="s">
        <v>459</v>
      </c>
      <c r="P5283" t="s">
        <v>459</v>
      </c>
      <c r="Q5283">
        <v>6</v>
      </c>
      <c r="R5283" s="281">
        <f>Base_Periodo1[[#This Row],[CREDITOS]]-Base_Periodo1[[#This Row],[DEBITOS]]</f>
        <v>0</v>
      </c>
      <c r="S5283" s="3" t="str">
        <f>IF(ISERROR(VLOOKUP(Base_Periodo1[[#This Row],[CONTA]],BaseContasDRE[#All],4,FALSE)),"Fora do DRE",VLOOKUP(Base_Periodo1[[#This Row],[CONTA]],BaseContasDRE[#All],4,FALSE))</f>
        <v>Fora do DRE</v>
      </c>
      <c r="T5283" s="3" t="str">
        <f>IF(ISERROR(VLOOKUP(Base_Periodo1[[#This Row],[CONTA]],BaseContasDRE[#All],5,FALSE)),"Fora do DRE",VLOOKUP(Base_Periodo1[[#This Row],[CONTA]],BaseContasDRE[#All],6,FALSE))</f>
        <v>Fora do DRE</v>
      </c>
      <c r="U5283" s="3" t="str">
        <f>IF(ISERROR(VLOOKUP(Base_Periodo1[[#This Row],[CONTA]],BaseContasDRE[#All],7,FALSE)),"Fora do DRE",VLOOKUP(Base_Periodo1[[#This Row],[CONTA]],BaseContasDRE[#All],7,FALSE))</f>
        <v>Fora do DRE</v>
      </c>
      <c r="V5283" s="3" t="str">
        <f>IF(Base_Periodo1[[#This Row],[Tipo_Linha]]="Fora do DRE","Fora do DRE","( "&amp;Base_Periodo1[[#This Row],[Tipo_Linha]]&amp;" ) "&amp;Base_Periodo1[[#This Row],[Filtro]])</f>
        <v>Fora do DRE</v>
      </c>
      <c r="W5283" s="3" t="str">
        <f>LEFT(Base_Periodo1[[#This Row],[CLASS]],3)</f>
        <v>2.4</v>
      </c>
    </row>
    <row r="5284" spans="1:23" hidden="1">
      <c r="A5284" s="3" t="str">
        <f t="shared" si="82"/>
        <v>Período 1</v>
      </c>
      <c r="B5284">
        <v>24604</v>
      </c>
      <c r="C5284" t="s">
        <v>2300</v>
      </c>
      <c r="D5284" t="s">
        <v>3137</v>
      </c>
      <c r="E5284" s="3" t="str">
        <f>IF(LEN(Base_Periodo1[[#This Row],[CLASS]])&gt;=7,LEFT(Base_Periodo1[[#This Row],[CLASS]],7),"")</f>
        <v>2.4.1.1</v>
      </c>
      <c r="F5284" s="3" t="str">
        <f>VLOOKUP(Base_Periodo1[[#This Row],[Aux]],Base_Contas_Balanco[#All],2,FALSE)</f>
        <v>Capital Social Realizado</v>
      </c>
      <c r="G5284" s="1"/>
      <c r="H5284" s="281">
        <v>1954.52</v>
      </c>
      <c r="I5284" s="281">
        <v>0</v>
      </c>
      <c r="J5284" s="281">
        <v>0</v>
      </c>
      <c r="K5284" s="281">
        <v>1954.52</v>
      </c>
      <c r="L528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1954.52</v>
      </c>
      <c r="M5284" s="281">
        <f>ROUND(IF(AND(Base_Periodo1[[#This Row],[Tipo_Linha]]="-",Base_Periodo1[[#This Row],[TIPOSALDO]]="D"),Base_Periodo1[[#This Row],[SALDO_ATUAL]]*-1,Base_Periodo1[[#This Row],[SALDO_ATUAL]]),4)</f>
        <v>1954.52</v>
      </c>
      <c r="N5284" t="s">
        <v>116</v>
      </c>
      <c r="O5284" t="s">
        <v>459</v>
      </c>
      <c r="P5284" t="s">
        <v>459</v>
      </c>
      <c r="Q5284">
        <v>6</v>
      </c>
      <c r="R5284" s="281">
        <f>Base_Periodo1[[#This Row],[CREDITOS]]-Base_Periodo1[[#This Row],[DEBITOS]]</f>
        <v>0</v>
      </c>
      <c r="S5284" s="3" t="str">
        <f>IF(ISERROR(VLOOKUP(Base_Periodo1[[#This Row],[CONTA]],BaseContasDRE[#All],4,FALSE)),"Fora do DRE",VLOOKUP(Base_Periodo1[[#This Row],[CONTA]],BaseContasDRE[#All],4,FALSE))</f>
        <v>Fora do DRE</v>
      </c>
      <c r="T5284" s="3" t="str">
        <f>IF(ISERROR(VLOOKUP(Base_Periodo1[[#This Row],[CONTA]],BaseContasDRE[#All],5,FALSE)),"Fora do DRE",VLOOKUP(Base_Periodo1[[#This Row],[CONTA]],BaseContasDRE[#All],6,FALSE))</f>
        <v>Fora do DRE</v>
      </c>
      <c r="U5284" s="3" t="str">
        <f>IF(ISERROR(VLOOKUP(Base_Periodo1[[#This Row],[CONTA]],BaseContasDRE[#All],7,FALSE)),"Fora do DRE",VLOOKUP(Base_Periodo1[[#This Row],[CONTA]],BaseContasDRE[#All],7,FALSE))</f>
        <v>Fora do DRE</v>
      </c>
      <c r="V5284" s="3" t="str">
        <f>IF(Base_Periodo1[[#This Row],[Tipo_Linha]]="Fora do DRE","Fora do DRE","( "&amp;Base_Periodo1[[#This Row],[Tipo_Linha]]&amp;" ) "&amp;Base_Periodo1[[#This Row],[Filtro]])</f>
        <v>Fora do DRE</v>
      </c>
      <c r="W5284" s="3" t="str">
        <f>LEFT(Base_Periodo1[[#This Row],[CLASS]],3)</f>
        <v>2.4</v>
      </c>
    </row>
    <row r="5285" spans="1:23" hidden="1">
      <c r="A5285" s="3" t="str">
        <f t="shared" si="82"/>
        <v>Período 1</v>
      </c>
      <c r="B5285">
        <v>19370</v>
      </c>
      <c r="C5285" t="s">
        <v>2300</v>
      </c>
      <c r="D5285" t="s">
        <v>3138</v>
      </c>
      <c r="E5285" s="3" t="str">
        <f>IF(LEN(Base_Periodo1[[#This Row],[CLASS]])&gt;=7,LEFT(Base_Periodo1[[#This Row],[CLASS]],7),"")</f>
        <v>2.4.1.1</v>
      </c>
      <c r="F5285" s="3" t="str">
        <f>VLOOKUP(Base_Periodo1[[#This Row],[Aux]],Base_Contas_Balanco[#All],2,FALSE)</f>
        <v>Capital Social Realizado</v>
      </c>
      <c r="G5285" s="1"/>
      <c r="H5285" s="281">
        <v>1371.88</v>
      </c>
      <c r="I5285" s="281">
        <v>0</v>
      </c>
      <c r="J5285" s="281">
        <v>0</v>
      </c>
      <c r="K5285" s="281">
        <v>1371.88</v>
      </c>
      <c r="L528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1371.88</v>
      </c>
      <c r="M5285" s="281">
        <f>ROUND(IF(AND(Base_Periodo1[[#This Row],[Tipo_Linha]]="-",Base_Periodo1[[#This Row],[TIPOSALDO]]="D"),Base_Periodo1[[#This Row],[SALDO_ATUAL]]*-1,Base_Periodo1[[#This Row],[SALDO_ATUAL]]),4)</f>
        <v>1371.88</v>
      </c>
      <c r="N5285" t="s">
        <v>116</v>
      </c>
      <c r="O5285" t="s">
        <v>459</v>
      </c>
      <c r="P5285" t="s">
        <v>459</v>
      </c>
      <c r="Q5285">
        <v>6</v>
      </c>
      <c r="R5285" s="281">
        <f>Base_Periodo1[[#This Row],[CREDITOS]]-Base_Periodo1[[#This Row],[DEBITOS]]</f>
        <v>0</v>
      </c>
      <c r="S5285" s="3" t="str">
        <f>IF(ISERROR(VLOOKUP(Base_Periodo1[[#This Row],[CONTA]],BaseContasDRE[#All],4,FALSE)),"Fora do DRE",VLOOKUP(Base_Periodo1[[#This Row],[CONTA]],BaseContasDRE[#All],4,FALSE))</f>
        <v>Fora do DRE</v>
      </c>
      <c r="T5285" s="3" t="str">
        <f>IF(ISERROR(VLOOKUP(Base_Periodo1[[#This Row],[CONTA]],BaseContasDRE[#All],5,FALSE)),"Fora do DRE",VLOOKUP(Base_Periodo1[[#This Row],[CONTA]],BaseContasDRE[#All],6,FALSE))</f>
        <v>Fora do DRE</v>
      </c>
      <c r="U5285" s="3" t="str">
        <f>IF(ISERROR(VLOOKUP(Base_Periodo1[[#This Row],[CONTA]],BaseContasDRE[#All],7,FALSE)),"Fora do DRE",VLOOKUP(Base_Periodo1[[#This Row],[CONTA]],BaseContasDRE[#All],7,FALSE))</f>
        <v>Fora do DRE</v>
      </c>
      <c r="V5285" s="3" t="str">
        <f>IF(Base_Periodo1[[#This Row],[Tipo_Linha]]="Fora do DRE","Fora do DRE","( "&amp;Base_Periodo1[[#This Row],[Tipo_Linha]]&amp;" ) "&amp;Base_Periodo1[[#This Row],[Filtro]])</f>
        <v>Fora do DRE</v>
      </c>
      <c r="W5285" s="3" t="str">
        <f>LEFT(Base_Periodo1[[#This Row],[CLASS]],3)</f>
        <v>2.4</v>
      </c>
    </row>
    <row r="5286" spans="1:23" hidden="1">
      <c r="A5286" s="3" t="str">
        <f t="shared" si="82"/>
        <v>Período 1</v>
      </c>
      <c r="B5286">
        <v>25561</v>
      </c>
      <c r="C5286" t="s">
        <v>2300</v>
      </c>
      <c r="D5286" t="s">
        <v>3139</v>
      </c>
      <c r="E5286" s="3" t="str">
        <f>IF(LEN(Base_Periodo1[[#This Row],[CLASS]])&gt;=7,LEFT(Base_Periodo1[[#This Row],[CLASS]],7),"")</f>
        <v>2.4.1.1</v>
      </c>
      <c r="F5286" s="3" t="str">
        <f>VLOOKUP(Base_Periodo1[[#This Row],[Aux]],Base_Contas_Balanco[#All],2,FALSE)</f>
        <v>Capital Social Realizado</v>
      </c>
      <c r="G5286" s="1"/>
      <c r="H5286" s="281">
        <v>56.76</v>
      </c>
      <c r="I5286" s="281">
        <v>0</v>
      </c>
      <c r="J5286" s="281">
        <v>0</v>
      </c>
      <c r="K5286" s="281">
        <v>56.76</v>
      </c>
      <c r="L528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56.76</v>
      </c>
      <c r="M5286" s="281">
        <f>ROUND(IF(AND(Base_Periodo1[[#This Row],[Tipo_Linha]]="-",Base_Periodo1[[#This Row],[TIPOSALDO]]="D"),Base_Periodo1[[#This Row],[SALDO_ATUAL]]*-1,Base_Periodo1[[#This Row],[SALDO_ATUAL]]),4)</f>
        <v>56.76</v>
      </c>
      <c r="N5286" t="s">
        <v>116</v>
      </c>
      <c r="O5286" t="s">
        <v>459</v>
      </c>
      <c r="P5286" t="s">
        <v>459</v>
      </c>
      <c r="Q5286">
        <v>6</v>
      </c>
      <c r="R5286" s="281">
        <f>Base_Periodo1[[#This Row],[CREDITOS]]-Base_Periodo1[[#This Row],[DEBITOS]]</f>
        <v>0</v>
      </c>
      <c r="S5286" s="3" t="str">
        <f>IF(ISERROR(VLOOKUP(Base_Periodo1[[#This Row],[CONTA]],BaseContasDRE[#All],4,FALSE)),"Fora do DRE",VLOOKUP(Base_Periodo1[[#This Row],[CONTA]],BaseContasDRE[#All],4,FALSE))</f>
        <v>Fora do DRE</v>
      </c>
      <c r="T5286" s="3" t="str">
        <f>IF(ISERROR(VLOOKUP(Base_Periodo1[[#This Row],[CONTA]],BaseContasDRE[#All],5,FALSE)),"Fora do DRE",VLOOKUP(Base_Periodo1[[#This Row],[CONTA]],BaseContasDRE[#All],6,FALSE))</f>
        <v>Fora do DRE</v>
      </c>
      <c r="U5286" s="3" t="str">
        <f>IF(ISERROR(VLOOKUP(Base_Periodo1[[#This Row],[CONTA]],BaseContasDRE[#All],7,FALSE)),"Fora do DRE",VLOOKUP(Base_Periodo1[[#This Row],[CONTA]],BaseContasDRE[#All],7,FALSE))</f>
        <v>Fora do DRE</v>
      </c>
      <c r="V5286" s="3" t="str">
        <f>IF(Base_Periodo1[[#This Row],[Tipo_Linha]]="Fora do DRE","Fora do DRE","( "&amp;Base_Periodo1[[#This Row],[Tipo_Linha]]&amp;" ) "&amp;Base_Periodo1[[#This Row],[Filtro]])</f>
        <v>Fora do DRE</v>
      </c>
      <c r="W5286" s="3" t="str">
        <f>LEFT(Base_Periodo1[[#This Row],[CLASS]],3)</f>
        <v>2.4</v>
      </c>
    </row>
    <row r="5287" spans="1:23" hidden="1">
      <c r="A5287" s="3" t="str">
        <f t="shared" si="82"/>
        <v>Período 1</v>
      </c>
      <c r="B5287">
        <v>25734</v>
      </c>
      <c r="C5287" t="s">
        <v>2300</v>
      </c>
      <c r="D5287" t="s">
        <v>3140</v>
      </c>
      <c r="E5287" s="3" t="str">
        <f>IF(LEN(Base_Periodo1[[#This Row],[CLASS]])&gt;=7,LEFT(Base_Periodo1[[#This Row],[CLASS]],7),"")</f>
        <v>2.4.1.1</v>
      </c>
      <c r="F5287" s="3" t="str">
        <f>VLOOKUP(Base_Periodo1[[#This Row],[Aux]],Base_Contas_Balanco[#All],2,FALSE)</f>
        <v>Capital Social Realizado</v>
      </c>
      <c r="G5287" s="1"/>
      <c r="H5287" s="281">
        <v>50</v>
      </c>
      <c r="I5287" s="281">
        <v>0</v>
      </c>
      <c r="J5287" s="281">
        <v>0</v>
      </c>
      <c r="K5287" s="281">
        <v>50</v>
      </c>
      <c r="L528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287" s="281">
        <f>ROUND(IF(AND(Base_Periodo1[[#This Row],[Tipo_Linha]]="-",Base_Periodo1[[#This Row],[TIPOSALDO]]="D"),Base_Periodo1[[#This Row],[SALDO_ATUAL]]*-1,Base_Periodo1[[#This Row],[SALDO_ATUAL]]),4)</f>
        <v>50</v>
      </c>
      <c r="N5287" t="s">
        <v>116</v>
      </c>
      <c r="O5287" t="s">
        <v>459</v>
      </c>
      <c r="P5287" t="s">
        <v>459</v>
      </c>
      <c r="Q5287">
        <v>6</v>
      </c>
      <c r="R5287" s="281">
        <f>Base_Periodo1[[#This Row],[CREDITOS]]-Base_Periodo1[[#This Row],[DEBITOS]]</f>
        <v>0</v>
      </c>
      <c r="S5287" s="3" t="str">
        <f>IF(ISERROR(VLOOKUP(Base_Periodo1[[#This Row],[CONTA]],BaseContasDRE[#All],4,FALSE)),"Fora do DRE",VLOOKUP(Base_Periodo1[[#This Row],[CONTA]],BaseContasDRE[#All],4,FALSE))</f>
        <v>Fora do DRE</v>
      </c>
      <c r="T5287" s="3" t="str">
        <f>IF(ISERROR(VLOOKUP(Base_Periodo1[[#This Row],[CONTA]],BaseContasDRE[#All],5,FALSE)),"Fora do DRE",VLOOKUP(Base_Periodo1[[#This Row],[CONTA]],BaseContasDRE[#All],6,FALSE))</f>
        <v>Fora do DRE</v>
      </c>
      <c r="U5287" s="3" t="str">
        <f>IF(ISERROR(VLOOKUP(Base_Periodo1[[#This Row],[CONTA]],BaseContasDRE[#All],7,FALSE)),"Fora do DRE",VLOOKUP(Base_Periodo1[[#This Row],[CONTA]],BaseContasDRE[#All],7,FALSE))</f>
        <v>Fora do DRE</v>
      </c>
      <c r="V5287" s="3" t="str">
        <f>IF(Base_Periodo1[[#This Row],[Tipo_Linha]]="Fora do DRE","Fora do DRE","( "&amp;Base_Periodo1[[#This Row],[Tipo_Linha]]&amp;" ) "&amp;Base_Periodo1[[#This Row],[Filtro]])</f>
        <v>Fora do DRE</v>
      </c>
      <c r="W5287" s="3" t="str">
        <f>LEFT(Base_Periodo1[[#This Row],[CLASS]],3)</f>
        <v>2.4</v>
      </c>
    </row>
    <row r="5288" spans="1:23" hidden="1">
      <c r="A5288" s="3" t="str">
        <f t="shared" si="82"/>
        <v>Período 1</v>
      </c>
      <c r="B5288">
        <v>19371</v>
      </c>
      <c r="C5288" t="s">
        <v>2300</v>
      </c>
      <c r="D5288" t="s">
        <v>3141</v>
      </c>
      <c r="E5288" s="3" t="str">
        <f>IF(LEN(Base_Periodo1[[#This Row],[CLASS]])&gt;=7,LEFT(Base_Periodo1[[#This Row],[CLASS]],7),"")</f>
        <v>2.4.1.1</v>
      </c>
      <c r="F5288" s="3" t="str">
        <f>VLOOKUP(Base_Periodo1[[#This Row],[Aux]],Base_Contas_Balanco[#All],2,FALSE)</f>
        <v>Capital Social Realizado</v>
      </c>
      <c r="G5288" s="1"/>
      <c r="H5288" s="281">
        <v>112.54999999999998</v>
      </c>
      <c r="I5288" s="281">
        <v>0</v>
      </c>
      <c r="J5288" s="281">
        <v>0</v>
      </c>
      <c r="K5288" s="281">
        <v>112.54999999999998</v>
      </c>
      <c r="L528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112.55</v>
      </c>
      <c r="M5288" s="281">
        <f>ROUND(IF(AND(Base_Periodo1[[#This Row],[Tipo_Linha]]="-",Base_Periodo1[[#This Row],[TIPOSALDO]]="D"),Base_Periodo1[[#This Row],[SALDO_ATUAL]]*-1,Base_Periodo1[[#This Row],[SALDO_ATUAL]]),4)</f>
        <v>112.55</v>
      </c>
      <c r="N5288" t="s">
        <v>116</v>
      </c>
      <c r="O5288" t="s">
        <v>459</v>
      </c>
      <c r="P5288" t="s">
        <v>459</v>
      </c>
      <c r="Q5288">
        <v>6</v>
      </c>
      <c r="R5288" s="281">
        <f>Base_Periodo1[[#This Row],[CREDITOS]]-Base_Periodo1[[#This Row],[DEBITOS]]</f>
        <v>0</v>
      </c>
      <c r="S5288" s="3" t="str">
        <f>IF(ISERROR(VLOOKUP(Base_Periodo1[[#This Row],[CONTA]],BaseContasDRE[#All],4,FALSE)),"Fora do DRE",VLOOKUP(Base_Periodo1[[#This Row],[CONTA]],BaseContasDRE[#All],4,FALSE))</f>
        <v>Fora do DRE</v>
      </c>
      <c r="T5288" s="3" t="str">
        <f>IF(ISERROR(VLOOKUP(Base_Periodo1[[#This Row],[CONTA]],BaseContasDRE[#All],5,FALSE)),"Fora do DRE",VLOOKUP(Base_Periodo1[[#This Row],[CONTA]],BaseContasDRE[#All],6,FALSE))</f>
        <v>Fora do DRE</v>
      </c>
      <c r="U5288" s="3" t="str">
        <f>IF(ISERROR(VLOOKUP(Base_Periodo1[[#This Row],[CONTA]],BaseContasDRE[#All],7,FALSE)),"Fora do DRE",VLOOKUP(Base_Periodo1[[#This Row],[CONTA]],BaseContasDRE[#All],7,FALSE))</f>
        <v>Fora do DRE</v>
      </c>
      <c r="V5288" s="3" t="str">
        <f>IF(Base_Periodo1[[#This Row],[Tipo_Linha]]="Fora do DRE","Fora do DRE","( "&amp;Base_Periodo1[[#This Row],[Tipo_Linha]]&amp;" ) "&amp;Base_Periodo1[[#This Row],[Filtro]])</f>
        <v>Fora do DRE</v>
      </c>
      <c r="W5288" s="3" t="str">
        <f>LEFT(Base_Periodo1[[#This Row],[CLASS]],3)</f>
        <v>2.4</v>
      </c>
    </row>
    <row r="5289" spans="1:23" hidden="1">
      <c r="A5289" s="3" t="str">
        <f t="shared" si="82"/>
        <v>Período 1</v>
      </c>
      <c r="B5289">
        <v>16094</v>
      </c>
      <c r="C5289" t="s">
        <v>2300</v>
      </c>
      <c r="D5289" t="s">
        <v>3142</v>
      </c>
      <c r="E5289" s="3" t="str">
        <f>IF(LEN(Base_Periodo1[[#This Row],[CLASS]])&gt;=7,LEFT(Base_Periodo1[[#This Row],[CLASS]],7),"")</f>
        <v>2.4.1.1</v>
      </c>
      <c r="F5289" s="3" t="str">
        <f>VLOOKUP(Base_Periodo1[[#This Row],[Aux]],Base_Contas_Balanco[#All],2,FALSE)</f>
        <v>Capital Social Realizado</v>
      </c>
      <c r="G5289" s="1"/>
      <c r="H5289" s="281">
        <v>2204.23</v>
      </c>
      <c r="I5289" s="281">
        <v>0</v>
      </c>
      <c r="J5289" s="281">
        <v>0</v>
      </c>
      <c r="K5289" s="281">
        <v>2204.23</v>
      </c>
      <c r="L528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2204.23</v>
      </c>
      <c r="M5289" s="281">
        <f>ROUND(IF(AND(Base_Periodo1[[#This Row],[Tipo_Linha]]="-",Base_Periodo1[[#This Row],[TIPOSALDO]]="D"),Base_Periodo1[[#This Row],[SALDO_ATUAL]]*-1,Base_Periodo1[[#This Row],[SALDO_ATUAL]]),4)</f>
        <v>2204.23</v>
      </c>
      <c r="N5289" t="s">
        <v>116</v>
      </c>
      <c r="O5289" t="s">
        <v>459</v>
      </c>
      <c r="P5289" t="s">
        <v>459</v>
      </c>
      <c r="Q5289">
        <v>6</v>
      </c>
      <c r="R5289" s="281">
        <f>Base_Periodo1[[#This Row],[CREDITOS]]-Base_Periodo1[[#This Row],[DEBITOS]]</f>
        <v>0</v>
      </c>
      <c r="S5289" s="3" t="str">
        <f>IF(ISERROR(VLOOKUP(Base_Periodo1[[#This Row],[CONTA]],BaseContasDRE[#All],4,FALSE)),"Fora do DRE",VLOOKUP(Base_Periodo1[[#This Row],[CONTA]],BaseContasDRE[#All],4,FALSE))</f>
        <v>Fora do DRE</v>
      </c>
      <c r="T5289" s="3" t="str">
        <f>IF(ISERROR(VLOOKUP(Base_Periodo1[[#This Row],[CONTA]],BaseContasDRE[#All],5,FALSE)),"Fora do DRE",VLOOKUP(Base_Periodo1[[#This Row],[CONTA]],BaseContasDRE[#All],6,FALSE))</f>
        <v>Fora do DRE</v>
      </c>
      <c r="U5289" s="3" t="str">
        <f>IF(ISERROR(VLOOKUP(Base_Periodo1[[#This Row],[CONTA]],BaseContasDRE[#All],7,FALSE)),"Fora do DRE",VLOOKUP(Base_Periodo1[[#This Row],[CONTA]],BaseContasDRE[#All],7,FALSE))</f>
        <v>Fora do DRE</v>
      </c>
      <c r="V5289" s="3" t="str">
        <f>IF(Base_Periodo1[[#This Row],[Tipo_Linha]]="Fora do DRE","Fora do DRE","( "&amp;Base_Periodo1[[#This Row],[Tipo_Linha]]&amp;" ) "&amp;Base_Periodo1[[#This Row],[Filtro]])</f>
        <v>Fora do DRE</v>
      </c>
      <c r="W5289" s="3" t="str">
        <f>LEFT(Base_Periodo1[[#This Row],[CLASS]],3)</f>
        <v>2.4</v>
      </c>
    </row>
    <row r="5290" spans="1:23" hidden="1">
      <c r="A5290" s="3" t="str">
        <f t="shared" si="82"/>
        <v>Período 1</v>
      </c>
      <c r="B5290">
        <v>49317</v>
      </c>
      <c r="C5290" t="s">
        <v>2300</v>
      </c>
      <c r="D5290" t="s">
        <v>4318</v>
      </c>
      <c r="E5290" s="3" t="str">
        <f>IF(LEN(Base_Periodo1[[#This Row],[CLASS]])&gt;=7,LEFT(Base_Periodo1[[#This Row],[CLASS]],7),"")</f>
        <v>2.4.1.1</v>
      </c>
      <c r="F5290" s="3" t="str">
        <f>VLOOKUP(Base_Periodo1[[#This Row],[Aux]],Base_Contas_Balanco[#All],2,FALSE)</f>
        <v>Capital Social Realizado</v>
      </c>
      <c r="G5290" s="1"/>
      <c r="H5290" s="281">
        <v>65.83</v>
      </c>
      <c r="I5290" s="281">
        <v>0</v>
      </c>
      <c r="J5290" s="281">
        <v>0</v>
      </c>
      <c r="K5290" s="281">
        <v>65.83</v>
      </c>
      <c r="L529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65.83</v>
      </c>
      <c r="M5290" s="281">
        <f>ROUND(IF(AND(Base_Periodo1[[#This Row],[Tipo_Linha]]="-",Base_Periodo1[[#This Row],[TIPOSALDO]]="D"),Base_Periodo1[[#This Row],[SALDO_ATUAL]]*-1,Base_Periodo1[[#This Row],[SALDO_ATUAL]]),4)</f>
        <v>65.83</v>
      </c>
      <c r="N5290" t="s">
        <v>116</v>
      </c>
      <c r="O5290" t="s">
        <v>459</v>
      </c>
      <c r="P5290" t="s">
        <v>459</v>
      </c>
      <c r="Q5290">
        <v>6</v>
      </c>
      <c r="R5290" s="281">
        <f>Base_Periodo1[[#This Row],[CREDITOS]]-Base_Periodo1[[#This Row],[DEBITOS]]</f>
        <v>0</v>
      </c>
      <c r="S5290" s="3" t="str">
        <f>IF(ISERROR(VLOOKUP(Base_Periodo1[[#This Row],[CONTA]],BaseContasDRE[#All],4,FALSE)),"Fora do DRE",VLOOKUP(Base_Periodo1[[#This Row],[CONTA]],BaseContasDRE[#All],4,FALSE))</f>
        <v>Fora do DRE</v>
      </c>
      <c r="T5290" s="3" t="str">
        <f>IF(ISERROR(VLOOKUP(Base_Periodo1[[#This Row],[CONTA]],BaseContasDRE[#All],5,FALSE)),"Fora do DRE",VLOOKUP(Base_Periodo1[[#This Row],[CONTA]],BaseContasDRE[#All],6,FALSE))</f>
        <v>Fora do DRE</v>
      </c>
      <c r="U5290" s="3" t="str">
        <f>IF(ISERROR(VLOOKUP(Base_Periodo1[[#This Row],[CONTA]],BaseContasDRE[#All],7,FALSE)),"Fora do DRE",VLOOKUP(Base_Periodo1[[#This Row],[CONTA]],BaseContasDRE[#All],7,FALSE))</f>
        <v>Fora do DRE</v>
      </c>
      <c r="V5290" s="3" t="str">
        <f>IF(Base_Periodo1[[#This Row],[Tipo_Linha]]="Fora do DRE","Fora do DRE","( "&amp;Base_Periodo1[[#This Row],[Tipo_Linha]]&amp;" ) "&amp;Base_Periodo1[[#This Row],[Filtro]])</f>
        <v>Fora do DRE</v>
      </c>
      <c r="W5290" s="3" t="str">
        <f>LEFT(Base_Periodo1[[#This Row],[CLASS]],3)</f>
        <v>2.4</v>
      </c>
    </row>
    <row r="5291" spans="1:23" hidden="1">
      <c r="A5291" s="3" t="str">
        <f t="shared" si="82"/>
        <v>Período 1</v>
      </c>
      <c r="B5291">
        <v>15967</v>
      </c>
      <c r="C5291" t="s">
        <v>2300</v>
      </c>
      <c r="D5291" t="s">
        <v>3143</v>
      </c>
      <c r="E5291" s="3" t="str">
        <f>IF(LEN(Base_Periodo1[[#This Row],[CLASS]])&gt;=7,LEFT(Base_Periodo1[[#This Row],[CLASS]],7),"")</f>
        <v>2.4.1.1</v>
      </c>
      <c r="F5291" s="3" t="str">
        <f>VLOOKUP(Base_Periodo1[[#This Row],[Aux]],Base_Contas_Balanco[#All],2,FALSE)</f>
        <v>Capital Social Realizado</v>
      </c>
      <c r="G5291" s="1"/>
      <c r="H5291" s="281">
        <v>2616.3200000000002</v>
      </c>
      <c r="I5291" s="281">
        <v>0</v>
      </c>
      <c r="J5291" s="281">
        <v>0</v>
      </c>
      <c r="K5291" s="281">
        <v>2616.3200000000002</v>
      </c>
      <c r="L529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2616.3200000000002</v>
      </c>
      <c r="M5291" s="281">
        <f>ROUND(IF(AND(Base_Periodo1[[#This Row],[Tipo_Linha]]="-",Base_Periodo1[[#This Row],[TIPOSALDO]]="D"),Base_Periodo1[[#This Row],[SALDO_ATUAL]]*-1,Base_Periodo1[[#This Row],[SALDO_ATUAL]]),4)</f>
        <v>2616.3200000000002</v>
      </c>
      <c r="N5291" t="s">
        <v>116</v>
      </c>
      <c r="O5291" t="s">
        <v>459</v>
      </c>
      <c r="P5291" t="s">
        <v>459</v>
      </c>
      <c r="Q5291">
        <v>6</v>
      </c>
      <c r="R5291" s="281">
        <f>Base_Periodo1[[#This Row],[CREDITOS]]-Base_Periodo1[[#This Row],[DEBITOS]]</f>
        <v>0</v>
      </c>
      <c r="S5291" s="3" t="str">
        <f>IF(ISERROR(VLOOKUP(Base_Periodo1[[#This Row],[CONTA]],BaseContasDRE[#All],4,FALSE)),"Fora do DRE",VLOOKUP(Base_Periodo1[[#This Row],[CONTA]],BaseContasDRE[#All],4,FALSE))</f>
        <v>Fora do DRE</v>
      </c>
      <c r="T5291" s="3" t="str">
        <f>IF(ISERROR(VLOOKUP(Base_Periodo1[[#This Row],[CONTA]],BaseContasDRE[#All],5,FALSE)),"Fora do DRE",VLOOKUP(Base_Periodo1[[#This Row],[CONTA]],BaseContasDRE[#All],6,FALSE))</f>
        <v>Fora do DRE</v>
      </c>
      <c r="U5291" s="3" t="str">
        <f>IF(ISERROR(VLOOKUP(Base_Periodo1[[#This Row],[CONTA]],BaseContasDRE[#All],7,FALSE)),"Fora do DRE",VLOOKUP(Base_Periodo1[[#This Row],[CONTA]],BaseContasDRE[#All],7,FALSE))</f>
        <v>Fora do DRE</v>
      </c>
      <c r="V5291" s="3" t="str">
        <f>IF(Base_Periodo1[[#This Row],[Tipo_Linha]]="Fora do DRE","Fora do DRE","( "&amp;Base_Periodo1[[#This Row],[Tipo_Linha]]&amp;" ) "&amp;Base_Periodo1[[#This Row],[Filtro]])</f>
        <v>Fora do DRE</v>
      </c>
      <c r="W5291" s="3" t="str">
        <f>LEFT(Base_Periodo1[[#This Row],[CLASS]],3)</f>
        <v>2.4</v>
      </c>
    </row>
    <row r="5292" spans="1:23" hidden="1">
      <c r="A5292" s="3" t="str">
        <f t="shared" si="82"/>
        <v>Período 1</v>
      </c>
      <c r="B5292">
        <v>37121</v>
      </c>
      <c r="C5292" t="s">
        <v>2300</v>
      </c>
      <c r="D5292" t="s">
        <v>3144</v>
      </c>
      <c r="E5292" s="3" t="str">
        <f>IF(LEN(Base_Periodo1[[#This Row],[CLASS]])&gt;=7,LEFT(Base_Periodo1[[#This Row],[CLASS]],7),"")</f>
        <v>2.4.1.1</v>
      </c>
      <c r="F5292" s="3" t="str">
        <f>VLOOKUP(Base_Periodo1[[#This Row],[Aux]],Base_Contas_Balanco[#All],2,FALSE)</f>
        <v>Capital Social Realizado</v>
      </c>
      <c r="G5292" s="1"/>
      <c r="H5292" s="281">
        <v>146.98000000000002</v>
      </c>
      <c r="I5292" s="281">
        <v>0</v>
      </c>
      <c r="J5292" s="281">
        <v>0</v>
      </c>
      <c r="K5292" s="281">
        <v>146.98000000000002</v>
      </c>
      <c r="L529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146.97999999999999</v>
      </c>
      <c r="M5292" s="281">
        <f>ROUND(IF(AND(Base_Periodo1[[#This Row],[Tipo_Linha]]="-",Base_Periodo1[[#This Row],[TIPOSALDO]]="D"),Base_Periodo1[[#This Row],[SALDO_ATUAL]]*-1,Base_Periodo1[[#This Row],[SALDO_ATUAL]]),4)</f>
        <v>146.97999999999999</v>
      </c>
      <c r="N5292" t="s">
        <v>116</v>
      </c>
      <c r="O5292" t="s">
        <v>459</v>
      </c>
      <c r="P5292" t="s">
        <v>459</v>
      </c>
      <c r="Q5292">
        <v>6</v>
      </c>
      <c r="R5292" s="281">
        <f>Base_Periodo1[[#This Row],[CREDITOS]]-Base_Periodo1[[#This Row],[DEBITOS]]</f>
        <v>0</v>
      </c>
      <c r="S5292" s="3" t="str">
        <f>IF(ISERROR(VLOOKUP(Base_Periodo1[[#This Row],[CONTA]],BaseContasDRE[#All],4,FALSE)),"Fora do DRE",VLOOKUP(Base_Periodo1[[#This Row],[CONTA]],BaseContasDRE[#All],4,FALSE))</f>
        <v>Fora do DRE</v>
      </c>
      <c r="T5292" s="3" t="str">
        <f>IF(ISERROR(VLOOKUP(Base_Periodo1[[#This Row],[CONTA]],BaseContasDRE[#All],5,FALSE)),"Fora do DRE",VLOOKUP(Base_Periodo1[[#This Row],[CONTA]],BaseContasDRE[#All],6,FALSE))</f>
        <v>Fora do DRE</v>
      </c>
      <c r="U5292" s="3" t="str">
        <f>IF(ISERROR(VLOOKUP(Base_Periodo1[[#This Row],[CONTA]],BaseContasDRE[#All],7,FALSE)),"Fora do DRE",VLOOKUP(Base_Periodo1[[#This Row],[CONTA]],BaseContasDRE[#All],7,FALSE))</f>
        <v>Fora do DRE</v>
      </c>
      <c r="V5292" s="3" t="str">
        <f>IF(Base_Periodo1[[#This Row],[Tipo_Linha]]="Fora do DRE","Fora do DRE","( "&amp;Base_Periodo1[[#This Row],[Tipo_Linha]]&amp;" ) "&amp;Base_Periodo1[[#This Row],[Filtro]])</f>
        <v>Fora do DRE</v>
      </c>
      <c r="W5292" s="3" t="str">
        <f>LEFT(Base_Periodo1[[#This Row],[CLASS]],3)</f>
        <v>2.4</v>
      </c>
    </row>
    <row r="5293" spans="1:23" hidden="1">
      <c r="A5293" s="3" t="str">
        <f t="shared" si="82"/>
        <v>Período 1</v>
      </c>
      <c r="B5293">
        <v>48425</v>
      </c>
      <c r="C5293" t="s">
        <v>2300</v>
      </c>
      <c r="D5293" t="s">
        <v>3145</v>
      </c>
      <c r="E5293" s="3" t="str">
        <f>IF(LEN(Base_Periodo1[[#This Row],[CLASS]])&gt;=7,LEFT(Base_Periodo1[[#This Row],[CLASS]],7),"")</f>
        <v>2.4.1.1</v>
      </c>
      <c r="F5293" s="3" t="str">
        <f>VLOOKUP(Base_Periodo1[[#This Row],[Aux]],Base_Contas_Balanco[#All],2,FALSE)</f>
        <v>Capital Social Realizado</v>
      </c>
      <c r="G5293" s="1"/>
      <c r="H5293" s="281">
        <v>61.34</v>
      </c>
      <c r="I5293" s="281">
        <v>0</v>
      </c>
      <c r="J5293" s="281">
        <v>0</v>
      </c>
      <c r="K5293" s="281">
        <v>61.34</v>
      </c>
      <c r="L529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61.34</v>
      </c>
      <c r="M5293" s="281">
        <f>ROUND(IF(AND(Base_Periodo1[[#This Row],[Tipo_Linha]]="-",Base_Periodo1[[#This Row],[TIPOSALDO]]="D"),Base_Periodo1[[#This Row],[SALDO_ATUAL]]*-1,Base_Periodo1[[#This Row],[SALDO_ATUAL]]),4)</f>
        <v>61.34</v>
      </c>
      <c r="N5293" t="s">
        <v>116</v>
      </c>
      <c r="O5293" t="s">
        <v>459</v>
      </c>
      <c r="P5293" t="s">
        <v>459</v>
      </c>
      <c r="Q5293">
        <v>6</v>
      </c>
      <c r="R5293" s="281">
        <f>Base_Periodo1[[#This Row],[CREDITOS]]-Base_Periodo1[[#This Row],[DEBITOS]]</f>
        <v>0</v>
      </c>
      <c r="S5293" s="3" t="str">
        <f>IF(ISERROR(VLOOKUP(Base_Periodo1[[#This Row],[CONTA]],BaseContasDRE[#All],4,FALSE)),"Fora do DRE",VLOOKUP(Base_Periodo1[[#This Row],[CONTA]],BaseContasDRE[#All],4,FALSE))</f>
        <v>Fora do DRE</v>
      </c>
      <c r="T5293" s="3" t="str">
        <f>IF(ISERROR(VLOOKUP(Base_Periodo1[[#This Row],[CONTA]],BaseContasDRE[#All],5,FALSE)),"Fora do DRE",VLOOKUP(Base_Periodo1[[#This Row],[CONTA]],BaseContasDRE[#All],6,FALSE))</f>
        <v>Fora do DRE</v>
      </c>
      <c r="U5293" s="3" t="str">
        <f>IF(ISERROR(VLOOKUP(Base_Periodo1[[#This Row],[CONTA]],BaseContasDRE[#All],7,FALSE)),"Fora do DRE",VLOOKUP(Base_Periodo1[[#This Row],[CONTA]],BaseContasDRE[#All],7,FALSE))</f>
        <v>Fora do DRE</v>
      </c>
      <c r="V5293" s="3" t="str">
        <f>IF(Base_Periodo1[[#This Row],[Tipo_Linha]]="Fora do DRE","Fora do DRE","( "&amp;Base_Periodo1[[#This Row],[Tipo_Linha]]&amp;" ) "&amp;Base_Periodo1[[#This Row],[Filtro]])</f>
        <v>Fora do DRE</v>
      </c>
      <c r="W5293" s="3" t="str">
        <f>LEFT(Base_Periodo1[[#This Row],[CLASS]],3)</f>
        <v>2.4</v>
      </c>
    </row>
    <row r="5294" spans="1:23" hidden="1">
      <c r="A5294" s="3" t="str">
        <f t="shared" si="82"/>
        <v>Período 1</v>
      </c>
      <c r="B5294">
        <v>38824</v>
      </c>
      <c r="C5294" t="s">
        <v>2300</v>
      </c>
      <c r="D5294" t="s">
        <v>3146</v>
      </c>
      <c r="E5294" s="3" t="str">
        <f>IF(LEN(Base_Periodo1[[#This Row],[CLASS]])&gt;=7,LEFT(Base_Periodo1[[#This Row],[CLASS]],7),"")</f>
        <v>2.4.1.1</v>
      </c>
      <c r="F5294" s="3" t="str">
        <f>VLOOKUP(Base_Periodo1[[#This Row],[Aux]],Base_Contas_Balanco[#All],2,FALSE)</f>
        <v>Capital Social Realizado</v>
      </c>
      <c r="G5294" s="1"/>
      <c r="H5294" s="281">
        <v>154.97</v>
      </c>
      <c r="I5294" s="281">
        <v>0</v>
      </c>
      <c r="J5294" s="281">
        <v>0</v>
      </c>
      <c r="K5294" s="281">
        <v>154.97</v>
      </c>
      <c r="L529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154.97</v>
      </c>
      <c r="M5294" s="281">
        <f>ROUND(IF(AND(Base_Periodo1[[#This Row],[Tipo_Linha]]="-",Base_Periodo1[[#This Row],[TIPOSALDO]]="D"),Base_Periodo1[[#This Row],[SALDO_ATUAL]]*-1,Base_Periodo1[[#This Row],[SALDO_ATUAL]]),4)</f>
        <v>154.97</v>
      </c>
      <c r="N5294" t="s">
        <v>116</v>
      </c>
      <c r="O5294" t="s">
        <v>459</v>
      </c>
      <c r="P5294" t="s">
        <v>459</v>
      </c>
      <c r="Q5294">
        <v>6</v>
      </c>
      <c r="R5294" s="281">
        <f>Base_Periodo1[[#This Row],[CREDITOS]]-Base_Periodo1[[#This Row],[DEBITOS]]</f>
        <v>0</v>
      </c>
      <c r="S5294" s="3" t="str">
        <f>IF(ISERROR(VLOOKUP(Base_Periodo1[[#This Row],[CONTA]],BaseContasDRE[#All],4,FALSE)),"Fora do DRE",VLOOKUP(Base_Periodo1[[#This Row],[CONTA]],BaseContasDRE[#All],4,FALSE))</f>
        <v>Fora do DRE</v>
      </c>
      <c r="T5294" s="3" t="str">
        <f>IF(ISERROR(VLOOKUP(Base_Periodo1[[#This Row],[CONTA]],BaseContasDRE[#All],5,FALSE)),"Fora do DRE",VLOOKUP(Base_Periodo1[[#This Row],[CONTA]],BaseContasDRE[#All],6,FALSE))</f>
        <v>Fora do DRE</v>
      </c>
      <c r="U5294" s="3" t="str">
        <f>IF(ISERROR(VLOOKUP(Base_Periodo1[[#This Row],[CONTA]],BaseContasDRE[#All],7,FALSE)),"Fora do DRE",VLOOKUP(Base_Periodo1[[#This Row],[CONTA]],BaseContasDRE[#All],7,FALSE))</f>
        <v>Fora do DRE</v>
      </c>
      <c r="V5294" s="3" t="str">
        <f>IF(Base_Periodo1[[#This Row],[Tipo_Linha]]="Fora do DRE","Fora do DRE","( "&amp;Base_Periodo1[[#This Row],[Tipo_Linha]]&amp;" ) "&amp;Base_Periodo1[[#This Row],[Filtro]])</f>
        <v>Fora do DRE</v>
      </c>
      <c r="W5294" s="3" t="str">
        <f>LEFT(Base_Periodo1[[#This Row],[CLASS]],3)</f>
        <v>2.4</v>
      </c>
    </row>
    <row r="5295" spans="1:23" hidden="1">
      <c r="A5295" s="3" t="str">
        <f t="shared" si="82"/>
        <v>Período 1</v>
      </c>
      <c r="B5295">
        <v>15936</v>
      </c>
      <c r="C5295" t="s">
        <v>2300</v>
      </c>
      <c r="D5295" t="s">
        <v>3147</v>
      </c>
      <c r="E5295" s="3" t="str">
        <f>IF(LEN(Base_Periodo1[[#This Row],[CLASS]])&gt;=7,LEFT(Base_Periodo1[[#This Row],[CLASS]],7),"")</f>
        <v>2.4.1.1</v>
      </c>
      <c r="F5295" s="3" t="str">
        <f>VLOOKUP(Base_Periodo1[[#This Row],[Aux]],Base_Contas_Balanco[#All],2,FALSE)</f>
        <v>Capital Social Realizado</v>
      </c>
      <c r="G5295" s="1"/>
      <c r="H5295" s="281">
        <v>733.32999999999993</v>
      </c>
      <c r="I5295" s="281">
        <v>0</v>
      </c>
      <c r="J5295" s="281">
        <v>0</v>
      </c>
      <c r="K5295" s="281">
        <v>733.32999999999993</v>
      </c>
      <c r="L529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733.33</v>
      </c>
      <c r="M5295" s="281">
        <f>ROUND(IF(AND(Base_Periodo1[[#This Row],[Tipo_Linha]]="-",Base_Periodo1[[#This Row],[TIPOSALDO]]="D"),Base_Periodo1[[#This Row],[SALDO_ATUAL]]*-1,Base_Periodo1[[#This Row],[SALDO_ATUAL]]),4)</f>
        <v>733.33</v>
      </c>
      <c r="N5295" t="s">
        <v>116</v>
      </c>
      <c r="O5295" t="s">
        <v>459</v>
      </c>
      <c r="P5295" t="s">
        <v>459</v>
      </c>
      <c r="Q5295">
        <v>6</v>
      </c>
      <c r="R5295" s="281">
        <f>Base_Periodo1[[#This Row],[CREDITOS]]-Base_Periodo1[[#This Row],[DEBITOS]]</f>
        <v>0</v>
      </c>
      <c r="S5295" s="3" t="str">
        <f>IF(ISERROR(VLOOKUP(Base_Periodo1[[#This Row],[CONTA]],BaseContasDRE[#All],4,FALSE)),"Fora do DRE",VLOOKUP(Base_Periodo1[[#This Row],[CONTA]],BaseContasDRE[#All],4,FALSE))</f>
        <v>Fora do DRE</v>
      </c>
      <c r="T5295" s="3" t="str">
        <f>IF(ISERROR(VLOOKUP(Base_Periodo1[[#This Row],[CONTA]],BaseContasDRE[#All],5,FALSE)),"Fora do DRE",VLOOKUP(Base_Periodo1[[#This Row],[CONTA]],BaseContasDRE[#All],6,FALSE))</f>
        <v>Fora do DRE</v>
      </c>
      <c r="U5295" s="3" t="str">
        <f>IF(ISERROR(VLOOKUP(Base_Periodo1[[#This Row],[CONTA]],BaseContasDRE[#All],7,FALSE)),"Fora do DRE",VLOOKUP(Base_Periodo1[[#This Row],[CONTA]],BaseContasDRE[#All],7,FALSE))</f>
        <v>Fora do DRE</v>
      </c>
      <c r="V5295" s="3" t="str">
        <f>IF(Base_Periodo1[[#This Row],[Tipo_Linha]]="Fora do DRE","Fora do DRE","( "&amp;Base_Periodo1[[#This Row],[Tipo_Linha]]&amp;" ) "&amp;Base_Periodo1[[#This Row],[Filtro]])</f>
        <v>Fora do DRE</v>
      </c>
      <c r="W5295" s="3" t="str">
        <f>LEFT(Base_Periodo1[[#This Row],[CLASS]],3)</f>
        <v>2.4</v>
      </c>
    </row>
    <row r="5296" spans="1:23" hidden="1">
      <c r="A5296" s="3" t="str">
        <f t="shared" si="82"/>
        <v>Período 1</v>
      </c>
      <c r="B5296">
        <v>47254</v>
      </c>
      <c r="C5296" t="s">
        <v>2300</v>
      </c>
      <c r="D5296" t="s">
        <v>3148</v>
      </c>
      <c r="E5296" s="3" t="str">
        <f>IF(LEN(Base_Periodo1[[#This Row],[CLASS]])&gt;=7,LEFT(Base_Periodo1[[#This Row],[CLASS]],7),"")</f>
        <v>2.4.1.1</v>
      </c>
      <c r="F5296" s="3" t="str">
        <f>VLOOKUP(Base_Periodo1[[#This Row],[Aux]],Base_Contas_Balanco[#All],2,FALSE)</f>
        <v>Capital Social Realizado</v>
      </c>
      <c r="G5296" s="1"/>
      <c r="H5296" s="281">
        <v>306.33</v>
      </c>
      <c r="I5296" s="281">
        <v>0</v>
      </c>
      <c r="J5296" s="281">
        <v>0</v>
      </c>
      <c r="K5296" s="281">
        <v>306.33</v>
      </c>
      <c r="L529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306.33</v>
      </c>
      <c r="M5296" s="281">
        <f>ROUND(IF(AND(Base_Periodo1[[#This Row],[Tipo_Linha]]="-",Base_Periodo1[[#This Row],[TIPOSALDO]]="D"),Base_Periodo1[[#This Row],[SALDO_ATUAL]]*-1,Base_Periodo1[[#This Row],[SALDO_ATUAL]]),4)</f>
        <v>306.33</v>
      </c>
      <c r="N5296" t="s">
        <v>116</v>
      </c>
      <c r="O5296" t="s">
        <v>459</v>
      </c>
      <c r="P5296" t="s">
        <v>459</v>
      </c>
      <c r="Q5296">
        <v>6</v>
      </c>
      <c r="R5296" s="281">
        <f>Base_Periodo1[[#This Row],[CREDITOS]]-Base_Periodo1[[#This Row],[DEBITOS]]</f>
        <v>0</v>
      </c>
      <c r="S5296" s="3" t="str">
        <f>IF(ISERROR(VLOOKUP(Base_Periodo1[[#This Row],[CONTA]],BaseContasDRE[#All],4,FALSE)),"Fora do DRE",VLOOKUP(Base_Periodo1[[#This Row],[CONTA]],BaseContasDRE[#All],4,FALSE))</f>
        <v>Fora do DRE</v>
      </c>
      <c r="T5296" s="3" t="str">
        <f>IF(ISERROR(VLOOKUP(Base_Periodo1[[#This Row],[CONTA]],BaseContasDRE[#All],5,FALSE)),"Fora do DRE",VLOOKUP(Base_Periodo1[[#This Row],[CONTA]],BaseContasDRE[#All],6,FALSE))</f>
        <v>Fora do DRE</v>
      </c>
      <c r="U5296" s="3" t="str">
        <f>IF(ISERROR(VLOOKUP(Base_Periodo1[[#This Row],[CONTA]],BaseContasDRE[#All],7,FALSE)),"Fora do DRE",VLOOKUP(Base_Periodo1[[#This Row],[CONTA]],BaseContasDRE[#All],7,FALSE))</f>
        <v>Fora do DRE</v>
      </c>
      <c r="V5296" s="3" t="str">
        <f>IF(Base_Periodo1[[#This Row],[Tipo_Linha]]="Fora do DRE","Fora do DRE","( "&amp;Base_Periodo1[[#This Row],[Tipo_Linha]]&amp;" ) "&amp;Base_Periodo1[[#This Row],[Filtro]])</f>
        <v>Fora do DRE</v>
      </c>
      <c r="W5296" s="3" t="str">
        <f>LEFT(Base_Periodo1[[#This Row],[CLASS]],3)</f>
        <v>2.4</v>
      </c>
    </row>
    <row r="5297" spans="1:23" hidden="1">
      <c r="A5297" s="3" t="str">
        <f t="shared" si="82"/>
        <v>Período 1</v>
      </c>
      <c r="B5297">
        <v>48296</v>
      </c>
      <c r="C5297" t="s">
        <v>2300</v>
      </c>
      <c r="D5297" t="s">
        <v>3149</v>
      </c>
      <c r="E5297" s="3" t="str">
        <f>IF(LEN(Base_Periodo1[[#This Row],[CLASS]])&gt;=7,LEFT(Base_Periodo1[[#This Row],[CLASS]],7),"")</f>
        <v>2.4.1.1</v>
      </c>
      <c r="F5297" s="3" t="str">
        <f>VLOOKUP(Base_Periodo1[[#This Row],[Aux]],Base_Contas_Balanco[#All],2,FALSE)</f>
        <v>Capital Social Realizado</v>
      </c>
      <c r="G5297" s="1"/>
      <c r="H5297" s="281">
        <v>113.03</v>
      </c>
      <c r="I5297" s="281">
        <v>0</v>
      </c>
      <c r="J5297" s="281">
        <v>0</v>
      </c>
      <c r="K5297" s="281">
        <v>113.03</v>
      </c>
      <c r="L529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113.03</v>
      </c>
      <c r="M5297" s="281">
        <f>ROUND(IF(AND(Base_Periodo1[[#This Row],[Tipo_Linha]]="-",Base_Periodo1[[#This Row],[TIPOSALDO]]="D"),Base_Periodo1[[#This Row],[SALDO_ATUAL]]*-1,Base_Periodo1[[#This Row],[SALDO_ATUAL]]),4)</f>
        <v>113.03</v>
      </c>
      <c r="N5297" t="s">
        <v>116</v>
      </c>
      <c r="O5297" t="s">
        <v>459</v>
      </c>
      <c r="P5297" t="s">
        <v>459</v>
      </c>
      <c r="Q5297">
        <v>6</v>
      </c>
      <c r="R5297" s="281">
        <f>Base_Periodo1[[#This Row],[CREDITOS]]-Base_Periodo1[[#This Row],[DEBITOS]]</f>
        <v>0</v>
      </c>
      <c r="S5297" s="3" t="str">
        <f>IF(ISERROR(VLOOKUP(Base_Periodo1[[#This Row],[CONTA]],BaseContasDRE[#All],4,FALSE)),"Fora do DRE",VLOOKUP(Base_Periodo1[[#This Row],[CONTA]],BaseContasDRE[#All],4,FALSE))</f>
        <v>Fora do DRE</v>
      </c>
      <c r="T5297" s="3" t="str">
        <f>IF(ISERROR(VLOOKUP(Base_Periodo1[[#This Row],[CONTA]],BaseContasDRE[#All],5,FALSE)),"Fora do DRE",VLOOKUP(Base_Periodo1[[#This Row],[CONTA]],BaseContasDRE[#All],6,FALSE))</f>
        <v>Fora do DRE</v>
      </c>
      <c r="U5297" s="3" t="str">
        <f>IF(ISERROR(VLOOKUP(Base_Periodo1[[#This Row],[CONTA]],BaseContasDRE[#All],7,FALSE)),"Fora do DRE",VLOOKUP(Base_Periodo1[[#This Row],[CONTA]],BaseContasDRE[#All],7,FALSE))</f>
        <v>Fora do DRE</v>
      </c>
      <c r="V5297" s="3" t="str">
        <f>IF(Base_Periodo1[[#This Row],[Tipo_Linha]]="Fora do DRE","Fora do DRE","( "&amp;Base_Periodo1[[#This Row],[Tipo_Linha]]&amp;" ) "&amp;Base_Periodo1[[#This Row],[Filtro]])</f>
        <v>Fora do DRE</v>
      </c>
      <c r="W5297" s="3" t="str">
        <f>LEFT(Base_Periodo1[[#This Row],[CLASS]],3)</f>
        <v>2.4</v>
      </c>
    </row>
    <row r="5298" spans="1:23" hidden="1">
      <c r="A5298" s="3" t="str">
        <f t="shared" si="82"/>
        <v>Período 1</v>
      </c>
      <c r="B5298">
        <v>24633</v>
      </c>
      <c r="C5298" t="s">
        <v>2300</v>
      </c>
      <c r="D5298" t="s">
        <v>3150</v>
      </c>
      <c r="E5298" s="3" t="str">
        <f>IF(LEN(Base_Periodo1[[#This Row],[CLASS]])&gt;=7,LEFT(Base_Periodo1[[#This Row],[CLASS]],7),"")</f>
        <v>2.4.1.1</v>
      </c>
      <c r="F5298" s="3" t="str">
        <f>VLOOKUP(Base_Periodo1[[#This Row],[Aux]],Base_Contas_Balanco[#All],2,FALSE)</f>
        <v>Capital Social Realizado</v>
      </c>
      <c r="G5298" s="1"/>
      <c r="H5298" s="281">
        <v>156.31</v>
      </c>
      <c r="I5298" s="281">
        <v>0</v>
      </c>
      <c r="J5298" s="281">
        <v>0</v>
      </c>
      <c r="K5298" s="281">
        <v>156.31</v>
      </c>
      <c r="L529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156.31</v>
      </c>
      <c r="M5298" s="281">
        <f>ROUND(IF(AND(Base_Periodo1[[#This Row],[Tipo_Linha]]="-",Base_Periodo1[[#This Row],[TIPOSALDO]]="D"),Base_Periodo1[[#This Row],[SALDO_ATUAL]]*-1,Base_Periodo1[[#This Row],[SALDO_ATUAL]]),4)</f>
        <v>156.31</v>
      </c>
      <c r="N5298" t="s">
        <v>116</v>
      </c>
      <c r="O5298" t="s">
        <v>459</v>
      </c>
      <c r="P5298" t="s">
        <v>459</v>
      </c>
      <c r="Q5298">
        <v>6</v>
      </c>
      <c r="R5298" s="281">
        <f>Base_Periodo1[[#This Row],[CREDITOS]]-Base_Periodo1[[#This Row],[DEBITOS]]</f>
        <v>0</v>
      </c>
      <c r="S5298" s="3" t="str">
        <f>IF(ISERROR(VLOOKUP(Base_Periodo1[[#This Row],[CONTA]],BaseContasDRE[#All],4,FALSE)),"Fora do DRE",VLOOKUP(Base_Periodo1[[#This Row],[CONTA]],BaseContasDRE[#All],4,FALSE))</f>
        <v>Fora do DRE</v>
      </c>
      <c r="T5298" s="3" t="str">
        <f>IF(ISERROR(VLOOKUP(Base_Periodo1[[#This Row],[CONTA]],BaseContasDRE[#All],5,FALSE)),"Fora do DRE",VLOOKUP(Base_Periodo1[[#This Row],[CONTA]],BaseContasDRE[#All],6,FALSE))</f>
        <v>Fora do DRE</v>
      </c>
      <c r="U5298" s="3" t="str">
        <f>IF(ISERROR(VLOOKUP(Base_Periodo1[[#This Row],[CONTA]],BaseContasDRE[#All],7,FALSE)),"Fora do DRE",VLOOKUP(Base_Periodo1[[#This Row],[CONTA]],BaseContasDRE[#All],7,FALSE))</f>
        <v>Fora do DRE</v>
      </c>
      <c r="V5298" s="3" t="str">
        <f>IF(Base_Periodo1[[#This Row],[Tipo_Linha]]="Fora do DRE","Fora do DRE","( "&amp;Base_Periodo1[[#This Row],[Tipo_Linha]]&amp;" ) "&amp;Base_Periodo1[[#This Row],[Filtro]])</f>
        <v>Fora do DRE</v>
      </c>
      <c r="W5298" s="3" t="str">
        <f>LEFT(Base_Periodo1[[#This Row],[CLASS]],3)</f>
        <v>2.4</v>
      </c>
    </row>
    <row r="5299" spans="1:23" hidden="1">
      <c r="A5299" s="3" t="str">
        <f t="shared" si="82"/>
        <v>Período 1</v>
      </c>
      <c r="B5299">
        <v>19771</v>
      </c>
      <c r="C5299" t="s">
        <v>2300</v>
      </c>
      <c r="D5299" t="s">
        <v>3151</v>
      </c>
      <c r="E5299" s="3" t="str">
        <f>IF(LEN(Base_Periodo1[[#This Row],[CLASS]])&gt;=7,LEFT(Base_Periodo1[[#This Row],[CLASS]],7),"")</f>
        <v>2.4.1.1</v>
      </c>
      <c r="F5299" s="3" t="str">
        <f>VLOOKUP(Base_Periodo1[[#This Row],[Aux]],Base_Contas_Balanco[#All],2,FALSE)</f>
        <v>Capital Social Realizado</v>
      </c>
      <c r="G5299" s="1"/>
      <c r="H5299" s="281">
        <v>119.76</v>
      </c>
      <c r="I5299" s="281">
        <v>0</v>
      </c>
      <c r="J5299" s="281">
        <v>0</v>
      </c>
      <c r="K5299" s="281">
        <v>119.76</v>
      </c>
      <c r="L529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119.76</v>
      </c>
      <c r="M5299" s="281">
        <f>ROUND(IF(AND(Base_Periodo1[[#This Row],[Tipo_Linha]]="-",Base_Periodo1[[#This Row],[TIPOSALDO]]="D"),Base_Periodo1[[#This Row],[SALDO_ATUAL]]*-1,Base_Periodo1[[#This Row],[SALDO_ATUAL]]),4)</f>
        <v>119.76</v>
      </c>
      <c r="N5299" t="s">
        <v>116</v>
      </c>
      <c r="O5299" t="s">
        <v>459</v>
      </c>
      <c r="P5299" t="s">
        <v>459</v>
      </c>
      <c r="Q5299">
        <v>6</v>
      </c>
      <c r="R5299" s="281">
        <f>Base_Periodo1[[#This Row],[CREDITOS]]-Base_Periodo1[[#This Row],[DEBITOS]]</f>
        <v>0</v>
      </c>
      <c r="S5299" s="3" t="str">
        <f>IF(ISERROR(VLOOKUP(Base_Periodo1[[#This Row],[CONTA]],BaseContasDRE[#All],4,FALSE)),"Fora do DRE",VLOOKUP(Base_Periodo1[[#This Row],[CONTA]],BaseContasDRE[#All],4,FALSE))</f>
        <v>Fora do DRE</v>
      </c>
      <c r="T5299" s="3" t="str">
        <f>IF(ISERROR(VLOOKUP(Base_Periodo1[[#This Row],[CONTA]],BaseContasDRE[#All],5,FALSE)),"Fora do DRE",VLOOKUP(Base_Periodo1[[#This Row],[CONTA]],BaseContasDRE[#All],6,FALSE))</f>
        <v>Fora do DRE</v>
      </c>
      <c r="U5299" s="3" t="str">
        <f>IF(ISERROR(VLOOKUP(Base_Periodo1[[#This Row],[CONTA]],BaseContasDRE[#All],7,FALSE)),"Fora do DRE",VLOOKUP(Base_Periodo1[[#This Row],[CONTA]],BaseContasDRE[#All],7,FALSE))</f>
        <v>Fora do DRE</v>
      </c>
      <c r="V5299" s="3" t="str">
        <f>IF(Base_Periodo1[[#This Row],[Tipo_Linha]]="Fora do DRE","Fora do DRE","( "&amp;Base_Periodo1[[#This Row],[Tipo_Linha]]&amp;" ) "&amp;Base_Periodo1[[#This Row],[Filtro]])</f>
        <v>Fora do DRE</v>
      </c>
      <c r="W5299" s="3" t="str">
        <f>LEFT(Base_Periodo1[[#This Row],[CLASS]],3)</f>
        <v>2.4</v>
      </c>
    </row>
    <row r="5300" spans="1:23" hidden="1">
      <c r="A5300" s="3" t="str">
        <f t="shared" si="82"/>
        <v>Período 1</v>
      </c>
      <c r="B5300">
        <v>19784</v>
      </c>
      <c r="C5300" t="s">
        <v>2300</v>
      </c>
      <c r="D5300" t="s">
        <v>3152</v>
      </c>
      <c r="E5300" s="3" t="str">
        <f>IF(LEN(Base_Periodo1[[#This Row],[CLASS]])&gt;=7,LEFT(Base_Periodo1[[#This Row],[CLASS]],7),"")</f>
        <v>2.4.1.1</v>
      </c>
      <c r="F5300" s="3" t="str">
        <f>VLOOKUP(Base_Periodo1[[#This Row],[Aux]],Base_Contas_Balanco[#All],2,FALSE)</f>
        <v>Capital Social Realizado</v>
      </c>
      <c r="G5300" s="1"/>
      <c r="H5300" s="281">
        <v>614.07000000000005</v>
      </c>
      <c r="I5300" s="281">
        <v>0</v>
      </c>
      <c r="J5300" s="281">
        <v>0</v>
      </c>
      <c r="K5300" s="281">
        <v>614.07000000000005</v>
      </c>
      <c r="L530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614.07000000000005</v>
      </c>
      <c r="M5300" s="281">
        <f>ROUND(IF(AND(Base_Periodo1[[#This Row],[Tipo_Linha]]="-",Base_Periodo1[[#This Row],[TIPOSALDO]]="D"),Base_Periodo1[[#This Row],[SALDO_ATUAL]]*-1,Base_Periodo1[[#This Row],[SALDO_ATUAL]]),4)</f>
        <v>614.07000000000005</v>
      </c>
      <c r="N5300" t="s">
        <v>116</v>
      </c>
      <c r="O5300" t="s">
        <v>459</v>
      </c>
      <c r="P5300" t="s">
        <v>459</v>
      </c>
      <c r="Q5300">
        <v>6</v>
      </c>
      <c r="R5300" s="281">
        <f>Base_Periodo1[[#This Row],[CREDITOS]]-Base_Periodo1[[#This Row],[DEBITOS]]</f>
        <v>0</v>
      </c>
      <c r="S5300" s="3" t="str">
        <f>IF(ISERROR(VLOOKUP(Base_Periodo1[[#This Row],[CONTA]],BaseContasDRE[#All],4,FALSE)),"Fora do DRE",VLOOKUP(Base_Periodo1[[#This Row],[CONTA]],BaseContasDRE[#All],4,FALSE))</f>
        <v>Fora do DRE</v>
      </c>
      <c r="T5300" s="3" t="str">
        <f>IF(ISERROR(VLOOKUP(Base_Periodo1[[#This Row],[CONTA]],BaseContasDRE[#All],5,FALSE)),"Fora do DRE",VLOOKUP(Base_Periodo1[[#This Row],[CONTA]],BaseContasDRE[#All],6,FALSE))</f>
        <v>Fora do DRE</v>
      </c>
      <c r="U5300" s="3" t="str">
        <f>IF(ISERROR(VLOOKUP(Base_Periodo1[[#This Row],[CONTA]],BaseContasDRE[#All],7,FALSE)),"Fora do DRE",VLOOKUP(Base_Periodo1[[#This Row],[CONTA]],BaseContasDRE[#All],7,FALSE))</f>
        <v>Fora do DRE</v>
      </c>
      <c r="V5300" s="3" t="str">
        <f>IF(Base_Periodo1[[#This Row],[Tipo_Linha]]="Fora do DRE","Fora do DRE","( "&amp;Base_Periodo1[[#This Row],[Tipo_Linha]]&amp;" ) "&amp;Base_Periodo1[[#This Row],[Filtro]])</f>
        <v>Fora do DRE</v>
      </c>
      <c r="W5300" s="3" t="str">
        <f>LEFT(Base_Periodo1[[#This Row],[CLASS]],3)</f>
        <v>2.4</v>
      </c>
    </row>
    <row r="5301" spans="1:23" hidden="1">
      <c r="A5301" s="3" t="str">
        <f t="shared" si="82"/>
        <v>Período 1</v>
      </c>
      <c r="B5301">
        <v>25551</v>
      </c>
      <c r="C5301" t="s">
        <v>2300</v>
      </c>
      <c r="D5301" t="s">
        <v>3153</v>
      </c>
      <c r="E5301" s="3" t="str">
        <f>IF(LEN(Base_Periodo1[[#This Row],[CLASS]])&gt;=7,LEFT(Base_Periodo1[[#This Row],[CLASS]],7),"")</f>
        <v>2.4.1.1</v>
      </c>
      <c r="F5301" s="3" t="str">
        <f>VLOOKUP(Base_Periodo1[[#This Row],[Aux]],Base_Contas_Balanco[#All],2,FALSE)</f>
        <v>Capital Social Realizado</v>
      </c>
      <c r="G5301" s="1"/>
      <c r="H5301" s="281">
        <v>532.19000000000005</v>
      </c>
      <c r="I5301" s="281">
        <v>0</v>
      </c>
      <c r="J5301" s="281">
        <v>0</v>
      </c>
      <c r="K5301" s="281">
        <v>532.19000000000005</v>
      </c>
      <c r="L530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532.19000000000005</v>
      </c>
      <c r="M5301" s="281">
        <f>ROUND(IF(AND(Base_Periodo1[[#This Row],[Tipo_Linha]]="-",Base_Periodo1[[#This Row],[TIPOSALDO]]="D"),Base_Periodo1[[#This Row],[SALDO_ATUAL]]*-1,Base_Periodo1[[#This Row],[SALDO_ATUAL]]),4)</f>
        <v>532.19000000000005</v>
      </c>
      <c r="N5301" t="s">
        <v>116</v>
      </c>
      <c r="O5301" t="s">
        <v>459</v>
      </c>
      <c r="P5301" t="s">
        <v>459</v>
      </c>
      <c r="Q5301">
        <v>6</v>
      </c>
      <c r="R5301" s="281">
        <f>Base_Periodo1[[#This Row],[CREDITOS]]-Base_Periodo1[[#This Row],[DEBITOS]]</f>
        <v>0</v>
      </c>
      <c r="S5301" s="3" t="str">
        <f>IF(ISERROR(VLOOKUP(Base_Periodo1[[#This Row],[CONTA]],BaseContasDRE[#All],4,FALSE)),"Fora do DRE",VLOOKUP(Base_Periodo1[[#This Row],[CONTA]],BaseContasDRE[#All],4,FALSE))</f>
        <v>Fora do DRE</v>
      </c>
      <c r="T5301" s="3" t="str">
        <f>IF(ISERROR(VLOOKUP(Base_Periodo1[[#This Row],[CONTA]],BaseContasDRE[#All],5,FALSE)),"Fora do DRE",VLOOKUP(Base_Periodo1[[#This Row],[CONTA]],BaseContasDRE[#All],6,FALSE))</f>
        <v>Fora do DRE</v>
      </c>
      <c r="U5301" s="3" t="str">
        <f>IF(ISERROR(VLOOKUP(Base_Periodo1[[#This Row],[CONTA]],BaseContasDRE[#All],7,FALSE)),"Fora do DRE",VLOOKUP(Base_Periodo1[[#This Row],[CONTA]],BaseContasDRE[#All],7,FALSE))</f>
        <v>Fora do DRE</v>
      </c>
      <c r="V5301" s="3" t="str">
        <f>IF(Base_Periodo1[[#This Row],[Tipo_Linha]]="Fora do DRE","Fora do DRE","( "&amp;Base_Periodo1[[#This Row],[Tipo_Linha]]&amp;" ) "&amp;Base_Periodo1[[#This Row],[Filtro]])</f>
        <v>Fora do DRE</v>
      </c>
      <c r="W5301" s="3" t="str">
        <f>LEFT(Base_Periodo1[[#This Row],[CLASS]],3)</f>
        <v>2.4</v>
      </c>
    </row>
    <row r="5302" spans="1:23" hidden="1">
      <c r="A5302" s="3" t="str">
        <f t="shared" si="82"/>
        <v>Período 1</v>
      </c>
      <c r="B5302">
        <v>52868</v>
      </c>
      <c r="C5302" t="s">
        <v>2300</v>
      </c>
      <c r="D5302" t="s">
        <v>4792</v>
      </c>
      <c r="E5302" s="3" t="str">
        <f>IF(LEN(Base_Periodo1[[#This Row],[CLASS]])&gt;=7,LEFT(Base_Periodo1[[#This Row],[CLASS]],7),"")</f>
        <v>2.4.1.1</v>
      </c>
      <c r="F5302" s="3" t="str">
        <f>VLOOKUP(Base_Periodo1[[#This Row],[Aux]],Base_Contas_Balanco[#All],2,FALSE)</f>
        <v>Capital Social Realizado</v>
      </c>
      <c r="G5302" s="1"/>
      <c r="H5302" s="281">
        <v>50</v>
      </c>
      <c r="I5302" s="281">
        <v>0</v>
      </c>
      <c r="J5302" s="281">
        <v>0</v>
      </c>
      <c r="K5302" s="281">
        <v>50</v>
      </c>
      <c r="L530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02" s="281">
        <f>ROUND(IF(AND(Base_Periodo1[[#This Row],[Tipo_Linha]]="-",Base_Periodo1[[#This Row],[TIPOSALDO]]="D"),Base_Periodo1[[#This Row],[SALDO_ATUAL]]*-1,Base_Periodo1[[#This Row],[SALDO_ATUAL]]),4)</f>
        <v>50</v>
      </c>
      <c r="N5302" t="s">
        <v>116</v>
      </c>
      <c r="O5302" t="s">
        <v>459</v>
      </c>
      <c r="P5302" t="s">
        <v>459</v>
      </c>
      <c r="Q5302">
        <v>6</v>
      </c>
      <c r="R5302" s="281">
        <f>Base_Periodo1[[#This Row],[CREDITOS]]-Base_Periodo1[[#This Row],[DEBITOS]]</f>
        <v>0</v>
      </c>
      <c r="S5302" s="3" t="str">
        <f>IF(ISERROR(VLOOKUP(Base_Periodo1[[#This Row],[CONTA]],BaseContasDRE[#All],4,FALSE)),"Fora do DRE",VLOOKUP(Base_Periodo1[[#This Row],[CONTA]],BaseContasDRE[#All],4,FALSE))</f>
        <v>Fora do DRE</v>
      </c>
      <c r="T5302" s="3" t="str">
        <f>IF(ISERROR(VLOOKUP(Base_Periodo1[[#This Row],[CONTA]],BaseContasDRE[#All],5,FALSE)),"Fora do DRE",VLOOKUP(Base_Periodo1[[#This Row],[CONTA]],BaseContasDRE[#All],6,FALSE))</f>
        <v>Fora do DRE</v>
      </c>
      <c r="U5302" s="3" t="str">
        <f>IF(ISERROR(VLOOKUP(Base_Periodo1[[#This Row],[CONTA]],BaseContasDRE[#All],7,FALSE)),"Fora do DRE",VLOOKUP(Base_Periodo1[[#This Row],[CONTA]],BaseContasDRE[#All],7,FALSE))</f>
        <v>Fora do DRE</v>
      </c>
      <c r="V5302" s="3" t="str">
        <f>IF(Base_Periodo1[[#This Row],[Tipo_Linha]]="Fora do DRE","Fora do DRE","( "&amp;Base_Periodo1[[#This Row],[Tipo_Linha]]&amp;" ) "&amp;Base_Periodo1[[#This Row],[Filtro]])</f>
        <v>Fora do DRE</v>
      </c>
      <c r="W5302" s="3" t="str">
        <f>LEFT(Base_Periodo1[[#This Row],[CLASS]],3)</f>
        <v>2.4</v>
      </c>
    </row>
    <row r="5303" spans="1:23" hidden="1">
      <c r="A5303" s="3" t="str">
        <f t="shared" si="82"/>
        <v>Período 1</v>
      </c>
      <c r="B5303">
        <v>57915</v>
      </c>
      <c r="C5303" t="s">
        <v>2300</v>
      </c>
      <c r="D5303" t="s">
        <v>6572</v>
      </c>
      <c r="E5303" s="3" t="str">
        <f>IF(LEN(Base_Periodo1[[#This Row],[CLASS]])&gt;=7,LEFT(Base_Periodo1[[#This Row],[CLASS]],7),"")</f>
        <v>2.4.1.1</v>
      </c>
      <c r="F5303" s="3" t="str">
        <f>VLOOKUP(Base_Periodo1[[#This Row],[Aux]],Base_Contas_Balanco[#All],2,FALSE)</f>
        <v>Capital Social Realizado</v>
      </c>
      <c r="G5303" s="1"/>
      <c r="H5303" s="281">
        <v>50</v>
      </c>
      <c r="I5303" s="281">
        <v>0</v>
      </c>
      <c r="J5303" s="281">
        <v>0</v>
      </c>
      <c r="K5303" s="281">
        <v>50</v>
      </c>
      <c r="L530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03" s="281">
        <f>ROUND(IF(AND(Base_Periodo1[[#This Row],[Tipo_Linha]]="-",Base_Periodo1[[#This Row],[TIPOSALDO]]="D"),Base_Periodo1[[#This Row],[SALDO_ATUAL]]*-1,Base_Periodo1[[#This Row],[SALDO_ATUAL]]),4)</f>
        <v>50</v>
      </c>
      <c r="N5303" t="s">
        <v>116</v>
      </c>
      <c r="O5303" t="s">
        <v>459</v>
      </c>
      <c r="P5303" t="s">
        <v>459</v>
      </c>
      <c r="Q5303">
        <v>6</v>
      </c>
      <c r="R5303" s="281">
        <f>Base_Periodo1[[#This Row],[CREDITOS]]-Base_Periodo1[[#This Row],[DEBITOS]]</f>
        <v>0</v>
      </c>
      <c r="S5303" s="3" t="str">
        <f>IF(ISERROR(VLOOKUP(Base_Periodo1[[#This Row],[CONTA]],BaseContasDRE[#All],4,FALSE)),"Fora do DRE",VLOOKUP(Base_Periodo1[[#This Row],[CONTA]],BaseContasDRE[#All],4,FALSE))</f>
        <v>Fora do DRE</v>
      </c>
      <c r="T5303" s="3" t="str">
        <f>IF(ISERROR(VLOOKUP(Base_Periodo1[[#This Row],[CONTA]],BaseContasDRE[#All],5,FALSE)),"Fora do DRE",VLOOKUP(Base_Periodo1[[#This Row],[CONTA]],BaseContasDRE[#All],6,FALSE))</f>
        <v>Fora do DRE</v>
      </c>
      <c r="U5303" s="3" t="str">
        <f>IF(ISERROR(VLOOKUP(Base_Periodo1[[#This Row],[CONTA]],BaseContasDRE[#All],7,FALSE)),"Fora do DRE",VLOOKUP(Base_Periodo1[[#This Row],[CONTA]],BaseContasDRE[#All],7,FALSE))</f>
        <v>Fora do DRE</v>
      </c>
      <c r="V5303" s="3" t="str">
        <f>IF(Base_Periodo1[[#This Row],[Tipo_Linha]]="Fora do DRE","Fora do DRE","( "&amp;Base_Periodo1[[#This Row],[Tipo_Linha]]&amp;" ) "&amp;Base_Periodo1[[#This Row],[Filtro]])</f>
        <v>Fora do DRE</v>
      </c>
      <c r="W5303" s="3" t="str">
        <f>LEFT(Base_Periodo1[[#This Row],[CLASS]],3)</f>
        <v>2.4</v>
      </c>
    </row>
    <row r="5304" spans="1:23" hidden="1">
      <c r="A5304" s="3" t="str">
        <f t="shared" si="82"/>
        <v>Período 1</v>
      </c>
      <c r="B5304">
        <v>24605</v>
      </c>
      <c r="C5304" t="s">
        <v>2300</v>
      </c>
      <c r="D5304" t="s">
        <v>3154</v>
      </c>
      <c r="E5304" s="3" t="str">
        <f>IF(LEN(Base_Periodo1[[#This Row],[CLASS]])&gt;=7,LEFT(Base_Periodo1[[#This Row],[CLASS]],7),"")</f>
        <v>2.4.1.1</v>
      </c>
      <c r="F5304" s="3" t="str">
        <f>VLOOKUP(Base_Periodo1[[#This Row],[Aux]],Base_Contas_Balanco[#All],2,FALSE)</f>
        <v>Capital Social Realizado</v>
      </c>
      <c r="G5304" s="1"/>
      <c r="H5304" s="281">
        <v>186.82999999999998</v>
      </c>
      <c r="I5304" s="281">
        <v>0</v>
      </c>
      <c r="J5304" s="281">
        <v>0</v>
      </c>
      <c r="K5304" s="281">
        <v>186.82999999999998</v>
      </c>
      <c r="L530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186.83</v>
      </c>
      <c r="M5304" s="281">
        <f>ROUND(IF(AND(Base_Periodo1[[#This Row],[Tipo_Linha]]="-",Base_Periodo1[[#This Row],[TIPOSALDO]]="D"),Base_Periodo1[[#This Row],[SALDO_ATUAL]]*-1,Base_Periodo1[[#This Row],[SALDO_ATUAL]]),4)</f>
        <v>186.83</v>
      </c>
      <c r="N5304" t="s">
        <v>116</v>
      </c>
      <c r="O5304" t="s">
        <v>459</v>
      </c>
      <c r="P5304" t="s">
        <v>459</v>
      </c>
      <c r="Q5304">
        <v>6</v>
      </c>
      <c r="R5304" s="281">
        <f>Base_Periodo1[[#This Row],[CREDITOS]]-Base_Periodo1[[#This Row],[DEBITOS]]</f>
        <v>0</v>
      </c>
      <c r="S5304" s="3" t="str">
        <f>IF(ISERROR(VLOOKUP(Base_Periodo1[[#This Row],[CONTA]],BaseContasDRE[#All],4,FALSE)),"Fora do DRE",VLOOKUP(Base_Periodo1[[#This Row],[CONTA]],BaseContasDRE[#All],4,FALSE))</f>
        <v>Fora do DRE</v>
      </c>
      <c r="T5304" s="3" t="str">
        <f>IF(ISERROR(VLOOKUP(Base_Periodo1[[#This Row],[CONTA]],BaseContasDRE[#All],5,FALSE)),"Fora do DRE",VLOOKUP(Base_Periodo1[[#This Row],[CONTA]],BaseContasDRE[#All],6,FALSE))</f>
        <v>Fora do DRE</v>
      </c>
      <c r="U5304" s="3" t="str">
        <f>IF(ISERROR(VLOOKUP(Base_Periodo1[[#This Row],[CONTA]],BaseContasDRE[#All],7,FALSE)),"Fora do DRE",VLOOKUP(Base_Periodo1[[#This Row],[CONTA]],BaseContasDRE[#All],7,FALSE))</f>
        <v>Fora do DRE</v>
      </c>
      <c r="V5304" s="3" t="str">
        <f>IF(Base_Periodo1[[#This Row],[Tipo_Linha]]="Fora do DRE","Fora do DRE","( "&amp;Base_Periodo1[[#This Row],[Tipo_Linha]]&amp;" ) "&amp;Base_Periodo1[[#This Row],[Filtro]])</f>
        <v>Fora do DRE</v>
      </c>
      <c r="W5304" s="3" t="str">
        <f>LEFT(Base_Periodo1[[#This Row],[CLASS]],3)</f>
        <v>2.4</v>
      </c>
    </row>
    <row r="5305" spans="1:23" hidden="1">
      <c r="A5305" s="3" t="str">
        <f t="shared" si="82"/>
        <v>Período 1</v>
      </c>
      <c r="B5305">
        <v>48482</v>
      </c>
      <c r="C5305" t="s">
        <v>2300</v>
      </c>
      <c r="D5305" t="s">
        <v>4220</v>
      </c>
      <c r="E5305" s="3" t="str">
        <f>IF(LEN(Base_Periodo1[[#This Row],[CLASS]])&gt;=7,LEFT(Base_Periodo1[[#This Row],[CLASS]],7),"")</f>
        <v>2.4.1.1</v>
      </c>
      <c r="F5305" s="3" t="str">
        <f>VLOOKUP(Base_Periodo1[[#This Row],[Aux]],Base_Contas_Balanco[#All],2,FALSE)</f>
        <v>Capital Social Realizado</v>
      </c>
      <c r="G5305" s="1"/>
      <c r="H5305" s="281">
        <v>85.38</v>
      </c>
      <c r="I5305" s="281">
        <v>0</v>
      </c>
      <c r="J5305" s="281">
        <v>0</v>
      </c>
      <c r="K5305" s="281">
        <v>85.38</v>
      </c>
      <c r="L530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85.38</v>
      </c>
      <c r="M5305" s="281">
        <f>ROUND(IF(AND(Base_Periodo1[[#This Row],[Tipo_Linha]]="-",Base_Periodo1[[#This Row],[TIPOSALDO]]="D"),Base_Periodo1[[#This Row],[SALDO_ATUAL]]*-1,Base_Periodo1[[#This Row],[SALDO_ATUAL]]),4)</f>
        <v>85.38</v>
      </c>
      <c r="N5305" t="s">
        <v>116</v>
      </c>
      <c r="O5305" t="s">
        <v>459</v>
      </c>
      <c r="P5305" t="s">
        <v>459</v>
      </c>
      <c r="Q5305">
        <v>6</v>
      </c>
      <c r="R5305" s="281">
        <f>Base_Periodo1[[#This Row],[CREDITOS]]-Base_Periodo1[[#This Row],[DEBITOS]]</f>
        <v>0</v>
      </c>
      <c r="S5305" s="3" t="str">
        <f>IF(ISERROR(VLOOKUP(Base_Periodo1[[#This Row],[CONTA]],BaseContasDRE[#All],4,FALSE)),"Fora do DRE",VLOOKUP(Base_Periodo1[[#This Row],[CONTA]],BaseContasDRE[#All],4,FALSE))</f>
        <v>Fora do DRE</v>
      </c>
      <c r="T5305" s="3" t="str">
        <f>IF(ISERROR(VLOOKUP(Base_Periodo1[[#This Row],[CONTA]],BaseContasDRE[#All],5,FALSE)),"Fora do DRE",VLOOKUP(Base_Periodo1[[#This Row],[CONTA]],BaseContasDRE[#All],6,FALSE))</f>
        <v>Fora do DRE</v>
      </c>
      <c r="U5305" s="3" t="str">
        <f>IF(ISERROR(VLOOKUP(Base_Periodo1[[#This Row],[CONTA]],BaseContasDRE[#All],7,FALSE)),"Fora do DRE",VLOOKUP(Base_Periodo1[[#This Row],[CONTA]],BaseContasDRE[#All],7,FALSE))</f>
        <v>Fora do DRE</v>
      </c>
      <c r="V5305" s="3" t="str">
        <f>IF(Base_Periodo1[[#This Row],[Tipo_Linha]]="Fora do DRE","Fora do DRE","( "&amp;Base_Periodo1[[#This Row],[Tipo_Linha]]&amp;" ) "&amp;Base_Periodo1[[#This Row],[Filtro]])</f>
        <v>Fora do DRE</v>
      </c>
      <c r="W5305" s="3" t="str">
        <f>LEFT(Base_Periodo1[[#This Row],[CLASS]],3)</f>
        <v>2.4</v>
      </c>
    </row>
    <row r="5306" spans="1:23" hidden="1">
      <c r="A5306" s="3" t="str">
        <f t="shared" si="82"/>
        <v>Período 1</v>
      </c>
      <c r="B5306">
        <v>55868</v>
      </c>
      <c r="C5306" t="s">
        <v>2300</v>
      </c>
      <c r="D5306" t="s">
        <v>5541</v>
      </c>
      <c r="E5306" s="3" t="str">
        <f>IF(LEN(Base_Periodo1[[#This Row],[CLASS]])&gt;=7,LEFT(Base_Periodo1[[#This Row],[CLASS]],7),"")</f>
        <v>2.4.1.1</v>
      </c>
      <c r="F5306" s="3" t="str">
        <f>VLOOKUP(Base_Periodo1[[#This Row],[Aux]],Base_Contas_Balanco[#All],2,FALSE)</f>
        <v>Capital Social Realizado</v>
      </c>
      <c r="G5306" s="1"/>
      <c r="H5306" s="281">
        <v>50</v>
      </c>
      <c r="I5306" s="281">
        <v>0</v>
      </c>
      <c r="J5306" s="281">
        <v>0</v>
      </c>
      <c r="K5306" s="281">
        <v>50</v>
      </c>
      <c r="L530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06" s="281">
        <f>ROUND(IF(AND(Base_Periodo1[[#This Row],[Tipo_Linha]]="-",Base_Periodo1[[#This Row],[TIPOSALDO]]="D"),Base_Periodo1[[#This Row],[SALDO_ATUAL]]*-1,Base_Periodo1[[#This Row],[SALDO_ATUAL]]),4)</f>
        <v>50</v>
      </c>
      <c r="N5306" t="s">
        <v>116</v>
      </c>
      <c r="O5306" t="s">
        <v>459</v>
      </c>
      <c r="P5306" t="s">
        <v>459</v>
      </c>
      <c r="Q5306">
        <v>6</v>
      </c>
      <c r="R5306" s="281">
        <f>Base_Periodo1[[#This Row],[CREDITOS]]-Base_Periodo1[[#This Row],[DEBITOS]]</f>
        <v>0</v>
      </c>
      <c r="S5306" s="3" t="str">
        <f>IF(ISERROR(VLOOKUP(Base_Periodo1[[#This Row],[CONTA]],BaseContasDRE[#All],4,FALSE)),"Fora do DRE",VLOOKUP(Base_Periodo1[[#This Row],[CONTA]],BaseContasDRE[#All],4,FALSE))</f>
        <v>Fora do DRE</v>
      </c>
      <c r="T5306" s="3" t="str">
        <f>IF(ISERROR(VLOOKUP(Base_Periodo1[[#This Row],[CONTA]],BaseContasDRE[#All],5,FALSE)),"Fora do DRE",VLOOKUP(Base_Periodo1[[#This Row],[CONTA]],BaseContasDRE[#All],6,FALSE))</f>
        <v>Fora do DRE</v>
      </c>
      <c r="U5306" s="3" t="str">
        <f>IF(ISERROR(VLOOKUP(Base_Periodo1[[#This Row],[CONTA]],BaseContasDRE[#All],7,FALSE)),"Fora do DRE",VLOOKUP(Base_Periodo1[[#This Row],[CONTA]],BaseContasDRE[#All],7,FALSE))</f>
        <v>Fora do DRE</v>
      </c>
      <c r="V5306" s="3" t="str">
        <f>IF(Base_Periodo1[[#This Row],[Tipo_Linha]]="Fora do DRE","Fora do DRE","( "&amp;Base_Periodo1[[#This Row],[Tipo_Linha]]&amp;" ) "&amp;Base_Periodo1[[#This Row],[Filtro]])</f>
        <v>Fora do DRE</v>
      </c>
      <c r="W5306" s="3" t="str">
        <f>LEFT(Base_Periodo1[[#This Row],[CLASS]],3)</f>
        <v>2.4</v>
      </c>
    </row>
    <row r="5307" spans="1:23" hidden="1">
      <c r="A5307" s="3" t="str">
        <f t="shared" si="82"/>
        <v>Período 1</v>
      </c>
      <c r="B5307">
        <v>51306</v>
      </c>
      <c r="C5307" t="s">
        <v>2300</v>
      </c>
      <c r="D5307" t="s">
        <v>4628</v>
      </c>
      <c r="E5307" s="3" t="str">
        <f>IF(LEN(Base_Periodo1[[#This Row],[CLASS]])&gt;=7,LEFT(Base_Periodo1[[#This Row],[CLASS]],7),"")</f>
        <v>2.4.1.1</v>
      </c>
      <c r="F5307" s="3" t="str">
        <f>VLOOKUP(Base_Periodo1[[#This Row],[Aux]],Base_Contas_Balanco[#All],2,FALSE)</f>
        <v>Capital Social Realizado</v>
      </c>
      <c r="G5307" s="1"/>
      <c r="H5307" s="281">
        <v>50</v>
      </c>
      <c r="I5307" s="281">
        <v>0</v>
      </c>
      <c r="J5307" s="281">
        <v>0</v>
      </c>
      <c r="K5307" s="281">
        <v>50</v>
      </c>
      <c r="L530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07" s="281">
        <f>ROUND(IF(AND(Base_Periodo1[[#This Row],[Tipo_Linha]]="-",Base_Periodo1[[#This Row],[TIPOSALDO]]="D"),Base_Periodo1[[#This Row],[SALDO_ATUAL]]*-1,Base_Periodo1[[#This Row],[SALDO_ATUAL]]),4)</f>
        <v>50</v>
      </c>
      <c r="N5307" t="s">
        <v>116</v>
      </c>
      <c r="O5307" t="s">
        <v>459</v>
      </c>
      <c r="P5307" t="s">
        <v>459</v>
      </c>
      <c r="Q5307">
        <v>6</v>
      </c>
      <c r="R5307" s="281">
        <f>Base_Periodo1[[#This Row],[CREDITOS]]-Base_Periodo1[[#This Row],[DEBITOS]]</f>
        <v>0</v>
      </c>
      <c r="S5307" s="3" t="str">
        <f>IF(ISERROR(VLOOKUP(Base_Periodo1[[#This Row],[CONTA]],BaseContasDRE[#All],4,FALSE)),"Fora do DRE",VLOOKUP(Base_Periodo1[[#This Row],[CONTA]],BaseContasDRE[#All],4,FALSE))</f>
        <v>Fora do DRE</v>
      </c>
      <c r="T5307" s="3" t="str">
        <f>IF(ISERROR(VLOOKUP(Base_Periodo1[[#This Row],[CONTA]],BaseContasDRE[#All],5,FALSE)),"Fora do DRE",VLOOKUP(Base_Periodo1[[#This Row],[CONTA]],BaseContasDRE[#All],6,FALSE))</f>
        <v>Fora do DRE</v>
      </c>
      <c r="U5307" s="3" t="str">
        <f>IF(ISERROR(VLOOKUP(Base_Periodo1[[#This Row],[CONTA]],BaseContasDRE[#All],7,FALSE)),"Fora do DRE",VLOOKUP(Base_Periodo1[[#This Row],[CONTA]],BaseContasDRE[#All],7,FALSE))</f>
        <v>Fora do DRE</v>
      </c>
      <c r="V5307" s="3" t="str">
        <f>IF(Base_Periodo1[[#This Row],[Tipo_Linha]]="Fora do DRE","Fora do DRE","( "&amp;Base_Periodo1[[#This Row],[Tipo_Linha]]&amp;" ) "&amp;Base_Periodo1[[#This Row],[Filtro]])</f>
        <v>Fora do DRE</v>
      </c>
      <c r="W5307" s="3" t="str">
        <f>LEFT(Base_Periodo1[[#This Row],[CLASS]],3)</f>
        <v>2.4</v>
      </c>
    </row>
    <row r="5308" spans="1:23" hidden="1">
      <c r="A5308" s="3" t="str">
        <f t="shared" si="82"/>
        <v>Período 1</v>
      </c>
      <c r="B5308">
        <v>36099</v>
      </c>
      <c r="C5308" t="s">
        <v>2300</v>
      </c>
      <c r="D5308" t="s">
        <v>3155</v>
      </c>
      <c r="E5308" s="3" t="str">
        <f>IF(LEN(Base_Periodo1[[#This Row],[CLASS]])&gt;=7,LEFT(Base_Periodo1[[#This Row],[CLASS]],7),"")</f>
        <v>2.4.1.1</v>
      </c>
      <c r="F5308" s="3" t="str">
        <f>VLOOKUP(Base_Periodo1[[#This Row],[Aux]],Base_Contas_Balanco[#All],2,FALSE)</f>
        <v>Capital Social Realizado</v>
      </c>
      <c r="G5308" s="1"/>
      <c r="H5308" s="281">
        <v>1452.7</v>
      </c>
      <c r="I5308" s="281">
        <v>0</v>
      </c>
      <c r="J5308" s="281">
        <v>0</v>
      </c>
      <c r="K5308" s="281">
        <v>1452.7</v>
      </c>
      <c r="L530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1452.7</v>
      </c>
      <c r="M5308" s="281">
        <f>ROUND(IF(AND(Base_Periodo1[[#This Row],[Tipo_Linha]]="-",Base_Periodo1[[#This Row],[TIPOSALDO]]="D"),Base_Periodo1[[#This Row],[SALDO_ATUAL]]*-1,Base_Periodo1[[#This Row],[SALDO_ATUAL]]),4)</f>
        <v>1452.7</v>
      </c>
      <c r="N5308" t="s">
        <v>116</v>
      </c>
      <c r="O5308" t="s">
        <v>459</v>
      </c>
      <c r="P5308" t="s">
        <v>459</v>
      </c>
      <c r="Q5308">
        <v>6</v>
      </c>
      <c r="R5308" s="281">
        <f>Base_Periodo1[[#This Row],[CREDITOS]]-Base_Periodo1[[#This Row],[DEBITOS]]</f>
        <v>0</v>
      </c>
      <c r="S5308" s="3" t="str">
        <f>IF(ISERROR(VLOOKUP(Base_Periodo1[[#This Row],[CONTA]],BaseContasDRE[#All],4,FALSE)),"Fora do DRE",VLOOKUP(Base_Periodo1[[#This Row],[CONTA]],BaseContasDRE[#All],4,FALSE))</f>
        <v>Fora do DRE</v>
      </c>
      <c r="T5308" s="3" t="str">
        <f>IF(ISERROR(VLOOKUP(Base_Periodo1[[#This Row],[CONTA]],BaseContasDRE[#All],5,FALSE)),"Fora do DRE",VLOOKUP(Base_Periodo1[[#This Row],[CONTA]],BaseContasDRE[#All],6,FALSE))</f>
        <v>Fora do DRE</v>
      </c>
      <c r="U5308" s="3" t="str">
        <f>IF(ISERROR(VLOOKUP(Base_Periodo1[[#This Row],[CONTA]],BaseContasDRE[#All],7,FALSE)),"Fora do DRE",VLOOKUP(Base_Periodo1[[#This Row],[CONTA]],BaseContasDRE[#All],7,FALSE))</f>
        <v>Fora do DRE</v>
      </c>
      <c r="V5308" s="3" t="str">
        <f>IF(Base_Periodo1[[#This Row],[Tipo_Linha]]="Fora do DRE","Fora do DRE","( "&amp;Base_Periodo1[[#This Row],[Tipo_Linha]]&amp;" ) "&amp;Base_Periodo1[[#This Row],[Filtro]])</f>
        <v>Fora do DRE</v>
      </c>
      <c r="W5308" s="3" t="str">
        <f>LEFT(Base_Periodo1[[#This Row],[CLASS]],3)</f>
        <v>2.4</v>
      </c>
    </row>
    <row r="5309" spans="1:23" hidden="1">
      <c r="A5309" s="3" t="str">
        <f t="shared" si="82"/>
        <v>Período 1</v>
      </c>
      <c r="B5309">
        <v>49583</v>
      </c>
      <c r="C5309" t="s">
        <v>2300</v>
      </c>
      <c r="D5309" t="s">
        <v>4319</v>
      </c>
      <c r="E5309" s="3" t="str">
        <f>IF(LEN(Base_Periodo1[[#This Row],[CLASS]])&gt;=7,LEFT(Base_Periodo1[[#This Row],[CLASS]],7),"")</f>
        <v>2.4.1.1</v>
      </c>
      <c r="F5309" s="3" t="str">
        <f>VLOOKUP(Base_Periodo1[[#This Row],[Aux]],Base_Contas_Balanco[#All],2,FALSE)</f>
        <v>Capital Social Realizado</v>
      </c>
      <c r="G5309" s="1"/>
      <c r="H5309" s="281">
        <v>460.66</v>
      </c>
      <c r="I5309" s="281">
        <v>0</v>
      </c>
      <c r="J5309" s="281">
        <v>0</v>
      </c>
      <c r="K5309" s="281">
        <v>460.66</v>
      </c>
      <c r="L530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460.66</v>
      </c>
      <c r="M5309" s="281">
        <f>ROUND(IF(AND(Base_Periodo1[[#This Row],[Tipo_Linha]]="-",Base_Periodo1[[#This Row],[TIPOSALDO]]="D"),Base_Periodo1[[#This Row],[SALDO_ATUAL]]*-1,Base_Periodo1[[#This Row],[SALDO_ATUAL]]),4)</f>
        <v>460.66</v>
      </c>
      <c r="N5309" t="s">
        <v>116</v>
      </c>
      <c r="O5309" t="s">
        <v>459</v>
      </c>
      <c r="P5309" t="s">
        <v>459</v>
      </c>
      <c r="Q5309">
        <v>6</v>
      </c>
      <c r="R5309" s="281">
        <f>Base_Periodo1[[#This Row],[CREDITOS]]-Base_Periodo1[[#This Row],[DEBITOS]]</f>
        <v>0</v>
      </c>
      <c r="S5309" s="3" t="str">
        <f>IF(ISERROR(VLOOKUP(Base_Periodo1[[#This Row],[CONTA]],BaseContasDRE[#All],4,FALSE)),"Fora do DRE",VLOOKUP(Base_Periodo1[[#This Row],[CONTA]],BaseContasDRE[#All],4,FALSE))</f>
        <v>Fora do DRE</v>
      </c>
      <c r="T5309" s="3" t="str">
        <f>IF(ISERROR(VLOOKUP(Base_Periodo1[[#This Row],[CONTA]],BaseContasDRE[#All],5,FALSE)),"Fora do DRE",VLOOKUP(Base_Periodo1[[#This Row],[CONTA]],BaseContasDRE[#All],6,FALSE))</f>
        <v>Fora do DRE</v>
      </c>
      <c r="U5309" s="3" t="str">
        <f>IF(ISERROR(VLOOKUP(Base_Periodo1[[#This Row],[CONTA]],BaseContasDRE[#All],7,FALSE)),"Fora do DRE",VLOOKUP(Base_Periodo1[[#This Row],[CONTA]],BaseContasDRE[#All],7,FALSE))</f>
        <v>Fora do DRE</v>
      </c>
      <c r="V5309" s="3" t="str">
        <f>IF(Base_Periodo1[[#This Row],[Tipo_Linha]]="Fora do DRE","Fora do DRE","( "&amp;Base_Periodo1[[#This Row],[Tipo_Linha]]&amp;" ) "&amp;Base_Periodo1[[#This Row],[Filtro]])</f>
        <v>Fora do DRE</v>
      </c>
      <c r="W5309" s="3" t="str">
        <f>LEFT(Base_Periodo1[[#This Row],[CLASS]],3)</f>
        <v>2.4</v>
      </c>
    </row>
    <row r="5310" spans="1:23" hidden="1">
      <c r="A5310" s="3" t="str">
        <f t="shared" si="82"/>
        <v>Período 1</v>
      </c>
      <c r="B5310">
        <v>35130</v>
      </c>
      <c r="C5310" t="s">
        <v>2300</v>
      </c>
      <c r="D5310" t="s">
        <v>3156</v>
      </c>
      <c r="E5310" s="3" t="str">
        <f>IF(LEN(Base_Periodo1[[#This Row],[CLASS]])&gt;=7,LEFT(Base_Periodo1[[#This Row],[CLASS]],7),"")</f>
        <v>2.4.1.1</v>
      </c>
      <c r="F5310" s="3" t="str">
        <f>VLOOKUP(Base_Periodo1[[#This Row],[Aux]],Base_Contas_Balanco[#All],2,FALSE)</f>
        <v>Capital Social Realizado</v>
      </c>
      <c r="G5310" s="1"/>
      <c r="H5310" s="281">
        <v>50</v>
      </c>
      <c r="I5310" s="281">
        <v>0</v>
      </c>
      <c r="J5310" s="281">
        <v>0</v>
      </c>
      <c r="K5310" s="281">
        <v>50</v>
      </c>
      <c r="L531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10" s="281">
        <f>ROUND(IF(AND(Base_Periodo1[[#This Row],[Tipo_Linha]]="-",Base_Periodo1[[#This Row],[TIPOSALDO]]="D"),Base_Periodo1[[#This Row],[SALDO_ATUAL]]*-1,Base_Periodo1[[#This Row],[SALDO_ATUAL]]),4)</f>
        <v>50</v>
      </c>
      <c r="N5310" t="s">
        <v>116</v>
      </c>
      <c r="O5310" t="s">
        <v>459</v>
      </c>
      <c r="P5310" t="s">
        <v>459</v>
      </c>
      <c r="Q5310">
        <v>6</v>
      </c>
      <c r="R5310" s="281">
        <f>Base_Periodo1[[#This Row],[CREDITOS]]-Base_Periodo1[[#This Row],[DEBITOS]]</f>
        <v>0</v>
      </c>
      <c r="S5310" s="3" t="str">
        <f>IF(ISERROR(VLOOKUP(Base_Periodo1[[#This Row],[CONTA]],BaseContasDRE[#All],4,FALSE)),"Fora do DRE",VLOOKUP(Base_Periodo1[[#This Row],[CONTA]],BaseContasDRE[#All],4,FALSE))</f>
        <v>Fora do DRE</v>
      </c>
      <c r="T5310" s="3" t="str">
        <f>IF(ISERROR(VLOOKUP(Base_Periodo1[[#This Row],[CONTA]],BaseContasDRE[#All],5,FALSE)),"Fora do DRE",VLOOKUP(Base_Periodo1[[#This Row],[CONTA]],BaseContasDRE[#All],6,FALSE))</f>
        <v>Fora do DRE</v>
      </c>
      <c r="U5310" s="3" t="str">
        <f>IF(ISERROR(VLOOKUP(Base_Periodo1[[#This Row],[CONTA]],BaseContasDRE[#All],7,FALSE)),"Fora do DRE",VLOOKUP(Base_Periodo1[[#This Row],[CONTA]],BaseContasDRE[#All],7,FALSE))</f>
        <v>Fora do DRE</v>
      </c>
      <c r="V5310" s="3" t="str">
        <f>IF(Base_Periodo1[[#This Row],[Tipo_Linha]]="Fora do DRE","Fora do DRE","( "&amp;Base_Periodo1[[#This Row],[Tipo_Linha]]&amp;" ) "&amp;Base_Periodo1[[#This Row],[Filtro]])</f>
        <v>Fora do DRE</v>
      </c>
      <c r="W5310" s="3" t="str">
        <f>LEFT(Base_Periodo1[[#This Row],[CLASS]],3)</f>
        <v>2.4</v>
      </c>
    </row>
    <row r="5311" spans="1:23" hidden="1">
      <c r="A5311" s="3" t="str">
        <f t="shared" si="82"/>
        <v>Período 1</v>
      </c>
      <c r="B5311">
        <v>25516</v>
      </c>
      <c r="C5311" t="s">
        <v>2300</v>
      </c>
      <c r="D5311" t="s">
        <v>3157</v>
      </c>
      <c r="E5311" s="3" t="str">
        <f>IF(LEN(Base_Periodo1[[#This Row],[CLASS]])&gt;=7,LEFT(Base_Periodo1[[#This Row],[CLASS]],7),"")</f>
        <v>2.4.1.1</v>
      </c>
      <c r="F5311" s="3" t="str">
        <f>VLOOKUP(Base_Periodo1[[#This Row],[Aux]],Base_Contas_Balanco[#All],2,FALSE)</f>
        <v>Capital Social Realizado</v>
      </c>
      <c r="G5311" s="1"/>
      <c r="H5311" s="281">
        <v>171.07</v>
      </c>
      <c r="I5311" s="281">
        <v>0</v>
      </c>
      <c r="J5311" s="281">
        <v>0</v>
      </c>
      <c r="K5311" s="281">
        <v>171.07</v>
      </c>
      <c r="L531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171.07</v>
      </c>
      <c r="M5311" s="281">
        <f>ROUND(IF(AND(Base_Periodo1[[#This Row],[Tipo_Linha]]="-",Base_Periodo1[[#This Row],[TIPOSALDO]]="D"),Base_Periodo1[[#This Row],[SALDO_ATUAL]]*-1,Base_Periodo1[[#This Row],[SALDO_ATUAL]]),4)</f>
        <v>171.07</v>
      </c>
      <c r="N5311" t="s">
        <v>116</v>
      </c>
      <c r="O5311" t="s">
        <v>459</v>
      </c>
      <c r="P5311" t="s">
        <v>459</v>
      </c>
      <c r="Q5311">
        <v>6</v>
      </c>
      <c r="R5311" s="281">
        <f>Base_Periodo1[[#This Row],[CREDITOS]]-Base_Periodo1[[#This Row],[DEBITOS]]</f>
        <v>0</v>
      </c>
      <c r="S5311" s="3" t="str">
        <f>IF(ISERROR(VLOOKUP(Base_Periodo1[[#This Row],[CONTA]],BaseContasDRE[#All],4,FALSE)),"Fora do DRE",VLOOKUP(Base_Periodo1[[#This Row],[CONTA]],BaseContasDRE[#All],4,FALSE))</f>
        <v>Fora do DRE</v>
      </c>
      <c r="T5311" s="3" t="str">
        <f>IF(ISERROR(VLOOKUP(Base_Periodo1[[#This Row],[CONTA]],BaseContasDRE[#All],5,FALSE)),"Fora do DRE",VLOOKUP(Base_Periodo1[[#This Row],[CONTA]],BaseContasDRE[#All],6,FALSE))</f>
        <v>Fora do DRE</v>
      </c>
      <c r="U5311" s="3" t="str">
        <f>IF(ISERROR(VLOOKUP(Base_Periodo1[[#This Row],[CONTA]],BaseContasDRE[#All],7,FALSE)),"Fora do DRE",VLOOKUP(Base_Periodo1[[#This Row],[CONTA]],BaseContasDRE[#All],7,FALSE))</f>
        <v>Fora do DRE</v>
      </c>
      <c r="V5311" s="3" t="str">
        <f>IF(Base_Periodo1[[#This Row],[Tipo_Linha]]="Fora do DRE","Fora do DRE","( "&amp;Base_Periodo1[[#This Row],[Tipo_Linha]]&amp;" ) "&amp;Base_Periodo1[[#This Row],[Filtro]])</f>
        <v>Fora do DRE</v>
      </c>
      <c r="W5311" s="3" t="str">
        <f>LEFT(Base_Periodo1[[#This Row],[CLASS]],3)</f>
        <v>2.4</v>
      </c>
    </row>
    <row r="5312" spans="1:23" hidden="1">
      <c r="A5312" s="3" t="str">
        <f t="shared" si="82"/>
        <v>Período 1</v>
      </c>
      <c r="B5312">
        <v>46839</v>
      </c>
      <c r="C5312" t="s">
        <v>2300</v>
      </c>
      <c r="D5312" t="s">
        <v>3158</v>
      </c>
      <c r="E5312" s="3" t="str">
        <f>IF(LEN(Base_Periodo1[[#This Row],[CLASS]])&gt;=7,LEFT(Base_Periodo1[[#This Row],[CLASS]],7),"")</f>
        <v>2.4.1.1</v>
      </c>
      <c r="F5312" s="3" t="str">
        <f>VLOOKUP(Base_Periodo1[[#This Row],[Aux]],Base_Contas_Balanco[#All],2,FALSE)</f>
        <v>Capital Social Realizado</v>
      </c>
      <c r="G5312" s="1"/>
      <c r="H5312" s="281">
        <v>633.34</v>
      </c>
      <c r="I5312" s="281">
        <v>0</v>
      </c>
      <c r="J5312" s="281">
        <v>0</v>
      </c>
      <c r="K5312" s="281">
        <v>633.34</v>
      </c>
      <c r="L531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633.34</v>
      </c>
      <c r="M5312" s="281">
        <f>ROUND(IF(AND(Base_Periodo1[[#This Row],[Tipo_Linha]]="-",Base_Periodo1[[#This Row],[TIPOSALDO]]="D"),Base_Periodo1[[#This Row],[SALDO_ATUAL]]*-1,Base_Periodo1[[#This Row],[SALDO_ATUAL]]),4)</f>
        <v>633.34</v>
      </c>
      <c r="N5312" t="s">
        <v>116</v>
      </c>
      <c r="O5312" t="s">
        <v>459</v>
      </c>
      <c r="P5312" t="s">
        <v>459</v>
      </c>
      <c r="Q5312">
        <v>6</v>
      </c>
      <c r="R5312" s="281">
        <f>Base_Periodo1[[#This Row],[CREDITOS]]-Base_Periodo1[[#This Row],[DEBITOS]]</f>
        <v>0</v>
      </c>
      <c r="S5312" s="3" t="str">
        <f>IF(ISERROR(VLOOKUP(Base_Periodo1[[#This Row],[CONTA]],BaseContasDRE[#All],4,FALSE)),"Fora do DRE",VLOOKUP(Base_Periodo1[[#This Row],[CONTA]],BaseContasDRE[#All],4,FALSE))</f>
        <v>Fora do DRE</v>
      </c>
      <c r="T5312" s="3" t="str">
        <f>IF(ISERROR(VLOOKUP(Base_Periodo1[[#This Row],[CONTA]],BaseContasDRE[#All],5,FALSE)),"Fora do DRE",VLOOKUP(Base_Periodo1[[#This Row],[CONTA]],BaseContasDRE[#All],6,FALSE))</f>
        <v>Fora do DRE</v>
      </c>
      <c r="U5312" s="3" t="str">
        <f>IF(ISERROR(VLOOKUP(Base_Periodo1[[#This Row],[CONTA]],BaseContasDRE[#All],7,FALSE)),"Fora do DRE",VLOOKUP(Base_Periodo1[[#This Row],[CONTA]],BaseContasDRE[#All],7,FALSE))</f>
        <v>Fora do DRE</v>
      </c>
      <c r="V5312" s="3" t="str">
        <f>IF(Base_Periodo1[[#This Row],[Tipo_Linha]]="Fora do DRE","Fora do DRE","( "&amp;Base_Periodo1[[#This Row],[Tipo_Linha]]&amp;" ) "&amp;Base_Periodo1[[#This Row],[Filtro]])</f>
        <v>Fora do DRE</v>
      </c>
      <c r="W5312" s="3" t="str">
        <f>LEFT(Base_Periodo1[[#This Row],[CLASS]],3)</f>
        <v>2.4</v>
      </c>
    </row>
    <row r="5313" spans="1:23" hidden="1">
      <c r="A5313" s="3" t="str">
        <f t="shared" si="82"/>
        <v>Período 1</v>
      </c>
      <c r="B5313">
        <v>28959</v>
      </c>
      <c r="C5313" t="s">
        <v>2300</v>
      </c>
      <c r="D5313" t="s">
        <v>3159</v>
      </c>
      <c r="E5313" s="3" t="str">
        <f>IF(LEN(Base_Periodo1[[#This Row],[CLASS]])&gt;=7,LEFT(Base_Periodo1[[#This Row],[CLASS]],7),"")</f>
        <v>2.4.1.1</v>
      </c>
      <c r="F5313" s="3" t="str">
        <f>VLOOKUP(Base_Periodo1[[#This Row],[Aux]],Base_Contas_Balanco[#All],2,FALSE)</f>
        <v>Capital Social Realizado</v>
      </c>
      <c r="G5313" s="1"/>
      <c r="H5313" s="281">
        <v>3711.28</v>
      </c>
      <c r="I5313" s="281">
        <v>0</v>
      </c>
      <c r="J5313" s="281">
        <v>0</v>
      </c>
      <c r="K5313" s="281">
        <v>3711.28</v>
      </c>
      <c r="L531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3711.28</v>
      </c>
      <c r="M5313" s="281">
        <f>ROUND(IF(AND(Base_Periodo1[[#This Row],[Tipo_Linha]]="-",Base_Periodo1[[#This Row],[TIPOSALDO]]="D"),Base_Periodo1[[#This Row],[SALDO_ATUAL]]*-1,Base_Periodo1[[#This Row],[SALDO_ATUAL]]),4)</f>
        <v>3711.28</v>
      </c>
      <c r="N5313" t="s">
        <v>116</v>
      </c>
      <c r="O5313" t="s">
        <v>459</v>
      </c>
      <c r="P5313" t="s">
        <v>459</v>
      </c>
      <c r="Q5313">
        <v>6</v>
      </c>
      <c r="R5313" s="281">
        <f>Base_Periodo1[[#This Row],[CREDITOS]]-Base_Periodo1[[#This Row],[DEBITOS]]</f>
        <v>0</v>
      </c>
      <c r="S5313" s="3" t="str">
        <f>IF(ISERROR(VLOOKUP(Base_Periodo1[[#This Row],[CONTA]],BaseContasDRE[#All],4,FALSE)),"Fora do DRE",VLOOKUP(Base_Periodo1[[#This Row],[CONTA]],BaseContasDRE[#All],4,FALSE))</f>
        <v>Fora do DRE</v>
      </c>
      <c r="T5313" s="3" t="str">
        <f>IF(ISERROR(VLOOKUP(Base_Periodo1[[#This Row],[CONTA]],BaseContasDRE[#All],5,FALSE)),"Fora do DRE",VLOOKUP(Base_Periodo1[[#This Row],[CONTA]],BaseContasDRE[#All],6,FALSE))</f>
        <v>Fora do DRE</v>
      </c>
      <c r="U5313" s="3" t="str">
        <f>IF(ISERROR(VLOOKUP(Base_Periodo1[[#This Row],[CONTA]],BaseContasDRE[#All],7,FALSE)),"Fora do DRE",VLOOKUP(Base_Periodo1[[#This Row],[CONTA]],BaseContasDRE[#All],7,FALSE))</f>
        <v>Fora do DRE</v>
      </c>
      <c r="V5313" s="3" t="str">
        <f>IF(Base_Periodo1[[#This Row],[Tipo_Linha]]="Fora do DRE","Fora do DRE","( "&amp;Base_Periodo1[[#This Row],[Tipo_Linha]]&amp;" ) "&amp;Base_Periodo1[[#This Row],[Filtro]])</f>
        <v>Fora do DRE</v>
      </c>
      <c r="W5313" s="3" t="str">
        <f>LEFT(Base_Periodo1[[#This Row],[CLASS]],3)</f>
        <v>2.4</v>
      </c>
    </row>
    <row r="5314" spans="1:23" hidden="1">
      <c r="A5314" s="3" t="str">
        <f t="shared" si="82"/>
        <v>Período 1</v>
      </c>
      <c r="B5314">
        <v>48116</v>
      </c>
      <c r="C5314" t="s">
        <v>2300</v>
      </c>
      <c r="D5314" t="s">
        <v>3160</v>
      </c>
      <c r="E5314" s="3" t="str">
        <f>IF(LEN(Base_Periodo1[[#This Row],[CLASS]])&gt;=7,LEFT(Base_Periodo1[[#This Row],[CLASS]],7),"")</f>
        <v>2.4.1.1</v>
      </c>
      <c r="F5314" s="3" t="str">
        <f>VLOOKUP(Base_Periodo1[[#This Row],[Aux]],Base_Contas_Balanco[#All],2,FALSE)</f>
        <v>Capital Social Realizado</v>
      </c>
      <c r="G5314" s="1"/>
      <c r="H5314" s="281">
        <v>97.960000000000008</v>
      </c>
      <c r="I5314" s="281">
        <v>0</v>
      </c>
      <c r="J5314" s="281">
        <v>0</v>
      </c>
      <c r="K5314" s="281">
        <v>97.960000000000008</v>
      </c>
      <c r="L531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97.96</v>
      </c>
      <c r="M5314" s="281">
        <f>ROUND(IF(AND(Base_Periodo1[[#This Row],[Tipo_Linha]]="-",Base_Periodo1[[#This Row],[TIPOSALDO]]="D"),Base_Periodo1[[#This Row],[SALDO_ATUAL]]*-1,Base_Periodo1[[#This Row],[SALDO_ATUAL]]),4)</f>
        <v>97.96</v>
      </c>
      <c r="N5314" t="s">
        <v>116</v>
      </c>
      <c r="O5314" t="s">
        <v>459</v>
      </c>
      <c r="P5314" t="s">
        <v>459</v>
      </c>
      <c r="Q5314">
        <v>6</v>
      </c>
      <c r="R5314" s="281">
        <f>Base_Periodo1[[#This Row],[CREDITOS]]-Base_Periodo1[[#This Row],[DEBITOS]]</f>
        <v>0</v>
      </c>
      <c r="S5314" s="3" t="str">
        <f>IF(ISERROR(VLOOKUP(Base_Periodo1[[#This Row],[CONTA]],BaseContasDRE[#All],4,FALSE)),"Fora do DRE",VLOOKUP(Base_Periodo1[[#This Row],[CONTA]],BaseContasDRE[#All],4,FALSE))</f>
        <v>Fora do DRE</v>
      </c>
      <c r="T5314" s="3" t="str">
        <f>IF(ISERROR(VLOOKUP(Base_Periodo1[[#This Row],[CONTA]],BaseContasDRE[#All],5,FALSE)),"Fora do DRE",VLOOKUP(Base_Periodo1[[#This Row],[CONTA]],BaseContasDRE[#All],6,FALSE))</f>
        <v>Fora do DRE</v>
      </c>
      <c r="U5314" s="3" t="str">
        <f>IF(ISERROR(VLOOKUP(Base_Periodo1[[#This Row],[CONTA]],BaseContasDRE[#All],7,FALSE)),"Fora do DRE",VLOOKUP(Base_Periodo1[[#This Row],[CONTA]],BaseContasDRE[#All],7,FALSE))</f>
        <v>Fora do DRE</v>
      </c>
      <c r="V5314" s="3" t="str">
        <f>IF(Base_Periodo1[[#This Row],[Tipo_Linha]]="Fora do DRE","Fora do DRE","( "&amp;Base_Periodo1[[#This Row],[Tipo_Linha]]&amp;" ) "&amp;Base_Periodo1[[#This Row],[Filtro]])</f>
        <v>Fora do DRE</v>
      </c>
      <c r="W5314" s="3" t="str">
        <f>LEFT(Base_Periodo1[[#This Row],[CLASS]],3)</f>
        <v>2.4</v>
      </c>
    </row>
    <row r="5315" spans="1:23" hidden="1">
      <c r="A5315" s="3" t="str">
        <f t="shared" si="82"/>
        <v>Período 1</v>
      </c>
      <c r="B5315">
        <v>39622</v>
      </c>
      <c r="C5315" t="s">
        <v>2300</v>
      </c>
      <c r="D5315" t="s">
        <v>3161</v>
      </c>
      <c r="E5315" s="3" t="str">
        <f>IF(LEN(Base_Periodo1[[#This Row],[CLASS]])&gt;=7,LEFT(Base_Periodo1[[#This Row],[CLASS]],7),"")</f>
        <v>2.4.1.1</v>
      </c>
      <c r="F5315" s="3" t="str">
        <f>VLOOKUP(Base_Periodo1[[#This Row],[Aux]],Base_Contas_Balanco[#All],2,FALSE)</f>
        <v>Capital Social Realizado</v>
      </c>
      <c r="G5315" s="1"/>
      <c r="H5315" s="281">
        <v>128.97</v>
      </c>
      <c r="I5315" s="281">
        <v>0</v>
      </c>
      <c r="J5315" s="281">
        <v>0</v>
      </c>
      <c r="K5315" s="281">
        <v>128.97</v>
      </c>
      <c r="L531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128.97</v>
      </c>
      <c r="M5315" s="281">
        <f>ROUND(IF(AND(Base_Periodo1[[#This Row],[Tipo_Linha]]="-",Base_Periodo1[[#This Row],[TIPOSALDO]]="D"),Base_Periodo1[[#This Row],[SALDO_ATUAL]]*-1,Base_Periodo1[[#This Row],[SALDO_ATUAL]]),4)</f>
        <v>128.97</v>
      </c>
      <c r="N5315" t="s">
        <v>116</v>
      </c>
      <c r="O5315" t="s">
        <v>459</v>
      </c>
      <c r="P5315" t="s">
        <v>459</v>
      </c>
      <c r="Q5315">
        <v>6</v>
      </c>
      <c r="R5315" s="281">
        <f>Base_Periodo1[[#This Row],[CREDITOS]]-Base_Periodo1[[#This Row],[DEBITOS]]</f>
        <v>0</v>
      </c>
      <c r="S5315" s="3" t="str">
        <f>IF(ISERROR(VLOOKUP(Base_Periodo1[[#This Row],[CONTA]],BaseContasDRE[#All],4,FALSE)),"Fora do DRE",VLOOKUP(Base_Periodo1[[#This Row],[CONTA]],BaseContasDRE[#All],4,FALSE))</f>
        <v>Fora do DRE</v>
      </c>
      <c r="T5315" s="3" t="str">
        <f>IF(ISERROR(VLOOKUP(Base_Periodo1[[#This Row],[CONTA]],BaseContasDRE[#All],5,FALSE)),"Fora do DRE",VLOOKUP(Base_Periodo1[[#This Row],[CONTA]],BaseContasDRE[#All],6,FALSE))</f>
        <v>Fora do DRE</v>
      </c>
      <c r="U5315" s="3" t="str">
        <f>IF(ISERROR(VLOOKUP(Base_Periodo1[[#This Row],[CONTA]],BaseContasDRE[#All],7,FALSE)),"Fora do DRE",VLOOKUP(Base_Periodo1[[#This Row],[CONTA]],BaseContasDRE[#All],7,FALSE))</f>
        <v>Fora do DRE</v>
      </c>
      <c r="V5315" s="3" t="str">
        <f>IF(Base_Periodo1[[#This Row],[Tipo_Linha]]="Fora do DRE","Fora do DRE","( "&amp;Base_Periodo1[[#This Row],[Tipo_Linha]]&amp;" ) "&amp;Base_Periodo1[[#This Row],[Filtro]])</f>
        <v>Fora do DRE</v>
      </c>
      <c r="W5315" s="3" t="str">
        <f>LEFT(Base_Periodo1[[#This Row],[CLASS]],3)</f>
        <v>2.4</v>
      </c>
    </row>
    <row r="5316" spans="1:23" hidden="1">
      <c r="A5316" s="3" t="str">
        <f t="shared" si="82"/>
        <v>Período 1</v>
      </c>
      <c r="B5316">
        <v>15968</v>
      </c>
      <c r="C5316" t="s">
        <v>2300</v>
      </c>
      <c r="D5316" t="s">
        <v>3162</v>
      </c>
      <c r="E5316" s="3" t="str">
        <f>IF(LEN(Base_Periodo1[[#This Row],[CLASS]])&gt;=7,LEFT(Base_Periodo1[[#This Row],[CLASS]],7),"")</f>
        <v>2.4.1.1</v>
      </c>
      <c r="F5316" s="3" t="str">
        <f>VLOOKUP(Base_Periodo1[[#This Row],[Aux]],Base_Contas_Balanco[#All],2,FALSE)</f>
        <v>Capital Social Realizado</v>
      </c>
      <c r="G5316" s="1"/>
      <c r="H5316" s="281">
        <v>5767.13</v>
      </c>
      <c r="I5316" s="281">
        <v>0</v>
      </c>
      <c r="J5316" s="281">
        <v>0</v>
      </c>
      <c r="K5316" s="281">
        <v>5767.13</v>
      </c>
      <c r="L531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5767.13</v>
      </c>
      <c r="M5316" s="281">
        <f>ROUND(IF(AND(Base_Periodo1[[#This Row],[Tipo_Linha]]="-",Base_Periodo1[[#This Row],[TIPOSALDO]]="D"),Base_Periodo1[[#This Row],[SALDO_ATUAL]]*-1,Base_Periodo1[[#This Row],[SALDO_ATUAL]]),4)</f>
        <v>5767.13</v>
      </c>
      <c r="N5316" t="s">
        <v>116</v>
      </c>
      <c r="O5316" t="s">
        <v>459</v>
      </c>
      <c r="P5316" t="s">
        <v>459</v>
      </c>
      <c r="Q5316">
        <v>6</v>
      </c>
      <c r="R5316" s="281">
        <f>Base_Periodo1[[#This Row],[CREDITOS]]-Base_Periodo1[[#This Row],[DEBITOS]]</f>
        <v>0</v>
      </c>
      <c r="S5316" s="3" t="str">
        <f>IF(ISERROR(VLOOKUP(Base_Periodo1[[#This Row],[CONTA]],BaseContasDRE[#All],4,FALSE)),"Fora do DRE",VLOOKUP(Base_Periodo1[[#This Row],[CONTA]],BaseContasDRE[#All],4,FALSE))</f>
        <v>Fora do DRE</v>
      </c>
      <c r="T5316" s="3" t="str">
        <f>IF(ISERROR(VLOOKUP(Base_Periodo1[[#This Row],[CONTA]],BaseContasDRE[#All],5,FALSE)),"Fora do DRE",VLOOKUP(Base_Periodo1[[#This Row],[CONTA]],BaseContasDRE[#All],6,FALSE))</f>
        <v>Fora do DRE</v>
      </c>
      <c r="U5316" s="3" t="str">
        <f>IF(ISERROR(VLOOKUP(Base_Periodo1[[#This Row],[CONTA]],BaseContasDRE[#All],7,FALSE)),"Fora do DRE",VLOOKUP(Base_Periodo1[[#This Row],[CONTA]],BaseContasDRE[#All],7,FALSE))</f>
        <v>Fora do DRE</v>
      </c>
      <c r="V5316" s="3" t="str">
        <f>IF(Base_Periodo1[[#This Row],[Tipo_Linha]]="Fora do DRE","Fora do DRE","( "&amp;Base_Periodo1[[#This Row],[Tipo_Linha]]&amp;" ) "&amp;Base_Periodo1[[#This Row],[Filtro]])</f>
        <v>Fora do DRE</v>
      </c>
      <c r="W5316" s="3" t="str">
        <f>LEFT(Base_Periodo1[[#This Row],[CLASS]],3)</f>
        <v>2.4</v>
      </c>
    </row>
    <row r="5317" spans="1:23" hidden="1">
      <c r="A5317" s="3" t="str">
        <f t="shared" si="82"/>
        <v>Período 1</v>
      </c>
      <c r="B5317">
        <v>19373</v>
      </c>
      <c r="C5317" t="s">
        <v>2300</v>
      </c>
      <c r="D5317" t="s">
        <v>3163</v>
      </c>
      <c r="E5317" s="3" t="str">
        <f>IF(LEN(Base_Periodo1[[#This Row],[CLASS]])&gt;=7,LEFT(Base_Periodo1[[#This Row],[CLASS]],7),"")</f>
        <v>2.4.1.1</v>
      </c>
      <c r="F5317" s="3" t="str">
        <f>VLOOKUP(Base_Periodo1[[#This Row],[Aux]],Base_Contas_Balanco[#All],2,FALSE)</f>
        <v>Capital Social Realizado</v>
      </c>
      <c r="G5317" s="1"/>
      <c r="H5317" s="281">
        <v>336.96</v>
      </c>
      <c r="I5317" s="281">
        <v>0</v>
      </c>
      <c r="J5317" s="281">
        <v>0</v>
      </c>
      <c r="K5317" s="281">
        <v>336.96</v>
      </c>
      <c r="L531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336.96</v>
      </c>
      <c r="M5317" s="281">
        <f>ROUND(IF(AND(Base_Periodo1[[#This Row],[Tipo_Linha]]="-",Base_Periodo1[[#This Row],[TIPOSALDO]]="D"),Base_Periodo1[[#This Row],[SALDO_ATUAL]]*-1,Base_Periodo1[[#This Row],[SALDO_ATUAL]]),4)</f>
        <v>336.96</v>
      </c>
      <c r="N5317" t="s">
        <v>116</v>
      </c>
      <c r="O5317" t="s">
        <v>459</v>
      </c>
      <c r="P5317" t="s">
        <v>459</v>
      </c>
      <c r="Q5317">
        <v>6</v>
      </c>
      <c r="R5317" s="281">
        <f>Base_Periodo1[[#This Row],[CREDITOS]]-Base_Periodo1[[#This Row],[DEBITOS]]</f>
        <v>0</v>
      </c>
      <c r="S5317" s="3" t="str">
        <f>IF(ISERROR(VLOOKUP(Base_Periodo1[[#This Row],[CONTA]],BaseContasDRE[#All],4,FALSE)),"Fora do DRE",VLOOKUP(Base_Periodo1[[#This Row],[CONTA]],BaseContasDRE[#All],4,FALSE))</f>
        <v>Fora do DRE</v>
      </c>
      <c r="T5317" s="3" t="str">
        <f>IF(ISERROR(VLOOKUP(Base_Periodo1[[#This Row],[CONTA]],BaseContasDRE[#All],5,FALSE)),"Fora do DRE",VLOOKUP(Base_Periodo1[[#This Row],[CONTA]],BaseContasDRE[#All],6,FALSE))</f>
        <v>Fora do DRE</v>
      </c>
      <c r="U5317" s="3" t="str">
        <f>IF(ISERROR(VLOOKUP(Base_Periodo1[[#This Row],[CONTA]],BaseContasDRE[#All],7,FALSE)),"Fora do DRE",VLOOKUP(Base_Periodo1[[#This Row],[CONTA]],BaseContasDRE[#All],7,FALSE))</f>
        <v>Fora do DRE</v>
      </c>
      <c r="V5317" s="3" t="str">
        <f>IF(Base_Periodo1[[#This Row],[Tipo_Linha]]="Fora do DRE","Fora do DRE","( "&amp;Base_Periodo1[[#This Row],[Tipo_Linha]]&amp;" ) "&amp;Base_Periodo1[[#This Row],[Filtro]])</f>
        <v>Fora do DRE</v>
      </c>
      <c r="W5317" s="3" t="str">
        <f>LEFT(Base_Periodo1[[#This Row],[CLASS]],3)</f>
        <v>2.4</v>
      </c>
    </row>
    <row r="5318" spans="1:23" hidden="1">
      <c r="A5318" s="3" t="str">
        <f t="shared" ref="A5318:A5381" si="83">"Período 1"</f>
        <v>Período 1</v>
      </c>
      <c r="B5318">
        <v>19325</v>
      </c>
      <c r="C5318" t="s">
        <v>2300</v>
      </c>
      <c r="D5318" t="s">
        <v>3164</v>
      </c>
      <c r="E5318" s="3" t="str">
        <f>IF(LEN(Base_Periodo1[[#This Row],[CLASS]])&gt;=7,LEFT(Base_Periodo1[[#This Row],[CLASS]],7),"")</f>
        <v>2.4.1.1</v>
      </c>
      <c r="F5318" s="3" t="str">
        <f>VLOOKUP(Base_Periodo1[[#This Row],[Aux]],Base_Contas_Balanco[#All],2,FALSE)</f>
        <v>Capital Social Realizado</v>
      </c>
      <c r="G5318" s="1"/>
      <c r="H5318" s="281">
        <v>1086.06</v>
      </c>
      <c r="I5318" s="281">
        <v>0</v>
      </c>
      <c r="J5318" s="281">
        <v>0</v>
      </c>
      <c r="K5318" s="281">
        <v>1086.06</v>
      </c>
      <c r="L531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1086.06</v>
      </c>
      <c r="M5318" s="281">
        <f>ROUND(IF(AND(Base_Periodo1[[#This Row],[Tipo_Linha]]="-",Base_Periodo1[[#This Row],[TIPOSALDO]]="D"),Base_Periodo1[[#This Row],[SALDO_ATUAL]]*-1,Base_Periodo1[[#This Row],[SALDO_ATUAL]]),4)</f>
        <v>1086.06</v>
      </c>
      <c r="N5318" t="s">
        <v>116</v>
      </c>
      <c r="O5318" t="s">
        <v>459</v>
      </c>
      <c r="P5318" t="s">
        <v>459</v>
      </c>
      <c r="Q5318">
        <v>6</v>
      </c>
      <c r="R5318" s="281">
        <f>Base_Periodo1[[#This Row],[CREDITOS]]-Base_Periodo1[[#This Row],[DEBITOS]]</f>
        <v>0</v>
      </c>
      <c r="S5318" s="3" t="str">
        <f>IF(ISERROR(VLOOKUP(Base_Periodo1[[#This Row],[CONTA]],BaseContasDRE[#All],4,FALSE)),"Fora do DRE",VLOOKUP(Base_Periodo1[[#This Row],[CONTA]],BaseContasDRE[#All],4,FALSE))</f>
        <v>Fora do DRE</v>
      </c>
      <c r="T5318" s="3" t="str">
        <f>IF(ISERROR(VLOOKUP(Base_Periodo1[[#This Row],[CONTA]],BaseContasDRE[#All],5,FALSE)),"Fora do DRE",VLOOKUP(Base_Periodo1[[#This Row],[CONTA]],BaseContasDRE[#All],6,FALSE))</f>
        <v>Fora do DRE</v>
      </c>
      <c r="U5318" s="3" t="str">
        <f>IF(ISERROR(VLOOKUP(Base_Periodo1[[#This Row],[CONTA]],BaseContasDRE[#All],7,FALSE)),"Fora do DRE",VLOOKUP(Base_Periodo1[[#This Row],[CONTA]],BaseContasDRE[#All],7,FALSE))</f>
        <v>Fora do DRE</v>
      </c>
      <c r="V5318" s="3" t="str">
        <f>IF(Base_Periodo1[[#This Row],[Tipo_Linha]]="Fora do DRE","Fora do DRE","( "&amp;Base_Periodo1[[#This Row],[Tipo_Linha]]&amp;" ) "&amp;Base_Periodo1[[#This Row],[Filtro]])</f>
        <v>Fora do DRE</v>
      </c>
      <c r="W5318" s="3" t="str">
        <f>LEFT(Base_Periodo1[[#This Row],[CLASS]],3)</f>
        <v>2.4</v>
      </c>
    </row>
    <row r="5319" spans="1:23" hidden="1">
      <c r="A5319" s="3" t="str">
        <f t="shared" si="83"/>
        <v>Período 1</v>
      </c>
      <c r="B5319">
        <v>36048</v>
      </c>
      <c r="C5319" t="s">
        <v>2300</v>
      </c>
      <c r="D5319" t="s">
        <v>3165</v>
      </c>
      <c r="E5319" s="3" t="str">
        <f>IF(LEN(Base_Periodo1[[#This Row],[CLASS]])&gt;=7,LEFT(Base_Periodo1[[#This Row],[CLASS]],7),"")</f>
        <v>2.4.1.1</v>
      </c>
      <c r="F5319" s="3" t="str">
        <f>VLOOKUP(Base_Periodo1[[#This Row],[Aux]],Base_Contas_Balanco[#All],2,FALSE)</f>
        <v>Capital Social Realizado</v>
      </c>
      <c r="G5319" s="1"/>
      <c r="H5319" s="281">
        <v>467.9</v>
      </c>
      <c r="I5319" s="281">
        <v>0</v>
      </c>
      <c r="J5319" s="281">
        <v>0</v>
      </c>
      <c r="K5319" s="281">
        <v>467.9</v>
      </c>
      <c r="L531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467.9</v>
      </c>
      <c r="M5319" s="281">
        <f>ROUND(IF(AND(Base_Periodo1[[#This Row],[Tipo_Linha]]="-",Base_Periodo1[[#This Row],[TIPOSALDO]]="D"),Base_Periodo1[[#This Row],[SALDO_ATUAL]]*-1,Base_Periodo1[[#This Row],[SALDO_ATUAL]]),4)</f>
        <v>467.9</v>
      </c>
      <c r="N5319" t="s">
        <v>116</v>
      </c>
      <c r="O5319" t="s">
        <v>459</v>
      </c>
      <c r="P5319" t="s">
        <v>459</v>
      </c>
      <c r="Q5319">
        <v>6</v>
      </c>
      <c r="R5319" s="281">
        <f>Base_Periodo1[[#This Row],[CREDITOS]]-Base_Periodo1[[#This Row],[DEBITOS]]</f>
        <v>0</v>
      </c>
      <c r="S5319" s="3" t="str">
        <f>IF(ISERROR(VLOOKUP(Base_Periodo1[[#This Row],[CONTA]],BaseContasDRE[#All],4,FALSE)),"Fora do DRE",VLOOKUP(Base_Periodo1[[#This Row],[CONTA]],BaseContasDRE[#All],4,FALSE))</f>
        <v>Fora do DRE</v>
      </c>
      <c r="T5319" s="3" t="str">
        <f>IF(ISERROR(VLOOKUP(Base_Periodo1[[#This Row],[CONTA]],BaseContasDRE[#All],5,FALSE)),"Fora do DRE",VLOOKUP(Base_Periodo1[[#This Row],[CONTA]],BaseContasDRE[#All],6,FALSE))</f>
        <v>Fora do DRE</v>
      </c>
      <c r="U5319" s="3" t="str">
        <f>IF(ISERROR(VLOOKUP(Base_Periodo1[[#This Row],[CONTA]],BaseContasDRE[#All],7,FALSE)),"Fora do DRE",VLOOKUP(Base_Periodo1[[#This Row],[CONTA]],BaseContasDRE[#All],7,FALSE))</f>
        <v>Fora do DRE</v>
      </c>
      <c r="V5319" s="3" t="str">
        <f>IF(Base_Periodo1[[#This Row],[Tipo_Linha]]="Fora do DRE","Fora do DRE","( "&amp;Base_Periodo1[[#This Row],[Tipo_Linha]]&amp;" ) "&amp;Base_Periodo1[[#This Row],[Filtro]])</f>
        <v>Fora do DRE</v>
      </c>
      <c r="W5319" s="3" t="str">
        <f>LEFT(Base_Periodo1[[#This Row],[CLASS]],3)</f>
        <v>2.4</v>
      </c>
    </row>
    <row r="5320" spans="1:23" hidden="1">
      <c r="A5320" s="3" t="str">
        <f t="shared" si="83"/>
        <v>Período 1</v>
      </c>
      <c r="B5320">
        <v>15994</v>
      </c>
      <c r="C5320" t="s">
        <v>2300</v>
      </c>
      <c r="D5320" t="s">
        <v>3166</v>
      </c>
      <c r="E5320" s="3" t="str">
        <f>IF(LEN(Base_Periodo1[[#This Row],[CLASS]])&gt;=7,LEFT(Base_Periodo1[[#This Row],[CLASS]],7),"")</f>
        <v>2.4.1.1</v>
      </c>
      <c r="F5320" s="3" t="str">
        <f>VLOOKUP(Base_Periodo1[[#This Row],[Aux]],Base_Contas_Balanco[#All],2,FALSE)</f>
        <v>Capital Social Realizado</v>
      </c>
      <c r="G5320" s="1"/>
      <c r="H5320" s="281">
        <v>1673.6599999999999</v>
      </c>
      <c r="I5320" s="281">
        <v>0</v>
      </c>
      <c r="J5320" s="281">
        <v>0</v>
      </c>
      <c r="K5320" s="281">
        <v>1673.6599999999999</v>
      </c>
      <c r="L532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1673.66</v>
      </c>
      <c r="M5320" s="281">
        <f>ROUND(IF(AND(Base_Periodo1[[#This Row],[Tipo_Linha]]="-",Base_Periodo1[[#This Row],[TIPOSALDO]]="D"),Base_Periodo1[[#This Row],[SALDO_ATUAL]]*-1,Base_Periodo1[[#This Row],[SALDO_ATUAL]]),4)</f>
        <v>1673.66</v>
      </c>
      <c r="N5320" t="s">
        <v>116</v>
      </c>
      <c r="O5320" t="s">
        <v>459</v>
      </c>
      <c r="P5320" t="s">
        <v>459</v>
      </c>
      <c r="Q5320">
        <v>6</v>
      </c>
      <c r="R5320" s="281">
        <f>Base_Periodo1[[#This Row],[CREDITOS]]-Base_Periodo1[[#This Row],[DEBITOS]]</f>
        <v>0</v>
      </c>
      <c r="S5320" s="3" t="str">
        <f>IF(ISERROR(VLOOKUP(Base_Periodo1[[#This Row],[CONTA]],BaseContasDRE[#All],4,FALSE)),"Fora do DRE",VLOOKUP(Base_Periodo1[[#This Row],[CONTA]],BaseContasDRE[#All],4,FALSE))</f>
        <v>Fora do DRE</v>
      </c>
      <c r="T5320" s="3" t="str">
        <f>IF(ISERROR(VLOOKUP(Base_Periodo1[[#This Row],[CONTA]],BaseContasDRE[#All],5,FALSE)),"Fora do DRE",VLOOKUP(Base_Periodo1[[#This Row],[CONTA]],BaseContasDRE[#All],6,FALSE))</f>
        <v>Fora do DRE</v>
      </c>
      <c r="U5320" s="3" t="str">
        <f>IF(ISERROR(VLOOKUP(Base_Periodo1[[#This Row],[CONTA]],BaseContasDRE[#All],7,FALSE)),"Fora do DRE",VLOOKUP(Base_Periodo1[[#This Row],[CONTA]],BaseContasDRE[#All],7,FALSE))</f>
        <v>Fora do DRE</v>
      </c>
      <c r="V5320" s="3" t="str">
        <f>IF(Base_Periodo1[[#This Row],[Tipo_Linha]]="Fora do DRE","Fora do DRE","( "&amp;Base_Periodo1[[#This Row],[Tipo_Linha]]&amp;" ) "&amp;Base_Periodo1[[#This Row],[Filtro]])</f>
        <v>Fora do DRE</v>
      </c>
      <c r="W5320" s="3" t="str">
        <f>LEFT(Base_Periodo1[[#This Row],[CLASS]],3)</f>
        <v>2.4</v>
      </c>
    </row>
    <row r="5321" spans="1:23" hidden="1">
      <c r="A5321" s="3" t="str">
        <f t="shared" si="83"/>
        <v>Período 1</v>
      </c>
      <c r="B5321">
        <v>17889</v>
      </c>
      <c r="C5321" t="s">
        <v>2300</v>
      </c>
      <c r="D5321" t="s">
        <v>3167</v>
      </c>
      <c r="E5321" s="3" t="str">
        <f>IF(LEN(Base_Periodo1[[#This Row],[CLASS]])&gt;=7,LEFT(Base_Periodo1[[#This Row],[CLASS]],7),"")</f>
        <v>2.4.1.1</v>
      </c>
      <c r="F5321" s="3" t="str">
        <f>VLOOKUP(Base_Periodo1[[#This Row],[Aux]],Base_Contas_Balanco[#All],2,FALSE)</f>
        <v>Capital Social Realizado</v>
      </c>
      <c r="G5321" s="1"/>
      <c r="H5321" s="281">
        <v>1046.78</v>
      </c>
      <c r="I5321" s="281">
        <v>0</v>
      </c>
      <c r="J5321" s="281">
        <v>0</v>
      </c>
      <c r="K5321" s="281">
        <v>1046.78</v>
      </c>
      <c r="L532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1046.78</v>
      </c>
      <c r="M5321" s="281">
        <f>ROUND(IF(AND(Base_Periodo1[[#This Row],[Tipo_Linha]]="-",Base_Periodo1[[#This Row],[TIPOSALDO]]="D"),Base_Periodo1[[#This Row],[SALDO_ATUAL]]*-1,Base_Periodo1[[#This Row],[SALDO_ATUAL]]),4)</f>
        <v>1046.78</v>
      </c>
      <c r="N5321" t="s">
        <v>116</v>
      </c>
      <c r="O5321" t="s">
        <v>459</v>
      </c>
      <c r="P5321" t="s">
        <v>459</v>
      </c>
      <c r="Q5321">
        <v>6</v>
      </c>
      <c r="R5321" s="281">
        <f>Base_Periodo1[[#This Row],[CREDITOS]]-Base_Periodo1[[#This Row],[DEBITOS]]</f>
        <v>0</v>
      </c>
      <c r="S5321" s="3" t="str">
        <f>IF(ISERROR(VLOOKUP(Base_Periodo1[[#This Row],[CONTA]],BaseContasDRE[#All],4,FALSE)),"Fora do DRE",VLOOKUP(Base_Periodo1[[#This Row],[CONTA]],BaseContasDRE[#All],4,FALSE))</f>
        <v>Fora do DRE</v>
      </c>
      <c r="T5321" s="3" t="str">
        <f>IF(ISERROR(VLOOKUP(Base_Periodo1[[#This Row],[CONTA]],BaseContasDRE[#All],5,FALSE)),"Fora do DRE",VLOOKUP(Base_Periodo1[[#This Row],[CONTA]],BaseContasDRE[#All],6,FALSE))</f>
        <v>Fora do DRE</v>
      </c>
      <c r="U5321" s="3" t="str">
        <f>IF(ISERROR(VLOOKUP(Base_Periodo1[[#This Row],[CONTA]],BaseContasDRE[#All],7,FALSE)),"Fora do DRE",VLOOKUP(Base_Periodo1[[#This Row],[CONTA]],BaseContasDRE[#All],7,FALSE))</f>
        <v>Fora do DRE</v>
      </c>
      <c r="V5321" s="3" t="str">
        <f>IF(Base_Periodo1[[#This Row],[Tipo_Linha]]="Fora do DRE","Fora do DRE","( "&amp;Base_Periodo1[[#This Row],[Tipo_Linha]]&amp;" ) "&amp;Base_Periodo1[[#This Row],[Filtro]])</f>
        <v>Fora do DRE</v>
      </c>
      <c r="W5321" s="3" t="str">
        <f>LEFT(Base_Periodo1[[#This Row],[CLASS]],3)</f>
        <v>2.4</v>
      </c>
    </row>
    <row r="5322" spans="1:23" hidden="1">
      <c r="A5322" s="3" t="str">
        <f t="shared" si="83"/>
        <v>Período 1</v>
      </c>
      <c r="B5322">
        <v>46949</v>
      </c>
      <c r="C5322" t="s">
        <v>2300</v>
      </c>
      <c r="D5322" t="s">
        <v>3168</v>
      </c>
      <c r="E5322" s="3" t="str">
        <f>IF(LEN(Base_Periodo1[[#This Row],[CLASS]])&gt;=7,LEFT(Base_Periodo1[[#This Row],[CLASS]],7),"")</f>
        <v>2.4.1.1</v>
      </c>
      <c r="F5322" s="3" t="str">
        <f>VLOOKUP(Base_Periodo1[[#This Row],[Aux]],Base_Contas_Balanco[#All],2,FALSE)</f>
        <v>Capital Social Realizado</v>
      </c>
      <c r="G5322" s="1"/>
      <c r="H5322" s="281">
        <v>280.22000000000003</v>
      </c>
      <c r="I5322" s="281">
        <v>0</v>
      </c>
      <c r="J5322" s="281">
        <v>0</v>
      </c>
      <c r="K5322" s="281">
        <v>280.22000000000003</v>
      </c>
      <c r="L532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280.22000000000003</v>
      </c>
      <c r="M5322" s="281">
        <f>ROUND(IF(AND(Base_Periodo1[[#This Row],[Tipo_Linha]]="-",Base_Periodo1[[#This Row],[TIPOSALDO]]="D"),Base_Periodo1[[#This Row],[SALDO_ATUAL]]*-1,Base_Periodo1[[#This Row],[SALDO_ATUAL]]),4)</f>
        <v>280.22000000000003</v>
      </c>
      <c r="N5322" t="s">
        <v>116</v>
      </c>
      <c r="O5322" t="s">
        <v>459</v>
      </c>
      <c r="P5322" t="s">
        <v>459</v>
      </c>
      <c r="Q5322">
        <v>6</v>
      </c>
      <c r="R5322" s="281">
        <f>Base_Periodo1[[#This Row],[CREDITOS]]-Base_Periodo1[[#This Row],[DEBITOS]]</f>
        <v>0</v>
      </c>
      <c r="S5322" s="3" t="str">
        <f>IF(ISERROR(VLOOKUP(Base_Periodo1[[#This Row],[CONTA]],BaseContasDRE[#All],4,FALSE)),"Fora do DRE",VLOOKUP(Base_Periodo1[[#This Row],[CONTA]],BaseContasDRE[#All],4,FALSE))</f>
        <v>Fora do DRE</v>
      </c>
      <c r="T5322" s="3" t="str">
        <f>IF(ISERROR(VLOOKUP(Base_Periodo1[[#This Row],[CONTA]],BaseContasDRE[#All],5,FALSE)),"Fora do DRE",VLOOKUP(Base_Periodo1[[#This Row],[CONTA]],BaseContasDRE[#All],6,FALSE))</f>
        <v>Fora do DRE</v>
      </c>
      <c r="U5322" s="3" t="str">
        <f>IF(ISERROR(VLOOKUP(Base_Periodo1[[#This Row],[CONTA]],BaseContasDRE[#All],7,FALSE)),"Fora do DRE",VLOOKUP(Base_Periodo1[[#This Row],[CONTA]],BaseContasDRE[#All],7,FALSE))</f>
        <v>Fora do DRE</v>
      </c>
      <c r="V5322" s="3" t="str">
        <f>IF(Base_Periodo1[[#This Row],[Tipo_Linha]]="Fora do DRE","Fora do DRE","( "&amp;Base_Periodo1[[#This Row],[Tipo_Linha]]&amp;" ) "&amp;Base_Periodo1[[#This Row],[Filtro]])</f>
        <v>Fora do DRE</v>
      </c>
      <c r="W5322" s="3" t="str">
        <f>LEFT(Base_Periodo1[[#This Row],[CLASS]],3)</f>
        <v>2.4</v>
      </c>
    </row>
    <row r="5323" spans="1:23" hidden="1">
      <c r="A5323" s="3" t="str">
        <f t="shared" si="83"/>
        <v>Período 1</v>
      </c>
      <c r="B5323">
        <v>25239</v>
      </c>
      <c r="C5323" t="s">
        <v>2300</v>
      </c>
      <c r="D5323" t="s">
        <v>3169</v>
      </c>
      <c r="E5323" s="3" t="str">
        <f>IF(LEN(Base_Periodo1[[#This Row],[CLASS]])&gt;=7,LEFT(Base_Periodo1[[#This Row],[CLASS]],7),"")</f>
        <v>2.4.1.1</v>
      </c>
      <c r="F5323" s="3" t="str">
        <f>VLOOKUP(Base_Periodo1[[#This Row],[Aux]],Base_Contas_Balanco[#All],2,FALSE)</f>
        <v>Capital Social Realizado</v>
      </c>
      <c r="G5323" s="1"/>
      <c r="H5323" s="281">
        <v>530.42999999999995</v>
      </c>
      <c r="I5323" s="281">
        <v>0</v>
      </c>
      <c r="J5323" s="281">
        <v>0</v>
      </c>
      <c r="K5323" s="281">
        <v>530.42999999999995</v>
      </c>
      <c r="L532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530.42999999999995</v>
      </c>
      <c r="M5323" s="281">
        <f>ROUND(IF(AND(Base_Periodo1[[#This Row],[Tipo_Linha]]="-",Base_Periodo1[[#This Row],[TIPOSALDO]]="D"),Base_Periodo1[[#This Row],[SALDO_ATUAL]]*-1,Base_Periodo1[[#This Row],[SALDO_ATUAL]]),4)</f>
        <v>530.42999999999995</v>
      </c>
      <c r="N5323" t="s">
        <v>116</v>
      </c>
      <c r="O5323" t="s">
        <v>459</v>
      </c>
      <c r="P5323" t="s">
        <v>459</v>
      </c>
      <c r="Q5323">
        <v>6</v>
      </c>
      <c r="R5323" s="281">
        <f>Base_Periodo1[[#This Row],[CREDITOS]]-Base_Periodo1[[#This Row],[DEBITOS]]</f>
        <v>0</v>
      </c>
      <c r="S5323" s="3" t="str">
        <f>IF(ISERROR(VLOOKUP(Base_Periodo1[[#This Row],[CONTA]],BaseContasDRE[#All],4,FALSE)),"Fora do DRE",VLOOKUP(Base_Periodo1[[#This Row],[CONTA]],BaseContasDRE[#All],4,FALSE))</f>
        <v>Fora do DRE</v>
      </c>
      <c r="T5323" s="3" t="str">
        <f>IF(ISERROR(VLOOKUP(Base_Periodo1[[#This Row],[CONTA]],BaseContasDRE[#All],5,FALSE)),"Fora do DRE",VLOOKUP(Base_Periodo1[[#This Row],[CONTA]],BaseContasDRE[#All],6,FALSE))</f>
        <v>Fora do DRE</v>
      </c>
      <c r="U5323" s="3" t="str">
        <f>IF(ISERROR(VLOOKUP(Base_Periodo1[[#This Row],[CONTA]],BaseContasDRE[#All],7,FALSE)),"Fora do DRE",VLOOKUP(Base_Periodo1[[#This Row],[CONTA]],BaseContasDRE[#All],7,FALSE))</f>
        <v>Fora do DRE</v>
      </c>
      <c r="V5323" s="3" t="str">
        <f>IF(Base_Periodo1[[#This Row],[Tipo_Linha]]="Fora do DRE","Fora do DRE","( "&amp;Base_Periodo1[[#This Row],[Tipo_Linha]]&amp;" ) "&amp;Base_Periodo1[[#This Row],[Filtro]])</f>
        <v>Fora do DRE</v>
      </c>
      <c r="W5323" s="3" t="str">
        <f>LEFT(Base_Periodo1[[#This Row],[CLASS]],3)</f>
        <v>2.4</v>
      </c>
    </row>
    <row r="5324" spans="1:23" hidden="1">
      <c r="A5324" s="3" t="str">
        <f t="shared" si="83"/>
        <v>Período 1</v>
      </c>
      <c r="B5324">
        <v>17029</v>
      </c>
      <c r="C5324" t="s">
        <v>2300</v>
      </c>
      <c r="D5324" t="s">
        <v>3170</v>
      </c>
      <c r="E5324" s="3" t="str">
        <f>IF(LEN(Base_Periodo1[[#This Row],[CLASS]])&gt;=7,LEFT(Base_Periodo1[[#This Row],[CLASS]],7),"")</f>
        <v>2.4.1.1</v>
      </c>
      <c r="F5324" s="3" t="str">
        <f>VLOOKUP(Base_Periodo1[[#This Row],[Aux]],Base_Contas_Balanco[#All],2,FALSE)</f>
        <v>Capital Social Realizado</v>
      </c>
      <c r="G5324" s="1"/>
      <c r="H5324" s="281">
        <v>2101.1800000000003</v>
      </c>
      <c r="I5324" s="281">
        <v>0</v>
      </c>
      <c r="J5324" s="281">
        <v>0</v>
      </c>
      <c r="K5324" s="281">
        <v>2101.1800000000003</v>
      </c>
      <c r="L532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2101.1799999999998</v>
      </c>
      <c r="M5324" s="281">
        <f>ROUND(IF(AND(Base_Periodo1[[#This Row],[Tipo_Linha]]="-",Base_Periodo1[[#This Row],[TIPOSALDO]]="D"),Base_Periodo1[[#This Row],[SALDO_ATUAL]]*-1,Base_Periodo1[[#This Row],[SALDO_ATUAL]]),4)</f>
        <v>2101.1799999999998</v>
      </c>
      <c r="N5324" t="s">
        <v>116</v>
      </c>
      <c r="O5324" t="s">
        <v>459</v>
      </c>
      <c r="P5324" t="s">
        <v>459</v>
      </c>
      <c r="Q5324">
        <v>6</v>
      </c>
      <c r="R5324" s="281">
        <f>Base_Periodo1[[#This Row],[CREDITOS]]-Base_Periodo1[[#This Row],[DEBITOS]]</f>
        <v>0</v>
      </c>
      <c r="S5324" s="3" t="str">
        <f>IF(ISERROR(VLOOKUP(Base_Periodo1[[#This Row],[CONTA]],BaseContasDRE[#All],4,FALSE)),"Fora do DRE",VLOOKUP(Base_Periodo1[[#This Row],[CONTA]],BaseContasDRE[#All],4,FALSE))</f>
        <v>Fora do DRE</v>
      </c>
      <c r="T5324" s="3" t="str">
        <f>IF(ISERROR(VLOOKUP(Base_Periodo1[[#This Row],[CONTA]],BaseContasDRE[#All],5,FALSE)),"Fora do DRE",VLOOKUP(Base_Periodo1[[#This Row],[CONTA]],BaseContasDRE[#All],6,FALSE))</f>
        <v>Fora do DRE</v>
      </c>
      <c r="U5324" s="3" t="str">
        <f>IF(ISERROR(VLOOKUP(Base_Periodo1[[#This Row],[CONTA]],BaseContasDRE[#All],7,FALSE)),"Fora do DRE",VLOOKUP(Base_Periodo1[[#This Row],[CONTA]],BaseContasDRE[#All],7,FALSE))</f>
        <v>Fora do DRE</v>
      </c>
      <c r="V5324" s="3" t="str">
        <f>IF(Base_Periodo1[[#This Row],[Tipo_Linha]]="Fora do DRE","Fora do DRE","( "&amp;Base_Periodo1[[#This Row],[Tipo_Linha]]&amp;" ) "&amp;Base_Periodo1[[#This Row],[Filtro]])</f>
        <v>Fora do DRE</v>
      </c>
      <c r="W5324" s="3" t="str">
        <f>LEFT(Base_Periodo1[[#This Row],[CLASS]],3)</f>
        <v>2.4</v>
      </c>
    </row>
    <row r="5325" spans="1:23" hidden="1">
      <c r="A5325" s="3" t="str">
        <f t="shared" si="83"/>
        <v>Período 1</v>
      </c>
      <c r="B5325">
        <v>25510</v>
      </c>
      <c r="C5325" t="s">
        <v>2300</v>
      </c>
      <c r="D5325" t="s">
        <v>3171</v>
      </c>
      <c r="E5325" s="3" t="str">
        <f>IF(LEN(Base_Periodo1[[#This Row],[CLASS]])&gt;=7,LEFT(Base_Periodo1[[#This Row],[CLASS]],7),"")</f>
        <v>2.4.1.1</v>
      </c>
      <c r="F5325" s="3" t="str">
        <f>VLOOKUP(Base_Periodo1[[#This Row],[Aux]],Base_Contas_Balanco[#All],2,FALSE)</f>
        <v>Capital Social Realizado</v>
      </c>
      <c r="G5325" s="1"/>
      <c r="H5325" s="281">
        <v>235.54</v>
      </c>
      <c r="I5325" s="281">
        <v>0</v>
      </c>
      <c r="J5325" s="281">
        <v>0</v>
      </c>
      <c r="K5325" s="281">
        <v>235.54</v>
      </c>
      <c r="L532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235.54</v>
      </c>
      <c r="M5325" s="281">
        <f>ROUND(IF(AND(Base_Periodo1[[#This Row],[Tipo_Linha]]="-",Base_Periodo1[[#This Row],[TIPOSALDO]]="D"),Base_Periodo1[[#This Row],[SALDO_ATUAL]]*-1,Base_Periodo1[[#This Row],[SALDO_ATUAL]]),4)</f>
        <v>235.54</v>
      </c>
      <c r="N5325" t="s">
        <v>116</v>
      </c>
      <c r="O5325" t="s">
        <v>459</v>
      </c>
      <c r="P5325" t="s">
        <v>459</v>
      </c>
      <c r="Q5325">
        <v>6</v>
      </c>
      <c r="R5325" s="281">
        <f>Base_Periodo1[[#This Row],[CREDITOS]]-Base_Periodo1[[#This Row],[DEBITOS]]</f>
        <v>0</v>
      </c>
      <c r="S5325" s="3" t="str">
        <f>IF(ISERROR(VLOOKUP(Base_Periodo1[[#This Row],[CONTA]],BaseContasDRE[#All],4,FALSE)),"Fora do DRE",VLOOKUP(Base_Periodo1[[#This Row],[CONTA]],BaseContasDRE[#All],4,FALSE))</f>
        <v>Fora do DRE</v>
      </c>
      <c r="T5325" s="3" t="str">
        <f>IF(ISERROR(VLOOKUP(Base_Periodo1[[#This Row],[CONTA]],BaseContasDRE[#All],5,FALSE)),"Fora do DRE",VLOOKUP(Base_Periodo1[[#This Row],[CONTA]],BaseContasDRE[#All],6,FALSE))</f>
        <v>Fora do DRE</v>
      </c>
      <c r="U5325" s="3" t="str">
        <f>IF(ISERROR(VLOOKUP(Base_Periodo1[[#This Row],[CONTA]],BaseContasDRE[#All],7,FALSE)),"Fora do DRE",VLOOKUP(Base_Periodo1[[#This Row],[CONTA]],BaseContasDRE[#All],7,FALSE))</f>
        <v>Fora do DRE</v>
      </c>
      <c r="V5325" s="3" t="str">
        <f>IF(Base_Periodo1[[#This Row],[Tipo_Linha]]="Fora do DRE","Fora do DRE","( "&amp;Base_Periodo1[[#This Row],[Tipo_Linha]]&amp;" ) "&amp;Base_Periodo1[[#This Row],[Filtro]])</f>
        <v>Fora do DRE</v>
      </c>
      <c r="W5325" s="3" t="str">
        <f>LEFT(Base_Periodo1[[#This Row],[CLASS]],3)</f>
        <v>2.4</v>
      </c>
    </row>
    <row r="5326" spans="1:23" hidden="1">
      <c r="A5326" s="3" t="str">
        <f t="shared" si="83"/>
        <v>Período 1</v>
      </c>
      <c r="B5326">
        <v>19772</v>
      </c>
      <c r="C5326" t="s">
        <v>2300</v>
      </c>
      <c r="D5326" t="s">
        <v>3172</v>
      </c>
      <c r="E5326" s="3" t="str">
        <f>IF(LEN(Base_Periodo1[[#This Row],[CLASS]])&gt;=7,LEFT(Base_Periodo1[[#This Row],[CLASS]],7),"")</f>
        <v>2.4.1.1</v>
      </c>
      <c r="F5326" s="3" t="str">
        <f>VLOOKUP(Base_Periodo1[[#This Row],[Aux]],Base_Contas_Balanco[#All],2,FALSE)</f>
        <v>Capital Social Realizado</v>
      </c>
      <c r="G5326" s="1"/>
      <c r="H5326" s="281">
        <v>1867.21</v>
      </c>
      <c r="I5326" s="281">
        <v>0</v>
      </c>
      <c r="J5326" s="281">
        <v>0</v>
      </c>
      <c r="K5326" s="281">
        <v>1867.21</v>
      </c>
      <c r="L532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1867.21</v>
      </c>
      <c r="M5326" s="281">
        <f>ROUND(IF(AND(Base_Periodo1[[#This Row],[Tipo_Linha]]="-",Base_Periodo1[[#This Row],[TIPOSALDO]]="D"),Base_Periodo1[[#This Row],[SALDO_ATUAL]]*-1,Base_Periodo1[[#This Row],[SALDO_ATUAL]]),4)</f>
        <v>1867.21</v>
      </c>
      <c r="N5326" t="s">
        <v>116</v>
      </c>
      <c r="O5326" t="s">
        <v>459</v>
      </c>
      <c r="P5326" t="s">
        <v>459</v>
      </c>
      <c r="Q5326">
        <v>6</v>
      </c>
      <c r="R5326" s="281">
        <f>Base_Periodo1[[#This Row],[CREDITOS]]-Base_Periodo1[[#This Row],[DEBITOS]]</f>
        <v>0</v>
      </c>
      <c r="S5326" s="3" t="str">
        <f>IF(ISERROR(VLOOKUP(Base_Periodo1[[#This Row],[CONTA]],BaseContasDRE[#All],4,FALSE)),"Fora do DRE",VLOOKUP(Base_Periodo1[[#This Row],[CONTA]],BaseContasDRE[#All],4,FALSE))</f>
        <v>Fora do DRE</v>
      </c>
      <c r="T5326" s="3" t="str">
        <f>IF(ISERROR(VLOOKUP(Base_Periodo1[[#This Row],[CONTA]],BaseContasDRE[#All],5,FALSE)),"Fora do DRE",VLOOKUP(Base_Periodo1[[#This Row],[CONTA]],BaseContasDRE[#All],6,FALSE))</f>
        <v>Fora do DRE</v>
      </c>
      <c r="U5326" s="3" t="str">
        <f>IF(ISERROR(VLOOKUP(Base_Periodo1[[#This Row],[CONTA]],BaseContasDRE[#All],7,FALSE)),"Fora do DRE",VLOOKUP(Base_Periodo1[[#This Row],[CONTA]],BaseContasDRE[#All],7,FALSE))</f>
        <v>Fora do DRE</v>
      </c>
      <c r="V5326" s="3" t="str">
        <f>IF(Base_Periodo1[[#This Row],[Tipo_Linha]]="Fora do DRE","Fora do DRE","( "&amp;Base_Periodo1[[#This Row],[Tipo_Linha]]&amp;" ) "&amp;Base_Periodo1[[#This Row],[Filtro]])</f>
        <v>Fora do DRE</v>
      </c>
      <c r="W5326" s="3" t="str">
        <f>LEFT(Base_Periodo1[[#This Row],[CLASS]],3)</f>
        <v>2.4</v>
      </c>
    </row>
    <row r="5327" spans="1:23" hidden="1">
      <c r="A5327" s="3" t="str">
        <f t="shared" si="83"/>
        <v>Período 1</v>
      </c>
      <c r="B5327">
        <v>19374</v>
      </c>
      <c r="C5327" t="s">
        <v>2300</v>
      </c>
      <c r="D5327" t="s">
        <v>3173</v>
      </c>
      <c r="E5327" s="3" t="str">
        <f>IF(LEN(Base_Periodo1[[#This Row],[CLASS]])&gt;=7,LEFT(Base_Periodo1[[#This Row],[CLASS]],7),"")</f>
        <v>2.4.1.1</v>
      </c>
      <c r="F5327" s="3" t="str">
        <f>VLOOKUP(Base_Periodo1[[#This Row],[Aux]],Base_Contas_Balanco[#All],2,FALSE)</f>
        <v>Capital Social Realizado</v>
      </c>
      <c r="G5327" s="1"/>
      <c r="H5327" s="281">
        <v>1843.6100000000001</v>
      </c>
      <c r="I5327" s="281">
        <v>0</v>
      </c>
      <c r="J5327" s="281">
        <v>0</v>
      </c>
      <c r="K5327" s="281">
        <v>1843.6100000000001</v>
      </c>
      <c r="L532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1843.61</v>
      </c>
      <c r="M5327" s="281">
        <f>ROUND(IF(AND(Base_Periodo1[[#This Row],[Tipo_Linha]]="-",Base_Periodo1[[#This Row],[TIPOSALDO]]="D"),Base_Periodo1[[#This Row],[SALDO_ATUAL]]*-1,Base_Periodo1[[#This Row],[SALDO_ATUAL]]),4)</f>
        <v>1843.61</v>
      </c>
      <c r="N5327" t="s">
        <v>116</v>
      </c>
      <c r="O5327" t="s">
        <v>459</v>
      </c>
      <c r="P5327" t="s">
        <v>459</v>
      </c>
      <c r="Q5327">
        <v>6</v>
      </c>
      <c r="R5327" s="281">
        <f>Base_Periodo1[[#This Row],[CREDITOS]]-Base_Periodo1[[#This Row],[DEBITOS]]</f>
        <v>0</v>
      </c>
      <c r="S5327" s="3" t="str">
        <f>IF(ISERROR(VLOOKUP(Base_Periodo1[[#This Row],[CONTA]],BaseContasDRE[#All],4,FALSE)),"Fora do DRE",VLOOKUP(Base_Periodo1[[#This Row],[CONTA]],BaseContasDRE[#All],4,FALSE))</f>
        <v>Fora do DRE</v>
      </c>
      <c r="T5327" s="3" t="str">
        <f>IF(ISERROR(VLOOKUP(Base_Periodo1[[#This Row],[CONTA]],BaseContasDRE[#All],5,FALSE)),"Fora do DRE",VLOOKUP(Base_Periodo1[[#This Row],[CONTA]],BaseContasDRE[#All],6,FALSE))</f>
        <v>Fora do DRE</v>
      </c>
      <c r="U5327" s="3" t="str">
        <f>IF(ISERROR(VLOOKUP(Base_Periodo1[[#This Row],[CONTA]],BaseContasDRE[#All],7,FALSE)),"Fora do DRE",VLOOKUP(Base_Periodo1[[#This Row],[CONTA]],BaseContasDRE[#All],7,FALSE))</f>
        <v>Fora do DRE</v>
      </c>
      <c r="V5327" s="3" t="str">
        <f>IF(Base_Periodo1[[#This Row],[Tipo_Linha]]="Fora do DRE","Fora do DRE","( "&amp;Base_Periodo1[[#This Row],[Tipo_Linha]]&amp;" ) "&amp;Base_Periodo1[[#This Row],[Filtro]])</f>
        <v>Fora do DRE</v>
      </c>
      <c r="W5327" s="3" t="str">
        <f>LEFT(Base_Periodo1[[#This Row],[CLASS]],3)</f>
        <v>2.4</v>
      </c>
    </row>
    <row r="5328" spans="1:23" hidden="1">
      <c r="A5328" s="3" t="str">
        <f t="shared" si="83"/>
        <v>Período 1</v>
      </c>
      <c r="B5328">
        <v>26609</v>
      </c>
      <c r="C5328" t="s">
        <v>2300</v>
      </c>
      <c r="D5328" t="s">
        <v>3174</v>
      </c>
      <c r="E5328" s="3" t="str">
        <f>IF(LEN(Base_Periodo1[[#This Row],[CLASS]])&gt;=7,LEFT(Base_Periodo1[[#This Row],[CLASS]],7),"")</f>
        <v>2.4.1.1</v>
      </c>
      <c r="F5328" s="3" t="str">
        <f>VLOOKUP(Base_Periodo1[[#This Row],[Aux]],Base_Contas_Balanco[#All],2,FALSE)</f>
        <v>Capital Social Realizado</v>
      </c>
      <c r="G5328" s="1"/>
      <c r="H5328" s="281">
        <v>214.27</v>
      </c>
      <c r="I5328" s="281">
        <v>0</v>
      </c>
      <c r="J5328" s="281">
        <v>0</v>
      </c>
      <c r="K5328" s="281">
        <v>214.27</v>
      </c>
      <c r="L532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214.27</v>
      </c>
      <c r="M5328" s="281">
        <f>ROUND(IF(AND(Base_Periodo1[[#This Row],[Tipo_Linha]]="-",Base_Periodo1[[#This Row],[TIPOSALDO]]="D"),Base_Periodo1[[#This Row],[SALDO_ATUAL]]*-1,Base_Periodo1[[#This Row],[SALDO_ATUAL]]),4)</f>
        <v>214.27</v>
      </c>
      <c r="N5328" t="s">
        <v>116</v>
      </c>
      <c r="O5328" t="s">
        <v>459</v>
      </c>
      <c r="P5328" t="s">
        <v>459</v>
      </c>
      <c r="Q5328">
        <v>6</v>
      </c>
      <c r="R5328" s="281">
        <f>Base_Periodo1[[#This Row],[CREDITOS]]-Base_Periodo1[[#This Row],[DEBITOS]]</f>
        <v>0</v>
      </c>
      <c r="S5328" s="3" t="str">
        <f>IF(ISERROR(VLOOKUP(Base_Periodo1[[#This Row],[CONTA]],BaseContasDRE[#All],4,FALSE)),"Fora do DRE",VLOOKUP(Base_Periodo1[[#This Row],[CONTA]],BaseContasDRE[#All],4,FALSE))</f>
        <v>Fora do DRE</v>
      </c>
      <c r="T5328" s="3" t="str">
        <f>IF(ISERROR(VLOOKUP(Base_Periodo1[[#This Row],[CONTA]],BaseContasDRE[#All],5,FALSE)),"Fora do DRE",VLOOKUP(Base_Periodo1[[#This Row],[CONTA]],BaseContasDRE[#All],6,FALSE))</f>
        <v>Fora do DRE</v>
      </c>
      <c r="U5328" s="3" t="str">
        <f>IF(ISERROR(VLOOKUP(Base_Periodo1[[#This Row],[CONTA]],BaseContasDRE[#All],7,FALSE)),"Fora do DRE",VLOOKUP(Base_Periodo1[[#This Row],[CONTA]],BaseContasDRE[#All],7,FALSE))</f>
        <v>Fora do DRE</v>
      </c>
      <c r="V5328" s="3" t="str">
        <f>IF(Base_Periodo1[[#This Row],[Tipo_Linha]]="Fora do DRE","Fora do DRE","( "&amp;Base_Periodo1[[#This Row],[Tipo_Linha]]&amp;" ) "&amp;Base_Periodo1[[#This Row],[Filtro]])</f>
        <v>Fora do DRE</v>
      </c>
      <c r="W5328" s="3" t="str">
        <f>LEFT(Base_Periodo1[[#This Row],[CLASS]],3)</f>
        <v>2.4</v>
      </c>
    </row>
    <row r="5329" spans="1:23" hidden="1">
      <c r="A5329" s="3" t="str">
        <f t="shared" si="83"/>
        <v>Período 1</v>
      </c>
      <c r="B5329">
        <v>32277</v>
      </c>
      <c r="C5329" t="s">
        <v>2300</v>
      </c>
      <c r="D5329" t="s">
        <v>3175</v>
      </c>
      <c r="E5329" s="3" t="str">
        <f>IF(LEN(Base_Periodo1[[#This Row],[CLASS]])&gt;=7,LEFT(Base_Periodo1[[#This Row],[CLASS]],7),"")</f>
        <v>2.4.1.1</v>
      </c>
      <c r="F5329" s="3" t="str">
        <f>VLOOKUP(Base_Periodo1[[#This Row],[Aux]],Base_Contas_Balanco[#All],2,FALSE)</f>
        <v>Capital Social Realizado</v>
      </c>
      <c r="G5329" s="1"/>
      <c r="H5329" s="281">
        <v>50</v>
      </c>
      <c r="I5329" s="281">
        <v>0</v>
      </c>
      <c r="J5329" s="281">
        <v>0</v>
      </c>
      <c r="K5329" s="281">
        <v>50</v>
      </c>
      <c r="L532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29" s="281">
        <f>ROUND(IF(AND(Base_Periodo1[[#This Row],[Tipo_Linha]]="-",Base_Periodo1[[#This Row],[TIPOSALDO]]="D"),Base_Periodo1[[#This Row],[SALDO_ATUAL]]*-1,Base_Periodo1[[#This Row],[SALDO_ATUAL]]),4)</f>
        <v>50</v>
      </c>
      <c r="N5329" t="s">
        <v>116</v>
      </c>
      <c r="O5329" t="s">
        <v>459</v>
      </c>
      <c r="P5329" t="s">
        <v>459</v>
      </c>
      <c r="Q5329">
        <v>6</v>
      </c>
      <c r="R5329" s="281">
        <f>Base_Periodo1[[#This Row],[CREDITOS]]-Base_Periodo1[[#This Row],[DEBITOS]]</f>
        <v>0</v>
      </c>
      <c r="S5329" s="3" t="str">
        <f>IF(ISERROR(VLOOKUP(Base_Periodo1[[#This Row],[CONTA]],BaseContasDRE[#All],4,FALSE)),"Fora do DRE",VLOOKUP(Base_Periodo1[[#This Row],[CONTA]],BaseContasDRE[#All],4,FALSE))</f>
        <v>Fora do DRE</v>
      </c>
      <c r="T5329" s="3" t="str">
        <f>IF(ISERROR(VLOOKUP(Base_Periodo1[[#This Row],[CONTA]],BaseContasDRE[#All],5,FALSE)),"Fora do DRE",VLOOKUP(Base_Periodo1[[#This Row],[CONTA]],BaseContasDRE[#All],6,FALSE))</f>
        <v>Fora do DRE</v>
      </c>
      <c r="U5329" s="3" t="str">
        <f>IF(ISERROR(VLOOKUP(Base_Periodo1[[#This Row],[CONTA]],BaseContasDRE[#All],7,FALSE)),"Fora do DRE",VLOOKUP(Base_Periodo1[[#This Row],[CONTA]],BaseContasDRE[#All],7,FALSE))</f>
        <v>Fora do DRE</v>
      </c>
      <c r="V5329" s="3" t="str">
        <f>IF(Base_Periodo1[[#This Row],[Tipo_Linha]]="Fora do DRE","Fora do DRE","( "&amp;Base_Periodo1[[#This Row],[Tipo_Linha]]&amp;" ) "&amp;Base_Periodo1[[#This Row],[Filtro]])</f>
        <v>Fora do DRE</v>
      </c>
      <c r="W5329" s="3" t="str">
        <f>LEFT(Base_Periodo1[[#This Row],[CLASS]],3)</f>
        <v>2.4</v>
      </c>
    </row>
    <row r="5330" spans="1:23" hidden="1">
      <c r="A5330" s="3" t="str">
        <f t="shared" si="83"/>
        <v>Período 1</v>
      </c>
      <c r="B5330">
        <v>46856</v>
      </c>
      <c r="C5330" t="s">
        <v>2300</v>
      </c>
      <c r="D5330" t="s">
        <v>3176</v>
      </c>
      <c r="E5330" s="3" t="str">
        <f>IF(LEN(Base_Periodo1[[#This Row],[CLASS]])&gt;=7,LEFT(Base_Periodo1[[#This Row],[CLASS]],7),"")</f>
        <v>2.4.1.1</v>
      </c>
      <c r="F5330" s="3" t="str">
        <f>VLOOKUP(Base_Periodo1[[#This Row],[Aux]],Base_Contas_Balanco[#All],2,FALSE)</f>
        <v>Capital Social Realizado</v>
      </c>
      <c r="G5330" s="1"/>
      <c r="H5330" s="281">
        <v>75.89</v>
      </c>
      <c r="I5330" s="281">
        <v>0</v>
      </c>
      <c r="J5330" s="281">
        <v>0</v>
      </c>
      <c r="K5330" s="281">
        <v>75.89</v>
      </c>
      <c r="L533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75.89</v>
      </c>
      <c r="M5330" s="281">
        <f>ROUND(IF(AND(Base_Periodo1[[#This Row],[Tipo_Linha]]="-",Base_Periodo1[[#This Row],[TIPOSALDO]]="D"),Base_Periodo1[[#This Row],[SALDO_ATUAL]]*-1,Base_Periodo1[[#This Row],[SALDO_ATUAL]]),4)</f>
        <v>75.89</v>
      </c>
      <c r="N5330" t="s">
        <v>116</v>
      </c>
      <c r="O5330" t="s">
        <v>459</v>
      </c>
      <c r="P5330" t="s">
        <v>459</v>
      </c>
      <c r="Q5330">
        <v>6</v>
      </c>
      <c r="R5330" s="281">
        <f>Base_Periodo1[[#This Row],[CREDITOS]]-Base_Periodo1[[#This Row],[DEBITOS]]</f>
        <v>0</v>
      </c>
      <c r="S5330" s="3" t="str">
        <f>IF(ISERROR(VLOOKUP(Base_Periodo1[[#This Row],[CONTA]],BaseContasDRE[#All],4,FALSE)),"Fora do DRE",VLOOKUP(Base_Periodo1[[#This Row],[CONTA]],BaseContasDRE[#All],4,FALSE))</f>
        <v>Fora do DRE</v>
      </c>
      <c r="T5330" s="3" t="str">
        <f>IF(ISERROR(VLOOKUP(Base_Periodo1[[#This Row],[CONTA]],BaseContasDRE[#All],5,FALSE)),"Fora do DRE",VLOOKUP(Base_Periodo1[[#This Row],[CONTA]],BaseContasDRE[#All],6,FALSE))</f>
        <v>Fora do DRE</v>
      </c>
      <c r="U5330" s="3" t="str">
        <f>IF(ISERROR(VLOOKUP(Base_Periodo1[[#This Row],[CONTA]],BaseContasDRE[#All],7,FALSE)),"Fora do DRE",VLOOKUP(Base_Periodo1[[#This Row],[CONTA]],BaseContasDRE[#All],7,FALSE))</f>
        <v>Fora do DRE</v>
      </c>
      <c r="V5330" s="3" t="str">
        <f>IF(Base_Periodo1[[#This Row],[Tipo_Linha]]="Fora do DRE","Fora do DRE","( "&amp;Base_Periodo1[[#This Row],[Tipo_Linha]]&amp;" ) "&amp;Base_Periodo1[[#This Row],[Filtro]])</f>
        <v>Fora do DRE</v>
      </c>
      <c r="W5330" s="3" t="str">
        <f>LEFT(Base_Periodo1[[#This Row],[CLASS]],3)</f>
        <v>2.4</v>
      </c>
    </row>
    <row r="5331" spans="1:23" hidden="1">
      <c r="A5331" s="3" t="str">
        <f t="shared" si="83"/>
        <v>Período 1</v>
      </c>
      <c r="B5331">
        <v>53943</v>
      </c>
      <c r="C5331" t="s">
        <v>2300</v>
      </c>
      <c r="D5331" t="s">
        <v>5106</v>
      </c>
      <c r="E5331" s="3" t="str">
        <f>IF(LEN(Base_Periodo1[[#This Row],[CLASS]])&gt;=7,LEFT(Base_Periodo1[[#This Row],[CLASS]],7),"")</f>
        <v>2.4.1.1</v>
      </c>
      <c r="F5331" s="3" t="str">
        <f>VLOOKUP(Base_Periodo1[[#This Row],[Aux]],Base_Contas_Balanco[#All],2,FALSE)</f>
        <v>Capital Social Realizado</v>
      </c>
      <c r="G5331" s="1"/>
      <c r="H5331" s="281">
        <v>240</v>
      </c>
      <c r="I5331" s="281">
        <v>0</v>
      </c>
      <c r="J5331" s="281">
        <v>0</v>
      </c>
      <c r="K5331" s="281">
        <v>240</v>
      </c>
      <c r="L533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331" s="281">
        <f>ROUND(IF(AND(Base_Periodo1[[#This Row],[Tipo_Linha]]="-",Base_Periodo1[[#This Row],[TIPOSALDO]]="D"),Base_Periodo1[[#This Row],[SALDO_ATUAL]]*-1,Base_Periodo1[[#This Row],[SALDO_ATUAL]]),4)</f>
        <v>240</v>
      </c>
      <c r="N5331" t="s">
        <v>116</v>
      </c>
      <c r="O5331" t="s">
        <v>459</v>
      </c>
      <c r="P5331" t="s">
        <v>459</v>
      </c>
      <c r="Q5331">
        <v>6</v>
      </c>
      <c r="R5331" s="281">
        <f>Base_Periodo1[[#This Row],[CREDITOS]]-Base_Periodo1[[#This Row],[DEBITOS]]</f>
        <v>0</v>
      </c>
      <c r="S5331" s="3" t="str">
        <f>IF(ISERROR(VLOOKUP(Base_Periodo1[[#This Row],[CONTA]],BaseContasDRE[#All],4,FALSE)),"Fora do DRE",VLOOKUP(Base_Periodo1[[#This Row],[CONTA]],BaseContasDRE[#All],4,FALSE))</f>
        <v>Fora do DRE</v>
      </c>
      <c r="T5331" s="3" t="str">
        <f>IF(ISERROR(VLOOKUP(Base_Periodo1[[#This Row],[CONTA]],BaseContasDRE[#All],5,FALSE)),"Fora do DRE",VLOOKUP(Base_Periodo1[[#This Row],[CONTA]],BaseContasDRE[#All],6,FALSE))</f>
        <v>Fora do DRE</v>
      </c>
      <c r="U5331" s="3" t="str">
        <f>IF(ISERROR(VLOOKUP(Base_Periodo1[[#This Row],[CONTA]],BaseContasDRE[#All],7,FALSE)),"Fora do DRE",VLOOKUP(Base_Periodo1[[#This Row],[CONTA]],BaseContasDRE[#All],7,FALSE))</f>
        <v>Fora do DRE</v>
      </c>
      <c r="V5331" s="3" t="str">
        <f>IF(Base_Periodo1[[#This Row],[Tipo_Linha]]="Fora do DRE","Fora do DRE","( "&amp;Base_Periodo1[[#This Row],[Tipo_Linha]]&amp;" ) "&amp;Base_Periodo1[[#This Row],[Filtro]])</f>
        <v>Fora do DRE</v>
      </c>
      <c r="W5331" s="3" t="str">
        <f>LEFT(Base_Periodo1[[#This Row],[CLASS]],3)</f>
        <v>2.4</v>
      </c>
    </row>
    <row r="5332" spans="1:23" hidden="1">
      <c r="A5332" s="3" t="str">
        <f t="shared" si="83"/>
        <v>Período 1</v>
      </c>
      <c r="B5332">
        <v>40570</v>
      </c>
      <c r="C5332" t="s">
        <v>2300</v>
      </c>
      <c r="D5332" t="s">
        <v>3177</v>
      </c>
      <c r="E5332" s="3" t="str">
        <f>IF(LEN(Base_Periodo1[[#This Row],[CLASS]])&gt;=7,LEFT(Base_Periodo1[[#This Row],[CLASS]],7),"")</f>
        <v>2.4.1.1</v>
      </c>
      <c r="F5332" s="3" t="str">
        <f>VLOOKUP(Base_Periodo1[[#This Row],[Aux]],Base_Contas_Balanco[#All],2,FALSE)</f>
        <v>Capital Social Realizado</v>
      </c>
      <c r="G5332" s="1"/>
      <c r="H5332" s="281">
        <v>178.87</v>
      </c>
      <c r="I5332" s="281">
        <v>0</v>
      </c>
      <c r="J5332" s="281">
        <v>0</v>
      </c>
      <c r="K5332" s="281">
        <v>178.87</v>
      </c>
      <c r="L533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178.87</v>
      </c>
      <c r="M5332" s="281">
        <f>ROUND(IF(AND(Base_Periodo1[[#This Row],[Tipo_Linha]]="-",Base_Periodo1[[#This Row],[TIPOSALDO]]="D"),Base_Periodo1[[#This Row],[SALDO_ATUAL]]*-1,Base_Periodo1[[#This Row],[SALDO_ATUAL]]),4)</f>
        <v>178.87</v>
      </c>
      <c r="N5332" t="s">
        <v>116</v>
      </c>
      <c r="O5332" t="s">
        <v>459</v>
      </c>
      <c r="P5332" t="s">
        <v>459</v>
      </c>
      <c r="Q5332">
        <v>6</v>
      </c>
      <c r="R5332" s="281">
        <f>Base_Periodo1[[#This Row],[CREDITOS]]-Base_Periodo1[[#This Row],[DEBITOS]]</f>
        <v>0</v>
      </c>
      <c r="S5332" s="3" t="str">
        <f>IF(ISERROR(VLOOKUP(Base_Periodo1[[#This Row],[CONTA]],BaseContasDRE[#All],4,FALSE)),"Fora do DRE",VLOOKUP(Base_Periodo1[[#This Row],[CONTA]],BaseContasDRE[#All],4,FALSE))</f>
        <v>Fora do DRE</v>
      </c>
      <c r="T5332" s="3" t="str">
        <f>IF(ISERROR(VLOOKUP(Base_Periodo1[[#This Row],[CONTA]],BaseContasDRE[#All],5,FALSE)),"Fora do DRE",VLOOKUP(Base_Periodo1[[#This Row],[CONTA]],BaseContasDRE[#All],6,FALSE))</f>
        <v>Fora do DRE</v>
      </c>
      <c r="U5332" s="3" t="str">
        <f>IF(ISERROR(VLOOKUP(Base_Periodo1[[#This Row],[CONTA]],BaseContasDRE[#All],7,FALSE)),"Fora do DRE",VLOOKUP(Base_Periodo1[[#This Row],[CONTA]],BaseContasDRE[#All],7,FALSE))</f>
        <v>Fora do DRE</v>
      </c>
      <c r="V5332" s="3" t="str">
        <f>IF(Base_Periodo1[[#This Row],[Tipo_Linha]]="Fora do DRE","Fora do DRE","( "&amp;Base_Periodo1[[#This Row],[Tipo_Linha]]&amp;" ) "&amp;Base_Periodo1[[#This Row],[Filtro]])</f>
        <v>Fora do DRE</v>
      </c>
      <c r="W5332" s="3" t="str">
        <f>LEFT(Base_Periodo1[[#This Row],[CLASS]],3)</f>
        <v>2.4</v>
      </c>
    </row>
    <row r="5333" spans="1:23" hidden="1">
      <c r="A5333" s="3" t="str">
        <f t="shared" si="83"/>
        <v>Período 1</v>
      </c>
      <c r="B5333">
        <v>19747</v>
      </c>
      <c r="C5333" t="s">
        <v>2300</v>
      </c>
      <c r="D5333" t="s">
        <v>3178</v>
      </c>
      <c r="E5333" s="3" t="str">
        <f>IF(LEN(Base_Periodo1[[#This Row],[CLASS]])&gt;=7,LEFT(Base_Periodo1[[#This Row],[CLASS]],7),"")</f>
        <v>2.4.1.1</v>
      </c>
      <c r="F5333" s="3" t="str">
        <f>VLOOKUP(Base_Periodo1[[#This Row],[Aux]],Base_Contas_Balanco[#All],2,FALSE)</f>
        <v>Capital Social Realizado</v>
      </c>
      <c r="G5333" s="1"/>
      <c r="H5333" s="281">
        <v>4827.3</v>
      </c>
      <c r="I5333" s="281">
        <v>0</v>
      </c>
      <c r="J5333" s="281">
        <v>0</v>
      </c>
      <c r="K5333" s="281">
        <v>4827.3</v>
      </c>
      <c r="L533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4827.3</v>
      </c>
      <c r="M5333" s="281">
        <f>ROUND(IF(AND(Base_Periodo1[[#This Row],[Tipo_Linha]]="-",Base_Periodo1[[#This Row],[TIPOSALDO]]="D"),Base_Periodo1[[#This Row],[SALDO_ATUAL]]*-1,Base_Periodo1[[#This Row],[SALDO_ATUAL]]),4)</f>
        <v>4827.3</v>
      </c>
      <c r="N5333" t="s">
        <v>116</v>
      </c>
      <c r="O5333" t="s">
        <v>459</v>
      </c>
      <c r="P5333" t="s">
        <v>459</v>
      </c>
      <c r="Q5333">
        <v>6</v>
      </c>
      <c r="R5333" s="281">
        <f>Base_Periodo1[[#This Row],[CREDITOS]]-Base_Periodo1[[#This Row],[DEBITOS]]</f>
        <v>0</v>
      </c>
      <c r="S5333" s="3" t="str">
        <f>IF(ISERROR(VLOOKUP(Base_Periodo1[[#This Row],[CONTA]],BaseContasDRE[#All],4,FALSE)),"Fora do DRE",VLOOKUP(Base_Periodo1[[#This Row],[CONTA]],BaseContasDRE[#All],4,FALSE))</f>
        <v>Fora do DRE</v>
      </c>
      <c r="T5333" s="3" t="str">
        <f>IF(ISERROR(VLOOKUP(Base_Periodo1[[#This Row],[CONTA]],BaseContasDRE[#All],5,FALSE)),"Fora do DRE",VLOOKUP(Base_Periodo1[[#This Row],[CONTA]],BaseContasDRE[#All],6,FALSE))</f>
        <v>Fora do DRE</v>
      </c>
      <c r="U5333" s="3" t="str">
        <f>IF(ISERROR(VLOOKUP(Base_Periodo1[[#This Row],[CONTA]],BaseContasDRE[#All],7,FALSE)),"Fora do DRE",VLOOKUP(Base_Periodo1[[#This Row],[CONTA]],BaseContasDRE[#All],7,FALSE))</f>
        <v>Fora do DRE</v>
      </c>
      <c r="V5333" s="3" t="str">
        <f>IF(Base_Periodo1[[#This Row],[Tipo_Linha]]="Fora do DRE","Fora do DRE","( "&amp;Base_Periodo1[[#This Row],[Tipo_Linha]]&amp;" ) "&amp;Base_Periodo1[[#This Row],[Filtro]])</f>
        <v>Fora do DRE</v>
      </c>
      <c r="W5333" s="3" t="str">
        <f>LEFT(Base_Periodo1[[#This Row],[CLASS]],3)</f>
        <v>2.4</v>
      </c>
    </row>
    <row r="5334" spans="1:23" hidden="1">
      <c r="A5334" s="3" t="str">
        <f t="shared" si="83"/>
        <v>Período 1</v>
      </c>
      <c r="B5334">
        <v>24635</v>
      </c>
      <c r="C5334" t="s">
        <v>2300</v>
      </c>
      <c r="D5334" t="s">
        <v>3179</v>
      </c>
      <c r="E5334" s="3" t="str">
        <f>IF(LEN(Base_Periodo1[[#This Row],[CLASS]])&gt;=7,LEFT(Base_Periodo1[[#This Row],[CLASS]],7),"")</f>
        <v>2.4.1.1</v>
      </c>
      <c r="F5334" s="3" t="str">
        <f>VLOOKUP(Base_Periodo1[[#This Row],[Aux]],Base_Contas_Balanco[#All],2,FALSE)</f>
        <v>Capital Social Realizado</v>
      </c>
      <c r="G5334" s="1"/>
      <c r="H5334" s="281">
        <v>92.04</v>
      </c>
      <c r="I5334" s="281">
        <v>0</v>
      </c>
      <c r="J5334" s="281">
        <v>0</v>
      </c>
      <c r="K5334" s="281">
        <v>92.04</v>
      </c>
      <c r="L533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92.04</v>
      </c>
      <c r="M5334" s="281">
        <f>ROUND(IF(AND(Base_Periodo1[[#This Row],[Tipo_Linha]]="-",Base_Periodo1[[#This Row],[TIPOSALDO]]="D"),Base_Periodo1[[#This Row],[SALDO_ATUAL]]*-1,Base_Periodo1[[#This Row],[SALDO_ATUAL]]),4)</f>
        <v>92.04</v>
      </c>
      <c r="N5334" t="s">
        <v>116</v>
      </c>
      <c r="O5334" t="s">
        <v>459</v>
      </c>
      <c r="P5334" t="s">
        <v>459</v>
      </c>
      <c r="Q5334">
        <v>6</v>
      </c>
      <c r="R5334" s="281">
        <f>Base_Periodo1[[#This Row],[CREDITOS]]-Base_Periodo1[[#This Row],[DEBITOS]]</f>
        <v>0</v>
      </c>
      <c r="S5334" s="3" t="str">
        <f>IF(ISERROR(VLOOKUP(Base_Periodo1[[#This Row],[CONTA]],BaseContasDRE[#All],4,FALSE)),"Fora do DRE",VLOOKUP(Base_Periodo1[[#This Row],[CONTA]],BaseContasDRE[#All],4,FALSE))</f>
        <v>Fora do DRE</v>
      </c>
      <c r="T5334" s="3" t="str">
        <f>IF(ISERROR(VLOOKUP(Base_Periodo1[[#This Row],[CONTA]],BaseContasDRE[#All],5,FALSE)),"Fora do DRE",VLOOKUP(Base_Periodo1[[#This Row],[CONTA]],BaseContasDRE[#All],6,FALSE))</f>
        <v>Fora do DRE</v>
      </c>
      <c r="U5334" s="3" t="str">
        <f>IF(ISERROR(VLOOKUP(Base_Periodo1[[#This Row],[CONTA]],BaseContasDRE[#All],7,FALSE)),"Fora do DRE",VLOOKUP(Base_Periodo1[[#This Row],[CONTA]],BaseContasDRE[#All],7,FALSE))</f>
        <v>Fora do DRE</v>
      </c>
      <c r="V5334" s="3" t="str">
        <f>IF(Base_Periodo1[[#This Row],[Tipo_Linha]]="Fora do DRE","Fora do DRE","( "&amp;Base_Periodo1[[#This Row],[Tipo_Linha]]&amp;" ) "&amp;Base_Periodo1[[#This Row],[Filtro]])</f>
        <v>Fora do DRE</v>
      </c>
      <c r="W5334" s="3" t="str">
        <f>LEFT(Base_Periodo1[[#This Row],[CLASS]],3)</f>
        <v>2.4</v>
      </c>
    </row>
    <row r="5335" spans="1:23" hidden="1">
      <c r="A5335" s="3" t="str">
        <f t="shared" si="83"/>
        <v>Período 1</v>
      </c>
      <c r="B5335">
        <v>19474</v>
      </c>
      <c r="C5335" t="s">
        <v>2300</v>
      </c>
      <c r="D5335" t="s">
        <v>3180</v>
      </c>
      <c r="E5335" s="3" t="str">
        <f>IF(LEN(Base_Periodo1[[#This Row],[CLASS]])&gt;=7,LEFT(Base_Periodo1[[#This Row],[CLASS]],7),"")</f>
        <v>2.4.1.1</v>
      </c>
      <c r="F5335" s="3" t="str">
        <f>VLOOKUP(Base_Periodo1[[#This Row],[Aux]],Base_Contas_Balanco[#All],2,FALSE)</f>
        <v>Capital Social Realizado</v>
      </c>
      <c r="G5335" s="1"/>
      <c r="H5335" s="281">
        <v>5001.43</v>
      </c>
      <c r="I5335" s="281">
        <v>0</v>
      </c>
      <c r="J5335" s="281">
        <v>0</v>
      </c>
      <c r="K5335" s="281">
        <v>5001.43</v>
      </c>
      <c r="L533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5001.43</v>
      </c>
      <c r="M5335" s="281">
        <f>ROUND(IF(AND(Base_Periodo1[[#This Row],[Tipo_Linha]]="-",Base_Periodo1[[#This Row],[TIPOSALDO]]="D"),Base_Periodo1[[#This Row],[SALDO_ATUAL]]*-1,Base_Periodo1[[#This Row],[SALDO_ATUAL]]),4)</f>
        <v>5001.43</v>
      </c>
      <c r="N5335" t="s">
        <v>116</v>
      </c>
      <c r="O5335" t="s">
        <v>459</v>
      </c>
      <c r="P5335" t="s">
        <v>459</v>
      </c>
      <c r="Q5335">
        <v>6</v>
      </c>
      <c r="R5335" s="281">
        <f>Base_Periodo1[[#This Row],[CREDITOS]]-Base_Periodo1[[#This Row],[DEBITOS]]</f>
        <v>0</v>
      </c>
      <c r="S5335" s="3" t="str">
        <f>IF(ISERROR(VLOOKUP(Base_Periodo1[[#This Row],[CONTA]],BaseContasDRE[#All],4,FALSE)),"Fora do DRE",VLOOKUP(Base_Periodo1[[#This Row],[CONTA]],BaseContasDRE[#All],4,FALSE))</f>
        <v>Fora do DRE</v>
      </c>
      <c r="T5335" s="3" t="str">
        <f>IF(ISERROR(VLOOKUP(Base_Periodo1[[#This Row],[CONTA]],BaseContasDRE[#All],5,FALSE)),"Fora do DRE",VLOOKUP(Base_Periodo1[[#This Row],[CONTA]],BaseContasDRE[#All],6,FALSE))</f>
        <v>Fora do DRE</v>
      </c>
      <c r="U5335" s="3" t="str">
        <f>IF(ISERROR(VLOOKUP(Base_Periodo1[[#This Row],[CONTA]],BaseContasDRE[#All],7,FALSE)),"Fora do DRE",VLOOKUP(Base_Periodo1[[#This Row],[CONTA]],BaseContasDRE[#All],7,FALSE))</f>
        <v>Fora do DRE</v>
      </c>
      <c r="V5335" s="3" t="str">
        <f>IF(Base_Periodo1[[#This Row],[Tipo_Linha]]="Fora do DRE","Fora do DRE","( "&amp;Base_Periodo1[[#This Row],[Tipo_Linha]]&amp;" ) "&amp;Base_Periodo1[[#This Row],[Filtro]])</f>
        <v>Fora do DRE</v>
      </c>
      <c r="W5335" s="3" t="str">
        <f>LEFT(Base_Periodo1[[#This Row],[CLASS]],3)</f>
        <v>2.4</v>
      </c>
    </row>
    <row r="5336" spans="1:23" hidden="1">
      <c r="A5336" s="3" t="str">
        <f t="shared" si="83"/>
        <v>Período 1</v>
      </c>
      <c r="B5336">
        <v>52573</v>
      </c>
      <c r="C5336" t="s">
        <v>2300</v>
      </c>
      <c r="D5336" t="s">
        <v>4793</v>
      </c>
      <c r="E5336" s="3" t="str">
        <f>IF(LEN(Base_Periodo1[[#This Row],[CLASS]])&gt;=7,LEFT(Base_Periodo1[[#This Row],[CLASS]],7),"")</f>
        <v>2.4.1.1</v>
      </c>
      <c r="F5336" s="3" t="str">
        <f>VLOOKUP(Base_Periodo1[[#This Row],[Aux]],Base_Contas_Balanco[#All],2,FALSE)</f>
        <v>Capital Social Realizado</v>
      </c>
      <c r="G5336" s="1"/>
      <c r="H5336" s="281">
        <v>50</v>
      </c>
      <c r="I5336" s="281">
        <v>0</v>
      </c>
      <c r="J5336" s="281">
        <v>0</v>
      </c>
      <c r="K5336" s="281">
        <v>50</v>
      </c>
      <c r="L533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36" s="281">
        <f>ROUND(IF(AND(Base_Periodo1[[#This Row],[Tipo_Linha]]="-",Base_Periodo1[[#This Row],[TIPOSALDO]]="D"),Base_Periodo1[[#This Row],[SALDO_ATUAL]]*-1,Base_Periodo1[[#This Row],[SALDO_ATUAL]]),4)</f>
        <v>50</v>
      </c>
      <c r="N5336" t="s">
        <v>116</v>
      </c>
      <c r="O5336" t="s">
        <v>459</v>
      </c>
      <c r="P5336" t="s">
        <v>459</v>
      </c>
      <c r="Q5336">
        <v>6</v>
      </c>
      <c r="R5336" s="281">
        <f>Base_Periodo1[[#This Row],[CREDITOS]]-Base_Periodo1[[#This Row],[DEBITOS]]</f>
        <v>0</v>
      </c>
      <c r="S5336" s="3" t="str">
        <f>IF(ISERROR(VLOOKUP(Base_Periodo1[[#This Row],[CONTA]],BaseContasDRE[#All],4,FALSE)),"Fora do DRE",VLOOKUP(Base_Periodo1[[#This Row],[CONTA]],BaseContasDRE[#All],4,FALSE))</f>
        <v>Fora do DRE</v>
      </c>
      <c r="T5336" s="3" t="str">
        <f>IF(ISERROR(VLOOKUP(Base_Periodo1[[#This Row],[CONTA]],BaseContasDRE[#All],5,FALSE)),"Fora do DRE",VLOOKUP(Base_Periodo1[[#This Row],[CONTA]],BaseContasDRE[#All],6,FALSE))</f>
        <v>Fora do DRE</v>
      </c>
      <c r="U5336" s="3" t="str">
        <f>IF(ISERROR(VLOOKUP(Base_Periodo1[[#This Row],[CONTA]],BaseContasDRE[#All],7,FALSE)),"Fora do DRE",VLOOKUP(Base_Periodo1[[#This Row],[CONTA]],BaseContasDRE[#All],7,FALSE))</f>
        <v>Fora do DRE</v>
      </c>
      <c r="V5336" s="3" t="str">
        <f>IF(Base_Periodo1[[#This Row],[Tipo_Linha]]="Fora do DRE","Fora do DRE","( "&amp;Base_Periodo1[[#This Row],[Tipo_Linha]]&amp;" ) "&amp;Base_Periodo1[[#This Row],[Filtro]])</f>
        <v>Fora do DRE</v>
      </c>
      <c r="W5336" s="3" t="str">
        <f>LEFT(Base_Periodo1[[#This Row],[CLASS]],3)</f>
        <v>2.4</v>
      </c>
    </row>
    <row r="5337" spans="1:23" hidden="1">
      <c r="A5337" s="3" t="str">
        <f t="shared" si="83"/>
        <v>Período 1</v>
      </c>
      <c r="B5337">
        <v>25556</v>
      </c>
      <c r="C5337" t="s">
        <v>2300</v>
      </c>
      <c r="D5337" t="s">
        <v>3181</v>
      </c>
      <c r="E5337" s="3" t="str">
        <f>IF(LEN(Base_Periodo1[[#This Row],[CLASS]])&gt;=7,LEFT(Base_Periodo1[[#This Row],[CLASS]],7),"")</f>
        <v>2.4.1.1</v>
      </c>
      <c r="F5337" s="3" t="str">
        <f>VLOOKUP(Base_Periodo1[[#This Row],[Aux]],Base_Contas_Balanco[#All],2,FALSE)</f>
        <v>Capital Social Realizado</v>
      </c>
      <c r="G5337" s="1"/>
      <c r="H5337" s="281">
        <v>55.31</v>
      </c>
      <c r="I5337" s="281">
        <v>0</v>
      </c>
      <c r="J5337" s="281">
        <v>0</v>
      </c>
      <c r="K5337" s="281">
        <v>55.31</v>
      </c>
      <c r="L533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55.31</v>
      </c>
      <c r="M5337" s="281">
        <f>ROUND(IF(AND(Base_Periodo1[[#This Row],[Tipo_Linha]]="-",Base_Periodo1[[#This Row],[TIPOSALDO]]="D"),Base_Periodo1[[#This Row],[SALDO_ATUAL]]*-1,Base_Periodo1[[#This Row],[SALDO_ATUAL]]),4)</f>
        <v>55.31</v>
      </c>
      <c r="N5337" t="s">
        <v>116</v>
      </c>
      <c r="O5337" t="s">
        <v>459</v>
      </c>
      <c r="P5337" t="s">
        <v>459</v>
      </c>
      <c r="Q5337">
        <v>6</v>
      </c>
      <c r="R5337" s="281">
        <f>Base_Periodo1[[#This Row],[CREDITOS]]-Base_Periodo1[[#This Row],[DEBITOS]]</f>
        <v>0</v>
      </c>
      <c r="S5337" s="3" t="str">
        <f>IF(ISERROR(VLOOKUP(Base_Periodo1[[#This Row],[CONTA]],BaseContasDRE[#All],4,FALSE)),"Fora do DRE",VLOOKUP(Base_Periodo1[[#This Row],[CONTA]],BaseContasDRE[#All],4,FALSE))</f>
        <v>Fora do DRE</v>
      </c>
      <c r="T5337" s="3" t="str">
        <f>IF(ISERROR(VLOOKUP(Base_Periodo1[[#This Row],[CONTA]],BaseContasDRE[#All],5,FALSE)),"Fora do DRE",VLOOKUP(Base_Periodo1[[#This Row],[CONTA]],BaseContasDRE[#All],6,FALSE))</f>
        <v>Fora do DRE</v>
      </c>
      <c r="U5337" s="3" t="str">
        <f>IF(ISERROR(VLOOKUP(Base_Periodo1[[#This Row],[CONTA]],BaseContasDRE[#All],7,FALSE)),"Fora do DRE",VLOOKUP(Base_Periodo1[[#This Row],[CONTA]],BaseContasDRE[#All],7,FALSE))</f>
        <v>Fora do DRE</v>
      </c>
      <c r="V5337" s="3" t="str">
        <f>IF(Base_Periodo1[[#This Row],[Tipo_Linha]]="Fora do DRE","Fora do DRE","( "&amp;Base_Periodo1[[#This Row],[Tipo_Linha]]&amp;" ) "&amp;Base_Periodo1[[#This Row],[Filtro]])</f>
        <v>Fora do DRE</v>
      </c>
      <c r="W5337" s="3" t="str">
        <f>LEFT(Base_Periodo1[[#This Row],[CLASS]],3)</f>
        <v>2.4</v>
      </c>
    </row>
    <row r="5338" spans="1:23" hidden="1">
      <c r="A5338" s="3" t="str">
        <f t="shared" si="83"/>
        <v>Período 1</v>
      </c>
      <c r="B5338">
        <v>39609</v>
      </c>
      <c r="C5338" t="s">
        <v>2300</v>
      </c>
      <c r="D5338" t="s">
        <v>3182</v>
      </c>
      <c r="E5338" s="3" t="str">
        <f>IF(LEN(Base_Periodo1[[#This Row],[CLASS]])&gt;=7,LEFT(Base_Periodo1[[#This Row],[CLASS]],7),"")</f>
        <v>2.4.1.1</v>
      </c>
      <c r="F5338" s="3" t="str">
        <f>VLOOKUP(Base_Periodo1[[#This Row],[Aux]],Base_Contas_Balanco[#All],2,FALSE)</f>
        <v>Capital Social Realizado</v>
      </c>
      <c r="G5338" s="1"/>
      <c r="H5338" s="281">
        <v>251.71</v>
      </c>
      <c r="I5338" s="281">
        <v>0</v>
      </c>
      <c r="J5338" s="281">
        <v>0</v>
      </c>
      <c r="K5338" s="281">
        <v>251.71</v>
      </c>
      <c r="L533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251.71</v>
      </c>
      <c r="M5338" s="281">
        <f>ROUND(IF(AND(Base_Periodo1[[#This Row],[Tipo_Linha]]="-",Base_Periodo1[[#This Row],[TIPOSALDO]]="D"),Base_Periodo1[[#This Row],[SALDO_ATUAL]]*-1,Base_Periodo1[[#This Row],[SALDO_ATUAL]]),4)</f>
        <v>251.71</v>
      </c>
      <c r="N5338" t="s">
        <v>116</v>
      </c>
      <c r="O5338" t="s">
        <v>459</v>
      </c>
      <c r="P5338" t="s">
        <v>459</v>
      </c>
      <c r="Q5338">
        <v>6</v>
      </c>
      <c r="R5338" s="281">
        <f>Base_Periodo1[[#This Row],[CREDITOS]]-Base_Periodo1[[#This Row],[DEBITOS]]</f>
        <v>0</v>
      </c>
      <c r="S5338" s="3" t="str">
        <f>IF(ISERROR(VLOOKUP(Base_Periodo1[[#This Row],[CONTA]],BaseContasDRE[#All],4,FALSE)),"Fora do DRE",VLOOKUP(Base_Periodo1[[#This Row],[CONTA]],BaseContasDRE[#All],4,FALSE))</f>
        <v>Fora do DRE</v>
      </c>
      <c r="T5338" s="3" t="str">
        <f>IF(ISERROR(VLOOKUP(Base_Periodo1[[#This Row],[CONTA]],BaseContasDRE[#All],5,FALSE)),"Fora do DRE",VLOOKUP(Base_Periodo1[[#This Row],[CONTA]],BaseContasDRE[#All],6,FALSE))</f>
        <v>Fora do DRE</v>
      </c>
      <c r="U5338" s="3" t="str">
        <f>IF(ISERROR(VLOOKUP(Base_Periodo1[[#This Row],[CONTA]],BaseContasDRE[#All],7,FALSE)),"Fora do DRE",VLOOKUP(Base_Periodo1[[#This Row],[CONTA]],BaseContasDRE[#All],7,FALSE))</f>
        <v>Fora do DRE</v>
      </c>
      <c r="V5338" s="3" t="str">
        <f>IF(Base_Periodo1[[#This Row],[Tipo_Linha]]="Fora do DRE","Fora do DRE","( "&amp;Base_Periodo1[[#This Row],[Tipo_Linha]]&amp;" ) "&amp;Base_Periodo1[[#This Row],[Filtro]])</f>
        <v>Fora do DRE</v>
      </c>
      <c r="W5338" s="3" t="str">
        <f>LEFT(Base_Periodo1[[#This Row],[CLASS]],3)</f>
        <v>2.4</v>
      </c>
    </row>
    <row r="5339" spans="1:23" hidden="1">
      <c r="A5339" s="3" t="str">
        <f t="shared" si="83"/>
        <v>Período 1</v>
      </c>
      <c r="B5339">
        <v>16003</v>
      </c>
      <c r="C5339" t="s">
        <v>2300</v>
      </c>
      <c r="D5339" t="s">
        <v>3183</v>
      </c>
      <c r="E5339" s="3" t="str">
        <f>IF(LEN(Base_Periodo1[[#This Row],[CLASS]])&gt;=7,LEFT(Base_Periodo1[[#This Row],[CLASS]],7),"")</f>
        <v>2.4.1.1</v>
      </c>
      <c r="F5339" s="3" t="str">
        <f>VLOOKUP(Base_Periodo1[[#This Row],[Aux]],Base_Contas_Balanco[#All],2,FALSE)</f>
        <v>Capital Social Realizado</v>
      </c>
      <c r="G5339" s="1"/>
      <c r="H5339" s="281">
        <v>1104.98</v>
      </c>
      <c r="I5339" s="281">
        <v>0</v>
      </c>
      <c r="J5339" s="281">
        <v>0</v>
      </c>
      <c r="K5339" s="281">
        <v>1104.98</v>
      </c>
      <c r="L533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1104.98</v>
      </c>
      <c r="M5339" s="281">
        <f>ROUND(IF(AND(Base_Periodo1[[#This Row],[Tipo_Linha]]="-",Base_Periodo1[[#This Row],[TIPOSALDO]]="D"),Base_Periodo1[[#This Row],[SALDO_ATUAL]]*-1,Base_Periodo1[[#This Row],[SALDO_ATUAL]]),4)</f>
        <v>1104.98</v>
      </c>
      <c r="N5339" t="s">
        <v>116</v>
      </c>
      <c r="O5339" t="s">
        <v>459</v>
      </c>
      <c r="P5339" t="s">
        <v>459</v>
      </c>
      <c r="Q5339">
        <v>6</v>
      </c>
      <c r="R5339" s="281">
        <f>Base_Periodo1[[#This Row],[CREDITOS]]-Base_Periodo1[[#This Row],[DEBITOS]]</f>
        <v>0</v>
      </c>
      <c r="S5339" s="3" t="str">
        <f>IF(ISERROR(VLOOKUP(Base_Periodo1[[#This Row],[CONTA]],BaseContasDRE[#All],4,FALSE)),"Fora do DRE",VLOOKUP(Base_Periodo1[[#This Row],[CONTA]],BaseContasDRE[#All],4,FALSE))</f>
        <v>Fora do DRE</v>
      </c>
      <c r="T5339" s="3" t="str">
        <f>IF(ISERROR(VLOOKUP(Base_Periodo1[[#This Row],[CONTA]],BaseContasDRE[#All],5,FALSE)),"Fora do DRE",VLOOKUP(Base_Periodo1[[#This Row],[CONTA]],BaseContasDRE[#All],6,FALSE))</f>
        <v>Fora do DRE</v>
      </c>
      <c r="U5339" s="3" t="str">
        <f>IF(ISERROR(VLOOKUP(Base_Periodo1[[#This Row],[CONTA]],BaseContasDRE[#All],7,FALSE)),"Fora do DRE",VLOOKUP(Base_Periodo1[[#This Row],[CONTA]],BaseContasDRE[#All],7,FALSE))</f>
        <v>Fora do DRE</v>
      </c>
      <c r="V5339" s="3" t="str">
        <f>IF(Base_Periodo1[[#This Row],[Tipo_Linha]]="Fora do DRE","Fora do DRE","( "&amp;Base_Periodo1[[#This Row],[Tipo_Linha]]&amp;" ) "&amp;Base_Periodo1[[#This Row],[Filtro]])</f>
        <v>Fora do DRE</v>
      </c>
      <c r="W5339" s="3" t="str">
        <f>LEFT(Base_Periodo1[[#This Row],[CLASS]],3)</f>
        <v>2.4</v>
      </c>
    </row>
    <row r="5340" spans="1:23" hidden="1">
      <c r="A5340" s="3" t="str">
        <f t="shared" si="83"/>
        <v>Período 1</v>
      </c>
      <c r="B5340">
        <v>15992</v>
      </c>
      <c r="C5340" t="s">
        <v>2300</v>
      </c>
      <c r="D5340" t="s">
        <v>3184</v>
      </c>
      <c r="E5340" s="3" t="str">
        <f>IF(LEN(Base_Periodo1[[#This Row],[CLASS]])&gt;=7,LEFT(Base_Periodo1[[#This Row],[CLASS]],7),"")</f>
        <v>2.4.1.1</v>
      </c>
      <c r="F5340" s="3" t="str">
        <f>VLOOKUP(Base_Periodo1[[#This Row],[Aux]],Base_Contas_Balanco[#All],2,FALSE)</f>
        <v>Capital Social Realizado</v>
      </c>
      <c r="G5340" s="1"/>
      <c r="H5340" s="281">
        <v>10816.340000000002</v>
      </c>
      <c r="I5340" s="281">
        <v>0</v>
      </c>
      <c r="J5340" s="281">
        <v>0</v>
      </c>
      <c r="K5340" s="281">
        <v>10816.340000000002</v>
      </c>
      <c r="L534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10816.34</v>
      </c>
      <c r="M5340" s="281">
        <f>ROUND(IF(AND(Base_Periodo1[[#This Row],[Tipo_Linha]]="-",Base_Periodo1[[#This Row],[TIPOSALDO]]="D"),Base_Periodo1[[#This Row],[SALDO_ATUAL]]*-1,Base_Periodo1[[#This Row],[SALDO_ATUAL]]),4)</f>
        <v>10816.34</v>
      </c>
      <c r="N5340" t="s">
        <v>116</v>
      </c>
      <c r="O5340" t="s">
        <v>459</v>
      </c>
      <c r="P5340" t="s">
        <v>459</v>
      </c>
      <c r="Q5340">
        <v>6</v>
      </c>
      <c r="R5340" s="281">
        <f>Base_Periodo1[[#This Row],[CREDITOS]]-Base_Periodo1[[#This Row],[DEBITOS]]</f>
        <v>0</v>
      </c>
      <c r="S5340" s="3" t="str">
        <f>IF(ISERROR(VLOOKUP(Base_Periodo1[[#This Row],[CONTA]],BaseContasDRE[#All],4,FALSE)),"Fora do DRE",VLOOKUP(Base_Periodo1[[#This Row],[CONTA]],BaseContasDRE[#All],4,FALSE))</f>
        <v>Fora do DRE</v>
      </c>
      <c r="T5340" s="3" t="str">
        <f>IF(ISERROR(VLOOKUP(Base_Periodo1[[#This Row],[CONTA]],BaseContasDRE[#All],5,FALSE)),"Fora do DRE",VLOOKUP(Base_Periodo1[[#This Row],[CONTA]],BaseContasDRE[#All],6,FALSE))</f>
        <v>Fora do DRE</v>
      </c>
      <c r="U5340" s="3" t="str">
        <f>IF(ISERROR(VLOOKUP(Base_Periodo1[[#This Row],[CONTA]],BaseContasDRE[#All],7,FALSE)),"Fora do DRE",VLOOKUP(Base_Periodo1[[#This Row],[CONTA]],BaseContasDRE[#All],7,FALSE))</f>
        <v>Fora do DRE</v>
      </c>
      <c r="V5340" s="3" t="str">
        <f>IF(Base_Periodo1[[#This Row],[Tipo_Linha]]="Fora do DRE","Fora do DRE","( "&amp;Base_Periodo1[[#This Row],[Tipo_Linha]]&amp;" ) "&amp;Base_Periodo1[[#This Row],[Filtro]])</f>
        <v>Fora do DRE</v>
      </c>
      <c r="W5340" s="3" t="str">
        <f>LEFT(Base_Periodo1[[#This Row],[CLASS]],3)</f>
        <v>2.4</v>
      </c>
    </row>
    <row r="5341" spans="1:23" hidden="1">
      <c r="A5341" s="3" t="str">
        <f t="shared" si="83"/>
        <v>Período 1</v>
      </c>
      <c r="B5341">
        <v>16111</v>
      </c>
      <c r="C5341" t="s">
        <v>2300</v>
      </c>
      <c r="D5341" t="s">
        <v>3185</v>
      </c>
      <c r="E5341" s="3" t="str">
        <f>IF(LEN(Base_Periodo1[[#This Row],[CLASS]])&gt;=7,LEFT(Base_Periodo1[[#This Row],[CLASS]],7),"")</f>
        <v>2.4.1.1</v>
      </c>
      <c r="F5341" s="3" t="str">
        <f>VLOOKUP(Base_Periodo1[[#This Row],[Aux]],Base_Contas_Balanco[#All],2,FALSE)</f>
        <v>Capital Social Realizado</v>
      </c>
      <c r="G5341" s="1"/>
      <c r="H5341" s="281">
        <v>24599.95</v>
      </c>
      <c r="I5341" s="281">
        <v>0</v>
      </c>
      <c r="J5341" s="281">
        <v>0</v>
      </c>
      <c r="K5341" s="281">
        <v>24599.95</v>
      </c>
      <c r="L534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24599.95</v>
      </c>
      <c r="M5341" s="281">
        <f>ROUND(IF(AND(Base_Periodo1[[#This Row],[Tipo_Linha]]="-",Base_Periodo1[[#This Row],[TIPOSALDO]]="D"),Base_Periodo1[[#This Row],[SALDO_ATUAL]]*-1,Base_Periodo1[[#This Row],[SALDO_ATUAL]]),4)</f>
        <v>24599.95</v>
      </c>
      <c r="N5341" t="s">
        <v>116</v>
      </c>
      <c r="O5341" t="s">
        <v>459</v>
      </c>
      <c r="P5341" t="s">
        <v>459</v>
      </c>
      <c r="Q5341">
        <v>6</v>
      </c>
      <c r="R5341" s="281">
        <f>Base_Periodo1[[#This Row],[CREDITOS]]-Base_Periodo1[[#This Row],[DEBITOS]]</f>
        <v>0</v>
      </c>
      <c r="S5341" s="3" t="str">
        <f>IF(ISERROR(VLOOKUP(Base_Periodo1[[#This Row],[CONTA]],BaseContasDRE[#All],4,FALSE)),"Fora do DRE",VLOOKUP(Base_Periodo1[[#This Row],[CONTA]],BaseContasDRE[#All],4,FALSE))</f>
        <v>Fora do DRE</v>
      </c>
      <c r="T5341" s="3" t="str">
        <f>IF(ISERROR(VLOOKUP(Base_Periodo1[[#This Row],[CONTA]],BaseContasDRE[#All],5,FALSE)),"Fora do DRE",VLOOKUP(Base_Periodo1[[#This Row],[CONTA]],BaseContasDRE[#All],6,FALSE))</f>
        <v>Fora do DRE</v>
      </c>
      <c r="U5341" s="3" t="str">
        <f>IF(ISERROR(VLOOKUP(Base_Periodo1[[#This Row],[CONTA]],BaseContasDRE[#All],7,FALSE)),"Fora do DRE",VLOOKUP(Base_Periodo1[[#This Row],[CONTA]],BaseContasDRE[#All],7,FALSE))</f>
        <v>Fora do DRE</v>
      </c>
      <c r="V5341" s="3" t="str">
        <f>IF(Base_Periodo1[[#This Row],[Tipo_Linha]]="Fora do DRE","Fora do DRE","( "&amp;Base_Periodo1[[#This Row],[Tipo_Linha]]&amp;" ) "&amp;Base_Periodo1[[#This Row],[Filtro]])</f>
        <v>Fora do DRE</v>
      </c>
      <c r="W5341" s="3" t="str">
        <f>LEFT(Base_Periodo1[[#This Row],[CLASS]],3)</f>
        <v>2.4</v>
      </c>
    </row>
    <row r="5342" spans="1:23" hidden="1">
      <c r="A5342" s="3" t="str">
        <f t="shared" si="83"/>
        <v>Período 1</v>
      </c>
      <c r="B5342">
        <v>16076</v>
      </c>
      <c r="C5342" t="s">
        <v>2300</v>
      </c>
      <c r="D5342" t="s">
        <v>3186</v>
      </c>
      <c r="E5342" s="3" t="str">
        <f>IF(LEN(Base_Periodo1[[#This Row],[CLASS]])&gt;=7,LEFT(Base_Periodo1[[#This Row],[CLASS]],7),"")</f>
        <v>2.4.1.1</v>
      </c>
      <c r="F5342" s="3" t="str">
        <f>VLOOKUP(Base_Periodo1[[#This Row],[Aux]],Base_Contas_Balanco[#All],2,FALSE)</f>
        <v>Capital Social Realizado</v>
      </c>
      <c r="G5342" s="1"/>
      <c r="H5342" s="281">
        <v>17262.71</v>
      </c>
      <c r="I5342" s="281">
        <v>0</v>
      </c>
      <c r="J5342" s="281">
        <v>0</v>
      </c>
      <c r="K5342" s="281">
        <v>17262.71</v>
      </c>
      <c r="L534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17262.71</v>
      </c>
      <c r="M5342" s="281">
        <f>ROUND(IF(AND(Base_Periodo1[[#This Row],[Tipo_Linha]]="-",Base_Periodo1[[#This Row],[TIPOSALDO]]="D"),Base_Periodo1[[#This Row],[SALDO_ATUAL]]*-1,Base_Periodo1[[#This Row],[SALDO_ATUAL]]),4)</f>
        <v>17262.71</v>
      </c>
      <c r="N5342" t="s">
        <v>116</v>
      </c>
      <c r="O5342" t="s">
        <v>459</v>
      </c>
      <c r="P5342" t="s">
        <v>459</v>
      </c>
      <c r="Q5342">
        <v>6</v>
      </c>
      <c r="R5342" s="281">
        <f>Base_Periodo1[[#This Row],[CREDITOS]]-Base_Periodo1[[#This Row],[DEBITOS]]</f>
        <v>0</v>
      </c>
      <c r="S5342" s="3" t="str">
        <f>IF(ISERROR(VLOOKUP(Base_Periodo1[[#This Row],[CONTA]],BaseContasDRE[#All],4,FALSE)),"Fora do DRE",VLOOKUP(Base_Periodo1[[#This Row],[CONTA]],BaseContasDRE[#All],4,FALSE))</f>
        <v>Fora do DRE</v>
      </c>
      <c r="T5342" s="3" t="str">
        <f>IF(ISERROR(VLOOKUP(Base_Periodo1[[#This Row],[CONTA]],BaseContasDRE[#All],5,FALSE)),"Fora do DRE",VLOOKUP(Base_Periodo1[[#This Row],[CONTA]],BaseContasDRE[#All],6,FALSE))</f>
        <v>Fora do DRE</v>
      </c>
      <c r="U5342" s="3" t="str">
        <f>IF(ISERROR(VLOOKUP(Base_Periodo1[[#This Row],[CONTA]],BaseContasDRE[#All],7,FALSE)),"Fora do DRE",VLOOKUP(Base_Periodo1[[#This Row],[CONTA]],BaseContasDRE[#All],7,FALSE))</f>
        <v>Fora do DRE</v>
      </c>
      <c r="V5342" s="3" t="str">
        <f>IF(Base_Periodo1[[#This Row],[Tipo_Linha]]="Fora do DRE","Fora do DRE","( "&amp;Base_Periodo1[[#This Row],[Tipo_Linha]]&amp;" ) "&amp;Base_Periodo1[[#This Row],[Filtro]])</f>
        <v>Fora do DRE</v>
      </c>
      <c r="W5342" s="3" t="str">
        <f>LEFT(Base_Periodo1[[#This Row],[CLASS]],3)</f>
        <v>2.4</v>
      </c>
    </row>
    <row r="5343" spans="1:23" hidden="1">
      <c r="A5343" s="3" t="str">
        <f t="shared" si="83"/>
        <v>Período 1</v>
      </c>
      <c r="B5343">
        <v>40140</v>
      </c>
      <c r="C5343" t="s">
        <v>2300</v>
      </c>
      <c r="D5343" t="s">
        <v>3187</v>
      </c>
      <c r="E5343" s="3" t="str">
        <f>IF(LEN(Base_Periodo1[[#This Row],[CLASS]])&gt;=7,LEFT(Base_Periodo1[[#This Row],[CLASS]],7),"")</f>
        <v>2.4.1.1</v>
      </c>
      <c r="F5343" s="3" t="str">
        <f>VLOOKUP(Base_Periodo1[[#This Row],[Aux]],Base_Contas_Balanco[#All],2,FALSE)</f>
        <v>Capital Social Realizado</v>
      </c>
      <c r="G5343" s="1"/>
      <c r="H5343" s="281">
        <v>54.019999999999996</v>
      </c>
      <c r="I5343" s="281">
        <v>0</v>
      </c>
      <c r="J5343" s="281">
        <v>0</v>
      </c>
      <c r="K5343" s="281">
        <v>54.019999999999996</v>
      </c>
      <c r="L534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54.02</v>
      </c>
      <c r="M5343" s="281">
        <f>ROUND(IF(AND(Base_Periodo1[[#This Row],[Tipo_Linha]]="-",Base_Periodo1[[#This Row],[TIPOSALDO]]="D"),Base_Periodo1[[#This Row],[SALDO_ATUAL]]*-1,Base_Periodo1[[#This Row],[SALDO_ATUAL]]),4)</f>
        <v>54.02</v>
      </c>
      <c r="N5343" t="s">
        <v>116</v>
      </c>
      <c r="O5343" t="s">
        <v>459</v>
      </c>
      <c r="P5343" t="s">
        <v>459</v>
      </c>
      <c r="Q5343">
        <v>6</v>
      </c>
      <c r="R5343" s="281">
        <f>Base_Periodo1[[#This Row],[CREDITOS]]-Base_Periodo1[[#This Row],[DEBITOS]]</f>
        <v>0</v>
      </c>
      <c r="S5343" s="3" t="str">
        <f>IF(ISERROR(VLOOKUP(Base_Periodo1[[#This Row],[CONTA]],BaseContasDRE[#All],4,FALSE)),"Fora do DRE",VLOOKUP(Base_Periodo1[[#This Row],[CONTA]],BaseContasDRE[#All],4,FALSE))</f>
        <v>Fora do DRE</v>
      </c>
      <c r="T5343" s="3" t="str">
        <f>IF(ISERROR(VLOOKUP(Base_Periodo1[[#This Row],[CONTA]],BaseContasDRE[#All],5,FALSE)),"Fora do DRE",VLOOKUP(Base_Periodo1[[#This Row],[CONTA]],BaseContasDRE[#All],6,FALSE))</f>
        <v>Fora do DRE</v>
      </c>
      <c r="U5343" s="3" t="str">
        <f>IF(ISERROR(VLOOKUP(Base_Periodo1[[#This Row],[CONTA]],BaseContasDRE[#All],7,FALSE)),"Fora do DRE",VLOOKUP(Base_Periodo1[[#This Row],[CONTA]],BaseContasDRE[#All],7,FALSE))</f>
        <v>Fora do DRE</v>
      </c>
      <c r="V5343" s="3" t="str">
        <f>IF(Base_Periodo1[[#This Row],[Tipo_Linha]]="Fora do DRE","Fora do DRE","( "&amp;Base_Periodo1[[#This Row],[Tipo_Linha]]&amp;" ) "&amp;Base_Periodo1[[#This Row],[Filtro]])</f>
        <v>Fora do DRE</v>
      </c>
      <c r="W5343" s="3" t="str">
        <f>LEFT(Base_Periodo1[[#This Row],[CLASS]],3)</f>
        <v>2.4</v>
      </c>
    </row>
    <row r="5344" spans="1:23" hidden="1">
      <c r="A5344" s="3" t="str">
        <f t="shared" si="83"/>
        <v>Período 1</v>
      </c>
      <c r="B5344">
        <v>19963</v>
      </c>
      <c r="C5344" t="s">
        <v>2300</v>
      </c>
      <c r="D5344" t="s">
        <v>3188</v>
      </c>
      <c r="E5344" s="3" t="str">
        <f>IF(LEN(Base_Periodo1[[#This Row],[CLASS]])&gt;=7,LEFT(Base_Periodo1[[#This Row],[CLASS]],7),"")</f>
        <v>2.4.1.1</v>
      </c>
      <c r="F5344" s="3" t="str">
        <f>VLOOKUP(Base_Periodo1[[#This Row],[Aux]],Base_Contas_Balanco[#All],2,FALSE)</f>
        <v>Capital Social Realizado</v>
      </c>
      <c r="G5344" s="1"/>
      <c r="H5344" s="281">
        <v>784.86999999999989</v>
      </c>
      <c r="I5344" s="281">
        <v>0</v>
      </c>
      <c r="J5344" s="281">
        <v>0</v>
      </c>
      <c r="K5344" s="281">
        <v>784.86999999999989</v>
      </c>
      <c r="L534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784.87</v>
      </c>
      <c r="M5344" s="281">
        <f>ROUND(IF(AND(Base_Periodo1[[#This Row],[Tipo_Linha]]="-",Base_Periodo1[[#This Row],[TIPOSALDO]]="D"),Base_Periodo1[[#This Row],[SALDO_ATUAL]]*-1,Base_Periodo1[[#This Row],[SALDO_ATUAL]]),4)</f>
        <v>784.87</v>
      </c>
      <c r="N5344" t="s">
        <v>116</v>
      </c>
      <c r="O5344" t="s">
        <v>459</v>
      </c>
      <c r="P5344" t="s">
        <v>459</v>
      </c>
      <c r="Q5344">
        <v>6</v>
      </c>
      <c r="R5344" s="281">
        <f>Base_Periodo1[[#This Row],[CREDITOS]]-Base_Periodo1[[#This Row],[DEBITOS]]</f>
        <v>0</v>
      </c>
      <c r="S5344" s="3" t="str">
        <f>IF(ISERROR(VLOOKUP(Base_Periodo1[[#This Row],[CONTA]],BaseContasDRE[#All],4,FALSE)),"Fora do DRE",VLOOKUP(Base_Periodo1[[#This Row],[CONTA]],BaseContasDRE[#All],4,FALSE))</f>
        <v>Fora do DRE</v>
      </c>
      <c r="T5344" s="3" t="str">
        <f>IF(ISERROR(VLOOKUP(Base_Periodo1[[#This Row],[CONTA]],BaseContasDRE[#All],5,FALSE)),"Fora do DRE",VLOOKUP(Base_Periodo1[[#This Row],[CONTA]],BaseContasDRE[#All],6,FALSE))</f>
        <v>Fora do DRE</v>
      </c>
      <c r="U5344" s="3" t="str">
        <f>IF(ISERROR(VLOOKUP(Base_Periodo1[[#This Row],[CONTA]],BaseContasDRE[#All],7,FALSE)),"Fora do DRE",VLOOKUP(Base_Periodo1[[#This Row],[CONTA]],BaseContasDRE[#All],7,FALSE))</f>
        <v>Fora do DRE</v>
      </c>
      <c r="V5344" s="3" t="str">
        <f>IF(Base_Periodo1[[#This Row],[Tipo_Linha]]="Fora do DRE","Fora do DRE","( "&amp;Base_Periodo1[[#This Row],[Tipo_Linha]]&amp;" ) "&amp;Base_Periodo1[[#This Row],[Filtro]])</f>
        <v>Fora do DRE</v>
      </c>
      <c r="W5344" s="3" t="str">
        <f>LEFT(Base_Periodo1[[#This Row],[CLASS]],3)</f>
        <v>2.4</v>
      </c>
    </row>
    <row r="5345" spans="1:23" hidden="1">
      <c r="A5345" s="3" t="str">
        <f t="shared" si="83"/>
        <v>Período 1</v>
      </c>
      <c r="B5345">
        <v>16063</v>
      </c>
      <c r="C5345" t="s">
        <v>2300</v>
      </c>
      <c r="D5345" t="s">
        <v>3189</v>
      </c>
      <c r="E5345" s="3" t="str">
        <f>IF(LEN(Base_Periodo1[[#This Row],[CLASS]])&gt;=7,LEFT(Base_Periodo1[[#This Row],[CLASS]],7),"")</f>
        <v>2.4.1.1</v>
      </c>
      <c r="F5345" s="3" t="str">
        <f>VLOOKUP(Base_Periodo1[[#This Row],[Aux]],Base_Contas_Balanco[#All],2,FALSE)</f>
        <v>Capital Social Realizado</v>
      </c>
      <c r="G5345" s="1"/>
      <c r="H5345" s="281">
        <v>4867.71</v>
      </c>
      <c r="I5345" s="281">
        <v>0</v>
      </c>
      <c r="J5345" s="281">
        <v>0</v>
      </c>
      <c r="K5345" s="281">
        <v>4867.71</v>
      </c>
      <c r="L534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4867.71</v>
      </c>
      <c r="M5345" s="281">
        <f>ROUND(IF(AND(Base_Periodo1[[#This Row],[Tipo_Linha]]="-",Base_Periodo1[[#This Row],[TIPOSALDO]]="D"),Base_Periodo1[[#This Row],[SALDO_ATUAL]]*-1,Base_Periodo1[[#This Row],[SALDO_ATUAL]]),4)</f>
        <v>4867.71</v>
      </c>
      <c r="N5345" t="s">
        <v>116</v>
      </c>
      <c r="O5345" t="s">
        <v>459</v>
      </c>
      <c r="P5345" t="s">
        <v>459</v>
      </c>
      <c r="Q5345">
        <v>6</v>
      </c>
      <c r="R5345" s="281">
        <f>Base_Periodo1[[#This Row],[CREDITOS]]-Base_Periodo1[[#This Row],[DEBITOS]]</f>
        <v>0</v>
      </c>
      <c r="S5345" s="3" t="str">
        <f>IF(ISERROR(VLOOKUP(Base_Periodo1[[#This Row],[CONTA]],BaseContasDRE[#All],4,FALSE)),"Fora do DRE",VLOOKUP(Base_Periodo1[[#This Row],[CONTA]],BaseContasDRE[#All],4,FALSE))</f>
        <v>Fora do DRE</v>
      </c>
      <c r="T5345" s="3" t="str">
        <f>IF(ISERROR(VLOOKUP(Base_Periodo1[[#This Row],[CONTA]],BaseContasDRE[#All],5,FALSE)),"Fora do DRE",VLOOKUP(Base_Periodo1[[#This Row],[CONTA]],BaseContasDRE[#All],6,FALSE))</f>
        <v>Fora do DRE</v>
      </c>
      <c r="U5345" s="3" t="str">
        <f>IF(ISERROR(VLOOKUP(Base_Periodo1[[#This Row],[CONTA]],BaseContasDRE[#All],7,FALSE)),"Fora do DRE",VLOOKUP(Base_Periodo1[[#This Row],[CONTA]],BaseContasDRE[#All],7,FALSE))</f>
        <v>Fora do DRE</v>
      </c>
      <c r="V5345" s="3" t="str">
        <f>IF(Base_Periodo1[[#This Row],[Tipo_Linha]]="Fora do DRE","Fora do DRE","( "&amp;Base_Periodo1[[#This Row],[Tipo_Linha]]&amp;" ) "&amp;Base_Periodo1[[#This Row],[Filtro]])</f>
        <v>Fora do DRE</v>
      </c>
      <c r="W5345" s="3" t="str">
        <f>LEFT(Base_Periodo1[[#This Row],[CLASS]],3)</f>
        <v>2.4</v>
      </c>
    </row>
    <row r="5346" spans="1:23" hidden="1">
      <c r="A5346" s="3" t="str">
        <f t="shared" si="83"/>
        <v>Período 1</v>
      </c>
      <c r="B5346">
        <v>16402</v>
      </c>
      <c r="C5346" t="s">
        <v>2300</v>
      </c>
      <c r="D5346" t="s">
        <v>3190</v>
      </c>
      <c r="E5346" s="3" t="str">
        <f>IF(LEN(Base_Periodo1[[#This Row],[CLASS]])&gt;=7,LEFT(Base_Periodo1[[#This Row],[CLASS]],7),"")</f>
        <v>2.4.1.1</v>
      </c>
      <c r="F5346" s="3" t="str">
        <f>VLOOKUP(Base_Periodo1[[#This Row],[Aux]],Base_Contas_Balanco[#All],2,FALSE)</f>
        <v>Capital Social Realizado</v>
      </c>
      <c r="G5346" s="1"/>
      <c r="H5346" s="281">
        <v>1977.79</v>
      </c>
      <c r="I5346" s="281">
        <v>0</v>
      </c>
      <c r="J5346" s="281">
        <v>0</v>
      </c>
      <c r="K5346" s="281">
        <v>1977.79</v>
      </c>
      <c r="L534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1977.79</v>
      </c>
      <c r="M5346" s="281">
        <f>ROUND(IF(AND(Base_Periodo1[[#This Row],[Tipo_Linha]]="-",Base_Periodo1[[#This Row],[TIPOSALDO]]="D"),Base_Periodo1[[#This Row],[SALDO_ATUAL]]*-1,Base_Periodo1[[#This Row],[SALDO_ATUAL]]),4)</f>
        <v>1977.79</v>
      </c>
      <c r="N5346" t="s">
        <v>116</v>
      </c>
      <c r="O5346" t="s">
        <v>459</v>
      </c>
      <c r="P5346" t="s">
        <v>459</v>
      </c>
      <c r="Q5346">
        <v>6</v>
      </c>
      <c r="R5346" s="281">
        <f>Base_Periodo1[[#This Row],[CREDITOS]]-Base_Periodo1[[#This Row],[DEBITOS]]</f>
        <v>0</v>
      </c>
      <c r="S5346" s="3" t="str">
        <f>IF(ISERROR(VLOOKUP(Base_Periodo1[[#This Row],[CONTA]],BaseContasDRE[#All],4,FALSE)),"Fora do DRE",VLOOKUP(Base_Periodo1[[#This Row],[CONTA]],BaseContasDRE[#All],4,FALSE))</f>
        <v>Fora do DRE</v>
      </c>
      <c r="T5346" s="3" t="str">
        <f>IF(ISERROR(VLOOKUP(Base_Periodo1[[#This Row],[CONTA]],BaseContasDRE[#All],5,FALSE)),"Fora do DRE",VLOOKUP(Base_Periodo1[[#This Row],[CONTA]],BaseContasDRE[#All],6,FALSE))</f>
        <v>Fora do DRE</v>
      </c>
      <c r="U5346" s="3" t="str">
        <f>IF(ISERROR(VLOOKUP(Base_Periodo1[[#This Row],[CONTA]],BaseContasDRE[#All],7,FALSE)),"Fora do DRE",VLOOKUP(Base_Periodo1[[#This Row],[CONTA]],BaseContasDRE[#All],7,FALSE))</f>
        <v>Fora do DRE</v>
      </c>
      <c r="V5346" s="3" t="str">
        <f>IF(Base_Periodo1[[#This Row],[Tipo_Linha]]="Fora do DRE","Fora do DRE","( "&amp;Base_Periodo1[[#This Row],[Tipo_Linha]]&amp;" ) "&amp;Base_Periodo1[[#This Row],[Filtro]])</f>
        <v>Fora do DRE</v>
      </c>
      <c r="W5346" s="3" t="str">
        <f>LEFT(Base_Periodo1[[#This Row],[CLASS]],3)</f>
        <v>2.4</v>
      </c>
    </row>
    <row r="5347" spans="1:23" hidden="1">
      <c r="A5347" s="3" t="str">
        <f t="shared" si="83"/>
        <v>Período 1</v>
      </c>
      <c r="B5347">
        <v>25672</v>
      </c>
      <c r="C5347" t="s">
        <v>2300</v>
      </c>
      <c r="D5347" t="s">
        <v>3191</v>
      </c>
      <c r="E5347" s="3" t="str">
        <f>IF(LEN(Base_Periodo1[[#This Row],[CLASS]])&gt;=7,LEFT(Base_Periodo1[[#This Row],[CLASS]],7),"")</f>
        <v>2.4.1.1</v>
      </c>
      <c r="F5347" s="3" t="str">
        <f>VLOOKUP(Base_Periodo1[[#This Row],[Aux]],Base_Contas_Balanco[#All],2,FALSE)</f>
        <v>Capital Social Realizado</v>
      </c>
      <c r="G5347" s="1"/>
      <c r="H5347" s="281">
        <v>352.03</v>
      </c>
      <c r="I5347" s="281">
        <v>0</v>
      </c>
      <c r="J5347" s="281">
        <v>0</v>
      </c>
      <c r="K5347" s="281">
        <v>352.03</v>
      </c>
      <c r="L534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352.03</v>
      </c>
      <c r="M5347" s="281">
        <f>ROUND(IF(AND(Base_Periodo1[[#This Row],[Tipo_Linha]]="-",Base_Periodo1[[#This Row],[TIPOSALDO]]="D"),Base_Periodo1[[#This Row],[SALDO_ATUAL]]*-1,Base_Periodo1[[#This Row],[SALDO_ATUAL]]),4)</f>
        <v>352.03</v>
      </c>
      <c r="N5347" t="s">
        <v>116</v>
      </c>
      <c r="O5347" t="s">
        <v>459</v>
      </c>
      <c r="P5347" t="s">
        <v>459</v>
      </c>
      <c r="Q5347">
        <v>6</v>
      </c>
      <c r="R5347" s="281">
        <f>Base_Periodo1[[#This Row],[CREDITOS]]-Base_Periodo1[[#This Row],[DEBITOS]]</f>
        <v>0</v>
      </c>
      <c r="S5347" s="3" t="str">
        <f>IF(ISERROR(VLOOKUP(Base_Periodo1[[#This Row],[CONTA]],BaseContasDRE[#All],4,FALSE)),"Fora do DRE",VLOOKUP(Base_Periodo1[[#This Row],[CONTA]],BaseContasDRE[#All],4,FALSE))</f>
        <v>Fora do DRE</v>
      </c>
      <c r="T5347" s="3" t="str">
        <f>IF(ISERROR(VLOOKUP(Base_Periodo1[[#This Row],[CONTA]],BaseContasDRE[#All],5,FALSE)),"Fora do DRE",VLOOKUP(Base_Periodo1[[#This Row],[CONTA]],BaseContasDRE[#All],6,FALSE))</f>
        <v>Fora do DRE</v>
      </c>
      <c r="U5347" s="3" t="str">
        <f>IF(ISERROR(VLOOKUP(Base_Periodo1[[#This Row],[CONTA]],BaseContasDRE[#All],7,FALSE)),"Fora do DRE",VLOOKUP(Base_Periodo1[[#This Row],[CONTA]],BaseContasDRE[#All],7,FALSE))</f>
        <v>Fora do DRE</v>
      </c>
      <c r="V5347" s="3" t="str">
        <f>IF(Base_Periodo1[[#This Row],[Tipo_Linha]]="Fora do DRE","Fora do DRE","( "&amp;Base_Periodo1[[#This Row],[Tipo_Linha]]&amp;" ) "&amp;Base_Periodo1[[#This Row],[Filtro]])</f>
        <v>Fora do DRE</v>
      </c>
      <c r="W5347" s="3" t="str">
        <f>LEFT(Base_Periodo1[[#This Row],[CLASS]],3)</f>
        <v>2.4</v>
      </c>
    </row>
    <row r="5348" spans="1:23" hidden="1">
      <c r="A5348" s="3" t="str">
        <f t="shared" si="83"/>
        <v>Período 1</v>
      </c>
      <c r="B5348">
        <v>25576</v>
      </c>
      <c r="C5348" t="s">
        <v>2300</v>
      </c>
      <c r="D5348" t="s">
        <v>3192</v>
      </c>
      <c r="E5348" s="3" t="str">
        <f>IF(LEN(Base_Periodo1[[#This Row],[CLASS]])&gt;=7,LEFT(Base_Periodo1[[#This Row],[CLASS]],7),"")</f>
        <v>2.4.1.1</v>
      </c>
      <c r="F5348" s="3" t="str">
        <f>VLOOKUP(Base_Periodo1[[#This Row],[Aux]],Base_Contas_Balanco[#All],2,FALSE)</f>
        <v>Capital Social Realizado</v>
      </c>
      <c r="G5348" s="1"/>
      <c r="H5348" s="281">
        <v>50.84</v>
      </c>
      <c r="I5348" s="281">
        <v>0</v>
      </c>
      <c r="J5348" s="281">
        <v>0</v>
      </c>
      <c r="K5348" s="281">
        <v>50.84</v>
      </c>
      <c r="L534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50.84</v>
      </c>
      <c r="M5348" s="281">
        <f>ROUND(IF(AND(Base_Periodo1[[#This Row],[Tipo_Linha]]="-",Base_Periodo1[[#This Row],[TIPOSALDO]]="D"),Base_Periodo1[[#This Row],[SALDO_ATUAL]]*-1,Base_Periodo1[[#This Row],[SALDO_ATUAL]]),4)</f>
        <v>50.84</v>
      </c>
      <c r="N5348" t="s">
        <v>116</v>
      </c>
      <c r="O5348" t="s">
        <v>459</v>
      </c>
      <c r="P5348" t="s">
        <v>459</v>
      </c>
      <c r="Q5348">
        <v>6</v>
      </c>
      <c r="R5348" s="281">
        <f>Base_Periodo1[[#This Row],[CREDITOS]]-Base_Periodo1[[#This Row],[DEBITOS]]</f>
        <v>0</v>
      </c>
      <c r="S5348" s="3" t="str">
        <f>IF(ISERROR(VLOOKUP(Base_Periodo1[[#This Row],[CONTA]],BaseContasDRE[#All],4,FALSE)),"Fora do DRE",VLOOKUP(Base_Periodo1[[#This Row],[CONTA]],BaseContasDRE[#All],4,FALSE))</f>
        <v>Fora do DRE</v>
      </c>
      <c r="T5348" s="3" t="str">
        <f>IF(ISERROR(VLOOKUP(Base_Periodo1[[#This Row],[CONTA]],BaseContasDRE[#All],5,FALSE)),"Fora do DRE",VLOOKUP(Base_Periodo1[[#This Row],[CONTA]],BaseContasDRE[#All],6,FALSE))</f>
        <v>Fora do DRE</v>
      </c>
      <c r="U5348" s="3" t="str">
        <f>IF(ISERROR(VLOOKUP(Base_Periodo1[[#This Row],[CONTA]],BaseContasDRE[#All],7,FALSE)),"Fora do DRE",VLOOKUP(Base_Periodo1[[#This Row],[CONTA]],BaseContasDRE[#All],7,FALSE))</f>
        <v>Fora do DRE</v>
      </c>
      <c r="V5348" s="3" t="str">
        <f>IF(Base_Periodo1[[#This Row],[Tipo_Linha]]="Fora do DRE","Fora do DRE","( "&amp;Base_Periodo1[[#This Row],[Tipo_Linha]]&amp;" ) "&amp;Base_Periodo1[[#This Row],[Filtro]])</f>
        <v>Fora do DRE</v>
      </c>
      <c r="W5348" s="3" t="str">
        <f>LEFT(Base_Periodo1[[#This Row],[CLASS]],3)</f>
        <v>2.4</v>
      </c>
    </row>
    <row r="5349" spans="1:23" hidden="1">
      <c r="A5349" s="3" t="str">
        <f t="shared" si="83"/>
        <v>Período 1</v>
      </c>
      <c r="B5349">
        <v>47761</v>
      </c>
      <c r="C5349" t="s">
        <v>2300</v>
      </c>
      <c r="D5349" t="s">
        <v>3193</v>
      </c>
      <c r="E5349" s="3" t="str">
        <f>IF(LEN(Base_Periodo1[[#This Row],[CLASS]])&gt;=7,LEFT(Base_Periodo1[[#This Row],[CLASS]],7),"")</f>
        <v>2.4.1.1</v>
      </c>
      <c r="F5349" s="3" t="str">
        <f>VLOOKUP(Base_Periodo1[[#This Row],[Aux]],Base_Contas_Balanco[#All],2,FALSE)</f>
        <v>Capital Social Realizado</v>
      </c>
      <c r="G5349" s="1"/>
      <c r="H5349" s="281">
        <v>579.39</v>
      </c>
      <c r="I5349" s="281">
        <v>0</v>
      </c>
      <c r="J5349" s="281">
        <v>0</v>
      </c>
      <c r="K5349" s="281">
        <v>579.39</v>
      </c>
      <c r="L534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579.39</v>
      </c>
      <c r="M5349" s="281">
        <f>ROUND(IF(AND(Base_Periodo1[[#This Row],[Tipo_Linha]]="-",Base_Periodo1[[#This Row],[TIPOSALDO]]="D"),Base_Periodo1[[#This Row],[SALDO_ATUAL]]*-1,Base_Periodo1[[#This Row],[SALDO_ATUAL]]),4)</f>
        <v>579.39</v>
      </c>
      <c r="N5349" t="s">
        <v>116</v>
      </c>
      <c r="O5349" t="s">
        <v>459</v>
      </c>
      <c r="P5349" t="s">
        <v>459</v>
      </c>
      <c r="Q5349">
        <v>6</v>
      </c>
      <c r="R5349" s="281">
        <f>Base_Periodo1[[#This Row],[CREDITOS]]-Base_Periodo1[[#This Row],[DEBITOS]]</f>
        <v>0</v>
      </c>
      <c r="S5349" s="3" t="str">
        <f>IF(ISERROR(VLOOKUP(Base_Periodo1[[#This Row],[CONTA]],BaseContasDRE[#All],4,FALSE)),"Fora do DRE",VLOOKUP(Base_Periodo1[[#This Row],[CONTA]],BaseContasDRE[#All],4,FALSE))</f>
        <v>Fora do DRE</v>
      </c>
      <c r="T5349" s="3" t="str">
        <f>IF(ISERROR(VLOOKUP(Base_Periodo1[[#This Row],[CONTA]],BaseContasDRE[#All],5,FALSE)),"Fora do DRE",VLOOKUP(Base_Periodo1[[#This Row],[CONTA]],BaseContasDRE[#All],6,FALSE))</f>
        <v>Fora do DRE</v>
      </c>
      <c r="U5349" s="3" t="str">
        <f>IF(ISERROR(VLOOKUP(Base_Periodo1[[#This Row],[CONTA]],BaseContasDRE[#All],7,FALSE)),"Fora do DRE",VLOOKUP(Base_Periodo1[[#This Row],[CONTA]],BaseContasDRE[#All],7,FALSE))</f>
        <v>Fora do DRE</v>
      </c>
      <c r="V5349" s="3" t="str">
        <f>IF(Base_Periodo1[[#This Row],[Tipo_Linha]]="Fora do DRE","Fora do DRE","( "&amp;Base_Periodo1[[#This Row],[Tipo_Linha]]&amp;" ) "&amp;Base_Periodo1[[#This Row],[Filtro]])</f>
        <v>Fora do DRE</v>
      </c>
      <c r="W5349" s="3" t="str">
        <f>LEFT(Base_Periodo1[[#This Row],[CLASS]],3)</f>
        <v>2.4</v>
      </c>
    </row>
    <row r="5350" spans="1:23" hidden="1">
      <c r="A5350" s="3" t="str">
        <f t="shared" si="83"/>
        <v>Período 1</v>
      </c>
      <c r="B5350">
        <v>50390</v>
      </c>
      <c r="C5350" t="s">
        <v>2300</v>
      </c>
      <c r="D5350" t="s">
        <v>4477</v>
      </c>
      <c r="E5350" s="3" t="str">
        <f>IF(LEN(Base_Periodo1[[#This Row],[CLASS]])&gt;=7,LEFT(Base_Periodo1[[#This Row],[CLASS]],7),"")</f>
        <v>2.4.1.1</v>
      </c>
      <c r="F5350" s="3" t="str">
        <f>VLOOKUP(Base_Periodo1[[#This Row],[Aux]],Base_Contas_Balanco[#All],2,FALSE)</f>
        <v>Capital Social Realizado</v>
      </c>
      <c r="G5350" s="1"/>
      <c r="H5350" s="281">
        <v>200</v>
      </c>
      <c r="I5350" s="281">
        <v>0</v>
      </c>
      <c r="J5350" s="281">
        <v>0</v>
      </c>
      <c r="K5350" s="281">
        <v>200</v>
      </c>
      <c r="L535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</v>
      </c>
      <c r="M5350" s="281">
        <f>ROUND(IF(AND(Base_Periodo1[[#This Row],[Tipo_Linha]]="-",Base_Periodo1[[#This Row],[TIPOSALDO]]="D"),Base_Periodo1[[#This Row],[SALDO_ATUAL]]*-1,Base_Periodo1[[#This Row],[SALDO_ATUAL]]),4)</f>
        <v>200</v>
      </c>
      <c r="N5350" t="s">
        <v>116</v>
      </c>
      <c r="O5350" t="s">
        <v>459</v>
      </c>
      <c r="P5350" t="s">
        <v>459</v>
      </c>
      <c r="Q5350">
        <v>6</v>
      </c>
      <c r="R5350" s="281">
        <f>Base_Periodo1[[#This Row],[CREDITOS]]-Base_Periodo1[[#This Row],[DEBITOS]]</f>
        <v>0</v>
      </c>
      <c r="S5350" s="3" t="str">
        <f>IF(ISERROR(VLOOKUP(Base_Periodo1[[#This Row],[CONTA]],BaseContasDRE[#All],4,FALSE)),"Fora do DRE",VLOOKUP(Base_Periodo1[[#This Row],[CONTA]],BaseContasDRE[#All],4,FALSE))</f>
        <v>Fora do DRE</v>
      </c>
      <c r="T5350" s="3" t="str">
        <f>IF(ISERROR(VLOOKUP(Base_Periodo1[[#This Row],[CONTA]],BaseContasDRE[#All],5,FALSE)),"Fora do DRE",VLOOKUP(Base_Periodo1[[#This Row],[CONTA]],BaseContasDRE[#All],6,FALSE))</f>
        <v>Fora do DRE</v>
      </c>
      <c r="U5350" s="3" t="str">
        <f>IF(ISERROR(VLOOKUP(Base_Periodo1[[#This Row],[CONTA]],BaseContasDRE[#All],7,FALSE)),"Fora do DRE",VLOOKUP(Base_Periodo1[[#This Row],[CONTA]],BaseContasDRE[#All],7,FALSE))</f>
        <v>Fora do DRE</v>
      </c>
      <c r="V5350" s="3" t="str">
        <f>IF(Base_Periodo1[[#This Row],[Tipo_Linha]]="Fora do DRE","Fora do DRE","( "&amp;Base_Periodo1[[#This Row],[Tipo_Linha]]&amp;" ) "&amp;Base_Periodo1[[#This Row],[Filtro]])</f>
        <v>Fora do DRE</v>
      </c>
      <c r="W5350" s="3" t="str">
        <f>LEFT(Base_Periodo1[[#This Row],[CLASS]],3)</f>
        <v>2.4</v>
      </c>
    </row>
    <row r="5351" spans="1:23" hidden="1">
      <c r="A5351" s="3" t="str">
        <f t="shared" si="83"/>
        <v>Período 1</v>
      </c>
      <c r="B5351">
        <v>16074</v>
      </c>
      <c r="C5351" t="s">
        <v>2300</v>
      </c>
      <c r="D5351" t="s">
        <v>3194</v>
      </c>
      <c r="E5351" s="3" t="str">
        <f>IF(LEN(Base_Periodo1[[#This Row],[CLASS]])&gt;=7,LEFT(Base_Periodo1[[#This Row],[CLASS]],7),"")</f>
        <v>2.4.1.1</v>
      </c>
      <c r="F5351" s="3" t="str">
        <f>VLOOKUP(Base_Periodo1[[#This Row],[Aux]],Base_Contas_Balanco[#All],2,FALSE)</f>
        <v>Capital Social Realizado</v>
      </c>
      <c r="G5351" s="1"/>
      <c r="H5351" s="281">
        <v>893.5</v>
      </c>
      <c r="I5351" s="281">
        <v>0</v>
      </c>
      <c r="J5351" s="281">
        <v>0</v>
      </c>
      <c r="K5351" s="281">
        <v>893.5</v>
      </c>
      <c r="L535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893.5</v>
      </c>
      <c r="M5351" s="281">
        <f>ROUND(IF(AND(Base_Periodo1[[#This Row],[Tipo_Linha]]="-",Base_Periodo1[[#This Row],[TIPOSALDO]]="D"),Base_Periodo1[[#This Row],[SALDO_ATUAL]]*-1,Base_Periodo1[[#This Row],[SALDO_ATUAL]]),4)</f>
        <v>893.5</v>
      </c>
      <c r="N5351" t="s">
        <v>116</v>
      </c>
      <c r="O5351" t="s">
        <v>459</v>
      </c>
      <c r="P5351" t="s">
        <v>459</v>
      </c>
      <c r="Q5351">
        <v>6</v>
      </c>
      <c r="R5351" s="281">
        <f>Base_Periodo1[[#This Row],[CREDITOS]]-Base_Periodo1[[#This Row],[DEBITOS]]</f>
        <v>0</v>
      </c>
      <c r="S5351" s="3" t="str">
        <f>IF(ISERROR(VLOOKUP(Base_Periodo1[[#This Row],[CONTA]],BaseContasDRE[#All],4,FALSE)),"Fora do DRE",VLOOKUP(Base_Periodo1[[#This Row],[CONTA]],BaseContasDRE[#All],4,FALSE))</f>
        <v>Fora do DRE</v>
      </c>
      <c r="T5351" s="3" t="str">
        <f>IF(ISERROR(VLOOKUP(Base_Periodo1[[#This Row],[CONTA]],BaseContasDRE[#All],5,FALSE)),"Fora do DRE",VLOOKUP(Base_Periodo1[[#This Row],[CONTA]],BaseContasDRE[#All],6,FALSE))</f>
        <v>Fora do DRE</v>
      </c>
      <c r="U5351" s="3" t="str">
        <f>IF(ISERROR(VLOOKUP(Base_Periodo1[[#This Row],[CONTA]],BaseContasDRE[#All],7,FALSE)),"Fora do DRE",VLOOKUP(Base_Periodo1[[#This Row],[CONTA]],BaseContasDRE[#All],7,FALSE))</f>
        <v>Fora do DRE</v>
      </c>
      <c r="V5351" s="3" t="str">
        <f>IF(Base_Periodo1[[#This Row],[Tipo_Linha]]="Fora do DRE","Fora do DRE","( "&amp;Base_Periodo1[[#This Row],[Tipo_Linha]]&amp;" ) "&amp;Base_Periodo1[[#This Row],[Filtro]])</f>
        <v>Fora do DRE</v>
      </c>
      <c r="W5351" s="3" t="str">
        <f>LEFT(Base_Periodo1[[#This Row],[CLASS]],3)</f>
        <v>2.4</v>
      </c>
    </row>
    <row r="5352" spans="1:23" hidden="1">
      <c r="A5352" s="3" t="str">
        <f t="shared" si="83"/>
        <v>Período 1</v>
      </c>
      <c r="B5352">
        <v>48788</v>
      </c>
      <c r="C5352" t="s">
        <v>2300</v>
      </c>
      <c r="D5352" t="s">
        <v>4221</v>
      </c>
      <c r="E5352" s="3" t="str">
        <f>IF(LEN(Base_Periodo1[[#This Row],[CLASS]])&gt;=7,LEFT(Base_Periodo1[[#This Row],[CLASS]],7),"")</f>
        <v>2.4.1.1</v>
      </c>
      <c r="F5352" s="3" t="str">
        <f>VLOOKUP(Base_Periodo1[[#This Row],[Aux]],Base_Contas_Balanco[#All],2,FALSE)</f>
        <v>Capital Social Realizado</v>
      </c>
      <c r="G5352" s="1"/>
      <c r="H5352" s="281">
        <v>85.8</v>
      </c>
      <c r="I5352" s="281">
        <v>0</v>
      </c>
      <c r="J5352" s="281">
        <v>0</v>
      </c>
      <c r="K5352" s="281">
        <v>85.8</v>
      </c>
      <c r="L535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85.8</v>
      </c>
      <c r="M5352" s="281">
        <f>ROUND(IF(AND(Base_Periodo1[[#This Row],[Tipo_Linha]]="-",Base_Periodo1[[#This Row],[TIPOSALDO]]="D"),Base_Periodo1[[#This Row],[SALDO_ATUAL]]*-1,Base_Periodo1[[#This Row],[SALDO_ATUAL]]),4)</f>
        <v>85.8</v>
      </c>
      <c r="N5352" t="s">
        <v>116</v>
      </c>
      <c r="O5352" t="s">
        <v>459</v>
      </c>
      <c r="P5352" t="s">
        <v>459</v>
      </c>
      <c r="Q5352">
        <v>6</v>
      </c>
      <c r="R5352" s="281">
        <f>Base_Periodo1[[#This Row],[CREDITOS]]-Base_Periodo1[[#This Row],[DEBITOS]]</f>
        <v>0</v>
      </c>
      <c r="S5352" s="3" t="str">
        <f>IF(ISERROR(VLOOKUP(Base_Periodo1[[#This Row],[CONTA]],BaseContasDRE[#All],4,FALSE)),"Fora do DRE",VLOOKUP(Base_Periodo1[[#This Row],[CONTA]],BaseContasDRE[#All],4,FALSE))</f>
        <v>Fora do DRE</v>
      </c>
      <c r="T5352" s="3" t="str">
        <f>IF(ISERROR(VLOOKUP(Base_Periodo1[[#This Row],[CONTA]],BaseContasDRE[#All],5,FALSE)),"Fora do DRE",VLOOKUP(Base_Periodo1[[#This Row],[CONTA]],BaseContasDRE[#All],6,FALSE))</f>
        <v>Fora do DRE</v>
      </c>
      <c r="U5352" s="3" t="str">
        <f>IF(ISERROR(VLOOKUP(Base_Periodo1[[#This Row],[CONTA]],BaseContasDRE[#All],7,FALSE)),"Fora do DRE",VLOOKUP(Base_Periodo1[[#This Row],[CONTA]],BaseContasDRE[#All],7,FALSE))</f>
        <v>Fora do DRE</v>
      </c>
      <c r="V5352" s="3" t="str">
        <f>IF(Base_Periodo1[[#This Row],[Tipo_Linha]]="Fora do DRE","Fora do DRE","( "&amp;Base_Periodo1[[#This Row],[Tipo_Linha]]&amp;" ) "&amp;Base_Periodo1[[#This Row],[Filtro]])</f>
        <v>Fora do DRE</v>
      </c>
      <c r="W5352" s="3" t="str">
        <f>LEFT(Base_Periodo1[[#This Row],[CLASS]],3)</f>
        <v>2.4</v>
      </c>
    </row>
    <row r="5353" spans="1:23" hidden="1">
      <c r="A5353" s="3" t="str">
        <f t="shared" si="83"/>
        <v>Período 1</v>
      </c>
      <c r="B5353">
        <v>27683</v>
      </c>
      <c r="C5353" t="s">
        <v>2300</v>
      </c>
      <c r="D5353" t="s">
        <v>3195</v>
      </c>
      <c r="E5353" s="3" t="str">
        <f>IF(LEN(Base_Periodo1[[#This Row],[CLASS]])&gt;=7,LEFT(Base_Periodo1[[#This Row],[CLASS]],7),"")</f>
        <v>2.4.1.1</v>
      </c>
      <c r="F5353" s="3" t="str">
        <f>VLOOKUP(Base_Periodo1[[#This Row],[Aux]],Base_Contas_Balanco[#All],2,FALSE)</f>
        <v>Capital Social Realizado</v>
      </c>
      <c r="G5353" s="1"/>
      <c r="H5353" s="281">
        <v>50</v>
      </c>
      <c r="I5353" s="281">
        <v>0</v>
      </c>
      <c r="J5353" s="281">
        <v>0</v>
      </c>
      <c r="K5353" s="281">
        <v>50</v>
      </c>
      <c r="L535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53" s="281">
        <f>ROUND(IF(AND(Base_Periodo1[[#This Row],[Tipo_Linha]]="-",Base_Periodo1[[#This Row],[TIPOSALDO]]="D"),Base_Periodo1[[#This Row],[SALDO_ATUAL]]*-1,Base_Periodo1[[#This Row],[SALDO_ATUAL]]),4)</f>
        <v>50</v>
      </c>
      <c r="N5353" t="s">
        <v>116</v>
      </c>
      <c r="O5353" t="s">
        <v>459</v>
      </c>
      <c r="P5353" t="s">
        <v>459</v>
      </c>
      <c r="Q5353">
        <v>6</v>
      </c>
      <c r="R5353" s="281">
        <f>Base_Periodo1[[#This Row],[CREDITOS]]-Base_Periodo1[[#This Row],[DEBITOS]]</f>
        <v>0</v>
      </c>
      <c r="S5353" s="3" t="str">
        <f>IF(ISERROR(VLOOKUP(Base_Periodo1[[#This Row],[CONTA]],BaseContasDRE[#All],4,FALSE)),"Fora do DRE",VLOOKUP(Base_Periodo1[[#This Row],[CONTA]],BaseContasDRE[#All],4,FALSE))</f>
        <v>Fora do DRE</v>
      </c>
      <c r="T5353" s="3" t="str">
        <f>IF(ISERROR(VLOOKUP(Base_Periodo1[[#This Row],[CONTA]],BaseContasDRE[#All],5,FALSE)),"Fora do DRE",VLOOKUP(Base_Periodo1[[#This Row],[CONTA]],BaseContasDRE[#All],6,FALSE))</f>
        <v>Fora do DRE</v>
      </c>
      <c r="U5353" s="3" t="str">
        <f>IF(ISERROR(VLOOKUP(Base_Periodo1[[#This Row],[CONTA]],BaseContasDRE[#All],7,FALSE)),"Fora do DRE",VLOOKUP(Base_Periodo1[[#This Row],[CONTA]],BaseContasDRE[#All],7,FALSE))</f>
        <v>Fora do DRE</v>
      </c>
      <c r="V5353" s="3" t="str">
        <f>IF(Base_Periodo1[[#This Row],[Tipo_Linha]]="Fora do DRE","Fora do DRE","( "&amp;Base_Periodo1[[#This Row],[Tipo_Linha]]&amp;" ) "&amp;Base_Periodo1[[#This Row],[Filtro]])</f>
        <v>Fora do DRE</v>
      </c>
      <c r="W5353" s="3" t="str">
        <f>LEFT(Base_Periodo1[[#This Row],[CLASS]],3)</f>
        <v>2.4</v>
      </c>
    </row>
    <row r="5354" spans="1:23" hidden="1">
      <c r="A5354" s="3" t="str">
        <f t="shared" si="83"/>
        <v>Período 1</v>
      </c>
      <c r="B5354">
        <v>49139</v>
      </c>
      <c r="C5354" t="s">
        <v>2300</v>
      </c>
      <c r="D5354" t="s">
        <v>4320</v>
      </c>
      <c r="E5354" s="3" t="str">
        <f>IF(LEN(Base_Periodo1[[#This Row],[CLASS]])&gt;=7,LEFT(Base_Periodo1[[#This Row],[CLASS]],7),"")</f>
        <v>2.4.1.1</v>
      </c>
      <c r="F5354" s="3" t="str">
        <f>VLOOKUP(Base_Periodo1[[#This Row],[Aux]],Base_Contas_Balanco[#All],2,FALSE)</f>
        <v>Capital Social Realizado</v>
      </c>
      <c r="G5354" s="1"/>
      <c r="H5354" s="281">
        <v>81.94</v>
      </c>
      <c r="I5354" s="281">
        <v>0</v>
      </c>
      <c r="J5354" s="281">
        <v>0</v>
      </c>
      <c r="K5354" s="281">
        <v>81.94</v>
      </c>
      <c r="L535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81.94</v>
      </c>
      <c r="M5354" s="281">
        <f>ROUND(IF(AND(Base_Periodo1[[#This Row],[Tipo_Linha]]="-",Base_Periodo1[[#This Row],[TIPOSALDO]]="D"),Base_Periodo1[[#This Row],[SALDO_ATUAL]]*-1,Base_Periodo1[[#This Row],[SALDO_ATUAL]]),4)</f>
        <v>81.94</v>
      </c>
      <c r="N5354" t="s">
        <v>116</v>
      </c>
      <c r="O5354" t="s">
        <v>459</v>
      </c>
      <c r="P5354" t="s">
        <v>459</v>
      </c>
      <c r="Q5354">
        <v>6</v>
      </c>
      <c r="R5354" s="281">
        <f>Base_Periodo1[[#This Row],[CREDITOS]]-Base_Periodo1[[#This Row],[DEBITOS]]</f>
        <v>0</v>
      </c>
      <c r="S5354" s="3" t="str">
        <f>IF(ISERROR(VLOOKUP(Base_Periodo1[[#This Row],[CONTA]],BaseContasDRE[#All],4,FALSE)),"Fora do DRE",VLOOKUP(Base_Periodo1[[#This Row],[CONTA]],BaseContasDRE[#All],4,FALSE))</f>
        <v>Fora do DRE</v>
      </c>
      <c r="T5354" s="3" t="str">
        <f>IF(ISERROR(VLOOKUP(Base_Periodo1[[#This Row],[CONTA]],BaseContasDRE[#All],5,FALSE)),"Fora do DRE",VLOOKUP(Base_Periodo1[[#This Row],[CONTA]],BaseContasDRE[#All],6,FALSE))</f>
        <v>Fora do DRE</v>
      </c>
      <c r="U5354" s="3" t="str">
        <f>IF(ISERROR(VLOOKUP(Base_Periodo1[[#This Row],[CONTA]],BaseContasDRE[#All],7,FALSE)),"Fora do DRE",VLOOKUP(Base_Periodo1[[#This Row],[CONTA]],BaseContasDRE[#All],7,FALSE))</f>
        <v>Fora do DRE</v>
      </c>
      <c r="V5354" s="3" t="str">
        <f>IF(Base_Periodo1[[#This Row],[Tipo_Linha]]="Fora do DRE","Fora do DRE","( "&amp;Base_Periodo1[[#This Row],[Tipo_Linha]]&amp;" ) "&amp;Base_Periodo1[[#This Row],[Filtro]])</f>
        <v>Fora do DRE</v>
      </c>
      <c r="W5354" s="3" t="str">
        <f>LEFT(Base_Periodo1[[#This Row],[CLASS]],3)</f>
        <v>2.4</v>
      </c>
    </row>
    <row r="5355" spans="1:23" hidden="1">
      <c r="A5355" s="3" t="str">
        <f t="shared" si="83"/>
        <v>Período 1</v>
      </c>
      <c r="B5355">
        <v>49987</v>
      </c>
      <c r="C5355" t="s">
        <v>2300</v>
      </c>
      <c r="D5355" t="s">
        <v>4378</v>
      </c>
      <c r="E5355" s="3" t="str">
        <f>IF(LEN(Base_Periodo1[[#This Row],[CLASS]])&gt;=7,LEFT(Base_Periodo1[[#This Row],[CLASS]],7),"")</f>
        <v>2.4.1.1</v>
      </c>
      <c r="F5355" s="3" t="str">
        <f>VLOOKUP(Base_Periodo1[[#This Row],[Aux]],Base_Contas_Balanco[#All],2,FALSE)</f>
        <v>Capital Social Realizado</v>
      </c>
      <c r="G5355" s="1"/>
      <c r="H5355" s="281">
        <v>240</v>
      </c>
      <c r="I5355" s="281">
        <v>0</v>
      </c>
      <c r="J5355" s="281">
        <v>0</v>
      </c>
      <c r="K5355" s="281">
        <v>240</v>
      </c>
      <c r="L535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355" s="281">
        <f>ROUND(IF(AND(Base_Periodo1[[#This Row],[Tipo_Linha]]="-",Base_Periodo1[[#This Row],[TIPOSALDO]]="D"),Base_Periodo1[[#This Row],[SALDO_ATUAL]]*-1,Base_Periodo1[[#This Row],[SALDO_ATUAL]]),4)</f>
        <v>240</v>
      </c>
      <c r="N5355" t="s">
        <v>116</v>
      </c>
      <c r="O5355" t="s">
        <v>459</v>
      </c>
      <c r="P5355" t="s">
        <v>459</v>
      </c>
      <c r="Q5355">
        <v>6</v>
      </c>
      <c r="R5355" s="281">
        <f>Base_Periodo1[[#This Row],[CREDITOS]]-Base_Periodo1[[#This Row],[DEBITOS]]</f>
        <v>0</v>
      </c>
      <c r="S5355" s="3" t="str">
        <f>IF(ISERROR(VLOOKUP(Base_Periodo1[[#This Row],[CONTA]],BaseContasDRE[#All],4,FALSE)),"Fora do DRE",VLOOKUP(Base_Periodo1[[#This Row],[CONTA]],BaseContasDRE[#All],4,FALSE))</f>
        <v>Fora do DRE</v>
      </c>
      <c r="T5355" s="3" t="str">
        <f>IF(ISERROR(VLOOKUP(Base_Periodo1[[#This Row],[CONTA]],BaseContasDRE[#All],5,FALSE)),"Fora do DRE",VLOOKUP(Base_Periodo1[[#This Row],[CONTA]],BaseContasDRE[#All],6,FALSE))</f>
        <v>Fora do DRE</v>
      </c>
      <c r="U5355" s="3" t="str">
        <f>IF(ISERROR(VLOOKUP(Base_Periodo1[[#This Row],[CONTA]],BaseContasDRE[#All],7,FALSE)),"Fora do DRE",VLOOKUP(Base_Periodo1[[#This Row],[CONTA]],BaseContasDRE[#All],7,FALSE))</f>
        <v>Fora do DRE</v>
      </c>
      <c r="V5355" s="3" t="str">
        <f>IF(Base_Periodo1[[#This Row],[Tipo_Linha]]="Fora do DRE","Fora do DRE","( "&amp;Base_Periodo1[[#This Row],[Tipo_Linha]]&amp;" ) "&amp;Base_Periodo1[[#This Row],[Filtro]])</f>
        <v>Fora do DRE</v>
      </c>
      <c r="W5355" s="3" t="str">
        <f>LEFT(Base_Periodo1[[#This Row],[CLASS]],3)</f>
        <v>2.4</v>
      </c>
    </row>
    <row r="5356" spans="1:23" hidden="1">
      <c r="A5356" s="3" t="str">
        <f t="shared" si="83"/>
        <v>Período 1</v>
      </c>
      <c r="B5356">
        <v>19375</v>
      </c>
      <c r="C5356" t="s">
        <v>2300</v>
      </c>
      <c r="D5356" t="s">
        <v>3196</v>
      </c>
      <c r="E5356" s="3" t="str">
        <f>IF(LEN(Base_Periodo1[[#This Row],[CLASS]])&gt;=7,LEFT(Base_Periodo1[[#This Row],[CLASS]],7),"")</f>
        <v>2.4.1.1</v>
      </c>
      <c r="F5356" s="3" t="str">
        <f>VLOOKUP(Base_Periodo1[[#This Row],[Aux]],Base_Contas_Balanco[#All],2,FALSE)</f>
        <v>Capital Social Realizado</v>
      </c>
      <c r="G5356" s="1"/>
      <c r="H5356" s="281">
        <v>466.44000000000005</v>
      </c>
      <c r="I5356" s="281">
        <v>0</v>
      </c>
      <c r="J5356" s="281">
        <v>0</v>
      </c>
      <c r="K5356" s="281">
        <v>466.44000000000005</v>
      </c>
      <c r="L535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466.44</v>
      </c>
      <c r="M5356" s="281">
        <f>ROUND(IF(AND(Base_Periodo1[[#This Row],[Tipo_Linha]]="-",Base_Periodo1[[#This Row],[TIPOSALDO]]="D"),Base_Periodo1[[#This Row],[SALDO_ATUAL]]*-1,Base_Periodo1[[#This Row],[SALDO_ATUAL]]),4)</f>
        <v>466.44</v>
      </c>
      <c r="N5356" t="s">
        <v>116</v>
      </c>
      <c r="O5356" t="s">
        <v>459</v>
      </c>
      <c r="P5356" t="s">
        <v>459</v>
      </c>
      <c r="Q5356">
        <v>6</v>
      </c>
      <c r="R5356" s="281">
        <f>Base_Periodo1[[#This Row],[CREDITOS]]-Base_Periodo1[[#This Row],[DEBITOS]]</f>
        <v>0</v>
      </c>
      <c r="S5356" s="3" t="str">
        <f>IF(ISERROR(VLOOKUP(Base_Periodo1[[#This Row],[CONTA]],BaseContasDRE[#All],4,FALSE)),"Fora do DRE",VLOOKUP(Base_Periodo1[[#This Row],[CONTA]],BaseContasDRE[#All],4,FALSE))</f>
        <v>Fora do DRE</v>
      </c>
      <c r="T5356" s="3" t="str">
        <f>IF(ISERROR(VLOOKUP(Base_Periodo1[[#This Row],[CONTA]],BaseContasDRE[#All],5,FALSE)),"Fora do DRE",VLOOKUP(Base_Periodo1[[#This Row],[CONTA]],BaseContasDRE[#All],6,FALSE))</f>
        <v>Fora do DRE</v>
      </c>
      <c r="U5356" s="3" t="str">
        <f>IF(ISERROR(VLOOKUP(Base_Periodo1[[#This Row],[CONTA]],BaseContasDRE[#All],7,FALSE)),"Fora do DRE",VLOOKUP(Base_Periodo1[[#This Row],[CONTA]],BaseContasDRE[#All],7,FALSE))</f>
        <v>Fora do DRE</v>
      </c>
      <c r="V5356" s="3" t="str">
        <f>IF(Base_Periodo1[[#This Row],[Tipo_Linha]]="Fora do DRE","Fora do DRE","( "&amp;Base_Periodo1[[#This Row],[Tipo_Linha]]&amp;" ) "&amp;Base_Periodo1[[#This Row],[Filtro]])</f>
        <v>Fora do DRE</v>
      </c>
      <c r="W5356" s="3" t="str">
        <f>LEFT(Base_Periodo1[[#This Row],[CLASS]],3)</f>
        <v>2.4</v>
      </c>
    </row>
    <row r="5357" spans="1:23" hidden="1">
      <c r="A5357" s="3" t="str">
        <f t="shared" si="83"/>
        <v>Período 1</v>
      </c>
      <c r="B5357">
        <v>55893</v>
      </c>
      <c r="C5357" t="s">
        <v>2300</v>
      </c>
      <c r="D5357" t="s">
        <v>5542</v>
      </c>
      <c r="E5357" s="3" t="str">
        <f>IF(LEN(Base_Periodo1[[#This Row],[CLASS]])&gt;=7,LEFT(Base_Periodo1[[#This Row],[CLASS]],7),"")</f>
        <v>2.4.1.1</v>
      </c>
      <c r="F5357" s="3" t="str">
        <f>VLOOKUP(Base_Periodo1[[#This Row],[Aux]],Base_Contas_Balanco[#All],2,FALSE)</f>
        <v>Capital Social Realizado</v>
      </c>
      <c r="G5357" s="1"/>
      <c r="H5357" s="281">
        <v>50</v>
      </c>
      <c r="I5357" s="281">
        <v>0</v>
      </c>
      <c r="J5357" s="281">
        <v>0</v>
      </c>
      <c r="K5357" s="281">
        <v>50</v>
      </c>
      <c r="L535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57" s="281">
        <f>ROUND(IF(AND(Base_Periodo1[[#This Row],[Tipo_Linha]]="-",Base_Periodo1[[#This Row],[TIPOSALDO]]="D"),Base_Periodo1[[#This Row],[SALDO_ATUAL]]*-1,Base_Periodo1[[#This Row],[SALDO_ATUAL]]),4)</f>
        <v>50</v>
      </c>
      <c r="N5357" t="s">
        <v>116</v>
      </c>
      <c r="O5357" t="s">
        <v>459</v>
      </c>
      <c r="P5357" t="s">
        <v>459</v>
      </c>
      <c r="Q5357">
        <v>6</v>
      </c>
      <c r="R5357" s="281">
        <f>Base_Periodo1[[#This Row],[CREDITOS]]-Base_Periodo1[[#This Row],[DEBITOS]]</f>
        <v>0</v>
      </c>
      <c r="S5357" s="3" t="str">
        <f>IF(ISERROR(VLOOKUP(Base_Periodo1[[#This Row],[CONTA]],BaseContasDRE[#All],4,FALSE)),"Fora do DRE",VLOOKUP(Base_Periodo1[[#This Row],[CONTA]],BaseContasDRE[#All],4,FALSE))</f>
        <v>Fora do DRE</v>
      </c>
      <c r="T5357" s="3" t="str">
        <f>IF(ISERROR(VLOOKUP(Base_Periodo1[[#This Row],[CONTA]],BaseContasDRE[#All],5,FALSE)),"Fora do DRE",VLOOKUP(Base_Periodo1[[#This Row],[CONTA]],BaseContasDRE[#All],6,FALSE))</f>
        <v>Fora do DRE</v>
      </c>
      <c r="U5357" s="3" t="str">
        <f>IF(ISERROR(VLOOKUP(Base_Periodo1[[#This Row],[CONTA]],BaseContasDRE[#All],7,FALSE)),"Fora do DRE",VLOOKUP(Base_Periodo1[[#This Row],[CONTA]],BaseContasDRE[#All],7,FALSE))</f>
        <v>Fora do DRE</v>
      </c>
      <c r="V5357" s="3" t="str">
        <f>IF(Base_Periodo1[[#This Row],[Tipo_Linha]]="Fora do DRE","Fora do DRE","( "&amp;Base_Periodo1[[#This Row],[Tipo_Linha]]&amp;" ) "&amp;Base_Periodo1[[#This Row],[Filtro]])</f>
        <v>Fora do DRE</v>
      </c>
      <c r="W5357" s="3" t="str">
        <f>LEFT(Base_Periodo1[[#This Row],[CLASS]],3)</f>
        <v>2.4</v>
      </c>
    </row>
    <row r="5358" spans="1:23" hidden="1">
      <c r="A5358" s="3" t="str">
        <f t="shared" si="83"/>
        <v>Período 1</v>
      </c>
      <c r="B5358">
        <v>36098</v>
      </c>
      <c r="C5358" t="s">
        <v>2300</v>
      </c>
      <c r="D5358" t="s">
        <v>5107</v>
      </c>
      <c r="E5358" s="3" t="str">
        <f>IF(LEN(Base_Periodo1[[#This Row],[CLASS]])&gt;=7,LEFT(Base_Periodo1[[#This Row],[CLASS]],7),"")</f>
        <v>2.4.1.1</v>
      </c>
      <c r="F5358" s="3" t="str">
        <f>VLOOKUP(Base_Periodo1[[#This Row],[Aux]],Base_Contas_Balanco[#All],2,FALSE)</f>
        <v>Capital Social Realizado</v>
      </c>
      <c r="G5358" s="1">
        <v>42591</v>
      </c>
      <c r="H5358" s="281">
        <v>50</v>
      </c>
      <c r="I5358" s="281">
        <v>0</v>
      </c>
      <c r="J5358" s="281">
        <v>0</v>
      </c>
      <c r="K5358" s="281">
        <v>50</v>
      </c>
      <c r="L535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58" s="281">
        <f>ROUND(IF(AND(Base_Periodo1[[#This Row],[Tipo_Linha]]="-",Base_Periodo1[[#This Row],[TIPOSALDO]]="D"),Base_Periodo1[[#This Row],[SALDO_ATUAL]]*-1,Base_Periodo1[[#This Row],[SALDO_ATUAL]]),4)</f>
        <v>50</v>
      </c>
      <c r="N5358" t="s">
        <v>116</v>
      </c>
      <c r="O5358" t="s">
        <v>459</v>
      </c>
      <c r="P5358" t="s">
        <v>459</v>
      </c>
      <c r="Q5358">
        <v>6</v>
      </c>
      <c r="R5358" s="281">
        <f>Base_Periodo1[[#This Row],[CREDITOS]]-Base_Periodo1[[#This Row],[DEBITOS]]</f>
        <v>0</v>
      </c>
      <c r="S5358" s="3" t="str">
        <f>IF(ISERROR(VLOOKUP(Base_Periodo1[[#This Row],[CONTA]],BaseContasDRE[#All],4,FALSE)),"Fora do DRE",VLOOKUP(Base_Periodo1[[#This Row],[CONTA]],BaseContasDRE[#All],4,FALSE))</f>
        <v>Fora do DRE</v>
      </c>
      <c r="T5358" s="3" t="str">
        <f>IF(ISERROR(VLOOKUP(Base_Periodo1[[#This Row],[CONTA]],BaseContasDRE[#All],5,FALSE)),"Fora do DRE",VLOOKUP(Base_Periodo1[[#This Row],[CONTA]],BaseContasDRE[#All],6,FALSE))</f>
        <v>Fora do DRE</v>
      </c>
      <c r="U5358" s="3" t="str">
        <f>IF(ISERROR(VLOOKUP(Base_Periodo1[[#This Row],[CONTA]],BaseContasDRE[#All],7,FALSE)),"Fora do DRE",VLOOKUP(Base_Periodo1[[#This Row],[CONTA]],BaseContasDRE[#All],7,FALSE))</f>
        <v>Fora do DRE</v>
      </c>
      <c r="V5358" s="3" t="str">
        <f>IF(Base_Periodo1[[#This Row],[Tipo_Linha]]="Fora do DRE","Fora do DRE","( "&amp;Base_Periodo1[[#This Row],[Tipo_Linha]]&amp;" ) "&amp;Base_Periodo1[[#This Row],[Filtro]])</f>
        <v>Fora do DRE</v>
      </c>
      <c r="W5358" s="3" t="str">
        <f>LEFT(Base_Periodo1[[#This Row],[CLASS]],3)</f>
        <v>2.4</v>
      </c>
    </row>
    <row r="5359" spans="1:23" hidden="1">
      <c r="A5359" s="3" t="str">
        <f t="shared" si="83"/>
        <v>Período 1</v>
      </c>
      <c r="B5359">
        <v>52542</v>
      </c>
      <c r="C5359" t="s">
        <v>2300</v>
      </c>
      <c r="D5359" t="s">
        <v>4794</v>
      </c>
      <c r="E5359" s="3" t="str">
        <f>IF(LEN(Base_Periodo1[[#This Row],[CLASS]])&gt;=7,LEFT(Base_Periodo1[[#This Row],[CLASS]],7),"")</f>
        <v>2.4.1.1</v>
      </c>
      <c r="F5359" s="3" t="str">
        <f>VLOOKUP(Base_Periodo1[[#This Row],[Aux]],Base_Contas_Balanco[#All],2,FALSE)</f>
        <v>Capital Social Realizado</v>
      </c>
      <c r="G5359" s="1"/>
      <c r="H5359" s="281">
        <v>2000</v>
      </c>
      <c r="I5359" s="281">
        <v>0</v>
      </c>
      <c r="J5359" s="281">
        <v>0</v>
      </c>
      <c r="K5359" s="281">
        <v>2000</v>
      </c>
      <c r="L535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2000</v>
      </c>
      <c r="M5359" s="281">
        <f>ROUND(IF(AND(Base_Periodo1[[#This Row],[Tipo_Linha]]="-",Base_Periodo1[[#This Row],[TIPOSALDO]]="D"),Base_Periodo1[[#This Row],[SALDO_ATUAL]]*-1,Base_Periodo1[[#This Row],[SALDO_ATUAL]]),4)</f>
        <v>2000</v>
      </c>
      <c r="N5359" t="s">
        <v>116</v>
      </c>
      <c r="O5359" t="s">
        <v>459</v>
      </c>
      <c r="P5359" t="s">
        <v>459</v>
      </c>
      <c r="Q5359">
        <v>6</v>
      </c>
      <c r="R5359" s="281">
        <f>Base_Periodo1[[#This Row],[CREDITOS]]-Base_Periodo1[[#This Row],[DEBITOS]]</f>
        <v>0</v>
      </c>
      <c r="S5359" s="3" t="str">
        <f>IF(ISERROR(VLOOKUP(Base_Periodo1[[#This Row],[CONTA]],BaseContasDRE[#All],4,FALSE)),"Fora do DRE",VLOOKUP(Base_Periodo1[[#This Row],[CONTA]],BaseContasDRE[#All],4,FALSE))</f>
        <v>Fora do DRE</v>
      </c>
      <c r="T5359" s="3" t="str">
        <f>IF(ISERROR(VLOOKUP(Base_Periodo1[[#This Row],[CONTA]],BaseContasDRE[#All],5,FALSE)),"Fora do DRE",VLOOKUP(Base_Periodo1[[#This Row],[CONTA]],BaseContasDRE[#All],6,FALSE))</f>
        <v>Fora do DRE</v>
      </c>
      <c r="U5359" s="3" t="str">
        <f>IF(ISERROR(VLOOKUP(Base_Periodo1[[#This Row],[CONTA]],BaseContasDRE[#All],7,FALSE)),"Fora do DRE",VLOOKUP(Base_Periodo1[[#This Row],[CONTA]],BaseContasDRE[#All],7,FALSE))</f>
        <v>Fora do DRE</v>
      </c>
      <c r="V5359" s="3" t="str">
        <f>IF(Base_Periodo1[[#This Row],[Tipo_Linha]]="Fora do DRE","Fora do DRE","( "&amp;Base_Periodo1[[#This Row],[Tipo_Linha]]&amp;" ) "&amp;Base_Periodo1[[#This Row],[Filtro]])</f>
        <v>Fora do DRE</v>
      </c>
      <c r="W5359" s="3" t="str">
        <f>LEFT(Base_Periodo1[[#This Row],[CLASS]],3)</f>
        <v>2.4</v>
      </c>
    </row>
    <row r="5360" spans="1:23" hidden="1">
      <c r="A5360" s="3" t="str">
        <f t="shared" si="83"/>
        <v>Período 1</v>
      </c>
      <c r="B5360">
        <v>27864</v>
      </c>
      <c r="C5360" t="s">
        <v>2300</v>
      </c>
      <c r="D5360" t="s">
        <v>3197</v>
      </c>
      <c r="E5360" s="3" t="str">
        <f>IF(LEN(Base_Periodo1[[#This Row],[CLASS]])&gt;=7,LEFT(Base_Periodo1[[#This Row],[CLASS]],7),"")</f>
        <v>2.4.1.1</v>
      </c>
      <c r="F5360" s="3" t="str">
        <f>VLOOKUP(Base_Periodo1[[#This Row],[Aux]],Base_Contas_Balanco[#All],2,FALSE)</f>
        <v>Capital Social Realizado</v>
      </c>
      <c r="G5360" s="1"/>
      <c r="H5360" s="281">
        <v>50</v>
      </c>
      <c r="I5360" s="281">
        <v>0</v>
      </c>
      <c r="J5360" s="281">
        <v>0</v>
      </c>
      <c r="K5360" s="281">
        <v>50</v>
      </c>
      <c r="L536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60" s="281">
        <f>ROUND(IF(AND(Base_Periodo1[[#This Row],[Tipo_Linha]]="-",Base_Periodo1[[#This Row],[TIPOSALDO]]="D"),Base_Periodo1[[#This Row],[SALDO_ATUAL]]*-1,Base_Periodo1[[#This Row],[SALDO_ATUAL]]),4)</f>
        <v>50</v>
      </c>
      <c r="N5360" t="s">
        <v>116</v>
      </c>
      <c r="O5360" t="s">
        <v>459</v>
      </c>
      <c r="P5360" t="s">
        <v>459</v>
      </c>
      <c r="Q5360">
        <v>6</v>
      </c>
      <c r="R5360" s="281">
        <f>Base_Periodo1[[#This Row],[CREDITOS]]-Base_Periodo1[[#This Row],[DEBITOS]]</f>
        <v>0</v>
      </c>
      <c r="S5360" s="3" t="str">
        <f>IF(ISERROR(VLOOKUP(Base_Periodo1[[#This Row],[CONTA]],BaseContasDRE[#All],4,FALSE)),"Fora do DRE",VLOOKUP(Base_Periodo1[[#This Row],[CONTA]],BaseContasDRE[#All],4,FALSE))</f>
        <v>Fora do DRE</v>
      </c>
      <c r="T5360" s="3" t="str">
        <f>IF(ISERROR(VLOOKUP(Base_Periodo1[[#This Row],[CONTA]],BaseContasDRE[#All],5,FALSE)),"Fora do DRE",VLOOKUP(Base_Periodo1[[#This Row],[CONTA]],BaseContasDRE[#All],6,FALSE))</f>
        <v>Fora do DRE</v>
      </c>
      <c r="U5360" s="3" t="str">
        <f>IF(ISERROR(VLOOKUP(Base_Periodo1[[#This Row],[CONTA]],BaseContasDRE[#All],7,FALSE)),"Fora do DRE",VLOOKUP(Base_Periodo1[[#This Row],[CONTA]],BaseContasDRE[#All],7,FALSE))</f>
        <v>Fora do DRE</v>
      </c>
      <c r="V5360" s="3" t="str">
        <f>IF(Base_Periodo1[[#This Row],[Tipo_Linha]]="Fora do DRE","Fora do DRE","( "&amp;Base_Periodo1[[#This Row],[Tipo_Linha]]&amp;" ) "&amp;Base_Periodo1[[#This Row],[Filtro]])</f>
        <v>Fora do DRE</v>
      </c>
      <c r="W5360" s="3" t="str">
        <f>LEFT(Base_Periodo1[[#This Row],[CLASS]],3)</f>
        <v>2.4</v>
      </c>
    </row>
    <row r="5361" spans="1:23" hidden="1">
      <c r="A5361" s="3" t="str">
        <f t="shared" si="83"/>
        <v>Período 1</v>
      </c>
      <c r="B5361">
        <v>52588</v>
      </c>
      <c r="C5361" t="s">
        <v>2300</v>
      </c>
      <c r="D5361" t="s">
        <v>4795</v>
      </c>
      <c r="E5361" s="3" t="str">
        <f>IF(LEN(Base_Periodo1[[#This Row],[CLASS]])&gt;=7,LEFT(Base_Periodo1[[#This Row],[CLASS]],7),"")</f>
        <v>2.4.1.1</v>
      </c>
      <c r="F5361" s="3" t="str">
        <f>VLOOKUP(Base_Periodo1[[#This Row],[Aux]],Base_Contas_Balanco[#All],2,FALSE)</f>
        <v>Capital Social Realizado</v>
      </c>
      <c r="G5361" s="1"/>
      <c r="H5361" s="281">
        <v>50</v>
      </c>
      <c r="I5361" s="281">
        <v>0</v>
      </c>
      <c r="J5361" s="281">
        <v>0</v>
      </c>
      <c r="K5361" s="281">
        <v>50</v>
      </c>
      <c r="L536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61" s="281">
        <f>ROUND(IF(AND(Base_Periodo1[[#This Row],[Tipo_Linha]]="-",Base_Periodo1[[#This Row],[TIPOSALDO]]="D"),Base_Periodo1[[#This Row],[SALDO_ATUAL]]*-1,Base_Periodo1[[#This Row],[SALDO_ATUAL]]),4)</f>
        <v>50</v>
      </c>
      <c r="N5361" t="s">
        <v>116</v>
      </c>
      <c r="O5361" t="s">
        <v>459</v>
      </c>
      <c r="P5361" t="s">
        <v>459</v>
      </c>
      <c r="Q5361">
        <v>6</v>
      </c>
      <c r="R5361" s="281">
        <f>Base_Periodo1[[#This Row],[CREDITOS]]-Base_Periodo1[[#This Row],[DEBITOS]]</f>
        <v>0</v>
      </c>
      <c r="S5361" s="3" t="str">
        <f>IF(ISERROR(VLOOKUP(Base_Periodo1[[#This Row],[CONTA]],BaseContasDRE[#All],4,FALSE)),"Fora do DRE",VLOOKUP(Base_Periodo1[[#This Row],[CONTA]],BaseContasDRE[#All],4,FALSE))</f>
        <v>Fora do DRE</v>
      </c>
      <c r="T5361" s="3" t="str">
        <f>IF(ISERROR(VLOOKUP(Base_Periodo1[[#This Row],[CONTA]],BaseContasDRE[#All],5,FALSE)),"Fora do DRE",VLOOKUP(Base_Periodo1[[#This Row],[CONTA]],BaseContasDRE[#All],6,FALSE))</f>
        <v>Fora do DRE</v>
      </c>
      <c r="U5361" s="3" t="str">
        <f>IF(ISERROR(VLOOKUP(Base_Periodo1[[#This Row],[CONTA]],BaseContasDRE[#All],7,FALSE)),"Fora do DRE",VLOOKUP(Base_Periodo1[[#This Row],[CONTA]],BaseContasDRE[#All],7,FALSE))</f>
        <v>Fora do DRE</v>
      </c>
      <c r="V5361" s="3" t="str">
        <f>IF(Base_Periodo1[[#This Row],[Tipo_Linha]]="Fora do DRE","Fora do DRE","( "&amp;Base_Periodo1[[#This Row],[Tipo_Linha]]&amp;" ) "&amp;Base_Periodo1[[#This Row],[Filtro]])</f>
        <v>Fora do DRE</v>
      </c>
      <c r="W5361" s="3" t="str">
        <f>LEFT(Base_Periodo1[[#This Row],[CLASS]],3)</f>
        <v>2.4</v>
      </c>
    </row>
    <row r="5362" spans="1:23" hidden="1">
      <c r="A5362" s="3" t="str">
        <f t="shared" si="83"/>
        <v>Período 1</v>
      </c>
      <c r="B5362">
        <v>54673</v>
      </c>
      <c r="C5362" t="s">
        <v>2300</v>
      </c>
      <c r="D5362" t="s">
        <v>5242</v>
      </c>
      <c r="E5362" s="3" t="str">
        <f>IF(LEN(Base_Periodo1[[#This Row],[CLASS]])&gt;=7,LEFT(Base_Periodo1[[#This Row],[CLASS]],7),"")</f>
        <v>2.4.1.1</v>
      </c>
      <c r="F5362" s="3" t="str">
        <f>VLOOKUP(Base_Periodo1[[#This Row],[Aux]],Base_Contas_Balanco[#All],2,FALSE)</f>
        <v>Capital Social Realizado</v>
      </c>
      <c r="G5362" s="1"/>
      <c r="H5362" s="281">
        <v>50</v>
      </c>
      <c r="I5362" s="281">
        <v>0</v>
      </c>
      <c r="J5362" s="281">
        <v>0</v>
      </c>
      <c r="K5362" s="281">
        <v>50</v>
      </c>
      <c r="L536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62" s="281">
        <f>ROUND(IF(AND(Base_Periodo1[[#This Row],[Tipo_Linha]]="-",Base_Periodo1[[#This Row],[TIPOSALDO]]="D"),Base_Periodo1[[#This Row],[SALDO_ATUAL]]*-1,Base_Periodo1[[#This Row],[SALDO_ATUAL]]),4)</f>
        <v>50</v>
      </c>
      <c r="N5362" t="s">
        <v>116</v>
      </c>
      <c r="O5362" t="s">
        <v>459</v>
      </c>
      <c r="P5362" t="s">
        <v>459</v>
      </c>
      <c r="Q5362">
        <v>6</v>
      </c>
      <c r="R5362" s="281">
        <f>Base_Periodo1[[#This Row],[CREDITOS]]-Base_Periodo1[[#This Row],[DEBITOS]]</f>
        <v>0</v>
      </c>
      <c r="S5362" s="3" t="str">
        <f>IF(ISERROR(VLOOKUP(Base_Periodo1[[#This Row],[CONTA]],BaseContasDRE[#All],4,FALSE)),"Fora do DRE",VLOOKUP(Base_Periodo1[[#This Row],[CONTA]],BaseContasDRE[#All],4,FALSE))</f>
        <v>Fora do DRE</v>
      </c>
      <c r="T5362" s="3" t="str">
        <f>IF(ISERROR(VLOOKUP(Base_Periodo1[[#This Row],[CONTA]],BaseContasDRE[#All],5,FALSE)),"Fora do DRE",VLOOKUP(Base_Periodo1[[#This Row],[CONTA]],BaseContasDRE[#All],6,FALSE))</f>
        <v>Fora do DRE</v>
      </c>
      <c r="U5362" s="3" t="str">
        <f>IF(ISERROR(VLOOKUP(Base_Periodo1[[#This Row],[CONTA]],BaseContasDRE[#All],7,FALSE)),"Fora do DRE",VLOOKUP(Base_Periodo1[[#This Row],[CONTA]],BaseContasDRE[#All],7,FALSE))</f>
        <v>Fora do DRE</v>
      </c>
      <c r="V5362" s="3" t="str">
        <f>IF(Base_Periodo1[[#This Row],[Tipo_Linha]]="Fora do DRE","Fora do DRE","( "&amp;Base_Periodo1[[#This Row],[Tipo_Linha]]&amp;" ) "&amp;Base_Periodo1[[#This Row],[Filtro]])</f>
        <v>Fora do DRE</v>
      </c>
      <c r="W5362" s="3" t="str">
        <f>LEFT(Base_Periodo1[[#This Row],[CLASS]],3)</f>
        <v>2.4</v>
      </c>
    </row>
    <row r="5363" spans="1:23" hidden="1">
      <c r="A5363" s="3" t="str">
        <f t="shared" si="83"/>
        <v>Período 1</v>
      </c>
      <c r="B5363">
        <v>24622</v>
      </c>
      <c r="C5363" t="s">
        <v>2300</v>
      </c>
      <c r="D5363" t="s">
        <v>3198</v>
      </c>
      <c r="E5363" s="3" t="str">
        <f>IF(LEN(Base_Periodo1[[#This Row],[CLASS]])&gt;=7,LEFT(Base_Periodo1[[#This Row],[CLASS]],7),"")</f>
        <v>2.4.1.1</v>
      </c>
      <c r="F5363" s="3" t="str">
        <f>VLOOKUP(Base_Periodo1[[#This Row],[Aux]],Base_Contas_Balanco[#All],2,FALSE)</f>
        <v>Capital Social Realizado</v>
      </c>
      <c r="G5363" s="1"/>
      <c r="H5363" s="281">
        <v>1190.81</v>
      </c>
      <c r="I5363" s="281">
        <v>0</v>
      </c>
      <c r="J5363" s="281">
        <v>0</v>
      </c>
      <c r="K5363" s="281">
        <v>1190.81</v>
      </c>
      <c r="L536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1190.81</v>
      </c>
      <c r="M5363" s="281">
        <f>ROUND(IF(AND(Base_Periodo1[[#This Row],[Tipo_Linha]]="-",Base_Periodo1[[#This Row],[TIPOSALDO]]="D"),Base_Periodo1[[#This Row],[SALDO_ATUAL]]*-1,Base_Periodo1[[#This Row],[SALDO_ATUAL]]),4)</f>
        <v>1190.81</v>
      </c>
      <c r="N5363" t="s">
        <v>116</v>
      </c>
      <c r="O5363" t="s">
        <v>459</v>
      </c>
      <c r="P5363" t="s">
        <v>459</v>
      </c>
      <c r="Q5363">
        <v>6</v>
      </c>
      <c r="R5363" s="281">
        <f>Base_Periodo1[[#This Row],[CREDITOS]]-Base_Periodo1[[#This Row],[DEBITOS]]</f>
        <v>0</v>
      </c>
      <c r="S5363" s="3" t="str">
        <f>IF(ISERROR(VLOOKUP(Base_Periodo1[[#This Row],[CONTA]],BaseContasDRE[#All],4,FALSE)),"Fora do DRE",VLOOKUP(Base_Periodo1[[#This Row],[CONTA]],BaseContasDRE[#All],4,FALSE))</f>
        <v>Fora do DRE</v>
      </c>
      <c r="T5363" s="3" t="str">
        <f>IF(ISERROR(VLOOKUP(Base_Periodo1[[#This Row],[CONTA]],BaseContasDRE[#All],5,FALSE)),"Fora do DRE",VLOOKUP(Base_Periodo1[[#This Row],[CONTA]],BaseContasDRE[#All],6,FALSE))</f>
        <v>Fora do DRE</v>
      </c>
      <c r="U5363" s="3" t="str">
        <f>IF(ISERROR(VLOOKUP(Base_Periodo1[[#This Row],[CONTA]],BaseContasDRE[#All],7,FALSE)),"Fora do DRE",VLOOKUP(Base_Periodo1[[#This Row],[CONTA]],BaseContasDRE[#All],7,FALSE))</f>
        <v>Fora do DRE</v>
      </c>
      <c r="V5363" s="3" t="str">
        <f>IF(Base_Periodo1[[#This Row],[Tipo_Linha]]="Fora do DRE","Fora do DRE","( "&amp;Base_Periodo1[[#This Row],[Tipo_Linha]]&amp;" ) "&amp;Base_Periodo1[[#This Row],[Filtro]])</f>
        <v>Fora do DRE</v>
      </c>
      <c r="W5363" s="3" t="str">
        <f>LEFT(Base_Periodo1[[#This Row],[CLASS]],3)</f>
        <v>2.4</v>
      </c>
    </row>
    <row r="5364" spans="1:23" hidden="1">
      <c r="A5364" s="3" t="str">
        <f t="shared" si="83"/>
        <v>Período 1</v>
      </c>
      <c r="B5364">
        <v>16020</v>
      </c>
      <c r="C5364" t="s">
        <v>2300</v>
      </c>
      <c r="D5364" t="s">
        <v>3199</v>
      </c>
      <c r="E5364" s="3" t="str">
        <f>IF(LEN(Base_Periodo1[[#This Row],[CLASS]])&gt;=7,LEFT(Base_Periodo1[[#This Row],[CLASS]],7),"")</f>
        <v>2.4.1.1</v>
      </c>
      <c r="F5364" s="3" t="str">
        <f>VLOOKUP(Base_Periodo1[[#This Row],[Aux]],Base_Contas_Balanco[#All],2,FALSE)</f>
        <v>Capital Social Realizado</v>
      </c>
      <c r="G5364" s="1"/>
      <c r="H5364" s="281">
        <v>1912.7200000000003</v>
      </c>
      <c r="I5364" s="281">
        <v>0</v>
      </c>
      <c r="J5364" s="281">
        <v>0</v>
      </c>
      <c r="K5364" s="281">
        <v>1912.7200000000003</v>
      </c>
      <c r="L536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1912.72</v>
      </c>
      <c r="M5364" s="281">
        <f>ROUND(IF(AND(Base_Periodo1[[#This Row],[Tipo_Linha]]="-",Base_Periodo1[[#This Row],[TIPOSALDO]]="D"),Base_Periodo1[[#This Row],[SALDO_ATUAL]]*-1,Base_Periodo1[[#This Row],[SALDO_ATUAL]]),4)</f>
        <v>1912.72</v>
      </c>
      <c r="N5364" t="s">
        <v>116</v>
      </c>
      <c r="O5364" t="s">
        <v>459</v>
      </c>
      <c r="P5364" t="s">
        <v>459</v>
      </c>
      <c r="Q5364">
        <v>6</v>
      </c>
      <c r="R5364" s="281">
        <f>Base_Periodo1[[#This Row],[CREDITOS]]-Base_Periodo1[[#This Row],[DEBITOS]]</f>
        <v>0</v>
      </c>
      <c r="S5364" s="3" t="str">
        <f>IF(ISERROR(VLOOKUP(Base_Periodo1[[#This Row],[CONTA]],BaseContasDRE[#All],4,FALSE)),"Fora do DRE",VLOOKUP(Base_Periodo1[[#This Row],[CONTA]],BaseContasDRE[#All],4,FALSE))</f>
        <v>Fora do DRE</v>
      </c>
      <c r="T5364" s="3" t="str">
        <f>IF(ISERROR(VLOOKUP(Base_Periodo1[[#This Row],[CONTA]],BaseContasDRE[#All],5,FALSE)),"Fora do DRE",VLOOKUP(Base_Periodo1[[#This Row],[CONTA]],BaseContasDRE[#All],6,FALSE))</f>
        <v>Fora do DRE</v>
      </c>
      <c r="U5364" s="3" t="str">
        <f>IF(ISERROR(VLOOKUP(Base_Periodo1[[#This Row],[CONTA]],BaseContasDRE[#All],7,FALSE)),"Fora do DRE",VLOOKUP(Base_Periodo1[[#This Row],[CONTA]],BaseContasDRE[#All],7,FALSE))</f>
        <v>Fora do DRE</v>
      </c>
      <c r="V5364" s="3" t="str">
        <f>IF(Base_Periodo1[[#This Row],[Tipo_Linha]]="Fora do DRE","Fora do DRE","( "&amp;Base_Periodo1[[#This Row],[Tipo_Linha]]&amp;" ) "&amp;Base_Periodo1[[#This Row],[Filtro]])</f>
        <v>Fora do DRE</v>
      </c>
      <c r="W5364" s="3" t="str">
        <f>LEFT(Base_Periodo1[[#This Row],[CLASS]],3)</f>
        <v>2.4</v>
      </c>
    </row>
    <row r="5365" spans="1:23" hidden="1">
      <c r="A5365" s="3" t="str">
        <f t="shared" si="83"/>
        <v>Período 1</v>
      </c>
      <c r="B5365">
        <v>19376</v>
      </c>
      <c r="C5365" t="s">
        <v>2300</v>
      </c>
      <c r="D5365" t="s">
        <v>3200</v>
      </c>
      <c r="E5365" s="3" t="str">
        <f>IF(LEN(Base_Periodo1[[#This Row],[CLASS]])&gt;=7,LEFT(Base_Periodo1[[#This Row],[CLASS]],7),"")</f>
        <v>2.4.1.1</v>
      </c>
      <c r="F5365" s="3" t="str">
        <f>VLOOKUP(Base_Periodo1[[#This Row],[Aux]],Base_Contas_Balanco[#All],2,FALSE)</f>
        <v>Capital Social Realizado</v>
      </c>
      <c r="G5365" s="1"/>
      <c r="H5365" s="281">
        <v>336.68</v>
      </c>
      <c r="I5365" s="281">
        <v>0</v>
      </c>
      <c r="J5365" s="281">
        <v>0</v>
      </c>
      <c r="K5365" s="281">
        <v>336.68</v>
      </c>
      <c r="L536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336.68</v>
      </c>
      <c r="M5365" s="281">
        <f>ROUND(IF(AND(Base_Periodo1[[#This Row],[Tipo_Linha]]="-",Base_Periodo1[[#This Row],[TIPOSALDO]]="D"),Base_Periodo1[[#This Row],[SALDO_ATUAL]]*-1,Base_Periodo1[[#This Row],[SALDO_ATUAL]]),4)</f>
        <v>336.68</v>
      </c>
      <c r="N5365" t="s">
        <v>116</v>
      </c>
      <c r="O5365" t="s">
        <v>459</v>
      </c>
      <c r="P5365" t="s">
        <v>459</v>
      </c>
      <c r="Q5365">
        <v>6</v>
      </c>
      <c r="R5365" s="281">
        <f>Base_Periodo1[[#This Row],[CREDITOS]]-Base_Periodo1[[#This Row],[DEBITOS]]</f>
        <v>0</v>
      </c>
      <c r="S5365" s="3" t="str">
        <f>IF(ISERROR(VLOOKUP(Base_Periodo1[[#This Row],[CONTA]],BaseContasDRE[#All],4,FALSE)),"Fora do DRE",VLOOKUP(Base_Periodo1[[#This Row],[CONTA]],BaseContasDRE[#All],4,FALSE))</f>
        <v>Fora do DRE</v>
      </c>
      <c r="T5365" s="3" t="str">
        <f>IF(ISERROR(VLOOKUP(Base_Periodo1[[#This Row],[CONTA]],BaseContasDRE[#All],5,FALSE)),"Fora do DRE",VLOOKUP(Base_Periodo1[[#This Row],[CONTA]],BaseContasDRE[#All],6,FALSE))</f>
        <v>Fora do DRE</v>
      </c>
      <c r="U5365" s="3" t="str">
        <f>IF(ISERROR(VLOOKUP(Base_Periodo1[[#This Row],[CONTA]],BaseContasDRE[#All],7,FALSE)),"Fora do DRE",VLOOKUP(Base_Periodo1[[#This Row],[CONTA]],BaseContasDRE[#All],7,FALSE))</f>
        <v>Fora do DRE</v>
      </c>
      <c r="V5365" s="3" t="str">
        <f>IF(Base_Periodo1[[#This Row],[Tipo_Linha]]="Fora do DRE","Fora do DRE","( "&amp;Base_Periodo1[[#This Row],[Tipo_Linha]]&amp;" ) "&amp;Base_Periodo1[[#This Row],[Filtro]])</f>
        <v>Fora do DRE</v>
      </c>
      <c r="W5365" s="3" t="str">
        <f>LEFT(Base_Periodo1[[#This Row],[CLASS]],3)</f>
        <v>2.4</v>
      </c>
    </row>
    <row r="5366" spans="1:23" hidden="1">
      <c r="A5366" s="3" t="str">
        <f t="shared" si="83"/>
        <v>Período 1</v>
      </c>
      <c r="B5366">
        <v>47585</v>
      </c>
      <c r="C5366" t="s">
        <v>2300</v>
      </c>
      <c r="D5366" t="s">
        <v>3201</v>
      </c>
      <c r="E5366" s="3" t="str">
        <f>IF(LEN(Base_Periodo1[[#This Row],[CLASS]])&gt;=7,LEFT(Base_Periodo1[[#This Row],[CLASS]],7),"")</f>
        <v>2.4.1.1</v>
      </c>
      <c r="F5366" s="3" t="str">
        <f>VLOOKUP(Base_Periodo1[[#This Row],[Aux]],Base_Contas_Balanco[#All],2,FALSE)</f>
        <v>Capital Social Realizado</v>
      </c>
      <c r="G5366" s="1"/>
      <c r="H5366" s="281">
        <v>77.11</v>
      </c>
      <c r="I5366" s="281">
        <v>0</v>
      </c>
      <c r="J5366" s="281">
        <v>0</v>
      </c>
      <c r="K5366" s="281">
        <v>77.11</v>
      </c>
      <c r="L536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77.11</v>
      </c>
      <c r="M5366" s="281">
        <f>ROUND(IF(AND(Base_Periodo1[[#This Row],[Tipo_Linha]]="-",Base_Periodo1[[#This Row],[TIPOSALDO]]="D"),Base_Periodo1[[#This Row],[SALDO_ATUAL]]*-1,Base_Periodo1[[#This Row],[SALDO_ATUAL]]),4)</f>
        <v>77.11</v>
      </c>
      <c r="N5366" t="s">
        <v>116</v>
      </c>
      <c r="O5366" t="s">
        <v>459</v>
      </c>
      <c r="P5366" t="s">
        <v>459</v>
      </c>
      <c r="Q5366">
        <v>6</v>
      </c>
      <c r="R5366" s="281">
        <f>Base_Periodo1[[#This Row],[CREDITOS]]-Base_Periodo1[[#This Row],[DEBITOS]]</f>
        <v>0</v>
      </c>
      <c r="S5366" s="3" t="str">
        <f>IF(ISERROR(VLOOKUP(Base_Periodo1[[#This Row],[CONTA]],BaseContasDRE[#All],4,FALSE)),"Fora do DRE",VLOOKUP(Base_Periodo1[[#This Row],[CONTA]],BaseContasDRE[#All],4,FALSE))</f>
        <v>Fora do DRE</v>
      </c>
      <c r="T5366" s="3" t="str">
        <f>IF(ISERROR(VLOOKUP(Base_Periodo1[[#This Row],[CONTA]],BaseContasDRE[#All],5,FALSE)),"Fora do DRE",VLOOKUP(Base_Periodo1[[#This Row],[CONTA]],BaseContasDRE[#All],6,FALSE))</f>
        <v>Fora do DRE</v>
      </c>
      <c r="U5366" s="3" t="str">
        <f>IF(ISERROR(VLOOKUP(Base_Periodo1[[#This Row],[CONTA]],BaseContasDRE[#All],7,FALSE)),"Fora do DRE",VLOOKUP(Base_Periodo1[[#This Row],[CONTA]],BaseContasDRE[#All],7,FALSE))</f>
        <v>Fora do DRE</v>
      </c>
      <c r="V5366" s="3" t="str">
        <f>IF(Base_Periodo1[[#This Row],[Tipo_Linha]]="Fora do DRE","Fora do DRE","( "&amp;Base_Periodo1[[#This Row],[Tipo_Linha]]&amp;" ) "&amp;Base_Periodo1[[#This Row],[Filtro]])</f>
        <v>Fora do DRE</v>
      </c>
      <c r="W5366" s="3" t="str">
        <f>LEFT(Base_Periodo1[[#This Row],[CLASS]],3)</f>
        <v>2.4</v>
      </c>
    </row>
    <row r="5367" spans="1:23" hidden="1">
      <c r="A5367" s="3" t="str">
        <f t="shared" si="83"/>
        <v>Período 1</v>
      </c>
      <c r="B5367">
        <v>25061</v>
      </c>
      <c r="C5367" t="s">
        <v>2300</v>
      </c>
      <c r="D5367" t="s">
        <v>3202</v>
      </c>
      <c r="E5367" s="3" t="str">
        <f>IF(LEN(Base_Periodo1[[#This Row],[CLASS]])&gt;=7,LEFT(Base_Periodo1[[#This Row],[CLASS]],7),"")</f>
        <v>2.4.1.1</v>
      </c>
      <c r="F5367" s="3" t="str">
        <f>VLOOKUP(Base_Periodo1[[#This Row],[Aux]],Base_Contas_Balanco[#All],2,FALSE)</f>
        <v>Capital Social Realizado</v>
      </c>
      <c r="G5367" s="1"/>
      <c r="H5367" s="281">
        <v>914.18999999999994</v>
      </c>
      <c r="I5367" s="281">
        <v>0</v>
      </c>
      <c r="J5367" s="281">
        <v>0</v>
      </c>
      <c r="K5367" s="281">
        <v>914.18999999999994</v>
      </c>
      <c r="L536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914.19</v>
      </c>
      <c r="M5367" s="281">
        <f>ROUND(IF(AND(Base_Periodo1[[#This Row],[Tipo_Linha]]="-",Base_Periodo1[[#This Row],[TIPOSALDO]]="D"),Base_Periodo1[[#This Row],[SALDO_ATUAL]]*-1,Base_Periodo1[[#This Row],[SALDO_ATUAL]]),4)</f>
        <v>914.19</v>
      </c>
      <c r="N5367" t="s">
        <v>116</v>
      </c>
      <c r="O5367" t="s">
        <v>459</v>
      </c>
      <c r="P5367" t="s">
        <v>459</v>
      </c>
      <c r="Q5367">
        <v>6</v>
      </c>
      <c r="R5367" s="281">
        <f>Base_Periodo1[[#This Row],[CREDITOS]]-Base_Periodo1[[#This Row],[DEBITOS]]</f>
        <v>0</v>
      </c>
      <c r="S5367" s="3" t="str">
        <f>IF(ISERROR(VLOOKUP(Base_Periodo1[[#This Row],[CONTA]],BaseContasDRE[#All],4,FALSE)),"Fora do DRE",VLOOKUP(Base_Periodo1[[#This Row],[CONTA]],BaseContasDRE[#All],4,FALSE))</f>
        <v>Fora do DRE</v>
      </c>
      <c r="T5367" s="3" t="str">
        <f>IF(ISERROR(VLOOKUP(Base_Periodo1[[#This Row],[CONTA]],BaseContasDRE[#All],5,FALSE)),"Fora do DRE",VLOOKUP(Base_Periodo1[[#This Row],[CONTA]],BaseContasDRE[#All],6,FALSE))</f>
        <v>Fora do DRE</v>
      </c>
      <c r="U5367" s="3" t="str">
        <f>IF(ISERROR(VLOOKUP(Base_Periodo1[[#This Row],[CONTA]],BaseContasDRE[#All],7,FALSE)),"Fora do DRE",VLOOKUP(Base_Periodo1[[#This Row],[CONTA]],BaseContasDRE[#All],7,FALSE))</f>
        <v>Fora do DRE</v>
      </c>
      <c r="V5367" s="3" t="str">
        <f>IF(Base_Periodo1[[#This Row],[Tipo_Linha]]="Fora do DRE","Fora do DRE","( "&amp;Base_Periodo1[[#This Row],[Tipo_Linha]]&amp;" ) "&amp;Base_Periodo1[[#This Row],[Filtro]])</f>
        <v>Fora do DRE</v>
      </c>
      <c r="W5367" s="3" t="str">
        <f>LEFT(Base_Periodo1[[#This Row],[CLASS]],3)</f>
        <v>2.4</v>
      </c>
    </row>
    <row r="5368" spans="1:23" hidden="1">
      <c r="A5368" s="3" t="str">
        <f t="shared" si="83"/>
        <v>Período 1</v>
      </c>
      <c r="B5368">
        <v>16084</v>
      </c>
      <c r="C5368" t="s">
        <v>2300</v>
      </c>
      <c r="D5368" t="s">
        <v>3203</v>
      </c>
      <c r="E5368" s="3" t="str">
        <f>IF(LEN(Base_Periodo1[[#This Row],[CLASS]])&gt;=7,LEFT(Base_Periodo1[[#This Row],[CLASS]],7),"")</f>
        <v>2.4.1.1</v>
      </c>
      <c r="F5368" s="3" t="str">
        <f>VLOOKUP(Base_Periodo1[[#This Row],[Aux]],Base_Contas_Balanco[#All],2,FALSE)</f>
        <v>Capital Social Realizado</v>
      </c>
      <c r="G5368" s="1"/>
      <c r="H5368" s="281">
        <v>18044.43</v>
      </c>
      <c r="I5368" s="281">
        <v>0</v>
      </c>
      <c r="J5368" s="281">
        <v>0</v>
      </c>
      <c r="K5368" s="281">
        <v>18044.43</v>
      </c>
      <c r="L536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18044.43</v>
      </c>
      <c r="M5368" s="281">
        <f>ROUND(IF(AND(Base_Periodo1[[#This Row],[Tipo_Linha]]="-",Base_Periodo1[[#This Row],[TIPOSALDO]]="D"),Base_Periodo1[[#This Row],[SALDO_ATUAL]]*-1,Base_Periodo1[[#This Row],[SALDO_ATUAL]]),4)</f>
        <v>18044.43</v>
      </c>
      <c r="N5368" t="s">
        <v>116</v>
      </c>
      <c r="O5368" t="s">
        <v>459</v>
      </c>
      <c r="P5368" t="s">
        <v>459</v>
      </c>
      <c r="Q5368">
        <v>6</v>
      </c>
      <c r="R5368" s="281">
        <f>Base_Periodo1[[#This Row],[CREDITOS]]-Base_Periodo1[[#This Row],[DEBITOS]]</f>
        <v>0</v>
      </c>
      <c r="S5368" s="3" t="str">
        <f>IF(ISERROR(VLOOKUP(Base_Periodo1[[#This Row],[CONTA]],BaseContasDRE[#All],4,FALSE)),"Fora do DRE",VLOOKUP(Base_Periodo1[[#This Row],[CONTA]],BaseContasDRE[#All],4,FALSE))</f>
        <v>Fora do DRE</v>
      </c>
      <c r="T5368" s="3" t="str">
        <f>IF(ISERROR(VLOOKUP(Base_Periodo1[[#This Row],[CONTA]],BaseContasDRE[#All],5,FALSE)),"Fora do DRE",VLOOKUP(Base_Periodo1[[#This Row],[CONTA]],BaseContasDRE[#All],6,FALSE))</f>
        <v>Fora do DRE</v>
      </c>
      <c r="U5368" s="3" t="str">
        <f>IF(ISERROR(VLOOKUP(Base_Periodo1[[#This Row],[CONTA]],BaseContasDRE[#All],7,FALSE)),"Fora do DRE",VLOOKUP(Base_Periodo1[[#This Row],[CONTA]],BaseContasDRE[#All],7,FALSE))</f>
        <v>Fora do DRE</v>
      </c>
      <c r="V5368" s="3" t="str">
        <f>IF(Base_Periodo1[[#This Row],[Tipo_Linha]]="Fora do DRE","Fora do DRE","( "&amp;Base_Periodo1[[#This Row],[Tipo_Linha]]&amp;" ) "&amp;Base_Periodo1[[#This Row],[Filtro]])</f>
        <v>Fora do DRE</v>
      </c>
      <c r="W5368" s="3" t="str">
        <f>LEFT(Base_Periodo1[[#This Row],[CLASS]],3)</f>
        <v>2.4</v>
      </c>
    </row>
    <row r="5369" spans="1:23" hidden="1">
      <c r="A5369" s="3" t="str">
        <f t="shared" si="83"/>
        <v>Período 1</v>
      </c>
      <c r="B5369">
        <v>25240</v>
      </c>
      <c r="C5369" t="s">
        <v>2300</v>
      </c>
      <c r="D5369" t="s">
        <v>3204</v>
      </c>
      <c r="E5369" s="3" t="str">
        <f>IF(LEN(Base_Periodo1[[#This Row],[CLASS]])&gt;=7,LEFT(Base_Periodo1[[#This Row],[CLASS]],7),"")</f>
        <v>2.4.1.1</v>
      </c>
      <c r="F5369" s="3" t="str">
        <f>VLOOKUP(Base_Periodo1[[#This Row],[Aux]],Base_Contas_Balanco[#All],2,FALSE)</f>
        <v>Capital Social Realizado</v>
      </c>
      <c r="G5369" s="1"/>
      <c r="H5369" s="281">
        <v>895.65</v>
      </c>
      <c r="I5369" s="281">
        <v>0</v>
      </c>
      <c r="J5369" s="281">
        <v>0</v>
      </c>
      <c r="K5369" s="281">
        <v>895.65</v>
      </c>
      <c r="L536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895.65</v>
      </c>
      <c r="M5369" s="281">
        <f>ROUND(IF(AND(Base_Periodo1[[#This Row],[Tipo_Linha]]="-",Base_Periodo1[[#This Row],[TIPOSALDO]]="D"),Base_Periodo1[[#This Row],[SALDO_ATUAL]]*-1,Base_Periodo1[[#This Row],[SALDO_ATUAL]]),4)</f>
        <v>895.65</v>
      </c>
      <c r="N5369" t="s">
        <v>116</v>
      </c>
      <c r="O5369" t="s">
        <v>459</v>
      </c>
      <c r="P5369" t="s">
        <v>459</v>
      </c>
      <c r="Q5369">
        <v>6</v>
      </c>
      <c r="R5369" s="281">
        <f>Base_Periodo1[[#This Row],[CREDITOS]]-Base_Periodo1[[#This Row],[DEBITOS]]</f>
        <v>0</v>
      </c>
      <c r="S5369" s="3" t="str">
        <f>IF(ISERROR(VLOOKUP(Base_Periodo1[[#This Row],[CONTA]],BaseContasDRE[#All],4,FALSE)),"Fora do DRE",VLOOKUP(Base_Periodo1[[#This Row],[CONTA]],BaseContasDRE[#All],4,FALSE))</f>
        <v>Fora do DRE</v>
      </c>
      <c r="T5369" s="3" t="str">
        <f>IF(ISERROR(VLOOKUP(Base_Periodo1[[#This Row],[CONTA]],BaseContasDRE[#All],5,FALSE)),"Fora do DRE",VLOOKUP(Base_Periodo1[[#This Row],[CONTA]],BaseContasDRE[#All],6,FALSE))</f>
        <v>Fora do DRE</v>
      </c>
      <c r="U5369" s="3" t="str">
        <f>IF(ISERROR(VLOOKUP(Base_Periodo1[[#This Row],[CONTA]],BaseContasDRE[#All],7,FALSE)),"Fora do DRE",VLOOKUP(Base_Periodo1[[#This Row],[CONTA]],BaseContasDRE[#All],7,FALSE))</f>
        <v>Fora do DRE</v>
      </c>
      <c r="V5369" s="3" t="str">
        <f>IF(Base_Periodo1[[#This Row],[Tipo_Linha]]="Fora do DRE","Fora do DRE","( "&amp;Base_Periodo1[[#This Row],[Tipo_Linha]]&amp;" ) "&amp;Base_Periodo1[[#This Row],[Filtro]])</f>
        <v>Fora do DRE</v>
      </c>
      <c r="W5369" s="3" t="str">
        <f>LEFT(Base_Periodo1[[#This Row],[CLASS]],3)</f>
        <v>2.4</v>
      </c>
    </row>
    <row r="5370" spans="1:23" hidden="1">
      <c r="A5370" s="3" t="str">
        <f t="shared" si="83"/>
        <v>Período 1</v>
      </c>
      <c r="B5370">
        <v>24804</v>
      </c>
      <c r="C5370" t="s">
        <v>2300</v>
      </c>
      <c r="D5370" t="s">
        <v>3205</v>
      </c>
      <c r="E5370" s="3" t="str">
        <f>IF(LEN(Base_Periodo1[[#This Row],[CLASS]])&gt;=7,LEFT(Base_Periodo1[[#This Row],[CLASS]],7),"")</f>
        <v>2.4.1.1</v>
      </c>
      <c r="F5370" s="3" t="str">
        <f>VLOOKUP(Base_Periodo1[[#This Row],[Aux]],Base_Contas_Balanco[#All],2,FALSE)</f>
        <v>Capital Social Realizado</v>
      </c>
      <c r="G5370" s="1"/>
      <c r="H5370" s="281">
        <v>1489.73</v>
      </c>
      <c r="I5370" s="281">
        <v>0</v>
      </c>
      <c r="J5370" s="281">
        <v>0</v>
      </c>
      <c r="K5370" s="281">
        <v>1489.73</v>
      </c>
      <c r="L537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1489.73</v>
      </c>
      <c r="M5370" s="281">
        <f>ROUND(IF(AND(Base_Periodo1[[#This Row],[Tipo_Linha]]="-",Base_Periodo1[[#This Row],[TIPOSALDO]]="D"),Base_Periodo1[[#This Row],[SALDO_ATUAL]]*-1,Base_Periodo1[[#This Row],[SALDO_ATUAL]]),4)</f>
        <v>1489.73</v>
      </c>
      <c r="N5370" t="s">
        <v>116</v>
      </c>
      <c r="O5370" t="s">
        <v>459</v>
      </c>
      <c r="P5370" t="s">
        <v>459</v>
      </c>
      <c r="Q5370">
        <v>6</v>
      </c>
      <c r="R5370" s="281">
        <f>Base_Periodo1[[#This Row],[CREDITOS]]-Base_Periodo1[[#This Row],[DEBITOS]]</f>
        <v>0</v>
      </c>
      <c r="S5370" s="3" t="str">
        <f>IF(ISERROR(VLOOKUP(Base_Periodo1[[#This Row],[CONTA]],BaseContasDRE[#All],4,FALSE)),"Fora do DRE",VLOOKUP(Base_Periodo1[[#This Row],[CONTA]],BaseContasDRE[#All],4,FALSE))</f>
        <v>Fora do DRE</v>
      </c>
      <c r="T5370" s="3" t="str">
        <f>IF(ISERROR(VLOOKUP(Base_Periodo1[[#This Row],[CONTA]],BaseContasDRE[#All],5,FALSE)),"Fora do DRE",VLOOKUP(Base_Periodo1[[#This Row],[CONTA]],BaseContasDRE[#All],6,FALSE))</f>
        <v>Fora do DRE</v>
      </c>
      <c r="U5370" s="3" t="str">
        <f>IF(ISERROR(VLOOKUP(Base_Periodo1[[#This Row],[CONTA]],BaseContasDRE[#All],7,FALSE)),"Fora do DRE",VLOOKUP(Base_Periodo1[[#This Row],[CONTA]],BaseContasDRE[#All],7,FALSE))</f>
        <v>Fora do DRE</v>
      </c>
      <c r="V5370" s="3" t="str">
        <f>IF(Base_Periodo1[[#This Row],[Tipo_Linha]]="Fora do DRE","Fora do DRE","( "&amp;Base_Periodo1[[#This Row],[Tipo_Linha]]&amp;" ) "&amp;Base_Periodo1[[#This Row],[Filtro]])</f>
        <v>Fora do DRE</v>
      </c>
      <c r="W5370" s="3" t="str">
        <f>LEFT(Base_Periodo1[[#This Row],[CLASS]],3)</f>
        <v>2.4</v>
      </c>
    </row>
    <row r="5371" spans="1:23" hidden="1">
      <c r="A5371" s="3" t="str">
        <f t="shared" si="83"/>
        <v>Período 1</v>
      </c>
      <c r="B5371">
        <v>39311</v>
      </c>
      <c r="C5371" t="s">
        <v>2300</v>
      </c>
      <c r="D5371" t="s">
        <v>3206</v>
      </c>
      <c r="E5371" s="3" t="str">
        <f>IF(LEN(Base_Periodo1[[#This Row],[CLASS]])&gt;=7,LEFT(Base_Periodo1[[#This Row],[CLASS]],7),"")</f>
        <v>2.4.1.1</v>
      </c>
      <c r="F5371" s="3" t="str">
        <f>VLOOKUP(Base_Periodo1[[#This Row],[Aux]],Base_Contas_Balanco[#All],2,FALSE)</f>
        <v>Capital Social Realizado</v>
      </c>
      <c r="G5371" s="1"/>
      <c r="H5371" s="281">
        <v>493.05</v>
      </c>
      <c r="I5371" s="281">
        <v>0</v>
      </c>
      <c r="J5371" s="281">
        <v>0</v>
      </c>
      <c r="K5371" s="281">
        <v>493.05</v>
      </c>
      <c r="L537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493.05</v>
      </c>
      <c r="M5371" s="281">
        <f>ROUND(IF(AND(Base_Periodo1[[#This Row],[Tipo_Linha]]="-",Base_Periodo1[[#This Row],[TIPOSALDO]]="D"),Base_Periodo1[[#This Row],[SALDO_ATUAL]]*-1,Base_Periodo1[[#This Row],[SALDO_ATUAL]]),4)</f>
        <v>493.05</v>
      </c>
      <c r="N5371" t="s">
        <v>116</v>
      </c>
      <c r="O5371" t="s">
        <v>459</v>
      </c>
      <c r="P5371" t="s">
        <v>459</v>
      </c>
      <c r="Q5371">
        <v>6</v>
      </c>
      <c r="R5371" s="281">
        <f>Base_Periodo1[[#This Row],[CREDITOS]]-Base_Periodo1[[#This Row],[DEBITOS]]</f>
        <v>0</v>
      </c>
      <c r="S5371" s="3" t="str">
        <f>IF(ISERROR(VLOOKUP(Base_Periodo1[[#This Row],[CONTA]],BaseContasDRE[#All],4,FALSE)),"Fora do DRE",VLOOKUP(Base_Periodo1[[#This Row],[CONTA]],BaseContasDRE[#All],4,FALSE))</f>
        <v>Fora do DRE</v>
      </c>
      <c r="T5371" s="3" t="str">
        <f>IF(ISERROR(VLOOKUP(Base_Periodo1[[#This Row],[CONTA]],BaseContasDRE[#All],5,FALSE)),"Fora do DRE",VLOOKUP(Base_Periodo1[[#This Row],[CONTA]],BaseContasDRE[#All],6,FALSE))</f>
        <v>Fora do DRE</v>
      </c>
      <c r="U5371" s="3" t="str">
        <f>IF(ISERROR(VLOOKUP(Base_Periodo1[[#This Row],[CONTA]],BaseContasDRE[#All],7,FALSE)),"Fora do DRE",VLOOKUP(Base_Periodo1[[#This Row],[CONTA]],BaseContasDRE[#All],7,FALSE))</f>
        <v>Fora do DRE</v>
      </c>
      <c r="V5371" s="3" t="str">
        <f>IF(Base_Periodo1[[#This Row],[Tipo_Linha]]="Fora do DRE","Fora do DRE","( "&amp;Base_Periodo1[[#This Row],[Tipo_Linha]]&amp;" ) "&amp;Base_Periodo1[[#This Row],[Filtro]])</f>
        <v>Fora do DRE</v>
      </c>
      <c r="W5371" s="3" t="str">
        <f>LEFT(Base_Periodo1[[#This Row],[CLASS]],3)</f>
        <v>2.4</v>
      </c>
    </row>
    <row r="5372" spans="1:23" hidden="1">
      <c r="A5372" s="3" t="str">
        <f t="shared" si="83"/>
        <v>Período 1</v>
      </c>
      <c r="B5372">
        <v>39851</v>
      </c>
      <c r="C5372" t="s">
        <v>2300</v>
      </c>
      <c r="D5372" t="s">
        <v>3207</v>
      </c>
      <c r="E5372" s="3" t="str">
        <f>IF(LEN(Base_Periodo1[[#This Row],[CLASS]])&gt;=7,LEFT(Base_Periodo1[[#This Row],[CLASS]],7),"")</f>
        <v>2.4.1.1</v>
      </c>
      <c r="F5372" s="3" t="str">
        <f>VLOOKUP(Base_Periodo1[[#This Row],[Aux]],Base_Contas_Balanco[#All],2,FALSE)</f>
        <v>Capital Social Realizado</v>
      </c>
      <c r="G5372" s="1"/>
      <c r="H5372" s="281">
        <v>64.45</v>
      </c>
      <c r="I5372" s="281">
        <v>0</v>
      </c>
      <c r="J5372" s="281">
        <v>0</v>
      </c>
      <c r="K5372" s="281">
        <v>64.45</v>
      </c>
      <c r="L537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64.45</v>
      </c>
      <c r="M5372" s="281">
        <f>ROUND(IF(AND(Base_Periodo1[[#This Row],[Tipo_Linha]]="-",Base_Periodo1[[#This Row],[TIPOSALDO]]="D"),Base_Periodo1[[#This Row],[SALDO_ATUAL]]*-1,Base_Periodo1[[#This Row],[SALDO_ATUAL]]),4)</f>
        <v>64.45</v>
      </c>
      <c r="N5372" t="s">
        <v>116</v>
      </c>
      <c r="O5372" t="s">
        <v>459</v>
      </c>
      <c r="P5372" t="s">
        <v>459</v>
      </c>
      <c r="Q5372">
        <v>6</v>
      </c>
      <c r="R5372" s="281">
        <f>Base_Periodo1[[#This Row],[CREDITOS]]-Base_Periodo1[[#This Row],[DEBITOS]]</f>
        <v>0</v>
      </c>
      <c r="S5372" s="3" t="str">
        <f>IF(ISERROR(VLOOKUP(Base_Periodo1[[#This Row],[CONTA]],BaseContasDRE[#All],4,FALSE)),"Fora do DRE",VLOOKUP(Base_Periodo1[[#This Row],[CONTA]],BaseContasDRE[#All],4,FALSE))</f>
        <v>Fora do DRE</v>
      </c>
      <c r="T5372" s="3" t="str">
        <f>IF(ISERROR(VLOOKUP(Base_Periodo1[[#This Row],[CONTA]],BaseContasDRE[#All],5,FALSE)),"Fora do DRE",VLOOKUP(Base_Periodo1[[#This Row],[CONTA]],BaseContasDRE[#All],6,FALSE))</f>
        <v>Fora do DRE</v>
      </c>
      <c r="U5372" s="3" t="str">
        <f>IF(ISERROR(VLOOKUP(Base_Periodo1[[#This Row],[CONTA]],BaseContasDRE[#All],7,FALSE)),"Fora do DRE",VLOOKUP(Base_Periodo1[[#This Row],[CONTA]],BaseContasDRE[#All],7,FALSE))</f>
        <v>Fora do DRE</v>
      </c>
      <c r="V5372" s="3" t="str">
        <f>IF(Base_Periodo1[[#This Row],[Tipo_Linha]]="Fora do DRE","Fora do DRE","( "&amp;Base_Periodo1[[#This Row],[Tipo_Linha]]&amp;" ) "&amp;Base_Periodo1[[#This Row],[Filtro]])</f>
        <v>Fora do DRE</v>
      </c>
      <c r="W5372" s="3" t="str">
        <f>LEFT(Base_Periodo1[[#This Row],[CLASS]],3)</f>
        <v>2.4</v>
      </c>
    </row>
    <row r="5373" spans="1:23" hidden="1">
      <c r="A5373" s="3" t="str">
        <f t="shared" si="83"/>
        <v>Período 1</v>
      </c>
      <c r="B5373">
        <v>25570</v>
      </c>
      <c r="C5373" t="s">
        <v>2300</v>
      </c>
      <c r="D5373" t="s">
        <v>3208</v>
      </c>
      <c r="E5373" s="3" t="str">
        <f>IF(LEN(Base_Periodo1[[#This Row],[CLASS]])&gt;=7,LEFT(Base_Periodo1[[#This Row],[CLASS]],7),"")</f>
        <v>2.4.1.1</v>
      </c>
      <c r="F5373" s="3" t="str">
        <f>VLOOKUP(Base_Periodo1[[#This Row],[Aux]],Base_Contas_Balanco[#All],2,FALSE)</f>
        <v>Capital Social Realizado</v>
      </c>
      <c r="G5373" s="1"/>
      <c r="H5373" s="281">
        <v>830.22</v>
      </c>
      <c r="I5373" s="281">
        <v>0</v>
      </c>
      <c r="J5373" s="281">
        <v>0</v>
      </c>
      <c r="K5373" s="281">
        <v>830.22</v>
      </c>
      <c r="L537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830.22</v>
      </c>
      <c r="M5373" s="281">
        <f>ROUND(IF(AND(Base_Periodo1[[#This Row],[Tipo_Linha]]="-",Base_Periodo1[[#This Row],[TIPOSALDO]]="D"),Base_Periodo1[[#This Row],[SALDO_ATUAL]]*-1,Base_Periodo1[[#This Row],[SALDO_ATUAL]]),4)</f>
        <v>830.22</v>
      </c>
      <c r="N5373" t="s">
        <v>116</v>
      </c>
      <c r="O5373" t="s">
        <v>459</v>
      </c>
      <c r="P5373" t="s">
        <v>459</v>
      </c>
      <c r="Q5373">
        <v>6</v>
      </c>
      <c r="R5373" s="281">
        <f>Base_Periodo1[[#This Row],[CREDITOS]]-Base_Periodo1[[#This Row],[DEBITOS]]</f>
        <v>0</v>
      </c>
      <c r="S5373" s="3" t="str">
        <f>IF(ISERROR(VLOOKUP(Base_Periodo1[[#This Row],[CONTA]],BaseContasDRE[#All],4,FALSE)),"Fora do DRE",VLOOKUP(Base_Periodo1[[#This Row],[CONTA]],BaseContasDRE[#All],4,FALSE))</f>
        <v>Fora do DRE</v>
      </c>
      <c r="T5373" s="3" t="str">
        <f>IF(ISERROR(VLOOKUP(Base_Periodo1[[#This Row],[CONTA]],BaseContasDRE[#All],5,FALSE)),"Fora do DRE",VLOOKUP(Base_Periodo1[[#This Row],[CONTA]],BaseContasDRE[#All],6,FALSE))</f>
        <v>Fora do DRE</v>
      </c>
      <c r="U5373" s="3" t="str">
        <f>IF(ISERROR(VLOOKUP(Base_Periodo1[[#This Row],[CONTA]],BaseContasDRE[#All],7,FALSE)),"Fora do DRE",VLOOKUP(Base_Periodo1[[#This Row],[CONTA]],BaseContasDRE[#All],7,FALSE))</f>
        <v>Fora do DRE</v>
      </c>
      <c r="V5373" s="3" t="str">
        <f>IF(Base_Periodo1[[#This Row],[Tipo_Linha]]="Fora do DRE","Fora do DRE","( "&amp;Base_Periodo1[[#This Row],[Tipo_Linha]]&amp;" ) "&amp;Base_Periodo1[[#This Row],[Filtro]])</f>
        <v>Fora do DRE</v>
      </c>
      <c r="W5373" s="3" t="str">
        <f>LEFT(Base_Periodo1[[#This Row],[CLASS]],3)</f>
        <v>2.4</v>
      </c>
    </row>
    <row r="5374" spans="1:23" hidden="1">
      <c r="A5374" s="3" t="str">
        <f t="shared" si="83"/>
        <v>Período 1</v>
      </c>
      <c r="B5374">
        <v>19773</v>
      </c>
      <c r="C5374" t="s">
        <v>2300</v>
      </c>
      <c r="D5374" t="s">
        <v>3209</v>
      </c>
      <c r="E5374" s="3" t="str">
        <f>IF(LEN(Base_Periodo1[[#This Row],[CLASS]])&gt;=7,LEFT(Base_Periodo1[[#This Row],[CLASS]],7),"")</f>
        <v>2.4.1.1</v>
      </c>
      <c r="F5374" s="3" t="str">
        <f>VLOOKUP(Base_Periodo1[[#This Row],[Aux]],Base_Contas_Balanco[#All],2,FALSE)</f>
        <v>Capital Social Realizado</v>
      </c>
      <c r="G5374" s="1"/>
      <c r="H5374" s="281">
        <v>137.45999999999998</v>
      </c>
      <c r="I5374" s="281">
        <v>0</v>
      </c>
      <c r="J5374" s="281">
        <v>0</v>
      </c>
      <c r="K5374" s="281">
        <v>137.45999999999998</v>
      </c>
      <c r="L537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137.46</v>
      </c>
      <c r="M5374" s="281">
        <f>ROUND(IF(AND(Base_Periodo1[[#This Row],[Tipo_Linha]]="-",Base_Periodo1[[#This Row],[TIPOSALDO]]="D"),Base_Periodo1[[#This Row],[SALDO_ATUAL]]*-1,Base_Periodo1[[#This Row],[SALDO_ATUAL]]),4)</f>
        <v>137.46</v>
      </c>
      <c r="N5374" t="s">
        <v>116</v>
      </c>
      <c r="O5374" t="s">
        <v>459</v>
      </c>
      <c r="P5374" t="s">
        <v>459</v>
      </c>
      <c r="Q5374">
        <v>6</v>
      </c>
      <c r="R5374" s="281">
        <f>Base_Periodo1[[#This Row],[CREDITOS]]-Base_Periodo1[[#This Row],[DEBITOS]]</f>
        <v>0</v>
      </c>
      <c r="S5374" s="3" t="str">
        <f>IF(ISERROR(VLOOKUP(Base_Periodo1[[#This Row],[CONTA]],BaseContasDRE[#All],4,FALSE)),"Fora do DRE",VLOOKUP(Base_Periodo1[[#This Row],[CONTA]],BaseContasDRE[#All],4,FALSE))</f>
        <v>Fora do DRE</v>
      </c>
      <c r="T5374" s="3" t="str">
        <f>IF(ISERROR(VLOOKUP(Base_Periodo1[[#This Row],[CONTA]],BaseContasDRE[#All],5,FALSE)),"Fora do DRE",VLOOKUP(Base_Periodo1[[#This Row],[CONTA]],BaseContasDRE[#All],6,FALSE))</f>
        <v>Fora do DRE</v>
      </c>
      <c r="U5374" s="3" t="str">
        <f>IF(ISERROR(VLOOKUP(Base_Periodo1[[#This Row],[CONTA]],BaseContasDRE[#All],7,FALSE)),"Fora do DRE",VLOOKUP(Base_Periodo1[[#This Row],[CONTA]],BaseContasDRE[#All],7,FALSE))</f>
        <v>Fora do DRE</v>
      </c>
      <c r="V5374" s="3" t="str">
        <f>IF(Base_Periodo1[[#This Row],[Tipo_Linha]]="Fora do DRE","Fora do DRE","( "&amp;Base_Periodo1[[#This Row],[Tipo_Linha]]&amp;" ) "&amp;Base_Periodo1[[#This Row],[Filtro]])</f>
        <v>Fora do DRE</v>
      </c>
      <c r="W5374" s="3" t="str">
        <f>LEFT(Base_Periodo1[[#This Row],[CLASS]],3)</f>
        <v>2.4</v>
      </c>
    </row>
    <row r="5375" spans="1:23" hidden="1">
      <c r="A5375" s="3" t="str">
        <f t="shared" si="83"/>
        <v>Período 1</v>
      </c>
      <c r="B5375">
        <v>19269</v>
      </c>
      <c r="C5375" t="s">
        <v>2300</v>
      </c>
      <c r="D5375" t="s">
        <v>3210</v>
      </c>
      <c r="E5375" s="3" t="str">
        <f>IF(LEN(Base_Periodo1[[#This Row],[CLASS]])&gt;=7,LEFT(Base_Periodo1[[#This Row],[CLASS]],7),"")</f>
        <v>2.4.1.1</v>
      </c>
      <c r="F5375" s="3" t="str">
        <f>VLOOKUP(Base_Periodo1[[#This Row],[Aux]],Base_Contas_Balanco[#All],2,FALSE)</f>
        <v>Capital Social Realizado</v>
      </c>
      <c r="G5375" s="1"/>
      <c r="H5375" s="281">
        <v>1012.2900000000001</v>
      </c>
      <c r="I5375" s="281">
        <v>0</v>
      </c>
      <c r="J5375" s="281">
        <v>0</v>
      </c>
      <c r="K5375" s="281">
        <v>1012.2900000000001</v>
      </c>
      <c r="L537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1012.29</v>
      </c>
      <c r="M5375" s="281">
        <f>ROUND(IF(AND(Base_Periodo1[[#This Row],[Tipo_Linha]]="-",Base_Periodo1[[#This Row],[TIPOSALDO]]="D"),Base_Periodo1[[#This Row],[SALDO_ATUAL]]*-1,Base_Periodo1[[#This Row],[SALDO_ATUAL]]),4)</f>
        <v>1012.29</v>
      </c>
      <c r="N5375" t="s">
        <v>116</v>
      </c>
      <c r="O5375" t="s">
        <v>459</v>
      </c>
      <c r="P5375" t="s">
        <v>459</v>
      </c>
      <c r="Q5375">
        <v>6</v>
      </c>
      <c r="R5375" s="281">
        <f>Base_Periodo1[[#This Row],[CREDITOS]]-Base_Periodo1[[#This Row],[DEBITOS]]</f>
        <v>0</v>
      </c>
      <c r="S5375" s="3" t="str">
        <f>IF(ISERROR(VLOOKUP(Base_Periodo1[[#This Row],[CONTA]],BaseContasDRE[#All],4,FALSE)),"Fora do DRE",VLOOKUP(Base_Periodo1[[#This Row],[CONTA]],BaseContasDRE[#All],4,FALSE))</f>
        <v>Fora do DRE</v>
      </c>
      <c r="T5375" s="3" t="str">
        <f>IF(ISERROR(VLOOKUP(Base_Periodo1[[#This Row],[CONTA]],BaseContasDRE[#All],5,FALSE)),"Fora do DRE",VLOOKUP(Base_Periodo1[[#This Row],[CONTA]],BaseContasDRE[#All],6,FALSE))</f>
        <v>Fora do DRE</v>
      </c>
      <c r="U5375" s="3" t="str">
        <f>IF(ISERROR(VLOOKUP(Base_Periodo1[[#This Row],[CONTA]],BaseContasDRE[#All],7,FALSE)),"Fora do DRE",VLOOKUP(Base_Periodo1[[#This Row],[CONTA]],BaseContasDRE[#All],7,FALSE))</f>
        <v>Fora do DRE</v>
      </c>
      <c r="V5375" s="3" t="str">
        <f>IF(Base_Periodo1[[#This Row],[Tipo_Linha]]="Fora do DRE","Fora do DRE","( "&amp;Base_Periodo1[[#This Row],[Tipo_Linha]]&amp;" ) "&amp;Base_Periodo1[[#This Row],[Filtro]])</f>
        <v>Fora do DRE</v>
      </c>
      <c r="W5375" s="3" t="str">
        <f>LEFT(Base_Periodo1[[#This Row],[CLASS]],3)</f>
        <v>2.4</v>
      </c>
    </row>
    <row r="5376" spans="1:23" hidden="1">
      <c r="A5376" s="3" t="str">
        <f t="shared" si="83"/>
        <v>Período 1</v>
      </c>
      <c r="B5376">
        <v>16021</v>
      </c>
      <c r="C5376" t="s">
        <v>2300</v>
      </c>
      <c r="D5376" t="s">
        <v>3211</v>
      </c>
      <c r="E5376" s="3" t="str">
        <f>IF(LEN(Base_Periodo1[[#This Row],[CLASS]])&gt;=7,LEFT(Base_Periodo1[[#This Row],[CLASS]],7),"")</f>
        <v>2.4.1.1</v>
      </c>
      <c r="F5376" s="3" t="str">
        <f>VLOOKUP(Base_Periodo1[[#This Row],[Aux]],Base_Contas_Balanco[#All],2,FALSE)</f>
        <v>Capital Social Realizado</v>
      </c>
      <c r="G5376" s="1"/>
      <c r="H5376" s="281">
        <v>1164.01</v>
      </c>
      <c r="I5376" s="281">
        <v>0</v>
      </c>
      <c r="J5376" s="281">
        <v>0</v>
      </c>
      <c r="K5376" s="281">
        <v>1164.01</v>
      </c>
      <c r="L537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1164.01</v>
      </c>
      <c r="M5376" s="281">
        <f>ROUND(IF(AND(Base_Periodo1[[#This Row],[Tipo_Linha]]="-",Base_Periodo1[[#This Row],[TIPOSALDO]]="D"),Base_Periodo1[[#This Row],[SALDO_ATUAL]]*-1,Base_Periodo1[[#This Row],[SALDO_ATUAL]]),4)</f>
        <v>1164.01</v>
      </c>
      <c r="N5376" t="s">
        <v>116</v>
      </c>
      <c r="O5376" t="s">
        <v>459</v>
      </c>
      <c r="P5376" t="s">
        <v>459</v>
      </c>
      <c r="Q5376">
        <v>6</v>
      </c>
      <c r="R5376" s="281">
        <f>Base_Periodo1[[#This Row],[CREDITOS]]-Base_Periodo1[[#This Row],[DEBITOS]]</f>
        <v>0</v>
      </c>
      <c r="S5376" s="3" t="str">
        <f>IF(ISERROR(VLOOKUP(Base_Periodo1[[#This Row],[CONTA]],BaseContasDRE[#All],4,FALSE)),"Fora do DRE",VLOOKUP(Base_Periodo1[[#This Row],[CONTA]],BaseContasDRE[#All],4,FALSE))</f>
        <v>Fora do DRE</v>
      </c>
      <c r="T5376" s="3" t="str">
        <f>IF(ISERROR(VLOOKUP(Base_Periodo1[[#This Row],[CONTA]],BaseContasDRE[#All],5,FALSE)),"Fora do DRE",VLOOKUP(Base_Periodo1[[#This Row],[CONTA]],BaseContasDRE[#All],6,FALSE))</f>
        <v>Fora do DRE</v>
      </c>
      <c r="U5376" s="3" t="str">
        <f>IF(ISERROR(VLOOKUP(Base_Periodo1[[#This Row],[CONTA]],BaseContasDRE[#All],7,FALSE)),"Fora do DRE",VLOOKUP(Base_Periodo1[[#This Row],[CONTA]],BaseContasDRE[#All],7,FALSE))</f>
        <v>Fora do DRE</v>
      </c>
      <c r="V5376" s="3" t="str">
        <f>IF(Base_Periodo1[[#This Row],[Tipo_Linha]]="Fora do DRE","Fora do DRE","( "&amp;Base_Periodo1[[#This Row],[Tipo_Linha]]&amp;" ) "&amp;Base_Periodo1[[#This Row],[Filtro]])</f>
        <v>Fora do DRE</v>
      </c>
      <c r="W5376" s="3" t="str">
        <f>LEFT(Base_Periodo1[[#This Row],[CLASS]],3)</f>
        <v>2.4</v>
      </c>
    </row>
    <row r="5377" spans="1:23" hidden="1">
      <c r="A5377" s="3" t="str">
        <f t="shared" si="83"/>
        <v>Período 1</v>
      </c>
      <c r="B5377">
        <v>40723</v>
      </c>
      <c r="C5377" t="s">
        <v>2300</v>
      </c>
      <c r="D5377" t="s">
        <v>3212</v>
      </c>
      <c r="E5377" s="3" t="str">
        <f>IF(LEN(Base_Periodo1[[#This Row],[CLASS]])&gt;=7,LEFT(Base_Periodo1[[#This Row],[CLASS]],7),"")</f>
        <v>2.4.1.1</v>
      </c>
      <c r="F5377" s="3" t="str">
        <f>VLOOKUP(Base_Periodo1[[#This Row],[Aux]],Base_Contas_Balanco[#All],2,FALSE)</f>
        <v>Capital Social Realizado</v>
      </c>
      <c r="G5377" s="1"/>
      <c r="H5377" s="281">
        <v>90.78</v>
      </c>
      <c r="I5377" s="281">
        <v>0</v>
      </c>
      <c r="J5377" s="281">
        <v>0</v>
      </c>
      <c r="K5377" s="281">
        <v>90.78</v>
      </c>
      <c r="L537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90.78</v>
      </c>
      <c r="M5377" s="281">
        <f>ROUND(IF(AND(Base_Periodo1[[#This Row],[Tipo_Linha]]="-",Base_Periodo1[[#This Row],[TIPOSALDO]]="D"),Base_Periodo1[[#This Row],[SALDO_ATUAL]]*-1,Base_Periodo1[[#This Row],[SALDO_ATUAL]]),4)</f>
        <v>90.78</v>
      </c>
      <c r="N5377" t="s">
        <v>116</v>
      </c>
      <c r="O5377" t="s">
        <v>459</v>
      </c>
      <c r="P5377" t="s">
        <v>459</v>
      </c>
      <c r="Q5377">
        <v>6</v>
      </c>
      <c r="R5377" s="281">
        <f>Base_Periodo1[[#This Row],[CREDITOS]]-Base_Periodo1[[#This Row],[DEBITOS]]</f>
        <v>0</v>
      </c>
      <c r="S5377" s="3" t="str">
        <f>IF(ISERROR(VLOOKUP(Base_Periodo1[[#This Row],[CONTA]],BaseContasDRE[#All],4,FALSE)),"Fora do DRE",VLOOKUP(Base_Periodo1[[#This Row],[CONTA]],BaseContasDRE[#All],4,FALSE))</f>
        <v>Fora do DRE</v>
      </c>
      <c r="T5377" s="3" t="str">
        <f>IF(ISERROR(VLOOKUP(Base_Periodo1[[#This Row],[CONTA]],BaseContasDRE[#All],5,FALSE)),"Fora do DRE",VLOOKUP(Base_Periodo1[[#This Row],[CONTA]],BaseContasDRE[#All],6,FALSE))</f>
        <v>Fora do DRE</v>
      </c>
      <c r="U5377" s="3" t="str">
        <f>IF(ISERROR(VLOOKUP(Base_Periodo1[[#This Row],[CONTA]],BaseContasDRE[#All],7,FALSE)),"Fora do DRE",VLOOKUP(Base_Periodo1[[#This Row],[CONTA]],BaseContasDRE[#All],7,FALSE))</f>
        <v>Fora do DRE</v>
      </c>
      <c r="V5377" s="3" t="str">
        <f>IF(Base_Periodo1[[#This Row],[Tipo_Linha]]="Fora do DRE","Fora do DRE","( "&amp;Base_Periodo1[[#This Row],[Tipo_Linha]]&amp;" ) "&amp;Base_Periodo1[[#This Row],[Filtro]])</f>
        <v>Fora do DRE</v>
      </c>
      <c r="W5377" s="3" t="str">
        <f>LEFT(Base_Periodo1[[#This Row],[CLASS]],3)</f>
        <v>2.4</v>
      </c>
    </row>
    <row r="5378" spans="1:23" hidden="1">
      <c r="A5378" s="3" t="str">
        <f t="shared" si="83"/>
        <v>Período 1</v>
      </c>
      <c r="B5378">
        <v>47146</v>
      </c>
      <c r="C5378" t="s">
        <v>2300</v>
      </c>
      <c r="D5378" t="s">
        <v>3213</v>
      </c>
      <c r="E5378" s="3" t="str">
        <f>IF(LEN(Base_Periodo1[[#This Row],[CLASS]])&gt;=7,LEFT(Base_Periodo1[[#This Row],[CLASS]],7),"")</f>
        <v>2.4.1.1</v>
      </c>
      <c r="F5378" s="3" t="str">
        <f>VLOOKUP(Base_Periodo1[[#This Row],[Aux]],Base_Contas_Balanco[#All],2,FALSE)</f>
        <v>Capital Social Realizado</v>
      </c>
      <c r="G5378" s="1"/>
      <c r="H5378" s="281">
        <v>58.65</v>
      </c>
      <c r="I5378" s="281">
        <v>0</v>
      </c>
      <c r="J5378" s="281">
        <v>0</v>
      </c>
      <c r="K5378" s="281">
        <v>58.65</v>
      </c>
      <c r="L537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58.65</v>
      </c>
      <c r="M5378" s="281">
        <f>ROUND(IF(AND(Base_Periodo1[[#This Row],[Tipo_Linha]]="-",Base_Periodo1[[#This Row],[TIPOSALDO]]="D"),Base_Periodo1[[#This Row],[SALDO_ATUAL]]*-1,Base_Periodo1[[#This Row],[SALDO_ATUAL]]),4)</f>
        <v>58.65</v>
      </c>
      <c r="N5378" t="s">
        <v>116</v>
      </c>
      <c r="O5378" t="s">
        <v>459</v>
      </c>
      <c r="P5378" t="s">
        <v>459</v>
      </c>
      <c r="Q5378">
        <v>6</v>
      </c>
      <c r="R5378" s="281">
        <f>Base_Periodo1[[#This Row],[CREDITOS]]-Base_Periodo1[[#This Row],[DEBITOS]]</f>
        <v>0</v>
      </c>
      <c r="S5378" s="3" t="str">
        <f>IF(ISERROR(VLOOKUP(Base_Periodo1[[#This Row],[CONTA]],BaseContasDRE[#All],4,FALSE)),"Fora do DRE",VLOOKUP(Base_Periodo1[[#This Row],[CONTA]],BaseContasDRE[#All],4,FALSE))</f>
        <v>Fora do DRE</v>
      </c>
      <c r="T5378" s="3" t="str">
        <f>IF(ISERROR(VLOOKUP(Base_Periodo1[[#This Row],[CONTA]],BaseContasDRE[#All],5,FALSE)),"Fora do DRE",VLOOKUP(Base_Periodo1[[#This Row],[CONTA]],BaseContasDRE[#All],6,FALSE))</f>
        <v>Fora do DRE</v>
      </c>
      <c r="U5378" s="3" t="str">
        <f>IF(ISERROR(VLOOKUP(Base_Periodo1[[#This Row],[CONTA]],BaseContasDRE[#All],7,FALSE)),"Fora do DRE",VLOOKUP(Base_Periodo1[[#This Row],[CONTA]],BaseContasDRE[#All],7,FALSE))</f>
        <v>Fora do DRE</v>
      </c>
      <c r="V5378" s="3" t="str">
        <f>IF(Base_Periodo1[[#This Row],[Tipo_Linha]]="Fora do DRE","Fora do DRE","( "&amp;Base_Periodo1[[#This Row],[Tipo_Linha]]&amp;" ) "&amp;Base_Periodo1[[#This Row],[Filtro]])</f>
        <v>Fora do DRE</v>
      </c>
      <c r="W5378" s="3" t="str">
        <f>LEFT(Base_Periodo1[[#This Row],[CLASS]],3)</f>
        <v>2.4</v>
      </c>
    </row>
    <row r="5379" spans="1:23" hidden="1">
      <c r="A5379" s="3" t="str">
        <f t="shared" si="83"/>
        <v>Período 1</v>
      </c>
      <c r="B5379">
        <v>19377</v>
      </c>
      <c r="C5379" t="s">
        <v>2300</v>
      </c>
      <c r="D5379" t="s">
        <v>3214</v>
      </c>
      <c r="E5379" s="3" t="str">
        <f>IF(LEN(Base_Periodo1[[#This Row],[CLASS]])&gt;=7,LEFT(Base_Periodo1[[#This Row],[CLASS]],7),"")</f>
        <v>2.4.1.1</v>
      </c>
      <c r="F5379" s="3" t="str">
        <f>VLOOKUP(Base_Periodo1[[#This Row],[Aux]],Base_Contas_Balanco[#All],2,FALSE)</f>
        <v>Capital Social Realizado</v>
      </c>
      <c r="G5379" s="1"/>
      <c r="H5379" s="281">
        <v>216.43</v>
      </c>
      <c r="I5379" s="281">
        <v>0</v>
      </c>
      <c r="J5379" s="281">
        <v>0</v>
      </c>
      <c r="K5379" s="281">
        <v>216.43</v>
      </c>
      <c r="L537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216.43</v>
      </c>
      <c r="M5379" s="281">
        <f>ROUND(IF(AND(Base_Periodo1[[#This Row],[Tipo_Linha]]="-",Base_Periodo1[[#This Row],[TIPOSALDO]]="D"),Base_Periodo1[[#This Row],[SALDO_ATUAL]]*-1,Base_Periodo1[[#This Row],[SALDO_ATUAL]]),4)</f>
        <v>216.43</v>
      </c>
      <c r="N5379" t="s">
        <v>116</v>
      </c>
      <c r="O5379" t="s">
        <v>459</v>
      </c>
      <c r="P5379" t="s">
        <v>459</v>
      </c>
      <c r="Q5379">
        <v>6</v>
      </c>
      <c r="R5379" s="281">
        <f>Base_Periodo1[[#This Row],[CREDITOS]]-Base_Periodo1[[#This Row],[DEBITOS]]</f>
        <v>0</v>
      </c>
      <c r="S5379" s="3" t="str">
        <f>IF(ISERROR(VLOOKUP(Base_Periodo1[[#This Row],[CONTA]],BaseContasDRE[#All],4,FALSE)),"Fora do DRE",VLOOKUP(Base_Periodo1[[#This Row],[CONTA]],BaseContasDRE[#All],4,FALSE))</f>
        <v>Fora do DRE</v>
      </c>
      <c r="T5379" s="3" t="str">
        <f>IF(ISERROR(VLOOKUP(Base_Periodo1[[#This Row],[CONTA]],BaseContasDRE[#All],5,FALSE)),"Fora do DRE",VLOOKUP(Base_Periodo1[[#This Row],[CONTA]],BaseContasDRE[#All],6,FALSE))</f>
        <v>Fora do DRE</v>
      </c>
      <c r="U5379" s="3" t="str">
        <f>IF(ISERROR(VLOOKUP(Base_Periodo1[[#This Row],[CONTA]],BaseContasDRE[#All],7,FALSE)),"Fora do DRE",VLOOKUP(Base_Periodo1[[#This Row],[CONTA]],BaseContasDRE[#All],7,FALSE))</f>
        <v>Fora do DRE</v>
      </c>
      <c r="V5379" s="3" t="str">
        <f>IF(Base_Periodo1[[#This Row],[Tipo_Linha]]="Fora do DRE","Fora do DRE","( "&amp;Base_Periodo1[[#This Row],[Tipo_Linha]]&amp;" ) "&amp;Base_Periodo1[[#This Row],[Filtro]])</f>
        <v>Fora do DRE</v>
      </c>
      <c r="W5379" s="3" t="str">
        <f>LEFT(Base_Periodo1[[#This Row],[CLASS]],3)</f>
        <v>2.4</v>
      </c>
    </row>
    <row r="5380" spans="1:23" hidden="1">
      <c r="A5380" s="3" t="str">
        <f t="shared" si="83"/>
        <v>Período 1</v>
      </c>
      <c r="B5380">
        <v>25569</v>
      </c>
      <c r="C5380" t="s">
        <v>2300</v>
      </c>
      <c r="D5380" t="s">
        <v>3215</v>
      </c>
      <c r="E5380" s="3" t="str">
        <f>IF(LEN(Base_Periodo1[[#This Row],[CLASS]])&gt;=7,LEFT(Base_Periodo1[[#This Row],[CLASS]],7),"")</f>
        <v>2.4.1.1</v>
      </c>
      <c r="F5380" s="3" t="str">
        <f>VLOOKUP(Base_Periodo1[[#This Row],[Aux]],Base_Contas_Balanco[#All],2,FALSE)</f>
        <v>Capital Social Realizado</v>
      </c>
      <c r="G5380" s="1"/>
      <c r="H5380" s="281">
        <v>2979.63</v>
      </c>
      <c r="I5380" s="281">
        <v>0</v>
      </c>
      <c r="J5380" s="281">
        <v>0</v>
      </c>
      <c r="K5380" s="281">
        <v>2979.63</v>
      </c>
      <c r="L538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2979.63</v>
      </c>
      <c r="M5380" s="281">
        <f>ROUND(IF(AND(Base_Periodo1[[#This Row],[Tipo_Linha]]="-",Base_Periodo1[[#This Row],[TIPOSALDO]]="D"),Base_Periodo1[[#This Row],[SALDO_ATUAL]]*-1,Base_Periodo1[[#This Row],[SALDO_ATUAL]]),4)</f>
        <v>2979.63</v>
      </c>
      <c r="N5380" t="s">
        <v>116</v>
      </c>
      <c r="O5380" t="s">
        <v>459</v>
      </c>
      <c r="P5380" t="s">
        <v>459</v>
      </c>
      <c r="Q5380">
        <v>6</v>
      </c>
      <c r="R5380" s="281">
        <f>Base_Periodo1[[#This Row],[CREDITOS]]-Base_Periodo1[[#This Row],[DEBITOS]]</f>
        <v>0</v>
      </c>
      <c r="S5380" s="3" t="str">
        <f>IF(ISERROR(VLOOKUP(Base_Periodo1[[#This Row],[CONTA]],BaseContasDRE[#All],4,FALSE)),"Fora do DRE",VLOOKUP(Base_Periodo1[[#This Row],[CONTA]],BaseContasDRE[#All],4,FALSE))</f>
        <v>Fora do DRE</v>
      </c>
      <c r="T5380" s="3" t="str">
        <f>IF(ISERROR(VLOOKUP(Base_Periodo1[[#This Row],[CONTA]],BaseContasDRE[#All],5,FALSE)),"Fora do DRE",VLOOKUP(Base_Periodo1[[#This Row],[CONTA]],BaseContasDRE[#All],6,FALSE))</f>
        <v>Fora do DRE</v>
      </c>
      <c r="U5380" s="3" t="str">
        <f>IF(ISERROR(VLOOKUP(Base_Periodo1[[#This Row],[CONTA]],BaseContasDRE[#All],7,FALSE)),"Fora do DRE",VLOOKUP(Base_Periodo1[[#This Row],[CONTA]],BaseContasDRE[#All],7,FALSE))</f>
        <v>Fora do DRE</v>
      </c>
      <c r="V5380" s="3" t="str">
        <f>IF(Base_Periodo1[[#This Row],[Tipo_Linha]]="Fora do DRE","Fora do DRE","( "&amp;Base_Periodo1[[#This Row],[Tipo_Linha]]&amp;" ) "&amp;Base_Periodo1[[#This Row],[Filtro]])</f>
        <v>Fora do DRE</v>
      </c>
      <c r="W5380" s="3" t="str">
        <f>LEFT(Base_Periodo1[[#This Row],[CLASS]],3)</f>
        <v>2.4</v>
      </c>
    </row>
    <row r="5381" spans="1:23" hidden="1">
      <c r="A5381" s="3" t="str">
        <f t="shared" si="83"/>
        <v>Período 1</v>
      </c>
      <c r="B5381">
        <v>40760</v>
      </c>
      <c r="C5381" t="s">
        <v>2300</v>
      </c>
      <c r="D5381" t="s">
        <v>3216</v>
      </c>
      <c r="E5381" s="3" t="str">
        <f>IF(LEN(Base_Periodo1[[#This Row],[CLASS]])&gt;=7,LEFT(Base_Periodo1[[#This Row],[CLASS]],7),"")</f>
        <v>2.4.1.1</v>
      </c>
      <c r="F5381" s="3" t="str">
        <f>VLOOKUP(Base_Periodo1[[#This Row],[Aux]],Base_Contas_Balanco[#All],2,FALSE)</f>
        <v>Capital Social Realizado</v>
      </c>
      <c r="G5381" s="1"/>
      <c r="H5381" s="281">
        <v>262.06</v>
      </c>
      <c r="I5381" s="281">
        <v>0</v>
      </c>
      <c r="J5381" s="281">
        <v>0</v>
      </c>
      <c r="K5381" s="281">
        <v>262.06</v>
      </c>
      <c r="L538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262.06</v>
      </c>
      <c r="M5381" s="281">
        <f>ROUND(IF(AND(Base_Periodo1[[#This Row],[Tipo_Linha]]="-",Base_Periodo1[[#This Row],[TIPOSALDO]]="D"),Base_Periodo1[[#This Row],[SALDO_ATUAL]]*-1,Base_Periodo1[[#This Row],[SALDO_ATUAL]]),4)</f>
        <v>262.06</v>
      </c>
      <c r="N5381" t="s">
        <v>116</v>
      </c>
      <c r="O5381" t="s">
        <v>459</v>
      </c>
      <c r="P5381" t="s">
        <v>459</v>
      </c>
      <c r="Q5381">
        <v>6</v>
      </c>
      <c r="R5381" s="281">
        <f>Base_Periodo1[[#This Row],[CREDITOS]]-Base_Periodo1[[#This Row],[DEBITOS]]</f>
        <v>0</v>
      </c>
      <c r="S5381" s="3" t="str">
        <f>IF(ISERROR(VLOOKUP(Base_Periodo1[[#This Row],[CONTA]],BaseContasDRE[#All],4,FALSE)),"Fora do DRE",VLOOKUP(Base_Periodo1[[#This Row],[CONTA]],BaseContasDRE[#All],4,FALSE))</f>
        <v>Fora do DRE</v>
      </c>
      <c r="T5381" s="3" t="str">
        <f>IF(ISERROR(VLOOKUP(Base_Periodo1[[#This Row],[CONTA]],BaseContasDRE[#All],5,FALSE)),"Fora do DRE",VLOOKUP(Base_Periodo1[[#This Row],[CONTA]],BaseContasDRE[#All],6,FALSE))</f>
        <v>Fora do DRE</v>
      </c>
      <c r="U5381" s="3" t="str">
        <f>IF(ISERROR(VLOOKUP(Base_Periodo1[[#This Row],[CONTA]],BaseContasDRE[#All],7,FALSE)),"Fora do DRE",VLOOKUP(Base_Periodo1[[#This Row],[CONTA]],BaseContasDRE[#All],7,FALSE))</f>
        <v>Fora do DRE</v>
      </c>
      <c r="V5381" s="3" t="str">
        <f>IF(Base_Periodo1[[#This Row],[Tipo_Linha]]="Fora do DRE","Fora do DRE","( "&amp;Base_Periodo1[[#This Row],[Tipo_Linha]]&amp;" ) "&amp;Base_Periodo1[[#This Row],[Filtro]])</f>
        <v>Fora do DRE</v>
      </c>
      <c r="W5381" s="3" t="str">
        <f>LEFT(Base_Periodo1[[#This Row],[CLASS]],3)</f>
        <v>2.4</v>
      </c>
    </row>
    <row r="5382" spans="1:23" hidden="1">
      <c r="A5382" s="3" t="str">
        <f t="shared" ref="A5382:A5445" si="84">"Período 1"</f>
        <v>Período 1</v>
      </c>
      <c r="B5382">
        <v>49660</v>
      </c>
      <c r="C5382" t="s">
        <v>2300</v>
      </c>
      <c r="D5382" t="s">
        <v>4321</v>
      </c>
      <c r="E5382" s="3" t="str">
        <f>IF(LEN(Base_Periodo1[[#This Row],[CLASS]])&gt;=7,LEFT(Base_Periodo1[[#This Row],[CLASS]],7),"")</f>
        <v>2.4.1.1</v>
      </c>
      <c r="F5382" s="3" t="str">
        <f>VLOOKUP(Base_Periodo1[[#This Row],[Aux]],Base_Contas_Balanco[#All],2,FALSE)</f>
        <v>Capital Social Realizado</v>
      </c>
      <c r="G5382" s="1"/>
      <c r="H5382" s="281">
        <v>59.09</v>
      </c>
      <c r="I5382" s="281">
        <v>0</v>
      </c>
      <c r="J5382" s="281">
        <v>0</v>
      </c>
      <c r="K5382" s="281">
        <v>59.09</v>
      </c>
      <c r="L538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59.09</v>
      </c>
      <c r="M5382" s="281">
        <f>ROUND(IF(AND(Base_Periodo1[[#This Row],[Tipo_Linha]]="-",Base_Periodo1[[#This Row],[TIPOSALDO]]="D"),Base_Periodo1[[#This Row],[SALDO_ATUAL]]*-1,Base_Periodo1[[#This Row],[SALDO_ATUAL]]),4)</f>
        <v>59.09</v>
      </c>
      <c r="N5382" t="s">
        <v>116</v>
      </c>
      <c r="O5382" t="s">
        <v>459</v>
      </c>
      <c r="P5382" t="s">
        <v>459</v>
      </c>
      <c r="Q5382">
        <v>6</v>
      </c>
      <c r="R5382" s="281">
        <f>Base_Periodo1[[#This Row],[CREDITOS]]-Base_Periodo1[[#This Row],[DEBITOS]]</f>
        <v>0</v>
      </c>
      <c r="S5382" s="3" t="str">
        <f>IF(ISERROR(VLOOKUP(Base_Periodo1[[#This Row],[CONTA]],BaseContasDRE[#All],4,FALSE)),"Fora do DRE",VLOOKUP(Base_Periodo1[[#This Row],[CONTA]],BaseContasDRE[#All],4,FALSE))</f>
        <v>Fora do DRE</v>
      </c>
      <c r="T5382" s="3" t="str">
        <f>IF(ISERROR(VLOOKUP(Base_Periodo1[[#This Row],[CONTA]],BaseContasDRE[#All],5,FALSE)),"Fora do DRE",VLOOKUP(Base_Periodo1[[#This Row],[CONTA]],BaseContasDRE[#All],6,FALSE))</f>
        <v>Fora do DRE</v>
      </c>
      <c r="U5382" s="3" t="str">
        <f>IF(ISERROR(VLOOKUP(Base_Periodo1[[#This Row],[CONTA]],BaseContasDRE[#All],7,FALSE)),"Fora do DRE",VLOOKUP(Base_Periodo1[[#This Row],[CONTA]],BaseContasDRE[#All],7,FALSE))</f>
        <v>Fora do DRE</v>
      </c>
      <c r="V5382" s="3" t="str">
        <f>IF(Base_Periodo1[[#This Row],[Tipo_Linha]]="Fora do DRE","Fora do DRE","( "&amp;Base_Periodo1[[#This Row],[Tipo_Linha]]&amp;" ) "&amp;Base_Periodo1[[#This Row],[Filtro]])</f>
        <v>Fora do DRE</v>
      </c>
      <c r="W5382" s="3" t="str">
        <f>LEFT(Base_Periodo1[[#This Row],[CLASS]],3)</f>
        <v>2.4</v>
      </c>
    </row>
    <row r="5383" spans="1:23" hidden="1">
      <c r="A5383" s="3" t="str">
        <f t="shared" si="84"/>
        <v>Período 1</v>
      </c>
      <c r="B5383">
        <v>25601</v>
      </c>
      <c r="C5383" t="s">
        <v>2300</v>
      </c>
      <c r="D5383" t="s">
        <v>3217</v>
      </c>
      <c r="E5383" s="3" t="str">
        <f>IF(LEN(Base_Periodo1[[#This Row],[CLASS]])&gt;=7,LEFT(Base_Periodo1[[#This Row],[CLASS]],7),"")</f>
        <v>2.4.1.1</v>
      </c>
      <c r="F5383" s="3" t="str">
        <f>VLOOKUP(Base_Periodo1[[#This Row],[Aux]],Base_Contas_Balanco[#All],2,FALSE)</f>
        <v>Capital Social Realizado</v>
      </c>
      <c r="G5383" s="1"/>
      <c r="H5383" s="281">
        <v>92.289999999999992</v>
      </c>
      <c r="I5383" s="281">
        <v>0</v>
      </c>
      <c r="J5383" s="281">
        <v>0</v>
      </c>
      <c r="K5383" s="281">
        <v>92.289999999999992</v>
      </c>
      <c r="L538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92.29</v>
      </c>
      <c r="M5383" s="281">
        <f>ROUND(IF(AND(Base_Periodo1[[#This Row],[Tipo_Linha]]="-",Base_Periodo1[[#This Row],[TIPOSALDO]]="D"),Base_Periodo1[[#This Row],[SALDO_ATUAL]]*-1,Base_Periodo1[[#This Row],[SALDO_ATUAL]]),4)</f>
        <v>92.29</v>
      </c>
      <c r="N5383" t="s">
        <v>116</v>
      </c>
      <c r="O5383" t="s">
        <v>459</v>
      </c>
      <c r="P5383" t="s">
        <v>459</v>
      </c>
      <c r="Q5383">
        <v>6</v>
      </c>
      <c r="R5383" s="281">
        <f>Base_Periodo1[[#This Row],[CREDITOS]]-Base_Periodo1[[#This Row],[DEBITOS]]</f>
        <v>0</v>
      </c>
      <c r="S5383" s="3" t="str">
        <f>IF(ISERROR(VLOOKUP(Base_Periodo1[[#This Row],[CONTA]],BaseContasDRE[#All],4,FALSE)),"Fora do DRE",VLOOKUP(Base_Periodo1[[#This Row],[CONTA]],BaseContasDRE[#All],4,FALSE))</f>
        <v>Fora do DRE</v>
      </c>
      <c r="T5383" s="3" t="str">
        <f>IF(ISERROR(VLOOKUP(Base_Periodo1[[#This Row],[CONTA]],BaseContasDRE[#All],5,FALSE)),"Fora do DRE",VLOOKUP(Base_Periodo1[[#This Row],[CONTA]],BaseContasDRE[#All],6,FALSE))</f>
        <v>Fora do DRE</v>
      </c>
      <c r="U5383" s="3" t="str">
        <f>IF(ISERROR(VLOOKUP(Base_Periodo1[[#This Row],[CONTA]],BaseContasDRE[#All],7,FALSE)),"Fora do DRE",VLOOKUP(Base_Periodo1[[#This Row],[CONTA]],BaseContasDRE[#All],7,FALSE))</f>
        <v>Fora do DRE</v>
      </c>
      <c r="V5383" s="3" t="str">
        <f>IF(Base_Periodo1[[#This Row],[Tipo_Linha]]="Fora do DRE","Fora do DRE","( "&amp;Base_Periodo1[[#This Row],[Tipo_Linha]]&amp;" ) "&amp;Base_Periodo1[[#This Row],[Filtro]])</f>
        <v>Fora do DRE</v>
      </c>
      <c r="W5383" s="3" t="str">
        <f>LEFT(Base_Periodo1[[#This Row],[CLASS]],3)</f>
        <v>2.4</v>
      </c>
    </row>
    <row r="5384" spans="1:23" hidden="1">
      <c r="A5384" s="3" t="str">
        <f t="shared" si="84"/>
        <v>Período 1</v>
      </c>
      <c r="B5384">
        <v>24623</v>
      </c>
      <c r="C5384" t="s">
        <v>2300</v>
      </c>
      <c r="D5384" t="s">
        <v>3218</v>
      </c>
      <c r="E5384" s="3" t="str">
        <f>IF(LEN(Base_Periodo1[[#This Row],[CLASS]])&gt;=7,LEFT(Base_Periodo1[[#This Row],[CLASS]],7),"")</f>
        <v>2.4.1.1</v>
      </c>
      <c r="F5384" s="3" t="str">
        <f>VLOOKUP(Base_Periodo1[[#This Row],[Aux]],Base_Contas_Balanco[#All],2,FALSE)</f>
        <v>Capital Social Realizado</v>
      </c>
      <c r="G5384" s="1"/>
      <c r="H5384" s="281">
        <v>90.27</v>
      </c>
      <c r="I5384" s="281">
        <v>0</v>
      </c>
      <c r="J5384" s="281">
        <v>0</v>
      </c>
      <c r="K5384" s="281">
        <v>90.27</v>
      </c>
      <c r="L538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90.27</v>
      </c>
      <c r="M5384" s="281">
        <f>ROUND(IF(AND(Base_Periodo1[[#This Row],[Tipo_Linha]]="-",Base_Periodo1[[#This Row],[TIPOSALDO]]="D"),Base_Periodo1[[#This Row],[SALDO_ATUAL]]*-1,Base_Periodo1[[#This Row],[SALDO_ATUAL]]),4)</f>
        <v>90.27</v>
      </c>
      <c r="N5384" t="s">
        <v>116</v>
      </c>
      <c r="O5384" t="s">
        <v>459</v>
      </c>
      <c r="P5384" t="s">
        <v>459</v>
      </c>
      <c r="Q5384">
        <v>6</v>
      </c>
      <c r="R5384" s="281">
        <f>Base_Periodo1[[#This Row],[CREDITOS]]-Base_Periodo1[[#This Row],[DEBITOS]]</f>
        <v>0</v>
      </c>
      <c r="S5384" s="3" t="str">
        <f>IF(ISERROR(VLOOKUP(Base_Periodo1[[#This Row],[CONTA]],BaseContasDRE[#All],4,FALSE)),"Fora do DRE",VLOOKUP(Base_Periodo1[[#This Row],[CONTA]],BaseContasDRE[#All],4,FALSE))</f>
        <v>Fora do DRE</v>
      </c>
      <c r="T5384" s="3" t="str">
        <f>IF(ISERROR(VLOOKUP(Base_Periodo1[[#This Row],[CONTA]],BaseContasDRE[#All],5,FALSE)),"Fora do DRE",VLOOKUP(Base_Periodo1[[#This Row],[CONTA]],BaseContasDRE[#All],6,FALSE))</f>
        <v>Fora do DRE</v>
      </c>
      <c r="U5384" s="3" t="str">
        <f>IF(ISERROR(VLOOKUP(Base_Periodo1[[#This Row],[CONTA]],BaseContasDRE[#All],7,FALSE)),"Fora do DRE",VLOOKUP(Base_Periodo1[[#This Row],[CONTA]],BaseContasDRE[#All],7,FALSE))</f>
        <v>Fora do DRE</v>
      </c>
      <c r="V5384" s="3" t="str">
        <f>IF(Base_Periodo1[[#This Row],[Tipo_Linha]]="Fora do DRE","Fora do DRE","( "&amp;Base_Periodo1[[#This Row],[Tipo_Linha]]&amp;" ) "&amp;Base_Periodo1[[#This Row],[Filtro]])</f>
        <v>Fora do DRE</v>
      </c>
      <c r="W5384" s="3" t="str">
        <f>LEFT(Base_Periodo1[[#This Row],[CLASS]],3)</f>
        <v>2.4</v>
      </c>
    </row>
    <row r="5385" spans="1:23" hidden="1">
      <c r="A5385" s="3" t="str">
        <f t="shared" si="84"/>
        <v>Período 1</v>
      </c>
      <c r="B5385">
        <v>34499</v>
      </c>
      <c r="C5385" t="s">
        <v>2300</v>
      </c>
      <c r="D5385" t="s">
        <v>3219</v>
      </c>
      <c r="E5385" s="3" t="str">
        <f>IF(LEN(Base_Periodo1[[#This Row],[CLASS]])&gt;=7,LEFT(Base_Periodo1[[#This Row],[CLASS]],7),"")</f>
        <v>2.4.1.1</v>
      </c>
      <c r="F5385" s="3" t="str">
        <f>VLOOKUP(Base_Periodo1[[#This Row],[Aux]],Base_Contas_Balanco[#All],2,FALSE)</f>
        <v>Capital Social Realizado</v>
      </c>
      <c r="G5385" s="1"/>
      <c r="H5385" s="281">
        <v>4534</v>
      </c>
      <c r="I5385" s="281">
        <v>0</v>
      </c>
      <c r="J5385" s="281">
        <v>0</v>
      </c>
      <c r="K5385" s="281">
        <v>4534</v>
      </c>
      <c r="L538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4534</v>
      </c>
      <c r="M5385" s="281">
        <f>ROUND(IF(AND(Base_Periodo1[[#This Row],[Tipo_Linha]]="-",Base_Periodo1[[#This Row],[TIPOSALDO]]="D"),Base_Periodo1[[#This Row],[SALDO_ATUAL]]*-1,Base_Periodo1[[#This Row],[SALDO_ATUAL]]),4)</f>
        <v>4534</v>
      </c>
      <c r="N5385" t="s">
        <v>116</v>
      </c>
      <c r="O5385" t="s">
        <v>459</v>
      </c>
      <c r="P5385" t="s">
        <v>459</v>
      </c>
      <c r="Q5385">
        <v>6</v>
      </c>
      <c r="R5385" s="281">
        <f>Base_Periodo1[[#This Row],[CREDITOS]]-Base_Periodo1[[#This Row],[DEBITOS]]</f>
        <v>0</v>
      </c>
      <c r="S5385" s="3" t="str">
        <f>IF(ISERROR(VLOOKUP(Base_Periodo1[[#This Row],[CONTA]],BaseContasDRE[#All],4,FALSE)),"Fora do DRE",VLOOKUP(Base_Periodo1[[#This Row],[CONTA]],BaseContasDRE[#All],4,FALSE))</f>
        <v>Fora do DRE</v>
      </c>
      <c r="T5385" s="3" t="str">
        <f>IF(ISERROR(VLOOKUP(Base_Periodo1[[#This Row],[CONTA]],BaseContasDRE[#All],5,FALSE)),"Fora do DRE",VLOOKUP(Base_Periodo1[[#This Row],[CONTA]],BaseContasDRE[#All],6,FALSE))</f>
        <v>Fora do DRE</v>
      </c>
      <c r="U5385" s="3" t="str">
        <f>IF(ISERROR(VLOOKUP(Base_Periodo1[[#This Row],[CONTA]],BaseContasDRE[#All],7,FALSE)),"Fora do DRE",VLOOKUP(Base_Periodo1[[#This Row],[CONTA]],BaseContasDRE[#All],7,FALSE))</f>
        <v>Fora do DRE</v>
      </c>
      <c r="V5385" s="3" t="str">
        <f>IF(Base_Periodo1[[#This Row],[Tipo_Linha]]="Fora do DRE","Fora do DRE","( "&amp;Base_Periodo1[[#This Row],[Tipo_Linha]]&amp;" ) "&amp;Base_Periodo1[[#This Row],[Filtro]])</f>
        <v>Fora do DRE</v>
      </c>
      <c r="W5385" s="3" t="str">
        <f>LEFT(Base_Periodo1[[#This Row],[CLASS]],3)</f>
        <v>2.4</v>
      </c>
    </row>
    <row r="5386" spans="1:23" hidden="1">
      <c r="A5386" s="3" t="str">
        <f t="shared" si="84"/>
        <v>Período 1</v>
      </c>
      <c r="B5386">
        <v>16329</v>
      </c>
      <c r="C5386" t="s">
        <v>2300</v>
      </c>
      <c r="D5386" t="s">
        <v>3220</v>
      </c>
      <c r="E5386" s="3" t="str">
        <f>IF(LEN(Base_Periodo1[[#This Row],[CLASS]])&gt;=7,LEFT(Base_Periodo1[[#This Row],[CLASS]],7),"")</f>
        <v>2.4.1.1</v>
      </c>
      <c r="F5386" s="3" t="str">
        <f>VLOOKUP(Base_Periodo1[[#This Row],[Aux]],Base_Contas_Balanco[#All],2,FALSE)</f>
        <v>Capital Social Realizado</v>
      </c>
      <c r="G5386" s="1"/>
      <c r="H5386" s="281">
        <v>1114.5</v>
      </c>
      <c r="I5386" s="281">
        <v>0</v>
      </c>
      <c r="J5386" s="281">
        <v>0</v>
      </c>
      <c r="K5386" s="281">
        <v>1114.5</v>
      </c>
      <c r="L538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1114.5</v>
      </c>
      <c r="M5386" s="281">
        <f>ROUND(IF(AND(Base_Periodo1[[#This Row],[Tipo_Linha]]="-",Base_Periodo1[[#This Row],[TIPOSALDO]]="D"),Base_Periodo1[[#This Row],[SALDO_ATUAL]]*-1,Base_Periodo1[[#This Row],[SALDO_ATUAL]]),4)</f>
        <v>1114.5</v>
      </c>
      <c r="N5386" t="s">
        <v>116</v>
      </c>
      <c r="O5386" t="s">
        <v>459</v>
      </c>
      <c r="P5386" t="s">
        <v>459</v>
      </c>
      <c r="Q5386">
        <v>6</v>
      </c>
      <c r="R5386" s="281">
        <f>Base_Periodo1[[#This Row],[CREDITOS]]-Base_Periodo1[[#This Row],[DEBITOS]]</f>
        <v>0</v>
      </c>
      <c r="S5386" s="3" t="str">
        <f>IF(ISERROR(VLOOKUP(Base_Periodo1[[#This Row],[CONTA]],BaseContasDRE[#All],4,FALSE)),"Fora do DRE",VLOOKUP(Base_Periodo1[[#This Row],[CONTA]],BaseContasDRE[#All],4,FALSE))</f>
        <v>Fora do DRE</v>
      </c>
      <c r="T5386" s="3" t="str">
        <f>IF(ISERROR(VLOOKUP(Base_Periodo1[[#This Row],[CONTA]],BaseContasDRE[#All],5,FALSE)),"Fora do DRE",VLOOKUP(Base_Periodo1[[#This Row],[CONTA]],BaseContasDRE[#All],6,FALSE))</f>
        <v>Fora do DRE</v>
      </c>
      <c r="U5386" s="3" t="str">
        <f>IF(ISERROR(VLOOKUP(Base_Periodo1[[#This Row],[CONTA]],BaseContasDRE[#All],7,FALSE)),"Fora do DRE",VLOOKUP(Base_Periodo1[[#This Row],[CONTA]],BaseContasDRE[#All],7,FALSE))</f>
        <v>Fora do DRE</v>
      </c>
      <c r="V5386" s="3" t="str">
        <f>IF(Base_Periodo1[[#This Row],[Tipo_Linha]]="Fora do DRE","Fora do DRE","( "&amp;Base_Periodo1[[#This Row],[Tipo_Linha]]&amp;" ) "&amp;Base_Periodo1[[#This Row],[Filtro]])</f>
        <v>Fora do DRE</v>
      </c>
      <c r="W5386" s="3" t="str">
        <f>LEFT(Base_Periodo1[[#This Row],[CLASS]],3)</f>
        <v>2.4</v>
      </c>
    </row>
    <row r="5387" spans="1:23" hidden="1">
      <c r="A5387" s="3" t="str">
        <f t="shared" si="84"/>
        <v>Período 1</v>
      </c>
      <c r="B5387">
        <v>25514</v>
      </c>
      <c r="C5387" t="s">
        <v>2300</v>
      </c>
      <c r="D5387" t="s">
        <v>3221</v>
      </c>
      <c r="E5387" s="3" t="str">
        <f>IF(LEN(Base_Periodo1[[#This Row],[CLASS]])&gt;=7,LEFT(Base_Periodo1[[#This Row],[CLASS]],7),"")</f>
        <v>2.4.1.1</v>
      </c>
      <c r="F5387" s="3" t="str">
        <f>VLOOKUP(Base_Periodo1[[#This Row],[Aux]],Base_Contas_Balanco[#All],2,FALSE)</f>
        <v>Capital Social Realizado</v>
      </c>
      <c r="G5387" s="1"/>
      <c r="H5387" s="281">
        <v>133.27000000000001</v>
      </c>
      <c r="I5387" s="281">
        <v>0</v>
      </c>
      <c r="J5387" s="281">
        <v>0</v>
      </c>
      <c r="K5387" s="281">
        <v>133.27000000000001</v>
      </c>
      <c r="L538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133.27000000000001</v>
      </c>
      <c r="M5387" s="281">
        <f>ROUND(IF(AND(Base_Periodo1[[#This Row],[Tipo_Linha]]="-",Base_Periodo1[[#This Row],[TIPOSALDO]]="D"),Base_Periodo1[[#This Row],[SALDO_ATUAL]]*-1,Base_Periodo1[[#This Row],[SALDO_ATUAL]]),4)</f>
        <v>133.27000000000001</v>
      </c>
      <c r="N5387" t="s">
        <v>116</v>
      </c>
      <c r="O5387" t="s">
        <v>459</v>
      </c>
      <c r="P5387" t="s">
        <v>459</v>
      </c>
      <c r="Q5387">
        <v>6</v>
      </c>
      <c r="R5387" s="281">
        <f>Base_Periodo1[[#This Row],[CREDITOS]]-Base_Periodo1[[#This Row],[DEBITOS]]</f>
        <v>0</v>
      </c>
      <c r="S5387" s="3" t="str">
        <f>IF(ISERROR(VLOOKUP(Base_Periodo1[[#This Row],[CONTA]],BaseContasDRE[#All],4,FALSE)),"Fora do DRE",VLOOKUP(Base_Periodo1[[#This Row],[CONTA]],BaseContasDRE[#All],4,FALSE))</f>
        <v>Fora do DRE</v>
      </c>
      <c r="T5387" s="3" t="str">
        <f>IF(ISERROR(VLOOKUP(Base_Periodo1[[#This Row],[CONTA]],BaseContasDRE[#All],5,FALSE)),"Fora do DRE",VLOOKUP(Base_Periodo1[[#This Row],[CONTA]],BaseContasDRE[#All],6,FALSE))</f>
        <v>Fora do DRE</v>
      </c>
      <c r="U5387" s="3" t="str">
        <f>IF(ISERROR(VLOOKUP(Base_Periodo1[[#This Row],[CONTA]],BaseContasDRE[#All],7,FALSE)),"Fora do DRE",VLOOKUP(Base_Periodo1[[#This Row],[CONTA]],BaseContasDRE[#All],7,FALSE))</f>
        <v>Fora do DRE</v>
      </c>
      <c r="V5387" s="3" t="str">
        <f>IF(Base_Periodo1[[#This Row],[Tipo_Linha]]="Fora do DRE","Fora do DRE","( "&amp;Base_Periodo1[[#This Row],[Tipo_Linha]]&amp;" ) "&amp;Base_Periodo1[[#This Row],[Filtro]])</f>
        <v>Fora do DRE</v>
      </c>
      <c r="W5387" s="3" t="str">
        <f>LEFT(Base_Periodo1[[#This Row],[CLASS]],3)</f>
        <v>2.4</v>
      </c>
    </row>
    <row r="5388" spans="1:23" hidden="1">
      <c r="A5388" s="3" t="str">
        <f t="shared" si="84"/>
        <v>Período 1</v>
      </c>
      <c r="B5388">
        <v>28263</v>
      </c>
      <c r="C5388" t="s">
        <v>2300</v>
      </c>
      <c r="D5388" t="s">
        <v>3222</v>
      </c>
      <c r="E5388" s="3" t="str">
        <f>IF(LEN(Base_Periodo1[[#This Row],[CLASS]])&gt;=7,LEFT(Base_Periodo1[[#This Row],[CLASS]],7),"")</f>
        <v>2.4.1.1</v>
      </c>
      <c r="F5388" s="3" t="str">
        <f>VLOOKUP(Base_Periodo1[[#This Row],[Aux]],Base_Contas_Balanco[#All],2,FALSE)</f>
        <v>Capital Social Realizado</v>
      </c>
      <c r="G5388" s="1"/>
      <c r="H5388" s="281">
        <v>50</v>
      </c>
      <c r="I5388" s="281">
        <v>0</v>
      </c>
      <c r="J5388" s="281">
        <v>0</v>
      </c>
      <c r="K5388" s="281">
        <v>50</v>
      </c>
      <c r="L538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88" s="281">
        <f>ROUND(IF(AND(Base_Periodo1[[#This Row],[Tipo_Linha]]="-",Base_Periodo1[[#This Row],[TIPOSALDO]]="D"),Base_Periodo1[[#This Row],[SALDO_ATUAL]]*-1,Base_Periodo1[[#This Row],[SALDO_ATUAL]]),4)</f>
        <v>50</v>
      </c>
      <c r="N5388" t="s">
        <v>116</v>
      </c>
      <c r="O5388" t="s">
        <v>459</v>
      </c>
      <c r="P5388" t="s">
        <v>459</v>
      </c>
      <c r="Q5388">
        <v>6</v>
      </c>
      <c r="R5388" s="281">
        <f>Base_Periodo1[[#This Row],[CREDITOS]]-Base_Periodo1[[#This Row],[DEBITOS]]</f>
        <v>0</v>
      </c>
      <c r="S5388" s="3" t="str">
        <f>IF(ISERROR(VLOOKUP(Base_Periodo1[[#This Row],[CONTA]],BaseContasDRE[#All],4,FALSE)),"Fora do DRE",VLOOKUP(Base_Periodo1[[#This Row],[CONTA]],BaseContasDRE[#All],4,FALSE))</f>
        <v>Fora do DRE</v>
      </c>
      <c r="T5388" s="3" t="str">
        <f>IF(ISERROR(VLOOKUP(Base_Periodo1[[#This Row],[CONTA]],BaseContasDRE[#All],5,FALSE)),"Fora do DRE",VLOOKUP(Base_Periodo1[[#This Row],[CONTA]],BaseContasDRE[#All],6,FALSE))</f>
        <v>Fora do DRE</v>
      </c>
      <c r="U5388" s="3" t="str">
        <f>IF(ISERROR(VLOOKUP(Base_Periodo1[[#This Row],[CONTA]],BaseContasDRE[#All],7,FALSE)),"Fora do DRE",VLOOKUP(Base_Periodo1[[#This Row],[CONTA]],BaseContasDRE[#All],7,FALSE))</f>
        <v>Fora do DRE</v>
      </c>
      <c r="V5388" s="3" t="str">
        <f>IF(Base_Periodo1[[#This Row],[Tipo_Linha]]="Fora do DRE","Fora do DRE","( "&amp;Base_Periodo1[[#This Row],[Tipo_Linha]]&amp;" ) "&amp;Base_Periodo1[[#This Row],[Filtro]])</f>
        <v>Fora do DRE</v>
      </c>
      <c r="W5388" s="3" t="str">
        <f>LEFT(Base_Periodo1[[#This Row],[CLASS]],3)</f>
        <v>2.4</v>
      </c>
    </row>
    <row r="5389" spans="1:23" hidden="1">
      <c r="A5389" s="3" t="str">
        <f t="shared" si="84"/>
        <v>Período 1</v>
      </c>
      <c r="B5389">
        <v>47959</v>
      </c>
      <c r="C5389" t="s">
        <v>2300</v>
      </c>
      <c r="D5389" t="s">
        <v>3223</v>
      </c>
      <c r="E5389" s="3" t="str">
        <f>IF(LEN(Base_Periodo1[[#This Row],[CLASS]])&gt;=7,LEFT(Base_Periodo1[[#This Row],[CLASS]],7),"")</f>
        <v>2.4.1.1</v>
      </c>
      <c r="F5389" s="3" t="str">
        <f>VLOOKUP(Base_Periodo1[[#This Row],[Aux]],Base_Contas_Balanco[#All],2,FALSE)</f>
        <v>Capital Social Realizado</v>
      </c>
      <c r="G5389" s="1"/>
      <c r="H5389" s="281">
        <v>57.91</v>
      </c>
      <c r="I5389" s="281">
        <v>0</v>
      </c>
      <c r="J5389" s="281">
        <v>0</v>
      </c>
      <c r="K5389" s="281">
        <v>57.91</v>
      </c>
      <c r="L538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57.91</v>
      </c>
      <c r="M5389" s="281">
        <f>ROUND(IF(AND(Base_Periodo1[[#This Row],[Tipo_Linha]]="-",Base_Periodo1[[#This Row],[TIPOSALDO]]="D"),Base_Periodo1[[#This Row],[SALDO_ATUAL]]*-1,Base_Periodo1[[#This Row],[SALDO_ATUAL]]),4)</f>
        <v>57.91</v>
      </c>
      <c r="N5389" t="s">
        <v>116</v>
      </c>
      <c r="O5389" t="s">
        <v>459</v>
      </c>
      <c r="P5389" t="s">
        <v>459</v>
      </c>
      <c r="Q5389">
        <v>6</v>
      </c>
      <c r="R5389" s="281">
        <f>Base_Periodo1[[#This Row],[CREDITOS]]-Base_Periodo1[[#This Row],[DEBITOS]]</f>
        <v>0</v>
      </c>
      <c r="S5389" s="3" t="str">
        <f>IF(ISERROR(VLOOKUP(Base_Periodo1[[#This Row],[CONTA]],BaseContasDRE[#All],4,FALSE)),"Fora do DRE",VLOOKUP(Base_Periodo1[[#This Row],[CONTA]],BaseContasDRE[#All],4,FALSE))</f>
        <v>Fora do DRE</v>
      </c>
      <c r="T5389" s="3" t="str">
        <f>IF(ISERROR(VLOOKUP(Base_Periodo1[[#This Row],[CONTA]],BaseContasDRE[#All],5,FALSE)),"Fora do DRE",VLOOKUP(Base_Periodo1[[#This Row],[CONTA]],BaseContasDRE[#All],6,FALSE))</f>
        <v>Fora do DRE</v>
      </c>
      <c r="U5389" s="3" t="str">
        <f>IF(ISERROR(VLOOKUP(Base_Periodo1[[#This Row],[CONTA]],BaseContasDRE[#All],7,FALSE)),"Fora do DRE",VLOOKUP(Base_Periodo1[[#This Row],[CONTA]],BaseContasDRE[#All],7,FALSE))</f>
        <v>Fora do DRE</v>
      </c>
      <c r="V5389" s="3" t="str">
        <f>IF(Base_Periodo1[[#This Row],[Tipo_Linha]]="Fora do DRE","Fora do DRE","( "&amp;Base_Periodo1[[#This Row],[Tipo_Linha]]&amp;" ) "&amp;Base_Periodo1[[#This Row],[Filtro]])</f>
        <v>Fora do DRE</v>
      </c>
      <c r="W5389" s="3" t="str">
        <f>LEFT(Base_Periodo1[[#This Row],[CLASS]],3)</f>
        <v>2.4</v>
      </c>
    </row>
    <row r="5390" spans="1:23" hidden="1">
      <c r="A5390" s="3" t="str">
        <f t="shared" si="84"/>
        <v>Período 1</v>
      </c>
      <c r="B5390">
        <v>46939</v>
      </c>
      <c r="C5390" t="s">
        <v>2300</v>
      </c>
      <c r="D5390" t="s">
        <v>3224</v>
      </c>
      <c r="E5390" s="3" t="str">
        <f>IF(LEN(Base_Periodo1[[#This Row],[CLASS]])&gt;=7,LEFT(Base_Periodo1[[#This Row],[CLASS]],7),"")</f>
        <v>2.4.1.1</v>
      </c>
      <c r="F5390" s="3" t="str">
        <f>VLOOKUP(Base_Periodo1[[#This Row],[Aux]],Base_Contas_Balanco[#All],2,FALSE)</f>
        <v>Capital Social Realizado</v>
      </c>
      <c r="G5390" s="1"/>
      <c r="H5390" s="281">
        <v>86.77000000000001</v>
      </c>
      <c r="I5390" s="281">
        <v>0</v>
      </c>
      <c r="J5390" s="281">
        <v>0</v>
      </c>
      <c r="K5390" s="281">
        <v>86.77000000000001</v>
      </c>
      <c r="L539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86.77</v>
      </c>
      <c r="M5390" s="281">
        <f>ROUND(IF(AND(Base_Periodo1[[#This Row],[Tipo_Linha]]="-",Base_Periodo1[[#This Row],[TIPOSALDO]]="D"),Base_Periodo1[[#This Row],[SALDO_ATUAL]]*-1,Base_Periodo1[[#This Row],[SALDO_ATUAL]]),4)</f>
        <v>86.77</v>
      </c>
      <c r="N5390" t="s">
        <v>116</v>
      </c>
      <c r="O5390" t="s">
        <v>459</v>
      </c>
      <c r="P5390" t="s">
        <v>459</v>
      </c>
      <c r="Q5390">
        <v>6</v>
      </c>
      <c r="R5390" s="281">
        <f>Base_Periodo1[[#This Row],[CREDITOS]]-Base_Periodo1[[#This Row],[DEBITOS]]</f>
        <v>0</v>
      </c>
      <c r="S5390" s="3" t="str">
        <f>IF(ISERROR(VLOOKUP(Base_Periodo1[[#This Row],[CONTA]],BaseContasDRE[#All],4,FALSE)),"Fora do DRE",VLOOKUP(Base_Periodo1[[#This Row],[CONTA]],BaseContasDRE[#All],4,FALSE))</f>
        <v>Fora do DRE</v>
      </c>
      <c r="T5390" s="3" t="str">
        <f>IF(ISERROR(VLOOKUP(Base_Periodo1[[#This Row],[CONTA]],BaseContasDRE[#All],5,FALSE)),"Fora do DRE",VLOOKUP(Base_Periodo1[[#This Row],[CONTA]],BaseContasDRE[#All],6,FALSE))</f>
        <v>Fora do DRE</v>
      </c>
      <c r="U5390" s="3" t="str">
        <f>IF(ISERROR(VLOOKUP(Base_Periodo1[[#This Row],[CONTA]],BaseContasDRE[#All],7,FALSE)),"Fora do DRE",VLOOKUP(Base_Periodo1[[#This Row],[CONTA]],BaseContasDRE[#All],7,FALSE))</f>
        <v>Fora do DRE</v>
      </c>
      <c r="V5390" s="3" t="str">
        <f>IF(Base_Periodo1[[#This Row],[Tipo_Linha]]="Fora do DRE","Fora do DRE","( "&amp;Base_Periodo1[[#This Row],[Tipo_Linha]]&amp;" ) "&amp;Base_Periodo1[[#This Row],[Filtro]])</f>
        <v>Fora do DRE</v>
      </c>
      <c r="W5390" s="3" t="str">
        <f>LEFT(Base_Periodo1[[#This Row],[CLASS]],3)</f>
        <v>2.4</v>
      </c>
    </row>
    <row r="5391" spans="1:23" hidden="1">
      <c r="A5391" s="3" t="str">
        <f t="shared" si="84"/>
        <v>Período 1</v>
      </c>
      <c r="B5391">
        <v>30659</v>
      </c>
      <c r="C5391" t="s">
        <v>2300</v>
      </c>
      <c r="D5391" t="s">
        <v>3225</v>
      </c>
      <c r="E5391" s="3" t="str">
        <f>IF(LEN(Base_Periodo1[[#This Row],[CLASS]])&gt;=7,LEFT(Base_Periodo1[[#This Row],[CLASS]],7),"")</f>
        <v>2.4.1.1</v>
      </c>
      <c r="F5391" s="3" t="str">
        <f>VLOOKUP(Base_Periodo1[[#This Row],[Aux]],Base_Contas_Balanco[#All],2,FALSE)</f>
        <v>Capital Social Realizado</v>
      </c>
      <c r="G5391" s="1"/>
      <c r="H5391" s="281">
        <v>133.13</v>
      </c>
      <c r="I5391" s="281">
        <v>0</v>
      </c>
      <c r="J5391" s="281">
        <v>0</v>
      </c>
      <c r="K5391" s="281">
        <v>133.13</v>
      </c>
      <c r="L539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133.13</v>
      </c>
      <c r="M5391" s="281">
        <f>ROUND(IF(AND(Base_Periodo1[[#This Row],[Tipo_Linha]]="-",Base_Periodo1[[#This Row],[TIPOSALDO]]="D"),Base_Periodo1[[#This Row],[SALDO_ATUAL]]*-1,Base_Periodo1[[#This Row],[SALDO_ATUAL]]),4)</f>
        <v>133.13</v>
      </c>
      <c r="N5391" t="s">
        <v>116</v>
      </c>
      <c r="O5391" t="s">
        <v>459</v>
      </c>
      <c r="P5391" t="s">
        <v>459</v>
      </c>
      <c r="Q5391">
        <v>6</v>
      </c>
      <c r="R5391" s="281">
        <f>Base_Periodo1[[#This Row],[CREDITOS]]-Base_Periodo1[[#This Row],[DEBITOS]]</f>
        <v>0</v>
      </c>
      <c r="S5391" s="3" t="str">
        <f>IF(ISERROR(VLOOKUP(Base_Periodo1[[#This Row],[CONTA]],BaseContasDRE[#All],4,FALSE)),"Fora do DRE",VLOOKUP(Base_Periodo1[[#This Row],[CONTA]],BaseContasDRE[#All],4,FALSE))</f>
        <v>Fora do DRE</v>
      </c>
      <c r="T5391" s="3" t="str">
        <f>IF(ISERROR(VLOOKUP(Base_Periodo1[[#This Row],[CONTA]],BaseContasDRE[#All],5,FALSE)),"Fora do DRE",VLOOKUP(Base_Periodo1[[#This Row],[CONTA]],BaseContasDRE[#All],6,FALSE))</f>
        <v>Fora do DRE</v>
      </c>
      <c r="U5391" s="3" t="str">
        <f>IF(ISERROR(VLOOKUP(Base_Periodo1[[#This Row],[CONTA]],BaseContasDRE[#All],7,FALSE)),"Fora do DRE",VLOOKUP(Base_Periodo1[[#This Row],[CONTA]],BaseContasDRE[#All],7,FALSE))</f>
        <v>Fora do DRE</v>
      </c>
      <c r="V5391" s="3" t="str">
        <f>IF(Base_Periodo1[[#This Row],[Tipo_Linha]]="Fora do DRE","Fora do DRE","( "&amp;Base_Periodo1[[#This Row],[Tipo_Linha]]&amp;" ) "&amp;Base_Periodo1[[#This Row],[Filtro]])</f>
        <v>Fora do DRE</v>
      </c>
      <c r="W5391" s="3" t="str">
        <f>LEFT(Base_Periodo1[[#This Row],[CLASS]],3)</f>
        <v>2.4</v>
      </c>
    </row>
    <row r="5392" spans="1:23" hidden="1">
      <c r="A5392" s="3" t="str">
        <f t="shared" si="84"/>
        <v>Período 1</v>
      </c>
      <c r="B5392">
        <v>59339</v>
      </c>
      <c r="C5392" t="s">
        <v>2300</v>
      </c>
      <c r="D5392" t="s">
        <v>7186</v>
      </c>
      <c r="E5392" s="3" t="str">
        <f>IF(LEN(Base_Periodo1[[#This Row],[CLASS]])&gt;=7,LEFT(Base_Periodo1[[#This Row],[CLASS]],7),"")</f>
        <v>2.4.1.1</v>
      </c>
      <c r="F5392" s="3" t="str">
        <f>VLOOKUP(Base_Periodo1[[#This Row],[Aux]],Base_Contas_Balanco[#All],2,FALSE)</f>
        <v>Capital Social Realizado</v>
      </c>
      <c r="G5392" s="1"/>
      <c r="H5392" s="281"/>
      <c r="I5392" s="281">
        <v>0</v>
      </c>
      <c r="J5392" s="281">
        <v>50</v>
      </c>
      <c r="K5392" s="281">
        <v>50</v>
      </c>
      <c r="L539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92" s="281">
        <f>ROUND(IF(AND(Base_Periodo1[[#This Row],[Tipo_Linha]]="-",Base_Periodo1[[#This Row],[TIPOSALDO]]="D"),Base_Periodo1[[#This Row],[SALDO_ATUAL]]*-1,Base_Periodo1[[#This Row],[SALDO_ATUAL]]),4)</f>
        <v>50</v>
      </c>
      <c r="N5392" t="s">
        <v>116</v>
      </c>
      <c r="O5392" t="s">
        <v>436</v>
      </c>
      <c r="P5392" t="s">
        <v>459</v>
      </c>
      <c r="Q5392">
        <v>6</v>
      </c>
      <c r="R5392" s="281">
        <f>Base_Periodo1[[#This Row],[CREDITOS]]-Base_Periodo1[[#This Row],[DEBITOS]]</f>
        <v>50</v>
      </c>
      <c r="S5392" s="3" t="str">
        <f>IF(ISERROR(VLOOKUP(Base_Periodo1[[#This Row],[CONTA]],BaseContasDRE[#All],4,FALSE)),"Fora do DRE",VLOOKUP(Base_Periodo1[[#This Row],[CONTA]],BaseContasDRE[#All],4,FALSE))</f>
        <v>Fora do DRE</v>
      </c>
      <c r="T5392" s="3" t="str">
        <f>IF(ISERROR(VLOOKUP(Base_Periodo1[[#This Row],[CONTA]],BaseContasDRE[#All],5,FALSE)),"Fora do DRE",VLOOKUP(Base_Periodo1[[#This Row],[CONTA]],BaseContasDRE[#All],6,FALSE))</f>
        <v>Fora do DRE</v>
      </c>
      <c r="U5392" s="3" t="str">
        <f>IF(ISERROR(VLOOKUP(Base_Periodo1[[#This Row],[CONTA]],BaseContasDRE[#All],7,FALSE)),"Fora do DRE",VLOOKUP(Base_Periodo1[[#This Row],[CONTA]],BaseContasDRE[#All],7,FALSE))</f>
        <v>Fora do DRE</v>
      </c>
      <c r="V5392" s="3" t="str">
        <f>IF(Base_Periodo1[[#This Row],[Tipo_Linha]]="Fora do DRE","Fora do DRE","( "&amp;Base_Periodo1[[#This Row],[Tipo_Linha]]&amp;" ) "&amp;Base_Periodo1[[#This Row],[Filtro]])</f>
        <v>Fora do DRE</v>
      </c>
      <c r="W5392" s="3" t="str">
        <f>LEFT(Base_Periodo1[[#This Row],[CLASS]],3)</f>
        <v>2.4</v>
      </c>
    </row>
    <row r="5393" spans="1:23" hidden="1">
      <c r="A5393" s="3" t="str">
        <f t="shared" si="84"/>
        <v>Período 1</v>
      </c>
      <c r="B5393">
        <v>19774</v>
      </c>
      <c r="C5393" t="s">
        <v>2300</v>
      </c>
      <c r="D5393" t="s">
        <v>3226</v>
      </c>
      <c r="E5393" s="3" t="str">
        <f>IF(LEN(Base_Periodo1[[#This Row],[CLASS]])&gt;=7,LEFT(Base_Periodo1[[#This Row],[CLASS]],7),"")</f>
        <v>2.4.1.1</v>
      </c>
      <c r="F5393" s="3" t="str">
        <f>VLOOKUP(Base_Periodo1[[#This Row],[Aux]],Base_Contas_Balanco[#All],2,FALSE)</f>
        <v>Capital Social Realizado</v>
      </c>
      <c r="G5393" s="1"/>
      <c r="H5393" s="281">
        <v>107.49000000000001</v>
      </c>
      <c r="I5393" s="281">
        <v>0</v>
      </c>
      <c r="J5393" s="281">
        <v>0</v>
      </c>
      <c r="K5393" s="281">
        <v>107.49000000000001</v>
      </c>
      <c r="L539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107.49</v>
      </c>
      <c r="M5393" s="281">
        <f>ROUND(IF(AND(Base_Periodo1[[#This Row],[Tipo_Linha]]="-",Base_Periodo1[[#This Row],[TIPOSALDO]]="D"),Base_Periodo1[[#This Row],[SALDO_ATUAL]]*-1,Base_Periodo1[[#This Row],[SALDO_ATUAL]]),4)</f>
        <v>107.49</v>
      </c>
      <c r="N5393" t="s">
        <v>116</v>
      </c>
      <c r="O5393" t="s">
        <v>459</v>
      </c>
      <c r="P5393" t="s">
        <v>459</v>
      </c>
      <c r="Q5393">
        <v>6</v>
      </c>
      <c r="R5393" s="281">
        <f>Base_Periodo1[[#This Row],[CREDITOS]]-Base_Periodo1[[#This Row],[DEBITOS]]</f>
        <v>0</v>
      </c>
      <c r="S5393" s="3" t="str">
        <f>IF(ISERROR(VLOOKUP(Base_Periodo1[[#This Row],[CONTA]],BaseContasDRE[#All],4,FALSE)),"Fora do DRE",VLOOKUP(Base_Periodo1[[#This Row],[CONTA]],BaseContasDRE[#All],4,FALSE))</f>
        <v>Fora do DRE</v>
      </c>
      <c r="T5393" s="3" t="str">
        <f>IF(ISERROR(VLOOKUP(Base_Periodo1[[#This Row],[CONTA]],BaseContasDRE[#All],5,FALSE)),"Fora do DRE",VLOOKUP(Base_Periodo1[[#This Row],[CONTA]],BaseContasDRE[#All],6,FALSE))</f>
        <v>Fora do DRE</v>
      </c>
      <c r="U5393" s="3" t="str">
        <f>IF(ISERROR(VLOOKUP(Base_Periodo1[[#This Row],[CONTA]],BaseContasDRE[#All],7,FALSE)),"Fora do DRE",VLOOKUP(Base_Periodo1[[#This Row],[CONTA]],BaseContasDRE[#All],7,FALSE))</f>
        <v>Fora do DRE</v>
      </c>
      <c r="V5393" s="3" t="str">
        <f>IF(Base_Periodo1[[#This Row],[Tipo_Linha]]="Fora do DRE","Fora do DRE","( "&amp;Base_Periodo1[[#This Row],[Tipo_Linha]]&amp;" ) "&amp;Base_Periodo1[[#This Row],[Filtro]])</f>
        <v>Fora do DRE</v>
      </c>
      <c r="W5393" s="3" t="str">
        <f>LEFT(Base_Periodo1[[#This Row],[CLASS]],3)</f>
        <v>2.4</v>
      </c>
    </row>
    <row r="5394" spans="1:23" hidden="1">
      <c r="A5394" s="3" t="str">
        <f t="shared" si="84"/>
        <v>Período 1</v>
      </c>
      <c r="B5394">
        <v>19378</v>
      </c>
      <c r="C5394" t="s">
        <v>2300</v>
      </c>
      <c r="D5394" t="s">
        <v>3227</v>
      </c>
      <c r="E5394" s="3" t="str">
        <f>IF(LEN(Base_Periodo1[[#This Row],[CLASS]])&gt;=7,LEFT(Base_Periodo1[[#This Row],[CLASS]],7),"")</f>
        <v>2.4.1.1</v>
      </c>
      <c r="F5394" s="3" t="str">
        <f>VLOOKUP(Base_Periodo1[[#This Row],[Aux]],Base_Contas_Balanco[#All],2,FALSE)</f>
        <v>Capital Social Realizado</v>
      </c>
      <c r="G5394" s="1"/>
      <c r="H5394" s="281">
        <v>1601.69</v>
      </c>
      <c r="I5394" s="281">
        <v>0</v>
      </c>
      <c r="J5394" s="281">
        <v>0</v>
      </c>
      <c r="K5394" s="281">
        <v>1601.69</v>
      </c>
      <c r="L539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1601.69</v>
      </c>
      <c r="M5394" s="281">
        <f>ROUND(IF(AND(Base_Periodo1[[#This Row],[Tipo_Linha]]="-",Base_Periodo1[[#This Row],[TIPOSALDO]]="D"),Base_Periodo1[[#This Row],[SALDO_ATUAL]]*-1,Base_Periodo1[[#This Row],[SALDO_ATUAL]]),4)</f>
        <v>1601.69</v>
      </c>
      <c r="N5394" t="s">
        <v>116</v>
      </c>
      <c r="O5394" t="s">
        <v>459</v>
      </c>
      <c r="P5394" t="s">
        <v>459</v>
      </c>
      <c r="Q5394">
        <v>6</v>
      </c>
      <c r="R5394" s="281">
        <f>Base_Periodo1[[#This Row],[CREDITOS]]-Base_Periodo1[[#This Row],[DEBITOS]]</f>
        <v>0</v>
      </c>
      <c r="S5394" s="3" t="str">
        <f>IF(ISERROR(VLOOKUP(Base_Periodo1[[#This Row],[CONTA]],BaseContasDRE[#All],4,FALSE)),"Fora do DRE",VLOOKUP(Base_Periodo1[[#This Row],[CONTA]],BaseContasDRE[#All],4,FALSE))</f>
        <v>Fora do DRE</v>
      </c>
      <c r="T5394" s="3" t="str">
        <f>IF(ISERROR(VLOOKUP(Base_Periodo1[[#This Row],[CONTA]],BaseContasDRE[#All],5,FALSE)),"Fora do DRE",VLOOKUP(Base_Periodo1[[#This Row],[CONTA]],BaseContasDRE[#All],6,FALSE))</f>
        <v>Fora do DRE</v>
      </c>
      <c r="U5394" s="3" t="str">
        <f>IF(ISERROR(VLOOKUP(Base_Periodo1[[#This Row],[CONTA]],BaseContasDRE[#All],7,FALSE)),"Fora do DRE",VLOOKUP(Base_Periodo1[[#This Row],[CONTA]],BaseContasDRE[#All],7,FALSE))</f>
        <v>Fora do DRE</v>
      </c>
      <c r="V5394" s="3" t="str">
        <f>IF(Base_Periodo1[[#This Row],[Tipo_Linha]]="Fora do DRE","Fora do DRE","( "&amp;Base_Periodo1[[#This Row],[Tipo_Linha]]&amp;" ) "&amp;Base_Periodo1[[#This Row],[Filtro]])</f>
        <v>Fora do DRE</v>
      </c>
      <c r="W5394" s="3" t="str">
        <f>LEFT(Base_Periodo1[[#This Row],[CLASS]],3)</f>
        <v>2.4</v>
      </c>
    </row>
    <row r="5395" spans="1:23" hidden="1">
      <c r="A5395" s="3" t="str">
        <f t="shared" si="84"/>
        <v>Período 1</v>
      </c>
      <c r="B5395">
        <v>49350</v>
      </c>
      <c r="C5395" t="s">
        <v>2300</v>
      </c>
      <c r="D5395" t="s">
        <v>4322</v>
      </c>
      <c r="E5395" s="3" t="str">
        <f>IF(LEN(Base_Periodo1[[#This Row],[CLASS]])&gt;=7,LEFT(Base_Periodo1[[#This Row],[CLASS]],7),"")</f>
        <v>2.4.1.1</v>
      </c>
      <c r="F5395" s="3" t="str">
        <f>VLOOKUP(Base_Periodo1[[#This Row],[Aux]],Base_Contas_Balanco[#All],2,FALSE)</f>
        <v>Capital Social Realizado</v>
      </c>
      <c r="G5395" s="1"/>
      <c r="H5395" s="281">
        <v>50</v>
      </c>
      <c r="I5395" s="281">
        <v>0</v>
      </c>
      <c r="J5395" s="281">
        <v>0</v>
      </c>
      <c r="K5395" s="281">
        <v>50</v>
      </c>
      <c r="L539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95" s="281">
        <f>ROUND(IF(AND(Base_Periodo1[[#This Row],[Tipo_Linha]]="-",Base_Periodo1[[#This Row],[TIPOSALDO]]="D"),Base_Periodo1[[#This Row],[SALDO_ATUAL]]*-1,Base_Periodo1[[#This Row],[SALDO_ATUAL]]),4)</f>
        <v>50</v>
      </c>
      <c r="N5395" t="s">
        <v>116</v>
      </c>
      <c r="O5395" t="s">
        <v>459</v>
      </c>
      <c r="P5395" t="s">
        <v>459</v>
      </c>
      <c r="Q5395">
        <v>6</v>
      </c>
      <c r="R5395" s="281">
        <f>Base_Periodo1[[#This Row],[CREDITOS]]-Base_Periodo1[[#This Row],[DEBITOS]]</f>
        <v>0</v>
      </c>
      <c r="S5395" s="3" t="str">
        <f>IF(ISERROR(VLOOKUP(Base_Periodo1[[#This Row],[CONTA]],BaseContasDRE[#All],4,FALSE)),"Fora do DRE",VLOOKUP(Base_Periodo1[[#This Row],[CONTA]],BaseContasDRE[#All],4,FALSE))</f>
        <v>Fora do DRE</v>
      </c>
      <c r="T5395" s="3" t="str">
        <f>IF(ISERROR(VLOOKUP(Base_Periodo1[[#This Row],[CONTA]],BaseContasDRE[#All],5,FALSE)),"Fora do DRE",VLOOKUP(Base_Periodo1[[#This Row],[CONTA]],BaseContasDRE[#All],6,FALSE))</f>
        <v>Fora do DRE</v>
      </c>
      <c r="U5395" s="3" t="str">
        <f>IF(ISERROR(VLOOKUP(Base_Periodo1[[#This Row],[CONTA]],BaseContasDRE[#All],7,FALSE)),"Fora do DRE",VLOOKUP(Base_Periodo1[[#This Row],[CONTA]],BaseContasDRE[#All],7,FALSE))</f>
        <v>Fora do DRE</v>
      </c>
      <c r="V5395" s="3" t="str">
        <f>IF(Base_Periodo1[[#This Row],[Tipo_Linha]]="Fora do DRE","Fora do DRE","( "&amp;Base_Periodo1[[#This Row],[Tipo_Linha]]&amp;" ) "&amp;Base_Periodo1[[#This Row],[Filtro]])</f>
        <v>Fora do DRE</v>
      </c>
      <c r="W5395" s="3" t="str">
        <f>LEFT(Base_Periodo1[[#This Row],[CLASS]],3)</f>
        <v>2.4</v>
      </c>
    </row>
    <row r="5396" spans="1:23" hidden="1">
      <c r="A5396" s="3" t="str">
        <f t="shared" si="84"/>
        <v>Período 1</v>
      </c>
      <c r="B5396">
        <v>25218</v>
      </c>
      <c r="C5396" t="s">
        <v>2300</v>
      </c>
      <c r="D5396" t="s">
        <v>3228</v>
      </c>
      <c r="E5396" s="3" t="str">
        <f>IF(LEN(Base_Periodo1[[#This Row],[CLASS]])&gt;=7,LEFT(Base_Periodo1[[#This Row],[CLASS]],7),"")</f>
        <v>2.4.1.1</v>
      </c>
      <c r="F5396" s="3" t="str">
        <f>VLOOKUP(Base_Periodo1[[#This Row],[Aux]],Base_Contas_Balanco[#All],2,FALSE)</f>
        <v>Capital Social Realizado</v>
      </c>
      <c r="G5396" s="1"/>
      <c r="H5396" s="281">
        <v>138.27000000000001</v>
      </c>
      <c r="I5396" s="281">
        <v>0</v>
      </c>
      <c r="J5396" s="281">
        <v>0</v>
      </c>
      <c r="K5396" s="281">
        <v>138.27000000000001</v>
      </c>
      <c r="L539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138.27000000000001</v>
      </c>
      <c r="M5396" s="281">
        <f>ROUND(IF(AND(Base_Periodo1[[#This Row],[Tipo_Linha]]="-",Base_Periodo1[[#This Row],[TIPOSALDO]]="D"),Base_Periodo1[[#This Row],[SALDO_ATUAL]]*-1,Base_Periodo1[[#This Row],[SALDO_ATUAL]]),4)</f>
        <v>138.27000000000001</v>
      </c>
      <c r="N5396" t="s">
        <v>116</v>
      </c>
      <c r="O5396" t="s">
        <v>459</v>
      </c>
      <c r="P5396" t="s">
        <v>459</v>
      </c>
      <c r="Q5396">
        <v>6</v>
      </c>
      <c r="R5396" s="281">
        <f>Base_Periodo1[[#This Row],[CREDITOS]]-Base_Periodo1[[#This Row],[DEBITOS]]</f>
        <v>0</v>
      </c>
      <c r="S5396" s="3" t="str">
        <f>IF(ISERROR(VLOOKUP(Base_Periodo1[[#This Row],[CONTA]],BaseContasDRE[#All],4,FALSE)),"Fora do DRE",VLOOKUP(Base_Periodo1[[#This Row],[CONTA]],BaseContasDRE[#All],4,FALSE))</f>
        <v>Fora do DRE</v>
      </c>
      <c r="T5396" s="3" t="str">
        <f>IF(ISERROR(VLOOKUP(Base_Periodo1[[#This Row],[CONTA]],BaseContasDRE[#All],5,FALSE)),"Fora do DRE",VLOOKUP(Base_Periodo1[[#This Row],[CONTA]],BaseContasDRE[#All],6,FALSE))</f>
        <v>Fora do DRE</v>
      </c>
      <c r="U5396" s="3" t="str">
        <f>IF(ISERROR(VLOOKUP(Base_Periodo1[[#This Row],[CONTA]],BaseContasDRE[#All],7,FALSE)),"Fora do DRE",VLOOKUP(Base_Periodo1[[#This Row],[CONTA]],BaseContasDRE[#All],7,FALSE))</f>
        <v>Fora do DRE</v>
      </c>
      <c r="V5396" s="3" t="str">
        <f>IF(Base_Periodo1[[#This Row],[Tipo_Linha]]="Fora do DRE","Fora do DRE","( "&amp;Base_Periodo1[[#This Row],[Tipo_Linha]]&amp;" ) "&amp;Base_Periodo1[[#This Row],[Filtro]])</f>
        <v>Fora do DRE</v>
      </c>
      <c r="W5396" s="3" t="str">
        <f>LEFT(Base_Periodo1[[#This Row],[CLASS]],3)</f>
        <v>2.4</v>
      </c>
    </row>
    <row r="5397" spans="1:23" hidden="1">
      <c r="A5397" s="3" t="str">
        <f t="shared" si="84"/>
        <v>Período 1</v>
      </c>
      <c r="B5397">
        <v>53968</v>
      </c>
      <c r="C5397" t="s">
        <v>2300</v>
      </c>
      <c r="D5397" t="s">
        <v>5108</v>
      </c>
      <c r="E5397" s="3" t="str">
        <f>IF(LEN(Base_Periodo1[[#This Row],[CLASS]])&gt;=7,LEFT(Base_Periodo1[[#This Row],[CLASS]],7),"")</f>
        <v>2.4.1.1</v>
      </c>
      <c r="F5397" s="3" t="str">
        <f>VLOOKUP(Base_Periodo1[[#This Row],[Aux]],Base_Contas_Balanco[#All],2,FALSE)</f>
        <v>Capital Social Realizado</v>
      </c>
      <c r="G5397" s="1"/>
      <c r="H5397" s="281">
        <v>50</v>
      </c>
      <c r="I5397" s="281">
        <v>0</v>
      </c>
      <c r="J5397" s="281">
        <v>0</v>
      </c>
      <c r="K5397" s="281">
        <v>50</v>
      </c>
      <c r="L539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97" s="281">
        <f>ROUND(IF(AND(Base_Periodo1[[#This Row],[Tipo_Linha]]="-",Base_Periodo1[[#This Row],[TIPOSALDO]]="D"),Base_Periodo1[[#This Row],[SALDO_ATUAL]]*-1,Base_Periodo1[[#This Row],[SALDO_ATUAL]]),4)</f>
        <v>50</v>
      </c>
      <c r="N5397" t="s">
        <v>116</v>
      </c>
      <c r="O5397" t="s">
        <v>459</v>
      </c>
      <c r="P5397" t="s">
        <v>459</v>
      </c>
      <c r="Q5397">
        <v>6</v>
      </c>
      <c r="R5397" s="281">
        <f>Base_Periodo1[[#This Row],[CREDITOS]]-Base_Periodo1[[#This Row],[DEBITOS]]</f>
        <v>0</v>
      </c>
      <c r="S5397" s="3" t="str">
        <f>IF(ISERROR(VLOOKUP(Base_Periodo1[[#This Row],[CONTA]],BaseContasDRE[#All],4,FALSE)),"Fora do DRE",VLOOKUP(Base_Periodo1[[#This Row],[CONTA]],BaseContasDRE[#All],4,FALSE))</f>
        <v>Fora do DRE</v>
      </c>
      <c r="T5397" s="3" t="str">
        <f>IF(ISERROR(VLOOKUP(Base_Periodo1[[#This Row],[CONTA]],BaseContasDRE[#All],5,FALSE)),"Fora do DRE",VLOOKUP(Base_Periodo1[[#This Row],[CONTA]],BaseContasDRE[#All],6,FALSE))</f>
        <v>Fora do DRE</v>
      </c>
      <c r="U5397" s="3" t="str">
        <f>IF(ISERROR(VLOOKUP(Base_Periodo1[[#This Row],[CONTA]],BaseContasDRE[#All],7,FALSE)),"Fora do DRE",VLOOKUP(Base_Periodo1[[#This Row],[CONTA]],BaseContasDRE[#All],7,FALSE))</f>
        <v>Fora do DRE</v>
      </c>
      <c r="V5397" s="3" t="str">
        <f>IF(Base_Periodo1[[#This Row],[Tipo_Linha]]="Fora do DRE","Fora do DRE","( "&amp;Base_Periodo1[[#This Row],[Tipo_Linha]]&amp;" ) "&amp;Base_Periodo1[[#This Row],[Filtro]])</f>
        <v>Fora do DRE</v>
      </c>
      <c r="W5397" s="3" t="str">
        <f>LEFT(Base_Periodo1[[#This Row],[CLASS]],3)</f>
        <v>2.4</v>
      </c>
    </row>
    <row r="5398" spans="1:23" hidden="1">
      <c r="A5398" s="3" t="str">
        <f t="shared" si="84"/>
        <v>Período 1</v>
      </c>
      <c r="B5398">
        <v>29401</v>
      </c>
      <c r="C5398" t="s">
        <v>2300</v>
      </c>
      <c r="D5398" t="s">
        <v>3229</v>
      </c>
      <c r="E5398" s="3" t="str">
        <f>IF(LEN(Base_Periodo1[[#This Row],[CLASS]])&gt;=7,LEFT(Base_Periodo1[[#This Row],[CLASS]],7),"")</f>
        <v>2.4.1.1</v>
      </c>
      <c r="F5398" s="3" t="str">
        <f>VLOOKUP(Base_Periodo1[[#This Row],[Aux]],Base_Contas_Balanco[#All],2,FALSE)</f>
        <v>Capital Social Realizado</v>
      </c>
      <c r="G5398" s="1"/>
      <c r="H5398" s="281">
        <v>50</v>
      </c>
      <c r="I5398" s="281">
        <v>0</v>
      </c>
      <c r="J5398" s="281">
        <v>0</v>
      </c>
      <c r="K5398" s="281">
        <v>50</v>
      </c>
      <c r="L539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398" s="281">
        <f>ROUND(IF(AND(Base_Periodo1[[#This Row],[Tipo_Linha]]="-",Base_Periodo1[[#This Row],[TIPOSALDO]]="D"),Base_Periodo1[[#This Row],[SALDO_ATUAL]]*-1,Base_Periodo1[[#This Row],[SALDO_ATUAL]]),4)</f>
        <v>50</v>
      </c>
      <c r="N5398" t="s">
        <v>116</v>
      </c>
      <c r="O5398" t="s">
        <v>459</v>
      </c>
      <c r="P5398" t="s">
        <v>459</v>
      </c>
      <c r="Q5398">
        <v>6</v>
      </c>
      <c r="R5398" s="281">
        <f>Base_Periodo1[[#This Row],[CREDITOS]]-Base_Periodo1[[#This Row],[DEBITOS]]</f>
        <v>0</v>
      </c>
      <c r="S5398" s="3" t="str">
        <f>IF(ISERROR(VLOOKUP(Base_Periodo1[[#This Row],[CONTA]],BaseContasDRE[#All],4,FALSE)),"Fora do DRE",VLOOKUP(Base_Periodo1[[#This Row],[CONTA]],BaseContasDRE[#All],4,FALSE))</f>
        <v>Fora do DRE</v>
      </c>
      <c r="T5398" s="3" t="str">
        <f>IF(ISERROR(VLOOKUP(Base_Periodo1[[#This Row],[CONTA]],BaseContasDRE[#All],5,FALSE)),"Fora do DRE",VLOOKUP(Base_Periodo1[[#This Row],[CONTA]],BaseContasDRE[#All],6,FALSE))</f>
        <v>Fora do DRE</v>
      </c>
      <c r="U5398" s="3" t="str">
        <f>IF(ISERROR(VLOOKUP(Base_Periodo1[[#This Row],[CONTA]],BaseContasDRE[#All],7,FALSE)),"Fora do DRE",VLOOKUP(Base_Periodo1[[#This Row],[CONTA]],BaseContasDRE[#All],7,FALSE))</f>
        <v>Fora do DRE</v>
      </c>
      <c r="V5398" s="3" t="str">
        <f>IF(Base_Periodo1[[#This Row],[Tipo_Linha]]="Fora do DRE","Fora do DRE","( "&amp;Base_Periodo1[[#This Row],[Tipo_Linha]]&amp;" ) "&amp;Base_Periodo1[[#This Row],[Filtro]])</f>
        <v>Fora do DRE</v>
      </c>
      <c r="W5398" s="3" t="str">
        <f>LEFT(Base_Periodo1[[#This Row],[CLASS]],3)</f>
        <v>2.4</v>
      </c>
    </row>
    <row r="5399" spans="1:23" hidden="1">
      <c r="A5399" s="3" t="str">
        <f t="shared" si="84"/>
        <v>Período 1</v>
      </c>
      <c r="B5399">
        <v>25531</v>
      </c>
      <c r="C5399" t="s">
        <v>2300</v>
      </c>
      <c r="D5399" t="s">
        <v>3230</v>
      </c>
      <c r="E5399" s="3" t="str">
        <f>IF(LEN(Base_Periodo1[[#This Row],[CLASS]])&gt;=7,LEFT(Base_Periodo1[[#This Row],[CLASS]],7),"")</f>
        <v>2.4.1.1</v>
      </c>
      <c r="F5399" s="3" t="str">
        <f>VLOOKUP(Base_Periodo1[[#This Row],[Aux]],Base_Contas_Balanco[#All],2,FALSE)</f>
        <v>Capital Social Realizado</v>
      </c>
      <c r="G5399" s="1"/>
      <c r="H5399" s="281">
        <v>174.87</v>
      </c>
      <c r="I5399" s="281">
        <v>0</v>
      </c>
      <c r="J5399" s="281">
        <v>0</v>
      </c>
      <c r="K5399" s="281">
        <v>174.87</v>
      </c>
      <c r="L539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174.87</v>
      </c>
      <c r="M5399" s="281">
        <f>ROUND(IF(AND(Base_Periodo1[[#This Row],[Tipo_Linha]]="-",Base_Periodo1[[#This Row],[TIPOSALDO]]="D"),Base_Periodo1[[#This Row],[SALDO_ATUAL]]*-1,Base_Periodo1[[#This Row],[SALDO_ATUAL]]),4)</f>
        <v>174.87</v>
      </c>
      <c r="N5399" t="s">
        <v>116</v>
      </c>
      <c r="O5399" t="s">
        <v>459</v>
      </c>
      <c r="P5399" t="s">
        <v>459</v>
      </c>
      <c r="Q5399">
        <v>6</v>
      </c>
      <c r="R5399" s="281">
        <f>Base_Periodo1[[#This Row],[CREDITOS]]-Base_Periodo1[[#This Row],[DEBITOS]]</f>
        <v>0</v>
      </c>
      <c r="S5399" s="3" t="str">
        <f>IF(ISERROR(VLOOKUP(Base_Periodo1[[#This Row],[CONTA]],BaseContasDRE[#All],4,FALSE)),"Fora do DRE",VLOOKUP(Base_Periodo1[[#This Row],[CONTA]],BaseContasDRE[#All],4,FALSE))</f>
        <v>Fora do DRE</v>
      </c>
      <c r="T5399" s="3" t="str">
        <f>IF(ISERROR(VLOOKUP(Base_Periodo1[[#This Row],[CONTA]],BaseContasDRE[#All],5,FALSE)),"Fora do DRE",VLOOKUP(Base_Periodo1[[#This Row],[CONTA]],BaseContasDRE[#All],6,FALSE))</f>
        <v>Fora do DRE</v>
      </c>
      <c r="U5399" s="3" t="str">
        <f>IF(ISERROR(VLOOKUP(Base_Periodo1[[#This Row],[CONTA]],BaseContasDRE[#All],7,FALSE)),"Fora do DRE",VLOOKUP(Base_Periodo1[[#This Row],[CONTA]],BaseContasDRE[#All],7,FALSE))</f>
        <v>Fora do DRE</v>
      </c>
      <c r="V5399" s="3" t="str">
        <f>IF(Base_Periodo1[[#This Row],[Tipo_Linha]]="Fora do DRE","Fora do DRE","( "&amp;Base_Periodo1[[#This Row],[Tipo_Linha]]&amp;" ) "&amp;Base_Periodo1[[#This Row],[Filtro]])</f>
        <v>Fora do DRE</v>
      </c>
      <c r="W5399" s="3" t="str">
        <f>LEFT(Base_Periodo1[[#This Row],[CLASS]],3)</f>
        <v>2.4</v>
      </c>
    </row>
    <row r="5400" spans="1:23" hidden="1">
      <c r="A5400" s="3" t="str">
        <f t="shared" si="84"/>
        <v>Período 1</v>
      </c>
      <c r="B5400">
        <v>15964</v>
      </c>
      <c r="C5400" t="s">
        <v>2300</v>
      </c>
      <c r="D5400" t="s">
        <v>3231</v>
      </c>
      <c r="E5400" s="3" t="str">
        <f>IF(LEN(Base_Periodo1[[#This Row],[CLASS]])&gt;=7,LEFT(Base_Periodo1[[#This Row],[CLASS]],7),"")</f>
        <v>2.4.1.1</v>
      </c>
      <c r="F5400" s="3" t="str">
        <f>VLOOKUP(Base_Periodo1[[#This Row],[Aux]],Base_Contas_Balanco[#All],2,FALSE)</f>
        <v>Capital Social Realizado</v>
      </c>
      <c r="G5400" s="1"/>
      <c r="H5400" s="281">
        <v>1422.5100000000002</v>
      </c>
      <c r="I5400" s="281">
        <v>0</v>
      </c>
      <c r="J5400" s="281">
        <v>0</v>
      </c>
      <c r="K5400" s="281">
        <v>1422.5100000000002</v>
      </c>
      <c r="L540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1422.51</v>
      </c>
      <c r="M5400" s="281">
        <f>ROUND(IF(AND(Base_Periodo1[[#This Row],[Tipo_Linha]]="-",Base_Periodo1[[#This Row],[TIPOSALDO]]="D"),Base_Periodo1[[#This Row],[SALDO_ATUAL]]*-1,Base_Periodo1[[#This Row],[SALDO_ATUAL]]),4)</f>
        <v>1422.51</v>
      </c>
      <c r="N5400" t="s">
        <v>116</v>
      </c>
      <c r="O5400" t="s">
        <v>459</v>
      </c>
      <c r="P5400" t="s">
        <v>459</v>
      </c>
      <c r="Q5400">
        <v>6</v>
      </c>
      <c r="R5400" s="281">
        <f>Base_Periodo1[[#This Row],[CREDITOS]]-Base_Periodo1[[#This Row],[DEBITOS]]</f>
        <v>0</v>
      </c>
      <c r="S5400" s="3" t="str">
        <f>IF(ISERROR(VLOOKUP(Base_Periodo1[[#This Row],[CONTA]],BaseContasDRE[#All],4,FALSE)),"Fora do DRE",VLOOKUP(Base_Periodo1[[#This Row],[CONTA]],BaseContasDRE[#All],4,FALSE))</f>
        <v>Fora do DRE</v>
      </c>
      <c r="T5400" s="3" t="str">
        <f>IF(ISERROR(VLOOKUP(Base_Periodo1[[#This Row],[CONTA]],BaseContasDRE[#All],5,FALSE)),"Fora do DRE",VLOOKUP(Base_Periodo1[[#This Row],[CONTA]],BaseContasDRE[#All],6,FALSE))</f>
        <v>Fora do DRE</v>
      </c>
      <c r="U5400" s="3" t="str">
        <f>IF(ISERROR(VLOOKUP(Base_Periodo1[[#This Row],[CONTA]],BaseContasDRE[#All],7,FALSE)),"Fora do DRE",VLOOKUP(Base_Periodo1[[#This Row],[CONTA]],BaseContasDRE[#All],7,FALSE))</f>
        <v>Fora do DRE</v>
      </c>
      <c r="V5400" s="3" t="str">
        <f>IF(Base_Periodo1[[#This Row],[Tipo_Linha]]="Fora do DRE","Fora do DRE","( "&amp;Base_Periodo1[[#This Row],[Tipo_Linha]]&amp;" ) "&amp;Base_Periodo1[[#This Row],[Filtro]])</f>
        <v>Fora do DRE</v>
      </c>
      <c r="W5400" s="3" t="str">
        <f>LEFT(Base_Periodo1[[#This Row],[CLASS]],3)</f>
        <v>2.4</v>
      </c>
    </row>
    <row r="5401" spans="1:23" hidden="1">
      <c r="A5401" s="3" t="str">
        <f t="shared" si="84"/>
        <v>Período 1</v>
      </c>
      <c r="B5401">
        <v>25550</v>
      </c>
      <c r="C5401" t="s">
        <v>2300</v>
      </c>
      <c r="D5401" t="s">
        <v>3232</v>
      </c>
      <c r="E5401" s="3" t="str">
        <f>IF(LEN(Base_Periodo1[[#This Row],[CLASS]])&gt;=7,LEFT(Base_Periodo1[[#This Row],[CLASS]],7),"")</f>
        <v>2.4.1.1</v>
      </c>
      <c r="F5401" s="3" t="str">
        <f>VLOOKUP(Base_Periodo1[[#This Row],[Aux]],Base_Contas_Balanco[#All],2,FALSE)</f>
        <v>Capital Social Realizado</v>
      </c>
      <c r="G5401" s="1"/>
      <c r="H5401" s="281">
        <v>692.92</v>
      </c>
      <c r="I5401" s="281">
        <v>0</v>
      </c>
      <c r="J5401" s="281">
        <v>0</v>
      </c>
      <c r="K5401" s="281">
        <v>692.92</v>
      </c>
      <c r="L540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692.92</v>
      </c>
      <c r="M5401" s="281">
        <f>ROUND(IF(AND(Base_Periodo1[[#This Row],[Tipo_Linha]]="-",Base_Periodo1[[#This Row],[TIPOSALDO]]="D"),Base_Periodo1[[#This Row],[SALDO_ATUAL]]*-1,Base_Periodo1[[#This Row],[SALDO_ATUAL]]),4)</f>
        <v>692.92</v>
      </c>
      <c r="N5401" t="s">
        <v>116</v>
      </c>
      <c r="O5401" t="s">
        <v>459</v>
      </c>
      <c r="P5401" t="s">
        <v>459</v>
      </c>
      <c r="Q5401">
        <v>6</v>
      </c>
      <c r="R5401" s="281">
        <f>Base_Periodo1[[#This Row],[CREDITOS]]-Base_Periodo1[[#This Row],[DEBITOS]]</f>
        <v>0</v>
      </c>
      <c r="S5401" s="3" t="str">
        <f>IF(ISERROR(VLOOKUP(Base_Periodo1[[#This Row],[CONTA]],BaseContasDRE[#All],4,FALSE)),"Fora do DRE",VLOOKUP(Base_Periodo1[[#This Row],[CONTA]],BaseContasDRE[#All],4,FALSE))</f>
        <v>Fora do DRE</v>
      </c>
      <c r="T5401" s="3" t="str">
        <f>IF(ISERROR(VLOOKUP(Base_Periodo1[[#This Row],[CONTA]],BaseContasDRE[#All],5,FALSE)),"Fora do DRE",VLOOKUP(Base_Periodo1[[#This Row],[CONTA]],BaseContasDRE[#All],6,FALSE))</f>
        <v>Fora do DRE</v>
      </c>
      <c r="U5401" s="3" t="str">
        <f>IF(ISERROR(VLOOKUP(Base_Periodo1[[#This Row],[CONTA]],BaseContasDRE[#All],7,FALSE)),"Fora do DRE",VLOOKUP(Base_Periodo1[[#This Row],[CONTA]],BaseContasDRE[#All],7,FALSE))</f>
        <v>Fora do DRE</v>
      </c>
      <c r="V5401" s="3" t="str">
        <f>IF(Base_Periodo1[[#This Row],[Tipo_Linha]]="Fora do DRE","Fora do DRE","( "&amp;Base_Periodo1[[#This Row],[Tipo_Linha]]&amp;" ) "&amp;Base_Periodo1[[#This Row],[Filtro]])</f>
        <v>Fora do DRE</v>
      </c>
      <c r="W5401" s="3" t="str">
        <f>LEFT(Base_Periodo1[[#This Row],[CLASS]],3)</f>
        <v>2.4</v>
      </c>
    </row>
    <row r="5402" spans="1:23" hidden="1">
      <c r="A5402" s="3" t="str">
        <f t="shared" si="84"/>
        <v>Período 1</v>
      </c>
      <c r="B5402">
        <v>55615</v>
      </c>
      <c r="C5402" t="s">
        <v>2300</v>
      </c>
      <c r="D5402" t="s">
        <v>5456</v>
      </c>
      <c r="E5402" s="3" t="str">
        <f>IF(LEN(Base_Periodo1[[#This Row],[CLASS]])&gt;=7,LEFT(Base_Periodo1[[#This Row],[CLASS]],7),"")</f>
        <v>2.4.1.1</v>
      </c>
      <c r="F5402" s="3" t="str">
        <f>VLOOKUP(Base_Periodo1[[#This Row],[Aux]],Base_Contas_Balanco[#All],2,FALSE)</f>
        <v>Capital Social Realizado</v>
      </c>
      <c r="G5402" s="1"/>
      <c r="H5402" s="281">
        <v>240</v>
      </c>
      <c r="I5402" s="281">
        <v>0</v>
      </c>
      <c r="J5402" s="281">
        <v>0</v>
      </c>
      <c r="K5402" s="281">
        <v>240</v>
      </c>
      <c r="L540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402" s="281">
        <f>ROUND(IF(AND(Base_Periodo1[[#This Row],[Tipo_Linha]]="-",Base_Periodo1[[#This Row],[TIPOSALDO]]="D"),Base_Periodo1[[#This Row],[SALDO_ATUAL]]*-1,Base_Periodo1[[#This Row],[SALDO_ATUAL]]),4)</f>
        <v>240</v>
      </c>
      <c r="N5402" t="s">
        <v>116</v>
      </c>
      <c r="O5402" t="s">
        <v>459</v>
      </c>
      <c r="P5402" t="s">
        <v>459</v>
      </c>
      <c r="Q5402">
        <v>6</v>
      </c>
      <c r="R5402" s="281">
        <f>Base_Periodo1[[#This Row],[CREDITOS]]-Base_Periodo1[[#This Row],[DEBITOS]]</f>
        <v>0</v>
      </c>
      <c r="S5402" s="3" t="str">
        <f>IF(ISERROR(VLOOKUP(Base_Periodo1[[#This Row],[CONTA]],BaseContasDRE[#All],4,FALSE)),"Fora do DRE",VLOOKUP(Base_Periodo1[[#This Row],[CONTA]],BaseContasDRE[#All],4,FALSE))</f>
        <v>Fora do DRE</v>
      </c>
      <c r="T5402" s="3" t="str">
        <f>IF(ISERROR(VLOOKUP(Base_Periodo1[[#This Row],[CONTA]],BaseContasDRE[#All],5,FALSE)),"Fora do DRE",VLOOKUP(Base_Periodo1[[#This Row],[CONTA]],BaseContasDRE[#All],6,FALSE))</f>
        <v>Fora do DRE</v>
      </c>
      <c r="U5402" s="3" t="str">
        <f>IF(ISERROR(VLOOKUP(Base_Periodo1[[#This Row],[CONTA]],BaseContasDRE[#All],7,FALSE)),"Fora do DRE",VLOOKUP(Base_Periodo1[[#This Row],[CONTA]],BaseContasDRE[#All],7,FALSE))</f>
        <v>Fora do DRE</v>
      </c>
      <c r="V5402" s="3" t="str">
        <f>IF(Base_Periodo1[[#This Row],[Tipo_Linha]]="Fora do DRE","Fora do DRE","( "&amp;Base_Periodo1[[#This Row],[Tipo_Linha]]&amp;" ) "&amp;Base_Periodo1[[#This Row],[Filtro]])</f>
        <v>Fora do DRE</v>
      </c>
      <c r="W5402" s="3" t="str">
        <f>LEFT(Base_Periodo1[[#This Row],[CLASS]],3)</f>
        <v>2.4</v>
      </c>
    </row>
    <row r="5403" spans="1:23" hidden="1">
      <c r="A5403" s="3" t="str">
        <f t="shared" si="84"/>
        <v>Período 1</v>
      </c>
      <c r="B5403">
        <v>48674</v>
      </c>
      <c r="C5403" t="s">
        <v>2300</v>
      </c>
      <c r="D5403" t="s">
        <v>4222</v>
      </c>
      <c r="E5403" s="3" t="str">
        <f>IF(LEN(Base_Periodo1[[#This Row],[CLASS]])&gt;=7,LEFT(Base_Periodo1[[#This Row],[CLASS]],7),"")</f>
        <v>2.4.1.1</v>
      </c>
      <c r="F5403" s="3" t="str">
        <f>VLOOKUP(Base_Periodo1[[#This Row],[Aux]],Base_Contas_Balanco[#All],2,FALSE)</f>
        <v>Capital Social Realizado</v>
      </c>
      <c r="G5403" s="1"/>
      <c r="H5403" s="281">
        <v>55.24</v>
      </c>
      <c r="I5403" s="281">
        <v>0</v>
      </c>
      <c r="J5403" s="281">
        <v>0</v>
      </c>
      <c r="K5403" s="281">
        <v>55.24</v>
      </c>
      <c r="L540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55.24</v>
      </c>
      <c r="M5403" s="281">
        <f>ROUND(IF(AND(Base_Periodo1[[#This Row],[Tipo_Linha]]="-",Base_Periodo1[[#This Row],[TIPOSALDO]]="D"),Base_Periodo1[[#This Row],[SALDO_ATUAL]]*-1,Base_Periodo1[[#This Row],[SALDO_ATUAL]]),4)</f>
        <v>55.24</v>
      </c>
      <c r="N5403" t="s">
        <v>116</v>
      </c>
      <c r="O5403" t="s">
        <v>459</v>
      </c>
      <c r="P5403" t="s">
        <v>459</v>
      </c>
      <c r="Q5403">
        <v>6</v>
      </c>
      <c r="R5403" s="281">
        <f>Base_Periodo1[[#This Row],[CREDITOS]]-Base_Periodo1[[#This Row],[DEBITOS]]</f>
        <v>0</v>
      </c>
      <c r="S5403" s="3" t="str">
        <f>IF(ISERROR(VLOOKUP(Base_Periodo1[[#This Row],[CONTA]],BaseContasDRE[#All],4,FALSE)),"Fora do DRE",VLOOKUP(Base_Periodo1[[#This Row],[CONTA]],BaseContasDRE[#All],4,FALSE))</f>
        <v>Fora do DRE</v>
      </c>
      <c r="T5403" s="3" t="str">
        <f>IF(ISERROR(VLOOKUP(Base_Periodo1[[#This Row],[CONTA]],BaseContasDRE[#All],5,FALSE)),"Fora do DRE",VLOOKUP(Base_Periodo1[[#This Row],[CONTA]],BaseContasDRE[#All],6,FALSE))</f>
        <v>Fora do DRE</v>
      </c>
      <c r="U5403" s="3" t="str">
        <f>IF(ISERROR(VLOOKUP(Base_Periodo1[[#This Row],[CONTA]],BaseContasDRE[#All],7,FALSE)),"Fora do DRE",VLOOKUP(Base_Periodo1[[#This Row],[CONTA]],BaseContasDRE[#All],7,FALSE))</f>
        <v>Fora do DRE</v>
      </c>
      <c r="V5403" s="3" t="str">
        <f>IF(Base_Periodo1[[#This Row],[Tipo_Linha]]="Fora do DRE","Fora do DRE","( "&amp;Base_Periodo1[[#This Row],[Tipo_Linha]]&amp;" ) "&amp;Base_Periodo1[[#This Row],[Filtro]])</f>
        <v>Fora do DRE</v>
      </c>
      <c r="W5403" s="3" t="str">
        <f>LEFT(Base_Periodo1[[#This Row],[CLASS]],3)</f>
        <v>2.4</v>
      </c>
    </row>
    <row r="5404" spans="1:23" hidden="1">
      <c r="A5404" s="3" t="str">
        <f t="shared" si="84"/>
        <v>Período 1</v>
      </c>
      <c r="B5404">
        <v>27563</v>
      </c>
      <c r="C5404" t="s">
        <v>2300</v>
      </c>
      <c r="D5404" t="s">
        <v>3233</v>
      </c>
      <c r="E5404" s="3" t="str">
        <f>IF(LEN(Base_Periodo1[[#This Row],[CLASS]])&gt;=7,LEFT(Base_Periodo1[[#This Row],[CLASS]],7),"")</f>
        <v>2.4.1.1</v>
      </c>
      <c r="F5404" s="3" t="str">
        <f>VLOOKUP(Base_Periodo1[[#This Row],[Aux]],Base_Contas_Balanco[#All],2,FALSE)</f>
        <v>Capital Social Realizado</v>
      </c>
      <c r="G5404" s="1"/>
      <c r="H5404" s="281">
        <v>6552.32</v>
      </c>
      <c r="I5404" s="281">
        <v>0</v>
      </c>
      <c r="J5404" s="281">
        <v>0</v>
      </c>
      <c r="K5404" s="281">
        <v>6552.32</v>
      </c>
      <c r="L540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6552.32</v>
      </c>
      <c r="M5404" s="281">
        <f>ROUND(IF(AND(Base_Periodo1[[#This Row],[Tipo_Linha]]="-",Base_Periodo1[[#This Row],[TIPOSALDO]]="D"),Base_Periodo1[[#This Row],[SALDO_ATUAL]]*-1,Base_Periodo1[[#This Row],[SALDO_ATUAL]]),4)</f>
        <v>6552.32</v>
      </c>
      <c r="N5404" t="s">
        <v>116</v>
      </c>
      <c r="O5404" t="s">
        <v>459</v>
      </c>
      <c r="P5404" t="s">
        <v>459</v>
      </c>
      <c r="Q5404">
        <v>6</v>
      </c>
      <c r="R5404" s="281">
        <f>Base_Periodo1[[#This Row],[CREDITOS]]-Base_Periodo1[[#This Row],[DEBITOS]]</f>
        <v>0</v>
      </c>
      <c r="S5404" s="3" t="str">
        <f>IF(ISERROR(VLOOKUP(Base_Periodo1[[#This Row],[CONTA]],BaseContasDRE[#All],4,FALSE)),"Fora do DRE",VLOOKUP(Base_Periodo1[[#This Row],[CONTA]],BaseContasDRE[#All],4,FALSE))</f>
        <v>Fora do DRE</v>
      </c>
      <c r="T5404" s="3" t="str">
        <f>IF(ISERROR(VLOOKUP(Base_Periodo1[[#This Row],[CONTA]],BaseContasDRE[#All],5,FALSE)),"Fora do DRE",VLOOKUP(Base_Periodo1[[#This Row],[CONTA]],BaseContasDRE[#All],6,FALSE))</f>
        <v>Fora do DRE</v>
      </c>
      <c r="U5404" s="3" t="str">
        <f>IF(ISERROR(VLOOKUP(Base_Periodo1[[#This Row],[CONTA]],BaseContasDRE[#All],7,FALSE)),"Fora do DRE",VLOOKUP(Base_Periodo1[[#This Row],[CONTA]],BaseContasDRE[#All],7,FALSE))</f>
        <v>Fora do DRE</v>
      </c>
      <c r="V5404" s="3" t="str">
        <f>IF(Base_Periodo1[[#This Row],[Tipo_Linha]]="Fora do DRE","Fora do DRE","( "&amp;Base_Periodo1[[#This Row],[Tipo_Linha]]&amp;" ) "&amp;Base_Periodo1[[#This Row],[Filtro]])</f>
        <v>Fora do DRE</v>
      </c>
      <c r="W5404" s="3" t="str">
        <f>LEFT(Base_Periodo1[[#This Row],[CLASS]],3)</f>
        <v>2.4</v>
      </c>
    </row>
    <row r="5405" spans="1:23" hidden="1">
      <c r="A5405" s="3" t="str">
        <f t="shared" si="84"/>
        <v>Período 1</v>
      </c>
      <c r="B5405">
        <v>24624</v>
      </c>
      <c r="C5405" t="s">
        <v>2300</v>
      </c>
      <c r="D5405" t="s">
        <v>3234</v>
      </c>
      <c r="E5405" s="3" t="str">
        <f>IF(LEN(Base_Periodo1[[#This Row],[CLASS]])&gt;=7,LEFT(Base_Periodo1[[#This Row],[CLASS]],7),"")</f>
        <v>2.4.1.1</v>
      </c>
      <c r="F5405" s="3" t="str">
        <f>VLOOKUP(Base_Periodo1[[#This Row],[Aux]],Base_Contas_Balanco[#All],2,FALSE)</f>
        <v>Capital Social Realizado</v>
      </c>
      <c r="G5405" s="1"/>
      <c r="H5405" s="281">
        <v>513.57000000000005</v>
      </c>
      <c r="I5405" s="281">
        <v>0</v>
      </c>
      <c r="J5405" s="281">
        <v>0</v>
      </c>
      <c r="K5405" s="281">
        <v>513.57000000000005</v>
      </c>
      <c r="L540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513.57000000000005</v>
      </c>
      <c r="M5405" s="281">
        <f>ROUND(IF(AND(Base_Periodo1[[#This Row],[Tipo_Linha]]="-",Base_Periodo1[[#This Row],[TIPOSALDO]]="D"),Base_Periodo1[[#This Row],[SALDO_ATUAL]]*-1,Base_Periodo1[[#This Row],[SALDO_ATUAL]]),4)</f>
        <v>513.57000000000005</v>
      </c>
      <c r="N5405" t="s">
        <v>116</v>
      </c>
      <c r="O5405" t="s">
        <v>459</v>
      </c>
      <c r="P5405" t="s">
        <v>459</v>
      </c>
      <c r="Q5405">
        <v>6</v>
      </c>
      <c r="R5405" s="281">
        <f>Base_Periodo1[[#This Row],[CREDITOS]]-Base_Periodo1[[#This Row],[DEBITOS]]</f>
        <v>0</v>
      </c>
      <c r="S5405" s="3" t="str">
        <f>IF(ISERROR(VLOOKUP(Base_Periodo1[[#This Row],[CONTA]],BaseContasDRE[#All],4,FALSE)),"Fora do DRE",VLOOKUP(Base_Periodo1[[#This Row],[CONTA]],BaseContasDRE[#All],4,FALSE))</f>
        <v>Fora do DRE</v>
      </c>
      <c r="T5405" s="3" t="str">
        <f>IF(ISERROR(VLOOKUP(Base_Periodo1[[#This Row],[CONTA]],BaseContasDRE[#All],5,FALSE)),"Fora do DRE",VLOOKUP(Base_Periodo1[[#This Row],[CONTA]],BaseContasDRE[#All],6,FALSE))</f>
        <v>Fora do DRE</v>
      </c>
      <c r="U5405" s="3" t="str">
        <f>IF(ISERROR(VLOOKUP(Base_Periodo1[[#This Row],[CONTA]],BaseContasDRE[#All],7,FALSE)),"Fora do DRE",VLOOKUP(Base_Periodo1[[#This Row],[CONTA]],BaseContasDRE[#All],7,FALSE))</f>
        <v>Fora do DRE</v>
      </c>
      <c r="V5405" s="3" t="str">
        <f>IF(Base_Periodo1[[#This Row],[Tipo_Linha]]="Fora do DRE","Fora do DRE","( "&amp;Base_Periodo1[[#This Row],[Tipo_Linha]]&amp;" ) "&amp;Base_Periodo1[[#This Row],[Filtro]])</f>
        <v>Fora do DRE</v>
      </c>
      <c r="W5405" s="3" t="str">
        <f>LEFT(Base_Periodo1[[#This Row],[CLASS]],3)</f>
        <v>2.4</v>
      </c>
    </row>
    <row r="5406" spans="1:23" hidden="1">
      <c r="A5406" s="3" t="str">
        <f t="shared" si="84"/>
        <v>Período 1</v>
      </c>
      <c r="B5406">
        <v>19296</v>
      </c>
      <c r="C5406" t="s">
        <v>2300</v>
      </c>
      <c r="D5406" t="s">
        <v>3235</v>
      </c>
      <c r="E5406" s="3" t="str">
        <f>IF(LEN(Base_Periodo1[[#This Row],[CLASS]])&gt;=7,LEFT(Base_Periodo1[[#This Row],[CLASS]],7),"")</f>
        <v>2.4.1.1</v>
      </c>
      <c r="F5406" s="3" t="str">
        <f>VLOOKUP(Base_Periodo1[[#This Row],[Aux]],Base_Contas_Balanco[#All],2,FALSE)</f>
        <v>Capital Social Realizado</v>
      </c>
      <c r="G5406" s="1"/>
      <c r="H5406" s="281">
        <v>3576.37</v>
      </c>
      <c r="I5406" s="281">
        <v>0</v>
      </c>
      <c r="J5406" s="281">
        <v>0</v>
      </c>
      <c r="K5406" s="281">
        <v>3576.37</v>
      </c>
      <c r="L540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3576.37</v>
      </c>
      <c r="M5406" s="281">
        <f>ROUND(IF(AND(Base_Periodo1[[#This Row],[Tipo_Linha]]="-",Base_Periodo1[[#This Row],[TIPOSALDO]]="D"),Base_Periodo1[[#This Row],[SALDO_ATUAL]]*-1,Base_Periodo1[[#This Row],[SALDO_ATUAL]]),4)</f>
        <v>3576.37</v>
      </c>
      <c r="N5406" t="s">
        <v>116</v>
      </c>
      <c r="O5406" t="s">
        <v>459</v>
      </c>
      <c r="P5406" t="s">
        <v>459</v>
      </c>
      <c r="Q5406">
        <v>6</v>
      </c>
      <c r="R5406" s="281">
        <f>Base_Periodo1[[#This Row],[CREDITOS]]-Base_Periodo1[[#This Row],[DEBITOS]]</f>
        <v>0</v>
      </c>
      <c r="S5406" s="3" t="str">
        <f>IF(ISERROR(VLOOKUP(Base_Periodo1[[#This Row],[CONTA]],BaseContasDRE[#All],4,FALSE)),"Fora do DRE",VLOOKUP(Base_Periodo1[[#This Row],[CONTA]],BaseContasDRE[#All],4,FALSE))</f>
        <v>Fora do DRE</v>
      </c>
      <c r="T5406" s="3" t="str">
        <f>IF(ISERROR(VLOOKUP(Base_Periodo1[[#This Row],[CONTA]],BaseContasDRE[#All],5,FALSE)),"Fora do DRE",VLOOKUP(Base_Periodo1[[#This Row],[CONTA]],BaseContasDRE[#All],6,FALSE))</f>
        <v>Fora do DRE</v>
      </c>
      <c r="U5406" s="3" t="str">
        <f>IF(ISERROR(VLOOKUP(Base_Periodo1[[#This Row],[CONTA]],BaseContasDRE[#All],7,FALSE)),"Fora do DRE",VLOOKUP(Base_Periodo1[[#This Row],[CONTA]],BaseContasDRE[#All],7,FALSE))</f>
        <v>Fora do DRE</v>
      </c>
      <c r="V5406" s="3" t="str">
        <f>IF(Base_Periodo1[[#This Row],[Tipo_Linha]]="Fora do DRE","Fora do DRE","( "&amp;Base_Periodo1[[#This Row],[Tipo_Linha]]&amp;" ) "&amp;Base_Periodo1[[#This Row],[Filtro]])</f>
        <v>Fora do DRE</v>
      </c>
      <c r="W5406" s="3" t="str">
        <f>LEFT(Base_Periodo1[[#This Row],[CLASS]],3)</f>
        <v>2.4</v>
      </c>
    </row>
    <row r="5407" spans="1:23" hidden="1">
      <c r="A5407" s="3" t="str">
        <f t="shared" si="84"/>
        <v>Período 1</v>
      </c>
      <c r="B5407">
        <v>16420</v>
      </c>
      <c r="C5407" t="s">
        <v>2300</v>
      </c>
      <c r="D5407" t="s">
        <v>3236</v>
      </c>
      <c r="E5407" s="3" t="str">
        <f>IF(LEN(Base_Periodo1[[#This Row],[CLASS]])&gt;=7,LEFT(Base_Periodo1[[#This Row],[CLASS]],7),"")</f>
        <v>2.4.1.1</v>
      </c>
      <c r="F5407" s="3" t="str">
        <f>VLOOKUP(Base_Periodo1[[#This Row],[Aux]],Base_Contas_Balanco[#All],2,FALSE)</f>
        <v>Capital Social Realizado</v>
      </c>
      <c r="G5407" s="1"/>
      <c r="H5407" s="281">
        <v>1753.88</v>
      </c>
      <c r="I5407" s="281">
        <v>0</v>
      </c>
      <c r="J5407" s="281">
        <v>0</v>
      </c>
      <c r="K5407" s="281">
        <v>1753.88</v>
      </c>
      <c r="L540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1753.88</v>
      </c>
      <c r="M5407" s="281">
        <f>ROUND(IF(AND(Base_Periodo1[[#This Row],[Tipo_Linha]]="-",Base_Periodo1[[#This Row],[TIPOSALDO]]="D"),Base_Periodo1[[#This Row],[SALDO_ATUAL]]*-1,Base_Periodo1[[#This Row],[SALDO_ATUAL]]),4)</f>
        <v>1753.88</v>
      </c>
      <c r="N5407" t="s">
        <v>116</v>
      </c>
      <c r="O5407" t="s">
        <v>459</v>
      </c>
      <c r="P5407" t="s">
        <v>459</v>
      </c>
      <c r="Q5407">
        <v>6</v>
      </c>
      <c r="R5407" s="281">
        <f>Base_Periodo1[[#This Row],[CREDITOS]]-Base_Periodo1[[#This Row],[DEBITOS]]</f>
        <v>0</v>
      </c>
      <c r="S5407" s="3" t="str">
        <f>IF(ISERROR(VLOOKUP(Base_Periodo1[[#This Row],[CONTA]],BaseContasDRE[#All],4,FALSE)),"Fora do DRE",VLOOKUP(Base_Periodo1[[#This Row],[CONTA]],BaseContasDRE[#All],4,FALSE))</f>
        <v>Fora do DRE</v>
      </c>
      <c r="T5407" s="3" t="str">
        <f>IF(ISERROR(VLOOKUP(Base_Periodo1[[#This Row],[CONTA]],BaseContasDRE[#All],5,FALSE)),"Fora do DRE",VLOOKUP(Base_Periodo1[[#This Row],[CONTA]],BaseContasDRE[#All],6,FALSE))</f>
        <v>Fora do DRE</v>
      </c>
      <c r="U5407" s="3" t="str">
        <f>IF(ISERROR(VLOOKUP(Base_Periodo1[[#This Row],[CONTA]],BaseContasDRE[#All],7,FALSE)),"Fora do DRE",VLOOKUP(Base_Periodo1[[#This Row],[CONTA]],BaseContasDRE[#All],7,FALSE))</f>
        <v>Fora do DRE</v>
      </c>
      <c r="V5407" s="3" t="str">
        <f>IF(Base_Periodo1[[#This Row],[Tipo_Linha]]="Fora do DRE","Fora do DRE","( "&amp;Base_Periodo1[[#This Row],[Tipo_Linha]]&amp;" ) "&amp;Base_Periodo1[[#This Row],[Filtro]])</f>
        <v>Fora do DRE</v>
      </c>
      <c r="W5407" s="3" t="str">
        <f>LEFT(Base_Periodo1[[#This Row],[CLASS]],3)</f>
        <v>2.4</v>
      </c>
    </row>
    <row r="5408" spans="1:23" hidden="1">
      <c r="A5408" s="3" t="str">
        <f t="shared" si="84"/>
        <v>Período 1</v>
      </c>
      <c r="B5408">
        <v>19775</v>
      </c>
      <c r="C5408" t="s">
        <v>2300</v>
      </c>
      <c r="D5408" t="s">
        <v>3237</v>
      </c>
      <c r="E5408" s="3" t="str">
        <f>IF(LEN(Base_Periodo1[[#This Row],[CLASS]])&gt;=7,LEFT(Base_Periodo1[[#This Row],[CLASS]],7),"")</f>
        <v>2.4.1.1</v>
      </c>
      <c r="F5408" s="3" t="str">
        <f>VLOOKUP(Base_Periodo1[[#This Row],[Aux]],Base_Contas_Balanco[#All],2,FALSE)</f>
        <v>Capital Social Realizado</v>
      </c>
      <c r="G5408" s="1"/>
      <c r="H5408" s="281">
        <v>1045.25</v>
      </c>
      <c r="I5408" s="281">
        <v>0</v>
      </c>
      <c r="J5408" s="281">
        <v>0</v>
      </c>
      <c r="K5408" s="281">
        <v>1045.25</v>
      </c>
      <c r="L540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1045.25</v>
      </c>
      <c r="M5408" s="281">
        <f>ROUND(IF(AND(Base_Periodo1[[#This Row],[Tipo_Linha]]="-",Base_Periodo1[[#This Row],[TIPOSALDO]]="D"),Base_Periodo1[[#This Row],[SALDO_ATUAL]]*-1,Base_Periodo1[[#This Row],[SALDO_ATUAL]]),4)</f>
        <v>1045.25</v>
      </c>
      <c r="N5408" t="s">
        <v>116</v>
      </c>
      <c r="O5408" t="s">
        <v>459</v>
      </c>
      <c r="P5408" t="s">
        <v>459</v>
      </c>
      <c r="Q5408">
        <v>6</v>
      </c>
      <c r="R5408" s="281">
        <f>Base_Periodo1[[#This Row],[CREDITOS]]-Base_Periodo1[[#This Row],[DEBITOS]]</f>
        <v>0</v>
      </c>
      <c r="S5408" s="3" t="str">
        <f>IF(ISERROR(VLOOKUP(Base_Periodo1[[#This Row],[CONTA]],BaseContasDRE[#All],4,FALSE)),"Fora do DRE",VLOOKUP(Base_Periodo1[[#This Row],[CONTA]],BaseContasDRE[#All],4,FALSE))</f>
        <v>Fora do DRE</v>
      </c>
      <c r="T5408" s="3" t="str">
        <f>IF(ISERROR(VLOOKUP(Base_Periodo1[[#This Row],[CONTA]],BaseContasDRE[#All],5,FALSE)),"Fora do DRE",VLOOKUP(Base_Periodo1[[#This Row],[CONTA]],BaseContasDRE[#All],6,FALSE))</f>
        <v>Fora do DRE</v>
      </c>
      <c r="U5408" s="3" t="str">
        <f>IF(ISERROR(VLOOKUP(Base_Periodo1[[#This Row],[CONTA]],BaseContasDRE[#All],7,FALSE)),"Fora do DRE",VLOOKUP(Base_Periodo1[[#This Row],[CONTA]],BaseContasDRE[#All],7,FALSE))</f>
        <v>Fora do DRE</v>
      </c>
      <c r="V5408" s="3" t="str">
        <f>IF(Base_Periodo1[[#This Row],[Tipo_Linha]]="Fora do DRE","Fora do DRE","( "&amp;Base_Periodo1[[#This Row],[Tipo_Linha]]&amp;" ) "&amp;Base_Periodo1[[#This Row],[Filtro]])</f>
        <v>Fora do DRE</v>
      </c>
      <c r="W5408" s="3" t="str">
        <f>LEFT(Base_Periodo1[[#This Row],[CLASS]],3)</f>
        <v>2.4</v>
      </c>
    </row>
    <row r="5409" spans="1:23" hidden="1">
      <c r="A5409" s="3" t="str">
        <f t="shared" si="84"/>
        <v>Período 1</v>
      </c>
      <c r="B5409">
        <v>15989</v>
      </c>
      <c r="C5409" t="s">
        <v>2300</v>
      </c>
      <c r="D5409" t="s">
        <v>3238</v>
      </c>
      <c r="E5409" s="3" t="str">
        <f>IF(LEN(Base_Periodo1[[#This Row],[CLASS]])&gt;=7,LEFT(Base_Periodo1[[#This Row],[CLASS]],7),"")</f>
        <v>2.4.1.1</v>
      </c>
      <c r="F5409" s="3" t="str">
        <f>VLOOKUP(Base_Periodo1[[#This Row],[Aux]],Base_Contas_Balanco[#All],2,FALSE)</f>
        <v>Capital Social Realizado</v>
      </c>
      <c r="G5409" s="1"/>
      <c r="H5409" s="281">
        <v>2122.83</v>
      </c>
      <c r="I5409" s="281">
        <v>0</v>
      </c>
      <c r="J5409" s="281">
        <v>0</v>
      </c>
      <c r="K5409" s="281">
        <v>2122.83</v>
      </c>
      <c r="L540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2122.83</v>
      </c>
      <c r="M5409" s="281">
        <f>ROUND(IF(AND(Base_Periodo1[[#This Row],[Tipo_Linha]]="-",Base_Periodo1[[#This Row],[TIPOSALDO]]="D"),Base_Periodo1[[#This Row],[SALDO_ATUAL]]*-1,Base_Periodo1[[#This Row],[SALDO_ATUAL]]),4)</f>
        <v>2122.83</v>
      </c>
      <c r="N5409" t="s">
        <v>116</v>
      </c>
      <c r="O5409" t="s">
        <v>459</v>
      </c>
      <c r="P5409" t="s">
        <v>459</v>
      </c>
      <c r="Q5409">
        <v>6</v>
      </c>
      <c r="R5409" s="281">
        <f>Base_Periodo1[[#This Row],[CREDITOS]]-Base_Periodo1[[#This Row],[DEBITOS]]</f>
        <v>0</v>
      </c>
      <c r="S5409" s="3" t="str">
        <f>IF(ISERROR(VLOOKUP(Base_Periodo1[[#This Row],[CONTA]],BaseContasDRE[#All],4,FALSE)),"Fora do DRE",VLOOKUP(Base_Periodo1[[#This Row],[CONTA]],BaseContasDRE[#All],4,FALSE))</f>
        <v>Fora do DRE</v>
      </c>
      <c r="T5409" s="3" t="str">
        <f>IF(ISERROR(VLOOKUP(Base_Periodo1[[#This Row],[CONTA]],BaseContasDRE[#All],5,FALSE)),"Fora do DRE",VLOOKUP(Base_Periodo1[[#This Row],[CONTA]],BaseContasDRE[#All],6,FALSE))</f>
        <v>Fora do DRE</v>
      </c>
      <c r="U5409" s="3" t="str">
        <f>IF(ISERROR(VLOOKUP(Base_Periodo1[[#This Row],[CONTA]],BaseContasDRE[#All],7,FALSE)),"Fora do DRE",VLOOKUP(Base_Periodo1[[#This Row],[CONTA]],BaseContasDRE[#All],7,FALSE))</f>
        <v>Fora do DRE</v>
      </c>
      <c r="V5409" s="3" t="str">
        <f>IF(Base_Periodo1[[#This Row],[Tipo_Linha]]="Fora do DRE","Fora do DRE","( "&amp;Base_Periodo1[[#This Row],[Tipo_Linha]]&amp;" ) "&amp;Base_Periodo1[[#This Row],[Filtro]])</f>
        <v>Fora do DRE</v>
      </c>
      <c r="W5409" s="3" t="str">
        <f>LEFT(Base_Periodo1[[#This Row],[CLASS]],3)</f>
        <v>2.4</v>
      </c>
    </row>
    <row r="5410" spans="1:23" hidden="1">
      <c r="A5410" s="3" t="str">
        <f t="shared" si="84"/>
        <v>Período 1</v>
      </c>
      <c r="B5410">
        <v>19268</v>
      </c>
      <c r="C5410" t="s">
        <v>2300</v>
      </c>
      <c r="D5410" t="s">
        <v>3239</v>
      </c>
      <c r="E5410" s="3" t="str">
        <f>IF(LEN(Base_Periodo1[[#This Row],[CLASS]])&gt;=7,LEFT(Base_Periodo1[[#This Row],[CLASS]],7),"")</f>
        <v>2.4.1.1</v>
      </c>
      <c r="F5410" s="3" t="str">
        <f>VLOOKUP(Base_Periodo1[[#This Row],[Aux]],Base_Contas_Balanco[#All],2,FALSE)</f>
        <v>Capital Social Realizado</v>
      </c>
      <c r="G5410" s="1"/>
      <c r="H5410" s="281">
        <v>3335.98</v>
      </c>
      <c r="I5410" s="281">
        <v>0</v>
      </c>
      <c r="J5410" s="281">
        <v>0</v>
      </c>
      <c r="K5410" s="281">
        <v>3335.98</v>
      </c>
      <c r="L541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3335.98</v>
      </c>
      <c r="M5410" s="281">
        <f>ROUND(IF(AND(Base_Periodo1[[#This Row],[Tipo_Linha]]="-",Base_Periodo1[[#This Row],[TIPOSALDO]]="D"),Base_Periodo1[[#This Row],[SALDO_ATUAL]]*-1,Base_Periodo1[[#This Row],[SALDO_ATUAL]]),4)</f>
        <v>3335.98</v>
      </c>
      <c r="N5410" t="s">
        <v>116</v>
      </c>
      <c r="O5410" t="s">
        <v>459</v>
      </c>
      <c r="P5410" t="s">
        <v>459</v>
      </c>
      <c r="Q5410">
        <v>6</v>
      </c>
      <c r="R5410" s="281">
        <f>Base_Periodo1[[#This Row],[CREDITOS]]-Base_Periodo1[[#This Row],[DEBITOS]]</f>
        <v>0</v>
      </c>
      <c r="S5410" s="3" t="str">
        <f>IF(ISERROR(VLOOKUP(Base_Periodo1[[#This Row],[CONTA]],BaseContasDRE[#All],4,FALSE)),"Fora do DRE",VLOOKUP(Base_Periodo1[[#This Row],[CONTA]],BaseContasDRE[#All],4,FALSE))</f>
        <v>Fora do DRE</v>
      </c>
      <c r="T5410" s="3" t="str">
        <f>IF(ISERROR(VLOOKUP(Base_Periodo1[[#This Row],[CONTA]],BaseContasDRE[#All],5,FALSE)),"Fora do DRE",VLOOKUP(Base_Periodo1[[#This Row],[CONTA]],BaseContasDRE[#All],6,FALSE))</f>
        <v>Fora do DRE</v>
      </c>
      <c r="U5410" s="3" t="str">
        <f>IF(ISERROR(VLOOKUP(Base_Periodo1[[#This Row],[CONTA]],BaseContasDRE[#All],7,FALSE)),"Fora do DRE",VLOOKUP(Base_Periodo1[[#This Row],[CONTA]],BaseContasDRE[#All],7,FALSE))</f>
        <v>Fora do DRE</v>
      </c>
      <c r="V5410" s="3" t="str">
        <f>IF(Base_Periodo1[[#This Row],[Tipo_Linha]]="Fora do DRE","Fora do DRE","( "&amp;Base_Periodo1[[#This Row],[Tipo_Linha]]&amp;" ) "&amp;Base_Periodo1[[#This Row],[Filtro]])</f>
        <v>Fora do DRE</v>
      </c>
      <c r="W5410" s="3" t="str">
        <f>LEFT(Base_Periodo1[[#This Row],[CLASS]],3)</f>
        <v>2.4</v>
      </c>
    </row>
    <row r="5411" spans="1:23" hidden="1">
      <c r="A5411" s="3" t="str">
        <f t="shared" si="84"/>
        <v>Período 1</v>
      </c>
      <c r="B5411">
        <v>25557</v>
      </c>
      <c r="C5411" t="s">
        <v>2300</v>
      </c>
      <c r="D5411" t="s">
        <v>3240</v>
      </c>
      <c r="E5411" s="3" t="str">
        <f>IF(LEN(Base_Periodo1[[#This Row],[CLASS]])&gt;=7,LEFT(Base_Periodo1[[#This Row],[CLASS]],7),"")</f>
        <v>2.4.1.1</v>
      </c>
      <c r="F5411" s="3" t="str">
        <f>VLOOKUP(Base_Periodo1[[#This Row],[Aux]],Base_Contas_Balanco[#All],2,FALSE)</f>
        <v>Capital Social Realizado</v>
      </c>
      <c r="G5411" s="1"/>
      <c r="H5411" s="281">
        <v>263.3</v>
      </c>
      <c r="I5411" s="281">
        <v>0</v>
      </c>
      <c r="J5411" s="281">
        <v>0</v>
      </c>
      <c r="K5411" s="281">
        <v>263.3</v>
      </c>
      <c r="L541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263.3</v>
      </c>
      <c r="M5411" s="281">
        <f>ROUND(IF(AND(Base_Periodo1[[#This Row],[Tipo_Linha]]="-",Base_Periodo1[[#This Row],[TIPOSALDO]]="D"),Base_Periodo1[[#This Row],[SALDO_ATUAL]]*-1,Base_Periodo1[[#This Row],[SALDO_ATUAL]]),4)</f>
        <v>263.3</v>
      </c>
      <c r="N5411" t="s">
        <v>116</v>
      </c>
      <c r="O5411" t="s">
        <v>459</v>
      </c>
      <c r="P5411" t="s">
        <v>459</v>
      </c>
      <c r="Q5411">
        <v>6</v>
      </c>
      <c r="R5411" s="281">
        <f>Base_Periodo1[[#This Row],[CREDITOS]]-Base_Periodo1[[#This Row],[DEBITOS]]</f>
        <v>0</v>
      </c>
      <c r="S5411" s="3" t="str">
        <f>IF(ISERROR(VLOOKUP(Base_Periodo1[[#This Row],[CONTA]],BaseContasDRE[#All],4,FALSE)),"Fora do DRE",VLOOKUP(Base_Periodo1[[#This Row],[CONTA]],BaseContasDRE[#All],4,FALSE))</f>
        <v>Fora do DRE</v>
      </c>
      <c r="T5411" s="3" t="str">
        <f>IF(ISERROR(VLOOKUP(Base_Periodo1[[#This Row],[CONTA]],BaseContasDRE[#All],5,FALSE)),"Fora do DRE",VLOOKUP(Base_Periodo1[[#This Row],[CONTA]],BaseContasDRE[#All],6,FALSE))</f>
        <v>Fora do DRE</v>
      </c>
      <c r="U5411" s="3" t="str">
        <f>IF(ISERROR(VLOOKUP(Base_Periodo1[[#This Row],[CONTA]],BaseContasDRE[#All],7,FALSE)),"Fora do DRE",VLOOKUP(Base_Periodo1[[#This Row],[CONTA]],BaseContasDRE[#All],7,FALSE))</f>
        <v>Fora do DRE</v>
      </c>
      <c r="V5411" s="3" t="str">
        <f>IF(Base_Periodo1[[#This Row],[Tipo_Linha]]="Fora do DRE","Fora do DRE","( "&amp;Base_Periodo1[[#This Row],[Tipo_Linha]]&amp;" ) "&amp;Base_Periodo1[[#This Row],[Filtro]])</f>
        <v>Fora do DRE</v>
      </c>
      <c r="W5411" s="3" t="str">
        <f>LEFT(Base_Periodo1[[#This Row],[CLASS]],3)</f>
        <v>2.4</v>
      </c>
    </row>
    <row r="5412" spans="1:23" hidden="1">
      <c r="A5412" s="3" t="str">
        <f t="shared" si="84"/>
        <v>Período 1</v>
      </c>
      <c r="B5412">
        <v>16363</v>
      </c>
      <c r="C5412" t="s">
        <v>2300</v>
      </c>
      <c r="D5412" t="s">
        <v>3241</v>
      </c>
      <c r="E5412" s="3" t="str">
        <f>IF(LEN(Base_Periodo1[[#This Row],[CLASS]])&gt;=7,LEFT(Base_Periodo1[[#This Row],[CLASS]],7),"")</f>
        <v>2.4.1.1</v>
      </c>
      <c r="F5412" s="3" t="str">
        <f>VLOOKUP(Base_Periodo1[[#This Row],[Aux]],Base_Contas_Balanco[#All],2,FALSE)</f>
        <v>Capital Social Realizado</v>
      </c>
      <c r="G5412" s="1"/>
      <c r="H5412" s="281">
        <v>8804.5299999999988</v>
      </c>
      <c r="I5412" s="281">
        <v>0</v>
      </c>
      <c r="J5412" s="281">
        <v>0</v>
      </c>
      <c r="K5412" s="281">
        <v>8804.5299999999988</v>
      </c>
      <c r="L541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8804.5300000000007</v>
      </c>
      <c r="M5412" s="281">
        <f>ROUND(IF(AND(Base_Periodo1[[#This Row],[Tipo_Linha]]="-",Base_Periodo1[[#This Row],[TIPOSALDO]]="D"),Base_Periodo1[[#This Row],[SALDO_ATUAL]]*-1,Base_Periodo1[[#This Row],[SALDO_ATUAL]]),4)</f>
        <v>8804.5300000000007</v>
      </c>
      <c r="N5412" t="s">
        <v>116</v>
      </c>
      <c r="O5412" t="s">
        <v>459</v>
      </c>
      <c r="P5412" t="s">
        <v>459</v>
      </c>
      <c r="Q5412">
        <v>6</v>
      </c>
      <c r="R5412" s="281">
        <f>Base_Periodo1[[#This Row],[CREDITOS]]-Base_Periodo1[[#This Row],[DEBITOS]]</f>
        <v>0</v>
      </c>
      <c r="S5412" s="3" t="str">
        <f>IF(ISERROR(VLOOKUP(Base_Periodo1[[#This Row],[CONTA]],BaseContasDRE[#All],4,FALSE)),"Fora do DRE",VLOOKUP(Base_Periodo1[[#This Row],[CONTA]],BaseContasDRE[#All],4,FALSE))</f>
        <v>Fora do DRE</v>
      </c>
      <c r="T5412" s="3" t="str">
        <f>IF(ISERROR(VLOOKUP(Base_Periodo1[[#This Row],[CONTA]],BaseContasDRE[#All],5,FALSE)),"Fora do DRE",VLOOKUP(Base_Periodo1[[#This Row],[CONTA]],BaseContasDRE[#All],6,FALSE))</f>
        <v>Fora do DRE</v>
      </c>
      <c r="U5412" s="3" t="str">
        <f>IF(ISERROR(VLOOKUP(Base_Periodo1[[#This Row],[CONTA]],BaseContasDRE[#All],7,FALSE)),"Fora do DRE",VLOOKUP(Base_Periodo1[[#This Row],[CONTA]],BaseContasDRE[#All],7,FALSE))</f>
        <v>Fora do DRE</v>
      </c>
      <c r="V5412" s="3" t="str">
        <f>IF(Base_Periodo1[[#This Row],[Tipo_Linha]]="Fora do DRE","Fora do DRE","( "&amp;Base_Periodo1[[#This Row],[Tipo_Linha]]&amp;" ) "&amp;Base_Periodo1[[#This Row],[Filtro]])</f>
        <v>Fora do DRE</v>
      </c>
      <c r="W5412" s="3" t="str">
        <f>LEFT(Base_Periodo1[[#This Row],[CLASS]],3)</f>
        <v>2.4</v>
      </c>
    </row>
    <row r="5413" spans="1:23" hidden="1">
      <c r="A5413" s="3" t="str">
        <f t="shared" si="84"/>
        <v>Período 1</v>
      </c>
      <c r="B5413">
        <v>16083</v>
      </c>
      <c r="C5413" t="s">
        <v>2300</v>
      </c>
      <c r="D5413" t="s">
        <v>3242</v>
      </c>
      <c r="E5413" s="3" t="str">
        <f>IF(LEN(Base_Periodo1[[#This Row],[CLASS]])&gt;=7,LEFT(Base_Periodo1[[#This Row],[CLASS]],7),"")</f>
        <v>2.4.1.1</v>
      </c>
      <c r="F5413" s="3" t="str">
        <f>VLOOKUP(Base_Periodo1[[#This Row],[Aux]],Base_Contas_Balanco[#All],2,FALSE)</f>
        <v>Capital Social Realizado</v>
      </c>
      <c r="G5413" s="1"/>
      <c r="H5413" s="281">
        <v>3924.77</v>
      </c>
      <c r="I5413" s="281">
        <v>0</v>
      </c>
      <c r="J5413" s="281">
        <v>0</v>
      </c>
      <c r="K5413" s="281">
        <v>3924.77</v>
      </c>
      <c r="L541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3924.77</v>
      </c>
      <c r="M5413" s="281">
        <f>ROUND(IF(AND(Base_Periodo1[[#This Row],[Tipo_Linha]]="-",Base_Periodo1[[#This Row],[TIPOSALDO]]="D"),Base_Periodo1[[#This Row],[SALDO_ATUAL]]*-1,Base_Periodo1[[#This Row],[SALDO_ATUAL]]),4)</f>
        <v>3924.77</v>
      </c>
      <c r="N5413" t="s">
        <v>116</v>
      </c>
      <c r="O5413" t="s">
        <v>459</v>
      </c>
      <c r="P5413" t="s">
        <v>459</v>
      </c>
      <c r="Q5413">
        <v>6</v>
      </c>
      <c r="R5413" s="281">
        <f>Base_Periodo1[[#This Row],[CREDITOS]]-Base_Periodo1[[#This Row],[DEBITOS]]</f>
        <v>0</v>
      </c>
      <c r="S5413" s="3" t="str">
        <f>IF(ISERROR(VLOOKUP(Base_Periodo1[[#This Row],[CONTA]],BaseContasDRE[#All],4,FALSE)),"Fora do DRE",VLOOKUP(Base_Periodo1[[#This Row],[CONTA]],BaseContasDRE[#All],4,FALSE))</f>
        <v>Fora do DRE</v>
      </c>
      <c r="T5413" s="3" t="str">
        <f>IF(ISERROR(VLOOKUP(Base_Periodo1[[#This Row],[CONTA]],BaseContasDRE[#All],5,FALSE)),"Fora do DRE",VLOOKUP(Base_Periodo1[[#This Row],[CONTA]],BaseContasDRE[#All],6,FALSE))</f>
        <v>Fora do DRE</v>
      </c>
      <c r="U5413" s="3" t="str">
        <f>IF(ISERROR(VLOOKUP(Base_Periodo1[[#This Row],[CONTA]],BaseContasDRE[#All],7,FALSE)),"Fora do DRE",VLOOKUP(Base_Periodo1[[#This Row],[CONTA]],BaseContasDRE[#All],7,FALSE))</f>
        <v>Fora do DRE</v>
      </c>
      <c r="V5413" s="3" t="str">
        <f>IF(Base_Periodo1[[#This Row],[Tipo_Linha]]="Fora do DRE","Fora do DRE","( "&amp;Base_Periodo1[[#This Row],[Tipo_Linha]]&amp;" ) "&amp;Base_Periodo1[[#This Row],[Filtro]])</f>
        <v>Fora do DRE</v>
      </c>
      <c r="W5413" s="3" t="str">
        <f>LEFT(Base_Periodo1[[#This Row],[CLASS]],3)</f>
        <v>2.4</v>
      </c>
    </row>
    <row r="5414" spans="1:23" hidden="1">
      <c r="A5414" s="3" t="str">
        <f t="shared" si="84"/>
        <v>Período 1</v>
      </c>
      <c r="B5414">
        <v>15969</v>
      </c>
      <c r="C5414" t="s">
        <v>2300</v>
      </c>
      <c r="D5414" t="s">
        <v>3243</v>
      </c>
      <c r="E5414" s="3" t="str">
        <f>IF(LEN(Base_Periodo1[[#This Row],[CLASS]])&gt;=7,LEFT(Base_Periodo1[[#This Row],[CLASS]],7),"")</f>
        <v>2.4.1.1</v>
      </c>
      <c r="F5414" s="3" t="str">
        <f>VLOOKUP(Base_Periodo1[[#This Row],[Aux]],Base_Contas_Balanco[#All],2,FALSE)</f>
        <v>Capital Social Realizado</v>
      </c>
      <c r="G5414" s="1"/>
      <c r="H5414" s="281">
        <v>3302.42</v>
      </c>
      <c r="I5414" s="281">
        <v>0</v>
      </c>
      <c r="J5414" s="281">
        <v>0</v>
      </c>
      <c r="K5414" s="281">
        <v>3302.42</v>
      </c>
      <c r="L541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3302.42</v>
      </c>
      <c r="M5414" s="281">
        <f>ROUND(IF(AND(Base_Periodo1[[#This Row],[Tipo_Linha]]="-",Base_Periodo1[[#This Row],[TIPOSALDO]]="D"),Base_Periodo1[[#This Row],[SALDO_ATUAL]]*-1,Base_Periodo1[[#This Row],[SALDO_ATUAL]]),4)</f>
        <v>3302.42</v>
      </c>
      <c r="N5414" t="s">
        <v>116</v>
      </c>
      <c r="O5414" t="s">
        <v>459</v>
      </c>
      <c r="P5414" t="s">
        <v>459</v>
      </c>
      <c r="Q5414">
        <v>6</v>
      </c>
      <c r="R5414" s="281">
        <f>Base_Periodo1[[#This Row],[CREDITOS]]-Base_Periodo1[[#This Row],[DEBITOS]]</f>
        <v>0</v>
      </c>
      <c r="S5414" s="3" t="str">
        <f>IF(ISERROR(VLOOKUP(Base_Periodo1[[#This Row],[CONTA]],BaseContasDRE[#All],4,FALSE)),"Fora do DRE",VLOOKUP(Base_Periodo1[[#This Row],[CONTA]],BaseContasDRE[#All],4,FALSE))</f>
        <v>Fora do DRE</v>
      </c>
      <c r="T5414" s="3" t="str">
        <f>IF(ISERROR(VLOOKUP(Base_Periodo1[[#This Row],[CONTA]],BaseContasDRE[#All],5,FALSE)),"Fora do DRE",VLOOKUP(Base_Periodo1[[#This Row],[CONTA]],BaseContasDRE[#All],6,FALSE))</f>
        <v>Fora do DRE</v>
      </c>
      <c r="U5414" s="3" t="str">
        <f>IF(ISERROR(VLOOKUP(Base_Periodo1[[#This Row],[CONTA]],BaseContasDRE[#All],7,FALSE)),"Fora do DRE",VLOOKUP(Base_Periodo1[[#This Row],[CONTA]],BaseContasDRE[#All],7,FALSE))</f>
        <v>Fora do DRE</v>
      </c>
      <c r="V5414" s="3" t="str">
        <f>IF(Base_Periodo1[[#This Row],[Tipo_Linha]]="Fora do DRE","Fora do DRE","( "&amp;Base_Periodo1[[#This Row],[Tipo_Linha]]&amp;" ) "&amp;Base_Periodo1[[#This Row],[Filtro]])</f>
        <v>Fora do DRE</v>
      </c>
      <c r="W5414" s="3" t="str">
        <f>LEFT(Base_Periodo1[[#This Row],[CLASS]],3)</f>
        <v>2.4</v>
      </c>
    </row>
    <row r="5415" spans="1:23" hidden="1">
      <c r="A5415" s="3" t="str">
        <f t="shared" si="84"/>
        <v>Período 1</v>
      </c>
      <c r="B5415">
        <v>16246</v>
      </c>
      <c r="C5415" t="s">
        <v>2300</v>
      </c>
      <c r="D5415" t="s">
        <v>3244</v>
      </c>
      <c r="E5415" s="3" t="str">
        <f>IF(LEN(Base_Periodo1[[#This Row],[CLASS]])&gt;=7,LEFT(Base_Periodo1[[#This Row],[CLASS]],7),"")</f>
        <v>2.4.1.1</v>
      </c>
      <c r="F5415" s="3" t="str">
        <f>VLOOKUP(Base_Periodo1[[#This Row],[Aux]],Base_Contas_Balanco[#All],2,FALSE)</f>
        <v>Capital Social Realizado</v>
      </c>
      <c r="G5415" s="1"/>
      <c r="H5415" s="281">
        <v>10417.93</v>
      </c>
      <c r="I5415" s="281">
        <v>0</v>
      </c>
      <c r="J5415" s="281">
        <v>0</v>
      </c>
      <c r="K5415" s="281">
        <v>10417.93</v>
      </c>
      <c r="L541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10417.93</v>
      </c>
      <c r="M5415" s="281">
        <f>ROUND(IF(AND(Base_Periodo1[[#This Row],[Tipo_Linha]]="-",Base_Periodo1[[#This Row],[TIPOSALDO]]="D"),Base_Periodo1[[#This Row],[SALDO_ATUAL]]*-1,Base_Periodo1[[#This Row],[SALDO_ATUAL]]),4)</f>
        <v>10417.93</v>
      </c>
      <c r="N5415" t="s">
        <v>116</v>
      </c>
      <c r="O5415" t="s">
        <v>459</v>
      </c>
      <c r="P5415" t="s">
        <v>459</v>
      </c>
      <c r="Q5415">
        <v>6</v>
      </c>
      <c r="R5415" s="281">
        <f>Base_Periodo1[[#This Row],[CREDITOS]]-Base_Periodo1[[#This Row],[DEBITOS]]</f>
        <v>0</v>
      </c>
      <c r="S5415" s="3" t="str">
        <f>IF(ISERROR(VLOOKUP(Base_Periodo1[[#This Row],[CONTA]],BaseContasDRE[#All],4,FALSE)),"Fora do DRE",VLOOKUP(Base_Periodo1[[#This Row],[CONTA]],BaseContasDRE[#All],4,FALSE))</f>
        <v>Fora do DRE</v>
      </c>
      <c r="T5415" s="3" t="str">
        <f>IF(ISERROR(VLOOKUP(Base_Periodo1[[#This Row],[CONTA]],BaseContasDRE[#All],5,FALSE)),"Fora do DRE",VLOOKUP(Base_Periodo1[[#This Row],[CONTA]],BaseContasDRE[#All],6,FALSE))</f>
        <v>Fora do DRE</v>
      </c>
      <c r="U5415" s="3" t="str">
        <f>IF(ISERROR(VLOOKUP(Base_Periodo1[[#This Row],[CONTA]],BaseContasDRE[#All],7,FALSE)),"Fora do DRE",VLOOKUP(Base_Periodo1[[#This Row],[CONTA]],BaseContasDRE[#All],7,FALSE))</f>
        <v>Fora do DRE</v>
      </c>
      <c r="V5415" s="3" t="str">
        <f>IF(Base_Periodo1[[#This Row],[Tipo_Linha]]="Fora do DRE","Fora do DRE","( "&amp;Base_Periodo1[[#This Row],[Tipo_Linha]]&amp;" ) "&amp;Base_Periodo1[[#This Row],[Filtro]])</f>
        <v>Fora do DRE</v>
      </c>
      <c r="W5415" s="3" t="str">
        <f>LEFT(Base_Periodo1[[#This Row],[CLASS]],3)</f>
        <v>2.4</v>
      </c>
    </row>
    <row r="5416" spans="1:23" hidden="1">
      <c r="A5416" s="3" t="str">
        <f t="shared" si="84"/>
        <v>Período 1</v>
      </c>
      <c r="B5416">
        <v>30939</v>
      </c>
      <c r="C5416" t="s">
        <v>2300</v>
      </c>
      <c r="D5416" t="s">
        <v>3245</v>
      </c>
      <c r="E5416" s="3" t="str">
        <f>IF(LEN(Base_Periodo1[[#This Row],[CLASS]])&gt;=7,LEFT(Base_Periodo1[[#This Row],[CLASS]],7),"")</f>
        <v>2.4.1.1</v>
      </c>
      <c r="F5416" s="3" t="str">
        <f>VLOOKUP(Base_Periodo1[[#This Row],[Aux]],Base_Contas_Balanco[#All],2,FALSE)</f>
        <v>Capital Social Realizado</v>
      </c>
      <c r="G5416" s="1"/>
      <c r="H5416" s="281">
        <v>497.97</v>
      </c>
      <c r="I5416" s="281">
        <v>0</v>
      </c>
      <c r="J5416" s="281">
        <v>0</v>
      </c>
      <c r="K5416" s="281">
        <v>497.97</v>
      </c>
      <c r="L541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497.97</v>
      </c>
      <c r="M5416" s="281">
        <f>ROUND(IF(AND(Base_Periodo1[[#This Row],[Tipo_Linha]]="-",Base_Periodo1[[#This Row],[TIPOSALDO]]="D"),Base_Periodo1[[#This Row],[SALDO_ATUAL]]*-1,Base_Periodo1[[#This Row],[SALDO_ATUAL]]),4)</f>
        <v>497.97</v>
      </c>
      <c r="N5416" t="s">
        <v>116</v>
      </c>
      <c r="O5416" t="s">
        <v>459</v>
      </c>
      <c r="P5416" t="s">
        <v>459</v>
      </c>
      <c r="Q5416">
        <v>6</v>
      </c>
      <c r="R5416" s="281">
        <f>Base_Periodo1[[#This Row],[CREDITOS]]-Base_Periodo1[[#This Row],[DEBITOS]]</f>
        <v>0</v>
      </c>
      <c r="S5416" s="3" t="str">
        <f>IF(ISERROR(VLOOKUP(Base_Periodo1[[#This Row],[CONTA]],BaseContasDRE[#All],4,FALSE)),"Fora do DRE",VLOOKUP(Base_Periodo1[[#This Row],[CONTA]],BaseContasDRE[#All],4,FALSE))</f>
        <v>Fora do DRE</v>
      </c>
      <c r="T5416" s="3" t="str">
        <f>IF(ISERROR(VLOOKUP(Base_Periodo1[[#This Row],[CONTA]],BaseContasDRE[#All],5,FALSE)),"Fora do DRE",VLOOKUP(Base_Periodo1[[#This Row],[CONTA]],BaseContasDRE[#All],6,FALSE))</f>
        <v>Fora do DRE</v>
      </c>
      <c r="U5416" s="3" t="str">
        <f>IF(ISERROR(VLOOKUP(Base_Periodo1[[#This Row],[CONTA]],BaseContasDRE[#All],7,FALSE)),"Fora do DRE",VLOOKUP(Base_Periodo1[[#This Row],[CONTA]],BaseContasDRE[#All],7,FALSE))</f>
        <v>Fora do DRE</v>
      </c>
      <c r="V5416" s="3" t="str">
        <f>IF(Base_Periodo1[[#This Row],[Tipo_Linha]]="Fora do DRE","Fora do DRE","( "&amp;Base_Periodo1[[#This Row],[Tipo_Linha]]&amp;" ) "&amp;Base_Periodo1[[#This Row],[Filtro]])</f>
        <v>Fora do DRE</v>
      </c>
      <c r="W5416" s="3" t="str">
        <f>LEFT(Base_Periodo1[[#This Row],[CLASS]],3)</f>
        <v>2.4</v>
      </c>
    </row>
    <row r="5417" spans="1:23" hidden="1">
      <c r="A5417" s="3" t="str">
        <f t="shared" si="84"/>
        <v>Período 1</v>
      </c>
      <c r="B5417">
        <v>47273</v>
      </c>
      <c r="C5417" t="s">
        <v>2300</v>
      </c>
      <c r="D5417" t="s">
        <v>3246</v>
      </c>
      <c r="E5417" s="3" t="str">
        <f>IF(LEN(Base_Periodo1[[#This Row],[CLASS]])&gt;=7,LEFT(Base_Periodo1[[#This Row],[CLASS]],7),"")</f>
        <v>2.4.1.1</v>
      </c>
      <c r="F5417" s="3" t="str">
        <f>VLOOKUP(Base_Periodo1[[#This Row],[Aux]],Base_Contas_Balanco[#All],2,FALSE)</f>
        <v>Capital Social Realizado</v>
      </c>
      <c r="G5417" s="1"/>
      <c r="H5417" s="281">
        <v>104.74000000000001</v>
      </c>
      <c r="I5417" s="281">
        <v>0</v>
      </c>
      <c r="J5417" s="281">
        <v>0</v>
      </c>
      <c r="K5417" s="281">
        <v>104.74000000000001</v>
      </c>
      <c r="L541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104.74</v>
      </c>
      <c r="M5417" s="281">
        <f>ROUND(IF(AND(Base_Periodo1[[#This Row],[Tipo_Linha]]="-",Base_Periodo1[[#This Row],[TIPOSALDO]]="D"),Base_Periodo1[[#This Row],[SALDO_ATUAL]]*-1,Base_Periodo1[[#This Row],[SALDO_ATUAL]]),4)</f>
        <v>104.74</v>
      </c>
      <c r="N5417" t="s">
        <v>116</v>
      </c>
      <c r="O5417" t="s">
        <v>459</v>
      </c>
      <c r="P5417" t="s">
        <v>459</v>
      </c>
      <c r="Q5417">
        <v>6</v>
      </c>
      <c r="R5417" s="281">
        <f>Base_Periodo1[[#This Row],[CREDITOS]]-Base_Periodo1[[#This Row],[DEBITOS]]</f>
        <v>0</v>
      </c>
      <c r="S5417" s="3" t="str">
        <f>IF(ISERROR(VLOOKUP(Base_Periodo1[[#This Row],[CONTA]],BaseContasDRE[#All],4,FALSE)),"Fora do DRE",VLOOKUP(Base_Periodo1[[#This Row],[CONTA]],BaseContasDRE[#All],4,FALSE))</f>
        <v>Fora do DRE</v>
      </c>
      <c r="T5417" s="3" t="str">
        <f>IF(ISERROR(VLOOKUP(Base_Periodo1[[#This Row],[CONTA]],BaseContasDRE[#All],5,FALSE)),"Fora do DRE",VLOOKUP(Base_Periodo1[[#This Row],[CONTA]],BaseContasDRE[#All],6,FALSE))</f>
        <v>Fora do DRE</v>
      </c>
      <c r="U5417" s="3" t="str">
        <f>IF(ISERROR(VLOOKUP(Base_Periodo1[[#This Row],[CONTA]],BaseContasDRE[#All],7,FALSE)),"Fora do DRE",VLOOKUP(Base_Periodo1[[#This Row],[CONTA]],BaseContasDRE[#All],7,FALSE))</f>
        <v>Fora do DRE</v>
      </c>
      <c r="V5417" s="3" t="str">
        <f>IF(Base_Periodo1[[#This Row],[Tipo_Linha]]="Fora do DRE","Fora do DRE","( "&amp;Base_Periodo1[[#This Row],[Tipo_Linha]]&amp;" ) "&amp;Base_Periodo1[[#This Row],[Filtro]])</f>
        <v>Fora do DRE</v>
      </c>
      <c r="W5417" s="3" t="str">
        <f>LEFT(Base_Periodo1[[#This Row],[CLASS]],3)</f>
        <v>2.4</v>
      </c>
    </row>
    <row r="5418" spans="1:23" hidden="1">
      <c r="A5418" s="3" t="str">
        <f t="shared" si="84"/>
        <v>Período 1</v>
      </c>
      <c r="B5418">
        <v>49114</v>
      </c>
      <c r="C5418" t="s">
        <v>2300</v>
      </c>
      <c r="D5418" t="s">
        <v>4323</v>
      </c>
      <c r="E5418" s="3" t="str">
        <f>IF(LEN(Base_Periodo1[[#This Row],[CLASS]])&gt;=7,LEFT(Base_Periodo1[[#This Row],[CLASS]],7),"")</f>
        <v>2.4.1.1</v>
      </c>
      <c r="F5418" s="3" t="str">
        <f>VLOOKUP(Base_Periodo1[[#This Row],[Aux]],Base_Contas_Balanco[#All],2,FALSE)</f>
        <v>Capital Social Realizado</v>
      </c>
      <c r="G5418" s="1"/>
      <c r="H5418" s="281">
        <v>258.2</v>
      </c>
      <c r="I5418" s="281">
        <v>0</v>
      </c>
      <c r="J5418" s="281">
        <v>0</v>
      </c>
      <c r="K5418" s="281">
        <v>258.2</v>
      </c>
      <c r="L541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258.2</v>
      </c>
      <c r="M5418" s="281">
        <f>ROUND(IF(AND(Base_Periodo1[[#This Row],[Tipo_Linha]]="-",Base_Periodo1[[#This Row],[TIPOSALDO]]="D"),Base_Periodo1[[#This Row],[SALDO_ATUAL]]*-1,Base_Periodo1[[#This Row],[SALDO_ATUAL]]),4)</f>
        <v>258.2</v>
      </c>
      <c r="N5418" t="s">
        <v>116</v>
      </c>
      <c r="O5418" t="s">
        <v>459</v>
      </c>
      <c r="P5418" t="s">
        <v>459</v>
      </c>
      <c r="Q5418">
        <v>6</v>
      </c>
      <c r="R5418" s="281">
        <f>Base_Periodo1[[#This Row],[CREDITOS]]-Base_Periodo1[[#This Row],[DEBITOS]]</f>
        <v>0</v>
      </c>
      <c r="S5418" s="3" t="str">
        <f>IF(ISERROR(VLOOKUP(Base_Periodo1[[#This Row],[CONTA]],BaseContasDRE[#All],4,FALSE)),"Fora do DRE",VLOOKUP(Base_Periodo1[[#This Row],[CONTA]],BaseContasDRE[#All],4,FALSE))</f>
        <v>Fora do DRE</v>
      </c>
      <c r="T5418" s="3" t="str">
        <f>IF(ISERROR(VLOOKUP(Base_Periodo1[[#This Row],[CONTA]],BaseContasDRE[#All],5,FALSE)),"Fora do DRE",VLOOKUP(Base_Periodo1[[#This Row],[CONTA]],BaseContasDRE[#All],6,FALSE))</f>
        <v>Fora do DRE</v>
      </c>
      <c r="U5418" s="3" t="str">
        <f>IF(ISERROR(VLOOKUP(Base_Periodo1[[#This Row],[CONTA]],BaseContasDRE[#All],7,FALSE)),"Fora do DRE",VLOOKUP(Base_Periodo1[[#This Row],[CONTA]],BaseContasDRE[#All],7,FALSE))</f>
        <v>Fora do DRE</v>
      </c>
      <c r="V5418" s="3" t="str">
        <f>IF(Base_Periodo1[[#This Row],[Tipo_Linha]]="Fora do DRE","Fora do DRE","( "&amp;Base_Periodo1[[#This Row],[Tipo_Linha]]&amp;" ) "&amp;Base_Periodo1[[#This Row],[Filtro]])</f>
        <v>Fora do DRE</v>
      </c>
      <c r="W5418" s="3" t="str">
        <f>LEFT(Base_Periodo1[[#This Row],[CLASS]],3)</f>
        <v>2.4</v>
      </c>
    </row>
    <row r="5419" spans="1:23" hidden="1">
      <c r="A5419" s="3" t="str">
        <f t="shared" si="84"/>
        <v>Período 1</v>
      </c>
      <c r="B5419">
        <v>19913</v>
      </c>
      <c r="C5419" t="s">
        <v>2300</v>
      </c>
      <c r="D5419" t="s">
        <v>3247</v>
      </c>
      <c r="E5419" s="3" t="str">
        <f>IF(LEN(Base_Periodo1[[#This Row],[CLASS]])&gt;=7,LEFT(Base_Periodo1[[#This Row],[CLASS]],7),"")</f>
        <v>2.4.1.1</v>
      </c>
      <c r="F5419" s="3" t="str">
        <f>VLOOKUP(Base_Periodo1[[#This Row],[Aux]],Base_Contas_Balanco[#All],2,FALSE)</f>
        <v>Capital Social Realizado</v>
      </c>
      <c r="G5419" s="1"/>
      <c r="H5419" s="281">
        <v>215.62</v>
      </c>
      <c r="I5419" s="281">
        <v>0</v>
      </c>
      <c r="J5419" s="281">
        <v>0</v>
      </c>
      <c r="K5419" s="281">
        <v>215.62</v>
      </c>
      <c r="L541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215.62</v>
      </c>
      <c r="M5419" s="281">
        <f>ROUND(IF(AND(Base_Periodo1[[#This Row],[Tipo_Linha]]="-",Base_Periodo1[[#This Row],[TIPOSALDO]]="D"),Base_Periodo1[[#This Row],[SALDO_ATUAL]]*-1,Base_Periodo1[[#This Row],[SALDO_ATUAL]]),4)</f>
        <v>215.62</v>
      </c>
      <c r="N5419" t="s">
        <v>116</v>
      </c>
      <c r="O5419" t="s">
        <v>459</v>
      </c>
      <c r="P5419" t="s">
        <v>459</v>
      </c>
      <c r="Q5419">
        <v>6</v>
      </c>
      <c r="R5419" s="281">
        <f>Base_Periodo1[[#This Row],[CREDITOS]]-Base_Periodo1[[#This Row],[DEBITOS]]</f>
        <v>0</v>
      </c>
      <c r="S5419" s="3" t="str">
        <f>IF(ISERROR(VLOOKUP(Base_Periodo1[[#This Row],[CONTA]],BaseContasDRE[#All],4,FALSE)),"Fora do DRE",VLOOKUP(Base_Periodo1[[#This Row],[CONTA]],BaseContasDRE[#All],4,FALSE))</f>
        <v>Fora do DRE</v>
      </c>
      <c r="T5419" s="3" t="str">
        <f>IF(ISERROR(VLOOKUP(Base_Periodo1[[#This Row],[CONTA]],BaseContasDRE[#All],5,FALSE)),"Fora do DRE",VLOOKUP(Base_Periodo1[[#This Row],[CONTA]],BaseContasDRE[#All],6,FALSE))</f>
        <v>Fora do DRE</v>
      </c>
      <c r="U5419" s="3" t="str">
        <f>IF(ISERROR(VLOOKUP(Base_Periodo1[[#This Row],[CONTA]],BaseContasDRE[#All],7,FALSE)),"Fora do DRE",VLOOKUP(Base_Periodo1[[#This Row],[CONTA]],BaseContasDRE[#All],7,FALSE))</f>
        <v>Fora do DRE</v>
      </c>
      <c r="V5419" s="3" t="str">
        <f>IF(Base_Periodo1[[#This Row],[Tipo_Linha]]="Fora do DRE","Fora do DRE","( "&amp;Base_Periodo1[[#This Row],[Tipo_Linha]]&amp;" ) "&amp;Base_Periodo1[[#This Row],[Filtro]])</f>
        <v>Fora do DRE</v>
      </c>
      <c r="W5419" s="3" t="str">
        <f>LEFT(Base_Periodo1[[#This Row],[CLASS]],3)</f>
        <v>2.4</v>
      </c>
    </row>
    <row r="5420" spans="1:23" hidden="1">
      <c r="A5420" s="3" t="str">
        <f t="shared" si="84"/>
        <v>Período 1</v>
      </c>
      <c r="B5420">
        <v>25878</v>
      </c>
      <c r="C5420" t="s">
        <v>2300</v>
      </c>
      <c r="D5420" t="s">
        <v>3248</v>
      </c>
      <c r="E5420" s="3" t="str">
        <f>IF(LEN(Base_Periodo1[[#This Row],[CLASS]])&gt;=7,LEFT(Base_Periodo1[[#This Row],[CLASS]],7),"")</f>
        <v>2.4.1.1</v>
      </c>
      <c r="F5420" s="3" t="str">
        <f>VLOOKUP(Base_Periodo1[[#This Row],[Aux]],Base_Contas_Balanco[#All],2,FALSE)</f>
        <v>Capital Social Realizado</v>
      </c>
      <c r="G5420" s="1"/>
      <c r="H5420" s="281">
        <v>71.349999999999994</v>
      </c>
      <c r="I5420" s="281">
        <v>0</v>
      </c>
      <c r="J5420" s="281">
        <v>0</v>
      </c>
      <c r="K5420" s="281">
        <v>71.349999999999994</v>
      </c>
      <c r="L542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71.349999999999994</v>
      </c>
      <c r="M5420" s="281">
        <f>ROUND(IF(AND(Base_Periodo1[[#This Row],[Tipo_Linha]]="-",Base_Periodo1[[#This Row],[TIPOSALDO]]="D"),Base_Periodo1[[#This Row],[SALDO_ATUAL]]*-1,Base_Periodo1[[#This Row],[SALDO_ATUAL]]),4)</f>
        <v>71.349999999999994</v>
      </c>
      <c r="N5420" t="s">
        <v>116</v>
      </c>
      <c r="O5420" t="s">
        <v>459</v>
      </c>
      <c r="P5420" t="s">
        <v>459</v>
      </c>
      <c r="Q5420">
        <v>6</v>
      </c>
      <c r="R5420" s="281">
        <f>Base_Periodo1[[#This Row],[CREDITOS]]-Base_Periodo1[[#This Row],[DEBITOS]]</f>
        <v>0</v>
      </c>
      <c r="S5420" s="3" t="str">
        <f>IF(ISERROR(VLOOKUP(Base_Periodo1[[#This Row],[CONTA]],BaseContasDRE[#All],4,FALSE)),"Fora do DRE",VLOOKUP(Base_Periodo1[[#This Row],[CONTA]],BaseContasDRE[#All],4,FALSE))</f>
        <v>Fora do DRE</v>
      </c>
      <c r="T5420" s="3" t="str">
        <f>IF(ISERROR(VLOOKUP(Base_Periodo1[[#This Row],[CONTA]],BaseContasDRE[#All],5,FALSE)),"Fora do DRE",VLOOKUP(Base_Periodo1[[#This Row],[CONTA]],BaseContasDRE[#All],6,FALSE))</f>
        <v>Fora do DRE</v>
      </c>
      <c r="U5420" s="3" t="str">
        <f>IF(ISERROR(VLOOKUP(Base_Periodo1[[#This Row],[CONTA]],BaseContasDRE[#All],7,FALSE)),"Fora do DRE",VLOOKUP(Base_Periodo1[[#This Row],[CONTA]],BaseContasDRE[#All],7,FALSE))</f>
        <v>Fora do DRE</v>
      </c>
      <c r="V5420" s="3" t="str">
        <f>IF(Base_Periodo1[[#This Row],[Tipo_Linha]]="Fora do DRE","Fora do DRE","( "&amp;Base_Periodo1[[#This Row],[Tipo_Linha]]&amp;" ) "&amp;Base_Periodo1[[#This Row],[Filtro]])</f>
        <v>Fora do DRE</v>
      </c>
      <c r="W5420" s="3" t="str">
        <f>LEFT(Base_Periodo1[[#This Row],[CLASS]],3)</f>
        <v>2.4</v>
      </c>
    </row>
    <row r="5421" spans="1:23" hidden="1">
      <c r="A5421" s="3" t="str">
        <f t="shared" si="84"/>
        <v>Período 1</v>
      </c>
      <c r="B5421">
        <v>24593</v>
      </c>
      <c r="C5421" t="s">
        <v>2300</v>
      </c>
      <c r="D5421" t="s">
        <v>3249</v>
      </c>
      <c r="E5421" s="3" t="str">
        <f>IF(LEN(Base_Periodo1[[#This Row],[CLASS]])&gt;=7,LEFT(Base_Periodo1[[#This Row],[CLASS]],7),"")</f>
        <v>2.4.1.1</v>
      </c>
      <c r="F5421" s="3" t="str">
        <f>VLOOKUP(Base_Periodo1[[#This Row],[Aux]],Base_Contas_Balanco[#All],2,FALSE)</f>
        <v>Capital Social Realizado</v>
      </c>
      <c r="G5421" s="1"/>
      <c r="H5421" s="281">
        <v>672.89</v>
      </c>
      <c r="I5421" s="281">
        <v>0</v>
      </c>
      <c r="J5421" s="281">
        <v>0</v>
      </c>
      <c r="K5421" s="281">
        <v>672.89</v>
      </c>
      <c r="L542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672.89</v>
      </c>
      <c r="M5421" s="281">
        <f>ROUND(IF(AND(Base_Periodo1[[#This Row],[Tipo_Linha]]="-",Base_Periodo1[[#This Row],[TIPOSALDO]]="D"),Base_Periodo1[[#This Row],[SALDO_ATUAL]]*-1,Base_Periodo1[[#This Row],[SALDO_ATUAL]]),4)</f>
        <v>672.89</v>
      </c>
      <c r="N5421" t="s">
        <v>116</v>
      </c>
      <c r="O5421" t="s">
        <v>459</v>
      </c>
      <c r="P5421" t="s">
        <v>459</v>
      </c>
      <c r="Q5421">
        <v>6</v>
      </c>
      <c r="R5421" s="281">
        <f>Base_Periodo1[[#This Row],[CREDITOS]]-Base_Periodo1[[#This Row],[DEBITOS]]</f>
        <v>0</v>
      </c>
      <c r="S5421" s="3" t="str">
        <f>IF(ISERROR(VLOOKUP(Base_Periodo1[[#This Row],[CONTA]],BaseContasDRE[#All],4,FALSE)),"Fora do DRE",VLOOKUP(Base_Periodo1[[#This Row],[CONTA]],BaseContasDRE[#All],4,FALSE))</f>
        <v>Fora do DRE</v>
      </c>
      <c r="T5421" s="3" t="str">
        <f>IF(ISERROR(VLOOKUP(Base_Periodo1[[#This Row],[CONTA]],BaseContasDRE[#All],5,FALSE)),"Fora do DRE",VLOOKUP(Base_Periodo1[[#This Row],[CONTA]],BaseContasDRE[#All],6,FALSE))</f>
        <v>Fora do DRE</v>
      </c>
      <c r="U5421" s="3" t="str">
        <f>IF(ISERROR(VLOOKUP(Base_Periodo1[[#This Row],[CONTA]],BaseContasDRE[#All],7,FALSE)),"Fora do DRE",VLOOKUP(Base_Periodo1[[#This Row],[CONTA]],BaseContasDRE[#All],7,FALSE))</f>
        <v>Fora do DRE</v>
      </c>
      <c r="V5421" s="3" t="str">
        <f>IF(Base_Periodo1[[#This Row],[Tipo_Linha]]="Fora do DRE","Fora do DRE","( "&amp;Base_Periodo1[[#This Row],[Tipo_Linha]]&amp;" ) "&amp;Base_Periodo1[[#This Row],[Filtro]])</f>
        <v>Fora do DRE</v>
      </c>
      <c r="W5421" s="3" t="str">
        <f>LEFT(Base_Periodo1[[#This Row],[CLASS]],3)</f>
        <v>2.4</v>
      </c>
    </row>
    <row r="5422" spans="1:23" hidden="1">
      <c r="A5422" s="3" t="str">
        <f t="shared" si="84"/>
        <v>Período 1</v>
      </c>
      <c r="B5422">
        <v>24625</v>
      </c>
      <c r="C5422" t="s">
        <v>2300</v>
      </c>
      <c r="D5422" t="s">
        <v>3250</v>
      </c>
      <c r="E5422" s="3" t="str">
        <f>IF(LEN(Base_Periodo1[[#This Row],[CLASS]])&gt;=7,LEFT(Base_Periodo1[[#This Row],[CLASS]],7),"")</f>
        <v>2.4.1.1</v>
      </c>
      <c r="F5422" s="3" t="str">
        <f>VLOOKUP(Base_Periodo1[[#This Row],[Aux]],Base_Contas_Balanco[#All],2,FALSE)</f>
        <v>Capital Social Realizado</v>
      </c>
      <c r="G5422" s="1"/>
      <c r="H5422" s="281">
        <v>90.12</v>
      </c>
      <c r="I5422" s="281">
        <v>0</v>
      </c>
      <c r="J5422" s="281">
        <v>0</v>
      </c>
      <c r="K5422" s="281">
        <v>90.12</v>
      </c>
      <c r="L542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90.12</v>
      </c>
      <c r="M5422" s="281">
        <f>ROUND(IF(AND(Base_Periodo1[[#This Row],[Tipo_Linha]]="-",Base_Periodo1[[#This Row],[TIPOSALDO]]="D"),Base_Periodo1[[#This Row],[SALDO_ATUAL]]*-1,Base_Periodo1[[#This Row],[SALDO_ATUAL]]),4)</f>
        <v>90.12</v>
      </c>
      <c r="N5422" t="s">
        <v>116</v>
      </c>
      <c r="O5422" t="s">
        <v>459</v>
      </c>
      <c r="P5422" t="s">
        <v>459</v>
      </c>
      <c r="Q5422">
        <v>6</v>
      </c>
      <c r="R5422" s="281">
        <f>Base_Periodo1[[#This Row],[CREDITOS]]-Base_Periodo1[[#This Row],[DEBITOS]]</f>
        <v>0</v>
      </c>
      <c r="S5422" s="3" t="str">
        <f>IF(ISERROR(VLOOKUP(Base_Periodo1[[#This Row],[CONTA]],BaseContasDRE[#All],4,FALSE)),"Fora do DRE",VLOOKUP(Base_Periodo1[[#This Row],[CONTA]],BaseContasDRE[#All],4,FALSE))</f>
        <v>Fora do DRE</v>
      </c>
      <c r="T5422" s="3" t="str">
        <f>IF(ISERROR(VLOOKUP(Base_Periodo1[[#This Row],[CONTA]],BaseContasDRE[#All],5,FALSE)),"Fora do DRE",VLOOKUP(Base_Periodo1[[#This Row],[CONTA]],BaseContasDRE[#All],6,FALSE))</f>
        <v>Fora do DRE</v>
      </c>
      <c r="U5422" s="3" t="str">
        <f>IF(ISERROR(VLOOKUP(Base_Periodo1[[#This Row],[CONTA]],BaseContasDRE[#All],7,FALSE)),"Fora do DRE",VLOOKUP(Base_Periodo1[[#This Row],[CONTA]],BaseContasDRE[#All],7,FALSE))</f>
        <v>Fora do DRE</v>
      </c>
      <c r="V5422" s="3" t="str">
        <f>IF(Base_Periodo1[[#This Row],[Tipo_Linha]]="Fora do DRE","Fora do DRE","( "&amp;Base_Periodo1[[#This Row],[Tipo_Linha]]&amp;" ) "&amp;Base_Periodo1[[#This Row],[Filtro]])</f>
        <v>Fora do DRE</v>
      </c>
      <c r="W5422" s="3" t="str">
        <f>LEFT(Base_Periodo1[[#This Row],[CLASS]],3)</f>
        <v>2.4</v>
      </c>
    </row>
    <row r="5423" spans="1:23" hidden="1">
      <c r="A5423" s="3" t="str">
        <f t="shared" si="84"/>
        <v>Período 1</v>
      </c>
      <c r="B5423">
        <v>16115</v>
      </c>
      <c r="C5423" t="s">
        <v>2300</v>
      </c>
      <c r="D5423" t="s">
        <v>3251</v>
      </c>
      <c r="E5423" s="3" t="str">
        <f>IF(LEN(Base_Periodo1[[#This Row],[CLASS]])&gt;=7,LEFT(Base_Periodo1[[#This Row],[CLASS]],7),"")</f>
        <v>2.4.1.1</v>
      </c>
      <c r="F5423" s="3" t="str">
        <f>VLOOKUP(Base_Periodo1[[#This Row],[Aux]],Base_Contas_Balanco[#All],2,FALSE)</f>
        <v>Capital Social Realizado</v>
      </c>
      <c r="G5423" s="1"/>
      <c r="H5423" s="281">
        <v>1993.9499999999998</v>
      </c>
      <c r="I5423" s="281">
        <v>0</v>
      </c>
      <c r="J5423" s="281">
        <v>0</v>
      </c>
      <c r="K5423" s="281">
        <v>1993.9499999999998</v>
      </c>
      <c r="L542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1993.95</v>
      </c>
      <c r="M5423" s="281">
        <f>ROUND(IF(AND(Base_Periodo1[[#This Row],[Tipo_Linha]]="-",Base_Periodo1[[#This Row],[TIPOSALDO]]="D"),Base_Periodo1[[#This Row],[SALDO_ATUAL]]*-1,Base_Periodo1[[#This Row],[SALDO_ATUAL]]),4)</f>
        <v>1993.95</v>
      </c>
      <c r="N5423" t="s">
        <v>116</v>
      </c>
      <c r="O5423" t="s">
        <v>459</v>
      </c>
      <c r="P5423" t="s">
        <v>459</v>
      </c>
      <c r="Q5423">
        <v>6</v>
      </c>
      <c r="R5423" s="281">
        <f>Base_Periodo1[[#This Row],[CREDITOS]]-Base_Periodo1[[#This Row],[DEBITOS]]</f>
        <v>0</v>
      </c>
      <c r="S5423" s="3" t="str">
        <f>IF(ISERROR(VLOOKUP(Base_Periodo1[[#This Row],[CONTA]],BaseContasDRE[#All],4,FALSE)),"Fora do DRE",VLOOKUP(Base_Periodo1[[#This Row],[CONTA]],BaseContasDRE[#All],4,FALSE))</f>
        <v>Fora do DRE</v>
      </c>
      <c r="T5423" s="3" t="str">
        <f>IF(ISERROR(VLOOKUP(Base_Periodo1[[#This Row],[CONTA]],BaseContasDRE[#All],5,FALSE)),"Fora do DRE",VLOOKUP(Base_Periodo1[[#This Row],[CONTA]],BaseContasDRE[#All],6,FALSE))</f>
        <v>Fora do DRE</v>
      </c>
      <c r="U5423" s="3" t="str">
        <f>IF(ISERROR(VLOOKUP(Base_Periodo1[[#This Row],[CONTA]],BaseContasDRE[#All],7,FALSE)),"Fora do DRE",VLOOKUP(Base_Periodo1[[#This Row],[CONTA]],BaseContasDRE[#All],7,FALSE))</f>
        <v>Fora do DRE</v>
      </c>
      <c r="V5423" s="3" t="str">
        <f>IF(Base_Periodo1[[#This Row],[Tipo_Linha]]="Fora do DRE","Fora do DRE","( "&amp;Base_Periodo1[[#This Row],[Tipo_Linha]]&amp;" ) "&amp;Base_Periodo1[[#This Row],[Filtro]])</f>
        <v>Fora do DRE</v>
      </c>
      <c r="W5423" s="3" t="str">
        <f>LEFT(Base_Periodo1[[#This Row],[CLASS]],3)</f>
        <v>2.4</v>
      </c>
    </row>
    <row r="5424" spans="1:23" hidden="1">
      <c r="A5424" s="3" t="str">
        <f t="shared" si="84"/>
        <v>Período 1</v>
      </c>
      <c r="B5424">
        <v>16294</v>
      </c>
      <c r="C5424" t="s">
        <v>2300</v>
      </c>
      <c r="D5424" t="s">
        <v>3252</v>
      </c>
      <c r="E5424" s="3" t="str">
        <f>IF(LEN(Base_Periodo1[[#This Row],[CLASS]])&gt;=7,LEFT(Base_Periodo1[[#This Row],[CLASS]],7),"")</f>
        <v>2.4.1.1</v>
      </c>
      <c r="F5424" s="3" t="str">
        <f>VLOOKUP(Base_Periodo1[[#This Row],[Aux]],Base_Contas_Balanco[#All],2,FALSE)</f>
        <v>Capital Social Realizado</v>
      </c>
      <c r="G5424" s="1">
        <v>42460</v>
      </c>
      <c r="H5424" s="281">
        <v>4192.8900000000003</v>
      </c>
      <c r="I5424" s="281">
        <v>0</v>
      </c>
      <c r="J5424" s="281">
        <v>0</v>
      </c>
      <c r="K5424" s="281">
        <v>4192.8900000000003</v>
      </c>
      <c r="L542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4192.8900000000003</v>
      </c>
      <c r="M5424" s="281">
        <f>ROUND(IF(AND(Base_Periodo1[[#This Row],[Tipo_Linha]]="-",Base_Periodo1[[#This Row],[TIPOSALDO]]="D"),Base_Periodo1[[#This Row],[SALDO_ATUAL]]*-1,Base_Periodo1[[#This Row],[SALDO_ATUAL]]),4)</f>
        <v>4192.8900000000003</v>
      </c>
      <c r="N5424" t="s">
        <v>116</v>
      </c>
      <c r="O5424" t="s">
        <v>459</v>
      </c>
      <c r="P5424" t="s">
        <v>459</v>
      </c>
      <c r="Q5424">
        <v>6</v>
      </c>
      <c r="R5424" s="281">
        <f>Base_Periodo1[[#This Row],[CREDITOS]]-Base_Periodo1[[#This Row],[DEBITOS]]</f>
        <v>0</v>
      </c>
      <c r="S5424" s="3" t="str">
        <f>IF(ISERROR(VLOOKUP(Base_Periodo1[[#This Row],[CONTA]],BaseContasDRE[#All],4,FALSE)),"Fora do DRE",VLOOKUP(Base_Periodo1[[#This Row],[CONTA]],BaseContasDRE[#All],4,FALSE))</f>
        <v>Fora do DRE</v>
      </c>
      <c r="T5424" s="3" t="str">
        <f>IF(ISERROR(VLOOKUP(Base_Periodo1[[#This Row],[CONTA]],BaseContasDRE[#All],5,FALSE)),"Fora do DRE",VLOOKUP(Base_Periodo1[[#This Row],[CONTA]],BaseContasDRE[#All],6,FALSE))</f>
        <v>Fora do DRE</v>
      </c>
      <c r="U5424" s="3" t="str">
        <f>IF(ISERROR(VLOOKUP(Base_Periodo1[[#This Row],[CONTA]],BaseContasDRE[#All],7,FALSE)),"Fora do DRE",VLOOKUP(Base_Periodo1[[#This Row],[CONTA]],BaseContasDRE[#All],7,FALSE))</f>
        <v>Fora do DRE</v>
      </c>
      <c r="V5424" s="3" t="str">
        <f>IF(Base_Periodo1[[#This Row],[Tipo_Linha]]="Fora do DRE","Fora do DRE","( "&amp;Base_Periodo1[[#This Row],[Tipo_Linha]]&amp;" ) "&amp;Base_Periodo1[[#This Row],[Filtro]])</f>
        <v>Fora do DRE</v>
      </c>
      <c r="W5424" s="3" t="str">
        <f>LEFT(Base_Periodo1[[#This Row],[CLASS]],3)</f>
        <v>2.4</v>
      </c>
    </row>
    <row r="5425" spans="1:23" hidden="1">
      <c r="A5425" s="3" t="str">
        <f t="shared" si="84"/>
        <v>Período 1</v>
      </c>
      <c r="B5425">
        <v>15919</v>
      </c>
      <c r="C5425" t="s">
        <v>2300</v>
      </c>
      <c r="D5425" t="s">
        <v>3253</v>
      </c>
      <c r="E5425" s="3" t="str">
        <f>IF(LEN(Base_Periodo1[[#This Row],[CLASS]])&gt;=7,LEFT(Base_Periodo1[[#This Row],[CLASS]],7),"")</f>
        <v>2.4.1.1</v>
      </c>
      <c r="F5425" s="3" t="str">
        <f>VLOOKUP(Base_Periodo1[[#This Row],[Aux]],Base_Contas_Balanco[#All],2,FALSE)</f>
        <v>Capital Social Realizado</v>
      </c>
      <c r="G5425" s="1">
        <v>42460</v>
      </c>
      <c r="H5425" s="281">
        <v>2034.9299999999985</v>
      </c>
      <c r="I5425" s="281">
        <v>0</v>
      </c>
      <c r="J5425" s="281">
        <v>0</v>
      </c>
      <c r="K5425" s="281">
        <v>2034.9299999999985</v>
      </c>
      <c r="L542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2034.93</v>
      </c>
      <c r="M5425" s="281">
        <f>ROUND(IF(AND(Base_Periodo1[[#This Row],[Tipo_Linha]]="-",Base_Periodo1[[#This Row],[TIPOSALDO]]="D"),Base_Periodo1[[#This Row],[SALDO_ATUAL]]*-1,Base_Periodo1[[#This Row],[SALDO_ATUAL]]),4)</f>
        <v>2034.93</v>
      </c>
      <c r="N5425" t="s">
        <v>116</v>
      </c>
      <c r="O5425" t="s">
        <v>459</v>
      </c>
      <c r="P5425" t="s">
        <v>459</v>
      </c>
      <c r="Q5425">
        <v>6</v>
      </c>
      <c r="R5425" s="281">
        <f>Base_Periodo1[[#This Row],[CREDITOS]]-Base_Periodo1[[#This Row],[DEBITOS]]</f>
        <v>0</v>
      </c>
      <c r="S5425" s="3" t="str">
        <f>IF(ISERROR(VLOOKUP(Base_Periodo1[[#This Row],[CONTA]],BaseContasDRE[#All],4,FALSE)),"Fora do DRE",VLOOKUP(Base_Periodo1[[#This Row],[CONTA]],BaseContasDRE[#All],4,FALSE))</f>
        <v>Fora do DRE</v>
      </c>
      <c r="T5425" s="3" t="str">
        <f>IF(ISERROR(VLOOKUP(Base_Periodo1[[#This Row],[CONTA]],BaseContasDRE[#All],5,FALSE)),"Fora do DRE",VLOOKUP(Base_Periodo1[[#This Row],[CONTA]],BaseContasDRE[#All],6,FALSE))</f>
        <v>Fora do DRE</v>
      </c>
      <c r="U5425" s="3" t="str">
        <f>IF(ISERROR(VLOOKUP(Base_Periodo1[[#This Row],[CONTA]],BaseContasDRE[#All],7,FALSE)),"Fora do DRE",VLOOKUP(Base_Periodo1[[#This Row],[CONTA]],BaseContasDRE[#All],7,FALSE))</f>
        <v>Fora do DRE</v>
      </c>
      <c r="V5425" s="3" t="str">
        <f>IF(Base_Periodo1[[#This Row],[Tipo_Linha]]="Fora do DRE","Fora do DRE","( "&amp;Base_Periodo1[[#This Row],[Tipo_Linha]]&amp;" ) "&amp;Base_Periodo1[[#This Row],[Filtro]])</f>
        <v>Fora do DRE</v>
      </c>
      <c r="W5425" s="3" t="str">
        <f>LEFT(Base_Periodo1[[#This Row],[CLASS]],3)</f>
        <v>2.4</v>
      </c>
    </row>
    <row r="5426" spans="1:23" hidden="1">
      <c r="A5426" s="3" t="str">
        <f t="shared" si="84"/>
        <v>Período 1</v>
      </c>
      <c r="B5426">
        <v>16199</v>
      </c>
      <c r="C5426" t="s">
        <v>2300</v>
      </c>
      <c r="D5426" t="s">
        <v>3254</v>
      </c>
      <c r="E5426" s="3" t="str">
        <f>IF(LEN(Base_Periodo1[[#This Row],[CLASS]])&gt;=7,LEFT(Base_Periodo1[[#This Row],[CLASS]],7),"")</f>
        <v>2.4.1.1</v>
      </c>
      <c r="F5426" s="3" t="str">
        <f>VLOOKUP(Base_Periodo1[[#This Row],[Aux]],Base_Contas_Balanco[#All],2,FALSE)</f>
        <v>Capital Social Realizado</v>
      </c>
      <c r="G5426" s="1"/>
      <c r="H5426" s="281">
        <v>20820.63</v>
      </c>
      <c r="I5426" s="281">
        <v>0</v>
      </c>
      <c r="J5426" s="281">
        <v>0</v>
      </c>
      <c r="K5426" s="281">
        <v>20820.63</v>
      </c>
      <c r="L542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20820.63</v>
      </c>
      <c r="M5426" s="281">
        <f>ROUND(IF(AND(Base_Periodo1[[#This Row],[Tipo_Linha]]="-",Base_Periodo1[[#This Row],[TIPOSALDO]]="D"),Base_Periodo1[[#This Row],[SALDO_ATUAL]]*-1,Base_Periodo1[[#This Row],[SALDO_ATUAL]]),4)</f>
        <v>20820.63</v>
      </c>
      <c r="N5426" t="s">
        <v>116</v>
      </c>
      <c r="O5426" t="s">
        <v>459</v>
      </c>
      <c r="P5426" t="s">
        <v>459</v>
      </c>
      <c r="Q5426">
        <v>6</v>
      </c>
      <c r="R5426" s="281">
        <f>Base_Periodo1[[#This Row],[CREDITOS]]-Base_Periodo1[[#This Row],[DEBITOS]]</f>
        <v>0</v>
      </c>
      <c r="S5426" s="3" t="str">
        <f>IF(ISERROR(VLOOKUP(Base_Periodo1[[#This Row],[CONTA]],BaseContasDRE[#All],4,FALSE)),"Fora do DRE",VLOOKUP(Base_Periodo1[[#This Row],[CONTA]],BaseContasDRE[#All],4,FALSE))</f>
        <v>Fora do DRE</v>
      </c>
      <c r="T5426" s="3" t="str">
        <f>IF(ISERROR(VLOOKUP(Base_Periodo1[[#This Row],[CONTA]],BaseContasDRE[#All],5,FALSE)),"Fora do DRE",VLOOKUP(Base_Periodo1[[#This Row],[CONTA]],BaseContasDRE[#All],6,FALSE))</f>
        <v>Fora do DRE</v>
      </c>
      <c r="U5426" s="3" t="str">
        <f>IF(ISERROR(VLOOKUP(Base_Periodo1[[#This Row],[CONTA]],BaseContasDRE[#All],7,FALSE)),"Fora do DRE",VLOOKUP(Base_Periodo1[[#This Row],[CONTA]],BaseContasDRE[#All],7,FALSE))</f>
        <v>Fora do DRE</v>
      </c>
      <c r="V5426" s="3" t="str">
        <f>IF(Base_Periodo1[[#This Row],[Tipo_Linha]]="Fora do DRE","Fora do DRE","( "&amp;Base_Periodo1[[#This Row],[Tipo_Linha]]&amp;" ) "&amp;Base_Periodo1[[#This Row],[Filtro]])</f>
        <v>Fora do DRE</v>
      </c>
      <c r="W5426" s="3" t="str">
        <f>LEFT(Base_Periodo1[[#This Row],[CLASS]],3)</f>
        <v>2.4</v>
      </c>
    </row>
    <row r="5427" spans="1:23" hidden="1">
      <c r="A5427" s="3" t="str">
        <f t="shared" si="84"/>
        <v>Período 1</v>
      </c>
      <c r="B5427">
        <v>19379</v>
      </c>
      <c r="C5427" t="s">
        <v>2300</v>
      </c>
      <c r="D5427" t="s">
        <v>3255</v>
      </c>
      <c r="E5427" s="3" t="str">
        <f>IF(LEN(Base_Periodo1[[#This Row],[CLASS]])&gt;=7,LEFT(Base_Periodo1[[#This Row],[CLASS]],7),"")</f>
        <v>2.4.1.1</v>
      </c>
      <c r="F5427" s="3" t="str">
        <f>VLOOKUP(Base_Periodo1[[#This Row],[Aux]],Base_Contas_Balanco[#All],2,FALSE)</f>
        <v>Capital Social Realizado</v>
      </c>
      <c r="G5427" s="1"/>
      <c r="H5427" s="281">
        <v>490.87</v>
      </c>
      <c r="I5427" s="281">
        <v>0</v>
      </c>
      <c r="J5427" s="281">
        <v>0</v>
      </c>
      <c r="K5427" s="281">
        <v>490.87</v>
      </c>
      <c r="L542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490.87</v>
      </c>
      <c r="M5427" s="281">
        <f>ROUND(IF(AND(Base_Periodo1[[#This Row],[Tipo_Linha]]="-",Base_Periodo1[[#This Row],[TIPOSALDO]]="D"),Base_Periodo1[[#This Row],[SALDO_ATUAL]]*-1,Base_Periodo1[[#This Row],[SALDO_ATUAL]]),4)</f>
        <v>490.87</v>
      </c>
      <c r="N5427" t="s">
        <v>116</v>
      </c>
      <c r="O5427" t="s">
        <v>459</v>
      </c>
      <c r="P5427" t="s">
        <v>459</v>
      </c>
      <c r="Q5427">
        <v>6</v>
      </c>
      <c r="R5427" s="281">
        <f>Base_Periodo1[[#This Row],[CREDITOS]]-Base_Periodo1[[#This Row],[DEBITOS]]</f>
        <v>0</v>
      </c>
      <c r="S5427" s="3" t="str">
        <f>IF(ISERROR(VLOOKUP(Base_Periodo1[[#This Row],[CONTA]],BaseContasDRE[#All],4,FALSE)),"Fora do DRE",VLOOKUP(Base_Periodo1[[#This Row],[CONTA]],BaseContasDRE[#All],4,FALSE))</f>
        <v>Fora do DRE</v>
      </c>
      <c r="T5427" s="3" t="str">
        <f>IF(ISERROR(VLOOKUP(Base_Periodo1[[#This Row],[CONTA]],BaseContasDRE[#All],5,FALSE)),"Fora do DRE",VLOOKUP(Base_Periodo1[[#This Row],[CONTA]],BaseContasDRE[#All],6,FALSE))</f>
        <v>Fora do DRE</v>
      </c>
      <c r="U5427" s="3" t="str">
        <f>IF(ISERROR(VLOOKUP(Base_Periodo1[[#This Row],[CONTA]],BaseContasDRE[#All],7,FALSE)),"Fora do DRE",VLOOKUP(Base_Periodo1[[#This Row],[CONTA]],BaseContasDRE[#All],7,FALSE))</f>
        <v>Fora do DRE</v>
      </c>
      <c r="V5427" s="3" t="str">
        <f>IF(Base_Periodo1[[#This Row],[Tipo_Linha]]="Fora do DRE","Fora do DRE","( "&amp;Base_Periodo1[[#This Row],[Tipo_Linha]]&amp;" ) "&amp;Base_Periodo1[[#This Row],[Filtro]])</f>
        <v>Fora do DRE</v>
      </c>
      <c r="W5427" s="3" t="str">
        <f>LEFT(Base_Periodo1[[#This Row],[CLASS]],3)</f>
        <v>2.4</v>
      </c>
    </row>
    <row r="5428" spans="1:23" hidden="1">
      <c r="A5428" s="3" t="str">
        <f t="shared" si="84"/>
        <v>Período 1</v>
      </c>
      <c r="B5428">
        <v>47575</v>
      </c>
      <c r="C5428" t="s">
        <v>2300</v>
      </c>
      <c r="D5428" t="s">
        <v>3256</v>
      </c>
      <c r="E5428" s="3" t="str">
        <f>IF(LEN(Base_Periodo1[[#This Row],[CLASS]])&gt;=7,LEFT(Base_Periodo1[[#This Row],[CLASS]],7),"")</f>
        <v>2.4.1.1</v>
      </c>
      <c r="F5428" s="3" t="str">
        <f>VLOOKUP(Base_Periodo1[[#This Row],[Aux]],Base_Contas_Balanco[#All],2,FALSE)</f>
        <v>Capital Social Realizado</v>
      </c>
      <c r="G5428" s="1"/>
      <c r="H5428" s="281">
        <v>296.02999999999997</v>
      </c>
      <c r="I5428" s="281">
        <v>0</v>
      </c>
      <c r="J5428" s="281">
        <v>0</v>
      </c>
      <c r="K5428" s="281">
        <v>296.02999999999997</v>
      </c>
      <c r="L542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296.02999999999997</v>
      </c>
      <c r="M5428" s="281">
        <f>ROUND(IF(AND(Base_Periodo1[[#This Row],[Tipo_Linha]]="-",Base_Periodo1[[#This Row],[TIPOSALDO]]="D"),Base_Periodo1[[#This Row],[SALDO_ATUAL]]*-1,Base_Periodo1[[#This Row],[SALDO_ATUAL]]),4)</f>
        <v>296.02999999999997</v>
      </c>
      <c r="N5428" t="s">
        <v>116</v>
      </c>
      <c r="O5428" t="s">
        <v>459</v>
      </c>
      <c r="P5428" t="s">
        <v>459</v>
      </c>
      <c r="Q5428">
        <v>6</v>
      </c>
      <c r="R5428" s="281">
        <f>Base_Periodo1[[#This Row],[CREDITOS]]-Base_Periodo1[[#This Row],[DEBITOS]]</f>
        <v>0</v>
      </c>
      <c r="S5428" s="3" t="str">
        <f>IF(ISERROR(VLOOKUP(Base_Periodo1[[#This Row],[CONTA]],BaseContasDRE[#All],4,FALSE)),"Fora do DRE",VLOOKUP(Base_Periodo1[[#This Row],[CONTA]],BaseContasDRE[#All],4,FALSE))</f>
        <v>Fora do DRE</v>
      </c>
      <c r="T5428" s="3" t="str">
        <f>IF(ISERROR(VLOOKUP(Base_Periodo1[[#This Row],[CONTA]],BaseContasDRE[#All],5,FALSE)),"Fora do DRE",VLOOKUP(Base_Periodo1[[#This Row],[CONTA]],BaseContasDRE[#All],6,FALSE))</f>
        <v>Fora do DRE</v>
      </c>
      <c r="U5428" s="3" t="str">
        <f>IF(ISERROR(VLOOKUP(Base_Periodo1[[#This Row],[CONTA]],BaseContasDRE[#All],7,FALSE)),"Fora do DRE",VLOOKUP(Base_Periodo1[[#This Row],[CONTA]],BaseContasDRE[#All],7,FALSE))</f>
        <v>Fora do DRE</v>
      </c>
      <c r="V5428" s="3" t="str">
        <f>IF(Base_Periodo1[[#This Row],[Tipo_Linha]]="Fora do DRE","Fora do DRE","( "&amp;Base_Periodo1[[#This Row],[Tipo_Linha]]&amp;" ) "&amp;Base_Periodo1[[#This Row],[Filtro]])</f>
        <v>Fora do DRE</v>
      </c>
      <c r="W5428" s="3" t="str">
        <f>LEFT(Base_Periodo1[[#This Row],[CLASS]],3)</f>
        <v>2.4</v>
      </c>
    </row>
    <row r="5429" spans="1:23" hidden="1">
      <c r="A5429" s="3" t="str">
        <f t="shared" si="84"/>
        <v>Período 1</v>
      </c>
      <c r="B5429">
        <v>16236</v>
      </c>
      <c r="C5429" t="s">
        <v>2300</v>
      </c>
      <c r="D5429" t="s">
        <v>3257</v>
      </c>
      <c r="E5429" s="3" t="str">
        <f>IF(LEN(Base_Periodo1[[#This Row],[CLASS]])&gt;=7,LEFT(Base_Periodo1[[#This Row],[CLASS]],7),"")</f>
        <v>2.4.1.1</v>
      </c>
      <c r="F5429" s="3" t="str">
        <f>VLOOKUP(Base_Periodo1[[#This Row],[Aux]],Base_Contas_Balanco[#All],2,FALSE)</f>
        <v>Capital Social Realizado</v>
      </c>
      <c r="G5429" s="1"/>
      <c r="H5429" s="281">
        <v>1379.15</v>
      </c>
      <c r="I5429" s="281">
        <v>0</v>
      </c>
      <c r="J5429" s="281">
        <v>0</v>
      </c>
      <c r="K5429" s="281">
        <v>1379.15</v>
      </c>
      <c r="L542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1379.15</v>
      </c>
      <c r="M5429" s="281">
        <f>ROUND(IF(AND(Base_Periodo1[[#This Row],[Tipo_Linha]]="-",Base_Periodo1[[#This Row],[TIPOSALDO]]="D"),Base_Periodo1[[#This Row],[SALDO_ATUAL]]*-1,Base_Periodo1[[#This Row],[SALDO_ATUAL]]),4)</f>
        <v>1379.15</v>
      </c>
      <c r="N5429" t="s">
        <v>116</v>
      </c>
      <c r="O5429" t="s">
        <v>459</v>
      </c>
      <c r="P5429" t="s">
        <v>459</v>
      </c>
      <c r="Q5429">
        <v>6</v>
      </c>
      <c r="R5429" s="281">
        <f>Base_Periodo1[[#This Row],[CREDITOS]]-Base_Periodo1[[#This Row],[DEBITOS]]</f>
        <v>0</v>
      </c>
      <c r="S5429" s="3" t="str">
        <f>IF(ISERROR(VLOOKUP(Base_Periodo1[[#This Row],[CONTA]],BaseContasDRE[#All],4,FALSE)),"Fora do DRE",VLOOKUP(Base_Periodo1[[#This Row],[CONTA]],BaseContasDRE[#All],4,FALSE))</f>
        <v>Fora do DRE</v>
      </c>
      <c r="T5429" s="3" t="str">
        <f>IF(ISERROR(VLOOKUP(Base_Periodo1[[#This Row],[CONTA]],BaseContasDRE[#All],5,FALSE)),"Fora do DRE",VLOOKUP(Base_Periodo1[[#This Row],[CONTA]],BaseContasDRE[#All],6,FALSE))</f>
        <v>Fora do DRE</v>
      </c>
      <c r="U5429" s="3" t="str">
        <f>IF(ISERROR(VLOOKUP(Base_Periodo1[[#This Row],[CONTA]],BaseContasDRE[#All],7,FALSE)),"Fora do DRE",VLOOKUP(Base_Periodo1[[#This Row],[CONTA]],BaseContasDRE[#All],7,FALSE))</f>
        <v>Fora do DRE</v>
      </c>
      <c r="V5429" s="3" t="str">
        <f>IF(Base_Periodo1[[#This Row],[Tipo_Linha]]="Fora do DRE","Fora do DRE","( "&amp;Base_Periodo1[[#This Row],[Tipo_Linha]]&amp;" ) "&amp;Base_Periodo1[[#This Row],[Filtro]])</f>
        <v>Fora do DRE</v>
      </c>
      <c r="W5429" s="3" t="str">
        <f>LEFT(Base_Periodo1[[#This Row],[CLASS]],3)</f>
        <v>2.4</v>
      </c>
    </row>
    <row r="5430" spans="1:23" hidden="1">
      <c r="A5430" s="3" t="str">
        <f t="shared" si="84"/>
        <v>Período 1</v>
      </c>
      <c r="B5430">
        <v>16114</v>
      </c>
      <c r="C5430" t="s">
        <v>2300</v>
      </c>
      <c r="D5430" t="s">
        <v>3258</v>
      </c>
      <c r="E5430" s="3" t="str">
        <f>IF(LEN(Base_Periodo1[[#This Row],[CLASS]])&gt;=7,LEFT(Base_Periodo1[[#This Row],[CLASS]],7),"")</f>
        <v>2.4.1.1</v>
      </c>
      <c r="F5430" s="3" t="str">
        <f>VLOOKUP(Base_Periodo1[[#This Row],[Aux]],Base_Contas_Balanco[#All],2,FALSE)</f>
        <v>Capital Social Realizado</v>
      </c>
      <c r="G5430" s="1"/>
      <c r="H5430" s="281">
        <v>9419.3399999999983</v>
      </c>
      <c r="I5430" s="281">
        <v>0</v>
      </c>
      <c r="J5430" s="281">
        <v>0</v>
      </c>
      <c r="K5430" s="281">
        <v>9419.3399999999983</v>
      </c>
      <c r="L543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9419.34</v>
      </c>
      <c r="M5430" s="281">
        <f>ROUND(IF(AND(Base_Periodo1[[#This Row],[Tipo_Linha]]="-",Base_Periodo1[[#This Row],[TIPOSALDO]]="D"),Base_Periodo1[[#This Row],[SALDO_ATUAL]]*-1,Base_Periodo1[[#This Row],[SALDO_ATUAL]]),4)</f>
        <v>9419.34</v>
      </c>
      <c r="N5430" t="s">
        <v>116</v>
      </c>
      <c r="O5430" t="s">
        <v>459</v>
      </c>
      <c r="P5430" t="s">
        <v>459</v>
      </c>
      <c r="Q5430">
        <v>6</v>
      </c>
      <c r="R5430" s="281">
        <f>Base_Periodo1[[#This Row],[CREDITOS]]-Base_Periodo1[[#This Row],[DEBITOS]]</f>
        <v>0</v>
      </c>
      <c r="S5430" s="3" t="str">
        <f>IF(ISERROR(VLOOKUP(Base_Periodo1[[#This Row],[CONTA]],BaseContasDRE[#All],4,FALSE)),"Fora do DRE",VLOOKUP(Base_Periodo1[[#This Row],[CONTA]],BaseContasDRE[#All],4,FALSE))</f>
        <v>Fora do DRE</v>
      </c>
      <c r="T5430" s="3" t="str">
        <f>IF(ISERROR(VLOOKUP(Base_Periodo1[[#This Row],[CONTA]],BaseContasDRE[#All],5,FALSE)),"Fora do DRE",VLOOKUP(Base_Periodo1[[#This Row],[CONTA]],BaseContasDRE[#All],6,FALSE))</f>
        <v>Fora do DRE</v>
      </c>
      <c r="U5430" s="3" t="str">
        <f>IF(ISERROR(VLOOKUP(Base_Periodo1[[#This Row],[CONTA]],BaseContasDRE[#All],7,FALSE)),"Fora do DRE",VLOOKUP(Base_Periodo1[[#This Row],[CONTA]],BaseContasDRE[#All],7,FALSE))</f>
        <v>Fora do DRE</v>
      </c>
      <c r="V5430" s="3" t="str">
        <f>IF(Base_Periodo1[[#This Row],[Tipo_Linha]]="Fora do DRE","Fora do DRE","( "&amp;Base_Periodo1[[#This Row],[Tipo_Linha]]&amp;" ) "&amp;Base_Periodo1[[#This Row],[Filtro]])</f>
        <v>Fora do DRE</v>
      </c>
      <c r="W5430" s="3" t="str">
        <f>LEFT(Base_Periodo1[[#This Row],[CLASS]],3)</f>
        <v>2.4</v>
      </c>
    </row>
    <row r="5431" spans="1:23" hidden="1">
      <c r="A5431" s="3" t="str">
        <f t="shared" si="84"/>
        <v>Período 1</v>
      </c>
      <c r="B5431">
        <v>40139</v>
      </c>
      <c r="C5431" t="s">
        <v>2300</v>
      </c>
      <c r="D5431" t="s">
        <v>3259</v>
      </c>
      <c r="E5431" s="3" t="str">
        <f>IF(LEN(Base_Periodo1[[#This Row],[CLASS]])&gt;=7,LEFT(Base_Periodo1[[#This Row],[CLASS]],7),"")</f>
        <v>2.4.1.1</v>
      </c>
      <c r="F5431" s="3" t="str">
        <f>VLOOKUP(Base_Periodo1[[#This Row],[Aux]],Base_Contas_Balanco[#All],2,FALSE)</f>
        <v>Capital Social Realizado</v>
      </c>
      <c r="G5431" s="1"/>
      <c r="H5431" s="281">
        <v>243.81</v>
      </c>
      <c r="I5431" s="281">
        <v>0</v>
      </c>
      <c r="J5431" s="281">
        <v>0</v>
      </c>
      <c r="K5431" s="281">
        <v>243.81</v>
      </c>
      <c r="L543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243.81</v>
      </c>
      <c r="M5431" s="281">
        <f>ROUND(IF(AND(Base_Periodo1[[#This Row],[Tipo_Linha]]="-",Base_Periodo1[[#This Row],[TIPOSALDO]]="D"),Base_Periodo1[[#This Row],[SALDO_ATUAL]]*-1,Base_Periodo1[[#This Row],[SALDO_ATUAL]]),4)</f>
        <v>243.81</v>
      </c>
      <c r="N5431" t="s">
        <v>116</v>
      </c>
      <c r="O5431" t="s">
        <v>459</v>
      </c>
      <c r="P5431" t="s">
        <v>459</v>
      </c>
      <c r="Q5431">
        <v>6</v>
      </c>
      <c r="R5431" s="281">
        <f>Base_Periodo1[[#This Row],[CREDITOS]]-Base_Periodo1[[#This Row],[DEBITOS]]</f>
        <v>0</v>
      </c>
      <c r="S5431" s="3" t="str">
        <f>IF(ISERROR(VLOOKUP(Base_Periodo1[[#This Row],[CONTA]],BaseContasDRE[#All],4,FALSE)),"Fora do DRE",VLOOKUP(Base_Periodo1[[#This Row],[CONTA]],BaseContasDRE[#All],4,FALSE))</f>
        <v>Fora do DRE</v>
      </c>
      <c r="T5431" s="3" t="str">
        <f>IF(ISERROR(VLOOKUP(Base_Periodo1[[#This Row],[CONTA]],BaseContasDRE[#All],5,FALSE)),"Fora do DRE",VLOOKUP(Base_Periodo1[[#This Row],[CONTA]],BaseContasDRE[#All],6,FALSE))</f>
        <v>Fora do DRE</v>
      </c>
      <c r="U5431" s="3" t="str">
        <f>IF(ISERROR(VLOOKUP(Base_Periodo1[[#This Row],[CONTA]],BaseContasDRE[#All],7,FALSE)),"Fora do DRE",VLOOKUP(Base_Periodo1[[#This Row],[CONTA]],BaseContasDRE[#All],7,FALSE))</f>
        <v>Fora do DRE</v>
      </c>
      <c r="V5431" s="3" t="str">
        <f>IF(Base_Periodo1[[#This Row],[Tipo_Linha]]="Fora do DRE","Fora do DRE","( "&amp;Base_Periodo1[[#This Row],[Tipo_Linha]]&amp;" ) "&amp;Base_Periodo1[[#This Row],[Filtro]])</f>
        <v>Fora do DRE</v>
      </c>
      <c r="W5431" s="3" t="str">
        <f>LEFT(Base_Periodo1[[#This Row],[CLASS]],3)</f>
        <v>2.4</v>
      </c>
    </row>
    <row r="5432" spans="1:23" hidden="1">
      <c r="A5432" s="3" t="str">
        <f t="shared" si="84"/>
        <v>Período 1</v>
      </c>
      <c r="B5432">
        <v>57840</v>
      </c>
      <c r="C5432" t="s">
        <v>2300</v>
      </c>
      <c r="D5432" t="s">
        <v>6573</v>
      </c>
      <c r="E5432" s="3" t="str">
        <f>IF(LEN(Base_Periodo1[[#This Row],[CLASS]])&gt;=7,LEFT(Base_Periodo1[[#This Row],[CLASS]],7),"")</f>
        <v>2.4.1.1</v>
      </c>
      <c r="F5432" s="3" t="str">
        <f>VLOOKUP(Base_Periodo1[[#This Row],[Aux]],Base_Contas_Balanco[#All],2,FALSE)</f>
        <v>Capital Social Realizado</v>
      </c>
      <c r="G5432" s="1"/>
      <c r="H5432" s="281">
        <v>50</v>
      </c>
      <c r="I5432" s="281">
        <v>0</v>
      </c>
      <c r="J5432" s="281">
        <v>0</v>
      </c>
      <c r="K5432" s="281">
        <v>50</v>
      </c>
      <c r="L543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432" s="281">
        <f>ROUND(IF(AND(Base_Periodo1[[#This Row],[Tipo_Linha]]="-",Base_Periodo1[[#This Row],[TIPOSALDO]]="D"),Base_Periodo1[[#This Row],[SALDO_ATUAL]]*-1,Base_Periodo1[[#This Row],[SALDO_ATUAL]]),4)</f>
        <v>50</v>
      </c>
      <c r="N5432" t="s">
        <v>116</v>
      </c>
      <c r="O5432" t="s">
        <v>459</v>
      </c>
      <c r="P5432" t="s">
        <v>459</v>
      </c>
      <c r="Q5432">
        <v>6</v>
      </c>
      <c r="R5432" s="281">
        <f>Base_Periodo1[[#This Row],[CREDITOS]]-Base_Periodo1[[#This Row],[DEBITOS]]</f>
        <v>0</v>
      </c>
      <c r="S5432" s="3" t="str">
        <f>IF(ISERROR(VLOOKUP(Base_Periodo1[[#This Row],[CONTA]],BaseContasDRE[#All],4,FALSE)),"Fora do DRE",VLOOKUP(Base_Periodo1[[#This Row],[CONTA]],BaseContasDRE[#All],4,FALSE))</f>
        <v>Fora do DRE</v>
      </c>
      <c r="T5432" s="3" t="str">
        <f>IF(ISERROR(VLOOKUP(Base_Periodo1[[#This Row],[CONTA]],BaseContasDRE[#All],5,FALSE)),"Fora do DRE",VLOOKUP(Base_Periodo1[[#This Row],[CONTA]],BaseContasDRE[#All],6,FALSE))</f>
        <v>Fora do DRE</v>
      </c>
      <c r="U5432" s="3" t="str">
        <f>IF(ISERROR(VLOOKUP(Base_Periodo1[[#This Row],[CONTA]],BaseContasDRE[#All],7,FALSE)),"Fora do DRE",VLOOKUP(Base_Periodo1[[#This Row],[CONTA]],BaseContasDRE[#All],7,FALSE))</f>
        <v>Fora do DRE</v>
      </c>
      <c r="V5432" s="3" t="str">
        <f>IF(Base_Periodo1[[#This Row],[Tipo_Linha]]="Fora do DRE","Fora do DRE","( "&amp;Base_Periodo1[[#This Row],[Tipo_Linha]]&amp;" ) "&amp;Base_Periodo1[[#This Row],[Filtro]])</f>
        <v>Fora do DRE</v>
      </c>
      <c r="W5432" s="3" t="str">
        <f>LEFT(Base_Periodo1[[#This Row],[CLASS]],3)</f>
        <v>2.4</v>
      </c>
    </row>
    <row r="5433" spans="1:23" hidden="1">
      <c r="A5433" s="3" t="str">
        <f t="shared" si="84"/>
        <v>Período 1</v>
      </c>
      <c r="B5433">
        <v>19380</v>
      </c>
      <c r="C5433" t="s">
        <v>2300</v>
      </c>
      <c r="D5433" t="s">
        <v>3260</v>
      </c>
      <c r="E5433" s="3" t="str">
        <f>IF(LEN(Base_Periodo1[[#This Row],[CLASS]])&gt;=7,LEFT(Base_Periodo1[[#This Row],[CLASS]],7),"")</f>
        <v>2.4.1.1</v>
      </c>
      <c r="F5433" s="3" t="str">
        <f>VLOOKUP(Base_Periodo1[[#This Row],[Aux]],Base_Contas_Balanco[#All],2,FALSE)</f>
        <v>Capital Social Realizado</v>
      </c>
      <c r="G5433" s="1"/>
      <c r="H5433" s="281">
        <v>206.52</v>
      </c>
      <c r="I5433" s="281">
        <v>0</v>
      </c>
      <c r="J5433" s="281">
        <v>0</v>
      </c>
      <c r="K5433" s="281">
        <v>206.52</v>
      </c>
      <c r="L543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206.52</v>
      </c>
      <c r="M5433" s="281">
        <f>ROUND(IF(AND(Base_Periodo1[[#This Row],[Tipo_Linha]]="-",Base_Periodo1[[#This Row],[TIPOSALDO]]="D"),Base_Periodo1[[#This Row],[SALDO_ATUAL]]*-1,Base_Periodo1[[#This Row],[SALDO_ATUAL]]),4)</f>
        <v>206.52</v>
      </c>
      <c r="N5433" t="s">
        <v>116</v>
      </c>
      <c r="O5433" t="s">
        <v>459</v>
      </c>
      <c r="P5433" t="s">
        <v>459</v>
      </c>
      <c r="Q5433">
        <v>6</v>
      </c>
      <c r="R5433" s="281">
        <f>Base_Periodo1[[#This Row],[CREDITOS]]-Base_Periodo1[[#This Row],[DEBITOS]]</f>
        <v>0</v>
      </c>
      <c r="S5433" s="3" t="str">
        <f>IF(ISERROR(VLOOKUP(Base_Periodo1[[#This Row],[CONTA]],BaseContasDRE[#All],4,FALSE)),"Fora do DRE",VLOOKUP(Base_Periodo1[[#This Row],[CONTA]],BaseContasDRE[#All],4,FALSE))</f>
        <v>Fora do DRE</v>
      </c>
      <c r="T5433" s="3" t="str">
        <f>IF(ISERROR(VLOOKUP(Base_Periodo1[[#This Row],[CONTA]],BaseContasDRE[#All],5,FALSE)),"Fora do DRE",VLOOKUP(Base_Periodo1[[#This Row],[CONTA]],BaseContasDRE[#All],6,FALSE))</f>
        <v>Fora do DRE</v>
      </c>
      <c r="U5433" s="3" t="str">
        <f>IF(ISERROR(VLOOKUP(Base_Periodo1[[#This Row],[CONTA]],BaseContasDRE[#All],7,FALSE)),"Fora do DRE",VLOOKUP(Base_Periodo1[[#This Row],[CONTA]],BaseContasDRE[#All],7,FALSE))</f>
        <v>Fora do DRE</v>
      </c>
      <c r="V5433" s="3" t="str">
        <f>IF(Base_Periodo1[[#This Row],[Tipo_Linha]]="Fora do DRE","Fora do DRE","( "&amp;Base_Periodo1[[#This Row],[Tipo_Linha]]&amp;" ) "&amp;Base_Periodo1[[#This Row],[Filtro]])</f>
        <v>Fora do DRE</v>
      </c>
      <c r="W5433" s="3" t="str">
        <f>LEFT(Base_Periodo1[[#This Row],[CLASS]],3)</f>
        <v>2.4</v>
      </c>
    </row>
    <row r="5434" spans="1:23" hidden="1">
      <c r="A5434" s="3" t="str">
        <f t="shared" si="84"/>
        <v>Período 1</v>
      </c>
      <c r="B5434">
        <v>19267</v>
      </c>
      <c r="C5434" t="s">
        <v>2300</v>
      </c>
      <c r="D5434" t="s">
        <v>3261</v>
      </c>
      <c r="E5434" s="3" t="str">
        <f>IF(LEN(Base_Periodo1[[#This Row],[CLASS]])&gt;=7,LEFT(Base_Periodo1[[#This Row],[CLASS]],7),"")</f>
        <v>2.4.1.1</v>
      </c>
      <c r="F5434" s="3" t="str">
        <f>VLOOKUP(Base_Periodo1[[#This Row],[Aux]],Base_Contas_Balanco[#All],2,FALSE)</f>
        <v>Capital Social Realizado</v>
      </c>
      <c r="G5434" s="1"/>
      <c r="H5434" s="281">
        <v>1462.25</v>
      </c>
      <c r="I5434" s="281">
        <v>0</v>
      </c>
      <c r="J5434" s="281">
        <v>0</v>
      </c>
      <c r="K5434" s="281">
        <v>1462.25</v>
      </c>
      <c r="L543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1462.25</v>
      </c>
      <c r="M5434" s="281">
        <f>ROUND(IF(AND(Base_Periodo1[[#This Row],[Tipo_Linha]]="-",Base_Periodo1[[#This Row],[TIPOSALDO]]="D"),Base_Periodo1[[#This Row],[SALDO_ATUAL]]*-1,Base_Periodo1[[#This Row],[SALDO_ATUAL]]),4)</f>
        <v>1462.25</v>
      </c>
      <c r="N5434" t="s">
        <v>116</v>
      </c>
      <c r="O5434" t="s">
        <v>459</v>
      </c>
      <c r="P5434" t="s">
        <v>459</v>
      </c>
      <c r="Q5434">
        <v>6</v>
      </c>
      <c r="R5434" s="281">
        <f>Base_Periodo1[[#This Row],[CREDITOS]]-Base_Periodo1[[#This Row],[DEBITOS]]</f>
        <v>0</v>
      </c>
      <c r="S5434" s="3" t="str">
        <f>IF(ISERROR(VLOOKUP(Base_Periodo1[[#This Row],[CONTA]],BaseContasDRE[#All],4,FALSE)),"Fora do DRE",VLOOKUP(Base_Periodo1[[#This Row],[CONTA]],BaseContasDRE[#All],4,FALSE))</f>
        <v>Fora do DRE</v>
      </c>
      <c r="T5434" s="3" t="str">
        <f>IF(ISERROR(VLOOKUP(Base_Periodo1[[#This Row],[CONTA]],BaseContasDRE[#All],5,FALSE)),"Fora do DRE",VLOOKUP(Base_Periodo1[[#This Row],[CONTA]],BaseContasDRE[#All],6,FALSE))</f>
        <v>Fora do DRE</v>
      </c>
      <c r="U5434" s="3" t="str">
        <f>IF(ISERROR(VLOOKUP(Base_Periodo1[[#This Row],[CONTA]],BaseContasDRE[#All],7,FALSE)),"Fora do DRE",VLOOKUP(Base_Periodo1[[#This Row],[CONTA]],BaseContasDRE[#All],7,FALSE))</f>
        <v>Fora do DRE</v>
      </c>
      <c r="V5434" s="3" t="str">
        <f>IF(Base_Periodo1[[#This Row],[Tipo_Linha]]="Fora do DRE","Fora do DRE","( "&amp;Base_Periodo1[[#This Row],[Tipo_Linha]]&amp;" ) "&amp;Base_Periodo1[[#This Row],[Filtro]])</f>
        <v>Fora do DRE</v>
      </c>
      <c r="W5434" s="3" t="str">
        <f>LEFT(Base_Periodo1[[#This Row],[CLASS]],3)</f>
        <v>2.4</v>
      </c>
    </row>
    <row r="5435" spans="1:23" hidden="1">
      <c r="A5435" s="3" t="str">
        <f t="shared" si="84"/>
        <v>Período 1</v>
      </c>
      <c r="B5435">
        <v>24358</v>
      </c>
      <c r="C5435" t="s">
        <v>2300</v>
      </c>
      <c r="D5435" t="s">
        <v>3262</v>
      </c>
      <c r="E5435" s="3" t="str">
        <f>IF(LEN(Base_Periodo1[[#This Row],[CLASS]])&gt;=7,LEFT(Base_Periodo1[[#This Row],[CLASS]],7),"")</f>
        <v>2.4.1.1</v>
      </c>
      <c r="F5435" s="3" t="str">
        <f>VLOOKUP(Base_Periodo1[[#This Row],[Aux]],Base_Contas_Balanco[#All],2,FALSE)</f>
        <v>Capital Social Realizado</v>
      </c>
      <c r="G5435" s="1"/>
      <c r="H5435" s="281">
        <v>1900.99</v>
      </c>
      <c r="I5435" s="281">
        <v>0</v>
      </c>
      <c r="J5435" s="281">
        <v>0</v>
      </c>
      <c r="K5435" s="281">
        <v>1900.99</v>
      </c>
      <c r="L543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1900.99</v>
      </c>
      <c r="M5435" s="281">
        <f>ROUND(IF(AND(Base_Periodo1[[#This Row],[Tipo_Linha]]="-",Base_Periodo1[[#This Row],[TIPOSALDO]]="D"),Base_Periodo1[[#This Row],[SALDO_ATUAL]]*-1,Base_Periodo1[[#This Row],[SALDO_ATUAL]]),4)</f>
        <v>1900.99</v>
      </c>
      <c r="N5435" t="s">
        <v>116</v>
      </c>
      <c r="O5435" t="s">
        <v>459</v>
      </c>
      <c r="P5435" t="s">
        <v>459</v>
      </c>
      <c r="Q5435">
        <v>6</v>
      </c>
      <c r="R5435" s="281">
        <f>Base_Periodo1[[#This Row],[CREDITOS]]-Base_Periodo1[[#This Row],[DEBITOS]]</f>
        <v>0</v>
      </c>
      <c r="S5435" s="3" t="str">
        <f>IF(ISERROR(VLOOKUP(Base_Periodo1[[#This Row],[CONTA]],BaseContasDRE[#All],4,FALSE)),"Fora do DRE",VLOOKUP(Base_Periodo1[[#This Row],[CONTA]],BaseContasDRE[#All],4,FALSE))</f>
        <v>Fora do DRE</v>
      </c>
      <c r="T5435" s="3" t="str">
        <f>IF(ISERROR(VLOOKUP(Base_Periodo1[[#This Row],[CONTA]],BaseContasDRE[#All],5,FALSE)),"Fora do DRE",VLOOKUP(Base_Periodo1[[#This Row],[CONTA]],BaseContasDRE[#All],6,FALSE))</f>
        <v>Fora do DRE</v>
      </c>
      <c r="U5435" s="3" t="str">
        <f>IF(ISERROR(VLOOKUP(Base_Periodo1[[#This Row],[CONTA]],BaseContasDRE[#All],7,FALSE)),"Fora do DRE",VLOOKUP(Base_Periodo1[[#This Row],[CONTA]],BaseContasDRE[#All],7,FALSE))</f>
        <v>Fora do DRE</v>
      </c>
      <c r="V5435" s="3" t="str">
        <f>IF(Base_Periodo1[[#This Row],[Tipo_Linha]]="Fora do DRE","Fora do DRE","( "&amp;Base_Periodo1[[#This Row],[Tipo_Linha]]&amp;" ) "&amp;Base_Periodo1[[#This Row],[Filtro]])</f>
        <v>Fora do DRE</v>
      </c>
      <c r="W5435" s="3" t="str">
        <f>LEFT(Base_Periodo1[[#This Row],[CLASS]],3)</f>
        <v>2.4</v>
      </c>
    </row>
    <row r="5436" spans="1:23" hidden="1">
      <c r="A5436" s="3" t="str">
        <f t="shared" si="84"/>
        <v>Período 1</v>
      </c>
      <c r="B5436">
        <v>35143</v>
      </c>
      <c r="C5436" t="s">
        <v>2300</v>
      </c>
      <c r="D5436" t="s">
        <v>3263</v>
      </c>
      <c r="E5436" s="3" t="str">
        <f>IF(LEN(Base_Periodo1[[#This Row],[CLASS]])&gt;=7,LEFT(Base_Periodo1[[#This Row],[CLASS]],7),"")</f>
        <v>2.4.1.1</v>
      </c>
      <c r="F5436" s="3" t="str">
        <f>VLOOKUP(Base_Periodo1[[#This Row],[Aux]],Base_Contas_Balanco[#All],2,FALSE)</f>
        <v>Capital Social Realizado</v>
      </c>
      <c r="G5436" s="1"/>
      <c r="H5436" s="281">
        <v>50</v>
      </c>
      <c r="I5436" s="281">
        <v>0</v>
      </c>
      <c r="J5436" s="281">
        <v>0</v>
      </c>
      <c r="K5436" s="281">
        <v>50</v>
      </c>
      <c r="L543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436" s="281">
        <f>ROUND(IF(AND(Base_Periodo1[[#This Row],[Tipo_Linha]]="-",Base_Periodo1[[#This Row],[TIPOSALDO]]="D"),Base_Periodo1[[#This Row],[SALDO_ATUAL]]*-1,Base_Periodo1[[#This Row],[SALDO_ATUAL]]),4)</f>
        <v>50</v>
      </c>
      <c r="N5436" t="s">
        <v>116</v>
      </c>
      <c r="O5436" t="s">
        <v>459</v>
      </c>
      <c r="P5436" t="s">
        <v>459</v>
      </c>
      <c r="Q5436">
        <v>6</v>
      </c>
      <c r="R5436" s="281">
        <f>Base_Periodo1[[#This Row],[CREDITOS]]-Base_Periodo1[[#This Row],[DEBITOS]]</f>
        <v>0</v>
      </c>
      <c r="S5436" s="3" t="str">
        <f>IF(ISERROR(VLOOKUP(Base_Periodo1[[#This Row],[CONTA]],BaseContasDRE[#All],4,FALSE)),"Fora do DRE",VLOOKUP(Base_Periodo1[[#This Row],[CONTA]],BaseContasDRE[#All],4,FALSE))</f>
        <v>Fora do DRE</v>
      </c>
      <c r="T5436" s="3" t="str">
        <f>IF(ISERROR(VLOOKUP(Base_Periodo1[[#This Row],[CONTA]],BaseContasDRE[#All],5,FALSE)),"Fora do DRE",VLOOKUP(Base_Periodo1[[#This Row],[CONTA]],BaseContasDRE[#All],6,FALSE))</f>
        <v>Fora do DRE</v>
      </c>
      <c r="U5436" s="3" t="str">
        <f>IF(ISERROR(VLOOKUP(Base_Periodo1[[#This Row],[CONTA]],BaseContasDRE[#All],7,FALSE)),"Fora do DRE",VLOOKUP(Base_Periodo1[[#This Row],[CONTA]],BaseContasDRE[#All],7,FALSE))</f>
        <v>Fora do DRE</v>
      </c>
      <c r="V5436" s="3" t="str">
        <f>IF(Base_Periodo1[[#This Row],[Tipo_Linha]]="Fora do DRE","Fora do DRE","( "&amp;Base_Periodo1[[#This Row],[Tipo_Linha]]&amp;" ) "&amp;Base_Periodo1[[#This Row],[Filtro]])</f>
        <v>Fora do DRE</v>
      </c>
      <c r="W5436" s="3" t="str">
        <f>LEFT(Base_Periodo1[[#This Row],[CLASS]],3)</f>
        <v>2.4</v>
      </c>
    </row>
    <row r="5437" spans="1:23" hidden="1">
      <c r="A5437" s="3" t="str">
        <f t="shared" si="84"/>
        <v>Período 1</v>
      </c>
      <c r="B5437">
        <v>50916</v>
      </c>
      <c r="C5437" t="s">
        <v>2300</v>
      </c>
      <c r="D5437" t="s">
        <v>4478</v>
      </c>
      <c r="E5437" s="3" t="str">
        <f>IF(LEN(Base_Periodo1[[#This Row],[CLASS]])&gt;=7,LEFT(Base_Periodo1[[#This Row],[CLASS]],7),"")</f>
        <v>2.4.1.1</v>
      </c>
      <c r="F5437" s="3" t="str">
        <f>VLOOKUP(Base_Periodo1[[#This Row],[Aux]],Base_Contas_Balanco[#All],2,FALSE)</f>
        <v>Capital Social Realizado</v>
      </c>
      <c r="G5437" s="1"/>
      <c r="H5437" s="281">
        <v>50</v>
      </c>
      <c r="I5437" s="281">
        <v>0</v>
      </c>
      <c r="J5437" s="281">
        <v>0</v>
      </c>
      <c r="K5437" s="281">
        <v>50</v>
      </c>
      <c r="L543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437" s="281">
        <f>ROUND(IF(AND(Base_Periodo1[[#This Row],[Tipo_Linha]]="-",Base_Periodo1[[#This Row],[TIPOSALDO]]="D"),Base_Periodo1[[#This Row],[SALDO_ATUAL]]*-1,Base_Periodo1[[#This Row],[SALDO_ATUAL]]),4)</f>
        <v>50</v>
      </c>
      <c r="N5437" t="s">
        <v>116</v>
      </c>
      <c r="O5437" t="s">
        <v>459</v>
      </c>
      <c r="P5437" t="s">
        <v>459</v>
      </c>
      <c r="Q5437">
        <v>6</v>
      </c>
      <c r="R5437" s="281">
        <f>Base_Periodo1[[#This Row],[CREDITOS]]-Base_Periodo1[[#This Row],[DEBITOS]]</f>
        <v>0</v>
      </c>
      <c r="S5437" s="3" t="str">
        <f>IF(ISERROR(VLOOKUP(Base_Periodo1[[#This Row],[CONTA]],BaseContasDRE[#All],4,FALSE)),"Fora do DRE",VLOOKUP(Base_Periodo1[[#This Row],[CONTA]],BaseContasDRE[#All],4,FALSE))</f>
        <v>Fora do DRE</v>
      </c>
      <c r="T5437" s="3" t="str">
        <f>IF(ISERROR(VLOOKUP(Base_Periodo1[[#This Row],[CONTA]],BaseContasDRE[#All],5,FALSE)),"Fora do DRE",VLOOKUP(Base_Periodo1[[#This Row],[CONTA]],BaseContasDRE[#All],6,FALSE))</f>
        <v>Fora do DRE</v>
      </c>
      <c r="U5437" s="3" t="str">
        <f>IF(ISERROR(VLOOKUP(Base_Periodo1[[#This Row],[CONTA]],BaseContasDRE[#All],7,FALSE)),"Fora do DRE",VLOOKUP(Base_Periodo1[[#This Row],[CONTA]],BaseContasDRE[#All],7,FALSE))</f>
        <v>Fora do DRE</v>
      </c>
      <c r="V5437" s="3" t="str">
        <f>IF(Base_Periodo1[[#This Row],[Tipo_Linha]]="Fora do DRE","Fora do DRE","( "&amp;Base_Periodo1[[#This Row],[Tipo_Linha]]&amp;" ) "&amp;Base_Periodo1[[#This Row],[Filtro]])</f>
        <v>Fora do DRE</v>
      </c>
      <c r="W5437" s="3" t="str">
        <f>LEFT(Base_Periodo1[[#This Row],[CLASS]],3)</f>
        <v>2.4</v>
      </c>
    </row>
    <row r="5438" spans="1:23" hidden="1">
      <c r="A5438" s="3" t="str">
        <f t="shared" si="84"/>
        <v>Período 1</v>
      </c>
      <c r="B5438">
        <v>47751</v>
      </c>
      <c r="C5438" t="s">
        <v>2300</v>
      </c>
      <c r="D5438" t="s">
        <v>3264</v>
      </c>
      <c r="E5438" s="3" t="str">
        <f>IF(LEN(Base_Periodo1[[#This Row],[CLASS]])&gt;=7,LEFT(Base_Periodo1[[#This Row],[CLASS]],7),"")</f>
        <v>2.4.1.1</v>
      </c>
      <c r="F5438" s="3" t="str">
        <f>VLOOKUP(Base_Periodo1[[#This Row],[Aux]],Base_Contas_Balanco[#All],2,FALSE)</f>
        <v>Capital Social Realizado</v>
      </c>
      <c r="G5438" s="1"/>
      <c r="H5438" s="281">
        <v>901.01</v>
      </c>
      <c r="I5438" s="281">
        <v>0</v>
      </c>
      <c r="J5438" s="281">
        <v>0</v>
      </c>
      <c r="K5438" s="281">
        <v>901.01</v>
      </c>
      <c r="L543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901.01</v>
      </c>
      <c r="M5438" s="281">
        <f>ROUND(IF(AND(Base_Periodo1[[#This Row],[Tipo_Linha]]="-",Base_Periodo1[[#This Row],[TIPOSALDO]]="D"),Base_Periodo1[[#This Row],[SALDO_ATUAL]]*-1,Base_Periodo1[[#This Row],[SALDO_ATUAL]]),4)</f>
        <v>901.01</v>
      </c>
      <c r="N5438" t="s">
        <v>116</v>
      </c>
      <c r="O5438" t="s">
        <v>459</v>
      </c>
      <c r="P5438" t="s">
        <v>459</v>
      </c>
      <c r="Q5438">
        <v>6</v>
      </c>
      <c r="R5438" s="281">
        <f>Base_Periodo1[[#This Row],[CREDITOS]]-Base_Periodo1[[#This Row],[DEBITOS]]</f>
        <v>0</v>
      </c>
      <c r="S5438" s="3" t="str">
        <f>IF(ISERROR(VLOOKUP(Base_Periodo1[[#This Row],[CONTA]],BaseContasDRE[#All],4,FALSE)),"Fora do DRE",VLOOKUP(Base_Periodo1[[#This Row],[CONTA]],BaseContasDRE[#All],4,FALSE))</f>
        <v>Fora do DRE</v>
      </c>
      <c r="T5438" s="3" t="str">
        <f>IF(ISERROR(VLOOKUP(Base_Periodo1[[#This Row],[CONTA]],BaseContasDRE[#All],5,FALSE)),"Fora do DRE",VLOOKUP(Base_Periodo1[[#This Row],[CONTA]],BaseContasDRE[#All],6,FALSE))</f>
        <v>Fora do DRE</v>
      </c>
      <c r="U5438" s="3" t="str">
        <f>IF(ISERROR(VLOOKUP(Base_Periodo1[[#This Row],[CONTA]],BaseContasDRE[#All],7,FALSE)),"Fora do DRE",VLOOKUP(Base_Periodo1[[#This Row],[CONTA]],BaseContasDRE[#All],7,FALSE))</f>
        <v>Fora do DRE</v>
      </c>
      <c r="V5438" s="3" t="str">
        <f>IF(Base_Periodo1[[#This Row],[Tipo_Linha]]="Fora do DRE","Fora do DRE","( "&amp;Base_Periodo1[[#This Row],[Tipo_Linha]]&amp;" ) "&amp;Base_Periodo1[[#This Row],[Filtro]])</f>
        <v>Fora do DRE</v>
      </c>
      <c r="W5438" s="3" t="str">
        <f>LEFT(Base_Periodo1[[#This Row],[CLASS]],3)</f>
        <v>2.4</v>
      </c>
    </row>
    <row r="5439" spans="1:23" hidden="1">
      <c r="A5439" s="3" t="str">
        <f t="shared" si="84"/>
        <v>Período 1</v>
      </c>
      <c r="B5439">
        <v>54031</v>
      </c>
      <c r="C5439" t="s">
        <v>2300</v>
      </c>
      <c r="D5439" t="s">
        <v>5109</v>
      </c>
      <c r="E5439" s="3" t="str">
        <f>IF(LEN(Base_Periodo1[[#This Row],[CLASS]])&gt;=7,LEFT(Base_Periodo1[[#This Row],[CLASS]],7),"")</f>
        <v>2.4.1.1</v>
      </c>
      <c r="F5439" s="3" t="str">
        <f>VLOOKUP(Base_Periodo1[[#This Row],[Aux]],Base_Contas_Balanco[#All],2,FALSE)</f>
        <v>Capital Social Realizado</v>
      </c>
      <c r="G5439" s="1"/>
      <c r="H5439" s="281">
        <v>50</v>
      </c>
      <c r="I5439" s="281">
        <v>0</v>
      </c>
      <c r="J5439" s="281">
        <v>0</v>
      </c>
      <c r="K5439" s="281">
        <v>50</v>
      </c>
      <c r="L543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439" s="281">
        <f>ROUND(IF(AND(Base_Periodo1[[#This Row],[Tipo_Linha]]="-",Base_Periodo1[[#This Row],[TIPOSALDO]]="D"),Base_Periodo1[[#This Row],[SALDO_ATUAL]]*-1,Base_Periodo1[[#This Row],[SALDO_ATUAL]]),4)</f>
        <v>50</v>
      </c>
      <c r="N5439" t="s">
        <v>116</v>
      </c>
      <c r="O5439" t="s">
        <v>459</v>
      </c>
      <c r="P5439" t="s">
        <v>459</v>
      </c>
      <c r="Q5439">
        <v>6</v>
      </c>
      <c r="R5439" s="281">
        <f>Base_Periodo1[[#This Row],[CREDITOS]]-Base_Periodo1[[#This Row],[DEBITOS]]</f>
        <v>0</v>
      </c>
      <c r="S5439" s="3" t="str">
        <f>IF(ISERROR(VLOOKUP(Base_Periodo1[[#This Row],[CONTA]],BaseContasDRE[#All],4,FALSE)),"Fora do DRE",VLOOKUP(Base_Periodo1[[#This Row],[CONTA]],BaseContasDRE[#All],4,FALSE))</f>
        <v>Fora do DRE</v>
      </c>
      <c r="T5439" s="3" t="str">
        <f>IF(ISERROR(VLOOKUP(Base_Periodo1[[#This Row],[CONTA]],BaseContasDRE[#All],5,FALSE)),"Fora do DRE",VLOOKUP(Base_Periodo1[[#This Row],[CONTA]],BaseContasDRE[#All],6,FALSE))</f>
        <v>Fora do DRE</v>
      </c>
      <c r="U5439" s="3" t="str">
        <f>IF(ISERROR(VLOOKUP(Base_Periodo1[[#This Row],[CONTA]],BaseContasDRE[#All],7,FALSE)),"Fora do DRE",VLOOKUP(Base_Periodo1[[#This Row],[CONTA]],BaseContasDRE[#All],7,FALSE))</f>
        <v>Fora do DRE</v>
      </c>
      <c r="V5439" s="3" t="str">
        <f>IF(Base_Periodo1[[#This Row],[Tipo_Linha]]="Fora do DRE","Fora do DRE","( "&amp;Base_Periodo1[[#This Row],[Tipo_Linha]]&amp;" ) "&amp;Base_Periodo1[[#This Row],[Filtro]])</f>
        <v>Fora do DRE</v>
      </c>
      <c r="W5439" s="3" t="str">
        <f>LEFT(Base_Periodo1[[#This Row],[CLASS]],3)</f>
        <v>2.4</v>
      </c>
    </row>
    <row r="5440" spans="1:23" hidden="1">
      <c r="A5440" s="3" t="str">
        <f t="shared" si="84"/>
        <v>Período 1</v>
      </c>
      <c r="B5440">
        <v>16401</v>
      </c>
      <c r="C5440" t="s">
        <v>2300</v>
      </c>
      <c r="D5440" t="s">
        <v>3265</v>
      </c>
      <c r="E5440" s="3" t="str">
        <f>IF(LEN(Base_Periodo1[[#This Row],[CLASS]])&gt;=7,LEFT(Base_Periodo1[[#This Row],[CLASS]],7),"")</f>
        <v>2.4.1.1</v>
      </c>
      <c r="F5440" s="3" t="str">
        <f>VLOOKUP(Base_Periodo1[[#This Row],[Aux]],Base_Contas_Balanco[#All],2,FALSE)</f>
        <v>Capital Social Realizado</v>
      </c>
      <c r="G5440" s="1"/>
      <c r="H5440" s="281">
        <v>427.21000000000004</v>
      </c>
      <c r="I5440" s="281">
        <v>0</v>
      </c>
      <c r="J5440" s="281">
        <v>0</v>
      </c>
      <c r="K5440" s="281">
        <v>427.21000000000004</v>
      </c>
      <c r="L544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427.21</v>
      </c>
      <c r="M5440" s="281">
        <f>ROUND(IF(AND(Base_Periodo1[[#This Row],[Tipo_Linha]]="-",Base_Periodo1[[#This Row],[TIPOSALDO]]="D"),Base_Periodo1[[#This Row],[SALDO_ATUAL]]*-1,Base_Periodo1[[#This Row],[SALDO_ATUAL]]),4)</f>
        <v>427.21</v>
      </c>
      <c r="N5440" t="s">
        <v>116</v>
      </c>
      <c r="O5440" t="s">
        <v>459</v>
      </c>
      <c r="P5440" t="s">
        <v>459</v>
      </c>
      <c r="Q5440">
        <v>6</v>
      </c>
      <c r="R5440" s="281">
        <f>Base_Periodo1[[#This Row],[CREDITOS]]-Base_Periodo1[[#This Row],[DEBITOS]]</f>
        <v>0</v>
      </c>
      <c r="S5440" s="3" t="str">
        <f>IF(ISERROR(VLOOKUP(Base_Periodo1[[#This Row],[CONTA]],BaseContasDRE[#All],4,FALSE)),"Fora do DRE",VLOOKUP(Base_Periodo1[[#This Row],[CONTA]],BaseContasDRE[#All],4,FALSE))</f>
        <v>Fora do DRE</v>
      </c>
      <c r="T5440" s="3" t="str">
        <f>IF(ISERROR(VLOOKUP(Base_Periodo1[[#This Row],[CONTA]],BaseContasDRE[#All],5,FALSE)),"Fora do DRE",VLOOKUP(Base_Periodo1[[#This Row],[CONTA]],BaseContasDRE[#All],6,FALSE))</f>
        <v>Fora do DRE</v>
      </c>
      <c r="U5440" s="3" t="str">
        <f>IF(ISERROR(VLOOKUP(Base_Periodo1[[#This Row],[CONTA]],BaseContasDRE[#All],7,FALSE)),"Fora do DRE",VLOOKUP(Base_Periodo1[[#This Row],[CONTA]],BaseContasDRE[#All],7,FALSE))</f>
        <v>Fora do DRE</v>
      </c>
      <c r="V5440" s="3" t="str">
        <f>IF(Base_Periodo1[[#This Row],[Tipo_Linha]]="Fora do DRE","Fora do DRE","( "&amp;Base_Periodo1[[#This Row],[Tipo_Linha]]&amp;" ) "&amp;Base_Periodo1[[#This Row],[Filtro]])</f>
        <v>Fora do DRE</v>
      </c>
      <c r="W5440" s="3" t="str">
        <f>LEFT(Base_Periodo1[[#This Row],[CLASS]],3)</f>
        <v>2.4</v>
      </c>
    </row>
    <row r="5441" spans="1:23" hidden="1">
      <c r="A5441" s="3" t="str">
        <f t="shared" si="84"/>
        <v>Período 1</v>
      </c>
      <c r="B5441">
        <v>24596</v>
      </c>
      <c r="C5441" t="s">
        <v>2300</v>
      </c>
      <c r="D5441" t="s">
        <v>3266</v>
      </c>
      <c r="E5441" s="3" t="str">
        <f>IF(LEN(Base_Periodo1[[#This Row],[CLASS]])&gt;=7,LEFT(Base_Periodo1[[#This Row],[CLASS]],7),"")</f>
        <v>2.4.1.1</v>
      </c>
      <c r="F5441" s="3" t="str">
        <f>VLOOKUP(Base_Periodo1[[#This Row],[Aux]],Base_Contas_Balanco[#All],2,FALSE)</f>
        <v>Capital Social Realizado</v>
      </c>
      <c r="G5441" s="1"/>
      <c r="H5441" s="281">
        <v>156.54000000000002</v>
      </c>
      <c r="I5441" s="281">
        <v>0</v>
      </c>
      <c r="J5441" s="281">
        <v>0</v>
      </c>
      <c r="K5441" s="281">
        <v>156.54000000000002</v>
      </c>
      <c r="L544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156.54</v>
      </c>
      <c r="M5441" s="281">
        <f>ROUND(IF(AND(Base_Periodo1[[#This Row],[Tipo_Linha]]="-",Base_Periodo1[[#This Row],[TIPOSALDO]]="D"),Base_Periodo1[[#This Row],[SALDO_ATUAL]]*-1,Base_Periodo1[[#This Row],[SALDO_ATUAL]]),4)</f>
        <v>156.54</v>
      </c>
      <c r="N5441" t="s">
        <v>116</v>
      </c>
      <c r="O5441" t="s">
        <v>459</v>
      </c>
      <c r="P5441" t="s">
        <v>459</v>
      </c>
      <c r="Q5441">
        <v>6</v>
      </c>
      <c r="R5441" s="281">
        <f>Base_Periodo1[[#This Row],[CREDITOS]]-Base_Periodo1[[#This Row],[DEBITOS]]</f>
        <v>0</v>
      </c>
      <c r="S5441" s="3" t="str">
        <f>IF(ISERROR(VLOOKUP(Base_Periodo1[[#This Row],[CONTA]],BaseContasDRE[#All],4,FALSE)),"Fora do DRE",VLOOKUP(Base_Periodo1[[#This Row],[CONTA]],BaseContasDRE[#All],4,FALSE))</f>
        <v>Fora do DRE</v>
      </c>
      <c r="T5441" s="3" t="str">
        <f>IF(ISERROR(VLOOKUP(Base_Periodo1[[#This Row],[CONTA]],BaseContasDRE[#All],5,FALSE)),"Fora do DRE",VLOOKUP(Base_Periodo1[[#This Row],[CONTA]],BaseContasDRE[#All],6,FALSE))</f>
        <v>Fora do DRE</v>
      </c>
      <c r="U5441" s="3" t="str">
        <f>IF(ISERROR(VLOOKUP(Base_Periodo1[[#This Row],[CONTA]],BaseContasDRE[#All],7,FALSE)),"Fora do DRE",VLOOKUP(Base_Periodo1[[#This Row],[CONTA]],BaseContasDRE[#All],7,FALSE))</f>
        <v>Fora do DRE</v>
      </c>
      <c r="V5441" s="3" t="str">
        <f>IF(Base_Periodo1[[#This Row],[Tipo_Linha]]="Fora do DRE","Fora do DRE","( "&amp;Base_Periodo1[[#This Row],[Tipo_Linha]]&amp;" ) "&amp;Base_Periodo1[[#This Row],[Filtro]])</f>
        <v>Fora do DRE</v>
      </c>
      <c r="W5441" s="3" t="str">
        <f>LEFT(Base_Periodo1[[#This Row],[CLASS]],3)</f>
        <v>2.4</v>
      </c>
    </row>
    <row r="5442" spans="1:23" hidden="1">
      <c r="A5442" s="3" t="str">
        <f t="shared" si="84"/>
        <v>Período 1</v>
      </c>
      <c r="B5442">
        <v>46871</v>
      </c>
      <c r="C5442" t="s">
        <v>2300</v>
      </c>
      <c r="D5442" t="s">
        <v>3267</v>
      </c>
      <c r="E5442" s="3" t="str">
        <f>IF(LEN(Base_Periodo1[[#This Row],[CLASS]])&gt;=7,LEFT(Base_Periodo1[[#This Row],[CLASS]],7),"")</f>
        <v>2.4.1.1</v>
      </c>
      <c r="F5442" s="3" t="str">
        <f>VLOOKUP(Base_Periodo1[[#This Row],[Aux]],Base_Contas_Balanco[#All],2,FALSE)</f>
        <v>Capital Social Realizado</v>
      </c>
      <c r="G5442" s="1"/>
      <c r="H5442" s="281">
        <v>50</v>
      </c>
      <c r="I5442" s="281">
        <v>0</v>
      </c>
      <c r="J5442" s="281">
        <v>0</v>
      </c>
      <c r="K5442" s="281">
        <v>50</v>
      </c>
      <c r="L544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442" s="281">
        <f>ROUND(IF(AND(Base_Periodo1[[#This Row],[Tipo_Linha]]="-",Base_Periodo1[[#This Row],[TIPOSALDO]]="D"),Base_Periodo1[[#This Row],[SALDO_ATUAL]]*-1,Base_Periodo1[[#This Row],[SALDO_ATUAL]]),4)</f>
        <v>50</v>
      </c>
      <c r="N5442" t="s">
        <v>116</v>
      </c>
      <c r="O5442" t="s">
        <v>459</v>
      </c>
      <c r="P5442" t="s">
        <v>459</v>
      </c>
      <c r="Q5442">
        <v>6</v>
      </c>
      <c r="R5442" s="281">
        <f>Base_Periodo1[[#This Row],[CREDITOS]]-Base_Periodo1[[#This Row],[DEBITOS]]</f>
        <v>0</v>
      </c>
      <c r="S5442" s="3" t="str">
        <f>IF(ISERROR(VLOOKUP(Base_Periodo1[[#This Row],[CONTA]],BaseContasDRE[#All],4,FALSE)),"Fora do DRE",VLOOKUP(Base_Periodo1[[#This Row],[CONTA]],BaseContasDRE[#All],4,FALSE))</f>
        <v>Fora do DRE</v>
      </c>
      <c r="T5442" s="3" t="str">
        <f>IF(ISERROR(VLOOKUP(Base_Periodo1[[#This Row],[CONTA]],BaseContasDRE[#All],5,FALSE)),"Fora do DRE",VLOOKUP(Base_Periodo1[[#This Row],[CONTA]],BaseContasDRE[#All],6,FALSE))</f>
        <v>Fora do DRE</v>
      </c>
      <c r="U5442" s="3" t="str">
        <f>IF(ISERROR(VLOOKUP(Base_Periodo1[[#This Row],[CONTA]],BaseContasDRE[#All],7,FALSE)),"Fora do DRE",VLOOKUP(Base_Periodo1[[#This Row],[CONTA]],BaseContasDRE[#All],7,FALSE))</f>
        <v>Fora do DRE</v>
      </c>
      <c r="V5442" s="3" t="str">
        <f>IF(Base_Periodo1[[#This Row],[Tipo_Linha]]="Fora do DRE","Fora do DRE","( "&amp;Base_Periodo1[[#This Row],[Tipo_Linha]]&amp;" ) "&amp;Base_Periodo1[[#This Row],[Filtro]])</f>
        <v>Fora do DRE</v>
      </c>
      <c r="W5442" s="3" t="str">
        <f>LEFT(Base_Periodo1[[#This Row],[CLASS]],3)</f>
        <v>2.4</v>
      </c>
    </row>
    <row r="5443" spans="1:23" hidden="1">
      <c r="A5443" s="3" t="str">
        <f t="shared" si="84"/>
        <v>Período 1</v>
      </c>
      <c r="B5443">
        <v>19408</v>
      </c>
      <c r="C5443" t="s">
        <v>2300</v>
      </c>
      <c r="D5443" t="s">
        <v>3268</v>
      </c>
      <c r="E5443" s="3" t="str">
        <f>IF(LEN(Base_Periodo1[[#This Row],[CLASS]])&gt;=7,LEFT(Base_Periodo1[[#This Row],[CLASS]],7),"")</f>
        <v>2.4.1.1</v>
      </c>
      <c r="F5443" s="3" t="str">
        <f>VLOOKUP(Base_Periodo1[[#This Row],[Aux]],Base_Contas_Balanco[#All],2,FALSE)</f>
        <v>Capital Social Realizado</v>
      </c>
      <c r="G5443" s="1"/>
      <c r="H5443" s="281">
        <v>737.18</v>
      </c>
      <c r="I5443" s="281">
        <v>0</v>
      </c>
      <c r="J5443" s="281">
        <v>0</v>
      </c>
      <c r="K5443" s="281">
        <v>737.18</v>
      </c>
      <c r="L544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737.18</v>
      </c>
      <c r="M5443" s="281">
        <f>ROUND(IF(AND(Base_Periodo1[[#This Row],[Tipo_Linha]]="-",Base_Periodo1[[#This Row],[TIPOSALDO]]="D"),Base_Periodo1[[#This Row],[SALDO_ATUAL]]*-1,Base_Periodo1[[#This Row],[SALDO_ATUAL]]),4)</f>
        <v>737.18</v>
      </c>
      <c r="N5443" t="s">
        <v>116</v>
      </c>
      <c r="O5443" t="s">
        <v>459</v>
      </c>
      <c r="P5443" t="s">
        <v>459</v>
      </c>
      <c r="Q5443">
        <v>6</v>
      </c>
      <c r="R5443" s="281">
        <f>Base_Periodo1[[#This Row],[CREDITOS]]-Base_Periodo1[[#This Row],[DEBITOS]]</f>
        <v>0</v>
      </c>
      <c r="S5443" s="3" t="str">
        <f>IF(ISERROR(VLOOKUP(Base_Periodo1[[#This Row],[CONTA]],BaseContasDRE[#All],4,FALSE)),"Fora do DRE",VLOOKUP(Base_Periodo1[[#This Row],[CONTA]],BaseContasDRE[#All],4,FALSE))</f>
        <v>Fora do DRE</v>
      </c>
      <c r="T5443" s="3" t="str">
        <f>IF(ISERROR(VLOOKUP(Base_Periodo1[[#This Row],[CONTA]],BaseContasDRE[#All],5,FALSE)),"Fora do DRE",VLOOKUP(Base_Periodo1[[#This Row],[CONTA]],BaseContasDRE[#All],6,FALSE))</f>
        <v>Fora do DRE</v>
      </c>
      <c r="U5443" s="3" t="str">
        <f>IF(ISERROR(VLOOKUP(Base_Periodo1[[#This Row],[CONTA]],BaseContasDRE[#All],7,FALSE)),"Fora do DRE",VLOOKUP(Base_Periodo1[[#This Row],[CONTA]],BaseContasDRE[#All],7,FALSE))</f>
        <v>Fora do DRE</v>
      </c>
      <c r="V5443" s="3" t="str">
        <f>IF(Base_Periodo1[[#This Row],[Tipo_Linha]]="Fora do DRE","Fora do DRE","( "&amp;Base_Periodo1[[#This Row],[Tipo_Linha]]&amp;" ) "&amp;Base_Periodo1[[#This Row],[Filtro]])</f>
        <v>Fora do DRE</v>
      </c>
      <c r="W5443" s="3" t="str">
        <f>LEFT(Base_Periodo1[[#This Row],[CLASS]],3)</f>
        <v>2.4</v>
      </c>
    </row>
    <row r="5444" spans="1:23" hidden="1">
      <c r="A5444" s="3" t="str">
        <f t="shared" si="84"/>
        <v>Período 1</v>
      </c>
      <c r="B5444">
        <v>16308</v>
      </c>
      <c r="C5444" t="s">
        <v>2300</v>
      </c>
      <c r="D5444" t="s">
        <v>3269</v>
      </c>
      <c r="E5444" s="3" t="str">
        <f>IF(LEN(Base_Periodo1[[#This Row],[CLASS]])&gt;=7,LEFT(Base_Periodo1[[#This Row],[CLASS]],7),"")</f>
        <v>2.4.1.1</v>
      </c>
      <c r="F5444" s="3" t="str">
        <f>VLOOKUP(Base_Periodo1[[#This Row],[Aux]],Base_Contas_Balanco[#All],2,FALSE)</f>
        <v>Capital Social Realizado</v>
      </c>
      <c r="G5444" s="1"/>
      <c r="H5444" s="281">
        <v>3466.3</v>
      </c>
      <c r="I5444" s="281">
        <v>0</v>
      </c>
      <c r="J5444" s="281">
        <v>0</v>
      </c>
      <c r="K5444" s="281">
        <v>3466.3</v>
      </c>
      <c r="L544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3466.3</v>
      </c>
      <c r="M5444" s="281">
        <f>ROUND(IF(AND(Base_Periodo1[[#This Row],[Tipo_Linha]]="-",Base_Periodo1[[#This Row],[TIPOSALDO]]="D"),Base_Periodo1[[#This Row],[SALDO_ATUAL]]*-1,Base_Periodo1[[#This Row],[SALDO_ATUAL]]),4)</f>
        <v>3466.3</v>
      </c>
      <c r="N5444" t="s">
        <v>116</v>
      </c>
      <c r="O5444" t="s">
        <v>459</v>
      </c>
      <c r="P5444" t="s">
        <v>459</v>
      </c>
      <c r="Q5444">
        <v>6</v>
      </c>
      <c r="R5444" s="281">
        <f>Base_Periodo1[[#This Row],[CREDITOS]]-Base_Periodo1[[#This Row],[DEBITOS]]</f>
        <v>0</v>
      </c>
      <c r="S5444" s="3" t="str">
        <f>IF(ISERROR(VLOOKUP(Base_Periodo1[[#This Row],[CONTA]],BaseContasDRE[#All],4,FALSE)),"Fora do DRE",VLOOKUP(Base_Periodo1[[#This Row],[CONTA]],BaseContasDRE[#All],4,FALSE))</f>
        <v>Fora do DRE</v>
      </c>
      <c r="T5444" s="3" t="str">
        <f>IF(ISERROR(VLOOKUP(Base_Periodo1[[#This Row],[CONTA]],BaseContasDRE[#All],5,FALSE)),"Fora do DRE",VLOOKUP(Base_Periodo1[[#This Row],[CONTA]],BaseContasDRE[#All],6,FALSE))</f>
        <v>Fora do DRE</v>
      </c>
      <c r="U5444" s="3" t="str">
        <f>IF(ISERROR(VLOOKUP(Base_Periodo1[[#This Row],[CONTA]],BaseContasDRE[#All],7,FALSE)),"Fora do DRE",VLOOKUP(Base_Periodo1[[#This Row],[CONTA]],BaseContasDRE[#All],7,FALSE))</f>
        <v>Fora do DRE</v>
      </c>
      <c r="V5444" s="3" t="str">
        <f>IF(Base_Periodo1[[#This Row],[Tipo_Linha]]="Fora do DRE","Fora do DRE","( "&amp;Base_Periodo1[[#This Row],[Tipo_Linha]]&amp;" ) "&amp;Base_Periodo1[[#This Row],[Filtro]])</f>
        <v>Fora do DRE</v>
      </c>
      <c r="W5444" s="3" t="str">
        <f>LEFT(Base_Periodo1[[#This Row],[CLASS]],3)</f>
        <v>2.4</v>
      </c>
    </row>
    <row r="5445" spans="1:23" hidden="1">
      <c r="A5445" s="3" t="str">
        <f t="shared" si="84"/>
        <v>Período 1</v>
      </c>
      <c r="B5445">
        <v>16077</v>
      </c>
      <c r="C5445" t="s">
        <v>2300</v>
      </c>
      <c r="D5445" t="s">
        <v>3270</v>
      </c>
      <c r="E5445" s="3" t="str">
        <f>IF(LEN(Base_Periodo1[[#This Row],[CLASS]])&gt;=7,LEFT(Base_Periodo1[[#This Row],[CLASS]],7),"")</f>
        <v>2.4.1.1</v>
      </c>
      <c r="F5445" s="3" t="str">
        <f>VLOOKUP(Base_Periodo1[[#This Row],[Aux]],Base_Contas_Balanco[#All],2,FALSE)</f>
        <v>Capital Social Realizado</v>
      </c>
      <c r="G5445" s="1"/>
      <c r="H5445" s="281">
        <v>22033.850000000002</v>
      </c>
      <c r="I5445" s="281">
        <v>0</v>
      </c>
      <c r="J5445" s="281">
        <v>0</v>
      </c>
      <c r="K5445" s="281">
        <v>22033.850000000002</v>
      </c>
      <c r="L544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22033.85</v>
      </c>
      <c r="M5445" s="281">
        <f>ROUND(IF(AND(Base_Periodo1[[#This Row],[Tipo_Linha]]="-",Base_Periodo1[[#This Row],[TIPOSALDO]]="D"),Base_Periodo1[[#This Row],[SALDO_ATUAL]]*-1,Base_Periodo1[[#This Row],[SALDO_ATUAL]]),4)</f>
        <v>22033.85</v>
      </c>
      <c r="N5445" t="s">
        <v>116</v>
      </c>
      <c r="O5445" t="s">
        <v>459</v>
      </c>
      <c r="P5445" t="s">
        <v>459</v>
      </c>
      <c r="Q5445">
        <v>6</v>
      </c>
      <c r="R5445" s="281">
        <f>Base_Periodo1[[#This Row],[CREDITOS]]-Base_Periodo1[[#This Row],[DEBITOS]]</f>
        <v>0</v>
      </c>
      <c r="S5445" s="3" t="str">
        <f>IF(ISERROR(VLOOKUP(Base_Periodo1[[#This Row],[CONTA]],BaseContasDRE[#All],4,FALSE)),"Fora do DRE",VLOOKUP(Base_Periodo1[[#This Row],[CONTA]],BaseContasDRE[#All],4,FALSE))</f>
        <v>Fora do DRE</v>
      </c>
      <c r="T5445" s="3" t="str">
        <f>IF(ISERROR(VLOOKUP(Base_Periodo1[[#This Row],[CONTA]],BaseContasDRE[#All],5,FALSE)),"Fora do DRE",VLOOKUP(Base_Periodo1[[#This Row],[CONTA]],BaseContasDRE[#All],6,FALSE))</f>
        <v>Fora do DRE</v>
      </c>
      <c r="U5445" s="3" t="str">
        <f>IF(ISERROR(VLOOKUP(Base_Periodo1[[#This Row],[CONTA]],BaseContasDRE[#All],7,FALSE)),"Fora do DRE",VLOOKUP(Base_Periodo1[[#This Row],[CONTA]],BaseContasDRE[#All],7,FALSE))</f>
        <v>Fora do DRE</v>
      </c>
      <c r="V5445" s="3" t="str">
        <f>IF(Base_Periodo1[[#This Row],[Tipo_Linha]]="Fora do DRE","Fora do DRE","( "&amp;Base_Periodo1[[#This Row],[Tipo_Linha]]&amp;" ) "&amp;Base_Periodo1[[#This Row],[Filtro]])</f>
        <v>Fora do DRE</v>
      </c>
      <c r="W5445" s="3" t="str">
        <f>LEFT(Base_Periodo1[[#This Row],[CLASS]],3)</f>
        <v>2.4</v>
      </c>
    </row>
    <row r="5446" spans="1:23" hidden="1">
      <c r="A5446" s="3" t="str">
        <f t="shared" ref="A5446:A5509" si="85">"Período 1"</f>
        <v>Período 1</v>
      </c>
      <c r="B5446">
        <v>30665</v>
      </c>
      <c r="C5446" t="s">
        <v>2300</v>
      </c>
      <c r="D5446" t="s">
        <v>3271</v>
      </c>
      <c r="E5446" s="3" t="str">
        <f>IF(LEN(Base_Periodo1[[#This Row],[CLASS]])&gt;=7,LEFT(Base_Periodo1[[#This Row],[CLASS]],7),"")</f>
        <v>2.4.1.1</v>
      </c>
      <c r="F5446" s="3" t="str">
        <f>VLOOKUP(Base_Periodo1[[#This Row],[Aux]],Base_Contas_Balanco[#All],2,FALSE)</f>
        <v>Capital Social Realizado</v>
      </c>
      <c r="G5446" s="1"/>
      <c r="H5446" s="281">
        <v>101.14</v>
      </c>
      <c r="I5446" s="281">
        <v>0</v>
      </c>
      <c r="J5446" s="281">
        <v>0</v>
      </c>
      <c r="K5446" s="281">
        <v>101.14</v>
      </c>
      <c r="L544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101.14</v>
      </c>
      <c r="M5446" s="281">
        <f>ROUND(IF(AND(Base_Periodo1[[#This Row],[Tipo_Linha]]="-",Base_Periodo1[[#This Row],[TIPOSALDO]]="D"),Base_Periodo1[[#This Row],[SALDO_ATUAL]]*-1,Base_Periodo1[[#This Row],[SALDO_ATUAL]]),4)</f>
        <v>101.14</v>
      </c>
      <c r="N5446" t="s">
        <v>116</v>
      </c>
      <c r="O5446" t="s">
        <v>459</v>
      </c>
      <c r="P5446" t="s">
        <v>459</v>
      </c>
      <c r="Q5446">
        <v>6</v>
      </c>
      <c r="R5446" s="281">
        <f>Base_Periodo1[[#This Row],[CREDITOS]]-Base_Periodo1[[#This Row],[DEBITOS]]</f>
        <v>0</v>
      </c>
      <c r="S5446" s="3" t="str">
        <f>IF(ISERROR(VLOOKUP(Base_Periodo1[[#This Row],[CONTA]],BaseContasDRE[#All],4,FALSE)),"Fora do DRE",VLOOKUP(Base_Periodo1[[#This Row],[CONTA]],BaseContasDRE[#All],4,FALSE))</f>
        <v>Fora do DRE</v>
      </c>
      <c r="T5446" s="3" t="str">
        <f>IF(ISERROR(VLOOKUP(Base_Periodo1[[#This Row],[CONTA]],BaseContasDRE[#All],5,FALSE)),"Fora do DRE",VLOOKUP(Base_Periodo1[[#This Row],[CONTA]],BaseContasDRE[#All],6,FALSE))</f>
        <v>Fora do DRE</v>
      </c>
      <c r="U5446" s="3" t="str">
        <f>IF(ISERROR(VLOOKUP(Base_Periodo1[[#This Row],[CONTA]],BaseContasDRE[#All],7,FALSE)),"Fora do DRE",VLOOKUP(Base_Periodo1[[#This Row],[CONTA]],BaseContasDRE[#All],7,FALSE))</f>
        <v>Fora do DRE</v>
      </c>
      <c r="V5446" s="3" t="str">
        <f>IF(Base_Periodo1[[#This Row],[Tipo_Linha]]="Fora do DRE","Fora do DRE","( "&amp;Base_Periodo1[[#This Row],[Tipo_Linha]]&amp;" ) "&amp;Base_Periodo1[[#This Row],[Filtro]])</f>
        <v>Fora do DRE</v>
      </c>
      <c r="W5446" s="3" t="str">
        <f>LEFT(Base_Periodo1[[#This Row],[CLASS]],3)</f>
        <v>2.4</v>
      </c>
    </row>
    <row r="5447" spans="1:23" hidden="1">
      <c r="A5447" s="3" t="str">
        <f t="shared" si="85"/>
        <v>Período 1</v>
      </c>
      <c r="B5447">
        <v>37122</v>
      </c>
      <c r="C5447" t="s">
        <v>2300</v>
      </c>
      <c r="D5447" t="s">
        <v>3272</v>
      </c>
      <c r="E5447" s="3" t="str">
        <f>IF(LEN(Base_Periodo1[[#This Row],[CLASS]])&gt;=7,LEFT(Base_Periodo1[[#This Row],[CLASS]],7),"")</f>
        <v>2.4.1.1</v>
      </c>
      <c r="F5447" s="3" t="str">
        <f>VLOOKUP(Base_Periodo1[[#This Row],[Aux]],Base_Contas_Balanco[#All],2,FALSE)</f>
        <v>Capital Social Realizado</v>
      </c>
      <c r="G5447" s="1"/>
      <c r="H5447" s="281">
        <v>1198.5999999999999</v>
      </c>
      <c r="I5447" s="281">
        <v>0</v>
      </c>
      <c r="J5447" s="281">
        <v>0</v>
      </c>
      <c r="K5447" s="281">
        <v>1198.5999999999999</v>
      </c>
      <c r="L544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1198.5999999999999</v>
      </c>
      <c r="M5447" s="281">
        <f>ROUND(IF(AND(Base_Periodo1[[#This Row],[Tipo_Linha]]="-",Base_Periodo1[[#This Row],[TIPOSALDO]]="D"),Base_Periodo1[[#This Row],[SALDO_ATUAL]]*-1,Base_Periodo1[[#This Row],[SALDO_ATUAL]]),4)</f>
        <v>1198.5999999999999</v>
      </c>
      <c r="N5447" t="s">
        <v>116</v>
      </c>
      <c r="O5447" t="s">
        <v>459</v>
      </c>
      <c r="P5447" t="s">
        <v>459</v>
      </c>
      <c r="Q5447">
        <v>6</v>
      </c>
      <c r="R5447" s="281">
        <f>Base_Periodo1[[#This Row],[CREDITOS]]-Base_Periodo1[[#This Row],[DEBITOS]]</f>
        <v>0</v>
      </c>
      <c r="S5447" s="3" t="str">
        <f>IF(ISERROR(VLOOKUP(Base_Periodo1[[#This Row],[CONTA]],BaseContasDRE[#All],4,FALSE)),"Fora do DRE",VLOOKUP(Base_Periodo1[[#This Row],[CONTA]],BaseContasDRE[#All],4,FALSE))</f>
        <v>Fora do DRE</v>
      </c>
      <c r="T5447" s="3" t="str">
        <f>IF(ISERROR(VLOOKUP(Base_Periodo1[[#This Row],[CONTA]],BaseContasDRE[#All],5,FALSE)),"Fora do DRE",VLOOKUP(Base_Periodo1[[#This Row],[CONTA]],BaseContasDRE[#All],6,FALSE))</f>
        <v>Fora do DRE</v>
      </c>
      <c r="U5447" s="3" t="str">
        <f>IF(ISERROR(VLOOKUP(Base_Periodo1[[#This Row],[CONTA]],BaseContasDRE[#All],7,FALSE)),"Fora do DRE",VLOOKUP(Base_Periodo1[[#This Row],[CONTA]],BaseContasDRE[#All],7,FALSE))</f>
        <v>Fora do DRE</v>
      </c>
      <c r="V5447" s="3" t="str">
        <f>IF(Base_Periodo1[[#This Row],[Tipo_Linha]]="Fora do DRE","Fora do DRE","( "&amp;Base_Periodo1[[#This Row],[Tipo_Linha]]&amp;" ) "&amp;Base_Periodo1[[#This Row],[Filtro]])</f>
        <v>Fora do DRE</v>
      </c>
      <c r="W5447" s="3" t="str">
        <f>LEFT(Base_Periodo1[[#This Row],[CLASS]],3)</f>
        <v>2.4</v>
      </c>
    </row>
    <row r="5448" spans="1:23" hidden="1">
      <c r="A5448" s="3" t="str">
        <f t="shared" si="85"/>
        <v>Período 1</v>
      </c>
      <c r="B5448">
        <v>17890</v>
      </c>
      <c r="C5448" t="s">
        <v>2300</v>
      </c>
      <c r="D5448" t="s">
        <v>3273</v>
      </c>
      <c r="E5448" s="3" t="str">
        <f>IF(LEN(Base_Periodo1[[#This Row],[CLASS]])&gt;=7,LEFT(Base_Periodo1[[#This Row],[CLASS]],7),"")</f>
        <v>2.4.1.1</v>
      </c>
      <c r="F5448" s="3" t="str">
        <f>VLOOKUP(Base_Periodo1[[#This Row],[Aux]],Base_Contas_Balanco[#All],2,FALSE)</f>
        <v>Capital Social Realizado</v>
      </c>
      <c r="G5448" s="1"/>
      <c r="H5448" s="281">
        <v>7563.9000000000005</v>
      </c>
      <c r="I5448" s="281">
        <v>0</v>
      </c>
      <c r="J5448" s="281">
        <v>0</v>
      </c>
      <c r="K5448" s="281">
        <v>7563.9000000000005</v>
      </c>
      <c r="L544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7563.9</v>
      </c>
      <c r="M5448" s="281">
        <f>ROUND(IF(AND(Base_Periodo1[[#This Row],[Tipo_Linha]]="-",Base_Periodo1[[#This Row],[TIPOSALDO]]="D"),Base_Periodo1[[#This Row],[SALDO_ATUAL]]*-1,Base_Periodo1[[#This Row],[SALDO_ATUAL]]),4)</f>
        <v>7563.9</v>
      </c>
      <c r="N5448" t="s">
        <v>116</v>
      </c>
      <c r="O5448" t="s">
        <v>459</v>
      </c>
      <c r="P5448" t="s">
        <v>459</v>
      </c>
      <c r="Q5448">
        <v>6</v>
      </c>
      <c r="R5448" s="281">
        <f>Base_Periodo1[[#This Row],[CREDITOS]]-Base_Periodo1[[#This Row],[DEBITOS]]</f>
        <v>0</v>
      </c>
      <c r="S5448" s="3" t="str">
        <f>IF(ISERROR(VLOOKUP(Base_Periodo1[[#This Row],[CONTA]],BaseContasDRE[#All],4,FALSE)),"Fora do DRE",VLOOKUP(Base_Periodo1[[#This Row],[CONTA]],BaseContasDRE[#All],4,FALSE))</f>
        <v>Fora do DRE</v>
      </c>
      <c r="T5448" s="3" t="str">
        <f>IF(ISERROR(VLOOKUP(Base_Periodo1[[#This Row],[CONTA]],BaseContasDRE[#All],5,FALSE)),"Fora do DRE",VLOOKUP(Base_Periodo1[[#This Row],[CONTA]],BaseContasDRE[#All],6,FALSE))</f>
        <v>Fora do DRE</v>
      </c>
      <c r="U5448" s="3" t="str">
        <f>IF(ISERROR(VLOOKUP(Base_Periodo1[[#This Row],[CONTA]],BaseContasDRE[#All],7,FALSE)),"Fora do DRE",VLOOKUP(Base_Periodo1[[#This Row],[CONTA]],BaseContasDRE[#All],7,FALSE))</f>
        <v>Fora do DRE</v>
      </c>
      <c r="V5448" s="3" t="str">
        <f>IF(Base_Periodo1[[#This Row],[Tipo_Linha]]="Fora do DRE","Fora do DRE","( "&amp;Base_Periodo1[[#This Row],[Tipo_Linha]]&amp;" ) "&amp;Base_Periodo1[[#This Row],[Filtro]])</f>
        <v>Fora do DRE</v>
      </c>
      <c r="W5448" s="3" t="str">
        <f>LEFT(Base_Periodo1[[#This Row],[CLASS]],3)</f>
        <v>2.4</v>
      </c>
    </row>
    <row r="5449" spans="1:23" hidden="1">
      <c r="A5449" s="3" t="str">
        <f t="shared" si="85"/>
        <v>Período 1</v>
      </c>
      <c r="B5449">
        <v>19776</v>
      </c>
      <c r="C5449" t="s">
        <v>2300</v>
      </c>
      <c r="D5449" t="s">
        <v>3274</v>
      </c>
      <c r="E5449" s="3" t="str">
        <f>IF(LEN(Base_Periodo1[[#This Row],[CLASS]])&gt;=7,LEFT(Base_Periodo1[[#This Row],[CLASS]],7),"")</f>
        <v>2.4.1.1</v>
      </c>
      <c r="F5449" s="3" t="str">
        <f>VLOOKUP(Base_Periodo1[[#This Row],[Aux]],Base_Contas_Balanco[#All],2,FALSE)</f>
        <v>Capital Social Realizado</v>
      </c>
      <c r="G5449" s="1"/>
      <c r="H5449" s="281">
        <v>50</v>
      </c>
      <c r="I5449" s="281">
        <v>0</v>
      </c>
      <c r="J5449" s="281">
        <v>0</v>
      </c>
      <c r="K5449" s="281">
        <v>50</v>
      </c>
      <c r="L544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449" s="281">
        <f>ROUND(IF(AND(Base_Periodo1[[#This Row],[Tipo_Linha]]="-",Base_Periodo1[[#This Row],[TIPOSALDO]]="D"),Base_Periodo1[[#This Row],[SALDO_ATUAL]]*-1,Base_Periodo1[[#This Row],[SALDO_ATUAL]]),4)</f>
        <v>50</v>
      </c>
      <c r="N5449" t="s">
        <v>116</v>
      </c>
      <c r="O5449" t="s">
        <v>459</v>
      </c>
      <c r="P5449" t="s">
        <v>459</v>
      </c>
      <c r="Q5449">
        <v>6</v>
      </c>
      <c r="R5449" s="281">
        <f>Base_Periodo1[[#This Row],[CREDITOS]]-Base_Periodo1[[#This Row],[DEBITOS]]</f>
        <v>0</v>
      </c>
      <c r="S5449" s="3" t="str">
        <f>IF(ISERROR(VLOOKUP(Base_Periodo1[[#This Row],[CONTA]],BaseContasDRE[#All],4,FALSE)),"Fora do DRE",VLOOKUP(Base_Periodo1[[#This Row],[CONTA]],BaseContasDRE[#All],4,FALSE))</f>
        <v>Fora do DRE</v>
      </c>
      <c r="T5449" s="3" t="str">
        <f>IF(ISERROR(VLOOKUP(Base_Periodo1[[#This Row],[CONTA]],BaseContasDRE[#All],5,FALSE)),"Fora do DRE",VLOOKUP(Base_Periodo1[[#This Row],[CONTA]],BaseContasDRE[#All],6,FALSE))</f>
        <v>Fora do DRE</v>
      </c>
      <c r="U5449" s="3" t="str">
        <f>IF(ISERROR(VLOOKUP(Base_Periodo1[[#This Row],[CONTA]],BaseContasDRE[#All],7,FALSE)),"Fora do DRE",VLOOKUP(Base_Periodo1[[#This Row],[CONTA]],BaseContasDRE[#All],7,FALSE))</f>
        <v>Fora do DRE</v>
      </c>
      <c r="V5449" s="3" t="str">
        <f>IF(Base_Periodo1[[#This Row],[Tipo_Linha]]="Fora do DRE","Fora do DRE","( "&amp;Base_Periodo1[[#This Row],[Tipo_Linha]]&amp;" ) "&amp;Base_Periodo1[[#This Row],[Filtro]])</f>
        <v>Fora do DRE</v>
      </c>
      <c r="W5449" s="3" t="str">
        <f>LEFT(Base_Periodo1[[#This Row],[CLASS]],3)</f>
        <v>2.4</v>
      </c>
    </row>
    <row r="5450" spans="1:23" hidden="1">
      <c r="A5450" s="3" t="str">
        <f t="shared" si="85"/>
        <v>Período 1</v>
      </c>
      <c r="B5450">
        <v>15970</v>
      </c>
      <c r="C5450" t="s">
        <v>2300</v>
      </c>
      <c r="D5450" t="s">
        <v>3275</v>
      </c>
      <c r="E5450" s="3" t="str">
        <f>IF(LEN(Base_Periodo1[[#This Row],[CLASS]])&gt;=7,LEFT(Base_Periodo1[[#This Row],[CLASS]],7),"")</f>
        <v>2.4.1.1</v>
      </c>
      <c r="F5450" s="3" t="str">
        <f>VLOOKUP(Base_Periodo1[[#This Row],[Aux]],Base_Contas_Balanco[#All],2,FALSE)</f>
        <v>Capital Social Realizado</v>
      </c>
      <c r="G5450" s="1"/>
      <c r="H5450" s="281">
        <v>3797.84</v>
      </c>
      <c r="I5450" s="281">
        <v>0</v>
      </c>
      <c r="J5450" s="281">
        <v>0</v>
      </c>
      <c r="K5450" s="281">
        <v>3797.84</v>
      </c>
      <c r="L545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3797.84</v>
      </c>
      <c r="M5450" s="281">
        <f>ROUND(IF(AND(Base_Periodo1[[#This Row],[Tipo_Linha]]="-",Base_Periodo1[[#This Row],[TIPOSALDO]]="D"),Base_Periodo1[[#This Row],[SALDO_ATUAL]]*-1,Base_Periodo1[[#This Row],[SALDO_ATUAL]]),4)</f>
        <v>3797.84</v>
      </c>
      <c r="N5450" t="s">
        <v>116</v>
      </c>
      <c r="O5450" t="s">
        <v>459</v>
      </c>
      <c r="P5450" t="s">
        <v>459</v>
      </c>
      <c r="Q5450">
        <v>6</v>
      </c>
      <c r="R5450" s="281">
        <f>Base_Periodo1[[#This Row],[CREDITOS]]-Base_Periodo1[[#This Row],[DEBITOS]]</f>
        <v>0</v>
      </c>
      <c r="S5450" s="3" t="str">
        <f>IF(ISERROR(VLOOKUP(Base_Periodo1[[#This Row],[CONTA]],BaseContasDRE[#All],4,FALSE)),"Fora do DRE",VLOOKUP(Base_Periodo1[[#This Row],[CONTA]],BaseContasDRE[#All],4,FALSE))</f>
        <v>Fora do DRE</v>
      </c>
      <c r="T5450" s="3" t="str">
        <f>IF(ISERROR(VLOOKUP(Base_Periodo1[[#This Row],[CONTA]],BaseContasDRE[#All],5,FALSE)),"Fora do DRE",VLOOKUP(Base_Periodo1[[#This Row],[CONTA]],BaseContasDRE[#All],6,FALSE))</f>
        <v>Fora do DRE</v>
      </c>
      <c r="U5450" s="3" t="str">
        <f>IF(ISERROR(VLOOKUP(Base_Periodo1[[#This Row],[CONTA]],BaseContasDRE[#All],7,FALSE)),"Fora do DRE",VLOOKUP(Base_Periodo1[[#This Row],[CONTA]],BaseContasDRE[#All],7,FALSE))</f>
        <v>Fora do DRE</v>
      </c>
      <c r="V5450" s="3" t="str">
        <f>IF(Base_Periodo1[[#This Row],[Tipo_Linha]]="Fora do DRE","Fora do DRE","( "&amp;Base_Periodo1[[#This Row],[Tipo_Linha]]&amp;" ) "&amp;Base_Periodo1[[#This Row],[Filtro]])</f>
        <v>Fora do DRE</v>
      </c>
      <c r="W5450" s="3" t="str">
        <f>LEFT(Base_Periodo1[[#This Row],[CLASS]],3)</f>
        <v>2.4</v>
      </c>
    </row>
    <row r="5451" spans="1:23" hidden="1">
      <c r="A5451" s="3" t="str">
        <f t="shared" si="85"/>
        <v>Período 1</v>
      </c>
      <c r="B5451">
        <v>19381</v>
      </c>
      <c r="C5451" t="s">
        <v>2300</v>
      </c>
      <c r="D5451" t="s">
        <v>3276</v>
      </c>
      <c r="E5451" s="3" t="str">
        <f>IF(LEN(Base_Periodo1[[#This Row],[CLASS]])&gt;=7,LEFT(Base_Periodo1[[#This Row],[CLASS]],7),"")</f>
        <v>2.4.1.1</v>
      </c>
      <c r="F5451" s="3" t="str">
        <f>VLOOKUP(Base_Periodo1[[#This Row],[Aux]],Base_Contas_Balanco[#All],2,FALSE)</f>
        <v>Capital Social Realizado</v>
      </c>
      <c r="G5451" s="1"/>
      <c r="H5451" s="281">
        <v>366.33</v>
      </c>
      <c r="I5451" s="281">
        <v>0</v>
      </c>
      <c r="J5451" s="281">
        <v>0</v>
      </c>
      <c r="K5451" s="281">
        <v>366.33</v>
      </c>
      <c r="L545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366.33</v>
      </c>
      <c r="M5451" s="281">
        <f>ROUND(IF(AND(Base_Periodo1[[#This Row],[Tipo_Linha]]="-",Base_Periodo1[[#This Row],[TIPOSALDO]]="D"),Base_Periodo1[[#This Row],[SALDO_ATUAL]]*-1,Base_Periodo1[[#This Row],[SALDO_ATUAL]]),4)</f>
        <v>366.33</v>
      </c>
      <c r="N5451" t="s">
        <v>116</v>
      </c>
      <c r="O5451" t="s">
        <v>459</v>
      </c>
      <c r="P5451" t="s">
        <v>459</v>
      </c>
      <c r="Q5451">
        <v>6</v>
      </c>
      <c r="R5451" s="281">
        <f>Base_Periodo1[[#This Row],[CREDITOS]]-Base_Periodo1[[#This Row],[DEBITOS]]</f>
        <v>0</v>
      </c>
      <c r="S5451" s="3" t="str">
        <f>IF(ISERROR(VLOOKUP(Base_Periodo1[[#This Row],[CONTA]],BaseContasDRE[#All],4,FALSE)),"Fora do DRE",VLOOKUP(Base_Periodo1[[#This Row],[CONTA]],BaseContasDRE[#All],4,FALSE))</f>
        <v>Fora do DRE</v>
      </c>
      <c r="T5451" s="3" t="str">
        <f>IF(ISERROR(VLOOKUP(Base_Periodo1[[#This Row],[CONTA]],BaseContasDRE[#All],5,FALSE)),"Fora do DRE",VLOOKUP(Base_Periodo1[[#This Row],[CONTA]],BaseContasDRE[#All],6,FALSE))</f>
        <v>Fora do DRE</v>
      </c>
      <c r="U5451" s="3" t="str">
        <f>IF(ISERROR(VLOOKUP(Base_Periodo1[[#This Row],[CONTA]],BaseContasDRE[#All],7,FALSE)),"Fora do DRE",VLOOKUP(Base_Periodo1[[#This Row],[CONTA]],BaseContasDRE[#All],7,FALSE))</f>
        <v>Fora do DRE</v>
      </c>
      <c r="V5451" s="3" t="str">
        <f>IF(Base_Periodo1[[#This Row],[Tipo_Linha]]="Fora do DRE","Fora do DRE","( "&amp;Base_Periodo1[[#This Row],[Tipo_Linha]]&amp;" ) "&amp;Base_Periodo1[[#This Row],[Filtro]])</f>
        <v>Fora do DRE</v>
      </c>
      <c r="W5451" s="3" t="str">
        <f>LEFT(Base_Periodo1[[#This Row],[CLASS]],3)</f>
        <v>2.4</v>
      </c>
    </row>
    <row r="5452" spans="1:23" hidden="1">
      <c r="A5452" s="3" t="str">
        <f t="shared" si="85"/>
        <v>Período 1</v>
      </c>
      <c r="B5452">
        <v>25223</v>
      </c>
      <c r="C5452" t="s">
        <v>2300</v>
      </c>
      <c r="D5452" t="s">
        <v>3277</v>
      </c>
      <c r="E5452" s="3" t="str">
        <f>IF(LEN(Base_Periodo1[[#This Row],[CLASS]])&gt;=7,LEFT(Base_Periodo1[[#This Row],[CLASS]],7),"")</f>
        <v>2.4.1.1</v>
      </c>
      <c r="F5452" s="3" t="str">
        <f>VLOOKUP(Base_Periodo1[[#This Row],[Aux]],Base_Contas_Balanco[#All],2,FALSE)</f>
        <v>Capital Social Realizado</v>
      </c>
      <c r="G5452" s="1"/>
      <c r="H5452" s="281">
        <v>310.64999999999998</v>
      </c>
      <c r="I5452" s="281">
        <v>0</v>
      </c>
      <c r="J5452" s="281">
        <v>0</v>
      </c>
      <c r="K5452" s="281">
        <v>310.64999999999998</v>
      </c>
      <c r="L545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310.64999999999998</v>
      </c>
      <c r="M5452" s="281">
        <f>ROUND(IF(AND(Base_Periodo1[[#This Row],[Tipo_Linha]]="-",Base_Periodo1[[#This Row],[TIPOSALDO]]="D"),Base_Periodo1[[#This Row],[SALDO_ATUAL]]*-1,Base_Periodo1[[#This Row],[SALDO_ATUAL]]),4)</f>
        <v>310.64999999999998</v>
      </c>
      <c r="N5452" t="s">
        <v>116</v>
      </c>
      <c r="O5452" t="s">
        <v>459</v>
      </c>
      <c r="P5452" t="s">
        <v>459</v>
      </c>
      <c r="Q5452">
        <v>6</v>
      </c>
      <c r="R5452" s="281">
        <f>Base_Periodo1[[#This Row],[CREDITOS]]-Base_Periodo1[[#This Row],[DEBITOS]]</f>
        <v>0</v>
      </c>
      <c r="S5452" s="3" t="str">
        <f>IF(ISERROR(VLOOKUP(Base_Periodo1[[#This Row],[CONTA]],BaseContasDRE[#All],4,FALSE)),"Fora do DRE",VLOOKUP(Base_Periodo1[[#This Row],[CONTA]],BaseContasDRE[#All],4,FALSE))</f>
        <v>Fora do DRE</v>
      </c>
      <c r="T5452" s="3" t="str">
        <f>IF(ISERROR(VLOOKUP(Base_Periodo1[[#This Row],[CONTA]],BaseContasDRE[#All],5,FALSE)),"Fora do DRE",VLOOKUP(Base_Periodo1[[#This Row],[CONTA]],BaseContasDRE[#All],6,FALSE))</f>
        <v>Fora do DRE</v>
      </c>
      <c r="U5452" s="3" t="str">
        <f>IF(ISERROR(VLOOKUP(Base_Periodo1[[#This Row],[CONTA]],BaseContasDRE[#All],7,FALSE)),"Fora do DRE",VLOOKUP(Base_Periodo1[[#This Row],[CONTA]],BaseContasDRE[#All],7,FALSE))</f>
        <v>Fora do DRE</v>
      </c>
      <c r="V5452" s="3" t="str">
        <f>IF(Base_Periodo1[[#This Row],[Tipo_Linha]]="Fora do DRE","Fora do DRE","( "&amp;Base_Periodo1[[#This Row],[Tipo_Linha]]&amp;" ) "&amp;Base_Periodo1[[#This Row],[Filtro]])</f>
        <v>Fora do DRE</v>
      </c>
      <c r="W5452" s="3" t="str">
        <f>LEFT(Base_Periodo1[[#This Row],[CLASS]],3)</f>
        <v>2.4</v>
      </c>
    </row>
    <row r="5453" spans="1:23" hidden="1">
      <c r="A5453" s="3" t="str">
        <f t="shared" si="85"/>
        <v>Período 1</v>
      </c>
      <c r="B5453">
        <v>16057</v>
      </c>
      <c r="C5453" t="s">
        <v>2300</v>
      </c>
      <c r="D5453" t="s">
        <v>3278</v>
      </c>
      <c r="E5453" s="3" t="str">
        <f>IF(LEN(Base_Periodo1[[#This Row],[CLASS]])&gt;=7,LEFT(Base_Periodo1[[#This Row],[CLASS]],7),"")</f>
        <v>2.4.1.1</v>
      </c>
      <c r="F5453" s="3" t="str">
        <f>VLOOKUP(Base_Periodo1[[#This Row],[Aux]],Base_Contas_Balanco[#All],2,FALSE)</f>
        <v>Capital Social Realizado</v>
      </c>
      <c r="G5453" s="1"/>
      <c r="H5453" s="281">
        <v>7182.24</v>
      </c>
      <c r="I5453" s="281">
        <v>0</v>
      </c>
      <c r="J5453" s="281">
        <v>0</v>
      </c>
      <c r="K5453" s="281">
        <v>7182.24</v>
      </c>
      <c r="L545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7182.24</v>
      </c>
      <c r="M5453" s="281">
        <f>ROUND(IF(AND(Base_Periodo1[[#This Row],[Tipo_Linha]]="-",Base_Periodo1[[#This Row],[TIPOSALDO]]="D"),Base_Periodo1[[#This Row],[SALDO_ATUAL]]*-1,Base_Periodo1[[#This Row],[SALDO_ATUAL]]),4)</f>
        <v>7182.24</v>
      </c>
      <c r="N5453" t="s">
        <v>116</v>
      </c>
      <c r="O5453" t="s">
        <v>459</v>
      </c>
      <c r="P5453" t="s">
        <v>459</v>
      </c>
      <c r="Q5453">
        <v>6</v>
      </c>
      <c r="R5453" s="281">
        <f>Base_Periodo1[[#This Row],[CREDITOS]]-Base_Periodo1[[#This Row],[DEBITOS]]</f>
        <v>0</v>
      </c>
      <c r="S5453" s="3" t="str">
        <f>IF(ISERROR(VLOOKUP(Base_Periodo1[[#This Row],[CONTA]],BaseContasDRE[#All],4,FALSE)),"Fora do DRE",VLOOKUP(Base_Periodo1[[#This Row],[CONTA]],BaseContasDRE[#All],4,FALSE))</f>
        <v>Fora do DRE</v>
      </c>
      <c r="T5453" s="3" t="str">
        <f>IF(ISERROR(VLOOKUP(Base_Periodo1[[#This Row],[CONTA]],BaseContasDRE[#All],5,FALSE)),"Fora do DRE",VLOOKUP(Base_Periodo1[[#This Row],[CONTA]],BaseContasDRE[#All],6,FALSE))</f>
        <v>Fora do DRE</v>
      </c>
      <c r="U5453" s="3" t="str">
        <f>IF(ISERROR(VLOOKUP(Base_Periodo1[[#This Row],[CONTA]],BaseContasDRE[#All],7,FALSE)),"Fora do DRE",VLOOKUP(Base_Periodo1[[#This Row],[CONTA]],BaseContasDRE[#All],7,FALSE))</f>
        <v>Fora do DRE</v>
      </c>
      <c r="V5453" s="3" t="str">
        <f>IF(Base_Periodo1[[#This Row],[Tipo_Linha]]="Fora do DRE","Fora do DRE","( "&amp;Base_Periodo1[[#This Row],[Tipo_Linha]]&amp;" ) "&amp;Base_Periodo1[[#This Row],[Filtro]])</f>
        <v>Fora do DRE</v>
      </c>
      <c r="W5453" s="3" t="str">
        <f>LEFT(Base_Periodo1[[#This Row],[CLASS]],3)</f>
        <v>2.4</v>
      </c>
    </row>
    <row r="5454" spans="1:23" hidden="1">
      <c r="A5454" s="3" t="str">
        <f t="shared" si="85"/>
        <v>Período 1</v>
      </c>
      <c r="B5454">
        <v>19295</v>
      </c>
      <c r="C5454" t="s">
        <v>2300</v>
      </c>
      <c r="D5454" t="s">
        <v>3279</v>
      </c>
      <c r="E5454" s="3" t="str">
        <f>IF(LEN(Base_Periodo1[[#This Row],[CLASS]])&gt;=7,LEFT(Base_Periodo1[[#This Row],[CLASS]],7),"")</f>
        <v>2.4.1.1</v>
      </c>
      <c r="F5454" s="3" t="str">
        <f>VLOOKUP(Base_Periodo1[[#This Row],[Aux]],Base_Contas_Balanco[#All],2,FALSE)</f>
        <v>Capital Social Realizado</v>
      </c>
      <c r="G5454" s="1"/>
      <c r="H5454" s="281">
        <v>1138.56</v>
      </c>
      <c r="I5454" s="281">
        <v>0</v>
      </c>
      <c r="J5454" s="281">
        <v>0</v>
      </c>
      <c r="K5454" s="281">
        <v>1138.56</v>
      </c>
      <c r="L545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1138.56</v>
      </c>
      <c r="M5454" s="281">
        <f>ROUND(IF(AND(Base_Periodo1[[#This Row],[Tipo_Linha]]="-",Base_Periodo1[[#This Row],[TIPOSALDO]]="D"),Base_Periodo1[[#This Row],[SALDO_ATUAL]]*-1,Base_Periodo1[[#This Row],[SALDO_ATUAL]]),4)</f>
        <v>1138.56</v>
      </c>
      <c r="N5454" t="s">
        <v>116</v>
      </c>
      <c r="O5454" t="s">
        <v>459</v>
      </c>
      <c r="P5454" t="s">
        <v>459</v>
      </c>
      <c r="Q5454">
        <v>6</v>
      </c>
      <c r="R5454" s="281">
        <f>Base_Periodo1[[#This Row],[CREDITOS]]-Base_Periodo1[[#This Row],[DEBITOS]]</f>
        <v>0</v>
      </c>
      <c r="S5454" s="3" t="str">
        <f>IF(ISERROR(VLOOKUP(Base_Periodo1[[#This Row],[CONTA]],BaseContasDRE[#All],4,FALSE)),"Fora do DRE",VLOOKUP(Base_Periodo1[[#This Row],[CONTA]],BaseContasDRE[#All],4,FALSE))</f>
        <v>Fora do DRE</v>
      </c>
      <c r="T5454" s="3" t="str">
        <f>IF(ISERROR(VLOOKUP(Base_Periodo1[[#This Row],[CONTA]],BaseContasDRE[#All],5,FALSE)),"Fora do DRE",VLOOKUP(Base_Periodo1[[#This Row],[CONTA]],BaseContasDRE[#All],6,FALSE))</f>
        <v>Fora do DRE</v>
      </c>
      <c r="U5454" s="3" t="str">
        <f>IF(ISERROR(VLOOKUP(Base_Periodo1[[#This Row],[CONTA]],BaseContasDRE[#All],7,FALSE)),"Fora do DRE",VLOOKUP(Base_Periodo1[[#This Row],[CONTA]],BaseContasDRE[#All],7,FALSE))</f>
        <v>Fora do DRE</v>
      </c>
      <c r="V5454" s="3" t="str">
        <f>IF(Base_Periodo1[[#This Row],[Tipo_Linha]]="Fora do DRE","Fora do DRE","( "&amp;Base_Periodo1[[#This Row],[Tipo_Linha]]&amp;" ) "&amp;Base_Periodo1[[#This Row],[Filtro]])</f>
        <v>Fora do DRE</v>
      </c>
      <c r="W5454" s="3" t="str">
        <f>LEFT(Base_Periodo1[[#This Row],[CLASS]],3)</f>
        <v>2.4</v>
      </c>
    </row>
    <row r="5455" spans="1:23" hidden="1">
      <c r="A5455" s="3" t="str">
        <f t="shared" si="85"/>
        <v>Período 1</v>
      </c>
      <c r="B5455">
        <v>35322</v>
      </c>
      <c r="C5455" t="s">
        <v>2300</v>
      </c>
      <c r="D5455" t="s">
        <v>3280</v>
      </c>
      <c r="E5455" s="3" t="str">
        <f>IF(LEN(Base_Periodo1[[#This Row],[CLASS]])&gt;=7,LEFT(Base_Periodo1[[#This Row],[CLASS]],7),"")</f>
        <v>2.4.1.1</v>
      </c>
      <c r="F5455" s="3" t="str">
        <f>VLOOKUP(Base_Periodo1[[#This Row],[Aux]],Base_Contas_Balanco[#All],2,FALSE)</f>
        <v>Capital Social Realizado</v>
      </c>
      <c r="G5455" s="1"/>
      <c r="H5455" s="281">
        <v>532.98</v>
      </c>
      <c r="I5455" s="281">
        <v>0</v>
      </c>
      <c r="J5455" s="281">
        <v>0</v>
      </c>
      <c r="K5455" s="281">
        <v>532.98</v>
      </c>
      <c r="L545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532.98</v>
      </c>
      <c r="M5455" s="281">
        <f>ROUND(IF(AND(Base_Periodo1[[#This Row],[Tipo_Linha]]="-",Base_Periodo1[[#This Row],[TIPOSALDO]]="D"),Base_Periodo1[[#This Row],[SALDO_ATUAL]]*-1,Base_Periodo1[[#This Row],[SALDO_ATUAL]]),4)</f>
        <v>532.98</v>
      </c>
      <c r="N5455" t="s">
        <v>116</v>
      </c>
      <c r="O5455" t="s">
        <v>459</v>
      </c>
      <c r="P5455" t="s">
        <v>459</v>
      </c>
      <c r="Q5455">
        <v>6</v>
      </c>
      <c r="R5455" s="281">
        <f>Base_Periodo1[[#This Row],[CREDITOS]]-Base_Periodo1[[#This Row],[DEBITOS]]</f>
        <v>0</v>
      </c>
      <c r="S5455" s="3" t="str">
        <f>IF(ISERROR(VLOOKUP(Base_Periodo1[[#This Row],[CONTA]],BaseContasDRE[#All],4,FALSE)),"Fora do DRE",VLOOKUP(Base_Periodo1[[#This Row],[CONTA]],BaseContasDRE[#All],4,FALSE))</f>
        <v>Fora do DRE</v>
      </c>
      <c r="T5455" s="3" t="str">
        <f>IF(ISERROR(VLOOKUP(Base_Periodo1[[#This Row],[CONTA]],BaseContasDRE[#All],5,FALSE)),"Fora do DRE",VLOOKUP(Base_Periodo1[[#This Row],[CONTA]],BaseContasDRE[#All],6,FALSE))</f>
        <v>Fora do DRE</v>
      </c>
      <c r="U5455" s="3" t="str">
        <f>IF(ISERROR(VLOOKUP(Base_Periodo1[[#This Row],[CONTA]],BaseContasDRE[#All],7,FALSE)),"Fora do DRE",VLOOKUP(Base_Periodo1[[#This Row],[CONTA]],BaseContasDRE[#All],7,FALSE))</f>
        <v>Fora do DRE</v>
      </c>
      <c r="V5455" s="3" t="str">
        <f>IF(Base_Periodo1[[#This Row],[Tipo_Linha]]="Fora do DRE","Fora do DRE","( "&amp;Base_Periodo1[[#This Row],[Tipo_Linha]]&amp;" ) "&amp;Base_Periodo1[[#This Row],[Filtro]])</f>
        <v>Fora do DRE</v>
      </c>
      <c r="W5455" s="3" t="str">
        <f>LEFT(Base_Periodo1[[#This Row],[CLASS]],3)</f>
        <v>2.4</v>
      </c>
    </row>
    <row r="5456" spans="1:23" hidden="1">
      <c r="A5456" s="3" t="str">
        <f t="shared" si="85"/>
        <v>Período 1</v>
      </c>
      <c r="B5456">
        <v>55538</v>
      </c>
      <c r="C5456" t="s">
        <v>2300</v>
      </c>
      <c r="D5456" t="s">
        <v>5457</v>
      </c>
      <c r="E5456" s="3" t="str">
        <f>IF(LEN(Base_Periodo1[[#This Row],[CLASS]])&gt;=7,LEFT(Base_Periodo1[[#This Row],[CLASS]],7),"")</f>
        <v>2.4.1.1</v>
      </c>
      <c r="F5456" s="3" t="str">
        <f>VLOOKUP(Base_Periodo1[[#This Row],[Aux]],Base_Contas_Balanco[#All],2,FALSE)</f>
        <v>Capital Social Realizado</v>
      </c>
      <c r="G5456" s="1"/>
      <c r="H5456" s="281">
        <v>50</v>
      </c>
      <c r="I5456" s="281">
        <v>0</v>
      </c>
      <c r="J5456" s="281">
        <v>0</v>
      </c>
      <c r="K5456" s="281">
        <v>50</v>
      </c>
      <c r="L545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456" s="281">
        <f>ROUND(IF(AND(Base_Periodo1[[#This Row],[Tipo_Linha]]="-",Base_Periodo1[[#This Row],[TIPOSALDO]]="D"),Base_Periodo1[[#This Row],[SALDO_ATUAL]]*-1,Base_Periodo1[[#This Row],[SALDO_ATUAL]]),4)</f>
        <v>50</v>
      </c>
      <c r="N5456" t="s">
        <v>116</v>
      </c>
      <c r="O5456" t="s">
        <v>459</v>
      </c>
      <c r="P5456" t="s">
        <v>459</v>
      </c>
      <c r="Q5456">
        <v>6</v>
      </c>
      <c r="R5456" s="281">
        <f>Base_Periodo1[[#This Row],[CREDITOS]]-Base_Periodo1[[#This Row],[DEBITOS]]</f>
        <v>0</v>
      </c>
      <c r="S5456" s="3" t="str">
        <f>IF(ISERROR(VLOOKUP(Base_Periodo1[[#This Row],[CONTA]],BaseContasDRE[#All],4,FALSE)),"Fora do DRE",VLOOKUP(Base_Periodo1[[#This Row],[CONTA]],BaseContasDRE[#All],4,FALSE))</f>
        <v>Fora do DRE</v>
      </c>
      <c r="T5456" s="3" t="str">
        <f>IF(ISERROR(VLOOKUP(Base_Periodo1[[#This Row],[CONTA]],BaseContasDRE[#All],5,FALSE)),"Fora do DRE",VLOOKUP(Base_Periodo1[[#This Row],[CONTA]],BaseContasDRE[#All],6,FALSE))</f>
        <v>Fora do DRE</v>
      </c>
      <c r="U5456" s="3" t="str">
        <f>IF(ISERROR(VLOOKUP(Base_Periodo1[[#This Row],[CONTA]],BaseContasDRE[#All],7,FALSE)),"Fora do DRE",VLOOKUP(Base_Periodo1[[#This Row],[CONTA]],BaseContasDRE[#All],7,FALSE))</f>
        <v>Fora do DRE</v>
      </c>
      <c r="V5456" s="3" t="str">
        <f>IF(Base_Periodo1[[#This Row],[Tipo_Linha]]="Fora do DRE","Fora do DRE","( "&amp;Base_Periodo1[[#This Row],[Tipo_Linha]]&amp;" ) "&amp;Base_Periodo1[[#This Row],[Filtro]])</f>
        <v>Fora do DRE</v>
      </c>
      <c r="W5456" s="3" t="str">
        <f>LEFT(Base_Periodo1[[#This Row],[CLASS]],3)</f>
        <v>2.4</v>
      </c>
    </row>
    <row r="5457" spans="1:23" hidden="1">
      <c r="A5457" s="3" t="str">
        <f t="shared" si="85"/>
        <v>Período 1</v>
      </c>
      <c r="B5457">
        <v>59334</v>
      </c>
      <c r="C5457" t="s">
        <v>2300</v>
      </c>
      <c r="D5457" t="s">
        <v>7187</v>
      </c>
      <c r="E5457" s="3" t="str">
        <f>IF(LEN(Base_Periodo1[[#This Row],[CLASS]])&gt;=7,LEFT(Base_Periodo1[[#This Row],[CLASS]],7),"")</f>
        <v>2.4.1.1</v>
      </c>
      <c r="F5457" s="3" t="str">
        <f>VLOOKUP(Base_Periodo1[[#This Row],[Aux]],Base_Contas_Balanco[#All],2,FALSE)</f>
        <v>Capital Social Realizado</v>
      </c>
      <c r="G5457" s="1"/>
      <c r="H5457" s="281"/>
      <c r="I5457" s="281">
        <v>0</v>
      </c>
      <c r="J5457" s="281">
        <v>240</v>
      </c>
      <c r="K5457" s="281">
        <v>240</v>
      </c>
      <c r="L545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457" s="281">
        <f>ROUND(IF(AND(Base_Periodo1[[#This Row],[Tipo_Linha]]="-",Base_Periodo1[[#This Row],[TIPOSALDO]]="D"),Base_Periodo1[[#This Row],[SALDO_ATUAL]]*-1,Base_Periodo1[[#This Row],[SALDO_ATUAL]]),4)</f>
        <v>240</v>
      </c>
      <c r="N5457" t="s">
        <v>116</v>
      </c>
      <c r="O5457" t="s">
        <v>436</v>
      </c>
      <c r="P5457" t="s">
        <v>459</v>
      </c>
      <c r="Q5457">
        <v>6</v>
      </c>
      <c r="R5457" s="281">
        <f>Base_Periodo1[[#This Row],[CREDITOS]]-Base_Periodo1[[#This Row],[DEBITOS]]</f>
        <v>240</v>
      </c>
      <c r="S5457" s="3" t="str">
        <f>IF(ISERROR(VLOOKUP(Base_Periodo1[[#This Row],[CONTA]],BaseContasDRE[#All],4,FALSE)),"Fora do DRE",VLOOKUP(Base_Periodo1[[#This Row],[CONTA]],BaseContasDRE[#All],4,FALSE))</f>
        <v>Fora do DRE</v>
      </c>
      <c r="T5457" s="3" t="str">
        <f>IF(ISERROR(VLOOKUP(Base_Periodo1[[#This Row],[CONTA]],BaseContasDRE[#All],5,FALSE)),"Fora do DRE",VLOOKUP(Base_Periodo1[[#This Row],[CONTA]],BaseContasDRE[#All],6,FALSE))</f>
        <v>Fora do DRE</v>
      </c>
      <c r="U5457" s="3" t="str">
        <f>IF(ISERROR(VLOOKUP(Base_Periodo1[[#This Row],[CONTA]],BaseContasDRE[#All],7,FALSE)),"Fora do DRE",VLOOKUP(Base_Periodo1[[#This Row],[CONTA]],BaseContasDRE[#All],7,FALSE))</f>
        <v>Fora do DRE</v>
      </c>
      <c r="V5457" s="3" t="str">
        <f>IF(Base_Periodo1[[#This Row],[Tipo_Linha]]="Fora do DRE","Fora do DRE","( "&amp;Base_Periodo1[[#This Row],[Tipo_Linha]]&amp;" ) "&amp;Base_Periodo1[[#This Row],[Filtro]])</f>
        <v>Fora do DRE</v>
      </c>
      <c r="W5457" s="3" t="str">
        <f>LEFT(Base_Periodo1[[#This Row],[CLASS]],3)</f>
        <v>2.4</v>
      </c>
    </row>
    <row r="5458" spans="1:23" hidden="1">
      <c r="A5458" s="3" t="str">
        <f t="shared" si="85"/>
        <v>Período 1</v>
      </c>
      <c r="B5458">
        <v>48205</v>
      </c>
      <c r="C5458" t="s">
        <v>2300</v>
      </c>
      <c r="D5458" t="s">
        <v>3281</v>
      </c>
      <c r="E5458" s="3" t="str">
        <f>IF(LEN(Base_Periodo1[[#This Row],[CLASS]])&gt;=7,LEFT(Base_Periodo1[[#This Row],[CLASS]],7),"")</f>
        <v>2.4.1.1</v>
      </c>
      <c r="F5458" s="3" t="str">
        <f>VLOOKUP(Base_Periodo1[[#This Row],[Aux]],Base_Contas_Balanco[#All],2,FALSE)</f>
        <v>Capital Social Realizado</v>
      </c>
      <c r="G5458" s="1"/>
      <c r="H5458" s="281">
        <v>202.46</v>
      </c>
      <c r="I5458" s="281">
        <v>0</v>
      </c>
      <c r="J5458" s="281">
        <v>0</v>
      </c>
      <c r="K5458" s="281">
        <v>202.46</v>
      </c>
      <c r="L545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202.46</v>
      </c>
      <c r="M5458" s="281">
        <f>ROUND(IF(AND(Base_Periodo1[[#This Row],[Tipo_Linha]]="-",Base_Periodo1[[#This Row],[TIPOSALDO]]="D"),Base_Periodo1[[#This Row],[SALDO_ATUAL]]*-1,Base_Periodo1[[#This Row],[SALDO_ATUAL]]),4)</f>
        <v>202.46</v>
      </c>
      <c r="N5458" t="s">
        <v>116</v>
      </c>
      <c r="O5458" t="s">
        <v>459</v>
      </c>
      <c r="P5458" t="s">
        <v>459</v>
      </c>
      <c r="Q5458">
        <v>6</v>
      </c>
      <c r="R5458" s="281">
        <f>Base_Periodo1[[#This Row],[CREDITOS]]-Base_Periodo1[[#This Row],[DEBITOS]]</f>
        <v>0</v>
      </c>
      <c r="S5458" s="3" t="str">
        <f>IF(ISERROR(VLOOKUP(Base_Periodo1[[#This Row],[CONTA]],BaseContasDRE[#All],4,FALSE)),"Fora do DRE",VLOOKUP(Base_Periodo1[[#This Row],[CONTA]],BaseContasDRE[#All],4,FALSE))</f>
        <v>Fora do DRE</v>
      </c>
      <c r="T5458" s="3" t="str">
        <f>IF(ISERROR(VLOOKUP(Base_Periodo1[[#This Row],[CONTA]],BaseContasDRE[#All],5,FALSE)),"Fora do DRE",VLOOKUP(Base_Periodo1[[#This Row],[CONTA]],BaseContasDRE[#All],6,FALSE))</f>
        <v>Fora do DRE</v>
      </c>
      <c r="U5458" s="3" t="str">
        <f>IF(ISERROR(VLOOKUP(Base_Periodo1[[#This Row],[CONTA]],BaseContasDRE[#All],7,FALSE)),"Fora do DRE",VLOOKUP(Base_Periodo1[[#This Row],[CONTA]],BaseContasDRE[#All],7,FALSE))</f>
        <v>Fora do DRE</v>
      </c>
      <c r="V5458" s="3" t="str">
        <f>IF(Base_Periodo1[[#This Row],[Tipo_Linha]]="Fora do DRE","Fora do DRE","( "&amp;Base_Periodo1[[#This Row],[Tipo_Linha]]&amp;" ) "&amp;Base_Periodo1[[#This Row],[Filtro]])</f>
        <v>Fora do DRE</v>
      </c>
      <c r="W5458" s="3" t="str">
        <f>LEFT(Base_Periodo1[[#This Row],[CLASS]],3)</f>
        <v>2.4</v>
      </c>
    </row>
    <row r="5459" spans="1:23" hidden="1">
      <c r="A5459" s="3" t="str">
        <f t="shared" si="85"/>
        <v>Período 1</v>
      </c>
      <c r="B5459">
        <v>50806</v>
      </c>
      <c r="C5459" t="s">
        <v>2300</v>
      </c>
      <c r="D5459" t="s">
        <v>4479</v>
      </c>
      <c r="E5459" s="3" t="str">
        <f>IF(LEN(Base_Periodo1[[#This Row],[CLASS]])&gt;=7,LEFT(Base_Periodo1[[#This Row],[CLASS]],7),"")</f>
        <v>2.4.1.1</v>
      </c>
      <c r="F5459" s="3" t="str">
        <f>VLOOKUP(Base_Periodo1[[#This Row],[Aux]],Base_Contas_Balanco[#All],2,FALSE)</f>
        <v>Capital Social Realizado</v>
      </c>
      <c r="G5459" s="1"/>
      <c r="H5459" s="281">
        <v>500</v>
      </c>
      <c r="I5459" s="281">
        <v>0</v>
      </c>
      <c r="J5459" s="281">
        <v>0</v>
      </c>
      <c r="K5459" s="281">
        <v>500</v>
      </c>
      <c r="L545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5459" s="281">
        <f>ROUND(IF(AND(Base_Periodo1[[#This Row],[Tipo_Linha]]="-",Base_Periodo1[[#This Row],[TIPOSALDO]]="D"),Base_Periodo1[[#This Row],[SALDO_ATUAL]]*-1,Base_Periodo1[[#This Row],[SALDO_ATUAL]]),4)</f>
        <v>500</v>
      </c>
      <c r="N5459" t="s">
        <v>116</v>
      </c>
      <c r="O5459" t="s">
        <v>459</v>
      </c>
      <c r="P5459" t="s">
        <v>459</v>
      </c>
      <c r="Q5459">
        <v>6</v>
      </c>
      <c r="R5459" s="281">
        <f>Base_Periodo1[[#This Row],[CREDITOS]]-Base_Periodo1[[#This Row],[DEBITOS]]</f>
        <v>0</v>
      </c>
      <c r="S5459" s="3" t="str">
        <f>IF(ISERROR(VLOOKUP(Base_Periodo1[[#This Row],[CONTA]],BaseContasDRE[#All],4,FALSE)),"Fora do DRE",VLOOKUP(Base_Periodo1[[#This Row],[CONTA]],BaseContasDRE[#All],4,FALSE))</f>
        <v>Fora do DRE</v>
      </c>
      <c r="T5459" s="3" t="str">
        <f>IF(ISERROR(VLOOKUP(Base_Periodo1[[#This Row],[CONTA]],BaseContasDRE[#All],5,FALSE)),"Fora do DRE",VLOOKUP(Base_Periodo1[[#This Row],[CONTA]],BaseContasDRE[#All],6,FALSE))</f>
        <v>Fora do DRE</v>
      </c>
      <c r="U5459" s="3" t="str">
        <f>IF(ISERROR(VLOOKUP(Base_Periodo1[[#This Row],[CONTA]],BaseContasDRE[#All],7,FALSE)),"Fora do DRE",VLOOKUP(Base_Periodo1[[#This Row],[CONTA]],BaseContasDRE[#All],7,FALSE))</f>
        <v>Fora do DRE</v>
      </c>
      <c r="V5459" s="3" t="str">
        <f>IF(Base_Periodo1[[#This Row],[Tipo_Linha]]="Fora do DRE","Fora do DRE","( "&amp;Base_Periodo1[[#This Row],[Tipo_Linha]]&amp;" ) "&amp;Base_Periodo1[[#This Row],[Filtro]])</f>
        <v>Fora do DRE</v>
      </c>
      <c r="W5459" s="3" t="str">
        <f>LEFT(Base_Periodo1[[#This Row],[CLASS]],3)</f>
        <v>2.4</v>
      </c>
    </row>
    <row r="5460" spans="1:23" hidden="1">
      <c r="A5460" s="3" t="str">
        <f t="shared" si="85"/>
        <v>Período 1</v>
      </c>
      <c r="B5460">
        <v>19382</v>
      </c>
      <c r="C5460" t="s">
        <v>2300</v>
      </c>
      <c r="D5460" t="s">
        <v>3282</v>
      </c>
      <c r="E5460" s="3" t="str">
        <f>IF(LEN(Base_Periodo1[[#This Row],[CLASS]])&gt;=7,LEFT(Base_Periodo1[[#This Row],[CLASS]],7),"")</f>
        <v>2.4.1.1</v>
      </c>
      <c r="F5460" s="3" t="str">
        <f>VLOOKUP(Base_Periodo1[[#This Row],[Aux]],Base_Contas_Balanco[#All],2,FALSE)</f>
        <v>Capital Social Realizado</v>
      </c>
      <c r="G5460" s="1"/>
      <c r="H5460" s="281">
        <v>408.25000000000006</v>
      </c>
      <c r="I5460" s="281">
        <v>0</v>
      </c>
      <c r="J5460" s="281">
        <v>0</v>
      </c>
      <c r="K5460" s="281">
        <v>408.25000000000006</v>
      </c>
      <c r="L546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408.25</v>
      </c>
      <c r="M5460" s="281">
        <f>ROUND(IF(AND(Base_Periodo1[[#This Row],[Tipo_Linha]]="-",Base_Periodo1[[#This Row],[TIPOSALDO]]="D"),Base_Periodo1[[#This Row],[SALDO_ATUAL]]*-1,Base_Periodo1[[#This Row],[SALDO_ATUAL]]),4)</f>
        <v>408.25</v>
      </c>
      <c r="N5460" t="s">
        <v>116</v>
      </c>
      <c r="O5460" t="s">
        <v>459</v>
      </c>
      <c r="P5460" t="s">
        <v>459</v>
      </c>
      <c r="Q5460">
        <v>6</v>
      </c>
      <c r="R5460" s="281">
        <f>Base_Periodo1[[#This Row],[CREDITOS]]-Base_Periodo1[[#This Row],[DEBITOS]]</f>
        <v>0</v>
      </c>
      <c r="S5460" s="3" t="str">
        <f>IF(ISERROR(VLOOKUP(Base_Periodo1[[#This Row],[CONTA]],BaseContasDRE[#All],4,FALSE)),"Fora do DRE",VLOOKUP(Base_Periodo1[[#This Row],[CONTA]],BaseContasDRE[#All],4,FALSE))</f>
        <v>Fora do DRE</v>
      </c>
      <c r="T5460" s="3" t="str">
        <f>IF(ISERROR(VLOOKUP(Base_Periodo1[[#This Row],[CONTA]],BaseContasDRE[#All],5,FALSE)),"Fora do DRE",VLOOKUP(Base_Periodo1[[#This Row],[CONTA]],BaseContasDRE[#All],6,FALSE))</f>
        <v>Fora do DRE</v>
      </c>
      <c r="U5460" s="3" t="str">
        <f>IF(ISERROR(VLOOKUP(Base_Periodo1[[#This Row],[CONTA]],BaseContasDRE[#All],7,FALSE)),"Fora do DRE",VLOOKUP(Base_Periodo1[[#This Row],[CONTA]],BaseContasDRE[#All],7,FALSE))</f>
        <v>Fora do DRE</v>
      </c>
      <c r="V5460" s="3" t="str">
        <f>IF(Base_Periodo1[[#This Row],[Tipo_Linha]]="Fora do DRE","Fora do DRE","( "&amp;Base_Periodo1[[#This Row],[Tipo_Linha]]&amp;" ) "&amp;Base_Periodo1[[#This Row],[Filtro]])</f>
        <v>Fora do DRE</v>
      </c>
      <c r="W5460" s="3" t="str">
        <f>LEFT(Base_Periodo1[[#This Row],[CLASS]],3)</f>
        <v>2.4</v>
      </c>
    </row>
    <row r="5461" spans="1:23" hidden="1">
      <c r="A5461" s="3" t="str">
        <f t="shared" si="85"/>
        <v>Período 1</v>
      </c>
      <c r="B5461">
        <v>18412</v>
      </c>
      <c r="C5461" t="s">
        <v>2300</v>
      </c>
      <c r="D5461" t="s">
        <v>3283</v>
      </c>
      <c r="E5461" s="3" t="str">
        <f>IF(LEN(Base_Periodo1[[#This Row],[CLASS]])&gt;=7,LEFT(Base_Periodo1[[#This Row],[CLASS]],7),"")</f>
        <v>2.4.1.1</v>
      </c>
      <c r="F5461" s="3" t="str">
        <f>VLOOKUP(Base_Periodo1[[#This Row],[Aux]],Base_Contas_Balanco[#All],2,FALSE)</f>
        <v>Capital Social Realizado</v>
      </c>
      <c r="G5461" s="1"/>
      <c r="H5461" s="281">
        <v>5496.29</v>
      </c>
      <c r="I5461" s="281">
        <v>0</v>
      </c>
      <c r="J5461" s="281">
        <v>0</v>
      </c>
      <c r="K5461" s="281">
        <v>5496.29</v>
      </c>
      <c r="L546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5496.29</v>
      </c>
      <c r="M5461" s="281">
        <f>ROUND(IF(AND(Base_Periodo1[[#This Row],[Tipo_Linha]]="-",Base_Periodo1[[#This Row],[TIPOSALDO]]="D"),Base_Periodo1[[#This Row],[SALDO_ATUAL]]*-1,Base_Periodo1[[#This Row],[SALDO_ATUAL]]),4)</f>
        <v>5496.29</v>
      </c>
      <c r="N5461" t="s">
        <v>116</v>
      </c>
      <c r="O5461" t="s">
        <v>459</v>
      </c>
      <c r="P5461" t="s">
        <v>459</v>
      </c>
      <c r="Q5461">
        <v>6</v>
      </c>
      <c r="R5461" s="281">
        <f>Base_Periodo1[[#This Row],[CREDITOS]]-Base_Periodo1[[#This Row],[DEBITOS]]</f>
        <v>0</v>
      </c>
      <c r="S5461" s="3" t="str">
        <f>IF(ISERROR(VLOOKUP(Base_Periodo1[[#This Row],[CONTA]],BaseContasDRE[#All],4,FALSE)),"Fora do DRE",VLOOKUP(Base_Periodo1[[#This Row],[CONTA]],BaseContasDRE[#All],4,FALSE))</f>
        <v>Fora do DRE</v>
      </c>
      <c r="T5461" s="3" t="str">
        <f>IF(ISERROR(VLOOKUP(Base_Periodo1[[#This Row],[CONTA]],BaseContasDRE[#All],5,FALSE)),"Fora do DRE",VLOOKUP(Base_Periodo1[[#This Row],[CONTA]],BaseContasDRE[#All],6,FALSE))</f>
        <v>Fora do DRE</v>
      </c>
      <c r="U5461" s="3" t="str">
        <f>IF(ISERROR(VLOOKUP(Base_Periodo1[[#This Row],[CONTA]],BaseContasDRE[#All],7,FALSE)),"Fora do DRE",VLOOKUP(Base_Periodo1[[#This Row],[CONTA]],BaseContasDRE[#All],7,FALSE))</f>
        <v>Fora do DRE</v>
      </c>
      <c r="V5461" s="3" t="str">
        <f>IF(Base_Periodo1[[#This Row],[Tipo_Linha]]="Fora do DRE","Fora do DRE","( "&amp;Base_Periodo1[[#This Row],[Tipo_Linha]]&amp;" ) "&amp;Base_Periodo1[[#This Row],[Filtro]])</f>
        <v>Fora do DRE</v>
      </c>
      <c r="W5461" s="3" t="str">
        <f>LEFT(Base_Periodo1[[#This Row],[CLASS]],3)</f>
        <v>2.4</v>
      </c>
    </row>
    <row r="5462" spans="1:23" hidden="1">
      <c r="A5462" s="3" t="str">
        <f t="shared" si="85"/>
        <v>Período 1</v>
      </c>
      <c r="B5462">
        <v>16288</v>
      </c>
      <c r="C5462" t="s">
        <v>2300</v>
      </c>
      <c r="D5462" t="s">
        <v>3284</v>
      </c>
      <c r="E5462" s="3" t="str">
        <f>IF(LEN(Base_Periodo1[[#This Row],[CLASS]])&gt;=7,LEFT(Base_Periodo1[[#This Row],[CLASS]],7),"")</f>
        <v>2.4.1.1</v>
      </c>
      <c r="F5462" s="3" t="str">
        <f>VLOOKUP(Base_Periodo1[[#This Row],[Aux]],Base_Contas_Balanco[#All],2,FALSE)</f>
        <v>Capital Social Realizado</v>
      </c>
      <c r="G5462" s="1"/>
      <c r="H5462" s="281">
        <v>252.29</v>
      </c>
      <c r="I5462" s="281">
        <v>0</v>
      </c>
      <c r="J5462" s="281">
        <v>0</v>
      </c>
      <c r="K5462" s="281">
        <v>252.29</v>
      </c>
      <c r="L546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252.29</v>
      </c>
      <c r="M5462" s="281">
        <f>ROUND(IF(AND(Base_Periodo1[[#This Row],[Tipo_Linha]]="-",Base_Periodo1[[#This Row],[TIPOSALDO]]="D"),Base_Periodo1[[#This Row],[SALDO_ATUAL]]*-1,Base_Periodo1[[#This Row],[SALDO_ATUAL]]),4)</f>
        <v>252.29</v>
      </c>
      <c r="N5462" t="s">
        <v>116</v>
      </c>
      <c r="O5462" t="s">
        <v>459</v>
      </c>
      <c r="P5462" t="s">
        <v>459</v>
      </c>
      <c r="Q5462">
        <v>6</v>
      </c>
      <c r="R5462" s="281">
        <f>Base_Periodo1[[#This Row],[CREDITOS]]-Base_Periodo1[[#This Row],[DEBITOS]]</f>
        <v>0</v>
      </c>
      <c r="S5462" s="3" t="str">
        <f>IF(ISERROR(VLOOKUP(Base_Periodo1[[#This Row],[CONTA]],BaseContasDRE[#All],4,FALSE)),"Fora do DRE",VLOOKUP(Base_Periodo1[[#This Row],[CONTA]],BaseContasDRE[#All],4,FALSE))</f>
        <v>Fora do DRE</v>
      </c>
      <c r="T5462" s="3" t="str">
        <f>IF(ISERROR(VLOOKUP(Base_Periodo1[[#This Row],[CONTA]],BaseContasDRE[#All],5,FALSE)),"Fora do DRE",VLOOKUP(Base_Periodo1[[#This Row],[CONTA]],BaseContasDRE[#All],6,FALSE))</f>
        <v>Fora do DRE</v>
      </c>
      <c r="U5462" s="3" t="str">
        <f>IF(ISERROR(VLOOKUP(Base_Periodo1[[#This Row],[CONTA]],BaseContasDRE[#All],7,FALSE)),"Fora do DRE",VLOOKUP(Base_Periodo1[[#This Row],[CONTA]],BaseContasDRE[#All],7,FALSE))</f>
        <v>Fora do DRE</v>
      </c>
      <c r="V5462" s="3" t="str">
        <f>IF(Base_Periodo1[[#This Row],[Tipo_Linha]]="Fora do DRE","Fora do DRE","( "&amp;Base_Periodo1[[#This Row],[Tipo_Linha]]&amp;" ) "&amp;Base_Periodo1[[#This Row],[Filtro]])</f>
        <v>Fora do DRE</v>
      </c>
      <c r="W5462" s="3" t="str">
        <f>LEFT(Base_Periodo1[[#This Row],[CLASS]],3)</f>
        <v>2.4</v>
      </c>
    </row>
    <row r="5463" spans="1:23" hidden="1">
      <c r="A5463" s="3" t="str">
        <f t="shared" si="85"/>
        <v>Período 1</v>
      </c>
      <c r="B5463">
        <v>25595</v>
      </c>
      <c r="C5463" t="s">
        <v>2300</v>
      </c>
      <c r="D5463" t="s">
        <v>3285</v>
      </c>
      <c r="E5463" s="3" t="str">
        <f>IF(LEN(Base_Periodo1[[#This Row],[CLASS]])&gt;=7,LEFT(Base_Periodo1[[#This Row],[CLASS]],7),"")</f>
        <v>2.4.1.1</v>
      </c>
      <c r="F5463" s="3" t="str">
        <f>VLOOKUP(Base_Periodo1[[#This Row],[Aux]],Base_Contas_Balanco[#All],2,FALSE)</f>
        <v>Capital Social Realizado</v>
      </c>
      <c r="G5463" s="1"/>
      <c r="H5463" s="281">
        <v>80.11</v>
      </c>
      <c r="I5463" s="281">
        <v>0</v>
      </c>
      <c r="J5463" s="281">
        <v>0</v>
      </c>
      <c r="K5463" s="281">
        <v>80.11</v>
      </c>
      <c r="L546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80.11</v>
      </c>
      <c r="M5463" s="281">
        <f>ROUND(IF(AND(Base_Periodo1[[#This Row],[Tipo_Linha]]="-",Base_Periodo1[[#This Row],[TIPOSALDO]]="D"),Base_Periodo1[[#This Row],[SALDO_ATUAL]]*-1,Base_Periodo1[[#This Row],[SALDO_ATUAL]]),4)</f>
        <v>80.11</v>
      </c>
      <c r="N5463" t="s">
        <v>116</v>
      </c>
      <c r="O5463" t="s">
        <v>459</v>
      </c>
      <c r="P5463" t="s">
        <v>459</v>
      </c>
      <c r="Q5463">
        <v>6</v>
      </c>
      <c r="R5463" s="281">
        <f>Base_Periodo1[[#This Row],[CREDITOS]]-Base_Periodo1[[#This Row],[DEBITOS]]</f>
        <v>0</v>
      </c>
      <c r="S5463" s="3" t="str">
        <f>IF(ISERROR(VLOOKUP(Base_Periodo1[[#This Row],[CONTA]],BaseContasDRE[#All],4,FALSE)),"Fora do DRE",VLOOKUP(Base_Periodo1[[#This Row],[CONTA]],BaseContasDRE[#All],4,FALSE))</f>
        <v>Fora do DRE</v>
      </c>
      <c r="T5463" s="3" t="str">
        <f>IF(ISERROR(VLOOKUP(Base_Periodo1[[#This Row],[CONTA]],BaseContasDRE[#All],5,FALSE)),"Fora do DRE",VLOOKUP(Base_Periodo1[[#This Row],[CONTA]],BaseContasDRE[#All],6,FALSE))</f>
        <v>Fora do DRE</v>
      </c>
      <c r="U5463" s="3" t="str">
        <f>IF(ISERROR(VLOOKUP(Base_Periodo1[[#This Row],[CONTA]],BaseContasDRE[#All],7,FALSE)),"Fora do DRE",VLOOKUP(Base_Periodo1[[#This Row],[CONTA]],BaseContasDRE[#All],7,FALSE))</f>
        <v>Fora do DRE</v>
      </c>
      <c r="V5463" s="3" t="str">
        <f>IF(Base_Periodo1[[#This Row],[Tipo_Linha]]="Fora do DRE","Fora do DRE","( "&amp;Base_Periodo1[[#This Row],[Tipo_Linha]]&amp;" ) "&amp;Base_Periodo1[[#This Row],[Filtro]])</f>
        <v>Fora do DRE</v>
      </c>
      <c r="W5463" s="3" t="str">
        <f>LEFT(Base_Periodo1[[#This Row],[CLASS]],3)</f>
        <v>2.4</v>
      </c>
    </row>
    <row r="5464" spans="1:23" hidden="1">
      <c r="A5464" s="3" t="str">
        <f t="shared" si="85"/>
        <v>Período 1</v>
      </c>
      <c r="B5464">
        <v>16227</v>
      </c>
      <c r="C5464" t="s">
        <v>2300</v>
      </c>
      <c r="D5464" t="s">
        <v>3286</v>
      </c>
      <c r="E5464" s="3" t="str">
        <f>IF(LEN(Base_Periodo1[[#This Row],[CLASS]])&gt;=7,LEFT(Base_Periodo1[[#This Row],[CLASS]],7),"")</f>
        <v>2.4.1.1</v>
      </c>
      <c r="F5464" s="3" t="str">
        <f>VLOOKUP(Base_Periodo1[[#This Row],[Aux]],Base_Contas_Balanco[#All],2,FALSE)</f>
        <v>Capital Social Realizado</v>
      </c>
      <c r="G5464" s="1"/>
      <c r="H5464" s="281">
        <v>8284.23</v>
      </c>
      <c r="I5464" s="281">
        <v>0</v>
      </c>
      <c r="J5464" s="281">
        <v>0</v>
      </c>
      <c r="K5464" s="281">
        <v>8284.23</v>
      </c>
      <c r="L546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8284.23</v>
      </c>
      <c r="M5464" s="281">
        <f>ROUND(IF(AND(Base_Periodo1[[#This Row],[Tipo_Linha]]="-",Base_Periodo1[[#This Row],[TIPOSALDO]]="D"),Base_Periodo1[[#This Row],[SALDO_ATUAL]]*-1,Base_Periodo1[[#This Row],[SALDO_ATUAL]]),4)</f>
        <v>8284.23</v>
      </c>
      <c r="N5464" t="s">
        <v>116</v>
      </c>
      <c r="O5464" t="s">
        <v>459</v>
      </c>
      <c r="P5464" t="s">
        <v>459</v>
      </c>
      <c r="Q5464">
        <v>6</v>
      </c>
      <c r="R5464" s="281">
        <f>Base_Periodo1[[#This Row],[CREDITOS]]-Base_Periodo1[[#This Row],[DEBITOS]]</f>
        <v>0</v>
      </c>
      <c r="S5464" s="3" t="str">
        <f>IF(ISERROR(VLOOKUP(Base_Periodo1[[#This Row],[CONTA]],BaseContasDRE[#All],4,FALSE)),"Fora do DRE",VLOOKUP(Base_Periodo1[[#This Row],[CONTA]],BaseContasDRE[#All],4,FALSE))</f>
        <v>Fora do DRE</v>
      </c>
      <c r="T5464" s="3" t="str">
        <f>IF(ISERROR(VLOOKUP(Base_Periodo1[[#This Row],[CONTA]],BaseContasDRE[#All],5,FALSE)),"Fora do DRE",VLOOKUP(Base_Periodo1[[#This Row],[CONTA]],BaseContasDRE[#All],6,FALSE))</f>
        <v>Fora do DRE</v>
      </c>
      <c r="U5464" s="3" t="str">
        <f>IF(ISERROR(VLOOKUP(Base_Periodo1[[#This Row],[CONTA]],BaseContasDRE[#All],7,FALSE)),"Fora do DRE",VLOOKUP(Base_Periodo1[[#This Row],[CONTA]],BaseContasDRE[#All],7,FALSE))</f>
        <v>Fora do DRE</v>
      </c>
      <c r="V5464" s="3" t="str">
        <f>IF(Base_Periodo1[[#This Row],[Tipo_Linha]]="Fora do DRE","Fora do DRE","( "&amp;Base_Periodo1[[#This Row],[Tipo_Linha]]&amp;" ) "&amp;Base_Periodo1[[#This Row],[Filtro]])</f>
        <v>Fora do DRE</v>
      </c>
      <c r="W5464" s="3" t="str">
        <f>LEFT(Base_Periodo1[[#This Row],[CLASS]],3)</f>
        <v>2.4</v>
      </c>
    </row>
    <row r="5465" spans="1:23" hidden="1">
      <c r="A5465" s="3" t="str">
        <f t="shared" si="85"/>
        <v>Período 1</v>
      </c>
      <c r="B5465">
        <v>27463</v>
      </c>
      <c r="C5465" t="s">
        <v>2300</v>
      </c>
      <c r="D5465" t="s">
        <v>3287</v>
      </c>
      <c r="E5465" s="3" t="str">
        <f>IF(LEN(Base_Periodo1[[#This Row],[CLASS]])&gt;=7,LEFT(Base_Periodo1[[#This Row],[CLASS]],7),"")</f>
        <v>2.4.1.1</v>
      </c>
      <c r="F5465" s="3" t="str">
        <f>VLOOKUP(Base_Periodo1[[#This Row],[Aux]],Base_Contas_Balanco[#All],2,FALSE)</f>
        <v>Capital Social Realizado</v>
      </c>
      <c r="G5465" s="1"/>
      <c r="H5465" s="281">
        <v>494.67</v>
      </c>
      <c r="I5465" s="281">
        <v>0</v>
      </c>
      <c r="J5465" s="281">
        <v>0</v>
      </c>
      <c r="K5465" s="281">
        <v>494.67</v>
      </c>
      <c r="L546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494.67</v>
      </c>
      <c r="M5465" s="281">
        <f>ROUND(IF(AND(Base_Periodo1[[#This Row],[Tipo_Linha]]="-",Base_Periodo1[[#This Row],[TIPOSALDO]]="D"),Base_Periodo1[[#This Row],[SALDO_ATUAL]]*-1,Base_Periodo1[[#This Row],[SALDO_ATUAL]]),4)</f>
        <v>494.67</v>
      </c>
      <c r="N5465" t="s">
        <v>116</v>
      </c>
      <c r="O5465" t="s">
        <v>459</v>
      </c>
      <c r="P5465" t="s">
        <v>459</v>
      </c>
      <c r="Q5465">
        <v>6</v>
      </c>
      <c r="R5465" s="281">
        <f>Base_Periodo1[[#This Row],[CREDITOS]]-Base_Periodo1[[#This Row],[DEBITOS]]</f>
        <v>0</v>
      </c>
      <c r="S5465" s="3" t="str">
        <f>IF(ISERROR(VLOOKUP(Base_Periodo1[[#This Row],[CONTA]],BaseContasDRE[#All],4,FALSE)),"Fora do DRE",VLOOKUP(Base_Periodo1[[#This Row],[CONTA]],BaseContasDRE[#All],4,FALSE))</f>
        <v>Fora do DRE</v>
      </c>
      <c r="T5465" s="3" t="str">
        <f>IF(ISERROR(VLOOKUP(Base_Periodo1[[#This Row],[CONTA]],BaseContasDRE[#All],5,FALSE)),"Fora do DRE",VLOOKUP(Base_Periodo1[[#This Row],[CONTA]],BaseContasDRE[#All],6,FALSE))</f>
        <v>Fora do DRE</v>
      </c>
      <c r="U5465" s="3" t="str">
        <f>IF(ISERROR(VLOOKUP(Base_Periodo1[[#This Row],[CONTA]],BaseContasDRE[#All],7,FALSE)),"Fora do DRE",VLOOKUP(Base_Periodo1[[#This Row],[CONTA]],BaseContasDRE[#All],7,FALSE))</f>
        <v>Fora do DRE</v>
      </c>
      <c r="V5465" s="3" t="str">
        <f>IF(Base_Periodo1[[#This Row],[Tipo_Linha]]="Fora do DRE","Fora do DRE","( "&amp;Base_Periodo1[[#This Row],[Tipo_Linha]]&amp;" ) "&amp;Base_Periodo1[[#This Row],[Filtro]])</f>
        <v>Fora do DRE</v>
      </c>
      <c r="W5465" s="3" t="str">
        <f>LEFT(Base_Periodo1[[#This Row],[CLASS]],3)</f>
        <v>2.4</v>
      </c>
    </row>
    <row r="5466" spans="1:23" hidden="1">
      <c r="A5466" s="3" t="str">
        <f t="shared" si="85"/>
        <v>Período 1</v>
      </c>
      <c r="B5466">
        <v>23311</v>
      </c>
      <c r="C5466" t="s">
        <v>2300</v>
      </c>
      <c r="D5466" t="s">
        <v>3288</v>
      </c>
      <c r="E5466" s="3" t="str">
        <f>IF(LEN(Base_Periodo1[[#This Row],[CLASS]])&gt;=7,LEFT(Base_Periodo1[[#This Row],[CLASS]],7),"")</f>
        <v>2.4.1.1</v>
      </c>
      <c r="F5466" s="3" t="str">
        <f>VLOOKUP(Base_Periodo1[[#This Row],[Aux]],Base_Contas_Balanco[#All],2,FALSE)</f>
        <v>Capital Social Realizado</v>
      </c>
      <c r="G5466" s="1"/>
      <c r="H5466" s="281">
        <v>8491.43</v>
      </c>
      <c r="I5466" s="281">
        <v>0</v>
      </c>
      <c r="J5466" s="281">
        <v>0</v>
      </c>
      <c r="K5466" s="281">
        <v>8491.43</v>
      </c>
      <c r="L546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8491.43</v>
      </c>
      <c r="M5466" s="281">
        <f>ROUND(IF(AND(Base_Periodo1[[#This Row],[Tipo_Linha]]="-",Base_Periodo1[[#This Row],[TIPOSALDO]]="D"),Base_Periodo1[[#This Row],[SALDO_ATUAL]]*-1,Base_Periodo1[[#This Row],[SALDO_ATUAL]]),4)</f>
        <v>8491.43</v>
      </c>
      <c r="N5466" t="s">
        <v>116</v>
      </c>
      <c r="O5466" t="s">
        <v>459</v>
      </c>
      <c r="P5466" t="s">
        <v>459</v>
      </c>
      <c r="Q5466">
        <v>6</v>
      </c>
      <c r="R5466" s="281">
        <f>Base_Periodo1[[#This Row],[CREDITOS]]-Base_Periodo1[[#This Row],[DEBITOS]]</f>
        <v>0</v>
      </c>
      <c r="S5466" s="3" t="str">
        <f>IF(ISERROR(VLOOKUP(Base_Periodo1[[#This Row],[CONTA]],BaseContasDRE[#All],4,FALSE)),"Fora do DRE",VLOOKUP(Base_Periodo1[[#This Row],[CONTA]],BaseContasDRE[#All],4,FALSE))</f>
        <v>Fora do DRE</v>
      </c>
      <c r="T5466" s="3" t="str">
        <f>IF(ISERROR(VLOOKUP(Base_Periodo1[[#This Row],[CONTA]],BaseContasDRE[#All],5,FALSE)),"Fora do DRE",VLOOKUP(Base_Periodo1[[#This Row],[CONTA]],BaseContasDRE[#All],6,FALSE))</f>
        <v>Fora do DRE</v>
      </c>
      <c r="U5466" s="3" t="str">
        <f>IF(ISERROR(VLOOKUP(Base_Periodo1[[#This Row],[CONTA]],BaseContasDRE[#All],7,FALSE)),"Fora do DRE",VLOOKUP(Base_Periodo1[[#This Row],[CONTA]],BaseContasDRE[#All],7,FALSE))</f>
        <v>Fora do DRE</v>
      </c>
      <c r="V5466" s="3" t="str">
        <f>IF(Base_Periodo1[[#This Row],[Tipo_Linha]]="Fora do DRE","Fora do DRE","( "&amp;Base_Periodo1[[#This Row],[Tipo_Linha]]&amp;" ) "&amp;Base_Periodo1[[#This Row],[Filtro]])</f>
        <v>Fora do DRE</v>
      </c>
      <c r="W5466" s="3" t="str">
        <f>LEFT(Base_Periodo1[[#This Row],[CLASS]],3)</f>
        <v>2.4</v>
      </c>
    </row>
    <row r="5467" spans="1:23" hidden="1">
      <c r="A5467" s="3" t="str">
        <f t="shared" si="85"/>
        <v>Período 1</v>
      </c>
      <c r="B5467">
        <v>51566</v>
      </c>
      <c r="C5467" t="s">
        <v>2300</v>
      </c>
      <c r="D5467" t="s">
        <v>4629</v>
      </c>
      <c r="E5467" s="3" t="str">
        <f>IF(LEN(Base_Periodo1[[#This Row],[CLASS]])&gt;=7,LEFT(Base_Periodo1[[#This Row],[CLASS]],7),"")</f>
        <v>2.4.1.1</v>
      </c>
      <c r="F5467" s="3" t="str">
        <f>VLOOKUP(Base_Periodo1[[#This Row],[Aux]],Base_Contas_Balanco[#All],2,FALSE)</f>
        <v>Capital Social Realizado</v>
      </c>
      <c r="G5467" s="1"/>
      <c r="H5467" s="281">
        <v>50</v>
      </c>
      <c r="I5467" s="281">
        <v>0</v>
      </c>
      <c r="J5467" s="281">
        <v>0</v>
      </c>
      <c r="K5467" s="281">
        <v>50</v>
      </c>
      <c r="L546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467" s="281">
        <f>ROUND(IF(AND(Base_Periodo1[[#This Row],[Tipo_Linha]]="-",Base_Periodo1[[#This Row],[TIPOSALDO]]="D"),Base_Periodo1[[#This Row],[SALDO_ATUAL]]*-1,Base_Periodo1[[#This Row],[SALDO_ATUAL]]),4)</f>
        <v>50</v>
      </c>
      <c r="N5467" t="s">
        <v>116</v>
      </c>
      <c r="O5467" t="s">
        <v>459</v>
      </c>
      <c r="P5467" t="s">
        <v>459</v>
      </c>
      <c r="Q5467">
        <v>6</v>
      </c>
      <c r="R5467" s="281">
        <f>Base_Periodo1[[#This Row],[CREDITOS]]-Base_Periodo1[[#This Row],[DEBITOS]]</f>
        <v>0</v>
      </c>
      <c r="S5467" s="3" t="str">
        <f>IF(ISERROR(VLOOKUP(Base_Periodo1[[#This Row],[CONTA]],BaseContasDRE[#All],4,FALSE)),"Fora do DRE",VLOOKUP(Base_Periodo1[[#This Row],[CONTA]],BaseContasDRE[#All],4,FALSE))</f>
        <v>Fora do DRE</v>
      </c>
      <c r="T5467" s="3" t="str">
        <f>IF(ISERROR(VLOOKUP(Base_Periodo1[[#This Row],[CONTA]],BaseContasDRE[#All],5,FALSE)),"Fora do DRE",VLOOKUP(Base_Periodo1[[#This Row],[CONTA]],BaseContasDRE[#All],6,FALSE))</f>
        <v>Fora do DRE</v>
      </c>
      <c r="U5467" s="3" t="str">
        <f>IF(ISERROR(VLOOKUP(Base_Periodo1[[#This Row],[CONTA]],BaseContasDRE[#All],7,FALSE)),"Fora do DRE",VLOOKUP(Base_Periodo1[[#This Row],[CONTA]],BaseContasDRE[#All],7,FALSE))</f>
        <v>Fora do DRE</v>
      </c>
      <c r="V5467" s="3" t="str">
        <f>IF(Base_Periodo1[[#This Row],[Tipo_Linha]]="Fora do DRE","Fora do DRE","( "&amp;Base_Periodo1[[#This Row],[Tipo_Linha]]&amp;" ) "&amp;Base_Periodo1[[#This Row],[Filtro]])</f>
        <v>Fora do DRE</v>
      </c>
      <c r="W5467" s="3" t="str">
        <f>LEFT(Base_Periodo1[[#This Row],[CLASS]],3)</f>
        <v>2.4</v>
      </c>
    </row>
    <row r="5468" spans="1:23" hidden="1">
      <c r="A5468" s="3" t="str">
        <f t="shared" si="85"/>
        <v>Período 1</v>
      </c>
      <c r="B5468">
        <v>16245</v>
      </c>
      <c r="C5468" t="s">
        <v>2300</v>
      </c>
      <c r="D5468" t="s">
        <v>3289</v>
      </c>
      <c r="E5468" s="3" t="str">
        <f>IF(LEN(Base_Periodo1[[#This Row],[CLASS]])&gt;=7,LEFT(Base_Periodo1[[#This Row],[CLASS]],7),"")</f>
        <v>2.4.1.1</v>
      </c>
      <c r="F5468" s="3" t="str">
        <f>VLOOKUP(Base_Periodo1[[#This Row],[Aux]],Base_Contas_Balanco[#All],2,FALSE)</f>
        <v>Capital Social Realizado</v>
      </c>
      <c r="G5468" s="1"/>
      <c r="H5468" s="281">
        <v>4181.37</v>
      </c>
      <c r="I5468" s="281">
        <v>0</v>
      </c>
      <c r="J5468" s="281">
        <v>0</v>
      </c>
      <c r="K5468" s="281">
        <v>4181.37</v>
      </c>
      <c r="L546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4181.37</v>
      </c>
      <c r="M5468" s="281">
        <f>ROUND(IF(AND(Base_Periodo1[[#This Row],[Tipo_Linha]]="-",Base_Periodo1[[#This Row],[TIPOSALDO]]="D"),Base_Periodo1[[#This Row],[SALDO_ATUAL]]*-1,Base_Periodo1[[#This Row],[SALDO_ATUAL]]),4)</f>
        <v>4181.37</v>
      </c>
      <c r="N5468" t="s">
        <v>116</v>
      </c>
      <c r="O5468" t="s">
        <v>459</v>
      </c>
      <c r="P5468" t="s">
        <v>459</v>
      </c>
      <c r="Q5468">
        <v>6</v>
      </c>
      <c r="R5468" s="281">
        <f>Base_Periodo1[[#This Row],[CREDITOS]]-Base_Periodo1[[#This Row],[DEBITOS]]</f>
        <v>0</v>
      </c>
      <c r="S5468" s="3" t="str">
        <f>IF(ISERROR(VLOOKUP(Base_Periodo1[[#This Row],[CONTA]],BaseContasDRE[#All],4,FALSE)),"Fora do DRE",VLOOKUP(Base_Periodo1[[#This Row],[CONTA]],BaseContasDRE[#All],4,FALSE))</f>
        <v>Fora do DRE</v>
      </c>
      <c r="T5468" s="3" t="str">
        <f>IF(ISERROR(VLOOKUP(Base_Periodo1[[#This Row],[CONTA]],BaseContasDRE[#All],5,FALSE)),"Fora do DRE",VLOOKUP(Base_Periodo1[[#This Row],[CONTA]],BaseContasDRE[#All],6,FALSE))</f>
        <v>Fora do DRE</v>
      </c>
      <c r="U5468" s="3" t="str">
        <f>IF(ISERROR(VLOOKUP(Base_Periodo1[[#This Row],[CONTA]],BaseContasDRE[#All],7,FALSE)),"Fora do DRE",VLOOKUP(Base_Periodo1[[#This Row],[CONTA]],BaseContasDRE[#All],7,FALSE))</f>
        <v>Fora do DRE</v>
      </c>
      <c r="V5468" s="3" t="str">
        <f>IF(Base_Periodo1[[#This Row],[Tipo_Linha]]="Fora do DRE","Fora do DRE","( "&amp;Base_Periodo1[[#This Row],[Tipo_Linha]]&amp;" ) "&amp;Base_Periodo1[[#This Row],[Filtro]])</f>
        <v>Fora do DRE</v>
      </c>
      <c r="W5468" s="3" t="str">
        <f>LEFT(Base_Periodo1[[#This Row],[CLASS]],3)</f>
        <v>2.4</v>
      </c>
    </row>
    <row r="5469" spans="1:23" hidden="1">
      <c r="A5469" s="3" t="str">
        <f t="shared" si="85"/>
        <v>Período 1</v>
      </c>
      <c r="B5469">
        <v>19292</v>
      </c>
      <c r="C5469" t="s">
        <v>2300</v>
      </c>
      <c r="D5469" t="s">
        <v>3290</v>
      </c>
      <c r="E5469" s="3" t="str">
        <f>IF(LEN(Base_Periodo1[[#This Row],[CLASS]])&gt;=7,LEFT(Base_Periodo1[[#This Row],[CLASS]],7),"")</f>
        <v>2.4.1.1</v>
      </c>
      <c r="F5469" s="3" t="str">
        <f>VLOOKUP(Base_Periodo1[[#This Row],[Aux]],Base_Contas_Balanco[#All],2,FALSE)</f>
        <v>Capital Social Realizado</v>
      </c>
      <c r="G5469" s="1"/>
      <c r="H5469" s="281">
        <v>194.77</v>
      </c>
      <c r="I5469" s="281">
        <v>0</v>
      </c>
      <c r="J5469" s="281">
        <v>0</v>
      </c>
      <c r="K5469" s="281">
        <v>194.77</v>
      </c>
      <c r="L546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194.77</v>
      </c>
      <c r="M5469" s="281">
        <f>ROUND(IF(AND(Base_Periodo1[[#This Row],[Tipo_Linha]]="-",Base_Periodo1[[#This Row],[TIPOSALDO]]="D"),Base_Periodo1[[#This Row],[SALDO_ATUAL]]*-1,Base_Periodo1[[#This Row],[SALDO_ATUAL]]),4)</f>
        <v>194.77</v>
      </c>
      <c r="N5469" t="s">
        <v>116</v>
      </c>
      <c r="O5469" t="s">
        <v>459</v>
      </c>
      <c r="P5469" t="s">
        <v>459</v>
      </c>
      <c r="Q5469">
        <v>6</v>
      </c>
      <c r="R5469" s="281">
        <f>Base_Periodo1[[#This Row],[CREDITOS]]-Base_Periodo1[[#This Row],[DEBITOS]]</f>
        <v>0</v>
      </c>
      <c r="S5469" s="3" t="str">
        <f>IF(ISERROR(VLOOKUP(Base_Periodo1[[#This Row],[CONTA]],BaseContasDRE[#All],4,FALSE)),"Fora do DRE",VLOOKUP(Base_Periodo1[[#This Row],[CONTA]],BaseContasDRE[#All],4,FALSE))</f>
        <v>Fora do DRE</v>
      </c>
      <c r="T5469" s="3" t="str">
        <f>IF(ISERROR(VLOOKUP(Base_Periodo1[[#This Row],[CONTA]],BaseContasDRE[#All],5,FALSE)),"Fora do DRE",VLOOKUP(Base_Periodo1[[#This Row],[CONTA]],BaseContasDRE[#All],6,FALSE))</f>
        <v>Fora do DRE</v>
      </c>
      <c r="U5469" s="3" t="str">
        <f>IF(ISERROR(VLOOKUP(Base_Periodo1[[#This Row],[CONTA]],BaseContasDRE[#All],7,FALSE)),"Fora do DRE",VLOOKUP(Base_Periodo1[[#This Row],[CONTA]],BaseContasDRE[#All],7,FALSE))</f>
        <v>Fora do DRE</v>
      </c>
      <c r="V5469" s="3" t="str">
        <f>IF(Base_Periodo1[[#This Row],[Tipo_Linha]]="Fora do DRE","Fora do DRE","( "&amp;Base_Periodo1[[#This Row],[Tipo_Linha]]&amp;" ) "&amp;Base_Periodo1[[#This Row],[Filtro]])</f>
        <v>Fora do DRE</v>
      </c>
      <c r="W5469" s="3" t="str">
        <f>LEFT(Base_Periodo1[[#This Row],[CLASS]],3)</f>
        <v>2.4</v>
      </c>
    </row>
    <row r="5470" spans="1:23" hidden="1">
      <c r="A5470" s="3" t="str">
        <f t="shared" si="85"/>
        <v>Período 1</v>
      </c>
      <c r="B5470">
        <v>25232</v>
      </c>
      <c r="C5470" t="s">
        <v>2300</v>
      </c>
      <c r="D5470" t="s">
        <v>3291</v>
      </c>
      <c r="E5470" s="3" t="str">
        <f>IF(LEN(Base_Periodo1[[#This Row],[CLASS]])&gt;=7,LEFT(Base_Periodo1[[#This Row],[CLASS]],7),"")</f>
        <v>2.4.1.1</v>
      </c>
      <c r="F5470" s="3" t="str">
        <f>VLOOKUP(Base_Periodo1[[#This Row],[Aux]],Base_Contas_Balanco[#All],2,FALSE)</f>
        <v>Capital Social Realizado</v>
      </c>
      <c r="G5470" s="1"/>
      <c r="H5470" s="281">
        <v>659.11</v>
      </c>
      <c r="I5470" s="281">
        <v>0</v>
      </c>
      <c r="J5470" s="281">
        <v>0</v>
      </c>
      <c r="K5470" s="281">
        <v>659.11</v>
      </c>
      <c r="L547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659.11</v>
      </c>
      <c r="M5470" s="281">
        <f>ROUND(IF(AND(Base_Periodo1[[#This Row],[Tipo_Linha]]="-",Base_Periodo1[[#This Row],[TIPOSALDO]]="D"),Base_Periodo1[[#This Row],[SALDO_ATUAL]]*-1,Base_Periodo1[[#This Row],[SALDO_ATUAL]]),4)</f>
        <v>659.11</v>
      </c>
      <c r="N5470" t="s">
        <v>116</v>
      </c>
      <c r="O5470" t="s">
        <v>459</v>
      </c>
      <c r="P5470" t="s">
        <v>459</v>
      </c>
      <c r="Q5470">
        <v>6</v>
      </c>
      <c r="R5470" s="281">
        <f>Base_Periodo1[[#This Row],[CREDITOS]]-Base_Periodo1[[#This Row],[DEBITOS]]</f>
        <v>0</v>
      </c>
      <c r="S5470" s="3" t="str">
        <f>IF(ISERROR(VLOOKUP(Base_Periodo1[[#This Row],[CONTA]],BaseContasDRE[#All],4,FALSE)),"Fora do DRE",VLOOKUP(Base_Periodo1[[#This Row],[CONTA]],BaseContasDRE[#All],4,FALSE))</f>
        <v>Fora do DRE</v>
      </c>
      <c r="T5470" s="3" t="str">
        <f>IF(ISERROR(VLOOKUP(Base_Periodo1[[#This Row],[CONTA]],BaseContasDRE[#All],5,FALSE)),"Fora do DRE",VLOOKUP(Base_Periodo1[[#This Row],[CONTA]],BaseContasDRE[#All],6,FALSE))</f>
        <v>Fora do DRE</v>
      </c>
      <c r="U5470" s="3" t="str">
        <f>IF(ISERROR(VLOOKUP(Base_Periodo1[[#This Row],[CONTA]],BaseContasDRE[#All],7,FALSE)),"Fora do DRE",VLOOKUP(Base_Periodo1[[#This Row],[CONTA]],BaseContasDRE[#All],7,FALSE))</f>
        <v>Fora do DRE</v>
      </c>
      <c r="V5470" s="3" t="str">
        <f>IF(Base_Periodo1[[#This Row],[Tipo_Linha]]="Fora do DRE","Fora do DRE","( "&amp;Base_Periodo1[[#This Row],[Tipo_Linha]]&amp;" ) "&amp;Base_Periodo1[[#This Row],[Filtro]])</f>
        <v>Fora do DRE</v>
      </c>
      <c r="W5470" s="3" t="str">
        <f>LEFT(Base_Periodo1[[#This Row],[CLASS]],3)</f>
        <v>2.4</v>
      </c>
    </row>
    <row r="5471" spans="1:23" hidden="1">
      <c r="A5471" s="3" t="str">
        <f t="shared" si="85"/>
        <v>Período 1</v>
      </c>
      <c r="B5471">
        <v>47504</v>
      </c>
      <c r="C5471" t="s">
        <v>2300</v>
      </c>
      <c r="D5471" t="s">
        <v>3292</v>
      </c>
      <c r="E5471" s="3" t="str">
        <f>IF(LEN(Base_Periodo1[[#This Row],[CLASS]])&gt;=7,LEFT(Base_Periodo1[[#This Row],[CLASS]],7),"")</f>
        <v>2.4.1.1</v>
      </c>
      <c r="F5471" s="3" t="str">
        <f>VLOOKUP(Base_Periodo1[[#This Row],[Aux]],Base_Contas_Balanco[#All],2,FALSE)</f>
        <v>Capital Social Realizado</v>
      </c>
      <c r="G5471" s="1"/>
      <c r="H5471" s="281">
        <v>50.76</v>
      </c>
      <c r="I5471" s="281">
        <v>0</v>
      </c>
      <c r="J5471" s="281">
        <v>0</v>
      </c>
      <c r="K5471" s="281">
        <v>50.76</v>
      </c>
      <c r="L547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50.76</v>
      </c>
      <c r="M5471" s="281">
        <f>ROUND(IF(AND(Base_Periodo1[[#This Row],[Tipo_Linha]]="-",Base_Periodo1[[#This Row],[TIPOSALDO]]="D"),Base_Periodo1[[#This Row],[SALDO_ATUAL]]*-1,Base_Periodo1[[#This Row],[SALDO_ATUAL]]),4)</f>
        <v>50.76</v>
      </c>
      <c r="N5471" t="s">
        <v>116</v>
      </c>
      <c r="O5471" t="s">
        <v>459</v>
      </c>
      <c r="P5471" t="s">
        <v>459</v>
      </c>
      <c r="Q5471">
        <v>6</v>
      </c>
      <c r="R5471" s="281">
        <f>Base_Periodo1[[#This Row],[CREDITOS]]-Base_Periodo1[[#This Row],[DEBITOS]]</f>
        <v>0</v>
      </c>
      <c r="S5471" s="3" t="str">
        <f>IF(ISERROR(VLOOKUP(Base_Periodo1[[#This Row],[CONTA]],BaseContasDRE[#All],4,FALSE)),"Fora do DRE",VLOOKUP(Base_Periodo1[[#This Row],[CONTA]],BaseContasDRE[#All],4,FALSE))</f>
        <v>Fora do DRE</v>
      </c>
      <c r="T5471" s="3" t="str">
        <f>IF(ISERROR(VLOOKUP(Base_Periodo1[[#This Row],[CONTA]],BaseContasDRE[#All],5,FALSE)),"Fora do DRE",VLOOKUP(Base_Periodo1[[#This Row],[CONTA]],BaseContasDRE[#All],6,FALSE))</f>
        <v>Fora do DRE</v>
      </c>
      <c r="U5471" s="3" t="str">
        <f>IF(ISERROR(VLOOKUP(Base_Periodo1[[#This Row],[CONTA]],BaseContasDRE[#All],7,FALSE)),"Fora do DRE",VLOOKUP(Base_Periodo1[[#This Row],[CONTA]],BaseContasDRE[#All],7,FALSE))</f>
        <v>Fora do DRE</v>
      </c>
      <c r="V5471" s="3" t="str">
        <f>IF(Base_Periodo1[[#This Row],[Tipo_Linha]]="Fora do DRE","Fora do DRE","( "&amp;Base_Periodo1[[#This Row],[Tipo_Linha]]&amp;" ) "&amp;Base_Periodo1[[#This Row],[Filtro]])</f>
        <v>Fora do DRE</v>
      </c>
      <c r="W5471" s="3" t="str">
        <f>LEFT(Base_Periodo1[[#This Row],[CLASS]],3)</f>
        <v>2.4</v>
      </c>
    </row>
    <row r="5472" spans="1:23" hidden="1">
      <c r="A5472" s="3" t="str">
        <f t="shared" si="85"/>
        <v>Período 1</v>
      </c>
      <c r="B5472">
        <v>16207</v>
      </c>
      <c r="C5472" t="s">
        <v>2300</v>
      </c>
      <c r="D5472" t="s">
        <v>3293</v>
      </c>
      <c r="E5472" s="3" t="str">
        <f>IF(LEN(Base_Periodo1[[#This Row],[CLASS]])&gt;=7,LEFT(Base_Periodo1[[#This Row],[CLASS]],7),"")</f>
        <v>2.4.1.1</v>
      </c>
      <c r="F5472" s="3" t="str">
        <f>VLOOKUP(Base_Periodo1[[#This Row],[Aux]],Base_Contas_Balanco[#All],2,FALSE)</f>
        <v>Capital Social Realizado</v>
      </c>
      <c r="G5472" s="1"/>
      <c r="H5472" s="281">
        <v>2751.34</v>
      </c>
      <c r="I5472" s="281">
        <v>0</v>
      </c>
      <c r="J5472" s="281">
        <v>0</v>
      </c>
      <c r="K5472" s="281">
        <v>2751.34</v>
      </c>
      <c r="L547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2751.34</v>
      </c>
      <c r="M5472" s="281">
        <f>ROUND(IF(AND(Base_Periodo1[[#This Row],[Tipo_Linha]]="-",Base_Periodo1[[#This Row],[TIPOSALDO]]="D"),Base_Periodo1[[#This Row],[SALDO_ATUAL]]*-1,Base_Periodo1[[#This Row],[SALDO_ATUAL]]),4)</f>
        <v>2751.34</v>
      </c>
      <c r="N5472" t="s">
        <v>116</v>
      </c>
      <c r="O5472" t="s">
        <v>459</v>
      </c>
      <c r="P5472" t="s">
        <v>459</v>
      </c>
      <c r="Q5472">
        <v>6</v>
      </c>
      <c r="R5472" s="281">
        <f>Base_Periodo1[[#This Row],[CREDITOS]]-Base_Periodo1[[#This Row],[DEBITOS]]</f>
        <v>0</v>
      </c>
      <c r="S5472" s="3" t="str">
        <f>IF(ISERROR(VLOOKUP(Base_Periodo1[[#This Row],[CONTA]],BaseContasDRE[#All],4,FALSE)),"Fora do DRE",VLOOKUP(Base_Periodo1[[#This Row],[CONTA]],BaseContasDRE[#All],4,FALSE))</f>
        <v>Fora do DRE</v>
      </c>
      <c r="T5472" s="3" t="str">
        <f>IF(ISERROR(VLOOKUP(Base_Periodo1[[#This Row],[CONTA]],BaseContasDRE[#All],5,FALSE)),"Fora do DRE",VLOOKUP(Base_Periodo1[[#This Row],[CONTA]],BaseContasDRE[#All],6,FALSE))</f>
        <v>Fora do DRE</v>
      </c>
      <c r="U5472" s="3" t="str">
        <f>IF(ISERROR(VLOOKUP(Base_Periodo1[[#This Row],[CONTA]],BaseContasDRE[#All],7,FALSE)),"Fora do DRE",VLOOKUP(Base_Periodo1[[#This Row],[CONTA]],BaseContasDRE[#All],7,FALSE))</f>
        <v>Fora do DRE</v>
      </c>
      <c r="V5472" s="3" t="str">
        <f>IF(Base_Periodo1[[#This Row],[Tipo_Linha]]="Fora do DRE","Fora do DRE","( "&amp;Base_Periodo1[[#This Row],[Tipo_Linha]]&amp;" ) "&amp;Base_Periodo1[[#This Row],[Filtro]])</f>
        <v>Fora do DRE</v>
      </c>
      <c r="W5472" s="3" t="str">
        <f>LEFT(Base_Periodo1[[#This Row],[CLASS]],3)</f>
        <v>2.4</v>
      </c>
    </row>
    <row r="5473" spans="1:23" hidden="1">
      <c r="A5473" s="3" t="str">
        <f t="shared" si="85"/>
        <v>Período 1</v>
      </c>
      <c r="B5473">
        <v>15933</v>
      </c>
      <c r="C5473" t="s">
        <v>2300</v>
      </c>
      <c r="D5473" t="s">
        <v>3294</v>
      </c>
      <c r="E5473" s="3" t="str">
        <f>IF(LEN(Base_Periodo1[[#This Row],[CLASS]])&gt;=7,LEFT(Base_Periodo1[[#This Row],[CLASS]],7),"")</f>
        <v>2.4.1.1</v>
      </c>
      <c r="F5473" s="3" t="str">
        <f>VLOOKUP(Base_Periodo1[[#This Row],[Aux]],Base_Contas_Balanco[#All],2,FALSE)</f>
        <v>Capital Social Realizado</v>
      </c>
      <c r="G5473" s="1"/>
      <c r="H5473" s="281">
        <v>2013.65</v>
      </c>
      <c r="I5473" s="281">
        <v>0</v>
      </c>
      <c r="J5473" s="281">
        <v>0</v>
      </c>
      <c r="K5473" s="281">
        <v>2013.65</v>
      </c>
      <c r="L547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2013.65</v>
      </c>
      <c r="M5473" s="281">
        <f>ROUND(IF(AND(Base_Periodo1[[#This Row],[Tipo_Linha]]="-",Base_Periodo1[[#This Row],[TIPOSALDO]]="D"),Base_Periodo1[[#This Row],[SALDO_ATUAL]]*-1,Base_Periodo1[[#This Row],[SALDO_ATUAL]]),4)</f>
        <v>2013.65</v>
      </c>
      <c r="N5473" t="s">
        <v>116</v>
      </c>
      <c r="O5473" t="s">
        <v>459</v>
      </c>
      <c r="P5473" t="s">
        <v>459</v>
      </c>
      <c r="Q5473">
        <v>6</v>
      </c>
      <c r="R5473" s="281">
        <f>Base_Periodo1[[#This Row],[CREDITOS]]-Base_Periodo1[[#This Row],[DEBITOS]]</f>
        <v>0</v>
      </c>
      <c r="S5473" s="3" t="str">
        <f>IF(ISERROR(VLOOKUP(Base_Periodo1[[#This Row],[CONTA]],BaseContasDRE[#All],4,FALSE)),"Fora do DRE",VLOOKUP(Base_Periodo1[[#This Row],[CONTA]],BaseContasDRE[#All],4,FALSE))</f>
        <v>Fora do DRE</v>
      </c>
      <c r="T5473" s="3" t="str">
        <f>IF(ISERROR(VLOOKUP(Base_Periodo1[[#This Row],[CONTA]],BaseContasDRE[#All],5,FALSE)),"Fora do DRE",VLOOKUP(Base_Periodo1[[#This Row],[CONTA]],BaseContasDRE[#All],6,FALSE))</f>
        <v>Fora do DRE</v>
      </c>
      <c r="U5473" s="3" t="str">
        <f>IF(ISERROR(VLOOKUP(Base_Periodo1[[#This Row],[CONTA]],BaseContasDRE[#All],7,FALSE)),"Fora do DRE",VLOOKUP(Base_Periodo1[[#This Row],[CONTA]],BaseContasDRE[#All],7,FALSE))</f>
        <v>Fora do DRE</v>
      </c>
      <c r="V5473" s="3" t="str">
        <f>IF(Base_Periodo1[[#This Row],[Tipo_Linha]]="Fora do DRE","Fora do DRE","( "&amp;Base_Periodo1[[#This Row],[Tipo_Linha]]&amp;" ) "&amp;Base_Periodo1[[#This Row],[Filtro]])</f>
        <v>Fora do DRE</v>
      </c>
      <c r="W5473" s="3" t="str">
        <f>LEFT(Base_Periodo1[[#This Row],[CLASS]],3)</f>
        <v>2.4</v>
      </c>
    </row>
    <row r="5474" spans="1:23" hidden="1">
      <c r="A5474" s="3" t="str">
        <f t="shared" si="85"/>
        <v>Período 1</v>
      </c>
      <c r="B5474">
        <v>27484</v>
      </c>
      <c r="C5474" t="s">
        <v>2300</v>
      </c>
      <c r="D5474" t="s">
        <v>3295</v>
      </c>
      <c r="E5474" s="3" t="str">
        <f>IF(LEN(Base_Periodo1[[#This Row],[CLASS]])&gt;=7,LEFT(Base_Periodo1[[#This Row],[CLASS]],7),"")</f>
        <v>2.4.1.1</v>
      </c>
      <c r="F5474" s="3" t="str">
        <f>VLOOKUP(Base_Periodo1[[#This Row],[Aux]],Base_Contas_Balanco[#All],2,FALSE)</f>
        <v>Capital Social Realizado</v>
      </c>
      <c r="G5474" s="1"/>
      <c r="H5474" s="281">
        <v>51.11</v>
      </c>
      <c r="I5474" s="281">
        <v>0</v>
      </c>
      <c r="J5474" s="281">
        <v>0</v>
      </c>
      <c r="K5474" s="281">
        <v>51.11</v>
      </c>
      <c r="L547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51.11</v>
      </c>
      <c r="M5474" s="281">
        <f>ROUND(IF(AND(Base_Periodo1[[#This Row],[Tipo_Linha]]="-",Base_Periodo1[[#This Row],[TIPOSALDO]]="D"),Base_Periodo1[[#This Row],[SALDO_ATUAL]]*-1,Base_Periodo1[[#This Row],[SALDO_ATUAL]]),4)</f>
        <v>51.11</v>
      </c>
      <c r="N5474" t="s">
        <v>116</v>
      </c>
      <c r="O5474" t="s">
        <v>459</v>
      </c>
      <c r="P5474" t="s">
        <v>459</v>
      </c>
      <c r="Q5474">
        <v>6</v>
      </c>
      <c r="R5474" s="281">
        <f>Base_Periodo1[[#This Row],[CREDITOS]]-Base_Periodo1[[#This Row],[DEBITOS]]</f>
        <v>0</v>
      </c>
      <c r="S5474" s="3" t="str">
        <f>IF(ISERROR(VLOOKUP(Base_Periodo1[[#This Row],[CONTA]],BaseContasDRE[#All],4,FALSE)),"Fora do DRE",VLOOKUP(Base_Periodo1[[#This Row],[CONTA]],BaseContasDRE[#All],4,FALSE))</f>
        <v>Fora do DRE</v>
      </c>
      <c r="T5474" s="3" t="str">
        <f>IF(ISERROR(VLOOKUP(Base_Periodo1[[#This Row],[CONTA]],BaseContasDRE[#All],5,FALSE)),"Fora do DRE",VLOOKUP(Base_Periodo1[[#This Row],[CONTA]],BaseContasDRE[#All],6,FALSE))</f>
        <v>Fora do DRE</v>
      </c>
      <c r="U5474" s="3" t="str">
        <f>IF(ISERROR(VLOOKUP(Base_Periodo1[[#This Row],[CONTA]],BaseContasDRE[#All],7,FALSE)),"Fora do DRE",VLOOKUP(Base_Periodo1[[#This Row],[CONTA]],BaseContasDRE[#All],7,FALSE))</f>
        <v>Fora do DRE</v>
      </c>
      <c r="V5474" s="3" t="str">
        <f>IF(Base_Periodo1[[#This Row],[Tipo_Linha]]="Fora do DRE","Fora do DRE","( "&amp;Base_Periodo1[[#This Row],[Tipo_Linha]]&amp;" ) "&amp;Base_Periodo1[[#This Row],[Filtro]])</f>
        <v>Fora do DRE</v>
      </c>
      <c r="W5474" s="3" t="str">
        <f>LEFT(Base_Periodo1[[#This Row],[CLASS]],3)</f>
        <v>2.4</v>
      </c>
    </row>
    <row r="5475" spans="1:23" hidden="1">
      <c r="A5475" s="3" t="str">
        <f t="shared" si="85"/>
        <v>Período 1</v>
      </c>
      <c r="B5475">
        <v>16256</v>
      </c>
      <c r="C5475" t="s">
        <v>2300</v>
      </c>
      <c r="D5475" t="s">
        <v>3296</v>
      </c>
      <c r="E5475" s="3" t="str">
        <f>IF(LEN(Base_Periodo1[[#This Row],[CLASS]])&gt;=7,LEFT(Base_Periodo1[[#This Row],[CLASS]],7),"")</f>
        <v>2.4.1.1</v>
      </c>
      <c r="F5475" s="3" t="str">
        <f>VLOOKUP(Base_Periodo1[[#This Row],[Aux]],Base_Contas_Balanco[#All],2,FALSE)</f>
        <v>Capital Social Realizado</v>
      </c>
      <c r="G5475" s="1"/>
      <c r="H5475" s="281">
        <v>1789.78</v>
      </c>
      <c r="I5475" s="281">
        <v>0</v>
      </c>
      <c r="J5475" s="281">
        <v>0</v>
      </c>
      <c r="K5475" s="281">
        <v>1789.78</v>
      </c>
      <c r="L547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1789.78</v>
      </c>
      <c r="M5475" s="281">
        <f>ROUND(IF(AND(Base_Periodo1[[#This Row],[Tipo_Linha]]="-",Base_Periodo1[[#This Row],[TIPOSALDO]]="D"),Base_Periodo1[[#This Row],[SALDO_ATUAL]]*-1,Base_Periodo1[[#This Row],[SALDO_ATUAL]]),4)</f>
        <v>1789.78</v>
      </c>
      <c r="N5475" t="s">
        <v>116</v>
      </c>
      <c r="O5475" t="s">
        <v>459</v>
      </c>
      <c r="P5475" t="s">
        <v>459</v>
      </c>
      <c r="Q5475">
        <v>6</v>
      </c>
      <c r="R5475" s="281">
        <f>Base_Periodo1[[#This Row],[CREDITOS]]-Base_Periodo1[[#This Row],[DEBITOS]]</f>
        <v>0</v>
      </c>
      <c r="S5475" s="3" t="str">
        <f>IF(ISERROR(VLOOKUP(Base_Periodo1[[#This Row],[CONTA]],BaseContasDRE[#All],4,FALSE)),"Fora do DRE",VLOOKUP(Base_Periodo1[[#This Row],[CONTA]],BaseContasDRE[#All],4,FALSE))</f>
        <v>Fora do DRE</v>
      </c>
      <c r="T5475" s="3" t="str">
        <f>IF(ISERROR(VLOOKUP(Base_Periodo1[[#This Row],[CONTA]],BaseContasDRE[#All],5,FALSE)),"Fora do DRE",VLOOKUP(Base_Periodo1[[#This Row],[CONTA]],BaseContasDRE[#All],6,FALSE))</f>
        <v>Fora do DRE</v>
      </c>
      <c r="U5475" s="3" t="str">
        <f>IF(ISERROR(VLOOKUP(Base_Periodo1[[#This Row],[CONTA]],BaseContasDRE[#All],7,FALSE)),"Fora do DRE",VLOOKUP(Base_Periodo1[[#This Row],[CONTA]],BaseContasDRE[#All],7,FALSE))</f>
        <v>Fora do DRE</v>
      </c>
      <c r="V5475" s="3" t="str">
        <f>IF(Base_Periodo1[[#This Row],[Tipo_Linha]]="Fora do DRE","Fora do DRE","( "&amp;Base_Periodo1[[#This Row],[Tipo_Linha]]&amp;" ) "&amp;Base_Periodo1[[#This Row],[Filtro]])</f>
        <v>Fora do DRE</v>
      </c>
      <c r="W5475" s="3" t="str">
        <f>LEFT(Base_Periodo1[[#This Row],[CLASS]],3)</f>
        <v>2.4</v>
      </c>
    </row>
    <row r="5476" spans="1:23" hidden="1">
      <c r="A5476" s="3" t="str">
        <f t="shared" si="85"/>
        <v>Período 1</v>
      </c>
      <c r="B5476">
        <v>30664</v>
      </c>
      <c r="C5476" t="s">
        <v>2300</v>
      </c>
      <c r="D5476" t="s">
        <v>3297</v>
      </c>
      <c r="E5476" s="3" t="str">
        <f>IF(LEN(Base_Periodo1[[#This Row],[CLASS]])&gt;=7,LEFT(Base_Periodo1[[#This Row],[CLASS]],7),"")</f>
        <v>2.4.1.1</v>
      </c>
      <c r="F5476" s="3" t="str">
        <f>VLOOKUP(Base_Periodo1[[#This Row],[Aux]],Base_Contas_Balanco[#All],2,FALSE)</f>
        <v>Capital Social Realizado</v>
      </c>
      <c r="G5476" s="1"/>
      <c r="H5476" s="281">
        <v>119.33</v>
      </c>
      <c r="I5476" s="281">
        <v>0</v>
      </c>
      <c r="J5476" s="281">
        <v>0</v>
      </c>
      <c r="K5476" s="281">
        <v>119.33</v>
      </c>
      <c r="L547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119.33</v>
      </c>
      <c r="M5476" s="281">
        <f>ROUND(IF(AND(Base_Periodo1[[#This Row],[Tipo_Linha]]="-",Base_Periodo1[[#This Row],[TIPOSALDO]]="D"),Base_Periodo1[[#This Row],[SALDO_ATUAL]]*-1,Base_Periodo1[[#This Row],[SALDO_ATUAL]]),4)</f>
        <v>119.33</v>
      </c>
      <c r="N5476" t="s">
        <v>116</v>
      </c>
      <c r="O5476" t="s">
        <v>459</v>
      </c>
      <c r="P5476" t="s">
        <v>459</v>
      </c>
      <c r="Q5476">
        <v>6</v>
      </c>
      <c r="R5476" s="281">
        <f>Base_Periodo1[[#This Row],[CREDITOS]]-Base_Periodo1[[#This Row],[DEBITOS]]</f>
        <v>0</v>
      </c>
      <c r="S5476" s="3" t="str">
        <f>IF(ISERROR(VLOOKUP(Base_Periodo1[[#This Row],[CONTA]],BaseContasDRE[#All],4,FALSE)),"Fora do DRE",VLOOKUP(Base_Periodo1[[#This Row],[CONTA]],BaseContasDRE[#All],4,FALSE))</f>
        <v>Fora do DRE</v>
      </c>
      <c r="T5476" s="3" t="str">
        <f>IF(ISERROR(VLOOKUP(Base_Periodo1[[#This Row],[CONTA]],BaseContasDRE[#All],5,FALSE)),"Fora do DRE",VLOOKUP(Base_Periodo1[[#This Row],[CONTA]],BaseContasDRE[#All],6,FALSE))</f>
        <v>Fora do DRE</v>
      </c>
      <c r="U5476" s="3" t="str">
        <f>IF(ISERROR(VLOOKUP(Base_Periodo1[[#This Row],[CONTA]],BaseContasDRE[#All],7,FALSE)),"Fora do DRE",VLOOKUP(Base_Periodo1[[#This Row],[CONTA]],BaseContasDRE[#All],7,FALSE))</f>
        <v>Fora do DRE</v>
      </c>
      <c r="V5476" s="3" t="str">
        <f>IF(Base_Periodo1[[#This Row],[Tipo_Linha]]="Fora do DRE","Fora do DRE","( "&amp;Base_Periodo1[[#This Row],[Tipo_Linha]]&amp;" ) "&amp;Base_Periodo1[[#This Row],[Filtro]])</f>
        <v>Fora do DRE</v>
      </c>
      <c r="W5476" s="3" t="str">
        <f>LEFT(Base_Periodo1[[#This Row],[CLASS]],3)</f>
        <v>2.4</v>
      </c>
    </row>
    <row r="5477" spans="1:23" hidden="1">
      <c r="A5477" s="3" t="str">
        <f t="shared" si="85"/>
        <v>Período 1</v>
      </c>
      <c r="B5477">
        <v>28380</v>
      </c>
      <c r="C5477" t="s">
        <v>2300</v>
      </c>
      <c r="D5477" t="s">
        <v>3298</v>
      </c>
      <c r="E5477" s="3" t="str">
        <f>IF(LEN(Base_Periodo1[[#This Row],[CLASS]])&gt;=7,LEFT(Base_Periodo1[[#This Row],[CLASS]],7),"")</f>
        <v>2.4.1.1</v>
      </c>
      <c r="F5477" s="3" t="str">
        <f>VLOOKUP(Base_Periodo1[[#This Row],[Aux]],Base_Contas_Balanco[#All],2,FALSE)</f>
        <v>Capital Social Realizado</v>
      </c>
      <c r="G5477" s="1"/>
      <c r="H5477" s="281">
        <v>131.66</v>
      </c>
      <c r="I5477" s="281">
        <v>0</v>
      </c>
      <c r="J5477" s="281">
        <v>0</v>
      </c>
      <c r="K5477" s="281">
        <v>131.66</v>
      </c>
      <c r="L547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131.66</v>
      </c>
      <c r="M5477" s="281">
        <f>ROUND(IF(AND(Base_Periodo1[[#This Row],[Tipo_Linha]]="-",Base_Periodo1[[#This Row],[TIPOSALDO]]="D"),Base_Periodo1[[#This Row],[SALDO_ATUAL]]*-1,Base_Periodo1[[#This Row],[SALDO_ATUAL]]),4)</f>
        <v>131.66</v>
      </c>
      <c r="N5477" t="s">
        <v>116</v>
      </c>
      <c r="O5477" t="s">
        <v>459</v>
      </c>
      <c r="P5477" t="s">
        <v>459</v>
      </c>
      <c r="Q5477">
        <v>6</v>
      </c>
      <c r="R5477" s="281">
        <f>Base_Periodo1[[#This Row],[CREDITOS]]-Base_Periodo1[[#This Row],[DEBITOS]]</f>
        <v>0</v>
      </c>
      <c r="S5477" s="3" t="str">
        <f>IF(ISERROR(VLOOKUP(Base_Periodo1[[#This Row],[CONTA]],BaseContasDRE[#All],4,FALSE)),"Fora do DRE",VLOOKUP(Base_Periodo1[[#This Row],[CONTA]],BaseContasDRE[#All],4,FALSE))</f>
        <v>Fora do DRE</v>
      </c>
      <c r="T5477" s="3" t="str">
        <f>IF(ISERROR(VLOOKUP(Base_Periodo1[[#This Row],[CONTA]],BaseContasDRE[#All],5,FALSE)),"Fora do DRE",VLOOKUP(Base_Periodo1[[#This Row],[CONTA]],BaseContasDRE[#All],6,FALSE))</f>
        <v>Fora do DRE</v>
      </c>
      <c r="U5477" s="3" t="str">
        <f>IF(ISERROR(VLOOKUP(Base_Periodo1[[#This Row],[CONTA]],BaseContasDRE[#All],7,FALSE)),"Fora do DRE",VLOOKUP(Base_Periodo1[[#This Row],[CONTA]],BaseContasDRE[#All],7,FALSE))</f>
        <v>Fora do DRE</v>
      </c>
      <c r="V5477" s="3" t="str">
        <f>IF(Base_Periodo1[[#This Row],[Tipo_Linha]]="Fora do DRE","Fora do DRE","( "&amp;Base_Periodo1[[#This Row],[Tipo_Linha]]&amp;" ) "&amp;Base_Periodo1[[#This Row],[Filtro]])</f>
        <v>Fora do DRE</v>
      </c>
      <c r="W5477" s="3" t="str">
        <f>LEFT(Base_Periodo1[[#This Row],[CLASS]],3)</f>
        <v>2.4</v>
      </c>
    </row>
    <row r="5478" spans="1:23" hidden="1">
      <c r="A5478" s="3" t="str">
        <f t="shared" si="85"/>
        <v>Período 1</v>
      </c>
      <c r="B5478">
        <v>16086</v>
      </c>
      <c r="C5478" t="s">
        <v>2300</v>
      </c>
      <c r="D5478" t="s">
        <v>3299</v>
      </c>
      <c r="E5478" s="3" t="str">
        <f>IF(LEN(Base_Periodo1[[#This Row],[CLASS]])&gt;=7,LEFT(Base_Periodo1[[#This Row],[CLASS]],7),"")</f>
        <v>2.4.1.1</v>
      </c>
      <c r="F5478" s="3" t="str">
        <f>VLOOKUP(Base_Periodo1[[#This Row],[Aux]],Base_Contas_Balanco[#All],2,FALSE)</f>
        <v>Capital Social Realizado</v>
      </c>
      <c r="G5478" s="1"/>
      <c r="H5478" s="281">
        <v>3324.3999999999996</v>
      </c>
      <c r="I5478" s="281">
        <v>0</v>
      </c>
      <c r="J5478" s="281">
        <v>0</v>
      </c>
      <c r="K5478" s="281">
        <v>3324.3999999999996</v>
      </c>
      <c r="L547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3324.4</v>
      </c>
      <c r="M5478" s="281">
        <f>ROUND(IF(AND(Base_Periodo1[[#This Row],[Tipo_Linha]]="-",Base_Periodo1[[#This Row],[TIPOSALDO]]="D"),Base_Periodo1[[#This Row],[SALDO_ATUAL]]*-1,Base_Periodo1[[#This Row],[SALDO_ATUAL]]),4)</f>
        <v>3324.4</v>
      </c>
      <c r="N5478" t="s">
        <v>116</v>
      </c>
      <c r="O5478" t="s">
        <v>459</v>
      </c>
      <c r="P5478" t="s">
        <v>459</v>
      </c>
      <c r="Q5478">
        <v>6</v>
      </c>
      <c r="R5478" s="281">
        <f>Base_Periodo1[[#This Row],[CREDITOS]]-Base_Periodo1[[#This Row],[DEBITOS]]</f>
        <v>0</v>
      </c>
      <c r="S5478" s="3" t="str">
        <f>IF(ISERROR(VLOOKUP(Base_Periodo1[[#This Row],[CONTA]],BaseContasDRE[#All],4,FALSE)),"Fora do DRE",VLOOKUP(Base_Periodo1[[#This Row],[CONTA]],BaseContasDRE[#All],4,FALSE))</f>
        <v>Fora do DRE</v>
      </c>
      <c r="T5478" s="3" t="str">
        <f>IF(ISERROR(VLOOKUP(Base_Periodo1[[#This Row],[CONTA]],BaseContasDRE[#All],5,FALSE)),"Fora do DRE",VLOOKUP(Base_Periodo1[[#This Row],[CONTA]],BaseContasDRE[#All],6,FALSE))</f>
        <v>Fora do DRE</v>
      </c>
      <c r="U5478" s="3" t="str">
        <f>IF(ISERROR(VLOOKUP(Base_Periodo1[[#This Row],[CONTA]],BaseContasDRE[#All],7,FALSE)),"Fora do DRE",VLOOKUP(Base_Periodo1[[#This Row],[CONTA]],BaseContasDRE[#All],7,FALSE))</f>
        <v>Fora do DRE</v>
      </c>
      <c r="V5478" s="3" t="str">
        <f>IF(Base_Periodo1[[#This Row],[Tipo_Linha]]="Fora do DRE","Fora do DRE","( "&amp;Base_Periodo1[[#This Row],[Tipo_Linha]]&amp;" ) "&amp;Base_Periodo1[[#This Row],[Filtro]])</f>
        <v>Fora do DRE</v>
      </c>
      <c r="W5478" s="3" t="str">
        <f>LEFT(Base_Periodo1[[#This Row],[CLASS]],3)</f>
        <v>2.4</v>
      </c>
    </row>
    <row r="5479" spans="1:23" hidden="1">
      <c r="A5479" s="3" t="str">
        <f t="shared" si="85"/>
        <v>Período 1</v>
      </c>
      <c r="B5479">
        <v>26666</v>
      </c>
      <c r="C5479" t="s">
        <v>2300</v>
      </c>
      <c r="D5479" t="s">
        <v>3300</v>
      </c>
      <c r="E5479" s="3" t="str">
        <f>IF(LEN(Base_Periodo1[[#This Row],[CLASS]])&gt;=7,LEFT(Base_Periodo1[[#This Row],[CLASS]],7),"")</f>
        <v>2.4.1.1</v>
      </c>
      <c r="F5479" s="3" t="str">
        <f>VLOOKUP(Base_Periodo1[[#This Row],[Aux]],Base_Contas_Balanco[#All],2,FALSE)</f>
        <v>Capital Social Realizado</v>
      </c>
      <c r="G5479" s="1"/>
      <c r="H5479" s="281">
        <v>180.65</v>
      </c>
      <c r="I5479" s="281">
        <v>0</v>
      </c>
      <c r="J5479" s="281">
        <v>0</v>
      </c>
      <c r="K5479" s="281">
        <v>180.65</v>
      </c>
      <c r="L547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180.65</v>
      </c>
      <c r="M5479" s="281">
        <f>ROUND(IF(AND(Base_Periodo1[[#This Row],[Tipo_Linha]]="-",Base_Periodo1[[#This Row],[TIPOSALDO]]="D"),Base_Periodo1[[#This Row],[SALDO_ATUAL]]*-1,Base_Periodo1[[#This Row],[SALDO_ATUAL]]),4)</f>
        <v>180.65</v>
      </c>
      <c r="N5479" t="s">
        <v>116</v>
      </c>
      <c r="O5479" t="s">
        <v>459</v>
      </c>
      <c r="P5479" t="s">
        <v>459</v>
      </c>
      <c r="Q5479">
        <v>6</v>
      </c>
      <c r="R5479" s="281">
        <f>Base_Periodo1[[#This Row],[CREDITOS]]-Base_Periodo1[[#This Row],[DEBITOS]]</f>
        <v>0</v>
      </c>
      <c r="S5479" s="3" t="str">
        <f>IF(ISERROR(VLOOKUP(Base_Periodo1[[#This Row],[CONTA]],BaseContasDRE[#All],4,FALSE)),"Fora do DRE",VLOOKUP(Base_Periodo1[[#This Row],[CONTA]],BaseContasDRE[#All],4,FALSE))</f>
        <v>Fora do DRE</v>
      </c>
      <c r="T5479" s="3" t="str">
        <f>IF(ISERROR(VLOOKUP(Base_Periodo1[[#This Row],[CONTA]],BaseContasDRE[#All],5,FALSE)),"Fora do DRE",VLOOKUP(Base_Periodo1[[#This Row],[CONTA]],BaseContasDRE[#All],6,FALSE))</f>
        <v>Fora do DRE</v>
      </c>
      <c r="U5479" s="3" t="str">
        <f>IF(ISERROR(VLOOKUP(Base_Periodo1[[#This Row],[CONTA]],BaseContasDRE[#All],7,FALSE)),"Fora do DRE",VLOOKUP(Base_Periodo1[[#This Row],[CONTA]],BaseContasDRE[#All],7,FALSE))</f>
        <v>Fora do DRE</v>
      </c>
      <c r="V5479" s="3" t="str">
        <f>IF(Base_Periodo1[[#This Row],[Tipo_Linha]]="Fora do DRE","Fora do DRE","( "&amp;Base_Periodo1[[#This Row],[Tipo_Linha]]&amp;" ) "&amp;Base_Periodo1[[#This Row],[Filtro]])</f>
        <v>Fora do DRE</v>
      </c>
      <c r="W5479" s="3" t="str">
        <f>LEFT(Base_Periodo1[[#This Row],[CLASS]],3)</f>
        <v>2.4</v>
      </c>
    </row>
    <row r="5480" spans="1:23" hidden="1">
      <c r="A5480" s="3" t="str">
        <f t="shared" si="85"/>
        <v>Período 1</v>
      </c>
      <c r="B5480">
        <v>26830</v>
      </c>
      <c r="C5480" t="s">
        <v>2300</v>
      </c>
      <c r="D5480" t="s">
        <v>3301</v>
      </c>
      <c r="E5480" s="3" t="str">
        <f>IF(LEN(Base_Periodo1[[#This Row],[CLASS]])&gt;=7,LEFT(Base_Periodo1[[#This Row],[CLASS]],7),"")</f>
        <v>2.4.1.1</v>
      </c>
      <c r="F5480" s="3" t="str">
        <f>VLOOKUP(Base_Periodo1[[#This Row],[Aux]],Base_Contas_Balanco[#All],2,FALSE)</f>
        <v>Capital Social Realizado</v>
      </c>
      <c r="G5480" s="1"/>
      <c r="H5480" s="281">
        <v>50</v>
      </c>
      <c r="I5480" s="281">
        <v>0</v>
      </c>
      <c r="J5480" s="281">
        <v>0</v>
      </c>
      <c r="K5480" s="281">
        <v>50</v>
      </c>
      <c r="L548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480" s="281">
        <f>ROUND(IF(AND(Base_Periodo1[[#This Row],[Tipo_Linha]]="-",Base_Periodo1[[#This Row],[TIPOSALDO]]="D"),Base_Periodo1[[#This Row],[SALDO_ATUAL]]*-1,Base_Periodo1[[#This Row],[SALDO_ATUAL]]),4)</f>
        <v>50</v>
      </c>
      <c r="N5480" t="s">
        <v>116</v>
      </c>
      <c r="O5480" t="s">
        <v>459</v>
      </c>
      <c r="P5480" t="s">
        <v>459</v>
      </c>
      <c r="Q5480">
        <v>6</v>
      </c>
      <c r="R5480" s="281">
        <f>Base_Periodo1[[#This Row],[CREDITOS]]-Base_Periodo1[[#This Row],[DEBITOS]]</f>
        <v>0</v>
      </c>
      <c r="S5480" s="3" t="str">
        <f>IF(ISERROR(VLOOKUP(Base_Periodo1[[#This Row],[CONTA]],BaseContasDRE[#All],4,FALSE)),"Fora do DRE",VLOOKUP(Base_Periodo1[[#This Row],[CONTA]],BaseContasDRE[#All],4,FALSE))</f>
        <v>Fora do DRE</v>
      </c>
      <c r="T5480" s="3" t="str">
        <f>IF(ISERROR(VLOOKUP(Base_Periodo1[[#This Row],[CONTA]],BaseContasDRE[#All],5,FALSE)),"Fora do DRE",VLOOKUP(Base_Periodo1[[#This Row],[CONTA]],BaseContasDRE[#All],6,FALSE))</f>
        <v>Fora do DRE</v>
      </c>
      <c r="U5480" s="3" t="str">
        <f>IF(ISERROR(VLOOKUP(Base_Periodo1[[#This Row],[CONTA]],BaseContasDRE[#All],7,FALSE)),"Fora do DRE",VLOOKUP(Base_Periodo1[[#This Row],[CONTA]],BaseContasDRE[#All],7,FALSE))</f>
        <v>Fora do DRE</v>
      </c>
      <c r="V5480" s="3" t="str">
        <f>IF(Base_Periodo1[[#This Row],[Tipo_Linha]]="Fora do DRE","Fora do DRE","( "&amp;Base_Periodo1[[#This Row],[Tipo_Linha]]&amp;" ) "&amp;Base_Periodo1[[#This Row],[Filtro]])</f>
        <v>Fora do DRE</v>
      </c>
      <c r="W5480" s="3" t="str">
        <f>LEFT(Base_Periodo1[[#This Row],[CLASS]],3)</f>
        <v>2.4</v>
      </c>
    </row>
    <row r="5481" spans="1:23" hidden="1">
      <c r="A5481" s="3" t="str">
        <f t="shared" si="85"/>
        <v>Período 1</v>
      </c>
      <c r="B5481">
        <v>25696</v>
      </c>
      <c r="C5481" t="s">
        <v>2300</v>
      </c>
      <c r="D5481" t="s">
        <v>3302</v>
      </c>
      <c r="E5481" s="3" t="str">
        <f>IF(LEN(Base_Periodo1[[#This Row],[CLASS]])&gt;=7,LEFT(Base_Periodo1[[#This Row],[CLASS]],7),"")</f>
        <v>2.4.1.1</v>
      </c>
      <c r="F5481" s="3" t="str">
        <f>VLOOKUP(Base_Periodo1[[#This Row],[Aux]],Base_Contas_Balanco[#All],2,FALSE)</f>
        <v>Capital Social Realizado</v>
      </c>
      <c r="G5481" s="1"/>
      <c r="H5481" s="281">
        <v>58.35</v>
      </c>
      <c r="I5481" s="281">
        <v>0</v>
      </c>
      <c r="J5481" s="281">
        <v>0</v>
      </c>
      <c r="K5481" s="281">
        <v>58.35</v>
      </c>
      <c r="L548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58.35</v>
      </c>
      <c r="M5481" s="281">
        <f>ROUND(IF(AND(Base_Periodo1[[#This Row],[Tipo_Linha]]="-",Base_Periodo1[[#This Row],[TIPOSALDO]]="D"),Base_Periodo1[[#This Row],[SALDO_ATUAL]]*-1,Base_Periodo1[[#This Row],[SALDO_ATUAL]]),4)</f>
        <v>58.35</v>
      </c>
      <c r="N5481" t="s">
        <v>116</v>
      </c>
      <c r="O5481" t="s">
        <v>459</v>
      </c>
      <c r="P5481" t="s">
        <v>459</v>
      </c>
      <c r="Q5481">
        <v>6</v>
      </c>
      <c r="R5481" s="281">
        <f>Base_Periodo1[[#This Row],[CREDITOS]]-Base_Periodo1[[#This Row],[DEBITOS]]</f>
        <v>0</v>
      </c>
      <c r="S5481" s="3" t="str">
        <f>IF(ISERROR(VLOOKUP(Base_Periodo1[[#This Row],[CONTA]],BaseContasDRE[#All],4,FALSE)),"Fora do DRE",VLOOKUP(Base_Periodo1[[#This Row],[CONTA]],BaseContasDRE[#All],4,FALSE))</f>
        <v>Fora do DRE</v>
      </c>
      <c r="T5481" s="3" t="str">
        <f>IF(ISERROR(VLOOKUP(Base_Periodo1[[#This Row],[CONTA]],BaseContasDRE[#All],5,FALSE)),"Fora do DRE",VLOOKUP(Base_Periodo1[[#This Row],[CONTA]],BaseContasDRE[#All],6,FALSE))</f>
        <v>Fora do DRE</v>
      </c>
      <c r="U5481" s="3" t="str">
        <f>IF(ISERROR(VLOOKUP(Base_Periodo1[[#This Row],[CONTA]],BaseContasDRE[#All],7,FALSE)),"Fora do DRE",VLOOKUP(Base_Periodo1[[#This Row],[CONTA]],BaseContasDRE[#All],7,FALSE))</f>
        <v>Fora do DRE</v>
      </c>
      <c r="V5481" s="3" t="str">
        <f>IF(Base_Periodo1[[#This Row],[Tipo_Linha]]="Fora do DRE","Fora do DRE","( "&amp;Base_Periodo1[[#This Row],[Tipo_Linha]]&amp;" ) "&amp;Base_Periodo1[[#This Row],[Filtro]])</f>
        <v>Fora do DRE</v>
      </c>
      <c r="W5481" s="3" t="str">
        <f>LEFT(Base_Periodo1[[#This Row],[CLASS]],3)</f>
        <v>2.4</v>
      </c>
    </row>
    <row r="5482" spans="1:23" hidden="1">
      <c r="A5482" s="3" t="str">
        <f t="shared" si="85"/>
        <v>Período 1</v>
      </c>
      <c r="B5482">
        <v>16060</v>
      </c>
      <c r="C5482" t="s">
        <v>2300</v>
      </c>
      <c r="D5482" t="s">
        <v>3303</v>
      </c>
      <c r="E5482" s="3" t="str">
        <f>IF(LEN(Base_Periodo1[[#This Row],[CLASS]])&gt;=7,LEFT(Base_Periodo1[[#This Row],[CLASS]],7),"")</f>
        <v>2.4.1.1</v>
      </c>
      <c r="F5482" s="3" t="str">
        <f>VLOOKUP(Base_Periodo1[[#This Row],[Aux]],Base_Contas_Balanco[#All],2,FALSE)</f>
        <v>Capital Social Realizado</v>
      </c>
      <c r="G5482" s="1"/>
      <c r="H5482" s="281">
        <v>2115.4499999999998</v>
      </c>
      <c r="I5482" s="281">
        <v>0</v>
      </c>
      <c r="J5482" s="281">
        <v>0</v>
      </c>
      <c r="K5482" s="281">
        <v>2115.4499999999998</v>
      </c>
      <c r="L548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2115.4499999999998</v>
      </c>
      <c r="M5482" s="281">
        <f>ROUND(IF(AND(Base_Periodo1[[#This Row],[Tipo_Linha]]="-",Base_Periodo1[[#This Row],[TIPOSALDO]]="D"),Base_Periodo1[[#This Row],[SALDO_ATUAL]]*-1,Base_Periodo1[[#This Row],[SALDO_ATUAL]]),4)</f>
        <v>2115.4499999999998</v>
      </c>
      <c r="N5482" t="s">
        <v>116</v>
      </c>
      <c r="O5482" t="s">
        <v>459</v>
      </c>
      <c r="P5482" t="s">
        <v>459</v>
      </c>
      <c r="Q5482">
        <v>6</v>
      </c>
      <c r="R5482" s="281">
        <f>Base_Periodo1[[#This Row],[CREDITOS]]-Base_Periodo1[[#This Row],[DEBITOS]]</f>
        <v>0</v>
      </c>
      <c r="S5482" s="3" t="str">
        <f>IF(ISERROR(VLOOKUP(Base_Periodo1[[#This Row],[CONTA]],BaseContasDRE[#All],4,FALSE)),"Fora do DRE",VLOOKUP(Base_Periodo1[[#This Row],[CONTA]],BaseContasDRE[#All],4,FALSE))</f>
        <v>Fora do DRE</v>
      </c>
      <c r="T5482" s="3" t="str">
        <f>IF(ISERROR(VLOOKUP(Base_Periodo1[[#This Row],[CONTA]],BaseContasDRE[#All],5,FALSE)),"Fora do DRE",VLOOKUP(Base_Periodo1[[#This Row],[CONTA]],BaseContasDRE[#All],6,FALSE))</f>
        <v>Fora do DRE</v>
      </c>
      <c r="U5482" s="3" t="str">
        <f>IF(ISERROR(VLOOKUP(Base_Periodo1[[#This Row],[CONTA]],BaseContasDRE[#All],7,FALSE)),"Fora do DRE",VLOOKUP(Base_Periodo1[[#This Row],[CONTA]],BaseContasDRE[#All],7,FALSE))</f>
        <v>Fora do DRE</v>
      </c>
      <c r="V5482" s="3" t="str">
        <f>IF(Base_Periodo1[[#This Row],[Tipo_Linha]]="Fora do DRE","Fora do DRE","( "&amp;Base_Periodo1[[#This Row],[Tipo_Linha]]&amp;" ) "&amp;Base_Periodo1[[#This Row],[Filtro]])</f>
        <v>Fora do DRE</v>
      </c>
      <c r="W5482" s="3" t="str">
        <f>LEFT(Base_Periodo1[[#This Row],[CLASS]],3)</f>
        <v>2.4</v>
      </c>
    </row>
    <row r="5483" spans="1:23" hidden="1">
      <c r="A5483" s="3" t="str">
        <f t="shared" si="85"/>
        <v>Período 1</v>
      </c>
      <c r="B5483">
        <v>16295</v>
      </c>
      <c r="C5483" t="s">
        <v>2300</v>
      </c>
      <c r="D5483" t="s">
        <v>3304</v>
      </c>
      <c r="E5483" s="3" t="str">
        <f>IF(LEN(Base_Periodo1[[#This Row],[CLASS]])&gt;=7,LEFT(Base_Periodo1[[#This Row],[CLASS]],7),"")</f>
        <v>2.4.1.1</v>
      </c>
      <c r="F5483" s="3" t="str">
        <f>VLOOKUP(Base_Periodo1[[#This Row],[Aux]],Base_Contas_Balanco[#All],2,FALSE)</f>
        <v>Capital Social Realizado</v>
      </c>
      <c r="G5483" s="1"/>
      <c r="H5483" s="281">
        <v>1392.41</v>
      </c>
      <c r="I5483" s="281">
        <v>0</v>
      </c>
      <c r="J5483" s="281">
        <v>0</v>
      </c>
      <c r="K5483" s="281">
        <v>1392.41</v>
      </c>
      <c r="L548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1392.41</v>
      </c>
      <c r="M5483" s="281">
        <f>ROUND(IF(AND(Base_Periodo1[[#This Row],[Tipo_Linha]]="-",Base_Periodo1[[#This Row],[TIPOSALDO]]="D"),Base_Periodo1[[#This Row],[SALDO_ATUAL]]*-1,Base_Periodo1[[#This Row],[SALDO_ATUAL]]),4)</f>
        <v>1392.41</v>
      </c>
      <c r="N5483" t="s">
        <v>116</v>
      </c>
      <c r="O5483" t="s">
        <v>459</v>
      </c>
      <c r="P5483" t="s">
        <v>459</v>
      </c>
      <c r="Q5483">
        <v>6</v>
      </c>
      <c r="R5483" s="281">
        <f>Base_Periodo1[[#This Row],[CREDITOS]]-Base_Periodo1[[#This Row],[DEBITOS]]</f>
        <v>0</v>
      </c>
      <c r="S5483" s="3" t="str">
        <f>IF(ISERROR(VLOOKUP(Base_Periodo1[[#This Row],[CONTA]],BaseContasDRE[#All],4,FALSE)),"Fora do DRE",VLOOKUP(Base_Periodo1[[#This Row],[CONTA]],BaseContasDRE[#All],4,FALSE))</f>
        <v>Fora do DRE</v>
      </c>
      <c r="T5483" s="3" t="str">
        <f>IF(ISERROR(VLOOKUP(Base_Periodo1[[#This Row],[CONTA]],BaseContasDRE[#All],5,FALSE)),"Fora do DRE",VLOOKUP(Base_Periodo1[[#This Row],[CONTA]],BaseContasDRE[#All],6,FALSE))</f>
        <v>Fora do DRE</v>
      </c>
      <c r="U5483" s="3" t="str">
        <f>IF(ISERROR(VLOOKUP(Base_Periodo1[[#This Row],[CONTA]],BaseContasDRE[#All],7,FALSE)),"Fora do DRE",VLOOKUP(Base_Periodo1[[#This Row],[CONTA]],BaseContasDRE[#All],7,FALSE))</f>
        <v>Fora do DRE</v>
      </c>
      <c r="V5483" s="3" t="str">
        <f>IF(Base_Periodo1[[#This Row],[Tipo_Linha]]="Fora do DRE","Fora do DRE","( "&amp;Base_Periodo1[[#This Row],[Tipo_Linha]]&amp;" ) "&amp;Base_Periodo1[[#This Row],[Filtro]])</f>
        <v>Fora do DRE</v>
      </c>
      <c r="W5483" s="3" t="str">
        <f>LEFT(Base_Periodo1[[#This Row],[CLASS]],3)</f>
        <v>2.4</v>
      </c>
    </row>
    <row r="5484" spans="1:23" hidden="1">
      <c r="A5484" s="3" t="str">
        <f t="shared" si="85"/>
        <v>Período 1</v>
      </c>
      <c r="B5484">
        <v>23312</v>
      </c>
      <c r="C5484" t="s">
        <v>2300</v>
      </c>
      <c r="D5484" t="s">
        <v>3305</v>
      </c>
      <c r="E5484" s="3" t="str">
        <f>IF(LEN(Base_Periodo1[[#This Row],[CLASS]])&gt;=7,LEFT(Base_Periodo1[[#This Row],[CLASS]],7),"")</f>
        <v>2.4.1.1</v>
      </c>
      <c r="F5484" s="3" t="str">
        <f>VLOOKUP(Base_Periodo1[[#This Row],[Aux]],Base_Contas_Balanco[#All],2,FALSE)</f>
        <v>Capital Social Realizado</v>
      </c>
      <c r="G5484" s="1"/>
      <c r="H5484" s="281">
        <v>1401.5700000000002</v>
      </c>
      <c r="I5484" s="281">
        <v>0</v>
      </c>
      <c r="J5484" s="281">
        <v>0</v>
      </c>
      <c r="K5484" s="281">
        <v>1401.5700000000002</v>
      </c>
      <c r="L548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1401.57</v>
      </c>
      <c r="M5484" s="281">
        <f>ROUND(IF(AND(Base_Periodo1[[#This Row],[Tipo_Linha]]="-",Base_Periodo1[[#This Row],[TIPOSALDO]]="D"),Base_Periodo1[[#This Row],[SALDO_ATUAL]]*-1,Base_Periodo1[[#This Row],[SALDO_ATUAL]]),4)</f>
        <v>1401.57</v>
      </c>
      <c r="N5484" t="s">
        <v>116</v>
      </c>
      <c r="O5484" t="s">
        <v>459</v>
      </c>
      <c r="P5484" t="s">
        <v>459</v>
      </c>
      <c r="Q5484">
        <v>6</v>
      </c>
      <c r="R5484" s="281">
        <f>Base_Periodo1[[#This Row],[CREDITOS]]-Base_Periodo1[[#This Row],[DEBITOS]]</f>
        <v>0</v>
      </c>
      <c r="S5484" s="3" t="str">
        <f>IF(ISERROR(VLOOKUP(Base_Periodo1[[#This Row],[CONTA]],BaseContasDRE[#All],4,FALSE)),"Fora do DRE",VLOOKUP(Base_Periodo1[[#This Row],[CONTA]],BaseContasDRE[#All],4,FALSE))</f>
        <v>Fora do DRE</v>
      </c>
      <c r="T5484" s="3" t="str">
        <f>IF(ISERROR(VLOOKUP(Base_Periodo1[[#This Row],[CONTA]],BaseContasDRE[#All],5,FALSE)),"Fora do DRE",VLOOKUP(Base_Periodo1[[#This Row],[CONTA]],BaseContasDRE[#All],6,FALSE))</f>
        <v>Fora do DRE</v>
      </c>
      <c r="U5484" s="3" t="str">
        <f>IF(ISERROR(VLOOKUP(Base_Periodo1[[#This Row],[CONTA]],BaseContasDRE[#All],7,FALSE)),"Fora do DRE",VLOOKUP(Base_Periodo1[[#This Row],[CONTA]],BaseContasDRE[#All],7,FALSE))</f>
        <v>Fora do DRE</v>
      </c>
      <c r="V5484" s="3" t="str">
        <f>IF(Base_Periodo1[[#This Row],[Tipo_Linha]]="Fora do DRE","Fora do DRE","( "&amp;Base_Periodo1[[#This Row],[Tipo_Linha]]&amp;" ) "&amp;Base_Periodo1[[#This Row],[Filtro]])</f>
        <v>Fora do DRE</v>
      </c>
      <c r="W5484" s="3" t="str">
        <f>LEFT(Base_Periodo1[[#This Row],[CLASS]],3)</f>
        <v>2.4</v>
      </c>
    </row>
    <row r="5485" spans="1:23" hidden="1">
      <c r="A5485" s="3" t="str">
        <f t="shared" si="85"/>
        <v>Período 1</v>
      </c>
      <c r="B5485">
        <v>19383</v>
      </c>
      <c r="C5485" t="s">
        <v>2300</v>
      </c>
      <c r="D5485" t="s">
        <v>3306</v>
      </c>
      <c r="E5485" s="3" t="str">
        <f>IF(LEN(Base_Periodo1[[#This Row],[CLASS]])&gt;=7,LEFT(Base_Periodo1[[#This Row],[CLASS]],7),"")</f>
        <v>2.4.1.1</v>
      </c>
      <c r="F5485" s="3" t="str">
        <f>VLOOKUP(Base_Periodo1[[#This Row],[Aux]],Base_Contas_Balanco[#All],2,FALSE)</f>
        <v>Capital Social Realizado</v>
      </c>
      <c r="G5485" s="1"/>
      <c r="H5485" s="281">
        <v>2371.2600000000002</v>
      </c>
      <c r="I5485" s="281">
        <v>0</v>
      </c>
      <c r="J5485" s="281">
        <v>0</v>
      </c>
      <c r="K5485" s="281">
        <v>2371.2600000000002</v>
      </c>
      <c r="L548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2371.2600000000002</v>
      </c>
      <c r="M5485" s="281">
        <f>ROUND(IF(AND(Base_Periodo1[[#This Row],[Tipo_Linha]]="-",Base_Periodo1[[#This Row],[TIPOSALDO]]="D"),Base_Periodo1[[#This Row],[SALDO_ATUAL]]*-1,Base_Periodo1[[#This Row],[SALDO_ATUAL]]),4)</f>
        <v>2371.2600000000002</v>
      </c>
      <c r="N5485" t="s">
        <v>116</v>
      </c>
      <c r="O5485" t="s">
        <v>459</v>
      </c>
      <c r="P5485" t="s">
        <v>459</v>
      </c>
      <c r="Q5485">
        <v>6</v>
      </c>
      <c r="R5485" s="281">
        <f>Base_Periodo1[[#This Row],[CREDITOS]]-Base_Periodo1[[#This Row],[DEBITOS]]</f>
        <v>0</v>
      </c>
      <c r="S5485" s="3" t="str">
        <f>IF(ISERROR(VLOOKUP(Base_Periodo1[[#This Row],[CONTA]],BaseContasDRE[#All],4,FALSE)),"Fora do DRE",VLOOKUP(Base_Periodo1[[#This Row],[CONTA]],BaseContasDRE[#All],4,FALSE))</f>
        <v>Fora do DRE</v>
      </c>
      <c r="T5485" s="3" t="str">
        <f>IF(ISERROR(VLOOKUP(Base_Periodo1[[#This Row],[CONTA]],BaseContasDRE[#All],5,FALSE)),"Fora do DRE",VLOOKUP(Base_Periodo1[[#This Row],[CONTA]],BaseContasDRE[#All],6,FALSE))</f>
        <v>Fora do DRE</v>
      </c>
      <c r="U5485" s="3" t="str">
        <f>IF(ISERROR(VLOOKUP(Base_Periodo1[[#This Row],[CONTA]],BaseContasDRE[#All],7,FALSE)),"Fora do DRE",VLOOKUP(Base_Periodo1[[#This Row],[CONTA]],BaseContasDRE[#All],7,FALSE))</f>
        <v>Fora do DRE</v>
      </c>
      <c r="V5485" s="3" t="str">
        <f>IF(Base_Periodo1[[#This Row],[Tipo_Linha]]="Fora do DRE","Fora do DRE","( "&amp;Base_Periodo1[[#This Row],[Tipo_Linha]]&amp;" ) "&amp;Base_Periodo1[[#This Row],[Filtro]])</f>
        <v>Fora do DRE</v>
      </c>
      <c r="W5485" s="3" t="str">
        <f>LEFT(Base_Periodo1[[#This Row],[CLASS]],3)</f>
        <v>2.4</v>
      </c>
    </row>
    <row r="5486" spans="1:23" hidden="1">
      <c r="A5486" s="3" t="str">
        <f t="shared" si="85"/>
        <v>Período 1</v>
      </c>
      <c r="B5486">
        <v>19384</v>
      </c>
      <c r="C5486" t="s">
        <v>2300</v>
      </c>
      <c r="D5486" t="s">
        <v>3307</v>
      </c>
      <c r="E5486" s="3" t="str">
        <f>IF(LEN(Base_Periodo1[[#This Row],[CLASS]])&gt;=7,LEFT(Base_Periodo1[[#This Row],[CLASS]],7),"")</f>
        <v>2.4.1.1</v>
      </c>
      <c r="F5486" s="3" t="str">
        <f>VLOOKUP(Base_Periodo1[[#This Row],[Aux]],Base_Contas_Balanco[#All],2,FALSE)</f>
        <v>Capital Social Realizado</v>
      </c>
      <c r="G5486" s="1"/>
      <c r="H5486" s="281">
        <v>233.63</v>
      </c>
      <c r="I5486" s="281">
        <v>0</v>
      </c>
      <c r="J5486" s="281">
        <v>0</v>
      </c>
      <c r="K5486" s="281">
        <v>233.63</v>
      </c>
      <c r="L548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233.63</v>
      </c>
      <c r="M5486" s="281">
        <f>ROUND(IF(AND(Base_Periodo1[[#This Row],[Tipo_Linha]]="-",Base_Periodo1[[#This Row],[TIPOSALDO]]="D"),Base_Periodo1[[#This Row],[SALDO_ATUAL]]*-1,Base_Periodo1[[#This Row],[SALDO_ATUAL]]),4)</f>
        <v>233.63</v>
      </c>
      <c r="N5486" t="s">
        <v>116</v>
      </c>
      <c r="O5486" t="s">
        <v>459</v>
      </c>
      <c r="P5486" t="s">
        <v>459</v>
      </c>
      <c r="Q5486">
        <v>6</v>
      </c>
      <c r="R5486" s="281">
        <f>Base_Periodo1[[#This Row],[CREDITOS]]-Base_Periodo1[[#This Row],[DEBITOS]]</f>
        <v>0</v>
      </c>
      <c r="S5486" s="3" t="str">
        <f>IF(ISERROR(VLOOKUP(Base_Periodo1[[#This Row],[CONTA]],BaseContasDRE[#All],4,FALSE)),"Fora do DRE",VLOOKUP(Base_Periodo1[[#This Row],[CONTA]],BaseContasDRE[#All],4,FALSE))</f>
        <v>Fora do DRE</v>
      </c>
      <c r="T5486" s="3" t="str">
        <f>IF(ISERROR(VLOOKUP(Base_Periodo1[[#This Row],[CONTA]],BaseContasDRE[#All],5,FALSE)),"Fora do DRE",VLOOKUP(Base_Periodo1[[#This Row],[CONTA]],BaseContasDRE[#All],6,FALSE))</f>
        <v>Fora do DRE</v>
      </c>
      <c r="U5486" s="3" t="str">
        <f>IF(ISERROR(VLOOKUP(Base_Periodo1[[#This Row],[CONTA]],BaseContasDRE[#All],7,FALSE)),"Fora do DRE",VLOOKUP(Base_Periodo1[[#This Row],[CONTA]],BaseContasDRE[#All],7,FALSE))</f>
        <v>Fora do DRE</v>
      </c>
      <c r="V5486" s="3" t="str">
        <f>IF(Base_Periodo1[[#This Row],[Tipo_Linha]]="Fora do DRE","Fora do DRE","( "&amp;Base_Periodo1[[#This Row],[Tipo_Linha]]&amp;" ) "&amp;Base_Periodo1[[#This Row],[Filtro]])</f>
        <v>Fora do DRE</v>
      </c>
      <c r="W5486" s="3" t="str">
        <f>LEFT(Base_Periodo1[[#This Row],[CLASS]],3)</f>
        <v>2.4</v>
      </c>
    </row>
    <row r="5487" spans="1:23" hidden="1">
      <c r="A5487" s="3" t="str">
        <f t="shared" si="85"/>
        <v>Período 1</v>
      </c>
      <c r="B5487">
        <v>19302</v>
      </c>
      <c r="C5487" t="s">
        <v>2300</v>
      </c>
      <c r="D5487" t="s">
        <v>3308</v>
      </c>
      <c r="E5487" s="3" t="str">
        <f>IF(LEN(Base_Periodo1[[#This Row],[CLASS]])&gt;=7,LEFT(Base_Periodo1[[#This Row],[CLASS]],7),"")</f>
        <v>2.4.1.1</v>
      </c>
      <c r="F5487" s="3" t="str">
        <f>VLOOKUP(Base_Periodo1[[#This Row],[Aux]],Base_Contas_Balanco[#All],2,FALSE)</f>
        <v>Capital Social Realizado</v>
      </c>
      <c r="G5487" s="1"/>
      <c r="H5487" s="281">
        <v>221.9</v>
      </c>
      <c r="I5487" s="281">
        <v>0</v>
      </c>
      <c r="J5487" s="281">
        <v>0</v>
      </c>
      <c r="K5487" s="281">
        <v>221.9</v>
      </c>
      <c r="L548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221.9</v>
      </c>
      <c r="M5487" s="281">
        <f>ROUND(IF(AND(Base_Periodo1[[#This Row],[Tipo_Linha]]="-",Base_Periodo1[[#This Row],[TIPOSALDO]]="D"),Base_Periodo1[[#This Row],[SALDO_ATUAL]]*-1,Base_Periodo1[[#This Row],[SALDO_ATUAL]]),4)</f>
        <v>221.9</v>
      </c>
      <c r="N5487" t="s">
        <v>116</v>
      </c>
      <c r="O5487" t="s">
        <v>459</v>
      </c>
      <c r="P5487" t="s">
        <v>459</v>
      </c>
      <c r="Q5487">
        <v>6</v>
      </c>
      <c r="R5487" s="281">
        <f>Base_Periodo1[[#This Row],[CREDITOS]]-Base_Periodo1[[#This Row],[DEBITOS]]</f>
        <v>0</v>
      </c>
      <c r="S5487" s="3" t="str">
        <f>IF(ISERROR(VLOOKUP(Base_Periodo1[[#This Row],[CONTA]],BaseContasDRE[#All],4,FALSE)),"Fora do DRE",VLOOKUP(Base_Periodo1[[#This Row],[CONTA]],BaseContasDRE[#All],4,FALSE))</f>
        <v>Fora do DRE</v>
      </c>
      <c r="T5487" s="3" t="str">
        <f>IF(ISERROR(VLOOKUP(Base_Periodo1[[#This Row],[CONTA]],BaseContasDRE[#All],5,FALSE)),"Fora do DRE",VLOOKUP(Base_Periodo1[[#This Row],[CONTA]],BaseContasDRE[#All],6,FALSE))</f>
        <v>Fora do DRE</v>
      </c>
      <c r="U5487" s="3" t="str">
        <f>IF(ISERROR(VLOOKUP(Base_Periodo1[[#This Row],[CONTA]],BaseContasDRE[#All],7,FALSE)),"Fora do DRE",VLOOKUP(Base_Periodo1[[#This Row],[CONTA]],BaseContasDRE[#All],7,FALSE))</f>
        <v>Fora do DRE</v>
      </c>
      <c r="V5487" s="3" t="str">
        <f>IF(Base_Periodo1[[#This Row],[Tipo_Linha]]="Fora do DRE","Fora do DRE","( "&amp;Base_Periodo1[[#This Row],[Tipo_Linha]]&amp;" ) "&amp;Base_Periodo1[[#This Row],[Filtro]])</f>
        <v>Fora do DRE</v>
      </c>
      <c r="W5487" s="3" t="str">
        <f>LEFT(Base_Periodo1[[#This Row],[CLASS]],3)</f>
        <v>2.4</v>
      </c>
    </row>
    <row r="5488" spans="1:23" hidden="1">
      <c r="A5488" s="3" t="str">
        <f t="shared" si="85"/>
        <v>Período 1</v>
      </c>
      <c r="B5488">
        <v>24147</v>
      </c>
      <c r="C5488" t="s">
        <v>2300</v>
      </c>
      <c r="D5488" t="s">
        <v>3309</v>
      </c>
      <c r="E5488" s="3" t="str">
        <f>IF(LEN(Base_Periodo1[[#This Row],[CLASS]])&gt;=7,LEFT(Base_Periodo1[[#This Row],[CLASS]],7),"")</f>
        <v>2.4.1.1</v>
      </c>
      <c r="F5488" s="3" t="str">
        <f>VLOOKUP(Base_Periodo1[[#This Row],[Aux]],Base_Contas_Balanco[#All],2,FALSE)</f>
        <v>Capital Social Realizado</v>
      </c>
      <c r="G5488" s="1"/>
      <c r="H5488" s="281">
        <v>206.85</v>
      </c>
      <c r="I5488" s="281">
        <v>0</v>
      </c>
      <c r="J5488" s="281">
        <v>0</v>
      </c>
      <c r="K5488" s="281">
        <v>206.85</v>
      </c>
      <c r="L548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206.85</v>
      </c>
      <c r="M5488" s="281">
        <f>ROUND(IF(AND(Base_Periodo1[[#This Row],[Tipo_Linha]]="-",Base_Periodo1[[#This Row],[TIPOSALDO]]="D"),Base_Periodo1[[#This Row],[SALDO_ATUAL]]*-1,Base_Periodo1[[#This Row],[SALDO_ATUAL]]),4)</f>
        <v>206.85</v>
      </c>
      <c r="N5488" t="s">
        <v>116</v>
      </c>
      <c r="O5488" t="s">
        <v>459</v>
      </c>
      <c r="P5488" t="s">
        <v>459</v>
      </c>
      <c r="Q5488">
        <v>6</v>
      </c>
      <c r="R5488" s="281">
        <f>Base_Periodo1[[#This Row],[CREDITOS]]-Base_Periodo1[[#This Row],[DEBITOS]]</f>
        <v>0</v>
      </c>
      <c r="S5488" s="3" t="str">
        <f>IF(ISERROR(VLOOKUP(Base_Periodo1[[#This Row],[CONTA]],BaseContasDRE[#All],4,FALSE)),"Fora do DRE",VLOOKUP(Base_Periodo1[[#This Row],[CONTA]],BaseContasDRE[#All],4,FALSE))</f>
        <v>Fora do DRE</v>
      </c>
      <c r="T5488" s="3" t="str">
        <f>IF(ISERROR(VLOOKUP(Base_Periodo1[[#This Row],[CONTA]],BaseContasDRE[#All],5,FALSE)),"Fora do DRE",VLOOKUP(Base_Periodo1[[#This Row],[CONTA]],BaseContasDRE[#All],6,FALSE))</f>
        <v>Fora do DRE</v>
      </c>
      <c r="U5488" s="3" t="str">
        <f>IF(ISERROR(VLOOKUP(Base_Periodo1[[#This Row],[CONTA]],BaseContasDRE[#All],7,FALSE)),"Fora do DRE",VLOOKUP(Base_Periodo1[[#This Row],[CONTA]],BaseContasDRE[#All],7,FALSE))</f>
        <v>Fora do DRE</v>
      </c>
      <c r="V5488" s="3" t="str">
        <f>IF(Base_Periodo1[[#This Row],[Tipo_Linha]]="Fora do DRE","Fora do DRE","( "&amp;Base_Periodo1[[#This Row],[Tipo_Linha]]&amp;" ) "&amp;Base_Periodo1[[#This Row],[Filtro]])</f>
        <v>Fora do DRE</v>
      </c>
      <c r="W5488" s="3" t="str">
        <f>LEFT(Base_Periodo1[[#This Row],[CLASS]],3)</f>
        <v>2.4</v>
      </c>
    </row>
    <row r="5489" spans="1:23" hidden="1">
      <c r="A5489" s="3" t="str">
        <f t="shared" si="85"/>
        <v>Período 1</v>
      </c>
      <c r="B5489">
        <v>19339</v>
      </c>
      <c r="C5489" t="s">
        <v>2300</v>
      </c>
      <c r="D5489" t="s">
        <v>3310</v>
      </c>
      <c r="E5489" s="3" t="str">
        <f>IF(LEN(Base_Periodo1[[#This Row],[CLASS]])&gt;=7,LEFT(Base_Periodo1[[#This Row],[CLASS]],7),"")</f>
        <v>2.4.1.1</v>
      </c>
      <c r="F5489" s="3" t="str">
        <f>VLOOKUP(Base_Periodo1[[#This Row],[Aux]],Base_Contas_Balanco[#All],2,FALSE)</f>
        <v>Capital Social Realizado</v>
      </c>
      <c r="G5489" s="1"/>
      <c r="H5489" s="281">
        <v>4301.46</v>
      </c>
      <c r="I5489" s="281">
        <v>0</v>
      </c>
      <c r="J5489" s="281">
        <v>0</v>
      </c>
      <c r="K5489" s="281">
        <v>4301.46</v>
      </c>
      <c r="L548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4301.46</v>
      </c>
      <c r="M5489" s="281">
        <f>ROUND(IF(AND(Base_Periodo1[[#This Row],[Tipo_Linha]]="-",Base_Periodo1[[#This Row],[TIPOSALDO]]="D"),Base_Periodo1[[#This Row],[SALDO_ATUAL]]*-1,Base_Periodo1[[#This Row],[SALDO_ATUAL]]),4)</f>
        <v>4301.46</v>
      </c>
      <c r="N5489" t="s">
        <v>116</v>
      </c>
      <c r="O5489" t="s">
        <v>459</v>
      </c>
      <c r="P5489" t="s">
        <v>459</v>
      </c>
      <c r="Q5489">
        <v>6</v>
      </c>
      <c r="R5489" s="281">
        <f>Base_Periodo1[[#This Row],[CREDITOS]]-Base_Periodo1[[#This Row],[DEBITOS]]</f>
        <v>0</v>
      </c>
      <c r="S5489" s="3" t="str">
        <f>IF(ISERROR(VLOOKUP(Base_Periodo1[[#This Row],[CONTA]],BaseContasDRE[#All],4,FALSE)),"Fora do DRE",VLOOKUP(Base_Periodo1[[#This Row],[CONTA]],BaseContasDRE[#All],4,FALSE))</f>
        <v>Fora do DRE</v>
      </c>
      <c r="T5489" s="3" t="str">
        <f>IF(ISERROR(VLOOKUP(Base_Periodo1[[#This Row],[CONTA]],BaseContasDRE[#All],5,FALSE)),"Fora do DRE",VLOOKUP(Base_Periodo1[[#This Row],[CONTA]],BaseContasDRE[#All],6,FALSE))</f>
        <v>Fora do DRE</v>
      </c>
      <c r="U5489" s="3" t="str">
        <f>IF(ISERROR(VLOOKUP(Base_Periodo1[[#This Row],[CONTA]],BaseContasDRE[#All],7,FALSE)),"Fora do DRE",VLOOKUP(Base_Periodo1[[#This Row],[CONTA]],BaseContasDRE[#All],7,FALSE))</f>
        <v>Fora do DRE</v>
      </c>
      <c r="V5489" s="3" t="str">
        <f>IF(Base_Periodo1[[#This Row],[Tipo_Linha]]="Fora do DRE","Fora do DRE","( "&amp;Base_Periodo1[[#This Row],[Tipo_Linha]]&amp;" ) "&amp;Base_Periodo1[[#This Row],[Filtro]])</f>
        <v>Fora do DRE</v>
      </c>
      <c r="W5489" s="3" t="str">
        <f>LEFT(Base_Periodo1[[#This Row],[CLASS]],3)</f>
        <v>2.4</v>
      </c>
    </row>
    <row r="5490" spans="1:23" hidden="1">
      <c r="A5490" s="3" t="str">
        <f t="shared" si="85"/>
        <v>Período 1</v>
      </c>
      <c r="B5490">
        <v>16090</v>
      </c>
      <c r="C5490" t="s">
        <v>2300</v>
      </c>
      <c r="D5490" t="s">
        <v>3311</v>
      </c>
      <c r="E5490" s="3" t="str">
        <f>IF(LEN(Base_Periodo1[[#This Row],[CLASS]])&gt;=7,LEFT(Base_Periodo1[[#This Row],[CLASS]],7),"")</f>
        <v>2.4.1.1</v>
      </c>
      <c r="F5490" s="3" t="str">
        <f>VLOOKUP(Base_Periodo1[[#This Row],[Aux]],Base_Contas_Balanco[#All],2,FALSE)</f>
        <v>Capital Social Realizado</v>
      </c>
      <c r="G5490" s="1"/>
      <c r="H5490" s="281">
        <v>1483.71</v>
      </c>
      <c r="I5490" s="281">
        <v>0</v>
      </c>
      <c r="J5490" s="281">
        <v>0</v>
      </c>
      <c r="K5490" s="281">
        <v>1483.71</v>
      </c>
      <c r="L549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1483.71</v>
      </c>
      <c r="M5490" s="281">
        <f>ROUND(IF(AND(Base_Periodo1[[#This Row],[Tipo_Linha]]="-",Base_Periodo1[[#This Row],[TIPOSALDO]]="D"),Base_Periodo1[[#This Row],[SALDO_ATUAL]]*-1,Base_Periodo1[[#This Row],[SALDO_ATUAL]]),4)</f>
        <v>1483.71</v>
      </c>
      <c r="N5490" t="s">
        <v>116</v>
      </c>
      <c r="O5490" t="s">
        <v>459</v>
      </c>
      <c r="P5490" t="s">
        <v>459</v>
      </c>
      <c r="Q5490">
        <v>6</v>
      </c>
      <c r="R5490" s="281">
        <f>Base_Periodo1[[#This Row],[CREDITOS]]-Base_Periodo1[[#This Row],[DEBITOS]]</f>
        <v>0</v>
      </c>
      <c r="S5490" s="3" t="str">
        <f>IF(ISERROR(VLOOKUP(Base_Periodo1[[#This Row],[CONTA]],BaseContasDRE[#All],4,FALSE)),"Fora do DRE",VLOOKUP(Base_Periodo1[[#This Row],[CONTA]],BaseContasDRE[#All],4,FALSE))</f>
        <v>Fora do DRE</v>
      </c>
      <c r="T5490" s="3" t="str">
        <f>IF(ISERROR(VLOOKUP(Base_Periodo1[[#This Row],[CONTA]],BaseContasDRE[#All],5,FALSE)),"Fora do DRE",VLOOKUP(Base_Periodo1[[#This Row],[CONTA]],BaseContasDRE[#All],6,FALSE))</f>
        <v>Fora do DRE</v>
      </c>
      <c r="U5490" s="3" t="str">
        <f>IF(ISERROR(VLOOKUP(Base_Periodo1[[#This Row],[CONTA]],BaseContasDRE[#All],7,FALSE)),"Fora do DRE",VLOOKUP(Base_Periodo1[[#This Row],[CONTA]],BaseContasDRE[#All],7,FALSE))</f>
        <v>Fora do DRE</v>
      </c>
      <c r="V5490" s="3" t="str">
        <f>IF(Base_Periodo1[[#This Row],[Tipo_Linha]]="Fora do DRE","Fora do DRE","( "&amp;Base_Periodo1[[#This Row],[Tipo_Linha]]&amp;" ) "&amp;Base_Periodo1[[#This Row],[Filtro]])</f>
        <v>Fora do DRE</v>
      </c>
      <c r="W5490" s="3" t="str">
        <f>LEFT(Base_Periodo1[[#This Row],[CLASS]],3)</f>
        <v>2.4</v>
      </c>
    </row>
    <row r="5491" spans="1:23" hidden="1">
      <c r="A5491" s="3" t="str">
        <f t="shared" si="85"/>
        <v>Período 1</v>
      </c>
      <c r="B5491">
        <v>53973</v>
      </c>
      <c r="C5491" t="s">
        <v>2300</v>
      </c>
      <c r="D5491" t="s">
        <v>5110</v>
      </c>
      <c r="E5491" s="3" t="str">
        <f>IF(LEN(Base_Periodo1[[#This Row],[CLASS]])&gt;=7,LEFT(Base_Periodo1[[#This Row],[CLASS]],7),"")</f>
        <v>2.4.1.1</v>
      </c>
      <c r="F5491" s="3" t="str">
        <f>VLOOKUP(Base_Periodo1[[#This Row],[Aux]],Base_Contas_Balanco[#All],2,FALSE)</f>
        <v>Capital Social Realizado</v>
      </c>
      <c r="G5491" s="1"/>
      <c r="H5491" s="281">
        <v>240</v>
      </c>
      <c r="I5491" s="281">
        <v>0</v>
      </c>
      <c r="J5491" s="281">
        <v>0</v>
      </c>
      <c r="K5491" s="281">
        <v>240</v>
      </c>
      <c r="L549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491" s="281">
        <f>ROUND(IF(AND(Base_Periodo1[[#This Row],[Tipo_Linha]]="-",Base_Periodo1[[#This Row],[TIPOSALDO]]="D"),Base_Periodo1[[#This Row],[SALDO_ATUAL]]*-1,Base_Periodo1[[#This Row],[SALDO_ATUAL]]),4)</f>
        <v>240</v>
      </c>
      <c r="N5491" t="s">
        <v>116</v>
      </c>
      <c r="O5491" t="s">
        <v>459</v>
      </c>
      <c r="P5491" t="s">
        <v>459</v>
      </c>
      <c r="Q5491">
        <v>6</v>
      </c>
      <c r="R5491" s="281">
        <f>Base_Periodo1[[#This Row],[CREDITOS]]-Base_Periodo1[[#This Row],[DEBITOS]]</f>
        <v>0</v>
      </c>
      <c r="S5491" s="3" t="str">
        <f>IF(ISERROR(VLOOKUP(Base_Periodo1[[#This Row],[CONTA]],BaseContasDRE[#All],4,FALSE)),"Fora do DRE",VLOOKUP(Base_Periodo1[[#This Row],[CONTA]],BaseContasDRE[#All],4,FALSE))</f>
        <v>Fora do DRE</v>
      </c>
      <c r="T5491" s="3" t="str">
        <f>IF(ISERROR(VLOOKUP(Base_Periodo1[[#This Row],[CONTA]],BaseContasDRE[#All],5,FALSE)),"Fora do DRE",VLOOKUP(Base_Periodo1[[#This Row],[CONTA]],BaseContasDRE[#All],6,FALSE))</f>
        <v>Fora do DRE</v>
      </c>
      <c r="U5491" s="3" t="str">
        <f>IF(ISERROR(VLOOKUP(Base_Periodo1[[#This Row],[CONTA]],BaseContasDRE[#All],7,FALSE)),"Fora do DRE",VLOOKUP(Base_Periodo1[[#This Row],[CONTA]],BaseContasDRE[#All],7,FALSE))</f>
        <v>Fora do DRE</v>
      </c>
      <c r="V5491" s="3" t="str">
        <f>IF(Base_Periodo1[[#This Row],[Tipo_Linha]]="Fora do DRE","Fora do DRE","( "&amp;Base_Periodo1[[#This Row],[Tipo_Linha]]&amp;" ) "&amp;Base_Periodo1[[#This Row],[Filtro]])</f>
        <v>Fora do DRE</v>
      </c>
      <c r="W5491" s="3" t="str">
        <f>LEFT(Base_Periodo1[[#This Row],[CLASS]],3)</f>
        <v>2.4</v>
      </c>
    </row>
    <row r="5492" spans="1:23" hidden="1">
      <c r="A5492" s="3" t="str">
        <f t="shared" si="85"/>
        <v>Período 1</v>
      </c>
      <c r="B5492">
        <v>24612</v>
      </c>
      <c r="C5492" t="s">
        <v>2300</v>
      </c>
      <c r="D5492" t="s">
        <v>3312</v>
      </c>
      <c r="E5492" s="3" t="str">
        <f>IF(LEN(Base_Periodo1[[#This Row],[CLASS]])&gt;=7,LEFT(Base_Periodo1[[#This Row],[CLASS]],7),"")</f>
        <v>2.4.1.1</v>
      </c>
      <c r="F5492" s="3" t="str">
        <f>VLOOKUP(Base_Periodo1[[#This Row],[Aux]],Base_Contas_Balanco[#All],2,FALSE)</f>
        <v>Capital Social Realizado</v>
      </c>
      <c r="G5492" s="1"/>
      <c r="H5492" s="281">
        <v>485.58000000000004</v>
      </c>
      <c r="I5492" s="281">
        <v>0</v>
      </c>
      <c r="J5492" s="281">
        <v>0</v>
      </c>
      <c r="K5492" s="281">
        <v>485.58000000000004</v>
      </c>
      <c r="L549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485.58</v>
      </c>
      <c r="M5492" s="281">
        <f>ROUND(IF(AND(Base_Periodo1[[#This Row],[Tipo_Linha]]="-",Base_Periodo1[[#This Row],[TIPOSALDO]]="D"),Base_Periodo1[[#This Row],[SALDO_ATUAL]]*-1,Base_Periodo1[[#This Row],[SALDO_ATUAL]]),4)</f>
        <v>485.58</v>
      </c>
      <c r="N5492" t="s">
        <v>116</v>
      </c>
      <c r="O5492" t="s">
        <v>459</v>
      </c>
      <c r="P5492" t="s">
        <v>459</v>
      </c>
      <c r="Q5492">
        <v>6</v>
      </c>
      <c r="R5492" s="281">
        <f>Base_Periodo1[[#This Row],[CREDITOS]]-Base_Periodo1[[#This Row],[DEBITOS]]</f>
        <v>0</v>
      </c>
      <c r="S5492" s="3" t="str">
        <f>IF(ISERROR(VLOOKUP(Base_Periodo1[[#This Row],[CONTA]],BaseContasDRE[#All],4,FALSE)),"Fora do DRE",VLOOKUP(Base_Periodo1[[#This Row],[CONTA]],BaseContasDRE[#All],4,FALSE))</f>
        <v>Fora do DRE</v>
      </c>
      <c r="T5492" s="3" t="str">
        <f>IF(ISERROR(VLOOKUP(Base_Periodo1[[#This Row],[CONTA]],BaseContasDRE[#All],5,FALSE)),"Fora do DRE",VLOOKUP(Base_Periodo1[[#This Row],[CONTA]],BaseContasDRE[#All],6,FALSE))</f>
        <v>Fora do DRE</v>
      </c>
      <c r="U5492" s="3" t="str">
        <f>IF(ISERROR(VLOOKUP(Base_Periodo1[[#This Row],[CONTA]],BaseContasDRE[#All],7,FALSE)),"Fora do DRE",VLOOKUP(Base_Periodo1[[#This Row],[CONTA]],BaseContasDRE[#All],7,FALSE))</f>
        <v>Fora do DRE</v>
      </c>
      <c r="V5492" s="3" t="str">
        <f>IF(Base_Periodo1[[#This Row],[Tipo_Linha]]="Fora do DRE","Fora do DRE","( "&amp;Base_Periodo1[[#This Row],[Tipo_Linha]]&amp;" ) "&amp;Base_Periodo1[[#This Row],[Filtro]])</f>
        <v>Fora do DRE</v>
      </c>
      <c r="W5492" s="3" t="str">
        <f>LEFT(Base_Periodo1[[#This Row],[CLASS]],3)</f>
        <v>2.4</v>
      </c>
    </row>
    <row r="5493" spans="1:23" hidden="1">
      <c r="A5493" s="3" t="str">
        <f t="shared" si="85"/>
        <v>Período 1</v>
      </c>
      <c r="B5493">
        <v>49630</v>
      </c>
      <c r="C5493" t="s">
        <v>2300</v>
      </c>
      <c r="D5493" t="s">
        <v>4324</v>
      </c>
      <c r="E5493" s="3" t="str">
        <f>IF(LEN(Base_Periodo1[[#This Row],[CLASS]])&gt;=7,LEFT(Base_Periodo1[[#This Row],[CLASS]],7),"")</f>
        <v>2.4.1.1</v>
      </c>
      <c r="F5493" s="3" t="str">
        <f>VLOOKUP(Base_Periodo1[[#This Row],[Aux]],Base_Contas_Balanco[#All],2,FALSE)</f>
        <v>Capital Social Realizado</v>
      </c>
      <c r="G5493" s="1"/>
      <c r="H5493" s="281">
        <v>622.19000000000005</v>
      </c>
      <c r="I5493" s="281">
        <v>0</v>
      </c>
      <c r="J5493" s="281">
        <v>0</v>
      </c>
      <c r="K5493" s="281">
        <v>622.19000000000005</v>
      </c>
      <c r="L549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622.19000000000005</v>
      </c>
      <c r="M5493" s="281">
        <f>ROUND(IF(AND(Base_Periodo1[[#This Row],[Tipo_Linha]]="-",Base_Periodo1[[#This Row],[TIPOSALDO]]="D"),Base_Periodo1[[#This Row],[SALDO_ATUAL]]*-1,Base_Periodo1[[#This Row],[SALDO_ATUAL]]),4)</f>
        <v>622.19000000000005</v>
      </c>
      <c r="N5493" t="s">
        <v>116</v>
      </c>
      <c r="O5493" t="s">
        <v>459</v>
      </c>
      <c r="P5493" t="s">
        <v>459</v>
      </c>
      <c r="Q5493">
        <v>6</v>
      </c>
      <c r="R5493" s="281">
        <f>Base_Periodo1[[#This Row],[CREDITOS]]-Base_Periodo1[[#This Row],[DEBITOS]]</f>
        <v>0</v>
      </c>
      <c r="S5493" s="3" t="str">
        <f>IF(ISERROR(VLOOKUP(Base_Periodo1[[#This Row],[CONTA]],BaseContasDRE[#All],4,FALSE)),"Fora do DRE",VLOOKUP(Base_Periodo1[[#This Row],[CONTA]],BaseContasDRE[#All],4,FALSE))</f>
        <v>Fora do DRE</v>
      </c>
      <c r="T5493" s="3" t="str">
        <f>IF(ISERROR(VLOOKUP(Base_Periodo1[[#This Row],[CONTA]],BaseContasDRE[#All],5,FALSE)),"Fora do DRE",VLOOKUP(Base_Periodo1[[#This Row],[CONTA]],BaseContasDRE[#All],6,FALSE))</f>
        <v>Fora do DRE</v>
      </c>
      <c r="U5493" s="3" t="str">
        <f>IF(ISERROR(VLOOKUP(Base_Periodo1[[#This Row],[CONTA]],BaseContasDRE[#All],7,FALSE)),"Fora do DRE",VLOOKUP(Base_Periodo1[[#This Row],[CONTA]],BaseContasDRE[#All],7,FALSE))</f>
        <v>Fora do DRE</v>
      </c>
      <c r="V5493" s="3" t="str">
        <f>IF(Base_Periodo1[[#This Row],[Tipo_Linha]]="Fora do DRE","Fora do DRE","( "&amp;Base_Periodo1[[#This Row],[Tipo_Linha]]&amp;" ) "&amp;Base_Periodo1[[#This Row],[Filtro]])</f>
        <v>Fora do DRE</v>
      </c>
      <c r="W5493" s="3" t="str">
        <f>LEFT(Base_Periodo1[[#This Row],[CLASS]],3)</f>
        <v>2.4</v>
      </c>
    </row>
    <row r="5494" spans="1:23" hidden="1">
      <c r="A5494" s="3" t="str">
        <f t="shared" si="85"/>
        <v>Período 1</v>
      </c>
      <c r="B5494">
        <v>16339</v>
      </c>
      <c r="C5494" t="s">
        <v>2300</v>
      </c>
      <c r="D5494" t="s">
        <v>3313</v>
      </c>
      <c r="E5494" s="3" t="str">
        <f>IF(LEN(Base_Periodo1[[#This Row],[CLASS]])&gt;=7,LEFT(Base_Periodo1[[#This Row],[CLASS]],7),"")</f>
        <v>2.4.1.1</v>
      </c>
      <c r="F5494" s="3" t="str">
        <f>VLOOKUP(Base_Periodo1[[#This Row],[Aux]],Base_Contas_Balanco[#All],2,FALSE)</f>
        <v>Capital Social Realizado</v>
      </c>
      <c r="G5494" s="1"/>
      <c r="H5494" s="281">
        <v>25636.989999999998</v>
      </c>
      <c r="I5494" s="281">
        <v>0</v>
      </c>
      <c r="J5494" s="281">
        <v>0</v>
      </c>
      <c r="K5494" s="281">
        <v>25636.989999999998</v>
      </c>
      <c r="L549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25636.99</v>
      </c>
      <c r="M5494" s="281">
        <f>ROUND(IF(AND(Base_Periodo1[[#This Row],[Tipo_Linha]]="-",Base_Periodo1[[#This Row],[TIPOSALDO]]="D"),Base_Periodo1[[#This Row],[SALDO_ATUAL]]*-1,Base_Periodo1[[#This Row],[SALDO_ATUAL]]),4)</f>
        <v>25636.99</v>
      </c>
      <c r="N5494" t="s">
        <v>116</v>
      </c>
      <c r="O5494" t="s">
        <v>459</v>
      </c>
      <c r="P5494" t="s">
        <v>459</v>
      </c>
      <c r="Q5494">
        <v>6</v>
      </c>
      <c r="R5494" s="281">
        <f>Base_Periodo1[[#This Row],[CREDITOS]]-Base_Periodo1[[#This Row],[DEBITOS]]</f>
        <v>0</v>
      </c>
      <c r="S5494" s="3" t="str">
        <f>IF(ISERROR(VLOOKUP(Base_Periodo1[[#This Row],[CONTA]],BaseContasDRE[#All],4,FALSE)),"Fora do DRE",VLOOKUP(Base_Periodo1[[#This Row],[CONTA]],BaseContasDRE[#All],4,FALSE))</f>
        <v>Fora do DRE</v>
      </c>
      <c r="T5494" s="3" t="str">
        <f>IF(ISERROR(VLOOKUP(Base_Periodo1[[#This Row],[CONTA]],BaseContasDRE[#All],5,FALSE)),"Fora do DRE",VLOOKUP(Base_Periodo1[[#This Row],[CONTA]],BaseContasDRE[#All],6,FALSE))</f>
        <v>Fora do DRE</v>
      </c>
      <c r="U5494" s="3" t="str">
        <f>IF(ISERROR(VLOOKUP(Base_Periodo1[[#This Row],[CONTA]],BaseContasDRE[#All],7,FALSE)),"Fora do DRE",VLOOKUP(Base_Periodo1[[#This Row],[CONTA]],BaseContasDRE[#All],7,FALSE))</f>
        <v>Fora do DRE</v>
      </c>
      <c r="V5494" s="3" t="str">
        <f>IF(Base_Periodo1[[#This Row],[Tipo_Linha]]="Fora do DRE","Fora do DRE","( "&amp;Base_Periodo1[[#This Row],[Tipo_Linha]]&amp;" ) "&amp;Base_Periodo1[[#This Row],[Filtro]])</f>
        <v>Fora do DRE</v>
      </c>
      <c r="W5494" s="3" t="str">
        <f>LEFT(Base_Periodo1[[#This Row],[CLASS]],3)</f>
        <v>2.4</v>
      </c>
    </row>
    <row r="5495" spans="1:23" hidden="1">
      <c r="A5495" s="3" t="str">
        <f t="shared" si="85"/>
        <v>Período 1</v>
      </c>
      <c r="B5495">
        <v>24581</v>
      </c>
      <c r="C5495" t="s">
        <v>2300</v>
      </c>
      <c r="D5495" t="s">
        <v>3314</v>
      </c>
      <c r="E5495" s="3" t="str">
        <f>IF(LEN(Base_Periodo1[[#This Row],[CLASS]])&gt;=7,LEFT(Base_Periodo1[[#This Row],[CLASS]],7),"")</f>
        <v>2.4.1.1</v>
      </c>
      <c r="F5495" s="3" t="str">
        <f>VLOOKUP(Base_Periodo1[[#This Row],[Aux]],Base_Contas_Balanco[#All],2,FALSE)</f>
        <v>Capital Social Realizado</v>
      </c>
      <c r="G5495" s="1"/>
      <c r="H5495" s="281">
        <v>548</v>
      </c>
      <c r="I5495" s="281">
        <v>0</v>
      </c>
      <c r="J5495" s="281">
        <v>0</v>
      </c>
      <c r="K5495" s="281">
        <v>548</v>
      </c>
      <c r="L549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548</v>
      </c>
      <c r="M5495" s="281">
        <f>ROUND(IF(AND(Base_Periodo1[[#This Row],[Tipo_Linha]]="-",Base_Periodo1[[#This Row],[TIPOSALDO]]="D"),Base_Periodo1[[#This Row],[SALDO_ATUAL]]*-1,Base_Periodo1[[#This Row],[SALDO_ATUAL]]),4)</f>
        <v>548</v>
      </c>
      <c r="N5495" t="s">
        <v>116</v>
      </c>
      <c r="O5495" t="s">
        <v>459</v>
      </c>
      <c r="P5495" t="s">
        <v>459</v>
      </c>
      <c r="Q5495">
        <v>6</v>
      </c>
      <c r="R5495" s="281">
        <f>Base_Periodo1[[#This Row],[CREDITOS]]-Base_Periodo1[[#This Row],[DEBITOS]]</f>
        <v>0</v>
      </c>
      <c r="S5495" s="3" t="str">
        <f>IF(ISERROR(VLOOKUP(Base_Periodo1[[#This Row],[CONTA]],BaseContasDRE[#All],4,FALSE)),"Fora do DRE",VLOOKUP(Base_Periodo1[[#This Row],[CONTA]],BaseContasDRE[#All],4,FALSE))</f>
        <v>Fora do DRE</v>
      </c>
      <c r="T5495" s="3" t="str">
        <f>IF(ISERROR(VLOOKUP(Base_Periodo1[[#This Row],[CONTA]],BaseContasDRE[#All],5,FALSE)),"Fora do DRE",VLOOKUP(Base_Periodo1[[#This Row],[CONTA]],BaseContasDRE[#All],6,FALSE))</f>
        <v>Fora do DRE</v>
      </c>
      <c r="U5495" s="3" t="str">
        <f>IF(ISERROR(VLOOKUP(Base_Periodo1[[#This Row],[CONTA]],BaseContasDRE[#All],7,FALSE)),"Fora do DRE",VLOOKUP(Base_Periodo1[[#This Row],[CONTA]],BaseContasDRE[#All],7,FALSE))</f>
        <v>Fora do DRE</v>
      </c>
      <c r="V5495" s="3" t="str">
        <f>IF(Base_Periodo1[[#This Row],[Tipo_Linha]]="Fora do DRE","Fora do DRE","( "&amp;Base_Periodo1[[#This Row],[Tipo_Linha]]&amp;" ) "&amp;Base_Periodo1[[#This Row],[Filtro]])</f>
        <v>Fora do DRE</v>
      </c>
      <c r="W5495" s="3" t="str">
        <f>LEFT(Base_Periodo1[[#This Row],[CLASS]],3)</f>
        <v>2.4</v>
      </c>
    </row>
    <row r="5496" spans="1:23" hidden="1">
      <c r="A5496" s="3" t="str">
        <f t="shared" si="85"/>
        <v>Período 1</v>
      </c>
      <c r="B5496">
        <v>47964</v>
      </c>
      <c r="C5496" t="s">
        <v>2300</v>
      </c>
      <c r="D5496" t="s">
        <v>3315</v>
      </c>
      <c r="E5496" s="3" t="str">
        <f>IF(LEN(Base_Periodo1[[#This Row],[CLASS]])&gt;=7,LEFT(Base_Periodo1[[#This Row],[CLASS]],7),"")</f>
        <v>2.4.1.1</v>
      </c>
      <c r="F5496" s="3" t="str">
        <f>VLOOKUP(Base_Periodo1[[#This Row],[Aux]],Base_Contas_Balanco[#All],2,FALSE)</f>
        <v>Capital Social Realizado</v>
      </c>
      <c r="G5496" s="1"/>
      <c r="H5496" s="281">
        <v>90.63</v>
      </c>
      <c r="I5496" s="281">
        <v>0</v>
      </c>
      <c r="J5496" s="281">
        <v>0</v>
      </c>
      <c r="K5496" s="281">
        <v>90.63</v>
      </c>
      <c r="L549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90.63</v>
      </c>
      <c r="M5496" s="281">
        <f>ROUND(IF(AND(Base_Periodo1[[#This Row],[Tipo_Linha]]="-",Base_Periodo1[[#This Row],[TIPOSALDO]]="D"),Base_Periodo1[[#This Row],[SALDO_ATUAL]]*-1,Base_Periodo1[[#This Row],[SALDO_ATUAL]]),4)</f>
        <v>90.63</v>
      </c>
      <c r="N5496" t="s">
        <v>116</v>
      </c>
      <c r="O5496" t="s">
        <v>459</v>
      </c>
      <c r="P5496" t="s">
        <v>459</v>
      </c>
      <c r="Q5496">
        <v>6</v>
      </c>
      <c r="R5496" s="281">
        <f>Base_Periodo1[[#This Row],[CREDITOS]]-Base_Periodo1[[#This Row],[DEBITOS]]</f>
        <v>0</v>
      </c>
      <c r="S5496" s="3" t="str">
        <f>IF(ISERROR(VLOOKUP(Base_Periodo1[[#This Row],[CONTA]],BaseContasDRE[#All],4,FALSE)),"Fora do DRE",VLOOKUP(Base_Periodo1[[#This Row],[CONTA]],BaseContasDRE[#All],4,FALSE))</f>
        <v>Fora do DRE</v>
      </c>
      <c r="T5496" s="3" t="str">
        <f>IF(ISERROR(VLOOKUP(Base_Periodo1[[#This Row],[CONTA]],BaseContasDRE[#All],5,FALSE)),"Fora do DRE",VLOOKUP(Base_Periodo1[[#This Row],[CONTA]],BaseContasDRE[#All],6,FALSE))</f>
        <v>Fora do DRE</v>
      </c>
      <c r="U5496" s="3" t="str">
        <f>IF(ISERROR(VLOOKUP(Base_Periodo1[[#This Row],[CONTA]],BaseContasDRE[#All],7,FALSE)),"Fora do DRE",VLOOKUP(Base_Periodo1[[#This Row],[CONTA]],BaseContasDRE[#All],7,FALSE))</f>
        <v>Fora do DRE</v>
      </c>
      <c r="V5496" s="3" t="str">
        <f>IF(Base_Periodo1[[#This Row],[Tipo_Linha]]="Fora do DRE","Fora do DRE","( "&amp;Base_Periodo1[[#This Row],[Tipo_Linha]]&amp;" ) "&amp;Base_Periodo1[[#This Row],[Filtro]])</f>
        <v>Fora do DRE</v>
      </c>
      <c r="W5496" s="3" t="str">
        <f>LEFT(Base_Periodo1[[#This Row],[CLASS]],3)</f>
        <v>2.4</v>
      </c>
    </row>
    <row r="5497" spans="1:23" hidden="1">
      <c r="A5497" s="3" t="str">
        <f t="shared" si="85"/>
        <v>Período 1</v>
      </c>
      <c r="B5497">
        <v>39305</v>
      </c>
      <c r="C5497" t="s">
        <v>2300</v>
      </c>
      <c r="D5497" t="s">
        <v>3316</v>
      </c>
      <c r="E5497" s="3" t="str">
        <f>IF(LEN(Base_Periodo1[[#This Row],[CLASS]])&gt;=7,LEFT(Base_Periodo1[[#This Row],[CLASS]],7),"")</f>
        <v>2.4.1.1</v>
      </c>
      <c r="F5497" s="3" t="str">
        <f>VLOOKUP(Base_Periodo1[[#This Row],[Aux]],Base_Contas_Balanco[#All],2,FALSE)</f>
        <v>Capital Social Realizado</v>
      </c>
      <c r="G5497" s="1"/>
      <c r="H5497" s="281">
        <v>145.38</v>
      </c>
      <c r="I5497" s="281">
        <v>0</v>
      </c>
      <c r="J5497" s="281">
        <v>0</v>
      </c>
      <c r="K5497" s="281">
        <v>145.38</v>
      </c>
      <c r="L549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145.38</v>
      </c>
      <c r="M5497" s="281">
        <f>ROUND(IF(AND(Base_Periodo1[[#This Row],[Tipo_Linha]]="-",Base_Periodo1[[#This Row],[TIPOSALDO]]="D"),Base_Periodo1[[#This Row],[SALDO_ATUAL]]*-1,Base_Periodo1[[#This Row],[SALDO_ATUAL]]),4)</f>
        <v>145.38</v>
      </c>
      <c r="N5497" t="s">
        <v>116</v>
      </c>
      <c r="O5497" t="s">
        <v>459</v>
      </c>
      <c r="P5497" t="s">
        <v>459</v>
      </c>
      <c r="Q5497">
        <v>6</v>
      </c>
      <c r="R5497" s="281">
        <f>Base_Periodo1[[#This Row],[CREDITOS]]-Base_Periodo1[[#This Row],[DEBITOS]]</f>
        <v>0</v>
      </c>
      <c r="S5497" s="3" t="str">
        <f>IF(ISERROR(VLOOKUP(Base_Periodo1[[#This Row],[CONTA]],BaseContasDRE[#All],4,FALSE)),"Fora do DRE",VLOOKUP(Base_Periodo1[[#This Row],[CONTA]],BaseContasDRE[#All],4,FALSE))</f>
        <v>Fora do DRE</v>
      </c>
      <c r="T5497" s="3" t="str">
        <f>IF(ISERROR(VLOOKUP(Base_Periodo1[[#This Row],[CONTA]],BaseContasDRE[#All],5,FALSE)),"Fora do DRE",VLOOKUP(Base_Periodo1[[#This Row],[CONTA]],BaseContasDRE[#All],6,FALSE))</f>
        <v>Fora do DRE</v>
      </c>
      <c r="U5497" s="3" t="str">
        <f>IF(ISERROR(VLOOKUP(Base_Periodo1[[#This Row],[CONTA]],BaseContasDRE[#All],7,FALSE)),"Fora do DRE",VLOOKUP(Base_Periodo1[[#This Row],[CONTA]],BaseContasDRE[#All],7,FALSE))</f>
        <v>Fora do DRE</v>
      </c>
      <c r="V5497" s="3" t="str">
        <f>IF(Base_Periodo1[[#This Row],[Tipo_Linha]]="Fora do DRE","Fora do DRE","( "&amp;Base_Periodo1[[#This Row],[Tipo_Linha]]&amp;" ) "&amp;Base_Periodo1[[#This Row],[Filtro]])</f>
        <v>Fora do DRE</v>
      </c>
      <c r="W5497" s="3" t="str">
        <f>LEFT(Base_Periodo1[[#This Row],[CLASS]],3)</f>
        <v>2.4</v>
      </c>
    </row>
    <row r="5498" spans="1:23" hidden="1">
      <c r="A5498" s="3" t="str">
        <f t="shared" si="85"/>
        <v>Período 1</v>
      </c>
      <c r="B5498">
        <v>25840</v>
      </c>
      <c r="C5498" t="s">
        <v>2300</v>
      </c>
      <c r="D5498" t="s">
        <v>3317</v>
      </c>
      <c r="E5498" s="3" t="str">
        <f>IF(LEN(Base_Periodo1[[#This Row],[CLASS]])&gt;=7,LEFT(Base_Periodo1[[#This Row],[CLASS]],7),"")</f>
        <v>2.4.1.1</v>
      </c>
      <c r="F5498" s="3" t="str">
        <f>VLOOKUP(Base_Periodo1[[#This Row],[Aux]],Base_Contas_Balanco[#All],2,FALSE)</f>
        <v>Capital Social Realizado</v>
      </c>
      <c r="G5498" s="1"/>
      <c r="H5498" s="281">
        <v>50</v>
      </c>
      <c r="I5498" s="281">
        <v>0</v>
      </c>
      <c r="J5498" s="281">
        <v>0</v>
      </c>
      <c r="K5498" s="281">
        <v>50</v>
      </c>
      <c r="L549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498" s="281">
        <f>ROUND(IF(AND(Base_Periodo1[[#This Row],[Tipo_Linha]]="-",Base_Periodo1[[#This Row],[TIPOSALDO]]="D"),Base_Periodo1[[#This Row],[SALDO_ATUAL]]*-1,Base_Periodo1[[#This Row],[SALDO_ATUAL]]),4)</f>
        <v>50</v>
      </c>
      <c r="N5498" t="s">
        <v>116</v>
      </c>
      <c r="O5498" t="s">
        <v>459</v>
      </c>
      <c r="P5498" t="s">
        <v>459</v>
      </c>
      <c r="Q5498">
        <v>6</v>
      </c>
      <c r="R5498" s="281">
        <f>Base_Periodo1[[#This Row],[CREDITOS]]-Base_Periodo1[[#This Row],[DEBITOS]]</f>
        <v>0</v>
      </c>
      <c r="S5498" s="3" t="str">
        <f>IF(ISERROR(VLOOKUP(Base_Periodo1[[#This Row],[CONTA]],BaseContasDRE[#All],4,FALSE)),"Fora do DRE",VLOOKUP(Base_Periodo1[[#This Row],[CONTA]],BaseContasDRE[#All],4,FALSE))</f>
        <v>Fora do DRE</v>
      </c>
      <c r="T5498" s="3" t="str">
        <f>IF(ISERROR(VLOOKUP(Base_Periodo1[[#This Row],[CONTA]],BaseContasDRE[#All],5,FALSE)),"Fora do DRE",VLOOKUP(Base_Periodo1[[#This Row],[CONTA]],BaseContasDRE[#All],6,FALSE))</f>
        <v>Fora do DRE</v>
      </c>
      <c r="U5498" s="3" t="str">
        <f>IF(ISERROR(VLOOKUP(Base_Periodo1[[#This Row],[CONTA]],BaseContasDRE[#All],7,FALSE)),"Fora do DRE",VLOOKUP(Base_Periodo1[[#This Row],[CONTA]],BaseContasDRE[#All],7,FALSE))</f>
        <v>Fora do DRE</v>
      </c>
      <c r="V5498" s="3" t="str">
        <f>IF(Base_Periodo1[[#This Row],[Tipo_Linha]]="Fora do DRE","Fora do DRE","( "&amp;Base_Periodo1[[#This Row],[Tipo_Linha]]&amp;" ) "&amp;Base_Periodo1[[#This Row],[Filtro]])</f>
        <v>Fora do DRE</v>
      </c>
      <c r="W5498" s="3" t="str">
        <f>LEFT(Base_Periodo1[[#This Row],[CLASS]],3)</f>
        <v>2.4</v>
      </c>
    </row>
    <row r="5499" spans="1:23" hidden="1">
      <c r="A5499" s="3" t="str">
        <f t="shared" si="85"/>
        <v>Período 1</v>
      </c>
      <c r="B5499">
        <v>39304</v>
      </c>
      <c r="C5499" t="s">
        <v>2300</v>
      </c>
      <c r="D5499" t="s">
        <v>3318</v>
      </c>
      <c r="E5499" s="3" t="str">
        <f>IF(LEN(Base_Periodo1[[#This Row],[CLASS]])&gt;=7,LEFT(Base_Periodo1[[#This Row],[CLASS]],7),"")</f>
        <v>2.4.1.1</v>
      </c>
      <c r="F5499" s="3" t="str">
        <f>VLOOKUP(Base_Periodo1[[#This Row],[Aux]],Base_Contas_Balanco[#All],2,FALSE)</f>
        <v>Capital Social Realizado</v>
      </c>
      <c r="G5499" s="1"/>
      <c r="H5499" s="281">
        <v>212.91</v>
      </c>
      <c r="I5499" s="281">
        <v>0</v>
      </c>
      <c r="J5499" s="281">
        <v>0</v>
      </c>
      <c r="K5499" s="281">
        <v>212.91</v>
      </c>
      <c r="L549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212.91</v>
      </c>
      <c r="M5499" s="281">
        <f>ROUND(IF(AND(Base_Periodo1[[#This Row],[Tipo_Linha]]="-",Base_Periodo1[[#This Row],[TIPOSALDO]]="D"),Base_Periodo1[[#This Row],[SALDO_ATUAL]]*-1,Base_Periodo1[[#This Row],[SALDO_ATUAL]]),4)</f>
        <v>212.91</v>
      </c>
      <c r="N5499" t="s">
        <v>116</v>
      </c>
      <c r="O5499" t="s">
        <v>459</v>
      </c>
      <c r="P5499" t="s">
        <v>459</v>
      </c>
      <c r="Q5499">
        <v>6</v>
      </c>
      <c r="R5499" s="281">
        <f>Base_Periodo1[[#This Row],[CREDITOS]]-Base_Periodo1[[#This Row],[DEBITOS]]</f>
        <v>0</v>
      </c>
      <c r="S5499" s="3" t="str">
        <f>IF(ISERROR(VLOOKUP(Base_Periodo1[[#This Row],[CONTA]],BaseContasDRE[#All],4,FALSE)),"Fora do DRE",VLOOKUP(Base_Periodo1[[#This Row],[CONTA]],BaseContasDRE[#All],4,FALSE))</f>
        <v>Fora do DRE</v>
      </c>
      <c r="T5499" s="3" t="str">
        <f>IF(ISERROR(VLOOKUP(Base_Periodo1[[#This Row],[CONTA]],BaseContasDRE[#All],5,FALSE)),"Fora do DRE",VLOOKUP(Base_Periodo1[[#This Row],[CONTA]],BaseContasDRE[#All],6,FALSE))</f>
        <v>Fora do DRE</v>
      </c>
      <c r="U5499" s="3" t="str">
        <f>IF(ISERROR(VLOOKUP(Base_Periodo1[[#This Row],[CONTA]],BaseContasDRE[#All],7,FALSE)),"Fora do DRE",VLOOKUP(Base_Periodo1[[#This Row],[CONTA]],BaseContasDRE[#All],7,FALSE))</f>
        <v>Fora do DRE</v>
      </c>
      <c r="V5499" s="3" t="str">
        <f>IF(Base_Periodo1[[#This Row],[Tipo_Linha]]="Fora do DRE","Fora do DRE","( "&amp;Base_Periodo1[[#This Row],[Tipo_Linha]]&amp;" ) "&amp;Base_Periodo1[[#This Row],[Filtro]])</f>
        <v>Fora do DRE</v>
      </c>
      <c r="W5499" s="3" t="str">
        <f>LEFT(Base_Periodo1[[#This Row],[CLASS]],3)</f>
        <v>2.4</v>
      </c>
    </row>
    <row r="5500" spans="1:23" hidden="1">
      <c r="A5500" s="3" t="str">
        <f t="shared" si="85"/>
        <v>Período 1</v>
      </c>
      <c r="B5500">
        <v>19266</v>
      </c>
      <c r="C5500" t="s">
        <v>2300</v>
      </c>
      <c r="D5500" t="s">
        <v>3319</v>
      </c>
      <c r="E5500" s="3" t="str">
        <f>IF(LEN(Base_Periodo1[[#This Row],[CLASS]])&gt;=7,LEFT(Base_Periodo1[[#This Row],[CLASS]],7),"")</f>
        <v>2.4.1.1</v>
      </c>
      <c r="F5500" s="3" t="str">
        <f>VLOOKUP(Base_Periodo1[[#This Row],[Aux]],Base_Contas_Balanco[#All],2,FALSE)</f>
        <v>Capital Social Realizado</v>
      </c>
      <c r="G5500" s="1"/>
      <c r="H5500" s="281">
        <v>2653.74</v>
      </c>
      <c r="I5500" s="281">
        <v>0</v>
      </c>
      <c r="J5500" s="281">
        <v>0</v>
      </c>
      <c r="K5500" s="281">
        <v>2653.74</v>
      </c>
      <c r="L550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2653.74</v>
      </c>
      <c r="M5500" s="281">
        <f>ROUND(IF(AND(Base_Periodo1[[#This Row],[Tipo_Linha]]="-",Base_Periodo1[[#This Row],[TIPOSALDO]]="D"),Base_Periodo1[[#This Row],[SALDO_ATUAL]]*-1,Base_Periodo1[[#This Row],[SALDO_ATUAL]]),4)</f>
        <v>2653.74</v>
      </c>
      <c r="N5500" t="s">
        <v>116</v>
      </c>
      <c r="O5500" t="s">
        <v>459</v>
      </c>
      <c r="P5500" t="s">
        <v>459</v>
      </c>
      <c r="Q5500">
        <v>6</v>
      </c>
      <c r="R5500" s="281">
        <f>Base_Periodo1[[#This Row],[CREDITOS]]-Base_Periodo1[[#This Row],[DEBITOS]]</f>
        <v>0</v>
      </c>
      <c r="S5500" s="3" t="str">
        <f>IF(ISERROR(VLOOKUP(Base_Periodo1[[#This Row],[CONTA]],BaseContasDRE[#All],4,FALSE)),"Fora do DRE",VLOOKUP(Base_Periodo1[[#This Row],[CONTA]],BaseContasDRE[#All],4,FALSE))</f>
        <v>Fora do DRE</v>
      </c>
      <c r="T5500" s="3" t="str">
        <f>IF(ISERROR(VLOOKUP(Base_Periodo1[[#This Row],[CONTA]],BaseContasDRE[#All],5,FALSE)),"Fora do DRE",VLOOKUP(Base_Periodo1[[#This Row],[CONTA]],BaseContasDRE[#All],6,FALSE))</f>
        <v>Fora do DRE</v>
      </c>
      <c r="U5500" s="3" t="str">
        <f>IF(ISERROR(VLOOKUP(Base_Periodo1[[#This Row],[CONTA]],BaseContasDRE[#All],7,FALSE)),"Fora do DRE",VLOOKUP(Base_Periodo1[[#This Row],[CONTA]],BaseContasDRE[#All],7,FALSE))</f>
        <v>Fora do DRE</v>
      </c>
      <c r="V5500" s="3" t="str">
        <f>IF(Base_Periodo1[[#This Row],[Tipo_Linha]]="Fora do DRE","Fora do DRE","( "&amp;Base_Periodo1[[#This Row],[Tipo_Linha]]&amp;" ) "&amp;Base_Periodo1[[#This Row],[Filtro]])</f>
        <v>Fora do DRE</v>
      </c>
      <c r="W5500" s="3" t="str">
        <f>LEFT(Base_Periodo1[[#This Row],[CLASS]],3)</f>
        <v>2.4</v>
      </c>
    </row>
    <row r="5501" spans="1:23" hidden="1">
      <c r="A5501" s="3" t="str">
        <f t="shared" si="85"/>
        <v>Período 1</v>
      </c>
      <c r="B5501">
        <v>25602</v>
      </c>
      <c r="C5501" t="s">
        <v>2300</v>
      </c>
      <c r="D5501" t="s">
        <v>3320</v>
      </c>
      <c r="E5501" s="3" t="str">
        <f>IF(LEN(Base_Periodo1[[#This Row],[CLASS]])&gt;=7,LEFT(Base_Periodo1[[#This Row],[CLASS]],7),"")</f>
        <v>2.4.1.1</v>
      </c>
      <c r="F5501" s="3" t="str">
        <f>VLOOKUP(Base_Periodo1[[#This Row],[Aux]],Base_Contas_Balanco[#All],2,FALSE)</f>
        <v>Capital Social Realizado</v>
      </c>
      <c r="G5501" s="1"/>
      <c r="H5501" s="281">
        <v>112.81</v>
      </c>
      <c r="I5501" s="281">
        <v>0</v>
      </c>
      <c r="J5501" s="281">
        <v>0</v>
      </c>
      <c r="K5501" s="281">
        <v>112.81</v>
      </c>
      <c r="L550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112.81</v>
      </c>
      <c r="M5501" s="281">
        <f>ROUND(IF(AND(Base_Periodo1[[#This Row],[Tipo_Linha]]="-",Base_Periodo1[[#This Row],[TIPOSALDO]]="D"),Base_Periodo1[[#This Row],[SALDO_ATUAL]]*-1,Base_Periodo1[[#This Row],[SALDO_ATUAL]]),4)</f>
        <v>112.81</v>
      </c>
      <c r="N5501" t="s">
        <v>116</v>
      </c>
      <c r="O5501" t="s">
        <v>459</v>
      </c>
      <c r="P5501" t="s">
        <v>459</v>
      </c>
      <c r="Q5501">
        <v>6</v>
      </c>
      <c r="R5501" s="281">
        <f>Base_Periodo1[[#This Row],[CREDITOS]]-Base_Periodo1[[#This Row],[DEBITOS]]</f>
        <v>0</v>
      </c>
      <c r="S5501" s="3" t="str">
        <f>IF(ISERROR(VLOOKUP(Base_Periodo1[[#This Row],[CONTA]],BaseContasDRE[#All],4,FALSE)),"Fora do DRE",VLOOKUP(Base_Periodo1[[#This Row],[CONTA]],BaseContasDRE[#All],4,FALSE))</f>
        <v>Fora do DRE</v>
      </c>
      <c r="T5501" s="3" t="str">
        <f>IF(ISERROR(VLOOKUP(Base_Periodo1[[#This Row],[CONTA]],BaseContasDRE[#All],5,FALSE)),"Fora do DRE",VLOOKUP(Base_Periodo1[[#This Row],[CONTA]],BaseContasDRE[#All],6,FALSE))</f>
        <v>Fora do DRE</v>
      </c>
      <c r="U5501" s="3" t="str">
        <f>IF(ISERROR(VLOOKUP(Base_Periodo1[[#This Row],[CONTA]],BaseContasDRE[#All],7,FALSE)),"Fora do DRE",VLOOKUP(Base_Periodo1[[#This Row],[CONTA]],BaseContasDRE[#All],7,FALSE))</f>
        <v>Fora do DRE</v>
      </c>
      <c r="V5501" s="3" t="str">
        <f>IF(Base_Periodo1[[#This Row],[Tipo_Linha]]="Fora do DRE","Fora do DRE","( "&amp;Base_Periodo1[[#This Row],[Tipo_Linha]]&amp;" ) "&amp;Base_Periodo1[[#This Row],[Filtro]])</f>
        <v>Fora do DRE</v>
      </c>
      <c r="W5501" s="3" t="str">
        <f>LEFT(Base_Periodo1[[#This Row],[CLASS]],3)</f>
        <v>2.4</v>
      </c>
    </row>
    <row r="5502" spans="1:23" hidden="1">
      <c r="A5502" s="3" t="str">
        <f t="shared" si="85"/>
        <v>Período 1</v>
      </c>
      <c r="B5502">
        <v>19386</v>
      </c>
      <c r="C5502" t="s">
        <v>2300</v>
      </c>
      <c r="D5502" t="s">
        <v>3321</v>
      </c>
      <c r="E5502" s="3" t="str">
        <f>IF(LEN(Base_Periodo1[[#This Row],[CLASS]])&gt;=7,LEFT(Base_Periodo1[[#This Row],[CLASS]],7),"")</f>
        <v>2.4.1.1</v>
      </c>
      <c r="F5502" s="3" t="str">
        <f>VLOOKUP(Base_Periodo1[[#This Row],[Aux]],Base_Contas_Balanco[#All],2,FALSE)</f>
        <v>Capital Social Realizado</v>
      </c>
      <c r="G5502" s="1"/>
      <c r="H5502" s="281">
        <v>326.92</v>
      </c>
      <c r="I5502" s="281">
        <v>0</v>
      </c>
      <c r="J5502" s="281">
        <v>0</v>
      </c>
      <c r="K5502" s="281">
        <v>326.92</v>
      </c>
      <c r="L550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326.92</v>
      </c>
      <c r="M5502" s="281">
        <f>ROUND(IF(AND(Base_Periodo1[[#This Row],[Tipo_Linha]]="-",Base_Periodo1[[#This Row],[TIPOSALDO]]="D"),Base_Periodo1[[#This Row],[SALDO_ATUAL]]*-1,Base_Periodo1[[#This Row],[SALDO_ATUAL]]),4)</f>
        <v>326.92</v>
      </c>
      <c r="N5502" t="s">
        <v>116</v>
      </c>
      <c r="O5502" t="s">
        <v>459</v>
      </c>
      <c r="P5502" t="s">
        <v>459</v>
      </c>
      <c r="Q5502">
        <v>6</v>
      </c>
      <c r="R5502" s="281">
        <f>Base_Periodo1[[#This Row],[CREDITOS]]-Base_Periodo1[[#This Row],[DEBITOS]]</f>
        <v>0</v>
      </c>
      <c r="S5502" s="3" t="str">
        <f>IF(ISERROR(VLOOKUP(Base_Periodo1[[#This Row],[CONTA]],BaseContasDRE[#All],4,FALSE)),"Fora do DRE",VLOOKUP(Base_Periodo1[[#This Row],[CONTA]],BaseContasDRE[#All],4,FALSE))</f>
        <v>Fora do DRE</v>
      </c>
      <c r="T5502" s="3" t="str">
        <f>IF(ISERROR(VLOOKUP(Base_Periodo1[[#This Row],[CONTA]],BaseContasDRE[#All],5,FALSE)),"Fora do DRE",VLOOKUP(Base_Periodo1[[#This Row],[CONTA]],BaseContasDRE[#All],6,FALSE))</f>
        <v>Fora do DRE</v>
      </c>
      <c r="U5502" s="3" t="str">
        <f>IF(ISERROR(VLOOKUP(Base_Periodo1[[#This Row],[CONTA]],BaseContasDRE[#All],7,FALSE)),"Fora do DRE",VLOOKUP(Base_Periodo1[[#This Row],[CONTA]],BaseContasDRE[#All],7,FALSE))</f>
        <v>Fora do DRE</v>
      </c>
      <c r="V5502" s="3" t="str">
        <f>IF(Base_Periodo1[[#This Row],[Tipo_Linha]]="Fora do DRE","Fora do DRE","( "&amp;Base_Periodo1[[#This Row],[Tipo_Linha]]&amp;" ) "&amp;Base_Periodo1[[#This Row],[Filtro]])</f>
        <v>Fora do DRE</v>
      </c>
      <c r="W5502" s="3" t="str">
        <f>LEFT(Base_Periodo1[[#This Row],[CLASS]],3)</f>
        <v>2.4</v>
      </c>
    </row>
    <row r="5503" spans="1:23" hidden="1">
      <c r="A5503" s="3" t="str">
        <f t="shared" si="85"/>
        <v>Período 1</v>
      </c>
      <c r="B5503">
        <v>54782</v>
      </c>
      <c r="C5503" t="s">
        <v>2300</v>
      </c>
      <c r="D5503" t="s">
        <v>5243</v>
      </c>
      <c r="E5503" s="3" t="str">
        <f>IF(LEN(Base_Periodo1[[#This Row],[CLASS]])&gt;=7,LEFT(Base_Periodo1[[#This Row],[CLASS]],7),"")</f>
        <v>2.4.1.1</v>
      </c>
      <c r="F5503" s="3" t="str">
        <f>VLOOKUP(Base_Periodo1[[#This Row],[Aux]],Base_Contas_Balanco[#All],2,FALSE)</f>
        <v>Capital Social Realizado</v>
      </c>
      <c r="G5503" s="1"/>
      <c r="H5503" s="281">
        <v>240</v>
      </c>
      <c r="I5503" s="281">
        <v>0</v>
      </c>
      <c r="J5503" s="281">
        <v>0</v>
      </c>
      <c r="K5503" s="281">
        <v>240</v>
      </c>
      <c r="L550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503" s="281">
        <f>ROUND(IF(AND(Base_Periodo1[[#This Row],[Tipo_Linha]]="-",Base_Periodo1[[#This Row],[TIPOSALDO]]="D"),Base_Periodo1[[#This Row],[SALDO_ATUAL]]*-1,Base_Periodo1[[#This Row],[SALDO_ATUAL]]),4)</f>
        <v>240</v>
      </c>
      <c r="N5503" t="s">
        <v>116</v>
      </c>
      <c r="O5503" t="s">
        <v>459</v>
      </c>
      <c r="P5503" t="s">
        <v>459</v>
      </c>
      <c r="Q5503">
        <v>6</v>
      </c>
      <c r="R5503" s="281">
        <f>Base_Periodo1[[#This Row],[CREDITOS]]-Base_Periodo1[[#This Row],[DEBITOS]]</f>
        <v>0</v>
      </c>
      <c r="S5503" s="3" t="str">
        <f>IF(ISERROR(VLOOKUP(Base_Periodo1[[#This Row],[CONTA]],BaseContasDRE[#All],4,FALSE)),"Fora do DRE",VLOOKUP(Base_Periodo1[[#This Row],[CONTA]],BaseContasDRE[#All],4,FALSE))</f>
        <v>Fora do DRE</v>
      </c>
      <c r="T5503" s="3" t="str">
        <f>IF(ISERROR(VLOOKUP(Base_Periodo1[[#This Row],[CONTA]],BaseContasDRE[#All],5,FALSE)),"Fora do DRE",VLOOKUP(Base_Periodo1[[#This Row],[CONTA]],BaseContasDRE[#All],6,FALSE))</f>
        <v>Fora do DRE</v>
      </c>
      <c r="U5503" s="3" t="str">
        <f>IF(ISERROR(VLOOKUP(Base_Periodo1[[#This Row],[CONTA]],BaseContasDRE[#All],7,FALSE)),"Fora do DRE",VLOOKUP(Base_Periodo1[[#This Row],[CONTA]],BaseContasDRE[#All],7,FALSE))</f>
        <v>Fora do DRE</v>
      </c>
      <c r="V5503" s="3" t="str">
        <f>IF(Base_Periodo1[[#This Row],[Tipo_Linha]]="Fora do DRE","Fora do DRE","( "&amp;Base_Periodo1[[#This Row],[Tipo_Linha]]&amp;" ) "&amp;Base_Periodo1[[#This Row],[Filtro]])</f>
        <v>Fora do DRE</v>
      </c>
      <c r="W5503" s="3" t="str">
        <f>LEFT(Base_Periodo1[[#This Row],[CLASS]],3)</f>
        <v>2.4</v>
      </c>
    </row>
    <row r="5504" spans="1:23" hidden="1">
      <c r="A5504" s="3" t="str">
        <f t="shared" si="85"/>
        <v>Período 1</v>
      </c>
      <c r="B5504">
        <v>16040</v>
      </c>
      <c r="C5504" t="s">
        <v>2300</v>
      </c>
      <c r="D5504" t="s">
        <v>3322</v>
      </c>
      <c r="E5504" s="3" t="str">
        <f>IF(LEN(Base_Periodo1[[#This Row],[CLASS]])&gt;=7,LEFT(Base_Periodo1[[#This Row],[CLASS]],7),"")</f>
        <v>2.4.1.1</v>
      </c>
      <c r="F5504" s="3" t="str">
        <f>VLOOKUP(Base_Periodo1[[#This Row],[Aux]],Base_Contas_Balanco[#All],2,FALSE)</f>
        <v>Capital Social Realizado</v>
      </c>
      <c r="G5504" s="1"/>
      <c r="H5504" s="281">
        <v>4531.84</v>
      </c>
      <c r="I5504" s="281">
        <v>0</v>
      </c>
      <c r="J5504" s="281">
        <v>0</v>
      </c>
      <c r="K5504" s="281">
        <v>4531.84</v>
      </c>
      <c r="L550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4531.84</v>
      </c>
      <c r="M5504" s="281">
        <f>ROUND(IF(AND(Base_Periodo1[[#This Row],[Tipo_Linha]]="-",Base_Periodo1[[#This Row],[TIPOSALDO]]="D"),Base_Periodo1[[#This Row],[SALDO_ATUAL]]*-1,Base_Periodo1[[#This Row],[SALDO_ATUAL]]),4)</f>
        <v>4531.84</v>
      </c>
      <c r="N5504" t="s">
        <v>116</v>
      </c>
      <c r="O5504" t="s">
        <v>459</v>
      </c>
      <c r="P5504" t="s">
        <v>459</v>
      </c>
      <c r="Q5504">
        <v>6</v>
      </c>
      <c r="R5504" s="281">
        <f>Base_Periodo1[[#This Row],[CREDITOS]]-Base_Periodo1[[#This Row],[DEBITOS]]</f>
        <v>0</v>
      </c>
      <c r="S5504" s="3" t="str">
        <f>IF(ISERROR(VLOOKUP(Base_Periodo1[[#This Row],[CONTA]],BaseContasDRE[#All],4,FALSE)),"Fora do DRE",VLOOKUP(Base_Periodo1[[#This Row],[CONTA]],BaseContasDRE[#All],4,FALSE))</f>
        <v>Fora do DRE</v>
      </c>
      <c r="T5504" s="3" t="str">
        <f>IF(ISERROR(VLOOKUP(Base_Periodo1[[#This Row],[CONTA]],BaseContasDRE[#All],5,FALSE)),"Fora do DRE",VLOOKUP(Base_Periodo1[[#This Row],[CONTA]],BaseContasDRE[#All],6,FALSE))</f>
        <v>Fora do DRE</v>
      </c>
      <c r="U5504" s="3" t="str">
        <f>IF(ISERROR(VLOOKUP(Base_Periodo1[[#This Row],[CONTA]],BaseContasDRE[#All],7,FALSE)),"Fora do DRE",VLOOKUP(Base_Periodo1[[#This Row],[CONTA]],BaseContasDRE[#All],7,FALSE))</f>
        <v>Fora do DRE</v>
      </c>
      <c r="V5504" s="3" t="str">
        <f>IF(Base_Periodo1[[#This Row],[Tipo_Linha]]="Fora do DRE","Fora do DRE","( "&amp;Base_Periodo1[[#This Row],[Tipo_Linha]]&amp;" ) "&amp;Base_Periodo1[[#This Row],[Filtro]])</f>
        <v>Fora do DRE</v>
      </c>
      <c r="W5504" s="3" t="str">
        <f>LEFT(Base_Periodo1[[#This Row],[CLASS]],3)</f>
        <v>2.4</v>
      </c>
    </row>
    <row r="5505" spans="1:23" hidden="1">
      <c r="A5505" s="3" t="str">
        <f t="shared" si="85"/>
        <v>Período 1</v>
      </c>
      <c r="B5505">
        <v>16137</v>
      </c>
      <c r="C5505" t="s">
        <v>2300</v>
      </c>
      <c r="D5505" t="s">
        <v>3323</v>
      </c>
      <c r="E5505" s="3" t="str">
        <f>IF(LEN(Base_Periodo1[[#This Row],[CLASS]])&gt;=7,LEFT(Base_Periodo1[[#This Row],[CLASS]],7),"")</f>
        <v>2.4.1.1</v>
      </c>
      <c r="F5505" s="3" t="str">
        <f>VLOOKUP(Base_Periodo1[[#This Row],[Aux]],Base_Contas_Balanco[#All],2,FALSE)</f>
        <v>Capital Social Realizado</v>
      </c>
      <c r="G5505" s="1"/>
      <c r="H5505" s="281">
        <v>42172.69</v>
      </c>
      <c r="I5505" s="281">
        <v>0</v>
      </c>
      <c r="J5505" s="281">
        <v>0</v>
      </c>
      <c r="K5505" s="281">
        <v>42172.69</v>
      </c>
      <c r="L550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42172.69</v>
      </c>
      <c r="M5505" s="281">
        <f>ROUND(IF(AND(Base_Periodo1[[#This Row],[Tipo_Linha]]="-",Base_Periodo1[[#This Row],[TIPOSALDO]]="D"),Base_Periodo1[[#This Row],[SALDO_ATUAL]]*-1,Base_Periodo1[[#This Row],[SALDO_ATUAL]]),4)</f>
        <v>42172.69</v>
      </c>
      <c r="N5505" t="s">
        <v>116</v>
      </c>
      <c r="O5505" t="s">
        <v>459</v>
      </c>
      <c r="P5505" t="s">
        <v>459</v>
      </c>
      <c r="Q5505">
        <v>6</v>
      </c>
      <c r="R5505" s="281">
        <f>Base_Periodo1[[#This Row],[CREDITOS]]-Base_Periodo1[[#This Row],[DEBITOS]]</f>
        <v>0</v>
      </c>
      <c r="S5505" s="3" t="str">
        <f>IF(ISERROR(VLOOKUP(Base_Periodo1[[#This Row],[CONTA]],BaseContasDRE[#All],4,FALSE)),"Fora do DRE",VLOOKUP(Base_Periodo1[[#This Row],[CONTA]],BaseContasDRE[#All],4,FALSE))</f>
        <v>Fora do DRE</v>
      </c>
      <c r="T5505" s="3" t="str">
        <f>IF(ISERROR(VLOOKUP(Base_Periodo1[[#This Row],[CONTA]],BaseContasDRE[#All],5,FALSE)),"Fora do DRE",VLOOKUP(Base_Periodo1[[#This Row],[CONTA]],BaseContasDRE[#All],6,FALSE))</f>
        <v>Fora do DRE</v>
      </c>
      <c r="U5505" s="3" t="str">
        <f>IF(ISERROR(VLOOKUP(Base_Periodo1[[#This Row],[CONTA]],BaseContasDRE[#All],7,FALSE)),"Fora do DRE",VLOOKUP(Base_Periodo1[[#This Row],[CONTA]],BaseContasDRE[#All],7,FALSE))</f>
        <v>Fora do DRE</v>
      </c>
      <c r="V5505" s="3" t="str">
        <f>IF(Base_Periodo1[[#This Row],[Tipo_Linha]]="Fora do DRE","Fora do DRE","( "&amp;Base_Periodo1[[#This Row],[Tipo_Linha]]&amp;" ) "&amp;Base_Periodo1[[#This Row],[Filtro]])</f>
        <v>Fora do DRE</v>
      </c>
      <c r="W5505" s="3" t="str">
        <f>LEFT(Base_Periodo1[[#This Row],[CLASS]],3)</f>
        <v>2.4</v>
      </c>
    </row>
    <row r="5506" spans="1:23" hidden="1">
      <c r="A5506" s="3" t="str">
        <f t="shared" si="85"/>
        <v>Período 1</v>
      </c>
      <c r="B5506">
        <v>16022</v>
      </c>
      <c r="C5506" t="s">
        <v>2300</v>
      </c>
      <c r="D5506" t="s">
        <v>3324</v>
      </c>
      <c r="E5506" s="3" t="str">
        <f>IF(LEN(Base_Periodo1[[#This Row],[CLASS]])&gt;=7,LEFT(Base_Periodo1[[#This Row],[CLASS]],7),"")</f>
        <v>2.4.1.1</v>
      </c>
      <c r="F5506" s="3" t="str">
        <f>VLOOKUP(Base_Periodo1[[#This Row],[Aux]],Base_Contas_Balanco[#All],2,FALSE)</f>
        <v>Capital Social Realizado</v>
      </c>
      <c r="G5506" s="1"/>
      <c r="H5506" s="281">
        <v>44998.31</v>
      </c>
      <c r="I5506" s="281">
        <v>0</v>
      </c>
      <c r="J5506" s="281">
        <v>0</v>
      </c>
      <c r="K5506" s="281">
        <v>44998.31</v>
      </c>
      <c r="L550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44998.31</v>
      </c>
      <c r="M5506" s="281">
        <f>ROUND(IF(AND(Base_Periodo1[[#This Row],[Tipo_Linha]]="-",Base_Periodo1[[#This Row],[TIPOSALDO]]="D"),Base_Periodo1[[#This Row],[SALDO_ATUAL]]*-1,Base_Periodo1[[#This Row],[SALDO_ATUAL]]),4)</f>
        <v>44998.31</v>
      </c>
      <c r="N5506" t="s">
        <v>116</v>
      </c>
      <c r="O5506" t="s">
        <v>459</v>
      </c>
      <c r="P5506" t="s">
        <v>459</v>
      </c>
      <c r="Q5506">
        <v>6</v>
      </c>
      <c r="R5506" s="281">
        <f>Base_Periodo1[[#This Row],[CREDITOS]]-Base_Periodo1[[#This Row],[DEBITOS]]</f>
        <v>0</v>
      </c>
      <c r="S5506" s="3" t="str">
        <f>IF(ISERROR(VLOOKUP(Base_Periodo1[[#This Row],[CONTA]],BaseContasDRE[#All],4,FALSE)),"Fora do DRE",VLOOKUP(Base_Periodo1[[#This Row],[CONTA]],BaseContasDRE[#All],4,FALSE))</f>
        <v>Fora do DRE</v>
      </c>
      <c r="T5506" s="3" t="str">
        <f>IF(ISERROR(VLOOKUP(Base_Periodo1[[#This Row],[CONTA]],BaseContasDRE[#All],5,FALSE)),"Fora do DRE",VLOOKUP(Base_Periodo1[[#This Row],[CONTA]],BaseContasDRE[#All],6,FALSE))</f>
        <v>Fora do DRE</v>
      </c>
      <c r="U5506" s="3" t="str">
        <f>IF(ISERROR(VLOOKUP(Base_Periodo1[[#This Row],[CONTA]],BaseContasDRE[#All],7,FALSE)),"Fora do DRE",VLOOKUP(Base_Periodo1[[#This Row],[CONTA]],BaseContasDRE[#All],7,FALSE))</f>
        <v>Fora do DRE</v>
      </c>
      <c r="V5506" s="3" t="str">
        <f>IF(Base_Periodo1[[#This Row],[Tipo_Linha]]="Fora do DRE","Fora do DRE","( "&amp;Base_Periodo1[[#This Row],[Tipo_Linha]]&amp;" ) "&amp;Base_Periodo1[[#This Row],[Filtro]])</f>
        <v>Fora do DRE</v>
      </c>
      <c r="W5506" s="3" t="str">
        <f>LEFT(Base_Periodo1[[#This Row],[CLASS]],3)</f>
        <v>2.4</v>
      </c>
    </row>
    <row r="5507" spans="1:23" hidden="1">
      <c r="A5507" s="3" t="str">
        <f t="shared" si="85"/>
        <v>Período 1</v>
      </c>
      <c r="B5507">
        <v>47263</v>
      </c>
      <c r="C5507" t="s">
        <v>2300</v>
      </c>
      <c r="D5507" t="s">
        <v>3325</v>
      </c>
      <c r="E5507" s="3" t="str">
        <f>IF(LEN(Base_Periodo1[[#This Row],[CLASS]])&gt;=7,LEFT(Base_Periodo1[[#This Row],[CLASS]],7),"")</f>
        <v>2.4.1.1</v>
      </c>
      <c r="F5507" s="3" t="str">
        <f>VLOOKUP(Base_Periodo1[[#This Row],[Aux]],Base_Contas_Balanco[#All],2,FALSE)</f>
        <v>Capital Social Realizado</v>
      </c>
      <c r="G5507" s="1"/>
      <c r="H5507" s="281">
        <v>751.71</v>
      </c>
      <c r="I5507" s="281">
        <v>0</v>
      </c>
      <c r="J5507" s="281">
        <v>0</v>
      </c>
      <c r="K5507" s="281">
        <v>751.71</v>
      </c>
      <c r="L550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751.71</v>
      </c>
      <c r="M5507" s="281">
        <f>ROUND(IF(AND(Base_Periodo1[[#This Row],[Tipo_Linha]]="-",Base_Periodo1[[#This Row],[TIPOSALDO]]="D"),Base_Periodo1[[#This Row],[SALDO_ATUAL]]*-1,Base_Periodo1[[#This Row],[SALDO_ATUAL]]),4)</f>
        <v>751.71</v>
      </c>
      <c r="N5507" t="s">
        <v>116</v>
      </c>
      <c r="O5507" t="s">
        <v>459</v>
      </c>
      <c r="P5507" t="s">
        <v>459</v>
      </c>
      <c r="Q5507">
        <v>6</v>
      </c>
      <c r="R5507" s="281">
        <f>Base_Periodo1[[#This Row],[CREDITOS]]-Base_Periodo1[[#This Row],[DEBITOS]]</f>
        <v>0</v>
      </c>
      <c r="S5507" s="3" t="str">
        <f>IF(ISERROR(VLOOKUP(Base_Periodo1[[#This Row],[CONTA]],BaseContasDRE[#All],4,FALSE)),"Fora do DRE",VLOOKUP(Base_Periodo1[[#This Row],[CONTA]],BaseContasDRE[#All],4,FALSE))</f>
        <v>Fora do DRE</v>
      </c>
      <c r="T5507" s="3" t="str">
        <f>IF(ISERROR(VLOOKUP(Base_Periodo1[[#This Row],[CONTA]],BaseContasDRE[#All],5,FALSE)),"Fora do DRE",VLOOKUP(Base_Periodo1[[#This Row],[CONTA]],BaseContasDRE[#All],6,FALSE))</f>
        <v>Fora do DRE</v>
      </c>
      <c r="U5507" s="3" t="str">
        <f>IF(ISERROR(VLOOKUP(Base_Periodo1[[#This Row],[CONTA]],BaseContasDRE[#All],7,FALSE)),"Fora do DRE",VLOOKUP(Base_Periodo1[[#This Row],[CONTA]],BaseContasDRE[#All],7,FALSE))</f>
        <v>Fora do DRE</v>
      </c>
      <c r="V5507" s="3" t="str">
        <f>IF(Base_Periodo1[[#This Row],[Tipo_Linha]]="Fora do DRE","Fora do DRE","( "&amp;Base_Periodo1[[#This Row],[Tipo_Linha]]&amp;" ) "&amp;Base_Periodo1[[#This Row],[Filtro]])</f>
        <v>Fora do DRE</v>
      </c>
      <c r="W5507" s="3" t="str">
        <f>LEFT(Base_Periodo1[[#This Row],[CLASS]],3)</f>
        <v>2.4</v>
      </c>
    </row>
    <row r="5508" spans="1:23" hidden="1">
      <c r="A5508" s="3" t="str">
        <f t="shared" si="85"/>
        <v>Período 1</v>
      </c>
      <c r="B5508">
        <v>38828</v>
      </c>
      <c r="C5508" t="s">
        <v>2300</v>
      </c>
      <c r="D5508" t="s">
        <v>3326</v>
      </c>
      <c r="E5508" s="3" t="str">
        <f>IF(LEN(Base_Periodo1[[#This Row],[CLASS]])&gt;=7,LEFT(Base_Periodo1[[#This Row],[CLASS]],7),"")</f>
        <v>2.4.1.1</v>
      </c>
      <c r="F5508" s="3" t="str">
        <f>VLOOKUP(Base_Periodo1[[#This Row],[Aux]],Base_Contas_Balanco[#All],2,FALSE)</f>
        <v>Capital Social Realizado</v>
      </c>
      <c r="G5508" s="1"/>
      <c r="H5508" s="281">
        <v>644.01</v>
      </c>
      <c r="I5508" s="281">
        <v>0</v>
      </c>
      <c r="J5508" s="281">
        <v>0</v>
      </c>
      <c r="K5508" s="281">
        <v>644.01</v>
      </c>
      <c r="L550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644.01</v>
      </c>
      <c r="M5508" s="281">
        <f>ROUND(IF(AND(Base_Periodo1[[#This Row],[Tipo_Linha]]="-",Base_Periodo1[[#This Row],[TIPOSALDO]]="D"),Base_Periodo1[[#This Row],[SALDO_ATUAL]]*-1,Base_Periodo1[[#This Row],[SALDO_ATUAL]]),4)</f>
        <v>644.01</v>
      </c>
      <c r="N5508" t="s">
        <v>116</v>
      </c>
      <c r="O5508" t="s">
        <v>459</v>
      </c>
      <c r="P5508" t="s">
        <v>459</v>
      </c>
      <c r="Q5508">
        <v>6</v>
      </c>
      <c r="R5508" s="281">
        <f>Base_Periodo1[[#This Row],[CREDITOS]]-Base_Periodo1[[#This Row],[DEBITOS]]</f>
        <v>0</v>
      </c>
      <c r="S5508" s="3" t="str">
        <f>IF(ISERROR(VLOOKUP(Base_Periodo1[[#This Row],[CONTA]],BaseContasDRE[#All],4,FALSE)),"Fora do DRE",VLOOKUP(Base_Periodo1[[#This Row],[CONTA]],BaseContasDRE[#All],4,FALSE))</f>
        <v>Fora do DRE</v>
      </c>
      <c r="T5508" s="3" t="str">
        <f>IF(ISERROR(VLOOKUP(Base_Periodo1[[#This Row],[CONTA]],BaseContasDRE[#All],5,FALSE)),"Fora do DRE",VLOOKUP(Base_Periodo1[[#This Row],[CONTA]],BaseContasDRE[#All],6,FALSE))</f>
        <v>Fora do DRE</v>
      </c>
      <c r="U5508" s="3" t="str">
        <f>IF(ISERROR(VLOOKUP(Base_Periodo1[[#This Row],[CONTA]],BaseContasDRE[#All],7,FALSE)),"Fora do DRE",VLOOKUP(Base_Periodo1[[#This Row],[CONTA]],BaseContasDRE[#All],7,FALSE))</f>
        <v>Fora do DRE</v>
      </c>
      <c r="V5508" s="3" t="str">
        <f>IF(Base_Periodo1[[#This Row],[Tipo_Linha]]="Fora do DRE","Fora do DRE","( "&amp;Base_Periodo1[[#This Row],[Tipo_Linha]]&amp;" ) "&amp;Base_Periodo1[[#This Row],[Filtro]])</f>
        <v>Fora do DRE</v>
      </c>
      <c r="W5508" s="3" t="str">
        <f>LEFT(Base_Periodo1[[#This Row],[CLASS]],3)</f>
        <v>2.4</v>
      </c>
    </row>
    <row r="5509" spans="1:23" hidden="1">
      <c r="A5509" s="3" t="str">
        <f t="shared" si="85"/>
        <v>Período 1</v>
      </c>
      <c r="B5509">
        <v>16081</v>
      </c>
      <c r="C5509" t="s">
        <v>2300</v>
      </c>
      <c r="D5509" t="s">
        <v>3327</v>
      </c>
      <c r="E5509" s="3" t="str">
        <f>IF(LEN(Base_Periodo1[[#This Row],[CLASS]])&gt;=7,LEFT(Base_Periodo1[[#This Row],[CLASS]],7),"")</f>
        <v>2.4.1.1</v>
      </c>
      <c r="F5509" s="3" t="str">
        <f>VLOOKUP(Base_Periodo1[[#This Row],[Aux]],Base_Contas_Balanco[#All],2,FALSE)</f>
        <v>Capital Social Realizado</v>
      </c>
      <c r="G5509" s="1">
        <v>42460</v>
      </c>
      <c r="H5509" s="281">
        <v>8320.8799999999992</v>
      </c>
      <c r="I5509" s="281">
        <v>0</v>
      </c>
      <c r="J5509" s="281">
        <v>0</v>
      </c>
      <c r="K5509" s="281">
        <v>8320.8799999999992</v>
      </c>
      <c r="L550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8320.8799999999992</v>
      </c>
      <c r="M5509" s="281">
        <f>ROUND(IF(AND(Base_Periodo1[[#This Row],[Tipo_Linha]]="-",Base_Periodo1[[#This Row],[TIPOSALDO]]="D"),Base_Periodo1[[#This Row],[SALDO_ATUAL]]*-1,Base_Periodo1[[#This Row],[SALDO_ATUAL]]),4)</f>
        <v>8320.8799999999992</v>
      </c>
      <c r="N5509" t="s">
        <v>116</v>
      </c>
      <c r="O5509" t="s">
        <v>459</v>
      </c>
      <c r="P5509" t="s">
        <v>459</v>
      </c>
      <c r="Q5509">
        <v>6</v>
      </c>
      <c r="R5509" s="281">
        <f>Base_Periodo1[[#This Row],[CREDITOS]]-Base_Periodo1[[#This Row],[DEBITOS]]</f>
        <v>0</v>
      </c>
      <c r="S5509" s="3" t="str">
        <f>IF(ISERROR(VLOOKUP(Base_Periodo1[[#This Row],[CONTA]],BaseContasDRE[#All],4,FALSE)),"Fora do DRE",VLOOKUP(Base_Periodo1[[#This Row],[CONTA]],BaseContasDRE[#All],4,FALSE))</f>
        <v>Fora do DRE</v>
      </c>
      <c r="T5509" s="3" t="str">
        <f>IF(ISERROR(VLOOKUP(Base_Periodo1[[#This Row],[CONTA]],BaseContasDRE[#All],5,FALSE)),"Fora do DRE",VLOOKUP(Base_Periodo1[[#This Row],[CONTA]],BaseContasDRE[#All],6,FALSE))</f>
        <v>Fora do DRE</v>
      </c>
      <c r="U5509" s="3" t="str">
        <f>IF(ISERROR(VLOOKUP(Base_Periodo1[[#This Row],[CONTA]],BaseContasDRE[#All],7,FALSE)),"Fora do DRE",VLOOKUP(Base_Periodo1[[#This Row],[CONTA]],BaseContasDRE[#All],7,FALSE))</f>
        <v>Fora do DRE</v>
      </c>
      <c r="V5509" s="3" t="str">
        <f>IF(Base_Periodo1[[#This Row],[Tipo_Linha]]="Fora do DRE","Fora do DRE","( "&amp;Base_Periodo1[[#This Row],[Tipo_Linha]]&amp;" ) "&amp;Base_Periodo1[[#This Row],[Filtro]])</f>
        <v>Fora do DRE</v>
      </c>
      <c r="W5509" s="3" t="str">
        <f>LEFT(Base_Periodo1[[#This Row],[CLASS]],3)</f>
        <v>2.4</v>
      </c>
    </row>
    <row r="5510" spans="1:23" hidden="1">
      <c r="A5510" s="3" t="str">
        <f t="shared" ref="A5510:A5573" si="86">"Período 1"</f>
        <v>Período 1</v>
      </c>
      <c r="B5510">
        <v>15971</v>
      </c>
      <c r="C5510" t="s">
        <v>2300</v>
      </c>
      <c r="D5510" t="s">
        <v>3328</v>
      </c>
      <c r="E5510" s="3" t="str">
        <f>IF(LEN(Base_Periodo1[[#This Row],[CLASS]])&gt;=7,LEFT(Base_Periodo1[[#This Row],[CLASS]],7),"")</f>
        <v>2.4.1.1</v>
      </c>
      <c r="F5510" s="3" t="str">
        <f>VLOOKUP(Base_Periodo1[[#This Row],[Aux]],Base_Contas_Balanco[#All],2,FALSE)</f>
        <v>Capital Social Realizado</v>
      </c>
      <c r="G5510" s="1"/>
      <c r="H5510" s="281">
        <v>6511.7</v>
      </c>
      <c r="I5510" s="281">
        <v>0</v>
      </c>
      <c r="J5510" s="281">
        <v>0</v>
      </c>
      <c r="K5510" s="281">
        <v>6511.7</v>
      </c>
      <c r="L551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6511.7</v>
      </c>
      <c r="M5510" s="281">
        <f>ROUND(IF(AND(Base_Periodo1[[#This Row],[Tipo_Linha]]="-",Base_Periodo1[[#This Row],[TIPOSALDO]]="D"),Base_Periodo1[[#This Row],[SALDO_ATUAL]]*-1,Base_Periodo1[[#This Row],[SALDO_ATUAL]]),4)</f>
        <v>6511.7</v>
      </c>
      <c r="N5510" t="s">
        <v>116</v>
      </c>
      <c r="O5510" t="s">
        <v>459</v>
      </c>
      <c r="P5510" t="s">
        <v>459</v>
      </c>
      <c r="Q5510">
        <v>6</v>
      </c>
      <c r="R5510" s="281">
        <f>Base_Periodo1[[#This Row],[CREDITOS]]-Base_Periodo1[[#This Row],[DEBITOS]]</f>
        <v>0</v>
      </c>
      <c r="S5510" s="3" t="str">
        <f>IF(ISERROR(VLOOKUP(Base_Periodo1[[#This Row],[CONTA]],BaseContasDRE[#All],4,FALSE)),"Fora do DRE",VLOOKUP(Base_Periodo1[[#This Row],[CONTA]],BaseContasDRE[#All],4,FALSE))</f>
        <v>Fora do DRE</v>
      </c>
      <c r="T5510" s="3" t="str">
        <f>IF(ISERROR(VLOOKUP(Base_Periodo1[[#This Row],[CONTA]],BaseContasDRE[#All],5,FALSE)),"Fora do DRE",VLOOKUP(Base_Periodo1[[#This Row],[CONTA]],BaseContasDRE[#All],6,FALSE))</f>
        <v>Fora do DRE</v>
      </c>
      <c r="U5510" s="3" t="str">
        <f>IF(ISERROR(VLOOKUP(Base_Periodo1[[#This Row],[CONTA]],BaseContasDRE[#All],7,FALSE)),"Fora do DRE",VLOOKUP(Base_Periodo1[[#This Row],[CONTA]],BaseContasDRE[#All],7,FALSE))</f>
        <v>Fora do DRE</v>
      </c>
      <c r="V5510" s="3" t="str">
        <f>IF(Base_Periodo1[[#This Row],[Tipo_Linha]]="Fora do DRE","Fora do DRE","( "&amp;Base_Periodo1[[#This Row],[Tipo_Linha]]&amp;" ) "&amp;Base_Periodo1[[#This Row],[Filtro]])</f>
        <v>Fora do DRE</v>
      </c>
      <c r="W5510" s="3" t="str">
        <f>LEFT(Base_Periodo1[[#This Row],[CLASS]],3)</f>
        <v>2.4</v>
      </c>
    </row>
    <row r="5511" spans="1:23" hidden="1">
      <c r="A5511" s="3" t="str">
        <f t="shared" si="86"/>
        <v>Período 1</v>
      </c>
      <c r="B5511">
        <v>38119</v>
      </c>
      <c r="C5511" t="s">
        <v>2300</v>
      </c>
      <c r="D5511" t="s">
        <v>3329</v>
      </c>
      <c r="E5511" s="3" t="str">
        <f>IF(LEN(Base_Periodo1[[#This Row],[CLASS]])&gt;=7,LEFT(Base_Periodo1[[#This Row],[CLASS]],7),"")</f>
        <v>2.4.1.1</v>
      </c>
      <c r="F5511" s="3" t="str">
        <f>VLOOKUP(Base_Periodo1[[#This Row],[Aux]],Base_Contas_Balanco[#All],2,FALSE)</f>
        <v>Capital Social Realizado</v>
      </c>
      <c r="G5511" s="1"/>
      <c r="H5511" s="281">
        <v>689.53</v>
      </c>
      <c r="I5511" s="281">
        <v>0</v>
      </c>
      <c r="J5511" s="281">
        <v>0</v>
      </c>
      <c r="K5511" s="281">
        <v>689.53</v>
      </c>
      <c r="L551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689.53</v>
      </c>
      <c r="M5511" s="281">
        <f>ROUND(IF(AND(Base_Periodo1[[#This Row],[Tipo_Linha]]="-",Base_Periodo1[[#This Row],[TIPOSALDO]]="D"),Base_Periodo1[[#This Row],[SALDO_ATUAL]]*-1,Base_Periodo1[[#This Row],[SALDO_ATUAL]]),4)</f>
        <v>689.53</v>
      </c>
      <c r="N5511" t="s">
        <v>116</v>
      </c>
      <c r="O5511" t="s">
        <v>459</v>
      </c>
      <c r="P5511" t="s">
        <v>459</v>
      </c>
      <c r="Q5511">
        <v>6</v>
      </c>
      <c r="R5511" s="281">
        <f>Base_Periodo1[[#This Row],[CREDITOS]]-Base_Periodo1[[#This Row],[DEBITOS]]</f>
        <v>0</v>
      </c>
      <c r="S5511" s="3" t="str">
        <f>IF(ISERROR(VLOOKUP(Base_Periodo1[[#This Row],[CONTA]],BaseContasDRE[#All],4,FALSE)),"Fora do DRE",VLOOKUP(Base_Periodo1[[#This Row],[CONTA]],BaseContasDRE[#All],4,FALSE))</f>
        <v>Fora do DRE</v>
      </c>
      <c r="T5511" s="3" t="str">
        <f>IF(ISERROR(VLOOKUP(Base_Periodo1[[#This Row],[CONTA]],BaseContasDRE[#All],5,FALSE)),"Fora do DRE",VLOOKUP(Base_Periodo1[[#This Row],[CONTA]],BaseContasDRE[#All],6,FALSE))</f>
        <v>Fora do DRE</v>
      </c>
      <c r="U5511" s="3" t="str">
        <f>IF(ISERROR(VLOOKUP(Base_Periodo1[[#This Row],[CONTA]],BaseContasDRE[#All],7,FALSE)),"Fora do DRE",VLOOKUP(Base_Periodo1[[#This Row],[CONTA]],BaseContasDRE[#All],7,FALSE))</f>
        <v>Fora do DRE</v>
      </c>
      <c r="V5511" s="3" t="str">
        <f>IF(Base_Periodo1[[#This Row],[Tipo_Linha]]="Fora do DRE","Fora do DRE","( "&amp;Base_Periodo1[[#This Row],[Tipo_Linha]]&amp;" ) "&amp;Base_Periodo1[[#This Row],[Filtro]])</f>
        <v>Fora do DRE</v>
      </c>
      <c r="W5511" s="3" t="str">
        <f>LEFT(Base_Periodo1[[#This Row],[CLASS]],3)</f>
        <v>2.4</v>
      </c>
    </row>
    <row r="5512" spans="1:23" hidden="1">
      <c r="A5512" s="3" t="str">
        <f t="shared" si="86"/>
        <v>Período 1</v>
      </c>
      <c r="B5512">
        <v>40275</v>
      </c>
      <c r="C5512" t="s">
        <v>2300</v>
      </c>
      <c r="D5512" t="s">
        <v>3330</v>
      </c>
      <c r="E5512" s="3" t="str">
        <f>IF(LEN(Base_Periodo1[[#This Row],[CLASS]])&gt;=7,LEFT(Base_Periodo1[[#This Row],[CLASS]],7),"")</f>
        <v>2.4.1.1</v>
      </c>
      <c r="F5512" s="3" t="str">
        <f>VLOOKUP(Base_Periodo1[[#This Row],[Aux]],Base_Contas_Balanco[#All],2,FALSE)</f>
        <v>Capital Social Realizado</v>
      </c>
      <c r="G5512" s="1"/>
      <c r="H5512" s="281">
        <v>1527.0900000000001</v>
      </c>
      <c r="I5512" s="281">
        <v>0</v>
      </c>
      <c r="J5512" s="281">
        <v>0</v>
      </c>
      <c r="K5512" s="281">
        <v>1527.0900000000001</v>
      </c>
      <c r="L551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1527.09</v>
      </c>
      <c r="M5512" s="281">
        <f>ROUND(IF(AND(Base_Periodo1[[#This Row],[Tipo_Linha]]="-",Base_Periodo1[[#This Row],[TIPOSALDO]]="D"),Base_Periodo1[[#This Row],[SALDO_ATUAL]]*-1,Base_Periodo1[[#This Row],[SALDO_ATUAL]]),4)</f>
        <v>1527.09</v>
      </c>
      <c r="N5512" t="s">
        <v>116</v>
      </c>
      <c r="O5512" t="s">
        <v>459</v>
      </c>
      <c r="P5512" t="s">
        <v>459</v>
      </c>
      <c r="Q5512">
        <v>6</v>
      </c>
      <c r="R5512" s="281">
        <f>Base_Periodo1[[#This Row],[CREDITOS]]-Base_Periodo1[[#This Row],[DEBITOS]]</f>
        <v>0</v>
      </c>
      <c r="S5512" s="3" t="str">
        <f>IF(ISERROR(VLOOKUP(Base_Periodo1[[#This Row],[CONTA]],BaseContasDRE[#All],4,FALSE)),"Fora do DRE",VLOOKUP(Base_Periodo1[[#This Row],[CONTA]],BaseContasDRE[#All],4,FALSE))</f>
        <v>Fora do DRE</v>
      </c>
      <c r="T5512" s="3" t="str">
        <f>IF(ISERROR(VLOOKUP(Base_Periodo1[[#This Row],[CONTA]],BaseContasDRE[#All],5,FALSE)),"Fora do DRE",VLOOKUP(Base_Periodo1[[#This Row],[CONTA]],BaseContasDRE[#All],6,FALSE))</f>
        <v>Fora do DRE</v>
      </c>
      <c r="U5512" s="3" t="str">
        <f>IF(ISERROR(VLOOKUP(Base_Periodo1[[#This Row],[CONTA]],BaseContasDRE[#All],7,FALSE)),"Fora do DRE",VLOOKUP(Base_Periodo1[[#This Row],[CONTA]],BaseContasDRE[#All],7,FALSE))</f>
        <v>Fora do DRE</v>
      </c>
      <c r="V5512" s="3" t="str">
        <f>IF(Base_Periodo1[[#This Row],[Tipo_Linha]]="Fora do DRE","Fora do DRE","( "&amp;Base_Periodo1[[#This Row],[Tipo_Linha]]&amp;" ) "&amp;Base_Periodo1[[#This Row],[Filtro]])</f>
        <v>Fora do DRE</v>
      </c>
      <c r="W5512" s="3" t="str">
        <f>LEFT(Base_Periodo1[[#This Row],[CLASS]],3)</f>
        <v>2.4</v>
      </c>
    </row>
    <row r="5513" spans="1:23" hidden="1">
      <c r="A5513" s="3" t="str">
        <f t="shared" si="86"/>
        <v>Período 1</v>
      </c>
      <c r="B5513">
        <v>25020</v>
      </c>
      <c r="C5513" t="s">
        <v>2300</v>
      </c>
      <c r="D5513" t="s">
        <v>5244</v>
      </c>
      <c r="E5513" s="3" t="str">
        <f>IF(LEN(Base_Periodo1[[#This Row],[CLASS]])&gt;=7,LEFT(Base_Periodo1[[#This Row],[CLASS]],7),"")</f>
        <v>2.4.1.1</v>
      </c>
      <c r="F5513" s="3" t="str">
        <f>VLOOKUP(Base_Periodo1[[#This Row],[Aux]],Base_Contas_Balanco[#All],2,FALSE)</f>
        <v>Capital Social Realizado</v>
      </c>
      <c r="G5513" s="1">
        <v>42627</v>
      </c>
      <c r="H5513" s="281">
        <v>2196.75</v>
      </c>
      <c r="I5513" s="281">
        <v>0</v>
      </c>
      <c r="J5513" s="281">
        <v>0</v>
      </c>
      <c r="K5513" s="281">
        <v>2196.75</v>
      </c>
      <c r="L551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2196.75</v>
      </c>
      <c r="M5513" s="281">
        <f>ROUND(IF(AND(Base_Periodo1[[#This Row],[Tipo_Linha]]="-",Base_Periodo1[[#This Row],[TIPOSALDO]]="D"),Base_Periodo1[[#This Row],[SALDO_ATUAL]]*-1,Base_Periodo1[[#This Row],[SALDO_ATUAL]]),4)</f>
        <v>2196.75</v>
      </c>
      <c r="N5513" t="s">
        <v>116</v>
      </c>
      <c r="O5513" t="s">
        <v>459</v>
      </c>
      <c r="P5513" t="s">
        <v>459</v>
      </c>
      <c r="Q5513">
        <v>6</v>
      </c>
      <c r="R5513" s="281">
        <f>Base_Periodo1[[#This Row],[CREDITOS]]-Base_Periodo1[[#This Row],[DEBITOS]]</f>
        <v>0</v>
      </c>
      <c r="S5513" s="3" t="str">
        <f>IF(ISERROR(VLOOKUP(Base_Periodo1[[#This Row],[CONTA]],BaseContasDRE[#All],4,FALSE)),"Fora do DRE",VLOOKUP(Base_Periodo1[[#This Row],[CONTA]],BaseContasDRE[#All],4,FALSE))</f>
        <v>Fora do DRE</v>
      </c>
      <c r="T5513" s="3" t="str">
        <f>IF(ISERROR(VLOOKUP(Base_Periodo1[[#This Row],[CONTA]],BaseContasDRE[#All],5,FALSE)),"Fora do DRE",VLOOKUP(Base_Periodo1[[#This Row],[CONTA]],BaseContasDRE[#All],6,FALSE))</f>
        <v>Fora do DRE</v>
      </c>
      <c r="U5513" s="3" t="str">
        <f>IF(ISERROR(VLOOKUP(Base_Periodo1[[#This Row],[CONTA]],BaseContasDRE[#All],7,FALSE)),"Fora do DRE",VLOOKUP(Base_Periodo1[[#This Row],[CONTA]],BaseContasDRE[#All],7,FALSE))</f>
        <v>Fora do DRE</v>
      </c>
      <c r="V5513" s="3" t="str">
        <f>IF(Base_Periodo1[[#This Row],[Tipo_Linha]]="Fora do DRE","Fora do DRE","( "&amp;Base_Periodo1[[#This Row],[Tipo_Linha]]&amp;" ) "&amp;Base_Periodo1[[#This Row],[Filtro]])</f>
        <v>Fora do DRE</v>
      </c>
      <c r="W5513" s="3" t="str">
        <f>LEFT(Base_Periodo1[[#This Row],[CLASS]],3)</f>
        <v>2.4</v>
      </c>
    </row>
    <row r="5514" spans="1:23" hidden="1">
      <c r="A5514" s="3" t="str">
        <f t="shared" si="86"/>
        <v>Período 1</v>
      </c>
      <c r="B5514">
        <v>46861</v>
      </c>
      <c r="C5514" t="s">
        <v>2300</v>
      </c>
      <c r="D5514" t="s">
        <v>3331</v>
      </c>
      <c r="E5514" s="3" t="str">
        <f>IF(LEN(Base_Periodo1[[#This Row],[CLASS]])&gt;=7,LEFT(Base_Periodo1[[#This Row],[CLASS]],7),"")</f>
        <v>2.4.1.1</v>
      </c>
      <c r="F5514" s="3" t="str">
        <f>VLOOKUP(Base_Periodo1[[#This Row],[Aux]],Base_Contas_Balanco[#All],2,FALSE)</f>
        <v>Capital Social Realizado</v>
      </c>
      <c r="G5514" s="1"/>
      <c r="H5514" s="281">
        <v>4038.75</v>
      </c>
      <c r="I5514" s="281">
        <v>0</v>
      </c>
      <c r="J5514" s="281">
        <v>0</v>
      </c>
      <c r="K5514" s="281">
        <v>4038.75</v>
      </c>
      <c r="L551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4038.75</v>
      </c>
      <c r="M5514" s="281">
        <f>ROUND(IF(AND(Base_Periodo1[[#This Row],[Tipo_Linha]]="-",Base_Periodo1[[#This Row],[TIPOSALDO]]="D"),Base_Periodo1[[#This Row],[SALDO_ATUAL]]*-1,Base_Periodo1[[#This Row],[SALDO_ATUAL]]),4)</f>
        <v>4038.75</v>
      </c>
      <c r="N5514" t="s">
        <v>116</v>
      </c>
      <c r="O5514" t="s">
        <v>459</v>
      </c>
      <c r="P5514" t="s">
        <v>459</v>
      </c>
      <c r="Q5514">
        <v>6</v>
      </c>
      <c r="R5514" s="281">
        <f>Base_Periodo1[[#This Row],[CREDITOS]]-Base_Periodo1[[#This Row],[DEBITOS]]</f>
        <v>0</v>
      </c>
      <c r="S5514" s="3" t="str">
        <f>IF(ISERROR(VLOOKUP(Base_Periodo1[[#This Row],[CONTA]],BaseContasDRE[#All],4,FALSE)),"Fora do DRE",VLOOKUP(Base_Periodo1[[#This Row],[CONTA]],BaseContasDRE[#All],4,FALSE))</f>
        <v>Fora do DRE</v>
      </c>
      <c r="T5514" s="3" t="str">
        <f>IF(ISERROR(VLOOKUP(Base_Periodo1[[#This Row],[CONTA]],BaseContasDRE[#All],5,FALSE)),"Fora do DRE",VLOOKUP(Base_Periodo1[[#This Row],[CONTA]],BaseContasDRE[#All],6,FALSE))</f>
        <v>Fora do DRE</v>
      </c>
      <c r="U5514" s="3" t="str">
        <f>IF(ISERROR(VLOOKUP(Base_Periodo1[[#This Row],[CONTA]],BaseContasDRE[#All],7,FALSE)),"Fora do DRE",VLOOKUP(Base_Periodo1[[#This Row],[CONTA]],BaseContasDRE[#All],7,FALSE))</f>
        <v>Fora do DRE</v>
      </c>
      <c r="V5514" s="3" t="str">
        <f>IF(Base_Periodo1[[#This Row],[Tipo_Linha]]="Fora do DRE","Fora do DRE","( "&amp;Base_Periodo1[[#This Row],[Tipo_Linha]]&amp;" ) "&amp;Base_Periodo1[[#This Row],[Filtro]])</f>
        <v>Fora do DRE</v>
      </c>
      <c r="W5514" s="3" t="str">
        <f>LEFT(Base_Periodo1[[#This Row],[CLASS]],3)</f>
        <v>2.4</v>
      </c>
    </row>
    <row r="5515" spans="1:23" hidden="1">
      <c r="A5515" s="3" t="str">
        <f t="shared" si="86"/>
        <v>Período 1</v>
      </c>
      <c r="B5515">
        <v>39416</v>
      </c>
      <c r="C5515" t="s">
        <v>2300</v>
      </c>
      <c r="D5515" t="s">
        <v>3332</v>
      </c>
      <c r="E5515" s="3" t="str">
        <f>IF(LEN(Base_Periodo1[[#This Row],[CLASS]])&gt;=7,LEFT(Base_Periodo1[[#This Row],[CLASS]],7),"")</f>
        <v>2.4.1.1</v>
      </c>
      <c r="F5515" s="3" t="str">
        <f>VLOOKUP(Base_Periodo1[[#This Row],[Aux]],Base_Contas_Balanco[#All],2,FALSE)</f>
        <v>Capital Social Realizado</v>
      </c>
      <c r="G5515" s="1"/>
      <c r="H5515" s="281">
        <v>235.39</v>
      </c>
      <c r="I5515" s="281">
        <v>0</v>
      </c>
      <c r="J5515" s="281">
        <v>0</v>
      </c>
      <c r="K5515" s="281">
        <v>235.39</v>
      </c>
      <c r="L551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235.39</v>
      </c>
      <c r="M5515" s="281">
        <f>ROUND(IF(AND(Base_Periodo1[[#This Row],[Tipo_Linha]]="-",Base_Periodo1[[#This Row],[TIPOSALDO]]="D"),Base_Periodo1[[#This Row],[SALDO_ATUAL]]*-1,Base_Periodo1[[#This Row],[SALDO_ATUAL]]),4)</f>
        <v>235.39</v>
      </c>
      <c r="N5515" t="s">
        <v>116</v>
      </c>
      <c r="O5515" t="s">
        <v>459</v>
      </c>
      <c r="P5515" t="s">
        <v>459</v>
      </c>
      <c r="Q5515">
        <v>6</v>
      </c>
      <c r="R5515" s="281">
        <f>Base_Periodo1[[#This Row],[CREDITOS]]-Base_Periodo1[[#This Row],[DEBITOS]]</f>
        <v>0</v>
      </c>
      <c r="S5515" s="3" t="str">
        <f>IF(ISERROR(VLOOKUP(Base_Periodo1[[#This Row],[CONTA]],BaseContasDRE[#All],4,FALSE)),"Fora do DRE",VLOOKUP(Base_Periodo1[[#This Row],[CONTA]],BaseContasDRE[#All],4,FALSE))</f>
        <v>Fora do DRE</v>
      </c>
      <c r="T5515" s="3" t="str">
        <f>IF(ISERROR(VLOOKUP(Base_Periodo1[[#This Row],[CONTA]],BaseContasDRE[#All],5,FALSE)),"Fora do DRE",VLOOKUP(Base_Periodo1[[#This Row],[CONTA]],BaseContasDRE[#All],6,FALSE))</f>
        <v>Fora do DRE</v>
      </c>
      <c r="U5515" s="3" t="str">
        <f>IF(ISERROR(VLOOKUP(Base_Periodo1[[#This Row],[CONTA]],BaseContasDRE[#All],7,FALSE)),"Fora do DRE",VLOOKUP(Base_Periodo1[[#This Row],[CONTA]],BaseContasDRE[#All],7,FALSE))</f>
        <v>Fora do DRE</v>
      </c>
      <c r="V5515" s="3" t="str">
        <f>IF(Base_Periodo1[[#This Row],[Tipo_Linha]]="Fora do DRE","Fora do DRE","( "&amp;Base_Periodo1[[#This Row],[Tipo_Linha]]&amp;" ) "&amp;Base_Periodo1[[#This Row],[Filtro]])</f>
        <v>Fora do DRE</v>
      </c>
      <c r="W5515" s="3" t="str">
        <f>LEFT(Base_Periodo1[[#This Row],[CLASS]],3)</f>
        <v>2.4</v>
      </c>
    </row>
    <row r="5516" spans="1:23" hidden="1">
      <c r="A5516" s="3" t="str">
        <f t="shared" si="86"/>
        <v>Período 1</v>
      </c>
      <c r="B5516">
        <v>17744</v>
      </c>
      <c r="C5516" t="s">
        <v>2300</v>
      </c>
      <c r="D5516" t="s">
        <v>3333</v>
      </c>
      <c r="E5516" s="3" t="str">
        <f>IF(LEN(Base_Periodo1[[#This Row],[CLASS]])&gt;=7,LEFT(Base_Periodo1[[#This Row],[CLASS]],7),"")</f>
        <v>2.4.1.1</v>
      </c>
      <c r="F5516" s="3" t="str">
        <f>VLOOKUP(Base_Periodo1[[#This Row],[Aux]],Base_Contas_Balanco[#All],2,FALSE)</f>
        <v>Capital Social Realizado</v>
      </c>
      <c r="G5516" s="1"/>
      <c r="H5516" s="281">
        <v>375.62</v>
      </c>
      <c r="I5516" s="281">
        <v>0</v>
      </c>
      <c r="J5516" s="281">
        <v>0</v>
      </c>
      <c r="K5516" s="281">
        <v>375.62</v>
      </c>
      <c r="L551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375.62</v>
      </c>
      <c r="M5516" s="281">
        <f>ROUND(IF(AND(Base_Periodo1[[#This Row],[Tipo_Linha]]="-",Base_Periodo1[[#This Row],[TIPOSALDO]]="D"),Base_Periodo1[[#This Row],[SALDO_ATUAL]]*-1,Base_Periodo1[[#This Row],[SALDO_ATUAL]]),4)</f>
        <v>375.62</v>
      </c>
      <c r="N5516" t="s">
        <v>116</v>
      </c>
      <c r="O5516" t="s">
        <v>459</v>
      </c>
      <c r="P5516" t="s">
        <v>459</v>
      </c>
      <c r="Q5516">
        <v>6</v>
      </c>
      <c r="R5516" s="281">
        <f>Base_Periodo1[[#This Row],[CREDITOS]]-Base_Periodo1[[#This Row],[DEBITOS]]</f>
        <v>0</v>
      </c>
      <c r="S5516" s="3" t="str">
        <f>IF(ISERROR(VLOOKUP(Base_Periodo1[[#This Row],[CONTA]],BaseContasDRE[#All],4,FALSE)),"Fora do DRE",VLOOKUP(Base_Periodo1[[#This Row],[CONTA]],BaseContasDRE[#All],4,FALSE))</f>
        <v>Fora do DRE</v>
      </c>
      <c r="T5516" s="3" t="str">
        <f>IF(ISERROR(VLOOKUP(Base_Periodo1[[#This Row],[CONTA]],BaseContasDRE[#All],5,FALSE)),"Fora do DRE",VLOOKUP(Base_Periodo1[[#This Row],[CONTA]],BaseContasDRE[#All],6,FALSE))</f>
        <v>Fora do DRE</v>
      </c>
      <c r="U5516" s="3" t="str">
        <f>IF(ISERROR(VLOOKUP(Base_Periodo1[[#This Row],[CONTA]],BaseContasDRE[#All],7,FALSE)),"Fora do DRE",VLOOKUP(Base_Periodo1[[#This Row],[CONTA]],BaseContasDRE[#All],7,FALSE))</f>
        <v>Fora do DRE</v>
      </c>
      <c r="V5516" s="3" t="str">
        <f>IF(Base_Periodo1[[#This Row],[Tipo_Linha]]="Fora do DRE","Fora do DRE","( "&amp;Base_Periodo1[[#This Row],[Tipo_Linha]]&amp;" ) "&amp;Base_Periodo1[[#This Row],[Filtro]])</f>
        <v>Fora do DRE</v>
      </c>
      <c r="W5516" s="3" t="str">
        <f>LEFT(Base_Periodo1[[#This Row],[CLASS]],3)</f>
        <v>2.4</v>
      </c>
    </row>
    <row r="5517" spans="1:23" hidden="1">
      <c r="A5517" s="3" t="str">
        <f t="shared" si="86"/>
        <v>Período 1</v>
      </c>
      <c r="B5517">
        <v>39662</v>
      </c>
      <c r="C5517" t="s">
        <v>2300</v>
      </c>
      <c r="D5517" t="s">
        <v>4630</v>
      </c>
      <c r="E5517" s="3" t="str">
        <f>IF(LEN(Base_Periodo1[[#This Row],[CLASS]])&gt;=7,LEFT(Base_Periodo1[[#This Row],[CLASS]],7),"")</f>
        <v>2.4.1.1</v>
      </c>
      <c r="F5517" s="3" t="str">
        <f>VLOOKUP(Base_Periodo1[[#This Row],[Aux]],Base_Contas_Balanco[#All],2,FALSE)</f>
        <v>Capital Social Realizado</v>
      </c>
      <c r="G5517" s="1"/>
      <c r="H5517" s="281">
        <v>197.49</v>
      </c>
      <c r="I5517" s="281">
        <v>0</v>
      </c>
      <c r="J5517" s="281">
        <v>0</v>
      </c>
      <c r="K5517" s="281">
        <v>197.49</v>
      </c>
      <c r="L551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197.49</v>
      </c>
      <c r="M5517" s="281">
        <f>ROUND(IF(AND(Base_Periodo1[[#This Row],[Tipo_Linha]]="-",Base_Periodo1[[#This Row],[TIPOSALDO]]="D"),Base_Periodo1[[#This Row],[SALDO_ATUAL]]*-1,Base_Periodo1[[#This Row],[SALDO_ATUAL]]),4)</f>
        <v>197.49</v>
      </c>
      <c r="N5517" t="s">
        <v>116</v>
      </c>
      <c r="O5517" t="s">
        <v>459</v>
      </c>
      <c r="P5517" t="s">
        <v>459</v>
      </c>
      <c r="Q5517">
        <v>6</v>
      </c>
      <c r="R5517" s="281">
        <f>Base_Periodo1[[#This Row],[CREDITOS]]-Base_Periodo1[[#This Row],[DEBITOS]]</f>
        <v>0</v>
      </c>
      <c r="S5517" s="3" t="str">
        <f>IF(ISERROR(VLOOKUP(Base_Periodo1[[#This Row],[CONTA]],BaseContasDRE[#All],4,FALSE)),"Fora do DRE",VLOOKUP(Base_Periodo1[[#This Row],[CONTA]],BaseContasDRE[#All],4,FALSE))</f>
        <v>Fora do DRE</v>
      </c>
      <c r="T5517" s="3" t="str">
        <f>IF(ISERROR(VLOOKUP(Base_Periodo1[[#This Row],[CONTA]],BaseContasDRE[#All],5,FALSE)),"Fora do DRE",VLOOKUP(Base_Periodo1[[#This Row],[CONTA]],BaseContasDRE[#All],6,FALSE))</f>
        <v>Fora do DRE</v>
      </c>
      <c r="U5517" s="3" t="str">
        <f>IF(ISERROR(VLOOKUP(Base_Periodo1[[#This Row],[CONTA]],BaseContasDRE[#All],7,FALSE)),"Fora do DRE",VLOOKUP(Base_Periodo1[[#This Row],[CONTA]],BaseContasDRE[#All],7,FALSE))</f>
        <v>Fora do DRE</v>
      </c>
      <c r="V5517" s="3" t="str">
        <f>IF(Base_Periodo1[[#This Row],[Tipo_Linha]]="Fora do DRE","Fora do DRE","( "&amp;Base_Periodo1[[#This Row],[Tipo_Linha]]&amp;" ) "&amp;Base_Periodo1[[#This Row],[Filtro]])</f>
        <v>Fora do DRE</v>
      </c>
      <c r="W5517" s="3" t="str">
        <f>LEFT(Base_Periodo1[[#This Row],[CLASS]],3)</f>
        <v>2.4</v>
      </c>
    </row>
    <row r="5518" spans="1:23" hidden="1">
      <c r="A5518" s="3" t="str">
        <f t="shared" si="86"/>
        <v>Período 1</v>
      </c>
      <c r="B5518">
        <v>39552</v>
      </c>
      <c r="C5518" t="s">
        <v>2300</v>
      </c>
      <c r="D5518" t="s">
        <v>3334</v>
      </c>
      <c r="E5518" s="3" t="str">
        <f>IF(LEN(Base_Periodo1[[#This Row],[CLASS]])&gt;=7,LEFT(Base_Periodo1[[#This Row],[CLASS]],7),"")</f>
        <v>2.4.1.1</v>
      </c>
      <c r="F5518" s="3" t="str">
        <f>VLOOKUP(Base_Periodo1[[#This Row],[Aux]],Base_Contas_Balanco[#All],2,FALSE)</f>
        <v>Capital Social Realizado</v>
      </c>
      <c r="G5518" s="1"/>
      <c r="H5518" s="281">
        <v>886.21</v>
      </c>
      <c r="I5518" s="281">
        <v>0</v>
      </c>
      <c r="J5518" s="281">
        <v>0</v>
      </c>
      <c r="K5518" s="281">
        <v>886.21</v>
      </c>
      <c r="L551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886.21</v>
      </c>
      <c r="M5518" s="281">
        <f>ROUND(IF(AND(Base_Periodo1[[#This Row],[Tipo_Linha]]="-",Base_Periodo1[[#This Row],[TIPOSALDO]]="D"),Base_Periodo1[[#This Row],[SALDO_ATUAL]]*-1,Base_Periodo1[[#This Row],[SALDO_ATUAL]]),4)</f>
        <v>886.21</v>
      </c>
      <c r="N5518" t="s">
        <v>116</v>
      </c>
      <c r="O5518" t="s">
        <v>459</v>
      </c>
      <c r="P5518" t="s">
        <v>459</v>
      </c>
      <c r="Q5518">
        <v>6</v>
      </c>
      <c r="R5518" s="281">
        <f>Base_Periodo1[[#This Row],[CREDITOS]]-Base_Periodo1[[#This Row],[DEBITOS]]</f>
        <v>0</v>
      </c>
      <c r="S5518" s="3" t="str">
        <f>IF(ISERROR(VLOOKUP(Base_Periodo1[[#This Row],[CONTA]],BaseContasDRE[#All],4,FALSE)),"Fora do DRE",VLOOKUP(Base_Periodo1[[#This Row],[CONTA]],BaseContasDRE[#All],4,FALSE))</f>
        <v>Fora do DRE</v>
      </c>
      <c r="T5518" s="3" t="str">
        <f>IF(ISERROR(VLOOKUP(Base_Periodo1[[#This Row],[CONTA]],BaseContasDRE[#All],5,FALSE)),"Fora do DRE",VLOOKUP(Base_Periodo1[[#This Row],[CONTA]],BaseContasDRE[#All],6,FALSE))</f>
        <v>Fora do DRE</v>
      </c>
      <c r="U5518" s="3" t="str">
        <f>IF(ISERROR(VLOOKUP(Base_Periodo1[[#This Row],[CONTA]],BaseContasDRE[#All],7,FALSE)),"Fora do DRE",VLOOKUP(Base_Periodo1[[#This Row],[CONTA]],BaseContasDRE[#All],7,FALSE))</f>
        <v>Fora do DRE</v>
      </c>
      <c r="V5518" s="3" t="str">
        <f>IF(Base_Periodo1[[#This Row],[Tipo_Linha]]="Fora do DRE","Fora do DRE","( "&amp;Base_Periodo1[[#This Row],[Tipo_Linha]]&amp;" ) "&amp;Base_Periodo1[[#This Row],[Filtro]])</f>
        <v>Fora do DRE</v>
      </c>
      <c r="W5518" s="3" t="str">
        <f>LEFT(Base_Periodo1[[#This Row],[CLASS]],3)</f>
        <v>2.4</v>
      </c>
    </row>
    <row r="5519" spans="1:23" hidden="1">
      <c r="A5519" s="3" t="str">
        <f t="shared" si="86"/>
        <v>Período 1</v>
      </c>
      <c r="B5519">
        <v>19777</v>
      </c>
      <c r="C5519" t="s">
        <v>2300</v>
      </c>
      <c r="D5519" t="s">
        <v>3335</v>
      </c>
      <c r="E5519" s="3" t="str">
        <f>IF(LEN(Base_Periodo1[[#This Row],[CLASS]])&gt;=7,LEFT(Base_Periodo1[[#This Row],[CLASS]],7),"")</f>
        <v>2.4.1.1</v>
      </c>
      <c r="F5519" s="3" t="str">
        <f>VLOOKUP(Base_Periodo1[[#This Row],[Aux]],Base_Contas_Balanco[#All],2,FALSE)</f>
        <v>Capital Social Realizado</v>
      </c>
      <c r="G5519" s="1"/>
      <c r="H5519" s="281">
        <v>281.16999999999996</v>
      </c>
      <c r="I5519" s="281">
        <v>0</v>
      </c>
      <c r="J5519" s="281">
        <v>0</v>
      </c>
      <c r="K5519" s="281">
        <v>281.16999999999996</v>
      </c>
      <c r="L551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281.17</v>
      </c>
      <c r="M5519" s="281">
        <f>ROUND(IF(AND(Base_Periodo1[[#This Row],[Tipo_Linha]]="-",Base_Periodo1[[#This Row],[TIPOSALDO]]="D"),Base_Periodo1[[#This Row],[SALDO_ATUAL]]*-1,Base_Periodo1[[#This Row],[SALDO_ATUAL]]),4)</f>
        <v>281.17</v>
      </c>
      <c r="N5519" t="s">
        <v>116</v>
      </c>
      <c r="O5519" t="s">
        <v>459</v>
      </c>
      <c r="P5519" t="s">
        <v>459</v>
      </c>
      <c r="Q5519">
        <v>6</v>
      </c>
      <c r="R5519" s="281">
        <f>Base_Periodo1[[#This Row],[CREDITOS]]-Base_Periodo1[[#This Row],[DEBITOS]]</f>
        <v>0</v>
      </c>
      <c r="S5519" s="3" t="str">
        <f>IF(ISERROR(VLOOKUP(Base_Periodo1[[#This Row],[CONTA]],BaseContasDRE[#All],4,FALSE)),"Fora do DRE",VLOOKUP(Base_Periodo1[[#This Row],[CONTA]],BaseContasDRE[#All],4,FALSE))</f>
        <v>Fora do DRE</v>
      </c>
      <c r="T5519" s="3" t="str">
        <f>IF(ISERROR(VLOOKUP(Base_Periodo1[[#This Row],[CONTA]],BaseContasDRE[#All],5,FALSE)),"Fora do DRE",VLOOKUP(Base_Periodo1[[#This Row],[CONTA]],BaseContasDRE[#All],6,FALSE))</f>
        <v>Fora do DRE</v>
      </c>
      <c r="U5519" s="3" t="str">
        <f>IF(ISERROR(VLOOKUP(Base_Periodo1[[#This Row],[CONTA]],BaseContasDRE[#All],7,FALSE)),"Fora do DRE",VLOOKUP(Base_Periodo1[[#This Row],[CONTA]],BaseContasDRE[#All],7,FALSE))</f>
        <v>Fora do DRE</v>
      </c>
      <c r="V5519" s="3" t="str">
        <f>IF(Base_Periodo1[[#This Row],[Tipo_Linha]]="Fora do DRE","Fora do DRE","( "&amp;Base_Periodo1[[#This Row],[Tipo_Linha]]&amp;" ) "&amp;Base_Periodo1[[#This Row],[Filtro]])</f>
        <v>Fora do DRE</v>
      </c>
      <c r="W5519" s="3" t="str">
        <f>LEFT(Base_Periodo1[[#This Row],[CLASS]],3)</f>
        <v>2.4</v>
      </c>
    </row>
    <row r="5520" spans="1:23" hidden="1">
      <c r="A5520" s="3" t="str">
        <f t="shared" si="86"/>
        <v>Período 1</v>
      </c>
      <c r="B5520">
        <v>19387</v>
      </c>
      <c r="C5520" t="s">
        <v>2300</v>
      </c>
      <c r="D5520" t="s">
        <v>3336</v>
      </c>
      <c r="E5520" s="3" t="str">
        <f>IF(LEN(Base_Periodo1[[#This Row],[CLASS]])&gt;=7,LEFT(Base_Periodo1[[#This Row],[CLASS]],7),"")</f>
        <v>2.4.1.1</v>
      </c>
      <c r="F5520" s="3" t="str">
        <f>VLOOKUP(Base_Periodo1[[#This Row],[Aux]],Base_Contas_Balanco[#All],2,FALSE)</f>
        <v>Capital Social Realizado</v>
      </c>
      <c r="G5520" s="1"/>
      <c r="H5520" s="281">
        <v>1883.52</v>
      </c>
      <c r="I5520" s="281">
        <v>0</v>
      </c>
      <c r="J5520" s="281">
        <v>0</v>
      </c>
      <c r="K5520" s="281">
        <v>1883.52</v>
      </c>
      <c r="L552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1883.52</v>
      </c>
      <c r="M5520" s="281">
        <f>ROUND(IF(AND(Base_Periodo1[[#This Row],[Tipo_Linha]]="-",Base_Periodo1[[#This Row],[TIPOSALDO]]="D"),Base_Periodo1[[#This Row],[SALDO_ATUAL]]*-1,Base_Periodo1[[#This Row],[SALDO_ATUAL]]),4)</f>
        <v>1883.52</v>
      </c>
      <c r="N5520" t="s">
        <v>116</v>
      </c>
      <c r="O5520" t="s">
        <v>459</v>
      </c>
      <c r="P5520" t="s">
        <v>459</v>
      </c>
      <c r="Q5520">
        <v>6</v>
      </c>
      <c r="R5520" s="281">
        <f>Base_Periodo1[[#This Row],[CREDITOS]]-Base_Periodo1[[#This Row],[DEBITOS]]</f>
        <v>0</v>
      </c>
      <c r="S5520" s="3" t="str">
        <f>IF(ISERROR(VLOOKUP(Base_Periodo1[[#This Row],[CONTA]],BaseContasDRE[#All],4,FALSE)),"Fora do DRE",VLOOKUP(Base_Periodo1[[#This Row],[CONTA]],BaseContasDRE[#All],4,FALSE))</f>
        <v>Fora do DRE</v>
      </c>
      <c r="T5520" s="3" t="str">
        <f>IF(ISERROR(VLOOKUP(Base_Periodo1[[#This Row],[CONTA]],BaseContasDRE[#All],5,FALSE)),"Fora do DRE",VLOOKUP(Base_Periodo1[[#This Row],[CONTA]],BaseContasDRE[#All],6,FALSE))</f>
        <v>Fora do DRE</v>
      </c>
      <c r="U5520" s="3" t="str">
        <f>IF(ISERROR(VLOOKUP(Base_Periodo1[[#This Row],[CONTA]],BaseContasDRE[#All],7,FALSE)),"Fora do DRE",VLOOKUP(Base_Periodo1[[#This Row],[CONTA]],BaseContasDRE[#All],7,FALSE))</f>
        <v>Fora do DRE</v>
      </c>
      <c r="V5520" s="3" t="str">
        <f>IF(Base_Periodo1[[#This Row],[Tipo_Linha]]="Fora do DRE","Fora do DRE","( "&amp;Base_Periodo1[[#This Row],[Tipo_Linha]]&amp;" ) "&amp;Base_Periodo1[[#This Row],[Filtro]])</f>
        <v>Fora do DRE</v>
      </c>
      <c r="W5520" s="3" t="str">
        <f>LEFT(Base_Periodo1[[#This Row],[CLASS]],3)</f>
        <v>2.4</v>
      </c>
    </row>
    <row r="5521" spans="1:23" hidden="1">
      <c r="A5521" s="3" t="str">
        <f t="shared" si="86"/>
        <v>Período 1</v>
      </c>
      <c r="B5521">
        <v>37129</v>
      </c>
      <c r="C5521" t="s">
        <v>2300</v>
      </c>
      <c r="D5521" t="s">
        <v>3337</v>
      </c>
      <c r="E5521" s="3" t="str">
        <f>IF(LEN(Base_Periodo1[[#This Row],[CLASS]])&gt;=7,LEFT(Base_Periodo1[[#This Row],[CLASS]],7),"")</f>
        <v>2.4.1.1</v>
      </c>
      <c r="F5521" s="3" t="str">
        <f>VLOOKUP(Base_Periodo1[[#This Row],[Aux]],Base_Contas_Balanco[#All],2,FALSE)</f>
        <v>Capital Social Realizado</v>
      </c>
      <c r="G5521" s="1"/>
      <c r="H5521" s="281">
        <v>92.259999999999991</v>
      </c>
      <c r="I5521" s="281">
        <v>0</v>
      </c>
      <c r="J5521" s="281">
        <v>0</v>
      </c>
      <c r="K5521" s="281">
        <v>92.259999999999991</v>
      </c>
      <c r="L552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92.26</v>
      </c>
      <c r="M5521" s="281">
        <f>ROUND(IF(AND(Base_Periodo1[[#This Row],[Tipo_Linha]]="-",Base_Periodo1[[#This Row],[TIPOSALDO]]="D"),Base_Periodo1[[#This Row],[SALDO_ATUAL]]*-1,Base_Periodo1[[#This Row],[SALDO_ATUAL]]),4)</f>
        <v>92.26</v>
      </c>
      <c r="N5521" t="s">
        <v>116</v>
      </c>
      <c r="O5521" t="s">
        <v>459</v>
      </c>
      <c r="P5521" t="s">
        <v>459</v>
      </c>
      <c r="Q5521">
        <v>6</v>
      </c>
      <c r="R5521" s="281">
        <f>Base_Periodo1[[#This Row],[CREDITOS]]-Base_Periodo1[[#This Row],[DEBITOS]]</f>
        <v>0</v>
      </c>
      <c r="S5521" s="3" t="str">
        <f>IF(ISERROR(VLOOKUP(Base_Periodo1[[#This Row],[CONTA]],BaseContasDRE[#All],4,FALSE)),"Fora do DRE",VLOOKUP(Base_Periodo1[[#This Row],[CONTA]],BaseContasDRE[#All],4,FALSE))</f>
        <v>Fora do DRE</v>
      </c>
      <c r="T5521" s="3" t="str">
        <f>IF(ISERROR(VLOOKUP(Base_Periodo1[[#This Row],[CONTA]],BaseContasDRE[#All],5,FALSE)),"Fora do DRE",VLOOKUP(Base_Periodo1[[#This Row],[CONTA]],BaseContasDRE[#All],6,FALSE))</f>
        <v>Fora do DRE</v>
      </c>
      <c r="U5521" s="3" t="str">
        <f>IF(ISERROR(VLOOKUP(Base_Periodo1[[#This Row],[CONTA]],BaseContasDRE[#All],7,FALSE)),"Fora do DRE",VLOOKUP(Base_Periodo1[[#This Row],[CONTA]],BaseContasDRE[#All],7,FALSE))</f>
        <v>Fora do DRE</v>
      </c>
      <c r="V5521" s="3" t="str">
        <f>IF(Base_Periodo1[[#This Row],[Tipo_Linha]]="Fora do DRE","Fora do DRE","( "&amp;Base_Periodo1[[#This Row],[Tipo_Linha]]&amp;" ) "&amp;Base_Periodo1[[#This Row],[Filtro]])</f>
        <v>Fora do DRE</v>
      </c>
      <c r="W5521" s="3" t="str">
        <f>LEFT(Base_Periodo1[[#This Row],[CLASS]],3)</f>
        <v>2.4</v>
      </c>
    </row>
    <row r="5522" spans="1:23" hidden="1">
      <c r="A5522" s="3" t="str">
        <f t="shared" si="86"/>
        <v>Período 1</v>
      </c>
      <c r="B5522">
        <v>48617</v>
      </c>
      <c r="C5522" t="s">
        <v>2300</v>
      </c>
      <c r="D5522" t="s">
        <v>4223</v>
      </c>
      <c r="E5522" s="3" t="str">
        <f>IF(LEN(Base_Periodo1[[#This Row],[CLASS]])&gt;=7,LEFT(Base_Periodo1[[#This Row],[CLASS]],7),"")</f>
        <v>2.4.1.1</v>
      </c>
      <c r="F5522" s="3" t="str">
        <f>VLOOKUP(Base_Periodo1[[#This Row],[Aux]],Base_Contas_Balanco[#All],2,FALSE)</f>
        <v>Capital Social Realizado</v>
      </c>
      <c r="G5522" s="1"/>
      <c r="H5522" s="281">
        <v>264.7</v>
      </c>
      <c r="I5522" s="281">
        <v>0</v>
      </c>
      <c r="J5522" s="281">
        <v>0</v>
      </c>
      <c r="K5522" s="281">
        <v>264.7</v>
      </c>
      <c r="L552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264.7</v>
      </c>
      <c r="M5522" s="281">
        <f>ROUND(IF(AND(Base_Periodo1[[#This Row],[Tipo_Linha]]="-",Base_Periodo1[[#This Row],[TIPOSALDO]]="D"),Base_Periodo1[[#This Row],[SALDO_ATUAL]]*-1,Base_Periodo1[[#This Row],[SALDO_ATUAL]]),4)</f>
        <v>264.7</v>
      </c>
      <c r="N5522" t="s">
        <v>116</v>
      </c>
      <c r="O5522" t="s">
        <v>459</v>
      </c>
      <c r="P5522" t="s">
        <v>459</v>
      </c>
      <c r="Q5522">
        <v>6</v>
      </c>
      <c r="R5522" s="281">
        <f>Base_Periodo1[[#This Row],[CREDITOS]]-Base_Periodo1[[#This Row],[DEBITOS]]</f>
        <v>0</v>
      </c>
      <c r="S5522" s="3" t="str">
        <f>IF(ISERROR(VLOOKUP(Base_Periodo1[[#This Row],[CONTA]],BaseContasDRE[#All],4,FALSE)),"Fora do DRE",VLOOKUP(Base_Periodo1[[#This Row],[CONTA]],BaseContasDRE[#All],4,FALSE))</f>
        <v>Fora do DRE</v>
      </c>
      <c r="T5522" s="3" t="str">
        <f>IF(ISERROR(VLOOKUP(Base_Periodo1[[#This Row],[CONTA]],BaseContasDRE[#All],5,FALSE)),"Fora do DRE",VLOOKUP(Base_Periodo1[[#This Row],[CONTA]],BaseContasDRE[#All],6,FALSE))</f>
        <v>Fora do DRE</v>
      </c>
      <c r="U5522" s="3" t="str">
        <f>IF(ISERROR(VLOOKUP(Base_Periodo1[[#This Row],[CONTA]],BaseContasDRE[#All],7,FALSE)),"Fora do DRE",VLOOKUP(Base_Periodo1[[#This Row],[CONTA]],BaseContasDRE[#All],7,FALSE))</f>
        <v>Fora do DRE</v>
      </c>
      <c r="V5522" s="3" t="str">
        <f>IF(Base_Periodo1[[#This Row],[Tipo_Linha]]="Fora do DRE","Fora do DRE","( "&amp;Base_Periodo1[[#This Row],[Tipo_Linha]]&amp;" ) "&amp;Base_Periodo1[[#This Row],[Filtro]])</f>
        <v>Fora do DRE</v>
      </c>
      <c r="W5522" s="3" t="str">
        <f>LEFT(Base_Periodo1[[#This Row],[CLASS]],3)</f>
        <v>2.4</v>
      </c>
    </row>
    <row r="5523" spans="1:23" hidden="1">
      <c r="A5523" s="3" t="str">
        <f t="shared" si="86"/>
        <v>Período 1</v>
      </c>
      <c r="B5523">
        <v>16286</v>
      </c>
      <c r="C5523" t="s">
        <v>2300</v>
      </c>
      <c r="D5523" t="s">
        <v>3338</v>
      </c>
      <c r="E5523" s="3" t="str">
        <f>IF(LEN(Base_Periodo1[[#This Row],[CLASS]])&gt;=7,LEFT(Base_Periodo1[[#This Row],[CLASS]],7),"")</f>
        <v>2.4.1.1</v>
      </c>
      <c r="F5523" s="3" t="str">
        <f>VLOOKUP(Base_Periodo1[[#This Row],[Aux]],Base_Contas_Balanco[#All],2,FALSE)</f>
        <v>Capital Social Realizado</v>
      </c>
      <c r="G5523" s="1"/>
      <c r="H5523" s="281">
        <v>16810.91</v>
      </c>
      <c r="I5523" s="281">
        <v>0</v>
      </c>
      <c r="J5523" s="281">
        <v>0</v>
      </c>
      <c r="K5523" s="281">
        <v>16810.91</v>
      </c>
      <c r="L552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16810.91</v>
      </c>
      <c r="M5523" s="281">
        <f>ROUND(IF(AND(Base_Periodo1[[#This Row],[Tipo_Linha]]="-",Base_Periodo1[[#This Row],[TIPOSALDO]]="D"),Base_Periodo1[[#This Row],[SALDO_ATUAL]]*-1,Base_Periodo1[[#This Row],[SALDO_ATUAL]]),4)</f>
        <v>16810.91</v>
      </c>
      <c r="N5523" t="s">
        <v>116</v>
      </c>
      <c r="O5523" t="s">
        <v>459</v>
      </c>
      <c r="P5523" t="s">
        <v>459</v>
      </c>
      <c r="Q5523">
        <v>6</v>
      </c>
      <c r="R5523" s="281">
        <f>Base_Periodo1[[#This Row],[CREDITOS]]-Base_Periodo1[[#This Row],[DEBITOS]]</f>
        <v>0</v>
      </c>
      <c r="S5523" s="3" t="str">
        <f>IF(ISERROR(VLOOKUP(Base_Periodo1[[#This Row],[CONTA]],BaseContasDRE[#All],4,FALSE)),"Fora do DRE",VLOOKUP(Base_Periodo1[[#This Row],[CONTA]],BaseContasDRE[#All],4,FALSE))</f>
        <v>Fora do DRE</v>
      </c>
      <c r="T5523" s="3" t="str">
        <f>IF(ISERROR(VLOOKUP(Base_Periodo1[[#This Row],[CONTA]],BaseContasDRE[#All],5,FALSE)),"Fora do DRE",VLOOKUP(Base_Periodo1[[#This Row],[CONTA]],BaseContasDRE[#All],6,FALSE))</f>
        <v>Fora do DRE</v>
      </c>
      <c r="U5523" s="3" t="str">
        <f>IF(ISERROR(VLOOKUP(Base_Periodo1[[#This Row],[CONTA]],BaseContasDRE[#All],7,FALSE)),"Fora do DRE",VLOOKUP(Base_Periodo1[[#This Row],[CONTA]],BaseContasDRE[#All],7,FALSE))</f>
        <v>Fora do DRE</v>
      </c>
      <c r="V5523" s="3" t="str">
        <f>IF(Base_Periodo1[[#This Row],[Tipo_Linha]]="Fora do DRE","Fora do DRE","( "&amp;Base_Periodo1[[#This Row],[Tipo_Linha]]&amp;" ) "&amp;Base_Periodo1[[#This Row],[Filtro]])</f>
        <v>Fora do DRE</v>
      </c>
      <c r="W5523" s="3" t="str">
        <f>LEFT(Base_Periodo1[[#This Row],[CLASS]],3)</f>
        <v>2.4</v>
      </c>
    </row>
    <row r="5524" spans="1:23" hidden="1">
      <c r="A5524" s="3" t="str">
        <f t="shared" si="86"/>
        <v>Período 1</v>
      </c>
      <c r="B5524">
        <v>52984</v>
      </c>
      <c r="C5524" t="s">
        <v>2300</v>
      </c>
      <c r="D5524" t="s">
        <v>4891</v>
      </c>
      <c r="E5524" s="3" t="str">
        <f>IF(LEN(Base_Periodo1[[#This Row],[CLASS]])&gt;=7,LEFT(Base_Periodo1[[#This Row],[CLASS]],7),"")</f>
        <v>2.4.1.1</v>
      </c>
      <c r="F5524" s="3" t="str">
        <f>VLOOKUP(Base_Periodo1[[#This Row],[Aux]],Base_Contas_Balanco[#All],2,FALSE)</f>
        <v>Capital Social Realizado</v>
      </c>
      <c r="G5524" s="1"/>
      <c r="H5524" s="281">
        <v>500</v>
      </c>
      <c r="I5524" s="281">
        <v>0</v>
      </c>
      <c r="J5524" s="281">
        <v>0</v>
      </c>
      <c r="K5524" s="281">
        <v>500</v>
      </c>
      <c r="L552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5524" s="281">
        <f>ROUND(IF(AND(Base_Periodo1[[#This Row],[Tipo_Linha]]="-",Base_Periodo1[[#This Row],[TIPOSALDO]]="D"),Base_Periodo1[[#This Row],[SALDO_ATUAL]]*-1,Base_Periodo1[[#This Row],[SALDO_ATUAL]]),4)</f>
        <v>500</v>
      </c>
      <c r="N5524" t="s">
        <v>116</v>
      </c>
      <c r="O5524" t="s">
        <v>459</v>
      </c>
      <c r="P5524" t="s">
        <v>459</v>
      </c>
      <c r="Q5524">
        <v>6</v>
      </c>
      <c r="R5524" s="281">
        <f>Base_Periodo1[[#This Row],[CREDITOS]]-Base_Periodo1[[#This Row],[DEBITOS]]</f>
        <v>0</v>
      </c>
      <c r="S5524" s="3" t="str">
        <f>IF(ISERROR(VLOOKUP(Base_Periodo1[[#This Row],[CONTA]],BaseContasDRE[#All],4,FALSE)),"Fora do DRE",VLOOKUP(Base_Periodo1[[#This Row],[CONTA]],BaseContasDRE[#All],4,FALSE))</f>
        <v>Fora do DRE</v>
      </c>
      <c r="T5524" s="3" t="str">
        <f>IF(ISERROR(VLOOKUP(Base_Periodo1[[#This Row],[CONTA]],BaseContasDRE[#All],5,FALSE)),"Fora do DRE",VLOOKUP(Base_Periodo1[[#This Row],[CONTA]],BaseContasDRE[#All],6,FALSE))</f>
        <v>Fora do DRE</v>
      </c>
      <c r="U5524" s="3" t="str">
        <f>IF(ISERROR(VLOOKUP(Base_Periodo1[[#This Row],[CONTA]],BaseContasDRE[#All],7,FALSE)),"Fora do DRE",VLOOKUP(Base_Periodo1[[#This Row],[CONTA]],BaseContasDRE[#All],7,FALSE))</f>
        <v>Fora do DRE</v>
      </c>
      <c r="V5524" s="3" t="str">
        <f>IF(Base_Periodo1[[#This Row],[Tipo_Linha]]="Fora do DRE","Fora do DRE","( "&amp;Base_Periodo1[[#This Row],[Tipo_Linha]]&amp;" ) "&amp;Base_Periodo1[[#This Row],[Filtro]])</f>
        <v>Fora do DRE</v>
      </c>
      <c r="W5524" s="3" t="str">
        <f>LEFT(Base_Periodo1[[#This Row],[CLASS]],3)</f>
        <v>2.4</v>
      </c>
    </row>
    <row r="5525" spans="1:23" hidden="1">
      <c r="A5525" s="3" t="str">
        <f t="shared" si="86"/>
        <v>Período 1</v>
      </c>
      <c r="B5525">
        <v>55630</v>
      </c>
      <c r="C5525" t="s">
        <v>2300</v>
      </c>
      <c r="D5525" t="s">
        <v>5458</v>
      </c>
      <c r="E5525" s="3" t="str">
        <f>IF(LEN(Base_Periodo1[[#This Row],[CLASS]])&gt;=7,LEFT(Base_Periodo1[[#This Row],[CLASS]],7),"")</f>
        <v>2.4.1.1</v>
      </c>
      <c r="F5525" s="3" t="str">
        <f>VLOOKUP(Base_Periodo1[[#This Row],[Aux]],Base_Contas_Balanco[#All],2,FALSE)</f>
        <v>Capital Social Realizado</v>
      </c>
      <c r="G5525" s="1"/>
      <c r="H5525" s="281">
        <v>50</v>
      </c>
      <c r="I5525" s="281">
        <v>0</v>
      </c>
      <c r="J5525" s="281">
        <v>0</v>
      </c>
      <c r="K5525" s="281">
        <v>50</v>
      </c>
      <c r="L552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525" s="281">
        <f>ROUND(IF(AND(Base_Periodo1[[#This Row],[Tipo_Linha]]="-",Base_Periodo1[[#This Row],[TIPOSALDO]]="D"),Base_Periodo1[[#This Row],[SALDO_ATUAL]]*-1,Base_Periodo1[[#This Row],[SALDO_ATUAL]]),4)</f>
        <v>50</v>
      </c>
      <c r="N5525" t="s">
        <v>116</v>
      </c>
      <c r="O5525" t="s">
        <v>459</v>
      </c>
      <c r="P5525" t="s">
        <v>459</v>
      </c>
      <c r="Q5525">
        <v>6</v>
      </c>
      <c r="R5525" s="281">
        <f>Base_Periodo1[[#This Row],[CREDITOS]]-Base_Periodo1[[#This Row],[DEBITOS]]</f>
        <v>0</v>
      </c>
      <c r="S5525" s="3" t="str">
        <f>IF(ISERROR(VLOOKUP(Base_Periodo1[[#This Row],[CONTA]],BaseContasDRE[#All],4,FALSE)),"Fora do DRE",VLOOKUP(Base_Periodo1[[#This Row],[CONTA]],BaseContasDRE[#All],4,FALSE))</f>
        <v>Fora do DRE</v>
      </c>
      <c r="T5525" s="3" t="str">
        <f>IF(ISERROR(VLOOKUP(Base_Periodo1[[#This Row],[CONTA]],BaseContasDRE[#All],5,FALSE)),"Fora do DRE",VLOOKUP(Base_Periodo1[[#This Row],[CONTA]],BaseContasDRE[#All],6,FALSE))</f>
        <v>Fora do DRE</v>
      </c>
      <c r="U5525" s="3" t="str">
        <f>IF(ISERROR(VLOOKUP(Base_Periodo1[[#This Row],[CONTA]],BaseContasDRE[#All],7,FALSE)),"Fora do DRE",VLOOKUP(Base_Periodo1[[#This Row],[CONTA]],BaseContasDRE[#All],7,FALSE))</f>
        <v>Fora do DRE</v>
      </c>
      <c r="V5525" s="3" t="str">
        <f>IF(Base_Periodo1[[#This Row],[Tipo_Linha]]="Fora do DRE","Fora do DRE","( "&amp;Base_Periodo1[[#This Row],[Tipo_Linha]]&amp;" ) "&amp;Base_Periodo1[[#This Row],[Filtro]])</f>
        <v>Fora do DRE</v>
      </c>
      <c r="W5525" s="3" t="str">
        <f>LEFT(Base_Periodo1[[#This Row],[CLASS]],3)</f>
        <v>2.4</v>
      </c>
    </row>
    <row r="5526" spans="1:23" hidden="1">
      <c r="A5526" s="3" t="str">
        <f t="shared" si="86"/>
        <v>Período 1</v>
      </c>
      <c r="B5526">
        <v>21229</v>
      </c>
      <c r="C5526" t="s">
        <v>2300</v>
      </c>
      <c r="D5526" t="s">
        <v>3339</v>
      </c>
      <c r="E5526" s="3" t="str">
        <f>IF(LEN(Base_Periodo1[[#This Row],[CLASS]])&gt;=7,LEFT(Base_Periodo1[[#This Row],[CLASS]],7),"")</f>
        <v>2.4.1.1</v>
      </c>
      <c r="F5526" s="3" t="str">
        <f>VLOOKUP(Base_Periodo1[[#This Row],[Aux]],Base_Contas_Balanco[#All],2,FALSE)</f>
        <v>Capital Social Realizado</v>
      </c>
      <c r="G5526" s="1"/>
      <c r="H5526" s="281">
        <v>4082.45</v>
      </c>
      <c r="I5526" s="281">
        <v>0</v>
      </c>
      <c r="J5526" s="281">
        <v>0</v>
      </c>
      <c r="K5526" s="281">
        <v>4082.45</v>
      </c>
      <c r="L552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4082.45</v>
      </c>
      <c r="M5526" s="281">
        <f>ROUND(IF(AND(Base_Periodo1[[#This Row],[Tipo_Linha]]="-",Base_Periodo1[[#This Row],[TIPOSALDO]]="D"),Base_Periodo1[[#This Row],[SALDO_ATUAL]]*-1,Base_Periodo1[[#This Row],[SALDO_ATUAL]]),4)</f>
        <v>4082.45</v>
      </c>
      <c r="N5526" t="s">
        <v>116</v>
      </c>
      <c r="O5526" t="s">
        <v>459</v>
      </c>
      <c r="P5526" t="s">
        <v>459</v>
      </c>
      <c r="Q5526">
        <v>6</v>
      </c>
      <c r="R5526" s="281">
        <f>Base_Periodo1[[#This Row],[CREDITOS]]-Base_Periodo1[[#This Row],[DEBITOS]]</f>
        <v>0</v>
      </c>
      <c r="S5526" s="3" t="str">
        <f>IF(ISERROR(VLOOKUP(Base_Periodo1[[#This Row],[CONTA]],BaseContasDRE[#All],4,FALSE)),"Fora do DRE",VLOOKUP(Base_Periodo1[[#This Row],[CONTA]],BaseContasDRE[#All],4,FALSE))</f>
        <v>Fora do DRE</v>
      </c>
      <c r="T5526" s="3" t="str">
        <f>IF(ISERROR(VLOOKUP(Base_Periodo1[[#This Row],[CONTA]],BaseContasDRE[#All],5,FALSE)),"Fora do DRE",VLOOKUP(Base_Periodo1[[#This Row],[CONTA]],BaseContasDRE[#All],6,FALSE))</f>
        <v>Fora do DRE</v>
      </c>
      <c r="U5526" s="3" t="str">
        <f>IF(ISERROR(VLOOKUP(Base_Periodo1[[#This Row],[CONTA]],BaseContasDRE[#All],7,FALSE)),"Fora do DRE",VLOOKUP(Base_Periodo1[[#This Row],[CONTA]],BaseContasDRE[#All],7,FALSE))</f>
        <v>Fora do DRE</v>
      </c>
      <c r="V5526" s="3" t="str">
        <f>IF(Base_Periodo1[[#This Row],[Tipo_Linha]]="Fora do DRE","Fora do DRE","( "&amp;Base_Periodo1[[#This Row],[Tipo_Linha]]&amp;" ) "&amp;Base_Periodo1[[#This Row],[Filtro]])</f>
        <v>Fora do DRE</v>
      </c>
      <c r="W5526" s="3" t="str">
        <f>LEFT(Base_Periodo1[[#This Row],[CLASS]],3)</f>
        <v>2.4</v>
      </c>
    </row>
    <row r="5527" spans="1:23" hidden="1">
      <c r="A5527" s="3" t="str">
        <f t="shared" si="86"/>
        <v>Período 1</v>
      </c>
      <c r="B5527">
        <v>19388</v>
      </c>
      <c r="C5527" t="s">
        <v>2300</v>
      </c>
      <c r="D5527" t="s">
        <v>3340</v>
      </c>
      <c r="E5527" s="3" t="str">
        <f>IF(LEN(Base_Periodo1[[#This Row],[CLASS]])&gt;=7,LEFT(Base_Periodo1[[#This Row],[CLASS]],7),"")</f>
        <v>2.4.1.1</v>
      </c>
      <c r="F5527" s="3" t="str">
        <f>VLOOKUP(Base_Periodo1[[#This Row],[Aux]],Base_Contas_Balanco[#All],2,FALSE)</f>
        <v>Capital Social Realizado</v>
      </c>
      <c r="G5527" s="1"/>
      <c r="H5527" s="281">
        <v>499.23</v>
      </c>
      <c r="I5527" s="281">
        <v>0</v>
      </c>
      <c r="J5527" s="281">
        <v>0</v>
      </c>
      <c r="K5527" s="281">
        <v>499.23</v>
      </c>
      <c r="L552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499.23</v>
      </c>
      <c r="M5527" s="281">
        <f>ROUND(IF(AND(Base_Periodo1[[#This Row],[Tipo_Linha]]="-",Base_Periodo1[[#This Row],[TIPOSALDO]]="D"),Base_Periodo1[[#This Row],[SALDO_ATUAL]]*-1,Base_Periodo1[[#This Row],[SALDO_ATUAL]]),4)</f>
        <v>499.23</v>
      </c>
      <c r="N5527" t="s">
        <v>116</v>
      </c>
      <c r="O5527" t="s">
        <v>459</v>
      </c>
      <c r="P5527" t="s">
        <v>459</v>
      </c>
      <c r="Q5527">
        <v>6</v>
      </c>
      <c r="R5527" s="281">
        <f>Base_Periodo1[[#This Row],[CREDITOS]]-Base_Periodo1[[#This Row],[DEBITOS]]</f>
        <v>0</v>
      </c>
      <c r="S5527" s="3" t="str">
        <f>IF(ISERROR(VLOOKUP(Base_Periodo1[[#This Row],[CONTA]],BaseContasDRE[#All],4,FALSE)),"Fora do DRE",VLOOKUP(Base_Periodo1[[#This Row],[CONTA]],BaseContasDRE[#All],4,FALSE))</f>
        <v>Fora do DRE</v>
      </c>
      <c r="T5527" s="3" t="str">
        <f>IF(ISERROR(VLOOKUP(Base_Periodo1[[#This Row],[CONTA]],BaseContasDRE[#All],5,FALSE)),"Fora do DRE",VLOOKUP(Base_Periodo1[[#This Row],[CONTA]],BaseContasDRE[#All],6,FALSE))</f>
        <v>Fora do DRE</v>
      </c>
      <c r="U5527" s="3" t="str">
        <f>IF(ISERROR(VLOOKUP(Base_Periodo1[[#This Row],[CONTA]],BaseContasDRE[#All],7,FALSE)),"Fora do DRE",VLOOKUP(Base_Periodo1[[#This Row],[CONTA]],BaseContasDRE[#All],7,FALSE))</f>
        <v>Fora do DRE</v>
      </c>
      <c r="V5527" s="3" t="str">
        <f>IF(Base_Periodo1[[#This Row],[Tipo_Linha]]="Fora do DRE","Fora do DRE","( "&amp;Base_Periodo1[[#This Row],[Tipo_Linha]]&amp;" ) "&amp;Base_Periodo1[[#This Row],[Filtro]])</f>
        <v>Fora do DRE</v>
      </c>
      <c r="W5527" s="3" t="str">
        <f>LEFT(Base_Periodo1[[#This Row],[CLASS]],3)</f>
        <v>2.4</v>
      </c>
    </row>
    <row r="5528" spans="1:23" hidden="1">
      <c r="A5528" s="3" t="str">
        <f t="shared" si="86"/>
        <v>Período 1</v>
      </c>
      <c r="B5528">
        <v>36100</v>
      </c>
      <c r="C5528" t="s">
        <v>2300</v>
      </c>
      <c r="D5528" t="s">
        <v>3341</v>
      </c>
      <c r="E5528" s="3" t="str">
        <f>IF(LEN(Base_Periodo1[[#This Row],[CLASS]])&gt;=7,LEFT(Base_Periodo1[[#This Row],[CLASS]],7),"")</f>
        <v>2.4.1.1</v>
      </c>
      <c r="F5528" s="3" t="str">
        <f>VLOOKUP(Base_Periodo1[[#This Row],[Aux]],Base_Contas_Balanco[#All],2,FALSE)</f>
        <v>Capital Social Realizado</v>
      </c>
      <c r="G5528" s="1"/>
      <c r="H5528" s="281">
        <v>129.20999999999998</v>
      </c>
      <c r="I5528" s="281">
        <v>0</v>
      </c>
      <c r="J5528" s="281">
        <v>0</v>
      </c>
      <c r="K5528" s="281">
        <v>129.20999999999998</v>
      </c>
      <c r="L552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129.21</v>
      </c>
      <c r="M5528" s="281">
        <f>ROUND(IF(AND(Base_Periodo1[[#This Row],[Tipo_Linha]]="-",Base_Periodo1[[#This Row],[TIPOSALDO]]="D"),Base_Periodo1[[#This Row],[SALDO_ATUAL]]*-1,Base_Periodo1[[#This Row],[SALDO_ATUAL]]),4)</f>
        <v>129.21</v>
      </c>
      <c r="N5528" t="s">
        <v>116</v>
      </c>
      <c r="O5528" t="s">
        <v>459</v>
      </c>
      <c r="P5528" t="s">
        <v>459</v>
      </c>
      <c r="Q5528">
        <v>6</v>
      </c>
      <c r="R5528" s="281">
        <f>Base_Periodo1[[#This Row],[CREDITOS]]-Base_Periodo1[[#This Row],[DEBITOS]]</f>
        <v>0</v>
      </c>
      <c r="S5528" s="3" t="str">
        <f>IF(ISERROR(VLOOKUP(Base_Periodo1[[#This Row],[CONTA]],BaseContasDRE[#All],4,FALSE)),"Fora do DRE",VLOOKUP(Base_Periodo1[[#This Row],[CONTA]],BaseContasDRE[#All],4,FALSE))</f>
        <v>Fora do DRE</v>
      </c>
      <c r="T5528" s="3" t="str">
        <f>IF(ISERROR(VLOOKUP(Base_Periodo1[[#This Row],[CONTA]],BaseContasDRE[#All],5,FALSE)),"Fora do DRE",VLOOKUP(Base_Periodo1[[#This Row],[CONTA]],BaseContasDRE[#All],6,FALSE))</f>
        <v>Fora do DRE</v>
      </c>
      <c r="U5528" s="3" t="str">
        <f>IF(ISERROR(VLOOKUP(Base_Periodo1[[#This Row],[CONTA]],BaseContasDRE[#All],7,FALSE)),"Fora do DRE",VLOOKUP(Base_Periodo1[[#This Row],[CONTA]],BaseContasDRE[#All],7,FALSE))</f>
        <v>Fora do DRE</v>
      </c>
      <c r="V5528" s="3" t="str">
        <f>IF(Base_Periodo1[[#This Row],[Tipo_Linha]]="Fora do DRE","Fora do DRE","( "&amp;Base_Periodo1[[#This Row],[Tipo_Linha]]&amp;" ) "&amp;Base_Periodo1[[#This Row],[Filtro]])</f>
        <v>Fora do DRE</v>
      </c>
      <c r="W5528" s="3" t="str">
        <f>LEFT(Base_Periodo1[[#This Row],[CLASS]],3)</f>
        <v>2.4</v>
      </c>
    </row>
    <row r="5529" spans="1:23" hidden="1">
      <c r="A5529" s="3" t="str">
        <f t="shared" si="86"/>
        <v>Período 1</v>
      </c>
      <c r="B5529">
        <v>57910</v>
      </c>
      <c r="C5529" t="s">
        <v>2300</v>
      </c>
      <c r="D5529" t="s">
        <v>6574</v>
      </c>
      <c r="E5529" s="3" t="str">
        <f>IF(LEN(Base_Periodo1[[#This Row],[CLASS]])&gt;=7,LEFT(Base_Periodo1[[#This Row],[CLASS]],7),"")</f>
        <v>2.4.1.1</v>
      </c>
      <c r="F5529" s="3" t="str">
        <f>VLOOKUP(Base_Periodo1[[#This Row],[Aux]],Base_Contas_Balanco[#All],2,FALSE)</f>
        <v>Capital Social Realizado</v>
      </c>
      <c r="G5529" s="1"/>
      <c r="H5529" s="281">
        <v>50</v>
      </c>
      <c r="I5529" s="281">
        <v>0</v>
      </c>
      <c r="J5529" s="281">
        <v>0</v>
      </c>
      <c r="K5529" s="281">
        <v>50</v>
      </c>
      <c r="L552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529" s="281">
        <f>ROUND(IF(AND(Base_Periodo1[[#This Row],[Tipo_Linha]]="-",Base_Periodo1[[#This Row],[TIPOSALDO]]="D"),Base_Periodo1[[#This Row],[SALDO_ATUAL]]*-1,Base_Periodo1[[#This Row],[SALDO_ATUAL]]),4)</f>
        <v>50</v>
      </c>
      <c r="N5529" t="s">
        <v>116</v>
      </c>
      <c r="O5529" t="s">
        <v>459</v>
      </c>
      <c r="P5529" t="s">
        <v>459</v>
      </c>
      <c r="Q5529">
        <v>6</v>
      </c>
      <c r="R5529" s="281">
        <f>Base_Periodo1[[#This Row],[CREDITOS]]-Base_Periodo1[[#This Row],[DEBITOS]]</f>
        <v>0</v>
      </c>
      <c r="S5529" s="3" t="str">
        <f>IF(ISERROR(VLOOKUP(Base_Periodo1[[#This Row],[CONTA]],BaseContasDRE[#All],4,FALSE)),"Fora do DRE",VLOOKUP(Base_Periodo1[[#This Row],[CONTA]],BaseContasDRE[#All],4,FALSE))</f>
        <v>Fora do DRE</v>
      </c>
      <c r="T5529" s="3" t="str">
        <f>IF(ISERROR(VLOOKUP(Base_Periodo1[[#This Row],[CONTA]],BaseContasDRE[#All],5,FALSE)),"Fora do DRE",VLOOKUP(Base_Periodo1[[#This Row],[CONTA]],BaseContasDRE[#All],6,FALSE))</f>
        <v>Fora do DRE</v>
      </c>
      <c r="U5529" s="3" t="str">
        <f>IF(ISERROR(VLOOKUP(Base_Periodo1[[#This Row],[CONTA]],BaseContasDRE[#All],7,FALSE)),"Fora do DRE",VLOOKUP(Base_Periodo1[[#This Row],[CONTA]],BaseContasDRE[#All],7,FALSE))</f>
        <v>Fora do DRE</v>
      </c>
      <c r="V5529" s="3" t="str">
        <f>IF(Base_Periodo1[[#This Row],[Tipo_Linha]]="Fora do DRE","Fora do DRE","( "&amp;Base_Periodo1[[#This Row],[Tipo_Linha]]&amp;" ) "&amp;Base_Periodo1[[#This Row],[Filtro]])</f>
        <v>Fora do DRE</v>
      </c>
      <c r="W5529" s="3" t="str">
        <f>LEFT(Base_Periodo1[[#This Row],[CLASS]],3)</f>
        <v>2.4</v>
      </c>
    </row>
    <row r="5530" spans="1:23" hidden="1">
      <c r="A5530" s="3" t="str">
        <f t="shared" si="86"/>
        <v>Período 1</v>
      </c>
      <c r="B5530">
        <v>22598</v>
      </c>
      <c r="C5530" t="s">
        <v>2300</v>
      </c>
      <c r="D5530" t="s">
        <v>3342</v>
      </c>
      <c r="E5530" s="3" t="str">
        <f>IF(LEN(Base_Periodo1[[#This Row],[CLASS]])&gt;=7,LEFT(Base_Periodo1[[#This Row],[CLASS]],7),"")</f>
        <v>2.4.1.1</v>
      </c>
      <c r="F5530" s="3" t="str">
        <f>VLOOKUP(Base_Periodo1[[#This Row],[Aux]],Base_Contas_Balanco[#All],2,FALSE)</f>
        <v>Capital Social Realizado</v>
      </c>
      <c r="G5530" s="1"/>
      <c r="H5530" s="281">
        <v>234.39000000000001</v>
      </c>
      <c r="I5530" s="281">
        <v>0</v>
      </c>
      <c r="J5530" s="281">
        <v>0</v>
      </c>
      <c r="K5530" s="281">
        <v>234.39000000000001</v>
      </c>
      <c r="L553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234.39</v>
      </c>
      <c r="M5530" s="281">
        <f>ROUND(IF(AND(Base_Periodo1[[#This Row],[Tipo_Linha]]="-",Base_Periodo1[[#This Row],[TIPOSALDO]]="D"),Base_Periodo1[[#This Row],[SALDO_ATUAL]]*-1,Base_Periodo1[[#This Row],[SALDO_ATUAL]]),4)</f>
        <v>234.39</v>
      </c>
      <c r="N5530" t="s">
        <v>116</v>
      </c>
      <c r="O5530" t="s">
        <v>459</v>
      </c>
      <c r="P5530" t="s">
        <v>459</v>
      </c>
      <c r="Q5530">
        <v>6</v>
      </c>
      <c r="R5530" s="281">
        <f>Base_Periodo1[[#This Row],[CREDITOS]]-Base_Periodo1[[#This Row],[DEBITOS]]</f>
        <v>0</v>
      </c>
      <c r="S5530" s="3" t="str">
        <f>IF(ISERROR(VLOOKUP(Base_Periodo1[[#This Row],[CONTA]],BaseContasDRE[#All],4,FALSE)),"Fora do DRE",VLOOKUP(Base_Periodo1[[#This Row],[CONTA]],BaseContasDRE[#All],4,FALSE))</f>
        <v>Fora do DRE</v>
      </c>
      <c r="T5530" s="3" t="str">
        <f>IF(ISERROR(VLOOKUP(Base_Periodo1[[#This Row],[CONTA]],BaseContasDRE[#All],5,FALSE)),"Fora do DRE",VLOOKUP(Base_Periodo1[[#This Row],[CONTA]],BaseContasDRE[#All],6,FALSE))</f>
        <v>Fora do DRE</v>
      </c>
      <c r="U5530" s="3" t="str">
        <f>IF(ISERROR(VLOOKUP(Base_Periodo1[[#This Row],[CONTA]],BaseContasDRE[#All],7,FALSE)),"Fora do DRE",VLOOKUP(Base_Periodo1[[#This Row],[CONTA]],BaseContasDRE[#All],7,FALSE))</f>
        <v>Fora do DRE</v>
      </c>
      <c r="V5530" s="3" t="str">
        <f>IF(Base_Periodo1[[#This Row],[Tipo_Linha]]="Fora do DRE","Fora do DRE","( "&amp;Base_Periodo1[[#This Row],[Tipo_Linha]]&amp;" ) "&amp;Base_Periodo1[[#This Row],[Filtro]])</f>
        <v>Fora do DRE</v>
      </c>
      <c r="W5530" s="3" t="str">
        <f>LEFT(Base_Periodo1[[#This Row],[CLASS]],3)</f>
        <v>2.4</v>
      </c>
    </row>
    <row r="5531" spans="1:23" hidden="1">
      <c r="A5531" s="3" t="str">
        <f t="shared" si="86"/>
        <v>Período 1</v>
      </c>
      <c r="B5531">
        <v>19778</v>
      </c>
      <c r="C5531" t="s">
        <v>2300</v>
      </c>
      <c r="D5531" t="s">
        <v>3343</v>
      </c>
      <c r="E5531" s="3" t="str">
        <f>IF(LEN(Base_Periodo1[[#This Row],[CLASS]])&gt;=7,LEFT(Base_Periodo1[[#This Row],[CLASS]],7),"")</f>
        <v>2.4.1.1</v>
      </c>
      <c r="F5531" s="3" t="str">
        <f>VLOOKUP(Base_Periodo1[[#This Row],[Aux]],Base_Contas_Balanco[#All],2,FALSE)</f>
        <v>Capital Social Realizado</v>
      </c>
      <c r="G5531" s="1"/>
      <c r="H5531" s="281">
        <v>460.17999999999995</v>
      </c>
      <c r="I5531" s="281">
        <v>0</v>
      </c>
      <c r="J5531" s="281">
        <v>0</v>
      </c>
      <c r="K5531" s="281">
        <v>460.17999999999995</v>
      </c>
      <c r="L553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460.18</v>
      </c>
      <c r="M5531" s="281">
        <f>ROUND(IF(AND(Base_Periodo1[[#This Row],[Tipo_Linha]]="-",Base_Periodo1[[#This Row],[TIPOSALDO]]="D"),Base_Periodo1[[#This Row],[SALDO_ATUAL]]*-1,Base_Periodo1[[#This Row],[SALDO_ATUAL]]),4)</f>
        <v>460.18</v>
      </c>
      <c r="N5531" t="s">
        <v>116</v>
      </c>
      <c r="O5531" t="s">
        <v>459</v>
      </c>
      <c r="P5531" t="s">
        <v>459</v>
      </c>
      <c r="Q5531">
        <v>6</v>
      </c>
      <c r="R5531" s="281">
        <f>Base_Periodo1[[#This Row],[CREDITOS]]-Base_Periodo1[[#This Row],[DEBITOS]]</f>
        <v>0</v>
      </c>
      <c r="S5531" s="3" t="str">
        <f>IF(ISERROR(VLOOKUP(Base_Periodo1[[#This Row],[CONTA]],BaseContasDRE[#All],4,FALSE)),"Fora do DRE",VLOOKUP(Base_Periodo1[[#This Row],[CONTA]],BaseContasDRE[#All],4,FALSE))</f>
        <v>Fora do DRE</v>
      </c>
      <c r="T5531" s="3" t="str">
        <f>IF(ISERROR(VLOOKUP(Base_Periodo1[[#This Row],[CONTA]],BaseContasDRE[#All],5,FALSE)),"Fora do DRE",VLOOKUP(Base_Periodo1[[#This Row],[CONTA]],BaseContasDRE[#All],6,FALSE))</f>
        <v>Fora do DRE</v>
      </c>
      <c r="U5531" s="3" t="str">
        <f>IF(ISERROR(VLOOKUP(Base_Periodo1[[#This Row],[CONTA]],BaseContasDRE[#All],7,FALSE)),"Fora do DRE",VLOOKUP(Base_Periodo1[[#This Row],[CONTA]],BaseContasDRE[#All],7,FALSE))</f>
        <v>Fora do DRE</v>
      </c>
      <c r="V5531" s="3" t="str">
        <f>IF(Base_Periodo1[[#This Row],[Tipo_Linha]]="Fora do DRE","Fora do DRE","( "&amp;Base_Periodo1[[#This Row],[Tipo_Linha]]&amp;" ) "&amp;Base_Periodo1[[#This Row],[Filtro]])</f>
        <v>Fora do DRE</v>
      </c>
      <c r="W5531" s="3" t="str">
        <f>LEFT(Base_Periodo1[[#This Row],[CLASS]],3)</f>
        <v>2.4</v>
      </c>
    </row>
    <row r="5532" spans="1:23" hidden="1">
      <c r="A5532" s="3" t="str">
        <f t="shared" si="86"/>
        <v>Período 1</v>
      </c>
      <c r="B5532">
        <v>16093</v>
      </c>
      <c r="C5532" t="s">
        <v>2300</v>
      </c>
      <c r="D5532" t="s">
        <v>3344</v>
      </c>
      <c r="E5532" s="3" t="str">
        <f>IF(LEN(Base_Periodo1[[#This Row],[CLASS]])&gt;=7,LEFT(Base_Periodo1[[#This Row],[CLASS]],7),"")</f>
        <v>2.4.1.1</v>
      </c>
      <c r="F5532" s="3" t="str">
        <f>VLOOKUP(Base_Periodo1[[#This Row],[Aux]],Base_Contas_Balanco[#All],2,FALSE)</f>
        <v>Capital Social Realizado</v>
      </c>
      <c r="G5532" s="1"/>
      <c r="H5532" s="281">
        <v>5735.0400000000009</v>
      </c>
      <c r="I5532" s="281">
        <v>0</v>
      </c>
      <c r="J5532" s="281">
        <v>0</v>
      </c>
      <c r="K5532" s="281">
        <v>5735.0400000000009</v>
      </c>
      <c r="L553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5735.04</v>
      </c>
      <c r="M5532" s="281">
        <f>ROUND(IF(AND(Base_Periodo1[[#This Row],[Tipo_Linha]]="-",Base_Periodo1[[#This Row],[TIPOSALDO]]="D"),Base_Periodo1[[#This Row],[SALDO_ATUAL]]*-1,Base_Periodo1[[#This Row],[SALDO_ATUAL]]),4)</f>
        <v>5735.04</v>
      </c>
      <c r="N5532" t="s">
        <v>116</v>
      </c>
      <c r="O5532" t="s">
        <v>459</v>
      </c>
      <c r="P5532" t="s">
        <v>459</v>
      </c>
      <c r="Q5532">
        <v>6</v>
      </c>
      <c r="R5532" s="281">
        <f>Base_Periodo1[[#This Row],[CREDITOS]]-Base_Periodo1[[#This Row],[DEBITOS]]</f>
        <v>0</v>
      </c>
      <c r="S5532" s="3" t="str">
        <f>IF(ISERROR(VLOOKUP(Base_Periodo1[[#This Row],[CONTA]],BaseContasDRE[#All],4,FALSE)),"Fora do DRE",VLOOKUP(Base_Periodo1[[#This Row],[CONTA]],BaseContasDRE[#All],4,FALSE))</f>
        <v>Fora do DRE</v>
      </c>
      <c r="T5532" s="3" t="str">
        <f>IF(ISERROR(VLOOKUP(Base_Periodo1[[#This Row],[CONTA]],BaseContasDRE[#All],5,FALSE)),"Fora do DRE",VLOOKUP(Base_Periodo1[[#This Row],[CONTA]],BaseContasDRE[#All],6,FALSE))</f>
        <v>Fora do DRE</v>
      </c>
      <c r="U5532" s="3" t="str">
        <f>IF(ISERROR(VLOOKUP(Base_Periodo1[[#This Row],[CONTA]],BaseContasDRE[#All],7,FALSE)),"Fora do DRE",VLOOKUP(Base_Periodo1[[#This Row],[CONTA]],BaseContasDRE[#All],7,FALSE))</f>
        <v>Fora do DRE</v>
      </c>
      <c r="V5532" s="3" t="str">
        <f>IF(Base_Periodo1[[#This Row],[Tipo_Linha]]="Fora do DRE","Fora do DRE","( "&amp;Base_Periodo1[[#This Row],[Tipo_Linha]]&amp;" ) "&amp;Base_Periodo1[[#This Row],[Filtro]])</f>
        <v>Fora do DRE</v>
      </c>
      <c r="W5532" s="3" t="str">
        <f>LEFT(Base_Periodo1[[#This Row],[CLASS]],3)</f>
        <v>2.4</v>
      </c>
    </row>
    <row r="5533" spans="1:23" hidden="1">
      <c r="A5533" s="3" t="str">
        <f t="shared" si="86"/>
        <v>Período 1</v>
      </c>
      <c r="B5533">
        <v>19794</v>
      </c>
      <c r="C5533" t="s">
        <v>2300</v>
      </c>
      <c r="D5533" t="s">
        <v>3345</v>
      </c>
      <c r="E5533" s="3" t="str">
        <f>IF(LEN(Base_Periodo1[[#This Row],[CLASS]])&gt;=7,LEFT(Base_Periodo1[[#This Row],[CLASS]],7),"")</f>
        <v>2.4.1.1</v>
      </c>
      <c r="F5533" s="3" t="str">
        <f>VLOOKUP(Base_Periodo1[[#This Row],[Aux]],Base_Contas_Balanco[#All],2,FALSE)</f>
        <v>Capital Social Realizado</v>
      </c>
      <c r="G5533" s="1"/>
      <c r="H5533" s="281">
        <v>122.75</v>
      </c>
      <c r="I5533" s="281">
        <v>0</v>
      </c>
      <c r="J5533" s="281">
        <v>0</v>
      </c>
      <c r="K5533" s="281">
        <v>122.75</v>
      </c>
      <c r="L553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122.75</v>
      </c>
      <c r="M5533" s="281">
        <f>ROUND(IF(AND(Base_Periodo1[[#This Row],[Tipo_Linha]]="-",Base_Periodo1[[#This Row],[TIPOSALDO]]="D"),Base_Periodo1[[#This Row],[SALDO_ATUAL]]*-1,Base_Periodo1[[#This Row],[SALDO_ATUAL]]),4)</f>
        <v>122.75</v>
      </c>
      <c r="N5533" t="s">
        <v>116</v>
      </c>
      <c r="O5533" t="s">
        <v>459</v>
      </c>
      <c r="P5533" t="s">
        <v>459</v>
      </c>
      <c r="Q5533">
        <v>6</v>
      </c>
      <c r="R5533" s="281">
        <f>Base_Periodo1[[#This Row],[CREDITOS]]-Base_Periodo1[[#This Row],[DEBITOS]]</f>
        <v>0</v>
      </c>
      <c r="S5533" s="3" t="str">
        <f>IF(ISERROR(VLOOKUP(Base_Periodo1[[#This Row],[CONTA]],BaseContasDRE[#All],4,FALSE)),"Fora do DRE",VLOOKUP(Base_Periodo1[[#This Row],[CONTA]],BaseContasDRE[#All],4,FALSE))</f>
        <v>Fora do DRE</v>
      </c>
      <c r="T5533" s="3" t="str">
        <f>IF(ISERROR(VLOOKUP(Base_Periodo1[[#This Row],[CONTA]],BaseContasDRE[#All],5,FALSE)),"Fora do DRE",VLOOKUP(Base_Periodo1[[#This Row],[CONTA]],BaseContasDRE[#All],6,FALSE))</f>
        <v>Fora do DRE</v>
      </c>
      <c r="U5533" s="3" t="str">
        <f>IF(ISERROR(VLOOKUP(Base_Periodo1[[#This Row],[CONTA]],BaseContasDRE[#All],7,FALSE)),"Fora do DRE",VLOOKUP(Base_Periodo1[[#This Row],[CONTA]],BaseContasDRE[#All],7,FALSE))</f>
        <v>Fora do DRE</v>
      </c>
      <c r="V5533" s="3" t="str">
        <f>IF(Base_Periodo1[[#This Row],[Tipo_Linha]]="Fora do DRE","Fora do DRE","( "&amp;Base_Periodo1[[#This Row],[Tipo_Linha]]&amp;" ) "&amp;Base_Periodo1[[#This Row],[Filtro]])</f>
        <v>Fora do DRE</v>
      </c>
      <c r="W5533" s="3" t="str">
        <f>LEFT(Base_Periodo1[[#This Row],[CLASS]],3)</f>
        <v>2.4</v>
      </c>
    </row>
    <row r="5534" spans="1:23" hidden="1">
      <c r="A5534" s="3" t="str">
        <f t="shared" si="86"/>
        <v>Período 1</v>
      </c>
      <c r="B5534">
        <v>15976</v>
      </c>
      <c r="C5534" t="s">
        <v>2300</v>
      </c>
      <c r="D5534" t="s">
        <v>3346</v>
      </c>
      <c r="E5534" s="3" t="str">
        <f>IF(LEN(Base_Periodo1[[#This Row],[CLASS]])&gt;=7,LEFT(Base_Periodo1[[#This Row],[CLASS]],7),"")</f>
        <v>2.4.1.1</v>
      </c>
      <c r="F5534" s="3" t="str">
        <f>VLOOKUP(Base_Periodo1[[#This Row],[Aux]],Base_Contas_Balanco[#All],2,FALSE)</f>
        <v>Capital Social Realizado</v>
      </c>
      <c r="G5534" s="1"/>
      <c r="H5534" s="281">
        <v>1298.1400000000001</v>
      </c>
      <c r="I5534" s="281">
        <v>0</v>
      </c>
      <c r="J5534" s="281">
        <v>0</v>
      </c>
      <c r="K5534" s="281">
        <v>1298.1400000000001</v>
      </c>
      <c r="L553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1298.1400000000001</v>
      </c>
      <c r="M5534" s="281">
        <f>ROUND(IF(AND(Base_Periodo1[[#This Row],[Tipo_Linha]]="-",Base_Periodo1[[#This Row],[TIPOSALDO]]="D"),Base_Periodo1[[#This Row],[SALDO_ATUAL]]*-1,Base_Periodo1[[#This Row],[SALDO_ATUAL]]),4)</f>
        <v>1298.1400000000001</v>
      </c>
      <c r="N5534" t="s">
        <v>116</v>
      </c>
      <c r="O5534" t="s">
        <v>459</v>
      </c>
      <c r="P5534" t="s">
        <v>459</v>
      </c>
      <c r="Q5534">
        <v>6</v>
      </c>
      <c r="R5534" s="281">
        <f>Base_Periodo1[[#This Row],[CREDITOS]]-Base_Periodo1[[#This Row],[DEBITOS]]</f>
        <v>0</v>
      </c>
      <c r="S5534" s="3" t="str">
        <f>IF(ISERROR(VLOOKUP(Base_Periodo1[[#This Row],[CONTA]],BaseContasDRE[#All],4,FALSE)),"Fora do DRE",VLOOKUP(Base_Periodo1[[#This Row],[CONTA]],BaseContasDRE[#All],4,FALSE))</f>
        <v>Fora do DRE</v>
      </c>
      <c r="T5534" s="3" t="str">
        <f>IF(ISERROR(VLOOKUP(Base_Periodo1[[#This Row],[CONTA]],BaseContasDRE[#All],5,FALSE)),"Fora do DRE",VLOOKUP(Base_Periodo1[[#This Row],[CONTA]],BaseContasDRE[#All],6,FALSE))</f>
        <v>Fora do DRE</v>
      </c>
      <c r="U5534" s="3" t="str">
        <f>IF(ISERROR(VLOOKUP(Base_Periodo1[[#This Row],[CONTA]],BaseContasDRE[#All],7,FALSE)),"Fora do DRE",VLOOKUP(Base_Periodo1[[#This Row],[CONTA]],BaseContasDRE[#All],7,FALSE))</f>
        <v>Fora do DRE</v>
      </c>
      <c r="V5534" s="3" t="str">
        <f>IF(Base_Periodo1[[#This Row],[Tipo_Linha]]="Fora do DRE","Fora do DRE","( "&amp;Base_Periodo1[[#This Row],[Tipo_Linha]]&amp;" ) "&amp;Base_Periodo1[[#This Row],[Filtro]])</f>
        <v>Fora do DRE</v>
      </c>
      <c r="W5534" s="3" t="str">
        <f>LEFT(Base_Periodo1[[#This Row],[CLASS]],3)</f>
        <v>2.4</v>
      </c>
    </row>
    <row r="5535" spans="1:23" hidden="1">
      <c r="A5535" s="3" t="str">
        <f t="shared" si="86"/>
        <v>Período 1</v>
      </c>
      <c r="B5535">
        <v>32312</v>
      </c>
      <c r="C5535" t="s">
        <v>2300</v>
      </c>
      <c r="D5535" t="s">
        <v>3347</v>
      </c>
      <c r="E5535" s="3" t="str">
        <f>IF(LEN(Base_Periodo1[[#This Row],[CLASS]])&gt;=7,LEFT(Base_Periodo1[[#This Row],[CLASS]],7),"")</f>
        <v>2.4.1.1</v>
      </c>
      <c r="F5535" s="3" t="str">
        <f>VLOOKUP(Base_Periodo1[[#This Row],[Aux]],Base_Contas_Balanco[#All],2,FALSE)</f>
        <v>Capital Social Realizado</v>
      </c>
      <c r="G5535" s="1"/>
      <c r="H5535" s="281">
        <v>50</v>
      </c>
      <c r="I5535" s="281">
        <v>0</v>
      </c>
      <c r="J5535" s="281">
        <v>0</v>
      </c>
      <c r="K5535" s="281">
        <v>50</v>
      </c>
      <c r="L553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535" s="281">
        <f>ROUND(IF(AND(Base_Periodo1[[#This Row],[Tipo_Linha]]="-",Base_Periodo1[[#This Row],[TIPOSALDO]]="D"),Base_Periodo1[[#This Row],[SALDO_ATUAL]]*-1,Base_Periodo1[[#This Row],[SALDO_ATUAL]]),4)</f>
        <v>50</v>
      </c>
      <c r="N5535" t="s">
        <v>116</v>
      </c>
      <c r="O5535" t="s">
        <v>459</v>
      </c>
      <c r="P5535" t="s">
        <v>459</v>
      </c>
      <c r="Q5535">
        <v>6</v>
      </c>
      <c r="R5535" s="281">
        <f>Base_Periodo1[[#This Row],[CREDITOS]]-Base_Periodo1[[#This Row],[DEBITOS]]</f>
        <v>0</v>
      </c>
      <c r="S5535" s="3" t="str">
        <f>IF(ISERROR(VLOOKUP(Base_Periodo1[[#This Row],[CONTA]],BaseContasDRE[#All],4,FALSE)),"Fora do DRE",VLOOKUP(Base_Periodo1[[#This Row],[CONTA]],BaseContasDRE[#All],4,FALSE))</f>
        <v>Fora do DRE</v>
      </c>
      <c r="T5535" s="3" t="str">
        <f>IF(ISERROR(VLOOKUP(Base_Periodo1[[#This Row],[CONTA]],BaseContasDRE[#All],5,FALSE)),"Fora do DRE",VLOOKUP(Base_Periodo1[[#This Row],[CONTA]],BaseContasDRE[#All],6,FALSE))</f>
        <v>Fora do DRE</v>
      </c>
      <c r="U5535" s="3" t="str">
        <f>IF(ISERROR(VLOOKUP(Base_Periodo1[[#This Row],[CONTA]],BaseContasDRE[#All],7,FALSE)),"Fora do DRE",VLOOKUP(Base_Periodo1[[#This Row],[CONTA]],BaseContasDRE[#All],7,FALSE))</f>
        <v>Fora do DRE</v>
      </c>
      <c r="V5535" s="3" t="str">
        <f>IF(Base_Periodo1[[#This Row],[Tipo_Linha]]="Fora do DRE","Fora do DRE","( "&amp;Base_Periodo1[[#This Row],[Tipo_Linha]]&amp;" ) "&amp;Base_Periodo1[[#This Row],[Filtro]])</f>
        <v>Fora do DRE</v>
      </c>
      <c r="W5535" s="3" t="str">
        <f>LEFT(Base_Periodo1[[#This Row],[CLASS]],3)</f>
        <v>2.4</v>
      </c>
    </row>
    <row r="5536" spans="1:23" hidden="1">
      <c r="A5536" s="3" t="str">
        <f t="shared" si="86"/>
        <v>Período 1</v>
      </c>
      <c r="B5536">
        <v>56479</v>
      </c>
      <c r="C5536" t="s">
        <v>2300</v>
      </c>
      <c r="D5536" t="s">
        <v>6012</v>
      </c>
      <c r="E5536" s="3" t="str">
        <f>IF(LEN(Base_Periodo1[[#This Row],[CLASS]])&gt;=7,LEFT(Base_Periodo1[[#This Row],[CLASS]],7),"")</f>
        <v>2.4.1.1</v>
      </c>
      <c r="F5536" s="3" t="str">
        <f>VLOOKUP(Base_Periodo1[[#This Row],[Aux]],Base_Contas_Balanco[#All],2,FALSE)</f>
        <v>Capital Social Realizado</v>
      </c>
      <c r="G5536" s="1">
        <v>42886</v>
      </c>
      <c r="H5536" s="281">
        <v>240</v>
      </c>
      <c r="I5536" s="281">
        <v>240</v>
      </c>
      <c r="J5536" s="281">
        <v>0</v>
      </c>
      <c r="K5536" s="281">
        <v>0</v>
      </c>
      <c r="L553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536" s="281">
        <f>ROUND(IF(AND(Base_Periodo1[[#This Row],[Tipo_Linha]]="-",Base_Periodo1[[#This Row],[TIPOSALDO]]="D"),Base_Periodo1[[#This Row],[SALDO_ATUAL]]*-1,Base_Periodo1[[#This Row],[SALDO_ATUAL]]),4)</f>
        <v>0</v>
      </c>
      <c r="N5536" t="s">
        <v>116</v>
      </c>
      <c r="O5536" t="s">
        <v>459</v>
      </c>
      <c r="P5536" t="s">
        <v>436</v>
      </c>
      <c r="Q5536">
        <v>6</v>
      </c>
      <c r="R5536" s="281">
        <f>Base_Periodo1[[#This Row],[CREDITOS]]-Base_Periodo1[[#This Row],[DEBITOS]]</f>
        <v>-240</v>
      </c>
      <c r="S5536" s="3" t="str">
        <f>IF(ISERROR(VLOOKUP(Base_Periodo1[[#This Row],[CONTA]],BaseContasDRE[#All],4,FALSE)),"Fora do DRE",VLOOKUP(Base_Periodo1[[#This Row],[CONTA]],BaseContasDRE[#All],4,FALSE))</f>
        <v>Fora do DRE</v>
      </c>
      <c r="T5536" s="3" t="str">
        <f>IF(ISERROR(VLOOKUP(Base_Periodo1[[#This Row],[CONTA]],BaseContasDRE[#All],5,FALSE)),"Fora do DRE",VLOOKUP(Base_Periodo1[[#This Row],[CONTA]],BaseContasDRE[#All],6,FALSE))</f>
        <v>Fora do DRE</v>
      </c>
      <c r="U5536" s="3" t="str">
        <f>IF(ISERROR(VLOOKUP(Base_Periodo1[[#This Row],[CONTA]],BaseContasDRE[#All],7,FALSE)),"Fora do DRE",VLOOKUP(Base_Periodo1[[#This Row],[CONTA]],BaseContasDRE[#All],7,FALSE))</f>
        <v>Fora do DRE</v>
      </c>
      <c r="V5536" s="3" t="str">
        <f>IF(Base_Periodo1[[#This Row],[Tipo_Linha]]="Fora do DRE","Fora do DRE","( "&amp;Base_Periodo1[[#This Row],[Tipo_Linha]]&amp;" ) "&amp;Base_Periodo1[[#This Row],[Filtro]])</f>
        <v>Fora do DRE</v>
      </c>
      <c r="W5536" s="3" t="str">
        <f>LEFT(Base_Periodo1[[#This Row],[CLASS]],3)</f>
        <v>2.4</v>
      </c>
    </row>
    <row r="5537" spans="1:23" hidden="1">
      <c r="A5537" s="3" t="str">
        <f t="shared" si="86"/>
        <v>Período 1</v>
      </c>
      <c r="B5537">
        <v>47580</v>
      </c>
      <c r="C5537" t="s">
        <v>2300</v>
      </c>
      <c r="D5537" t="s">
        <v>3348</v>
      </c>
      <c r="E5537" s="3" t="str">
        <f>IF(LEN(Base_Periodo1[[#This Row],[CLASS]])&gt;=7,LEFT(Base_Periodo1[[#This Row],[CLASS]],7),"")</f>
        <v>2.4.1.1</v>
      </c>
      <c r="F5537" s="3" t="str">
        <f>VLOOKUP(Base_Periodo1[[#This Row],[Aux]],Base_Contas_Balanco[#All],2,FALSE)</f>
        <v>Capital Social Realizado</v>
      </c>
      <c r="G5537" s="1"/>
      <c r="H5537" s="281">
        <v>61.68</v>
      </c>
      <c r="I5537" s="281">
        <v>0</v>
      </c>
      <c r="J5537" s="281">
        <v>0</v>
      </c>
      <c r="K5537" s="281">
        <v>61.68</v>
      </c>
      <c r="L553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61.68</v>
      </c>
      <c r="M5537" s="281">
        <f>ROUND(IF(AND(Base_Periodo1[[#This Row],[Tipo_Linha]]="-",Base_Periodo1[[#This Row],[TIPOSALDO]]="D"),Base_Periodo1[[#This Row],[SALDO_ATUAL]]*-1,Base_Periodo1[[#This Row],[SALDO_ATUAL]]),4)</f>
        <v>61.68</v>
      </c>
      <c r="N5537" t="s">
        <v>116</v>
      </c>
      <c r="O5537" t="s">
        <v>459</v>
      </c>
      <c r="P5537" t="s">
        <v>459</v>
      </c>
      <c r="Q5537">
        <v>6</v>
      </c>
      <c r="R5537" s="281">
        <f>Base_Periodo1[[#This Row],[CREDITOS]]-Base_Periodo1[[#This Row],[DEBITOS]]</f>
        <v>0</v>
      </c>
      <c r="S5537" s="3" t="str">
        <f>IF(ISERROR(VLOOKUP(Base_Periodo1[[#This Row],[CONTA]],BaseContasDRE[#All],4,FALSE)),"Fora do DRE",VLOOKUP(Base_Periodo1[[#This Row],[CONTA]],BaseContasDRE[#All],4,FALSE))</f>
        <v>Fora do DRE</v>
      </c>
      <c r="T5537" s="3" t="str">
        <f>IF(ISERROR(VLOOKUP(Base_Periodo1[[#This Row],[CONTA]],BaseContasDRE[#All],5,FALSE)),"Fora do DRE",VLOOKUP(Base_Periodo1[[#This Row],[CONTA]],BaseContasDRE[#All],6,FALSE))</f>
        <v>Fora do DRE</v>
      </c>
      <c r="U5537" s="3" t="str">
        <f>IF(ISERROR(VLOOKUP(Base_Periodo1[[#This Row],[CONTA]],BaseContasDRE[#All],7,FALSE)),"Fora do DRE",VLOOKUP(Base_Periodo1[[#This Row],[CONTA]],BaseContasDRE[#All],7,FALSE))</f>
        <v>Fora do DRE</v>
      </c>
      <c r="V5537" s="3" t="str">
        <f>IF(Base_Periodo1[[#This Row],[Tipo_Linha]]="Fora do DRE","Fora do DRE","( "&amp;Base_Periodo1[[#This Row],[Tipo_Linha]]&amp;" ) "&amp;Base_Periodo1[[#This Row],[Filtro]])</f>
        <v>Fora do DRE</v>
      </c>
      <c r="W5537" s="3" t="str">
        <f>LEFT(Base_Periodo1[[#This Row],[CLASS]],3)</f>
        <v>2.4</v>
      </c>
    </row>
    <row r="5538" spans="1:23" hidden="1">
      <c r="A5538" s="3" t="str">
        <f t="shared" si="86"/>
        <v>Período 1</v>
      </c>
      <c r="B5538">
        <v>55675</v>
      </c>
      <c r="C5538" t="s">
        <v>2300</v>
      </c>
      <c r="D5538" t="s">
        <v>5459</v>
      </c>
      <c r="E5538" s="3" t="str">
        <f>IF(LEN(Base_Periodo1[[#This Row],[CLASS]])&gt;=7,LEFT(Base_Periodo1[[#This Row],[CLASS]],7),"")</f>
        <v>2.4.1.1</v>
      </c>
      <c r="F5538" s="3" t="str">
        <f>VLOOKUP(Base_Periodo1[[#This Row],[Aux]],Base_Contas_Balanco[#All],2,FALSE)</f>
        <v>Capital Social Realizado</v>
      </c>
      <c r="G5538" s="1"/>
      <c r="H5538" s="281">
        <v>50</v>
      </c>
      <c r="I5538" s="281">
        <v>0</v>
      </c>
      <c r="J5538" s="281">
        <v>0</v>
      </c>
      <c r="K5538" s="281">
        <v>50</v>
      </c>
      <c r="L553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538" s="281">
        <f>ROUND(IF(AND(Base_Periodo1[[#This Row],[Tipo_Linha]]="-",Base_Periodo1[[#This Row],[TIPOSALDO]]="D"),Base_Periodo1[[#This Row],[SALDO_ATUAL]]*-1,Base_Periodo1[[#This Row],[SALDO_ATUAL]]),4)</f>
        <v>50</v>
      </c>
      <c r="N5538" t="s">
        <v>116</v>
      </c>
      <c r="O5538" t="s">
        <v>459</v>
      </c>
      <c r="P5538" t="s">
        <v>459</v>
      </c>
      <c r="Q5538">
        <v>6</v>
      </c>
      <c r="R5538" s="281">
        <f>Base_Periodo1[[#This Row],[CREDITOS]]-Base_Periodo1[[#This Row],[DEBITOS]]</f>
        <v>0</v>
      </c>
      <c r="S5538" s="3" t="str">
        <f>IF(ISERROR(VLOOKUP(Base_Periodo1[[#This Row],[CONTA]],BaseContasDRE[#All],4,FALSE)),"Fora do DRE",VLOOKUP(Base_Periodo1[[#This Row],[CONTA]],BaseContasDRE[#All],4,FALSE))</f>
        <v>Fora do DRE</v>
      </c>
      <c r="T5538" s="3" t="str">
        <f>IF(ISERROR(VLOOKUP(Base_Periodo1[[#This Row],[CONTA]],BaseContasDRE[#All],5,FALSE)),"Fora do DRE",VLOOKUP(Base_Periodo1[[#This Row],[CONTA]],BaseContasDRE[#All],6,FALSE))</f>
        <v>Fora do DRE</v>
      </c>
      <c r="U5538" s="3" t="str">
        <f>IF(ISERROR(VLOOKUP(Base_Periodo1[[#This Row],[CONTA]],BaseContasDRE[#All],7,FALSE)),"Fora do DRE",VLOOKUP(Base_Periodo1[[#This Row],[CONTA]],BaseContasDRE[#All],7,FALSE))</f>
        <v>Fora do DRE</v>
      </c>
      <c r="V5538" s="3" t="str">
        <f>IF(Base_Periodo1[[#This Row],[Tipo_Linha]]="Fora do DRE","Fora do DRE","( "&amp;Base_Periodo1[[#This Row],[Tipo_Linha]]&amp;" ) "&amp;Base_Periodo1[[#This Row],[Filtro]])</f>
        <v>Fora do DRE</v>
      </c>
      <c r="W5538" s="3" t="str">
        <f>LEFT(Base_Periodo1[[#This Row],[CLASS]],3)</f>
        <v>2.4</v>
      </c>
    </row>
    <row r="5539" spans="1:23" hidden="1">
      <c r="A5539" s="3" t="str">
        <f t="shared" si="86"/>
        <v>Período 1</v>
      </c>
      <c r="B5539">
        <v>27689</v>
      </c>
      <c r="C5539" t="s">
        <v>2300</v>
      </c>
      <c r="D5539" t="s">
        <v>3349</v>
      </c>
      <c r="E5539" s="3" t="str">
        <f>IF(LEN(Base_Periodo1[[#This Row],[CLASS]])&gt;=7,LEFT(Base_Periodo1[[#This Row],[CLASS]],7),"")</f>
        <v>2.4.1.1</v>
      </c>
      <c r="F5539" s="3" t="str">
        <f>VLOOKUP(Base_Periodo1[[#This Row],[Aux]],Base_Contas_Balanco[#All],2,FALSE)</f>
        <v>Capital Social Realizado</v>
      </c>
      <c r="G5539" s="1"/>
      <c r="H5539" s="281">
        <v>480.98</v>
      </c>
      <c r="I5539" s="281">
        <v>0</v>
      </c>
      <c r="J5539" s="281">
        <v>0</v>
      </c>
      <c r="K5539" s="281">
        <v>480.98</v>
      </c>
      <c r="L553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480.98</v>
      </c>
      <c r="M5539" s="281">
        <f>ROUND(IF(AND(Base_Periodo1[[#This Row],[Tipo_Linha]]="-",Base_Periodo1[[#This Row],[TIPOSALDO]]="D"),Base_Periodo1[[#This Row],[SALDO_ATUAL]]*-1,Base_Periodo1[[#This Row],[SALDO_ATUAL]]),4)</f>
        <v>480.98</v>
      </c>
      <c r="N5539" t="s">
        <v>116</v>
      </c>
      <c r="O5539" t="s">
        <v>459</v>
      </c>
      <c r="P5539" t="s">
        <v>459</v>
      </c>
      <c r="Q5539">
        <v>6</v>
      </c>
      <c r="R5539" s="281">
        <f>Base_Periodo1[[#This Row],[CREDITOS]]-Base_Periodo1[[#This Row],[DEBITOS]]</f>
        <v>0</v>
      </c>
      <c r="S5539" s="3" t="str">
        <f>IF(ISERROR(VLOOKUP(Base_Periodo1[[#This Row],[CONTA]],BaseContasDRE[#All],4,FALSE)),"Fora do DRE",VLOOKUP(Base_Periodo1[[#This Row],[CONTA]],BaseContasDRE[#All],4,FALSE))</f>
        <v>Fora do DRE</v>
      </c>
      <c r="T5539" s="3" t="str">
        <f>IF(ISERROR(VLOOKUP(Base_Periodo1[[#This Row],[CONTA]],BaseContasDRE[#All],5,FALSE)),"Fora do DRE",VLOOKUP(Base_Periodo1[[#This Row],[CONTA]],BaseContasDRE[#All],6,FALSE))</f>
        <v>Fora do DRE</v>
      </c>
      <c r="U5539" s="3" t="str">
        <f>IF(ISERROR(VLOOKUP(Base_Periodo1[[#This Row],[CONTA]],BaseContasDRE[#All],7,FALSE)),"Fora do DRE",VLOOKUP(Base_Periodo1[[#This Row],[CONTA]],BaseContasDRE[#All],7,FALSE))</f>
        <v>Fora do DRE</v>
      </c>
      <c r="V5539" s="3" t="str">
        <f>IF(Base_Periodo1[[#This Row],[Tipo_Linha]]="Fora do DRE","Fora do DRE","( "&amp;Base_Periodo1[[#This Row],[Tipo_Linha]]&amp;" ) "&amp;Base_Periodo1[[#This Row],[Filtro]])</f>
        <v>Fora do DRE</v>
      </c>
      <c r="W5539" s="3" t="str">
        <f>LEFT(Base_Periodo1[[#This Row],[CLASS]],3)</f>
        <v>2.4</v>
      </c>
    </row>
    <row r="5540" spans="1:23" hidden="1">
      <c r="A5540" s="3" t="str">
        <f t="shared" si="86"/>
        <v>Período 1</v>
      </c>
      <c r="B5540">
        <v>25757</v>
      </c>
      <c r="C5540" t="s">
        <v>2300</v>
      </c>
      <c r="D5540" t="s">
        <v>3350</v>
      </c>
      <c r="E5540" s="3" t="str">
        <f>IF(LEN(Base_Periodo1[[#This Row],[CLASS]])&gt;=7,LEFT(Base_Periodo1[[#This Row],[CLASS]],7),"")</f>
        <v>2.4.1.1</v>
      </c>
      <c r="F5540" s="3" t="str">
        <f>VLOOKUP(Base_Periodo1[[#This Row],[Aux]],Base_Contas_Balanco[#All],2,FALSE)</f>
        <v>Capital Social Realizado</v>
      </c>
      <c r="G5540" s="1"/>
      <c r="H5540" s="281">
        <v>50</v>
      </c>
      <c r="I5540" s="281">
        <v>0</v>
      </c>
      <c r="J5540" s="281">
        <v>0</v>
      </c>
      <c r="K5540" s="281">
        <v>50</v>
      </c>
      <c r="L554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540" s="281">
        <f>ROUND(IF(AND(Base_Periodo1[[#This Row],[Tipo_Linha]]="-",Base_Periodo1[[#This Row],[TIPOSALDO]]="D"),Base_Periodo1[[#This Row],[SALDO_ATUAL]]*-1,Base_Periodo1[[#This Row],[SALDO_ATUAL]]),4)</f>
        <v>50</v>
      </c>
      <c r="N5540" t="s">
        <v>116</v>
      </c>
      <c r="O5540" t="s">
        <v>459</v>
      </c>
      <c r="P5540" t="s">
        <v>459</v>
      </c>
      <c r="Q5540">
        <v>6</v>
      </c>
      <c r="R5540" s="281">
        <f>Base_Periodo1[[#This Row],[CREDITOS]]-Base_Periodo1[[#This Row],[DEBITOS]]</f>
        <v>0</v>
      </c>
      <c r="S5540" s="3" t="str">
        <f>IF(ISERROR(VLOOKUP(Base_Periodo1[[#This Row],[CONTA]],BaseContasDRE[#All],4,FALSE)),"Fora do DRE",VLOOKUP(Base_Periodo1[[#This Row],[CONTA]],BaseContasDRE[#All],4,FALSE))</f>
        <v>Fora do DRE</v>
      </c>
      <c r="T5540" s="3" t="str">
        <f>IF(ISERROR(VLOOKUP(Base_Periodo1[[#This Row],[CONTA]],BaseContasDRE[#All],5,FALSE)),"Fora do DRE",VLOOKUP(Base_Periodo1[[#This Row],[CONTA]],BaseContasDRE[#All],6,FALSE))</f>
        <v>Fora do DRE</v>
      </c>
      <c r="U5540" s="3" t="str">
        <f>IF(ISERROR(VLOOKUP(Base_Periodo1[[#This Row],[CONTA]],BaseContasDRE[#All],7,FALSE)),"Fora do DRE",VLOOKUP(Base_Periodo1[[#This Row],[CONTA]],BaseContasDRE[#All],7,FALSE))</f>
        <v>Fora do DRE</v>
      </c>
      <c r="V5540" s="3" t="str">
        <f>IF(Base_Periodo1[[#This Row],[Tipo_Linha]]="Fora do DRE","Fora do DRE","( "&amp;Base_Periodo1[[#This Row],[Tipo_Linha]]&amp;" ) "&amp;Base_Periodo1[[#This Row],[Filtro]])</f>
        <v>Fora do DRE</v>
      </c>
      <c r="W5540" s="3" t="str">
        <f>LEFT(Base_Periodo1[[#This Row],[CLASS]],3)</f>
        <v>2.4</v>
      </c>
    </row>
    <row r="5541" spans="1:23" hidden="1">
      <c r="A5541" s="3" t="str">
        <f t="shared" si="86"/>
        <v>Período 1</v>
      </c>
      <c r="B5541">
        <v>16005</v>
      </c>
      <c r="C5541" t="s">
        <v>2300</v>
      </c>
      <c r="D5541" t="s">
        <v>3351</v>
      </c>
      <c r="E5541" s="3" t="str">
        <f>IF(LEN(Base_Periodo1[[#This Row],[CLASS]])&gt;=7,LEFT(Base_Periodo1[[#This Row],[CLASS]],7),"")</f>
        <v>2.4.1.1</v>
      </c>
      <c r="F5541" s="3" t="str">
        <f>VLOOKUP(Base_Periodo1[[#This Row],[Aux]],Base_Contas_Balanco[#All],2,FALSE)</f>
        <v>Capital Social Realizado</v>
      </c>
      <c r="G5541" s="1"/>
      <c r="H5541" s="281">
        <v>3915.65</v>
      </c>
      <c r="I5541" s="281">
        <v>0</v>
      </c>
      <c r="J5541" s="281">
        <v>0</v>
      </c>
      <c r="K5541" s="281">
        <v>3915.65</v>
      </c>
      <c r="L554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3915.65</v>
      </c>
      <c r="M5541" s="281">
        <f>ROUND(IF(AND(Base_Periodo1[[#This Row],[Tipo_Linha]]="-",Base_Periodo1[[#This Row],[TIPOSALDO]]="D"),Base_Periodo1[[#This Row],[SALDO_ATUAL]]*-1,Base_Periodo1[[#This Row],[SALDO_ATUAL]]),4)</f>
        <v>3915.65</v>
      </c>
      <c r="N5541" t="s">
        <v>116</v>
      </c>
      <c r="O5541" t="s">
        <v>459</v>
      </c>
      <c r="P5541" t="s">
        <v>459</v>
      </c>
      <c r="Q5541">
        <v>6</v>
      </c>
      <c r="R5541" s="281">
        <f>Base_Periodo1[[#This Row],[CREDITOS]]-Base_Periodo1[[#This Row],[DEBITOS]]</f>
        <v>0</v>
      </c>
      <c r="S5541" s="3" t="str">
        <f>IF(ISERROR(VLOOKUP(Base_Periodo1[[#This Row],[CONTA]],BaseContasDRE[#All],4,FALSE)),"Fora do DRE",VLOOKUP(Base_Periodo1[[#This Row],[CONTA]],BaseContasDRE[#All],4,FALSE))</f>
        <v>Fora do DRE</v>
      </c>
      <c r="T5541" s="3" t="str">
        <f>IF(ISERROR(VLOOKUP(Base_Periodo1[[#This Row],[CONTA]],BaseContasDRE[#All],5,FALSE)),"Fora do DRE",VLOOKUP(Base_Periodo1[[#This Row],[CONTA]],BaseContasDRE[#All],6,FALSE))</f>
        <v>Fora do DRE</v>
      </c>
      <c r="U5541" s="3" t="str">
        <f>IF(ISERROR(VLOOKUP(Base_Periodo1[[#This Row],[CONTA]],BaseContasDRE[#All],7,FALSE)),"Fora do DRE",VLOOKUP(Base_Periodo1[[#This Row],[CONTA]],BaseContasDRE[#All],7,FALSE))</f>
        <v>Fora do DRE</v>
      </c>
      <c r="V5541" s="3" t="str">
        <f>IF(Base_Periodo1[[#This Row],[Tipo_Linha]]="Fora do DRE","Fora do DRE","( "&amp;Base_Periodo1[[#This Row],[Tipo_Linha]]&amp;" ) "&amp;Base_Periodo1[[#This Row],[Filtro]])</f>
        <v>Fora do DRE</v>
      </c>
      <c r="W5541" s="3" t="str">
        <f>LEFT(Base_Periodo1[[#This Row],[CLASS]],3)</f>
        <v>2.4</v>
      </c>
    </row>
    <row r="5542" spans="1:23" hidden="1">
      <c r="A5542" s="3" t="str">
        <f t="shared" si="86"/>
        <v>Período 1</v>
      </c>
      <c r="B5542">
        <v>35747</v>
      </c>
      <c r="C5542" t="s">
        <v>2300</v>
      </c>
      <c r="D5542" t="s">
        <v>4631</v>
      </c>
      <c r="E5542" s="3" t="str">
        <f>IF(LEN(Base_Periodo1[[#This Row],[CLASS]])&gt;=7,LEFT(Base_Periodo1[[#This Row],[CLASS]],7),"")</f>
        <v>2.4.1.1</v>
      </c>
      <c r="F5542" s="3" t="str">
        <f>VLOOKUP(Base_Periodo1[[#This Row],[Aux]],Base_Contas_Balanco[#All],2,FALSE)</f>
        <v>Capital Social Realizado</v>
      </c>
      <c r="G5542" s="1"/>
      <c r="H5542" s="281">
        <v>2443.4499999999998</v>
      </c>
      <c r="I5542" s="281">
        <v>0</v>
      </c>
      <c r="J5542" s="281">
        <v>0</v>
      </c>
      <c r="K5542" s="281">
        <v>2443.4499999999998</v>
      </c>
      <c r="L554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2443.4499999999998</v>
      </c>
      <c r="M5542" s="281">
        <f>ROUND(IF(AND(Base_Periodo1[[#This Row],[Tipo_Linha]]="-",Base_Periodo1[[#This Row],[TIPOSALDO]]="D"),Base_Periodo1[[#This Row],[SALDO_ATUAL]]*-1,Base_Periodo1[[#This Row],[SALDO_ATUAL]]),4)</f>
        <v>2443.4499999999998</v>
      </c>
      <c r="N5542" t="s">
        <v>116</v>
      </c>
      <c r="O5542" t="s">
        <v>459</v>
      </c>
      <c r="P5542" t="s">
        <v>459</v>
      </c>
      <c r="Q5542">
        <v>6</v>
      </c>
      <c r="R5542" s="281">
        <f>Base_Periodo1[[#This Row],[CREDITOS]]-Base_Periodo1[[#This Row],[DEBITOS]]</f>
        <v>0</v>
      </c>
      <c r="S5542" s="3" t="str">
        <f>IF(ISERROR(VLOOKUP(Base_Periodo1[[#This Row],[CONTA]],BaseContasDRE[#All],4,FALSE)),"Fora do DRE",VLOOKUP(Base_Periodo1[[#This Row],[CONTA]],BaseContasDRE[#All],4,FALSE))</f>
        <v>Fora do DRE</v>
      </c>
      <c r="T5542" s="3" t="str">
        <f>IF(ISERROR(VLOOKUP(Base_Periodo1[[#This Row],[CONTA]],BaseContasDRE[#All],5,FALSE)),"Fora do DRE",VLOOKUP(Base_Periodo1[[#This Row],[CONTA]],BaseContasDRE[#All],6,FALSE))</f>
        <v>Fora do DRE</v>
      </c>
      <c r="U5542" s="3" t="str">
        <f>IF(ISERROR(VLOOKUP(Base_Periodo1[[#This Row],[CONTA]],BaseContasDRE[#All],7,FALSE)),"Fora do DRE",VLOOKUP(Base_Periodo1[[#This Row],[CONTA]],BaseContasDRE[#All],7,FALSE))</f>
        <v>Fora do DRE</v>
      </c>
      <c r="V5542" s="3" t="str">
        <f>IF(Base_Periodo1[[#This Row],[Tipo_Linha]]="Fora do DRE","Fora do DRE","( "&amp;Base_Periodo1[[#This Row],[Tipo_Linha]]&amp;" ) "&amp;Base_Periodo1[[#This Row],[Filtro]])</f>
        <v>Fora do DRE</v>
      </c>
      <c r="W5542" s="3" t="str">
        <f>LEFT(Base_Periodo1[[#This Row],[CLASS]],3)</f>
        <v>2.4</v>
      </c>
    </row>
    <row r="5543" spans="1:23" hidden="1">
      <c r="A5543" s="3" t="str">
        <f t="shared" si="86"/>
        <v>Período 1</v>
      </c>
      <c r="B5543">
        <v>16196</v>
      </c>
      <c r="C5543" t="s">
        <v>2300</v>
      </c>
      <c r="D5543" t="s">
        <v>3352</v>
      </c>
      <c r="E5543" s="3" t="str">
        <f>IF(LEN(Base_Periodo1[[#This Row],[CLASS]])&gt;=7,LEFT(Base_Periodo1[[#This Row],[CLASS]],7),"")</f>
        <v>2.4.1.1</v>
      </c>
      <c r="F5543" s="3" t="str">
        <f>VLOOKUP(Base_Periodo1[[#This Row],[Aux]],Base_Contas_Balanco[#All],2,FALSE)</f>
        <v>Capital Social Realizado</v>
      </c>
      <c r="G5543" s="1"/>
      <c r="H5543" s="281">
        <v>1705.8999999999999</v>
      </c>
      <c r="I5543" s="281">
        <v>0</v>
      </c>
      <c r="J5543" s="281">
        <v>0</v>
      </c>
      <c r="K5543" s="281">
        <v>1705.8999999999999</v>
      </c>
      <c r="L554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1705.9</v>
      </c>
      <c r="M5543" s="281">
        <f>ROUND(IF(AND(Base_Periodo1[[#This Row],[Tipo_Linha]]="-",Base_Periodo1[[#This Row],[TIPOSALDO]]="D"),Base_Periodo1[[#This Row],[SALDO_ATUAL]]*-1,Base_Periodo1[[#This Row],[SALDO_ATUAL]]),4)</f>
        <v>1705.9</v>
      </c>
      <c r="N5543" t="s">
        <v>116</v>
      </c>
      <c r="O5543" t="s">
        <v>459</v>
      </c>
      <c r="P5543" t="s">
        <v>459</v>
      </c>
      <c r="Q5543">
        <v>6</v>
      </c>
      <c r="R5543" s="281">
        <f>Base_Periodo1[[#This Row],[CREDITOS]]-Base_Periodo1[[#This Row],[DEBITOS]]</f>
        <v>0</v>
      </c>
      <c r="S5543" s="3" t="str">
        <f>IF(ISERROR(VLOOKUP(Base_Periodo1[[#This Row],[CONTA]],BaseContasDRE[#All],4,FALSE)),"Fora do DRE",VLOOKUP(Base_Periodo1[[#This Row],[CONTA]],BaseContasDRE[#All],4,FALSE))</f>
        <v>Fora do DRE</v>
      </c>
      <c r="T5543" s="3" t="str">
        <f>IF(ISERROR(VLOOKUP(Base_Periodo1[[#This Row],[CONTA]],BaseContasDRE[#All],5,FALSE)),"Fora do DRE",VLOOKUP(Base_Periodo1[[#This Row],[CONTA]],BaseContasDRE[#All],6,FALSE))</f>
        <v>Fora do DRE</v>
      </c>
      <c r="U5543" s="3" t="str">
        <f>IF(ISERROR(VLOOKUP(Base_Periodo1[[#This Row],[CONTA]],BaseContasDRE[#All],7,FALSE)),"Fora do DRE",VLOOKUP(Base_Periodo1[[#This Row],[CONTA]],BaseContasDRE[#All],7,FALSE))</f>
        <v>Fora do DRE</v>
      </c>
      <c r="V5543" s="3" t="str">
        <f>IF(Base_Periodo1[[#This Row],[Tipo_Linha]]="Fora do DRE","Fora do DRE","( "&amp;Base_Periodo1[[#This Row],[Tipo_Linha]]&amp;" ) "&amp;Base_Periodo1[[#This Row],[Filtro]])</f>
        <v>Fora do DRE</v>
      </c>
      <c r="W5543" s="3" t="str">
        <f>LEFT(Base_Periodo1[[#This Row],[CLASS]],3)</f>
        <v>2.4</v>
      </c>
    </row>
    <row r="5544" spans="1:23" hidden="1">
      <c r="A5544" s="3" t="str">
        <f t="shared" si="86"/>
        <v>Período 1</v>
      </c>
      <c r="B5544">
        <v>19389</v>
      </c>
      <c r="C5544" t="s">
        <v>2300</v>
      </c>
      <c r="D5544" t="s">
        <v>3353</v>
      </c>
      <c r="E5544" s="3" t="str">
        <f>IF(LEN(Base_Periodo1[[#This Row],[CLASS]])&gt;=7,LEFT(Base_Periodo1[[#This Row],[CLASS]],7),"")</f>
        <v>2.4.1.1</v>
      </c>
      <c r="F5544" s="3" t="str">
        <f>VLOOKUP(Base_Periodo1[[#This Row],[Aux]],Base_Contas_Balanco[#All],2,FALSE)</f>
        <v>Capital Social Realizado</v>
      </c>
      <c r="G5544" s="1"/>
      <c r="H5544" s="281">
        <v>325.16999999999996</v>
      </c>
      <c r="I5544" s="281">
        <v>0</v>
      </c>
      <c r="J5544" s="281">
        <v>0</v>
      </c>
      <c r="K5544" s="281">
        <v>325.16999999999996</v>
      </c>
      <c r="L554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325.17</v>
      </c>
      <c r="M5544" s="281">
        <f>ROUND(IF(AND(Base_Periodo1[[#This Row],[Tipo_Linha]]="-",Base_Periodo1[[#This Row],[TIPOSALDO]]="D"),Base_Periodo1[[#This Row],[SALDO_ATUAL]]*-1,Base_Periodo1[[#This Row],[SALDO_ATUAL]]),4)</f>
        <v>325.17</v>
      </c>
      <c r="N5544" t="s">
        <v>116</v>
      </c>
      <c r="O5544" t="s">
        <v>459</v>
      </c>
      <c r="P5544" t="s">
        <v>459</v>
      </c>
      <c r="Q5544">
        <v>6</v>
      </c>
      <c r="R5544" s="281">
        <f>Base_Periodo1[[#This Row],[CREDITOS]]-Base_Periodo1[[#This Row],[DEBITOS]]</f>
        <v>0</v>
      </c>
      <c r="S5544" s="3" t="str">
        <f>IF(ISERROR(VLOOKUP(Base_Periodo1[[#This Row],[CONTA]],BaseContasDRE[#All],4,FALSE)),"Fora do DRE",VLOOKUP(Base_Periodo1[[#This Row],[CONTA]],BaseContasDRE[#All],4,FALSE))</f>
        <v>Fora do DRE</v>
      </c>
      <c r="T5544" s="3" t="str">
        <f>IF(ISERROR(VLOOKUP(Base_Periodo1[[#This Row],[CONTA]],BaseContasDRE[#All],5,FALSE)),"Fora do DRE",VLOOKUP(Base_Periodo1[[#This Row],[CONTA]],BaseContasDRE[#All],6,FALSE))</f>
        <v>Fora do DRE</v>
      </c>
      <c r="U5544" s="3" t="str">
        <f>IF(ISERROR(VLOOKUP(Base_Periodo1[[#This Row],[CONTA]],BaseContasDRE[#All],7,FALSE)),"Fora do DRE",VLOOKUP(Base_Periodo1[[#This Row],[CONTA]],BaseContasDRE[#All],7,FALSE))</f>
        <v>Fora do DRE</v>
      </c>
      <c r="V5544" s="3" t="str">
        <f>IF(Base_Periodo1[[#This Row],[Tipo_Linha]]="Fora do DRE","Fora do DRE","( "&amp;Base_Periodo1[[#This Row],[Tipo_Linha]]&amp;" ) "&amp;Base_Periodo1[[#This Row],[Filtro]])</f>
        <v>Fora do DRE</v>
      </c>
      <c r="W5544" s="3" t="str">
        <f>LEFT(Base_Periodo1[[#This Row],[CLASS]],3)</f>
        <v>2.4</v>
      </c>
    </row>
    <row r="5545" spans="1:23" hidden="1">
      <c r="A5545" s="3" t="str">
        <f t="shared" si="86"/>
        <v>Período 1</v>
      </c>
      <c r="B5545">
        <v>16122</v>
      </c>
      <c r="C5545" t="s">
        <v>2300</v>
      </c>
      <c r="D5545" t="s">
        <v>3354</v>
      </c>
      <c r="E5545" s="3" t="str">
        <f>IF(LEN(Base_Periodo1[[#This Row],[CLASS]])&gt;=7,LEFT(Base_Periodo1[[#This Row],[CLASS]],7),"")</f>
        <v>2.4.1.1</v>
      </c>
      <c r="F5545" s="3" t="str">
        <f>VLOOKUP(Base_Periodo1[[#This Row],[Aux]],Base_Contas_Balanco[#All],2,FALSE)</f>
        <v>Capital Social Realizado</v>
      </c>
      <c r="G5545" s="1"/>
      <c r="H5545" s="281">
        <v>8302.18</v>
      </c>
      <c r="I5545" s="281">
        <v>0</v>
      </c>
      <c r="J5545" s="281">
        <v>0</v>
      </c>
      <c r="K5545" s="281">
        <v>8302.18</v>
      </c>
      <c r="L554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8302.18</v>
      </c>
      <c r="M5545" s="281">
        <f>ROUND(IF(AND(Base_Periodo1[[#This Row],[Tipo_Linha]]="-",Base_Periodo1[[#This Row],[TIPOSALDO]]="D"),Base_Periodo1[[#This Row],[SALDO_ATUAL]]*-1,Base_Periodo1[[#This Row],[SALDO_ATUAL]]),4)</f>
        <v>8302.18</v>
      </c>
      <c r="N5545" t="s">
        <v>116</v>
      </c>
      <c r="O5545" t="s">
        <v>459</v>
      </c>
      <c r="P5545" t="s">
        <v>459</v>
      </c>
      <c r="Q5545">
        <v>6</v>
      </c>
      <c r="R5545" s="281">
        <f>Base_Periodo1[[#This Row],[CREDITOS]]-Base_Periodo1[[#This Row],[DEBITOS]]</f>
        <v>0</v>
      </c>
      <c r="S5545" s="3" t="str">
        <f>IF(ISERROR(VLOOKUP(Base_Periodo1[[#This Row],[CONTA]],BaseContasDRE[#All],4,FALSE)),"Fora do DRE",VLOOKUP(Base_Periodo1[[#This Row],[CONTA]],BaseContasDRE[#All],4,FALSE))</f>
        <v>Fora do DRE</v>
      </c>
      <c r="T5545" s="3" t="str">
        <f>IF(ISERROR(VLOOKUP(Base_Periodo1[[#This Row],[CONTA]],BaseContasDRE[#All],5,FALSE)),"Fora do DRE",VLOOKUP(Base_Periodo1[[#This Row],[CONTA]],BaseContasDRE[#All],6,FALSE))</f>
        <v>Fora do DRE</v>
      </c>
      <c r="U5545" s="3" t="str">
        <f>IF(ISERROR(VLOOKUP(Base_Periodo1[[#This Row],[CONTA]],BaseContasDRE[#All],7,FALSE)),"Fora do DRE",VLOOKUP(Base_Periodo1[[#This Row],[CONTA]],BaseContasDRE[#All],7,FALSE))</f>
        <v>Fora do DRE</v>
      </c>
      <c r="V5545" s="3" t="str">
        <f>IF(Base_Periodo1[[#This Row],[Tipo_Linha]]="Fora do DRE","Fora do DRE","( "&amp;Base_Periodo1[[#This Row],[Tipo_Linha]]&amp;" ) "&amp;Base_Periodo1[[#This Row],[Filtro]])</f>
        <v>Fora do DRE</v>
      </c>
      <c r="W5545" s="3" t="str">
        <f>LEFT(Base_Periodo1[[#This Row],[CLASS]],3)</f>
        <v>2.4</v>
      </c>
    </row>
    <row r="5546" spans="1:23" hidden="1">
      <c r="A5546" s="3" t="str">
        <f t="shared" si="86"/>
        <v>Período 1</v>
      </c>
      <c r="B5546">
        <v>19390</v>
      </c>
      <c r="C5546" t="s">
        <v>2300</v>
      </c>
      <c r="D5546" t="s">
        <v>3355</v>
      </c>
      <c r="E5546" s="3" t="str">
        <f>IF(LEN(Base_Periodo1[[#This Row],[CLASS]])&gt;=7,LEFT(Base_Periodo1[[#This Row],[CLASS]],7),"")</f>
        <v>2.4.1.1</v>
      </c>
      <c r="F5546" s="3" t="str">
        <f>VLOOKUP(Base_Periodo1[[#This Row],[Aux]],Base_Contas_Balanco[#All],2,FALSE)</f>
        <v>Capital Social Realizado</v>
      </c>
      <c r="G5546" s="1"/>
      <c r="H5546" s="281">
        <v>923.32</v>
      </c>
      <c r="I5546" s="281">
        <v>0</v>
      </c>
      <c r="J5546" s="281">
        <v>0</v>
      </c>
      <c r="K5546" s="281">
        <v>923.32</v>
      </c>
      <c r="L554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923.32</v>
      </c>
      <c r="M5546" s="281">
        <f>ROUND(IF(AND(Base_Periodo1[[#This Row],[Tipo_Linha]]="-",Base_Periodo1[[#This Row],[TIPOSALDO]]="D"),Base_Periodo1[[#This Row],[SALDO_ATUAL]]*-1,Base_Periodo1[[#This Row],[SALDO_ATUAL]]),4)</f>
        <v>923.32</v>
      </c>
      <c r="N5546" t="s">
        <v>116</v>
      </c>
      <c r="O5546" t="s">
        <v>459</v>
      </c>
      <c r="P5546" t="s">
        <v>459</v>
      </c>
      <c r="Q5546">
        <v>6</v>
      </c>
      <c r="R5546" s="281">
        <f>Base_Periodo1[[#This Row],[CREDITOS]]-Base_Periodo1[[#This Row],[DEBITOS]]</f>
        <v>0</v>
      </c>
      <c r="S5546" s="3" t="str">
        <f>IF(ISERROR(VLOOKUP(Base_Periodo1[[#This Row],[CONTA]],BaseContasDRE[#All],4,FALSE)),"Fora do DRE",VLOOKUP(Base_Periodo1[[#This Row],[CONTA]],BaseContasDRE[#All],4,FALSE))</f>
        <v>Fora do DRE</v>
      </c>
      <c r="T5546" s="3" t="str">
        <f>IF(ISERROR(VLOOKUP(Base_Periodo1[[#This Row],[CONTA]],BaseContasDRE[#All],5,FALSE)),"Fora do DRE",VLOOKUP(Base_Periodo1[[#This Row],[CONTA]],BaseContasDRE[#All],6,FALSE))</f>
        <v>Fora do DRE</v>
      </c>
      <c r="U5546" s="3" t="str">
        <f>IF(ISERROR(VLOOKUP(Base_Periodo1[[#This Row],[CONTA]],BaseContasDRE[#All],7,FALSE)),"Fora do DRE",VLOOKUP(Base_Periodo1[[#This Row],[CONTA]],BaseContasDRE[#All],7,FALSE))</f>
        <v>Fora do DRE</v>
      </c>
      <c r="V5546" s="3" t="str">
        <f>IF(Base_Periodo1[[#This Row],[Tipo_Linha]]="Fora do DRE","Fora do DRE","( "&amp;Base_Periodo1[[#This Row],[Tipo_Linha]]&amp;" ) "&amp;Base_Periodo1[[#This Row],[Filtro]])</f>
        <v>Fora do DRE</v>
      </c>
      <c r="W5546" s="3" t="str">
        <f>LEFT(Base_Periodo1[[#This Row],[CLASS]],3)</f>
        <v>2.4</v>
      </c>
    </row>
    <row r="5547" spans="1:23" hidden="1">
      <c r="A5547" s="3" t="str">
        <f t="shared" si="86"/>
        <v>Período 1</v>
      </c>
      <c r="B5547">
        <v>19779</v>
      </c>
      <c r="C5547" t="s">
        <v>2300</v>
      </c>
      <c r="D5547" t="s">
        <v>3356</v>
      </c>
      <c r="E5547" s="3" t="str">
        <f>IF(LEN(Base_Periodo1[[#This Row],[CLASS]])&gt;=7,LEFT(Base_Periodo1[[#This Row],[CLASS]],7),"")</f>
        <v>2.4.1.1</v>
      </c>
      <c r="F5547" s="3" t="str">
        <f>VLOOKUP(Base_Periodo1[[#This Row],[Aux]],Base_Contas_Balanco[#All],2,FALSE)</f>
        <v>Capital Social Realizado</v>
      </c>
      <c r="G5547" s="1"/>
      <c r="H5547" s="281">
        <v>259.47000000000003</v>
      </c>
      <c r="I5547" s="281">
        <v>0</v>
      </c>
      <c r="J5547" s="281">
        <v>0</v>
      </c>
      <c r="K5547" s="281">
        <v>259.47000000000003</v>
      </c>
      <c r="L554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259.47000000000003</v>
      </c>
      <c r="M5547" s="281">
        <f>ROUND(IF(AND(Base_Periodo1[[#This Row],[Tipo_Linha]]="-",Base_Periodo1[[#This Row],[TIPOSALDO]]="D"),Base_Periodo1[[#This Row],[SALDO_ATUAL]]*-1,Base_Periodo1[[#This Row],[SALDO_ATUAL]]),4)</f>
        <v>259.47000000000003</v>
      </c>
      <c r="N5547" t="s">
        <v>116</v>
      </c>
      <c r="O5547" t="s">
        <v>459</v>
      </c>
      <c r="P5547" t="s">
        <v>459</v>
      </c>
      <c r="Q5547">
        <v>6</v>
      </c>
      <c r="R5547" s="281">
        <f>Base_Periodo1[[#This Row],[CREDITOS]]-Base_Periodo1[[#This Row],[DEBITOS]]</f>
        <v>0</v>
      </c>
      <c r="S5547" s="3" t="str">
        <f>IF(ISERROR(VLOOKUP(Base_Periodo1[[#This Row],[CONTA]],BaseContasDRE[#All],4,FALSE)),"Fora do DRE",VLOOKUP(Base_Periodo1[[#This Row],[CONTA]],BaseContasDRE[#All],4,FALSE))</f>
        <v>Fora do DRE</v>
      </c>
      <c r="T5547" s="3" t="str">
        <f>IF(ISERROR(VLOOKUP(Base_Periodo1[[#This Row],[CONTA]],BaseContasDRE[#All],5,FALSE)),"Fora do DRE",VLOOKUP(Base_Periodo1[[#This Row],[CONTA]],BaseContasDRE[#All],6,FALSE))</f>
        <v>Fora do DRE</v>
      </c>
      <c r="U5547" s="3" t="str">
        <f>IF(ISERROR(VLOOKUP(Base_Periodo1[[#This Row],[CONTA]],BaseContasDRE[#All],7,FALSE)),"Fora do DRE",VLOOKUP(Base_Periodo1[[#This Row],[CONTA]],BaseContasDRE[#All],7,FALSE))</f>
        <v>Fora do DRE</v>
      </c>
      <c r="V5547" s="3" t="str">
        <f>IF(Base_Periodo1[[#This Row],[Tipo_Linha]]="Fora do DRE","Fora do DRE","( "&amp;Base_Periodo1[[#This Row],[Tipo_Linha]]&amp;" ) "&amp;Base_Periodo1[[#This Row],[Filtro]])</f>
        <v>Fora do DRE</v>
      </c>
      <c r="W5547" s="3" t="str">
        <f>LEFT(Base_Periodo1[[#This Row],[CLASS]],3)</f>
        <v>2.4</v>
      </c>
    </row>
    <row r="5548" spans="1:23" hidden="1">
      <c r="A5548" s="3" t="str">
        <f t="shared" si="86"/>
        <v>Período 1</v>
      </c>
      <c r="B5548">
        <v>17177</v>
      </c>
      <c r="C5548" t="s">
        <v>2300</v>
      </c>
      <c r="D5548" t="s">
        <v>3357</v>
      </c>
      <c r="E5548" s="3" t="str">
        <f>IF(LEN(Base_Periodo1[[#This Row],[CLASS]])&gt;=7,LEFT(Base_Periodo1[[#This Row],[CLASS]],7),"")</f>
        <v>2.4.1.1</v>
      </c>
      <c r="F5548" s="3" t="str">
        <f>VLOOKUP(Base_Periodo1[[#This Row],[Aux]],Base_Contas_Balanco[#All],2,FALSE)</f>
        <v>Capital Social Realizado</v>
      </c>
      <c r="G5548" s="1"/>
      <c r="H5548" s="281">
        <v>72.81</v>
      </c>
      <c r="I5548" s="281">
        <v>0</v>
      </c>
      <c r="J5548" s="281">
        <v>0</v>
      </c>
      <c r="K5548" s="281">
        <v>72.81</v>
      </c>
      <c r="L554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72.81</v>
      </c>
      <c r="M5548" s="281">
        <f>ROUND(IF(AND(Base_Periodo1[[#This Row],[Tipo_Linha]]="-",Base_Periodo1[[#This Row],[TIPOSALDO]]="D"),Base_Periodo1[[#This Row],[SALDO_ATUAL]]*-1,Base_Periodo1[[#This Row],[SALDO_ATUAL]]),4)</f>
        <v>72.81</v>
      </c>
      <c r="N5548" t="s">
        <v>116</v>
      </c>
      <c r="O5548" t="s">
        <v>459</v>
      </c>
      <c r="P5548" t="s">
        <v>459</v>
      </c>
      <c r="Q5548">
        <v>6</v>
      </c>
      <c r="R5548" s="281">
        <f>Base_Periodo1[[#This Row],[CREDITOS]]-Base_Periodo1[[#This Row],[DEBITOS]]</f>
        <v>0</v>
      </c>
      <c r="S5548" s="3" t="str">
        <f>IF(ISERROR(VLOOKUP(Base_Periodo1[[#This Row],[CONTA]],BaseContasDRE[#All],4,FALSE)),"Fora do DRE",VLOOKUP(Base_Periodo1[[#This Row],[CONTA]],BaseContasDRE[#All],4,FALSE))</f>
        <v>Fora do DRE</v>
      </c>
      <c r="T5548" s="3" t="str">
        <f>IF(ISERROR(VLOOKUP(Base_Periodo1[[#This Row],[CONTA]],BaseContasDRE[#All],5,FALSE)),"Fora do DRE",VLOOKUP(Base_Periodo1[[#This Row],[CONTA]],BaseContasDRE[#All],6,FALSE))</f>
        <v>Fora do DRE</v>
      </c>
      <c r="U5548" s="3" t="str">
        <f>IF(ISERROR(VLOOKUP(Base_Periodo1[[#This Row],[CONTA]],BaseContasDRE[#All],7,FALSE)),"Fora do DRE",VLOOKUP(Base_Periodo1[[#This Row],[CONTA]],BaseContasDRE[#All],7,FALSE))</f>
        <v>Fora do DRE</v>
      </c>
      <c r="V5548" s="3" t="str">
        <f>IF(Base_Periodo1[[#This Row],[Tipo_Linha]]="Fora do DRE","Fora do DRE","( "&amp;Base_Periodo1[[#This Row],[Tipo_Linha]]&amp;" ) "&amp;Base_Periodo1[[#This Row],[Filtro]])</f>
        <v>Fora do DRE</v>
      </c>
      <c r="W5548" s="3" t="str">
        <f>LEFT(Base_Periodo1[[#This Row],[CLASS]],3)</f>
        <v>2.4</v>
      </c>
    </row>
    <row r="5549" spans="1:23" hidden="1">
      <c r="A5549" s="3" t="str">
        <f t="shared" si="86"/>
        <v>Período 1</v>
      </c>
      <c r="B5549">
        <v>53253</v>
      </c>
      <c r="C5549" t="s">
        <v>2300</v>
      </c>
      <c r="D5549" t="s">
        <v>4892</v>
      </c>
      <c r="E5549" s="3" t="str">
        <f>IF(LEN(Base_Periodo1[[#This Row],[CLASS]])&gt;=7,LEFT(Base_Periodo1[[#This Row],[CLASS]],7),"")</f>
        <v>2.4.1.1</v>
      </c>
      <c r="F5549" s="3" t="str">
        <f>VLOOKUP(Base_Periodo1[[#This Row],[Aux]],Base_Contas_Balanco[#All],2,FALSE)</f>
        <v>Capital Social Realizado</v>
      </c>
      <c r="G5549" s="1"/>
      <c r="H5549" s="281">
        <v>50</v>
      </c>
      <c r="I5549" s="281">
        <v>0</v>
      </c>
      <c r="J5549" s="281">
        <v>0</v>
      </c>
      <c r="K5549" s="281">
        <v>50</v>
      </c>
      <c r="L554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549" s="281">
        <f>ROUND(IF(AND(Base_Periodo1[[#This Row],[Tipo_Linha]]="-",Base_Periodo1[[#This Row],[TIPOSALDO]]="D"),Base_Periodo1[[#This Row],[SALDO_ATUAL]]*-1,Base_Periodo1[[#This Row],[SALDO_ATUAL]]),4)</f>
        <v>50</v>
      </c>
      <c r="N5549" t="s">
        <v>116</v>
      </c>
      <c r="O5549" t="s">
        <v>459</v>
      </c>
      <c r="P5549" t="s">
        <v>459</v>
      </c>
      <c r="Q5549">
        <v>6</v>
      </c>
      <c r="R5549" s="281">
        <f>Base_Periodo1[[#This Row],[CREDITOS]]-Base_Periodo1[[#This Row],[DEBITOS]]</f>
        <v>0</v>
      </c>
      <c r="S5549" s="3" t="str">
        <f>IF(ISERROR(VLOOKUP(Base_Periodo1[[#This Row],[CONTA]],BaseContasDRE[#All],4,FALSE)),"Fora do DRE",VLOOKUP(Base_Periodo1[[#This Row],[CONTA]],BaseContasDRE[#All],4,FALSE))</f>
        <v>Fora do DRE</v>
      </c>
      <c r="T5549" s="3" t="str">
        <f>IF(ISERROR(VLOOKUP(Base_Periodo1[[#This Row],[CONTA]],BaseContasDRE[#All],5,FALSE)),"Fora do DRE",VLOOKUP(Base_Periodo1[[#This Row],[CONTA]],BaseContasDRE[#All],6,FALSE))</f>
        <v>Fora do DRE</v>
      </c>
      <c r="U5549" s="3" t="str">
        <f>IF(ISERROR(VLOOKUP(Base_Periodo1[[#This Row],[CONTA]],BaseContasDRE[#All],7,FALSE)),"Fora do DRE",VLOOKUP(Base_Periodo1[[#This Row],[CONTA]],BaseContasDRE[#All],7,FALSE))</f>
        <v>Fora do DRE</v>
      </c>
      <c r="V5549" s="3" t="str">
        <f>IF(Base_Periodo1[[#This Row],[Tipo_Linha]]="Fora do DRE","Fora do DRE","( "&amp;Base_Periodo1[[#This Row],[Tipo_Linha]]&amp;" ) "&amp;Base_Periodo1[[#This Row],[Filtro]])</f>
        <v>Fora do DRE</v>
      </c>
      <c r="W5549" s="3" t="str">
        <f>LEFT(Base_Periodo1[[#This Row],[CLASS]],3)</f>
        <v>2.4</v>
      </c>
    </row>
    <row r="5550" spans="1:23" hidden="1">
      <c r="A5550" s="3" t="str">
        <f t="shared" si="86"/>
        <v>Período 1</v>
      </c>
      <c r="B5550">
        <v>24601</v>
      </c>
      <c r="C5550" t="s">
        <v>2300</v>
      </c>
      <c r="D5550" t="s">
        <v>3358</v>
      </c>
      <c r="E5550" s="3" t="str">
        <f>IF(LEN(Base_Periodo1[[#This Row],[CLASS]])&gt;=7,LEFT(Base_Periodo1[[#This Row],[CLASS]],7),"")</f>
        <v>2.4.1.1</v>
      </c>
      <c r="F5550" s="3" t="str">
        <f>VLOOKUP(Base_Periodo1[[#This Row],[Aux]],Base_Contas_Balanco[#All],2,FALSE)</f>
        <v>Capital Social Realizado</v>
      </c>
      <c r="G5550" s="1"/>
      <c r="H5550" s="281">
        <v>69.28</v>
      </c>
      <c r="I5550" s="281">
        <v>0</v>
      </c>
      <c r="J5550" s="281">
        <v>0</v>
      </c>
      <c r="K5550" s="281">
        <v>69.28</v>
      </c>
      <c r="L555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69.28</v>
      </c>
      <c r="M5550" s="281">
        <f>ROUND(IF(AND(Base_Periodo1[[#This Row],[Tipo_Linha]]="-",Base_Periodo1[[#This Row],[TIPOSALDO]]="D"),Base_Periodo1[[#This Row],[SALDO_ATUAL]]*-1,Base_Periodo1[[#This Row],[SALDO_ATUAL]]),4)</f>
        <v>69.28</v>
      </c>
      <c r="N5550" t="s">
        <v>116</v>
      </c>
      <c r="O5550" t="s">
        <v>459</v>
      </c>
      <c r="P5550" t="s">
        <v>459</v>
      </c>
      <c r="Q5550">
        <v>6</v>
      </c>
      <c r="R5550" s="281">
        <f>Base_Periodo1[[#This Row],[CREDITOS]]-Base_Periodo1[[#This Row],[DEBITOS]]</f>
        <v>0</v>
      </c>
      <c r="S5550" s="3" t="str">
        <f>IF(ISERROR(VLOOKUP(Base_Periodo1[[#This Row],[CONTA]],BaseContasDRE[#All],4,FALSE)),"Fora do DRE",VLOOKUP(Base_Periodo1[[#This Row],[CONTA]],BaseContasDRE[#All],4,FALSE))</f>
        <v>Fora do DRE</v>
      </c>
      <c r="T5550" s="3" t="str">
        <f>IF(ISERROR(VLOOKUP(Base_Periodo1[[#This Row],[CONTA]],BaseContasDRE[#All],5,FALSE)),"Fora do DRE",VLOOKUP(Base_Periodo1[[#This Row],[CONTA]],BaseContasDRE[#All],6,FALSE))</f>
        <v>Fora do DRE</v>
      </c>
      <c r="U5550" s="3" t="str">
        <f>IF(ISERROR(VLOOKUP(Base_Periodo1[[#This Row],[CONTA]],BaseContasDRE[#All],7,FALSE)),"Fora do DRE",VLOOKUP(Base_Periodo1[[#This Row],[CONTA]],BaseContasDRE[#All],7,FALSE))</f>
        <v>Fora do DRE</v>
      </c>
      <c r="V5550" s="3" t="str">
        <f>IF(Base_Periodo1[[#This Row],[Tipo_Linha]]="Fora do DRE","Fora do DRE","( "&amp;Base_Periodo1[[#This Row],[Tipo_Linha]]&amp;" ) "&amp;Base_Periodo1[[#This Row],[Filtro]])</f>
        <v>Fora do DRE</v>
      </c>
      <c r="W5550" s="3" t="str">
        <f>LEFT(Base_Periodo1[[#This Row],[CLASS]],3)</f>
        <v>2.4</v>
      </c>
    </row>
    <row r="5551" spans="1:23" hidden="1">
      <c r="A5551" s="3" t="str">
        <f t="shared" si="86"/>
        <v>Período 1</v>
      </c>
      <c r="B5551">
        <v>30660</v>
      </c>
      <c r="C5551" t="s">
        <v>2300</v>
      </c>
      <c r="D5551" t="s">
        <v>3359</v>
      </c>
      <c r="E5551" s="3" t="str">
        <f>IF(LEN(Base_Periodo1[[#This Row],[CLASS]])&gt;=7,LEFT(Base_Periodo1[[#This Row],[CLASS]],7),"")</f>
        <v>2.4.1.1</v>
      </c>
      <c r="F5551" s="3" t="str">
        <f>VLOOKUP(Base_Periodo1[[#This Row],[Aux]],Base_Contas_Balanco[#All],2,FALSE)</f>
        <v>Capital Social Realizado</v>
      </c>
      <c r="G5551" s="1"/>
      <c r="H5551" s="281">
        <v>50</v>
      </c>
      <c r="I5551" s="281">
        <v>0</v>
      </c>
      <c r="J5551" s="281">
        <v>0</v>
      </c>
      <c r="K5551" s="281">
        <v>50</v>
      </c>
      <c r="L555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551" s="281">
        <f>ROUND(IF(AND(Base_Periodo1[[#This Row],[Tipo_Linha]]="-",Base_Periodo1[[#This Row],[TIPOSALDO]]="D"),Base_Periodo1[[#This Row],[SALDO_ATUAL]]*-1,Base_Periodo1[[#This Row],[SALDO_ATUAL]]),4)</f>
        <v>50</v>
      </c>
      <c r="N5551" t="s">
        <v>116</v>
      </c>
      <c r="O5551" t="s">
        <v>459</v>
      </c>
      <c r="P5551" t="s">
        <v>459</v>
      </c>
      <c r="Q5551">
        <v>6</v>
      </c>
      <c r="R5551" s="281">
        <f>Base_Periodo1[[#This Row],[CREDITOS]]-Base_Periodo1[[#This Row],[DEBITOS]]</f>
        <v>0</v>
      </c>
      <c r="S5551" s="3" t="str">
        <f>IF(ISERROR(VLOOKUP(Base_Periodo1[[#This Row],[CONTA]],BaseContasDRE[#All],4,FALSE)),"Fora do DRE",VLOOKUP(Base_Periodo1[[#This Row],[CONTA]],BaseContasDRE[#All],4,FALSE))</f>
        <v>Fora do DRE</v>
      </c>
      <c r="T5551" s="3" t="str">
        <f>IF(ISERROR(VLOOKUP(Base_Periodo1[[#This Row],[CONTA]],BaseContasDRE[#All],5,FALSE)),"Fora do DRE",VLOOKUP(Base_Periodo1[[#This Row],[CONTA]],BaseContasDRE[#All],6,FALSE))</f>
        <v>Fora do DRE</v>
      </c>
      <c r="U5551" s="3" t="str">
        <f>IF(ISERROR(VLOOKUP(Base_Periodo1[[#This Row],[CONTA]],BaseContasDRE[#All],7,FALSE)),"Fora do DRE",VLOOKUP(Base_Periodo1[[#This Row],[CONTA]],BaseContasDRE[#All],7,FALSE))</f>
        <v>Fora do DRE</v>
      </c>
      <c r="V5551" s="3" t="str">
        <f>IF(Base_Periodo1[[#This Row],[Tipo_Linha]]="Fora do DRE","Fora do DRE","( "&amp;Base_Periodo1[[#This Row],[Tipo_Linha]]&amp;" ) "&amp;Base_Periodo1[[#This Row],[Filtro]])</f>
        <v>Fora do DRE</v>
      </c>
      <c r="W5551" s="3" t="str">
        <f>LEFT(Base_Periodo1[[#This Row],[CLASS]],3)</f>
        <v>2.4</v>
      </c>
    </row>
    <row r="5552" spans="1:23" hidden="1">
      <c r="A5552" s="3" t="str">
        <f t="shared" si="86"/>
        <v>Período 1</v>
      </c>
      <c r="B5552">
        <v>40605</v>
      </c>
      <c r="C5552" t="s">
        <v>2300</v>
      </c>
      <c r="D5552" t="s">
        <v>3360</v>
      </c>
      <c r="E5552" s="3" t="str">
        <f>IF(LEN(Base_Periodo1[[#This Row],[CLASS]])&gt;=7,LEFT(Base_Periodo1[[#This Row],[CLASS]],7),"")</f>
        <v>2.4.1.1</v>
      </c>
      <c r="F5552" s="3" t="str">
        <f>VLOOKUP(Base_Periodo1[[#This Row],[Aux]],Base_Contas_Balanco[#All],2,FALSE)</f>
        <v>Capital Social Realizado</v>
      </c>
      <c r="G5552" s="1"/>
      <c r="H5552" s="281">
        <v>269.51</v>
      </c>
      <c r="I5552" s="281">
        <v>0</v>
      </c>
      <c r="J5552" s="281">
        <v>0</v>
      </c>
      <c r="K5552" s="281">
        <v>269.51</v>
      </c>
      <c r="L555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269.51</v>
      </c>
      <c r="M5552" s="281">
        <f>ROUND(IF(AND(Base_Periodo1[[#This Row],[Tipo_Linha]]="-",Base_Periodo1[[#This Row],[TIPOSALDO]]="D"),Base_Periodo1[[#This Row],[SALDO_ATUAL]]*-1,Base_Periodo1[[#This Row],[SALDO_ATUAL]]),4)</f>
        <v>269.51</v>
      </c>
      <c r="N5552" t="s">
        <v>116</v>
      </c>
      <c r="O5552" t="s">
        <v>459</v>
      </c>
      <c r="P5552" t="s">
        <v>459</v>
      </c>
      <c r="Q5552">
        <v>6</v>
      </c>
      <c r="R5552" s="281">
        <f>Base_Periodo1[[#This Row],[CREDITOS]]-Base_Periodo1[[#This Row],[DEBITOS]]</f>
        <v>0</v>
      </c>
      <c r="S5552" s="3" t="str">
        <f>IF(ISERROR(VLOOKUP(Base_Periodo1[[#This Row],[CONTA]],BaseContasDRE[#All],4,FALSE)),"Fora do DRE",VLOOKUP(Base_Periodo1[[#This Row],[CONTA]],BaseContasDRE[#All],4,FALSE))</f>
        <v>Fora do DRE</v>
      </c>
      <c r="T5552" s="3" t="str">
        <f>IF(ISERROR(VLOOKUP(Base_Periodo1[[#This Row],[CONTA]],BaseContasDRE[#All],5,FALSE)),"Fora do DRE",VLOOKUP(Base_Periodo1[[#This Row],[CONTA]],BaseContasDRE[#All],6,FALSE))</f>
        <v>Fora do DRE</v>
      </c>
      <c r="U5552" s="3" t="str">
        <f>IF(ISERROR(VLOOKUP(Base_Periodo1[[#This Row],[CONTA]],BaseContasDRE[#All],7,FALSE)),"Fora do DRE",VLOOKUP(Base_Periodo1[[#This Row],[CONTA]],BaseContasDRE[#All],7,FALSE))</f>
        <v>Fora do DRE</v>
      </c>
      <c r="V5552" s="3" t="str">
        <f>IF(Base_Periodo1[[#This Row],[Tipo_Linha]]="Fora do DRE","Fora do DRE","( "&amp;Base_Periodo1[[#This Row],[Tipo_Linha]]&amp;" ) "&amp;Base_Periodo1[[#This Row],[Filtro]])</f>
        <v>Fora do DRE</v>
      </c>
      <c r="W5552" s="3" t="str">
        <f>LEFT(Base_Periodo1[[#This Row],[CLASS]],3)</f>
        <v>2.4</v>
      </c>
    </row>
    <row r="5553" spans="1:23" hidden="1">
      <c r="A5553" s="3" t="str">
        <f t="shared" si="86"/>
        <v>Período 1</v>
      </c>
      <c r="B5553">
        <v>47283</v>
      </c>
      <c r="C5553" t="s">
        <v>2300</v>
      </c>
      <c r="D5553" t="s">
        <v>3361</v>
      </c>
      <c r="E5553" s="3" t="str">
        <f>IF(LEN(Base_Periodo1[[#This Row],[CLASS]])&gt;=7,LEFT(Base_Periodo1[[#This Row],[CLASS]],7),"")</f>
        <v>2.4.1.1</v>
      </c>
      <c r="F5553" s="3" t="str">
        <f>VLOOKUP(Base_Periodo1[[#This Row],[Aux]],Base_Contas_Balanco[#All],2,FALSE)</f>
        <v>Capital Social Realizado</v>
      </c>
      <c r="G5553" s="1"/>
      <c r="H5553" s="281">
        <v>105.47</v>
      </c>
      <c r="I5553" s="281">
        <v>0</v>
      </c>
      <c r="J5553" s="281">
        <v>0</v>
      </c>
      <c r="K5553" s="281">
        <v>105.47</v>
      </c>
      <c r="L555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105.47</v>
      </c>
      <c r="M5553" s="281">
        <f>ROUND(IF(AND(Base_Periodo1[[#This Row],[Tipo_Linha]]="-",Base_Periodo1[[#This Row],[TIPOSALDO]]="D"),Base_Periodo1[[#This Row],[SALDO_ATUAL]]*-1,Base_Periodo1[[#This Row],[SALDO_ATUAL]]),4)</f>
        <v>105.47</v>
      </c>
      <c r="N5553" t="s">
        <v>116</v>
      </c>
      <c r="O5553" t="s">
        <v>459</v>
      </c>
      <c r="P5553" t="s">
        <v>459</v>
      </c>
      <c r="Q5553">
        <v>6</v>
      </c>
      <c r="R5553" s="281">
        <f>Base_Periodo1[[#This Row],[CREDITOS]]-Base_Periodo1[[#This Row],[DEBITOS]]</f>
        <v>0</v>
      </c>
      <c r="S5553" s="3" t="str">
        <f>IF(ISERROR(VLOOKUP(Base_Periodo1[[#This Row],[CONTA]],BaseContasDRE[#All],4,FALSE)),"Fora do DRE",VLOOKUP(Base_Periodo1[[#This Row],[CONTA]],BaseContasDRE[#All],4,FALSE))</f>
        <v>Fora do DRE</v>
      </c>
      <c r="T5553" s="3" t="str">
        <f>IF(ISERROR(VLOOKUP(Base_Periodo1[[#This Row],[CONTA]],BaseContasDRE[#All],5,FALSE)),"Fora do DRE",VLOOKUP(Base_Periodo1[[#This Row],[CONTA]],BaseContasDRE[#All],6,FALSE))</f>
        <v>Fora do DRE</v>
      </c>
      <c r="U5553" s="3" t="str">
        <f>IF(ISERROR(VLOOKUP(Base_Periodo1[[#This Row],[CONTA]],BaseContasDRE[#All],7,FALSE)),"Fora do DRE",VLOOKUP(Base_Periodo1[[#This Row],[CONTA]],BaseContasDRE[#All],7,FALSE))</f>
        <v>Fora do DRE</v>
      </c>
      <c r="V5553" s="3" t="str">
        <f>IF(Base_Periodo1[[#This Row],[Tipo_Linha]]="Fora do DRE","Fora do DRE","( "&amp;Base_Periodo1[[#This Row],[Tipo_Linha]]&amp;" ) "&amp;Base_Periodo1[[#This Row],[Filtro]])</f>
        <v>Fora do DRE</v>
      </c>
      <c r="W5553" s="3" t="str">
        <f>LEFT(Base_Periodo1[[#This Row],[CLASS]],3)</f>
        <v>2.4</v>
      </c>
    </row>
    <row r="5554" spans="1:23" hidden="1">
      <c r="A5554" s="3" t="str">
        <f t="shared" si="86"/>
        <v>Período 1</v>
      </c>
      <c r="B5554">
        <v>49848</v>
      </c>
      <c r="C5554" t="s">
        <v>2300</v>
      </c>
      <c r="D5554" t="s">
        <v>4379</v>
      </c>
      <c r="E5554" s="3" t="str">
        <f>IF(LEN(Base_Periodo1[[#This Row],[CLASS]])&gt;=7,LEFT(Base_Periodo1[[#This Row],[CLASS]],7),"")</f>
        <v>2.4.1.1</v>
      </c>
      <c r="F5554" s="3" t="str">
        <f>VLOOKUP(Base_Periodo1[[#This Row],[Aux]],Base_Contas_Balanco[#All],2,FALSE)</f>
        <v>Capital Social Realizado</v>
      </c>
      <c r="G5554" s="1"/>
      <c r="H5554" s="281">
        <v>240</v>
      </c>
      <c r="I5554" s="281">
        <v>0</v>
      </c>
      <c r="J5554" s="281">
        <v>0</v>
      </c>
      <c r="K5554" s="281">
        <v>240</v>
      </c>
      <c r="L555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554" s="281">
        <f>ROUND(IF(AND(Base_Periodo1[[#This Row],[Tipo_Linha]]="-",Base_Periodo1[[#This Row],[TIPOSALDO]]="D"),Base_Periodo1[[#This Row],[SALDO_ATUAL]]*-1,Base_Periodo1[[#This Row],[SALDO_ATUAL]]),4)</f>
        <v>240</v>
      </c>
      <c r="N5554" t="s">
        <v>116</v>
      </c>
      <c r="O5554" t="s">
        <v>459</v>
      </c>
      <c r="P5554" t="s">
        <v>459</v>
      </c>
      <c r="Q5554">
        <v>6</v>
      </c>
      <c r="R5554" s="281">
        <f>Base_Periodo1[[#This Row],[CREDITOS]]-Base_Periodo1[[#This Row],[DEBITOS]]</f>
        <v>0</v>
      </c>
      <c r="S5554" s="3" t="str">
        <f>IF(ISERROR(VLOOKUP(Base_Periodo1[[#This Row],[CONTA]],BaseContasDRE[#All],4,FALSE)),"Fora do DRE",VLOOKUP(Base_Periodo1[[#This Row],[CONTA]],BaseContasDRE[#All],4,FALSE))</f>
        <v>Fora do DRE</v>
      </c>
      <c r="T5554" s="3" t="str">
        <f>IF(ISERROR(VLOOKUP(Base_Periodo1[[#This Row],[CONTA]],BaseContasDRE[#All],5,FALSE)),"Fora do DRE",VLOOKUP(Base_Periodo1[[#This Row],[CONTA]],BaseContasDRE[#All],6,FALSE))</f>
        <v>Fora do DRE</v>
      </c>
      <c r="U5554" s="3" t="str">
        <f>IF(ISERROR(VLOOKUP(Base_Periodo1[[#This Row],[CONTA]],BaseContasDRE[#All],7,FALSE)),"Fora do DRE",VLOOKUP(Base_Periodo1[[#This Row],[CONTA]],BaseContasDRE[#All],7,FALSE))</f>
        <v>Fora do DRE</v>
      </c>
      <c r="V5554" s="3" t="str">
        <f>IF(Base_Periodo1[[#This Row],[Tipo_Linha]]="Fora do DRE","Fora do DRE","( "&amp;Base_Periodo1[[#This Row],[Tipo_Linha]]&amp;" ) "&amp;Base_Periodo1[[#This Row],[Filtro]])</f>
        <v>Fora do DRE</v>
      </c>
      <c r="W5554" s="3" t="str">
        <f>LEFT(Base_Periodo1[[#This Row],[CLASS]],3)</f>
        <v>2.4</v>
      </c>
    </row>
    <row r="5555" spans="1:23" hidden="1">
      <c r="A5555" s="3" t="str">
        <f t="shared" si="86"/>
        <v>Período 1</v>
      </c>
      <c r="B5555">
        <v>34024</v>
      </c>
      <c r="C5555" t="s">
        <v>2300</v>
      </c>
      <c r="D5555" t="s">
        <v>3362</v>
      </c>
      <c r="E5555" s="3" t="str">
        <f>IF(LEN(Base_Periodo1[[#This Row],[CLASS]])&gt;=7,LEFT(Base_Periodo1[[#This Row],[CLASS]],7),"")</f>
        <v>2.4.1.1</v>
      </c>
      <c r="F5555" s="3" t="str">
        <f>VLOOKUP(Base_Periodo1[[#This Row],[Aux]],Base_Contas_Balanco[#All],2,FALSE)</f>
        <v>Capital Social Realizado</v>
      </c>
      <c r="G5555" s="1"/>
      <c r="H5555" s="281">
        <v>107.25</v>
      </c>
      <c r="I5555" s="281">
        <v>0</v>
      </c>
      <c r="J5555" s="281">
        <v>0</v>
      </c>
      <c r="K5555" s="281">
        <v>107.25</v>
      </c>
      <c r="L555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107.25</v>
      </c>
      <c r="M5555" s="281">
        <f>ROUND(IF(AND(Base_Periodo1[[#This Row],[Tipo_Linha]]="-",Base_Periodo1[[#This Row],[TIPOSALDO]]="D"),Base_Periodo1[[#This Row],[SALDO_ATUAL]]*-1,Base_Periodo1[[#This Row],[SALDO_ATUAL]]),4)</f>
        <v>107.25</v>
      </c>
      <c r="N5555" t="s">
        <v>116</v>
      </c>
      <c r="O5555" t="s">
        <v>459</v>
      </c>
      <c r="P5555" t="s">
        <v>459</v>
      </c>
      <c r="Q5555">
        <v>6</v>
      </c>
      <c r="R5555" s="281">
        <f>Base_Periodo1[[#This Row],[CREDITOS]]-Base_Periodo1[[#This Row],[DEBITOS]]</f>
        <v>0</v>
      </c>
      <c r="S5555" s="3" t="str">
        <f>IF(ISERROR(VLOOKUP(Base_Periodo1[[#This Row],[CONTA]],BaseContasDRE[#All],4,FALSE)),"Fora do DRE",VLOOKUP(Base_Periodo1[[#This Row],[CONTA]],BaseContasDRE[#All],4,FALSE))</f>
        <v>Fora do DRE</v>
      </c>
      <c r="T5555" s="3" t="str">
        <f>IF(ISERROR(VLOOKUP(Base_Periodo1[[#This Row],[CONTA]],BaseContasDRE[#All],5,FALSE)),"Fora do DRE",VLOOKUP(Base_Periodo1[[#This Row],[CONTA]],BaseContasDRE[#All],6,FALSE))</f>
        <v>Fora do DRE</v>
      </c>
      <c r="U5555" s="3" t="str">
        <f>IF(ISERROR(VLOOKUP(Base_Periodo1[[#This Row],[CONTA]],BaseContasDRE[#All],7,FALSE)),"Fora do DRE",VLOOKUP(Base_Periodo1[[#This Row],[CONTA]],BaseContasDRE[#All],7,FALSE))</f>
        <v>Fora do DRE</v>
      </c>
      <c r="V5555" s="3" t="str">
        <f>IF(Base_Periodo1[[#This Row],[Tipo_Linha]]="Fora do DRE","Fora do DRE","( "&amp;Base_Periodo1[[#This Row],[Tipo_Linha]]&amp;" ) "&amp;Base_Periodo1[[#This Row],[Filtro]])</f>
        <v>Fora do DRE</v>
      </c>
      <c r="W5555" s="3" t="str">
        <f>LEFT(Base_Periodo1[[#This Row],[CLASS]],3)</f>
        <v>2.4</v>
      </c>
    </row>
    <row r="5556" spans="1:23" hidden="1">
      <c r="A5556" s="3" t="str">
        <f t="shared" si="86"/>
        <v>Período 1</v>
      </c>
      <c r="B5556">
        <v>47169</v>
      </c>
      <c r="C5556" t="s">
        <v>2300</v>
      </c>
      <c r="D5556" t="s">
        <v>3363</v>
      </c>
      <c r="E5556" s="3" t="str">
        <f>IF(LEN(Base_Periodo1[[#This Row],[CLASS]])&gt;=7,LEFT(Base_Periodo1[[#This Row],[CLASS]],7),"")</f>
        <v>2.4.1.1</v>
      </c>
      <c r="F5556" s="3" t="str">
        <f>VLOOKUP(Base_Periodo1[[#This Row],[Aux]],Base_Contas_Balanco[#All],2,FALSE)</f>
        <v>Capital Social Realizado</v>
      </c>
      <c r="G5556" s="1"/>
      <c r="H5556" s="281">
        <v>83.3</v>
      </c>
      <c r="I5556" s="281">
        <v>0</v>
      </c>
      <c r="J5556" s="281">
        <v>0</v>
      </c>
      <c r="K5556" s="281">
        <v>83.3</v>
      </c>
      <c r="L555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83.3</v>
      </c>
      <c r="M5556" s="281">
        <f>ROUND(IF(AND(Base_Periodo1[[#This Row],[Tipo_Linha]]="-",Base_Periodo1[[#This Row],[TIPOSALDO]]="D"),Base_Periodo1[[#This Row],[SALDO_ATUAL]]*-1,Base_Periodo1[[#This Row],[SALDO_ATUAL]]),4)</f>
        <v>83.3</v>
      </c>
      <c r="N5556" t="s">
        <v>116</v>
      </c>
      <c r="O5556" t="s">
        <v>459</v>
      </c>
      <c r="P5556" t="s">
        <v>459</v>
      </c>
      <c r="Q5556">
        <v>6</v>
      </c>
      <c r="R5556" s="281">
        <f>Base_Periodo1[[#This Row],[CREDITOS]]-Base_Periodo1[[#This Row],[DEBITOS]]</f>
        <v>0</v>
      </c>
      <c r="S5556" s="3" t="str">
        <f>IF(ISERROR(VLOOKUP(Base_Periodo1[[#This Row],[CONTA]],BaseContasDRE[#All],4,FALSE)),"Fora do DRE",VLOOKUP(Base_Periodo1[[#This Row],[CONTA]],BaseContasDRE[#All],4,FALSE))</f>
        <v>Fora do DRE</v>
      </c>
      <c r="T5556" s="3" t="str">
        <f>IF(ISERROR(VLOOKUP(Base_Periodo1[[#This Row],[CONTA]],BaseContasDRE[#All],5,FALSE)),"Fora do DRE",VLOOKUP(Base_Periodo1[[#This Row],[CONTA]],BaseContasDRE[#All],6,FALSE))</f>
        <v>Fora do DRE</v>
      </c>
      <c r="U5556" s="3" t="str">
        <f>IF(ISERROR(VLOOKUP(Base_Periodo1[[#This Row],[CONTA]],BaseContasDRE[#All],7,FALSE)),"Fora do DRE",VLOOKUP(Base_Periodo1[[#This Row],[CONTA]],BaseContasDRE[#All],7,FALSE))</f>
        <v>Fora do DRE</v>
      </c>
      <c r="V5556" s="3" t="str">
        <f>IF(Base_Periodo1[[#This Row],[Tipo_Linha]]="Fora do DRE","Fora do DRE","( "&amp;Base_Periodo1[[#This Row],[Tipo_Linha]]&amp;" ) "&amp;Base_Periodo1[[#This Row],[Filtro]])</f>
        <v>Fora do DRE</v>
      </c>
      <c r="W5556" s="3" t="str">
        <f>LEFT(Base_Periodo1[[#This Row],[CLASS]],3)</f>
        <v>2.4</v>
      </c>
    </row>
    <row r="5557" spans="1:23" hidden="1">
      <c r="A5557" s="3" t="str">
        <f t="shared" si="86"/>
        <v>Período 1</v>
      </c>
      <c r="B5557">
        <v>46881</v>
      </c>
      <c r="C5557" t="s">
        <v>2300</v>
      </c>
      <c r="D5557" t="s">
        <v>3364</v>
      </c>
      <c r="E5557" s="3" t="str">
        <f>IF(LEN(Base_Periodo1[[#This Row],[CLASS]])&gt;=7,LEFT(Base_Periodo1[[#This Row],[CLASS]],7),"")</f>
        <v>2.4.1.1</v>
      </c>
      <c r="F5557" s="3" t="str">
        <f>VLOOKUP(Base_Periodo1[[#This Row],[Aux]],Base_Contas_Balanco[#All],2,FALSE)</f>
        <v>Capital Social Realizado</v>
      </c>
      <c r="G5557" s="1"/>
      <c r="H5557" s="281">
        <v>61.41</v>
      </c>
      <c r="I5557" s="281">
        <v>0</v>
      </c>
      <c r="J5557" s="281">
        <v>0</v>
      </c>
      <c r="K5557" s="281">
        <v>61.41</v>
      </c>
      <c r="L555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61.41</v>
      </c>
      <c r="M5557" s="281">
        <f>ROUND(IF(AND(Base_Periodo1[[#This Row],[Tipo_Linha]]="-",Base_Periodo1[[#This Row],[TIPOSALDO]]="D"),Base_Periodo1[[#This Row],[SALDO_ATUAL]]*-1,Base_Periodo1[[#This Row],[SALDO_ATUAL]]),4)</f>
        <v>61.41</v>
      </c>
      <c r="N5557" t="s">
        <v>116</v>
      </c>
      <c r="O5557" t="s">
        <v>459</v>
      </c>
      <c r="P5557" t="s">
        <v>459</v>
      </c>
      <c r="Q5557">
        <v>6</v>
      </c>
      <c r="R5557" s="281">
        <f>Base_Periodo1[[#This Row],[CREDITOS]]-Base_Periodo1[[#This Row],[DEBITOS]]</f>
        <v>0</v>
      </c>
      <c r="S5557" s="3" t="str">
        <f>IF(ISERROR(VLOOKUP(Base_Periodo1[[#This Row],[CONTA]],BaseContasDRE[#All],4,FALSE)),"Fora do DRE",VLOOKUP(Base_Periodo1[[#This Row],[CONTA]],BaseContasDRE[#All],4,FALSE))</f>
        <v>Fora do DRE</v>
      </c>
      <c r="T5557" s="3" t="str">
        <f>IF(ISERROR(VLOOKUP(Base_Periodo1[[#This Row],[CONTA]],BaseContasDRE[#All],5,FALSE)),"Fora do DRE",VLOOKUP(Base_Periodo1[[#This Row],[CONTA]],BaseContasDRE[#All],6,FALSE))</f>
        <v>Fora do DRE</v>
      </c>
      <c r="U5557" s="3" t="str">
        <f>IF(ISERROR(VLOOKUP(Base_Periodo1[[#This Row],[CONTA]],BaseContasDRE[#All],7,FALSE)),"Fora do DRE",VLOOKUP(Base_Periodo1[[#This Row],[CONTA]],BaseContasDRE[#All],7,FALSE))</f>
        <v>Fora do DRE</v>
      </c>
      <c r="V5557" s="3" t="str">
        <f>IF(Base_Periodo1[[#This Row],[Tipo_Linha]]="Fora do DRE","Fora do DRE","( "&amp;Base_Periodo1[[#This Row],[Tipo_Linha]]&amp;" ) "&amp;Base_Periodo1[[#This Row],[Filtro]])</f>
        <v>Fora do DRE</v>
      </c>
      <c r="W5557" s="3" t="str">
        <f>LEFT(Base_Periodo1[[#This Row],[CLASS]],3)</f>
        <v>2.4</v>
      </c>
    </row>
    <row r="5558" spans="1:23" hidden="1">
      <c r="A5558" s="3" t="str">
        <f t="shared" si="86"/>
        <v>Período 1</v>
      </c>
      <c r="B5558">
        <v>53575</v>
      </c>
      <c r="C5558" t="s">
        <v>2300</v>
      </c>
      <c r="D5558" t="s">
        <v>4966</v>
      </c>
      <c r="E5558" s="3" t="str">
        <f>IF(LEN(Base_Periodo1[[#This Row],[CLASS]])&gt;=7,LEFT(Base_Periodo1[[#This Row],[CLASS]],7),"")</f>
        <v>2.4.1.1</v>
      </c>
      <c r="F5558" s="3" t="str">
        <f>VLOOKUP(Base_Periodo1[[#This Row],[Aux]],Base_Contas_Balanco[#All],2,FALSE)</f>
        <v>Capital Social Realizado</v>
      </c>
      <c r="G5558" s="1"/>
      <c r="H5558" s="281">
        <v>200</v>
      </c>
      <c r="I5558" s="281">
        <v>0</v>
      </c>
      <c r="J5558" s="281">
        <v>0</v>
      </c>
      <c r="K5558" s="281">
        <v>200</v>
      </c>
      <c r="L555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</v>
      </c>
      <c r="M5558" s="281">
        <f>ROUND(IF(AND(Base_Periodo1[[#This Row],[Tipo_Linha]]="-",Base_Periodo1[[#This Row],[TIPOSALDO]]="D"),Base_Periodo1[[#This Row],[SALDO_ATUAL]]*-1,Base_Periodo1[[#This Row],[SALDO_ATUAL]]),4)</f>
        <v>200</v>
      </c>
      <c r="N5558" t="s">
        <v>116</v>
      </c>
      <c r="O5558" t="s">
        <v>459</v>
      </c>
      <c r="P5558" t="s">
        <v>459</v>
      </c>
      <c r="Q5558">
        <v>6</v>
      </c>
      <c r="R5558" s="281">
        <f>Base_Periodo1[[#This Row],[CREDITOS]]-Base_Periodo1[[#This Row],[DEBITOS]]</f>
        <v>0</v>
      </c>
      <c r="S5558" s="3" t="str">
        <f>IF(ISERROR(VLOOKUP(Base_Periodo1[[#This Row],[CONTA]],BaseContasDRE[#All],4,FALSE)),"Fora do DRE",VLOOKUP(Base_Periodo1[[#This Row],[CONTA]],BaseContasDRE[#All],4,FALSE))</f>
        <v>Fora do DRE</v>
      </c>
      <c r="T5558" s="3" t="str">
        <f>IF(ISERROR(VLOOKUP(Base_Periodo1[[#This Row],[CONTA]],BaseContasDRE[#All],5,FALSE)),"Fora do DRE",VLOOKUP(Base_Periodo1[[#This Row],[CONTA]],BaseContasDRE[#All],6,FALSE))</f>
        <v>Fora do DRE</v>
      </c>
      <c r="U5558" s="3" t="str">
        <f>IF(ISERROR(VLOOKUP(Base_Periodo1[[#This Row],[CONTA]],BaseContasDRE[#All],7,FALSE)),"Fora do DRE",VLOOKUP(Base_Periodo1[[#This Row],[CONTA]],BaseContasDRE[#All],7,FALSE))</f>
        <v>Fora do DRE</v>
      </c>
      <c r="V5558" s="3" t="str">
        <f>IF(Base_Periodo1[[#This Row],[Tipo_Linha]]="Fora do DRE","Fora do DRE","( "&amp;Base_Periodo1[[#This Row],[Tipo_Linha]]&amp;" ) "&amp;Base_Periodo1[[#This Row],[Filtro]])</f>
        <v>Fora do DRE</v>
      </c>
      <c r="W5558" s="3" t="str">
        <f>LEFT(Base_Periodo1[[#This Row],[CLASS]],3)</f>
        <v>2.4</v>
      </c>
    </row>
    <row r="5559" spans="1:23" hidden="1">
      <c r="A5559" s="3" t="str">
        <f t="shared" si="86"/>
        <v>Período 1</v>
      </c>
      <c r="B5559">
        <v>19265</v>
      </c>
      <c r="C5559" t="s">
        <v>2300</v>
      </c>
      <c r="D5559" t="s">
        <v>3365</v>
      </c>
      <c r="E5559" s="3" t="str">
        <f>IF(LEN(Base_Periodo1[[#This Row],[CLASS]])&gt;=7,LEFT(Base_Periodo1[[#This Row],[CLASS]],7),"")</f>
        <v>2.4.1.1</v>
      </c>
      <c r="F5559" s="3" t="str">
        <f>VLOOKUP(Base_Periodo1[[#This Row],[Aux]],Base_Contas_Balanco[#All],2,FALSE)</f>
        <v>Capital Social Realizado</v>
      </c>
      <c r="G5559" s="1">
        <v>42460</v>
      </c>
      <c r="H5559" s="281">
        <v>116.32</v>
      </c>
      <c r="I5559" s="281">
        <v>0</v>
      </c>
      <c r="J5559" s="281">
        <v>0</v>
      </c>
      <c r="K5559" s="281">
        <v>116.32</v>
      </c>
      <c r="L555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116.32</v>
      </c>
      <c r="M5559" s="281">
        <f>ROUND(IF(AND(Base_Periodo1[[#This Row],[Tipo_Linha]]="-",Base_Periodo1[[#This Row],[TIPOSALDO]]="D"),Base_Periodo1[[#This Row],[SALDO_ATUAL]]*-1,Base_Periodo1[[#This Row],[SALDO_ATUAL]]),4)</f>
        <v>116.32</v>
      </c>
      <c r="N5559" t="s">
        <v>116</v>
      </c>
      <c r="O5559" t="s">
        <v>459</v>
      </c>
      <c r="P5559" t="s">
        <v>459</v>
      </c>
      <c r="Q5559">
        <v>6</v>
      </c>
      <c r="R5559" s="281">
        <f>Base_Periodo1[[#This Row],[CREDITOS]]-Base_Periodo1[[#This Row],[DEBITOS]]</f>
        <v>0</v>
      </c>
      <c r="S5559" s="3" t="str">
        <f>IF(ISERROR(VLOOKUP(Base_Periodo1[[#This Row],[CONTA]],BaseContasDRE[#All],4,FALSE)),"Fora do DRE",VLOOKUP(Base_Periodo1[[#This Row],[CONTA]],BaseContasDRE[#All],4,FALSE))</f>
        <v>Fora do DRE</v>
      </c>
      <c r="T5559" s="3" t="str">
        <f>IF(ISERROR(VLOOKUP(Base_Periodo1[[#This Row],[CONTA]],BaseContasDRE[#All],5,FALSE)),"Fora do DRE",VLOOKUP(Base_Periodo1[[#This Row],[CONTA]],BaseContasDRE[#All],6,FALSE))</f>
        <v>Fora do DRE</v>
      </c>
      <c r="U5559" s="3" t="str">
        <f>IF(ISERROR(VLOOKUP(Base_Periodo1[[#This Row],[CONTA]],BaseContasDRE[#All],7,FALSE)),"Fora do DRE",VLOOKUP(Base_Periodo1[[#This Row],[CONTA]],BaseContasDRE[#All],7,FALSE))</f>
        <v>Fora do DRE</v>
      </c>
      <c r="V5559" s="3" t="str">
        <f>IF(Base_Periodo1[[#This Row],[Tipo_Linha]]="Fora do DRE","Fora do DRE","( "&amp;Base_Periodo1[[#This Row],[Tipo_Linha]]&amp;" ) "&amp;Base_Periodo1[[#This Row],[Filtro]])</f>
        <v>Fora do DRE</v>
      </c>
      <c r="W5559" s="3" t="str">
        <f>LEFT(Base_Periodo1[[#This Row],[CLASS]],3)</f>
        <v>2.4</v>
      </c>
    </row>
    <row r="5560" spans="1:23" hidden="1">
      <c r="A5560" s="3" t="str">
        <f t="shared" si="86"/>
        <v>Período 1</v>
      </c>
      <c r="B5560">
        <v>19780</v>
      </c>
      <c r="C5560" t="s">
        <v>2300</v>
      </c>
      <c r="D5560" t="s">
        <v>3366</v>
      </c>
      <c r="E5560" s="3" t="str">
        <f>IF(LEN(Base_Periodo1[[#This Row],[CLASS]])&gt;=7,LEFT(Base_Periodo1[[#This Row],[CLASS]],7),"")</f>
        <v>2.4.1.1</v>
      </c>
      <c r="F5560" s="3" t="str">
        <f>VLOOKUP(Base_Periodo1[[#This Row],[Aux]],Base_Contas_Balanco[#All],2,FALSE)</f>
        <v>Capital Social Realizado</v>
      </c>
      <c r="G5560" s="1"/>
      <c r="H5560" s="281">
        <v>50.8</v>
      </c>
      <c r="I5560" s="281">
        <v>0</v>
      </c>
      <c r="J5560" s="281">
        <v>0</v>
      </c>
      <c r="K5560" s="281">
        <v>50.8</v>
      </c>
      <c r="L556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50.8</v>
      </c>
      <c r="M5560" s="281">
        <f>ROUND(IF(AND(Base_Periodo1[[#This Row],[Tipo_Linha]]="-",Base_Periodo1[[#This Row],[TIPOSALDO]]="D"),Base_Periodo1[[#This Row],[SALDO_ATUAL]]*-1,Base_Periodo1[[#This Row],[SALDO_ATUAL]]),4)</f>
        <v>50.8</v>
      </c>
      <c r="N5560" t="s">
        <v>116</v>
      </c>
      <c r="O5560" t="s">
        <v>459</v>
      </c>
      <c r="P5560" t="s">
        <v>459</v>
      </c>
      <c r="Q5560">
        <v>6</v>
      </c>
      <c r="R5560" s="281">
        <f>Base_Periodo1[[#This Row],[CREDITOS]]-Base_Periodo1[[#This Row],[DEBITOS]]</f>
        <v>0</v>
      </c>
      <c r="S5560" s="3" t="str">
        <f>IF(ISERROR(VLOOKUP(Base_Periodo1[[#This Row],[CONTA]],BaseContasDRE[#All],4,FALSE)),"Fora do DRE",VLOOKUP(Base_Periodo1[[#This Row],[CONTA]],BaseContasDRE[#All],4,FALSE))</f>
        <v>Fora do DRE</v>
      </c>
      <c r="T5560" s="3" t="str">
        <f>IF(ISERROR(VLOOKUP(Base_Periodo1[[#This Row],[CONTA]],BaseContasDRE[#All],5,FALSE)),"Fora do DRE",VLOOKUP(Base_Periodo1[[#This Row],[CONTA]],BaseContasDRE[#All],6,FALSE))</f>
        <v>Fora do DRE</v>
      </c>
      <c r="U5560" s="3" t="str">
        <f>IF(ISERROR(VLOOKUP(Base_Periodo1[[#This Row],[CONTA]],BaseContasDRE[#All],7,FALSE)),"Fora do DRE",VLOOKUP(Base_Periodo1[[#This Row],[CONTA]],BaseContasDRE[#All],7,FALSE))</f>
        <v>Fora do DRE</v>
      </c>
      <c r="V5560" s="3" t="str">
        <f>IF(Base_Periodo1[[#This Row],[Tipo_Linha]]="Fora do DRE","Fora do DRE","( "&amp;Base_Periodo1[[#This Row],[Tipo_Linha]]&amp;" ) "&amp;Base_Periodo1[[#This Row],[Filtro]])</f>
        <v>Fora do DRE</v>
      </c>
      <c r="W5560" s="3" t="str">
        <f>LEFT(Base_Periodo1[[#This Row],[CLASS]],3)</f>
        <v>2.4</v>
      </c>
    </row>
    <row r="5561" spans="1:23" hidden="1">
      <c r="A5561" s="3" t="str">
        <f t="shared" si="86"/>
        <v>Período 1</v>
      </c>
      <c r="B5561">
        <v>15977</v>
      </c>
      <c r="C5561" t="s">
        <v>2300</v>
      </c>
      <c r="D5561" t="s">
        <v>3367</v>
      </c>
      <c r="E5561" s="3" t="str">
        <f>IF(LEN(Base_Periodo1[[#This Row],[CLASS]])&gt;=7,LEFT(Base_Periodo1[[#This Row],[CLASS]],7),"")</f>
        <v>2.4.1.1</v>
      </c>
      <c r="F5561" s="3" t="str">
        <f>VLOOKUP(Base_Periodo1[[#This Row],[Aux]],Base_Contas_Balanco[#All],2,FALSE)</f>
        <v>Capital Social Realizado</v>
      </c>
      <c r="G5561" s="1"/>
      <c r="H5561" s="281">
        <v>16381.15</v>
      </c>
      <c r="I5561" s="281">
        <v>0</v>
      </c>
      <c r="J5561" s="281">
        <v>0</v>
      </c>
      <c r="K5561" s="281">
        <v>16381.15</v>
      </c>
      <c r="L556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16381.15</v>
      </c>
      <c r="M5561" s="281">
        <f>ROUND(IF(AND(Base_Periodo1[[#This Row],[Tipo_Linha]]="-",Base_Periodo1[[#This Row],[TIPOSALDO]]="D"),Base_Periodo1[[#This Row],[SALDO_ATUAL]]*-1,Base_Periodo1[[#This Row],[SALDO_ATUAL]]),4)</f>
        <v>16381.15</v>
      </c>
      <c r="N5561" t="s">
        <v>116</v>
      </c>
      <c r="O5561" t="s">
        <v>459</v>
      </c>
      <c r="P5561" t="s">
        <v>459</v>
      </c>
      <c r="Q5561">
        <v>6</v>
      </c>
      <c r="R5561" s="281">
        <f>Base_Periodo1[[#This Row],[CREDITOS]]-Base_Periodo1[[#This Row],[DEBITOS]]</f>
        <v>0</v>
      </c>
      <c r="S5561" s="3" t="str">
        <f>IF(ISERROR(VLOOKUP(Base_Periodo1[[#This Row],[CONTA]],BaseContasDRE[#All],4,FALSE)),"Fora do DRE",VLOOKUP(Base_Periodo1[[#This Row],[CONTA]],BaseContasDRE[#All],4,FALSE))</f>
        <v>Fora do DRE</v>
      </c>
      <c r="T5561" s="3" t="str">
        <f>IF(ISERROR(VLOOKUP(Base_Periodo1[[#This Row],[CONTA]],BaseContasDRE[#All],5,FALSE)),"Fora do DRE",VLOOKUP(Base_Periodo1[[#This Row],[CONTA]],BaseContasDRE[#All],6,FALSE))</f>
        <v>Fora do DRE</v>
      </c>
      <c r="U5561" s="3" t="str">
        <f>IF(ISERROR(VLOOKUP(Base_Periodo1[[#This Row],[CONTA]],BaseContasDRE[#All],7,FALSE)),"Fora do DRE",VLOOKUP(Base_Periodo1[[#This Row],[CONTA]],BaseContasDRE[#All],7,FALSE))</f>
        <v>Fora do DRE</v>
      </c>
      <c r="V5561" s="3" t="str">
        <f>IF(Base_Periodo1[[#This Row],[Tipo_Linha]]="Fora do DRE","Fora do DRE","( "&amp;Base_Periodo1[[#This Row],[Tipo_Linha]]&amp;" ) "&amp;Base_Periodo1[[#This Row],[Filtro]])</f>
        <v>Fora do DRE</v>
      </c>
      <c r="W5561" s="3" t="str">
        <f>LEFT(Base_Periodo1[[#This Row],[CLASS]],3)</f>
        <v>2.4</v>
      </c>
    </row>
    <row r="5562" spans="1:23" hidden="1">
      <c r="A5562" s="3" t="str">
        <f t="shared" si="86"/>
        <v>Período 1</v>
      </c>
      <c r="B5562">
        <v>16026</v>
      </c>
      <c r="C5562" t="s">
        <v>2300</v>
      </c>
      <c r="D5562" t="s">
        <v>3368</v>
      </c>
      <c r="E5562" s="3" t="str">
        <f>IF(LEN(Base_Periodo1[[#This Row],[CLASS]])&gt;=7,LEFT(Base_Periodo1[[#This Row],[CLASS]],7),"")</f>
        <v>2.4.1.1</v>
      </c>
      <c r="F5562" s="3" t="str">
        <f>VLOOKUP(Base_Periodo1[[#This Row],[Aux]],Base_Contas_Balanco[#All],2,FALSE)</f>
        <v>Capital Social Realizado</v>
      </c>
      <c r="G5562" s="1"/>
      <c r="H5562" s="281">
        <v>2353.3000000000002</v>
      </c>
      <c r="I5562" s="281">
        <v>0</v>
      </c>
      <c r="J5562" s="281">
        <v>0</v>
      </c>
      <c r="K5562" s="281">
        <v>2353.3000000000002</v>
      </c>
      <c r="L556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2353.3000000000002</v>
      </c>
      <c r="M5562" s="281">
        <f>ROUND(IF(AND(Base_Periodo1[[#This Row],[Tipo_Linha]]="-",Base_Periodo1[[#This Row],[TIPOSALDO]]="D"),Base_Periodo1[[#This Row],[SALDO_ATUAL]]*-1,Base_Periodo1[[#This Row],[SALDO_ATUAL]]),4)</f>
        <v>2353.3000000000002</v>
      </c>
      <c r="N5562" t="s">
        <v>116</v>
      </c>
      <c r="O5562" t="s">
        <v>459</v>
      </c>
      <c r="P5562" t="s">
        <v>459</v>
      </c>
      <c r="Q5562">
        <v>6</v>
      </c>
      <c r="R5562" s="281">
        <f>Base_Periodo1[[#This Row],[CREDITOS]]-Base_Periodo1[[#This Row],[DEBITOS]]</f>
        <v>0</v>
      </c>
      <c r="S5562" s="3" t="str">
        <f>IF(ISERROR(VLOOKUP(Base_Periodo1[[#This Row],[CONTA]],BaseContasDRE[#All],4,FALSE)),"Fora do DRE",VLOOKUP(Base_Periodo1[[#This Row],[CONTA]],BaseContasDRE[#All],4,FALSE))</f>
        <v>Fora do DRE</v>
      </c>
      <c r="T5562" s="3" t="str">
        <f>IF(ISERROR(VLOOKUP(Base_Periodo1[[#This Row],[CONTA]],BaseContasDRE[#All],5,FALSE)),"Fora do DRE",VLOOKUP(Base_Periodo1[[#This Row],[CONTA]],BaseContasDRE[#All],6,FALSE))</f>
        <v>Fora do DRE</v>
      </c>
      <c r="U5562" s="3" t="str">
        <f>IF(ISERROR(VLOOKUP(Base_Periodo1[[#This Row],[CONTA]],BaseContasDRE[#All],7,FALSE)),"Fora do DRE",VLOOKUP(Base_Periodo1[[#This Row],[CONTA]],BaseContasDRE[#All],7,FALSE))</f>
        <v>Fora do DRE</v>
      </c>
      <c r="V5562" s="3" t="str">
        <f>IF(Base_Periodo1[[#This Row],[Tipo_Linha]]="Fora do DRE","Fora do DRE","( "&amp;Base_Periodo1[[#This Row],[Tipo_Linha]]&amp;" ) "&amp;Base_Periodo1[[#This Row],[Filtro]])</f>
        <v>Fora do DRE</v>
      </c>
      <c r="W5562" s="3" t="str">
        <f>LEFT(Base_Periodo1[[#This Row],[CLASS]],3)</f>
        <v>2.4</v>
      </c>
    </row>
    <row r="5563" spans="1:23" hidden="1">
      <c r="A5563" s="3" t="str">
        <f t="shared" si="86"/>
        <v>Período 1</v>
      </c>
      <c r="B5563">
        <v>49592</v>
      </c>
      <c r="C5563" t="s">
        <v>2300</v>
      </c>
      <c r="D5563" t="s">
        <v>4325</v>
      </c>
      <c r="E5563" s="3" t="str">
        <f>IF(LEN(Base_Periodo1[[#This Row],[CLASS]])&gt;=7,LEFT(Base_Periodo1[[#This Row],[CLASS]],7),"")</f>
        <v>2.4.1.1</v>
      </c>
      <c r="F5563" s="3" t="str">
        <f>VLOOKUP(Base_Periodo1[[#This Row],[Aux]],Base_Contas_Balanco[#All],2,FALSE)</f>
        <v>Capital Social Realizado</v>
      </c>
      <c r="G5563" s="1"/>
      <c r="H5563" s="281">
        <v>161.15</v>
      </c>
      <c r="I5563" s="281">
        <v>0</v>
      </c>
      <c r="J5563" s="281">
        <v>0</v>
      </c>
      <c r="K5563" s="281">
        <v>161.15</v>
      </c>
      <c r="L556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161.15</v>
      </c>
      <c r="M5563" s="281">
        <f>ROUND(IF(AND(Base_Periodo1[[#This Row],[Tipo_Linha]]="-",Base_Periodo1[[#This Row],[TIPOSALDO]]="D"),Base_Periodo1[[#This Row],[SALDO_ATUAL]]*-1,Base_Periodo1[[#This Row],[SALDO_ATUAL]]),4)</f>
        <v>161.15</v>
      </c>
      <c r="N5563" t="s">
        <v>116</v>
      </c>
      <c r="O5563" t="s">
        <v>459</v>
      </c>
      <c r="P5563" t="s">
        <v>459</v>
      </c>
      <c r="Q5563">
        <v>6</v>
      </c>
      <c r="R5563" s="281">
        <f>Base_Periodo1[[#This Row],[CREDITOS]]-Base_Periodo1[[#This Row],[DEBITOS]]</f>
        <v>0</v>
      </c>
      <c r="S5563" s="3" t="str">
        <f>IF(ISERROR(VLOOKUP(Base_Periodo1[[#This Row],[CONTA]],BaseContasDRE[#All],4,FALSE)),"Fora do DRE",VLOOKUP(Base_Periodo1[[#This Row],[CONTA]],BaseContasDRE[#All],4,FALSE))</f>
        <v>Fora do DRE</v>
      </c>
      <c r="T5563" s="3" t="str">
        <f>IF(ISERROR(VLOOKUP(Base_Periodo1[[#This Row],[CONTA]],BaseContasDRE[#All],5,FALSE)),"Fora do DRE",VLOOKUP(Base_Periodo1[[#This Row],[CONTA]],BaseContasDRE[#All],6,FALSE))</f>
        <v>Fora do DRE</v>
      </c>
      <c r="U5563" s="3" t="str">
        <f>IF(ISERROR(VLOOKUP(Base_Periodo1[[#This Row],[CONTA]],BaseContasDRE[#All],7,FALSE)),"Fora do DRE",VLOOKUP(Base_Periodo1[[#This Row],[CONTA]],BaseContasDRE[#All],7,FALSE))</f>
        <v>Fora do DRE</v>
      </c>
      <c r="V5563" s="3" t="str">
        <f>IF(Base_Periodo1[[#This Row],[Tipo_Linha]]="Fora do DRE","Fora do DRE","( "&amp;Base_Periodo1[[#This Row],[Tipo_Linha]]&amp;" ) "&amp;Base_Periodo1[[#This Row],[Filtro]])</f>
        <v>Fora do DRE</v>
      </c>
      <c r="W5563" s="3" t="str">
        <f>LEFT(Base_Periodo1[[#This Row],[CLASS]],3)</f>
        <v>2.4</v>
      </c>
    </row>
    <row r="5564" spans="1:23" hidden="1">
      <c r="A5564" s="3" t="str">
        <f t="shared" si="86"/>
        <v>Período 1</v>
      </c>
      <c r="B5564">
        <v>36102</v>
      </c>
      <c r="C5564" t="s">
        <v>2300</v>
      </c>
      <c r="D5564" t="s">
        <v>3369</v>
      </c>
      <c r="E5564" s="3" t="str">
        <f>IF(LEN(Base_Periodo1[[#This Row],[CLASS]])&gt;=7,LEFT(Base_Periodo1[[#This Row],[CLASS]],7),"")</f>
        <v>2.4.1.1</v>
      </c>
      <c r="F5564" s="3" t="str">
        <f>VLOOKUP(Base_Periodo1[[#This Row],[Aux]],Base_Contas_Balanco[#All],2,FALSE)</f>
        <v>Capital Social Realizado</v>
      </c>
      <c r="G5564" s="1"/>
      <c r="H5564" s="281">
        <v>178.56</v>
      </c>
      <c r="I5564" s="281">
        <v>0</v>
      </c>
      <c r="J5564" s="281">
        <v>0</v>
      </c>
      <c r="K5564" s="281">
        <v>178.56</v>
      </c>
      <c r="L556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178.56</v>
      </c>
      <c r="M5564" s="281">
        <f>ROUND(IF(AND(Base_Periodo1[[#This Row],[Tipo_Linha]]="-",Base_Periodo1[[#This Row],[TIPOSALDO]]="D"),Base_Periodo1[[#This Row],[SALDO_ATUAL]]*-1,Base_Periodo1[[#This Row],[SALDO_ATUAL]]),4)</f>
        <v>178.56</v>
      </c>
      <c r="N5564" t="s">
        <v>116</v>
      </c>
      <c r="O5564" t="s">
        <v>459</v>
      </c>
      <c r="P5564" t="s">
        <v>459</v>
      </c>
      <c r="Q5564">
        <v>6</v>
      </c>
      <c r="R5564" s="281">
        <f>Base_Periodo1[[#This Row],[CREDITOS]]-Base_Periodo1[[#This Row],[DEBITOS]]</f>
        <v>0</v>
      </c>
      <c r="S5564" s="3" t="str">
        <f>IF(ISERROR(VLOOKUP(Base_Periodo1[[#This Row],[CONTA]],BaseContasDRE[#All],4,FALSE)),"Fora do DRE",VLOOKUP(Base_Periodo1[[#This Row],[CONTA]],BaseContasDRE[#All],4,FALSE))</f>
        <v>Fora do DRE</v>
      </c>
      <c r="T5564" s="3" t="str">
        <f>IF(ISERROR(VLOOKUP(Base_Periodo1[[#This Row],[CONTA]],BaseContasDRE[#All],5,FALSE)),"Fora do DRE",VLOOKUP(Base_Periodo1[[#This Row],[CONTA]],BaseContasDRE[#All],6,FALSE))</f>
        <v>Fora do DRE</v>
      </c>
      <c r="U5564" s="3" t="str">
        <f>IF(ISERROR(VLOOKUP(Base_Periodo1[[#This Row],[CONTA]],BaseContasDRE[#All],7,FALSE)),"Fora do DRE",VLOOKUP(Base_Periodo1[[#This Row],[CONTA]],BaseContasDRE[#All],7,FALSE))</f>
        <v>Fora do DRE</v>
      </c>
      <c r="V5564" s="3" t="str">
        <f>IF(Base_Periodo1[[#This Row],[Tipo_Linha]]="Fora do DRE","Fora do DRE","( "&amp;Base_Periodo1[[#This Row],[Tipo_Linha]]&amp;" ) "&amp;Base_Periodo1[[#This Row],[Filtro]])</f>
        <v>Fora do DRE</v>
      </c>
      <c r="W5564" s="3" t="str">
        <f>LEFT(Base_Periodo1[[#This Row],[CLASS]],3)</f>
        <v>2.4</v>
      </c>
    </row>
    <row r="5565" spans="1:23" hidden="1">
      <c r="A5565" s="3" t="str">
        <f t="shared" si="86"/>
        <v>Período 1</v>
      </c>
      <c r="B5565">
        <v>39449</v>
      </c>
      <c r="C5565" t="s">
        <v>2300</v>
      </c>
      <c r="D5565" t="s">
        <v>3370</v>
      </c>
      <c r="E5565" s="3" t="str">
        <f>IF(LEN(Base_Periodo1[[#This Row],[CLASS]])&gt;=7,LEFT(Base_Periodo1[[#This Row],[CLASS]],7),"")</f>
        <v>2.4.1.1</v>
      </c>
      <c r="F5565" s="3" t="str">
        <f>VLOOKUP(Base_Periodo1[[#This Row],[Aux]],Base_Contas_Balanco[#All],2,FALSE)</f>
        <v>Capital Social Realizado</v>
      </c>
      <c r="G5565" s="1"/>
      <c r="H5565" s="281">
        <v>124.4</v>
      </c>
      <c r="I5565" s="281">
        <v>0</v>
      </c>
      <c r="J5565" s="281">
        <v>0</v>
      </c>
      <c r="K5565" s="281">
        <v>124.4</v>
      </c>
      <c r="L556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124.4</v>
      </c>
      <c r="M5565" s="281">
        <f>ROUND(IF(AND(Base_Periodo1[[#This Row],[Tipo_Linha]]="-",Base_Periodo1[[#This Row],[TIPOSALDO]]="D"),Base_Periodo1[[#This Row],[SALDO_ATUAL]]*-1,Base_Periodo1[[#This Row],[SALDO_ATUAL]]),4)</f>
        <v>124.4</v>
      </c>
      <c r="N5565" t="s">
        <v>116</v>
      </c>
      <c r="O5565" t="s">
        <v>459</v>
      </c>
      <c r="P5565" t="s">
        <v>459</v>
      </c>
      <c r="Q5565">
        <v>6</v>
      </c>
      <c r="R5565" s="281">
        <f>Base_Periodo1[[#This Row],[CREDITOS]]-Base_Periodo1[[#This Row],[DEBITOS]]</f>
        <v>0</v>
      </c>
      <c r="S5565" s="3" t="str">
        <f>IF(ISERROR(VLOOKUP(Base_Periodo1[[#This Row],[CONTA]],BaseContasDRE[#All],4,FALSE)),"Fora do DRE",VLOOKUP(Base_Periodo1[[#This Row],[CONTA]],BaseContasDRE[#All],4,FALSE))</f>
        <v>Fora do DRE</v>
      </c>
      <c r="T5565" s="3" t="str">
        <f>IF(ISERROR(VLOOKUP(Base_Periodo1[[#This Row],[CONTA]],BaseContasDRE[#All],5,FALSE)),"Fora do DRE",VLOOKUP(Base_Periodo1[[#This Row],[CONTA]],BaseContasDRE[#All],6,FALSE))</f>
        <v>Fora do DRE</v>
      </c>
      <c r="U5565" s="3" t="str">
        <f>IF(ISERROR(VLOOKUP(Base_Periodo1[[#This Row],[CONTA]],BaseContasDRE[#All],7,FALSE)),"Fora do DRE",VLOOKUP(Base_Periodo1[[#This Row],[CONTA]],BaseContasDRE[#All],7,FALSE))</f>
        <v>Fora do DRE</v>
      </c>
      <c r="V5565" s="3" t="str">
        <f>IF(Base_Periodo1[[#This Row],[Tipo_Linha]]="Fora do DRE","Fora do DRE","( "&amp;Base_Periodo1[[#This Row],[Tipo_Linha]]&amp;" ) "&amp;Base_Periodo1[[#This Row],[Filtro]])</f>
        <v>Fora do DRE</v>
      </c>
      <c r="W5565" s="3" t="str">
        <f>LEFT(Base_Periodo1[[#This Row],[CLASS]],3)</f>
        <v>2.4</v>
      </c>
    </row>
    <row r="5566" spans="1:23" hidden="1">
      <c r="A5566" s="3" t="str">
        <f t="shared" si="86"/>
        <v>Período 1</v>
      </c>
      <c r="B5566">
        <v>15963</v>
      </c>
      <c r="C5566" t="s">
        <v>2300</v>
      </c>
      <c r="D5566" t="s">
        <v>3371</v>
      </c>
      <c r="E5566" s="3" t="str">
        <f>IF(LEN(Base_Periodo1[[#This Row],[CLASS]])&gt;=7,LEFT(Base_Periodo1[[#This Row],[CLASS]],7),"")</f>
        <v>2.4.1.1</v>
      </c>
      <c r="F5566" s="3" t="str">
        <f>VLOOKUP(Base_Periodo1[[#This Row],[Aux]],Base_Contas_Balanco[#All],2,FALSE)</f>
        <v>Capital Social Realizado</v>
      </c>
      <c r="G5566" s="1"/>
      <c r="H5566" s="281">
        <v>550.9</v>
      </c>
      <c r="I5566" s="281">
        <v>0</v>
      </c>
      <c r="J5566" s="281">
        <v>0</v>
      </c>
      <c r="K5566" s="281">
        <v>550.9</v>
      </c>
      <c r="L556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550.9</v>
      </c>
      <c r="M5566" s="281">
        <f>ROUND(IF(AND(Base_Periodo1[[#This Row],[Tipo_Linha]]="-",Base_Periodo1[[#This Row],[TIPOSALDO]]="D"),Base_Periodo1[[#This Row],[SALDO_ATUAL]]*-1,Base_Periodo1[[#This Row],[SALDO_ATUAL]]),4)</f>
        <v>550.9</v>
      </c>
      <c r="N5566" t="s">
        <v>116</v>
      </c>
      <c r="O5566" t="s">
        <v>459</v>
      </c>
      <c r="P5566" t="s">
        <v>459</v>
      </c>
      <c r="Q5566">
        <v>6</v>
      </c>
      <c r="R5566" s="281">
        <f>Base_Periodo1[[#This Row],[CREDITOS]]-Base_Periodo1[[#This Row],[DEBITOS]]</f>
        <v>0</v>
      </c>
      <c r="S5566" s="3" t="str">
        <f>IF(ISERROR(VLOOKUP(Base_Periodo1[[#This Row],[CONTA]],BaseContasDRE[#All],4,FALSE)),"Fora do DRE",VLOOKUP(Base_Periodo1[[#This Row],[CONTA]],BaseContasDRE[#All],4,FALSE))</f>
        <v>Fora do DRE</v>
      </c>
      <c r="T5566" s="3" t="str">
        <f>IF(ISERROR(VLOOKUP(Base_Periodo1[[#This Row],[CONTA]],BaseContasDRE[#All],5,FALSE)),"Fora do DRE",VLOOKUP(Base_Periodo1[[#This Row],[CONTA]],BaseContasDRE[#All],6,FALSE))</f>
        <v>Fora do DRE</v>
      </c>
      <c r="U5566" s="3" t="str">
        <f>IF(ISERROR(VLOOKUP(Base_Periodo1[[#This Row],[CONTA]],BaseContasDRE[#All],7,FALSE)),"Fora do DRE",VLOOKUP(Base_Periodo1[[#This Row],[CONTA]],BaseContasDRE[#All],7,FALSE))</f>
        <v>Fora do DRE</v>
      </c>
      <c r="V5566" s="3" t="str">
        <f>IF(Base_Periodo1[[#This Row],[Tipo_Linha]]="Fora do DRE","Fora do DRE","( "&amp;Base_Periodo1[[#This Row],[Tipo_Linha]]&amp;" ) "&amp;Base_Periodo1[[#This Row],[Filtro]])</f>
        <v>Fora do DRE</v>
      </c>
      <c r="W5566" s="3" t="str">
        <f>LEFT(Base_Periodo1[[#This Row],[CLASS]],3)</f>
        <v>2.4</v>
      </c>
    </row>
    <row r="5567" spans="1:23" hidden="1">
      <c r="A5567" s="3" t="str">
        <f t="shared" si="86"/>
        <v>Período 1</v>
      </c>
      <c r="B5567">
        <v>19781</v>
      </c>
      <c r="C5567" t="s">
        <v>2300</v>
      </c>
      <c r="D5567" t="s">
        <v>3372</v>
      </c>
      <c r="E5567" s="3" t="str">
        <f>IF(LEN(Base_Periodo1[[#This Row],[CLASS]])&gt;=7,LEFT(Base_Periodo1[[#This Row],[CLASS]],7),"")</f>
        <v>2.4.1.1</v>
      </c>
      <c r="F5567" s="3" t="str">
        <f>VLOOKUP(Base_Periodo1[[#This Row],[Aux]],Base_Contas_Balanco[#All],2,FALSE)</f>
        <v>Capital Social Realizado</v>
      </c>
      <c r="G5567" s="1"/>
      <c r="H5567" s="281">
        <v>287.75</v>
      </c>
      <c r="I5567" s="281">
        <v>0</v>
      </c>
      <c r="J5567" s="281">
        <v>0</v>
      </c>
      <c r="K5567" s="281">
        <v>287.75</v>
      </c>
      <c r="L556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287.75</v>
      </c>
      <c r="M5567" s="281">
        <f>ROUND(IF(AND(Base_Periodo1[[#This Row],[Tipo_Linha]]="-",Base_Periodo1[[#This Row],[TIPOSALDO]]="D"),Base_Periodo1[[#This Row],[SALDO_ATUAL]]*-1,Base_Periodo1[[#This Row],[SALDO_ATUAL]]),4)</f>
        <v>287.75</v>
      </c>
      <c r="N5567" t="s">
        <v>116</v>
      </c>
      <c r="O5567" t="s">
        <v>459</v>
      </c>
      <c r="P5567" t="s">
        <v>459</v>
      </c>
      <c r="Q5567">
        <v>6</v>
      </c>
      <c r="R5567" s="281">
        <f>Base_Periodo1[[#This Row],[CREDITOS]]-Base_Periodo1[[#This Row],[DEBITOS]]</f>
        <v>0</v>
      </c>
      <c r="S5567" s="3" t="str">
        <f>IF(ISERROR(VLOOKUP(Base_Periodo1[[#This Row],[CONTA]],BaseContasDRE[#All],4,FALSE)),"Fora do DRE",VLOOKUP(Base_Periodo1[[#This Row],[CONTA]],BaseContasDRE[#All],4,FALSE))</f>
        <v>Fora do DRE</v>
      </c>
      <c r="T5567" s="3" t="str">
        <f>IF(ISERROR(VLOOKUP(Base_Periodo1[[#This Row],[CONTA]],BaseContasDRE[#All],5,FALSE)),"Fora do DRE",VLOOKUP(Base_Periodo1[[#This Row],[CONTA]],BaseContasDRE[#All],6,FALSE))</f>
        <v>Fora do DRE</v>
      </c>
      <c r="U5567" s="3" t="str">
        <f>IF(ISERROR(VLOOKUP(Base_Periodo1[[#This Row],[CONTA]],BaseContasDRE[#All],7,FALSE)),"Fora do DRE",VLOOKUP(Base_Periodo1[[#This Row],[CONTA]],BaseContasDRE[#All],7,FALSE))</f>
        <v>Fora do DRE</v>
      </c>
      <c r="V5567" s="3" t="str">
        <f>IF(Base_Periodo1[[#This Row],[Tipo_Linha]]="Fora do DRE","Fora do DRE","( "&amp;Base_Periodo1[[#This Row],[Tipo_Linha]]&amp;" ) "&amp;Base_Periodo1[[#This Row],[Filtro]])</f>
        <v>Fora do DRE</v>
      </c>
      <c r="W5567" s="3" t="str">
        <f>LEFT(Base_Periodo1[[#This Row],[CLASS]],3)</f>
        <v>2.4</v>
      </c>
    </row>
    <row r="5568" spans="1:23" hidden="1">
      <c r="A5568" s="3" t="str">
        <f t="shared" si="86"/>
        <v>Período 1</v>
      </c>
      <c r="B5568">
        <v>40600</v>
      </c>
      <c r="C5568" t="s">
        <v>2300</v>
      </c>
      <c r="D5568" t="s">
        <v>3373</v>
      </c>
      <c r="E5568" s="3" t="str">
        <f>IF(LEN(Base_Periodo1[[#This Row],[CLASS]])&gt;=7,LEFT(Base_Periodo1[[#This Row],[CLASS]],7),"")</f>
        <v>2.4.1.1</v>
      </c>
      <c r="F5568" s="3" t="str">
        <f>VLOOKUP(Base_Periodo1[[#This Row],[Aux]],Base_Contas_Balanco[#All],2,FALSE)</f>
        <v>Capital Social Realizado</v>
      </c>
      <c r="G5568" s="1"/>
      <c r="H5568" s="281">
        <v>92.210000000000008</v>
      </c>
      <c r="I5568" s="281">
        <v>0</v>
      </c>
      <c r="J5568" s="281">
        <v>0</v>
      </c>
      <c r="K5568" s="281">
        <v>92.210000000000008</v>
      </c>
      <c r="L556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92.21</v>
      </c>
      <c r="M5568" s="281">
        <f>ROUND(IF(AND(Base_Periodo1[[#This Row],[Tipo_Linha]]="-",Base_Periodo1[[#This Row],[TIPOSALDO]]="D"),Base_Periodo1[[#This Row],[SALDO_ATUAL]]*-1,Base_Periodo1[[#This Row],[SALDO_ATUAL]]),4)</f>
        <v>92.21</v>
      </c>
      <c r="N5568" t="s">
        <v>116</v>
      </c>
      <c r="O5568" t="s">
        <v>459</v>
      </c>
      <c r="P5568" t="s">
        <v>459</v>
      </c>
      <c r="Q5568">
        <v>6</v>
      </c>
      <c r="R5568" s="281">
        <f>Base_Periodo1[[#This Row],[CREDITOS]]-Base_Periodo1[[#This Row],[DEBITOS]]</f>
        <v>0</v>
      </c>
      <c r="S5568" s="3" t="str">
        <f>IF(ISERROR(VLOOKUP(Base_Periodo1[[#This Row],[CONTA]],BaseContasDRE[#All],4,FALSE)),"Fora do DRE",VLOOKUP(Base_Periodo1[[#This Row],[CONTA]],BaseContasDRE[#All],4,FALSE))</f>
        <v>Fora do DRE</v>
      </c>
      <c r="T5568" s="3" t="str">
        <f>IF(ISERROR(VLOOKUP(Base_Periodo1[[#This Row],[CONTA]],BaseContasDRE[#All],5,FALSE)),"Fora do DRE",VLOOKUP(Base_Periodo1[[#This Row],[CONTA]],BaseContasDRE[#All],6,FALSE))</f>
        <v>Fora do DRE</v>
      </c>
      <c r="U5568" s="3" t="str">
        <f>IF(ISERROR(VLOOKUP(Base_Periodo1[[#This Row],[CONTA]],BaseContasDRE[#All],7,FALSE)),"Fora do DRE",VLOOKUP(Base_Periodo1[[#This Row],[CONTA]],BaseContasDRE[#All],7,FALSE))</f>
        <v>Fora do DRE</v>
      </c>
      <c r="V5568" s="3" t="str">
        <f>IF(Base_Periodo1[[#This Row],[Tipo_Linha]]="Fora do DRE","Fora do DRE","( "&amp;Base_Periodo1[[#This Row],[Tipo_Linha]]&amp;" ) "&amp;Base_Periodo1[[#This Row],[Filtro]])</f>
        <v>Fora do DRE</v>
      </c>
      <c r="W5568" s="3" t="str">
        <f>LEFT(Base_Periodo1[[#This Row],[CLASS]],3)</f>
        <v>2.4</v>
      </c>
    </row>
    <row r="5569" spans="1:23" hidden="1">
      <c r="A5569" s="3" t="str">
        <f t="shared" si="86"/>
        <v>Período 1</v>
      </c>
      <c r="B5569">
        <v>37123</v>
      </c>
      <c r="C5569" t="s">
        <v>2300</v>
      </c>
      <c r="D5569" t="s">
        <v>3374</v>
      </c>
      <c r="E5569" s="3" t="str">
        <f>IF(LEN(Base_Periodo1[[#This Row],[CLASS]])&gt;=7,LEFT(Base_Periodo1[[#This Row],[CLASS]],7),"")</f>
        <v>2.4.1.1</v>
      </c>
      <c r="F5569" s="3" t="str">
        <f>VLOOKUP(Base_Periodo1[[#This Row],[Aux]],Base_Contas_Balanco[#All],2,FALSE)</f>
        <v>Capital Social Realizado</v>
      </c>
      <c r="G5569" s="1"/>
      <c r="H5569" s="281">
        <v>146.6</v>
      </c>
      <c r="I5569" s="281">
        <v>0</v>
      </c>
      <c r="J5569" s="281">
        <v>0</v>
      </c>
      <c r="K5569" s="281">
        <v>146.6</v>
      </c>
      <c r="L556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146.6</v>
      </c>
      <c r="M5569" s="281">
        <f>ROUND(IF(AND(Base_Periodo1[[#This Row],[Tipo_Linha]]="-",Base_Periodo1[[#This Row],[TIPOSALDO]]="D"),Base_Periodo1[[#This Row],[SALDO_ATUAL]]*-1,Base_Periodo1[[#This Row],[SALDO_ATUAL]]),4)</f>
        <v>146.6</v>
      </c>
      <c r="N5569" t="s">
        <v>116</v>
      </c>
      <c r="O5569" t="s">
        <v>459</v>
      </c>
      <c r="P5569" t="s">
        <v>459</v>
      </c>
      <c r="Q5569">
        <v>6</v>
      </c>
      <c r="R5569" s="281">
        <f>Base_Periodo1[[#This Row],[CREDITOS]]-Base_Periodo1[[#This Row],[DEBITOS]]</f>
        <v>0</v>
      </c>
      <c r="S5569" s="3" t="str">
        <f>IF(ISERROR(VLOOKUP(Base_Periodo1[[#This Row],[CONTA]],BaseContasDRE[#All],4,FALSE)),"Fora do DRE",VLOOKUP(Base_Periodo1[[#This Row],[CONTA]],BaseContasDRE[#All],4,FALSE))</f>
        <v>Fora do DRE</v>
      </c>
      <c r="T5569" s="3" t="str">
        <f>IF(ISERROR(VLOOKUP(Base_Periodo1[[#This Row],[CONTA]],BaseContasDRE[#All],5,FALSE)),"Fora do DRE",VLOOKUP(Base_Periodo1[[#This Row],[CONTA]],BaseContasDRE[#All],6,FALSE))</f>
        <v>Fora do DRE</v>
      </c>
      <c r="U5569" s="3" t="str">
        <f>IF(ISERROR(VLOOKUP(Base_Periodo1[[#This Row],[CONTA]],BaseContasDRE[#All],7,FALSE)),"Fora do DRE",VLOOKUP(Base_Periodo1[[#This Row],[CONTA]],BaseContasDRE[#All],7,FALSE))</f>
        <v>Fora do DRE</v>
      </c>
      <c r="V5569" s="3" t="str">
        <f>IF(Base_Periodo1[[#This Row],[Tipo_Linha]]="Fora do DRE","Fora do DRE","( "&amp;Base_Periodo1[[#This Row],[Tipo_Linha]]&amp;" ) "&amp;Base_Periodo1[[#This Row],[Filtro]])</f>
        <v>Fora do DRE</v>
      </c>
      <c r="W5569" s="3" t="str">
        <f>LEFT(Base_Periodo1[[#This Row],[CLASS]],3)</f>
        <v>2.4</v>
      </c>
    </row>
    <row r="5570" spans="1:23" hidden="1">
      <c r="A5570" s="3" t="str">
        <f t="shared" si="86"/>
        <v>Período 1</v>
      </c>
      <c r="B5570">
        <v>19391</v>
      </c>
      <c r="C5570" t="s">
        <v>2300</v>
      </c>
      <c r="D5570" t="s">
        <v>3375</v>
      </c>
      <c r="E5570" s="3" t="str">
        <f>IF(LEN(Base_Periodo1[[#This Row],[CLASS]])&gt;=7,LEFT(Base_Periodo1[[#This Row],[CLASS]],7),"")</f>
        <v>2.4.1.1</v>
      </c>
      <c r="F5570" s="3" t="str">
        <f>VLOOKUP(Base_Periodo1[[#This Row],[Aux]],Base_Contas_Balanco[#All],2,FALSE)</f>
        <v>Capital Social Realizado</v>
      </c>
      <c r="G5570" s="1"/>
      <c r="H5570" s="281">
        <v>172.45</v>
      </c>
      <c r="I5570" s="281">
        <v>0</v>
      </c>
      <c r="J5570" s="281">
        <v>0</v>
      </c>
      <c r="K5570" s="281">
        <v>172.45</v>
      </c>
      <c r="L557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172.45</v>
      </c>
      <c r="M5570" s="281">
        <f>ROUND(IF(AND(Base_Periodo1[[#This Row],[Tipo_Linha]]="-",Base_Periodo1[[#This Row],[TIPOSALDO]]="D"),Base_Periodo1[[#This Row],[SALDO_ATUAL]]*-1,Base_Periodo1[[#This Row],[SALDO_ATUAL]]),4)</f>
        <v>172.45</v>
      </c>
      <c r="N5570" t="s">
        <v>116</v>
      </c>
      <c r="O5570" t="s">
        <v>459</v>
      </c>
      <c r="P5570" t="s">
        <v>459</v>
      </c>
      <c r="Q5570">
        <v>6</v>
      </c>
      <c r="R5570" s="281">
        <f>Base_Periodo1[[#This Row],[CREDITOS]]-Base_Periodo1[[#This Row],[DEBITOS]]</f>
        <v>0</v>
      </c>
      <c r="S5570" s="3" t="str">
        <f>IF(ISERROR(VLOOKUP(Base_Periodo1[[#This Row],[CONTA]],BaseContasDRE[#All],4,FALSE)),"Fora do DRE",VLOOKUP(Base_Periodo1[[#This Row],[CONTA]],BaseContasDRE[#All],4,FALSE))</f>
        <v>Fora do DRE</v>
      </c>
      <c r="T5570" s="3" t="str">
        <f>IF(ISERROR(VLOOKUP(Base_Periodo1[[#This Row],[CONTA]],BaseContasDRE[#All],5,FALSE)),"Fora do DRE",VLOOKUP(Base_Periodo1[[#This Row],[CONTA]],BaseContasDRE[#All],6,FALSE))</f>
        <v>Fora do DRE</v>
      </c>
      <c r="U5570" s="3" t="str">
        <f>IF(ISERROR(VLOOKUP(Base_Periodo1[[#This Row],[CONTA]],BaseContasDRE[#All],7,FALSE)),"Fora do DRE",VLOOKUP(Base_Periodo1[[#This Row],[CONTA]],BaseContasDRE[#All],7,FALSE))</f>
        <v>Fora do DRE</v>
      </c>
      <c r="V5570" s="3" t="str">
        <f>IF(Base_Periodo1[[#This Row],[Tipo_Linha]]="Fora do DRE","Fora do DRE","( "&amp;Base_Periodo1[[#This Row],[Tipo_Linha]]&amp;" ) "&amp;Base_Periodo1[[#This Row],[Filtro]])</f>
        <v>Fora do DRE</v>
      </c>
      <c r="W5570" s="3" t="str">
        <f>LEFT(Base_Periodo1[[#This Row],[CLASS]],3)</f>
        <v>2.4</v>
      </c>
    </row>
    <row r="5571" spans="1:23" hidden="1">
      <c r="A5571" s="3" t="str">
        <f t="shared" si="86"/>
        <v>Período 1</v>
      </c>
      <c r="B5571">
        <v>16291</v>
      </c>
      <c r="C5571" t="s">
        <v>2300</v>
      </c>
      <c r="D5571" t="s">
        <v>3376</v>
      </c>
      <c r="E5571" s="3" t="str">
        <f>IF(LEN(Base_Periodo1[[#This Row],[CLASS]])&gt;=7,LEFT(Base_Periodo1[[#This Row],[CLASS]],7),"")</f>
        <v>2.4.1.1</v>
      </c>
      <c r="F5571" s="3" t="str">
        <f>VLOOKUP(Base_Periodo1[[#This Row],[Aux]],Base_Contas_Balanco[#All],2,FALSE)</f>
        <v>Capital Social Realizado</v>
      </c>
      <c r="G5571" s="1"/>
      <c r="H5571" s="281">
        <v>485.96000000000004</v>
      </c>
      <c r="I5571" s="281">
        <v>0</v>
      </c>
      <c r="J5571" s="281">
        <v>0</v>
      </c>
      <c r="K5571" s="281">
        <v>485.96000000000004</v>
      </c>
      <c r="L557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485.96</v>
      </c>
      <c r="M5571" s="281">
        <f>ROUND(IF(AND(Base_Periodo1[[#This Row],[Tipo_Linha]]="-",Base_Periodo1[[#This Row],[TIPOSALDO]]="D"),Base_Periodo1[[#This Row],[SALDO_ATUAL]]*-1,Base_Periodo1[[#This Row],[SALDO_ATUAL]]),4)</f>
        <v>485.96</v>
      </c>
      <c r="N5571" t="s">
        <v>116</v>
      </c>
      <c r="O5571" t="s">
        <v>459</v>
      </c>
      <c r="P5571" t="s">
        <v>459</v>
      </c>
      <c r="Q5571">
        <v>6</v>
      </c>
      <c r="R5571" s="281">
        <f>Base_Periodo1[[#This Row],[CREDITOS]]-Base_Periodo1[[#This Row],[DEBITOS]]</f>
        <v>0</v>
      </c>
      <c r="S5571" s="3" t="str">
        <f>IF(ISERROR(VLOOKUP(Base_Periodo1[[#This Row],[CONTA]],BaseContasDRE[#All],4,FALSE)),"Fora do DRE",VLOOKUP(Base_Periodo1[[#This Row],[CONTA]],BaseContasDRE[#All],4,FALSE))</f>
        <v>Fora do DRE</v>
      </c>
      <c r="T5571" s="3" t="str">
        <f>IF(ISERROR(VLOOKUP(Base_Periodo1[[#This Row],[CONTA]],BaseContasDRE[#All],5,FALSE)),"Fora do DRE",VLOOKUP(Base_Periodo1[[#This Row],[CONTA]],BaseContasDRE[#All],6,FALSE))</f>
        <v>Fora do DRE</v>
      </c>
      <c r="U5571" s="3" t="str">
        <f>IF(ISERROR(VLOOKUP(Base_Periodo1[[#This Row],[CONTA]],BaseContasDRE[#All],7,FALSE)),"Fora do DRE",VLOOKUP(Base_Periodo1[[#This Row],[CONTA]],BaseContasDRE[#All],7,FALSE))</f>
        <v>Fora do DRE</v>
      </c>
      <c r="V5571" s="3" t="str">
        <f>IF(Base_Periodo1[[#This Row],[Tipo_Linha]]="Fora do DRE","Fora do DRE","( "&amp;Base_Periodo1[[#This Row],[Tipo_Linha]]&amp;" ) "&amp;Base_Periodo1[[#This Row],[Filtro]])</f>
        <v>Fora do DRE</v>
      </c>
      <c r="W5571" s="3" t="str">
        <f>LEFT(Base_Periodo1[[#This Row],[CLASS]],3)</f>
        <v>2.4</v>
      </c>
    </row>
    <row r="5572" spans="1:23" hidden="1">
      <c r="A5572" s="3" t="str">
        <f t="shared" si="86"/>
        <v>Período 1</v>
      </c>
      <c r="B5572">
        <v>19392</v>
      </c>
      <c r="C5572" t="s">
        <v>2300</v>
      </c>
      <c r="D5572" t="s">
        <v>3377</v>
      </c>
      <c r="E5572" s="3" t="str">
        <f>IF(LEN(Base_Periodo1[[#This Row],[CLASS]])&gt;=7,LEFT(Base_Periodo1[[#This Row],[CLASS]],7),"")</f>
        <v>2.4.1.1</v>
      </c>
      <c r="F5572" s="3" t="str">
        <f>VLOOKUP(Base_Periodo1[[#This Row],[Aux]],Base_Contas_Balanco[#All],2,FALSE)</f>
        <v>Capital Social Realizado</v>
      </c>
      <c r="G5572" s="1"/>
      <c r="H5572" s="281">
        <v>1570.6100000000001</v>
      </c>
      <c r="I5572" s="281">
        <v>0</v>
      </c>
      <c r="J5572" s="281">
        <v>0</v>
      </c>
      <c r="K5572" s="281">
        <v>1570.6100000000001</v>
      </c>
      <c r="L557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1570.61</v>
      </c>
      <c r="M5572" s="281">
        <f>ROUND(IF(AND(Base_Periodo1[[#This Row],[Tipo_Linha]]="-",Base_Periodo1[[#This Row],[TIPOSALDO]]="D"),Base_Periodo1[[#This Row],[SALDO_ATUAL]]*-1,Base_Periodo1[[#This Row],[SALDO_ATUAL]]),4)</f>
        <v>1570.61</v>
      </c>
      <c r="N5572" t="s">
        <v>116</v>
      </c>
      <c r="O5572" t="s">
        <v>459</v>
      </c>
      <c r="P5572" t="s">
        <v>459</v>
      </c>
      <c r="Q5572">
        <v>6</v>
      </c>
      <c r="R5572" s="281">
        <f>Base_Periodo1[[#This Row],[CREDITOS]]-Base_Periodo1[[#This Row],[DEBITOS]]</f>
        <v>0</v>
      </c>
      <c r="S5572" s="3" t="str">
        <f>IF(ISERROR(VLOOKUP(Base_Periodo1[[#This Row],[CONTA]],BaseContasDRE[#All],4,FALSE)),"Fora do DRE",VLOOKUP(Base_Periodo1[[#This Row],[CONTA]],BaseContasDRE[#All],4,FALSE))</f>
        <v>Fora do DRE</v>
      </c>
      <c r="T5572" s="3" t="str">
        <f>IF(ISERROR(VLOOKUP(Base_Periodo1[[#This Row],[CONTA]],BaseContasDRE[#All],5,FALSE)),"Fora do DRE",VLOOKUP(Base_Periodo1[[#This Row],[CONTA]],BaseContasDRE[#All],6,FALSE))</f>
        <v>Fora do DRE</v>
      </c>
      <c r="U5572" s="3" t="str">
        <f>IF(ISERROR(VLOOKUP(Base_Periodo1[[#This Row],[CONTA]],BaseContasDRE[#All],7,FALSE)),"Fora do DRE",VLOOKUP(Base_Periodo1[[#This Row],[CONTA]],BaseContasDRE[#All],7,FALSE))</f>
        <v>Fora do DRE</v>
      </c>
      <c r="V5572" s="3" t="str">
        <f>IF(Base_Periodo1[[#This Row],[Tipo_Linha]]="Fora do DRE","Fora do DRE","( "&amp;Base_Periodo1[[#This Row],[Tipo_Linha]]&amp;" ) "&amp;Base_Periodo1[[#This Row],[Filtro]])</f>
        <v>Fora do DRE</v>
      </c>
      <c r="W5572" s="3" t="str">
        <f>LEFT(Base_Periodo1[[#This Row],[CLASS]],3)</f>
        <v>2.4</v>
      </c>
    </row>
    <row r="5573" spans="1:23" hidden="1">
      <c r="A5573" s="3" t="str">
        <f t="shared" si="86"/>
        <v>Período 1</v>
      </c>
      <c r="B5573">
        <v>16257</v>
      </c>
      <c r="C5573" t="s">
        <v>2300</v>
      </c>
      <c r="D5573" t="s">
        <v>3378</v>
      </c>
      <c r="E5573" s="3" t="str">
        <f>IF(LEN(Base_Periodo1[[#This Row],[CLASS]])&gt;=7,LEFT(Base_Periodo1[[#This Row],[CLASS]],7),"")</f>
        <v>2.4.1.1</v>
      </c>
      <c r="F5573" s="3" t="str">
        <f>VLOOKUP(Base_Periodo1[[#This Row],[Aux]],Base_Contas_Balanco[#All],2,FALSE)</f>
        <v>Capital Social Realizado</v>
      </c>
      <c r="G5573" s="1"/>
      <c r="H5573" s="281">
        <v>11266.34</v>
      </c>
      <c r="I5573" s="281">
        <v>0</v>
      </c>
      <c r="J5573" s="281">
        <v>0</v>
      </c>
      <c r="K5573" s="281">
        <v>11266.34</v>
      </c>
      <c r="L557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11266.34</v>
      </c>
      <c r="M5573" s="281">
        <f>ROUND(IF(AND(Base_Periodo1[[#This Row],[Tipo_Linha]]="-",Base_Periodo1[[#This Row],[TIPOSALDO]]="D"),Base_Periodo1[[#This Row],[SALDO_ATUAL]]*-1,Base_Periodo1[[#This Row],[SALDO_ATUAL]]),4)</f>
        <v>11266.34</v>
      </c>
      <c r="N5573" t="s">
        <v>116</v>
      </c>
      <c r="O5573" t="s">
        <v>459</v>
      </c>
      <c r="P5573" t="s">
        <v>459</v>
      </c>
      <c r="Q5573">
        <v>6</v>
      </c>
      <c r="R5573" s="281">
        <f>Base_Periodo1[[#This Row],[CREDITOS]]-Base_Periodo1[[#This Row],[DEBITOS]]</f>
        <v>0</v>
      </c>
      <c r="S5573" s="3" t="str">
        <f>IF(ISERROR(VLOOKUP(Base_Periodo1[[#This Row],[CONTA]],BaseContasDRE[#All],4,FALSE)),"Fora do DRE",VLOOKUP(Base_Periodo1[[#This Row],[CONTA]],BaseContasDRE[#All],4,FALSE))</f>
        <v>Fora do DRE</v>
      </c>
      <c r="T5573" s="3" t="str">
        <f>IF(ISERROR(VLOOKUP(Base_Periodo1[[#This Row],[CONTA]],BaseContasDRE[#All],5,FALSE)),"Fora do DRE",VLOOKUP(Base_Periodo1[[#This Row],[CONTA]],BaseContasDRE[#All],6,FALSE))</f>
        <v>Fora do DRE</v>
      </c>
      <c r="U5573" s="3" t="str">
        <f>IF(ISERROR(VLOOKUP(Base_Periodo1[[#This Row],[CONTA]],BaseContasDRE[#All],7,FALSE)),"Fora do DRE",VLOOKUP(Base_Periodo1[[#This Row],[CONTA]],BaseContasDRE[#All],7,FALSE))</f>
        <v>Fora do DRE</v>
      </c>
      <c r="V5573" s="3" t="str">
        <f>IF(Base_Periodo1[[#This Row],[Tipo_Linha]]="Fora do DRE","Fora do DRE","( "&amp;Base_Periodo1[[#This Row],[Tipo_Linha]]&amp;" ) "&amp;Base_Periodo1[[#This Row],[Filtro]])</f>
        <v>Fora do DRE</v>
      </c>
      <c r="W5573" s="3" t="str">
        <f>LEFT(Base_Periodo1[[#This Row],[CLASS]],3)</f>
        <v>2.4</v>
      </c>
    </row>
    <row r="5574" spans="1:23" hidden="1">
      <c r="A5574" s="3" t="str">
        <f t="shared" ref="A5574:A5637" si="87">"Período 1"</f>
        <v>Período 1</v>
      </c>
      <c r="B5574">
        <v>19735</v>
      </c>
      <c r="C5574" t="s">
        <v>2300</v>
      </c>
      <c r="D5574" t="s">
        <v>3379</v>
      </c>
      <c r="E5574" s="3" t="str">
        <f>IF(LEN(Base_Periodo1[[#This Row],[CLASS]])&gt;=7,LEFT(Base_Periodo1[[#This Row],[CLASS]],7),"")</f>
        <v>2.4.1.1</v>
      </c>
      <c r="F5574" s="3" t="str">
        <f>VLOOKUP(Base_Periodo1[[#This Row],[Aux]],Base_Contas_Balanco[#All],2,FALSE)</f>
        <v>Capital Social Realizado</v>
      </c>
      <c r="G5574" s="1"/>
      <c r="H5574" s="281">
        <v>50</v>
      </c>
      <c r="I5574" s="281">
        <v>0</v>
      </c>
      <c r="J5574" s="281">
        <v>0</v>
      </c>
      <c r="K5574" s="281">
        <v>50</v>
      </c>
      <c r="L557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574" s="281">
        <f>ROUND(IF(AND(Base_Periodo1[[#This Row],[Tipo_Linha]]="-",Base_Periodo1[[#This Row],[TIPOSALDO]]="D"),Base_Periodo1[[#This Row],[SALDO_ATUAL]]*-1,Base_Periodo1[[#This Row],[SALDO_ATUAL]]),4)</f>
        <v>50</v>
      </c>
      <c r="N5574" t="s">
        <v>116</v>
      </c>
      <c r="O5574" t="s">
        <v>459</v>
      </c>
      <c r="P5574" t="s">
        <v>459</v>
      </c>
      <c r="Q5574">
        <v>6</v>
      </c>
      <c r="R5574" s="281">
        <f>Base_Periodo1[[#This Row],[CREDITOS]]-Base_Periodo1[[#This Row],[DEBITOS]]</f>
        <v>0</v>
      </c>
      <c r="S5574" s="3" t="str">
        <f>IF(ISERROR(VLOOKUP(Base_Periodo1[[#This Row],[CONTA]],BaseContasDRE[#All],4,FALSE)),"Fora do DRE",VLOOKUP(Base_Periodo1[[#This Row],[CONTA]],BaseContasDRE[#All],4,FALSE))</f>
        <v>Fora do DRE</v>
      </c>
      <c r="T5574" s="3" t="str">
        <f>IF(ISERROR(VLOOKUP(Base_Periodo1[[#This Row],[CONTA]],BaseContasDRE[#All],5,FALSE)),"Fora do DRE",VLOOKUP(Base_Periodo1[[#This Row],[CONTA]],BaseContasDRE[#All],6,FALSE))</f>
        <v>Fora do DRE</v>
      </c>
      <c r="U5574" s="3" t="str">
        <f>IF(ISERROR(VLOOKUP(Base_Periodo1[[#This Row],[CONTA]],BaseContasDRE[#All],7,FALSE)),"Fora do DRE",VLOOKUP(Base_Periodo1[[#This Row],[CONTA]],BaseContasDRE[#All],7,FALSE))</f>
        <v>Fora do DRE</v>
      </c>
      <c r="V5574" s="3" t="str">
        <f>IF(Base_Periodo1[[#This Row],[Tipo_Linha]]="Fora do DRE","Fora do DRE","( "&amp;Base_Periodo1[[#This Row],[Tipo_Linha]]&amp;" ) "&amp;Base_Periodo1[[#This Row],[Filtro]])</f>
        <v>Fora do DRE</v>
      </c>
      <c r="W5574" s="3" t="str">
        <f>LEFT(Base_Periodo1[[#This Row],[CLASS]],3)</f>
        <v>2.4</v>
      </c>
    </row>
    <row r="5575" spans="1:23" hidden="1">
      <c r="A5575" s="3" t="str">
        <f t="shared" si="87"/>
        <v>Período 1</v>
      </c>
      <c r="B5575">
        <v>25502</v>
      </c>
      <c r="C5575" t="s">
        <v>2300</v>
      </c>
      <c r="D5575" t="s">
        <v>3380</v>
      </c>
      <c r="E5575" s="3" t="str">
        <f>IF(LEN(Base_Periodo1[[#This Row],[CLASS]])&gt;=7,LEFT(Base_Periodo1[[#This Row],[CLASS]],7),"")</f>
        <v>2.4.1.1</v>
      </c>
      <c r="F5575" s="3" t="str">
        <f>VLOOKUP(Base_Periodo1[[#This Row],[Aux]],Base_Contas_Balanco[#All],2,FALSE)</f>
        <v>Capital Social Realizado</v>
      </c>
      <c r="G5575" s="1"/>
      <c r="H5575" s="281">
        <v>291.01</v>
      </c>
      <c r="I5575" s="281">
        <v>0</v>
      </c>
      <c r="J5575" s="281">
        <v>0</v>
      </c>
      <c r="K5575" s="281">
        <v>291.01</v>
      </c>
      <c r="L557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291.01</v>
      </c>
      <c r="M5575" s="281">
        <f>ROUND(IF(AND(Base_Periodo1[[#This Row],[Tipo_Linha]]="-",Base_Periodo1[[#This Row],[TIPOSALDO]]="D"),Base_Periodo1[[#This Row],[SALDO_ATUAL]]*-1,Base_Periodo1[[#This Row],[SALDO_ATUAL]]),4)</f>
        <v>291.01</v>
      </c>
      <c r="N5575" t="s">
        <v>116</v>
      </c>
      <c r="O5575" t="s">
        <v>459</v>
      </c>
      <c r="P5575" t="s">
        <v>459</v>
      </c>
      <c r="Q5575">
        <v>6</v>
      </c>
      <c r="R5575" s="281">
        <f>Base_Periodo1[[#This Row],[CREDITOS]]-Base_Periodo1[[#This Row],[DEBITOS]]</f>
        <v>0</v>
      </c>
      <c r="S5575" s="3" t="str">
        <f>IF(ISERROR(VLOOKUP(Base_Periodo1[[#This Row],[CONTA]],BaseContasDRE[#All],4,FALSE)),"Fora do DRE",VLOOKUP(Base_Periodo1[[#This Row],[CONTA]],BaseContasDRE[#All],4,FALSE))</f>
        <v>Fora do DRE</v>
      </c>
      <c r="T5575" s="3" t="str">
        <f>IF(ISERROR(VLOOKUP(Base_Periodo1[[#This Row],[CONTA]],BaseContasDRE[#All],5,FALSE)),"Fora do DRE",VLOOKUP(Base_Periodo1[[#This Row],[CONTA]],BaseContasDRE[#All],6,FALSE))</f>
        <v>Fora do DRE</v>
      </c>
      <c r="U5575" s="3" t="str">
        <f>IF(ISERROR(VLOOKUP(Base_Periodo1[[#This Row],[CONTA]],BaseContasDRE[#All],7,FALSE)),"Fora do DRE",VLOOKUP(Base_Periodo1[[#This Row],[CONTA]],BaseContasDRE[#All],7,FALSE))</f>
        <v>Fora do DRE</v>
      </c>
      <c r="V5575" s="3" t="str">
        <f>IF(Base_Periodo1[[#This Row],[Tipo_Linha]]="Fora do DRE","Fora do DRE","( "&amp;Base_Periodo1[[#This Row],[Tipo_Linha]]&amp;" ) "&amp;Base_Periodo1[[#This Row],[Filtro]])</f>
        <v>Fora do DRE</v>
      </c>
      <c r="W5575" s="3" t="str">
        <f>LEFT(Base_Periodo1[[#This Row],[CLASS]],3)</f>
        <v>2.4</v>
      </c>
    </row>
    <row r="5576" spans="1:23" hidden="1">
      <c r="A5576" s="3" t="str">
        <f t="shared" si="87"/>
        <v>Período 1</v>
      </c>
      <c r="B5576">
        <v>16303</v>
      </c>
      <c r="C5576" t="s">
        <v>2300</v>
      </c>
      <c r="D5576" t="s">
        <v>3381</v>
      </c>
      <c r="E5576" s="3" t="str">
        <f>IF(LEN(Base_Periodo1[[#This Row],[CLASS]])&gt;=7,LEFT(Base_Periodo1[[#This Row],[CLASS]],7),"")</f>
        <v>2.4.1.1</v>
      </c>
      <c r="F5576" s="3" t="str">
        <f>VLOOKUP(Base_Periodo1[[#This Row],[Aux]],Base_Contas_Balanco[#All],2,FALSE)</f>
        <v>Capital Social Realizado</v>
      </c>
      <c r="G5576" s="1"/>
      <c r="H5576" s="281">
        <v>3478.5499999999997</v>
      </c>
      <c r="I5576" s="281">
        <v>0</v>
      </c>
      <c r="J5576" s="281">
        <v>0</v>
      </c>
      <c r="K5576" s="281">
        <v>3478.5499999999997</v>
      </c>
      <c r="L557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3478.55</v>
      </c>
      <c r="M5576" s="281">
        <f>ROUND(IF(AND(Base_Periodo1[[#This Row],[Tipo_Linha]]="-",Base_Periodo1[[#This Row],[TIPOSALDO]]="D"),Base_Periodo1[[#This Row],[SALDO_ATUAL]]*-1,Base_Periodo1[[#This Row],[SALDO_ATUAL]]),4)</f>
        <v>3478.55</v>
      </c>
      <c r="N5576" t="s">
        <v>116</v>
      </c>
      <c r="O5576" t="s">
        <v>459</v>
      </c>
      <c r="P5576" t="s">
        <v>459</v>
      </c>
      <c r="Q5576">
        <v>6</v>
      </c>
      <c r="R5576" s="281">
        <f>Base_Periodo1[[#This Row],[CREDITOS]]-Base_Periodo1[[#This Row],[DEBITOS]]</f>
        <v>0</v>
      </c>
      <c r="S5576" s="3" t="str">
        <f>IF(ISERROR(VLOOKUP(Base_Periodo1[[#This Row],[CONTA]],BaseContasDRE[#All],4,FALSE)),"Fora do DRE",VLOOKUP(Base_Periodo1[[#This Row],[CONTA]],BaseContasDRE[#All],4,FALSE))</f>
        <v>Fora do DRE</v>
      </c>
      <c r="T5576" s="3" t="str">
        <f>IF(ISERROR(VLOOKUP(Base_Periodo1[[#This Row],[CONTA]],BaseContasDRE[#All],5,FALSE)),"Fora do DRE",VLOOKUP(Base_Periodo1[[#This Row],[CONTA]],BaseContasDRE[#All],6,FALSE))</f>
        <v>Fora do DRE</v>
      </c>
      <c r="U5576" s="3" t="str">
        <f>IF(ISERROR(VLOOKUP(Base_Periodo1[[#This Row],[CONTA]],BaseContasDRE[#All],7,FALSE)),"Fora do DRE",VLOOKUP(Base_Periodo1[[#This Row],[CONTA]],BaseContasDRE[#All],7,FALSE))</f>
        <v>Fora do DRE</v>
      </c>
      <c r="V5576" s="3" t="str">
        <f>IF(Base_Periodo1[[#This Row],[Tipo_Linha]]="Fora do DRE","Fora do DRE","( "&amp;Base_Periodo1[[#This Row],[Tipo_Linha]]&amp;" ) "&amp;Base_Periodo1[[#This Row],[Filtro]])</f>
        <v>Fora do DRE</v>
      </c>
      <c r="W5576" s="3" t="str">
        <f>LEFT(Base_Periodo1[[#This Row],[CLASS]],3)</f>
        <v>2.4</v>
      </c>
    </row>
    <row r="5577" spans="1:23" hidden="1">
      <c r="A5577" s="3" t="str">
        <f t="shared" si="87"/>
        <v>Período 1</v>
      </c>
      <c r="B5577">
        <v>16172</v>
      </c>
      <c r="C5577" t="s">
        <v>2300</v>
      </c>
      <c r="D5577" t="s">
        <v>3382</v>
      </c>
      <c r="E5577" s="3" t="str">
        <f>IF(LEN(Base_Periodo1[[#This Row],[CLASS]])&gt;=7,LEFT(Base_Periodo1[[#This Row],[CLASS]],7),"")</f>
        <v>2.4.1.1</v>
      </c>
      <c r="F5577" s="3" t="str">
        <f>VLOOKUP(Base_Periodo1[[#This Row],[Aux]],Base_Contas_Balanco[#All],2,FALSE)</f>
        <v>Capital Social Realizado</v>
      </c>
      <c r="G5577" s="1"/>
      <c r="H5577" s="281">
        <v>596.80999999999995</v>
      </c>
      <c r="I5577" s="281">
        <v>0</v>
      </c>
      <c r="J5577" s="281">
        <v>0</v>
      </c>
      <c r="K5577" s="281">
        <v>596.80999999999995</v>
      </c>
      <c r="L557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596.80999999999995</v>
      </c>
      <c r="M5577" s="281">
        <f>ROUND(IF(AND(Base_Periodo1[[#This Row],[Tipo_Linha]]="-",Base_Periodo1[[#This Row],[TIPOSALDO]]="D"),Base_Periodo1[[#This Row],[SALDO_ATUAL]]*-1,Base_Periodo1[[#This Row],[SALDO_ATUAL]]),4)</f>
        <v>596.80999999999995</v>
      </c>
      <c r="N5577" t="s">
        <v>116</v>
      </c>
      <c r="O5577" t="s">
        <v>459</v>
      </c>
      <c r="P5577" t="s">
        <v>459</v>
      </c>
      <c r="Q5577">
        <v>6</v>
      </c>
      <c r="R5577" s="281">
        <f>Base_Periodo1[[#This Row],[CREDITOS]]-Base_Periodo1[[#This Row],[DEBITOS]]</f>
        <v>0</v>
      </c>
      <c r="S5577" s="3" t="str">
        <f>IF(ISERROR(VLOOKUP(Base_Periodo1[[#This Row],[CONTA]],BaseContasDRE[#All],4,FALSE)),"Fora do DRE",VLOOKUP(Base_Periodo1[[#This Row],[CONTA]],BaseContasDRE[#All],4,FALSE))</f>
        <v>Fora do DRE</v>
      </c>
      <c r="T5577" s="3" t="str">
        <f>IF(ISERROR(VLOOKUP(Base_Periodo1[[#This Row],[CONTA]],BaseContasDRE[#All],5,FALSE)),"Fora do DRE",VLOOKUP(Base_Periodo1[[#This Row],[CONTA]],BaseContasDRE[#All],6,FALSE))</f>
        <v>Fora do DRE</v>
      </c>
      <c r="U5577" s="3" t="str">
        <f>IF(ISERROR(VLOOKUP(Base_Periodo1[[#This Row],[CONTA]],BaseContasDRE[#All],7,FALSE)),"Fora do DRE",VLOOKUP(Base_Periodo1[[#This Row],[CONTA]],BaseContasDRE[#All],7,FALSE))</f>
        <v>Fora do DRE</v>
      </c>
      <c r="V5577" s="3" t="str">
        <f>IF(Base_Periodo1[[#This Row],[Tipo_Linha]]="Fora do DRE","Fora do DRE","( "&amp;Base_Periodo1[[#This Row],[Tipo_Linha]]&amp;" ) "&amp;Base_Periodo1[[#This Row],[Filtro]])</f>
        <v>Fora do DRE</v>
      </c>
      <c r="W5577" s="3" t="str">
        <f>LEFT(Base_Periodo1[[#This Row],[CLASS]],3)</f>
        <v>2.4</v>
      </c>
    </row>
    <row r="5578" spans="1:23" hidden="1">
      <c r="A5578" s="3" t="str">
        <f t="shared" si="87"/>
        <v>Período 1</v>
      </c>
      <c r="B5578">
        <v>50965</v>
      </c>
      <c r="C5578" t="s">
        <v>2300</v>
      </c>
      <c r="D5578" t="s">
        <v>4480</v>
      </c>
      <c r="E5578" s="3" t="str">
        <f>IF(LEN(Base_Periodo1[[#This Row],[CLASS]])&gt;=7,LEFT(Base_Periodo1[[#This Row],[CLASS]],7),"")</f>
        <v>2.4.1.1</v>
      </c>
      <c r="F5578" s="3" t="str">
        <f>VLOOKUP(Base_Periodo1[[#This Row],[Aux]],Base_Contas_Balanco[#All],2,FALSE)</f>
        <v>Capital Social Realizado</v>
      </c>
      <c r="G5578" s="1"/>
      <c r="H5578" s="281">
        <v>50</v>
      </c>
      <c r="I5578" s="281">
        <v>0</v>
      </c>
      <c r="J5578" s="281">
        <v>0</v>
      </c>
      <c r="K5578" s="281">
        <v>50</v>
      </c>
      <c r="L557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578" s="281">
        <f>ROUND(IF(AND(Base_Periodo1[[#This Row],[Tipo_Linha]]="-",Base_Periodo1[[#This Row],[TIPOSALDO]]="D"),Base_Periodo1[[#This Row],[SALDO_ATUAL]]*-1,Base_Periodo1[[#This Row],[SALDO_ATUAL]]),4)</f>
        <v>50</v>
      </c>
      <c r="N5578" t="s">
        <v>116</v>
      </c>
      <c r="O5578" t="s">
        <v>459</v>
      </c>
      <c r="P5578" t="s">
        <v>459</v>
      </c>
      <c r="Q5578">
        <v>6</v>
      </c>
      <c r="R5578" s="281">
        <f>Base_Periodo1[[#This Row],[CREDITOS]]-Base_Periodo1[[#This Row],[DEBITOS]]</f>
        <v>0</v>
      </c>
      <c r="S5578" s="3" t="str">
        <f>IF(ISERROR(VLOOKUP(Base_Periodo1[[#This Row],[CONTA]],BaseContasDRE[#All],4,FALSE)),"Fora do DRE",VLOOKUP(Base_Periodo1[[#This Row],[CONTA]],BaseContasDRE[#All],4,FALSE))</f>
        <v>Fora do DRE</v>
      </c>
      <c r="T5578" s="3" t="str">
        <f>IF(ISERROR(VLOOKUP(Base_Periodo1[[#This Row],[CONTA]],BaseContasDRE[#All],5,FALSE)),"Fora do DRE",VLOOKUP(Base_Periodo1[[#This Row],[CONTA]],BaseContasDRE[#All],6,FALSE))</f>
        <v>Fora do DRE</v>
      </c>
      <c r="U5578" s="3" t="str">
        <f>IF(ISERROR(VLOOKUP(Base_Periodo1[[#This Row],[CONTA]],BaseContasDRE[#All],7,FALSE)),"Fora do DRE",VLOOKUP(Base_Periodo1[[#This Row],[CONTA]],BaseContasDRE[#All],7,FALSE))</f>
        <v>Fora do DRE</v>
      </c>
      <c r="V5578" s="3" t="str">
        <f>IF(Base_Periodo1[[#This Row],[Tipo_Linha]]="Fora do DRE","Fora do DRE","( "&amp;Base_Periodo1[[#This Row],[Tipo_Linha]]&amp;" ) "&amp;Base_Periodo1[[#This Row],[Filtro]])</f>
        <v>Fora do DRE</v>
      </c>
      <c r="W5578" s="3" t="str">
        <f>LEFT(Base_Periodo1[[#This Row],[CLASS]],3)</f>
        <v>2.4</v>
      </c>
    </row>
    <row r="5579" spans="1:23" hidden="1">
      <c r="A5579" s="3" t="str">
        <f t="shared" si="87"/>
        <v>Período 1</v>
      </c>
      <c r="B5579">
        <v>22607</v>
      </c>
      <c r="C5579" t="s">
        <v>2300</v>
      </c>
      <c r="D5579" t="s">
        <v>3383</v>
      </c>
      <c r="E5579" s="3" t="str">
        <f>IF(LEN(Base_Periodo1[[#This Row],[CLASS]])&gt;=7,LEFT(Base_Periodo1[[#This Row],[CLASS]],7),"")</f>
        <v>2.4.1.1</v>
      </c>
      <c r="F5579" s="3" t="str">
        <f>VLOOKUP(Base_Periodo1[[#This Row],[Aux]],Base_Contas_Balanco[#All],2,FALSE)</f>
        <v>Capital Social Realizado</v>
      </c>
      <c r="G5579" s="1"/>
      <c r="H5579" s="281">
        <v>1117.44</v>
      </c>
      <c r="I5579" s="281">
        <v>0</v>
      </c>
      <c r="J5579" s="281">
        <v>0</v>
      </c>
      <c r="K5579" s="281">
        <v>1117.44</v>
      </c>
      <c r="L557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1117.44</v>
      </c>
      <c r="M5579" s="281">
        <f>ROUND(IF(AND(Base_Periodo1[[#This Row],[Tipo_Linha]]="-",Base_Periodo1[[#This Row],[TIPOSALDO]]="D"),Base_Periodo1[[#This Row],[SALDO_ATUAL]]*-1,Base_Periodo1[[#This Row],[SALDO_ATUAL]]),4)</f>
        <v>1117.44</v>
      </c>
      <c r="N5579" t="s">
        <v>116</v>
      </c>
      <c r="O5579" t="s">
        <v>459</v>
      </c>
      <c r="P5579" t="s">
        <v>459</v>
      </c>
      <c r="Q5579">
        <v>6</v>
      </c>
      <c r="R5579" s="281">
        <f>Base_Periodo1[[#This Row],[CREDITOS]]-Base_Periodo1[[#This Row],[DEBITOS]]</f>
        <v>0</v>
      </c>
      <c r="S5579" s="3" t="str">
        <f>IF(ISERROR(VLOOKUP(Base_Periodo1[[#This Row],[CONTA]],BaseContasDRE[#All],4,FALSE)),"Fora do DRE",VLOOKUP(Base_Periodo1[[#This Row],[CONTA]],BaseContasDRE[#All],4,FALSE))</f>
        <v>Fora do DRE</v>
      </c>
      <c r="T5579" s="3" t="str">
        <f>IF(ISERROR(VLOOKUP(Base_Periodo1[[#This Row],[CONTA]],BaseContasDRE[#All],5,FALSE)),"Fora do DRE",VLOOKUP(Base_Periodo1[[#This Row],[CONTA]],BaseContasDRE[#All],6,FALSE))</f>
        <v>Fora do DRE</v>
      </c>
      <c r="U5579" s="3" t="str">
        <f>IF(ISERROR(VLOOKUP(Base_Periodo1[[#This Row],[CONTA]],BaseContasDRE[#All],7,FALSE)),"Fora do DRE",VLOOKUP(Base_Periodo1[[#This Row],[CONTA]],BaseContasDRE[#All],7,FALSE))</f>
        <v>Fora do DRE</v>
      </c>
      <c r="V5579" s="3" t="str">
        <f>IF(Base_Periodo1[[#This Row],[Tipo_Linha]]="Fora do DRE","Fora do DRE","( "&amp;Base_Periodo1[[#This Row],[Tipo_Linha]]&amp;" ) "&amp;Base_Periodo1[[#This Row],[Filtro]])</f>
        <v>Fora do DRE</v>
      </c>
      <c r="W5579" s="3" t="str">
        <f>LEFT(Base_Periodo1[[#This Row],[CLASS]],3)</f>
        <v>2.4</v>
      </c>
    </row>
    <row r="5580" spans="1:23" hidden="1">
      <c r="A5580" s="3" t="str">
        <f t="shared" si="87"/>
        <v>Período 1</v>
      </c>
      <c r="B5580">
        <v>25552</v>
      </c>
      <c r="C5580" t="s">
        <v>2300</v>
      </c>
      <c r="D5580" t="s">
        <v>3384</v>
      </c>
      <c r="E5580" s="3" t="str">
        <f>IF(LEN(Base_Periodo1[[#This Row],[CLASS]])&gt;=7,LEFT(Base_Periodo1[[#This Row],[CLASS]],7),"")</f>
        <v>2.4.1.1</v>
      </c>
      <c r="F5580" s="3" t="str">
        <f>VLOOKUP(Base_Periodo1[[#This Row],[Aux]],Base_Contas_Balanco[#All],2,FALSE)</f>
        <v>Capital Social Realizado</v>
      </c>
      <c r="G5580" s="1"/>
      <c r="H5580" s="281">
        <v>459.31</v>
      </c>
      <c r="I5580" s="281">
        <v>0</v>
      </c>
      <c r="J5580" s="281">
        <v>0</v>
      </c>
      <c r="K5580" s="281">
        <v>459.31</v>
      </c>
      <c r="L558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459.31</v>
      </c>
      <c r="M5580" s="281">
        <f>ROUND(IF(AND(Base_Periodo1[[#This Row],[Tipo_Linha]]="-",Base_Periodo1[[#This Row],[TIPOSALDO]]="D"),Base_Periodo1[[#This Row],[SALDO_ATUAL]]*-1,Base_Periodo1[[#This Row],[SALDO_ATUAL]]),4)</f>
        <v>459.31</v>
      </c>
      <c r="N5580" t="s">
        <v>116</v>
      </c>
      <c r="O5580" t="s">
        <v>459</v>
      </c>
      <c r="P5580" t="s">
        <v>459</v>
      </c>
      <c r="Q5580">
        <v>6</v>
      </c>
      <c r="R5580" s="281">
        <f>Base_Periodo1[[#This Row],[CREDITOS]]-Base_Periodo1[[#This Row],[DEBITOS]]</f>
        <v>0</v>
      </c>
      <c r="S5580" s="3" t="str">
        <f>IF(ISERROR(VLOOKUP(Base_Periodo1[[#This Row],[CONTA]],BaseContasDRE[#All],4,FALSE)),"Fora do DRE",VLOOKUP(Base_Periodo1[[#This Row],[CONTA]],BaseContasDRE[#All],4,FALSE))</f>
        <v>Fora do DRE</v>
      </c>
      <c r="T5580" s="3" t="str">
        <f>IF(ISERROR(VLOOKUP(Base_Periodo1[[#This Row],[CONTA]],BaseContasDRE[#All],5,FALSE)),"Fora do DRE",VLOOKUP(Base_Periodo1[[#This Row],[CONTA]],BaseContasDRE[#All],6,FALSE))</f>
        <v>Fora do DRE</v>
      </c>
      <c r="U5580" s="3" t="str">
        <f>IF(ISERROR(VLOOKUP(Base_Periodo1[[#This Row],[CONTA]],BaseContasDRE[#All],7,FALSE)),"Fora do DRE",VLOOKUP(Base_Periodo1[[#This Row],[CONTA]],BaseContasDRE[#All],7,FALSE))</f>
        <v>Fora do DRE</v>
      </c>
      <c r="V5580" s="3" t="str">
        <f>IF(Base_Periodo1[[#This Row],[Tipo_Linha]]="Fora do DRE","Fora do DRE","( "&amp;Base_Periodo1[[#This Row],[Tipo_Linha]]&amp;" ) "&amp;Base_Periodo1[[#This Row],[Filtro]])</f>
        <v>Fora do DRE</v>
      </c>
      <c r="W5580" s="3" t="str">
        <f>LEFT(Base_Periodo1[[#This Row],[CLASS]],3)</f>
        <v>2.4</v>
      </c>
    </row>
    <row r="5581" spans="1:23" hidden="1">
      <c r="A5581" s="3" t="str">
        <f t="shared" si="87"/>
        <v>Período 1</v>
      </c>
      <c r="B5581">
        <v>19393</v>
      </c>
      <c r="C5581" t="s">
        <v>2300</v>
      </c>
      <c r="D5581" t="s">
        <v>3385</v>
      </c>
      <c r="E5581" s="3" t="str">
        <f>IF(LEN(Base_Periodo1[[#This Row],[CLASS]])&gt;=7,LEFT(Base_Periodo1[[#This Row],[CLASS]],7),"")</f>
        <v>2.4.1.1</v>
      </c>
      <c r="F5581" s="3" t="str">
        <f>VLOOKUP(Base_Periodo1[[#This Row],[Aux]],Base_Contas_Balanco[#All],2,FALSE)</f>
        <v>Capital Social Realizado</v>
      </c>
      <c r="G5581" s="1"/>
      <c r="H5581" s="281">
        <v>112.61</v>
      </c>
      <c r="I5581" s="281">
        <v>0</v>
      </c>
      <c r="J5581" s="281">
        <v>0</v>
      </c>
      <c r="K5581" s="281">
        <v>112.61</v>
      </c>
      <c r="L558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112.61</v>
      </c>
      <c r="M5581" s="281">
        <f>ROUND(IF(AND(Base_Periodo1[[#This Row],[Tipo_Linha]]="-",Base_Periodo1[[#This Row],[TIPOSALDO]]="D"),Base_Periodo1[[#This Row],[SALDO_ATUAL]]*-1,Base_Periodo1[[#This Row],[SALDO_ATUAL]]),4)</f>
        <v>112.61</v>
      </c>
      <c r="N5581" t="s">
        <v>116</v>
      </c>
      <c r="O5581" t="s">
        <v>459</v>
      </c>
      <c r="P5581" t="s">
        <v>459</v>
      </c>
      <c r="Q5581">
        <v>6</v>
      </c>
      <c r="R5581" s="281">
        <f>Base_Periodo1[[#This Row],[CREDITOS]]-Base_Periodo1[[#This Row],[DEBITOS]]</f>
        <v>0</v>
      </c>
      <c r="S5581" s="3" t="str">
        <f>IF(ISERROR(VLOOKUP(Base_Periodo1[[#This Row],[CONTA]],BaseContasDRE[#All],4,FALSE)),"Fora do DRE",VLOOKUP(Base_Periodo1[[#This Row],[CONTA]],BaseContasDRE[#All],4,FALSE))</f>
        <v>Fora do DRE</v>
      </c>
      <c r="T5581" s="3" t="str">
        <f>IF(ISERROR(VLOOKUP(Base_Periodo1[[#This Row],[CONTA]],BaseContasDRE[#All],5,FALSE)),"Fora do DRE",VLOOKUP(Base_Periodo1[[#This Row],[CONTA]],BaseContasDRE[#All],6,FALSE))</f>
        <v>Fora do DRE</v>
      </c>
      <c r="U5581" s="3" t="str">
        <f>IF(ISERROR(VLOOKUP(Base_Periodo1[[#This Row],[CONTA]],BaseContasDRE[#All],7,FALSE)),"Fora do DRE",VLOOKUP(Base_Periodo1[[#This Row],[CONTA]],BaseContasDRE[#All],7,FALSE))</f>
        <v>Fora do DRE</v>
      </c>
      <c r="V5581" s="3" t="str">
        <f>IF(Base_Periodo1[[#This Row],[Tipo_Linha]]="Fora do DRE","Fora do DRE","( "&amp;Base_Periodo1[[#This Row],[Tipo_Linha]]&amp;" ) "&amp;Base_Periodo1[[#This Row],[Filtro]])</f>
        <v>Fora do DRE</v>
      </c>
      <c r="W5581" s="3" t="str">
        <f>LEFT(Base_Periodo1[[#This Row],[CLASS]],3)</f>
        <v>2.4</v>
      </c>
    </row>
    <row r="5582" spans="1:23" hidden="1">
      <c r="A5582" s="3" t="str">
        <f t="shared" si="87"/>
        <v>Período 1</v>
      </c>
      <c r="B5582">
        <v>48338</v>
      </c>
      <c r="C5582" t="s">
        <v>2300</v>
      </c>
      <c r="D5582" t="s">
        <v>3386</v>
      </c>
      <c r="E5582" s="3" t="str">
        <f>IF(LEN(Base_Periodo1[[#This Row],[CLASS]])&gt;=7,LEFT(Base_Periodo1[[#This Row],[CLASS]],7),"")</f>
        <v>2.4.1.1</v>
      </c>
      <c r="F5582" s="3" t="str">
        <f>VLOOKUP(Base_Periodo1[[#This Row],[Aux]],Base_Contas_Balanco[#All],2,FALSE)</f>
        <v>Capital Social Realizado</v>
      </c>
      <c r="G5582" s="1"/>
      <c r="H5582" s="281">
        <v>314.36</v>
      </c>
      <c r="I5582" s="281">
        <v>0</v>
      </c>
      <c r="J5582" s="281">
        <v>0</v>
      </c>
      <c r="K5582" s="281">
        <v>314.36</v>
      </c>
      <c r="L558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314.36</v>
      </c>
      <c r="M5582" s="281">
        <f>ROUND(IF(AND(Base_Periodo1[[#This Row],[Tipo_Linha]]="-",Base_Periodo1[[#This Row],[TIPOSALDO]]="D"),Base_Periodo1[[#This Row],[SALDO_ATUAL]]*-1,Base_Periodo1[[#This Row],[SALDO_ATUAL]]),4)</f>
        <v>314.36</v>
      </c>
      <c r="N5582" t="s">
        <v>116</v>
      </c>
      <c r="O5582" t="s">
        <v>459</v>
      </c>
      <c r="P5582" t="s">
        <v>459</v>
      </c>
      <c r="Q5582">
        <v>6</v>
      </c>
      <c r="R5582" s="281">
        <f>Base_Periodo1[[#This Row],[CREDITOS]]-Base_Periodo1[[#This Row],[DEBITOS]]</f>
        <v>0</v>
      </c>
      <c r="S5582" s="3" t="str">
        <f>IF(ISERROR(VLOOKUP(Base_Periodo1[[#This Row],[CONTA]],BaseContasDRE[#All],4,FALSE)),"Fora do DRE",VLOOKUP(Base_Periodo1[[#This Row],[CONTA]],BaseContasDRE[#All],4,FALSE))</f>
        <v>Fora do DRE</v>
      </c>
      <c r="T5582" s="3" t="str">
        <f>IF(ISERROR(VLOOKUP(Base_Periodo1[[#This Row],[CONTA]],BaseContasDRE[#All],5,FALSE)),"Fora do DRE",VLOOKUP(Base_Periodo1[[#This Row],[CONTA]],BaseContasDRE[#All],6,FALSE))</f>
        <v>Fora do DRE</v>
      </c>
      <c r="U5582" s="3" t="str">
        <f>IF(ISERROR(VLOOKUP(Base_Periodo1[[#This Row],[CONTA]],BaseContasDRE[#All],7,FALSE)),"Fora do DRE",VLOOKUP(Base_Periodo1[[#This Row],[CONTA]],BaseContasDRE[#All],7,FALSE))</f>
        <v>Fora do DRE</v>
      </c>
      <c r="V5582" s="3" t="str">
        <f>IF(Base_Periodo1[[#This Row],[Tipo_Linha]]="Fora do DRE","Fora do DRE","( "&amp;Base_Periodo1[[#This Row],[Tipo_Linha]]&amp;" ) "&amp;Base_Periodo1[[#This Row],[Filtro]])</f>
        <v>Fora do DRE</v>
      </c>
      <c r="W5582" s="3" t="str">
        <f>LEFT(Base_Periodo1[[#This Row],[CLASS]],3)</f>
        <v>2.4</v>
      </c>
    </row>
    <row r="5583" spans="1:23" hidden="1">
      <c r="A5583" s="3" t="str">
        <f t="shared" si="87"/>
        <v>Período 1</v>
      </c>
      <c r="B5583">
        <v>39767</v>
      </c>
      <c r="C5583" t="s">
        <v>2300</v>
      </c>
      <c r="D5583" t="s">
        <v>3387</v>
      </c>
      <c r="E5583" s="3" t="str">
        <f>IF(LEN(Base_Periodo1[[#This Row],[CLASS]])&gt;=7,LEFT(Base_Periodo1[[#This Row],[CLASS]],7),"")</f>
        <v>2.4.1.1</v>
      </c>
      <c r="F5583" s="3" t="str">
        <f>VLOOKUP(Base_Periodo1[[#This Row],[Aux]],Base_Contas_Balanco[#All],2,FALSE)</f>
        <v>Capital Social Realizado</v>
      </c>
      <c r="G5583" s="1"/>
      <c r="H5583" s="281">
        <v>506.76</v>
      </c>
      <c r="I5583" s="281">
        <v>0</v>
      </c>
      <c r="J5583" s="281">
        <v>0</v>
      </c>
      <c r="K5583" s="281">
        <v>506.76</v>
      </c>
      <c r="L558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506.76</v>
      </c>
      <c r="M5583" s="281">
        <f>ROUND(IF(AND(Base_Periodo1[[#This Row],[Tipo_Linha]]="-",Base_Periodo1[[#This Row],[TIPOSALDO]]="D"),Base_Periodo1[[#This Row],[SALDO_ATUAL]]*-1,Base_Periodo1[[#This Row],[SALDO_ATUAL]]),4)</f>
        <v>506.76</v>
      </c>
      <c r="N5583" t="s">
        <v>116</v>
      </c>
      <c r="O5583" t="s">
        <v>459</v>
      </c>
      <c r="P5583" t="s">
        <v>459</v>
      </c>
      <c r="Q5583">
        <v>6</v>
      </c>
      <c r="R5583" s="281">
        <f>Base_Periodo1[[#This Row],[CREDITOS]]-Base_Periodo1[[#This Row],[DEBITOS]]</f>
        <v>0</v>
      </c>
      <c r="S5583" s="3" t="str">
        <f>IF(ISERROR(VLOOKUP(Base_Periodo1[[#This Row],[CONTA]],BaseContasDRE[#All],4,FALSE)),"Fora do DRE",VLOOKUP(Base_Periodo1[[#This Row],[CONTA]],BaseContasDRE[#All],4,FALSE))</f>
        <v>Fora do DRE</v>
      </c>
      <c r="T5583" s="3" t="str">
        <f>IF(ISERROR(VLOOKUP(Base_Periodo1[[#This Row],[CONTA]],BaseContasDRE[#All],5,FALSE)),"Fora do DRE",VLOOKUP(Base_Periodo1[[#This Row],[CONTA]],BaseContasDRE[#All],6,FALSE))</f>
        <v>Fora do DRE</v>
      </c>
      <c r="U5583" s="3" t="str">
        <f>IF(ISERROR(VLOOKUP(Base_Periodo1[[#This Row],[CONTA]],BaseContasDRE[#All],7,FALSE)),"Fora do DRE",VLOOKUP(Base_Periodo1[[#This Row],[CONTA]],BaseContasDRE[#All],7,FALSE))</f>
        <v>Fora do DRE</v>
      </c>
      <c r="V5583" s="3" t="str">
        <f>IF(Base_Periodo1[[#This Row],[Tipo_Linha]]="Fora do DRE","Fora do DRE","( "&amp;Base_Periodo1[[#This Row],[Tipo_Linha]]&amp;" ) "&amp;Base_Periodo1[[#This Row],[Filtro]])</f>
        <v>Fora do DRE</v>
      </c>
      <c r="W5583" s="3" t="str">
        <f>LEFT(Base_Periodo1[[#This Row],[CLASS]],3)</f>
        <v>2.4</v>
      </c>
    </row>
    <row r="5584" spans="1:23" hidden="1">
      <c r="A5584" s="3" t="str">
        <f t="shared" si="87"/>
        <v>Período 1</v>
      </c>
      <c r="B5584">
        <v>39862</v>
      </c>
      <c r="C5584" t="s">
        <v>2300</v>
      </c>
      <c r="D5584" t="s">
        <v>3388</v>
      </c>
      <c r="E5584" s="3" t="str">
        <f>IF(LEN(Base_Periodo1[[#This Row],[CLASS]])&gt;=7,LEFT(Base_Periodo1[[#This Row],[CLASS]],7),"")</f>
        <v>2.4.1.1</v>
      </c>
      <c r="F5584" s="3" t="str">
        <f>VLOOKUP(Base_Periodo1[[#This Row],[Aux]],Base_Contas_Balanco[#All],2,FALSE)</f>
        <v>Capital Social Realizado</v>
      </c>
      <c r="G5584" s="1"/>
      <c r="H5584" s="281">
        <v>96.009999999999991</v>
      </c>
      <c r="I5584" s="281">
        <v>0</v>
      </c>
      <c r="J5584" s="281">
        <v>0</v>
      </c>
      <c r="K5584" s="281">
        <v>96.009999999999991</v>
      </c>
      <c r="L558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96.01</v>
      </c>
      <c r="M5584" s="281">
        <f>ROUND(IF(AND(Base_Periodo1[[#This Row],[Tipo_Linha]]="-",Base_Periodo1[[#This Row],[TIPOSALDO]]="D"),Base_Periodo1[[#This Row],[SALDO_ATUAL]]*-1,Base_Periodo1[[#This Row],[SALDO_ATUAL]]),4)</f>
        <v>96.01</v>
      </c>
      <c r="N5584" t="s">
        <v>116</v>
      </c>
      <c r="O5584" t="s">
        <v>459</v>
      </c>
      <c r="P5584" t="s">
        <v>459</v>
      </c>
      <c r="Q5584">
        <v>6</v>
      </c>
      <c r="R5584" s="281">
        <f>Base_Periodo1[[#This Row],[CREDITOS]]-Base_Periodo1[[#This Row],[DEBITOS]]</f>
        <v>0</v>
      </c>
      <c r="S5584" s="3" t="str">
        <f>IF(ISERROR(VLOOKUP(Base_Periodo1[[#This Row],[CONTA]],BaseContasDRE[#All],4,FALSE)),"Fora do DRE",VLOOKUP(Base_Periodo1[[#This Row],[CONTA]],BaseContasDRE[#All],4,FALSE))</f>
        <v>Fora do DRE</v>
      </c>
      <c r="T5584" s="3" t="str">
        <f>IF(ISERROR(VLOOKUP(Base_Periodo1[[#This Row],[CONTA]],BaseContasDRE[#All],5,FALSE)),"Fora do DRE",VLOOKUP(Base_Periodo1[[#This Row],[CONTA]],BaseContasDRE[#All],6,FALSE))</f>
        <v>Fora do DRE</v>
      </c>
      <c r="U5584" s="3" t="str">
        <f>IF(ISERROR(VLOOKUP(Base_Periodo1[[#This Row],[CONTA]],BaseContasDRE[#All],7,FALSE)),"Fora do DRE",VLOOKUP(Base_Periodo1[[#This Row],[CONTA]],BaseContasDRE[#All],7,FALSE))</f>
        <v>Fora do DRE</v>
      </c>
      <c r="V5584" s="3" t="str">
        <f>IF(Base_Periodo1[[#This Row],[Tipo_Linha]]="Fora do DRE","Fora do DRE","( "&amp;Base_Periodo1[[#This Row],[Tipo_Linha]]&amp;" ) "&amp;Base_Periodo1[[#This Row],[Filtro]])</f>
        <v>Fora do DRE</v>
      </c>
      <c r="W5584" s="3" t="str">
        <f>LEFT(Base_Periodo1[[#This Row],[CLASS]],3)</f>
        <v>2.4</v>
      </c>
    </row>
    <row r="5585" spans="1:23" hidden="1">
      <c r="A5585" s="3" t="str">
        <f t="shared" si="87"/>
        <v>Período 1</v>
      </c>
      <c r="B5585">
        <v>19394</v>
      </c>
      <c r="C5585" t="s">
        <v>2300</v>
      </c>
      <c r="D5585" t="s">
        <v>3389</v>
      </c>
      <c r="E5585" s="3" t="str">
        <f>IF(LEN(Base_Periodo1[[#This Row],[CLASS]])&gt;=7,LEFT(Base_Periodo1[[#This Row],[CLASS]],7),"")</f>
        <v>2.4.1.1</v>
      </c>
      <c r="F5585" s="3" t="str">
        <f>VLOOKUP(Base_Periodo1[[#This Row],[Aux]],Base_Contas_Balanco[#All],2,FALSE)</f>
        <v>Capital Social Realizado</v>
      </c>
      <c r="G5585" s="1"/>
      <c r="H5585" s="281">
        <v>80.48</v>
      </c>
      <c r="I5585" s="281">
        <v>0</v>
      </c>
      <c r="J5585" s="281">
        <v>0</v>
      </c>
      <c r="K5585" s="281">
        <v>80.48</v>
      </c>
      <c r="L558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80.48</v>
      </c>
      <c r="M5585" s="281">
        <f>ROUND(IF(AND(Base_Periodo1[[#This Row],[Tipo_Linha]]="-",Base_Periodo1[[#This Row],[TIPOSALDO]]="D"),Base_Periodo1[[#This Row],[SALDO_ATUAL]]*-1,Base_Periodo1[[#This Row],[SALDO_ATUAL]]),4)</f>
        <v>80.48</v>
      </c>
      <c r="N5585" t="s">
        <v>116</v>
      </c>
      <c r="O5585" t="s">
        <v>459</v>
      </c>
      <c r="P5585" t="s">
        <v>459</v>
      </c>
      <c r="Q5585">
        <v>6</v>
      </c>
      <c r="R5585" s="281">
        <f>Base_Periodo1[[#This Row],[CREDITOS]]-Base_Periodo1[[#This Row],[DEBITOS]]</f>
        <v>0</v>
      </c>
      <c r="S5585" s="3" t="str">
        <f>IF(ISERROR(VLOOKUP(Base_Periodo1[[#This Row],[CONTA]],BaseContasDRE[#All],4,FALSE)),"Fora do DRE",VLOOKUP(Base_Periodo1[[#This Row],[CONTA]],BaseContasDRE[#All],4,FALSE))</f>
        <v>Fora do DRE</v>
      </c>
      <c r="T5585" s="3" t="str">
        <f>IF(ISERROR(VLOOKUP(Base_Periodo1[[#This Row],[CONTA]],BaseContasDRE[#All],5,FALSE)),"Fora do DRE",VLOOKUP(Base_Periodo1[[#This Row],[CONTA]],BaseContasDRE[#All],6,FALSE))</f>
        <v>Fora do DRE</v>
      </c>
      <c r="U5585" s="3" t="str">
        <f>IF(ISERROR(VLOOKUP(Base_Periodo1[[#This Row],[CONTA]],BaseContasDRE[#All],7,FALSE)),"Fora do DRE",VLOOKUP(Base_Periodo1[[#This Row],[CONTA]],BaseContasDRE[#All],7,FALSE))</f>
        <v>Fora do DRE</v>
      </c>
      <c r="V5585" s="3" t="str">
        <f>IF(Base_Periodo1[[#This Row],[Tipo_Linha]]="Fora do DRE","Fora do DRE","( "&amp;Base_Periodo1[[#This Row],[Tipo_Linha]]&amp;" ) "&amp;Base_Periodo1[[#This Row],[Filtro]])</f>
        <v>Fora do DRE</v>
      </c>
      <c r="W5585" s="3" t="str">
        <f>LEFT(Base_Periodo1[[#This Row],[CLASS]],3)</f>
        <v>2.4</v>
      </c>
    </row>
    <row r="5586" spans="1:23" hidden="1">
      <c r="A5586" s="3" t="str">
        <f t="shared" si="87"/>
        <v>Período 1</v>
      </c>
      <c r="B5586">
        <v>16145</v>
      </c>
      <c r="C5586" t="s">
        <v>2300</v>
      </c>
      <c r="D5586" t="s">
        <v>3390</v>
      </c>
      <c r="E5586" s="3" t="str">
        <f>IF(LEN(Base_Periodo1[[#This Row],[CLASS]])&gt;=7,LEFT(Base_Periodo1[[#This Row],[CLASS]],7),"")</f>
        <v>2.4.1.1</v>
      </c>
      <c r="F5586" s="3" t="str">
        <f>VLOOKUP(Base_Periodo1[[#This Row],[Aux]],Base_Contas_Balanco[#All],2,FALSE)</f>
        <v>Capital Social Realizado</v>
      </c>
      <c r="G5586" s="1"/>
      <c r="H5586" s="281">
        <v>2469.02</v>
      </c>
      <c r="I5586" s="281">
        <v>0</v>
      </c>
      <c r="J5586" s="281">
        <v>0</v>
      </c>
      <c r="K5586" s="281">
        <v>2469.02</v>
      </c>
      <c r="L558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2469.02</v>
      </c>
      <c r="M5586" s="281">
        <f>ROUND(IF(AND(Base_Periodo1[[#This Row],[Tipo_Linha]]="-",Base_Periodo1[[#This Row],[TIPOSALDO]]="D"),Base_Periodo1[[#This Row],[SALDO_ATUAL]]*-1,Base_Periodo1[[#This Row],[SALDO_ATUAL]]),4)</f>
        <v>2469.02</v>
      </c>
      <c r="N5586" t="s">
        <v>116</v>
      </c>
      <c r="O5586" t="s">
        <v>459</v>
      </c>
      <c r="P5586" t="s">
        <v>459</v>
      </c>
      <c r="Q5586">
        <v>6</v>
      </c>
      <c r="R5586" s="281">
        <f>Base_Periodo1[[#This Row],[CREDITOS]]-Base_Periodo1[[#This Row],[DEBITOS]]</f>
        <v>0</v>
      </c>
      <c r="S5586" s="3" t="str">
        <f>IF(ISERROR(VLOOKUP(Base_Periodo1[[#This Row],[CONTA]],BaseContasDRE[#All],4,FALSE)),"Fora do DRE",VLOOKUP(Base_Periodo1[[#This Row],[CONTA]],BaseContasDRE[#All],4,FALSE))</f>
        <v>Fora do DRE</v>
      </c>
      <c r="T5586" s="3" t="str">
        <f>IF(ISERROR(VLOOKUP(Base_Periodo1[[#This Row],[CONTA]],BaseContasDRE[#All],5,FALSE)),"Fora do DRE",VLOOKUP(Base_Periodo1[[#This Row],[CONTA]],BaseContasDRE[#All],6,FALSE))</f>
        <v>Fora do DRE</v>
      </c>
      <c r="U5586" s="3" t="str">
        <f>IF(ISERROR(VLOOKUP(Base_Periodo1[[#This Row],[CONTA]],BaseContasDRE[#All],7,FALSE)),"Fora do DRE",VLOOKUP(Base_Periodo1[[#This Row],[CONTA]],BaseContasDRE[#All],7,FALSE))</f>
        <v>Fora do DRE</v>
      </c>
      <c r="V5586" s="3" t="str">
        <f>IF(Base_Periodo1[[#This Row],[Tipo_Linha]]="Fora do DRE","Fora do DRE","( "&amp;Base_Periodo1[[#This Row],[Tipo_Linha]]&amp;" ) "&amp;Base_Periodo1[[#This Row],[Filtro]])</f>
        <v>Fora do DRE</v>
      </c>
      <c r="W5586" s="3" t="str">
        <f>LEFT(Base_Periodo1[[#This Row],[CLASS]],3)</f>
        <v>2.4</v>
      </c>
    </row>
    <row r="5587" spans="1:23" hidden="1">
      <c r="A5587" s="3" t="str">
        <f t="shared" si="87"/>
        <v>Período 1</v>
      </c>
      <c r="B5587">
        <v>25526</v>
      </c>
      <c r="C5587" t="s">
        <v>2300</v>
      </c>
      <c r="D5587" t="s">
        <v>3391</v>
      </c>
      <c r="E5587" s="3" t="str">
        <f>IF(LEN(Base_Periodo1[[#This Row],[CLASS]])&gt;=7,LEFT(Base_Periodo1[[#This Row],[CLASS]],7),"")</f>
        <v>2.4.1.1</v>
      </c>
      <c r="F5587" s="3" t="str">
        <f>VLOOKUP(Base_Periodo1[[#This Row],[Aux]],Base_Contas_Balanco[#All],2,FALSE)</f>
        <v>Capital Social Realizado</v>
      </c>
      <c r="G5587" s="1"/>
      <c r="H5587" s="281">
        <v>493.98</v>
      </c>
      <c r="I5587" s="281">
        <v>0</v>
      </c>
      <c r="J5587" s="281">
        <v>0</v>
      </c>
      <c r="K5587" s="281">
        <v>493.98</v>
      </c>
      <c r="L558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493.98</v>
      </c>
      <c r="M5587" s="281">
        <f>ROUND(IF(AND(Base_Periodo1[[#This Row],[Tipo_Linha]]="-",Base_Periodo1[[#This Row],[TIPOSALDO]]="D"),Base_Periodo1[[#This Row],[SALDO_ATUAL]]*-1,Base_Periodo1[[#This Row],[SALDO_ATUAL]]),4)</f>
        <v>493.98</v>
      </c>
      <c r="N5587" t="s">
        <v>116</v>
      </c>
      <c r="O5587" t="s">
        <v>459</v>
      </c>
      <c r="P5587" t="s">
        <v>459</v>
      </c>
      <c r="Q5587">
        <v>6</v>
      </c>
      <c r="R5587" s="281">
        <f>Base_Periodo1[[#This Row],[CREDITOS]]-Base_Periodo1[[#This Row],[DEBITOS]]</f>
        <v>0</v>
      </c>
      <c r="S5587" s="3" t="str">
        <f>IF(ISERROR(VLOOKUP(Base_Periodo1[[#This Row],[CONTA]],BaseContasDRE[#All],4,FALSE)),"Fora do DRE",VLOOKUP(Base_Periodo1[[#This Row],[CONTA]],BaseContasDRE[#All],4,FALSE))</f>
        <v>Fora do DRE</v>
      </c>
      <c r="T5587" s="3" t="str">
        <f>IF(ISERROR(VLOOKUP(Base_Periodo1[[#This Row],[CONTA]],BaseContasDRE[#All],5,FALSE)),"Fora do DRE",VLOOKUP(Base_Periodo1[[#This Row],[CONTA]],BaseContasDRE[#All],6,FALSE))</f>
        <v>Fora do DRE</v>
      </c>
      <c r="U5587" s="3" t="str">
        <f>IF(ISERROR(VLOOKUP(Base_Periodo1[[#This Row],[CONTA]],BaseContasDRE[#All],7,FALSE)),"Fora do DRE",VLOOKUP(Base_Periodo1[[#This Row],[CONTA]],BaseContasDRE[#All],7,FALSE))</f>
        <v>Fora do DRE</v>
      </c>
      <c r="V5587" s="3" t="str">
        <f>IF(Base_Periodo1[[#This Row],[Tipo_Linha]]="Fora do DRE","Fora do DRE","( "&amp;Base_Periodo1[[#This Row],[Tipo_Linha]]&amp;" ) "&amp;Base_Periodo1[[#This Row],[Filtro]])</f>
        <v>Fora do DRE</v>
      </c>
      <c r="W5587" s="3" t="str">
        <f>LEFT(Base_Periodo1[[#This Row],[CLASS]],3)</f>
        <v>2.4</v>
      </c>
    </row>
    <row r="5588" spans="1:23" hidden="1">
      <c r="A5588" s="3" t="str">
        <f t="shared" si="87"/>
        <v>Período 1</v>
      </c>
      <c r="B5588">
        <v>47494</v>
      </c>
      <c r="C5588" t="s">
        <v>2300</v>
      </c>
      <c r="D5588" t="s">
        <v>3392</v>
      </c>
      <c r="E5588" s="3" t="str">
        <f>IF(LEN(Base_Periodo1[[#This Row],[CLASS]])&gt;=7,LEFT(Base_Periodo1[[#This Row],[CLASS]],7),"")</f>
        <v>2.4.1.1</v>
      </c>
      <c r="F5588" s="3" t="str">
        <f>VLOOKUP(Base_Periodo1[[#This Row],[Aux]],Base_Contas_Balanco[#All],2,FALSE)</f>
        <v>Capital Social Realizado</v>
      </c>
      <c r="G5588" s="1"/>
      <c r="H5588" s="281">
        <v>149.47</v>
      </c>
      <c r="I5588" s="281">
        <v>0</v>
      </c>
      <c r="J5588" s="281">
        <v>0</v>
      </c>
      <c r="K5588" s="281">
        <v>149.47</v>
      </c>
      <c r="L558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149.47</v>
      </c>
      <c r="M5588" s="281">
        <f>ROUND(IF(AND(Base_Periodo1[[#This Row],[Tipo_Linha]]="-",Base_Periodo1[[#This Row],[TIPOSALDO]]="D"),Base_Periodo1[[#This Row],[SALDO_ATUAL]]*-1,Base_Periodo1[[#This Row],[SALDO_ATUAL]]),4)</f>
        <v>149.47</v>
      </c>
      <c r="N5588" t="s">
        <v>116</v>
      </c>
      <c r="O5588" t="s">
        <v>459</v>
      </c>
      <c r="P5588" t="s">
        <v>459</v>
      </c>
      <c r="Q5588">
        <v>6</v>
      </c>
      <c r="R5588" s="281">
        <f>Base_Periodo1[[#This Row],[CREDITOS]]-Base_Periodo1[[#This Row],[DEBITOS]]</f>
        <v>0</v>
      </c>
      <c r="S5588" s="3" t="str">
        <f>IF(ISERROR(VLOOKUP(Base_Periodo1[[#This Row],[CONTA]],BaseContasDRE[#All],4,FALSE)),"Fora do DRE",VLOOKUP(Base_Periodo1[[#This Row],[CONTA]],BaseContasDRE[#All],4,FALSE))</f>
        <v>Fora do DRE</v>
      </c>
      <c r="T5588" s="3" t="str">
        <f>IF(ISERROR(VLOOKUP(Base_Periodo1[[#This Row],[CONTA]],BaseContasDRE[#All],5,FALSE)),"Fora do DRE",VLOOKUP(Base_Periodo1[[#This Row],[CONTA]],BaseContasDRE[#All],6,FALSE))</f>
        <v>Fora do DRE</v>
      </c>
      <c r="U5588" s="3" t="str">
        <f>IF(ISERROR(VLOOKUP(Base_Periodo1[[#This Row],[CONTA]],BaseContasDRE[#All],7,FALSE)),"Fora do DRE",VLOOKUP(Base_Periodo1[[#This Row],[CONTA]],BaseContasDRE[#All],7,FALSE))</f>
        <v>Fora do DRE</v>
      </c>
      <c r="V5588" s="3" t="str">
        <f>IF(Base_Periodo1[[#This Row],[Tipo_Linha]]="Fora do DRE","Fora do DRE","( "&amp;Base_Periodo1[[#This Row],[Tipo_Linha]]&amp;" ) "&amp;Base_Periodo1[[#This Row],[Filtro]])</f>
        <v>Fora do DRE</v>
      </c>
      <c r="W5588" s="3" t="str">
        <f>LEFT(Base_Periodo1[[#This Row],[CLASS]],3)</f>
        <v>2.4</v>
      </c>
    </row>
    <row r="5589" spans="1:23" hidden="1">
      <c r="A5589" s="3" t="str">
        <f t="shared" si="87"/>
        <v>Período 1</v>
      </c>
      <c r="B5589">
        <v>55080</v>
      </c>
      <c r="C5589" t="s">
        <v>2300</v>
      </c>
      <c r="D5589" t="s">
        <v>5356</v>
      </c>
      <c r="E5589" s="3" t="str">
        <f>IF(LEN(Base_Periodo1[[#This Row],[CLASS]])&gt;=7,LEFT(Base_Periodo1[[#This Row],[CLASS]],7),"")</f>
        <v>2.4.1.1</v>
      </c>
      <c r="F5589" s="3" t="str">
        <f>VLOOKUP(Base_Periodo1[[#This Row],[Aux]],Base_Contas_Balanco[#All],2,FALSE)</f>
        <v>Capital Social Realizado</v>
      </c>
      <c r="G5589" s="1"/>
      <c r="H5589" s="281">
        <v>50</v>
      </c>
      <c r="I5589" s="281">
        <v>0</v>
      </c>
      <c r="J5589" s="281">
        <v>0</v>
      </c>
      <c r="K5589" s="281">
        <v>50</v>
      </c>
      <c r="L558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589" s="281">
        <f>ROUND(IF(AND(Base_Periodo1[[#This Row],[Tipo_Linha]]="-",Base_Periodo1[[#This Row],[TIPOSALDO]]="D"),Base_Periodo1[[#This Row],[SALDO_ATUAL]]*-1,Base_Periodo1[[#This Row],[SALDO_ATUAL]]),4)</f>
        <v>50</v>
      </c>
      <c r="N5589" t="s">
        <v>116</v>
      </c>
      <c r="O5589" t="s">
        <v>459</v>
      </c>
      <c r="P5589" t="s">
        <v>459</v>
      </c>
      <c r="Q5589">
        <v>6</v>
      </c>
      <c r="R5589" s="281">
        <f>Base_Periodo1[[#This Row],[CREDITOS]]-Base_Periodo1[[#This Row],[DEBITOS]]</f>
        <v>0</v>
      </c>
      <c r="S5589" s="3" t="str">
        <f>IF(ISERROR(VLOOKUP(Base_Periodo1[[#This Row],[CONTA]],BaseContasDRE[#All],4,FALSE)),"Fora do DRE",VLOOKUP(Base_Periodo1[[#This Row],[CONTA]],BaseContasDRE[#All],4,FALSE))</f>
        <v>Fora do DRE</v>
      </c>
      <c r="T5589" s="3" t="str">
        <f>IF(ISERROR(VLOOKUP(Base_Periodo1[[#This Row],[CONTA]],BaseContasDRE[#All],5,FALSE)),"Fora do DRE",VLOOKUP(Base_Periodo1[[#This Row],[CONTA]],BaseContasDRE[#All],6,FALSE))</f>
        <v>Fora do DRE</v>
      </c>
      <c r="U5589" s="3" t="str">
        <f>IF(ISERROR(VLOOKUP(Base_Periodo1[[#This Row],[CONTA]],BaseContasDRE[#All],7,FALSE)),"Fora do DRE",VLOOKUP(Base_Periodo1[[#This Row],[CONTA]],BaseContasDRE[#All],7,FALSE))</f>
        <v>Fora do DRE</v>
      </c>
      <c r="V5589" s="3" t="str">
        <f>IF(Base_Periodo1[[#This Row],[Tipo_Linha]]="Fora do DRE","Fora do DRE","( "&amp;Base_Periodo1[[#This Row],[Tipo_Linha]]&amp;" ) "&amp;Base_Periodo1[[#This Row],[Filtro]])</f>
        <v>Fora do DRE</v>
      </c>
      <c r="W5589" s="3" t="str">
        <f>LEFT(Base_Periodo1[[#This Row],[CLASS]],3)</f>
        <v>2.4</v>
      </c>
    </row>
    <row r="5590" spans="1:23" hidden="1">
      <c r="A5590" s="3" t="str">
        <f t="shared" si="87"/>
        <v>Período 1</v>
      </c>
      <c r="B5590">
        <v>16216</v>
      </c>
      <c r="C5590" t="s">
        <v>2300</v>
      </c>
      <c r="D5590" t="s">
        <v>3393</v>
      </c>
      <c r="E5590" s="3" t="str">
        <f>IF(LEN(Base_Periodo1[[#This Row],[CLASS]])&gt;=7,LEFT(Base_Periodo1[[#This Row],[CLASS]],7),"")</f>
        <v>2.4.1.1</v>
      </c>
      <c r="F5590" s="3" t="str">
        <f>VLOOKUP(Base_Periodo1[[#This Row],[Aux]],Base_Contas_Balanco[#All],2,FALSE)</f>
        <v>Capital Social Realizado</v>
      </c>
      <c r="G5590" s="1"/>
      <c r="H5590" s="281">
        <v>15885.289999999999</v>
      </c>
      <c r="I5590" s="281">
        <v>0</v>
      </c>
      <c r="J5590" s="281">
        <v>0</v>
      </c>
      <c r="K5590" s="281">
        <v>15885.289999999999</v>
      </c>
      <c r="L559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15885.29</v>
      </c>
      <c r="M5590" s="281">
        <f>ROUND(IF(AND(Base_Periodo1[[#This Row],[Tipo_Linha]]="-",Base_Periodo1[[#This Row],[TIPOSALDO]]="D"),Base_Periodo1[[#This Row],[SALDO_ATUAL]]*-1,Base_Periodo1[[#This Row],[SALDO_ATUAL]]),4)</f>
        <v>15885.29</v>
      </c>
      <c r="N5590" t="s">
        <v>116</v>
      </c>
      <c r="O5590" t="s">
        <v>459</v>
      </c>
      <c r="P5590" t="s">
        <v>459</v>
      </c>
      <c r="Q5590">
        <v>6</v>
      </c>
      <c r="R5590" s="281">
        <f>Base_Periodo1[[#This Row],[CREDITOS]]-Base_Periodo1[[#This Row],[DEBITOS]]</f>
        <v>0</v>
      </c>
      <c r="S5590" s="3" t="str">
        <f>IF(ISERROR(VLOOKUP(Base_Periodo1[[#This Row],[CONTA]],BaseContasDRE[#All],4,FALSE)),"Fora do DRE",VLOOKUP(Base_Periodo1[[#This Row],[CONTA]],BaseContasDRE[#All],4,FALSE))</f>
        <v>Fora do DRE</v>
      </c>
      <c r="T5590" s="3" t="str">
        <f>IF(ISERROR(VLOOKUP(Base_Periodo1[[#This Row],[CONTA]],BaseContasDRE[#All],5,FALSE)),"Fora do DRE",VLOOKUP(Base_Periodo1[[#This Row],[CONTA]],BaseContasDRE[#All],6,FALSE))</f>
        <v>Fora do DRE</v>
      </c>
      <c r="U5590" s="3" t="str">
        <f>IF(ISERROR(VLOOKUP(Base_Periodo1[[#This Row],[CONTA]],BaseContasDRE[#All],7,FALSE)),"Fora do DRE",VLOOKUP(Base_Periodo1[[#This Row],[CONTA]],BaseContasDRE[#All],7,FALSE))</f>
        <v>Fora do DRE</v>
      </c>
      <c r="V5590" s="3" t="str">
        <f>IF(Base_Periodo1[[#This Row],[Tipo_Linha]]="Fora do DRE","Fora do DRE","( "&amp;Base_Periodo1[[#This Row],[Tipo_Linha]]&amp;" ) "&amp;Base_Periodo1[[#This Row],[Filtro]])</f>
        <v>Fora do DRE</v>
      </c>
      <c r="W5590" s="3" t="str">
        <f>LEFT(Base_Periodo1[[#This Row],[CLASS]],3)</f>
        <v>2.4</v>
      </c>
    </row>
    <row r="5591" spans="1:23" hidden="1">
      <c r="A5591" s="3" t="str">
        <f t="shared" si="87"/>
        <v>Período 1</v>
      </c>
      <c r="B5591">
        <v>25603</v>
      </c>
      <c r="C5591" t="s">
        <v>2300</v>
      </c>
      <c r="D5591" t="s">
        <v>3394</v>
      </c>
      <c r="E5591" s="3" t="str">
        <f>IF(LEN(Base_Periodo1[[#This Row],[CLASS]])&gt;=7,LEFT(Base_Periodo1[[#This Row],[CLASS]],7),"")</f>
        <v>2.4.1.1</v>
      </c>
      <c r="F5591" s="3" t="str">
        <f>VLOOKUP(Base_Periodo1[[#This Row],[Aux]],Base_Contas_Balanco[#All],2,FALSE)</f>
        <v>Capital Social Realizado</v>
      </c>
      <c r="G5591" s="1"/>
      <c r="H5591" s="281">
        <v>153.73000000000002</v>
      </c>
      <c r="I5591" s="281">
        <v>0</v>
      </c>
      <c r="J5591" s="281">
        <v>0</v>
      </c>
      <c r="K5591" s="281">
        <v>153.73000000000002</v>
      </c>
      <c r="L559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153.72999999999999</v>
      </c>
      <c r="M5591" s="281">
        <f>ROUND(IF(AND(Base_Periodo1[[#This Row],[Tipo_Linha]]="-",Base_Periodo1[[#This Row],[TIPOSALDO]]="D"),Base_Periodo1[[#This Row],[SALDO_ATUAL]]*-1,Base_Periodo1[[#This Row],[SALDO_ATUAL]]),4)</f>
        <v>153.72999999999999</v>
      </c>
      <c r="N5591" t="s">
        <v>116</v>
      </c>
      <c r="O5591" t="s">
        <v>459</v>
      </c>
      <c r="P5591" t="s">
        <v>459</v>
      </c>
      <c r="Q5591">
        <v>6</v>
      </c>
      <c r="R5591" s="281">
        <f>Base_Periodo1[[#This Row],[CREDITOS]]-Base_Periodo1[[#This Row],[DEBITOS]]</f>
        <v>0</v>
      </c>
      <c r="S5591" s="3" t="str">
        <f>IF(ISERROR(VLOOKUP(Base_Periodo1[[#This Row],[CONTA]],BaseContasDRE[#All],4,FALSE)),"Fora do DRE",VLOOKUP(Base_Periodo1[[#This Row],[CONTA]],BaseContasDRE[#All],4,FALSE))</f>
        <v>Fora do DRE</v>
      </c>
      <c r="T5591" s="3" t="str">
        <f>IF(ISERROR(VLOOKUP(Base_Periodo1[[#This Row],[CONTA]],BaseContasDRE[#All],5,FALSE)),"Fora do DRE",VLOOKUP(Base_Periodo1[[#This Row],[CONTA]],BaseContasDRE[#All],6,FALSE))</f>
        <v>Fora do DRE</v>
      </c>
      <c r="U5591" s="3" t="str">
        <f>IF(ISERROR(VLOOKUP(Base_Periodo1[[#This Row],[CONTA]],BaseContasDRE[#All],7,FALSE)),"Fora do DRE",VLOOKUP(Base_Periodo1[[#This Row],[CONTA]],BaseContasDRE[#All],7,FALSE))</f>
        <v>Fora do DRE</v>
      </c>
      <c r="V5591" s="3" t="str">
        <f>IF(Base_Periodo1[[#This Row],[Tipo_Linha]]="Fora do DRE","Fora do DRE","( "&amp;Base_Periodo1[[#This Row],[Tipo_Linha]]&amp;" ) "&amp;Base_Periodo1[[#This Row],[Filtro]])</f>
        <v>Fora do DRE</v>
      </c>
      <c r="W5591" s="3" t="str">
        <f>LEFT(Base_Periodo1[[#This Row],[CLASS]],3)</f>
        <v>2.4</v>
      </c>
    </row>
    <row r="5592" spans="1:23" hidden="1">
      <c r="A5592" s="3" t="str">
        <f t="shared" si="87"/>
        <v>Período 1</v>
      </c>
      <c r="B5592">
        <v>15943</v>
      </c>
      <c r="C5592" t="s">
        <v>2300</v>
      </c>
      <c r="D5592" t="s">
        <v>3395</v>
      </c>
      <c r="E5592" s="3" t="str">
        <f>IF(LEN(Base_Periodo1[[#This Row],[CLASS]])&gt;=7,LEFT(Base_Periodo1[[#This Row],[CLASS]],7),"")</f>
        <v>2.4.1.1</v>
      </c>
      <c r="F5592" s="3" t="str">
        <f>VLOOKUP(Base_Periodo1[[#This Row],[Aux]],Base_Contas_Balanco[#All],2,FALSE)</f>
        <v>Capital Social Realizado</v>
      </c>
      <c r="G5592" s="1"/>
      <c r="H5592" s="281">
        <v>2186.4299999999998</v>
      </c>
      <c r="I5592" s="281">
        <v>0</v>
      </c>
      <c r="J5592" s="281">
        <v>0</v>
      </c>
      <c r="K5592" s="281">
        <v>2186.4299999999998</v>
      </c>
      <c r="L559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2186.4299999999998</v>
      </c>
      <c r="M5592" s="281">
        <f>ROUND(IF(AND(Base_Periodo1[[#This Row],[Tipo_Linha]]="-",Base_Periodo1[[#This Row],[TIPOSALDO]]="D"),Base_Periodo1[[#This Row],[SALDO_ATUAL]]*-1,Base_Periodo1[[#This Row],[SALDO_ATUAL]]),4)</f>
        <v>2186.4299999999998</v>
      </c>
      <c r="N5592" t="s">
        <v>116</v>
      </c>
      <c r="O5592" t="s">
        <v>459</v>
      </c>
      <c r="P5592" t="s">
        <v>459</v>
      </c>
      <c r="Q5592">
        <v>6</v>
      </c>
      <c r="R5592" s="281">
        <f>Base_Periodo1[[#This Row],[CREDITOS]]-Base_Periodo1[[#This Row],[DEBITOS]]</f>
        <v>0</v>
      </c>
      <c r="S5592" s="3" t="str">
        <f>IF(ISERROR(VLOOKUP(Base_Periodo1[[#This Row],[CONTA]],BaseContasDRE[#All],4,FALSE)),"Fora do DRE",VLOOKUP(Base_Periodo1[[#This Row],[CONTA]],BaseContasDRE[#All],4,FALSE))</f>
        <v>Fora do DRE</v>
      </c>
      <c r="T5592" s="3" t="str">
        <f>IF(ISERROR(VLOOKUP(Base_Periodo1[[#This Row],[CONTA]],BaseContasDRE[#All],5,FALSE)),"Fora do DRE",VLOOKUP(Base_Periodo1[[#This Row],[CONTA]],BaseContasDRE[#All],6,FALSE))</f>
        <v>Fora do DRE</v>
      </c>
      <c r="U5592" s="3" t="str">
        <f>IF(ISERROR(VLOOKUP(Base_Periodo1[[#This Row],[CONTA]],BaseContasDRE[#All],7,FALSE)),"Fora do DRE",VLOOKUP(Base_Periodo1[[#This Row],[CONTA]],BaseContasDRE[#All],7,FALSE))</f>
        <v>Fora do DRE</v>
      </c>
      <c r="V5592" s="3" t="str">
        <f>IF(Base_Periodo1[[#This Row],[Tipo_Linha]]="Fora do DRE","Fora do DRE","( "&amp;Base_Periodo1[[#This Row],[Tipo_Linha]]&amp;" ) "&amp;Base_Periodo1[[#This Row],[Filtro]])</f>
        <v>Fora do DRE</v>
      </c>
      <c r="W5592" s="3" t="str">
        <f>LEFT(Base_Periodo1[[#This Row],[CLASS]],3)</f>
        <v>2.4</v>
      </c>
    </row>
    <row r="5593" spans="1:23" hidden="1">
      <c r="A5593" s="3" t="str">
        <f t="shared" si="87"/>
        <v>Período 1</v>
      </c>
      <c r="B5593">
        <v>15942</v>
      </c>
      <c r="C5593" t="s">
        <v>2300</v>
      </c>
      <c r="D5593" t="s">
        <v>3396</v>
      </c>
      <c r="E5593" s="3" t="str">
        <f>IF(LEN(Base_Periodo1[[#This Row],[CLASS]])&gt;=7,LEFT(Base_Periodo1[[#This Row],[CLASS]],7),"")</f>
        <v>2.4.1.1</v>
      </c>
      <c r="F5593" s="3" t="str">
        <f>VLOOKUP(Base_Periodo1[[#This Row],[Aux]],Base_Contas_Balanco[#All],2,FALSE)</f>
        <v>Capital Social Realizado</v>
      </c>
      <c r="G5593" s="1"/>
      <c r="H5593" s="281">
        <v>895.14</v>
      </c>
      <c r="I5593" s="281">
        <v>0</v>
      </c>
      <c r="J5593" s="281">
        <v>0</v>
      </c>
      <c r="K5593" s="281">
        <v>895.14</v>
      </c>
      <c r="L559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895.14</v>
      </c>
      <c r="M5593" s="281">
        <f>ROUND(IF(AND(Base_Periodo1[[#This Row],[Tipo_Linha]]="-",Base_Periodo1[[#This Row],[TIPOSALDO]]="D"),Base_Periodo1[[#This Row],[SALDO_ATUAL]]*-1,Base_Periodo1[[#This Row],[SALDO_ATUAL]]),4)</f>
        <v>895.14</v>
      </c>
      <c r="N5593" t="s">
        <v>116</v>
      </c>
      <c r="O5593" t="s">
        <v>459</v>
      </c>
      <c r="P5593" t="s">
        <v>459</v>
      </c>
      <c r="Q5593">
        <v>6</v>
      </c>
      <c r="R5593" s="281">
        <f>Base_Periodo1[[#This Row],[CREDITOS]]-Base_Periodo1[[#This Row],[DEBITOS]]</f>
        <v>0</v>
      </c>
      <c r="S5593" s="3" t="str">
        <f>IF(ISERROR(VLOOKUP(Base_Periodo1[[#This Row],[CONTA]],BaseContasDRE[#All],4,FALSE)),"Fora do DRE",VLOOKUP(Base_Periodo1[[#This Row],[CONTA]],BaseContasDRE[#All],4,FALSE))</f>
        <v>Fora do DRE</v>
      </c>
      <c r="T5593" s="3" t="str">
        <f>IF(ISERROR(VLOOKUP(Base_Periodo1[[#This Row],[CONTA]],BaseContasDRE[#All],5,FALSE)),"Fora do DRE",VLOOKUP(Base_Periodo1[[#This Row],[CONTA]],BaseContasDRE[#All],6,FALSE))</f>
        <v>Fora do DRE</v>
      </c>
      <c r="U5593" s="3" t="str">
        <f>IF(ISERROR(VLOOKUP(Base_Periodo1[[#This Row],[CONTA]],BaseContasDRE[#All],7,FALSE)),"Fora do DRE",VLOOKUP(Base_Periodo1[[#This Row],[CONTA]],BaseContasDRE[#All],7,FALSE))</f>
        <v>Fora do DRE</v>
      </c>
      <c r="V5593" s="3" t="str">
        <f>IF(Base_Periodo1[[#This Row],[Tipo_Linha]]="Fora do DRE","Fora do DRE","( "&amp;Base_Periodo1[[#This Row],[Tipo_Linha]]&amp;" ) "&amp;Base_Periodo1[[#This Row],[Filtro]])</f>
        <v>Fora do DRE</v>
      </c>
      <c r="W5593" s="3" t="str">
        <f>LEFT(Base_Periodo1[[#This Row],[CLASS]],3)</f>
        <v>2.4</v>
      </c>
    </row>
    <row r="5594" spans="1:23" hidden="1">
      <c r="A5594" s="3" t="str">
        <f t="shared" si="87"/>
        <v>Período 1</v>
      </c>
      <c r="B5594">
        <v>22608</v>
      </c>
      <c r="C5594" t="s">
        <v>2300</v>
      </c>
      <c r="D5594" t="s">
        <v>3397</v>
      </c>
      <c r="E5594" s="3" t="str">
        <f>IF(LEN(Base_Periodo1[[#This Row],[CLASS]])&gt;=7,LEFT(Base_Periodo1[[#This Row],[CLASS]],7),"")</f>
        <v>2.4.1.1</v>
      </c>
      <c r="F5594" s="3" t="str">
        <f>VLOOKUP(Base_Periodo1[[#This Row],[Aux]],Base_Contas_Balanco[#All],2,FALSE)</f>
        <v>Capital Social Realizado</v>
      </c>
      <c r="G5594" s="1"/>
      <c r="H5594" s="281">
        <v>818.84</v>
      </c>
      <c r="I5594" s="281">
        <v>0</v>
      </c>
      <c r="J5594" s="281">
        <v>0</v>
      </c>
      <c r="K5594" s="281">
        <v>818.84</v>
      </c>
      <c r="L559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818.84</v>
      </c>
      <c r="M5594" s="281">
        <f>ROUND(IF(AND(Base_Periodo1[[#This Row],[Tipo_Linha]]="-",Base_Periodo1[[#This Row],[TIPOSALDO]]="D"),Base_Periodo1[[#This Row],[SALDO_ATUAL]]*-1,Base_Periodo1[[#This Row],[SALDO_ATUAL]]),4)</f>
        <v>818.84</v>
      </c>
      <c r="N5594" t="s">
        <v>116</v>
      </c>
      <c r="O5594" t="s">
        <v>459</v>
      </c>
      <c r="P5594" t="s">
        <v>459</v>
      </c>
      <c r="Q5594">
        <v>6</v>
      </c>
      <c r="R5594" s="281">
        <f>Base_Periodo1[[#This Row],[CREDITOS]]-Base_Periodo1[[#This Row],[DEBITOS]]</f>
        <v>0</v>
      </c>
      <c r="S5594" s="3" t="str">
        <f>IF(ISERROR(VLOOKUP(Base_Periodo1[[#This Row],[CONTA]],BaseContasDRE[#All],4,FALSE)),"Fora do DRE",VLOOKUP(Base_Periodo1[[#This Row],[CONTA]],BaseContasDRE[#All],4,FALSE))</f>
        <v>Fora do DRE</v>
      </c>
      <c r="T5594" s="3" t="str">
        <f>IF(ISERROR(VLOOKUP(Base_Periodo1[[#This Row],[CONTA]],BaseContasDRE[#All],5,FALSE)),"Fora do DRE",VLOOKUP(Base_Periodo1[[#This Row],[CONTA]],BaseContasDRE[#All],6,FALSE))</f>
        <v>Fora do DRE</v>
      </c>
      <c r="U5594" s="3" t="str">
        <f>IF(ISERROR(VLOOKUP(Base_Periodo1[[#This Row],[CONTA]],BaseContasDRE[#All],7,FALSE)),"Fora do DRE",VLOOKUP(Base_Periodo1[[#This Row],[CONTA]],BaseContasDRE[#All],7,FALSE))</f>
        <v>Fora do DRE</v>
      </c>
      <c r="V5594" s="3" t="str">
        <f>IF(Base_Periodo1[[#This Row],[Tipo_Linha]]="Fora do DRE","Fora do DRE","( "&amp;Base_Periodo1[[#This Row],[Tipo_Linha]]&amp;" ) "&amp;Base_Periodo1[[#This Row],[Filtro]])</f>
        <v>Fora do DRE</v>
      </c>
      <c r="W5594" s="3" t="str">
        <f>LEFT(Base_Periodo1[[#This Row],[CLASS]],3)</f>
        <v>2.4</v>
      </c>
    </row>
    <row r="5595" spans="1:23" hidden="1">
      <c r="A5595" s="3" t="str">
        <f t="shared" si="87"/>
        <v>Período 1</v>
      </c>
      <c r="B5595">
        <v>25739</v>
      </c>
      <c r="C5595" t="s">
        <v>2300</v>
      </c>
      <c r="D5595" t="s">
        <v>3398</v>
      </c>
      <c r="E5595" s="3" t="str">
        <f>IF(LEN(Base_Periodo1[[#This Row],[CLASS]])&gt;=7,LEFT(Base_Periodo1[[#This Row],[CLASS]],7),"")</f>
        <v>2.4.1.1</v>
      </c>
      <c r="F5595" s="3" t="str">
        <f>VLOOKUP(Base_Periodo1[[#This Row],[Aux]],Base_Contas_Balanco[#All],2,FALSE)</f>
        <v>Capital Social Realizado</v>
      </c>
      <c r="G5595" s="1"/>
      <c r="H5595" s="281">
        <v>50</v>
      </c>
      <c r="I5595" s="281">
        <v>0</v>
      </c>
      <c r="J5595" s="281">
        <v>0</v>
      </c>
      <c r="K5595" s="281">
        <v>50</v>
      </c>
      <c r="L559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595" s="281">
        <f>ROUND(IF(AND(Base_Periodo1[[#This Row],[Tipo_Linha]]="-",Base_Periodo1[[#This Row],[TIPOSALDO]]="D"),Base_Periodo1[[#This Row],[SALDO_ATUAL]]*-1,Base_Periodo1[[#This Row],[SALDO_ATUAL]]),4)</f>
        <v>50</v>
      </c>
      <c r="N5595" t="s">
        <v>116</v>
      </c>
      <c r="O5595" t="s">
        <v>459</v>
      </c>
      <c r="P5595" t="s">
        <v>459</v>
      </c>
      <c r="Q5595">
        <v>6</v>
      </c>
      <c r="R5595" s="281">
        <f>Base_Periodo1[[#This Row],[CREDITOS]]-Base_Periodo1[[#This Row],[DEBITOS]]</f>
        <v>0</v>
      </c>
      <c r="S5595" s="3" t="str">
        <f>IF(ISERROR(VLOOKUP(Base_Periodo1[[#This Row],[CONTA]],BaseContasDRE[#All],4,FALSE)),"Fora do DRE",VLOOKUP(Base_Periodo1[[#This Row],[CONTA]],BaseContasDRE[#All],4,FALSE))</f>
        <v>Fora do DRE</v>
      </c>
      <c r="T5595" s="3" t="str">
        <f>IF(ISERROR(VLOOKUP(Base_Periodo1[[#This Row],[CONTA]],BaseContasDRE[#All],5,FALSE)),"Fora do DRE",VLOOKUP(Base_Periodo1[[#This Row],[CONTA]],BaseContasDRE[#All],6,FALSE))</f>
        <v>Fora do DRE</v>
      </c>
      <c r="U5595" s="3" t="str">
        <f>IF(ISERROR(VLOOKUP(Base_Periodo1[[#This Row],[CONTA]],BaseContasDRE[#All],7,FALSE)),"Fora do DRE",VLOOKUP(Base_Periodo1[[#This Row],[CONTA]],BaseContasDRE[#All],7,FALSE))</f>
        <v>Fora do DRE</v>
      </c>
      <c r="V5595" s="3" t="str">
        <f>IF(Base_Periodo1[[#This Row],[Tipo_Linha]]="Fora do DRE","Fora do DRE","( "&amp;Base_Periodo1[[#This Row],[Tipo_Linha]]&amp;" ) "&amp;Base_Periodo1[[#This Row],[Filtro]])</f>
        <v>Fora do DRE</v>
      </c>
      <c r="W5595" s="3" t="str">
        <f>LEFT(Base_Periodo1[[#This Row],[CLASS]],3)</f>
        <v>2.4</v>
      </c>
    </row>
    <row r="5596" spans="1:23" hidden="1">
      <c r="A5596" s="3" t="str">
        <f t="shared" si="87"/>
        <v>Período 1</v>
      </c>
      <c r="B5596">
        <v>19395</v>
      </c>
      <c r="C5596" t="s">
        <v>2300</v>
      </c>
      <c r="D5596" t="s">
        <v>3399</v>
      </c>
      <c r="E5596" s="3" t="str">
        <f>IF(LEN(Base_Periodo1[[#This Row],[CLASS]])&gt;=7,LEFT(Base_Periodo1[[#This Row],[CLASS]],7),"")</f>
        <v>2.4.1.1</v>
      </c>
      <c r="F5596" s="3" t="str">
        <f>VLOOKUP(Base_Periodo1[[#This Row],[Aux]],Base_Contas_Balanco[#All],2,FALSE)</f>
        <v>Capital Social Realizado</v>
      </c>
      <c r="G5596" s="1"/>
      <c r="H5596" s="281">
        <v>997.31</v>
      </c>
      <c r="I5596" s="281">
        <v>0</v>
      </c>
      <c r="J5596" s="281">
        <v>0</v>
      </c>
      <c r="K5596" s="281">
        <v>997.31</v>
      </c>
      <c r="L559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997.31</v>
      </c>
      <c r="M5596" s="281">
        <f>ROUND(IF(AND(Base_Periodo1[[#This Row],[Tipo_Linha]]="-",Base_Periodo1[[#This Row],[TIPOSALDO]]="D"),Base_Periodo1[[#This Row],[SALDO_ATUAL]]*-1,Base_Periodo1[[#This Row],[SALDO_ATUAL]]),4)</f>
        <v>997.31</v>
      </c>
      <c r="N5596" t="s">
        <v>116</v>
      </c>
      <c r="O5596" t="s">
        <v>459</v>
      </c>
      <c r="P5596" t="s">
        <v>459</v>
      </c>
      <c r="Q5596">
        <v>6</v>
      </c>
      <c r="R5596" s="281">
        <f>Base_Periodo1[[#This Row],[CREDITOS]]-Base_Periodo1[[#This Row],[DEBITOS]]</f>
        <v>0</v>
      </c>
      <c r="S5596" s="3" t="str">
        <f>IF(ISERROR(VLOOKUP(Base_Periodo1[[#This Row],[CONTA]],BaseContasDRE[#All],4,FALSE)),"Fora do DRE",VLOOKUP(Base_Periodo1[[#This Row],[CONTA]],BaseContasDRE[#All],4,FALSE))</f>
        <v>Fora do DRE</v>
      </c>
      <c r="T5596" s="3" t="str">
        <f>IF(ISERROR(VLOOKUP(Base_Periodo1[[#This Row],[CONTA]],BaseContasDRE[#All],5,FALSE)),"Fora do DRE",VLOOKUP(Base_Periodo1[[#This Row],[CONTA]],BaseContasDRE[#All],6,FALSE))</f>
        <v>Fora do DRE</v>
      </c>
      <c r="U5596" s="3" t="str">
        <f>IF(ISERROR(VLOOKUP(Base_Periodo1[[#This Row],[CONTA]],BaseContasDRE[#All],7,FALSE)),"Fora do DRE",VLOOKUP(Base_Periodo1[[#This Row],[CONTA]],BaseContasDRE[#All],7,FALSE))</f>
        <v>Fora do DRE</v>
      </c>
      <c r="V5596" s="3" t="str">
        <f>IF(Base_Periodo1[[#This Row],[Tipo_Linha]]="Fora do DRE","Fora do DRE","( "&amp;Base_Periodo1[[#This Row],[Tipo_Linha]]&amp;" ) "&amp;Base_Periodo1[[#This Row],[Filtro]])</f>
        <v>Fora do DRE</v>
      </c>
      <c r="W5596" s="3" t="str">
        <f>LEFT(Base_Periodo1[[#This Row],[CLASS]],3)</f>
        <v>2.4</v>
      </c>
    </row>
    <row r="5597" spans="1:23" hidden="1">
      <c r="A5597" s="3" t="str">
        <f t="shared" si="87"/>
        <v>Período 1</v>
      </c>
      <c r="B5597">
        <v>51391</v>
      </c>
      <c r="C5597" t="s">
        <v>2300</v>
      </c>
      <c r="D5597" t="s">
        <v>4632</v>
      </c>
      <c r="E5597" s="3" t="str">
        <f>IF(LEN(Base_Periodo1[[#This Row],[CLASS]])&gt;=7,LEFT(Base_Periodo1[[#This Row],[CLASS]],7),"")</f>
        <v>2.4.1.1</v>
      </c>
      <c r="F5597" s="3" t="str">
        <f>VLOOKUP(Base_Periodo1[[#This Row],[Aux]],Base_Contas_Balanco[#All],2,FALSE)</f>
        <v>Capital Social Realizado</v>
      </c>
      <c r="G5597" s="1"/>
      <c r="H5597" s="281">
        <v>50</v>
      </c>
      <c r="I5597" s="281">
        <v>0</v>
      </c>
      <c r="J5597" s="281">
        <v>0</v>
      </c>
      <c r="K5597" s="281">
        <v>50</v>
      </c>
      <c r="L559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597" s="281">
        <f>ROUND(IF(AND(Base_Periodo1[[#This Row],[Tipo_Linha]]="-",Base_Periodo1[[#This Row],[TIPOSALDO]]="D"),Base_Periodo1[[#This Row],[SALDO_ATUAL]]*-1,Base_Periodo1[[#This Row],[SALDO_ATUAL]]),4)</f>
        <v>50</v>
      </c>
      <c r="N5597" t="s">
        <v>116</v>
      </c>
      <c r="O5597" t="s">
        <v>459</v>
      </c>
      <c r="P5597" t="s">
        <v>459</v>
      </c>
      <c r="Q5597">
        <v>6</v>
      </c>
      <c r="R5597" s="281">
        <f>Base_Periodo1[[#This Row],[CREDITOS]]-Base_Periodo1[[#This Row],[DEBITOS]]</f>
        <v>0</v>
      </c>
      <c r="S5597" s="3" t="str">
        <f>IF(ISERROR(VLOOKUP(Base_Periodo1[[#This Row],[CONTA]],BaseContasDRE[#All],4,FALSE)),"Fora do DRE",VLOOKUP(Base_Periodo1[[#This Row],[CONTA]],BaseContasDRE[#All],4,FALSE))</f>
        <v>Fora do DRE</v>
      </c>
      <c r="T5597" s="3" t="str">
        <f>IF(ISERROR(VLOOKUP(Base_Periodo1[[#This Row],[CONTA]],BaseContasDRE[#All],5,FALSE)),"Fora do DRE",VLOOKUP(Base_Periodo1[[#This Row],[CONTA]],BaseContasDRE[#All],6,FALSE))</f>
        <v>Fora do DRE</v>
      </c>
      <c r="U5597" s="3" t="str">
        <f>IF(ISERROR(VLOOKUP(Base_Periodo1[[#This Row],[CONTA]],BaseContasDRE[#All],7,FALSE)),"Fora do DRE",VLOOKUP(Base_Periodo1[[#This Row],[CONTA]],BaseContasDRE[#All],7,FALSE))</f>
        <v>Fora do DRE</v>
      </c>
      <c r="V5597" s="3" t="str">
        <f>IF(Base_Periodo1[[#This Row],[Tipo_Linha]]="Fora do DRE","Fora do DRE","( "&amp;Base_Periodo1[[#This Row],[Tipo_Linha]]&amp;" ) "&amp;Base_Periodo1[[#This Row],[Filtro]])</f>
        <v>Fora do DRE</v>
      </c>
      <c r="W5597" s="3" t="str">
        <f>LEFT(Base_Periodo1[[#This Row],[CLASS]],3)</f>
        <v>2.4</v>
      </c>
    </row>
    <row r="5598" spans="1:23" hidden="1">
      <c r="A5598" s="3" t="str">
        <f t="shared" si="87"/>
        <v>Período 1</v>
      </c>
      <c r="B5598">
        <v>29683</v>
      </c>
      <c r="C5598" t="s">
        <v>2300</v>
      </c>
      <c r="D5598" t="s">
        <v>3400</v>
      </c>
      <c r="E5598" s="3" t="str">
        <f>IF(LEN(Base_Periodo1[[#This Row],[CLASS]])&gt;=7,LEFT(Base_Periodo1[[#This Row],[CLASS]],7),"")</f>
        <v>2.4.1.1</v>
      </c>
      <c r="F5598" s="3" t="str">
        <f>VLOOKUP(Base_Periodo1[[#This Row],[Aux]],Base_Contas_Balanco[#All],2,FALSE)</f>
        <v>Capital Social Realizado</v>
      </c>
      <c r="G5598" s="1"/>
      <c r="H5598" s="281">
        <v>634.22</v>
      </c>
      <c r="I5598" s="281">
        <v>0</v>
      </c>
      <c r="J5598" s="281">
        <v>0</v>
      </c>
      <c r="K5598" s="281">
        <v>634.22</v>
      </c>
      <c r="L559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634.22</v>
      </c>
      <c r="M5598" s="281">
        <f>ROUND(IF(AND(Base_Periodo1[[#This Row],[Tipo_Linha]]="-",Base_Periodo1[[#This Row],[TIPOSALDO]]="D"),Base_Periodo1[[#This Row],[SALDO_ATUAL]]*-1,Base_Periodo1[[#This Row],[SALDO_ATUAL]]),4)</f>
        <v>634.22</v>
      </c>
      <c r="N5598" t="s">
        <v>116</v>
      </c>
      <c r="O5598" t="s">
        <v>459</v>
      </c>
      <c r="P5598" t="s">
        <v>459</v>
      </c>
      <c r="Q5598">
        <v>6</v>
      </c>
      <c r="R5598" s="281">
        <f>Base_Periodo1[[#This Row],[CREDITOS]]-Base_Periodo1[[#This Row],[DEBITOS]]</f>
        <v>0</v>
      </c>
      <c r="S5598" s="3" t="str">
        <f>IF(ISERROR(VLOOKUP(Base_Periodo1[[#This Row],[CONTA]],BaseContasDRE[#All],4,FALSE)),"Fora do DRE",VLOOKUP(Base_Periodo1[[#This Row],[CONTA]],BaseContasDRE[#All],4,FALSE))</f>
        <v>Fora do DRE</v>
      </c>
      <c r="T5598" s="3" t="str">
        <f>IF(ISERROR(VLOOKUP(Base_Periodo1[[#This Row],[CONTA]],BaseContasDRE[#All],5,FALSE)),"Fora do DRE",VLOOKUP(Base_Periodo1[[#This Row],[CONTA]],BaseContasDRE[#All],6,FALSE))</f>
        <v>Fora do DRE</v>
      </c>
      <c r="U5598" s="3" t="str">
        <f>IF(ISERROR(VLOOKUP(Base_Periodo1[[#This Row],[CONTA]],BaseContasDRE[#All],7,FALSE)),"Fora do DRE",VLOOKUP(Base_Periodo1[[#This Row],[CONTA]],BaseContasDRE[#All],7,FALSE))</f>
        <v>Fora do DRE</v>
      </c>
      <c r="V5598" s="3" t="str">
        <f>IF(Base_Periodo1[[#This Row],[Tipo_Linha]]="Fora do DRE","Fora do DRE","( "&amp;Base_Periodo1[[#This Row],[Tipo_Linha]]&amp;" ) "&amp;Base_Periodo1[[#This Row],[Filtro]])</f>
        <v>Fora do DRE</v>
      </c>
      <c r="W5598" s="3" t="str">
        <f>LEFT(Base_Periodo1[[#This Row],[CLASS]],3)</f>
        <v>2.4</v>
      </c>
    </row>
    <row r="5599" spans="1:23" hidden="1">
      <c r="A5599" s="3" t="str">
        <f t="shared" si="87"/>
        <v>Período 1</v>
      </c>
      <c r="B5599">
        <v>39769</v>
      </c>
      <c r="C5599" t="s">
        <v>2300</v>
      </c>
      <c r="D5599" t="s">
        <v>3401</v>
      </c>
      <c r="E5599" s="3" t="str">
        <f>IF(LEN(Base_Periodo1[[#This Row],[CLASS]])&gt;=7,LEFT(Base_Periodo1[[#This Row],[CLASS]],7),"")</f>
        <v>2.4.1.1</v>
      </c>
      <c r="F5599" s="3" t="str">
        <f>VLOOKUP(Base_Periodo1[[#This Row],[Aux]],Base_Contas_Balanco[#All],2,FALSE)</f>
        <v>Capital Social Realizado</v>
      </c>
      <c r="G5599" s="1"/>
      <c r="H5599" s="281">
        <v>977</v>
      </c>
      <c r="I5599" s="281">
        <v>0</v>
      </c>
      <c r="J5599" s="281">
        <v>0</v>
      </c>
      <c r="K5599" s="281">
        <v>977</v>
      </c>
      <c r="L559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977</v>
      </c>
      <c r="M5599" s="281">
        <f>ROUND(IF(AND(Base_Periodo1[[#This Row],[Tipo_Linha]]="-",Base_Periodo1[[#This Row],[TIPOSALDO]]="D"),Base_Periodo1[[#This Row],[SALDO_ATUAL]]*-1,Base_Periodo1[[#This Row],[SALDO_ATUAL]]),4)</f>
        <v>977</v>
      </c>
      <c r="N5599" t="s">
        <v>116</v>
      </c>
      <c r="O5599" t="s">
        <v>459</v>
      </c>
      <c r="P5599" t="s">
        <v>459</v>
      </c>
      <c r="Q5599">
        <v>6</v>
      </c>
      <c r="R5599" s="281">
        <f>Base_Periodo1[[#This Row],[CREDITOS]]-Base_Periodo1[[#This Row],[DEBITOS]]</f>
        <v>0</v>
      </c>
      <c r="S5599" s="3" t="str">
        <f>IF(ISERROR(VLOOKUP(Base_Periodo1[[#This Row],[CONTA]],BaseContasDRE[#All],4,FALSE)),"Fora do DRE",VLOOKUP(Base_Periodo1[[#This Row],[CONTA]],BaseContasDRE[#All],4,FALSE))</f>
        <v>Fora do DRE</v>
      </c>
      <c r="T5599" s="3" t="str">
        <f>IF(ISERROR(VLOOKUP(Base_Periodo1[[#This Row],[CONTA]],BaseContasDRE[#All],5,FALSE)),"Fora do DRE",VLOOKUP(Base_Periodo1[[#This Row],[CONTA]],BaseContasDRE[#All],6,FALSE))</f>
        <v>Fora do DRE</v>
      </c>
      <c r="U5599" s="3" t="str">
        <f>IF(ISERROR(VLOOKUP(Base_Periodo1[[#This Row],[CONTA]],BaseContasDRE[#All],7,FALSE)),"Fora do DRE",VLOOKUP(Base_Periodo1[[#This Row],[CONTA]],BaseContasDRE[#All],7,FALSE))</f>
        <v>Fora do DRE</v>
      </c>
      <c r="V5599" s="3" t="str">
        <f>IF(Base_Periodo1[[#This Row],[Tipo_Linha]]="Fora do DRE","Fora do DRE","( "&amp;Base_Periodo1[[#This Row],[Tipo_Linha]]&amp;" ) "&amp;Base_Periodo1[[#This Row],[Filtro]])</f>
        <v>Fora do DRE</v>
      </c>
      <c r="W5599" s="3" t="str">
        <f>LEFT(Base_Periodo1[[#This Row],[CLASS]],3)</f>
        <v>2.4</v>
      </c>
    </row>
    <row r="5600" spans="1:23" hidden="1">
      <c r="A5600" s="3" t="str">
        <f t="shared" si="87"/>
        <v>Período 1</v>
      </c>
      <c r="B5600">
        <v>47191</v>
      </c>
      <c r="C5600" t="s">
        <v>2300</v>
      </c>
      <c r="D5600" t="s">
        <v>3402</v>
      </c>
      <c r="E5600" s="3" t="str">
        <f>IF(LEN(Base_Periodo1[[#This Row],[CLASS]])&gt;=7,LEFT(Base_Periodo1[[#This Row],[CLASS]],7),"")</f>
        <v>2.4.1.1</v>
      </c>
      <c r="F5600" s="3" t="str">
        <f>VLOOKUP(Base_Periodo1[[#This Row],[Aux]],Base_Contas_Balanco[#All],2,FALSE)</f>
        <v>Capital Social Realizado</v>
      </c>
      <c r="G5600" s="1"/>
      <c r="H5600" s="281">
        <v>59.24</v>
      </c>
      <c r="I5600" s="281">
        <v>0</v>
      </c>
      <c r="J5600" s="281">
        <v>0</v>
      </c>
      <c r="K5600" s="281">
        <v>59.24</v>
      </c>
      <c r="L560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59.24</v>
      </c>
      <c r="M5600" s="281">
        <f>ROUND(IF(AND(Base_Periodo1[[#This Row],[Tipo_Linha]]="-",Base_Periodo1[[#This Row],[TIPOSALDO]]="D"),Base_Periodo1[[#This Row],[SALDO_ATUAL]]*-1,Base_Periodo1[[#This Row],[SALDO_ATUAL]]),4)</f>
        <v>59.24</v>
      </c>
      <c r="N5600" t="s">
        <v>116</v>
      </c>
      <c r="O5600" t="s">
        <v>459</v>
      </c>
      <c r="P5600" t="s">
        <v>459</v>
      </c>
      <c r="Q5600">
        <v>6</v>
      </c>
      <c r="R5600" s="281">
        <f>Base_Periodo1[[#This Row],[CREDITOS]]-Base_Periodo1[[#This Row],[DEBITOS]]</f>
        <v>0</v>
      </c>
      <c r="S5600" s="3" t="str">
        <f>IF(ISERROR(VLOOKUP(Base_Periodo1[[#This Row],[CONTA]],BaseContasDRE[#All],4,FALSE)),"Fora do DRE",VLOOKUP(Base_Periodo1[[#This Row],[CONTA]],BaseContasDRE[#All],4,FALSE))</f>
        <v>Fora do DRE</v>
      </c>
      <c r="T5600" s="3" t="str">
        <f>IF(ISERROR(VLOOKUP(Base_Periodo1[[#This Row],[CONTA]],BaseContasDRE[#All],5,FALSE)),"Fora do DRE",VLOOKUP(Base_Periodo1[[#This Row],[CONTA]],BaseContasDRE[#All],6,FALSE))</f>
        <v>Fora do DRE</v>
      </c>
      <c r="U5600" s="3" t="str">
        <f>IF(ISERROR(VLOOKUP(Base_Periodo1[[#This Row],[CONTA]],BaseContasDRE[#All],7,FALSE)),"Fora do DRE",VLOOKUP(Base_Periodo1[[#This Row],[CONTA]],BaseContasDRE[#All],7,FALSE))</f>
        <v>Fora do DRE</v>
      </c>
      <c r="V5600" s="3" t="str">
        <f>IF(Base_Periodo1[[#This Row],[Tipo_Linha]]="Fora do DRE","Fora do DRE","( "&amp;Base_Periodo1[[#This Row],[Tipo_Linha]]&amp;" ) "&amp;Base_Periodo1[[#This Row],[Filtro]])</f>
        <v>Fora do DRE</v>
      </c>
      <c r="W5600" s="3" t="str">
        <f>LEFT(Base_Periodo1[[#This Row],[CLASS]],3)</f>
        <v>2.4</v>
      </c>
    </row>
    <row r="5601" spans="1:23" hidden="1">
      <c r="A5601" s="3" t="str">
        <f t="shared" si="87"/>
        <v>Período 1</v>
      </c>
      <c r="B5601">
        <v>35125</v>
      </c>
      <c r="C5601" t="s">
        <v>2300</v>
      </c>
      <c r="D5601" t="s">
        <v>3403</v>
      </c>
      <c r="E5601" s="3" t="str">
        <f>IF(LEN(Base_Periodo1[[#This Row],[CLASS]])&gt;=7,LEFT(Base_Periodo1[[#This Row],[CLASS]],7),"")</f>
        <v>2.4.1.1</v>
      </c>
      <c r="F5601" s="3" t="str">
        <f>VLOOKUP(Base_Periodo1[[#This Row],[Aux]],Base_Contas_Balanco[#All],2,FALSE)</f>
        <v>Capital Social Realizado</v>
      </c>
      <c r="G5601" s="1"/>
      <c r="H5601" s="281">
        <v>50</v>
      </c>
      <c r="I5601" s="281">
        <v>0</v>
      </c>
      <c r="J5601" s="281">
        <v>0</v>
      </c>
      <c r="K5601" s="281">
        <v>50</v>
      </c>
      <c r="L560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01" s="281">
        <f>ROUND(IF(AND(Base_Periodo1[[#This Row],[Tipo_Linha]]="-",Base_Periodo1[[#This Row],[TIPOSALDO]]="D"),Base_Periodo1[[#This Row],[SALDO_ATUAL]]*-1,Base_Periodo1[[#This Row],[SALDO_ATUAL]]),4)</f>
        <v>50</v>
      </c>
      <c r="N5601" t="s">
        <v>116</v>
      </c>
      <c r="O5601" t="s">
        <v>459</v>
      </c>
      <c r="P5601" t="s">
        <v>459</v>
      </c>
      <c r="Q5601">
        <v>6</v>
      </c>
      <c r="R5601" s="281">
        <f>Base_Periodo1[[#This Row],[CREDITOS]]-Base_Periodo1[[#This Row],[DEBITOS]]</f>
        <v>0</v>
      </c>
      <c r="S5601" s="3" t="str">
        <f>IF(ISERROR(VLOOKUP(Base_Periodo1[[#This Row],[CONTA]],BaseContasDRE[#All],4,FALSE)),"Fora do DRE",VLOOKUP(Base_Periodo1[[#This Row],[CONTA]],BaseContasDRE[#All],4,FALSE))</f>
        <v>Fora do DRE</v>
      </c>
      <c r="T5601" s="3" t="str">
        <f>IF(ISERROR(VLOOKUP(Base_Periodo1[[#This Row],[CONTA]],BaseContasDRE[#All],5,FALSE)),"Fora do DRE",VLOOKUP(Base_Periodo1[[#This Row],[CONTA]],BaseContasDRE[#All],6,FALSE))</f>
        <v>Fora do DRE</v>
      </c>
      <c r="U5601" s="3" t="str">
        <f>IF(ISERROR(VLOOKUP(Base_Periodo1[[#This Row],[CONTA]],BaseContasDRE[#All],7,FALSE)),"Fora do DRE",VLOOKUP(Base_Periodo1[[#This Row],[CONTA]],BaseContasDRE[#All],7,FALSE))</f>
        <v>Fora do DRE</v>
      </c>
      <c r="V5601" s="3" t="str">
        <f>IF(Base_Periodo1[[#This Row],[Tipo_Linha]]="Fora do DRE","Fora do DRE","( "&amp;Base_Periodo1[[#This Row],[Tipo_Linha]]&amp;" ) "&amp;Base_Periodo1[[#This Row],[Filtro]])</f>
        <v>Fora do DRE</v>
      </c>
      <c r="W5601" s="3" t="str">
        <f>LEFT(Base_Periodo1[[#This Row],[CLASS]],3)</f>
        <v>2.4</v>
      </c>
    </row>
    <row r="5602" spans="1:23" hidden="1">
      <c r="A5602" s="3" t="str">
        <f t="shared" si="87"/>
        <v>Período 1</v>
      </c>
      <c r="B5602">
        <v>49665</v>
      </c>
      <c r="C5602" t="s">
        <v>2300</v>
      </c>
      <c r="D5602" t="s">
        <v>4326</v>
      </c>
      <c r="E5602" s="3" t="str">
        <f>IF(LEN(Base_Periodo1[[#This Row],[CLASS]])&gt;=7,LEFT(Base_Periodo1[[#This Row],[CLASS]],7),"")</f>
        <v>2.4.1.1</v>
      </c>
      <c r="F5602" s="3" t="str">
        <f>VLOOKUP(Base_Periodo1[[#This Row],[Aux]],Base_Contas_Balanco[#All],2,FALSE)</f>
        <v>Capital Social Realizado</v>
      </c>
      <c r="G5602" s="1"/>
      <c r="H5602" s="281">
        <v>284.55</v>
      </c>
      <c r="I5602" s="281">
        <v>0</v>
      </c>
      <c r="J5602" s="281">
        <v>0</v>
      </c>
      <c r="K5602" s="281">
        <v>284.55</v>
      </c>
      <c r="L560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284.55</v>
      </c>
      <c r="M5602" s="281">
        <f>ROUND(IF(AND(Base_Periodo1[[#This Row],[Tipo_Linha]]="-",Base_Periodo1[[#This Row],[TIPOSALDO]]="D"),Base_Periodo1[[#This Row],[SALDO_ATUAL]]*-1,Base_Periodo1[[#This Row],[SALDO_ATUAL]]),4)</f>
        <v>284.55</v>
      </c>
      <c r="N5602" t="s">
        <v>116</v>
      </c>
      <c r="O5602" t="s">
        <v>459</v>
      </c>
      <c r="P5602" t="s">
        <v>459</v>
      </c>
      <c r="Q5602">
        <v>6</v>
      </c>
      <c r="R5602" s="281">
        <f>Base_Periodo1[[#This Row],[CREDITOS]]-Base_Periodo1[[#This Row],[DEBITOS]]</f>
        <v>0</v>
      </c>
      <c r="S5602" s="3" t="str">
        <f>IF(ISERROR(VLOOKUP(Base_Periodo1[[#This Row],[CONTA]],BaseContasDRE[#All],4,FALSE)),"Fora do DRE",VLOOKUP(Base_Periodo1[[#This Row],[CONTA]],BaseContasDRE[#All],4,FALSE))</f>
        <v>Fora do DRE</v>
      </c>
      <c r="T5602" s="3" t="str">
        <f>IF(ISERROR(VLOOKUP(Base_Periodo1[[#This Row],[CONTA]],BaseContasDRE[#All],5,FALSE)),"Fora do DRE",VLOOKUP(Base_Periodo1[[#This Row],[CONTA]],BaseContasDRE[#All],6,FALSE))</f>
        <v>Fora do DRE</v>
      </c>
      <c r="U5602" s="3" t="str">
        <f>IF(ISERROR(VLOOKUP(Base_Periodo1[[#This Row],[CONTA]],BaseContasDRE[#All],7,FALSE)),"Fora do DRE",VLOOKUP(Base_Periodo1[[#This Row],[CONTA]],BaseContasDRE[#All],7,FALSE))</f>
        <v>Fora do DRE</v>
      </c>
      <c r="V5602" s="3" t="str">
        <f>IF(Base_Periodo1[[#This Row],[Tipo_Linha]]="Fora do DRE","Fora do DRE","( "&amp;Base_Periodo1[[#This Row],[Tipo_Linha]]&amp;" ) "&amp;Base_Periodo1[[#This Row],[Filtro]])</f>
        <v>Fora do DRE</v>
      </c>
      <c r="W5602" s="3" t="str">
        <f>LEFT(Base_Periodo1[[#This Row],[CLASS]],3)</f>
        <v>2.4</v>
      </c>
    </row>
    <row r="5603" spans="1:23" hidden="1">
      <c r="A5603" s="3" t="str">
        <f t="shared" si="87"/>
        <v>Período 1</v>
      </c>
      <c r="B5603">
        <v>25546</v>
      </c>
      <c r="C5603" t="s">
        <v>2300</v>
      </c>
      <c r="D5603" t="s">
        <v>3404</v>
      </c>
      <c r="E5603" s="3" t="str">
        <f>IF(LEN(Base_Periodo1[[#This Row],[CLASS]])&gt;=7,LEFT(Base_Periodo1[[#This Row],[CLASS]],7),"")</f>
        <v>2.4.1.1</v>
      </c>
      <c r="F5603" s="3" t="str">
        <f>VLOOKUP(Base_Periodo1[[#This Row],[Aux]],Base_Contas_Balanco[#All],2,FALSE)</f>
        <v>Capital Social Realizado</v>
      </c>
      <c r="G5603" s="1"/>
      <c r="H5603" s="281">
        <v>238.89</v>
      </c>
      <c r="I5603" s="281">
        <v>0</v>
      </c>
      <c r="J5603" s="281">
        <v>0</v>
      </c>
      <c r="K5603" s="281">
        <v>238.89</v>
      </c>
      <c r="L560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238.89</v>
      </c>
      <c r="M5603" s="281">
        <f>ROUND(IF(AND(Base_Periodo1[[#This Row],[Tipo_Linha]]="-",Base_Periodo1[[#This Row],[TIPOSALDO]]="D"),Base_Periodo1[[#This Row],[SALDO_ATUAL]]*-1,Base_Periodo1[[#This Row],[SALDO_ATUAL]]),4)</f>
        <v>238.89</v>
      </c>
      <c r="N5603" t="s">
        <v>116</v>
      </c>
      <c r="O5603" t="s">
        <v>459</v>
      </c>
      <c r="P5603" t="s">
        <v>459</v>
      </c>
      <c r="Q5603">
        <v>6</v>
      </c>
      <c r="R5603" s="281">
        <f>Base_Periodo1[[#This Row],[CREDITOS]]-Base_Periodo1[[#This Row],[DEBITOS]]</f>
        <v>0</v>
      </c>
      <c r="S5603" s="3" t="str">
        <f>IF(ISERROR(VLOOKUP(Base_Periodo1[[#This Row],[CONTA]],BaseContasDRE[#All],4,FALSE)),"Fora do DRE",VLOOKUP(Base_Periodo1[[#This Row],[CONTA]],BaseContasDRE[#All],4,FALSE))</f>
        <v>Fora do DRE</v>
      </c>
      <c r="T5603" s="3" t="str">
        <f>IF(ISERROR(VLOOKUP(Base_Periodo1[[#This Row],[CONTA]],BaseContasDRE[#All],5,FALSE)),"Fora do DRE",VLOOKUP(Base_Periodo1[[#This Row],[CONTA]],BaseContasDRE[#All],6,FALSE))</f>
        <v>Fora do DRE</v>
      </c>
      <c r="U5603" s="3" t="str">
        <f>IF(ISERROR(VLOOKUP(Base_Periodo1[[#This Row],[CONTA]],BaseContasDRE[#All],7,FALSE)),"Fora do DRE",VLOOKUP(Base_Periodo1[[#This Row],[CONTA]],BaseContasDRE[#All],7,FALSE))</f>
        <v>Fora do DRE</v>
      </c>
      <c r="V5603" s="3" t="str">
        <f>IF(Base_Periodo1[[#This Row],[Tipo_Linha]]="Fora do DRE","Fora do DRE","( "&amp;Base_Periodo1[[#This Row],[Tipo_Linha]]&amp;" ) "&amp;Base_Periodo1[[#This Row],[Filtro]])</f>
        <v>Fora do DRE</v>
      </c>
      <c r="W5603" s="3" t="str">
        <f>LEFT(Base_Periodo1[[#This Row],[CLASS]],3)</f>
        <v>2.4</v>
      </c>
    </row>
    <row r="5604" spans="1:23" hidden="1">
      <c r="A5604" s="3" t="str">
        <f t="shared" si="87"/>
        <v>Período 1</v>
      </c>
      <c r="B5604">
        <v>53938</v>
      </c>
      <c r="C5604" t="s">
        <v>2300</v>
      </c>
      <c r="D5604" t="s">
        <v>5111</v>
      </c>
      <c r="E5604" s="3" t="str">
        <f>IF(LEN(Base_Periodo1[[#This Row],[CLASS]])&gt;=7,LEFT(Base_Periodo1[[#This Row],[CLASS]],7),"")</f>
        <v>2.4.1.1</v>
      </c>
      <c r="F5604" s="3" t="str">
        <f>VLOOKUP(Base_Periodo1[[#This Row],[Aux]],Base_Contas_Balanco[#All],2,FALSE)</f>
        <v>Capital Social Realizado</v>
      </c>
      <c r="G5604" s="1"/>
      <c r="H5604" s="281">
        <v>50</v>
      </c>
      <c r="I5604" s="281">
        <v>0</v>
      </c>
      <c r="J5604" s="281">
        <v>0</v>
      </c>
      <c r="K5604" s="281">
        <v>50</v>
      </c>
      <c r="L560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04" s="281">
        <f>ROUND(IF(AND(Base_Periodo1[[#This Row],[Tipo_Linha]]="-",Base_Periodo1[[#This Row],[TIPOSALDO]]="D"),Base_Periodo1[[#This Row],[SALDO_ATUAL]]*-1,Base_Periodo1[[#This Row],[SALDO_ATUAL]]),4)</f>
        <v>50</v>
      </c>
      <c r="N5604" t="s">
        <v>116</v>
      </c>
      <c r="O5604" t="s">
        <v>459</v>
      </c>
      <c r="P5604" t="s">
        <v>459</v>
      </c>
      <c r="Q5604">
        <v>6</v>
      </c>
      <c r="R5604" s="281">
        <f>Base_Periodo1[[#This Row],[CREDITOS]]-Base_Periodo1[[#This Row],[DEBITOS]]</f>
        <v>0</v>
      </c>
      <c r="S5604" s="3" t="str">
        <f>IF(ISERROR(VLOOKUP(Base_Periodo1[[#This Row],[CONTA]],BaseContasDRE[#All],4,FALSE)),"Fora do DRE",VLOOKUP(Base_Periodo1[[#This Row],[CONTA]],BaseContasDRE[#All],4,FALSE))</f>
        <v>Fora do DRE</v>
      </c>
      <c r="T5604" s="3" t="str">
        <f>IF(ISERROR(VLOOKUP(Base_Periodo1[[#This Row],[CONTA]],BaseContasDRE[#All],5,FALSE)),"Fora do DRE",VLOOKUP(Base_Periodo1[[#This Row],[CONTA]],BaseContasDRE[#All],6,FALSE))</f>
        <v>Fora do DRE</v>
      </c>
      <c r="U5604" s="3" t="str">
        <f>IF(ISERROR(VLOOKUP(Base_Periodo1[[#This Row],[CONTA]],BaseContasDRE[#All],7,FALSE)),"Fora do DRE",VLOOKUP(Base_Periodo1[[#This Row],[CONTA]],BaseContasDRE[#All],7,FALSE))</f>
        <v>Fora do DRE</v>
      </c>
      <c r="V5604" s="3" t="str">
        <f>IF(Base_Periodo1[[#This Row],[Tipo_Linha]]="Fora do DRE","Fora do DRE","( "&amp;Base_Periodo1[[#This Row],[Tipo_Linha]]&amp;" ) "&amp;Base_Periodo1[[#This Row],[Filtro]])</f>
        <v>Fora do DRE</v>
      </c>
      <c r="W5604" s="3" t="str">
        <f>LEFT(Base_Periodo1[[#This Row],[CLASS]],3)</f>
        <v>2.4</v>
      </c>
    </row>
    <row r="5605" spans="1:23" hidden="1">
      <c r="A5605" s="3" t="str">
        <f t="shared" si="87"/>
        <v>Período 1</v>
      </c>
      <c r="B5605">
        <v>39359</v>
      </c>
      <c r="C5605" t="s">
        <v>2300</v>
      </c>
      <c r="D5605" t="s">
        <v>3405</v>
      </c>
      <c r="E5605" s="3" t="str">
        <f>IF(LEN(Base_Periodo1[[#This Row],[CLASS]])&gt;=7,LEFT(Base_Periodo1[[#This Row],[CLASS]],7),"")</f>
        <v>2.4.1.1</v>
      </c>
      <c r="F5605" s="3" t="str">
        <f>VLOOKUP(Base_Periodo1[[#This Row],[Aux]],Base_Contas_Balanco[#All],2,FALSE)</f>
        <v>Capital Social Realizado</v>
      </c>
      <c r="G5605" s="1"/>
      <c r="H5605" s="281">
        <v>73.510000000000005</v>
      </c>
      <c r="I5605" s="281">
        <v>0</v>
      </c>
      <c r="J5605" s="281">
        <v>0</v>
      </c>
      <c r="K5605" s="281">
        <v>73.510000000000005</v>
      </c>
      <c r="L560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73.510000000000005</v>
      </c>
      <c r="M5605" s="281">
        <f>ROUND(IF(AND(Base_Periodo1[[#This Row],[Tipo_Linha]]="-",Base_Periodo1[[#This Row],[TIPOSALDO]]="D"),Base_Periodo1[[#This Row],[SALDO_ATUAL]]*-1,Base_Periodo1[[#This Row],[SALDO_ATUAL]]),4)</f>
        <v>73.510000000000005</v>
      </c>
      <c r="N5605" t="s">
        <v>116</v>
      </c>
      <c r="O5605" t="s">
        <v>459</v>
      </c>
      <c r="P5605" t="s">
        <v>459</v>
      </c>
      <c r="Q5605">
        <v>6</v>
      </c>
      <c r="R5605" s="281">
        <f>Base_Periodo1[[#This Row],[CREDITOS]]-Base_Periodo1[[#This Row],[DEBITOS]]</f>
        <v>0</v>
      </c>
      <c r="S5605" s="3" t="str">
        <f>IF(ISERROR(VLOOKUP(Base_Periodo1[[#This Row],[CONTA]],BaseContasDRE[#All],4,FALSE)),"Fora do DRE",VLOOKUP(Base_Periodo1[[#This Row],[CONTA]],BaseContasDRE[#All],4,FALSE))</f>
        <v>Fora do DRE</v>
      </c>
      <c r="T5605" s="3" t="str">
        <f>IF(ISERROR(VLOOKUP(Base_Periodo1[[#This Row],[CONTA]],BaseContasDRE[#All],5,FALSE)),"Fora do DRE",VLOOKUP(Base_Periodo1[[#This Row],[CONTA]],BaseContasDRE[#All],6,FALSE))</f>
        <v>Fora do DRE</v>
      </c>
      <c r="U5605" s="3" t="str">
        <f>IF(ISERROR(VLOOKUP(Base_Periodo1[[#This Row],[CONTA]],BaseContasDRE[#All],7,FALSE)),"Fora do DRE",VLOOKUP(Base_Periodo1[[#This Row],[CONTA]],BaseContasDRE[#All],7,FALSE))</f>
        <v>Fora do DRE</v>
      </c>
      <c r="V5605" s="3" t="str">
        <f>IF(Base_Periodo1[[#This Row],[Tipo_Linha]]="Fora do DRE","Fora do DRE","( "&amp;Base_Periodo1[[#This Row],[Tipo_Linha]]&amp;" ) "&amp;Base_Periodo1[[#This Row],[Filtro]])</f>
        <v>Fora do DRE</v>
      </c>
      <c r="W5605" s="3" t="str">
        <f>LEFT(Base_Periodo1[[#This Row],[CLASS]],3)</f>
        <v>2.4</v>
      </c>
    </row>
    <row r="5606" spans="1:23" hidden="1">
      <c r="A5606" s="3" t="str">
        <f t="shared" si="87"/>
        <v>Período 1</v>
      </c>
      <c r="B5606">
        <v>24588</v>
      </c>
      <c r="C5606" t="s">
        <v>2300</v>
      </c>
      <c r="D5606" t="s">
        <v>3406</v>
      </c>
      <c r="E5606" s="3" t="str">
        <f>IF(LEN(Base_Periodo1[[#This Row],[CLASS]])&gt;=7,LEFT(Base_Periodo1[[#This Row],[CLASS]],7),"")</f>
        <v>2.4.1.1</v>
      </c>
      <c r="F5606" s="3" t="str">
        <f>VLOOKUP(Base_Periodo1[[#This Row],[Aux]],Base_Contas_Balanco[#All],2,FALSE)</f>
        <v>Capital Social Realizado</v>
      </c>
      <c r="G5606" s="1"/>
      <c r="H5606" s="281">
        <v>303.13</v>
      </c>
      <c r="I5606" s="281">
        <v>0</v>
      </c>
      <c r="J5606" s="281">
        <v>0</v>
      </c>
      <c r="K5606" s="281">
        <v>303.13</v>
      </c>
      <c r="L560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303.13</v>
      </c>
      <c r="M5606" s="281">
        <f>ROUND(IF(AND(Base_Periodo1[[#This Row],[Tipo_Linha]]="-",Base_Periodo1[[#This Row],[TIPOSALDO]]="D"),Base_Periodo1[[#This Row],[SALDO_ATUAL]]*-1,Base_Periodo1[[#This Row],[SALDO_ATUAL]]),4)</f>
        <v>303.13</v>
      </c>
      <c r="N5606" t="s">
        <v>116</v>
      </c>
      <c r="O5606" t="s">
        <v>459</v>
      </c>
      <c r="P5606" t="s">
        <v>459</v>
      </c>
      <c r="Q5606">
        <v>6</v>
      </c>
      <c r="R5606" s="281">
        <f>Base_Periodo1[[#This Row],[CREDITOS]]-Base_Periodo1[[#This Row],[DEBITOS]]</f>
        <v>0</v>
      </c>
      <c r="S5606" s="3" t="str">
        <f>IF(ISERROR(VLOOKUP(Base_Periodo1[[#This Row],[CONTA]],BaseContasDRE[#All],4,FALSE)),"Fora do DRE",VLOOKUP(Base_Periodo1[[#This Row],[CONTA]],BaseContasDRE[#All],4,FALSE))</f>
        <v>Fora do DRE</v>
      </c>
      <c r="T5606" s="3" t="str">
        <f>IF(ISERROR(VLOOKUP(Base_Periodo1[[#This Row],[CONTA]],BaseContasDRE[#All],5,FALSE)),"Fora do DRE",VLOOKUP(Base_Periodo1[[#This Row],[CONTA]],BaseContasDRE[#All],6,FALSE))</f>
        <v>Fora do DRE</v>
      </c>
      <c r="U5606" s="3" t="str">
        <f>IF(ISERROR(VLOOKUP(Base_Periodo1[[#This Row],[CONTA]],BaseContasDRE[#All],7,FALSE)),"Fora do DRE",VLOOKUP(Base_Periodo1[[#This Row],[CONTA]],BaseContasDRE[#All],7,FALSE))</f>
        <v>Fora do DRE</v>
      </c>
      <c r="V5606" s="3" t="str">
        <f>IF(Base_Periodo1[[#This Row],[Tipo_Linha]]="Fora do DRE","Fora do DRE","( "&amp;Base_Periodo1[[#This Row],[Tipo_Linha]]&amp;" ) "&amp;Base_Periodo1[[#This Row],[Filtro]])</f>
        <v>Fora do DRE</v>
      </c>
      <c r="W5606" s="3" t="str">
        <f>LEFT(Base_Periodo1[[#This Row],[CLASS]],3)</f>
        <v>2.4</v>
      </c>
    </row>
    <row r="5607" spans="1:23" hidden="1">
      <c r="A5607" s="3" t="str">
        <f t="shared" si="87"/>
        <v>Período 1</v>
      </c>
      <c r="B5607">
        <v>28282</v>
      </c>
      <c r="C5607" t="s">
        <v>2300</v>
      </c>
      <c r="D5607" t="s">
        <v>3407</v>
      </c>
      <c r="E5607" s="3" t="str">
        <f>IF(LEN(Base_Periodo1[[#This Row],[CLASS]])&gt;=7,LEFT(Base_Periodo1[[#This Row],[CLASS]],7),"")</f>
        <v>2.4.1.1</v>
      </c>
      <c r="F5607" s="3" t="str">
        <f>VLOOKUP(Base_Periodo1[[#This Row],[Aux]],Base_Contas_Balanco[#All],2,FALSE)</f>
        <v>Capital Social Realizado</v>
      </c>
      <c r="G5607" s="1"/>
      <c r="H5607" s="281">
        <v>299.3</v>
      </c>
      <c r="I5607" s="281">
        <v>0</v>
      </c>
      <c r="J5607" s="281">
        <v>0</v>
      </c>
      <c r="K5607" s="281">
        <v>299.3</v>
      </c>
      <c r="L560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299.3</v>
      </c>
      <c r="M5607" s="281">
        <f>ROUND(IF(AND(Base_Periodo1[[#This Row],[Tipo_Linha]]="-",Base_Periodo1[[#This Row],[TIPOSALDO]]="D"),Base_Periodo1[[#This Row],[SALDO_ATUAL]]*-1,Base_Periodo1[[#This Row],[SALDO_ATUAL]]),4)</f>
        <v>299.3</v>
      </c>
      <c r="N5607" t="s">
        <v>116</v>
      </c>
      <c r="O5607" t="s">
        <v>459</v>
      </c>
      <c r="P5607" t="s">
        <v>459</v>
      </c>
      <c r="Q5607">
        <v>6</v>
      </c>
      <c r="R5607" s="281">
        <f>Base_Periodo1[[#This Row],[CREDITOS]]-Base_Periodo1[[#This Row],[DEBITOS]]</f>
        <v>0</v>
      </c>
      <c r="S5607" s="3" t="str">
        <f>IF(ISERROR(VLOOKUP(Base_Periodo1[[#This Row],[CONTA]],BaseContasDRE[#All],4,FALSE)),"Fora do DRE",VLOOKUP(Base_Periodo1[[#This Row],[CONTA]],BaseContasDRE[#All],4,FALSE))</f>
        <v>Fora do DRE</v>
      </c>
      <c r="T5607" s="3" t="str">
        <f>IF(ISERROR(VLOOKUP(Base_Periodo1[[#This Row],[CONTA]],BaseContasDRE[#All],5,FALSE)),"Fora do DRE",VLOOKUP(Base_Periodo1[[#This Row],[CONTA]],BaseContasDRE[#All],6,FALSE))</f>
        <v>Fora do DRE</v>
      </c>
      <c r="U5607" s="3" t="str">
        <f>IF(ISERROR(VLOOKUP(Base_Periodo1[[#This Row],[CONTA]],BaseContasDRE[#All],7,FALSE)),"Fora do DRE",VLOOKUP(Base_Periodo1[[#This Row],[CONTA]],BaseContasDRE[#All],7,FALSE))</f>
        <v>Fora do DRE</v>
      </c>
      <c r="V5607" s="3" t="str">
        <f>IF(Base_Periodo1[[#This Row],[Tipo_Linha]]="Fora do DRE","Fora do DRE","( "&amp;Base_Periodo1[[#This Row],[Tipo_Linha]]&amp;" ) "&amp;Base_Periodo1[[#This Row],[Filtro]])</f>
        <v>Fora do DRE</v>
      </c>
      <c r="W5607" s="3" t="str">
        <f>LEFT(Base_Periodo1[[#This Row],[CLASS]],3)</f>
        <v>2.4</v>
      </c>
    </row>
    <row r="5608" spans="1:23" hidden="1">
      <c r="A5608" s="3" t="str">
        <f t="shared" si="87"/>
        <v>Período 1</v>
      </c>
      <c r="B5608">
        <v>15958</v>
      </c>
      <c r="C5608" t="s">
        <v>2300</v>
      </c>
      <c r="D5608" t="s">
        <v>3408</v>
      </c>
      <c r="E5608" s="3" t="str">
        <f>IF(LEN(Base_Periodo1[[#This Row],[CLASS]])&gt;=7,LEFT(Base_Periodo1[[#This Row],[CLASS]],7),"")</f>
        <v>2.4.1.1</v>
      </c>
      <c r="F5608" s="3" t="str">
        <f>VLOOKUP(Base_Periodo1[[#This Row],[Aux]],Base_Contas_Balanco[#All],2,FALSE)</f>
        <v>Capital Social Realizado</v>
      </c>
      <c r="G5608" s="1"/>
      <c r="H5608" s="281">
        <v>50734.8</v>
      </c>
      <c r="I5608" s="281">
        <v>0</v>
      </c>
      <c r="J5608" s="281">
        <v>0</v>
      </c>
      <c r="K5608" s="281">
        <v>50734.8</v>
      </c>
      <c r="L560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50734.8</v>
      </c>
      <c r="M5608" s="281">
        <f>ROUND(IF(AND(Base_Periodo1[[#This Row],[Tipo_Linha]]="-",Base_Periodo1[[#This Row],[TIPOSALDO]]="D"),Base_Periodo1[[#This Row],[SALDO_ATUAL]]*-1,Base_Periodo1[[#This Row],[SALDO_ATUAL]]),4)</f>
        <v>50734.8</v>
      </c>
      <c r="N5608" t="s">
        <v>116</v>
      </c>
      <c r="O5608" t="s">
        <v>459</v>
      </c>
      <c r="P5608" t="s">
        <v>459</v>
      </c>
      <c r="Q5608">
        <v>6</v>
      </c>
      <c r="R5608" s="281">
        <f>Base_Periodo1[[#This Row],[CREDITOS]]-Base_Periodo1[[#This Row],[DEBITOS]]</f>
        <v>0</v>
      </c>
      <c r="S5608" s="3" t="str">
        <f>IF(ISERROR(VLOOKUP(Base_Periodo1[[#This Row],[CONTA]],BaseContasDRE[#All],4,FALSE)),"Fora do DRE",VLOOKUP(Base_Periodo1[[#This Row],[CONTA]],BaseContasDRE[#All],4,FALSE))</f>
        <v>Fora do DRE</v>
      </c>
      <c r="T5608" s="3" t="str">
        <f>IF(ISERROR(VLOOKUP(Base_Periodo1[[#This Row],[CONTA]],BaseContasDRE[#All],5,FALSE)),"Fora do DRE",VLOOKUP(Base_Periodo1[[#This Row],[CONTA]],BaseContasDRE[#All],6,FALSE))</f>
        <v>Fora do DRE</v>
      </c>
      <c r="U5608" s="3" t="str">
        <f>IF(ISERROR(VLOOKUP(Base_Periodo1[[#This Row],[CONTA]],BaseContasDRE[#All],7,FALSE)),"Fora do DRE",VLOOKUP(Base_Periodo1[[#This Row],[CONTA]],BaseContasDRE[#All],7,FALSE))</f>
        <v>Fora do DRE</v>
      </c>
      <c r="V5608" s="3" t="str">
        <f>IF(Base_Periodo1[[#This Row],[Tipo_Linha]]="Fora do DRE","Fora do DRE","( "&amp;Base_Periodo1[[#This Row],[Tipo_Linha]]&amp;" ) "&amp;Base_Periodo1[[#This Row],[Filtro]])</f>
        <v>Fora do DRE</v>
      </c>
      <c r="W5608" s="3" t="str">
        <f>LEFT(Base_Periodo1[[#This Row],[CLASS]],3)</f>
        <v>2.4</v>
      </c>
    </row>
    <row r="5609" spans="1:23" hidden="1">
      <c r="A5609" s="3" t="str">
        <f t="shared" si="87"/>
        <v>Período 1</v>
      </c>
      <c r="B5609">
        <v>26580</v>
      </c>
      <c r="C5609" t="s">
        <v>2300</v>
      </c>
      <c r="D5609" t="s">
        <v>3409</v>
      </c>
      <c r="E5609" s="3" t="str">
        <f>IF(LEN(Base_Periodo1[[#This Row],[CLASS]])&gt;=7,LEFT(Base_Periodo1[[#This Row],[CLASS]],7),"")</f>
        <v>2.4.1.1</v>
      </c>
      <c r="F5609" s="3" t="str">
        <f>VLOOKUP(Base_Periodo1[[#This Row],[Aux]],Base_Contas_Balanco[#All],2,FALSE)</f>
        <v>Capital Social Realizado</v>
      </c>
      <c r="G5609" s="1"/>
      <c r="H5609" s="281">
        <v>50</v>
      </c>
      <c r="I5609" s="281">
        <v>0</v>
      </c>
      <c r="J5609" s="281">
        <v>0</v>
      </c>
      <c r="K5609" s="281">
        <v>50</v>
      </c>
      <c r="L560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09" s="281">
        <f>ROUND(IF(AND(Base_Periodo1[[#This Row],[Tipo_Linha]]="-",Base_Periodo1[[#This Row],[TIPOSALDO]]="D"),Base_Periodo1[[#This Row],[SALDO_ATUAL]]*-1,Base_Periodo1[[#This Row],[SALDO_ATUAL]]),4)</f>
        <v>50</v>
      </c>
      <c r="N5609" t="s">
        <v>116</v>
      </c>
      <c r="O5609" t="s">
        <v>459</v>
      </c>
      <c r="P5609" t="s">
        <v>459</v>
      </c>
      <c r="Q5609">
        <v>6</v>
      </c>
      <c r="R5609" s="281">
        <f>Base_Periodo1[[#This Row],[CREDITOS]]-Base_Periodo1[[#This Row],[DEBITOS]]</f>
        <v>0</v>
      </c>
      <c r="S5609" s="3" t="str">
        <f>IF(ISERROR(VLOOKUP(Base_Periodo1[[#This Row],[CONTA]],BaseContasDRE[#All],4,FALSE)),"Fora do DRE",VLOOKUP(Base_Periodo1[[#This Row],[CONTA]],BaseContasDRE[#All],4,FALSE))</f>
        <v>Fora do DRE</v>
      </c>
      <c r="T5609" s="3" t="str">
        <f>IF(ISERROR(VLOOKUP(Base_Periodo1[[#This Row],[CONTA]],BaseContasDRE[#All],5,FALSE)),"Fora do DRE",VLOOKUP(Base_Periodo1[[#This Row],[CONTA]],BaseContasDRE[#All],6,FALSE))</f>
        <v>Fora do DRE</v>
      </c>
      <c r="U5609" s="3" t="str">
        <f>IF(ISERROR(VLOOKUP(Base_Periodo1[[#This Row],[CONTA]],BaseContasDRE[#All],7,FALSE)),"Fora do DRE",VLOOKUP(Base_Periodo1[[#This Row],[CONTA]],BaseContasDRE[#All],7,FALSE))</f>
        <v>Fora do DRE</v>
      </c>
      <c r="V5609" s="3" t="str">
        <f>IF(Base_Periodo1[[#This Row],[Tipo_Linha]]="Fora do DRE","Fora do DRE","( "&amp;Base_Periodo1[[#This Row],[Tipo_Linha]]&amp;" ) "&amp;Base_Periodo1[[#This Row],[Filtro]])</f>
        <v>Fora do DRE</v>
      </c>
      <c r="W5609" s="3" t="str">
        <f>LEFT(Base_Periodo1[[#This Row],[CLASS]],3)</f>
        <v>2.4</v>
      </c>
    </row>
    <row r="5610" spans="1:23" hidden="1">
      <c r="A5610" s="3" t="str">
        <f t="shared" si="87"/>
        <v>Período 1</v>
      </c>
      <c r="B5610">
        <v>51301</v>
      </c>
      <c r="C5610" t="s">
        <v>2300</v>
      </c>
      <c r="D5610" t="s">
        <v>4633</v>
      </c>
      <c r="E5610" s="3" t="str">
        <f>IF(LEN(Base_Periodo1[[#This Row],[CLASS]])&gt;=7,LEFT(Base_Periodo1[[#This Row],[CLASS]],7),"")</f>
        <v>2.4.1.1</v>
      </c>
      <c r="F5610" s="3" t="str">
        <f>VLOOKUP(Base_Periodo1[[#This Row],[Aux]],Base_Contas_Balanco[#All],2,FALSE)</f>
        <v>Capital Social Realizado</v>
      </c>
      <c r="G5610" s="1"/>
      <c r="H5610" s="281">
        <v>50</v>
      </c>
      <c r="I5610" s="281">
        <v>0</v>
      </c>
      <c r="J5610" s="281">
        <v>0</v>
      </c>
      <c r="K5610" s="281">
        <v>50</v>
      </c>
      <c r="L561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10" s="281">
        <f>ROUND(IF(AND(Base_Periodo1[[#This Row],[Tipo_Linha]]="-",Base_Periodo1[[#This Row],[TIPOSALDO]]="D"),Base_Periodo1[[#This Row],[SALDO_ATUAL]]*-1,Base_Periodo1[[#This Row],[SALDO_ATUAL]]),4)</f>
        <v>50</v>
      </c>
      <c r="N5610" t="s">
        <v>116</v>
      </c>
      <c r="O5610" t="s">
        <v>459</v>
      </c>
      <c r="P5610" t="s">
        <v>459</v>
      </c>
      <c r="Q5610">
        <v>6</v>
      </c>
      <c r="R5610" s="281">
        <f>Base_Periodo1[[#This Row],[CREDITOS]]-Base_Periodo1[[#This Row],[DEBITOS]]</f>
        <v>0</v>
      </c>
      <c r="S5610" s="3" t="str">
        <f>IF(ISERROR(VLOOKUP(Base_Periodo1[[#This Row],[CONTA]],BaseContasDRE[#All],4,FALSE)),"Fora do DRE",VLOOKUP(Base_Periodo1[[#This Row],[CONTA]],BaseContasDRE[#All],4,FALSE))</f>
        <v>Fora do DRE</v>
      </c>
      <c r="T5610" s="3" t="str">
        <f>IF(ISERROR(VLOOKUP(Base_Periodo1[[#This Row],[CONTA]],BaseContasDRE[#All],5,FALSE)),"Fora do DRE",VLOOKUP(Base_Periodo1[[#This Row],[CONTA]],BaseContasDRE[#All],6,FALSE))</f>
        <v>Fora do DRE</v>
      </c>
      <c r="U5610" s="3" t="str">
        <f>IF(ISERROR(VLOOKUP(Base_Periodo1[[#This Row],[CONTA]],BaseContasDRE[#All],7,FALSE)),"Fora do DRE",VLOOKUP(Base_Periodo1[[#This Row],[CONTA]],BaseContasDRE[#All],7,FALSE))</f>
        <v>Fora do DRE</v>
      </c>
      <c r="V5610" s="3" t="str">
        <f>IF(Base_Periodo1[[#This Row],[Tipo_Linha]]="Fora do DRE","Fora do DRE","( "&amp;Base_Periodo1[[#This Row],[Tipo_Linha]]&amp;" ) "&amp;Base_Periodo1[[#This Row],[Filtro]])</f>
        <v>Fora do DRE</v>
      </c>
      <c r="W5610" s="3" t="str">
        <f>LEFT(Base_Periodo1[[#This Row],[CLASS]],3)</f>
        <v>2.4</v>
      </c>
    </row>
    <row r="5611" spans="1:23" hidden="1">
      <c r="A5611" s="3" t="str">
        <f t="shared" si="87"/>
        <v>Período 1</v>
      </c>
      <c r="B5611">
        <v>49650</v>
      </c>
      <c r="C5611" t="s">
        <v>2300</v>
      </c>
      <c r="D5611" t="s">
        <v>4327</v>
      </c>
      <c r="E5611" s="3" t="str">
        <f>IF(LEN(Base_Periodo1[[#This Row],[CLASS]])&gt;=7,LEFT(Base_Periodo1[[#This Row],[CLASS]],7),"")</f>
        <v>2.4.1.1</v>
      </c>
      <c r="F5611" s="3" t="str">
        <f>VLOOKUP(Base_Periodo1[[#This Row],[Aux]],Base_Contas_Balanco[#All],2,FALSE)</f>
        <v>Capital Social Realizado</v>
      </c>
      <c r="G5611" s="1"/>
      <c r="H5611" s="281">
        <v>50</v>
      </c>
      <c r="I5611" s="281">
        <v>0</v>
      </c>
      <c r="J5611" s="281">
        <v>0</v>
      </c>
      <c r="K5611" s="281">
        <v>50</v>
      </c>
      <c r="L561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11" s="281">
        <f>ROUND(IF(AND(Base_Periodo1[[#This Row],[Tipo_Linha]]="-",Base_Periodo1[[#This Row],[TIPOSALDO]]="D"),Base_Periodo1[[#This Row],[SALDO_ATUAL]]*-1,Base_Periodo1[[#This Row],[SALDO_ATUAL]]),4)</f>
        <v>50</v>
      </c>
      <c r="N5611" t="s">
        <v>116</v>
      </c>
      <c r="O5611" t="s">
        <v>459</v>
      </c>
      <c r="P5611" t="s">
        <v>459</v>
      </c>
      <c r="Q5611">
        <v>6</v>
      </c>
      <c r="R5611" s="281">
        <f>Base_Periodo1[[#This Row],[CREDITOS]]-Base_Periodo1[[#This Row],[DEBITOS]]</f>
        <v>0</v>
      </c>
      <c r="S5611" s="3" t="str">
        <f>IF(ISERROR(VLOOKUP(Base_Periodo1[[#This Row],[CONTA]],BaseContasDRE[#All],4,FALSE)),"Fora do DRE",VLOOKUP(Base_Periodo1[[#This Row],[CONTA]],BaseContasDRE[#All],4,FALSE))</f>
        <v>Fora do DRE</v>
      </c>
      <c r="T5611" s="3" t="str">
        <f>IF(ISERROR(VLOOKUP(Base_Periodo1[[#This Row],[CONTA]],BaseContasDRE[#All],5,FALSE)),"Fora do DRE",VLOOKUP(Base_Periodo1[[#This Row],[CONTA]],BaseContasDRE[#All],6,FALSE))</f>
        <v>Fora do DRE</v>
      </c>
      <c r="U5611" s="3" t="str">
        <f>IF(ISERROR(VLOOKUP(Base_Periodo1[[#This Row],[CONTA]],BaseContasDRE[#All],7,FALSE)),"Fora do DRE",VLOOKUP(Base_Periodo1[[#This Row],[CONTA]],BaseContasDRE[#All],7,FALSE))</f>
        <v>Fora do DRE</v>
      </c>
      <c r="V5611" s="3" t="str">
        <f>IF(Base_Periodo1[[#This Row],[Tipo_Linha]]="Fora do DRE","Fora do DRE","( "&amp;Base_Periodo1[[#This Row],[Tipo_Linha]]&amp;" ) "&amp;Base_Periodo1[[#This Row],[Filtro]])</f>
        <v>Fora do DRE</v>
      </c>
      <c r="W5611" s="3" t="str">
        <f>LEFT(Base_Periodo1[[#This Row],[CLASS]],3)</f>
        <v>2.4</v>
      </c>
    </row>
    <row r="5612" spans="1:23" hidden="1">
      <c r="A5612" s="3" t="str">
        <f t="shared" si="87"/>
        <v>Período 1</v>
      </c>
      <c r="B5612">
        <v>50719</v>
      </c>
      <c r="C5612" t="s">
        <v>2300</v>
      </c>
      <c r="D5612" t="s">
        <v>4380</v>
      </c>
      <c r="E5612" s="3" t="str">
        <f>IF(LEN(Base_Periodo1[[#This Row],[CLASS]])&gt;=7,LEFT(Base_Periodo1[[#This Row],[CLASS]],7),"")</f>
        <v>2.4.1.1</v>
      </c>
      <c r="F5612" s="3" t="str">
        <f>VLOOKUP(Base_Periodo1[[#This Row],[Aux]],Base_Contas_Balanco[#All],2,FALSE)</f>
        <v>Capital Social Realizado</v>
      </c>
      <c r="G5612" s="1"/>
      <c r="H5612" s="281">
        <v>50</v>
      </c>
      <c r="I5612" s="281">
        <v>0</v>
      </c>
      <c r="J5612" s="281">
        <v>0</v>
      </c>
      <c r="K5612" s="281">
        <v>50</v>
      </c>
      <c r="L561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12" s="281">
        <f>ROUND(IF(AND(Base_Periodo1[[#This Row],[Tipo_Linha]]="-",Base_Periodo1[[#This Row],[TIPOSALDO]]="D"),Base_Periodo1[[#This Row],[SALDO_ATUAL]]*-1,Base_Periodo1[[#This Row],[SALDO_ATUAL]]),4)</f>
        <v>50</v>
      </c>
      <c r="N5612" t="s">
        <v>116</v>
      </c>
      <c r="O5612" t="s">
        <v>459</v>
      </c>
      <c r="P5612" t="s">
        <v>459</v>
      </c>
      <c r="Q5612">
        <v>6</v>
      </c>
      <c r="R5612" s="281">
        <f>Base_Periodo1[[#This Row],[CREDITOS]]-Base_Periodo1[[#This Row],[DEBITOS]]</f>
        <v>0</v>
      </c>
      <c r="S5612" s="3" t="str">
        <f>IF(ISERROR(VLOOKUP(Base_Periodo1[[#This Row],[CONTA]],BaseContasDRE[#All],4,FALSE)),"Fora do DRE",VLOOKUP(Base_Periodo1[[#This Row],[CONTA]],BaseContasDRE[#All],4,FALSE))</f>
        <v>Fora do DRE</v>
      </c>
      <c r="T5612" s="3" t="str">
        <f>IF(ISERROR(VLOOKUP(Base_Periodo1[[#This Row],[CONTA]],BaseContasDRE[#All],5,FALSE)),"Fora do DRE",VLOOKUP(Base_Periodo1[[#This Row],[CONTA]],BaseContasDRE[#All],6,FALSE))</f>
        <v>Fora do DRE</v>
      </c>
      <c r="U5612" s="3" t="str">
        <f>IF(ISERROR(VLOOKUP(Base_Periodo1[[#This Row],[CONTA]],BaseContasDRE[#All],7,FALSE)),"Fora do DRE",VLOOKUP(Base_Periodo1[[#This Row],[CONTA]],BaseContasDRE[#All],7,FALSE))</f>
        <v>Fora do DRE</v>
      </c>
      <c r="V5612" s="3" t="str">
        <f>IF(Base_Periodo1[[#This Row],[Tipo_Linha]]="Fora do DRE","Fora do DRE","( "&amp;Base_Periodo1[[#This Row],[Tipo_Linha]]&amp;" ) "&amp;Base_Periodo1[[#This Row],[Filtro]])</f>
        <v>Fora do DRE</v>
      </c>
      <c r="W5612" s="3" t="str">
        <f>LEFT(Base_Periodo1[[#This Row],[CLASS]],3)</f>
        <v>2.4</v>
      </c>
    </row>
    <row r="5613" spans="1:23" hidden="1">
      <c r="A5613" s="3" t="str">
        <f t="shared" si="87"/>
        <v>Período 1</v>
      </c>
      <c r="B5613">
        <v>55129</v>
      </c>
      <c r="C5613" t="s">
        <v>2300</v>
      </c>
      <c r="D5613" t="s">
        <v>5357</v>
      </c>
      <c r="E5613" s="3" t="str">
        <f>IF(LEN(Base_Periodo1[[#This Row],[CLASS]])&gt;=7,LEFT(Base_Periodo1[[#This Row],[CLASS]],7),"")</f>
        <v>2.4.1.1</v>
      </c>
      <c r="F5613" s="3" t="str">
        <f>VLOOKUP(Base_Periodo1[[#This Row],[Aux]],Base_Contas_Balanco[#All],2,FALSE)</f>
        <v>Capital Social Realizado</v>
      </c>
      <c r="G5613" s="1"/>
      <c r="H5613" s="281">
        <v>50</v>
      </c>
      <c r="I5613" s="281">
        <v>0</v>
      </c>
      <c r="J5613" s="281">
        <v>0</v>
      </c>
      <c r="K5613" s="281">
        <v>50</v>
      </c>
      <c r="L561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13" s="281">
        <f>ROUND(IF(AND(Base_Periodo1[[#This Row],[Tipo_Linha]]="-",Base_Periodo1[[#This Row],[TIPOSALDO]]="D"),Base_Periodo1[[#This Row],[SALDO_ATUAL]]*-1,Base_Periodo1[[#This Row],[SALDO_ATUAL]]),4)</f>
        <v>50</v>
      </c>
      <c r="N5613" t="s">
        <v>116</v>
      </c>
      <c r="O5613" t="s">
        <v>459</v>
      </c>
      <c r="P5613" t="s">
        <v>459</v>
      </c>
      <c r="Q5613">
        <v>6</v>
      </c>
      <c r="R5613" s="281">
        <f>Base_Periodo1[[#This Row],[CREDITOS]]-Base_Periodo1[[#This Row],[DEBITOS]]</f>
        <v>0</v>
      </c>
      <c r="S5613" s="3" t="str">
        <f>IF(ISERROR(VLOOKUP(Base_Periodo1[[#This Row],[CONTA]],BaseContasDRE[#All],4,FALSE)),"Fora do DRE",VLOOKUP(Base_Periodo1[[#This Row],[CONTA]],BaseContasDRE[#All],4,FALSE))</f>
        <v>Fora do DRE</v>
      </c>
      <c r="T5613" s="3" t="str">
        <f>IF(ISERROR(VLOOKUP(Base_Periodo1[[#This Row],[CONTA]],BaseContasDRE[#All],5,FALSE)),"Fora do DRE",VLOOKUP(Base_Periodo1[[#This Row],[CONTA]],BaseContasDRE[#All],6,FALSE))</f>
        <v>Fora do DRE</v>
      </c>
      <c r="U5613" s="3" t="str">
        <f>IF(ISERROR(VLOOKUP(Base_Periodo1[[#This Row],[CONTA]],BaseContasDRE[#All],7,FALSE)),"Fora do DRE",VLOOKUP(Base_Periodo1[[#This Row],[CONTA]],BaseContasDRE[#All],7,FALSE))</f>
        <v>Fora do DRE</v>
      </c>
      <c r="V5613" s="3" t="str">
        <f>IF(Base_Periodo1[[#This Row],[Tipo_Linha]]="Fora do DRE","Fora do DRE","( "&amp;Base_Periodo1[[#This Row],[Tipo_Linha]]&amp;" ) "&amp;Base_Periodo1[[#This Row],[Filtro]])</f>
        <v>Fora do DRE</v>
      </c>
      <c r="W5613" s="3" t="str">
        <f>LEFT(Base_Periodo1[[#This Row],[CLASS]],3)</f>
        <v>2.4</v>
      </c>
    </row>
    <row r="5614" spans="1:23" hidden="1">
      <c r="A5614" s="3" t="str">
        <f t="shared" si="87"/>
        <v>Período 1</v>
      </c>
      <c r="B5614">
        <v>50663</v>
      </c>
      <c r="C5614" t="s">
        <v>2300</v>
      </c>
      <c r="D5614" t="s">
        <v>4481</v>
      </c>
      <c r="E5614" s="3" t="str">
        <f>IF(LEN(Base_Periodo1[[#This Row],[CLASS]])&gt;=7,LEFT(Base_Periodo1[[#This Row],[CLASS]],7),"")</f>
        <v>2.4.1.1</v>
      </c>
      <c r="F5614" s="3" t="str">
        <f>VLOOKUP(Base_Periodo1[[#This Row],[Aux]],Base_Contas_Balanco[#All],2,FALSE)</f>
        <v>Capital Social Realizado</v>
      </c>
      <c r="G5614" s="1"/>
      <c r="H5614" s="281">
        <v>200</v>
      </c>
      <c r="I5614" s="281">
        <v>0</v>
      </c>
      <c r="J5614" s="281">
        <v>0</v>
      </c>
      <c r="K5614" s="281">
        <v>200</v>
      </c>
      <c r="L561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</v>
      </c>
      <c r="M5614" s="281">
        <f>ROUND(IF(AND(Base_Periodo1[[#This Row],[Tipo_Linha]]="-",Base_Periodo1[[#This Row],[TIPOSALDO]]="D"),Base_Periodo1[[#This Row],[SALDO_ATUAL]]*-1,Base_Periodo1[[#This Row],[SALDO_ATUAL]]),4)</f>
        <v>200</v>
      </c>
      <c r="N5614" t="s">
        <v>116</v>
      </c>
      <c r="O5614" t="s">
        <v>459</v>
      </c>
      <c r="P5614" t="s">
        <v>459</v>
      </c>
      <c r="Q5614">
        <v>6</v>
      </c>
      <c r="R5614" s="281">
        <f>Base_Periodo1[[#This Row],[CREDITOS]]-Base_Periodo1[[#This Row],[DEBITOS]]</f>
        <v>0</v>
      </c>
      <c r="S5614" s="3" t="str">
        <f>IF(ISERROR(VLOOKUP(Base_Periodo1[[#This Row],[CONTA]],BaseContasDRE[#All],4,FALSE)),"Fora do DRE",VLOOKUP(Base_Periodo1[[#This Row],[CONTA]],BaseContasDRE[#All],4,FALSE))</f>
        <v>Fora do DRE</v>
      </c>
      <c r="T5614" s="3" t="str">
        <f>IF(ISERROR(VLOOKUP(Base_Periodo1[[#This Row],[CONTA]],BaseContasDRE[#All],5,FALSE)),"Fora do DRE",VLOOKUP(Base_Periodo1[[#This Row],[CONTA]],BaseContasDRE[#All],6,FALSE))</f>
        <v>Fora do DRE</v>
      </c>
      <c r="U5614" s="3" t="str">
        <f>IF(ISERROR(VLOOKUP(Base_Periodo1[[#This Row],[CONTA]],BaseContasDRE[#All],7,FALSE)),"Fora do DRE",VLOOKUP(Base_Periodo1[[#This Row],[CONTA]],BaseContasDRE[#All],7,FALSE))</f>
        <v>Fora do DRE</v>
      </c>
      <c r="V5614" s="3" t="str">
        <f>IF(Base_Periodo1[[#This Row],[Tipo_Linha]]="Fora do DRE","Fora do DRE","( "&amp;Base_Periodo1[[#This Row],[Tipo_Linha]]&amp;" ) "&amp;Base_Periodo1[[#This Row],[Filtro]])</f>
        <v>Fora do DRE</v>
      </c>
      <c r="W5614" s="3" t="str">
        <f>LEFT(Base_Periodo1[[#This Row],[CLASS]],3)</f>
        <v>2.4</v>
      </c>
    </row>
    <row r="5615" spans="1:23" hidden="1">
      <c r="A5615" s="3" t="str">
        <f t="shared" si="87"/>
        <v>Período 1</v>
      </c>
      <c r="B5615">
        <v>36134</v>
      </c>
      <c r="C5615" t="s">
        <v>2300</v>
      </c>
      <c r="D5615" t="s">
        <v>3410</v>
      </c>
      <c r="E5615" s="3" t="str">
        <f>IF(LEN(Base_Periodo1[[#This Row],[CLASS]])&gt;=7,LEFT(Base_Periodo1[[#This Row],[CLASS]],7),"")</f>
        <v>2.4.1.1</v>
      </c>
      <c r="F5615" s="3" t="str">
        <f>VLOOKUP(Base_Periodo1[[#This Row],[Aux]],Base_Contas_Balanco[#All],2,FALSE)</f>
        <v>Capital Social Realizado</v>
      </c>
      <c r="G5615" s="1"/>
      <c r="H5615" s="281">
        <v>305.57</v>
      </c>
      <c r="I5615" s="281">
        <v>0</v>
      </c>
      <c r="J5615" s="281">
        <v>0</v>
      </c>
      <c r="K5615" s="281">
        <v>305.57</v>
      </c>
      <c r="L561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305.57</v>
      </c>
      <c r="M5615" s="281">
        <f>ROUND(IF(AND(Base_Periodo1[[#This Row],[Tipo_Linha]]="-",Base_Periodo1[[#This Row],[TIPOSALDO]]="D"),Base_Periodo1[[#This Row],[SALDO_ATUAL]]*-1,Base_Periodo1[[#This Row],[SALDO_ATUAL]]),4)</f>
        <v>305.57</v>
      </c>
      <c r="N5615" t="s">
        <v>116</v>
      </c>
      <c r="O5615" t="s">
        <v>459</v>
      </c>
      <c r="P5615" t="s">
        <v>459</v>
      </c>
      <c r="Q5615">
        <v>6</v>
      </c>
      <c r="R5615" s="281">
        <f>Base_Periodo1[[#This Row],[CREDITOS]]-Base_Periodo1[[#This Row],[DEBITOS]]</f>
        <v>0</v>
      </c>
      <c r="S5615" s="3" t="str">
        <f>IF(ISERROR(VLOOKUP(Base_Periodo1[[#This Row],[CONTA]],BaseContasDRE[#All],4,FALSE)),"Fora do DRE",VLOOKUP(Base_Periodo1[[#This Row],[CONTA]],BaseContasDRE[#All],4,FALSE))</f>
        <v>Fora do DRE</v>
      </c>
      <c r="T5615" s="3" t="str">
        <f>IF(ISERROR(VLOOKUP(Base_Periodo1[[#This Row],[CONTA]],BaseContasDRE[#All],5,FALSE)),"Fora do DRE",VLOOKUP(Base_Periodo1[[#This Row],[CONTA]],BaseContasDRE[#All],6,FALSE))</f>
        <v>Fora do DRE</v>
      </c>
      <c r="U5615" s="3" t="str">
        <f>IF(ISERROR(VLOOKUP(Base_Periodo1[[#This Row],[CONTA]],BaseContasDRE[#All],7,FALSE)),"Fora do DRE",VLOOKUP(Base_Periodo1[[#This Row],[CONTA]],BaseContasDRE[#All],7,FALSE))</f>
        <v>Fora do DRE</v>
      </c>
      <c r="V5615" s="3" t="str">
        <f>IF(Base_Periodo1[[#This Row],[Tipo_Linha]]="Fora do DRE","Fora do DRE","( "&amp;Base_Periodo1[[#This Row],[Tipo_Linha]]&amp;" ) "&amp;Base_Periodo1[[#This Row],[Filtro]])</f>
        <v>Fora do DRE</v>
      </c>
      <c r="W5615" s="3" t="str">
        <f>LEFT(Base_Periodo1[[#This Row],[CLASS]],3)</f>
        <v>2.4</v>
      </c>
    </row>
    <row r="5616" spans="1:23" hidden="1">
      <c r="A5616" s="3" t="str">
        <f t="shared" si="87"/>
        <v>Período 1</v>
      </c>
      <c r="B5616">
        <v>16042</v>
      </c>
      <c r="C5616" t="s">
        <v>2300</v>
      </c>
      <c r="D5616" t="s">
        <v>3411</v>
      </c>
      <c r="E5616" s="3" t="str">
        <f>IF(LEN(Base_Periodo1[[#This Row],[CLASS]])&gt;=7,LEFT(Base_Periodo1[[#This Row],[CLASS]],7),"")</f>
        <v>2.4.1.1</v>
      </c>
      <c r="F5616" s="3" t="str">
        <f>VLOOKUP(Base_Periodo1[[#This Row],[Aux]],Base_Contas_Balanco[#All],2,FALSE)</f>
        <v>Capital Social Realizado</v>
      </c>
      <c r="G5616" s="1"/>
      <c r="H5616" s="281">
        <v>13169.400000000001</v>
      </c>
      <c r="I5616" s="281">
        <v>0</v>
      </c>
      <c r="J5616" s="281">
        <v>0</v>
      </c>
      <c r="K5616" s="281">
        <v>13169.400000000001</v>
      </c>
      <c r="L561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13169.4</v>
      </c>
      <c r="M5616" s="281">
        <f>ROUND(IF(AND(Base_Periodo1[[#This Row],[Tipo_Linha]]="-",Base_Periodo1[[#This Row],[TIPOSALDO]]="D"),Base_Periodo1[[#This Row],[SALDO_ATUAL]]*-1,Base_Periodo1[[#This Row],[SALDO_ATUAL]]),4)</f>
        <v>13169.4</v>
      </c>
      <c r="N5616" t="s">
        <v>116</v>
      </c>
      <c r="O5616" t="s">
        <v>459</v>
      </c>
      <c r="P5616" t="s">
        <v>459</v>
      </c>
      <c r="Q5616">
        <v>6</v>
      </c>
      <c r="R5616" s="281">
        <f>Base_Periodo1[[#This Row],[CREDITOS]]-Base_Periodo1[[#This Row],[DEBITOS]]</f>
        <v>0</v>
      </c>
      <c r="S5616" s="3" t="str">
        <f>IF(ISERROR(VLOOKUP(Base_Periodo1[[#This Row],[CONTA]],BaseContasDRE[#All],4,FALSE)),"Fora do DRE",VLOOKUP(Base_Periodo1[[#This Row],[CONTA]],BaseContasDRE[#All],4,FALSE))</f>
        <v>Fora do DRE</v>
      </c>
      <c r="T5616" s="3" t="str">
        <f>IF(ISERROR(VLOOKUP(Base_Periodo1[[#This Row],[CONTA]],BaseContasDRE[#All],5,FALSE)),"Fora do DRE",VLOOKUP(Base_Periodo1[[#This Row],[CONTA]],BaseContasDRE[#All],6,FALSE))</f>
        <v>Fora do DRE</v>
      </c>
      <c r="U5616" s="3" t="str">
        <f>IF(ISERROR(VLOOKUP(Base_Periodo1[[#This Row],[CONTA]],BaseContasDRE[#All],7,FALSE)),"Fora do DRE",VLOOKUP(Base_Periodo1[[#This Row],[CONTA]],BaseContasDRE[#All],7,FALSE))</f>
        <v>Fora do DRE</v>
      </c>
      <c r="V5616" s="3" t="str">
        <f>IF(Base_Periodo1[[#This Row],[Tipo_Linha]]="Fora do DRE","Fora do DRE","( "&amp;Base_Periodo1[[#This Row],[Tipo_Linha]]&amp;" ) "&amp;Base_Periodo1[[#This Row],[Filtro]])</f>
        <v>Fora do DRE</v>
      </c>
      <c r="W5616" s="3" t="str">
        <f>LEFT(Base_Periodo1[[#This Row],[CLASS]],3)</f>
        <v>2.4</v>
      </c>
    </row>
    <row r="5617" spans="1:23" hidden="1">
      <c r="A5617" s="3" t="str">
        <f t="shared" si="87"/>
        <v>Período 1</v>
      </c>
      <c r="B5617">
        <v>16331</v>
      </c>
      <c r="C5617" t="s">
        <v>2300</v>
      </c>
      <c r="D5617" t="s">
        <v>3412</v>
      </c>
      <c r="E5617" s="3" t="str">
        <f>IF(LEN(Base_Periodo1[[#This Row],[CLASS]])&gt;=7,LEFT(Base_Periodo1[[#This Row],[CLASS]],7),"")</f>
        <v>2.4.1.1</v>
      </c>
      <c r="F5617" s="3" t="str">
        <f>VLOOKUP(Base_Periodo1[[#This Row],[Aux]],Base_Contas_Balanco[#All],2,FALSE)</f>
        <v>Capital Social Realizado</v>
      </c>
      <c r="G5617" s="1"/>
      <c r="H5617" s="281">
        <v>2521.5600000000004</v>
      </c>
      <c r="I5617" s="281">
        <v>0</v>
      </c>
      <c r="J5617" s="281">
        <v>0</v>
      </c>
      <c r="K5617" s="281">
        <v>2521.5600000000004</v>
      </c>
      <c r="L561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2521.56</v>
      </c>
      <c r="M5617" s="281">
        <f>ROUND(IF(AND(Base_Periodo1[[#This Row],[Tipo_Linha]]="-",Base_Periodo1[[#This Row],[TIPOSALDO]]="D"),Base_Periodo1[[#This Row],[SALDO_ATUAL]]*-1,Base_Periodo1[[#This Row],[SALDO_ATUAL]]),4)</f>
        <v>2521.56</v>
      </c>
      <c r="N5617" t="s">
        <v>116</v>
      </c>
      <c r="O5617" t="s">
        <v>459</v>
      </c>
      <c r="P5617" t="s">
        <v>459</v>
      </c>
      <c r="Q5617">
        <v>6</v>
      </c>
      <c r="R5617" s="281">
        <f>Base_Periodo1[[#This Row],[CREDITOS]]-Base_Periodo1[[#This Row],[DEBITOS]]</f>
        <v>0</v>
      </c>
      <c r="S5617" s="3" t="str">
        <f>IF(ISERROR(VLOOKUP(Base_Periodo1[[#This Row],[CONTA]],BaseContasDRE[#All],4,FALSE)),"Fora do DRE",VLOOKUP(Base_Periodo1[[#This Row],[CONTA]],BaseContasDRE[#All],4,FALSE))</f>
        <v>Fora do DRE</v>
      </c>
      <c r="T5617" s="3" t="str">
        <f>IF(ISERROR(VLOOKUP(Base_Periodo1[[#This Row],[CONTA]],BaseContasDRE[#All],5,FALSE)),"Fora do DRE",VLOOKUP(Base_Periodo1[[#This Row],[CONTA]],BaseContasDRE[#All],6,FALSE))</f>
        <v>Fora do DRE</v>
      </c>
      <c r="U5617" s="3" t="str">
        <f>IF(ISERROR(VLOOKUP(Base_Periodo1[[#This Row],[CONTA]],BaseContasDRE[#All],7,FALSE)),"Fora do DRE",VLOOKUP(Base_Periodo1[[#This Row],[CONTA]],BaseContasDRE[#All],7,FALSE))</f>
        <v>Fora do DRE</v>
      </c>
      <c r="V5617" s="3" t="str">
        <f>IF(Base_Periodo1[[#This Row],[Tipo_Linha]]="Fora do DRE","Fora do DRE","( "&amp;Base_Periodo1[[#This Row],[Tipo_Linha]]&amp;" ) "&amp;Base_Periodo1[[#This Row],[Filtro]])</f>
        <v>Fora do DRE</v>
      </c>
      <c r="W5617" s="3" t="str">
        <f>LEFT(Base_Periodo1[[#This Row],[CLASS]],3)</f>
        <v>2.4</v>
      </c>
    </row>
    <row r="5618" spans="1:23" hidden="1">
      <c r="A5618" s="3" t="str">
        <f t="shared" si="87"/>
        <v>Período 1</v>
      </c>
      <c r="B5618">
        <v>18408</v>
      </c>
      <c r="C5618" t="s">
        <v>2300</v>
      </c>
      <c r="D5618" t="s">
        <v>3413</v>
      </c>
      <c r="E5618" s="3" t="str">
        <f>IF(LEN(Base_Periodo1[[#This Row],[CLASS]])&gt;=7,LEFT(Base_Periodo1[[#This Row],[CLASS]],7),"")</f>
        <v>2.4.1.1</v>
      </c>
      <c r="F5618" s="3" t="str">
        <f>VLOOKUP(Base_Periodo1[[#This Row],[Aux]],Base_Contas_Balanco[#All],2,FALSE)</f>
        <v>Capital Social Realizado</v>
      </c>
      <c r="G5618" s="1"/>
      <c r="H5618" s="281">
        <v>12058.57</v>
      </c>
      <c r="I5618" s="281">
        <v>0</v>
      </c>
      <c r="J5618" s="281">
        <v>0</v>
      </c>
      <c r="K5618" s="281">
        <v>12058.57</v>
      </c>
      <c r="L561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12058.57</v>
      </c>
      <c r="M5618" s="281">
        <f>ROUND(IF(AND(Base_Periodo1[[#This Row],[Tipo_Linha]]="-",Base_Periodo1[[#This Row],[TIPOSALDO]]="D"),Base_Periodo1[[#This Row],[SALDO_ATUAL]]*-1,Base_Periodo1[[#This Row],[SALDO_ATUAL]]),4)</f>
        <v>12058.57</v>
      </c>
      <c r="N5618" t="s">
        <v>116</v>
      </c>
      <c r="O5618" t="s">
        <v>459</v>
      </c>
      <c r="P5618" t="s">
        <v>459</v>
      </c>
      <c r="Q5618">
        <v>6</v>
      </c>
      <c r="R5618" s="281">
        <f>Base_Periodo1[[#This Row],[CREDITOS]]-Base_Periodo1[[#This Row],[DEBITOS]]</f>
        <v>0</v>
      </c>
      <c r="S5618" s="3" t="str">
        <f>IF(ISERROR(VLOOKUP(Base_Periodo1[[#This Row],[CONTA]],BaseContasDRE[#All],4,FALSE)),"Fora do DRE",VLOOKUP(Base_Periodo1[[#This Row],[CONTA]],BaseContasDRE[#All],4,FALSE))</f>
        <v>Fora do DRE</v>
      </c>
      <c r="T5618" s="3" t="str">
        <f>IF(ISERROR(VLOOKUP(Base_Periodo1[[#This Row],[CONTA]],BaseContasDRE[#All],5,FALSE)),"Fora do DRE",VLOOKUP(Base_Periodo1[[#This Row],[CONTA]],BaseContasDRE[#All],6,FALSE))</f>
        <v>Fora do DRE</v>
      </c>
      <c r="U5618" s="3" t="str">
        <f>IF(ISERROR(VLOOKUP(Base_Periodo1[[#This Row],[CONTA]],BaseContasDRE[#All],7,FALSE)),"Fora do DRE",VLOOKUP(Base_Periodo1[[#This Row],[CONTA]],BaseContasDRE[#All],7,FALSE))</f>
        <v>Fora do DRE</v>
      </c>
      <c r="V5618" s="3" t="str">
        <f>IF(Base_Periodo1[[#This Row],[Tipo_Linha]]="Fora do DRE","Fora do DRE","( "&amp;Base_Periodo1[[#This Row],[Tipo_Linha]]&amp;" ) "&amp;Base_Periodo1[[#This Row],[Filtro]])</f>
        <v>Fora do DRE</v>
      </c>
      <c r="W5618" s="3" t="str">
        <f>LEFT(Base_Periodo1[[#This Row],[CLASS]],3)</f>
        <v>2.4</v>
      </c>
    </row>
    <row r="5619" spans="1:23" hidden="1">
      <c r="A5619" s="3" t="str">
        <f t="shared" si="87"/>
        <v>Período 1</v>
      </c>
      <c r="B5619">
        <v>17167</v>
      </c>
      <c r="C5619" t="s">
        <v>2300</v>
      </c>
      <c r="D5619" t="s">
        <v>3414</v>
      </c>
      <c r="E5619" s="3" t="str">
        <f>IF(LEN(Base_Periodo1[[#This Row],[CLASS]])&gt;=7,LEFT(Base_Periodo1[[#This Row],[CLASS]],7),"")</f>
        <v>2.4.1.1</v>
      </c>
      <c r="F5619" s="3" t="str">
        <f>VLOOKUP(Base_Periodo1[[#This Row],[Aux]],Base_Contas_Balanco[#All],2,FALSE)</f>
        <v>Capital Social Realizado</v>
      </c>
      <c r="G5619" s="1"/>
      <c r="H5619" s="281">
        <v>322.38</v>
      </c>
      <c r="I5619" s="281">
        <v>0</v>
      </c>
      <c r="J5619" s="281">
        <v>0</v>
      </c>
      <c r="K5619" s="281">
        <v>322.38</v>
      </c>
      <c r="L561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322.38</v>
      </c>
      <c r="M5619" s="281">
        <f>ROUND(IF(AND(Base_Periodo1[[#This Row],[Tipo_Linha]]="-",Base_Periodo1[[#This Row],[TIPOSALDO]]="D"),Base_Periodo1[[#This Row],[SALDO_ATUAL]]*-1,Base_Periodo1[[#This Row],[SALDO_ATUAL]]),4)</f>
        <v>322.38</v>
      </c>
      <c r="N5619" t="s">
        <v>116</v>
      </c>
      <c r="O5619" t="s">
        <v>459</v>
      </c>
      <c r="P5619" t="s">
        <v>459</v>
      </c>
      <c r="Q5619">
        <v>6</v>
      </c>
      <c r="R5619" s="281">
        <f>Base_Periodo1[[#This Row],[CREDITOS]]-Base_Periodo1[[#This Row],[DEBITOS]]</f>
        <v>0</v>
      </c>
      <c r="S5619" s="3" t="str">
        <f>IF(ISERROR(VLOOKUP(Base_Periodo1[[#This Row],[CONTA]],BaseContasDRE[#All],4,FALSE)),"Fora do DRE",VLOOKUP(Base_Periodo1[[#This Row],[CONTA]],BaseContasDRE[#All],4,FALSE))</f>
        <v>Fora do DRE</v>
      </c>
      <c r="T5619" s="3" t="str">
        <f>IF(ISERROR(VLOOKUP(Base_Periodo1[[#This Row],[CONTA]],BaseContasDRE[#All],5,FALSE)),"Fora do DRE",VLOOKUP(Base_Periodo1[[#This Row],[CONTA]],BaseContasDRE[#All],6,FALSE))</f>
        <v>Fora do DRE</v>
      </c>
      <c r="U5619" s="3" t="str">
        <f>IF(ISERROR(VLOOKUP(Base_Periodo1[[#This Row],[CONTA]],BaseContasDRE[#All],7,FALSE)),"Fora do DRE",VLOOKUP(Base_Periodo1[[#This Row],[CONTA]],BaseContasDRE[#All],7,FALSE))</f>
        <v>Fora do DRE</v>
      </c>
      <c r="V5619" s="3" t="str">
        <f>IF(Base_Periodo1[[#This Row],[Tipo_Linha]]="Fora do DRE","Fora do DRE","( "&amp;Base_Periodo1[[#This Row],[Tipo_Linha]]&amp;" ) "&amp;Base_Periodo1[[#This Row],[Filtro]])</f>
        <v>Fora do DRE</v>
      </c>
      <c r="W5619" s="3" t="str">
        <f>LEFT(Base_Periodo1[[#This Row],[CLASS]],3)</f>
        <v>2.4</v>
      </c>
    </row>
    <row r="5620" spans="1:23" hidden="1">
      <c r="A5620" s="3" t="str">
        <f t="shared" si="87"/>
        <v>Período 1</v>
      </c>
      <c r="B5620">
        <v>18415</v>
      </c>
      <c r="C5620" t="s">
        <v>2300</v>
      </c>
      <c r="D5620" t="s">
        <v>3415</v>
      </c>
      <c r="E5620" s="3" t="str">
        <f>IF(LEN(Base_Periodo1[[#This Row],[CLASS]])&gt;=7,LEFT(Base_Periodo1[[#This Row],[CLASS]],7),"")</f>
        <v>2.4.1.1</v>
      </c>
      <c r="F5620" s="3" t="str">
        <f>VLOOKUP(Base_Periodo1[[#This Row],[Aux]],Base_Contas_Balanco[#All],2,FALSE)</f>
        <v>Capital Social Realizado</v>
      </c>
      <c r="G5620" s="1"/>
      <c r="H5620" s="281">
        <v>240.11999999999998</v>
      </c>
      <c r="I5620" s="281">
        <v>0</v>
      </c>
      <c r="J5620" s="281">
        <v>0</v>
      </c>
      <c r="K5620" s="281">
        <v>240.11999999999998</v>
      </c>
      <c r="L562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240.12</v>
      </c>
      <c r="M5620" s="281">
        <f>ROUND(IF(AND(Base_Periodo1[[#This Row],[Tipo_Linha]]="-",Base_Periodo1[[#This Row],[TIPOSALDO]]="D"),Base_Periodo1[[#This Row],[SALDO_ATUAL]]*-1,Base_Periodo1[[#This Row],[SALDO_ATUAL]]),4)</f>
        <v>240.12</v>
      </c>
      <c r="N5620" t="s">
        <v>116</v>
      </c>
      <c r="O5620" t="s">
        <v>459</v>
      </c>
      <c r="P5620" t="s">
        <v>459</v>
      </c>
      <c r="Q5620">
        <v>6</v>
      </c>
      <c r="R5620" s="281">
        <f>Base_Periodo1[[#This Row],[CREDITOS]]-Base_Periodo1[[#This Row],[DEBITOS]]</f>
        <v>0</v>
      </c>
      <c r="S5620" s="3" t="str">
        <f>IF(ISERROR(VLOOKUP(Base_Periodo1[[#This Row],[CONTA]],BaseContasDRE[#All],4,FALSE)),"Fora do DRE",VLOOKUP(Base_Periodo1[[#This Row],[CONTA]],BaseContasDRE[#All],4,FALSE))</f>
        <v>Fora do DRE</v>
      </c>
      <c r="T5620" s="3" t="str">
        <f>IF(ISERROR(VLOOKUP(Base_Periodo1[[#This Row],[CONTA]],BaseContasDRE[#All],5,FALSE)),"Fora do DRE",VLOOKUP(Base_Periodo1[[#This Row],[CONTA]],BaseContasDRE[#All],6,FALSE))</f>
        <v>Fora do DRE</v>
      </c>
      <c r="U5620" s="3" t="str">
        <f>IF(ISERROR(VLOOKUP(Base_Periodo1[[#This Row],[CONTA]],BaseContasDRE[#All],7,FALSE)),"Fora do DRE",VLOOKUP(Base_Periodo1[[#This Row],[CONTA]],BaseContasDRE[#All],7,FALSE))</f>
        <v>Fora do DRE</v>
      </c>
      <c r="V5620" s="3" t="str">
        <f>IF(Base_Periodo1[[#This Row],[Tipo_Linha]]="Fora do DRE","Fora do DRE","( "&amp;Base_Periodo1[[#This Row],[Tipo_Linha]]&amp;" ) "&amp;Base_Periodo1[[#This Row],[Filtro]])</f>
        <v>Fora do DRE</v>
      </c>
      <c r="W5620" s="3" t="str">
        <f>LEFT(Base_Periodo1[[#This Row],[CLASS]],3)</f>
        <v>2.4</v>
      </c>
    </row>
    <row r="5621" spans="1:23" hidden="1">
      <c r="A5621" s="3" t="str">
        <f t="shared" si="87"/>
        <v>Período 1</v>
      </c>
      <c r="B5621">
        <v>16238</v>
      </c>
      <c r="C5621" t="s">
        <v>2300</v>
      </c>
      <c r="D5621" t="s">
        <v>3416</v>
      </c>
      <c r="E5621" s="3" t="str">
        <f>IF(LEN(Base_Periodo1[[#This Row],[CLASS]])&gt;=7,LEFT(Base_Periodo1[[#This Row],[CLASS]],7),"")</f>
        <v>2.4.1.1</v>
      </c>
      <c r="F5621" s="3" t="str">
        <f>VLOOKUP(Base_Periodo1[[#This Row],[Aux]],Base_Contas_Balanco[#All],2,FALSE)</f>
        <v>Capital Social Realizado</v>
      </c>
      <c r="G5621" s="1"/>
      <c r="H5621" s="281">
        <v>18125.129999999997</v>
      </c>
      <c r="I5621" s="281">
        <v>0</v>
      </c>
      <c r="J5621" s="281">
        <v>0</v>
      </c>
      <c r="K5621" s="281">
        <v>18125.129999999997</v>
      </c>
      <c r="L562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18125.13</v>
      </c>
      <c r="M5621" s="281">
        <f>ROUND(IF(AND(Base_Periodo1[[#This Row],[Tipo_Linha]]="-",Base_Periodo1[[#This Row],[TIPOSALDO]]="D"),Base_Periodo1[[#This Row],[SALDO_ATUAL]]*-1,Base_Periodo1[[#This Row],[SALDO_ATUAL]]),4)</f>
        <v>18125.13</v>
      </c>
      <c r="N5621" t="s">
        <v>116</v>
      </c>
      <c r="O5621" t="s">
        <v>459</v>
      </c>
      <c r="P5621" t="s">
        <v>459</v>
      </c>
      <c r="Q5621">
        <v>6</v>
      </c>
      <c r="R5621" s="281">
        <f>Base_Periodo1[[#This Row],[CREDITOS]]-Base_Periodo1[[#This Row],[DEBITOS]]</f>
        <v>0</v>
      </c>
      <c r="S5621" s="3" t="str">
        <f>IF(ISERROR(VLOOKUP(Base_Periodo1[[#This Row],[CONTA]],BaseContasDRE[#All],4,FALSE)),"Fora do DRE",VLOOKUP(Base_Periodo1[[#This Row],[CONTA]],BaseContasDRE[#All],4,FALSE))</f>
        <v>Fora do DRE</v>
      </c>
      <c r="T5621" s="3" t="str">
        <f>IF(ISERROR(VLOOKUP(Base_Periodo1[[#This Row],[CONTA]],BaseContasDRE[#All],5,FALSE)),"Fora do DRE",VLOOKUP(Base_Periodo1[[#This Row],[CONTA]],BaseContasDRE[#All],6,FALSE))</f>
        <v>Fora do DRE</v>
      </c>
      <c r="U5621" s="3" t="str">
        <f>IF(ISERROR(VLOOKUP(Base_Periodo1[[#This Row],[CONTA]],BaseContasDRE[#All],7,FALSE)),"Fora do DRE",VLOOKUP(Base_Periodo1[[#This Row],[CONTA]],BaseContasDRE[#All],7,FALSE))</f>
        <v>Fora do DRE</v>
      </c>
      <c r="V5621" s="3" t="str">
        <f>IF(Base_Periodo1[[#This Row],[Tipo_Linha]]="Fora do DRE","Fora do DRE","( "&amp;Base_Periodo1[[#This Row],[Tipo_Linha]]&amp;" ) "&amp;Base_Periodo1[[#This Row],[Filtro]])</f>
        <v>Fora do DRE</v>
      </c>
      <c r="W5621" s="3" t="str">
        <f>LEFT(Base_Periodo1[[#This Row],[CLASS]],3)</f>
        <v>2.4</v>
      </c>
    </row>
    <row r="5622" spans="1:23" hidden="1">
      <c r="A5622" s="3" t="str">
        <f t="shared" si="87"/>
        <v>Período 1</v>
      </c>
      <c r="B5622">
        <v>31711</v>
      </c>
      <c r="C5622" t="s">
        <v>2300</v>
      </c>
      <c r="D5622" t="s">
        <v>3417</v>
      </c>
      <c r="E5622" s="3" t="str">
        <f>IF(LEN(Base_Periodo1[[#This Row],[CLASS]])&gt;=7,LEFT(Base_Periodo1[[#This Row],[CLASS]],7),"")</f>
        <v>2.4.1.1</v>
      </c>
      <c r="F5622" s="3" t="str">
        <f>VLOOKUP(Base_Periodo1[[#This Row],[Aux]],Base_Contas_Balanco[#All],2,FALSE)</f>
        <v>Capital Social Realizado</v>
      </c>
      <c r="G5622" s="1"/>
      <c r="H5622" s="281">
        <v>50</v>
      </c>
      <c r="I5622" s="281">
        <v>0</v>
      </c>
      <c r="J5622" s="281">
        <v>0</v>
      </c>
      <c r="K5622" s="281">
        <v>50</v>
      </c>
      <c r="L562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22" s="281">
        <f>ROUND(IF(AND(Base_Periodo1[[#This Row],[Tipo_Linha]]="-",Base_Periodo1[[#This Row],[TIPOSALDO]]="D"),Base_Periodo1[[#This Row],[SALDO_ATUAL]]*-1,Base_Periodo1[[#This Row],[SALDO_ATUAL]]),4)</f>
        <v>50</v>
      </c>
      <c r="N5622" t="s">
        <v>116</v>
      </c>
      <c r="O5622" t="s">
        <v>459</v>
      </c>
      <c r="P5622" t="s">
        <v>459</v>
      </c>
      <c r="Q5622">
        <v>6</v>
      </c>
      <c r="R5622" s="281">
        <f>Base_Periodo1[[#This Row],[CREDITOS]]-Base_Periodo1[[#This Row],[DEBITOS]]</f>
        <v>0</v>
      </c>
      <c r="S5622" s="3" t="str">
        <f>IF(ISERROR(VLOOKUP(Base_Periodo1[[#This Row],[CONTA]],BaseContasDRE[#All],4,FALSE)),"Fora do DRE",VLOOKUP(Base_Periodo1[[#This Row],[CONTA]],BaseContasDRE[#All],4,FALSE))</f>
        <v>Fora do DRE</v>
      </c>
      <c r="T5622" s="3" t="str">
        <f>IF(ISERROR(VLOOKUP(Base_Periodo1[[#This Row],[CONTA]],BaseContasDRE[#All],5,FALSE)),"Fora do DRE",VLOOKUP(Base_Periodo1[[#This Row],[CONTA]],BaseContasDRE[#All],6,FALSE))</f>
        <v>Fora do DRE</v>
      </c>
      <c r="U5622" s="3" t="str">
        <f>IF(ISERROR(VLOOKUP(Base_Periodo1[[#This Row],[CONTA]],BaseContasDRE[#All],7,FALSE)),"Fora do DRE",VLOOKUP(Base_Periodo1[[#This Row],[CONTA]],BaseContasDRE[#All],7,FALSE))</f>
        <v>Fora do DRE</v>
      </c>
      <c r="V5622" s="3" t="str">
        <f>IF(Base_Periodo1[[#This Row],[Tipo_Linha]]="Fora do DRE","Fora do DRE","( "&amp;Base_Periodo1[[#This Row],[Tipo_Linha]]&amp;" ) "&amp;Base_Periodo1[[#This Row],[Filtro]])</f>
        <v>Fora do DRE</v>
      </c>
      <c r="W5622" s="3" t="str">
        <f>LEFT(Base_Periodo1[[#This Row],[CLASS]],3)</f>
        <v>2.4</v>
      </c>
    </row>
    <row r="5623" spans="1:23" hidden="1">
      <c r="A5623" s="3" t="str">
        <f t="shared" si="87"/>
        <v>Período 1</v>
      </c>
      <c r="B5623">
        <v>51612</v>
      </c>
      <c r="C5623" t="s">
        <v>2300</v>
      </c>
      <c r="D5623" t="s">
        <v>4634</v>
      </c>
      <c r="E5623" s="3" t="str">
        <f>IF(LEN(Base_Periodo1[[#This Row],[CLASS]])&gt;=7,LEFT(Base_Periodo1[[#This Row],[CLASS]],7),"")</f>
        <v>2.4.1.1</v>
      </c>
      <c r="F5623" s="3" t="str">
        <f>VLOOKUP(Base_Periodo1[[#This Row],[Aux]],Base_Contas_Balanco[#All],2,FALSE)</f>
        <v>Capital Social Realizado</v>
      </c>
      <c r="G5623" s="1"/>
      <c r="H5623" s="281">
        <v>500</v>
      </c>
      <c r="I5623" s="281">
        <v>0</v>
      </c>
      <c r="J5623" s="281">
        <v>0</v>
      </c>
      <c r="K5623" s="281">
        <v>500</v>
      </c>
      <c r="L562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500</v>
      </c>
      <c r="M5623" s="281">
        <f>ROUND(IF(AND(Base_Periodo1[[#This Row],[Tipo_Linha]]="-",Base_Periodo1[[#This Row],[TIPOSALDO]]="D"),Base_Periodo1[[#This Row],[SALDO_ATUAL]]*-1,Base_Periodo1[[#This Row],[SALDO_ATUAL]]),4)</f>
        <v>500</v>
      </c>
      <c r="N5623" t="s">
        <v>116</v>
      </c>
      <c r="O5623" t="s">
        <v>459</v>
      </c>
      <c r="P5623" t="s">
        <v>459</v>
      </c>
      <c r="Q5623">
        <v>6</v>
      </c>
      <c r="R5623" s="281">
        <f>Base_Periodo1[[#This Row],[CREDITOS]]-Base_Periodo1[[#This Row],[DEBITOS]]</f>
        <v>0</v>
      </c>
      <c r="S5623" s="3" t="str">
        <f>IF(ISERROR(VLOOKUP(Base_Periodo1[[#This Row],[CONTA]],BaseContasDRE[#All],4,FALSE)),"Fora do DRE",VLOOKUP(Base_Periodo1[[#This Row],[CONTA]],BaseContasDRE[#All],4,FALSE))</f>
        <v>Fora do DRE</v>
      </c>
      <c r="T5623" s="3" t="str">
        <f>IF(ISERROR(VLOOKUP(Base_Periodo1[[#This Row],[CONTA]],BaseContasDRE[#All],5,FALSE)),"Fora do DRE",VLOOKUP(Base_Periodo1[[#This Row],[CONTA]],BaseContasDRE[#All],6,FALSE))</f>
        <v>Fora do DRE</v>
      </c>
      <c r="U5623" s="3" t="str">
        <f>IF(ISERROR(VLOOKUP(Base_Periodo1[[#This Row],[CONTA]],BaseContasDRE[#All],7,FALSE)),"Fora do DRE",VLOOKUP(Base_Periodo1[[#This Row],[CONTA]],BaseContasDRE[#All],7,FALSE))</f>
        <v>Fora do DRE</v>
      </c>
      <c r="V5623" s="3" t="str">
        <f>IF(Base_Periodo1[[#This Row],[Tipo_Linha]]="Fora do DRE","Fora do DRE","( "&amp;Base_Periodo1[[#This Row],[Tipo_Linha]]&amp;" ) "&amp;Base_Periodo1[[#This Row],[Filtro]])</f>
        <v>Fora do DRE</v>
      </c>
      <c r="W5623" s="3" t="str">
        <f>LEFT(Base_Periodo1[[#This Row],[CLASS]],3)</f>
        <v>2.4</v>
      </c>
    </row>
    <row r="5624" spans="1:23" hidden="1">
      <c r="A5624" s="3" t="str">
        <f t="shared" si="87"/>
        <v>Período 1</v>
      </c>
      <c r="B5624">
        <v>55863</v>
      </c>
      <c r="C5624" t="s">
        <v>2300</v>
      </c>
      <c r="D5624" t="s">
        <v>5543</v>
      </c>
      <c r="E5624" s="3" t="str">
        <f>IF(LEN(Base_Periodo1[[#This Row],[CLASS]])&gt;=7,LEFT(Base_Periodo1[[#This Row],[CLASS]],7),"")</f>
        <v>2.4.1.1</v>
      </c>
      <c r="F5624" s="3" t="str">
        <f>VLOOKUP(Base_Periodo1[[#This Row],[Aux]],Base_Contas_Balanco[#All],2,FALSE)</f>
        <v>Capital Social Realizado</v>
      </c>
      <c r="G5624" s="1"/>
      <c r="H5624" s="281">
        <v>50</v>
      </c>
      <c r="I5624" s="281">
        <v>0</v>
      </c>
      <c r="J5624" s="281">
        <v>0</v>
      </c>
      <c r="K5624" s="281">
        <v>50</v>
      </c>
      <c r="L562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24" s="281">
        <f>ROUND(IF(AND(Base_Periodo1[[#This Row],[Tipo_Linha]]="-",Base_Periodo1[[#This Row],[TIPOSALDO]]="D"),Base_Periodo1[[#This Row],[SALDO_ATUAL]]*-1,Base_Periodo1[[#This Row],[SALDO_ATUAL]]),4)</f>
        <v>50</v>
      </c>
      <c r="N5624" t="s">
        <v>116</v>
      </c>
      <c r="O5624" t="s">
        <v>459</v>
      </c>
      <c r="P5624" t="s">
        <v>459</v>
      </c>
      <c r="Q5624">
        <v>6</v>
      </c>
      <c r="R5624" s="281">
        <f>Base_Periodo1[[#This Row],[CREDITOS]]-Base_Periodo1[[#This Row],[DEBITOS]]</f>
        <v>0</v>
      </c>
      <c r="S5624" s="3" t="str">
        <f>IF(ISERROR(VLOOKUP(Base_Periodo1[[#This Row],[CONTA]],BaseContasDRE[#All],4,FALSE)),"Fora do DRE",VLOOKUP(Base_Periodo1[[#This Row],[CONTA]],BaseContasDRE[#All],4,FALSE))</f>
        <v>Fora do DRE</v>
      </c>
      <c r="T5624" s="3" t="str">
        <f>IF(ISERROR(VLOOKUP(Base_Periodo1[[#This Row],[CONTA]],BaseContasDRE[#All],5,FALSE)),"Fora do DRE",VLOOKUP(Base_Periodo1[[#This Row],[CONTA]],BaseContasDRE[#All],6,FALSE))</f>
        <v>Fora do DRE</v>
      </c>
      <c r="U5624" s="3" t="str">
        <f>IF(ISERROR(VLOOKUP(Base_Periodo1[[#This Row],[CONTA]],BaseContasDRE[#All],7,FALSE)),"Fora do DRE",VLOOKUP(Base_Periodo1[[#This Row],[CONTA]],BaseContasDRE[#All],7,FALSE))</f>
        <v>Fora do DRE</v>
      </c>
      <c r="V5624" s="3" t="str">
        <f>IF(Base_Periodo1[[#This Row],[Tipo_Linha]]="Fora do DRE","Fora do DRE","( "&amp;Base_Periodo1[[#This Row],[Tipo_Linha]]&amp;" ) "&amp;Base_Periodo1[[#This Row],[Filtro]])</f>
        <v>Fora do DRE</v>
      </c>
      <c r="W5624" s="3" t="str">
        <f>LEFT(Base_Periodo1[[#This Row],[CLASS]],3)</f>
        <v>2.4</v>
      </c>
    </row>
    <row r="5625" spans="1:23" hidden="1">
      <c r="A5625" s="3" t="str">
        <f t="shared" si="87"/>
        <v>Período 1</v>
      </c>
      <c r="B5625">
        <v>50709</v>
      </c>
      <c r="C5625" t="s">
        <v>2300</v>
      </c>
      <c r="D5625" t="s">
        <v>4482</v>
      </c>
      <c r="E5625" s="3" t="str">
        <f>IF(LEN(Base_Periodo1[[#This Row],[CLASS]])&gt;=7,LEFT(Base_Periodo1[[#This Row],[CLASS]],7),"")</f>
        <v>2.4.1.1</v>
      </c>
      <c r="F5625" s="3" t="str">
        <f>VLOOKUP(Base_Periodo1[[#This Row],[Aux]],Base_Contas_Balanco[#All],2,FALSE)</f>
        <v>Capital Social Realizado</v>
      </c>
      <c r="G5625" s="1"/>
      <c r="H5625" s="281">
        <v>240</v>
      </c>
      <c r="I5625" s="281">
        <v>0</v>
      </c>
      <c r="J5625" s="281">
        <v>0</v>
      </c>
      <c r="K5625" s="281">
        <v>240</v>
      </c>
      <c r="L562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625" s="281">
        <f>ROUND(IF(AND(Base_Periodo1[[#This Row],[Tipo_Linha]]="-",Base_Periodo1[[#This Row],[TIPOSALDO]]="D"),Base_Periodo1[[#This Row],[SALDO_ATUAL]]*-1,Base_Periodo1[[#This Row],[SALDO_ATUAL]]),4)</f>
        <v>240</v>
      </c>
      <c r="N5625" t="s">
        <v>116</v>
      </c>
      <c r="O5625" t="s">
        <v>459</v>
      </c>
      <c r="P5625" t="s">
        <v>459</v>
      </c>
      <c r="Q5625">
        <v>6</v>
      </c>
      <c r="R5625" s="281">
        <f>Base_Periodo1[[#This Row],[CREDITOS]]-Base_Periodo1[[#This Row],[DEBITOS]]</f>
        <v>0</v>
      </c>
      <c r="S5625" s="3" t="str">
        <f>IF(ISERROR(VLOOKUP(Base_Periodo1[[#This Row],[CONTA]],BaseContasDRE[#All],4,FALSE)),"Fora do DRE",VLOOKUP(Base_Periodo1[[#This Row],[CONTA]],BaseContasDRE[#All],4,FALSE))</f>
        <v>Fora do DRE</v>
      </c>
      <c r="T5625" s="3" t="str">
        <f>IF(ISERROR(VLOOKUP(Base_Periodo1[[#This Row],[CONTA]],BaseContasDRE[#All],5,FALSE)),"Fora do DRE",VLOOKUP(Base_Periodo1[[#This Row],[CONTA]],BaseContasDRE[#All],6,FALSE))</f>
        <v>Fora do DRE</v>
      </c>
      <c r="U5625" s="3" t="str">
        <f>IF(ISERROR(VLOOKUP(Base_Periodo1[[#This Row],[CONTA]],BaseContasDRE[#All],7,FALSE)),"Fora do DRE",VLOOKUP(Base_Periodo1[[#This Row],[CONTA]],BaseContasDRE[#All],7,FALSE))</f>
        <v>Fora do DRE</v>
      </c>
      <c r="V5625" s="3" t="str">
        <f>IF(Base_Periodo1[[#This Row],[Tipo_Linha]]="Fora do DRE","Fora do DRE","( "&amp;Base_Periodo1[[#This Row],[Tipo_Linha]]&amp;" ) "&amp;Base_Periodo1[[#This Row],[Filtro]])</f>
        <v>Fora do DRE</v>
      </c>
      <c r="W5625" s="3" t="str">
        <f>LEFT(Base_Periodo1[[#This Row],[CLASS]],3)</f>
        <v>2.4</v>
      </c>
    </row>
    <row r="5626" spans="1:23" hidden="1">
      <c r="A5626" s="3" t="str">
        <f t="shared" si="87"/>
        <v>Período 1</v>
      </c>
      <c r="B5626">
        <v>25787</v>
      </c>
      <c r="C5626" t="s">
        <v>2300</v>
      </c>
      <c r="D5626" t="s">
        <v>3418</v>
      </c>
      <c r="E5626" s="3" t="str">
        <f>IF(LEN(Base_Periodo1[[#This Row],[CLASS]])&gt;=7,LEFT(Base_Periodo1[[#This Row],[CLASS]],7),"")</f>
        <v>2.4.1.1</v>
      </c>
      <c r="F5626" s="3" t="str">
        <f>VLOOKUP(Base_Periodo1[[#This Row],[Aux]],Base_Contas_Balanco[#All],2,FALSE)</f>
        <v>Capital Social Realizado</v>
      </c>
      <c r="G5626" s="1"/>
      <c r="H5626" s="281">
        <v>276.64999999999998</v>
      </c>
      <c r="I5626" s="281">
        <v>0</v>
      </c>
      <c r="J5626" s="281">
        <v>0</v>
      </c>
      <c r="K5626" s="281">
        <v>276.64999999999998</v>
      </c>
      <c r="L562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276.64999999999998</v>
      </c>
      <c r="M5626" s="281">
        <f>ROUND(IF(AND(Base_Periodo1[[#This Row],[Tipo_Linha]]="-",Base_Periodo1[[#This Row],[TIPOSALDO]]="D"),Base_Periodo1[[#This Row],[SALDO_ATUAL]]*-1,Base_Periodo1[[#This Row],[SALDO_ATUAL]]),4)</f>
        <v>276.64999999999998</v>
      </c>
      <c r="N5626" t="s">
        <v>116</v>
      </c>
      <c r="O5626" t="s">
        <v>459</v>
      </c>
      <c r="P5626" t="s">
        <v>459</v>
      </c>
      <c r="Q5626">
        <v>6</v>
      </c>
      <c r="R5626" s="281">
        <f>Base_Periodo1[[#This Row],[CREDITOS]]-Base_Periodo1[[#This Row],[DEBITOS]]</f>
        <v>0</v>
      </c>
      <c r="S5626" s="3" t="str">
        <f>IF(ISERROR(VLOOKUP(Base_Periodo1[[#This Row],[CONTA]],BaseContasDRE[#All],4,FALSE)),"Fora do DRE",VLOOKUP(Base_Periodo1[[#This Row],[CONTA]],BaseContasDRE[#All],4,FALSE))</f>
        <v>Fora do DRE</v>
      </c>
      <c r="T5626" s="3" t="str">
        <f>IF(ISERROR(VLOOKUP(Base_Periodo1[[#This Row],[CONTA]],BaseContasDRE[#All],5,FALSE)),"Fora do DRE",VLOOKUP(Base_Periodo1[[#This Row],[CONTA]],BaseContasDRE[#All],6,FALSE))</f>
        <v>Fora do DRE</v>
      </c>
      <c r="U5626" s="3" t="str">
        <f>IF(ISERROR(VLOOKUP(Base_Periodo1[[#This Row],[CONTA]],BaseContasDRE[#All],7,FALSE)),"Fora do DRE",VLOOKUP(Base_Periodo1[[#This Row],[CONTA]],BaseContasDRE[#All],7,FALSE))</f>
        <v>Fora do DRE</v>
      </c>
      <c r="V5626" s="3" t="str">
        <f>IF(Base_Periodo1[[#This Row],[Tipo_Linha]]="Fora do DRE","Fora do DRE","( "&amp;Base_Periodo1[[#This Row],[Tipo_Linha]]&amp;" ) "&amp;Base_Periodo1[[#This Row],[Filtro]])</f>
        <v>Fora do DRE</v>
      </c>
      <c r="W5626" s="3" t="str">
        <f>LEFT(Base_Periodo1[[#This Row],[CLASS]],3)</f>
        <v>2.4</v>
      </c>
    </row>
    <row r="5627" spans="1:23" hidden="1">
      <c r="A5627" s="3" t="str">
        <f t="shared" si="87"/>
        <v>Período 1</v>
      </c>
      <c r="B5627">
        <v>25665</v>
      </c>
      <c r="C5627" t="s">
        <v>2300</v>
      </c>
      <c r="D5627" t="s">
        <v>3419</v>
      </c>
      <c r="E5627" s="3" t="str">
        <f>IF(LEN(Base_Periodo1[[#This Row],[CLASS]])&gt;=7,LEFT(Base_Periodo1[[#This Row],[CLASS]],7),"")</f>
        <v>2.4.1.1</v>
      </c>
      <c r="F5627" s="3" t="str">
        <f>VLOOKUP(Base_Periodo1[[#This Row],[Aux]],Base_Contas_Balanco[#All],2,FALSE)</f>
        <v>Capital Social Realizado</v>
      </c>
      <c r="G5627" s="1"/>
      <c r="H5627" s="281">
        <v>50</v>
      </c>
      <c r="I5627" s="281">
        <v>0</v>
      </c>
      <c r="J5627" s="281">
        <v>0</v>
      </c>
      <c r="K5627" s="281">
        <v>50</v>
      </c>
      <c r="L562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27" s="281">
        <f>ROUND(IF(AND(Base_Periodo1[[#This Row],[Tipo_Linha]]="-",Base_Periodo1[[#This Row],[TIPOSALDO]]="D"),Base_Periodo1[[#This Row],[SALDO_ATUAL]]*-1,Base_Periodo1[[#This Row],[SALDO_ATUAL]]),4)</f>
        <v>50</v>
      </c>
      <c r="N5627" t="s">
        <v>116</v>
      </c>
      <c r="O5627" t="s">
        <v>459</v>
      </c>
      <c r="P5627" t="s">
        <v>459</v>
      </c>
      <c r="Q5627">
        <v>6</v>
      </c>
      <c r="R5627" s="281">
        <f>Base_Periodo1[[#This Row],[CREDITOS]]-Base_Periodo1[[#This Row],[DEBITOS]]</f>
        <v>0</v>
      </c>
      <c r="S5627" s="3" t="str">
        <f>IF(ISERROR(VLOOKUP(Base_Periodo1[[#This Row],[CONTA]],BaseContasDRE[#All],4,FALSE)),"Fora do DRE",VLOOKUP(Base_Periodo1[[#This Row],[CONTA]],BaseContasDRE[#All],4,FALSE))</f>
        <v>Fora do DRE</v>
      </c>
      <c r="T5627" s="3" t="str">
        <f>IF(ISERROR(VLOOKUP(Base_Periodo1[[#This Row],[CONTA]],BaseContasDRE[#All],5,FALSE)),"Fora do DRE",VLOOKUP(Base_Periodo1[[#This Row],[CONTA]],BaseContasDRE[#All],6,FALSE))</f>
        <v>Fora do DRE</v>
      </c>
      <c r="U5627" s="3" t="str">
        <f>IF(ISERROR(VLOOKUP(Base_Periodo1[[#This Row],[CONTA]],BaseContasDRE[#All],7,FALSE)),"Fora do DRE",VLOOKUP(Base_Periodo1[[#This Row],[CONTA]],BaseContasDRE[#All],7,FALSE))</f>
        <v>Fora do DRE</v>
      </c>
      <c r="V5627" s="3" t="str">
        <f>IF(Base_Periodo1[[#This Row],[Tipo_Linha]]="Fora do DRE","Fora do DRE","( "&amp;Base_Periodo1[[#This Row],[Tipo_Linha]]&amp;" ) "&amp;Base_Periodo1[[#This Row],[Filtro]])</f>
        <v>Fora do DRE</v>
      </c>
      <c r="W5627" s="3" t="str">
        <f>LEFT(Base_Periodo1[[#This Row],[CLASS]],3)</f>
        <v>2.4</v>
      </c>
    </row>
    <row r="5628" spans="1:23" hidden="1">
      <c r="A5628" s="3" t="str">
        <f t="shared" si="87"/>
        <v>Período 1</v>
      </c>
      <c r="B5628">
        <v>47017</v>
      </c>
      <c r="C5628" t="s">
        <v>2300</v>
      </c>
      <c r="D5628" t="s">
        <v>4224</v>
      </c>
      <c r="E5628" s="3" t="str">
        <f>IF(LEN(Base_Periodo1[[#This Row],[CLASS]])&gt;=7,LEFT(Base_Periodo1[[#This Row],[CLASS]],7),"")</f>
        <v>2.4.1.1</v>
      </c>
      <c r="F5628" s="3" t="str">
        <f>VLOOKUP(Base_Periodo1[[#This Row],[Aux]],Base_Contas_Balanco[#All],2,FALSE)</f>
        <v>Capital Social Realizado</v>
      </c>
      <c r="G5628" s="1"/>
      <c r="H5628" s="281">
        <v>4742.22</v>
      </c>
      <c r="I5628" s="281">
        <v>0</v>
      </c>
      <c r="J5628" s="281">
        <v>0</v>
      </c>
      <c r="K5628" s="281">
        <v>4742.22</v>
      </c>
      <c r="L562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4742.22</v>
      </c>
      <c r="M5628" s="281">
        <f>ROUND(IF(AND(Base_Periodo1[[#This Row],[Tipo_Linha]]="-",Base_Periodo1[[#This Row],[TIPOSALDO]]="D"),Base_Periodo1[[#This Row],[SALDO_ATUAL]]*-1,Base_Periodo1[[#This Row],[SALDO_ATUAL]]),4)</f>
        <v>4742.22</v>
      </c>
      <c r="N5628" t="s">
        <v>116</v>
      </c>
      <c r="O5628" t="s">
        <v>459</v>
      </c>
      <c r="P5628" t="s">
        <v>459</v>
      </c>
      <c r="Q5628">
        <v>6</v>
      </c>
      <c r="R5628" s="281">
        <f>Base_Periodo1[[#This Row],[CREDITOS]]-Base_Periodo1[[#This Row],[DEBITOS]]</f>
        <v>0</v>
      </c>
      <c r="S5628" s="3" t="str">
        <f>IF(ISERROR(VLOOKUP(Base_Periodo1[[#This Row],[CONTA]],BaseContasDRE[#All],4,FALSE)),"Fora do DRE",VLOOKUP(Base_Periodo1[[#This Row],[CONTA]],BaseContasDRE[#All],4,FALSE))</f>
        <v>Fora do DRE</v>
      </c>
      <c r="T5628" s="3" t="str">
        <f>IF(ISERROR(VLOOKUP(Base_Periodo1[[#This Row],[CONTA]],BaseContasDRE[#All],5,FALSE)),"Fora do DRE",VLOOKUP(Base_Periodo1[[#This Row],[CONTA]],BaseContasDRE[#All],6,FALSE))</f>
        <v>Fora do DRE</v>
      </c>
      <c r="U5628" s="3" t="str">
        <f>IF(ISERROR(VLOOKUP(Base_Periodo1[[#This Row],[CONTA]],BaseContasDRE[#All],7,FALSE)),"Fora do DRE",VLOOKUP(Base_Periodo1[[#This Row],[CONTA]],BaseContasDRE[#All],7,FALSE))</f>
        <v>Fora do DRE</v>
      </c>
      <c r="V5628" s="3" t="str">
        <f>IF(Base_Periodo1[[#This Row],[Tipo_Linha]]="Fora do DRE","Fora do DRE","( "&amp;Base_Periodo1[[#This Row],[Tipo_Linha]]&amp;" ) "&amp;Base_Periodo1[[#This Row],[Filtro]])</f>
        <v>Fora do DRE</v>
      </c>
      <c r="W5628" s="3" t="str">
        <f>LEFT(Base_Periodo1[[#This Row],[CLASS]],3)</f>
        <v>2.4</v>
      </c>
    </row>
    <row r="5629" spans="1:23" hidden="1">
      <c r="A5629" s="3" t="str">
        <f t="shared" si="87"/>
        <v>Período 1</v>
      </c>
      <c r="B5629">
        <v>56474</v>
      </c>
      <c r="C5629" t="s">
        <v>2300</v>
      </c>
      <c r="D5629" t="s">
        <v>6013</v>
      </c>
      <c r="E5629" s="3" t="str">
        <f>IF(LEN(Base_Periodo1[[#This Row],[CLASS]])&gt;=7,LEFT(Base_Periodo1[[#This Row],[CLASS]],7),"")</f>
        <v>2.4.1.1</v>
      </c>
      <c r="F5629" s="3" t="str">
        <f>VLOOKUP(Base_Periodo1[[#This Row],[Aux]],Base_Contas_Balanco[#All],2,FALSE)</f>
        <v>Capital Social Realizado</v>
      </c>
      <c r="G5629" s="1"/>
      <c r="H5629" s="281">
        <v>50</v>
      </c>
      <c r="I5629" s="281">
        <v>0</v>
      </c>
      <c r="J5629" s="281">
        <v>0</v>
      </c>
      <c r="K5629" s="281">
        <v>50</v>
      </c>
      <c r="L562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29" s="281">
        <f>ROUND(IF(AND(Base_Periodo1[[#This Row],[Tipo_Linha]]="-",Base_Periodo1[[#This Row],[TIPOSALDO]]="D"),Base_Periodo1[[#This Row],[SALDO_ATUAL]]*-1,Base_Periodo1[[#This Row],[SALDO_ATUAL]]),4)</f>
        <v>50</v>
      </c>
      <c r="N5629" t="s">
        <v>116</v>
      </c>
      <c r="O5629" t="s">
        <v>459</v>
      </c>
      <c r="P5629" t="s">
        <v>459</v>
      </c>
      <c r="Q5629">
        <v>6</v>
      </c>
      <c r="R5629" s="281">
        <f>Base_Periodo1[[#This Row],[CREDITOS]]-Base_Periodo1[[#This Row],[DEBITOS]]</f>
        <v>0</v>
      </c>
      <c r="S5629" s="3" t="str">
        <f>IF(ISERROR(VLOOKUP(Base_Periodo1[[#This Row],[CONTA]],BaseContasDRE[#All],4,FALSE)),"Fora do DRE",VLOOKUP(Base_Periodo1[[#This Row],[CONTA]],BaseContasDRE[#All],4,FALSE))</f>
        <v>Fora do DRE</v>
      </c>
      <c r="T5629" s="3" t="str">
        <f>IF(ISERROR(VLOOKUP(Base_Periodo1[[#This Row],[CONTA]],BaseContasDRE[#All],5,FALSE)),"Fora do DRE",VLOOKUP(Base_Periodo1[[#This Row],[CONTA]],BaseContasDRE[#All],6,FALSE))</f>
        <v>Fora do DRE</v>
      </c>
      <c r="U5629" s="3" t="str">
        <f>IF(ISERROR(VLOOKUP(Base_Periodo1[[#This Row],[CONTA]],BaseContasDRE[#All],7,FALSE)),"Fora do DRE",VLOOKUP(Base_Periodo1[[#This Row],[CONTA]],BaseContasDRE[#All],7,FALSE))</f>
        <v>Fora do DRE</v>
      </c>
      <c r="V5629" s="3" t="str">
        <f>IF(Base_Periodo1[[#This Row],[Tipo_Linha]]="Fora do DRE","Fora do DRE","( "&amp;Base_Periodo1[[#This Row],[Tipo_Linha]]&amp;" ) "&amp;Base_Periodo1[[#This Row],[Filtro]])</f>
        <v>Fora do DRE</v>
      </c>
      <c r="W5629" s="3" t="str">
        <f>LEFT(Base_Periodo1[[#This Row],[CLASS]],3)</f>
        <v>2.4</v>
      </c>
    </row>
    <row r="5630" spans="1:23" hidden="1">
      <c r="A5630" s="3" t="str">
        <f t="shared" si="87"/>
        <v>Período 1</v>
      </c>
      <c r="B5630">
        <v>33828</v>
      </c>
      <c r="C5630" t="s">
        <v>2300</v>
      </c>
      <c r="D5630" t="s">
        <v>3420</v>
      </c>
      <c r="E5630" s="3" t="str">
        <f>IF(LEN(Base_Periodo1[[#This Row],[CLASS]])&gt;=7,LEFT(Base_Periodo1[[#This Row],[CLASS]],7),"")</f>
        <v>2.4.1.1</v>
      </c>
      <c r="F5630" s="3" t="str">
        <f>VLOOKUP(Base_Periodo1[[#This Row],[Aux]],Base_Contas_Balanco[#All],2,FALSE)</f>
        <v>Capital Social Realizado</v>
      </c>
      <c r="G5630" s="1"/>
      <c r="H5630" s="281">
        <v>240</v>
      </c>
      <c r="I5630" s="281">
        <v>0</v>
      </c>
      <c r="J5630" s="281">
        <v>0</v>
      </c>
      <c r="K5630" s="281">
        <v>240</v>
      </c>
      <c r="L563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630" s="281">
        <f>ROUND(IF(AND(Base_Periodo1[[#This Row],[Tipo_Linha]]="-",Base_Periodo1[[#This Row],[TIPOSALDO]]="D"),Base_Periodo1[[#This Row],[SALDO_ATUAL]]*-1,Base_Periodo1[[#This Row],[SALDO_ATUAL]]),4)</f>
        <v>240</v>
      </c>
      <c r="N5630" t="s">
        <v>116</v>
      </c>
      <c r="O5630" t="s">
        <v>459</v>
      </c>
      <c r="P5630" t="s">
        <v>459</v>
      </c>
      <c r="Q5630">
        <v>6</v>
      </c>
      <c r="R5630" s="281">
        <f>Base_Periodo1[[#This Row],[CREDITOS]]-Base_Periodo1[[#This Row],[DEBITOS]]</f>
        <v>0</v>
      </c>
      <c r="S5630" s="3" t="str">
        <f>IF(ISERROR(VLOOKUP(Base_Periodo1[[#This Row],[CONTA]],BaseContasDRE[#All],4,FALSE)),"Fora do DRE",VLOOKUP(Base_Periodo1[[#This Row],[CONTA]],BaseContasDRE[#All],4,FALSE))</f>
        <v>Fora do DRE</v>
      </c>
      <c r="T5630" s="3" t="str">
        <f>IF(ISERROR(VLOOKUP(Base_Periodo1[[#This Row],[CONTA]],BaseContasDRE[#All],5,FALSE)),"Fora do DRE",VLOOKUP(Base_Periodo1[[#This Row],[CONTA]],BaseContasDRE[#All],6,FALSE))</f>
        <v>Fora do DRE</v>
      </c>
      <c r="U5630" s="3" t="str">
        <f>IF(ISERROR(VLOOKUP(Base_Periodo1[[#This Row],[CONTA]],BaseContasDRE[#All],7,FALSE)),"Fora do DRE",VLOOKUP(Base_Periodo1[[#This Row],[CONTA]],BaseContasDRE[#All],7,FALSE))</f>
        <v>Fora do DRE</v>
      </c>
      <c r="V5630" s="3" t="str">
        <f>IF(Base_Periodo1[[#This Row],[Tipo_Linha]]="Fora do DRE","Fora do DRE","( "&amp;Base_Periodo1[[#This Row],[Tipo_Linha]]&amp;" ) "&amp;Base_Periodo1[[#This Row],[Filtro]])</f>
        <v>Fora do DRE</v>
      </c>
      <c r="W5630" s="3" t="str">
        <f>LEFT(Base_Periodo1[[#This Row],[CLASS]],3)</f>
        <v>2.4</v>
      </c>
    </row>
    <row r="5631" spans="1:23" hidden="1">
      <c r="A5631" s="3" t="str">
        <f t="shared" si="87"/>
        <v>Período 1</v>
      </c>
      <c r="B5631">
        <v>19396</v>
      </c>
      <c r="C5631" t="s">
        <v>2300</v>
      </c>
      <c r="D5631" t="s">
        <v>3421</v>
      </c>
      <c r="E5631" s="3" t="str">
        <f>IF(LEN(Base_Periodo1[[#This Row],[CLASS]])&gt;=7,LEFT(Base_Periodo1[[#This Row],[CLASS]],7),"")</f>
        <v>2.4.1.1</v>
      </c>
      <c r="F5631" s="3" t="str">
        <f>VLOOKUP(Base_Periodo1[[#This Row],[Aux]],Base_Contas_Balanco[#All],2,FALSE)</f>
        <v>Capital Social Realizado</v>
      </c>
      <c r="G5631" s="1"/>
      <c r="H5631" s="281">
        <v>522.42000000000007</v>
      </c>
      <c r="I5631" s="281">
        <v>0</v>
      </c>
      <c r="J5631" s="281">
        <v>0</v>
      </c>
      <c r="K5631" s="281">
        <v>522.42000000000007</v>
      </c>
      <c r="L563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522.41999999999996</v>
      </c>
      <c r="M5631" s="281">
        <f>ROUND(IF(AND(Base_Periodo1[[#This Row],[Tipo_Linha]]="-",Base_Periodo1[[#This Row],[TIPOSALDO]]="D"),Base_Periodo1[[#This Row],[SALDO_ATUAL]]*-1,Base_Periodo1[[#This Row],[SALDO_ATUAL]]),4)</f>
        <v>522.41999999999996</v>
      </c>
      <c r="N5631" t="s">
        <v>116</v>
      </c>
      <c r="O5631" t="s">
        <v>459</v>
      </c>
      <c r="P5631" t="s">
        <v>459</v>
      </c>
      <c r="Q5631">
        <v>6</v>
      </c>
      <c r="R5631" s="281">
        <f>Base_Periodo1[[#This Row],[CREDITOS]]-Base_Periodo1[[#This Row],[DEBITOS]]</f>
        <v>0</v>
      </c>
      <c r="S5631" s="3" t="str">
        <f>IF(ISERROR(VLOOKUP(Base_Periodo1[[#This Row],[CONTA]],BaseContasDRE[#All],4,FALSE)),"Fora do DRE",VLOOKUP(Base_Periodo1[[#This Row],[CONTA]],BaseContasDRE[#All],4,FALSE))</f>
        <v>Fora do DRE</v>
      </c>
      <c r="T5631" s="3" t="str">
        <f>IF(ISERROR(VLOOKUP(Base_Periodo1[[#This Row],[CONTA]],BaseContasDRE[#All],5,FALSE)),"Fora do DRE",VLOOKUP(Base_Periodo1[[#This Row],[CONTA]],BaseContasDRE[#All],6,FALSE))</f>
        <v>Fora do DRE</v>
      </c>
      <c r="U5631" s="3" t="str">
        <f>IF(ISERROR(VLOOKUP(Base_Periodo1[[#This Row],[CONTA]],BaseContasDRE[#All],7,FALSE)),"Fora do DRE",VLOOKUP(Base_Periodo1[[#This Row],[CONTA]],BaseContasDRE[#All],7,FALSE))</f>
        <v>Fora do DRE</v>
      </c>
      <c r="V5631" s="3" t="str">
        <f>IF(Base_Periodo1[[#This Row],[Tipo_Linha]]="Fora do DRE","Fora do DRE","( "&amp;Base_Periodo1[[#This Row],[Tipo_Linha]]&amp;" ) "&amp;Base_Periodo1[[#This Row],[Filtro]])</f>
        <v>Fora do DRE</v>
      </c>
      <c r="W5631" s="3" t="str">
        <f>LEFT(Base_Periodo1[[#This Row],[CLASS]],3)</f>
        <v>2.4</v>
      </c>
    </row>
    <row r="5632" spans="1:23" hidden="1">
      <c r="A5632" s="3" t="str">
        <f t="shared" si="87"/>
        <v>Período 1</v>
      </c>
      <c r="B5632">
        <v>25565</v>
      </c>
      <c r="C5632" t="s">
        <v>2300</v>
      </c>
      <c r="D5632" t="s">
        <v>3422</v>
      </c>
      <c r="E5632" s="3" t="str">
        <f>IF(LEN(Base_Periodo1[[#This Row],[CLASS]])&gt;=7,LEFT(Base_Periodo1[[#This Row],[CLASS]],7),"")</f>
        <v>2.4.1.1</v>
      </c>
      <c r="F5632" s="3" t="str">
        <f>VLOOKUP(Base_Periodo1[[#This Row],[Aux]],Base_Contas_Balanco[#All],2,FALSE)</f>
        <v>Capital Social Realizado</v>
      </c>
      <c r="G5632" s="1"/>
      <c r="H5632" s="281">
        <v>579.5</v>
      </c>
      <c r="I5632" s="281">
        <v>0</v>
      </c>
      <c r="J5632" s="281">
        <v>0</v>
      </c>
      <c r="K5632" s="281">
        <v>579.5</v>
      </c>
      <c r="L563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579.5</v>
      </c>
      <c r="M5632" s="281">
        <f>ROUND(IF(AND(Base_Periodo1[[#This Row],[Tipo_Linha]]="-",Base_Periodo1[[#This Row],[TIPOSALDO]]="D"),Base_Periodo1[[#This Row],[SALDO_ATUAL]]*-1,Base_Periodo1[[#This Row],[SALDO_ATUAL]]),4)</f>
        <v>579.5</v>
      </c>
      <c r="N5632" t="s">
        <v>116</v>
      </c>
      <c r="O5632" t="s">
        <v>459</v>
      </c>
      <c r="P5632" t="s">
        <v>459</v>
      </c>
      <c r="Q5632">
        <v>6</v>
      </c>
      <c r="R5632" s="281">
        <f>Base_Periodo1[[#This Row],[CREDITOS]]-Base_Periodo1[[#This Row],[DEBITOS]]</f>
        <v>0</v>
      </c>
      <c r="S5632" s="3" t="str">
        <f>IF(ISERROR(VLOOKUP(Base_Periodo1[[#This Row],[CONTA]],BaseContasDRE[#All],4,FALSE)),"Fora do DRE",VLOOKUP(Base_Periodo1[[#This Row],[CONTA]],BaseContasDRE[#All],4,FALSE))</f>
        <v>Fora do DRE</v>
      </c>
      <c r="T5632" s="3" t="str">
        <f>IF(ISERROR(VLOOKUP(Base_Periodo1[[#This Row],[CONTA]],BaseContasDRE[#All],5,FALSE)),"Fora do DRE",VLOOKUP(Base_Periodo1[[#This Row],[CONTA]],BaseContasDRE[#All],6,FALSE))</f>
        <v>Fora do DRE</v>
      </c>
      <c r="U5632" s="3" t="str">
        <f>IF(ISERROR(VLOOKUP(Base_Periodo1[[#This Row],[CONTA]],BaseContasDRE[#All],7,FALSE)),"Fora do DRE",VLOOKUP(Base_Periodo1[[#This Row],[CONTA]],BaseContasDRE[#All],7,FALSE))</f>
        <v>Fora do DRE</v>
      </c>
      <c r="V5632" s="3" t="str">
        <f>IF(Base_Periodo1[[#This Row],[Tipo_Linha]]="Fora do DRE","Fora do DRE","( "&amp;Base_Periodo1[[#This Row],[Tipo_Linha]]&amp;" ) "&amp;Base_Periodo1[[#This Row],[Filtro]])</f>
        <v>Fora do DRE</v>
      </c>
      <c r="W5632" s="3" t="str">
        <f>LEFT(Base_Periodo1[[#This Row],[CLASS]],3)</f>
        <v>2.4</v>
      </c>
    </row>
    <row r="5633" spans="1:23" hidden="1">
      <c r="A5633" s="3" t="str">
        <f t="shared" si="87"/>
        <v>Período 1</v>
      </c>
      <c r="B5633">
        <v>16031</v>
      </c>
      <c r="C5633" t="s">
        <v>2300</v>
      </c>
      <c r="D5633" t="s">
        <v>3423</v>
      </c>
      <c r="E5633" s="3" t="str">
        <f>IF(LEN(Base_Periodo1[[#This Row],[CLASS]])&gt;=7,LEFT(Base_Periodo1[[#This Row],[CLASS]],7),"")</f>
        <v>2.4.1.1</v>
      </c>
      <c r="F5633" s="3" t="str">
        <f>VLOOKUP(Base_Periodo1[[#This Row],[Aux]],Base_Contas_Balanco[#All],2,FALSE)</f>
        <v>Capital Social Realizado</v>
      </c>
      <c r="G5633" s="1"/>
      <c r="H5633" s="281">
        <v>7032.92</v>
      </c>
      <c r="I5633" s="281">
        <v>0</v>
      </c>
      <c r="J5633" s="281">
        <v>0</v>
      </c>
      <c r="K5633" s="281">
        <v>7032.92</v>
      </c>
      <c r="L563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7032.92</v>
      </c>
      <c r="M5633" s="281">
        <f>ROUND(IF(AND(Base_Periodo1[[#This Row],[Tipo_Linha]]="-",Base_Periodo1[[#This Row],[TIPOSALDO]]="D"),Base_Periodo1[[#This Row],[SALDO_ATUAL]]*-1,Base_Periodo1[[#This Row],[SALDO_ATUAL]]),4)</f>
        <v>7032.92</v>
      </c>
      <c r="N5633" t="s">
        <v>116</v>
      </c>
      <c r="O5633" t="s">
        <v>459</v>
      </c>
      <c r="P5633" t="s">
        <v>459</v>
      </c>
      <c r="Q5633">
        <v>6</v>
      </c>
      <c r="R5633" s="281">
        <f>Base_Periodo1[[#This Row],[CREDITOS]]-Base_Periodo1[[#This Row],[DEBITOS]]</f>
        <v>0</v>
      </c>
      <c r="S5633" s="3" t="str">
        <f>IF(ISERROR(VLOOKUP(Base_Periodo1[[#This Row],[CONTA]],BaseContasDRE[#All],4,FALSE)),"Fora do DRE",VLOOKUP(Base_Periodo1[[#This Row],[CONTA]],BaseContasDRE[#All],4,FALSE))</f>
        <v>Fora do DRE</v>
      </c>
      <c r="T5633" s="3" t="str">
        <f>IF(ISERROR(VLOOKUP(Base_Periodo1[[#This Row],[CONTA]],BaseContasDRE[#All],5,FALSE)),"Fora do DRE",VLOOKUP(Base_Periodo1[[#This Row],[CONTA]],BaseContasDRE[#All],6,FALSE))</f>
        <v>Fora do DRE</v>
      </c>
      <c r="U5633" s="3" t="str">
        <f>IF(ISERROR(VLOOKUP(Base_Periodo1[[#This Row],[CONTA]],BaseContasDRE[#All],7,FALSE)),"Fora do DRE",VLOOKUP(Base_Periodo1[[#This Row],[CONTA]],BaseContasDRE[#All],7,FALSE))</f>
        <v>Fora do DRE</v>
      </c>
      <c r="V5633" s="3" t="str">
        <f>IF(Base_Periodo1[[#This Row],[Tipo_Linha]]="Fora do DRE","Fora do DRE","( "&amp;Base_Periodo1[[#This Row],[Tipo_Linha]]&amp;" ) "&amp;Base_Periodo1[[#This Row],[Filtro]])</f>
        <v>Fora do DRE</v>
      </c>
      <c r="W5633" s="3" t="str">
        <f>LEFT(Base_Periodo1[[#This Row],[CLASS]],3)</f>
        <v>2.4</v>
      </c>
    </row>
    <row r="5634" spans="1:23" hidden="1">
      <c r="A5634" s="3" t="str">
        <f t="shared" si="87"/>
        <v>Período 1</v>
      </c>
      <c r="B5634">
        <v>19397</v>
      </c>
      <c r="C5634" t="s">
        <v>2300</v>
      </c>
      <c r="D5634" t="s">
        <v>3424</v>
      </c>
      <c r="E5634" s="3" t="str">
        <f>IF(LEN(Base_Periodo1[[#This Row],[CLASS]])&gt;=7,LEFT(Base_Periodo1[[#This Row],[CLASS]],7),"")</f>
        <v>2.4.1.1</v>
      </c>
      <c r="F5634" s="3" t="str">
        <f>VLOOKUP(Base_Periodo1[[#This Row],[Aux]],Base_Contas_Balanco[#All],2,FALSE)</f>
        <v>Capital Social Realizado</v>
      </c>
      <c r="G5634" s="1"/>
      <c r="H5634" s="281">
        <v>2366.1999999999998</v>
      </c>
      <c r="I5634" s="281">
        <v>0</v>
      </c>
      <c r="J5634" s="281">
        <v>0</v>
      </c>
      <c r="K5634" s="281">
        <v>2366.1999999999998</v>
      </c>
      <c r="L563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2366.1999999999998</v>
      </c>
      <c r="M5634" s="281">
        <f>ROUND(IF(AND(Base_Periodo1[[#This Row],[Tipo_Linha]]="-",Base_Periodo1[[#This Row],[TIPOSALDO]]="D"),Base_Periodo1[[#This Row],[SALDO_ATUAL]]*-1,Base_Periodo1[[#This Row],[SALDO_ATUAL]]),4)</f>
        <v>2366.1999999999998</v>
      </c>
      <c r="N5634" t="s">
        <v>116</v>
      </c>
      <c r="O5634" t="s">
        <v>459</v>
      </c>
      <c r="P5634" t="s">
        <v>459</v>
      </c>
      <c r="Q5634">
        <v>6</v>
      </c>
      <c r="R5634" s="281">
        <f>Base_Periodo1[[#This Row],[CREDITOS]]-Base_Periodo1[[#This Row],[DEBITOS]]</f>
        <v>0</v>
      </c>
      <c r="S5634" s="3" t="str">
        <f>IF(ISERROR(VLOOKUP(Base_Periodo1[[#This Row],[CONTA]],BaseContasDRE[#All],4,FALSE)),"Fora do DRE",VLOOKUP(Base_Periodo1[[#This Row],[CONTA]],BaseContasDRE[#All],4,FALSE))</f>
        <v>Fora do DRE</v>
      </c>
      <c r="T5634" s="3" t="str">
        <f>IF(ISERROR(VLOOKUP(Base_Periodo1[[#This Row],[CONTA]],BaseContasDRE[#All],5,FALSE)),"Fora do DRE",VLOOKUP(Base_Periodo1[[#This Row],[CONTA]],BaseContasDRE[#All],6,FALSE))</f>
        <v>Fora do DRE</v>
      </c>
      <c r="U5634" s="3" t="str">
        <f>IF(ISERROR(VLOOKUP(Base_Periodo1[[#This Row],[CONTA]],BaseContasDRE[#All],7,FALSE)),"Fora do DRE",VLOOKUP(Base_Periodo1[[#This Row],[CONTA]],BaseContasDRE[#All],7,FALSE))</f>
        <v>Fora do DRE</v>
      </c>
      <c r="V5634" s="3" t="str">
        <f>IF(Base_Periodo1[[#This Row],[Tipo_Linha]]="Fora do DRE","Fora do DRE","( "&amp;Base_Periodo1[[#This Row],[Tipo_Linha]]&amp;" ) "&amp;Base_Periodo1[[#This Row],[Filtro]])</f>
        <v>Fora do DRE</v>
      </c>
      <c r="W5634" s="3" t="str">
        <f>LEFT(Base_Periodo1[[#This Row],[CLASS]],3)</f>
        <v>2.4</v>
      </c>
    </row>
    <row r="5635" spans="1:23" hidden="1">
      <c r="A5635" s="3" t="str">
        <f t="shared" si="87"/>
        <v>Período 1</v>
      </c>
      <c r="B5635">
        <v>35321</v>
      </c>
      <c r="C5635" t="s">
        <v>2300</v>
      </c>
      <c r="D5635" t="s">
        <v>3425</v>
      </c>
      <c r="E5635" s="3" t="str">
        <f>IF(LEN(Base_Periodo1[[#This Row],[CLASS]])&gt;=7,LEFT(Base_Periodo1[[#This Row],[CLASS]],7),"")</f>
        <v>2.4.1.1</v>
      </c>
      <c r="F5635" s="3" t="str">
        <f>VLOOKUP(Base_Periodo1[[#This Row],[Aux]],Base_Contas_Balanco[#All],2,FALSE)</f>
        <v>Capital Social Realizado</v>
      </c>
      <c r="G5635" s="1"/>
      <c r="H5635" s="281">
        <v>629.16</v>
      </c>
      <c r="I5635" s="281">
        <v>0</v>
      </c>
      <c r="J5635" s="281">
        <v>0</v>
      </c>
      <c r="K5635" s="281">
        <v>629.16</v>
      </c>
      <c r="L563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629.16</v>
      </c>
      <c r="M5635" s="281">
        <f>ROUND(IF(AND(Base_Periodo1[[#This Row],[Tipo_Linha]]="-",Base_Periodo1[[#This Row],[TIPOSALDO]]="D"),Base_Periodo1[[#This Row],[SALDO_ATUAL]]*-1,Base_Periodo1[[#This Row],[SALDO_ATUAL]]),4)</f>
        <v>629.16</v>
      </c>
      <c r="N5635" t="s">
        <v>116</v>
      </c>
      <c r="O5635" t="s">
        <v>459</v>
      </c>
      <c r="P5635" t="s">
        <v>459</v>
      </c>
      <c r="Q5635">
        <v>6</v>
      </c>
      <c r="R5635" s="281">
        <f>Base_Periodo1[[#This Row],[CREDITOS]]-Base_Periodo1[[#This Row],[DEBITOS]]</f>
        <v>0</v>
      </c>
      <c r="S5635" s="3" t="str">
        <f>IF(ISERROR(VLOOKUP(Base_Periodo1[[#This Row],[CONTA]],BaseContasDRE[#All],4,FALSE)),"Fora do DRE",VLOOKUP(Base_Periodo1[[#This Row],[CONTA]],BaseContasDRE[#All],4,FALSE))</f>
        <v>Fora do DRE</v>
      </c>
      <c r="T5635" s="3" t="str">
        <f>IF(ISERROR(VLOOKUP(Base_Periodo1[[#This Row],[CONTA]],BaseContasDRE[#All],5,FALSE)),"Fora do DRE",VLOOKUP(Base_Periodo1[[#This Row],[CONTA]],BaseContasDRE[#All],6,FALSE))</f>
        <v>Fora do DRE</v>
      </c>
      <c r="U5635" s="3" t="str">
        <f>IF(ISERROR(VLOOKUP(Base_Periodo1[[#This Row],[CONTA]],BaseContasDRE[#All],7,FALSE)),"Fora do DRE",VLOOKUP(Base_Periodo1[[#This Row],[CONTA]],BaseContasDRE[#All],7,FALSE))</f>
        <v>Fora do DRE</v>
      </c>
      <c r="V5635" s="3" t="str">
        <f>IF(Base_Periodo1[[#This Row],[Tipo_Linha]]="Fora do DRE","Fora do DRE","( "&amp;Base_Periodo1[[#This Row],[Tipo_Linha]]&amp;" ) "&amp;Base_Periodo1[[#This Row],[Filtro]])</f>
        <v>Fora do DRE</v>
      </c>
      <c r="W5635" s="3" t="str">
        <f>LEFT(Base_Periodo1[[#This Row],[CLASS]],3)</f>
        <v>2.4</v>
      </c>
    </row>
    <row r="5636" spans="1:23" hidden="1">
      <c r="A5636" s="3" t="str">
        <f t="shared" si="87"/>
        <v>Período 1</v>
      </c>
      <c r="B5636">
        <v>16330</v>
      </c>
      <c r="C5636" t="s">
        <v>2300</v>
      </c>
      <c r="D5636" t="s">
        <v>3426</v>
      </c>
      <c r="E5636" s="3" t="str">
        <f>IF(LEN(Base_Periodo1[[#This Row],[CLASS]])&gt;=7,LEFT(Base_Periodo1[[#This Row],[CLASS]],7),"")</f>
        <v>2.4.1.1</v>
      </c>
      <c r="F5636" s="3" t="str">
        <f>VLOOKUP(Base_Periodo1[[#This Row],[Aux]],Base_Contas_Balanco[#All],2,FALSE)</f>
        <v>Capital Social Realizado</v>
      </c>
      <c r="G5636" s="1">
        <v>42460</v>
      </c>
      <c r="H5636" s="281">
        <v>2895.47</v>
      </c>
      <c r="I5636" s="281">
        <v>0</v>
      </c>
      <c r="J5636" s="281">
        <v>0</v>
      </c>
      <c r="K5636" s="281">
        <v>2895.47</v>
      </c>
      <c r="L563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2895.47</v>
      </c>
      <c r="M5636" s="281">
        <f>ROUND(IF(AND(Base_Periodo1[[#This Row],[Tipo_Linha]]="-",Base_Periodo1[[#This Row],[TIPOSALDO]]="D"),Base_Periodo1[[#This Row],[SALDO_ATUAL]]*-1,Base_Periodo1[[#This Row],[SALDO_ATUAL]]),4)</f>
        <v>2895.47</v>
      </c>
      <c r="N5636" t="s">
        <v>116</v>
      </c>
      <c r="O5636" t="s">
        <v>459</v>
      </c>
      <c r="P5636" t="s">
        <v>459</v>
      </c>
      <c r="Q5636">
        <v>6</v>
      </c>
      <c r="R5636" s="281">
        <f>Base_Periodo1[[#This Row],[CREDITOS]]-Base_Periodo1[[#This Row],[DEBITOS]]</f>
        <v>0</v>
      </c>
      <c r="S5636" s="3" t="str">
        <f>IF(ISERROR(VLOOKUP(Base_Periodo1[[#This Row],[CONTA]],BaseContasDRE[#All],4,FALSE)),"Fora do DRE",VLOOKUP(Base_Periodo1[[#This Row],[CONTA]],BaseContasDRE[#All],4,FALSE))</f>
        <v>Fora do DRE</v>
      </c>
      <c r="T5636" s="3" t="str">
        <f>IF(ISERROR(VLOOKUP(Base_Periodo1[[#This Row],[CONTA]],BaseContasDRE[#All],5,FALSE)),"Fora do DRE",VLOOKUP(Base_Periodo1[[#This Row],[CONTA]],BaseContasDRE[#All],6,FALSE))</f>
        <v>Fora do DRE</v>
      </c>
      <c r="U5636" s="3" t="str">
        <f>IF(ISERROR(VLOOKUP(Base_Periodo1[[#This Row],[CONTA]],BaseContasDRE[#All],7,FALSE)),"Fora do DRE",VLOOKUP(Base_Periodo1[[#This Row],[CONTA]],BaseContasDRE[#All],7,FALSE))</f>
        <v>Fora do DRE</v>
      </c>
      <c r="V5636" s="3" t="str">
        <f>IF(Base_Periodo1[[#This Row],[Tipo_Linha]]="Fora do DRE","Fora do DRE","( "&amp;Base_Periodo1[[#This Row],[Tipo_Linha]]&amp;" ) "&amp;Base_Periodo1[[#This Row],[Filtro]])</f>
        <v>Fora do DRE</v>
      </c>
      <c r="W5636" s="3" t="str">
        <f>LEFT(Base_Periodo1[[#This Row],[CLASS]],3)</f>
        <v>2.4</v>
      </c>
    </row>
    <row r="5637" spans="1:23" hidden="1">
      <c r="A5637" s="3" t="str">
        <f t="shared" si="87"/>
        <v>Período 1</v>
      </c>
      <c r="B5637">
        <v>48136</v>
      </c>
      <c r="C5637" t="s">
        <v>2300</v>
      </c>
      <c r="D5637" t="s">
        <v>3427</v>
      </c>
      <c r="E5637" s="3" t="str">
        <f>IF(LEN(Base_Periodo1[[#This Row],[CLASS]])&gt;=7,LEFT(Base_Periodo1[[#This Row],[CLASS]],7),"")</f>
        <v>2.4.1.1</v>
      </c>
      <c r="F5637" s="3" t="str">
        <f>VLOOKUP(Base_Periodo1[[#This Row],[Aux]],Base_Contas_Balanco[#All],2,FALSE)</f>
        <v>Capital Social Realizado</v>
      </c>
      <c r="G5637" s="1"/>
      <c r="H5637" s="281">
        <v>117.76</v>
      </c>
      <c r="I5637" s="281">
        <v>0</v>
      </c>
      <c r="J5637" s="281">
        <v>0</v>
      </c>
      <c r="K5637" s="281">
        <v>117.76</v>
      </c>
      <c r="L563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117.76</v>
      </c>
      <c r="M5637" s="281">
        <f>ROUND(IF(AND(Base_Periodo1[[#This Row],[Tipo_Linha]]="-",Base_Periodo1[[#This Row],[TIPOSALDO]]="D"),Base_Periodo1[[#This Row],[SALDO_ATUAL]]*-1,Base_Periodo1[[#This Row],[SALDO_ATUAL]]),4)</f>
        <v>117.76</v>
      </c>
      <c r="N5637" t="s">
        <v>116</v>
      </c>
      <c r="O5637" t="s">
        <v>459</v>
      </c>
      <c r="P5637" t="s">
        <v>459</v>
      </c>
      <c r="Q5637">
        <v>6</v>
      </c>
      <c r="R5637" s="281">
        <f>Base_Periodo1[[#This Row],[CREDITOS]]-Base_Periodo1[[#This Row],[DEBITOS]]</f>
        <v>0</v>
      </c>
      <c r="S5637" s="3" t="str">
        <f>IF(ISERROR(VLOOKUP(Base_Periodo1[[#This Row],[CONTA]],BaseContasDRE[#All],4,FALSE)),"Fora do DRE",VLOOKUP(Base_Periodo1[[#This Row],[CONTA]],BaseContasDRE[#All],4,FALSE))</f>
        <v>Fora do DRE</v>
      </c>
      <c r="T5637" s="3" t="str">
        <f>IF(ISERROR(VLOOKUP(Base_Periodo1[[#This Row],[CONTA]],BaseContasDRE[#All],5,FALSE)),"Fora do DRE",VLOOKUP(Base_Periodo1[[#This Row],[CONTA]],BaseContasDRE[#All],6,FALSE))</f>
        <v>Fora do DRE</v>
      </c>
      <c r="U5637" s="3" t="str">
        <f>IF(ISERROR(VLOOKUP(Base_Periodo1[[#This Row],[CONTA]],BaseContasDRE[#All],7,FALSE)),"Fora do DRE",VLOOKUP(Base_Periodo1[[#This Row],[CONTA]],BaseContasDRE[#All],7,FALSE))</f>
        <v>Fora do DRE</v>
      </c>
      <c r="V5637" s="3" t="str">
        <f>IF(Base_Periodo1[[#This Row],[Tipo_Linha]]="Fora do DRE","Fora do DRE","( "&amp;Base_Periodo1[[#This Row],[Tipo_Linha]]&amp;" ) "&amp;Base_Periodo1[[#This Row],[Filtro]])</f>
        <v>Fora do DRE</v>
      </c>
      <c r="W5637" s="3" t="str">
        <f>LEFT(Base_Periodo1[[#This Row],[CLASS]],3)</f>
        <v>2.4</v>
      </c>
    </row>
    <row r="5638" spans="1:23" hidden="1">
      <c r="A5638" s="3" t="str">
        <f t="shared" ref="A5638:A5701" si="88">"Período 1"</f>
        <v>Período 1</v>
      </c>
      <c r="B5638">
        <v>19398</v>
      </c>
      <c r="C5638" t="s">
        <v>2300</v>
      </c>
      <c r="D5638" t="s">
        <v>3428</v>
      </c>
      <c r="E5638" s="3" t="str">
        <f>IF(LEN(Base_Periodo1[[#This Row],[CLASS]])&gt;=7,LEFT(Base_Periodo1[[#This Row],[CLASS]],7),"")</f>
        <v>2.4.1.1</v>
      </c>
      <c r="F5638" s="3" t="str">
        <f>VLOOKUP(Base_Periodo1[[#This Row],[Aux]],Base_Contas_Balanco[#All],2,FALSE)</f>
        <v>Capital Social Realizado</v>
      </c>
      <c r="G5638" s="1"/>
      <c r="H5638" s="281">
        <v>2643.07</v>
      </c>
      <c r="I5638" s="281">
        <v>0</v>
      </c>
      <c r="J5638" s="281">
        <v>0</v>
      </c>
      <c r="K5638" s="281">
        <v>2643.07</v>
      </c>
      <c r="L563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2643.07</v>
      </c>
      <c r="M5638" s="281">
        <f>ROUND(IF(AND(Base_Periodo1[[#This Row],[Tipo_Linha]]="-",Base_Periodo1[[#This Row],[TIPOSALDO]]="D"),Base_Periodo1[[#This Row],[SALDO_ATUAL]]*-1,Base_Periodo1[[#This Row],[SALDO_ATUAL]]),4)</f>
        <v>2643.07</v>
      </c>
      <c r="N5638" t="s">
        <v>116</v>
      </c>
      <c r="O5638" t="s">
        <v>459</v>
      </c>
      <c r="P5638" t="s">
        <v>459</v>
      </c>
      <c r="Q5638">
        <v>6</v>
      </c>
      <c r="R5638" s="281">
        <f>Base_Periodo1[[#This Row],[CREDITOS]]-Base_Periodo1[[#This Row],[DEBITOS]]</f>
        <v>0</v>
      </c>
      <c r="S5638" s="3" t="str">
        <f>IF(ISERROR(VLOOKUP(Base_Periodo1[[#This Row],[CONTA]],BaseContasDRE[#All],4,FALSE)),"Fora do DRE",VLOOKUP(Base_Periodo1[[#This Row],[CONTA]],BaseContasDRE[#All],4,FALSE))</f>
        <v>Fora do DRE</v>
      </c>
      <c r="T5638" s="3" t="str">
        <f>IF(ISERROR(VLOOKUP(Base_Periodo1[[#This Row],[CONTA]],BaseContasDRE[#All],5,FALSE)),"Fora do DRE",VLOOKUP(Base_Periodo1[[#This Row],[CONTA]],BaseContasDRE[#All],6,FALSE))</f>
        <v>Fora do DRE</v>
      </c>
      <c r="U5638" s="3" t="str">
        <f>IF(ISERROR(VLOOKUP(Base_Periodo1[[#This Row],[CONTA]],BaseContasDRE[#All],7,FALSE)),"Fora do DRE",VLOOKUP(Base_Periodo1[[#This Row],[CONTA]],BaseContasDRE[#All],7,FALSE))</f>
        <v>Fora do DRE</v>
      </c>
      <c r="V5638" s="3" t="str">
        <f>IF(Base_Periodo1[[#This Row],[Tipo_Linha]]="Fora do DRE","Fora do DRE","( "&amp;Base_Periodo1[[#This Row],[Tipo_Linha]]&amp;" ) "&amp;Base_Periodo1[[#This Row],[Filtro]])</f>
        <v>Fora do DRE</v>
      </c>
      <c r="W5638" s="3" t="str">
        <f>LEFT(Base_Periodo1[[#This Row],[CLASS]],3)</f>
        <v>2.4</v>
      </c>
    </row>
    <row r="5639" spans="1:23" hidden="1">
      <c r="A5639" s="3" t="str">
        <f t="shared" si="88"/>
        <v>Período 1</v>
      </c>
      <c r="B5639">
        <v>25530</v>
      </c>
      <c r="C5639" t="s">
        <v>2300</v>
      </c>
      <c r="D5639" t="s">
        <v>3429</v>
      </c>
      <c r="E5639" s="3" t="str">
        <f>IF(LEN(Base_Periodo1[[#This Row],[CLASS]])&gt;=7,LEFT(Base_Periodo1[[#This Row],[CLASS]],7),"")</f>
        <v>2.4.1.1</v>
      </c>
      <c r="F5639" s="3" t="str">
        <f>VLOOKUP(Base_Periodo1[[#This Row],[Aux]],Base_Contas_Balanco[#All],2,FALSE)</f>
        <v>Capital Social Realizado</v>
      </c>
      <c r="G5639" s="1"/>
      <c r="H5639" s="281">
        <v>377.28</v>
      </c>
      <c r="I5639" s="281">
        <v>0</v>
      </c>
      <c r="J5639" s="281">
        <v>0</v>
      </c>
      <c r="K5639" s="281">
        <v>377.28</v>
      </c>
      <c r="L563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377.28</v>
      </c>
      <c r="M5639" s="281">
        <f>ROUND(IF(AND(Base_Periodo1[[#This Row],[Tipo_Linha]]="-",Base_Periodo1[[#This Row],[TIPOSALDO]]="D"),Base_Periodo1[[#This Row],[SALDO_ATUAL]]*-1,Base_Periodo1[[#This Row],[SALDO_ATUAL]]),4)</f>
        <v>377.28</v>
      </c>
      <c r="N5639" t="s">
        <v>116</v>
      </c>
      <c r="O5639" t="s">
        <v>459</v>
      </c>
      <c r="P5639" t="s">
        <v>459</v>
      </c>
      <c r="Q5639">
        <v>6</v>
      </c>
      <c r="R5639" s="281">
        <f>Base_Periodo1[[#This Row],[CREDITOS]]-Base_Periodo1[[#This Row],[DEBITOS]]</f>
        <v>0</v>
      </c>
      <c r="S5639" s="3" t="str">
        <f>IF(ISERROR(VLOOKUP(Base_Periodo1[[#This Row],[CONTA]],BaseContasDRE[#All],4,FALSE)),"Fora do DRE",VLOOKUP(Base_Periodo1[[#This Row],[CONTA]],BaseContasDRE[#All],4,FALSE))</f>
        <v>Fora do DRE</v>
      </c>
      <c r="T5639" s="3" t="str">
        <f>IF(ISERROR(VLOOKUP(Base_Periodo1[[#This Row],[CONTA]],BaseContasDRE[#All],5,FALSE)),"Fora do DRE",VLOOKUP(Base_Periodo1[[#This Row],[CONTA]],BaseContasDRE[#All],6,FALSE))</f>
        <v>Fora do DRE</v>
      </c>
      <c r="U5639" s="3" t="str">
        <f>IF(ISERROR(VLOOKUP(Base_Periodo1[[#This Row],[CONTA]],BaseContasDRE[#All],7,FALSE)),"Fora do DRE",VLOOKUP(Base_Periodo1[[#This Row],[CONTA]],BaseContasDRE[#All],7,FALSE))</f>
        <v>Fora do DRE</v>
      </c>
      <c r="V5639" s="3" t="str">
        <f>IF(Base_Periodo1[[#This Row],[Tipo_Linha]]="Fora do DRE","Fora do DRE","( "&amp;Base_Periodo1[[#This Row],[Tipo_Linha]]&amp;" ) "&amp;Base_Periodo1[[#This Row],[Filtro]])</f>
        <v>Fora do DRE</v>
      </c>
      <c r="W5639" s="3" t="str">
        <f>LEFT(Base_Periodo1[[#This Row],[CLASS]],3)</f>
        <v>2.4</v>
      </c>
    </row>
    <row r="5640" spans="1:23" hidden="1">
      <c r="A5640" s="3" t="str">
        <f t="shared" si="88"/>
        <v>Período 1</v>
      </c>
      <c r="B5640">
        <v>16132</v>
      </c>
      <c r="C5640" t="s">
        <v>2300</v>
      </c>
      <c r="D5640" t="s">
        <v>3430</v>
      </c>
      <c r="E5640" s="3" t="str">
        <f>IF(LEN(Base_Periodo1[[#This Row],[CLASS]])&gt;=7,LEFT(Base_Periodo1[[#This Row],[CLASS]],7),"")</f>
        <v>2.4.1.1</v>
      </c>
      <c r="F5640" s="3" t="str">
        <f>VLOOKUP(Base_Periodo1[[#This Row],[Aux]],Base_Contas_Balanco[#All],2,FALSE)</f>
        <v>Capital Social Realizado</v>
      </c>
      <c r="G5640" s="1"/>
      <c r="H5640" s="281">
        <v>450.52</v>
      </c>
      <c r="I5640" s="281">
        <v>0</v>
      </c>
      <c r="J5640" s="281">
        <v>0</v>
      </c>
      <c r="K5640" s="281">
        <v>450.52</v>
      </c>
      <c r="L564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450.52</v>
      </c>
      <c r="M5640" s="281">
        <f>ROUND(IF(AND(Base_Periodo1[[#This Row],[Tipo_Linha]]="-",Base_Periodo1[[#This Row],[TIPOSALDO]]="D"),Base_Periodo1[[#This Row],[SALDO_ATUAL]]*-1,Base_Periodo1[[#This Row],[SALDO_ATUAL]]),4)</f>
        <v>450.52</v>
      </c>
      <c r="N5640" t="s">
        <v>116</v>
      </c>
      <c r="O5640" t="s">
        <v>459</v>
      </c>
      <c r="P5640" t="s">
        <v>459</v>
      </c>
      <c r="Q5640">
        <v>6</v>
      </c>
      <c r="R5640" s="281">
        <f>Base_Periodo1[[#This Row],[CREDITOS]]-Base_Periodo1[[#This Row],[DEBITOS]]</f>
        <v>0</v>
      </c>
      <c r="S5640" s="3" t="str">
        <f>IF(ISERROR(VLOOKUP(Base_Periodo1[[#This Row],[CONTA]],BaseContasDRE[#All],4,FALSE)),"Fora do DRE",VLOOKUP(Base_Periodo1[[#This Row],[CONTA]],BaseContasDRE[#All],4,FALSE))</f>
        <v>Fora do DRE</v>
      </c>
      <c r="T5640" s="3" t="str">
        <f>IF(ISERROR(VLOOKUP(Base_Periodo1[[#This Row],[CONTA]],BaseContasDRE[#All],5,FALSE)),"Fora do DRE",VLOOKUP(Base_Periodo1[[#This Row],[CONTA]],BaseContasDRE[#All],6,FALSE))</f>
        <v>Fora do DRE</v>
      </c>
      <c r="U5640" s="3" t="str">
        <f>IF(ISERROR(VLOOKUP(Base_Periodo1[[#This Row],[CONTA]],BaseContasDRE[#All],7,FALSE)),"Fora do DRE",VLOOKUP(Base_Periodo1[[#This Row],[CONTA]],BaseContasDRE[#All],7,FALSE))</f>
        <v>Fora do DRE</v>
      </c>
      <c r="V5640" s="3" t="str">
        <f>IF(Base_Periodo1[[#This Row],[Tipo_Linha]]="Fora do DRE","Fora do DRE","( "&amp;Base_Periodo1[[#This Row],[Tipo_Linha]]&amp;" ) "&amp;Base_Periodo1[[#This Row],[Filtro]])</f>
        <v>Fora do DRE</v>
      </c>
      <c r="W5640" s="3" t="str">
        <f>LEFT(Base_Periodo1[[#This Row],[CLASS]],3)</f>
        <v>2.4</v>
      </c>
    </row>
    <row r="5641" spans="1:23" hidden="1">
      <c r="A5641" s="3" t="str">
        <f t="shared" si="88"/>
        <v>Período 1</v>
      </c>
      <c r="B5641">
        <v>30478</v>
      </c>
      <c r="C5641" t="s">
        <v>2300</v>
      </c>
      <c r="D5641" t="s">
        <v>3431</v>
      </c>
      <c r="E5641" s="3" t="str">
        <f>IF(LEN(Base_Periodo1[[#This Row],[CLASS]])&gt;=7,LEFT(Base_Periodo1[[#This Row],[CLASS]],7),"")</f>
        <v>2.4.1.1</v>
      </c>
      <c r="F5641" s="3" t="str">
        <f>VLOOKUP(Base_Periodo1[[#This Row],[Aux]],Base_Contas_Balanco[#All],2,FALSE)</f>
        <v>Capital Social Realizado</v>
      </c>
      <c r="G5641" s="1"/>
      <c r="H5641" s="281">
        <v>143.44</v>
      </c>
      <c r="I5641" s="281">
        <v>0</v>
      </c>
      <c r="J5641" s="281">
        <v>0</v>
      </c>
      <c r="K5641" s="281">
        <v>143.44</v>
      </c>
      <c r="L564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143.44</v>
      </c>
      <c r="M5641" s="281">
        <f>ROUND(IF(AND(Base_Periodo1[[#This Row],[Tipo_Linha]]="-",Base_Periodo1[[#This Row],[TIPOSALDO]]="D"),Base_Periodo1[[#This Row],[SALDO_ATUAL]]*-1,Base_Periodo1[[#This Row],[SALDO_ATUAL]]),4)</f>
        <v>143.44</v>
      </c>
      <c r="N5641" t="s">
        <v>116</v>
      </c>
      <c r="O5641" t="s">
        <v>459</v>
      </c>
      <c r="P5641" t="s">
        <v>459</v>
      </c>
      <c r="Q5641">
        <v>6</v>
      </c>
      <c r="R5641" s="281">
        <f>Base_Periodo1[[#This Row],[CREDITOS]]-Base_Periodo1[[#This Row],[DEBITOS]]</f>
        <v>0</v>
      </c>
      <c r="S5641" s="3" t="str">
        <f>IF(ISERROR(VLOOKUP(Base_Periodo1[[#This Row],[CONTA]],BaseContasDRE[#All],4,FALSE)),"Fora do DRE",VLOOKUP(Base_Periodo1[[#This Row],[CONTA]],BaseContasDRE[#All],4,FALSE))</f>
        <v>Fora do DRE</v>
      </c>
      <c r="T5641" s="3" t="str">
        <f>IF(ISERROR(VLOOKUP(Base_Periodo1[[#This Row],[CONTA]],BaseContasDRE[#All],5,FALSE)),"Fora do DRE",VLOOKUP(Base_Periodo1[[#This Row],[CONTA]],BaseContasDRE[#All],6,FALSE))</f>
        <v>Fora do DRE</v>
      </c>
      <c r="U5641" s="3" t="str">
        <f>IF(ISERROR(VLOOKUP(Base_Periodo1[[#This Row],[CONTA]],BaseContasDRE[#All],7,FALSE)),"Fora do DRE",VLOOKUP(Base_Periodo1[[#This Row],[CONTA]],BaseContasDRE[#All],7,FALSE))</f>
        <v>Fora do DRE</v>
      </c>
      <c r="V5641" s="3" t="str">
        <f>IF(Base_Periodo1[[#This Row],[Tipo_Linha]]="Fora do DRE","Fora do DRE","( "&amp;Base_Periodo1[[#This Row],[Tipo_Linha]]&amp;" ) "&amp;Base_Periodo1[[#This Row],[Filtro]])</f>
        <v>Fora do DRE</v>
      </c>
      <c r="W5641" s="3" t="str">
        <f>LEFT(Base_Periodo1[[#This Row],[CLASS]],3)</f>
        <v>2.4</v>
      </c>
    </row>
    <row r="5642" spans="1:23" hidden="1">
      <c r="A5642" s="3" t="str">
        <f t="shared" si="88"/>
        <v>Período 1</v>
      </c>
      <c r="B5642">
        <v>19399</v>
      </c>
      <c r="C5642" t="s">
        <v>2300</v>
      </c>
      <c r="D5642" t="s">
        <v>3432</v>
      </c>
      <c r="E5642" s="3" t="str">
        <f>IF(LEN(Base_Periodo1[[#This Row],[CLASS]])&gt;=7,LEFT(Base_Periodo1[[#This Row],[CLASS]],7),"")</f>
        <v>2.4.1.1</v>
      </c>
      <c r="F5642" s="3" t="str">
        <f>VLOOKUP(Base_Periodo1[[#This Row],[Aux]],Base_Contas_Balanco[#All],2,FALSE)</f>
        <v>Capital Social Realizado</v>
      </c>
      <c r="G5642" s="1"/>
      <c r="H5642" s="281">
        <v>140.48000000000002</v>
      </c>
      <c r="I5642" s="281">
        <v>0</v>
      </c>
      <c r="J5642" s="281">
        <v>0</v>
      </c>
      <c r="K5642" s="281">
        <v>140.48000000000002</v>
      </c>
      <c r="L564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140.47999999999999</v>
      </c>
      <c r="M5642" s="281">
        <f>ROUND(IF(AND(Base_Periodo1[[#This Row],[Tipo_Linha]]="-",Base_Periodo1[[#This Row],[TIPOSALDO]]="D"),Base_Periodo1[[#This Row],[SALDO_ATUAL]]*-1,Base_Periodo1[[#This Row],[SALDO_ATUAL]]),4)</f>
        <v>140.47999999999999</v>
      </c>
      <c r="N5642" t="s">
        <v>116</v>
      </c>
      <c r="O5642" t="s">
        <v>459</v>
      </c>
      <c r="P5642" t="s">
        <v>459</v>
      </c>
      <c r="Q5642">
        <v>6</v>
      </c>
      <c r="R5642" s="281">
        <f>Base_Periodo1[[#This Row],[CREDITOS]]-Base_Periodo1[[#This Row],[DEBITOS]]</f>
        <v>0</v>
      </c>
      <c r="S5642" s="3" t="str">
        <f>IF(ISERROR(VLOOKUP(Base_Periodo1[[#This Row],[CONTA]],BaseContasDRE[#All],4,FALSE)),"Fora do DRE",VLOOKUP(Base_Periodo1[[#This Row],[CONTA]],BaseContasDRE[#All],4,FALSE))</f>
        <v>Fora do DRE</v>
      </c>
      <c r="T5642" s="3" t="str">
        <f>IF(ISERROR(VLOOKUP(Base_Periodo1[[#This Row],[CONTA]],BaseContasDRE[#All],5,FALSE)),"Fora do DRE",VLOOKUP(Base_Periodo1[[#This Row],[CONTA]],BaseContasDRE[#All],6,FALSE))</f>
        <v>Fora do DRE</v>
      </c>
      <c r="U5642" s="3" t="str">
        <f>IF(ISERROR(VLOOKUP(Base_Periodo1[[#This Row],[CONTA]],BaseContasDRE[#All],7,FALSE)),"Fora do DRE",VLOOKUP(Base_Periodo1[[#This Row],[CONTA]],BaseContasDRE[#All],7,FALSE))</f>
        <v>Fora do DRE</v>
      </c>
      <c r="V5642" s="3" t="str">
        <f>IF(Base_Periodo1[[#This Row],[Tipo_Linha]]="Fora do DRE","Fora do DRE","( "&amp;Base_Periodo1[[#This Row],[Tipo_Linha]]&amp;" ) "&amp;Base_Periodo1[[#This Row],[Filtro]])</f>
        <v>Fora do DRE</v>
      </c>
      <c r="W5642" s="3" t="str">
        <f>LEFT(Base_Periodo1[[#This Row],[CLASS]],3)</f>
        <v>2.4</v>
      </c>
    </row>
    <row r="5643" spans="1:23" hidden="1">
      <c r="A5643" s="3" t="str">
        <f t="shared" si="88"/>
        <v>Período 1</v>
      </c>
      <c r="B5643">
        <v>16070</v>
      </c>
      <c r="C5643" t="s">
        <v>2300</v>
      </c>
      <c r="D5643" t="s">
        <v>6575</v>
      </c>
      <c r="E5643" s="3" t="str">
        <f>IF(LEN(Base_Periodo1[[#This Row],[CLASS]])&gt;=7,LEFT(Base_Periodo1[[#This Row],[CLASS]],7),"")</f>
        <v>2.4.1.1</v>
      </c>
      <c r="F5643" s="3" t="str">
        <f>VLOOKUP(Base_Periodo1[[#This Row],[Aux]],Base_Contas_Balanco[#All],2,FALSE)</f>
        <v>Capital Social Realizado</v>
      </c>
      <c r="G5643" s="1"/>
      <c r="H5643" s="281">
        <v>50</v>
      </c>
      <c r="I5643" s="281">
        <v>0</v>
      </c>
      <c r="J5643" s="281">
        <v>0</v>
      </c>
      <c r="K5643" s="281">
        <v>50</v>
      </c>
      <c r="L564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43" s="281">
        <f>ROUND(IF(AND(Base_Periodo1[[#This Row],[Tipo_Linha]]="-",Base_Periodo1[[#This Row],[TIPOSALDO]]="D"),Base_Periodo1[[#This Row],[SALDO_ATUAL]]*-1,Base_Periodo1[[#This Row],[SALDO_ATUAL]]),4)</f>
        <v>50</v>
      </c>
      <c r="N5643" t="s">
        <v>116</v>
      </c>
      <c r="O5643" t="s">
        <v>459</v>
      </c>
      <c r="P5643" t="s">
        <v>459</v>
      </c>
      <c r="Q5643">
        <v>6</v>
      </c>
      <c r="R5643" s="281">
        <f>Base_Periodo1[[#This Row],[CREDITOS]]-Base_Periodo1[[#This Row],[DEBITOS]]</f>
        <v>0</v>
      </c>
      <c r="S5643" s="3" t="str">
        <f>IF(ISERROR(VLOOKUP(Base_Periodo1[[#This Row],[CONTA]],BaseContasDRE[#All],4,FALSE)),"Fora do DRE",VLOOKUP(Base_Periodo1[[#This Row],[CONTA]],BaseContasDRE[#All],4,FALSE))</f>
        <v>Fora do DRE</v>
      </c>
      <c r="T5643" s="3" t="str">
        <f>IF(ISERROR(VLOOKUP(Base_Periodo1[[#This Row],[CONTA]],BaseContasDRE[#All],5,FALSE)),"Fora do DRE",VLOOKUP(Base_Periodo1[[#This Row],[CONTA]],BaseContasDRE[#All],6,FALSE))</f>
        <v>Fora do DRE</v>
      </c>
      <c r="U5643" s="3" t="str">
        <f>IF(ISERROR(VLOOKUP(Base_Periodo1[[#This Row],[CONTA]],BaseContasDRE[#All],7,FALSE)),"Fora do DRE",VLOOKUP(Base_Periodo1[[#This Row],[CONTA]],BaseContasDRE[#All],7,FALSE))</f>
        <v>Fora do DRE</v>
      </c>
      <c r="V5643" s="3" t="str">
        <f>IF(Base_Periodo1[[#This Row],[Tipo_Linha]]="Fora do DRE","Fora do DRE","( "&amp;Base_Periodo1[[#This Row],[Tipo_Linha]]&amp;" ) "&amp;Base_Periodo1[[#This Row],[Filtro]])</f>
        <v>Fora do DRE</v>
      </c>
      <c r="W5643" s="3" t="str">
        <f>LEFT(Base_Periodo1[[#This Row],[CLASS]],3)</f>
        <v>2.4</v>
      </c>
    </row>
    <row r="5644" spans="1:23" hidden="1">
      <c r="A5644" s="3" t="str">
        <f t="shared" si="88"/>
        <v>Período 1</v>
      </c>
      <c r="B5644">
        <v>24585</v>
      </c>
      <c r="C5644" t="s">
        <v>2300</v>
      </c>
      <c r="D5644" t="s">
        <v>3433</v>
      </c>
      <c r="E5644" s="3" t="str">
        <f>IF(LEN(Base_Periodo1[[#This Row],[CLASS]])&gt;=7,LEFT(Base_Periodo1[[#This Row],[CLASS]],7),"")</f>
        <v>2.4.1.1</v>
      </c>
      <c r="F5644" s="3" t="str">
        <f>VLOOKUP(Base_Periodo1[[#This Row],[Aux]],Base_Contas_Balanco[#All],2,FALSE)</f>
        <v>Capital Social Realizado</v>
      </c>
      <c r="G5644" s="1">
        <v>41917</v>
      </c>
      <c r="H5644" s="281">
        <v>50</v>
      </c>
      <c r="I5644" s="281">
        <v>0</v>
      </c>
      <c r="J5644" s="281">
        <v>0</v>
      </c>
      <c r="K5644" s="281">
        <v>50</v>
      </c>
      <c r="L564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44" s="281">
        <f>ROUND(IF(AND(Base_Periodo1[[#This Row],[Tipo_Linha]]="-",Base_Periodo1[[#This Row],[TIPOSALDO]]="D"),Base_Periodo1[[#This Row],[SALDO_ATUAL]]*-1,Base_Periodo1[[#This Row],[SALDO_ATUAL]]),4)</f>
        <v>50</v>
      </c>
      <c r="N5644" t="s">
        <v>116</v>
      </c>
      <c r="O5644" t="s">
        <v>459</v>
      </c>
      <c r="P5644" t="s">
        <v>459</v>
      </c>
      <c r="Q5644">
        <v>6</v>
      </c>
      <c r="R5644" s="281">
        <f>Base_Periodo1[[#This Row],[CREDITOS]]-Base_Periodo1[[#This Row],[DEBITOS]]</f>
        <v>0</v>
      </c>
      <c r="S5644" s="3" t="str">
        <f>IF(ISERROR(VLOOKUP(Base_Periodo1[[#This Row],[CONTA]],BaseContasDRE[#All],4,FALSE)),"Fora do DRE",VLOOKUP(Base_Periodo1[[#This Row],[CONTA]],BaseContasDRE[#All],4,FALSE))</f>
        <v>Fora do DRE</v>
      </c>
      <c r="T5644" s="3" t="str">
        <f>IF(ISERROR(VLOOKUP(Base_Periodo1[[#This Row],[CONTA]],BaseContasDRE[#All],5,FALSE)),"Fora do DRE",VLOOKUP(Base_Periodo1[[#This Row],[CONTA]],BaseContasDRE[#All],6,FALSE))</f>
        <v>Fora do DRE</v>
      </c>
      <c r="U5644" s="3" t="str">
        <f>IF(ISERROR(VLOOKUP(Base_Periodo1[[#This Row],[CONTA]],BaseContasDRE[#All],7,FALSE)),"Fora do DRE",VLOOKUP(Base_Periodo1[[#This Row],[CONTA]],BaseContasDRE[#All],7,FALSE))</f>
        <v>Fora do DRE</v>
      </c>
      <c r="V5644" s="3" t="str">
        <f>IF(Base_Periodo1[[#This Row],[Tipo_Linha]]="Fora do DRE","Fora do DRE","( "&amp;Base_Periodo1[[#This Row],[Tipo_Linha]]&amp;" ) "&amp;Base_Periodo1[[#This Row],[Filtro]])</f>
        <v>Fora do DRE</v>
      </c>
      <c r="W5644" s="3" t="str">
        <f>LEFT(Base_Periodo1[[#This Row],[CLASS]],3)</f>
        <v>2.4</v>
      </c>
    </row>
    <row r="5645" spans="1:23" hidden="1">
      <c r="A5645" s="3" t="str">
        <f t="shared" si="88"/>
        <v>Período 1</v>
      </c>
      <c r="B5645">
        <v>15961</v>
      </c>
      <c r="C5645" t="s">
        <v>2300</v>
      </c>
      <c r="D5645" t="s">
        <v>3434</v>
      </c>
      <c r="E5645" s="3" t="str">
        <f>IF(LEN(Base_Periodo1[[#This Row],[CLASS]])&gt;=7,LEFT(Base_Periodo1[[#This Row],[CLASS]],7),"")</f>
        <v>2.4.1.1</v>
      </c>
      <c r="F5645" s="3" t="str">
        <f>VLOOKUP(Base_Periodo1[[#This Row],[Aux]],Base_Contas_Balanco[#All],2,FALSE)</f>
        <v>Capital Social Realizado</v>
      </c>
      <c r="G5645" s="1"/>
      <c r="H5645" s="281">
        <v>9664.59</v>
      </c>
      <c r="I5645" s="281">
        <v>0</v>
      </c>
      <c r="J5645" s="281">
        <v>0</v>
      </c>
      <c r="K5645" s="281">
        <v>9664.59</v>
      </c>
      <c r="L564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9664.59</v>
      </c>
      <c r="M5645" s="281">
        <f>ROUND(IF(AND(Base_Periodo1[[#This Row],[Tipo_Linha]]="-",Base_Periodo1[[#This Row],[TIPOSALDO]]="D"),Base_Periodo1[[#This Row],[SALDO_ATUAL]]*-1,Base_Periodo1[[#This Row],[SALDO_ATUAL]]),4)</f>
        <v>9664.59</v>
      </c>
      <c r="N5645" t="s">
        <v>116</v>
      </c>
      <c r="O5645" t="s">
        <v>459</v>
      </c>
      <c r="P5645" t="s">
        <v>459</v>
      </c>
      <c r="Q5645">
        <v>6</v>
      </c>
      <c r="R5645" s="281">
        <f>Base_Periodo1[[#This Row],[CREDITOS]]-Base_Periodo1[[#This Row],[DEBITOS]]</f>
        <v>0</v>
      </c>
      <c r="S5645" s="3" t="str">
        <f>IF(ISERROR(VLOOKUP(Base_Periodo1[[#This Row],[CONTA]],BaseContasDRE[#All],4,FALSE)),"Fora do DRE",VLOOKUP(Base_Periodo1[[#This Row],[CONTA]],BaseContasDRE[#All],4,FALSE))</f>
        <v>Fora do DRE</v>
      </c>
      <c r="T5645" s="3" t="str">
        <f>IF(ISERROR(VLOOKUP(Base_Periodo1[[#This Row],[CONTA]],BaseContasDRE[#All],5,FALSE)),"Fora do DRE",VLOOKUP(Base_Periodo1[[#This Row],[CONTA]],BaseContasDRE[#All],6,FALSE))</f>
        <v>Fora do DRE</v>
      </c>
      <c r="U5645" s="3" t="str">
        <f>IF(ISERROR(VLOOKUP(Base_Periodo1[[#This Row],[CONTA]],BaseContasDRE[#All],7,FALSE)),"Fora do DRE",VLOOKUP(Base_Periodo1[[#This Row],[CONTA]],BaseContasDRE[#All],7,FALSE))</f>
        <v>Fora do DRE</v>
      </c>
      <c r="V5645" s="3" t="str">
        <f>IF(Base_Periodo1[[#This Row],[Tipo_Linha]]="Fora do DRE","Fora do DRE","( "&amp;Base_Periodo1[[#This Row],[Tipo_Linha]]&amp;" ) "&amp;Base_Periodo1[[#This Row],[Filtro]])</f>
        <v>Fora do DRE</v>
      </c>
      <c r="W5645" s="3" t="str">
        <f>LEFT(Base_Periodo1[[#This Row],[CLASS]],3)</f>
        <v>2.4</v>
      </c>
    </row>
    <row r="5646" spans="1:23" hidden="1">
      <c r="A5646" s="3" t="str">
        <f t="shared" si="88"/>
        <v>Período 1</v>
      </c>
      <c r="B5646">
        <v>21230</v>
      </c>
      <c r="C5646" t="s">
        <v>2300</v>
      </c>
      <c r="D5646" t="s">
        <v>3435</v>
      </c>
      <c r="E5646" s="3" t="str">
        <f>IF(LEN(Base_Periodo1[[#This Row],[CLASS]])&gt;=7,LEFT(Base_Periodo1[[#This Row],[CLASS]],7),"")</f>
        <v>2.4.1.1</v>
      </c>
      <c r="F5646" s="3" t="str">
        <f>VLOOKUP(Base_Periodo1[[#This Row],[Aux]],Base_Contas_Balanco[#All],2,FALSE)</f>
        <v>Capital Social Realizado</v>
      </c>
      <c r="G5646" s="1"/>
      <c r="H5646" s="281">
        <v>703.65</v>
      </c>
      <c r="I5646" s="281">
        <v>0</v>
      </c>
      <c r="J5646" s="281">
        <v>0</v>
      </c>
      <c r="K5646" s="281">
        <v>703.65</v>
      </c>
      <c r="L564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703.65</v>
      </c>
      <c r="M5646" s="281">
        <f>ROUND(IF(AND(Base_Periodo1[[#This Row],[Tipo_Linha]]="-",Base_Periodo1[[#This Row],[TIPOSALDO]]="D"),Base_Periodo1[[#This Row],[SALDO_ATUAL]]*-1,Base_Periodo1[[#This Row],[SALDO_ATUAL]]),4)</f>
        <v>703.65</v>
      </c>
      <c r="N5646" t="s">
        <v>116</v>
      </c>
      <c r="O5646" t="s">
        <v>459</v>
      </c>
      <c r="P5646" t="s">
        <v>459</v>
      </c>
      <c r="Q5646">
        <v>6</v>
      </c>
      <c r="R5646" s="281">
        <f>Base_Periodo1[[#This Row],[CREDITOS]]-Base_Periodo1[[#This Row],[DEBITOS]]</f>
        <v>0</v>
      </c>
      <c r="S5646" s="3" t="str">
        <f>IF(ISERROR(VLOOKUP(Base_Periodo1[[#This Row],[CONTA]],BaseContasDRE[#All],4,FALSE)),"Fora do DRE",VLOOKUP(Base_Periodo1[[#This Row],[CONTA]],BaseContasDRE[#All],4,FALSE))</f>
        <v>Fora do DRE</v>
      </c>
      <c r="T5646" s="3" t="str">
        <f>IF(ISERROR(VLOOKUP(Base_Periodo1[[#This Row],[CONTA]],BaseContasDRE[#All],5,FALSE)),"Fora do DRE",VLOOKUP(Base_Periodo1[[#This Row],[CONTA]],BaseContasDRE[#All],6,FALSE))</f>
        <v>Fora do DRE</v>
      </c>
      <c r="U5646" s="3" t="str">
        <f>IF(ISERROR(VLOOKUP(Base_Periodo1[[#This Row],[CONTA]],BaseContasDRE[#All],7,FALSE)),"Fora do DRE",VLOOKUP(Base_Periodo1[[#This Row],[CONTA]],BaseContasDRE[#All],7,FALSE))</f>
        <v>Fora do DRE</v>
      </c>
      <c r="V5646" s="3" t="str">
        <f>IF(Base_Periodo1[[#This Row],[Tipo_Linha]]="Fora do DRE","Fora do DRE","( "&amp;Base_Periodo1[[#This Row],[Tipo_Linha]]&amp;" ) "&amp;Base_Periodo1[[#This Row],[Filtro]])</f>
        <v>Fora do DRE</v>
      </c>
      <c r="W5646" s="3" t="str">
        <f>LEFT(Base_Periodo1[[#This Row],[CLASS]],3)</f>
        <v>2.4</v>
      </c>
    </row>
    <row r="5647" spans="1:23" hidden="1">
      <c r="A5647" s="3" t="str">
        <f t="shared" si="88"/>
        <v>Período 1</v>
      </c>
      <c r="B5647">
        <v>16006</v>
      </c>
      <c r="C5647" t="s">
        <v>2300</v>
      </c>
      <c r="D5647" t="s">
        <v>3436</v>
      </c>
      <c r="E5647" s="3" t="str">
        <f>IF(LEN(Base_Periodo1[[#This Row],[CLASS]])&gt;=7,LEFT(Base_Periodo1[[#This Row],[CLASS]],7),"")</f>
        <v>2.4.1.1</v>
      </c>
      <c r="F5647" s="3" t="str">
        <f>VLOOKUP(Base_Periodo1[[#This Row],[Aux]],Base_Contas_Balanco[#All],2,FALSE)</f>
        <v>Capital Social Realizado</v>
      </c>
      <c r="G5647" s="1"/>
      <c r="H5647" s="281">
        <v>1248.05</v>
      </c>
      <c r="I5647" s="281">
        <v>0</v>
      </c>
      <c r="J5647" s="281">
        <v>0</v>
      </c>
      <c r="K5647" s="281">
        <v>1248.05</v>
      </c>
      <c r="L564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1248.05</v>
      </c>
      <c r="M5647" s="281">
        <f>ROUND(IF(AND(Base_Periodo1[[#This Row],[Tipo_Linha]]="-",Base_Periodo1[[#This Row],[TIPOSALDO]]="D"),Base_Periodo1[[#This Row],[SALDO_ATUAL]]*-1,Base_Periodo1[[#This Row],[SALDO_ATUAL]]),4)</f>
        <v>1248.05</v>
      </c>
      <c r="N5647" t="s">
        <v>116</v>
      </c>
      <c r="O5647" t="s">
        <v>459</v>
      </c>
      <c r="P5647" t="s">
        <v>459</v>
      </c>
      <c r="Q5647">
        <v>6</v>
      </c>
      <c r="R5647" s="281">
        <f>Base_Periodo1[[#This Row],[CREDITOS]]-Base_Periodo1[[#This Row],[DEBITOS]]</f>
        <v>0</v>
      </c>
      <c r="S5647" s="3" t="str">
        <f>IF(ISERROR(VLOOKUP(Base_Periodo1[[#This Row],[CONTA]],BaseContasDRE[#All],4,FALSE)),"Fora do DRE",VLOOKUP(Base_Periodo1[[#This Row],[CONTA]],BaseContasDRE[#All],4,FALSE))</f>
        <v>Fora do DRE</v>
      </c>
      <c r="T5647" s="3" t="str">
        <f>IF(ISERROR(VLOOKUP(Base_Periodo1[[#This Row],[CONTA]],BaseContasDRE[#All],5,FALSE)),"Fora do DRE",VLOOKUP(Base_Periodo1[[#This Row],[CONTA]],BaseContasDRE[#All],6,FALSE))</f>
        <v>Fora do DRE</v>
      </c>
      <c r="U5647" s="3" t="str">
        <f>IF(ISERROR(VLOOKUP(Base_Periodo1[[#This Row],[CONTA]],BaseContasDRE[#All],7,FALSE)),"Fora do DRE",VLOOKUP(Base_Periodo1[[#This Row],[CONTA]],BaseContasDRE[#All],7,FALSE))</f>
        <v>Fora do DRE</v>
      </c>
      <c r="V5647" s="3" t="str">
        <f>IF(Base_Periodo1[[#This Row],[Tipo_Linha]]="Fora do DRE","Fora do DRE","( "&amp;Base_Periodo1[[#This Row],[Tipo_Linha]]&amp;" ) "&amp;Base_Periodo1[[#This Row],[Filtro]])</f>
        <v>Fora do DRE</v>
      </c>
      <c r="W5647" s="3" t="str">
        <f>LEFT(Base_Periodo1[[#This Row],[CLASS]],3)</f>
        <v>2.4</v>
      </c>
    </row>
    <row r="5648" spans="1:23" hidden="1">
      <c r="A5648" s="3" t="str">
        <f t="shared" si="88"/>
        <v>Período 1</v>
      </c>
      <c r="B5648">
        <v>47916</v>
      </c>
      <c r="C5648" t="s">
        <v>2300</v>
      </c>
      <c r="D5648" t="s">
        <v>3437</v>
      </c>
      <c r="E5648" s="3" t="str">
        <f>IF(LEN(Base_Periodo1[[#This Row],[CLASS]])&gt;=7,LEFT(Base_Periodo1[[#This Row],[CLASS]],7),"")</f>
        <v>2.4.1.1</v>
      </c>
      <c r="F5648" s="3" t="str">
        <f>VLOOKUP(Base_Periodo1[[#This Row],[Aux]],Base_Contas_Balanco[#All],2,FALSE)</f>
        <v>Capital Social Realizado</v>
      </c>
      <c r="G5648" s="1"/>
      <c r="H5648" s="281">
        <v>759.72</v>
      </c>
      <c r="I5648" s="281">
        <v>0</v>
      </c>
      <c r="J5648" s="281">
        <v>0</v>
      </c>
      <c r="K5648" s="281">
        <v>759.72</v>
      </c>
      <c r="L564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759.72</v>
      </c>
      <c r="M5648" s="281">
        <f>ROUND(IF(AND(Base_Periodo1[[#This Row],[Tipo_Linha]]="-",Base_Periodo1[[#This Row],[TIPOSALDO]]="D"),Base_Periodo1[[#This Row],[SALDO_ATUAL]]*-1,Base_Periodo1[[#This Row],[SALDO_ATUAL]]),4)</f>
        <v>759.72</v>
      </c>
      <c r="N5648" t="s">
        <v>116</v>
      </c>
      <c r="O5648" t="s">
        <v>459</v>
      </c>
      <c r="P5648" t="s">
        <v>459</v>
      </c>
      <c r="Q5648">
        <v>6</v>
      </c>
      <c r="R5648" s="281">
        <f>Base_Periodo1[[#This Row],[CREDITOS]]-Base_Periodo1[[#This Row],[DEBITOS]]</f>
        <v>0</v>
      </c>
      <c r="S5648" s="3" t="str">
        <f>IF(ISERROR(VLOOKUP(Base_Periodo1[[#This Row],[CONTA]],BaseContasDRE[#All],4,FALSE)),"Fora do DRE",VLOOKUP(Base_Periodo1[[#This Row],[CONTA]],BaseContasDRE[#All],4,FALSE))</f>
        <v>Fora do DRE</v>
      </c>
      <c r="T5648" s="3" t="str">
        <f>IF(ISERROR(VLOOKUP(Base_Periodo1[[#This Row],[CONTA]],BaseContasDRE[#All],5,FALSE)),"Fora do DRE",VLOOKUP(Base_Periodo1[[#This Row],[CONTA]],BaseContasDRE[#All],6,FALSE))</f>
        <v>Fora do DRE</v>
      </c>
      <c r="U5648" s="3" t="str">
        <f>IF(ISERROR(VLOOKUP(Base_Periodo1[[#This Row],[CONTA]],BaseContasDRE[#All],7,FALSE)),"Fora do DRE",VLOOKUP(Base_Periodo1[[#This Row],[CONTA]],BaseContasDRE[#All],7,FALSE))</f>
        <v>Fora do DRE</v>
      </c>
      <c r="V5648" s="3" t="str">
        <f>IF(Base_Periodo1[[#This Row],[Tipo_Linha]]="Fora do DRE","Fora do DRE","( "&amp;Base_Periodo1[[#This Row],[Tipo_Linha]]&amp;" ) "&amp;Base_Periodo1[[#This Row],[Filtro]])</f>
        <v>Fora do DRE</v>
      </c>
      <c r="W5648" s="3" t="str">
        <f>LEFT(Base_Periodo1[[#This Row],[CLASS]],3)</f>
        <v>2.4</v>
      </c>
    </row>
    <row r="5649" spans="1:23" hidden="1">
      <c r="A5649" s="3" t="str">
        <f t="shared" si="88"/>
        <v>Período 1</v>
      </c>
      <c r="B5649">
        <v>50724</v>
      </c>
      <c r="C5649" t="s">
        <v>2300</v>
      </c>
      <c r="D5649" t="s">
        <v>4483</v>
      </c>
      <c r="E5649" s="3" t="str">
        <f>IF(LEN(Base_Periodo1[[#This Row],[CLASS]])&gt;=7,LEFT(Base_Periodo1[[#This Row],[CLASS]],7),"")</f>
        <v>2.4.1.1</v>
      </c>
      <c r="F5649" s="3" t="str">
        <f>VLOOKUP(Base_Periodo1[[#This Row],[Aux]],Base_Contas_Balanco[#All],2,FALSE)</f>
        <v>Capital Social Realizado</v>
      </c>
      <c r="G5649" s="1"/>
      <c r="H5649" s="281">
        <v>50</v>
      </c>
      <c r="I5649" s="281">
        <v>0</v>
      </c>
      <c r="J5649" s="281">
        <v>0</v>
      </c>
      <c r="K5649" s="281">
        <v>50</v>
      </c>
      <c r="L564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49" s="281">
        <f>ROUND(IF(AND(Base_Periodo1[[#This Row],[Tipo_Linha]]="-",Base_Periodo1[[#This Row],[TIPOSALDO]]="D"),Base_Periodo1[[#This Row],[SALDO_ATUAL]]*-1,Base_Periodo1[[#This Row],[SALDO_ATUAL]]),4)</f>
        <v>50</v>
      </c>
      <c r="N5649" t="s">
        <v>116</v>
      </c>
      <c r="O5649" t="s">
        <v>459</v>
      </c>
      <c r="P5649" t="s">
        <v>459</v>
      </c>
      <c r="Q5649">
        <v>6</v>
      </c>
      <c r="R5649" s="281">
        <f>Base_Periodo1[[#This Row],[CREDITOS]]-Base_Periodo1[[#This Row],[DEBITOS]]</f>
        <v>0</v>
      </c>
      <c r="S5649" s="3" t="str">
        <f>IF(ISERROR(VLOOKUP(Base_Periodo1[[#This Row],[CONTA]],BaseContasDRE[#All],4,FALSE)),"Fora do DRE",VLOOKUP(Base_Periodo1[[#This Row],[CONTA]],BaseContasDRE[#All],4,FALSE))</f>
        <v>Fora do DRE</v>
      </c>
      <c r="T5649" s="3" t="str">
        <f>IF(ISERROR(VLOOKUP(Base_Periodo1[[#This Row],[CONTA]],BaseContasDRE[#All],5,FALSE)),"Fora do DRE",VLOOKUP(Base_Periodo1[[#This Row],[CONTA]],BaseContasDRE[#All],6,FALSE))</f>
        <v>Fora do DRE</v>
      </c>
      <c r="U5649" s="3" t="str">
        <f>IF(ISERROR(VLOOKUP(Base_Periodo1[[#This Row],[CONTA]],BaseContasDRE[#All],7,FALSE)),"Fora do DRE",VLOOKUP(Base_Periodo1[[#This Row],[CONTA]],BaseContasDRE[#All],7,FALSE))</f>
        <v>Fora do DRE</v>
      </c>
      <c r="V5649" s="3" t="str">
        <f>IF(Base_Periodo1[[#This Row],[Tipo_Linha]]="Fora do DRE","Fora do DRE","( "&amp;Base_Periodo1[[#This Row],[Tipo_Linha]]&amp;" ) "&amp;Base_Periodo1[[#This Row],[Filtro]])</f>
        <v>Fora do DRE</v>
      </c>
      <c r="W5649" s="3" t="str">
        <f>LEFT(Base_Periodo1[[#This Row],[CLASS]],3)</f>
        <v>2.4</v>
      </c>
    </row>
    <row r="5650" spans="1:23" hidden="1">
      <c r="A5650" s="3" t="str">
        <f t="shared" si="88"/>
        <v>Período 1</v>
      </c>
      <c r="B5650">
        <v>38825</v>
      </c>
      <c r="C5650" t="s">
        <v>2300</v>
      </c>
      <c r="D5650" t="s">
        <v>3438</v>
      </c>
      <c r="E5650" s="3" t="str">
        <f>IF(LEN(Base_Periodo1[[#This Row],[CLASS]])&gt;=7,LEFT(Base_Periodo1[[#This Row],[CLASS]],7),"")</f>
        <v>2.4.1.1</v>
      </c>
      <c r="F5650" s="3" t="str">
        <f>VLOOKUP(Base_Periodo1[[#This Row],[Aux]],Base_Contas_Balanco[#All],2,FALSE)</f>
        <v>Capital Social Realizado</v>
      </c>
      <c r="G5650" s="1"/>
      <c r="H5650" s="281">
        <v>389.75</v>
      </c>
      <c r="I5650" s="281">
        <v>0</v>
      </c>
      <c r="J5650" s="281">
        <v>0</v>
      </c>
      <c r="K5650" s="281">
        <v>389.75</v>
      </c>
      <c r="L565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389.75</v>
      </c>
      <c r="M5650" s="281">
        <f>ROUND(IF(AND(Base_Periodo1[[#This Row],[Tipo_Linha]]="-",Base_Periodo1[[#This Row],[TIPOSALDO]]="D"),Base_Periodo1[[#This Row],[SALDO_ATUAL]]*-1,Base_Periodo1[[#This Row],[SALDO_ATUAL]]),4)</f>
        <v>389.75</v>
      </c>
      <c r="N5650" t="s">
        <v>116</v>
      </c>
      <c r="O5650" t="s">
        <v>459</v>
      </c>
      <c r="P5650" t="s">
        <v>459</v>
      </c>
      <c r="Q5650">
        <v>6</v>
      </c>
      <c r="R5650" s="281">
        <f>Base_Periodo1[[#This Row],[CREDITOS]]-Base_Periodo1[[#This Row],[DEBITOS]]</f>
        <v>0</v>
      </c>
      <c r="S5650" s="3" t="str">
        <f>IF(ISERROR(VLOOKUP(Base_Periodo1[[#This Row],[CONTA]],BaseContasDRE[#All],4,FALSE)),"Fora do DRE",VLOOKUP(Base_Periodo1[[#This Row],[CONTA]],BaseContasDRE[#All],4,FALSE))</f>
        <v>Fora do DRE</v>
      </c>
      <c r="T5650" s="3" t="str">
        <f>IF(ISERROR(VLOOKUP(Base_Periodo1[[#This Row],[CONTA]],BaseContasDRE[#All],5,FALSE)),"Fora do DRE",VLOOKUP(Base_Periodo1[[#This Row],[CONTA]],BaseContasDRE[#All],6,FALSE))</f>
        <v>Fora do DRE</v>
      </c>
      <c r="U5650" s="3" t="str">
        <f>IF(ISERROR(VLOOKUP(Base_Periodo1[[#This Row],[CONTA]],BaseContasDRE[#All],7,FALSE)),"Fora do DRE",VLOOKUP(Base_Periodo1[[#This Row],[CONTA]],BaseContasDRE[#All],7,FALSE))</f>
        <v>Fora do DRE</v>
      </c>
      <c r="V5650" s="3" t="str">
        <f>IF(Base_Periodo1[[#This Row],[Tipo_Linha]]="Fora do DRE","Fora do DRE","( "&amp;Base_Periodo1[[#This Row],[Tipo_Linha]]&amp;" ) "&amp;Base_Periodo1[[#This Row],[Filtro]])</f>
        <v>Fora do DRE</v>
      </c>
      <c r="W5650" s="3" t="str">
        <f>LEFT(Base_Periodo1[[#This Row],[CLASS]],3)</f>
        <v>2.4</v>
      </c>
    </row>
    <row r="5651" spans="1:23" hidden="1">
      <c r="A5651" s="3" t="str">
        <f t="shared" si="88"/>
        <v>Período 1</v>
      </c>
      <c r="B5651">
        <v>16159</v>
      </c>
      <c r="C5651" t="s">
        <v>2300</v>
      </c>
      <c r="D5651" t="s">
        <v>3439</v>
      </c>
      <c r="E5651" s="3" t="str">
        <f>IF(LEN(Base_Periodo1[[#This Row],[CLASS]])&gt;=7,LEFT(Base_Periodo1[[#This Row],[CLASS]],7),"")</f>
        <v>2.4.1.1</v>
      </c>
      <c r="F5651" s="3" t="str">
        <f>VLOOKUP(Base_Periodo1[[#This Row],[Aux]],Base_Contas_Balanco[#All],2,FALSE)</f>
        <v>Capital Social Realizado</v>
      </c>
      <c r="G5651" s="1"/>
      <c r="H5651" s="281">
        <v>4782.3100000000004</v>
      </c>
      <c r="I5651" s="281">
        <v>0</v>
      </c>
      <c r="J5651" s="281">
        <v>0</v>
      </c>
      <c r="K5651" s="281">
        <v>4782.3100000000004</v>
      </c>
      <c r="L565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4782.3100000000004</v>
      </c>
      <c r="M5651" s="281">
        <f>ROUND(IF(AND(Base_Periodo1[[#This Row],[Tipo_Linha]]="-",Base_Periodo1[[#This Row],[TIPOSALDO]]="D"),Base_Periodo1[[#This Row],[SALDO_ATUAL]]*-1,Base_Periodo1[[#This Row],[SALDO_ATUAL]]),4)</f>
        <v>4782.3100000000004</v>
      </c>
      <c r="N5651" t="s">
        <v>116</v>
      </c>
      <c r="O5651" t="s">
        <v>459</v>
      </c>
      <c r="P5651" t="s">
        <v>459</v>
      </c>
      <c r="Q5651">
        <v>6</v>
      </c>
      <c r="R5651" s="281">
        <f>Base_Periodo1[[#This Row],[CREDITOS]]-Base_Periodo1[[#This Row],[DEBITOS]]</f>
        <v>0</v>
      </c>
      <c r="S5651" s="3" t="str">
        <f>IF(ISERROR(VLOOKUP(Base_Periodo1[[#This Row],[CONTA]],BaseContasDRE[#All],4,FALSE)),"Fora do DRE",VLOOKUP(Base_Periodo1[[#This Row],[CONTA]],BaseContasDRE[#All],4,FALSE))</f>
        <v>Fora do DRE</v>
      </c>
      <c r="T5651" s="3" t="str">
        <f>IF(ISERROR(VLOOKUP(Base_Periodo1[[#This Row],[CONTA]],BaseContasDRE[#All],5,FALSE)),"Fora do DRE",VLOOKUP(Base_Periodo1[[#This Row],[CONTA]],BaseContasDRE[#All],6,FALSE))</f>
        <v>Fora do DRE</v>
      </c>
      <c r="U5651" s="3" t="str">
        <f>IF(ISERROR(VLOOKUP(Base_Periodo1[[#This Row],[CONTA]],BaseContasDRE[#All],7,FALSE)),"Fora do DRE",VLOOKUP(Base_Periodo1[[#This Row],[CONTA]],BaseContasDRE[#All],7,FALSE))</f>
        <v>Fora do DRE</v>
      </c>
      <c r="V5651" s="3" t="str">
        <f>IF(Base_Periodo1[[#This Row],[Tipo_Linha]]="Fora do DRE","Fora do DRE","( "&amp;Base_Periodo1[[#This Row],[Tipo_Linha]]&amp;" ) "&amp;Base_Periodo1[[#This Row],[Filtro]])</f>
        <v>Fora do DRE</v>
      </c>
      <c r="W5651" s="3" t="str">
        <f>LEFT(Base_Periodo1[[#This Row],[CLASS]],3)</f>
        <v>2.4</v>
      </c>
    </row>
    <row r="5652" spans="1:23" hidden="1">
      <c r="A5652" s="3" t="str">
        <f t="shared" si="88"/>
        <v>Período 1</v>
      </c>
      <c r="B5652">
        <v>16416</v>
      </c>
      <c r="C5652" t="s">
        <v>2300</v>
      </c>
      <c r="D5652" t="s">
        <v>3440</v>
      </c>
      <c r="E5652" s="3" t="str">
        <f>IF(LEN(Base_Periodo1[[#This Row],[CLASS]])&gt;=7,LEFT(Base_Periodo1[[#This Row],[CLASS]],7),"")</f>
        <v>2.4.1.1</v>
      </c>
      <c r="F5652" s="3" t="str">
        <f>VLOOKUP(Base_Periodo1[[#This Row],[Aux]],Base_Contas_Balanco[#All],2,FALSE)</f>
        <v>Capital Social Realizado</v>
      </c>
      <c r="G5652" s="1"/>
      <c r="H5652" s="281">
        <v>2269.56</v>
      </c>
      <c r="I5652" s="281">
        <v>0</v>
      </c>
      <c r="J5652" s="281">
        <v>0</v>
      </c>
      <c r="K5652" s="281">
        <v>2269.56</v>
      </c>
      <c r="L565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2269.56</v>
      </c>
      <c r="M5652" s="281">
        <f>ROUND(IF(AND(Base_Periodo1[[#This Row],[Tipo_Linha]]="-",Base_Periodo1[[#This Row],[TIPOSALDO]]="D"),Base_Periodo1[[#This Row],[SALDO_ATUAL]]*-1,Base_Periodo1[[#This Row],[SALDO_ATUAL]]),4)</f>
        <v>2269.56</v>
      </c>
      <c r="N5652" t="s">
        <v>116</v>
      </c>
      <c r="O5652" t="s">
        <v>459</v>
      </c>
      <c r="P5652" t="s">
        <v>459</v>
      </c>
      <c r="Q5652">
        <v>6</v>
      </c>
      <c r="R5652" s="281">
        <f>Base_Periodo1[[#This Row],[CREDITOS]]-Base_Periodo1[[#This Row],[DEBITOS]]</f>
        <v>0</v>
      </c>
      <c r="S5652" s="3" t="str">
        <f>IF(ISERROR(VLOOKUP(Base_Periodo1[[#This Row],[CONTA]],BaseContasDRE[#All],4,FALSE)),"Fora do DRE",VLOOKUP(Base_Periodo1[[#This Row],[CONTA]],BaseContasDRE[#All],4,FALSE))</f>
        <v>Fora do DRE</v>
      </c>
      <c r="T5652" s="3" t="str">
        <f>IF(ISERROR(VLOOKUP(Base_Periodo1[[#This Row],[CONTA]],BaseContasDRE[#All],5,FALSE)),"Fora do DRE",VLOOKUP(Base_Periodo1[[#This Row],[CONTA]],BaseContasDRE[#All],6,FALSE))</f>
        <v>Fora do DRE</v>
      </c>
      <c r="U5652" s="3" t="str">
        <f>IF(ISERROR(VLOOKUP(Base_Periodo1[[#This Row],[CONTA]],BaseContasDRE[#All],7,FALSE)),"Fora do DRE",VLOOKUP(Base_Periodo1[[#This Row],[CONTA]],BaseContasDRE[#All],7,FALSE))</f>
        <v>Fora do DRE</v>
      </c>
      <c r="V5652" s="3" t="str">
        <f>IF(Base_Periodo1[[#This Row],[Tipo_Linha]]="Fora do DRE","Fora do DRE","( "&amp;Base_Periodo1[[#This Row],[Tipo_Linha]]&amp;" ) "&amp;Base_Periodo1[[#This Row],[Filtro]])</f>
        <v>Fora do DRE</v>
      </c>
      <c r="W5652" s="3" t="str">
        <f>LEFT(Base_Periodo1[[#This Row],[CLASS]],3)</f>
        <v>2.4</v>
      </c>
    </row>
    <row r="5653" spans="1:23" hidden="1">
      <c r="A5653" s="3" t="str">
        <f t="shared" si="88"/>
        <v>Período 1</v>
      </c>
      <c r="B5653">
        <v>26365</v>
      </c>
      <c r="C5653" t="s">
        <v>2300</v>
      </c>
      <c r="D5653" t="s">
        <v>3441</v>
      </c>
      <c r="E5653" s="3" t="str">
        <f>IF(LEN(Base_Periodo1[[#This Row],[CLASS]])&gt;=7,LEFT(Base_Periodo1[[#This Row],[CLASS]],7),"")</f>
        <v>2.4.1.1</v>
      </c>
      <c r="F5653" s="3" t="str">
        <f>VLOOKUP(Base_Periodo1[[#This Row],[Aux]],Base_Contas_Balanco[#All],2,FALSE)</f>
        <v>Capital Social Realizado</v>
      </c>
      <c r="G5653" s="1"/>
      <c r="H5653" s="281">
        <v>539.6</v>
      </c>
      <c r="I5653" s="281">
        <v>0</v>
      </c>
      <c r="J5653" s="281">
        <v>0</v>
      </c>
      <c r="K5653" s="281">
        <v>539.6</v>
      </c>
      <c r="L565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539.6</v>
      </c>
      <c r="M5653" s="281">
        <f>ROUND(IF(AND(Base_Periodo1[[#This Row],[Tipo_Linha]]="-",Base_Periodo1[[#This Row],[TIPOSALDO]]="D"),Base_Periodo1[[#This Row],[SALDO_ATUAL]]*-1,Base_Periodo1[[#This Row],[SALDO_ATUAL]]),4)</f>
        <v>539.6</v>
      </c>
      <c r="N5653" t="s">
        <v>116</v>
      </c>
      <c r="O5653" t="s">
        <v>459</v>
      </c>
      <c r="P5653" t="s">
        <v>459</v>
      </c>
      <c r="Q5653">
        <v>6</v>
      </c>
      <c r="R5653" s="281">
        <f>Base_Periodo1[[#This Row],[CREDITOS]]-Base_Periodo1[[#This Row],[DEBITOS]]</f>
        <v>0</v>
      </c>
      <c r="S5653" s="3" t="str">
        <f>IF(ISERROR(VLOOKUP(Base_Periodo1[[#This Row],[CONTA]],BaseContasDRE[#All],4,FALSE)),"Fora do DRE",VLOOKUP(Base_Periodo1[[#This Row],[CONTA]],BaseContasDRE[#All],4,FALSE))</f>
        <v>Fora do DRE</v>
      </c>
      <c r="T5653" s="3" t="str">
        <f>IF(ISERROR(VLOOKUP(Base_Periodo1[[#This Row],[CONTA]],BaseContasDRE[#All],5,FALSE)),"Fora do DRE",VLOOKUP(Base_Periodo1[[#This Row],[CONTA]],BaseContasDRE[#All],6,FALSE))</f>
        <v>Fora do DRE</v>
      </c>
      <c r="U5653" s="3" t="str">
        <f>IF(ISERROR(VLOOKUP(Base_Periodo1[[#This Row],[CONTA]],BaseContasDRE[#All],7,FALSE)),"Fora do DRE",VLOOKUP(Base_Periodo1[[#This Row],[CONTA]],BaseContasDRE[#All],7,FALSE))</f>
        <v>Fora do DRE</v>
      </c>
      <c r="V5653" s="3" t="str">
        <f>IF(Base_Periodo1[[#This Row],[Tipo_Linha]]="Fora do DRE","Fora do DRE","( "&amp;Base_Periodo1[[#This Row],[Tipo_Linha]]&amp;" ) "&amp;Base_Periodo1[[#This Row],[Filtro]])</f>
        <v>Fora do DRE</v>
      </c>
      <c r="W5653" s="3" t="str">
        <f>LEFT(Base_Periodo1[[#This Row],[CLASS]],3)</f>
        <v>2.4</v>
      </c>
    </row>
    <row r="5654" spans="1:23" hidden="1">
      <c r="A5654" s="3" t="str">
        <f t="shared" si="88"/>
        <v>Período 1</v>
      </c>
      <c r="B5654">
        <v>40568</v>
      </c>
      <c r="C5654" t="s">
        <v>2300</v>
      </c>
      <c r="D5654" t="s">
        <v>3442</v>
      </c>
      <c r="E5654" s="3" t="str">
        <f>IF(LEN(Base_Periodo1[[#This Row],[CLASS]])&gt;=7,LEFT(Base_Periodo1[[#This Row],[CLASS]],7),"")</f>
        <v>2.4.1.1</v>
      </c>
      <c r="F5654" s="3" t="str">
        <f>VLOOKUP(Base_Periodo1[[#This Row],[Aux]],Base_Contas_Balanco[#All],2,FALSE)</f>
        <v>Capital Social Realizado</v>
      </c>
      <c r="G5654" s="1"/>
      <c r="H5654" s="281">
        <v>67.819999999999993</v>
      </c>
      <c r="I5654" s="281">
        <v>0</v>
      </c>
      <c r="J5654" s="281">
        <v>0</v>
      </c>
      <c r="K5654" s="281">
        <v>67.819999999999993</v>
      </c>
      <c r="L565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67.819999999999993</v>
      </c>
      <c r="M5654" s="281">
        <f>ROUND(IF(AND(Base_Periodo1[[#This Row],[Tipo_Linha]]="-",Base_Periodo1[[#This Row],[TIPOSALDO]]="D"),Base_Periodo1[[#This Row],[SALDO_ATUAL]]*-1,Base_Periodo1[[#This Row],[SALDO_ATUAL]]),4)</f>
        <v>67.819999999999993</v>
      </c>
      <c r="N5654" t="s">
        <v>116</v>
      </c>
      <c r="O5654" t="s">
        <v>459</v>
      </c>
      <c r="P5654" t="s">
        <v>459</v>
      </c>
      <c r="Q5654">
        <v>6</v>
      </c>
      <c r="R5654" s="281">
        <f>Base_Periodo1[[#This Row],[CREDITOS]]-Base_Periodo1[[#This Row],[DEBITOS]]</f>
        <v>0</v>
      </c>
      <c r="S5654" s="3" t="str">
        <f>IF(ISERROR(VLOOKUP(Base_Periodo1[[#This Row],[CONTA]],BaseContasDRE[#All],4,FALSE)),"Fora do DRE",VLOOKUP(Base_Periodo1[[#This Row],[CONTA]],BaseContasDRE[#All],4,FALSE))</f>
        <v>Fora do DRE</v>
      </c>
      <c r="T5654" s="3" t="str">
        <f>IF(ISERROR(VLOOKUP(Base_Periodo1[[#This Row],[CONTA]],BaseContasDRE[#All],5,FALSE)),"Fora do DRE",VLOOKUP(Base_Periodo1[[#This Row],[CONTA]],BaseContasDRE[#All],6,FALSE))</f>
        <v>Fora do DRE</v>
      </c>
      <c r="U5654" s="3" t="str">
        <f>IF(ISERROR(VLOOKUP(Base_Periodo1[[#This Row],[CONTA]],BaseContasDRE[#All],7,FALSE)),"Fora do DRE",VLOOKUP(Base_Periodo1[[#This Row],[CONTA]],BaseContasDRE[#All],7,FALSE))</f>
        <v>Fora do DRE</v>
      </c>
      <c r="V5654" s="3" t="str">
        <f>IF(Base_Periodo1[[#This Row],[Tipo_Linha]]="Fora do DRE","Fora do DRE","( "&amp;Base_Periodo1[[#This Row],[Tipo_Linha]]&amp;" ) "&amp;Base_Periodo1[[#This Row],[Filtro]])</f>
        <v>Fora do DRE</v>
      </c>
      <c r="W5654" s="3" t="str">
        <f>LEFT(Base_Periodo1[[#This Row],[CLASS]],3)</f>
        <v>2.4</v>
      </c>
    </row>
    <row r="5655" spans="1:23" hidden="1">
      <c r="A5655" s="3" t="str">
        <f t="shared" si="88"/>
        <v>Período 1</v>
      </c>
      <c r="B5655">
        <v>34405</v>
      </c>
      <c r="C5655" t="s">
        <v>2300</v>
      </c>
      <c r="D5655" t="s">
        <v>3443</v>
      </c>
      <c r="E5655" s="3" t="str">
        <f>IF(LEN(Base_Periodo1[[#This Row],[CLASS]])&gt;=7,LEFT(Base_Periodo1[[#This Row],[CLASS]],7),"")</f>
        <v>2.4.1.1</v>
      </c>
      <c r="F5655" s="3" t="str">
        <f>VLOOKUP(Base_Periodo1[[#This Row],[Aux]],Base_Contas_Balanco[#All],2,FALSE)</f>
        <v>Capital Social Realizado</v>
      </c>
      <c r="G5655" s="1"/>
      <c r="H5655" s="281">
        <v>198.52</v>
      </c>
      <c r="I5655" s="281">
        <v>0</v>
      </c>
      <c r="J5655" s="281">
        <v>0</v>
      </c>
      <c r="K5655" s="281">
        <v>198.52</v>
      </c>
      <c r="L565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198.52</v>
      </c>
      <c r="M5655" s="281">
        <f>ROUND(IF(AND(Base_Periodo1[[#This Row],[Tipo_Linha]]="-",Base_Periodo1[[#This Row],[TIPOSALDO]]="D"),Base_Periodo1[[#This Row],[SALDO_ATUAL]]*-1,Base_Periodo1[[#This Row],[SALDO_ATUAL]]),4)</f>
        <v>198.52</v>
      </c>
      <c r="N5655" t="s">
        <v>116</v>
      </c>
      <c r="O5655" t="s">
        <v>459</v>
      </c>
      <c r="P5655" t="s">
        <v>459</v>
      </c>
      <c r="Q5655">
        <v>6</v>
      </c>
      <c r="R5655" s="281">
        <f>Base_Periodo1[[#This Row],[CREDITOS]]-Base_Periodo1[[#This Row],[DEBITOS]]</f>
        <v>0</v>
      </c>
      <c r="S5655" s="3" t="str">
        <f>IF(ISERROR(VLOOKUP(Base_Periodo1[[#This Row],[CONTA]],BaseContasDRE[#All],4,FALSE)),"Fora do DRE",VLOOKUP(Base_Periodo1[[#This Row],[CONTA]],BaseContasDRE[#All],4,FALSE))</f>
        <v>Fora do DRE</v>
      </c>
      <c r="T5655" s="3" t="str">
        <f>IF(ISERROR(VLOOKUP(Base_Periodo1[[#This Row],[CONTA]],BaseContasDRE[#All],5,FALSE)),"Fora do DRE",VLOOKUP(Base_Periodo1[[#This Row],[CONTA]],BaseContasDRE[#All],6,FALSE))</f>
        <v>Fora do DRE</v>
      </c>
      <c r="U5655" s="3" t="str">
        <f>IF(ISERROR(VLOOKUP(Base_Periodo1[[#This Row],[CONTA]],BaseContasDRE[#All],7,FALSE)),"Fora do DRE",VLOOKUP(Base_Periodo1[[#This Row],[CONTA]],BaseContasDRE[#All],7,FALSE))</f>
        <v>Fora do DRE</v>
      </c>
      <c r="V5655" s="3" t="str">
        <f>IF(Base_Periodo1[[#This Row],[Tipo_Linha]]="Fora do DRE","Fora do DRE","( "&amp;Base_Periodo1[[#This Row],[Tipo_Linha]]&amp;" ) "&amp;Base_Periodo1[[#This Row],[Filtro]])</f>
        <v>Fora do DRE</v>
      </c>
      <c r="W5655" s="3" t="str">
        <f>LEFT(Base_Periodo1[[#This Row],[CLASS]],3)</f>
        <v>2.4</v>
      </c>
    </row>
    <row r="5656" spans="1:23" hidden="1">
      <c r="A5656" s="3" t="str">
        <f t="shared" si="88"/>
        <v>Período 1</v>
      </c>
      <c r="B5656">
        <v>26664</v>
      </c>
      <c r="C5656" t="s">
        <v>2300</v>
      </c>
      <c r="D5656" t="s">
        <v>3444</v>
      </c>
      <c r="E5656" s="3" t="str">
        <f>IF(LEN(Base_Periodo1[[#This Row],[CLASS]])&gt;=7,LEFT(Base_Periodo1[[#This Row],[CLASS]],7),"")</f>
        <v>2.4.1.1</v>
      </c>
      <c r="F5656" s="3" t="str">
        <f>VLOOKUP(Base_Periodo1[[#This Row],[Aux]],Base_Contas_Balanco[#All],2,FALSE)</f>
        <v>Capital Social Realizado</v>
      </c>
      <c r="G5656" s="1"/>
      <c r="H5656" s="281">
        <v>190.97</v>
      </c>
      <c r="I5656" s="281">
        <v>0</v>
      </c>
      <c r="J5656" s="281">
        <v>0</v>
      </c>
      <c r="K5656" s="281">
        <v>190.97</v>
      </c>
      <c r="L565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190.97</v>
      </c>
      <c r="M5656" s="281">
        <f>ROUND(IF(AND(Base_Periodo1[[#This Row],[Tipo_Linha]]="-",Base_Periodo1[[#This Row],[TIPOSALDO]]="D"),Base_Periodo1[[#This Row],[SALDO_ATUAL]]*-1,Base_Periodo1[[#This Row],[SALDO_ATUAL]]),4)</f>
        <v>190.97</v>
      </c>
      <c r="N5656" t="s">
        <v>116</v>
      </c>
      <c r="O5656" t="s">
        <v>459</v>
      </c>
      <c r="P5656" t="s">
        <v>459</v>
      </c>
      <c r="Q5656">
        <v>6</v>
      </c>
      <c r="R5656" s="281">
        <f>Base_Periodo1[[#This Row],[CREDITOS]]-Base_Periodo1[[#This Row],[DEBITOS]]</f>
        <v>0</v>
      </c>
      <c r="S5656" s="3" t="str">
        <f>IF(ISERROR(VLOOKUP(Base_Periodo1[[#This Row],[CONTA]],BaseContasDRE[#All],4,FALSE)),"Fora do DRE",VLOOKUP(Base_Periodo1[[#This Row],[CONTA]],BaseContasDRE[#All],4,FALSE))</f>
        <v>Fora do DRE</v>
      </c>
      <c r="T5656" s="3" t="str">
        <f>IF(ISERROR(VLOOKUP(Base_Periodo1[[#This Row],[CONTA]],BaseContasDRE[#All],5,FALSE)),"Fora do DRE",VLOOKUP(Base_Periodo1[[#This Row],[CONTA]],BaseContasDRE[#All],6,FALSE))</f>
        <v>Fora do DRE</v>
      </c>
      <c r="U5656" s="3" t="str">
        <f>IF(ISERROR(VLOOKUP(Base_Periodo1[[#This Row],[CONTA]],BaseContasDRE[#All],7,FALSE)),"Fora do DRE",VLOOKUP(Base_Periodo1[[#This Row],[CONTA]],BaseContasDRE[#All],7,FALSE))</f>
        <v>Fora do DRE</v>
      </c>
      <c r="V5656" s="3" t="str">
        <f>IF(Base_Periodo1[[#This Row],[Tipo_Linha]]="Fora do DRE","Fora do DRE","( "&amp;Base_Periodo1[[#This Row],[Tipo_Linha]]&amp;" ) "&amp;Base_Periodo1[[#This Row],[Filtro]])</f>
        <v>Fora do DRE</v>
      </c>
      <c r="W5656" s="3" t="str">
        <f>LEFT(Base_Periodo1[[#This Row],[CLASS]],3)</f>
        <v>2.4</v>
      </c>
    </row>
    <row r="5657" spans="1:23" hidden="1">
      <c r="A5657" s="3" t="str">
        <f t="shared" si="88"/>
        <v>Período 1</v>
      </c>
      <c r="B5657">
        <v>39825</v>
      </c>
      <c r="C5657" t="s">
        <v>2300</v>
      </c>
      <c r="D5657" t="s">
        <v>3445</v>
      </c>
      <c r="E5657" s="3" t="str">
        <f>IF(LEN(Base_Periodo1[[#This Row],[CLASS]])&gt;=7,LEFT(Base_Periodo1[[#This Row],[CLASS]],7),"")</f>
        <v>2.4.1.1</v>
      </c>
      <c r="F5657" s="3" t="str">
        <f>VLOOKUP(Base_Periodo1[[#This Row],[Aux]],Base_Contas_Balanco[#All],2,FALSE)</f>
        <v>Capital Social Realizado</v>
      </c>
      <c r="G5657" s="1"/>
      <c r="H5657" s="281">
        <v>96.84</v>
      </c>
      <c r="I5657" s="281">
        <v>0</v>
      </c>
      <c r="J5657" s="281">
        <v>0</v>
      </c>
      <c r="K5657" s="281">
        <v>96.84</v>
      </c>
      <c r="L565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96.84</v>
      </c>
      <c r="M5657" s="281">
        <f>ROUND(IF(AND(Base_Periodo1[[#This Row],[Tipo_Linha]]="-",Base_Periodo1[[#This Row],[TIPOSALDO]]="D"),Base_Periodo1[[#This Row],[SALDO_ATUAL]]*-1,Base_Periodo1[[#This Row],[SALDO_ATUAL]]),4)</f>
        <v>96.84</v>
      </c>
      <c r="N5657" t="s">
        <v>116</v>
      </c>
      <c r="O5657" t="s">
        <v>459</v>
      </c>
      <c r="P5657" t="s">
        <v>459</v>
      </c>
      <c r="Q5657">
        <v>6</v>
      </c>
      <c r="R5657" s="281">
        <f>Base_Periodo1[[#This Row],[CREDITOS]]-Base_Periodo1[[#This Row],[DEBITOS]]</f>
        <v>0</v>
      </c>
      <c r="S5657" s="3" t="str">
        <f>IF(ISERROR(VLOOKUP(Base_Periodo1[[#This Row],[CONTA]],BaseContasDRE[#All],4,FALSE)),"Fora do DRE",VLOOKUP(Base_Periodo1[[#This Row],[CONTA]],BaseContasDRE[#All],4,FALSE))</f>
        <v>Fora do DRE</v>
      </c>
      <c r="T5657" s="3" t="str">
        <f>IF(ISERROR(VLOOKUP(Base_Periodo1[[#This Row],[CONTA]],BaseContasDRE[#All],5,FALSE)),"Fora do DRE",VLOOKUP(Base_Periodo1[[#This Row],[CONTA]],BaseContasDRE[#All],6,FALSE))</f>
        <v>Fora do DRE</v>
      </c>
      <c r="U5657" s="3" t="str">
        <f>IF(ISERROR(VLOOKUP(Base_Periodo1[[#This Row],[CONTA]],BaseContasDRE[#All],7,FALSE)),"Fora do DRE",VLOOKUP(Base_Periodo1[[#This Row],[CONTA]],BaseContasDRE[#All],7,FALSE))</f>
        <v>Fora do DRE</v>
      </c>
      <c r="V5657" s="3" t="str">
        <f>IF(Base_Periodo1[[#This Row],[Tipo_Linha]]="Fora do DRE","Fora do DRE","( "&amp;Base_Periodo1[[#This Row],[Tipo_Linha]]&amp;" ) "&amp;Base_Periodo1[[#This Row],[Filtro]])</f>
        <v>Fora do DRE</v>
      </c>
      <c r="W5657" s="3" t="str">
        <f>LEFT(Base_Periodo1[[#This Row],[CLASS]],3)</f>
        <v>2.4</v>
      </c>
    </row>
    <row r="5658" spans="1:23" hidden="1">
      <c r="A5658" s="3" t="str">
        <f t="shared" si="88"/>
        <v>Período 1</v>
      </c>
      <c r="B5658">
        <v>25250</v>
      </c>
      <c r="C5658" t="s">
        <v>2300</v>
      </c>
      <c r="D5658" t="s">
        <v>3446</v>
      </c>
      <c r="E5658" s="3" t="str">
        <f>IF(LEN(Base_Periodo1[[#This Row],[CLASS]])&gt;=7,LEFT(Base_Periodo1[[#This Row],[CLASS]],7),"")</f>
        <v>2.4.1.1</v>
      </c>
      <c r="F5658" s="3" t="str">
        <f>VLOOKUP(Base_Periodo1[[#This Row],[Aux]],Base_Contas_Balanco[#All],2,FALSE)</f>
        <v>Capital Social Realizado</v>
      </c>
      <c r="G5658" s="1"/>
      <c r="H5658" s="281">
        <v>567.82000000000005</v>
      </c>
      <c r="I5658" s="281">
        <v>0</v>
      </c>
      <c r="J5658" s="281">
        <v>0</v>
      </c>
      <c r="K5658" s="281">
        <v>567.82000000000005</v>
      </c>
      <c r="L565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567.82000000000005</v>
      </c>
      <c r="M5658" s="281">
        <f>ROUND(IF(AND(Base_Periodo1[[#This Row],[Tipo_Linha]]="-",Base_Periodo1[[#This Row],[TIPOSALDO]]="D"),Base_Periodo1[[#This Row],[SALDO_ATUAL]]*-1,Base_Periodo1[[#This Row],[SALDO_ATUAL]]),4)</f>
        <v>567.82000000000005</v>
      </c>
      <c r="N5658" t="s">
        <v>116</v>
      </c>
      <c r="O5658" t="s">
        <v>459</v>
      </c>
      <c r="P5658" t="s">
        <v>459</v>
      </c>
      <c r="Q5658">
        <v>6</v>
      </c>
      <c r="R5658" s="281">
        <f>Base_Periodo1[[#This Row],[CREDITOS]]-Base_Periodo1[[#This Row],[DEBITOS]]</f>
        <v>0</v>
      </c>
      <c r="S5658" s="3" t="str">
        <f>IF(ISERROR(VLOOKUP(Base_Periodo1[[#This Row],[CONTA]],BaseContasDRE[#All],4,FALSE)),"Fora do DRE",VLOOKUP(Base_Periodo1[[#This Row],[CONTA]],BaseContasDRE[#All],4,FALSE))</f>
        <v>Fora do DRE</v>
      </c>
      <c r="T5658" s="3" t="str">
        <f>IF(ISERROR(VLOOKUP(Base_Periodo1[[#This Row],[CONTA]],BaseContasDRE[#All],5,FALSE)),"Fora do DRE",VLOOKUP(Base_Periodo1[[#This Row],[CONTA]],BaseContasDRE[#All],6,FALSE))</f>
        <v>Fora do DRE</v>
      </c>
      <c r="U5658" s="3" t="str">
        <f>IF(ISERROR(VLOOKUP(Base_Periodo1[[#This Row],[CONTA]],BaseContasDRE[#All],7,FALSE)),"Fora do DRE",VLOOKUP(Base_Periodo1[[#This Row],[CONTA]],BaseContasDRE[#All],7,FALSE))</f>
        <v>Fora do DRE</v>
      </c>
      <c r="V5658" s="3" t="str">
        <f>IF(Base_Periodo1[[#This Row],[Tipo_Linha]]="Fora do DRE","Fora do DRE","( "&amp;Base_Periodo1[[#This Row],[Tipo_Linha]]&amp;" ) "&amp;Base_Periodo1[[#This Row],[Filtro]])</f>
        <v>Fora do DRE</v>
      </c>
      <c r="W5658" s="3" t="str">
        <f>LEFT(Base_Periodo1[[#This Row],[CLASS]],3)</f>
        <v>2.4</v>
      </c>
    </row>
    <row r="5659" spans="1:23" hidden="1">
      <c r="A5659" s="3" t="str">
        <f t="shared" si="88"/>
        <v>Período 1</v>
      </c>
      <c r="B5659">
        <v>39696</v>
      </c>
      <c r="C5659" t="s">
        <v>2300</v>
      </c>
      <c r="D5659" t="s">
        <v>3447</v>
      </c>
      <c r="E5659" s="3" t="str">
        <f>IF(LEN(Base_Periodo1[[#This Row],[CLASS]])&gt;=7,LEFT(Base_Periodo1[[#This Row],[CLASS]],7),"")</f>
        <v>2.4.1.1</v>
      </c>
      <c r="F5659" s="3" t="str">
        <f>VLOOKUP(Base_Periodo1[[#This Row],[Aux]],Base_Contas_Balanco[#All],2,FALSE)</f>
        <v>Capital Social Realizado</v>
      </c>
      <c r="G5659" s="1"/>
      <c r="H5659" s="281">
        <v>85.95</v>
      </c>
      <c r="I5659" s="281">
        <v>0</v>
      </c>
      <c r="J5659" s="281">
        <v>0</v>
      </c>
      <c r="K5659" s="281">
        <v>85.95</v>
      </c>
      <c r="L565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85.95</v>
      </c>
      <c r="M5659" s="281">
        <f>ROUND(IF(AND(Base_Periodo1[[#This Row],[Tipo_Linha]]="-",Base_Periodo1[[#This Row],[TIPOSALDO]]="D"),Base_Periodo1[[#This Row],[SALDO_ATUAL]]*-1,Base_Periodo1[[#This Row],[SALDO_ATUAL]]),4)</f>
        <v>85.95</v>
      </c>
      <c r="N5659" t="s">
        <v>116</v>
      </c>
      <c r="O5659" t="s">
        <v>459</v>
      </c>
      <c r="P5659" t="s">
        <v>459</v>
      </c>
      <c r="Q5659">
        <v>6</v>
      </c>
      <c r="R5659" s="281">
        <f>Base_Periodo1[[#This Row],[CREDITOS]]-Base_Periodo1[[#This Row],[DEBITOS]]</f>
        <v>0</v>
      </c>
      <c r="S5659" s="3" t="str">
        <f>IF(ISERROR(VLOOKUP(Base_Periodo1[[#This Row],[CONTA]],BaseContasDRE[#All],4,FALSE)),"Fora do DRE",VLOOKUP(Base_Periodo1[[#This Row],[CONTA]],BaseContasDRE[#All],4,FALSE))</f>
        <v>Fora do DRE</v>
      </c>
      <c r="T5659" s="3" t="str">
        <f>IF(ISERROR(VLOOKUP(Base_Periodo1[[#This Row],[CONTA]],BaseContasDRE[#All],5,FALSE)),"Fora do DRE",VLOOKUP(Base_Periodo1[[#This Row],[CONTA]],BaseContasDRE[#All],6,FALSE))</f>
        <v>Fora do DRE</v>
      </c>
      <c r="U5659" s="3" t="str">
        <f>IF(ISERROR(VLOOKUP(Base_Periodo1[[#This Row],[CONTA]],BaseContasDRE[#All],7,FALSE)),"Fora do DRE",VLOOKUP(Base_Periodo1[[#This Row],[CONTA]],BaseContasDRE[#All],7,FALSE))</f>
        <v>Fora do DRE</v>
      </c>
      <c r="V5659" s="3" t="str">
        <f>IF(Base_Periodo1[[#This Row],[Tipo_Linha]]="Fora do DRE","Fora do DRE","( "&amp;Base_Periodo1[[#This Row],[Tipo_Linha]]&amp;" ) "&amp;Base_Periodo1[[#This Row],[Filtro]])</f>
        <v>Fora do DRE</v>
      </c>
      <c r="W5659" s="3" t="str">
        <f>LEFT(Base_Periodo1[[#This Row],[CLASS]],3)</f>
        <v>2.4</v>
      </c>
    </row>
    <row r="5660" spans="1:23" hidden="1">
      <c r="A5660" s="3" t="str">
        <f t="shared" si="88"/>
        <v>Período 1</v>
      </c>
      <c r="B5660">
        <v>36199</v>
      </c>
      <c r="C5660" t="s">
        <v>2300</v>
      </c>
      <c r="D5660" t="s">
        <v>3448</v>
      </c>
      <c r="E5660" s="3" t="str">
        <f>IF(LEN(Base_Periodo1[[#This Row],[CLASS]])&gt;=7,LEFT(Base_Periodo1[[#This Row],[CLASS]],7),"")</f>
        <v>2.4.1.1</v>
      </c>
      <c r="F5660" s="3" t="str">
        <f>VLOOKUP(Base_Periodo1[[#This Row],[Aux]],Base_Contas_Balanco[#All],2,FALSE)</f>
        <v>Capital Social Realizado</v>
      </c>
      <c r="G5660" s="1"/>
      <c r="H5660" s="281">
        <v>238.4</v>
      </c>
      <c r="I5660" s="281">
        <v>0</v>
      </c>
      <c r="J5660" s="281">
        <v>0</v>
      </c>
      <c r="K5660" s="281">
        <v>238.4</v>
      </c>
      <c r="L566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238.4</v>
      </c>
      <c r="M5660" s="281">
        <f>ROUND(IF(AND(Base_Periodo1[[#This Row],[Tipo_Linha]]="-",Base_Periodo1[[#This Row],[TIPOSALDO]]="D"),Base_Periodo1[[#This Row],[SALDO_ATUAL]]*-1,Base_Periodo1[[#This Row],[SALDO_ATUAL]]),4)</f>
        <v>238.4</v>
      </c>
      <c r="N5660" t="s">
        <v>116</v>
      </c>
      <c r="O5660" t="s">
        <v>459</v>
      </c>
      <c r="P5660" t="s">
        <v>459</v>
      </c>
      <c r="Q5660">
        <v>6</v>
      </c>
      <c r="R5660" s="281">
        <f>Base_Periodo1[[#This Row],[CREDITOS]]-Base_Periodo1[[#This Row],[DEBITOS]]</f>
        <v>0</v>
      </c>
      <c r="S5660" s="3" t="str">
        <f>IF(ISERROR(VLOOKUP(Base_Periodo1[[#This Row],[CONTA]],BaseContasDRE[#All],4,FALSE)),"Fora do DRE",VLOOKUP(Base_Periodo1[[#This Row],[CONTA]],BaseContasDRE[#All],4,FALSE))</f>
        <v>Fora do DRE</v>
      </c>
      <c r="T5660" s="3" t="str">
        <f>IF(ISERROR(VLOOKUP(Base_Periodo1[[#This Row],[CONTA]],BaseContasDRE[#All],5,FALSE)),"Fora do DRE",VLOOKUP(Base_Periodo1[[#This Row],[CONTA]],BaseContasDRE[#All],6,FALSE))</f>
        <v>Fora do DRE</v>
      </c>
      <c r="U5660" s="3" t="str">
        <f>IF(ISERROR(VLOOKUP(Base_Periodo1[[#This Row],[CONTA]],BaseContasDRE[#All],7,FALSE)),"Fora do DRE",VLOOKUP(Base_Periodo1[[#This Row],[CONTA]],BaseContasDRE[#All],7,FALSE))</f>
        <v>Fora do DRE</v>
      </c>
      <c r="V5660" s="3" t="str">
        <f>IF(Base_Periodo1[[#This Row],[Tipo_Linha]]="Fora do DRE","Fora do DRE","( "&amp;Base_Periodo1[[#This Row],[Tipo_Linha]]&amp;" ) "&amp;Base_Periodo1[[#This Row],[Filtro]])</f>
        <v>Fora do DRE</v>
      </c>
      <c r="W5660" s="3" t="str">
        <f>LEFT(Base_Periodo1[[#This Row],[CLASS]],3)</f>
        <v>2.4</v>
      </c>
    </row>
    <row r="5661" spans="1:23" hidden="1">
      <c r="A5661" s="3" t="str">
        <f t="shared" si="88"/>
        <v>Período 1</v>
      </c>
      <c r="B5661">
        <v>21231</v>
      </c>
      <c r="C5661" t="s">
        <v>2300</v>
      </c>
      <c r="D5661" t="s">
        <v>3449</v>
      </c>
      <c r="E5661" s="3" t="str">
        <f>IF(LEN(Base_Periodo1[[#This Row],[CLASS]])&gt;=7,LEFT(Base_Periodo1[[#This Row],[CLASS]],7),"")</f>
        <v>2.4.1.1</v>
      </c>
      <c r="F5661" s="3" t="str">
        <f>VLOOKUP(Base_Periodo1[[#This Row],[Aux]],Base_Contas_Balanco[#All],2,FALSE)</f>
        <v>Capital Social Realizado</v>
      </c>
      <c r="G5661" s="1"/>
      <c r="H5661" s="281">
        <v>904.69</v>
      </c>
      <c r="I5661" s="281">
        <v>0</v>
      </c>
      <c r="J5661" s="281">
        <v>0</v>
      </c>
      <c r="K5661" s="281">
        <v>904.69</v>
      </c>
      <c r="L566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904.69</v>
      </c>
      <c r="M5661" s="281">
        <f>ROUND(IF(AND(Base_Periodo1[[#This Row],[Tipo_Linha]]="-",Base_Periodo1[[#This Row],[TIPOSALDO]]="D"),Base_Periodo1[[#This Row],[SALDO_ATUAL]]*-1,Base_Periodo1[[#This Row],[SALDO_ATUAL]]),4)</f>
        <v>904.69</v>
      </c>
      <c r="N5661" t="s">
        <v>116</v>
      </c>
      <c r="O5661" t="s">
        <v>459</v>
      </c>
      <c r="P5661" t="s">
        <v>459</v>
      </c>
      <c r="Q5661">
        <v>6</v>
      </c>
      <c r="R5661" s="281">
        <f>Base_Periodo1[[#This Row],[CREDITOS]]-Base_Periodo1[[#This Row],[DEBITOS]]</f>
        <v>0</v>
      </c>
      <c r="S5661" s="3" t="str">
        <f>IF(ISERROR(VLOOKUP(Base_Periodo1[[#This Row],[CONTA]],BaseContasDRE[#All],4,FALSE)),"Fora do DRE",VLOOKUP(Base_Periodo1[[#This Row],[CONTA]],BaseContasDRE[#All],4,FALSE))</f>
        <v>Fora do DRE</v>
      </c>
      <c r="T5661" s="3" t="str">
        <f>IF(ISERROR(VLOOKUP(Base_Periodo1[[#This Row],[CONTA]],BaseContasDRE[#All],5,FALSE)),"Fora do DRE",VLOOKUP(Base_Periodo1[[#This Row],[CONTA]],BaseContasDRE[#All],6,FALSE))</f>
        <v>Fora do DRE</v>
      </c>
      <c r="U5661" s="3" t="str">
        <f>IF(ISERROR(VLOOKUP(Base_Periodo1[[#This Row],[CONTA]],BaseContasDRE[#All],7,FALSE)),"Fora do DRE",VLOOKUP(Base_Periodo1[[#This Row],[CONTA]],BaseContasDRE[#All],7,FALSE))</f>
        <v>Fora do DRE</v>
      </c>
      <c r="V5661" s="3" t="str">
        <f>IF(Base_Periodo1[[#This Row],[Tipo_Linha]]="Fora do DRE","Fora do DRE","( "&amp;Base_Periodo1[[#This Row],[Tipo_Linha]]&amp;" ) "&amp;Base_Periodo1[[#This Row],[Filtro]])</f>
        <v>Fora do DRE</v>
      </c>
      <c r="W5661" s="3" t="str">
        <f>LEFT(Base_Periodo1[[#This Row],[CLASS]],3)</f>
        <v>2.4</v>
      </c>
    </row>
    <row r="5662" spans="1:23" hidden="1">
      <c r="A5662" s="3" t="str">
        <f t="shared" si="88"/>
        <v>Período 1</v>
      </c>
      <c r="B5662">
        <v>19788</v>
      </c>
      <c r="C5662" t="s">
        <v>2300</v>
      </c>
      <c r="D5662" t="s">
        <v>3450</v>
      </c>
      <c r="E5662" s="3" t="str">
        <f>IF(LEN(Base_Periodo1[[#This Row],[CLASS]])&gt;=7,LEFT(Base_Periodo1[[#This Row],[CLASS]],7),"")</f>
        <v>2.4.1.1</v>
      </c>
      <c r="F5662" s="3" t="str">
        <f>VLOOKUP(Base_Periodo1[[#This Row],[Aux]],Base_Contas_Balanco[#All],2,FALSE)</f>
        <v>Capital Social Realizado</v>
      </c>
      <c r="G5662" s="1"/>
      <c r="H5662" s="281">
        <v>50</v>
      </c>
      <c r="I5662" s="281">
        <v>0</v>
      </c>
      <c r="J5662" s="281">
        <v>0</v>
      </c>
      <c r="K5662" s="281">
        <v>50</v>
      </c>
      <c r="L566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62" s="281">
        <f>ROUND(IF(AND(Base_Periodo1[[#This Row],[Tipo_Linha]]="-",Base_Periodo1[[#This Row],[TIPOSALDO]]="D"),Base_Periodo1[[#This Row],[SALDO_ATUAL]]*-1,Base_Periodo1[[#This Row],[SALDO_ATUAL]]),4)</f>
        <v>50</v>
      </c>
      <c r="N5662" t="s">
        <v>116</v>
      </c>
      <c r="O5662" t="s">
        <v>459</v>
      </c>
      <c r="P5662" t="s">
        <v>459</v>
      </c>
      <c r="Q5662">
        <v>6</v>
      </c>
      <c r="R5662" s="281">
        <f>Base_Periodo1[[#This Row],[CREDITOS]]-Base_Periodo1[[#This Row],[DEBITOS]]</f>
        <v>0</v>
      </c>
      <c r="S5662" s="3" t="str">
        <f>IF(ISERROR(VLOOKUP(Base_Periodo1[[#This Row],[CONTA]],BaseContasDRE[#All],4,FALSE)),"Fora do DRE",VLOOKUP(Base_Periodo1[[#This Row],[CONTA]],BaseContasDRE[#All],4,FALSE))</f>
        <v>Fora do DRE</v>
      </c>
      <c r="T5662" s="3" t="str">
        <f>IF(ISERROR(VLOOKUP(Base_Periodo1[[#This Row],[CONTA]],BaseContasDRE[#All],5,FALSE)),"Fora do DRE",VLOOKUP(Base_Periodo1[[#This Row],[CONTA]],BaseContasDRE[#All],6,FALSE))</f>
        <v>Fora do DRE</v>
      </c>
      <c r="U5662" s="3" t="str">
        <f>IF(ISERROR(VLOOKUP(Base_Periodo1[[#This Row],[CONTA]],BaseContasDRE[#All],7,FALSE)),"Fora do DRE",VLOOKUP(Base_Periodo1[[#This Row],[CONTA]],BaseContasDRE[#All],7,FALSE))</f>
        <v>Fora do DRE</v>
      </c>
      <c r="V5662" s="3" t="str">
        <f>IF(Base_Periodo1[[#This Row],[Tipo_Linha]]="Fora do DRE","Fora do DRE","( "&amp;Base_Periodo1[[#This Row],[Tipo_Linha]]&amp;" ) "&amp;Base_Periodo1[[#This Row],[Filtro]])</f>
        <v>Fora do DRE</v>
      </c>
      <c r="W5662" s="3" t="str">
        <f>LEFT(Base_Periodo1[[#This Row],[CLASS]],3)</f>
        <v>2.4</v>
      </c>
    </row>
    <row r="5663" spans="1:23" hidden="1">
      <c r="A5663" s="3" t="str">
        <f t="shared" si="88"/>
        <v>Período 1</v>
      </c>
      <c r="B5663">
        <v>49982</v>
      </c>
      <c r="C5663" t="s">
        <v>2300</v>
      </c>
      <c r="D5663" t="s">
        <v>4381</v>
      </c>
      <c r="E5663" s="3" t="str">
        <f>IF(LEN(Base_Periodo1[[#This Row],[CLASS]])&gt;=7,LEFT(Base_Periodo1[[#This Row],[CLASS]],7),"")</f>
        <v>2.4.1.1</v>
      </c>
      <c r="F5663" s="3" t="str">
        <f>VLOOKUP(Base_Periodo1[[#This Row],[Aux]],Base_Contas_Balanco[#All],2,FALSE)</f>
        <v>Capital Social Realizado</v>
      </c>
      <c r="G5663" s="1"/>
      <c r="H5663" s="281">
        <v>50</v>
      </c>
      <c r="I5663" s="281">
        <v>0</v>
      </c>
      <c r="J5663" s="281">
        <v>0</v>
      </c>
      <c r="K5663" s="281">
        <v>50</v>
      </c>
      <c r="L566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63" s="281">
        <f>ROUND(IF(AND(Base_Periodo1[[#This Row],[Tipo_Linha]]="-",Base_Periodo1[[#This Row],[TIPOSALDO]]="D"),Base_Periodo1[[#This Row],[SALDO_ATUAL]]*-1,Base_Periodo1[[#This Row],[SALDO_ATUAL]]),4)</f>
        <v>50</v>
      </c>
      <c r="N5663" t="s">
        <v>116</v>
      </c>
      <c r="O5663" t="s">
        <v>459</v>
      </c>
      <c r="P5663" t="s">
        <v>459</v>
      </c>
      <c r="Q5663">
        <v>6</v>
      </c>
      <c r="R5663" s="281">
        <f>Base_Periodo1[[#This Row],[CREDITOS]]-Base_Periodo1[[#This Row],[DEBITOS]]</f>
        <v>0</v>
      </c>
      <c r="S5663" s="3" t="str">
        <f>IF(ISERROR(VLOOKUP(Base_Periodo1[[#This Row],[CONTA]],BaseContasDRE[#All],4,FALSE)),"Fora do DRE",VLOOKUP(Base_Periodo1[[#This Row],[CONTA]],BaseContasDRE[#All],4,FALSE))</f>
        <v>Fora do DRE</v>
      </c>
      <c r="T5663" s="3" t="str">
        <f>IF(ISERROR(VLOOKUP(Base_Periodo1[[#This Row],[CONTA]],BaseContasDRE[#All],5,FALSE)),"Fora do DRE",VLOOKUP(Base_Periodo1[[#This Row],[CONTA]],BaseContasDRE[#All],6,FALSE))</f>
        <v>Fora do DRE</v>
      </c>
      <c r="U5663" s="3" t="str">
        <f>IF(ISERROR(VLOOKUP(Base_Periodo1[[#This Row],[CONTA]],BaseContasDRE[#All],7,FALSE)),"Fora do DRE",VLOOKUP(Base_Periodo1[[#This Row],[CONTA]],BaseContasDRE[#All],7,FALSE))</f>
        <v>Fora do DRE</v>
      </c>
      <c r="V5663" s="3" t="str">
        <f>IF(Base_Periodo1[[#This Row],[Tipo_Linha]]="Fora do DRE","Fora do DRE","( "&amp;Base_Periodo1[[#This Row],[Tipo_Linha]]&amp;" ) "&amp;Base_Periodo1[[#This Row],[Filtro]])</f>
        <v>Fora do DRE</v>
      </c>
      <c r="W5663" s="3" t="str">
        <f>LEFT(Base_Periodo1[[#This Row],[CLASS]],3)</f>
        <v>2.4</v>
      </c>
    </row>
    <row r="5664" spans="1:23" hidden="1">
      <c r="A5664" s="3" t="str">
        <f t="shared" si="88"/>
        <v>Período 1</v>
      </c>
      <c r="B5664">
        <v>15947</v>
      </c>
      <c r="C5664" t="s">
        <v>2300</v>
      </c>
      <c r="D5664" t="s">
        <v>3451</v>
      </c>
      <c r="E5664" s="3" t="str">
        <f>IF(LEN(Base_Periodo1[[#This Row],[CLASS]])&gt;=7,LEFT(Base_Periodo1[[#This Row],[CLASS]],7),"")</f>
        <v>2.4.1.1</v>
      </c>
      <c r="F5664" s="3" t="str">
        <f>VLOOKUP(Base_Periodo1[[#This Row],[Aux]],Base_Contas_Balanco[#All],2,FALSE)</f>
        <v>Capital Social Realizado</v>
      </c>
      <c r="G5664" s="1"/>
      <c r="H5664" s="281">
        <v>12824.45</v>
      </c>
      <c r="I5664" s="281">
        <v>0</v>
      </c>
      <c r="J5664" s="281">
        <v>0</v>
      </c>
      <c r="K5664" s="281">
        <v>12824.45</v>
      </c>
      <c r="L566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12824.45</v>
      </c>
      <c r="M5664" s="281">
        <f>ROUND(IF(AND(Base_Periodo1[[#This Row],[Tipo_Linha]]="-",Base_Periodo1[[#This Row],[TIPOSALDO]]="D"),Base_Periodo1[[#This Row],[SALDO_ATUAL]]*-1,Base_Periodo1[[#This Row],[SALDO_ATUAL]]),4)</f>
        <v>12824.45</v>
      </c>
      <c r="N5664" t="s">
        <v>116</v>
      </c>
      <c r="O5664" t="s">
        <v>459</v>
      </c>
      <c r="P5664" t="s">
        <v>459</v>
      </c>
      <c r="Q5664">
        <v>6</v>
      </c>
      <c r="R5664" s="281">
        <f>Base_Periodo1[[#This Row],[CREDITOS]]-Base_Periodo1[[#This Row],[DEBITOS]]</f>
        <v>0</v>
      </c>
      <c r="S5664" s="3" t="str">
        <f>IF(ISERROR(VLOOKUP(Base_Periodo1[[#This Row],[CONTA]],BaseContasDRE[#All],4,FALSE)),"Fora do DRE",VLOOKUP(Base_Periodo1[[#This Row],[CONTA]],BaseContasDRE[#All],4,FALSE))</f>
        <v>Fora do DRE</v>
      </c>
      <c r="T5664" s="3" t="str">
        <f>IF(ISERROR(VLOOKUP(Base_Periodo1[[#This Row],[CONTA]],BaseContasDRE[#All],5,FALSE)),"Fora do DRE",VLOOKUP(Base_Periodo1[[#This Row],[CONTA]],BaseContasDRE[#All],6,FALSE))</f>
        <v>Fora do DRE</v>
      </c>
      <c r="U5664" s="3" t="str">
        <f>IF(ISERROR(VLOOKUP(Base_Periodo1[[#This Row],[CONTA]],BaseContasDRE[#All],7,FALSE)),"Fora do DRE",VLOOKUP(Base_Periodo1[[#This Row],[CONTA]],BaseContasDRE[#All],7,FALSE))</f>
        <v>Fora do DRE</v>
      </c>
      <c r="V5664" s="3" t="str">
        <f>IF(Base_Periodo1[[#This Row],[Tipo_Linha]]="Fora do DRE","Fora do DRE","( "&amp;Base_Periodo1[[#This Row],[Tipo_Linha]]&amp;" ) "&amp;Base_Periodo1[[#This Row],[Filtro]])</f>
        <v>Fora do DRE</v>
      </c>
      <c r="W5664" s="3" t="str">
        <f>LEFT(Base_Periodo1[[#This Row],[CLASS]],3)</f>
        <v>2.4</v>
      </c>
    </row>
    <row r="5665" spans="1:23" hidden="1">
      <c r="A5665" s="3" t="str">
        <f t="shared" si="88"/>
        <v>Período 1</v>
      </c>
      <c r="B5665">
        <v>57835</v>
      </c>
      <c r="C5665" t="s">
        <v>2300</v>
      </c>
      <c r="D5665" t="s">
        <v>6576</v>
      </c>
      <c r="E5665" s="3" t="str">
        <f>IF(LEN(Base_Periodo1[[#This Row],[CLASS]])&gt;=7,LEFT(Base_Periodo1[[#This Row],[CLASS]],7),"")</f>
        <v>2.4.1.1</v>
      </c>
      <c r="F5665" s="3" t="str">
        <f>VLOOKUP(Base_Periodo1[[#This Row],[Aux]],Base_Contas_Balanco[#All],2,FALSE)</f>
        <v>Capital Social Realizado</v>
      </c>
      <c r="G5665" s="1"/>
      <c r="H5665" s="281">
        <v>50</v>
      </c>
      <c r="I5665" s="281">
        <v>0</v>
      </c>
      <c r="J5665" s="281">
        <v>0</v>
      </c>
      <c r="K5665" s="281">
        <v>50</v>
      </c>
      <c r="L566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65" s="281">
        <f>ROUND(IF(AND(Base_Periodo1[[#This Row],[Tipo_Linha]]="-",Base_Periodo1[[#This Row],[TIPOSALDO]]="D"),Base_Periodo1[[#This Row],[SALDO_ATUAL]]*-1,Base_Periodo1[[#This Row],[SALDO_ATUAL]]),4)</f>
        <v>50</v>
      </c>
      <c r="N5665" t="s">
        <v>116</v>
      </c>
      <c r="O5665" t="s">
        <v>459</v>
      </c>
      <c r="P5665" t="s">
        <v>459</v>
      </c>
      <c r="Q5665">
        <v>6</v>
      </c>
      <c r="R5665" s="281">
        <f>Base_Periodo1[[#This Row],[CREDITOS]]-Base_Periodo1[[#This Row],[DEBITOS]]</f>
        <v>0</v>
      </c>
      <c r="S5665" s="3" t="str">
        <f>IF(ISERROR(VLOOKUP(Base_Periodo1[[#This Row],[CONTA]],BaseContasDRE[#All],4,FALSE)),"Fora do DRE",VLOOKUP(Base_Periodo1[[#This Row],[CONTA]],BaseContasDRE[#All],4,FALSE))</f>
        <v>Fora do DRE</v>
      </c>
      <c r="T5665" s="3" t="str">
        <f>IF(ISERROR(VLOOKUP(Base_Periodo1[[#This Row],[CONTA]],BaseContasDRE[#All],5,FALSE)),"Fora do DRE",VLOOKUP(Base_Periodo1[[#This Row],[CONTA]],BaseContasDRE[#All],6,FALSE))</f>
        <v>Fora do DRE</v>
      </c>
      <c r="U5665" s="3" t="str">
        <f>IF(ISERROR(VLOOKUP(Base_Periodo1[[#This Row],[CONTA]],BaseContasDRE[#All],7,FALSE)),"Fora do DRE",VLOOKUP(Base_Periodo1[[#This Row],[CONTA]],BaseContasDRE[#All],7,FALSE))</f>
        <v>Fora do DRE</v>
      </c>
      <c r="V5665" s="3" t="str">
        <f>IF(Base_Periodo1[[#This Row],[Tipo_Linha]]="Fora do DRE","Fora do DRE","( "&amp;Base_Periodo1[[#This Row],[Tipo_Linha]]&amp;" ) "&amp;Base_Periodo1[[#This Row],[Filtro]])</f>
        <v>Fora do DRE</v>
      </c>
      <c r="W5665" s="3" t="str">
        <f>LEFT(Base_Periodo1[[#This Row],[CLASS]],3)</f>
        <v>2.4</v>
      </c>
    </row>
    <row r="5666" spans="1:23" hidden="1">
      <c r="A5666" s="3" t="str">
        <f t="shared" si="88"/>
        <v>Período 1</v>
      </c>
      <c r="B5666">
        <v>16336</v>
      </c>
      <c r="C5666" t="s">
        <v>2300</v>
      </c>
      <c r="D5666" t="s">
        <v>3452</v>
      </c>
      <c r="E5666" s="3" t="str">
        <f>IF(LEN(Base_Periodo1[[#This Row],[CLASS]])&gt;=7,LEFT(Base_Periodo1[[#This Row],[CLASS]],7),"")</f>
        <v>2.4.1.1</v>
      </c>
      <c r="F5666" s="3" t="str">
        <f>VLOOKUP(Base_Periodo1[[#This Row],[Aux]],Base_Contas_Balanco[#All],2,FALSE)</f>
        <v>Capital Social Realizado</v>
      </c>
      <c r="G5666" s="1"/>
      <c r="H5666" s="281">
        <v>27009.45</v>
      </c>
      <c r="I5666" s="281">
        <v>0</v>
      </c>
      <c r="J5666" s="281">
        <v>0</v>
      </c>
      <c r="K5666" s="281">
        <v>27009.45</v>
      </c>
      <c r="L566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27009.45</v>
      </c>
      <c r="M5666" s="281">
        <f>ROUND(IF(AND(Base_Periodo1[[#This Row],[Tipo_Linha]]="-",Base_Periodo1[[#This Row],[TIPOSALDO]]="D"),Base_Periodo1[[#This Row],[SALDO_ATUAL]]*-1,Base_Periodo1[[#This Row],[SALDO_ATUAL]]),4)</f>
        <v>27009.45</v>
      </c>
      <c r="N5666" t="s">
        <v>116</v>
      </c>
      <c r="O5666" t="s">
        <v>459</v>
      </c>
      <c r="P5666" t="s">
        <v>459</v>
      </c>
      <c r="Q5666">
        <v>6</v>
      </c>
      <c r="R5666" s="281">
        <f>Base_Periodo1[[#This Row],[CREDITOS]]-Base_Periodo1[[#This Row],[DEBITOS]]</f>
        <v>0</v>
      </c>
      <c r="S5666" s="3" t="str">
        <f>IF(ISERROR(VLOOKUP(Base_Periodo1[[#This Row],[CONTA]],BaseContasDRE[#All],4,FALSE)),"Fora do DRE",VLOOKUP(Base_Periodo1[[#This Row],[CONTA]],BaseContasDRE[#All],4,FALSE))</f>
        <v>Fora do DRE</v>
      </c>
      <c r="T5666" s="3" t="str">
        <f>IF(ISERROR(VLOOKUP(Base_Periodo1[[#This Row],[CONTA]],BaseContasDRE[#All],5,FALSE)),"Fora do DRE",VLOOKUP(Base_Periodo1[[#This Row],[CONTA]],BaseContasDRE[#All],6,FALSE))</f>
        <v>Fora do DRE</v>
      </c>
      <c r="U5666" s="3" t="str">
        <f>IF(ISERROR(VLOOKUP(Base_Periodo1[[#This Row],[CONTA]],BaseContasDRE[#All],7,FALSE)),"Fora do DRE",VLOOKUP(Base_Periodo1[[#This Row],[CONTA]],BaseContasDRE[#All],7,FALSE))</f>
        <v>Fora do DRE</v>
      </c>
      <c r="V5666" s="3" t="str">
        <f>IF(Base_Periodo1[[#This Row],[Tipo_Linha]]="Fora do DRE","Fora do DRE","( "&amp;Base_Periodo1[[#This Row],[Tipo_Linha]]&amp;" ) "&amp;Base_Periodo1[[#This Row],[Filtro]])</f>
        <v>Fora do DRE</v>
      </c>
      <c r="W5666" s="3" t="str">
        <f>LEFT(Base_Periodo1[[#This Row],[CLASS]],3)</f>
        <v>2.4</v>
      </c>
    </row>
    <row r="5667" spans="1:23" hidden="1">
      <c r="A5667" s="3" t="str">
        <f t="shared" si="88"/>
        <v>Período 1</v>
      </c>
      <c r="B5667">
        <v>16008</v>
      </c>
      <c r="C5667" t="s">
        <v>2300</v>
      </c>
      <c r="D5667" t="s">
        <v>3453</v>
      </c>
      <c r="E5667" s="3" t="str">
        <f>IF(LEN(Base_Periodo1[[#This Row],[CLASS]])&gt;=7,LEFT(Base_Periodo1[[#This Row],[CLASS]],7),"")</f>
        <v>2.4.1.1</v>
      </c>
      <c r="F5667" s="3" t="str">
        <f>VLOOKUP(Base_Periodo1[[#This Row],[Aux]],Base_Contas_Balanco[#All],2,FALSE)</f>
        <v>Capital Social Realizado</v>
      </c>
      <c r="G5667" s="1"/>
      <c r="H5667" s="281">
        <v>6965.2</v>
      </c>
      <c r="I5667" s="281">
        <v>0</v>
      </c>
      <c r="J5667" s="281">
        <v>0</v>
      </c>
      <c r="K5667" s="281">
        <v>6965.2</v>
      </c>
      <c r="L566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6965.2</v>
      </c>
      <c r="M5667" s="281">
        <f>ROUND(IF(AND(Base_Periodo1[[#This Row],[Tipo_Linha]]="-",Base_Periodo1[[#This Row],[TIPOSALDO]]="D"),Base_Periodo1[[#This Row],[SALDO_ATUAL]]*-1,Base_Periodo1[[#This Row],[SALDO_ATUAL]]),4)</f>
        <v>6965.2</v>
      </c>
      <c r="N5667" t="s">
        <v>116</v>
      </c>
      <c r="O5667" t="s">
        <v>459</v>
      </c>
      <c r="P5667" t="s">
        <v>459</v>
      </c>
      <c r="Q5667">
        <v>6</v>
      </c>
      <c r="R5667" s="281">
        <f>Base_Periodo1[[#This Row],[CREDITOS]]-Base_Periodo1[[#This Row],[DEBITOS]]</f>
        <v>0</v>
      </c>
      <c r="S5667" s="3" t="str">
        <f>IF(ISERROR(VLOOKUP(Base_Periodo1[[#This Row],[CONTA]],BaseContasDRE[#All],4,FALSE)),"Fora do DRE",VLOOKUP(Base_Periodo1[[#This Row],[CONTA]],BaseContasDRE[#All],4,FALSE))</f>
        <v>Fora do DRE</v>
      </c>
      <c r="T5667" s="3" t="str">
        <f>IF(ISERROR(VLOOKUP(Base_Periodo1[[#This Row],[CONTA]],BaseContasDRE[#All],5,FALSE)),"Fora do DRE",VLOOKUP(Base_Periodo1[[#This Row],[CONTA]],BaseContasDRE[#All],6,FALSE))</f>
        <v>Fora do DRE</v>
      </c>
      <c r="U5667" s="3" t="str">
        <f>IF(ISERROR(VLOOKUP(Base_Periodo1[[#This Row],[CONTA]],BaseContasDRE[#All],7,FALSE)),"Fora do DRE",VLOOKUP(Base_Periodo1[[#This Row],[CONTA]],BaseContasDRE[#All],7,FALSE))</f>
        <v>Fora do DRE</v>
      </c>
      <c r="V5667" s="3" t="str">
        <f>IF(Base_Periodo1[[#This Row],[Tipo_Linha]]="Fora do DRE","Fora do DRE","( "&amp;Base_Periodo1[[#This Row],[Tipo_Linha]]&amp;" ) "&amp;Base_Periodo1[[#This Row],[Filtro]])</f>
        <v>Fora do DRE</v>
      </c>
      <c r="W5667" s="3" t="str">
        <f>LEFT(Base_Periodo1[[#This Row],[CLASS]],3)</f>
        <v>2.4</v>
      </c>
    </row>
    <row r="5668" spans="1:23" hidden="1">
      <c r="A5668" s="3" t="str">
        <f t="shared" si="88"/>
        <v>Período 1</v>
      </c>
      <c r="B5668">
        <v>16255</v>
      </c>
      <c r="C5668" t="s">
        <v>2300</v>
      </c>
      <c r="D5668" t="s">
        <v>3454</v>
      </c>
      <c r="E5668" s="3" t="str">
        <f>IF(LEN(Base_Periodo1[[#This Row],[CLASS]])&gt;=7,LEFT(Base_Periodo1[[#This Row],[CLASS]],7),"")</f>
        <v>2.4.1.1</v>
      </c>
      <c r="F5668" s="3" t="str">
        <f>VLOOKUP(Base_Periodo1[[#This Row],[Aux]],Base_Contas_Balanco[#All],2,FALSE)</f>
        <v>Capital Social Realizado</v>
      </c>
      <c r="G5668" s="1"/>
      <c r="H5668" s="281">
        <v>1190.8400000000001</v>
      </c>
      <c r="I5668" s="281">
        <v>0</v>
      </c>
      <c r="J5668" s="281">
        <v>0</v>
      </c>
      <c r="K5668" s="281">
        <v>1190.8400000000001</v>
      </c>
      <c r="L566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1190.8399999999999</v>
      </c>
      <c r="M5668" s="281">
        <f>ROUND(IF(AND(Base_Periodo1[[#This Row],[Tipo_Linha]]="-",Base_Periodo1[[#This Row],[TIPOSALDO]]="D"),Base_Periodo1[[#This Row],[SALDO_ATUAL]]*-1,Base_Periodo1[[#This Row],[SALDO_ATUAL]]),4)</f>
        <v>1190.8399999999999</v>
      </c>
      <c r="N5668" t="s">
        <v>116</v>
      </c>
      <c r="O5668" t="s">
        <v>459</v>
      </c>
      <c r="P5668" t="s">
        <v>459</v>
      </c>
      <c r="Q5668">
        <v>6</v>
      </c>
      <c r="R5668" s="281">
        <f>Base_Periodo1[[#This Row],[CREDITOS]]-Base_Periodo1[[#This Row],[DEBITOS]]</f>
        <v>0</v>
      </c>
      <c r="S5668" s="3" t="str">
        <f>IF(ISERROR(VLOOKUP(Base_Periodo1[[#This Row],[CONTA]],BaseContasDRE[#All],4,FALSE)),"Fora do DRE",VLOOKUP(Base_Periodo1[[#This Row],[CONTA]],BaseContasDRE[#All],4,FALSE))</f>
        <v>Fora do DRE</v>
      </c>
      <c r="T5668" s="3" t="str">
        <f>IF(ISERROR(VLOOKUP(Base_Periodo1[[#This Row],[CONTA]],BaseContasDRE[#All],5,FALSE)),"Fora do DRE",VLOOKUP(Base_Periodo1[[#This Row],[CONTA]],BaseContasDRE[#All],6,FALSE))</f>
        <v>Fora do DRE</v>
      </c>
      <c r="U5668" s="3" t="str">
        <f>IF(ISERROR(VLOOKUP(Base_Periodo1[[#This Row],[CONTA]],BaseContasDRE[#All],7,FALSE)),"Fora do DRE",VLOOKUP(Base_Periodo1[[#This Row],[CONTA]],BaseContasDRE[#All],7,FALSE))</f>
        <v>Fora do DRE</v>
      </c>
      <c r="V5668" s="3" t="str">
        <f>IF(Base_Periodo1[[#This Row],[Tipo_Linha]]="Fora do DRE","Fora do DRE","( "&amp;Base_Periodo1[[#This Row],[Tipo_Linha]]&amp;" ) "&amp;Base_Periodo1[[#This Row],[Filtro]])</f>
        <v>Fora do DRE</v>
      </c>
      <c r="W5668" s="3" t="str">
        <f>LEFT(Base_Periodo1[[#This Row],[CLASS]],3)</f>
        <v>2.4</v>
      </c>
    </row>
    <row r="5669" spans="1:23" hidden="1">
      <c r="A5669" s="3" t="str">
        <f t="shared" si="88"/>
        <v>Período 1</v>
      </c>
      <c r="B5669">
        <v>28964</v>
      </c>
      <c r="C5669" t="s">
        <v>2300</v>
      </c>
      <c r="D5669" t="s">
        <v>3455</v>
      </c>
      <c r="E5669" s="3" t="str">
        <f>IF(LEN(Base_Periodo1[[#This Row],[CLASS]])&gt;=7,LEFT(Base_Periodo1[[#This Row],[CLASS]],7),"")</f>
        <v>2.4.1.1</v>
      </c>
      <c r="F5669" s="3" t="str">
        <f>VLOOKUP(Base_Periodo1[[#This Row],[Aux]],Base_Contas_Balanco[#All],2,FALSE)</f>
        <v>Capital Social Realizado</v>
      </c>
      <c r="G5669" s="1"/>
      <c r="H5669" s="281">
        <v>632.98</v>
      </c>
      <c r="I5669" s="281">
        <v>0</v>
      </c>
      <c r="J5669" s="281">
        <v>0</v>
      </c>
      <c r="K5669" s="281">
        <v>632.98</v>
      </c>
      <c r="L566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632.98</v>
      </c>
      <c r="M5669" s="281">
        <f>ROUND(IF(AND(Base_Periodo1[[#This Row],[Tipo_Linha]]="-",Base_Periodo1[[#This Row],[TIPOSALDO]]="D"),Base_Periodo1[[#This Row],[SALDO_ATUAL]]*-1,Base_Periodo1[[#This Row],[SALDO_ATUAL]]),4)</f>
        <v>632.98</v>
      </c>
      <c r="N5669" t="s">
        <v>116</v>
      </c>
      <c r="O5669" t="s">
        <v>459</v>
      </c>
      <c r="P5669" t="s">
        <v>459</v>
      </c>
      <c r="Q5669">
        <v>6</v>
      </c>
      <c r="R5669" s="281">
        <f>Base_Periodo1[[#This Row],[CREDITOS]]-Base_Periodo1[[#This Row],[DEBITOS]]</f>
        <v>0</v>
      </c>
      <c r="S5669" s="3" t="str">
        <f>IF(ISERROR(VLOOKUP(Base_Periodo1[[#This Row],[CONTA]],BaseContasDRE[#All],4,FALSE)),"Fora do DRE",VLOOKUP(Base_Periodo1[[#This Row],[CONTA]],BaseContasDRE[#All],4,FALSE))</f>
        <v>Fora do DRE</v>
      </c>
      <c r="T5669" s="3" t="str">
        <f>IF(ISERROR(VLOOKUP(Base_Periodo1[[#This Row],[CONTA]],BaseContasDRE[#All],5,FALSE)),"Fora do DRE",VLOOKUP(Base_Periodo1[[#This Row],[CONTA]],BaseContasDRE[#All],6,FALSE))</f>
        <v>Fora do DRE</v>
      </c>
      <c r="U5669" s="3" t="str">
        <f>IF(ISERROR(VLOOKUP(Base_Periodo1[[#This Row],[CONTA]],BaseContasDRE[#All],7,FALSE)),"Fora do DRE",VLOOKUP(Base_Periodo1[[#This Row],[CONTA]],BaseContasDRE[#All],7,FALSE))</f>
        <v>Fora do DRE</v>
      </c>
      <c r="V5669" s="3" t="str">
        <f>IF(Base_Periodo1[[#This Row],[Tipo_Linha]]="Fora do DRE","Fora do DRE","( "&amp;Base_Periodo1[[#This Row],[Tipo_Linha]]&amp;" ) "&amp;Base_Periodo1[[#This Row],[Filtro]])</f>
        <v>Fora do DRE</v>
      </c>
      <c r="W5669" s="3" t="str">
        <f>LEFT(Base_Periodo1[[#This Row],[CLASS]],3)</f>
        <v>2.4</v>
      </c>
    </row>
    <row r="5670" spans="1:23" hidden="1">
      <c r="A5670" s="3" t="str">
        <f t="shared" si="88"/>
        <v>Período 1</v>
      </c>
      <c r="B5670">
        <v>19400</v>
      </c>
      <c r="C5670" t="s">
        <v>2300</v>
      </c>
      <c r="D5670" t="s">
        <v>3456</v>
      </c>
      <c r="E5670" s="3" t="str">
        <f>IF(LEN(Base_Periodo1[[#This Row],[CLASS]])&gt;=7,LEFT(Base_Periodo1[[#This Row],[CLASS]],7),"")</f>
        <v>2.4.1.1</v>
      </c>
      <c r="F5670" s="3" t="str">
        <f>VLOOKUP(Base_Periodo1[[#This Row],[Aux]],Base_Contas_Balanco[#All],2,FALSE)</f>
        <v>Capital Social Realizado</v>
      </c>
      <c r="G5670" s="1"/>
      <c r="H5670" s="281">
        <v>259.68</v>
      </c>
      <c r="I5670" s="281">
        <v>0</v>
      </c>
      <c r="J5670" s="281">
        <v>0</v>
      </c>
      <c r="K5670" s="281">
        <v>259.68</v>
      </c>
      <c r="L567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259.68</v>
      </c>
      <c r="M5670" s="281">
        <f>ROUND(IF(AND(Base_Periodo1[[#This Row],[Tipo_Linha]]="-",Base_Periodo1[[#This Row],[TIPOSALDO]]="D"),Base_Periodo1[[#This Row],[SALDO_ATUAL]]*-1,Base_Periodo1[[#This Row],[SALDO_ATUAL]]),4)</f>
        <v>259.68</v>
      </c>
      <c r="N5670" t="s">
        <v>116</v>
      </c>
      <c r="O5670" t="s">
        <v>459</v>
      </c>
      <c r="P5670" t="s">
        <v>459</v>
      </c>
      <c r="Q5670">
        <v>6</v>
      </c>
      <c r="R5670" s="281">
        <f>Base_Periodo1[[#This Row],[CREDITOS]]-Base_Periodo1[[#This Row],[DEBITOS]]</f>
        <v>0</v>
      </c>
      <c r="S5670" s="3" t="str">
        <f>IF(ISERROR(VLOOKUP(Base_Periodo1[[#This Row],[CONTA]],BaseContasDRE[#All],4,FALSE)),"Fora do DRE",VLOOKUP(Base_Periodo1[[#This Row],[CONTA]],BaseContasDRE[#All],4,FALSE))</f>
        <v>Fora do DRE</v>
      </c>
      <c r="T5670" s="3" t="str">
        <f>IF(ISERROR(VLOOKUP(Base_Periodo1[[#This Row],[CONTA]],BaseContasDRE[#All],5,FALSE)),"Fora do DRE",VLOOKUP(Base_Periodo1[[#This Row],[CONTA]],BaseContasDRE[#All],6,FALSE))</f>
        <v>Fora do DRE</v>
      </c>
      <c r="U5670" s="3" t="str">
        <f>IF(ISERROR(VLOOKUP(Base_Periodo1[[#This Row],[CONTA]],BaseContasDRE[#All],7,FALSE)),"Fora do DRE",VLOOKUP(Base_Periodo1[[#This Row],[CONTA]],BaseContasDRE[#All],7,FALSE))</f>
        <v>Fora do DRE</v>
      </c>
      <c r="V5670" s="3" t="str">
        <f>IF(Base_Periodo1[[#This Row],[Tipo_Linha]]="Fora do DRE","Fora do DRE","( "&amp;Base_Periodo1[[#This Row],[Tipo_Linha]]&amp;" ) "&amp;Base_Periodo1[[#This Row],[Filtro]])</f>
        <v>Fora do DRE</v>
      </c>
      <c r="W5670" s="3" t="str">
        <f>LEFT(Base_Periodo1[[#This Row],[CLASS]],3)</f>
        <v>2.4</v>
      </c>
    </row>
    <row r="5671" spans="1:23" hidden="1">
      <c r="A5671" s="3" t="str">
        <f t="shared" si="88"/>
        <v>Período 1</v>
      </c>
      <c r="B5671">
        <v>19401</v>
      </c>
      <c r="C5671" t="s">
        <v>2300</v>
      </c>
      <c r="D5671" t="s">
        <v>3457</v>
      </c>
      <c r="E5671" s="3" t="str">
        <f>IF(LEN(Base_Periodo1[[#This Row],[CLASS]])&gt;=7,LEFT(Base_Periodo1[[#This Row],[CLASS]],7),"")</f>
        <v>2.4.1.1</v>
      </c>
      <c r="F5671" s="3" t="str">
        <f>VLOOKUP(Base_Periodo1[[#This Row],[Aux]],Base_Contas_Balanco[#All],2,FALSE)</f>
        <v>Capital Social Realizado</v>
      </c>
      <c r="G5671" s="1"/>
      <c r="H5671" s="281">
        <v>951.48</v>
      </c>
      <c r="I5671" s="281">
        <v>0</v>
      </c>
      <c r="J5671" s="281">
        <v>0</v>
      </c>
      <c r="K5671" s="281">
        <v>951.48</v>
      </c>
      <c r="L567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951.48</v>
      </c>
      <c r="M5671" s="281">
        <f>ROUND(IF(AND(Base_Periodo1[[#This Row],[Tipo_Linha]]="-",Base_Periodo1[[#This Row],[TIPOSALDO]]="D"),Base_Periodo1[[#This Row],[SALDO_ATUAL]]*-1,Base_Periodo1[[#This Row],[SALDO_ATUAL]]),4)</f>
        <v>951.48</v>
      </c>
      <c r="N5671" t="s">
        <v>116</v>
      </c>
      <c r="O5671" t="s">
        <v>459</v>
      </c>
      <c r="P5671" t="s">
        <v>459</v>
      </c>
      <c r="Q5671">
        <v>6</v>
      </c>
      <c r="R5671" s="281">
        <f>Base_Periodo1[[#This Row],[CREDITOS]]-Base_Periodo1[[#This Row],[DEBITOS]]</f>
        <v>0</v>
      </c>
      <c r="S5671" s="3" t="str">
        <f>IF(ISERROR(VLOOKUP(Base_Periodo1[[#This Row],[CONTA]],BaseContasDRE[#All],4,FALSE)),"Fora do DRE",VLOOKUP(Base_Periodo1[[#This Row],[CONTA]],BaseContasDRE[#All],4,FALSE))</f>
        <v>Fora do DRE</v>
      </c>
      <c r="T5671" s="3" t="str">
        <f>IF(ISERROR(VLOOKUP(Base_Periodo1[[#This Row],[CONTA]],BaseContasDRE[#All],5,FALSE)),"Fora do DRE",VLOOKUP(Base_Periodo1[[#This Row],[CONTA]],BaseContasDRE[#All],6,FALSE))</f>
        <v>Fora do DRE</v>
      </c>
      <c r="U5671" s="3" t="str">
        <f>IF(ISERROR(VLOOKUP(Base_Periodo1[[#This Row],[CONTA]],BaseContasDRE[#All],7,FALSE)),"Fora do DRE",VLOOKUP(Base_Periodo1[[#This Row],[CONTA]],BaseContasDRE[#All],7,FALSE))</f>
        <v>Fora do DRE</v>
      </c>
      <c r="V5671" s="3" t="str">
        <f>IF(Base_Periodo1[[#This Row],[Tipo_Linha]]="Fora do DRE","Fora do DRE","( "&amp;Base_Periodo1[[#This Row],[Tipo_Linha]]&amp;" ) "&amp;Base_Periodo1[[#This Row],[Filtro]])</f>
        <v>Fora do DRE</v>
      </c>
      <c r="W5671" s="3" t="str">
        <f>LEFT(Base_Periodo1[[#This Row],[CLASS]],3)</f>
        <v>2.4</v>
      </c>
    </row>
    <row r="5672" spans="1:23" hidden="1">
      <c r="A5672" s="3" t="str">
        <f t="shared" si="88"/>
        <v>Período 1</v>
      </c>
      <c r="B5672">
        <v>25549</v>
      </c>
      <c r="C5672" t="s">
        <v>2300</v>
      </c>
      <c r="D5672" t="s">
        <v>3458</v>
      </c>
      <c r="E5672" s="3" t="str">
        <f>IF(LEN(Base_Periodo1[[#This Row],[CLASS]])&gt;=7,LEFT(Base_Periodo1[[#This Row],[CLASS]],7),"")</f>
        <v>2.4.1.1</v>
      </c>
      <c r="F5672" s="3" t="str">
        <f>VLOOKUP(Base_Periodo1[[#This Row],[Aux]],Base_Contas_Balanco[#All],2,FALSE)</f>
        <v>Capital Social Realizado</v>
      </c>
      <c r="G5672" s="1"/>
      <c r="H5672" s="281">
        <v>345.64</v>
      </c>
      <c r="I5672" s="281">
        <v>0</v>
      </c>
      <c r="J5672" s="281">
        <v>0</v>
      </c>
      <c r="K5672" s="281">
        <v>345.64</v>
      </c>
      <c r="L567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345.64</v>
      </c>
      <c r="M5672" s="281">
        <f>ROUND(IF(AND(Base_Periodo1[[#This Row],[Tipo_Linha]]="-",Base_Periodo1[[#This Row],[TIPOSALDO]]="D"),Base_Periodo1[[#This Row],[SALDO_ATUAL]]*-1,Base_Periodo1[[#This Row],[SALDO_ATUAL]]),4)</f>
        <v>345.64</v>
      </c>
      <c r="N5672" t="s">
        <v>116</v>
      </c>
      <c r="O5672" t="s">
        <v>459</v>
      </c>
      <c r="P5672" t="s">
        <v>459</v>
      </c>
      <c r="Q5672">
        <v>6</v>
      </c>
      <c r="R5672" s="281">
        <f>Base_Periodo1[[#This Row],[CREDITOS]]-Base_Periodo1[[#This Row],[DEBITOS]]</f>
        <v>0</v>
      </c>
      <c r="S5672" s="3" t="str">
        <f>IF(ISERROR(VLOOKUP(Base_Periodo1[[#This Row],[CONTA]],BaseContasDRE[#All],4,FALSE)),"Fora do DRE",VLOOKUP(Base_Periodo1[[#This Row],[CONTA]],BaseContasDRE[#All],4,FALSE))</f>
        <v>Fora do DRE</v>
      </c>
      <c r="T5672" s="3" t="str">
        <f>IF(ISERROR(VLOOKUP(Base_Periodo1[[#This Row],[CONTA]],BaseContasDRE[#All],5,FALSE)),"Fora do DRE",VLOOKUP(Base_Periodo1[[#This Row],[CONTA]],BaseContasDRE[#All],6,FALSE))</f>
        <v>Fora do DRE</v>
      </c>
      <c r="U5672" s="3" t="str">
        <f>IF(ISERROR(VLOOKUP(Base_Periodo1[[#This Row],[CONTA]],BaseContasDRE[#All],7,FALSE)),"Fora do DRE",VLOOKUP(Base_Periodo1[[#This Row],[CONTA]],BaseContasDRE[#All],7,FALSE))</f>
        <v>Fora do DRE</v>
      </c>
      <c r="V5672" s="3" t="str">
        <f>IF(Base_Periodo1[[#This Row],[Tipo_Linha]]="Fora do DRE","Fora do DRE","( "&amp;Base_Periodo1[[#This Row],[Tipo_Linha]]&amp;" ) "&amp;Base_Periodo1[[#This Row],[Filtro]])</f>
        <v>Fora do DRE</v>
      </c>
      <c r="W5672" s="3" t="str">
        <f>LEFT(Base_Periodo1[[#This Row],[CLASS]],3)</f>
        <v>2.4</v>
      </c>
    </row>
    <row r="5673" spans="1:23" hidden="1">
      <c r="A5673" s="3" t="str">
        <f t="shared" si="88"/>
        <v>Período 1</v>
      </c>
      <c r="B5673">
        <v>38705</v>
      </c>
      <c r="C5673" t="s">
        <v>2300</v>
      </c>
      <c r="D5673" t="s">
        <v>3459</v>
      </c>
      <c r="E5673" s="3" t="str">
        <f>IF(LEN(Base_Periodo1[[#This Row],[CLASS]])&gt;=7,LEFT(Base_Periodo1[[#This Row],[CLASS]],7),"")</f>
        <v>2.4.1.1</v>
      </c>
      <c r="F5673" s="3" t="str">
        <f>VLOOKUP(Base_Periodo1[[#This Row],[Aux]],Base_Contas_Balanco[#All],2,FALSE)</f>
        <v>Capital Social Realizado</v>
      </c>
      <c r="G5673" s="1"/>
      <c r="H5673" s="281">
        <v>120.67</v>
      </c>
      <c r="I5673" s="281">
        <v>0</v>
      </c>
      <c r="J5673" s="281">
        <v>0</v>
      </c>
      <c r="K5673" s="281">
        <v>120.67</v>
      </c>
      <c r="L567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120.67</v>
      </c>
      <c r="M5673" s="281">
        <f>ROUND(IF(AND(Base_Periodo1[[#This Row],[Tipo_Linha]]="-",Base_Periodo1[[#This Row],[TIPOSALDO]]="D"),Base_Periodo1[[#This Row],[SALDO_ATUAL]]*-1,Base_Periodo1[[#This Row],[SALDO_ATUAL]]),4)</f>
        <v>120.67</v>
      </c>
      <c r="N5673" t="s">
        <v>116</v>
      </c>
      <c r="O5673" t="s">
        <v>459</v>
      </c>
      <c r="P5673" t="s">
        <v>459</v>
      </c>
      <c r="Q5673">
        <v>6</v>
      </c>
      <c r="R5673" s="281">
        <f>Base_Periodo1[[#This Row],[CREDITOS]]-Base_Periodo1[[#This Row],[DEBITOS]]</f>
        <v>0</v>
      </c>
      <c r="S5673" s="3" t="str">
        <f>IF(ISERROR(VLOOKUP(Base_Periodo1[[#This Row],[CONTA]],BaseContasDRE[#All],4,FALSE)),"Fora do DRE",VLOOKUP(Base_Periodo1[[#This Row],[CONTA]],BaseContasDRE[#All],4,FALSE))</f>
        <v>Fora do DRE</v>
      </c>
      <c r="T5673" s="3" t="str">
        <f>IF(ISERROR(VLOOKUP(Base_Periodo1[[#This Row],[CONTA]],BaseContasDRE[#All],5,FALSE)),"Fora do DRE",VLOOKUP(Base_Periodo1[[#This Row],[CONTA]],BaseContasDRE[#All],6,FALSE))</f>
        <v>Fora do DRE</v>
      </c>
      <c r="U5673" s="3" t="str">
        <f>IF(ISERROR(VLOOKUP(Base_Periodo1[[#This Row],[CONTA]],BaseContasDRE[#All],7,FALSE)),"Fora do DRE",VLOOKUP(Base_Periodo1[[#This Row],[CONTA]],BaseContasDRE[#All],7,FALSE))</f>
        <v>Fora do DRE</v>
      </c>
      <c r="V5673" s="3" t="str">
        <f>IF(Base_Periodo1[[#This Row],[Tipo_Linha]]="Fora do DRE","Fora do DRE","( "&amp;Base_Periodo1[[#This Row],[Tipo_Linha]]&amp;" ) "&amp;Base_Periodo1[[#This Row],[Filtro]])</f>
        <v>Fora do DRE</v>
      </c>
      <c r="W5673" s="3" t="str">
        <f>LEFT(Base_Periodo1[[#This Row],[CLASS]],3)</f>
        <v>2.4</v>
      </c>
    </row>
    <row r="5674" spans="1:23" hidden="1">
      <c r="A5674" s="3" t="str">
        <f t="shared" si="88"/>
        <v>Período 1</v>
      </c>
      <c r="B5674">
        <v>19402</v>
      </c>
      <c r="C5674" t="s">
        <v>2300</v>
      </c>
      <c r="D5674" t="s">
        <v>3460</v>
      </c>
      <c r="E5674" s="3" t="str">
        <f>IF(LEN(Base_Periodo1[[#This Row],[CLASS]])&gt;=7,LEFT(Base_Periodo1[[#This Row],[CLASS]],7),"")</f>
        <v>2.4.1.1</v>
      </c>
      <c r="F5674" s="3" t="str">
        <f>VLOOKUP(Base_Periodo1[[#This Row],[Aux]],Base_Contas_Balanco[#All],2,FALSE)</f>
        <v>Capital Social Realizado</v>
      </c>
      <c r="G5674" s="1"/>
      <c r="H5674" s="281">
        <v>2716.78</v>
      </c>
      <c r="I5674" s="281">
        <v>0</v>
      </c>
      <c r="J5674" s="281">
        <v>0</v>
      </c>
      <c r="K5674" s="281">
        <v>2716.78</v>
      </c>
      <c r="L567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2716.78</v>
      </c>
      <c r="M5674" s="281">
        <f>ROUND(IF(AND(Base_Periodo1[[#This Row],[Tipo_Linha]]="-",Base_Periodo1[[#This Row],[TIPOSALDO]]="D"),Base_Periodo1[[#This Row],[SALDO_ATUAL]]*-1,Base_Periodo1[[#This Row],[SALDO_ATUAL]]),4)</f>
        <v>2716.78</v>
      </c>
      <c r="N5674" t="s">
        <v>116</v>
      </c>
      <c r="O5674" t="s">
        <v>459</v>
      </c>
      <c r="P5674" t="s">
        <v>459</v>
      </c>
      <c r="Q5674">
        <v>6</v>
      </c>
      <c r="R5674" s="281">
        <f>Base_Periodo1[[#This Row],[CREDITOS]]-Base_Periodo1[[#This Row],[DEBITOS]]</f>
        <v>0</v>
      </c>
      <c r="S5674" s="3" t="str">
        <f>IF(ISERROR(VLOOKUP(Base_Periodo1[[#This Row],[CONTA]],BaseContasDRE[#All],4,FALSE)),"Fora do DRE",VLOOKUP(Base_Periodo1[[#This Row],[CONTA]],BaseContasDRE[#All],4,FALSE))</f>
        <v>Fora do DRE</v>
      </c>
      <c r="T5674" s="3" t="str">
        <f>IF(ISERROR(VLOOKUP(Base_Periodo1[[#This Row],[CONTA]],BaseContasDRE[#All],5,FALSE)),"Fora do DRE",VLOOKUP(Base_Periodo1[[#This Row],[CONTA]],BaseContasDRE[#All],6,FALSE))</f>
        <v>Fora do DRE</v>
      </c>
      <c r="U5674" s="3" t="str">
        <f>IF(ISERROR(VLOOKUP(Base_Periodo1[[#This Row],[CONTA]],BaseContasDRE[#All],7,FALSE)),"Fora do DRE",VLOOKUP(Base_Periodo1[[#This Row],[CONTA]],BaseContasDRE[#All],7,FALSE))</f>
        <v>Fora do DRE</v>
      </c>
      <c r="V5674" s="3" t="str">
        <f>IF(Base_Periodo1[[#This Row],[Tipo_Linha]]="Fora do DRE","Fora do DRE","( "&amp;Base_Periodo1[[#This Row],[Tipo_Linha]]&amp;" ) "&amp;Base_Periodo1[[#This Row],[Filtro]])</f>
        <v>Fora do DRE</v>
      </c>
      <c r="W5674" s="3" t="str">
        <f>LEFT(Base_Periodo1[[#This Row],[CLASS]],3)</f>
        <v>2.4</v>
      </c>
    </row>
    <row r="5675" spans="1:23" hidden="1">
      <c r="A5675" s="3" t="str">
        <f t="shared" si="88"/>
        <v>Período 1</v>
      </c>
      <c r="B5675">
        <v>55250</v>
      </c>
      <c r="C5675" t="s">
        <v>2300</v>
      </c>
      <c r="D5675" t="s">
        <v>5358</v>
      </c>
      <c r="E5675" s="3" t="str">
        <f>IF(LEN(Base_Periodo1[[#This Row],[CLASS]])&gt;=7,LEFT(Base_Periodo1[[#This Row],[CLASS]],7),"")</f>
        <v>2.4.1.1</v>
      </c>
      <c r="F5675" s="3" t="str">
        <f>VLOOKUP(Base_Periodo1[[#This Row],[Aux]],Base_Contas_Balanco[#All],2,FALSE)</f>
        <v>Capital Social Realizado</v>
      </c>
      <c r="G5675" s="1"/>
      <c r="H5675" s="281">
        <v>50</v>
      </c>
      <c r="I5675" s="281">
        <v>0</v>
      </c>
      <c r="J5675" s="281">
        <v>0</v>
      </c>
      <c r="K5675" s="281">
        <v>50</v>
      </c>
      <c r="L567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75" s="281">
        <f>ROUND(IF(AND(Base_Periodo1[[#This Row],[Tipo_Linha]]="-",Base_Periodo1[[#This Row],[TIPOSALDO]]="D"),Base_Periodo1[[#This Row],[SALDO_ATUAL]]*-1,Base_Periodo1[[#This Row],[SALDO_ATUAL]]),4)</f>
        <v>50</v>
      </c>
      <c r="N5675" t="s">
        <v>116</v>
      </c>
      <c r="O5675" t="s">
        <v>459</v>
      </c>
      <c r="P5675" t="s">
        <v>459</v>
      </c>
      <c r="Q5675">
        <v>6</v>
      </c>
      <c r="R5675" s="281">
        <f>Base_Periodo1[[#This Row],[CREDITOS]]-Base_Periodo1[[#This Row],[DEBITOS]]</f>
        <v>0</v>
      </c>
      <c r="S5675" s="3" t="str">
        <f>IF(ISERROR(VLOOKUP(Base_Periodo1[[#This Row],[CONTA]],BaseContasDRE[#All],4,FALSE)),"Fora do DRE",VLOOKUP(Base_Periodo1[[#This Row],[CONTA]],BaseContasDRE[#All],4,FALSE))</f>
        <v>Fora do DRE</v>
      </c>
      <c r="T5675" s="3" t="str">
        <f>IF(ISERROR(VLOOKUP(Base_Periodo1[[#This Row],[CONTA]],BaseContasDRE[#All],5,FALSE)),"Fora do DRE",VLOOKUP(Base_Periodo1[[#This Row],[CONTA]],BaseContasDRE[#All],6,FALSE))</f>
        <v>Fora do DRE</v>
      </c>
      <c r="U5675" s="3" t="str">
        <f>IF(ISERROR(VLOOKUP(Base_Periodo1[[#This Row],[CONTA]],BaseContasDRE[#All],7,FALSE)),"Fora do DRE",VLOOKUP(Base_Periodo1[[#This Row],[CONTA]],BaseContasDRE[#All],7,FALSE))</f>
        <v>Fora do DRE</v>
      </c>
      <c r="V5675" s="3" t="str">
        <f>IF(Base_Periodo1[[#This Row],[Tipo_Linha]]="Fora do DRE","Fora do DRE","( "&amp;Base_Periodo1[[#This Row],[Tipo_Linha]]&amp;" ) "&amp;Base_Periodo1[[#This Row],[Filtro]])</f>
        <v>Fora do DRE</v>
      </c>
      <c r="W5675" s="3" t="str">
        <f>LEFT(Base_Periodo1[[#This Row],[CLASS]],3)</f>
        <v>2.4</v>
      </c>
    </row>
    <row r="5676" spans="1:23" hidden="1">
      <c r="A5676" s="3" t="str">
        <f t="shared" si="88"/>
        <v>Período 1</v>
      </c>
      <c r="B5676">
        <v>30935</v>
      </c>
      <c r="C5676" t="s">
        <v>2300</v>
      </c>
      <c r="D5676" t="s">
        <v>3461</v>
      </c>
      <c r="E5676" s="3" t="str">
        <f>IF(LEN(Base_Periodo1[[#This Row],[CLASS]])&gt;=7,LEFT(Base_Periodo1[[#This Row],[CLASS]],7),"")</f>
        <v>2.4.1.1</v>
      </c>
      <c r="F5676" s="3" t="str">
        <f>VLOOKUP(Base_Periodo1[[#This Row],[Aux]],Base_Contas_Balanco[#All],2,FALSE)</f>
        <v>Capital Social Realizado</v>
      </c>
      <c r="G5676" s="1"/>
      <c r="H5676" s="281">
        <v>558.1</v>
      </c>
      <c r="I5676" s="281">
        <v>0</v>
      </c>
      <c r="J5676" s="281">
        <v>0</v>
      </c>
      <c r="K5676" s="281">
        <v>558.1</v>
      </c>
      <c r="L567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558.1</v>
      </c>
      <c r="M5676" s="281">
        <f>ROUND(IF(AND(Base_Periodo1[[#This Row],[Tipo_Linha]]="-",Base_Periodo1[[#This Row],[TIPOSALDO]]="D"),Base_Periodo1[[#This Row],[SALDO_ATUAL]]*-1,Base_Periodo1[[#This Row],[SALDO_ATUAL]]),4)</f>
        <v>558.1</v>
      </c>
      <c r="N5676" t="s">
        <v>116</v>
      </c>
      <c r="O5676" t="s">
        <v>459</v>
      </c>
      <c r="P5676" t="s">
        <v>459</v>
      </c>
      <c r="Q5676">
        <v>6</v>
      </c>
      <c r="R5676" s="281">
        <f>Base_Periodo1[[#This Row],[CREDITOS]]-Base_Periodo1[[#This Row],[DEBITOS]]</f>
        <v>0</v>
      </c>
      <c r="S5676" s="3" t="str">
        <f>IF(ISERROR(VLOOKUP(Base_Periodo1[[#This Row],[CONTA]],BaseContasDRE[#All],4,FALSE)),"Fora do DRE",VLOOKUP(Base_Periodo1[[#This Row],[CONTA]],BaseContasDRE[#All],4,FALSE))</f>
        <v>Fora do DRE</v>
      </c>
      <c r="T5676" s="3" t="str">
        <f>IF(ISERROR(VLOOKUP(Base_Periodo1[[#This Row],[CONTA]],BaseContasDRE[#All],5,FALSE)),"Fora do DRE",VLOOKUP(Base_Periodo1[[#This Row],[CONTA]],BaseContasDRE[#All],6,FALSE))</f>
        <v>Fora do DRE</v>
      </c>
      <c r="U5676" s="3" t="str">
        <f>IF(ISERROR(VLOOKUP(Base_Periodo1[[#This Row],[CONTA]],BaseContasDRE[#All],7,FALSE)),"Fora do DRE",VLOOKUP(Base_Periodo1[[#This Row],[CONTA]],BaseContasDRE[#All],7,FALSE))</f>
        <v>Fora do DRE</v>
      </c>
      <c r="V5676" s="3" t="str">
        <f>IF(Base_Periodo1[[#This Row],[Tipo_Linha]]="Fora do DRE","Fora do DRE","( "&amp;Base_Periodo1[[#This Row],[Tipo_Linha]]&amp;" ) "&amp;Base_Periodo1[[#This Row],[Filtro]])</f>
        <v>Fora do DRE</v>
      </c>
      <c r="W5676" s="3" t="str">
        <f>LEFT(Base_Periodo1[[#This Row],[CLASS]],3)</f>
        <v>2.4</v>
      </c>
    </row>
    <row r="5677" spans="1:23" hidden="1">
      <c r="A5677" s="3" t="str">
        <f t="shared" si="88"/>
        <v>Período 1</v>
      </c>
      <c r="B5677">
        <v>16357</v>
      </c>
      <c r="C5677" t="s">
        <v>2300</v>
      </c>
      <c r="D5677" t="s">
        <v>3462</v>
      </c>
      <c r="E5677" s="3" t="str">
        <f>IF(LEN(Base_Periodo1[[#This Row],[CLASS]])&gt;=7,LEFT(Base_Periodo1[[#This Row],[CLASS]],7),"")</f>
        <v>2.4.1.1</v>
      </c>
      <c r="F5677" s="3" t="str">
        <f>VLOOKUP(Base_Periodo1[[#This Row],[Aux]],Base_Contas_Balanco[#All],2,FALSE)</f>
        <v>Capital Social Realizado</v>
      </c>
      <c r="G5677" s="1">
        <v>42460</v>
      </c>
      <c r="H5677" s="281">
        <v>322.40999999999985</v>
      </c>
      <c r="I5677" s="281">
        <v>0</v>
      </c>
      <c r="J5677" s="281">
        <v>0</v>
      </c>
      <c r="K5677" s="281">
        <v>322.40999999999985</v>
      </c>
      <c r="L567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322.41000000000003</v>
      </c>
      <c r="M5677" s="281">
        <f>ROUND(IF(AND(Base_Periodo1[[#This Row],[Tipo_Linha]]="-",Base_Periodo1[[#This Row],[TIPOSALDO]]="D"),Base_Periodo1[[#This Row],[SALDO_ATUAL]]*-1,Base_Periodo1[[#This Row],[SALDO_ATUAL]]),4)</f>
        <v>322.41000000000003</v>
      </c>
      <c r="N5677" t="s">
        <v>116</v>
      </c>
      <c r="O5677" t="s">
        <v>459</v>
      </c>
      <c r="P5677" t="s">
        <v>459</v>
      </c>
      <c r="Q5677">
        <v>6</v>
      </c>
      <c r="R5677" s="281">
        <f>Base_Periodo1[[#This Row],[CREDITOS]]-Base_Periodo1[[#This Row],[DEBITOS]]</f>
        <v>0</v>
      </c>
      <c r="S5677" s="3" t="str">
        <f>IF(ISERROR(VLOOKUP(Base_Periodo1[[#This Row],[CONTA]],BaseContasDRE[#All],4,FALSE)),"Fora do DRE",VLOOKUP(Base_Periodo1[[#This Row],[CONTA]],BaseContasDRE[#All],4,FALSE))</f>
        <v>Fora do DRE</v>
      </c>
      <c r="T5677" s="3" t="str">
        <f>IF(ISERROR(VLOOKUP(Base_Periodo1[[#This Row],[CONTA]],BaseContasDRE[#All],5,FALSE)),"Fora do DRE",VLOOKUP(Base_Periodo1[[#This Row],[CONTA]],BaseContasDRE[#All],6,FALSE))</f>
        <v>Fora do DRE</v>
      </c>
      <c r="U5677" s="3" t="str">
        <f>IF(ISERROR(VLOOKUP(Base_Periodo1[[#This Row],[CONTA]],BaseContasDRE[#All],7,FALSE)),"Fora do DRE",VLOOKUP(Base_Periodo1[[#This Row],[CONTA]],BaseContasDRE[#All],7,FALSE))</f>
        <v>Fora do DRE</v>
      </c>
      <c r="V5677" s="3" t="str">
        <f>IF(Base_Periodo1[[#This Row],[Tipo_Linha]]="Fora do DRE","Fora do DRE","( "&amp;Base_Periodo1[[#This Row],[Tipo_Linha]]&amp;" ) "&amp;Base_Periodo1[[#This Row],[Filtro]])</f>
        <v>Fora do DRE</v>
      </c>
      <c r="W5677" s="3" t="str">
        <f>LEFT(Base_Periodo1[[#This Row],[CLASS]],3)</f>
        <v>2.4</v>
      </c>
    </row>
    <row r="5678" spans="1:23" hidden="1">
      <c r="A5678" s="3" t="str">
        <f t="shared" si="88"/>
        <v>Período 1</v>
      </c>
      <c r="B5678">
        <v>46924</v>
      </c>
      <c r="C5678" t="s">
        <v>2300</v>
      </c>
      <c r="D5678" t="s">
        <v>3463</v>
      </c>
      <c r="E5678" s="3" t="str">
        <f>IF(LEN(Base_Periodo1[[#This Row],[CLASS]])&gt;=7,LEFT(Base_Periodo1[[#This Row],[CLASS]],7),"")</f>
        <v>2.4.1.1</v>
      </c>
      <c r="F5678" s="3" t="str">
        <f>VLOOKUP(Base_Periodo1[[#This Row],[Aux]],Base_Contas_Balanco[#All],2,FALSE)</f>
        <v>Capital Social Realizado</v>
      </c>
      <c r="G5678" s="1"/>
      <c r="H5678" s="281">
        <v>109.96000000000001</v>
      </c>
      <c r="I5678" s="281">
        <v>0</v>
      </c>
      <c r="J5678" s="281">
        <v>0</v>
      </c>
      <c r="K5678" s="281">
        <v>109.96000000000001</v>
      </c>
      <c r="L567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109.96</v>
      </c>
      <c r="M5678" s="281">
        <f>ROUND(IF(AND(Base_Periodo1[[#This Row],[Tipo_Linha]]="-",Base_Periodo1[[#This Row],[TIPOSALDO]]="D"),Base_Periodo1[[#This Row],[SALDO_ATUAL]]*-1,Base_Periodo1[[#This Row],[SALDO_ATUAL]]),4)</f>
        <v>109.96</v>
      </c>
      <c r="N5678" t="s">
        <v>116</v>
      </c>
      <c r="O5678" t="s">
        <v>459</v>
      </c>
      <c r="P5678" t="s">
        <v>459</v>
      </c>
      <c r="Q5678">
        <v>6</v>
      </c>
      <c r="R5678" s="281">
        <f>Base_Periodo1[[#This Row],[CREDITOS]]-Base_Periodo1[[#This Row],[DEBITOS]]</f>
        <v>0</v>
      </c>
      <c r="S5678" s="3" t="str">
        <f>IF(ISERROR(VLOOKUP(Base_Periodo1[[#This Row],[CONTA]],BaseContasDRE[#All],4,FALSE)),"Fora do DRE",VLOOKUP(Base_Periodo1[[#This Row],[CONTA]],BaseContasDRE[#All],4,FALSE))</f>
        <v>Fora do DRE</v>
      </c>
      <c r="T5678" s="3" t="str">
        <f>IF(ISERROR(VLOOKUP(Base_Periodo1[[#This Row],[CONTA]],BaseContasDRE[#All],5,FALSE)),"Fora do DRE",VLOOKUP(Base_Periodo1[[#This Row],[CONTA]],BaseContasDRE[#All],6,FALSE))</f>
        <v>Fora do DRE</v>
      </c>
      <c r="U5678" s="3" t="str">
        <f>IF(ISERROR(VLOOKUP(Base_Periodo1[[#This Row],[CONTA]],BaseContasDRE[#All],7,FALSE)),"Fora do DRE",VLOOKUP(Base_Periodo1[[#This Row],[CONTA]],BaseContasDRE[#All],7,FALSE))</f>
        <v>Fora do DRE</v>
      </c>
      <c r="V5678" s="3" t="str">
        <f>IF(Base_Periodo1[[#This Row],[Tipo_Linha]]="Fora do DRE","Fora do DRE","( "&amp;Base_Periodo1[[#This Row],[Tipo_Linha]]&amp;" ) "&amp;Base_Periodo1[[#This Row],[Filtro]])</f>
        <v>Fora do DRE</v>
      </c>
      <c r="W5678" s="3" t="str">
        <f>LEFT(Base_Periodo1[[#This Row],[CLASS]],3)</f>
        <v>2.4</v>
      </c>
    </row>
    <row r="5679" spans="1:23" hidden="1">
      <c r="A5679" s="3" t="str">
        <f t="shared" si="88"/>
        <v>Período 1</v>
      </c>
      <c r="B5679">
        <v>16343</v>
      </c>
      <c r="C5679" t="s">
        <v>2300</v>
      </c>
      <c r="D5679" t="s">
        <v>3464</v>
      </c>
      <c r="E5679" s="3" t="str">
        <f>IF(LEN(Base_Periodo1[[#This Row],[CLASS]])&gt;=7,LEFT(Base_Periodo1[[#This Row],[CLASS]],7),"")</f>
        <v>2.4.1.1</v>
      </c>
      <c r="F5679" s="3" t="str">
        <f>VLOOKUP(Base_Periodo1[[#This Row],[Aux]],Base_Contas_Balanco[#All],2,FALSE)</f>
        <v>Capital Social Realizado</v>
      </c>
      <c r="G5679" s="1"/>
      <c r="H5679" s="281">
        <v>2252.3299999999995</v>
      </c>
      <c r="I5679" s="281">
        <v>0</v>
      </c>
      <c r="J5679" s="281">
        <v>0</v>
      </c>
      <c r="K5679" s="281">
        <v>2252.3299999999995</v>
      </c>
      <c r="L567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2252.33</v>
      </c>
      <c r="M5679" s="281">
        <f>ROUND(IF(AND(Base_Periodo1[[#This Row],[Tipo_Linha]]="-",Base_Periodo1[[#This Row],[TIPOSALDO]]="D"),Base_Periodo1[[#This Row],[SALDO_ATUAL]]*-1,Base_Periodo1[[#This Row],[SALDO_ATUAL]]),4)</f>
        <v>2252.33</v>
      </c>
      <c r="N5679" t="s">
        <v>116</v>
      </c>
      <c r="O5679" t="s">
        <v>459</v>
      </c>
      <c r="P5679" t="s">
        <v>459</v>
      </c>
      <c r="Q5679">
        <v>6</v>
      </c>
      <c r="R5679" s="281">
        <f>Base_Periodo1[[#This Row],[CREDITOS]]-Base_Periodo1[[#This Row],[DEBITOS]]</f>
        <v>0</v>
      </c>
      <c r="S5679" s="3" t="str">
        <f>IF(ISERROR(VLOOKUP(Base_Periodo1[[#This Row],[CONTA]],BaseContasDRE[#All],4,FALSE)),"Fora do DRE",VLOOKUP(Base_Periodo1[[#This Row],[CONTA]],BaseContasDRE[#All],4,FALSE))</f>
        <v>Fora do DRE</v>
      </c>
      <c r="T5679" s="3" t="str">
        <f>IF(ISERROR(VLOOKUP(Base_Periodo1[[#This Row],[CONTA]],BaseContasDRE[#All],5,FALSE)),"Fora do DRE",VLOOKUP(Base_Periodo1[[#This Row],[CONTA]],BaseContasDRE[#All],6,FALSE))</f>
        <v>Fora do DRE</v>
      </c>
      <c r="U5679" s="3" t="str">
        <f>IF(ISERROR(VLOOKUP(Base_Periodo1[[#This Row],[CONTA]],BaseContasDRE[#All],7,FALSE)),"Fora do DRE",VLOOKUP(Base_Periodo1[[#This Row],[CONTA]],BaseContasDRE[#All],7,FALSE))</f>
        <v>Fora do DRE</v>
      </c>
      <c r="V5679" s="3" t="str">
        <f>IF(Base_Periodo1[[#This Row],[Tipo_Linha]]="Fora do DRE","Fora do DRE","( "&amp;Base_Periodo1[[#This Row],[Tipo_Linha]]&amp;" ) "&amp;Base_Periodo1[[#This Row],[Filtro]])</f>
        <v>Fora do DRE</v>
      </c>
      <c r="W5679" s="3" t="str">
        <f>LEFT(Base_Periodo1[[#This Row],[CLASS]],3)</f>
        <v>2.4</v>
      </c>
    </row>
    <row r="5680" spans="1:23" hidden="1">
      <c r="A5680" s="3" t="str">
        <f t="shared" si="88"/>
        <v>Período 1</v>
      </c>
      <c r="B5680">
        <v>39451</v>
      </c>
      <c r="C5680" t="s">
        <v>2300</v>
      </c>
      <c r="D5680" t="s">
        <v>3465</v>
      </c>
      <c r="E5680" s="3" t="str">
        <f>IF(LEN(Base_Periodo1[[#This Row],[CLASS]])&gt;=7,LEFT(Base_Periodo1[[#This Row],[CLASS]],7),"")</f>
        <v>2.4.1.1</v>
      </c>
      <c r="F5680" s="3" t="str">
        <f>VLOOKUP(Base_Periodo1[[#This Row],[Aux]],Base_Contas_Balanco[#All],2,FALSE)</f>
        <v>Capital Social Realizado</v>
      </c>
      <c r="G5680" s="1"/>
      <c r="H5680" s="281">
        <v>203.94</v>
      </c>
      <c r="I5680" s="281">
        <v>0</v>
      </c>
      <c r="J5680" s="281">
        <v>0</v>
      </c>
      <c r="K5680" s="281">
        <v>203.94</v>
      </c>
      <c r="L568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203.94</v>
      </c>
      <c r="M5680" s="281">
        <f>ROUND(IF(AND(Base_Periodo1[[#This Row],[Tipo_Linha]]="-",Base_Periodo1[[#This Row],[TIPOSALDO]]="D"),Base_Periodo1[[#This Row],[SALDO_ATUAL]]*-1,Base_Periodo1[[#This Row],[SALDO_ATUAL]]),4)</f>
        <v>203.94</v>
      </c>
      <c r="N5680" t="s">
        <v>116</v>
      </c>
      <c r="O5680" t="s">
        <v>459</v>
      </c>
      <c r="P5680" t="s">
        <v>459</v>
      </c>
      <c r="Q5680">
        <v>6</v>
      </c>
      <c r="R5680" s="281">
        <f>Base_Periodo1[[#This Row],[CREDITOS]]-Base_Periodo1[[#This Row],[DEBITOS]]</f>
        <v>0</v>
      </c>
      <c r="S5680" s="3" t="str">
        <f>IF(ISERROR(VLOOKUP(Base_Periodo1[[#This Row],[CONTA]],BaseContasDRE[#All],4,FALSE)),"Fora do DRE",VLOOKUP(Base_Periodo1[[#This Row],[CONTA]],BaseContasDRE[#All],4,FALSE))</f>
        <v>Fora do DRE</v>
      </c>
      <c r="T5680" s="3" t="str">
        <f>IF(ISERROR(VLOOKUP(Base_Periodo1[[#This Row],[CONTA]],BaseContasDRE[#All],5,FALSE)),"Fora do DRE",VLOOKUP(Base_Periodo1[[#This Row],[CONTA]],BaseContasDRE[#All],6,FALSE))</f>
        <v>Fora do DRE</v>
      </c>
      <c r="U5680" s="3" t="str">
        <f>IF(ISERROR(VLOOKUP(Base_Periodo1[[#This Row],[CONTA]],BaseContasDRE[#All],7,FALSE)),"Fora do DRE",VLOOKUP(Base_Periodo1[[#This Row],[CONTA]],BaseContasDRE[#All],7,FALSE))</f>
        <v>Fora do DRE</v>
      </c>
      <c r="V5680" s="3" t="str">
        <f>IF(Base_Periodo1[[#This Row],[Tipo_Linha]]="Fora do DRE","Fora do DRE","( "&amp;Base_Periodo1[[#This Row],[Tipo_Linha]]&amp;" ) "&amp;Base_Periodo1[[#This Row],[Filtro]])</f>
        <v>Fora do DRE</v>
      </c>
      <c r="W5680" s="3" t="str">
        <f>LEFT(Base_Periodo1[[#This Row],[CLASS]],3)</f>
        <v>2.4</v>
      </c>
    </row>
    <row r="5681" spans="1:23" hidden="1">
      <c r="A5681" s="3" t="str">
        <f t="shared" si="88"/>
        <v>Período 1</v>
      </c>
      <c r="B5681">
        <v>16372</v>
      </c>
      <c r="C5681" t="s">
        <v>2300</v>
      </c>
      <c r="D5681" t="s">
        <v>3466</v>
      </c>
      <c r="E5681" s="3" t="str">
        <f>IF(LEN(Base_Periodo1[[#This Row],[CLASS]])&gt;=7,LEFT(Base_Periodo1[[#This Row],[CLASS]],7),"")</f>
        <v>2.4.1.1</v>
      </c>
      <c r="F5681" s="3" t="str">
        <f>VLOOKUP(Base_Periodo1[[#This Row],[Aux]],Base_Contas_Balanco[#All],2,FALSE)</f>
        <v>Capital Social Realizado</v>
      </c>
      <c r="G5681" s="1">
        <v>42180</v>
      </c>
      <c r="H5681" s="281">
        <v>50</v>
      </c>
      <c r="I5681" s="281">
        <v>0</v>
      </c>
      <c r="J5681" s="281">
        <v>0</v>
      </c>
      <c r="K5681" s="281">
        <v>50</v>
      </c>
      <c r="L568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81" s="281">
        <f>ROUND(IF(AND(Base_Periodo1[[#This Row],[Tipo_Linha]]="-",Base_Periodo1[[#This Row],[TIPOSALDO]]="D"),Base_Periodo1[[#This Row],[SALDO_ATUAL]]*-1,Base_Periodo1[[#This Row],[SALDO_ATUAL]]),4)</f>
        <v>50</v>
      </c>
      <c r="N5681" t="s">
        <v>116</v>
      </c>
      <c r="O5681" t="s">
        <v>459</v>
      </c>
      <c r="P5681" t="s">
        <v>459</v>
      </c>
      <c r="Q5681">
        <v>6</v>
      </c>
      <c r="R5681" s="281">
        <f>Base_Periodo1[[#This Row],[CREDITOS]]-Base_Periodo1[[#This Row],[DEBITOS]]</f>
        <v>0</v>
      </c>
      <c r="S5681" s="3" t="str">
        <f>IF(ISERROR(VLOOKUP(Base_Periodo1[[#This Row],[CONTA]],BaseContasDRE[#All],4,FALSE)),"Fora do DRE",VLOOKUP(Base_Periodo1[[#This Row],[CONTA]],BaseContasDRE[#All],4,FALSE))</f>
        <v>Fora do DRE</v>
      </c>
      <c r="T5681" s="3" t="str">
        <f>IF(ISERROR(VLOOKUP(Base_Periodo1[[#This Row],[CONTA]],BaseContasDRE[#All],5,FALSE)),"Fora do DRE",VLOOKUP(Base_Periodo1[[#This Row],[CONTA]],BaseContasDRE[#All],6,FALSE))</f>
        <v>Fora do DRE</v>
      </c>
      <c r="U5681" s="3" t="str">
        <f>IF(ISERROR(VLOOKUP(Base_Periodo1[[#This Row],[CONTA]],BaseContasDRE[#All],7,FALSE)),"Fora do DRE",VLOOKUP(Base_Periodo1[[#This Row],[CONTA]],BaseContasDRE[#All],7,FALSE))</f>
        <v>Fora do DRE</v>
      </c>
      <c r="V5681" s="3" t="str">
        <f>IF(Base_Periodo1[[#This Row],[Tipo_Linha]]="Fora do DRE","Fora do DRE","( "&amp;Base_Periodo1[[#This Row],[Tipo_Linha]]&amp;" ) "&amp;Base_Periodo1[[#This Row],[Filtro]])</f>
        <v>Fora do DRE</v>
      </c>
      <c r="W5681" s="3" t="str">
        <f>LEFT(Base_Periodo1[[#This Row],[CLASS]],3)</f>
        <v>2.4</v>
      </c>
    </row>
    <row r="5682" spans="1:23" hidden="1">
      <c r="A5682" s="3" t="str">
        <f t="shared" si="88"/>
        <v>Período 1</v>
      </c>
      <c r="B5682">
        <v>23314</v>
      </c>
      <c r="C5682" t="s">
        <v>2300</v>
      </c>
      <c r="D5682" t="s">
        <v>3467</v>
      </c>
      <c r="E5682" s="3" t="str">
        <f>IF(LEN(Base_Periodo1[[#This Row],[CLASS]])&gt;=7,LEFT(Base_Periodo1[[#This Row],[CLASS]],7),"")</f>
        <v>2.4.1.1</v>
      </c>
      <c r="F5682" s="3" t="str">
        <f>VLOOKUP(Base_Periodo1[[#This Row],[Aux]],Base_Contas_Balanco[#All],2,FALSE)</f>
        <v>Capital Social Realizado</v>
      </c>
      <c r="G5682" s="1"/>
      <c r="H5682" s="281">
        <v>2551.4700000000003</v>
      </c>
      <c r="I5682" s="281">
        <v>0</v>
      </c>
      <c r="J5682" s="281">
        <v>0</v>
      </c>
      <c r="K5682" s="281">
        <v>2551.4700000000003</v>
      </c>
      <c r="L568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2551.4699999999998</v>
      </c>
      <c r="M5682" s="281">
        <f>ROUND(IF(AND(Base_Periodo1[[#This Row],[Tipo_Linha]]="-",Base_Periodo1[[#This Row],[TIPOSALDO]]="D"),Base_Periodo1[[#This Row],[SALDO_ATUAL]]*-1,Base_Periodo1[[#This Row],[SALDO_ATUAL]]),4)</f>
        <v>2551.4699999999998</v>
      </c>
      <c r="N5682" t="s">
        <v>116</v>
      </c>
      <c r="O5682" t="s">
        <v>459</v>
      </c>
      <c r="P5682" t="s">
        <v>459</v>
      </c>
      <c r="Q5682">
        <v>6</v>
      </c>
      <c r="R5682" s="281">
        <f>Base_Periodo1[[#This Row],[CREDITOS]]-Base_Periodo1[[#This Row],[DEBITOS]]</f>
        <v>0</v>
      </c>
      <c r="S5682" s="3" t="str">
        <f>IF(ISERROR(VLOOKUP(Base_Periodo1[[#This Row],[CONTA]],BaseContasDRE[#All],4,FALSE)),"Fora do DRE",VLOOKUP(Base_Periodo1[[#This Row],[CONTA]],BaseContasDRE[#All],4,FALSE))</f>
        <v>Fora do DRE</v>
      </c>
      <c r="T5682" s="3" t="str">
        <f>IF(ISERROR(VLOOKUP(Base_Periodo1[[#This Row],[CONTA]],BaseContasDRE[#All],5,FALSE)),"Fora do DRE",VLOOKUP(Base_Periodo1[[#This Row],[CONTA]],BaseContasDRE[#All],6,FALSE))</f>
        <v>Fora do DRE</v>
      </c>
      <c r="U5682" s="3" t="str">
        <f>IF(ISERROR(VLOOKUP(Base_Periodo1[[#This Row],[CONTA]],BaseContasDRE[#All],7,FALSE)),"Fora do DRE",VLOOKUP(Base_Periodo1[[#This Row],[CONTA]],BaseContasDRE[#All],7,FALSE))</f>
        <v>Fora do DRE</v>
      </c>
      <c r="V5682" s="3" t="str">
        <f>IF(Base_Periodo1[[#This Row],[Tipo_Linha]]="Fora do DRE","Fora do DRE","( "&amp;Base_Periodo1[[#This Row],[Tipo_Linha]]&amp;" ) "&amp;Base_Periodo1[[#This Row],[Filtro]])</f>
        <v>Fora do DRE</v>
      </c>
      <c r="W5682" s="3" t="str">
        <f>LEFT(Base_Periodo1[[#This Row],[CLASS]],3)</f>
        <v>2.4</v>
      </c>
    </row>
    <row r="5683" spans="1:23" hidden="1">
      <c r="A5683" s="3" t="str">
        <f t="shared" si="88"/>
        <v>Período 1</v>
      </c>
      <c r="B5683">
        <v>54254</v>
      </c>
      <c r="C5683" t="s">
        <v>2300</v>
      </c>
      <c r="D5683" t="s">
        <v>5112</v>
      </c>
      <c r="E5683" s="3" t="str">
        <f>IF(LEN(Base_Periodo1[[#This Row],[CLASS]])&gt;=7,LEFT(Base_Periodo1[[#This Row],[CLASS]],7),"")</f>
        <v>2.4.1.1</v>
      </c>
      <c r="F5683" s="3" t="str">
        <f>VLOOKUP(Base_Periodo1[[#This Row],[Aux]],Base_Contas_Balanco[#All],2,FALSE)</f>
        <v>Capital Social Realizado</v>
      </c>
      <c r="G5683" s="1"/>
      <c r="H5683" s="281">
        <v>200</v>
      </c>
      <c r="I5683" s="281">
        <v>0</v>
      </c>
      <c r="J5683" s="281">
        <v>0</v>
      </c>
      <c r="K5683" s="281">
        <v>200</v>
      </c>
      <c r="L568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</v>
      </c>
      <c r="M5683" s="281">
        <f>ROUND(IF(AND(Base_Periodo1[[#This Row],[Tipo_Linha]]="-",Base_Periodo1[[#This Row],[TIPOSALDO]]="D"),Base_Periodo1[[#This Row],[SALDO_ATUAL]]*-1,Base_Periodo1[[#This Row],[SALDO_ATUAL]]),4)</f>
        <v>200</v>
      </c>
      <c r="N5683" t="s">
        <v>116</v>
      </c>
      <c r="O5683" t="s">
        <v>459</v>
      </c>
      <c r="P5683" t="s">
        <v>459</v>
      </c>
      <c r="Q5683">
        <v>6</v>
      </c>
      <c r="R5683" s="281">
        <f>Base_Periodo1[[#This Row],[CREDITOS]]-Base_Periodo1[[#This Row],[DEBITOS]]</f>
        <v>0</v>
      </c>
      <c r="S5683" s="3" t="str">
        <f>IF(ISERROR(VLOOKUP(Base_Periodo1[[#This Row],[CONTA]],BaseContasDRE[#All],4,FALSE)),"Fora do DRE",VLOOKUP(Base_Periodo1[[#This Row],[CONTA]],BaseContasDRE[#All],4,FALSE))</f>
        <v>Fora do DRE</v>
      </c>
      <c r="T5683" s="3" t="str">
        <f>IF(ISERROR(VLOOKUP(Base_Periodo1[[#This Row],[CONTA]],BaseContasDRE[#All],5,FALSE)),"Fora do DRE",VLOOKUP(Base_Periodo1[[#This Row],[CONTA]],BaseContasDRE[#All],6,FALSE))</f>
        <v>Fora do DRE</v>
      </c>
      <c r="U5683" s="3" t="str">
        <f>IF(ISERROR(VLOOKUP(Base_Periodo1[[#This Row],[CONTA]],BaseContasDRE[#All],7,FALSE)),"Fora do DRE",VLOOKUP(Base_Periodo1[[#This Row],[CONTA]],BaseContasDRE[#All],7,FALSE))</f>
        <v>Fora do DRE</v>
      </c>
      <c r="V5683" s="3" t="str">
        <f>IF(Base_Periodo1[[#This Row],[Tipo_Linha]]="Fora do DRE","Fora do DRE","( "&amp;Base_Periodo1[[#This Row],[Tipo_Linha]]&amp;" ) "&amp;Base_Periodo1[[#This Row],[Filtro]])</f>
        <v>Fora do DRE</v>
      </c>
      <c r="W5683" s="3" t="str">
        <f>LEFT(Base_Periodo1[[#This Row],[CLASS]],3)</f>
        <v>2.4</v>
      </c>
    </row>
    <row r="5684" spans="1:23" hidden="1">
      <c r="A5684" s="3" t="str">
        <f t="shared" si="88"/>
        <v>Período 1</v>
      </c>
      <c r="B5684">
        <v>25674</v>
      </c>
      <c r="C5684" t="s">
        <v>2300</v>
      </c>
      <c r="D5684" t="s">
        <v>3468</v>
      </c>
      <c r="E5684" s="3" t="str">
        <f>IF(LEN(Base_Periodo1[[#This Row],[CLASS]])&gt;=7,LEFT(Base_Periodo1[[#This Row],[CLASS]],7),"")</f>
        <v>2.4.1.1</v>
      </c>
      <c r="F5684" s="3" t="str">
        <f>VLOOKUP(Base_Periodo1[[#This Row],[Aux]],Base_Contas_Balanco[#All],2,FALSE)</f>
        <v>Capital Social Realizado</v>
      </c>
      <c r="G5684" s="1"/>
      <c r="H5684" s="281">
        <v>111.34</v>
      </c>
      <c r="I5684" s="281">
        <v>0</v>
      </c>
      <c r="J5684" s="281">
        <v>0</v>
      </c>
      <c r="K5684" s="281">
        <v>111.34</v>
      </c>
      <c r="L568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111.34</v>
      </c>
      <c r="M5684" s="281">
        <f>ROUND(IF(AND(Base_Periodo1[[#This Row],[Tipo_Linha]]="-",Base_Periodo1[[#This Row],[TIPOSALDO]]="D"),Base_Periodo1[[#This Row],[SALDO_ATUAL]]*-1,Base_Periodo1[[#This Row],[SALDO_ATUAL]]),4)</f>
        <v>111.34</v>
      </c>
      <c r="N5684" t="s">
        <v>116</v>
      </c>
      <c r="O5684" t="s">
        <v>459</v>
      </c>
      <c r="P5684" t="s">
        <v>459</v>
      </c>
      <c r="Q5684">
        <v>6</v>
      </c>
      <c r="R5684" s="281">
        <f>Base_Periodo1[[#This Row],[CREDITOS]]-Base_Periodo1[[#This Row],[DEBITOS]]</f>
        <v>0</v>
      </c>
      <c r="S5684" s="3" t="str">
        <f>IF(ISERROR(VLOOKUP(Base_Periodo1[[#This Row],[CONTA]],BaseContasDRE[#All],4,FALSE)),"Fora do DRE",VLOOKUP(Base_Periodo1[[#This Row],[CONTA]],BaseContasDRE[#All],4,FALSE))</f>
        <v>Fora do DRE</v>
      </c>
      <c r="T5684" s="3" t="str">
        <f>IF(ISERROR(VLOOKUP(Base_Periodo1[[#This Row],[CONTA]],BaseContasDRE[#All],5,FALSE)),"Fora do DRE",VLOOKUP(Base_Periodo1[[#This Row],[CONTA]],BaseContasDRE[#All],6,FALSE))</f>
        <v>Fora do DRE</v>
      </c>
      <c r="U5684" s="3" t="str">
        <f>IF(ISERROR(VLOOKUP(Base_Periodo1[[#This Row],[CONTA]],BaseContasDRE[#All],7,FALSE)),"Fora do DRE",VLOOKUP(Base_Periodo1[[#This Row],[CONTA]],BaseContasDRE[#All],7,FALSE))</f>
        <v>Fora do DRE</v>
      </c>
      <c r="V5684" s="3" t="str">
        <f>IF(Base_Periodo1[[#This Row],[Tipo_Linha]]="Fora do DRE","Fora do DRE","( "&amp;Base_Periodo1[[#This Row],[Tipo_Linha]]&amp;" ) "&amp;Base_Periodo1[[#This Row],[Filtro]])</f>
        <v>Fora do DRE</v>
      </c>
      <c r="W5684" s="3" t="str">
        <f>LEFT(Base_Periodo1[[#This Row],[CLASS]],3)</f>
        <v>2.4</v>
      </c>
    </row>
    <row r="5685" spans="1:23" hidden="1">
      <c r="A5685" s="3" t="str">
        <f t="shared" si="88"/>
        <v>Período 1</v>
      </c>
      <c r="B5685">
        <v>53963</v>
      </c>
      <c r="C5685" t="s">
        <v>2300</v>
      </c>
      <c r="D5685" t="s">
        <v>5113</v>
      </c>
      <c r="E5685" s="3" t="str">
        <f>IF(LEN(Base_Periodo1[[#This Row],[CLASS]])&gt;=7,LEFT(Base_Periodo1[[#This Row],[CLASS]],7),"")</f>
        <v>2.4.1.1</v>
      </c>
      <c r="F5685" s="3" t="str">
        <f>VLOOKUP(Base_Periodo1[[#This Row],[Aux]],Base_Contas_Balanco[#All],2,FALSE)</f>
        <v>Capital Social Realizado</v>
      </c>
      <c r="G5685" s="1"/>
      <c r="H5685" s="281">
        <v>50</v>
      </c>
      <c r="I5685" s="281">
        <v>0</v>
      </c>
      <c r="J5685" s="281">
        <v>0</v>
      </c>
      <c r="K5685" s="281">
        <v>50</v>
      </c>
      <c r="L568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85" s="281">
        <f>ROUND(IF(AND(Base_Periodo1[[#This Row],[Tipo_Linha]]="-",Base_Periodo1[[#This Row],[TIPOSALDO]]="D"),Base_Periodo1[[#This Row],[SALDO_ATUAL]]*-1,Base_Periodo1[[#This Row],[SALDO_ATUAL]]),4)</f>
        <v>50</v>
      </c>
      <c r="N5685" t="s">
        <v>116</v>
      </c>
      <c r="O5685" t="s">
        <v>459</v>
      </c>
      <c r="P5685" t="s">
        <v>459</v>
      </c>
      <c r="Q5685">
        <v>6</v>
      </c>
      <c r="R5685" s="281">
        <f>Base_Periodo1[[#This Row],[CREDITOS]]-Base_Periodo1[[#This Row],[DEBITOS]]</f>
        <v>0</v>
      </c>
      <c r="S5685" s="3" t="str">
        <f>IF(ISERROR(VLOOKUP(Base_Periodo1[[#This Row],[CONTA]],BaseContasDRE[#All],4,FALSE)),"Fora do DRE",VLOOKUP(Base_Periodo1[[#This Row],[CONTA]],BaseContasDRE[#All],4,FALSE))</f>
        <v>Fora do DRE</v>
      </c>
      <c r="T5685" s="3" t="str">
        <f>IF(ISERROR(VLOOKUP(Base_Periodo1[[#This Row],[CONTA]],BaseContasDRE[#All],5,FALSE)),"Fora do DRE",VLOOKUP(Base_Periodo1[[#This Row],[CONTA]],BaseContasDRE[#All],6,FALSE))</f>
        <v>Fora do DRE</v>
      </c>
      <c r="U5685" s="3" t="str">
        <f>IF(ISERROR(VLOOKUP(Base_Periodo1[[#This Row],[CONTA]],BaseContasDRE[#All],7,FALSE)),"Fora do DRE",VLOOKUP(Base_Periodo1[[#This Row],[CONTA]],BaseContasDRE[#All],7,FALSE))</f>
        <v>Fora do DRE</v>
      </c>
      <c r="V5685" s="3" t="str">
        <f>IF(Base_Periodo1[[#This Row],[Tipo_Linha]]="Fora do DRE","Fora do DRE","( "&amp;Base_Periodo1[[#This Row],[Tipo_Linha]]&amp;" ) "&amp;Base_Periodo1[[#This Row],[Filtro]])</f>
        <v>Fora do DRE</v>
      </c>
      <c r="W5685" s="3" t="str">
        <f>LEFT(Base_Periodo1[[#This Row],[CLASS]],3)</f>
        <v>2.4</v>
      </c>
    </row>
    <row r="5686" spans="1:23" hidden="1">
      <c r="A5686" s="3" t="str">
        <f t="shared" si="88"/>
        <v>Período 1</v>
      </c>
      <c r="B5686">
        <v>39364</v>
      </c>
      <c r="C5686" t="s">
        <v>2300</v>
      </c>
      <c r="D5686" t="s">
        <v>3469</v>
      </c>
      <c r="E5686" s="3" t="str">
        <f>IF(LEN(Base_Periodo1[[#This Row],[CLASS]])&gt;=7,LEFT(Base_Periodo1[[#This Row],[CLASS]],7),"")</f>
        <v>2.4.1.1</v>
      </c>
      <c r="F5686" s="3" t="str">
        <f>VLOOKUP(Base_Periodo1[[#This Row],[Aux]],Base_Contas_Balanco[#All],2,FALSE)</f>
        <v>Capital Social Realizado</v>
      </c>
      <c r="G5686" s="1"/>
      <c r="H5686" s="281">
        <v>909.02</v>
      </c>
      <c r="I5686" s="281">
        <v>0</v>
      </c>
      <c r="J5686" s="281">
        <v>0</v>
      </c>
      <c r="K5686" s="281">
        <v>909.02</v>
      </c>
      <c r="L568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909.02</v>
      </c>
      <c r="M5686" s="281">
        <f>ROUND(IF(AND(Base_Periodo1[[#This Row],[Tipo_Linha]]="-",Base_Periodo1[[#This Row],[TIPOSALDO]]="D"),Base_Periodo1[[#This Row],[SALDO_ATUAL]]*-1,Base_Periodo1[[#This Row],[SALDO_ATUAL]]),4)</f>
        <v>909.02</v>
      </c>
      <c r="N5686" t="s">
        <v>116</v>
      </c>
      <c r="O5686" t="s">
        <v>459</v>
      </c>
      <c r="P5686" t="s">
        <v>459</v>
      </c>
      <c r="Q5686">
        <v>6</v>
      </c>
      <c r="R5686" s="281">
        <f>Base_Periodo1[[#This Row],[CREDITOS]]-Base_Periodo1[[#This Row],[DEBITOS]]</f>
        <v>0</v>
      </c>
      <c r="S5686" s="3" t="str">
        <f>IF(ISERROR(VLOOKUP(Base_Periodo1[[#This Row],[CONTA]],BaseContasDRE[#All],4,FALSE)),"Fora do DRE",VLOOKUP(Base_Periodo1[[#This Row],[CONTA]],BaseContasDRE[#All],4,FALSE))</f>
        <v>Fora do DRE</v>
      </c>
      <c r="T5686" s="3" t="str">
        <f>IF(ISERROR(VLOOKUP(Base_Periodo1[[#This Row],[CONTA]],BaseContasDRE[#All],5,FALSE)),"Fora do DRE",VLOOKUP(Base_Periodo1[[#This Row],[CONTA]],BaseContasDRE[#All],6,FALSE))</f>
        <v>Fora do DRE</v>
      </c>
      <c r="U5686" s="3" t="str">
        <f>IF(ISERROR(VLOOKUP(Base_Periodo1[[#This Row],[CONTA]],BaseContasDRE[#All],7,FALSE)),"Fora do DRE",VLOOKUP(Base_Periodo1[[#This Row],[CONTA]],BaseContasDRE[#All],7,FALSE))</f>
        <v>Fora do DRE</v>
      </c>
      <c r="V5686" s="3" t="str">
        <f>IF(Base_Periodo1[[#This Row],[Tipo_Linha]]="Fora do DRE","Fora do DRE","( "&amp;Base_Periodo1[[#This Row],[Tipo_Linha]]&amp;" ) "&amp;Base_Periodo1[[#This Row],[Filtro]])</f>
        <v>Fora do DRE</v>
      </c>
      <c r="W5686" s="3" t="str">
        <f>LEFT(Base_Periodo1[[#This Row],[CLASS]],3)</f>
        <v>2.4</v>
      </c>
    </row>
    <row r="5687" spans="1:23" hidden="1">
      <c r="A5687" s="3" t="str">
        <f t="shared" si="88"/>
        <v>Período 1</v>
      </c>
      <c r="B5687">
        <v>59344</v>
      </c>
      <c r="C5687" t="s">
        <v>2300</v>
      </c>
      <c r="D5687" t="s">
        <v>7188</v>
      </c>
      <c r="E5687" s="3" t="str">
        <f>IF(LEN(Base_Periodo1[[#This Row],[CLASS]])&gt;=7,LEFT(Base_Periodo1[[#This Row],[CLASS]],7),"")</f>
        <v>2.4.1.1</v>
      </c>
      <c r="F5687" s="3" t="str">
        <f>VLOOKUP(Base_Periodo1[[#This Row],[Aux]],Base_Contas_Balanco[#All],2,FALSE)</f>
        <v>Capital Social Realizado</v>
      </c>
      <c r="G5687" s="1"/>
      <c r="H5687" s="281"/>
      <c r="I5687" s="281">
        <v>0</v>
      </c>
      <c r="J5687" s="281">
        <v>240</v>
      </c>
      <c r="K5687" s="281">
        <v>240</v>
      </c>
      <c r="L568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687" s="281">
        <f>ROUND(IF(AND(Base_Periodo1[[#This Row],[Tipo_Linha]]="-",Base_Periodo1[[#This Row],[TIPOSALDO]]="D"),Base_Periodo1[[#This Row],[SALDO_ATUAL]]*-1,Base_Periodo1[[#This Row],[SALDO_ATUAL]]),4)</f>
        <v>240</v>
      </c>
      <c r="N5687" t="s">
        <v>116</v>
      </c>
      <c r="O5687" t="s">
        <v>436</v>
      </c>
      <c r="P5687" t="s">
        <v>459</v>
      </c>
      <c r="Q5687">
        <v>6</v>
      </c>
      <c r="R5687" s="281">
        <f>Base_Periodo1[[#This Row],[CREDITOS]]-Base_Periodo1[[#This Row],[DEBITOS]]</f>
        <v>240</v>
      </c>
      <c r="S5687" s="3" t="str">
        <f>IF(ISERROR(VLOOKUP(Base_Periodo1[[#This Row],[CONTA]],BaseContasDRE[#All],4,FALSE)),"Fora do DRE",VLOOKUP(Base_Periodo1[[#This Row],[CONTA]],BaseContasDRE[#All],4,FALSE))</f>
        <v>Fora do DRE</v>
      </c>
      <c r="T5687" s="3" t="str">
        <f>IF(ISERROR(VLOOKUP(Base_Periodo1[[#This Row],[CONTA]],BaseContasDRE[#All],5,FALSE)),"Fora do DRE",VLOOKUP(Base_Periodo1[[#This Row],[CONTA]],BaseContasDRE[#All],6,FALSE))</f>
        <v>Fora do DRE</v>
      </c>
      <c r="U5687" s="3" t="str">
        <f>IF(ISERROR(VLOOKUP(Base_Periodo1[[#This Row],[CONTA]],BaseContasDRE[#All],7,FALSE)),"Fora do DRE",VLOOKUP(Base_Periodo1[[#This Row],[CONTA]],BaseContasDRE[#All],7,FALSE))</f>
        <v>Fora do DRE</v>
      </c>
      <c r="V5687" s="3" t="str">
        <f>IF(Base_Periodo1[[#This Row],[Tipo_Linha]]="Fora do DRE","Fora do DRE","( "&amp;Base_Periodo1[[#This Row],[Tipo_Linha]]&amp;" ) "&amp;Base_Periodo1[[#This Row],[Filtro]])</f>
        <v>Fora do DRE</v>
      </c>
      <c r="W5687" s="3" t="str">
        <f>LEFT(Base_Periodo1[[#This Row],[CLASS]],3)</f>
        <v>2.4</v>
      </c>
    </row>
    <row r="5688" spans="1:23" hidden="1">
      <c r="A5688" s="3" t="str">
        <f t="shared" si="88"/>
        <v>Período 1</v>
      </c>
      <c r="B5688">
        <v>46844</v>
      </c>
      <c r="C5688" t="s">
        <v>2300</v>
      </c>
      <c r="D5688" t="s">
        <v>3470</v>
      </c>
      <c r="E5688" s="3" t="str">
        <f>IF(LEN(Base_Periodo1[[#This Row],[CLASS]])&gt;=7,LEFT(Base_Periodo1[[#This Row],[CLASS]],7),"")</f>
        <v>2.4.1.1</v>
      </c>
      <c r="F5688" s="3" t="str">
        <f>VLOOKUP(Base_Periodo1[[#This Row],[Aux]],Base_Contas_Balanco[#All],2,FALSE)</f>
        <v>Capital Social Realizado</v>
      </c>
      <c r="G5688" s="1"/>
      <c r="H5688" s="281">
        <v>50</v>
      </c>
      <c r="I5688" s="281">
        <v>0</v>
      </c>
      <c r="J5688" s="281">
        <v>0</v>
      </c>
      <c r="K5688" s="281">
        <v>50</v>
      </c>
      <c r="L568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88" s="281">
        <f>ROUND(IF(AND(Base_Periodo1[[#This Row],[Tipo_Linha]]="-",Base_Periodo1[[#This Row],[TIPOSALDO]]="D"),Base_Periodo1[[#This Row],[SALDO_ATUAL]]*-1,Base_Periodo1[[#This Row],[SALDO_ATUAL]]),4)</f>
        <v>50</v>
      </c>
      <c r="N5688" t="s">
        <v>116</v>
      </c>
      <c r="O5688" t="s">
        <v>459</v>
      </c>
      <c r="P5688" t="s">
        <v>459</v>
      </c>
      <c r="Q5688">
        <v>6</v>
      </c>
      <c r="R5688" s="281">
        <f>Base_Periodo1[[#This Row],[CREDITOS]]-Base_Periodo1[[#This Row],[DEBITOS]]</f>
        <v>0</v>
      </c>
      <c r="S5688" s="3" t="str">
        <f>IF(ISERROR(VLOOKUP(Base_Periodo1[[#This Row],[CONTA]],BaseContasDRE[#All],4,FALSE)),"Fora do DRE",VLOOKUP(Base_Periodo1[[#This Row],[CONTA]],BaseContasDRE[#All],4,FALSE))</f>
        <v>Fora do DRE</v>
      </c>
      <c r="T5688" s="3" t="str">
        <f>IF(ISERROR(VLOOKUP(Base_Periodo1[[#This Row],[CONTA]],BaseContasDRE[#All],5,FALSE)),"Fora do DRE",VLOOKUP(Base_Periodo1[[#This Row],[CONTA]],BaseContasDRE[#All],6,FALSE))</f>
        <v>Fora do DRE</v>
      </c>
      <c r="U5688" s="3" t="str">
        <f>IF(ISERROR(VLOOKUP(Base_Periodo1[[#This Row],[CONTA]],BaseContasDRE[#All],7,FALSE)),"Fora do DRE",VLOOKUP(Base_Periodo1[[#This Row],[CONTA]],BaseContasDRE[#All],7,FALSE))</f>
        <v>Fora do DRE</v>
      </c>
      <c r="V5688" s="3" t="str">
        <f>IF(Base_Periodo1[[#This Row],[Tipo_Linha]]="Fora do DRE","Fora do DRE","( "&amp;Base_Periodo1[[#This Row],[Tipo_Linha]]&amp;" ) "&amp;Base_Periodo1[[#This Row],[Filtro]])</f>
        <v>Fora do DRE</v>
      </c>
      <c r="W5688" s="3" t="str">
        <f>LEFT(Base_Periodo1[[#This Row],[CLASS]],3)</f>
        <v>2.4</v>
      </c>
    </row>
    <row r="5689" spans="1:23" hidden="1">
      <c r="A5689" s="3" t="str">
        <f t="shared" si="88"/>
        <v>Período 1</v>
      </c>
      <c r="B5689">
        <v>19782</v>
      </c>
      <c r="C5689" t="s">
        <v>2300</v>
      </c>
      <c r="D5689" t="s">
        <v>3471</v>
      </c>
      <c r="E5689" s="3" t="str">
        <f>IF(LEN(Base_Periodo1[[#This Row],[CLASS]])&gt;=7,LEFT(Base_Periodo1[[#This Row],[CLASS]],7),"")</f>
        <v>2.4.1.1</v>
      </c>
      <c r="F5689" s="3" t="str">
        <f>VLOOKUP(Base_Periodo1[[#This Row],[Aux]],Base_Contas_Balanco[#All],2,FALSE)</f>
        <v>Capital Social Realizado</v>
      </c>
      <c r="G5689" s="1"/>
      <c r="H5689" s="281">
        <v>3448.1499999999996</v>
      </c>
      <c r="I5689" s="281">
        <v>0</v>
      </c>
      <c r="J5689" s="281">
        <v>0</v>
      </c>
      <c r="K5689" s="281">
        <v>3448.1499999999996</v>
      </c>
      <c r="L568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3448.15</v>
      </c>
      <c r="M5689" s="281">
        <f>ROUND(IF(AND(Base_Periodo1[[#This Row],[Tipo_Linha]]="-",Base_Periodo1[[#This Row],[TIPOSALDO]]="D"),Base_Periodo1[[#This Row],[SALDO_ATUAL]]*-1,Base_Periodo1[[#This Row],[SALDO_ATUAL]]),4)</f>
        <v>3448.15</v>
      </c>
      <c r="N5689" t="s">
        <v>116</v>
      </c>
      <c r="O5689" t="s">
        <v>459</v>
      </c>
      <c r="P5689" t="s">
        <v>459</v>
      </c>
      <c r="Q5689">
        <v>6</v>
      </c>
      <c r="R5689" s="281">
        <f>Base_Periodo1[[#This Row],[CREDITOS]]-Base_Periodo1[[#This Row],[DEBITOS]]</f>
        <v>0</v>
      </c>
      <c r="S5689" s="3" t="str">
        <f>IF(ISERROR(VLOOKUP(Base_Periodo1[[#This Row],[CONTA]],BaseContasDRE[#All],4,FALSE)),"Fora do DRE",VLOOKUP(Base_Periodo1[[#This Row],[CONTA]],BaseContasDRE[#All],4,FALSE))</f>
        <v>Fora do DRE</v>
      </c>
      <c r="T5689" s="3" t="str">
        <f>IF(ISERROR(VLOOKUP(Base_Periodo1[[#This Row],[CONTA]],BaseContasDRE[#All],5,FALSE)),"Fora do DRE",VLOOKUP(Base_Periodo1[[#This Row],[CONTA]],BaseContasDRE[#All],6,FALSE))</f>
        <v>Fora do DRE</v>
      </c>
      <c r="U5689" s="3" t="str">
        <f>IF(ISERROR(VLOOKUP(Base_Periodo1[[#This Row],[CONTA]],BaseContasDRE[#All],7,FALSE)),"Fora do DRE",VLOOKUP(Base_Periodo1[[#This Row],[CONTA]],BaseContasDRE[#All],7,FALSE))</f>
        <v>Fora do DRE</v>
      </c>
      <c r="V5689" s="3" t="str">
        <f>IF(Base_Periodo1[[#This Row],[Tipo_Linha]]="Fora do DRE","Fora do DRE","( "&amp;Base_Periodo1[[#This Row],[Tipo_Linha]]&amp;" ) "&amp;Base_Periodo1[[#This Row],[Filtro]])</f>
        <v>Fora do DRE</v>
      </c>
      <c r="W5689" s="3" t="str">
        <f>LEFT(Base_Periodo1[[#This Row],[CLASS]],3)</f>
        <v>2.4</v>
      </c>
    </row>
    <row r="5690" spans="1:23" hidden="1">
      <c r="A5690" s="3" t="str">
        <f t="shared" si="88"/>
        <v>Período 1</v>
      </c>
      <c r="B5690">
        <v>16160</v>
      </c>
      <c r="C5690" t="s">
        <v>2300</v>
      </c>
      <c r="D5690" t="s">
        <v>3472</v>
      </c>
      <c r="E5690" s="3" t="str">
        <f>IF(LEN(Base_Periodo1[[#This Row],[CLASS]])&gt;=7,LEFT(Base_Periodo1[[#This Row],[CLASS]],7),"")</f>
        <v>2.4.1.1</v>
      </c>
      <c r="F5690" s="3" t="str">
        <f>VLOOKUP(Base_Periodo1[[#This Row],[Aux]],Base_Contas_Balanco[#All],2,FALSE)</f>
        <v>Capital Social Realizado</v>
      </c>
      <c r="G5690" s="1"/>
      <c r="H5690" s="281">
        <v>5418.65</v>
      </c>
      <c r="I5690" s="281">
        <v>0</v>
      </c>
      <c r="J5690" s="281">
        <v>0</v>
      </c>
      <c r="K5690" s="281">
        <v>5418.65</v>
      </c>
      <c r="L569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5418.65</v>
      </c>
      <c r="M5690" s="281">
        <f>ROUND(IF(AND(Base_Periodo1[[#This Row],[Tipo_Linha]]="-",Base_Periodo1[[#This Row],[TIPOSALDO]]="D"),Base_Periodo1[[#This Row],[SALDO_ATUAL]]*-1,Base_Periodo1[[#This Row],[SALDO_ATUAL]]),4)</f>
        <v>5418.65</v>
      </c>
      <c r="N5690" t="s">
        <v>116</v>
      </c>
      <c r="O5690" t="s">
        <v>459</v>
      </c>
      <c r="P5690" t="s">
        <v>459</v>
      </c>
      <c r="Q5690">
        <v>6</v>
      </c>
      <c r="R5690" s="281">
        <f>Base_Periodo1[[#This Row],[CREDITOS]]-Base_Periodo1[[#This Row],[DEBITOS]]</f>
        <v>0</v>
      </c>
      <c r="S5690" s="3" t="str">
        <f>IF(ISERROR(VLOOKUP(Base_Periodo1[[#This Row],[CONTA]],BaseContasDRE[#All],4,FALSE)),"Fora do DRE",VLOOKUP(Base_Periodo1[[#This Row],[CONTA]],BaseContasDRE[#All],4,FALSE))</f>
        <v>Fora do DRE</v>
      </c>
      <c r="T5690" s="3" t="str">
        <f>IF(ISERROR(VLOOKUP(Base_Periodo1[[#This Row],[CONTA]],BaseContasDRE[#All],5,FALSE)),"Fora do DRE",VLOOKUP(Base_Periodo1[[#This Row],[CONTA]],BaseContasDRE[#All],6,FALSE))</f>
        <v>Fora do DRE</v>
      </c>
      <c r="U5690" s="3" t="str">
        <f>IF(ISERROR(VLOOKUP(Base_Periodo1[[#This Row],[CONTA]],BaseContasDRE[#All],7,FALSE)),"Fora do DRE",VLOOKUP(Base_Periodo1[[#This Row],[CONTA]],BaseContasDRE[#All],7,FALSE))</f>
        <v>Fora do DRE</v>
      </c>
      <c r="V5690" s="3" t="str">
        <f>IF(Base_Periodo1[[#This Row],[Tipo_Linha]]="Fora do DRE","Fora do DRE","( "&amp;Base_Periodo1[[#This Row],[Tipo_Linha]]&amp;" ) "&amp;Base_Periodo1[[#This Row],[Filtro]])</f>
        <v>Fora do DRE</v>
      </c>
      <c r="W5690" s="3" t="str">
        <f>LEFT(Base_Periodo1[[#This Row],[CLASS]],3)</f>
        <v>2.4</v>
      </c>
    </row>
    <row r="5691" spans="1:23" hidden="1">
      <c r="A5691" s="3" t="str">
        <f t="shared" si="88"/>
        <v>Período 1</v>
      </c>
      <c r="B5691">
        <v>16228</v>
      </c>
      <c r="C5691" t="s">
        <v>2300</v>
      </c>
      <c r="D5691" t="s">
        <v>3473</v>
      </c>
      <c r="E5691" s="3" t="str">
        <f>IF(LEN(Base_Periodo1[[#This Row],[CLASS]])&gt;=7,LEFT(Base_Periodo1[[#This Row],[CLASS]],7),"")</f>
        <v>2.4.1.1</v>
      </c>
      <c r="F5691" s="3" t="str">
        <f>VLOOKUP(Base_Periodo1[[#This Row],[Aux]],Base_Contas_Balanco[#All],2,FALSE)</f>
        <v>Capital Social Realizado</v>
      </c>
      <c r="G5691" s="1"/>
      <c r="H5691" s="281">
        <v>1058.24</v>
      </c>
      <c r="I5691" s="281">
        <v>0</v>
      </c>
      <c r="J5691" s="281">
        <v>0</v>
      </c>
      <c r="K5691" s="281">
        <v>1058.24</v>
      </c>
      <c r="L569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1058.24</v>
      </c>
      <c r="M5691" s="281">
        <f>ROUND(IF(AND(Base_Periodo1[[#This Row],[Tipo_Linha]]="-",Base_Periodo1[[#This Row],[TIPOSALDO]]="D"),Base_Periodo1[[#This Row],[SALDO_ATUAL]]*-1,Base_Periodo1[[#This Row],[SALDO_ATUAL]]),4)</f>
        <v>1058.24</v>
      </c>
      <c r="N5691" t="s">
        <v>116</v>
      </c>
      <c r="O5691" t="s">
        <v>459</v>
      </c>
      <c r="P5691" t="s">
        <v>459</v>
      </c>
      <c r="Q5691">
        <v>6</v>
      </c>
      <c r="R5691" s="281">
        <f>Base_Periodo1[[#This Row],[CREDITOS]]-Base_Periodo1[[#This Row],[DEBITOS]]</f>
        <v>0</v>
      </c>
      <c r="S5691" s="3" t="str">
        <f>IF(ISERROR(VLOOKUP(Base_Periodo1[[#This Row],[CONTA]],BaseContasDRE[#All],4,FALSE)),"Fora do DRE",VLOOKUP(Base_Periodo1[[#This Row],[CONTA]],BaseContasDRE[#All],4,FALSE))</f>
        <v>Fora do DRE</v>
      </c>
      <c r="T5691" s="3" t="str">
        <f>IF(ISERROR(VLOOKUP(Base_Periodo1[[#This Row],[CONTA]],BaseContasDRE[#All],5,FALSE)),"Fora do DRE",VLOOKUP(Base_Periodo1[[#This Row],[CONTA]],BaseContasDRE[#All],6,FALSE))</f>
        <v>Fora do DRE</v>
      </c>
      <c r="U5691" s="3" t="str">
        <f>IF(ISERROR(VLOOKUP(Base_Periodo1[[#This Row],[CONTA]],BaseContasDRE[#All],7,FALSE)),"Fora do DRE",VLOOKUP(Base_Periodo1[[#This Row],[CONTA]],BaseContasDRE[#All],7,FALSE))</f>
        <v>Fora do DRE</v>
      </c>
      <c r="V5691" s="3" t="str">
        <f>IF(Base_Periodo1[[#This Row],[Tipo_Linha]]="Fora do DRE","Fora do DRE","( "&amp;Base_Periodo1[[#This Row],[Tipo_Linha]]&amp;" ) "&amp;Base_Periodo1[[#This Row],[Filtro]])</f>
        <v>Fora do DRE</v>
      </c>
      <c r="W5691" s="3" t="str">
        <f>LEFT(Base_Periodo1[[#This Row],[CLASS]],3)</f>
        <v>2.4</v>
      </c>
    </row>
    <row r="5692" spans="1:23" hidden="1">
      <c r="A5692" s="3" t="str">
        <f t="shared" si="88"/>
        <v>Período 1</v>
      </c>
      <c r="B5692">
        <v>55551</v>
      </c>
      <c r="C5692" t="s">
        <v>2300</v>
      </c>
      <c r="D5692" t="s">
        <v>5460</v>
      </c>
      <c r="E5692" s="3" t="str">
        <f>IF(LEN(Base_Periodo1[[#This Row],[CLASS]])&gt;=7,LEFT(Base_Periodo1[[#This Row],[CLASS]],7),"")</f>
        <v>2.4.1.1</v>
      </c>
      <c r="F5692" s="3" t="str">
        <f>VLOOKUP(Base_Periodo1[[#This Row],[Aux]],Base_Contas_Balanco[#All],2,FALSE)</f>
        <v>Capital Social Realizado</v>
      </c>
      <c r="G5692" s="1"/>
      <c r="H5692" s="281">
        <v>50</v>
      </c>
      <c r="I5692" s="281">
        <v>0</v>
      </c>
      <c r="J5692" s="281">
        <v>0</v>
      </c>
      <c r="K5692" s="281">
        <v>50</v>
      </c>
      <c r="L569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692" s="281">
        <f>ROUND(IF(AND(Base_Periodo1[[#This Row],[Tipo_Linha]]="-",Base_Periodo1[[#This Row],[TIPOSALDO]]="D"),Base_Periodo1[[#This Row],[SALDO_ATUAL]]*-1,Base_Periodo1[[#This Row],[SALDO_ATUAL]]),4)</f>
        <v>50</v>
      </c>
      <c r="N5692" t="s">
        <v>116</v>
      </c>
      <c r="O5692" t="s">
        <v>459</v>
      </c>
      <c r="P5692" t="s">
        <v>459</v>
      </c>
      <c r="Q5692">
        <v>6</v>
      </c>
      <c r="R5692" s="281">
        <f>Base_Periodo1[[#This Row],[CREDITOS]]-Base_Periodo1[[#This Row],[DEBITOS]]</f>
        <v>0</v>
      </c>
      <c r="S5692" s="3" t="str">
        <f>IF(ISERROR(VLOOKUP(Base_Periodo1[[#This Row],[CONTA]],BaseContasDRE[#All],4,FALSE)),"Fora do DRE",VLOOKUP(Base_Periodo1[[#This Row],[CONTA]],BaseContasDRE[#All],4,FALSE))</f>
        <v>Fora do DRE</v>
      </c>
      <c r="T5692" s="3" t="str">
        <f>IF(ISERROR(VLOOKUP(Base_Periodo1[[#This Row],[CONTA]],BaseContasDRE[#All],5,FALSE)),"Fora do DRE",VLOOKUP(Base_Periodo1[[#This Row],[CONTA]],BaseContasDRE[#All],6,FALSE))</f>
        <v>Fora do DRE</v>
      </c>
      <c r="U5692" s="3" t="str">
        <f>IF(ISERROR(VLOOKUP(Base_Periodo1[[#This Row],[CONTA]],BaseContasDRE[#All],7,FALSE)),"Fora do DRE",VLOOKUP(Base_Periodo1[[#This Row],[CONTA]],BaseContasDRE[#All],7,FALSE))</f>
        <v>Fora do DRE</v>
      </c>
      <c r="V5692" s="3" t="str">
        <f>IF(Base_Periodo1[[#This Row],[Tipo_Linha]]="Fora do DRE","Fora do DRE","( "&amp;Base_Periodo1[[#This Row],[Tipo_Linha]]&amp;" ) "&amp;Base_Periodo1[[#This Row],[Filtro]])</f>
        <v>Fora do DRE</v>
      </c>
      <c r="W5692" s="3" t="str">
        <f>LEFT(Base_Periodo1[[#This Row],[CLASS]],3)</f>
        <v>2.4</v>
      </c>
    </row>
    <row r="5693" spans="1:23" hidden="1">
      <c r="A5693" s="3" t="str">
        <f t="shared" si="88"/>
        <v>Período 1</v>
      </c>
      <c r="B5693">
        <v>15959</v>
      </c>
      <c r="C5693" t="s">
        <v>2300</v>
      </c>
      <c r="D5693" t="s">
        <v>3474</v>
      </c>
      <c r="E5693" s="3" t="str">
        <f>IF(LEN(Base_Periodo1[[#This Row],[CLASS]])&gt;=7,LEFT(Base_Periodo1[[#This Row],[CLASS]],7),"")</f>
        <v>2.4.1.1</v>
      </c>
      <c r="F5693" s="3" t="str">
        <f>VLOOKUP(Base_Periodo1[[#This Row],[Aux]],Base_Contas_Balanco[#All],2,FALSE)</f>
        <v>Capital Social Realizado</v>
      </c>
      <c r="G5693" s="1"/>
      <c r="H5693" s="281">
        <v>8790.58</v>
      </c>
      <c r="I5693" s="281">
        <v>0</v>
      </c>
      <c r="J5693" s="281">
        <v>0</v>
      </c>
      <c r="K5693" s="281">
        <v>8790.58</v>
      </c>
      <c r="L569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8790.58</v>
      </c>
      <c r="M5693" s="281">
        <f>ROUND(IF(AND(Base_Periodo1[[#This Row],[Tipo_Linha]]="-",Base_Periodo1[[#This Row],[TIPOSALDO]]="D"),Base_Periodo1[[#This Row],[SALDO_ATUAL]]*-1,Base_Periodo1[[#This Row],[SALDO_ATUAL]]),4)</f>
        <v>8790.58</v>
      </c>
      <c r="N5693" t="s">
        <v>116</v>
      </c>
      <c r="O5693" t="s">
        <v>459</v>
      </c>
      <c r="P5693" t="s">
        <v>459</v>
      </c>
      <c r="Q5693">
        <v>6</v>
      </c>
      <c r="R5693" s="281">
        <f>Base_Periodo1[[#This Row],[CREDITOS]]-Base_Periodo1[[#This Row],[DEBITOS]]</f>
        <v>0</v>
      </c>
      <c r="S5693" s="3" t="str">
        <f>IF(ISERROR(VLOOKUP(Base_Periodo1[[#This Row],[CONTA]],BaseContasDRE[#All],4,FALSE)),"Fora do DRE",VLOOKUP(Base_Periodo1[[#This Row],[CONTA]],BaseContasDRE[#All],4,FALSE))</f>
        <v>Fora do DRE</v>
      </c>
      <c r="T5693" s="3" t="str">
        <f>IF(ISERROR(VLOOKUP(Base_Periodo1[[#This Row],[CONTA]],BaseContasDRE[#All],5,FALSE)),"Fora do DRE",VLOOKUP(Base_Periodo1[[#This Row],[CONTA]],BaseContasDRE[#All],6,FALSE))</f>
        <v>Fora do DRE</v>
      </c>
      <c r="U5693" s="3" t="str">
        <f>IF(ISERROR(VLOOKUP(Base_Periodo1[[#This Row],[CONTA]],BaseContasDRE[#All],7,FALSE)),"Fora do DRE",VLOOKUP(Base_Periodo1[[#This Row],[CONTA]],BaseContasDRE[#All],7,FALSE))</f>
        <v>Fora do DRE</v>
      </c>
      <c r="V5693" s="3" t="str">
        <f>IF(Base_Periodo1[[#This Row],[Tipo_Linha]]="Fora do DRE","Fora do DRE","( "&amp;Base_Periodo1[[#This Row],[Tipo_Linha]]&amp;" ) "&amp;Base_Periodo1[[#This Row],[Filtro]])</f>
        <v>Fora do DRE</v>
      </c>
      <c r="W5693" s="3" t="str">
        <f>LEFT(Base_Periodo1[[#This Row],[CLASS]],3)</f>
        <v>2.4</v>
      </c>
    </row>
    <row r="5694" spans="1:23" hidden="1">
      <c r="A5694" s="3" t="str">
        <f t="shared" si="88"/>
        <v>Período 1</v>
      </c>
      <c r="B5694">
        <v>16232</v>
      </c>
      <c r="C5694" t="s">
        <v>2300</v>
      </c>
      <c r="D5694" t="s">
        <v>3475</v>
      </c>
      <c r="E5694" s="3" t="str">
        <f>IF(LEN(Base_Periodo1[[#This Row],[CLASS]])&gt;=7,LEFT(Base_Periodo1[[#This Row],[CLASS]],7),"")</f>
        <v>2.4.1.1</v>
      </c>
      <c r="F5694" s="3" t="str">
        <f>VLOOKUP(Base_Periodo1[[#This Row],[Aux]],Base_Contas_Balanco[#All],2,FALSE)</f>
        <v>Capital Social Realizado</v>
      </c>
      <c r="G5694" s="1"/>
      <c r="H5694" s="281">
        <v>3126.2400000000002</v>
      </c>
      <c r="I5694" s="281">
        <v>0</v>
      </c>
      <c r="J5694" s="281">
        <v>0</v>
      </c>
      <c r="K5694" s="281">
        <v>3126.2400000000002</v>
      </c>
      <c r="L569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3126.24</v>
      </c>
      <c r="M5694" s="281">
        <f>ROUND(IF(AND(Base_Periodo1[[#This Row],[Tipo_Linha]]="-",Base_Periodo1[[#This Row],[TIPOSALDO]]="D"),Base_Periodo1[[#This Row],[SALDO_ATUAL]]*-1,Base_Periodo1[[#This Row],[SALDO_ATUAL]]),4)</f>
        <v>3126.24</v>
      </c>
      <c r="N5694" t="s">
        <v>116</v>
      </c>
      <c r="O5694" t="s">
        <v>459</v>
      </c>
      <c r="P5694" t="s">
        <v>459</v>
      </c>
      <c r="Q5694">
        <v>6</v>
      </c>
      <c r="R5694" s="281">
        <f>Base_Periodo1[[#This Row],[CREDITOS]]-Base_Periodo1[[#This Row],[DEBITOS]]</f>
        <v>0</v>
      </c>
      <c r="S5694" s="3" t="str">
        <f>IF(ISERROR(VLOOKUP(Base_Periodo1[[#This Row],[CONTA]],BaseContasDRE[#All],4,FALSE)),"Fora do DRE",VLOOKUP(Base_Periodo1[[#This Row],[CONTA]],BaseContasDRE[#All],4,FALSE))</f>
        <v>Fora do DRE</v>
      </c>
      <c r="T5694" s="3" t="str">
        <f>IF(ISERROR(VLOOKUP(Base_Periodo1[[#This Row],[CONTA]],BaseContasDRE[#All],5,FALSE)),"Fora do DRE",VLOOKUP(Base_Periodo1[[#This Row],[CONTA]],BaseContasDRE[#All],6,FALSE))</f>
        <v>Fora do DRE</v>
      </c>
      <c r="U5694" s="3" t="str">
        <f>IF(ISERROR(VLOOKUP(Base_Periodo1[[#This Row],[CONTA]],BaseContasDRE[#All],7,FALSE)),"Fora do DRE",VLOOKUP(Base_Periodo1[[#This Row],[CONTA]],BaseContasDRE[#All],7,FALSE))</f>
        <v>Fora do DRE</v>
      </c>
      <c r="V5694" s="3" t="str">
        <f>IF(Base_Periodo1[[#This Row],[Tipo_Linha]]="Fora do DRE","Fora do DRE","( "&amp;Base_Periodo1[[#This Row],[Tipo_Linha]]&amp;" ) "&amp;Base_Periodo1[[#This Row],[Filtro]])</f>
        <v>Fora do DRE</v>
      </c>
      <c r="W5694" s="3" t="str">
        <f>LEFT(Base_Periodo1[[#This Row],[CLASS]],3)</f>
        <v>2.4</v>
      </c>
    </row>
    <row r="5695" spans="1:23" hidden="1">
      <c r="A5695" s="3" t="str">
        <f t="shared" si="88"/>
        <v>Período 1</v>
      </c>
      <c r="B5695">
        <v>26618</v>
      </c>
      <c r="C5695" t="s">
        <v>2300</v>
      </c>
      <c r="D5695" t="s">
        <v>3476</v>
      </c>
      <c r="E5695" s="3" t="str">
        <f>IF(LEN(Base_Periodo1[[#This Row],[CLASS]])&gt;=7,LEFT(Base_Periodo1[[#This Row],[CLASS]],7),"")</f>
        <v>2.4.1.1</v>
      </c>
      <c r="F5695" s="3" t="str">
        <f>VLOOKUP(Base_Periodo1[[#This Row],[Aux]],Base_Contas_Balanco[#All],2,FALSE)</f>
        <v>Capital Social Realizado</v>
      </c>
      <c r="G5695" s="1"/>
      <c r="H5695" s="281">
        <v>100.66</v>
      </c>
      <c r="I5695" s="281">
        <v>0</v>
      </c>
      <c r="J5695" s="281">
        <v>0</v>
      </c>
      <c r="K5695" s="281">
        <v>100.66</v>
      </c>
      <c r="L569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100.66</v>
      </c>
      <c r="M5695" s="281">
        <f>ROUND(IF(AND(Base_Periodo1[[#This Row],[Tipo_Linha]]="-",Base_Periodo1[[#This Row],[TIPOSALDO]]="D"),Base_Periodo1[[#This Row],[SALDO_ATUAL]]*-1,Base_Periodo1[[#This Row],[SALDO_ATUAL]]),4)</f>
        <v>100.66</v>
      </c>
      <c r="N5695" t="s">
        <v>116</v>
      </c>
      <c r="O5695" t="s">
        <v>459</v>
      </c>
      <c r="P5695" t="s">
        <v>459</v>
      </c>
      <c r="Q5695">
        <v>6</v>
      </c>
      <c r="R5695" s="281">
        <f>Base_Periodo1[[#This Row],[CREDITOS]]-Base_Periodo1[[#This Row],[DEBITOS]]</f>
        <v>0</v>
      </c>
      <c r="S5695" s="3" t="str">
        <f>IF(ISERROR(VLOOKUP(Base_Periodo1[[#This Row],[CONTA]],BaseContasDRE[#All],4,FALSE)),"Fora do DRE",VLOOKUP(Base_Periodo1[[#This Row],[CONTA]],BaseContasDRE[#All],4,FALSE))</f>
        <v>Fora do DRE</v>
      </c>
      <c r="T5695" s="3" t="str">
        <f>IF(ISERROR(VLOOKUP(Base_Periodo1[[#This Row],[CONTA]],BaseContasDRE[#All],5,FALSE)),"Fora do DRE",VLOOKUP(Base_Periodo1[[#This Row],[CONTA]],BaseContasDRE[#All],6,FALSE))</f>
        <v>Fora do DRE</v>
      </c>
      <c r="U5695" s="3" t="str">
        <f>IF(ISERROR(VLOOKUP(Base_Periodo1[[#This Row],[CONTA]],BaseContasDRE[#All],7,FALSE)),"Fora do DRE",VLOOKUP(Base_Periodo1[[#This Row],[CONTA]],BaseContasDRE[#All],7,FALSE))</f>
        <v>Fora do DRE</v>
      </c>
      <c r="V5695" s="3" t="str">
        <f>IF(Base_Periodo1[[#This Row],[Tipo_Linha]]="Fora do DRE","Fora do DRE","( "&amp;Base_Periodo1[[#This Row],[Tipo_Linha]]&amp;" ) "&amp;Base_Periodo1[[#This Row],[Filtro]])</f>
        <v>Fora do DRE</v>
      </c>
      <c r="W5695" s="3" t="str">
        <f>LEFT(Base_Periodo1[[#This Row],[CLASS]],3)</f>
        <v>2.4</v>
      </c>
    </row>
    <row r="5696" spans="1:23" hidden="1">
      <c r="A5696" s="3" t="str">
        <f t="shared" si="88"/>
        <v>Período 1</v>
      </c>
      <c r="B5696">
        <v>19403</v>
      </c>
      <c r="C5696" t="s">
        <v>2300</v>
      </c>
      <c r="D5696" t="s">
        <v>3477</v>
      </c>
      <c r="E5696" s="3" t="str">
        <f>IF(LEN(Base_Periodo1[[#This Row],[CLASS]])&gt;=7,LEFT(Base_Periodo1[[#This Row],[CLASS]],7),"")</f>
        <v>2.4.1.1</v>
      </c>
      <c r="F5696" s="3" t="str">
        <f>VLOOKUP(Base_Periodo1[[#This Row],[Aux]],Base_Contas_Balanco[#All],2,FALSE)</f>
        <v>Capital Social Realizado</v>
      </c>
      <c r="G5696" s="1"/>
      <c r="H5696" s="281">
        <v>262.64999999999998</v>
      </c>
      <c r="I5696" s="281">
        <v>0</v>
      </c>
      <c r="J5696" s="281">
        <v>0</v>
      </c>
      <c r="K5696" s="281">
        <v>262.64999999999998</v>
      </c>
      <c r="L569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262.64999999999998</v>
      </c>
      <c r="M5696" s="281">
        <f>ROUND(IF(AND(Base_Periodo1[[#This Row],[Tipo_Linha]]="-",Base_Periodo1[[#This Row],[TIPOSALDO]]="D"),Base_Periodo1[[#This Row],[SALDO_ATUAL]]*-1,Base_Periodo1[[#This Row],[SALDO_ATUAL]]),4)</f>
        <v>262.64999999999998</v>
      </c>
      <c r="N5696" t="s">
        <v>116</v>
      </c>
      <c r="O5696" t="s">
        <v>459</v>
      </c>
      <c r="P5696" t="s">
        <v>459</v>
      </c>
      <c r="Q5696">
        <v>6</v>
      </c>
      <c r="R5696" s="281">
        <f>Base_Periodo1[[#This Row],[CREDITOS]]-Base_Periodo1[[#This Row],[DEBITOS]]</f>
        <v>0</v>
      </c>
      <c r="S5696" s="3" t="str">
        <f>IF(ISERROR(VLOOKUP(Base_Periodo1[[#This Row],[CONTA]],BaseContasDRE[#All],4,FALSE)),"Fora do DRE",VLOOKUP(Base_Periodo1[[#This Row],[CONTA]],BaseContasDRE[#All],4,FALSE))</f>
        <v>Fora do DRE</v>
      </c>
      <c r="T5696" s="3" t="str">
        <f>IF(ISERROR(VLOOKUP(Base_Periodo1[[#This Row],[CONTA]],BaseContasDRE[#All],5,FALSE)),"Fora do DRE",VLOOKUP(Base_Periodo1[[#This Row],[CONTA]],BaseContasDRE[#All],6,FALSE))</f>
        <v>Fora do DRE</v>
      </c>
      <c r="U5696" s="3" t="str">
        <f>IF(ISERROR(VLOOKUP(Base_Periodo1[[#This Row],[CONTA]],BaseContasDRE[#All],7,FALSE)),"Fora do DRE",VLOOKUP(Base_Periodo1[[#This Row],[CONTA]],BaseContasDRE[#All],7,FALSE))</f>
        <v>Fora do DRE</v>
      </c>
      <c r="V5696" s="3" t="str">
        <f>IF(Base_Periodo1[[#This Row],[Tipo_Linha]]="Fora do DRE","Fora do DRE","( "&amp;Base_Periodo1[[#This Row],[Tipo_Linha]]&amp;" ) "&amp;Base_Periodo1[[#This Row],[Filtro]])</f>
        <v>Fora do DRE</v>
      </c>
      <c r="W5696" s="3" t="str">
        <f>LEFT(Base_Periodo1[[#This Row],[CLASS]],3)</f>
        <v>2.4</v>
      </c>
    </row>
    <row r="5697" spans="1:23" hidden="1">
      <c r="A5697" s="3" t="str">
        <f t="shared" si="88"/>
        <v>Período 1</v>
      </c>
      <c r="B5697">
        <v>47288</v>
      </c>
      <c r="C5697" t="s">
        <v>2300</v>
      </c>
      <c r="D5697" t="s">
        <v>3478</v>
      </c>
      <c r="E5697" s="3" t="str">
        <f>IF(LEN(Base_Periodo1[[#This Row],[CLASS]])&gt;=7,LEFT(Base_Periodo1[[#This Row],[CLASS]],7),"")</f>
        <v>2.4.1.1</v>
      </c>
      <c r="F5697" s="3" t="str">
        <f>VLOOKUP(Base_Periodo1[[#This Row],[Aux]],Base_Contas_Balanco[#All],2,FALSE)</f>
        <v>Capital Social Realizado</v>
      </c>
      <c r="G5697" s="1"/>
      <c r="H5697" s="281">
        <v>53.72</v>
      </c>
      <c r="I5697" s="281">
        <v>0</v>
      </c>
      <c r="J5697" s="281">
        <v>0</v>
      </c>
      <c r="K5697" s="281">
        <v>53.72</v>
      </c>
      <c r="L569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53.72</v>
      </c>
      <c r="M5697" s="281">
        <f>ROUND(IF(AND(Base_Periodo1[[#This Row],[Tipo_Linha]]="-",Base_Periodo1[[#This Row],[TIPOSALDO]]="D"),Base_Periodo1[[#This Row],[SALDO_ATUAL]]*-1,Base_Periodo1[[#This Row],[SALDO_ATUAL]]),4)</f>
        <v>53.72</v>
      </c>
      <c r="N5697" t="s">
        <v>116</v>
      </c>
      <c r="O5697" t="s">
        <v>459</v>
      </c>
      <c r="P5697" t="s">
        <v>459</v>
      </c>
      <c r="Q5697">
        <v>6</v>
      </c>
      <c r="R5697" s="281">
        <f>Base_Periodo1[[#This Row],[CREDITOS]]-Base_Periodo1[[#This Row],[DEBITOS]]</f>
        <v>0</v>
      </c>
      <c r="S5697" s="3" t="str">
        <f>IF(ISERROR(VLOOKUP(Base_Periodo1[[#This Row],[CONTA]],BaseContasDRE[#All],4,FALSE)),"Fora do DRE",VLOOKUP(Base_Periodo1[[#This Row],[CONTA]],BaseContasDRE[#All],4,FALSE))</f>
        <v>Fora do DRE</v>
      </c>
      <c r="T5697" s="3" t="str">
        <f>IF(ISERROR(VLOOKUP(Base_Periodo1[[#This Row],[CONTA]],BaseContasDRE[#All],5,FALSE)),"Fora do DRE",VLOOKUP(Base_Periodo1[[#This Row],[CONTA]],BaseContasDRE[#All],6,FALSE))</f>
        <v>Fora do DRE</v>
      </c>
      <c r="U5697" s="3" t="str">
        <f>IF(ISERROR(VLOOKUP(Base_Periodo1[[#This Row],[CONTA]],BaseContasDRE[#All],7,FALSE)),"Fora do DRE",VLOOKUP(Base_Periodo1[[#This Row],[CONTA]],BaseContasDRE[#All],7,FALSE))</f>
        <v>Fora do DRE</v>
      </c>
      <c r="V5697" s="3" t="str">
        <f>IF(Base_Periodo1[[#This Row],[Tipo_Linha]]="Fora do DRE","Fora do DRE","( "&amp;Base_Periodo1[[#This Row],[Tipo_Linha]]&amp;" ) "&amp;Base_Periodo1[[#This Row],[Filtro]])</f>
        <v>Fora do DRE</v>
      </c>
      <c r="W5697" s="3" t="str">
        <f>LEFT(Base_Periodo1[[#This Row],[CLASS]],3)</f>
        <v>2.4</v>
      </c>
    </row>
    <row r="5698" spans="1:23" hidden="1">
      <c r="A5698" s="3" t="str">
        <f t="shared" si="88"/>
        <v>Período 1</v>
      </c>
      <c r="B5698">
        <v>25841</v>
      </c>
      <c r="C5698" t="s">
        <v>2300</v>
      </c>
      <c r="D5698" t="s">
        <v>3479</v>
      </c>
      <c r="E5698" s="3" t="str">
        <f>IF(LEN(Base_Periodo1[[#This Row],[CLASS]])&gt;=7,LEFT(Base_Periodo1[[#This Row],[CLASS]],7),"")</f>
        <v>2.4.1.1</v>
      </c>
      <c r="F5698" s="3" t="str">
        <f>VLOOKUP(Base_Periodo1[[#This Row],[Aux]],Base_Contas_Balanco[#All],2,FALSE)</f>
        <v>Capital Social Realizado</v>
      </c>
      <c r="G5698" s="1"/>
      <c r="H5698" s="281">
        <v>189.75</v>
      </c>
      <c r="I5698" s="281">
        <v>0</v>
      </c>
      <c r="J5698" s="281">
        <v>0</v>
      </c>
      <c r="K5698" s="281">
        <v>189.75</v>
      </c>
      <c r="L569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189.75</v>
      </c>
      <c r="M5698" s="281">
        <f>ROUND(IF(AND(Base_Periodo1[[#This Row],[Tipo_Linha]]="-",Base_Periodo1[[#This Row],[TIPOSALDO]]="D"),Base_Periodo1[[#This Row],[SALDO_ATUAL]]*-1,Base_Periodo1[[#This Row],[SALDO_ATUAL]]),4)</f>
        <v>189.75</v>
      </c>
      <c r="N5698" t="s">
        <v>116</v>
      </c>
      <c r="O5698" t="s">
        <v>459</v>
      </c>
      <c r="P5698" t="s">
        <v>459</v>
      </c>
      <c r="Q5698">
        <v>6</v>
      </c>
      <c r="R5698" s="281">
        <f>Base_Periodo1[[#This Row],[CREDITOS]]-Base_Periodo1[[#This Row],[DEBITOS]]</f>
        <v>0</v>
      </c>
      <c r="S5698" s="3" t="str">
        <f>IF(ISERROR(VLOOKUP(Base_Periodo1[[#This Row],[CONTA]],BaseContasDRE[#All],4,FALSE)),"Fora do DRE",VLOOKUP(Base_Periodo1[[#This Row],[CONTA]],BaseContasDRE[#All],4,FALSE))</f>
        <v>Fora do DRE</v>
      </c>
      <c r="T5698" s="3" t="str">
        <f>IF(ISERROR(VLOOKUP(Base_Periodo1[[#This Row],[CONTA]],BaseContasDRE[#All],5,FALSE)),"Fora do DRE",VLOOKUP(Base_Periodo1[[#This Row],[CONTA]],BaseContasDRE[#All],6,FALSE))</f>
        <v>Fora do DRE</v>
      </c>
      <c r="U5698" s="3" t="str">
        <f>IF(ISERROR(VLOOKUP(Base_Periodo1[[#This Row],[CONTA]],BaseContasDRE[#All],7,FALSE)),"Fora do DRE",VLOOKUP(Base_Periodo1[[#This Row],[CONTA]],BaseContasDRE[#All],7,FALSE))</f>
        <v>Fora do DRE</v>
      </c>
      <c r="V5698" s="3" t="str">
        <f>IF(Base_Periodo1[[#This Row],[Tipo_Linha]]="Fora do DRE","Fora do DRE","( "&amp;Base_Periodo1[[#This Row],[Tipo_Linha]]&amp;" ) "&amp;Base_Periodo1[[#This Row],[Filtro]])</f>
        <v>Fora do DRE</v>
      </c>
      <c r="W5698" s="3" t="str">
        <f>LEFT(Base_Periodo1[[#This Row],[CLASS]],3)</f>
        <v>2.4</v>
      </c>
    </row>
    <row r="5699" spans="1:23" hidden="1">
      <c r="A5699" s="3" t="str">
        <f t="shared" si="88"/>
        <v>Período 1</v>
      </c>
      <c r="B5699">
        <v>15925</v>
      </c>
      <c r="C5699" t="s">
        <v>2300</v>
      </c>
      <c r="D5699" t="s">
        <v>3480</v>
      </c>
      <c r="E5699" s="3" t="str">
        <f>IF(LEN(Base_Periodo1[[#This Row],[CLASS]])&gt;=7,LEFT(Base_Periodo1[[#This Row],[CLASS]],7),"")</f>
        <v>2.4.1.1</v>
      </c>
      <c r="F5699" s="3" t="str">
        <f>VLOOKUP(Base_Periodo1[[#This Row],[Aux]],Base_Contas_Balanco[#All],2,FALSE)</f>
        <v>Capital Social Realizado</v>
      </c>
      <c r="G5699" s="1"/>
      <c r="H5699" s="281">
        <v>6434.3099999999995</v>
      </c>
      <c r="I5699" s="281">
        <v>0</v>
      </c>
      <c r="J5699" s="281">
        <v>0</v>
      </c>
      <c r="K5699" s="281">
        <v>6434.3099999999995</v>
      </c>
      <c r="L569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6434.31</v>
      </c>
      <c r="M5699" s="281">
        <f>ROUND(IF(AND(Base_Periodo1[[#This Row],[Tipo_Linha]]="-",Base_Periodo1[[#This Row],[TIPOSALDO]]="D"),Base_Periodo1[[#This Row],[SALDO_ATUAL]]*-1,Base_Periodo1[[#This Row],[SALDO_ATUAL]]),4)</f>
        <v>6434.31</v>
      </c>
      <c r="N5699" t="s">
        <v>116</v>
      </c>
      <c r="O5699" t="s">
        <v>459</v>
      </c>
      <c r="P5699" t="s">
        <v>459</v>
      </c>
      <c r="Q5699">
        <v>6</v>
      </c>
      <c r="R5699" s="281">
        <f>Base_Periodo1[[#This Row],[CREDITOS]]-Base_Periodo1[[#This Row],[DEBITOS]]</f>
        <v>0</v>
      </c>
      <c r="S5699" s="3" t="str">
        <f>IF(ISERROR(VLOOKUP(Base_Periodo1[[#This Row],[CONTA]],BaseContasDRE[#All],4,FALSE)),"Fora do DRE",VLOOKUP(Base_Periodo1[[#This Row],[CONTA]],BaseContasDRE[#All],4,FALSE))</f>
        <v>Fora do DRE</v>
      </c>
      <c r="T5699" s="3" t="str">
        <f>IF(ISERROR(VLOOKUP(Base_Periodo1[[#This Row],[CONTA]],BaseContasDRE[#All],5,FALSE)),"Fora do DRE",VLOOKUP(Base_Periodo1[[#This Row],[CONTA]],BaseContasDRE[#All],6,FALSE))</f>
        <v>Fora do DRE</v>
      </c>
      <c r="U5699" s="3" t="str">
        <f>IF(ISERROR(VLOOKUP(Base_Periodo1[[#This Row],[CONTA]],BaseContasDRE[#All],7,FALSE)),"Fora do DRE",VLOOKUP(Base_Periodo1[[#This Row],[CONTA]],BaseContasDRE[#All],7,FALSE))</f>
        <v>Fora do DRE</v>
      </c>
      <c r="V5699" s="3" t="str">
        <f>IF(Base_Periodo1[[#This Row],[Tipo_Linha]]="Fora do DRE","Fora do DRE","( "&amp;Base_Periodo1[[#This Row],[Tipo_Linha]]&amp;" ) "&amp;Base_Periodo1[[#This Row],[Filtro]])</f>
        <v>Fora do DRE</v>
      </c>
      <c r="W5699" s="3" t="str">
        <f>LEFT(Base_Periodo1[[#This Row],[CLASS]],3)</f>
        <v>2.4</v>
      </c>
    </row>
    <row r="5700" spans="1:23" hidden="1">
      <c r="A5700" s="3" t="str">
        <f t="shared" si="88"/>
        <v>Período 1</v>
      </c>
      <c r="B5700">
        <v>19404</v>
      </c>
      <c r="C5700" t="s">
        <v>2300</v>
      </c>
      <c r="D5700" t="s">
        <v>3481</v>
      </c>
      <c r="E5700" s="3" t="str">
        <f>IF(LEN(Base_Periodo1[[#This Row],[CLASS]])&gt;=7,LEFT(Base_Periodo1[[#This Row],[CLASS]],7),"")</f>
        <v>2.4.1.1</v>
      </c>
      <c r="F5700" s="3" t="str">
        <f>VLOOKUP(Base_Periodo1[[#This Row],[Aux]],Base_Contas_Balanco[#All],2,FALSE)</f>
        <v>Capital Social Realizado</v>
      </c>
      <c r="G5700" s="1"/>
      <c r="H5700" s="281">
        <v>63.39</v>
      </c>
      <c r="I5700" s="281">
        <v>0</v>
      </c>
      <c r="J5700" s="281">
        <v>0</v>
      </c>
      <c r="K5700" s="281">
        <v>63.39</v>
      </c>
      <c r="L570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63.39</v>
      </c>
      <c r="M5700" s="281">
        <f>ROUND(IF(AND(Base_Periodo1[[#This Row],[Tipo_Linha]]="-",Base_Periodo1[[#This Row],[TIPOSALDO]]="D"),Base_Periodo1[[#This Row],[SALDO_ATUAL]]*-1,Base_Periodo1[[#This Row],[SALDO_ATUAL]]),4)</f>
        <v>63.39</v>
      </c>
      <c r="N5700" t="s">
        <v>116</v>
      </c>
      <c r="O5700" t="s">
        <v>459</v>
      </c>
      <c r="P5700" t="s">
        <v>459</v>
      </c>
      <c r="Q5700">
        <v>6</v>
      </c>
      <c r="R5700" s="281">
        <f>Base_Periodo1[[#This Row],[CREDITOS]]-Base_Periodo1[[#This Row],[DEBITOS]]</f>
        <v>0</v>
      </c>
      <c r="S5700" s="3" t="str">
        <f>IF(ISERROR(VLOOKUP(Base_Periodo1[[#This Row],[CONTA]],BaseContasDRE[#All],4,FALSE)),"Fora do DRE",VLOOKUP(Base_Periodo1[[#This Row],[CONTA]],BaseContasDRE[#All],4,FALSE))</f>
        <v>Fora do DRE</v>
      </c>
      <c r="T5700" s="3" t="str">
        <f>IF(ISERROR(VLOOKUP(Base_Periodo1[[#This Row],[CONTA]],BaseContasDRE[#All],5,FALSE)),"Fora do DRE",VLOOKUP(Base_Periodo1[[#This Row],[CONTA]],BaseContasDRE[#All],6,FALSE))</f>
        <v>Fora do DRE</v>
      </c>
      <c r="U5700" s="3" t="str">
        <f>IF(ISERROR(VLOOKUP(Base_Periodo1[[#This Row],[CONTA]],BaseContasDRE[#All],7,FALSE)),"Fora do DRE",VLOOKUP(Base_Periodo1[[#This Row],[CONTA]],BaseContasDRE[#All],7,FALSE))</f>
        <v>Fora do DRE</v>
      </c>
      <c r="V5700" s="3" t="str">
        <f>IF(Base_Periodo1[[#This Row],[Tipo_Linha]]="Fora do DRE","Fora do DRE","( "&amp;Base_Periodo1[[#This Row],[Tipo_Linha]]&amp;" ) "&amp;Base_Periodo1[[#This Row],[Filtro]])</f>
        <v>Fora do DRE</v>
      </c>
      <c r="W5700" s="3" t="str">
        <f>LEFT(Base_Periodo1[[#This Row],[CLASS]],3)</f>
        <v>2.4</v>
      </c>
    </row>
    <row r="5701" spans="1:23" hidden="1">
      <c r="A5701" s="3" t="str">
        <f t="shared" si="88"/>
        <v>Período 1</v>
      </c>
      <c r="B5701">
        <v>55193</v>
      </c>
      <c r="C5701" t="s">
        <v>2300</v>
      </c>
      <c r="D5701" t="s">
        <v>5359</v>
      </c>
      <c r="E5701" s="3" t="str">
        <f>IF(LEN(Base_Periodo1[[#This Row],[CLASS]])&gt;=7,LEFT(Base_Periodo1[[#This Row],[CLASS]],7),"")</f>
        <v>2.4.1.1</v>
      </c>
      <c r="F5701" s="3" t="str">
        <f>VLOOKUP(Base_Periodo1[[#This Row],[Aux]],Base_Contas_Balanco[#All],2,FALSE)</f>
        <v>Capital Social Realizado</v>
      </c>
      <c r="G5701" s="1"/>
      <c r="H5701" s="281">
        <v>200</v>
      </c>
      <c r="I5701" s="281">
        <v>0</v>
      </c>
      <c r="J5701" s="281">
        <v>0</v>
      </c>
      <c r="K5701" s="281">
        <v>200</v>
      </c>
      <c r="L570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</v>
      </c>
      <c r="M5701" s="281">
        <f>ROUND(IF(AND(Base_Periodo1[[#This Row],[Tipo_Linha]]="-",Base_Periodo1[[#This Row],[TIPOSALDO]]="D"),Base_Periodo1[[#This Row],[SALDO_ATUAL]]*-1,Base_Periodo1[[#This Row],[SALDO_ATUAL]]),4)</f>
        <v>200</v>
      </c>
      <c r="N5701" t="s">
        <v>116</v>
      </c>
      <c r="O5701" t="s">
        <v>459</v>
      </c>
      <c r="P5701" t="s">
        <v>459</v>
      </c>
      <c r="Q5701">
        <v>6</v>
      </c>
      <c r="R5701" s="281">
        <f>Base_Periodo1[[#This Row],[CREDITOS]]-Base_Periodo1[[#This Row],[DEBITOS]]</f>
        <v>0</v>
      </c>
      <c r="S5701" s="3" t="str">
        <f>IF(ISERROR(VLOOKUP(Base_Periodo1[[#This Row],[CONTA]],BaseContasDRE[#All],4,FALSE)),"Fora do DRE",VLOOKUP(Base_Periodo1[[#This Row],[CONTA]],BaseContasDRE[#All],4,FALSE))</f>
        <v>Fora do DRE</v>
      </c>
      <c r="T5701" s="3" t="str">
        <f>IF(ISERROR(VLOOKUP(Base_Periodo1[[#This Row],[CONTA]],BaseContasDRE[#All],5,FALSE)),"Fora do DRE",VLOOKUP(Base_Periodo1[[#This Row],[CONTA]],BaseContasDRE[#All],6,FALSE))</f>
        <v>Fora do DRE</v>
      </c>
      <c r="U5701" s="3" t="str">
        <f>IF(ISERROR(VLOOKUP(Base_Periodo1[[#This Row],[CONTA]],BaseContasDRE[#All],7,FALSE)),"Fora do DRE",VLOOKUP(Base_Periodo1[[#This Row],[CONTA]],BaseContasDRE[#All],7,FALSE))</f>
        <v>Fora do DRE</v>
      </c>
      <c r="V5701" s="3" t="str">
        <f>IF(Base_Periodo1[[#This Row],[Tipo_Linha]]="Fora do DRE","Fora do DRE","( "&amp;Base_Periodo1[[#This Row],[Tipo_Linha]]&amp;" ) "&amp;Base_Periodo1[[#This Row],[Filtro]])</f>
        <v>Fora do DRE</v>
      </c>
      <c r="W5701" s="3" t="str">
        <f>LEFT(Base_Periodo1[[#This Row],[CLASS]],3)</f>
        <v>2.4</v>
      </c>
    </row>
    <row r="5702" spans="1:23" hidden="1">
      <c r="A5702" s="3" t="str">
        <f t="shared" ref="A5702:A5765" si="89">"Período 1"</f>
        <v>Período 1</v>
      </c>
      <c r="B5702">
        <v>19783</v>
      </c>
      <c r="C5702" t="s">
        <v>2300</v>
      </c>
      <c r="D5702" t="s">
        <v>3482</v>
      </c>
      <c r="E5702" s="3" t="str">
        <f>IF(LEN(Base_Periodo1[[#This Row],[CLASS]])&gt;=7,LEFT(Base_Periodo1[[#This Row],[CLASS]],7),"")</f>
        <v>2.4.1.1</v>
      </c>
      <c r="F5702" s="3" t="str">
        <f>VLOOKUP(Base_Periodo1[[#This Row],[Aux]],Base_Contas_Balanco[#All],2,FALSE)</f>
        <v>Capital Social Realizado</v>
      </c>
      <c r="G5702" s="1"/>
      <c r="H5702" s="281">
        <v>1148.3900000000001</v>
      </c>
      <c r="I5702" s="281">
        <v>0</v>
      </c>
      <c r="J5702" s="281">
        <v>0</v>
      </c>
      <c r="K5702" s="281">
        <v>1148.3900000000001</v>
      </c>
      <c r="L570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1148.3900000000001</v>
      </c>
      <c r="M5702" s="281">
        <f>ROUND(IF(AND(Base_Periodo1[[#This Row],[Tipo_Linha]]="-",Base_Periodo1[[#This Row],[TIPOSALDO]]="D"),Base_Periodo1[[#This Row],[SALDO_ATUAL]]*-1,Base_Periodo1[[#This Row],[SALDO_ATUAL]]),4)</f>
        <v>1148.3900000000001</v>
      </c>
      <c r="N5702" t="s">
        <v>116</v>
      </c>
      <c r="O5702" t="s">
        <v>459</v>
      </c>
      <c r="P5702" t="s">
        <v>459</v>
      </c>
      <c r="Q5702">
        <v>6</v>
      </c>
      <c r="R5702" s="281">
        <f>Base_Periodo1[[#This Row],[CREDITOS]]-Base_Periodo1[[#This Row],[DEBITOS]]</f>
        <v>0</v>
      </c>
      <c r="S5702" s="3" t="str">
        <f>IF(ISERROR(VLOOKUP(Base_Periodo1[[#This Row],[CONTA]],BaseContasDRE[#All],4,FALSE)),"Fora do DRE",VLOOKUP(Base_Periodo1[[#This Row],[CONTA]],BaseContasDRE[#All],4,FALSE))</f>
        <v>Fora do DRE</v>
      </c>
      <c r="T5702" s="3" t="str">
        <f>IF(ISERROR(VLOOKUP(Base_Periodo1[[#This Row],[CONTA]],BaseContasDRE[#All],5,FALSE)),"Fora do DRE",VLOOKUP(Base_Periodo1[[#This Row],[CONTA]],BaseContasDRE[#All],6,FALSE))</f>
        <v>Fora do DRE</v>
      </c>
      <c r="U5702" s="3" t="str">
        <f>IF(ISERROR(VLOOKUP(Base_Periodo1[[#This Row],[CONTA]],BaseContasDRE[#All],7,FALSE)),"Fora do DRE",VLOOKUP(Base_Periodo1[[#This Row],[CONTA]],BaseContasDRE[#All],7,FALSE))</f>
        <v>Fora do DRE</v>
      </c>
      <c r="V5702" s="3" t="str">
        <f>IF(Base_Periodo1[[#This Row],[Tipo_Linha]]="Fora do DRE","Fora do DRE","( "&amp;Base_Periodo1[[#This Row],[Tipo_Linha]]&amp;" ) "&amp;Base_Periodo1[[#This Row],[Filtro]])</f>
        <v>Fora do DRE</v>
      </c>
      <c r="W5702" s="3" t="str">
        <f>LEFT(Base_Periodo1[[#This Row],[CLASS]],3)</f>
        <v>2.4</v>
      </c>
    </row>
    <row r="5703" spans="1:23" hidden="1">
      <c r="A5703" s="3" t="str">
        <f t="shared" si="89"/>
        <v>Período 1</v>
      </c>
      <c r="B5703">
        <v>46979</v>
      </c>
      <c r="C5703" t="s">
        <v>2300</v>
      </c>
      <c r="D5703" t="s">
        <v>3483</v>
      </c>
      <c r="E5703" s="3" t="str">
        <f>IF(LEN(Base_Periodo1[[#This Row],[CLASS]])&gt;=7,LEFT(Base_Periodo1[[#This Row],[CLASS]],7),"")</f>
        <v>2.4.1.1</v>
      </c>
      <c r="F5703" s="3" t="str">
        <f>VLOOKUP(Base_Periodo1[[#This Row],[Aux]],Base_Contas_Balanco[#All],2,FALSE)</f>
        <v>Capital Social Realizado</v>
      </c>
      <c r="G5703" s="1"/>
      <c r="H5703" s="281">
        <v>336.97</v>
      </c>
      <c r="I5703" s="281">
        <v>0</v>
      </c>
      <c r="J5703" s="281">
        <v>0</v>
      </c>
      <c r="K5703" s="281">
        <v>336.97</v>
      </c>
      <c r="L570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336.97</v>
      </c>
      <c r="M5703" s="281">
        <f>ROUND(IF(AND(Base_Periodo1[[#This Row],[Tipo_Linha]]="-",Base_Periodo1[[#This Row],[TIPOSALDO]]="D"),Base_Periodo1[[#This Row],[SALDO_ATUAL]]*-1,Base_Periodo1[[#This Row],[SALDO_ATUAL]]),4)</f>
        <v>336.97</v>
      </c>
      <c r="N5703" t="s">
        <v>116</v>
      </c>
      <c r="O5703" t="s">
        <v>459</v>
      </c>
      <c r="P5703" t="s">
        <v>459</v>
      </c>
      <c r="Q5703">
        <v>6</v>
      </c>
      <c r="R5703" s="281">
        <f>Base_Periodo1[[#This Row],[CREDITOS]]-Base_Periodo1[[#This Row],[DEBITOS]]</f>
        <v>0</v>
      </c>
      <c r="S5703" s="3" t="str">
        <f>IF(ISERROR(VLOOKUP(Base_Periodo1[[#This Row],[CONTA]],BaseContasDRE[#All],4,FALSE)),"Fora do DRE",VLOOKUP(Base_Periodo1[[#This Row],[CONTA]],BaseContasDRE[#All],4,FALSE))</f>
        <v>Fora do DRE</v>
      </c>
      <c r="T5703" s="3" t="str">
        <f>IF(ISERROR(VLOOKUP(Base_Periodo1[[#This Row],[CONTA]],BaseContasDRE[#All],5,FALSE)),"Fora do DRE",VLOOKUP(Base_Periodo1[[#This Row],[CONTA]],BaseContasDRE[#All],6,FALSE))</f>
        <v>Fora do DRE</v>
      </c>
      <c r="U5703" s="3" t="str">
        <f>IF(ISERROR(VLOOKUP(Base_Periodo1[[#This Row],[CONTA]],BaseContasDRE[#All],7,FALSE)),"Fora do DRE",VLOOKUP(Base_Periodo1[[#This Row],[CONTA]],BaseContasDRE[#All],7,FALSE))</f>
        <v>Fora do DRE</v>
      </c>
      <c r="V5703" s="3" t="str">
        <f>IF(Base_Periodo1[[#This Row],[Tipo_Linha]]="Fora do DRE","Fora do DRE","( "&amp;Base_Periodo1[[#This Row],[Tipo_Linha]]&amp;" ) "&amp;Base_Periodo1[[#This Row],[Filtro]])</f>
        <v>Fora do DRE</v>
      </c>
      <c r="W5703" s="3" t="str">
        <f>LEFT(Base_Periodo1[[#This Row],[CLASS]],3)</f>
        <v>2.4</v>
      </c>
    </row>
    <row r="5704" spans="1:23" hidden="1">
      <c r="A5704" s="3" t="str">
        <f t="shared" si="89"/>
        <v>Período 1</v>
      </c>
      <c r="B5704">
        <v>36039</v>
      </c>
      <c r="C5704" t="s">
        <v>2300</v>
      </c>
      <c r="D5704" t="s">
        <v>3484</v>
      </c>
      <c r="E5704" s="3" t="str">
        <f>IF(LEN(Base_Periodo1[[#This Row],[CLASS]])&gt;=7,LEFT(Base_Periodo1[[#This Row],[CLASS]],7),"")</f>
        <v>2.4.1.1</v>
      </c>
      <c r="F5704" s="3" t="str">
        <f>VLOOKUP(Base_Periodo1[[#This Row],[Aux]],Base_Contas_Balanco[#All],2,FALSE)</f>
        <v>Capital Social Realizado</v>
      </c>
      <c r="G5704" s="1"/>
      <c r="H5704" s="281">
        <v>50</v>
      </c>
      <c r="I5704" s="281">
        <v>0</v>
      </c>
      <c r="J5704" s="281">
        <v>0</v>
      </c>
      <c r="K5704" s="281">
        <v>50</v>
      </c>
      <c r="L570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704" s="281">
        <f>ROUND(IF(AND(Base_Periodo1[[#This Row],[Tipo_Linha]]="-",Base_Periodo1[[#This Row],[TIPOSALDO]]="D"),Base_Periodo1[[#This Row],[SALDO_ATUAL]]*-1,Base_Periodo1[[#This Row],[SALDO_ATUAL]]),4)</f>
        <v>50</v>
      </c>
      <c r="N5704" t="s">
        <v>116</v>
      </c>
      <c r="O5704" t="s">
        <v>459</v>
      </c>
      <c r="P5704" t="s">
        <v>459</v>
      </c>
      <c r="Q5704">
        <v>6</v>
      </c>
      <c r="R5704" s="281">
        <f>Base_Periodo1[[#This Row],[CREDITOS]]-Base_Periodo1[[#This Row],[DEBITOS]]</f>
        <v>0</v>
      </c>
      <c r="S5704" s="3" t="str">
        <f>IF(ISERROR(VLOOKUP(Base_Periodo1[[#This Row],[CONTA]],BaseContasDRE[#All],4,FALSE)),"Fora do DRE",VLOOKUP(Base_Periodo1[[#This Row],[CONTA]],BaseContasDRE[#All],4,FALSE))</f>
        <v>Fora do DRE</v>
      </c>
      <c r="T5704" s="3" t="str">
        <f>IF(ISERROR(VLOOKUP(Base_Periodo1[[#This Row],[CONTA]],BaseContasDRE[#All],5,FALSE)),"Fora do DRE",VLOOKUP(Base_Periodo1[[#This Row],[CONTA]],BaseContasDRE[#All],6,FALSE))</f>
        <v>Fora do DRE</v>
      </c>
      <c r="U5704" s="3" t="str">
        <f>IF(ISERROR(VLOOKUP(Base_Periodo1[[#This Row],[CONTA]],BaseContasDRE[#All],7,FALSE)),"Fora do DRE",VLOOKUP(Base_Periodo1[[#This Row],[CONTA]],BaseContasDRE[#All],7,FALSE))</f>
        <v>Fora do DRE</v>
      </c>
      <c r="V5704" s="3" t="str">
        <f>IF(Base_Periodo1[[#This Row],[Tipo_Linha]]="Fora do DRE","Fora do DRE","( "&amp;Base_Periodo1[[#This Row],[Tipo_Linha]]&amp;" ) "&amp;Base_Periodo1[[#This Row],[Filtro]])</f>
        <v>Fora do DRE</v>
      </c>
      <c r="W5704" s="3" t="str">
        <f>LEFT(Base_Periodo1[[#This Row],[CLASS]],3)</f>
        <v>2.4</v>
      </c>
    </row>
    <row r="5705" spans="1:23" hidden="1">
      <c r="A5705" s="3" t="str">
        <f t="shared" si="89"/>
        <v>Período 1</v>
      </c>
      <c r="B5705">
        <v>19925</v>
      </c>
      <c r="C5705" t="s">
        <v>2300</v>
      </c>
      <c r="D5705" t="s">
        <v>4706</v>
      </c>
      <c r="E5705" s="3" t="str">
        <f>IF(LEN(Base_Periodo1[[#This Row],[CLASS]])&gt;=7,LEFT(Base_Periodo1[[#This Row],[CLASS]],7),"")</f>
        <v>2.4.1.1</v>
      </c>
      <c r="F5705" s="3" t="str">
        <f>VLOOKUP(Base_Periodo1[[#This Row],[Aux]],Base_Contas_Balanco[#All],2,FALSE)</f>
        <v>Capital Social Realizado</v>
      </c>
      <c r="G5705" s="1"/>
      <c r="H5705" s="281">
        <v>240</v>
      </c>
      <c r="I5705" s="281">
        <v>0</v>
      </c>
      <c r="J5705" s="281">
        <v>0</v>
      </c>
      <c r="K5705" s="281">
        <v>240</v>
      </c>
      <c r="L570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240</v>
      </c>
      <c r="M5705" s="281">
        <f>ROUND(IF(AND(Base_Periodo1[[#This Row],[Tipo_Linha]]="-",Base_Periodo1[[#This Row],[TIPOSALDO]]="D"),Base_Periodo1[[#This Row],[SALDO_ATUAL]]*-1,Base_Periodo1[[#This Row],[SALDO_ATUAL]]),4)</f>
        <v>240</v>
      </c>
      <c r="N5705" t="s">
        <v>116</v>
      </c>
      <c r="O5705" t="s">
        <v>459</v>
      </c>
      <c r="P5705" t="s">
        <v>459</v>
      </c>
      <c r="Q5705">
        <v>6</v>
      </c>
      <c r="R5705" s="281">
        <f>Base_Periodo1[[#This Row],[CREDITOS]]-Base_Periodo1[[#This Row],[DEBITOS]]</f>
        <v>0</v>
      </c>
      <c r="S5705" s="3" t="str">
        <f>IF(ISERROR(VLOOKUP(Base_Periodo1[[#This Row],[CONTA]],BaseContasDRE[#All],4,FALSE)),"Fora do DRE",VLOOKUP(Base_Periodo1[[#This Row],[CONTA]],BaseContasDRE[#All],4,FALSE))</f>
        <v>Fora do DRE</v>
      </c>
      <c r="T5705" s="3" t="str">
        <f>IF(ISERROR(VLOOKUP(Base_Periodo1[[#This Row],[CONTA]],BaseContasDRE[#All],5,FALSE)),"Fora do DRE",VLOOKUP(Base_Periodo1[[#This Row],[CONTA]],BaseContasDRE[#All],6,FALSE))</f>
        <v>Fora do DRE</v>
      </c>
      <c r="U5705" s="3" t="str">
        <f>IF(ISERROR(VLOOKUP(Base_Periodo1[[#This Row],[CONTA]],BaseContasDRE[#All],7,FALSE)),"Fora do DRE",VLOOKUP(Base_Periodo1[[#This Row],[CONTA]],BaseContasDRE[#All],7,FALSE))</f>
        <v>Fora do DRE</v>
      </c>
      <c r="V5705" s="3" t="str">
        <f>IF(Base_Periodo1[[#This Row],[Tipo_Linha]]="Fora do DRE","Fora do DRE","( "&amp;Base_Periodo1[[#This Row],[Tipo_Linha]]&amp;" ) "&amp;Base_Periodo1[[#This Row],[Filtro]])</f>
        <v>Fora do DRE</v>
      </c>
      <c r="W5705" s="3" t="str">
        <f>LEFT(Base_Periodo1[[#This Row],[CLASS]],3)</f>
        <v>2.4</v>
      </c>
    </row>
    <row r="5706" spans="1:23" hidden="1">
      <c r="A5706" s="3" t="str">
        <f t="shared" si="89"/>
        <v>Período 1</v>
      </c>
      <c r="B5706">
        <v>19909</v>
      </c>
      <c r="C5706" t="s">
        <v>2300</v>
      </c>
      <c r="D5706" t="s">
        <v>3485</v>
      </c>
      <c r="E5706" s="3" t="str">
        <f>IF(LEN(Base_Periodo1[[#This Row],[CLASS]])&gt;=7,LEFT(Base_Periodo1[[#This Row],[CLASS]],7),"")</f>
        <v>2.4.1.1</v>
      </c>
      <c r="F5706" s="3" t="str">
        <f>VLOOKUP(Base_Periodo1[[#This Row],[Aux]],Base_Contas_Balanco[#All],2,FALSE)</f>
        <v>Capital Social Realizado</v>
      </c>
      <c r="G5706" s="1"/>
      <c r="H5706" s="281">
        <v>1303.8499999999999</v>
      </c>
      <c r="I5706" s="281">
        <v>0</v>
      </c>
      <c r="J5706" s="281">
        <v>0</v>
      </c>
      <c r="K5706" s="281">
        <v>1303.8499999999999</v>
      </c>
      <c r="L570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1303.8499999999999</v>
      </c>
      <c r="M5706" s="281">
        <f>ROUND(IF(AND(Base_Periodo1[[#This Row],[Tipo_Linha]]="-",Base_Periodo1[[#This Row],[TIPOSALDO]]="D"),Base_Periodo1[[#This Row],[SALDO_ATUAL]]*-1,Base_Periodo1[[#This Row],[SALDO_ATUAL]]),4)</f>
        <v>1303.8499999999999</v>
      </c>
      <c r="N5706" t="s">
        <v>116</v>
      </c>
      <c r="O5706" t="s">
        <v>459</v>
      </c>
      <c r="P5706" t="s">
        <v>459</v>
      </c>
      <c r="Q5706">
        <v>6</v>
      </c>
      <c r="R5706" s="281">
        <f>Base_Periodo1[[#This Row],[CREDITOS]]-Base_Periodo1[[#This Row],[DEBITOS]]</f>
        <v>0</v>
      </c>
      <c r="S5706" s="3" t="str">
        <f>IF(ISERROR(VLOOKUP(Base_Periodo1[[#This Row],[CONTA]],BaseContasDRE[#All],4,FALSE)),"Fora do DRE",VLOOKUP(Base_Periodo1[[#This Row],[CONTA]],BaseContasDRE[#All],4,FALSE))</f>
        <v>Fora do DRE</v>
      </c>
      <c r="T5706" s="3" t="str">
        <f>IF(ISERROR(VLOOKUP(Base_Periodo1[[#This Row],[CONTA]],BaseContasDRE[#All],5,FALSE)),"Fora do DRE",VLOOKUP(Base_Periodo1[[#This Row],[CONTA]],BaseContasDRE[#All],6,FALSE))</f>
        <v>Fora do DRE</v>
      </c>
      <c r="U5706" s="3" t="str">
        <f>IF(ISERROR(VLOOKUP(Base_Periodo1[[#This Row],[CONTA]],BaseContasDRE[#All],7,FALSE)),"Fora do DRE",VLOOKUP(Base_Periodo1[[#This Row],[CONTA]],BaseContasDRE[#All],7,FALSE))</f>
        <v>Fora do DRE</v>
      </c>
      <c r="V5706" s="3" t="str">
        <f>IF(Base_Periodo1[[#This Row],[Tipo_Linha]]="Fora do DRE","Fora do DRE","( "&amp;Base_Periodo1[[#This Row],[Tipo_Linha]]&amp;" ) "&amp;Base_Periodo1[[#This Row],[Filtro]])</f>
        <v>Fora do DRE</v>
      </c>
      <c r="W5706" s="3" t="str">
        <f>LEFT(Base_Periodo1[[#This Row],[CLASS]],3)</f>
        <v>2.4</v>
      </c>
    </row>
    <row r="5707" spans="1:23" hidden="1">
      <c r="A5707" s="3" t="str">
        <f t="shared" si="89"/>
        <v>Período 1</v>
      </c>
      <c r="B5707">
        <v>38425</v>
      </c>
      <c r="C5707" t="s">
        <v>2300</v>
      </c>
      <c r="D5707" t="s">
        <v>3486</v>
      </c>
      <c r="E5707" s="3" t="str">
        <f>IF(LEN(Base_Periodo1[[#This Row],[CLASS]])&gt;=7,LEFT(Base_Periodo1[[#This Row],[CLASS]],7),"")</f>
        <v>2.4.1.1</v>
      </c>
      <c r="F5707" s="3" t="str">
        <f>VLOOKUP(Base_Periodo1[[#This Row],[Aux]],Base_Contas_Balanco[#All],2,FALSE)</f>
        <v>Capital Social Realizado</v>
      </c>
      <c r="G5707" s="1"/>
      <c r="H5707" s="281">
        <v>4660.67</v>
      </c>
      <c r="I5707" s="281">
        <v>0</v>
      </c>
      <c r="J5707" s="281">
        <v>0</v>
      </c>
      <c r="K5707" s="281">
        <v>4660.67</v>
      </c>
      <c r="L570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4660.67</v>
      </c>
      <c r="M5707" s="281">
        <f>ROUND(IF(AND(Base_Periodo1[[#This Row],[Tipo_Linha]]="-",Base_Periodo1[[#This Row],[TIPOSALDO]]="D"),Base_Periodo1[[#This Row],[SALDO_ATUAL]]*-1,Base_Periodo1[[#This Row],[SALDO_ATUAL]]),4)</f>
        <v>4660.67</v>
      </c>
      <c r="N5707" t="s">
        <v>116</v>
      </c>
      <c r="O5707" t="s">
        <v>459</v>
      </c>
      <c r="P5707" t="s">
        <v>459</v>
      </c>
      <c r="Q5707">
        <v>6</v>
      </c>
      <c r="R5707" s="281">
        <f>Base_Periodo1[[#This Row],[CREDITOS]]-Base_Periodo1[[#This Row],[DEBITOS]]</f>
        <v>0</v>
      </c>
      <c r="S5707" s="3" t="str">
        <f>IF(ISERROR(VLOOKUP(Base_Periodo1[[#This Row],[CONTA]],BaseContasDRE[#All],4,FALSE)),"Fora do DRE",VLOOKUP(Base_Periodo1[[#This Row],[CONTA]],BaseContasDRE[#All],4,FALSE))</f>
        <v>Fora do DRE</v>
      </c>
      <c r="T5707" s="3" t="str">
        <f>IF(ISERROR(VLOOKUP(Base_Periodo1[[#This Row],[CONTA]],BaseContasDRE[#All],5,FALSE)),"Fora do DRE",VLOOKUP(Base_Periodo1[[#This Row],[CONTA]],BaseContasDRE[#All],6,FALSE))</f>
        <v>Fora do DRE</v>
      </c>
      <c r="U5707" s="3" t="str">
        <f>IF(ISERROR(VLOOKUP(Base_Periodo1[[#This Row],[CONTA]],BaseContasDRE[#All],7,FALSE)),"Fora do DRE",VLOOKUP(Base_Periodo1[[#This Row],[CONTA]],BaseContasDRE[#All],7,FALSE))</f>
        <v>Fora do DRE</v>
      </c>
      <c r="V5707" s="3" t="str">
        <f>IF(Base_Periodo1[[#This Row],[Tipo_Linha]]="Fora do DRE","Fora do DRE","( "&amp;Base_Periodo1[[#This Row],[Tipo_Linha]]&amp;" ) "&amp;Base_Periodo1[[#This Row],[Filtro]])</f>
        <v>Fora do DRE</v>
      </c>
      <c r="W5707" s="3" t="str">
        <f>LEFT(Base_Periodo1[[#This Row],[CLASS]],3)</f>
        <v>2.4</v>
      </c>
    </row>
    <row r="5708" spans="1:23" hidden="1">
      <c r="A5708" s="3" t="str">
        <f t="shared" si="89"/>
        <v>Período 1</v>
      </c>
      <c r="B5708">
        <v>57879</v>
      </c>
      <c r="C5708" t="s">
        <v>2300</v>
      </c>
      <c r="D5708" t="s">
        <v>6577</v>
      </c>
      <c r="E5708" s="3" t="str">
        <f>IF(LEN(Base_Periodo1[[#This Row],[CLASS]])&gt;=7,LEFT(Base_Periodo1[[#This Row],[CLASS]],7),"")</f>
        <v>2.4.1.1</v>
      </c>
      <c r="F5708" s="3" t="str">
        <f>VLOOKUP(Base_Periodo1[[#This Row],[Aux]],Base_Contas_Balanco[#All],2,FALSE)</f>
        <v>Capital Social Realizado</v>
      </c>
      <c r="G5708" s="1"/>
      <c r="H5708" s="281">
        <v>50</v>
      </c>
      <c r="I5708" s="281">
        <v>0</v>
      </c>
      <c r="J5708" s="281">
        <v>0</v>
      </c>
      <c r="K5708" s="281">
        <v>50</v>
      </c>
      <c r="L570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708" s="281">
        <f>ROUND(IF(AND(Base_Periodo1[[#This Row],[Tipo_Linha]]="-",Base_Periodo1[[#This Row],[TIPOSALDO]]="D"),Base_Periodo1[[#This Row],[SALDO_ATUAL]]*-1,Base_Periodo1[[#This Row],[SALDO_ATUAL]]),4)</f>
        <v>50</v>
      </c>
      <c r="N5708" t="s">
        <v>116</v>
      </c>
      <c r="O5708" t="s">
        <v>459</v>
      </c>
      <c r="P5708" t="s">
        <v>459</v>
      </c>
      <c r="Q5708">
        <v>6</v>
      </c>
      <c r="R5708" s="281">
        <f>Base_Periodo1[[#This Row],[CREDITOS]]-Base_Periodo1[[#This Row],[DEBITOS]]</f>
        <v>0</v>
      </c>
      <c r="S5708" s="3" t="str">
        <f>IF(ISERROR(VLOOKUP(Base_Periodo1[[#This Row],[CONTA]],BaseContasDRE[#All],4,FALSE)),"Fora do DRE",VLOOKUP(Base_Periodo1[[#This Row],[CONTA]],BaseContasDRE[#All],4,FALSE))</f>
        <v>Fora do DRE</v>
      </c>
      <c r="T5708" s="3" t="str">
        <f>IF(ISERROR(VLOOKUP(Base_Periodo1[[#This Row],[CONTA]],BaseContasDRE[#All],5,FALSE)),"Fora do DRE",VLOOKUP(Base_Periodo1[[#This Row],[CONTA]],BaseContasDRE[#All],6,FALSE))</f>
        <v>Fora do DRE</v>
      </c>
      <c r="U5708" s="3" t="str">
        <f>IF(ISERROR(VLOOKUP(Base_Periodo1[[#This Row],[CONTA]],BaseContasDRE[#All],7,FALSE)),"Fora do DRE",VLOOKUP(Base_Periodo1[[#This Row],[CONTA]],BaseContasDRE[#All],7,FALSE))</f>
        <v>Fora do DRE</v>
      </c>
      <c r="V5708" s="3" t="str">
        <f>IF(Base_Periodo1[[#This Row],[Tipo_Linha]]="Fora do DRE","Fora do DRE","( "&amp;Base_Periodo1[[#This Row],[Tipo_Linha]]&amp;" ) "&amp;Base_Periodo1[[#This Row],[Filtro]])</f>
        <v>Fora do DRE</v>
      </c>
      <c r="W5708" s="3" t="str">
        <f>LEFT(Base_Periodo1[[#This Row],[CLASS]],3)</f>
        <v>2.4</v>
      </c>
    </row>
    <row r="5709" spans="1:23" hidden="1">
      <c r="A5709" s="3" t="str">
        <f t="shared" si="89"/>
        <v>Período 1</v>
      </c>
      <c r="B5709">
        <v>16162</v>
      </c>
      <c r="C5709" t="s">
        <v>2300</v>
      </c>
      <c r="D5709" t="s">
        <v>3487</v>
      </c>
      <c r="E5709" s="3" t="str">
        <f>IF(LEN(Base_Periodo1[[#This Row],[CLASS]])&gt;=7,LEFT(Base_Periodo1[[#This Row],[CLASS]],7),"")</f>
        <v>2.4.1.1</v>
      </c>
      <c r="F5709" s="3" t="str">
        <f>VLOOKUP(Base_Periodo1[[#This Row],[Aux]],Base_Contas_Balanco[#All],2,FALSE)</f>
        <v>Capital Social Realizado</v>
      </c>
      <c r="G5709" s="1"/>
      <c r="H5709" s="281">
        <v>23723.42</v>
      </c>
      <c r="I5709" s="281">
        <v>0</v>
      </c>
      <c r="J5709" s="281">
        <v>0</v>
      </c>
      <c r="K5709" s="281">
        <v>23723.42</v>
      </c>
      <c r="L570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23723.42</v>
      </c>
      <c r="M5709" s="281">
        <f>ROUND(IF(AND(Base_Periodo1[[#This Row],[Tipo_Linha]]="-",Base_Periodo1[[#This Row],[TIPOSALDO]]="D"),Base_Periodo1[[#This Row],[SALDO_ATUAL]]*-1,Base_Periodo1[[#This Row],[SALDO_ATUAL]]),4)</f>
        <v>23723.42</v>
      </c>
      <c r="N5709" t="s">
        <v>116</v>
      </c>
      <c r="O5709" t="s">
        <v>459</v>
      </c>
      <c r="P5709" t="s">
        <v>459</v>
      </c>
      <c r="Q5709">
        <v>6</v>
      </c>
      <c r="R5709" s="281">
        <f>Base_Periodo1[[#This Row],[CREDITOS]]-Base_Periodo1[[#This Row],[DEBITOS]]</f>
        <v>0</v>
      </c>
      <c r="S5709" s="3" t="str">
        <f>IF(ISERROR(VLOOKUP(Base_Periodo1[[#This Row],[CONTA]],BaseContasDRE[#All],4,FALSE)),"Fora do DRE",VLOOKUP(Base_Periodo1[[#This Row],[CONTA]],BaseContasDRE[#All],4,FALSE))</f>
        <v>Fora do DRE</v>
      </c>
      <c r="T5709" s="3" t="str">
        <f>IF(ISERROR(VLOOKUP(Base_Periodo1[[#This Row],[CONTA]],BaseContasDRE[#All],5,FALSE)),"Fora do DRE",VLOOKUP(Base_Periodo1[[#This Row],[CONTA]],BaseContasDRE[#All],6,FALSE))</f>
        <v>Fora do DRE</v>
      </c>
      <c r="U5709" s="3" t="str">
        <f>IF(ISERROR(VLOOKUP(Base_Periodo1[[#This Row],[CONTA]],BaseContasDRE[#All],7,FALSE)),"Fora do DRE",VLOOKUP(Base_Periodo1[[#This Row],[CONTA]],BaseContasDRE[#All],7,FALSE))</f>
        <v>Fora do DRE</v>
      </c>
      <c r="V5709" s="3" t="str">
        <f>IF(Base_Periodo1[[#This Row],[Tipo_Linha]]="Fora do DRE","Fora do DRE","( "&amp;Base_Periodo1[[#This Row],[Tipo_Linha]]&amp;" ) "&amp;Base_Periodo1[[#This Row],[Filtro]])</f>
        <v>Fora do DRE</v>
      </c>
      <c r="W5709" s="3" t="str">
        <f>LEFT(Base_Periodo1[[#This Row],[CLASS]],3)</f>
        <v>2.4</v>
      </c>
    </row>
    <row r="5710" spans="1:23" hidden="1">
      <c r="A5710" s="3" t="str">
        <f t="shared" si="89"/>
        <v>Período 1</v>
      </c>
      <c r="B5710">
        <v>24590</v>
      </c>
      <c r="C5710" t="s">
        <v>2300</v>
      </c>
      <c r="D5710" t="s">
        <v>3488</v>
      </c>
      <c r="E5710" s="3" t="str">
        <f>IF(LEN(Base_Periodo1[[#This Row],[CLASS]])&gt;=7,LEFT(Base_Periodo1[[#This Row],[CLASS]],7),"")</f>
        <v>2.4.1.1</v>
      </c>
      <c r="F5710" s="3" t="str">
        <f>VLOOKUP(Base_Periodo1[[#This Row],[Aux]],Base_Contas_Balanco[#All],2,FALSE)</f>
        <v>Capital Social Realizado</v>
      </c>
      <c r="G5710" s="1"/>
      <c r="H5710" s="281">
        <v>862.75</v>
      </c>
      <c r="I5710" s="281">
        <v>0</v>
      </c>
      <c r="J5710" s="281">
        <v>0</v>
      </c>
      <c r="K5710" s="281">
        <v>862.75</v>
      </c>
      <c r="L571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862.75</v>
      </c>
      <c r="M5710" s="281">
        <f>ROUND(IF(AND(Base_Periodo1[[#This Row],[Tipo_Linha]]="-",Base_Periodo1[[#This Row],[TIPOSALDO]]="D"),Base_Periodo1[[#This Row],[SALDO_ATUAL]]*-1,Base_Periodo1[[#This Row],[SALDO_ATUAL]]),4)</f>
        <v>862.75</v>
      </c>
      <c r="N5710" t="s">
        <v>116</v>
      </c>
      <c r="O5710" t="s">
        <v>459</v>
      </c>
      <c r="P5710" t="s">
        <v>459</v>
      </c>
      <c r="Q5710">
        <v>6</v>
      </c>
      <c r="R5710" s="281">
        <f>Base_Periodo1[[#This Row],[CREDITOS]]-Base_Periodo1[[#This Row],[DEBITOS]]</f>
        <v>0</v>
      </c>
      <c r="S5710" s="3" t="str">
        <f>IF(ISERROR(VLOOKUP(Base_Periodo1[[#This Row],[CONTA]],BaseContasDRE[#All],4,FALSE)),"Fora do DRE",VLOOKUP(Base_Periodo1[[#This Row],[CONTA]],BaseContasDRE[#All],4,FALSE))</f>
        <v>Fora do DRE</v>
      </c>
      <c r="T5710" s="3" t="str">
        <f>IF(ISERROR(VLOOKUP(Base_Periodo1[[#This Row],[CONTA]],BaseContasDRE[#All],5,FALSE)),"Fora do DRE",VLOOKUP(Base_Periodo1[[#This Row],[CONTA]],BaseContasDRE[#All],6,FALSE))</f>
        <v>Fora do DRE</v>
      </c>
      <c r="U5710" s="3" t="str">
        <f>IF(ISERROR(VLOOKUP(Base_Periodo1[[#This Row],[CONTA]],BaseContasDRE[#All],7,FALSE)),"Fora do DRE",VLOOKUP(Base_Periodo1[[#This Row],[CONTA]],BaseContasDRE[#All],7,FALSE))</f>
        <v>Fora do DRE</v>
      </c>
      <c r="V5710" s="3" t="str">
        <f>IF(Base_Periodo1[[#This Row],[Tipo_Linha]]="Fora do DRE","Fora do DRE","( "&amp;Base_Periodo1[[#This Row],[Tipo_Linha]]&amp;" ) "&amp;Base_Periodo1[[#This Row],[Filtro]])</f>
        <v>Fora do DRE</v>
      </c>
      <c r="W5710" s="3" t="str">
        <f>LEFT(Base_Periodo1[[#This Row],[CLASS]],3)</f>
        <v>2.4</v>
      </c>
    </row>
    <row r="5711" spans="1:23" hidden="1">
      <c r="A5711" s="3" t="str">
        <f t="shared" si="89"/>
        <v>Período 1</v>
      </c>
      <c r="B5711">
        <v>16210</v>
      </c>
      <c r="C5711" t="s">
        <v>2300</v>
      </c>
      <c r="D5711" t="s">
        <v>3489</v>
      </c>
      <c r="E5711" s="3" t="str">
        <f>IF(LEN(Base_Periodo1[[#This Row],[CLASS]])&gt;=7,LEFT(Base_Periodo1[[#This Row],[CLASS]],7),"")</f>
        <v>2.4.1.1</v>
      </c>
      <c r="F5711" s="3" t="str">
        <f>VLOOKUP(Base_Periodo1[[#This Row],[Aux]],Base_Contas_Balanco[#All],2,FALSE)</f>
        <v>Capital Social Realizado</v>
      </c>
      <c r="G5711" s="1">
        <v>42460</v>
      </c>
      <c r="H5711" s="281">
        <v>400.9900000000016</v>
      </c>
      <c r="I5711" s="281">
        <v>0</v>
      </c>
      <c r="J5711" s="281">
        <v>0</v>
      </c>
      <c r="K5711" s="281">
        <v>400.9900000000016</v>
      </c>
      <c r="L571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400.99</v>
      </c>
      <c r="M5711" s="281">
        <f>ROUND(IF(AND(Base_Periodo1[[#This Row],[Tipo_Linha]]="-",Base_Periodo1[[#This Row],[TIPOSALDO]]="D"),Base_Periodo1[[#This Row],[SALDO_ATUAL]]*-1,Base_Periodo1[[#This Row],[SALDO_ATUAL]]),4)</f>
        <v>400.99</v>
      </c>
      <c r="N5711" t="s">
        <v>116</v>
      </c>
      <c r="O5711" t="s">
        <v>459</v>
      </c>
      <c r="P5711" t="s">
        <v>459</v>
      </c>
      <c r="Q5711">
        <v>6</v>
      </c>
      <c r="R5711" s="281">
        <f>Base_Periodo1[[#This Row],[CREDITOS]]-Base_Periodo1[[#This Row],[DEBITOS]]</f>
        <v>0</v>
      </c>
      <c r="S5711" s="3" t="str">
        <f>IF(ISERROR(VLOOKUP(Base_Periodo1[[#This Row],[CONTA]],BaseContasDRE[#All],4,FALSE)),"Fora do DRE",VLOOKUP(Base_Periodo1[[#This Row],[CONTA]],BaseContasDRE[#All],4,FALSE))</f>
        <v>Fora do DRE</v>
      </c>
      <c r="T5711" s="3" t="str">
        <f>IF(ISERROR(VLOOKUP(Base_Periodo1[[#This Row],[CONTA]],BaseContasDRE[#All],5,FALSE)),"Fora do DRE",VLOOKUP(Base_Periodo1[[#This Row],[CONTA]],BaseContasDRE[#All],6,FALSE))</f>
        <v>Fora do DRE</v>
      </c>
      <c r="U5711" s="3" t="str">
        <f>IF(ISERROR(VLOOKUP(Base_Periodo1[[#This Row],[CONTA]],BaseContasDRE[#All],7,FALSE)),"Fora do DRE",VLOOKUP(Base_Periodo1[[#This Row],[CONTA]],BaseContasDRE[#All],7,FALSE))</f>
        <v>Fora do DRE</v>
      </c>
      <c r="V5711" s="3" t="str">
        <f>IF(Base_Periodo1[[#This Row],[Tipo_Linha]]="Fora do DRE","Fora do DRE","( "&amp;Base_Periodo1[[#This Row],[Tipo_Linha]]&amp;" ) "&amp;Base_Periodo1[[#This Row],[Filtro]])</f>
        <v>Fora do DRE</v>
      </c>
      <c r="W5711" s="3" t="str">
        <f>LEFT(Base_Periodo1[[#This Row],[CLASS]],3)</f>
        <v>2.4</v>
      </c>
    </row>
    <row r="5712" spans="1:23" hidden="1">
      <c r="A5712" s="3" t="str">
        <f t="shared" si="89"/>
        <v>Período 1</v>
      </c>
      <c r="B5712">
        <v>46974</v>
      </c>
      <c r="C5712" t="s">
        <v>2300</v>
      </c>
      <c r="D5712" t="s">
        <v>3490</v>
      </c>
      <c r="E5712" s="3" t="str">
        <f>IF(LEN(Base_Periodo1[[#This Row],[CLASS]])&gt;=7,LEFT(Base_Periodo1[[#This Row],[CLASS]],7),"")</f>
        <v>2.4.1.1</v>
      </c>
      <c r="F5712" s="3" t="str">
        <f>VLOOKUP(Base_Periodo1[[#This Row],[Aux]],Base_Contas_Balanco[#All],2,FALSE)</f>
        <v>Capital Social Realizado</v>
      </c>
      <c r="G5712" s="1"/>
      <c r="H5712" s="281">
        <v>70.680000000000007</v>
      </c>
      <c r="I5712" s="281">
        <v>0</v>
      </c>
      <c r="J5712" s="281">
        <v>0</v>
      </c>
      <c r="K5712" s="281">
        <v>70.680000000000007</v>
      </c>
      <c r="L571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70.680000000000007</v>
      </c>
      <c r="M5712" s="281">
        <f>ROUND(IF(AND(Base_Periodo1[[#This Row],[Tipo_Linha]]="-",Base_Periodo1[[#This Row],[TIPOSALDO]]="D"),Base_Periodo1[[#This Row],[SALDO_ATUAL]]*-1,Base_Periodo1[[#This Row],[SALDO_ATUAL]]),4)</f>
        <v>70.680000000000007</v>
      </c>
      <c r="N5712" t="s">
        <v>116</v>
      </c>
      <c r="O5712" t="s">
        <v>459</v>
      </c>
      <c r="P5712" t="s">
        <v>459</v>
      </c>
      <c r="Q5712">
        <v>6</v>
      </c>
      <c r="R5712" s="281">
        <f>Base_Periodo1[[#This Row],[CREDITOS]]-Base_Periodo1[[#This Row],[DEBITOS]]</f>
        <v>0</v>
      </c>
      <c r="S5712" s="3" t="str">
        <f>IF(ISERROR(VLOOKUP(Base_Periodo1[[#This Row],[CONTA]],BaseContasDRE[#All],4,FALSE)),"Fora do DRE",VLOOKUP(Base_Periodo1[[#This Row],[CONTA]],BaseContasDRE[#All],4,FALSE))</f>
        <v>Fora do DRE</v>
      </c>
      <c r="T5712" s="3" t="str">
        <f>IF(ISERROR(VLOOKUP(Base_Periodo1[[#This Row],[CONTA]],BaseContasDRE[#All],5,FALSE)),"Fora do DRE",VLOOKUP(Base_Periodo1[[#This Row],[CONTA]],BaseContasDRE[#All],6,FALSE))</f>
        <v>Fora do DRE</v>
      </c>
      <c r="U5712" s="3" t="str">
        <f>IF(ISERROR(VLOOKUP(Base_Periodo1[[#This Row],[CONTA]],BaseContasDRE[#All],7,FALSE)),"Fora do DRE",VLOOKUP(Base_Periodo1[[#This Row],[CONTA]],BaseContasDRE[#All],7,FALSE))</f>
        <v>Fora do DRE</v>
      </c>
      <c r="V5712" s="3" t="str">
        <f>IF(Base_Periodo1[[#This Row],[Tipo_Linha]]="Fora do DRE","Fora do DRE","( "&amp;Base_Periodo1[[#This Row],[Tipo_Linha]]&amp;" ) "&amp;Base_Periodo1[[#This Row],[Filtro]])</f>
        <v>Fora do DRE</v>
      </c>
      <c r="W5712" s="3" t="str">
        <f>LEFT(Base_Periodo1[[#This Row],[CLASS]],3)</f>
        <v>2.4</v>
      </c>
    </row>
    <row r="5713" spans="1:23" hidden="1">
      <c r="A5713" s="3" t="str">
        <f t="shared" si="89"/>
        <v>Período 1</v>
      </c>
      <c r="B5713">
        <v>48006</v>
      </c>
      <c r="C5713" t="s">
        <v>2300</v>
      </c>
      <c r="D5713" t="s">
        <v>3491</v>
      </c>
      <c r="E5713" s="3" t="str">
        <f>IF(LEN(Base_Periodo1[[#This Row],[CLASS]])&gt;=7,LEFT(Base_Periodo1[[#This Row],[CLASS]],7),"")</f>
        <v>2.4.1.1</v>
      </c>
      <c r="F5713" s="3" t="str">
        <f>VLOOKUP(Base_Periodo1[[#This Row],[Aux]],Base_Contas_Balanco[#All],2,FALSE)</f>
        <v>Capital Social Realizado</v>
      </c>
      <c r="G5713" s="1"/>
      <c r="H5713" s="281">
        <v>200.33</v>
      </c>
      <c r="I5713" s="281">
        <v>0</v>
      </c>
      <c r="J5713" s="281">
        <v>0</v>
      </c>
      <c r="K5713" s="281">
        <v>200.33</v>
      </c>
      <c r="L571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200.33</v>
      </c>
      <c r="M5713" s="281">
        <f>ROUND(IF(AND(Base_Periodo1[[#This Row],[Tipo_Linha]]="-",Base_Periodo1[[#This Row],[TIPOSALDO]]="D"),Base_Periodo1[[#This Row],[SALDO_ATUAL]]*-1,Base_Periodo1[[#This Row],[SALDO_ATUAL]]),4)</f>
        <v>200.33</v>
      </c>
      <c r="N5713" t="s">
        <v>116</v>
      </c>
      <c r="O5713" t="s">
        <v>459</v>
      </c>
      <c r="P5713" t="s">
        <v>459</v>
      </c>
      <c r="Q5713">
        <v>6</v>
      </c>
      <c r="R5713" s="281">
        <f>Base_Periodo1[[#This Row],[CREDITOS]]-Base_Periodo1[[#This Row],[DEBITOS]]</f>
        <v>0</v>
      </c>
      <c r="S5713" s="3" t="str">
        <f>IF(ISERROR(VLOOKUP(Base_Periodo1[[#This Row],[CONTA]],BaseContasDRE[#All],4,FALSE)),"Fora do DRE",VLOOKUP(Base_Periodo1[[#This Row],[CONTA]],BaseContasDRE[#All],4,FALSE))</f>
        <v>Fora do DRE</v>
      </c>
      <c r="T5713" s="3" t="str">
        <f>IF(ISERROR(VLOOKUP(Base_Periodo1[[#This Row],[CONTA]],BaseContasDRE[#All],5,FALSE)),"Fora do DRE",VLOOKUP(Base_Periodo1[[#This Row],[CONTA]],BaseContasDRE[#All],6,FALSE))</f>
        <v>Fora do DRE</v>
      </c>
      <c r="U5713" s="3" t="str">
        <f>IF(ISERROR(VLOOKUP(Base_Periodo1[[#This Row],[CONTA]],BaseContasDRE[#All],7,FALSE)),"Fora do DRE",VLOOKUP(Base_Periodo1[[#This Row],[CONTA]],BaseContasDRE[#All],7,FALSE))</f>
        <v>Fora do DRE</v>
      </c>
      <c r="V5713" s="3" t="str">
        <f>IF(Base_Periodo1[[#This Row],[Tipo_Linha]]="Fora do DRE","Fora do DRE","( "&amp;Base_Periodo1[[#This Row],[Tipo_Linha]]&amp;" ) "&amp;Base_Periodo1[[#This Row],[Filtro]])</f>
        <v>Fora do DRE</v>
      </c>
      <c r="W5713" s="3" t="str">
        <f>LEFT(Base_Periodo1[[#This Row],[CLASS]],3)</f>
        <v>2.4</v>
      </c>
    </row>
    <row r="5714" spans="1:23" hidden="1">
      <c r="A5714" s="3" t="str">
        <f t="shared" si="89"/>
        <v>Período 1</v>
      </c>
      <c r="B5714">
        <v>30654</v>
      </c>
      <c r="C5714" t="s">
        <v>2300</v>
      </c>
      <c r="D5714" t="s">
        <v>3492</v>
      </c>
      <c r="E5714" s="3" t="str">
        <f>IF(LEN(Base_Periodo1[[#This Row],[CLASS]])&gt;=7,LEFT(Base_Periodo1[[#This Row],[CLASS]],7),"")</f>
        <v>2.4.1.1</v>
      </c>
      <c r="F5714" s="3" t="str">
        <f>VLOOKUP(Base_Periodo1[[#This Row],[Aux]],Base_Contas_Balanco[#All],2,FALSE)</f>
        <v>Capital Social Realizado</v>
      </c>
      <c r="G5714" s="1"/>
      <c r="H5714" s="281">
        <v>207.98</v>
      </c>
      <c r="I5714" s="281">
        <v>0</v>
      </c>
      <c r="J5714" s="281">
        <v>0</v>
      </c>
      <c r="K5714" s="281">
        <v>207.98</v>
      </c>
      <c r="L571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207.98</v>
      </c>
      <c r="M5714" s="281">
        <f>ROUND(IF(AND(Base_Periodo1[[#This Row],[Tipo_Linha]]="-",Base_Periodo1[[#This Row],[TIPOSALDO]]="D"),Base_Periodo1[[#This Row],[SALDO_ATUAL]]*-1,Base_Periodo1[[#This Row],[SALDO_ATUAL]]),4)</f>
        <v>207.98</v>
      </c>
      <c r="N5714" t="s">
        <v>116</v>
      </c>
      <c r="O5714" t="s">
        <v>459</v>
      </c>
      <c r="P5714" t="s">
        <v>459</v>
      </c>
      <c r="Q5714">
        <v>6</v>
      </c>
      <c r="R5714" s="281">
        <f>Base_Periodo1[[#This Row],[CREDITOS]]-Base_Periodo1[[#This Row],[DEBITOS]]</f>
        <v>0</v>
      </c>
      <c r="S5714" s="3" t="str">
        <f>IF(ISERROR(VLOOKUP(Base_Periodo1[[#This Row],[CONTA]],BaseContasDRE[#All],4,FALSE)),"Fora do DRE",VLOOKUP(Base_Periodo1[[#This Row],[CONTA]],BaseContasDRE[#All],4,FALSE))</f>
        <v>Fora do DRE</v>
      </c>
      <c r="T5714" s="3" t="str">
        <f>IF(ISERROR(VLOOKUP(Base_Periodo1[[#This Row],[CONTA]],BaseContasDRE[#All],5,FALSE)),"Fora do DRE",VLOOKUP(Base_Periodo1[[#This Row],[CONTA]],BaseContasDRE[#All],6,FALSE))</f>
        <v>Fora do DRE</v>
      </c>
      <c r="U5714" s="3" t="str">
        <f>IF(ISERROR(VLOOKUP(Base_Periodo1[[#This Row],[CONTA]],BaseContasDRE[#All],7,FALSE)),"Fora do DRE",VLOOKUP(Base_Periodo1[[#This Row],[CONTA]],BaseContasDRE[#All],7,FALSE))</f>
        <v>Fora do DRE</v>
      </c>
      <c r="V5714" s="3" t="str">
        <f>IF(Base_Periodo1[[#This Row],[Tipo_Linha]]="Fora do DRE","Fora do DRE","( "&amp;Base_Periodo1[[#This Row],[Tipo_Linha]]&amp;" ) "&amp;Base_Periodo1[[#This Row],[Filtro]])</f>
        <v>Fora do DRE</v>
      </c>
      <c r="W5714" s="3" t="str">
        <f>LEFT(Base_Periodo1[[#This Row],[CLASS]],3)</f>
        <v>2.4</v>
      </c>
    </row>
    <row r="5715" spans="1:23" hidden="1">
      <c r="A5715" s="3" t="str">
        <f t="shared" si="89"/>
        <v>Período 1</v>
      </c>
      <c r="B5715">
        <v>19946</v>
      </c>
      <c r="C5715" t="s">
        <v>2300</v>
      </c>
      <c r="D5715" t="s">
        <v>3493</v>
      </c>
      <c r="E5715" s="3" t="str">
        <f>IF(LEN(Base_Periodo1[[#This Row],[CLASS]])&gt;=7,LEFT(Base_Periodo1[[#This Row],[CLASS]],7),"")</f>
        <v>2.4.1.1</v>
      </c>
      <c r="F5715" s="3" t="str">
        <f>VLOOKUP(Base_Periodo1[[#This Row],[Aux]],Base_Contas_Balanco[#All],2,FALSE)</f>
        <v>Capital Social Realizado</v>
      </c>
      <c r="G5715" s="1"/>
      <c r="H5715" s="281">
        <v>7952.84</v>
      </c>
      <c r="I5715" s="281">
        <v>0</v>
      </c>
      <c r="J5715" s="281">
        <v>0</v>
      </c>
      <c r="K5715" s="281">
        <v>7952.84</v>
      </c>
      <c r="L571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7952.84</v>
      </c>
      <c r="M5715" s="281">
        <f>ROUND(IF(AND(Base_Periodo1[[#This Row],[Tipo_Linha]]="-",Base_Periodo1[[#This Row],[TIPOSALDO]]="D"),Base_Periodo1[[#This Row],[SALDO_ATUAL]]*-1,Base_Periodo1[[#This Row],[SALDO_ATUAL]]),4)</f>
        <v>7952.84</v>
      </c>
      <c r="N5715" t="s">
        <v>116</v>
      </c>
      <c r="O5715" t="s">
        <v>459</v>
      </c>
      <c r="P5715" t="s">
        <v>459</v>
      </c>
      <c r="Q5715">
        <v>6</v>
      </c>
      <c r="R5715" s="281">
        <f>Base_Periodo1[[#This Row],[CREDITOS]]-Base_Periodo1[[#This Row],[DEBITOS]]</f>
        <v>0</v>
      </c>
      <c r="S5715" s="3" t="str">
        <f>IF(ISERROR(VLOOKUP(Base_Periodo1[[#This Row],[CONTA]],BaseContasDRE[#All],4,FALSE)),"Fora do DRE",VLOOKUP(Base_Periodo1[[#This Row],[CONTA]],BaseContasDRE[#All],4,FALSE))</f>
        <v>Fora do DRE</v>
      </c>
      <c r="T5715" s="3" t="str">
        <f>IF(ISERROR(VLOOKUP(Base_Periodo1[[#This Row],[CONTA]],BaseContasDRE[#All],5,FALSE)),"Fora do DRE",VLOOKUP(Base_Periodo1[[#This Row],[CONTA]],BaseContasDRE[#All],6,FALSE))</f>
        <v>Fora do DRE</v>
      </c>
      <c r="U5715" s="3" t="str">
        <f>IF(ISERROR(VLOOKUP(Base_Periodo1[[#This Row],[CONTA]],BaseContasDRE[#All],7,FALSE)),"Fora do DRE",VLOOKUP(Base_Periodo1[[#This Row],[CONTA]],BaseContasDRE[#All],7,FALSE))</f>
        <v>Fora do DRE</v>
      </c>
      <c r="V5715" s="3" t="str">
        <f>IF(Base_Periodo1[[#This Row],[Tipo_Linha]]="Fora do DRE","Fora do DRE","( "&amp;Base_Periodo1[[#This Row],[Tipo_Linha]]&amp;" ) "&amp;Base_Periodo1[[#This Row],[Filtro]])</f>
        <v>Fora do DRE</v>
      </c>
      <c r="W5715" s="3" t="str">
        <f>LEFT(Base_Periodo1[[#This Row],[CLASS]],3)</f>
        <v>2.4</v>
      </c>
    </row>
    <row r="5716" spans="1:23" hidden="1">
      <c r="A5716" s="3" t="str">
        <f t="shared" si="89"/>
        <v>Período 1</v>
      </c>
      <c r="B5716">
        <v>37127</v>
      </c>
      <c r="C5716" t="s">
        <v>2300</v>
      </c>
      <c r="D5716" t="s">
        <v>3494</v>
      </c>
      <c r="E5716" s="3" t="str">
        <f>IF(LEN(Base_Periodo1[[#This Row],[CLASS]])&gt;=7,LEFT(Base_Periodo1[[#This Row],[CLASS]],7),"")</f>
        <v>2.4.1.1</v>
      </c>
      <c r="F5716" s="3" t="str">
        <f>VLOOKUP(Base_Periodo1[[#This Row],[Aux]],Base_Contas_Balanco[#All],2,FALSE)</f>
        <v>Capital Social Realizado</v>
      </c>
      <c r="G5716" s="1"/>
      <c r="H5716" s="281">
        <v>99.56</v>
      </c>
      <c r="I5716" s="281">
        <v>0</v>
      </c>
      <c r="J5716" s="281">
        <v>0</v>
      </c>
      <c r="K5716" s="281">
        <v>99.56</v>
      </c>
      <c r="L571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99.56</v>
      </c>
      <c r="M5716" s="281">
        <f>ROUND(IF(AND(Base_Periodo1[[#This Row],[Tipo_Linha]]="-",Base_Periodo1[[#This Row],[TIPOSALDO]]="D"),Base_Periodo1[[#This Row],[SALDO_ATUAL]]*-1,Base_Periodo1[[#This Row],[SALDO_ATUAL]]),4)</f>
        <v>99.56</v>
      </c>
      <c r="N5716" t="s">
        <v>116</v>
      </c>
      <c r="O5716" t="s">
        <v>459</v>
      </c>
      <c r="P5716" t="s">
        <v>459</v>
      </c>
      <c r="Q5716">
        <v>6</v>
      </c>
      <c r="R5716" s="281">
        <f>Base_Periodo1[[#This Row],[CREDITOS]]-Base_Periodo1[[#This Row],[DEBITOS]]</f>
        <v>0</v>
      </c>
      <c r="S5716" s="3" t="str">
        <f>IF(ISERROR(VLOOKUP(Base_Periodo1[[#This Row],[CONTA]],BaseContasDRE[#All],4,FALSE)),"Fora do DRE",VLOOKUP(Base_Periodo1[[#This Row],[CONTA]],BaseContasDRE[#All],4,FALSE))</f>
        <v>Fora do DRE</v>
      </c>
      <c r="T5716" s="3" t="str">
        <f>IF(ISERROR(VLOOKUP(Base_Periodo1[[#This Row],[CONTA]],BaseContasDRE[#All],5,FALSE)),"Fora do DRE",VLOOKUP(Base_Periodo1[[#This Row],[CONTA]],BaseContasDRE[#All],6,FALSE))</f>
        <v>Fora do DRE</v>
      </c>
      <c r="U5716" s="3" t="str">
        <f>IF(ISERROR(VLOOKUP(Base_Periodo1[[#This Row],[CONTA]],BaseContasDRE[#All],7,FALSE)),"Fora do DRE",VLOOKUP(Base_Periodo1[[#This Row],[CONTA]],BaseContasDRE[#All],7,FALSE))</f>
        <v>Fora do DRE</v>
      </c>
      <c r="V5716" s="3" t="str">
        <f>IF(Base_Periodo1[[#This Row],[Tipo_Linha]]="Fora do DRE","Fora do DRE","( "&amp;Base_Periodo1[[#This Row],[Tipo_Linha]]&amp;" ) "&amp;Base_Periodo1[[#This Row],[Filtro]])</f>
        <v>Fora do DRE</v>
      </c>
      <c r="W5716" s="3" t="str">
        <f>LEFT(Base_Periodo1[[#This Row],[CLASS]],3)</f>
        <v>2.4</v>
      </c>
    </row>
    <row r="5717" spans="1:23" hidden="1">
      <c r="A5717" s="3" t="str">
        <f t="shared" si="89"/>
        <v>Período 1</v>
      </c>
      <c r="B5717">
        <v>16202</v>
      </c>
      <c r="C5717" t="s">
        <v>2300</v>
      </c>
      <c r="D5717" t="s">
        <v>3495</v>
      </c>
      <c r="E5717" s="3" t="str">
        <f>IF(LEN(Base_Periodo1[[#This Row],[CLASS]])&gt;=7,LEFT(Base_Periodo1[[#This Row],[CLASS]],7),"")</f>
        <v>2.4.1.1</v>
      </c>
      <c r="F5717" s="3" t="str">
        <f>VLOOKUP(Base_Periodo1[[#This Row],[Aux]],Base_Contas_Balanco[#All],2,FALSE)</f>
        <v>Capital Social Realizado</v>
      </c>
      <c r="G5717" s="1"/>
      <c r="H5717" s="281">
        <v>10872.98</v>
      </c>
      <c r="I5717" s="281">
        <v>0</v>
      </c>
      <c r="J5717" s="281">
        <v>0</v>
      </c>
      <c r="K5717" s="281">
        <v>10872.98</v>
      </c>
      <c r="L571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10872.98</v>
      </c>
      <c r="M5717" s="281">
        <f>ROUND(IF(AND(Base_Periodo1[[#This Row],[Tipo_Linha]]="-",Base_Periodo1[[#This Row],[TIPOSALDO]]="D"),Base_Periodo1[[#This Row],[SALDO_ATUAL]]*-1,Base_Periodo1[[#This Row],[SALDO_ATUAL]]),4)</f>
        <v>10872.98</v>
      </c>
      <c r="N5717" t="s">
        <v>116</v>
      </c>
      <c r="O5717" t="s">
        <v>459</v>
      </c>
      <c r="P5717" t="s">
        <v>459</v>
      </c>
      <c r="Q5717">
        <v>6</v>
      </c>
      <c r="R5717" s="281">
        <f>Base_Periodo1[[#This Row],[CREDITOS]]-Base_Periodo1[[#This Row],[DEBITOS]]</f>
        <v>0</v>
      </c>
      <c r="S5717" s="3" t="str">
        <f>IF(ISERROR(VLOOKUP(Base_Periodo1[[#This Row],[CONTA]],BaseContasDRE[#All],4,FALSE)),"Fora do DRE",VLOOKUP(Base_Periodo1[[#This Row],[CONTA]],BaseContasDRE[#All],4,FALSE))</f>
        <v>Fora do DRE</v>
      </c>
      <c r="T5717" s="3" t="str">
        <f>IF(ISERROR(VLOOKUP(Base_Periodo1[[#This Row],[CONTA]],BaseContasDRE[#All],5,FALSE)),"Fora do DRE",VLOOKUP(Base_Periodo1[[#This Row],[CONTA]],BaseContasDRE[#All],6,FALSE))</f>
        <v>Fora do DRE</v>
      </c>
      <c r="U5717" s="3" t="str">
        <f>IF(ISERROR(VLOOKUP(Base_Periodo1[[#This Row],[CONTA]],BaseContasDRE[#All],7,FALSE)),"Fora do DRE",VLOOKUP(Base_Periodo1[[#This Row],[CONTA]],BaseContasDRE[#All],7,FALSE))</f>
        <v>Fora do DRE</v>
      </c>
      <c r="V5717" s="3" t="str">
        <f>IF(Base_Periodo1[[#This Row],[Tipo_Linha]]="Fora do DRE","Fora do DRE","( "&amp;Base_Periodo1[[#This Row],[Tipo_Linha]]&amp;" ) "&amp;Base_Periodo1[[#This Row],[Filtro]])</f>
        <v>Fora do DRE</v>
      </c>
      <c r="W5717" s="3" t="str">
        <f>LEFT(Base_Periodo1[[#This Row],[CLASS]],3)</f>
        <v>2.4</v>
      </c>
    </row>
    <row r="5718" spans="1:23" hidden="1">
      <c r="A5718" s="3" t="str">
        <f t="shared" si="89"/>
        <v>Período 1</v>
      </c>
      <c r="B5718">
        <v>16149</v>
      </c>
      <c r="C5718" t="s">
        <v>2300</v>
      </c>
      <c r="D5718" t="s">
        <v>3496</v>
      </c>
      <c r="E5718" s="3" t="str">
        <f>IF(LEN(Base_Periodo1[[#This Row],[CLASS]])&gt;=7,LEFT(Base_Periodo1[[#This Row],[CLASS]],7),"")</f>
        <v>2.4.1.1</v>
      </c>
      <c r="F5718" s="3" t="str">
        <f>VLOOKUP(Base_Periodo1[[#This Row],[Aux]],Base_Contas_Balanco[#All],2,FALSE)</f>
        <v>Capital Social Realizado</v>
      </c>
      <c r="G5718" s="1"/>
      <c r="H5718" s="281">
        <v>6678.37</v>
      </c>
      <c r="I5718" s="281">
        <v>0</v>
      </c>
      <c r="J5718" s="281">
        <v>0</v>
      </c>
      <c r="K5718" s="281">
        <v>6678.37</v>
      </c>
      <c r="L571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6678.37</v>
      </c>
      <c r="M5718" s="281">
        <f>ROUND(IF(AND(Base_Periodo1[[#This Row],[Tipo_Linha]]="-",Base_Periodo1[[#This Row],[TIPOSALDO]]="D"),Base_Periodo1[[#This Row],[SALDO_ATUAL]]*-1,Base_Periodo1[[#This Row],[SALDO_ATUAL]]),4)</f>
        <v>6678.37</v>
      </c>
      <c r="N5718" t="s">
        <v>116</v>
      </c>
      <c r="O5718" t="s">
        <v>459</v>
      </c>
      <c r="P5718" t="s">
        <v>459</v>
      </c>
      <c r="Q5718">
        <v>6</v>
      </c>
      <c r="R5718" s="281">
        <f>Base_Periodo1[[#This Row],[CREDITOS]]-Base_Periodo1[[#This Row],[DEBITOS]]</f>
        <v>0</v>
      </c>
      <c r="S5718" s="3" t="str">
        <f>IF(ISERROR(VLOOKUP(Base_Periodo1[[#This Row],[CONTA]],BaseContasDRE[#All],4,FALSE)),"Fora do DRE",VLOOKUP(Base_Periodo1[[#This Row],[CONTA]],BaseContasDRE[#All],4,FALSE))</f>
        <v>Fora do DRE</v>
      </c>
      <c r="T5718" s="3" t="str">
        <f>IF(ISERROR(VLOOKUP(Base_Periodo1[[#This Row],[CONTA]],BaseContasDRE[#All],5,FALSE)),"Fora do DRE",VLOOKUP(Base_Periodo1[[#This Row],[CONTA]],BaseContasDRE[#All],6,FALSE))</f>
        <v>Fora do DRE</v>
      </c>
      <c r="U5718" s="3" t="str">
        <f>IF(ISERROR(VLOOKUP(Base_Periodo1[[#This Row],[CONTA]],BaseContasDRE[#All],7,FALSE)),"Fora do DRE",VLOOKUP(Base_Periodo1[[#This Row],[CONTA]],BaseContasDRE[#All],7,FALSE))</f>
        <v>Fora do DRE</v>
      </c>
      <c r="V5718" s="3" t="str">
        <f>IF(Base_Periodo1[[#This Row],[Tipo_Linha]]="Fora do DRE","Fora do DRE","( "&amp;Base_Periodo1[[#This Row],[Tipo_Linha]]&amp;" ) "&amp;Base_Periodo1[[#This Row],[Filtro]])</f>
        <v>Fora do DRE</v>
      </c>
      <c r="W5718" s="3" t="str">
        <f>LEFT(Base_Periodo1[[#This Row],[CLASS]],3)</f>
        <v>2.4</v>
      </c>
    </row>
    <row r="5719" spans="1:23" hidden="1">
      <c r="A5719" s="3" t="str">
        <f t="shared" si="89"/>
        <v>Período 1</v>
      </c>
      <c r="B5719">
        <v>36247</v>
      </c>
      <c r="C5719" t="s">
        <v>2300</v>
      </c>
      <c r="D5719" t="s">
        <v>3497</v>
      </c>
      <c r="E5719" s="3" t="str">
        <f>IF(LEN(Base_Periodo1[[#This Row],[CLASS]])&gt;=7,LEFT(Base_Periodo1[[#This Row],[CLASS]],7),"")</f>
        <v>2.4.1.1</v>
      </c>
      <c r="F5719" s="3" t="str">
        <f>VLOOKUP(Base_Periodo1[[#This Row],[Aux]],Base_Contas_Balanco[#All],2,FALSE)</f>
        <v>Capital Social Realizado</v>
      </c>
      <c r="G5719" s="1"/>
      <c r="H5719" s="281">
        <v>140.84</v>
      </c>
      <c r="I5719" s="281">
        <v>0</v>
      </c>
      <c r="J5719" s="281">
        <v>0</v>
      </c>
      <c r="K5719" s="281">
        <v>140.84</v>
      </c>
      <c r="L571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140.84</v>
      </c>
      <c r="M5719" s="281">
        <f>ROUND(IF(AND(Base_Periodo1[[#This Row],[Tipo_Linha]]="-",Base_Periodo1[[#This Row],[TIPOSALDO]]="D"),Base_Periodo1[[#This Row],[SALDO_ATUAL]]*-1,Base_Periodo1[[#This Row],[SALDO_ATUAL]]),4)</f>
        <v>140.84</v>
      </c>
      <c r="N5719" t="s">
        <v>116</v>
      </c>
      <c r="O5719" t="s">
        <v>459</v>
      </c>
      <c r="P5719" t="s">
        <v>459</v>
      </c>
      <c r="Q5719">
        <v>6</v>
      </c>
      <c r="R5719" s="281">
        <f>Base_Periodo1[[#This Row],[CREDITOS]]-Base_Periodo1[[#This Row],[DEBITOS]]</f>
        <v>0</v>
      </c>
      <c r="S5719" s="3" t="str">
        <f>IF(ISERROR(VLOOKUP(Base_Periodo1[[#This Row],[CONTA]],BaseContasDRE[#All],4,FALSE)),"Fora do DRE",VLOOKUP(Base_Periodo1[[#This Row],[CONTA]],BaseContasDRE[#All],4,FALSE))</f>
        <v>Fora do DRE</v>
      </c>
      <c r="T5719" s="3" t="str">
        <f>IF(ISERROR(VLOOKUP(Base_Periodo1[[#This Row],[CONTA]],BaseContasDRE[#All],5,FALSE)),"Fora do DRE",VLOOKUP(Base_Periodo1[[#This Row],[CONTA]],BaseContasDRE[#All],6,FALSE))</f>
        <v>Fora do DRE</v>
      </c>
      <c r="U5719" s="3" t="str">
        <f>IF(ISERROR(VLOOKUP(Base_Periodo1[[#This Row],[CONTA]],BaseContasDRE[#All],7,FALSE)),"Fora do DRE",VLOOKUP(Base_Periodo1[[#This Row],[CONTA]],BaseContasDRE[#All],7,FALSE))</f>
        <v>Fora do DRE</v>
      </c>
      <c r="V5719" s="3" t="str">
        <f>IF(Base_Periodo1[[#This Row],[Tipo_Linha]]="Fora do DRE","Fora do DRE","( "&amp;Base_Periodo1[[#This Row],[Tipo_Linha]]&amp;" ) "&amp;Base_Periodo1[[#This Row],[Filtro]])</f>
        <v>Fora do DRE</v>
      </c>
      <c r="W5719" s="3" t="str">
        <f>LEFT(Base_Periodo1[[#This Row],[CLASS]],3)</f>
        <v>2.4</v>
      </c>
    </row>
    <row r="5720" spans="1:23" hidden="1">
      <c r="A5720" s="3" t="str">
        <f t="shared" si="89"/>
        <v>Período 1</v>
      </c>
      <c r="B5720">
        <v>29682</v>
      </c>
      <c r="C5720" t="s">
        <v>2300</v>
      </c>
      <c r="D5720" t="s">
        <v>3498</v>
      </c>
      <c r="E5720" s="3" t="str">
        <f>IF(LEN(Base_Periodo1[[#This Row],[CLASS]])&gt;=7,LEFT(Base_Periodo1[[#This Row],[CLASS]],7),"")</f>
        <v>2.4.1.1</v>
      </c>
      <c r="F5720" s="3" t="str">
        <f>VLOOKUP(Base_Periodo1[[#This Row],[Aux]],Base_Contas_Balanco[#All],2,FALSE)</f>
        <v>Capital Social Realizado</v>
      </c>
      <c r="G5720" s="1"/>
      <c r="H5720" s="281">
        <v>598.84</v>
      </c>
      <c r="I5720" s="281">
        <v>0</v>
      </c>
      <c r="J5720" s="281">
        <v>0</v>
      </c>
      <c r="K5720" s="281">
        <v>598.84</v>
      </c>
      <c r="L572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598.84</v>
      </c>
      <c r="M5720" s="281">
        <f>ROUND(IF(AND(Base_Periodo1[[#This Row],[Tipo_Linha]]="-",Base_Periodo1[[#This Row],[TIPOSALDO]]="D"),Base_Periodo1[[#This Row],[SALDO_ATUAL]]*-1,Base_Periodo1[[#This Row],[SALDO_ATUAL]]),4)</f>
        <v>598.84</v>
      </c>
      <c r="N5720" t="s">
        <v>116</v>
      </c>
      <c r="O5720" t="s">
        <v>459</v>
      </c>
      <c r="P5720" t="s">
        <v>459</v>
      </c>
      <c r="Q5720">
        <v>6</v>
      </c>
      <c r="R5720" s="281">
        <f>Base_Periodo1[[#This Row],[CREDITOS]]-Base_Periodo1[[#This Row],[DEBITOS]]</f>
        <v>0</v>
      </c>
      <c r="S5720" s="3" t="str">
        <f>IF(ISERROR(VLOOKUP(Base_Periodo1[[#This Row],[CONTA]],BaseContasDRE[#All],4,FALSE)),"Fora do DRE",VLOOKUP(Base_Periodo1[[#This Row],[CONTA]],BaseContasDRE[#All],4,FALSE))</f>
        <v>Fora do DRE</v>
      </c>
      <c r="T5720" s="3" t="str">
        <f>IF(ISERROR(VLOOKUP(Base_Periodo1[[#This Row],[CONTA]],BaseContasDRE[#All],5,FALSE)),"Fora do DRE",VLOOKUP(Base_Periodo1[[#This Row],[CONTA]],BaseContasDRE[#All],6,FALSE))</f>
        <v>Fora do DRE</v>
      </c>
      <c r="U5720" s="3" t="str">
        <f>IF(ISERROR(VLOOKUP(Base_Periodo1[[#This Row],[CONTA]],BaseContasDRE[#All],7,FALSE)),"Fora do DRE",VLOOKUP(Base_Periodo1[[#This Row],[CONTA]],BaseContasDRE[#All],7,FALSE))</f>
        <v>Fora do DRE</v>
      </c>
      <c r="V5720" s="3" t="str">
        <f>IF(Base_Periodo1[[#This Row],[Tipo_Linha]]="Fora do DRE","Fora do DRE","( "&amp;Base_Periodo1[[#This Row],[Tipo_Linha]]&amp;" ) "&amp;Base_Periodo1[[#This Row],[Filtro]])</f>
        <v>Fora do DRE</v>
      </c>
      <c r="W5720" s="3" t="str">
        <f>LEFT(Base_Periodo1[[#This Row],[CLASS]],3)</f>
        <v>2.4</v>
      </c>
    </row>
    <row r="5721" spans="1:23" hidden="1">
      <c r="A5721" s="3" t="str">
        <f t="shared" si="89"/>
        <v>Período 1</v>
      </c>
      <c r="B5721">
        <v>25523</v>
      </c>
      <c r="C5721" t="s">
        <v>2300</v>
      </c>
      <c r="D5721" t="s">
        <v>3499</v>
      </c>
      <c r="E5721" s="3" t="str">
        <f>IF(LEN(Base_Periodo1[[#This Row],[CLASS]])&gt;=7,LEFT(Base_Periodo1[[#This Row],[CLASS]],7),"")</f>
        <v>2.4.1.1</v>
      </c>
      <c r="F5721" s="3" t="str">
        <f>VLOOKUP(Base_Periodo1[[#This Row],[Aux]],Base_Contas_Balanco[#All],2,FALSE)</f>
        <v>Capital Social Realizado</v>
      </c>
      <c r="G5721" s="1"/>
      <c r="H5721" s="281">
        <v>238.45999999999998</v>
      </c>
      <c r="I5721" s="281">
        <v>0</v>
      </c>
      <c r="J5721" s="281">
        <v>0</v>
      </c>
      <c r="K5721" s="281">
        <v>238.45999999999998</v>
      </c>
      <c r="L572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238.46</v>
      </c>
      <c r="M5721" s="281">
        <f>ROUND(IF(AND(Base_Periodo1[[#This Row],[Tipo_Linha]]="-",Base_Periodo1[[#This Row],[TIPOSALDO]]="D"),Base_Periodo1[[#This Row],[SALDO_ATUAL]]*-1,Base_Periodo1[[#This Row],[SALDO_ATUAL]]),4)</f>
        <v>238.46</v>
      </c>
      <c r="N5721" t="s">
        <v>116</v>
      </c>
      <c r="O5721" t="s">
        <v>459</v>
      </c>
      <c r="P5721" t="s">
        <v>459</v>
      </c>
      <c r="Q5721">
        <v>6</v>
      </c>
      <c r="R5721" s="281">
        <f>Base_Periodo1[[#This Row],[CREDITOS]]-Base_Periodo1[[#This Row],[DEBITOS]]</f>
        <v>0</v>
      </c>
      <c r="S5721" s="3" t="str">
        <f>IF(ISERROR(VLOOKUP(Base_Periodo1[[#This Row],[CONTA]],BaseContasDRE[#All],4,FALSE)),"Fora do DRE",VLOOKUP(Base_Periodo1[[#This Row],[CONTA]],BaseContasDRE[#All],4,FALSE))</f>
        <v>Fora do DRE</v>
      </c>
      <c r="T5721" s="3" t="str">
        <f>IF(ISERROR(VLOOKUP(Base_Periodo1[[#This Row],[CONTA]],BaseContasDRE[#All],5,FALSE)),"Fora do DRE",VLOOKUP(Base_Periodo1[[#This Row],[CONTA]],BaseContasDRE[#All],6,FALSE))</f>
        <v>Fora do DRE</v>
      </c>
      <c r="U5721" s="3" t="str">
        <f>IF(ISERROR(VLOOKUP(Base_Periodo1[[#This Row],[CONTA]],BaseContasDRE[#All],7,FALSE)),"Fora do DRE",VLOOKUP(Base_Periodo1[[#This Row],[CONTA]],BaseContasDRE[#All],7,FALSE))</f>
        <v>Fora do DRE</v>
      </c>
      <c r="V5721" s="3" t="str">
        <f>IF(Base_Periodo1[[#This Row],[Tipo_Linha]]="Fora do DRE","Fora do DRE","( "&amp;Base_Periodo1[[#This Row],[Tipo_Linha]]&amp;" ) "&amp;Base_Periodo1[[#This Row],[Filtro]])</f>
        <v>Fora do DRE</v>
      </c>
      <c r="W5721" s="3" t="str">
        <f>LEFT(Base_Periodo1[[#This Row],[CLASS]],3)</f>
        <v>2.4</v>
      </c>
    </row>
    <row r="5722" spans="1:23" hidden="1">
      <c r="A5722" s="3" t="str">
        <f t="shared" si="89"/>
        <v>Período 1</v>
      </c>
      <c r="B5722">
        <v>22604</v>
      </c>
      <c r="C5722" t="s">
        <v>2300</v>
      </c>
      <c r="D5722" t="s">
        <v>3500</v>
      </c>
      <c r="E5722" s="3" t="str">
        <f>IF(LEN(Base_Periodo1[[#This Row],[CLASS]])&gt;=7,LEFT(Base_Periodo1[[#This Row],[CLASS]],7),"")</f>
        <v>2.4.1.1</v>
      </c>
      <c r="F5722" s="3" t="str">
        <f>VLOOKUP(Base_Periodo1[[#This Row],[Aux]],Base_Contas_Balanco[#All],2,FALSE)</f>
        <v>Capital Social Realizado</v>
      </c>
      <c r="G5722" s="1"/>
      <c r="H5722" s="281">
        <v>233.03</v>
      </c>
      <c r="I5722" s="281">
        <v>0</v>
      </c>
      <c r="J5722" s="281">
        <v>0</v>
      </c>
      <c r="K5722" s="281">
        <v>233.03</v>
      </c>
      <c r="L572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233.03</v>
      </c>
      <c r="M5722" s="281">
        <f>ROUND(IF(AND(Base_Periodo1[[#This Row],[Tipo_Linha]]="-",Base_Periodo1[[#This Row],[TIPOSALDO]]="D"),Base_Periodo1[[#This Row],[SALDO_ATUAL]]*-1,Base_Periodo1[[#This Row],[SALDO_ATUAL]]),4)</f>
        <v>233.03</v>
      </c>
      <c r="N5722" t="s">
        <v>116</v>
      </c>
      <c r="O5722" t="s">
        <v>459</v>
      </c>
      <c r="P5722" t="s">
        <v>459</v>
      </c>
      <c r="Q5722">
        <v>6</v>
      </c>
      <c r="R5722" s="281">
        <f>Base_Periodo1[[#This Row],[CREDITOS]]-Base_Periodo1[[#This Row],[DEBITOS]]</f>
        <v>0</v>
      </c>
      <c r="S5722" s="3" t="str">
        <f>IF(ISERROR(VLOOKUP(Base_Periodo1[[#This Row],[CONTA]],BaseContasDRE[#All],4,FALSE)),"Fora do DRE",VLOOKUP(Base_Periodo1[[#This Row],[CONTA]],BaseContasDRE[#All],4,FALSE))</f>
        <v>Fora do DRE</v>
      </c>
      <c r="T5722" s="3" t="str">
        <f>IF(ISERROR(VLOOKUP(Base_Periodo1[[#This Row],[CONTA]],BaseContasDRE[#All],5,FALSE)),"Fora do DRE",VLOOKUP(Base_Periodo1[[#This Row],[CONTA]],BaseContasDRE[#All],6,FALSE))</f>
        <v>Fora do DRE</v>
      </c>
      <c r="U5722" s="3" t="str">
        <f>IF(ISERROR(VLOOKUP(Base_Periodo1[[#This Row],[CONTA]],BaseContasDRE[#All],7,FALSE)),"Fora do DRE",VLOOKUP(Base_Periodo1[[#This Row],[CONTA]],BaseContasDRE[#All],7,FALSE))</f>
        <v>Fora do DRE</v>
      </c>
      <c r="V5722" s="3" t="str">
        <f>IF(Base_Periodo1[[#This Row],[Tipo_Linha]]="Fora do DRE","Fora do DRE","( "&amp;Base_Periodo1[[#This Row],[Tipo_Linha]]&amp;" ) "&amp;Base_Periodo1[[#This Row],[Filtro]])</f>
        <v>Fora do DRE</v>
      </c>
      <c r="W5722" s="3" t="str">
        <f>LEFT(Base_Periodo1[[#This Row],[CLASS]],3)</f>
        <v>2.4</v>
      </c>
    </row>
    <row r="5723" spans="1:23" hidden="1">
      <c r="A5723" s="3" t="str">
        <f t="shared" si="89"/>
        <v>Período 1</v>
      </c>
      <c r="B5723">
        <v>19262</v>
      </c>
      <c r="C5723" t="s">
        <v>2300</v>
      </c>
      <c r="D5723" t="s">
        <v>3501</v>
      </c>
      <c r="E5723" s="3" t="str">
        <f>IF(LEN(Base_Periodo1[[#This Row],[CLASS]])&gt;=7,LEFT(Base_Periodo1[[#This Row],[CLASS]],7),"")</f>
        <v>2.4.1.1</v>
      </c>
      <c r="F5723" s="3" t="str">
        <f>VLOOKUP(Base_Periodo1[[#This Row],[Aux]],Base_Contas_Balanco[#All],2,FALSE)</f>
        <v>Capital Social Realizado</v>
      </c>
      <c r="G5723" s="1"/>
      <c r="H5723" s="281">
        <v>160.1</v>
      </c>
      <c r="I5723" s="281">
        <v>0</v>
      </c>
      <c r="J5723" s="281">
        <v>0</v>
      </c>
      <c r="K5723" s="281">
        <v>160.1</v>
      </c>
      <c r="L572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160.1</v>
      </c>
      <c r="M5723" s="281">
        <f>ROUND(IF(AND(Base_Periodo1[[#This Row],[Tipo_Linha]]="-",Base_Periodo1[[#This Row],[TIPOSALDO]]="D"),Base_Periodo1[[#This Row],[SALDO_ATUAL]]*-1,Base_Periodo1[[#This Row],[SALDO_ATUAL]]),4)</f>
        <v>160.1</v>
      </c>
      <c r="N5723" t="s">
        <v>116</v>
      </c>
      <c r="O5723" t="s">
        <v>459</v>
      </c>
      <c r="P5723" t="s">
        <v>459</v>
      </c>
      <c r="Q5723">
        <v>6</v>
      </c>
      <c r="R5723" s="281">
        <f>Base_Periodo1[[#This Row],[CREDITOS]]-Base_Periodo1[[#This Row],[DEBITOS]]</f>
        <v>0</v>
      </c>
      <c r="S5723" s="3" t="str">
        <f>IF(ISERROR(VLOOKUP(Base_Periodo1[[#This Row],[CONTA]],BaseContasDRE[#All],4,FALSE)),"Fora do DRE",VLOOKUP(Base_Periodo1[[#This Row],[CONTA]],BaseContasDRE[#All],4,FALSE))</f>
        <v>Fora do DRE</v>
      </c>
      <c r="T5723" s="3" t="str">
        <f>IF(ISERROR(VLOOKUP(Base_Periodo1[[#This Row],[CONTA]],BaseContasDRE[#All],5,FALSE)),"Fora do DRE",VLOOKUP(Base_Periodo1[[#This Row],[CONTA]],BaseContasDRE[#All],6,FALSE))</f>
        <v>Fora do DRE</v>
      </c>
      <c r="U5723" s="3" t="str">
        <f>IF(ISERROR(VLOOKUP(Base_Periodo1[[#This Row],[CONTA]],BaseContasDRE[#All],7,FALSE)),"Fora do DRE",VLOOKUP(Base_Periodo1[[#This Row],[CONTA]],BaseContasDRE[#All],7,FALSE))</f>
        <v>Fora do DRE</v>
      </c>
      <c r="V5723" s="3" t="str">
        <f>IF(Base_Periodo1[[#This Row],[Tipo_Linha]]="Fora do DRE","Fora do DRE","( "&amp;Base_Periodo1[[#This Row],[Tipo_Linha]]&amp;" ) "&amp;Base_Periodo1[[#This Row],[Filtro]])</f>
        <v>Fora do DRE</v>
      </c>
      <c r="W5723" s="3" t="str">
        <f>LEFT(Base_Periodo1[[#This Row],[CLASS]],3)</f>
        <v>2.4</v>
      </c>
    </row>
    <row r="5724" spans="1:23" hidden="1">
      <c r="A5724" s="3" t="str">
        <f t="shared" si="89"/>
        <v>Período 1</v>
      </c>
      <c r="B5724">
        <v>19900</v>
      </c>
      <c r="C5724" t="s">
        <v>2300</v>
      </c>
      <c r="D5724" t="s">
        <v>3502</v>
      </c>
      <c r="E5724" s="3" t="str">
        <f>IF(LEN(Base_Periodo1[[#This Row],[CLASS]])&gt;=7,LEFT(Base_Periodo1[[#This Row],[CLASS]],7),"")</f>
        <v>2.4.1.1</v>
      </c>
      <c r="F5724" s="3" t="str">
        <f>VLOOKUP(Base_Periodo1[[#This Row],[Aux]],Base_Contas_Balanco[#All],2,FALSE)</f>
        <v>Capital Social Realizado</v>
      </c>
      <c r="G5724" s="1"/>
      <c r="H5724" s="281">
        <v>4020</v>
      </c>
      <c r="I5724" s="281">
        <v>0</v>
      </c>
      <c r="J5724" s="281">
        <v>0</v>
      </c>
      <c r="K5724" s="281">
        <v>4020</v>
      </c>
      <c r="L572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4020</v>
      </c>
      <c r="M5724" s="281">
        <f>ROUND(IF(AND(Base_Periodo1[[#This Row],[Tipo_Linha]]="-",Base_Periodo1[[#This Row],[TIPOSALDO]]="D"),Base_Periodo1[[#This Row],[SALDO_ATUAL]]*-1,Base_Periodo1[[#This Row],[SALDO_ATUAL]]),4)</f>
        <v>4020</v>
      </c>
      <c r="N5724" t="s">
        <v>116</v>
      </c>
      <c r="O5724" t="s">
        <v>459</v>
      </c>
      <c r="P5724" t="s">
        <v>459</v>
      </c>
      <c r="Q5724">
        <v>6</v>
      </c>
      <c r="R5724" s="281">
        <f>Base_Periodo1[[#This Row],[CREDITOS]]-Base_Periodo1[[#This Row],[DEBITOS]]</f>
        <v>0</v>
      </c>
      <c r="S5724" s="3" t="str">
        <f>IF(ISERROR(VLOOKUP(Base_Periodo1[[#This Row],[CONTA]],BaseContasDRE[#All],4,FALSE)),"Fora do DRE",VLOOKUP(Base_Periodo1[[#This Row],[CONTA]],BaseContasDRE[#All],4,FALSE))</f>
        <v>Fora do DRE</v>
      </c>
      <c r="T5724" s="3" t="str">
        <f>IF(ISERROR(VLOOKUP(Base_Periodo1[[#This Row],[CONTA]],BaseContasDRE[#All],5,FALSE)),"Fora do DRE",VLOOKUP(Base_Periodo1[[#This Row],[CONTA]],BaseContasDRE[#All],6,FALSE))</f>
        <v>Fora do DRE</v>
      </c>
      <c r="U5724" s="3" t="str">
        <f>IF(ISERROR(VLOOKUP(Base_Periodo1[[#This Row],[CONTA]],BaseContasDRE[#All],7,FALSE)),"Fora do DRE",VLOOKUP(Base_Periodo1[[#This Row],[CONTA]],BaseContasDRE[#All],7,FALSE))</f>
        <v>Fora do DRE</v>
      </c>
      <c r="V5724" s="3" t="str">
        <f>IF(Base_Periodo1[[#This Row],[Tipo_Linha]]="Fora do DRE","Fora do DRE","( "&amp;Base_Periodo1[[#This Row],[Tipo_Linha]]&amp;" ) "&amp;Base_Periodo1[[#This Row],[Filtro]])</f>
        <v>Fora do DRE</v>
      </c>
      <c r="W5724" s="3" t="str">
        <f>LEFT(Base_Periodo1[[#This Row],[CLASS]],3)</f>
        <v>2.4</v>
      </c>
    </row>
    <row r="5725" spans="1:23" hidden="1">
      <c r="A5725" s="3" t="str">
        <f t="shared" si="89"/>
        <v>Período 1</v>
      </c>
      <c r="B5725">
        <v>16167</v>
      </c>
      <c r="C5725" t="s">
        <v>2300</v>
      </c>
      <c r="D5725" t="s">
        <v>3503</v>
      </c>
      <c r="E5725" s="3" t="str">
        <f>IF(LEN(Base_Periodo1[[#This Row],[CLASS]])&gt;=7,LEFT(Base_Periodo1[[#This Row],[CLASS]],7),"")</f>
        <v>2.4.1.1</v>
      </c>
      <c r="F5725" s="3" t="str">
        <f>VLOOKUP(Base_Periodo1[[#This Row],[Aux]],Base_Contas_Balanco[#All],2,FALSE)</f>
        <v>Capital Social Realizado</v>
      </c>
      <c r="G5725" s="1"/>
      <c r="H5725" s="281">
        <v>14216.300000000001</v>
      </c>
      <c r="I5725" s="281">
        <v>0</v>
      </c>
      <c r="J5725" s="281">
        <v>0</v>
      </c>
      <c r="K5725" s="281">
        <v>14216.300000000001</v>
      </c>
      <c r="L572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14216.3</v>
      </c>
      <c r="M5725" s="281">
        <f>ROUND(IF(AND(Base_Periodo1[[#This Row],[Tipo_Linha]]="-",Base_Periodo1[[#This Row],[TIPOSALDO]]="D"),Base_Periodo1[[#This Row],[SALDO_ATUAL]]*-1,Base_Periodo1[[#This Row],[SALDO_ATUAL]]),4)</f>
        <v>14216.3</v>
      </c>
      <c r="N5725" t="s">
        <v>116</v>
      </c>
      <c r="O5725" t="s">
        <v>459</v>
      </c>
      <c r="P5725" t="s">
        <v>459</v>
      </c>
      <c r="Q5725">
        <v>6</v>
      </c>
      <c r="R5725" s="281">
        <f>Base_Periodo1[[#This Row],[CREDITOS]]-Base_Periodo1[[#This Row],[DEBITOS]]</f>
        <v>0</v>
      </c>
      <c r="S5725" s="3" t="str">
        <f>IF(ISERROR(VLOOKUP(Base_Periodo1[[#This Row],[CONTA]],BaseContasDRE[#All],4,FALSE)),"Fora do DRE",VLOOKUP(Base_Periodo1[[#This Row],[CONTA]],BaseContasDRE[#All],4,FALSE))</f>
        <v>Fora do DRE</v>
      </c>
      <c r="T5725" s="3" t="str">
        <f>IF(ISERROR(VLOOKUP(Base_Periodo1[[#This Row],[CONTA]],BaseContasDRE[#All],5,FALSE)),"Fora do DRE",VLOOKUP(Base_Periodo1[[#This Row],[CONTA]],BaseContasDRE[#All],6,FALSE))</f>
        <v>Fora do DRE</v>
      </c>
      <c r="U5725" s="3" t="str">
        <f>IF(ISERROR(VLOOKUP(Base_Periodo1[[#This Row],[CONTA]],BaseContasDRE[#All],7,FALSE)),"Fora do DRE",VLOOKUP(Base_Periodo1[[#This Row],[CONTA]],BaseContasDRE[#All],7,FALSE))</f>
        <v>Fora do DRE</v>
      </c>
      <c r="V5725" s="3" t="str">
        <f>IF(Base_Periodo1[[#This Row],[Tipo_Linha]]="Fora do DRE","Fora do DRE","( "&amp;Base_Periodo1[[#This Row],[Tipo_Linha]]&amp;" ) "&amp;Base_Periodo1[[#This Row],[Filtro]])</f>
        <v>Fora do DRE</v>
      </c>
      <c r="W5725" s="3" t="str">
        <f>LEFT(Base_Periodo1[[#This Row],[CLASS]],3)</f>
        <v>2.4</v>
      </c>
    </row>
    <row r="5726" spans="1:23" hidden="1">
      <c r="A5726" s="3" t="str">
        <f t="shared" si="89"/>
        <v>Período 1</v>
      </c>
      <c r="B5726">
        <v>16242</v>
      </c>
      <c r="C5726" t="s">
        <v>2300</v>
      </c>
      <c r="D5726" t="s">
        <v>3504</v>
      </c>
      <c r="E5726" s="3" t="str">
        <f>IF(LEN(Base_Periodo1[[#This Row],[CLASS]])&gt;=7,LEFT(Base_Periodo1[[#This Row],[CLASS]],7),"")</f>
        <v>2.4.1.1</v>
      </c>
      <c r="F5726" s="3" t="str">
        <f>VLOOKUP(Base_Periodo1[[#This Row],[Aux]],Base_Contas_Balanco[#All],2,FALSE)</f>
        <v>Capital Social Realizado</v>
      </c>
      <c r="G5726" s="1">
        <v>42460</v>
      </c>
      <c r="H5726" s="281">
        <v>170.63</v>
      </c>
      <c r="I5726" s="281">
        <v>0</v>
      </c>
      <c r="J5726" s="281">
        <v>0</v>
      </c>
      <c r="K5726" s="281">
        <v>170.63</v>
      </c>
      <c r="L572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170.63</v>
      </c>
      <c r="M5726" s="281">
        <f>ROUND(IF(AND(Base_Periodo1[[#This Row],[Tipo_Linha]]="-",Base_Periodo1[[#This Row],[TIPOSALDO]]="D"),Base_Periodo1[[#This Row],[SALDO_ATUAL]]*-1,Base_Periodo1[[#This Row],[SALDO_ATUAL]]),4)</f>
        <v>170.63</v>
      </c>
      <c r="N5726" t="s">
        <v>116</v>
      </c>
      <c r="O5726" t="s">
        <v>459</v>
      </c>
      <c r="P5726" t="s">
        <v>459</v>
      </c>
      <c r="Q5726">
        <v>6</v>
      </c>
      <c r="R5726" s="281">
        <f>Base_Periodo1[[#This Row],[CREDITOS]]-Base_Periodo1[[#This Row],[DEBITOS]]</f>
        <v>0</v>
      </c>
      <c r="S5726" s="3" t="str">
        <f>IF(ISERROR(VLOOKUP(Base_Periodo1[[#This Row],[CONTA]],BaseContasDRE[#All],4,FALSE)),"Fora do DRE",VLOOKUP(Base_Periodo1[[#This Row],[CONTA]],BaseContasDRE[#All],4,FALSE))</f>
        <v>Fora do DRE</v>
      </c>
      <c r="T5726" s="3" t="str">
        <f>IF(ISERROR(VLOOKUP(Base_Periodo1[[#This Row],[CONTA]],BaseContasDRE[#All],5,FALSE)),"Fora do DRE",VLOOKUP(Base_Periodo1[[#This Row],[CONTA]],BaseContasDRE[#All],6,FALSE))</f>
        <v>Fora do DRE</v>
      </c>
      <c r="U5726" s="3" t="str">
        <f>IF(ISERROR(VLOOKUP(Base_Periodo1[[#This Row],[CONTA]],BaseContasDRE[#All],7,FALSE)),"Fora do DRE",VLOOKUP(Base_Periodo1[[#This Row],[CONTA]],BaseContasDRE[#All],7,FALSE))</f>
        <v>Fora do DRE</v>
      </c>
      <c r="V5726" s="3" t="str">
        <f>IF(Base_Periodo1[[#This Row],[Tipo_Linha]]="Fora do DRE","Fora do DRE","( "&amp;Base_Periodo1[[#This Row],[Tipo_Linha]]&amp;" ) "&amp;Base_Periodo1[[#This Row],[Filtro]])</f>
        <v>Fora do DRE</v>
      </c>
      <c r="W5726" s="3" t="str">
        <f>LEFT(Base_Periodo1[[#This Row],[CLASS]],3)</f>
        <v>2.4</v>
      </c>
    </row>
    <row r="5727" spans="1:23" hidden="1">
      <c r="A5727" s="3" t="str">
        <f t="shared" si="89"/>
        <v>Período 1</v>
      </c>
      <c r="B5727">
        <v>24589</v>
      </c>
      <c r="C5727" t="s">
        <v>2300</v>
      </c>
      <c r="D5727" t="s">
        <v>3505</v>
      </c>
      <c r="E5727" s="3" t="str">
        <f>IF(LEN(Base_Periodo1[[#This Row],[CLASS]])&gt;=7,LEFT(Base_Periodo1[[#This Row],[CLASS]],7),"")</f>
        <v>2.4.1.1</v>
      </c>
      <c r="F5727" s="3" t="str">
        <f>VLOOKUP(Base_Periodo1[[#This Row],[Aux]],Base_Contas_Balanco[#All],2,FALSE)</f>
        <v>Capital Social Realizado</v>
      </c>
      <c r="G5727" s="1"/>
      <c r="H5727" s="281">
        <v>862.75</v>
      </c>
      <c r="I5727" s="281">
        <v>0</v>
      </c>
      <c r="J5727" s="281">
        <v>0</v>
      </c>
      <c r="K5727" s="281">
        <v>862.75</v>
      </c>
      <c r="L572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862.75</v>
      </c>
      <c r="M5727" s="281">
        <f>ROUND(IF(AND(Base_Periodo1[[#This Row],[Tipo_Linha]]="-",Base_Periodo1[[#This Row],[TIPOSALDO]]="D"),Base_Periodo1[[#This Row],[SALDO_ATUAL]]*-1,Base_Periodo1[[#This Row],[SALDO_ATUAL]]),4)</f>
        <v>862.75</v>
      </c>
      <c r="N5727" t="s">
        <v>116</v>
      </c>
      <c r="O5727" t="s">
        <v>459</v>
      </c>
      <c r="P5727" t="s">
        <v>459</v>
      </c>
      <c r="Q5727">
        <v>6</v>
      </c>
      <c r="R5727" s="281">
        <f>Base_Periodo1[[#This Row],[CREDITOS]]-Base_Periodo1[[#This Row],[DEBITOS]]</f>
        <v>0</v>
      </c>
      <c r="S5727" s="3" t="str">
        <f>IF(ISERROR(VLOOKUP(Base_Periodo1[[#This Row],[CONTA]],BaseContasDRE[#All],4,FALSE)),"Fora do DRE",VLOOKUP(Base_Periodo1[[#This Row],[CONTA]],BaseContasDRE[#All],4,FALSE))</f>
        <v>Fora do DRE</v>
      </c>
      <c r="T5727" s="3" t="str">
        <f>IF(ISERROR(VLOOKUP(Base_Periodo1[[#This Row],[CONTA]],BaseContasDRE[#All],5,FALSE)),"Fora do DRE",VLOOKUP(Base_Periodo1[[#This Row],[CONTA]],BaseContasDRE[#All],6,FALSE))</f>
        <v>Fora do DRE</v>
      </c>
      <c r="U5727" s="3" t="str">
        <f>IF(ISERROR(VLOOKUP(Base_Periodo1[[#This Row],[CONTA]],BaseContasDRE[#All],7,FALSE)),"Fora do DRE",VLOOKUP(Base_Periodo1[[#This Row],[CONTA]],BaseContasDRE[#All],7,FALSE))</f>
        <v>Fora do DRE</v>
      </c>
      <c r="V5727" s="3" t="str">
        <f>IF(Base_Periodo1[[#This Row],[Tipo_Linha]]="Fora do DRE","Fora do DRE","( "&amp;Base_Periodo1[[#This Row],[Tipo_Linha]]&amp;" ) "&amp;Base_Periodo1[[#This Row],[Filtro]])</f>
        <v>Fora do DRE</v>
      </c>
      <c r="W5727" s="3" t="str">
        <f>LEFT(Base_Periodo1[[#This Row],[CLASS]],3)</f>
        <v>2.4</v>
      </c>
    </row>
    <row r="5728" spans="1:23" hidden="1">
      <c r="A5728" s="3" t="str">
        <f t="shared" si="89"/>
        <v>Período 1</v>
      </c>
      <c r="B5728">
        <v>47896</v>
      </c>
      <c r="C5728" t="s">
        <v>2300</v>
      </c>
      <c r="D5728" t="s">
        <v>3506</v>
      </c>
      <c r="E5728" s="3" t="str">
        <f>IF(LEN(Base_Periodo1[[#This Row],[CLASS]])&gt;=7,LEFT(Base_Periodo1[[#This Row],[CLASS]],7),"")</f>
        <v>2.4.1.1</v>
      </c>
      <c r="F5728" s="3" t="str">
        <f>VLOOKUP(Base_Periodo1[[#This Row],[Aux]],Base_Contas_Balanco[#All],2,FALSE)</f>
        <v>Capital Social Realizado</v>
      </c>
      <c r="G5728" s="1"/>
      <c r="H5728" s="281">
        <v>96.78</v>
      </c>
      <c r="I5728" s="281">
        <v>0</v>
      </c>
      <c r="J5728" s="281">
        <v>0</v>
      </c>
      <c r="K5728" s="281">
        <v>96.78</v>
      </c>
      <c r="L572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96.78</v>
      </c>
      <c r="M5728" s="281">
        <f>ROUND(IF(AND(Base_Periodo1[[#This Row],[Tipo_Linha]]="-",Base_Periodo1[[#This Row],[TIPOSALDO]]="D"),Base_Periodo1[[#This Row],[SALDO_ATUAL]]*-1,Base_Periodo1[[#This Row],[SALDO_ATUAL]]),4)</f>
        <v>96.78</v>
      </c>
      <c r="N5728" t="s">
        <v>116</v>
      </c>
      <c r="O5728" t="s">
        <v>459</v>
      </c>
      <c r="P5728" t="s">
        <v>459</v>
      </c>
      <c r="Q5728">
        <v>6</v>
      </c>
      <c r="R5728" s="281">
        <f>Base_Periodo1[[#This Row],[CREDITOS]]-Base_Periodo1[[#This Row],[DEBITOS]]</f>
        <v>0</v>
      </c>
      <c r="S5728" s="3" t="str">
        <f>IF(ISERROR(VLOOKUP(Base_Periodo1[[#This Row],[CONTA]],BaseContasDRE[#All],4,FALSE)),"Fora do DRE",VLOOKUP(Base_Periodo1[[#This Row],[CONTA]],BaseContasDRE[#All],4,FALSE))</f>
        <v>Fora do DRE</v>
      </c>
      <c r="T5728" s="3" t="str">
        <f>IF(ISERROR(VLOOKUP(Base_Periodo1[[#This Row],[CONTA]],BaseContasDRE[#All],5,FALSE)),"Fora do DRE",VLOOKUP(Base_Periodo1[[#This Row],[CONTA]],BaseContasDRE[#All],6,FALSE))</f>
        <v>Fora do DRE</v>
      </c>
      <c r="U5728" s="3" t="str">
        <f>IF(ISERROR(VLOOKUP(Base_Periodo1[[#This Row],[CONTA]],BaseContasDRE[#All],7,FALSE)),"Fora do DRE",VLOOKUP(Base_Periodo1[[#This Row],[CONTA]],BaseContasDRE[#All],7,FALSE))</f>
        <v>Fora do DRE</v>
      </c>
      <c r="V5728" s="3" t="str">
        <f>IF(Base_Periodo1[[#This Row],[Tipo_Linha]]="Fora do DRE","Fora do DRE","( "&amp;Base_Periodo1[[#This Row],[Tipo_Linha]]&amp;" ) "&amp;Base_Periodo1[[#This Row],[Filtro]])</f>
        <v>Fora do DRE</v>
      </c>
      <c r="W5728" s="3" t="str">
        <f>LEFT(Base_Periodo1[[#This Row],[CLASS]],3)</f>
        <v>2.4</v>
      </c>
    </row>
    <row r="5729" spans="1:23" hidden="1">
      <c r="A5729" s="3" t="str">
        <f t="shared" si="89"/>
        <v>Período 1</v>
      </c>
      <c r="B5729">
        <v>16204</v>
      </c>
      <c r="C5729" t="s">
        <v>2300</v>
      </c>
      <c r="D5729" t="s">
        <v>3507</v>
      </c>
      <c r="E5729" s="3" t="str">
        <f>IF(LEN(Base_Periodo1[[#This Row],[CLASS]])&gt;=7,LEFT(Base_Periodo1[[#This Row],[CLASS]],7),"")</f>
        <v>2.4.1.1</v>
      </c>
      <c r="F5729" s="3" t="str">
        <f>VLOOKUP(Base_Periodo1[[#This Row],[Aux]],Base_Contas_Balanco[#All],2,FALSE)</f>
        <v>Capital Social Realizado</v>
      </c>
      <c r="G5729" s="1"/>
      <c r="H5729" s="281">
        <v>1037.17</v>
      </c>
      <c r="I5729" s="281">
        <v>0</v>
      </c>
      <c r="J5729" s="281">
        <v>0</v>
      </c>
      <c r="K5729" s="281">
        <v>1037.17</v>
      </c>
      <c r="L572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1037.17</v>
      </c>
      <c r="M5729" s="281">
        <f>ROUND(IF(AND(Base_Periodo1[[#This Row],[Tipo_Linha]]="-",Base_Periodo1[[#This Row],[TIPOSALDO]]="D"),Base_Periodo1[[#This Row],[SALDO_ATUAL]]*-1,Base_Periodo1[[#This Row],[SALDO_ATUAL]]),4)</f>
        <v>1037.17</v>
      </c>
      <c r="N5729" t="s">
        <v>116</v>
      </c>
      <c r="O5729" t="s">
        <v>459</v>
      </c>
      <c r="P5729" t="s">
        <v>459</v>
      </c>
      <c r="Q5729">
        <v>6</v>
      </c>
      <c r="R5729" s="281">
        <f>Base_Periodo1[[#This Row],[CREDITOS]]-Base_Periodo1[[#This Row],[DEBITOS]]</f>
        <v>0</v>
      </c>
      <c r="S5729" s="3" t="str">
        <f>IF(ISERROR(VLOOKUP(Base_Periodo1[[#This Row],[CONTA]],BaseContasDRE[#All],4,FALSE)),"Fora do DRE",VLOOKUP(Base_Periodo1[[#This Row],[CONTA]],BaseContasDRE[#All],4,FALSE))</f>
        <v>Fora do DRE</v>
      </c>
      <c r="T5729" s="3" t="str">
        <f>IF(ISERROR(VLOOKUP(Base_Periodo1[[#This Row],[CONTA]],BaseContasDRE[#All],5,FALSE)),"Fora do DRE",VLOOKUP(Base_Periodo1[[#This Row],[CONTA]],BaseContasDRE[#All],6,FALSE))</f>
        <v>Fora do DRE</v>
      </c>
      <c r="U5729" s="3" t="str">
        <f>IF(ISERROR(VLOOKUP(Base_Periodo1[[#This Row],[CONTA]],BaseContasDRE[#All],7,FALSE)),"Fora do DRE",VLOOKUP(Base_Periodo1[[#This Row],[CONTA]],BaseContasDRE[#All],7,FALSE))</f>
        <v>Fora do DRE</v>
      </c>
      <c r="V5729" s="3" t="str">
        <f>IF(Base_Periodo1[[#This Row],[Tipo_Linha]]="Fora do DRE","Fora do DRE","( "&amp;Base_Periodo1[[#This Row],[Tipo_Linha]]&amp;" ) "&amp;Base_Periodo1[[#This Row],[Filtro]])</f>
        <v>Fora do DRE</v>
      </c>
      <c r="W5729" s="3" t="str">
        <f>LEFT(Base_Periodo1[[#This Row],[CLASS]],3)</f>
        <v>2.4</v>
      </c>
    </row>
    <row r="5730" spans="1:23" hidden="1">
      <c r="A5730" s="3" t="str">
        <f t="shared" si="89"/>
        <v>Período 1</v>
      </c>
      <c r="B5730">
        <v>40636</v>
      </c>
      <c r="C5730" t="s">
        <v>2300</v>
      </c>
      <c r="D5730" t="s">
        <v>3508</v>
      </c>
      <c r="E5730" s="3" t="str">
        <f>IF(LEN(Base_Periodo1[[#This Row],[CLASS]])&gt;=7,LEFT(Base_Periodo1[[#This Row],[CLASS]],7),"")</f>
        <v>2.4.1.1</v>
      </c>
      <c r="F5730" s="3" t="str">
        <f>VLOOKUP(Base_Periodo1[[#This Row],[Aux]],Base_Contas_Balanco[#All],2,FALSE)</f>
        <v>Capital Social Realizado</v>
      </c>
      <c r="G5730" s="1"/>
      <c r="H5730" s="281">
        <v>1290.08</v>
      </c>
      <c r="I5730" s="281">
        <v>0</v>
      </c>
      <c r="J5730" s="281">
        <v>0</v>
      </c>
      <c r="K5730" s="281">
        <v>1290.08</v>
      </c>
      <c r="L573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1290.08</v>
      </c>
      <c r="M5730" s="281">
        <f>ROUND(IF(AND(Base_Periodo1[[#This Row],[Tipo_Linha]]="-",Base_Periodo1[[#This Row],[TIPOSALDO]]="D"),Base_Periodo1[[#This Row],[SALDO_ATUAL]]*-1,Base_Periodo1[[#This Row],[SALDO_ATUAL]]),4)</f>
        <v>1290.08</v>
      </c>
      <c r="N5730" t="s">
        <v>116</v>
      </c>
      <c r="O5730" t="s">
        <v>459</v>
      </c>
      <c r="P5730" t="s">
        <v>459</v>
      </c>
      <c r="Q5730">
        <v>6</v>
      </c>
      <c r="R5730" s="281">
        <f>Base_Periodo1[[#This Row],[CREDITOS]]-Base_Periodo1[[#This Row],[DEBITOS]]</f>
        <v>0</v>
      </c>
      <c r="S5730" s="3" t="str">
        <f>IF(ISERROR(VLOOKUP(Base_Periodo1[[#This Row],[CONTA]],BaseContasDRE[#All],4,FALSE)),"Fora do DRE",VLOOKUP(Base_Periodo1[[#This Row],[CONTA]],BaseContasDRE[#All],4,FALSE))</f>
        <v>Fora do DRE</v>
      </c>
      <c r="T5730" s="3" t="str">
        <f>IF(ISERROR(VLOOKUP(Base_Periodo1[[#This Row],[CONTA]],BaseContasDRE[#All],5,FALSE)),"Fora do DRE",VLOOKUP(Base_Periodo1[[#This Row],[CONTA]],BaseContasDRE[#All],6,FALSE))</f>
        <v>Fora do DRE</v>
      </c>
      <c r="U5730" s="3" t="str">
        <f>IF(ISERROR(VLOOKUP(Base_Periodo1[[#This Row],[CONTA]],BaseContasDRE[#All],7,FALSE)),"Fora do DRE",VLOOKUP(Base_Periodo1[[#This Row],[CONTA]],BaseContasDRE[#All],7,FALSE))</f>
        <v>Fora do DRE</v>
      </c>
      <c r="V5730" s="3" t="str">
        <f>IF(Base_Periodo1[[#This Row],[Tipo_Linha]]="Fora do DRE","Fora do DRE","( "&amp;Base_Periodo1[[#This Row],[Tipo_Linha]]&amp;" ) "&amp;Base_Periodo1[[#This Row],[Filtro]])</f>
        <v>Fora do DRE</v>
      </c>
      <c r="W5730" s="3" t="str">
        <f>LEFT(Base_Periodo1[[#This Row],[CLASS]],3)</f>
        <v>2.4</v>
      </c>
    </row>
    <row r="5731" spans="1:23" hidden="1">
      <c r="A5731" s="3" t="str">
        <f t="shared" si="89"/>
        <v>Período 1</v>
      </c>
      <c r="B5731">
        <v>21290</v>
      </c>
      <c r="C5731" t="s">
        <v>2300</v>
      </c>
      <c r="D5731" t="s">
        <v>3509</v>
      </c>
      <c r="E5731" s="3" t="str">
        <f>IF(LEN(Base_Periodo1[[#This Row],[CLASS]])&gt;=7,LEFT(Base_Periodo1[[#This Row],[CLASS]],7),"")</f>
        <v>2.4.1.1</v>
      </c>
      <c r="F5731" s="3" t="str">
        <f>VLOOKUP(Base_Periodo1[[#This Row],[Aux]],Base_Contas_Balanco[#All],2,FALSE)</f>
        <v>Capital Social Realizado</v>
      </c>
      <c r="G5731" s="1"/>
      <c r="H5731" s="281">
        <v>1594.6799999999998</v>
      </c>
      <c r="I5731" s="281">
        <v>0</v>
      </c>
      <c r="J5731" s="281">
        <v>0</v>
      </c>
      <c r="K5731" s="281">
        <v>1594.6799999999998</v>
      </c>
      <c r="L573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1594.68</v>
      </c>
      <c r="M5731" s="281">
        <f>ROUND(IF(AND(Base_Periodo1[[#This Row],[Tipo_Linha]]="-",Base_Periodo1[[#This Row],[TIPOSALDO]]="D"),Base_Periodo1[[#This Row],[SALDO_ATUAL]]*-1,Base_Periodo1[[#This Row],[SALDO_ATUAL]]),4)</f>
        <v>1594.68</v>
      </c>
      <c r="N5731" t="s">
        <v>116</v>
      </c>
      <c r="O5731" t="s">
        <v>459</v>
      </c>
      <c r="P5731" t="s">
        <v>459</v>
      </c>
      <c r="Q5731">
        <v>6</v>
      </c>
      <c r="R5731" s="281">
        <f>Base_Periodo1[[#This Row],[CREDITOS]]-Base_Periodo1[[#This Row],[DEBITOS]]</f>
        <v>0</v>
      </c>
      <c r="S5731" s="3" t="str">
        <f>IF(ISERROR(VLOOKUP(Base_Periodo1[[#This Row],[CONTA]],BaseContasDRE[#All],4,FALSE)),"Fora do DRE",VLOOKUP(Base_Periodo1[[#This Row],[CONTA]],BaseContasDRE[#All],4,FALSE))</f>
        <v>Fora do DRE</v>
      </c>
      <c r="T5731" s="3" t="str">
        <f>IF(ISERROR(VLOOKUP(Base_Periodo1[[#This Row],[CONTA]],BaseContasDRE[#All],5,FALSE)),"Fora do DRE",VLOOKUP(Base_Periodo1[[#This Row],[CONTA]],BaseContasDRE[#All],6,FALSE))</f>
        <v>Fora do DRE</v>
      </c>
      <c r="U5731" s="3" t="str">
        <f>IF(ISERROR(VLOOKUP(Base_Periodo1[[#This Row],[CONTA]],BaseContasDRE[#All],7,FALSE)),"Fora do DRE",VLOOKUP(Base_Periodo1[[#This Row],[CONTA]],BaseContasDRE[#All],7,FALSE))</f>
        <v>Fora do DRE</v>
      </c>
      <c r="V5731" s="3" t="str">
        <f>IF(Base_Periodo1[[#This Row],[Tipo_Linha]]="Fora do DRE","Fora do DRE","( "&amp;Base_Periodo1[[#This Row],[Tipo_Linha]]&amp;" ) "&amp;Base_Periodo1[[#This Row],[Filtro]])</f>
        <v>Fora do DRE</v>
      </c>
      <c r="W5731" s="3" t="str">
        <f>LEFT(Base_Periodo1[[#This Row],[CLASS]],3)</f>
        <v>2.4</v>
      </c>
    </row>
    <row r="5732" spans="1:23" hidden="1">
      <c r="A5732" s="3" t="str">
        <f t="shared" si="89"/>
        <v>Período 1</v>
      </c>
      <c r="B5732">
        <v>24602</v>
      </c>
      <c r="C5732" t="s">
        <v>2300</v>
      </c>
      <c r="D5732" t="s">
        <v>3510</v>
      </c>
      <c r="E5732" s="3" t="str">
        <f>IF(LEN(Base_Periodo1[[#This Row],[CLASS]])&gt;=7,LEFT(Base_Periodo1[[#This Row],[CLASS]],7),"")</f>
        <v>2.4.1.1</v>
      </c>
      <c r="F5732" s="3" t="str">
        <f>VLOOKUP(Base_Periodo1[[#This Row],[Aux]],Base_Contas_Balanco[#All],2,FALSE)</f>
        <v>Capital Social Realizado</v>
      </c>
      <c r="G5732" s="1"/>
      <c r="H5732" s="281">
        <v>408.8</v>
      </c>
      <c r="I5732" s="281">
        <v>0</v>
      </c>
      <c r="J5732" s="281">
        <v>0</v>
      </c>
      <c r="K5732" s="281">
        <v>408.8</v>
      </c>
      <c r="L573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408.8</v>
      </c>
      <c r="M5732" s="281">
        <f>ROUND(IF(AND(Base_Periodo1[[#This Row],[Tipo_Linha]]="-",Base_Periodo1[[#This Row],[TIPOSALDO]]="D"),Base_Periodo1[[#This Row],[SALDO_ATUAL]]*-1,Base_Periodo1[[#This Row],[SALDO_ATUAL]]),4)</f>
        <v>408.8</v>
      </c>
      <c r="N5732" t="s">
        <v>116</v>
      </c>
      <c r="O5732" t="s">
        <v>459</v>
      </c>
      <c r="P5732" t="s">
        <v>459</v>
      </c>
      <c r="Q5732">
        <v>6</v>
      </c>
      <c r="R5732" s="281">
        <f>Base_Periodo1[[#This Row],[CREDITOS]]-Base_Periodo1[[#This Row],[DEBITOS]]</f>
        <v>0</v>
      </c>
      <c r="S5732" s="3" t="str">
        <f>IF(ISERROR(VLOOKUP(Base_Periodo1[[#This Row],[CONTA]],BaseContasDRE[#All],4,FALSE)),"Fora do DRE",VLOOKUP(Base_Periodo1[[#This Row],[CONTA]],BaseContasDRE[#All],4,FALSE))</f>
        <v>Fora do DRE</v>
      </c>
      <c r="T5732" s="3" t="str">
        <f>IF(ISERROR(VLOOKUP(Base_Periodo1[[#This Row],[CONTA]],BaseContasDRE[#All],5,FALSE)),"Fora do DRE",VLOOKUP(Base_Periodo1[[#This Row],[CONTA]],BaseContasDRE[#All],6,FALSE))</f>
        <v>Fora do DRE</v>
      </c>
      <c r="U5732" s="3" t="str">
        <f>IF(ISERROR(VLOOKUP(Base_Periodo1[[#This Row],[CONTA]],BaseContasDRE[#All],7,FALSE)),"Fora do DRE",VLOOKUP(Base_Periodo1[[#This Row],[CONTA]],BaseContasDRE[#All],7,FALSE))</f>
        <v>Fora do DRE</v>
      </c>
      <c r="V5732" s="3" t="str">
        <f>IF(Base_Periodo1[[#This Row],[Tipo_Linha]]="Fora do DRE","Fora do DRE","( "&amp;Base_Periodo1[[#This Row],[Tipo_Linha]]&amp;" ) "&amp;Base_Periodo1[[#This Row],[Filtro]])</f>
        <v>Fora do DRE</v>
      </c>
      <c r="W5732" s="3" t="str">
        <f>LEFT(Base_Periodo1[[#This Row],[CLASS]],3)</f>
        <v>2.4</v>
      </c>
    </row>
    <row r="5733" spans="1:23" hidden="1">
      <c r="A5733" s="3" t="str">
        <f t="shared" si="89"/>
        <v>Período 1</v>
      </c>
      <c r="B5733">
        <v>22600</v>
      </c>
      <c r="C5733" t="s">
        <v>2300</v>
      </c>
      <c r="D5733" t="s">
        <v>3511</v>
      </c>
      <c r="E5733" s="3" t="str">
        <f>IF(LEN(Base_Periodo1[[#This Row],[CLASS]])&gt;=7,LEFT(Base_Periodo1[[#This Row],[CLASS]],7),"")</f>
        <v>2.4.1.1</v>
      </c>
      <c r="F5733" s="3" t="str">
        <f>VLOOKUP(Base_Periodo1[[#This Row],[Aux]],Base_Contas_Balanco[#All],2,FALSE)</f>
        <v>Capital Social Realizado</v>
      </c>
      <c r="G5733" s="1"/>
      <c r="H5733" s="281">
        <v>205.04</v>
      </c>
      <c r="I5733" s="281">
        <v>0</v>
      </c>
      <c r="J5733" s="281">
        <v>0</v>
      </c>
      <c r="K5733" s="281">
        <v>205.04</v>
      </c>
      <c r="L573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205.04</v>
      </c>
      <c r="M5733" s="281">
        <f>ROUND(IF(AND(Base_Periodo1[[#This Row],[Tipo_Linha]]="-",Base_Periodo1[[#This Row],[TIPOSALDO]]="D"),Base_Periodo1[[#This Row],[SALDO_ATUAL]]*-1,Base_Periodo1[[#This Row],[SALDO_ATUAL]]),4)</f>
        <v>205.04</v>
      </c>
      <c r="N5733" t="s">
        <v>116</v>
      </c>
      <c r="O5733" t="s">
        <v>459</v>
      </c>
      <c r="P5733" t="s">
        <v>459</v>
      </c>
      <c r="Q5733">
        <v>6</v>
      </c>
      <c r="R5733" s="281">
        <f>Base_Periodo1[[#This Row],[CREDITOS]]-Base_Periodo1[[#This Row],[DEBITOS]]</f>
        <v>0</v>
      </c>
      <c r="S5733" s="3" t="str">
        <f>IF(ISERROR(VLOOKUP(Base_Periodo1[[#This Row],[CONTA]],BaseContasDRE[#All],4,FALSE)),"Fora do DRE",VLOOKUP(Base_Periodo1[[#This Row],[CONTA]],BaseContasDRE[#All],4,FALSE))</f>
        <v>Fora do DRE</v>
      </c>
      <c r="T5733" s="3" t="str">
        <f>IF(ISERROR(VLOOKUP(Base_Periodo1[[#This Row],[CONTA]],BaseContasDRE[#All],5,FALSE)),"Fora do DRE",VLOOKUP(Base_Periodo1[[#This Row],[CONTA]],BaseContasDRE[#All],6,FALSE))</f>
        <v>Fora do DRE</v>
      </c>
      <c r="U5733" s="3" t="str">
        <f>IF(ISERROR(VLOOKUP(Base_Periodo1[[#This Row],[CONTA]],BaseContasDRE[#All],7,FALSE)),"Fora do DRE",VLOOKUP(Base_Periodo1[[#This Row],[CONTA]],BaseContasDRE[#All],7,FALSE))</f>
        <v>Fora do DRE</v>
      </c>
      <c r="V5733" s="3" t="str">
        <f>IF(Base_Periodo1[[#This Row],[Tipo_Linha]]="Fora do DRE","Fora do DRE","( "&amp;Base_Periodo1[[#This Row],[Tipo_Linha]]&amp;" ) "&amp;Base_Periodo1[[#This Row],[Filtro]])</f>
        <v>Fora do DRE</v>
      </c>
      <c r="W5733" s="3" t="str">
        <f>LEFT(Base_Periodo1[[#This Row],[CLASS]],3)</f>
        <v>2.4</v>
      </c>
    </row>
    <row r="5734" spans="1:23" hidden="1">
      <c r="A5734" s="3" t="str">
        <f t="shared" si="89"/>
        <v>Período 1</v>
      </c>
      <c r="B5734">
        <v>16163</v>
      </c>
      <c r="C5734" t="s">
        <v>2300</v>
      </c>
      <c r="D5734" t="s">
        <v>4893</v>
      </c>
      <c r="E5734" s="3" t="str">
        <f>IF(LEN(Base_Periodo1[[#This Row],[CLASS]])&gt;=7,LEFT(Base_Periodo1[[#This Row],[CLASS]],7),"")</f>
        <v>2.4.1.1</v>
      </c>
      <c r="F5734" s="3" t="str">
        <f>VLOOKUP(Base_Periodo1[[#This Row],[Aux]],Base_Contas_Balanco[#All],2,FALSE)</f>
        <v>Capital Social Realizado</v>
      </c>
      <c r="G5734" s="1">
        <v>42542</v>
      </c>
      <c r="H5734" s="281">
        <v>50.000000000000909</v>
      </c>
      <c r="I5734" s="281">
        <v>0</v>
      </c>
      <c r="J5734" s="281">
        <v>0</v>
      </c>
      <c r="K5734" s="281">
        <v>50.000000000000909</v>
      </c>
      <c r="L573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734" s="281">
        <f>ROUND(IF(AND(Base_Periodo1[[#This Row],[Tipo_Linha]]="-",Base_Periodo1[[#This Row],[TIPOSALDO]]="D"),Base_Periodo1[[#This Row],[SALDO_ATUAL]]*-1,Base_Periodo1[[#This Row],[SALDO_ATUAL]]),4)</f>
        <v>50</v>
      </c>
      <c r="N5734" t="s">
        <v>116</v>
      </c>
      <c r="O5734" t="s">
        <v>459</v>
      </c>
      <c r="P5734" t="s">
        <v>459</v>
      </c>
      <c r="Q5734">
        <v>6</v>
      </c>
      <c r="R5734" s="281">
        <f>Base_Periodo1[[#This Row],[CREDITOS]]-Base_Periodo1[[#This Row],[DEBITOS]]</f>
        <v>0</v>
      </c>
      <c r="S5734" s="3" t="str">
        <f>IF(ISERROR(VLOOKUP(Base_Periodo1[[#This Row],[CONTA]],BaseContasDRE[#All],4,FALSE)),"Fora do DRE",VLOOKUP(Base_Periodo1[[#This Row],[CONTA]],BaseContasDRE[#All],4,FALSE))</f>
        <v>Fora do DRE</v>
      </c>
      <c r="T5734" s="3" t="str">
        <f>IF(ISERROR(VLOOKUP(Base_Periodo1[[#This Row],[CONTA]],BaseContasDRE[#All],5,FALSE)),"Fora do DRE",VLOOKUP(Base_Periodo1[[#This Row],[CONTA]],BaseContasDRE[#All],6,FALSE))</f>
        <v>Fora do DRE</v>
      </c>
      <c r="U5734" s="3" t="str">
        <f>IF(ISERROR(VLOOKUP(Base_Periodo1[[#This Row],[CONTA]],BaseContasDRE[#All],7,FALSE)),"Fora do DRE",VLOOKUP(Base_Periodo1[[#This Row],[CONTA]],BaseContasDRE[#All],7,FALSE))</f>
        <v>Fora do DRE</v>
      </c>
      <c r="V5734" s="3" t="str">
        <f>IF(Base_Periodo1[[#This Row],[Tipo_Linha]]="Fora do DRE","Fora do DRE","( "&amp;Base_Periodo1[[#This Row],[Tipo_Linha]]&amp;" ) "&amp;Base_Periodo1[[#This Row],[Filtro]])</f>
        <v>Fora do DRE</v>
      </c>
      <c r="W5734" s="3" t="str">
        <f>LEFT(Base_Periodo1[[#This Row],[CLASS]],3)</f>
        <v>2.4</v>
      </c>
    </row>
    <row r="5735" spans="1:23" hidden="1">
      <c r="A5735" s="3" t="str">
        <f t="shared" si="89"/>
        <v>Período 1</v>
      </c>
      <c r="B5735">
        <v>40728</v>
      </c>
      <c r="C5735" t="s">
        <v>2300</v>
      </c>
      <c r="D5735" t="s">
        <v>3512</v>
      </c>
      <c r="E5735" s="3" t="str">
        <f>IF(LEN(Base_Periodo1[[#This Row],[CLASS]])&gt;=7,LEFT(Base_Periodo1[[#This Row],[CLASS]],7),"")</f>
        <v>2.4.1.1</v>
      </c>
      <c r="F5735" s="3" t="str">
        <f>VLOOKUP(Base_Periodo1[[#This Row],[Aux]],Base_Contas_Balanco[#All],2,FALSE)</f>
        <v>Capital Social Realizado</v>
      </c>
      <c r="G5735" s="1"/>
      <c r="H5735" s="281">
        <v>69.150000000000006</v>
      </c>
      <c r="I5735" s="281">
        <v>0</v>
      </c>
      <c r="J5735" s="281">
        <v>0</v>
      </c>
      <c r="K5735" s="281">
        <v>69.150000000000006</v>
      </c>
      <c r="L573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69.150000000000006</v>
      </c>
      <c r="M5735" s="281">
        <f>ROUND(IF(AND(Base_Periodo1[[#This Row],[Tipo_Linha]]="-",Base_Periodo1[[#This Row],[TIPOSALDO]]="D"),Base_Periodo1[[#This Row],[SALDO_ATUAL]]*-1,Base_Periodo1[[#This Row],[SALDO_ATUAL]]),4)</f>
        <v>69.150000000000006</v>
      </c>
      <c r="N5735" t="s">
        <v>116</v>
      </c>
      <c r="O5735" t="s">
        <v>459</v>
      </c>
      <c r="P5735" t="s">
        <v>459</v>
      </c>
      <c r="Q5735">
        <v>6</v>
      </c>
      <c r="R5735" s="281">
        <f>Base_Periodo1[[#This Row],[CREDITOS]]-Base_Periodo1[[#This Row],[DEBITOS]]</f>
        <v>0</v>
      </c>
      <c r="S5735" s="3" t="str">
        <f>IF(ISERROR(VLOOKUP(Base_Periodo1[[#This Row],[CONTA]],BaseContasDRE[#All],4,FALSE)),"Fora do DRE",VLOOKUP(Base_Periodo1[[#This Row],[CONTA]],BaseContasDRE[#All],4,FALSE))</f>
        <v>Fora do DRE</v>
      </c>
      <c r="T5735" s="3" t="str">
        <f>IF(ISERROR(VLOOKUP(Base_Periodo1[[#This Row],[CONTA]],BaseContasDRE[#All],5,FALSE)),"Fora do DRE",VLOOKUP(Base_Periodo1[[#This Row],[CONTA]],BaseContasDRE[#All],6,FALSE))</f>
        <v>Fora do DRE</v>
      </c>
      <c r="U5735" s="3" t="str">
        <f>IF(ISERROR(VLOOKUP(Base_Periodo1[[#This Row],[CONTA]],BaseContasDRE[#All],7,FALSE)),"Fora do DRE",VLOOKUP(Base_Periodo1[[#This Row],[CONTA]],BaseContasDRE[#All],7,FALSE))</f>
        <v>Fora do DRE</v>
      </c>
      <c r="V5735" s="3" t="str">
        <f>IF(Base_Periodo1[[#This Row],[Tipo_Linha]]="Fora do DRE","Fora do DRE","( "&amp;Base_Periodo1[[#This Row],[Tipo_Linha]]&amp;" ) "&amp;Base_Periodo1[[#This Row],[Filtro]])</f>
        <v>Fora do DRE</v>
      </c>
      <c r="W5735" s="3" t="str">
        <f>LEFT(Base_Periodo1[[#This Row],[CLASS]],3)</f>
        <v>2.4</v>
      </c>
    </row>
    <row r="5736" spans="1:23" hidden="1">
      <c r="A5736" s="3" t="str">
        <f t="shared" si="89"/>
        <v>Período 1</v>
      </c>
      <c r="B5736">
        <v>38814</v>
      </c>
      <c r="C5736" t="s">
        <v>2300</v>
      </c>
      <c r="D5736" t="s">
        <v>3513</v>
      </c>
      <c r="E5736" s="3" t="str">
        <f>IF(LEN(Base_Periodo1[[#This Row],[CLASS]])&gt;=7,LEFT(Base_Periodo1[[#This Row],[CLASS]],7),"")</f>
        <v>2.4.1.1</v>
      </c>
      <c r="F5736" s="3" t="str">
        <f>VLOOKUP(Base_Periodo1[[#This Row],[Aux]],Base_Contas_Balanco[#All],2,FALSE)</f>
        <v>Capital Social Realizado</v>
      </c>
      <c r="G5736" s="1"/>
      <c r="H5736" s="281">
        <v>58.28</v>
      </c>
      <c r="I5736" s="281">
        <v>0</v>
      </c>
      <c r="J5736" s="281">
        <v>0</v>
      </c>
      <c r="K5736" s="281">
        <v>58.28</v>
      </c>
      <c r="L573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58.28</v>
      </c>
      <c r="M5736" s="281">
        <f>ROUND(IF(AND(Base_Periodo1[[#This Row],[Tipo_Linha]]="-",Base_Periodo1[[#This Row],[TIPOSALDO]]="D"),Base_Periodo1[[#This Row],[SALDO_ATUAL]]*-1,Base_Periodo1[[#This Row],[SALDO_ATUAL]]),4)</f>
        <v>58.28</v>
      </c>
      <c r="N5736" t="s">
        <v>116</v>
      </c>
      <c r="O5736" t="s">
        <v>459</v>
      </c>
      <c r="P5736" t="s">
        <v>459</v>
      </c>
      <c r="Q5736">
        <v>6</v>
      </c>
      <c r="R5736" s="281">
        <f>Base_Periodo1[[#This Row],[CREDITOS]]-Base_Periodo1[[#This Row],[DEBITOS]]</f>
        <v>0</v>
      </c>
      <c r="S5736" s="3" t="str">
        <f>IF(ISERROR(VLOOKUP(Base_Periodo1[[#This Row],[CONTA]],BaseContasDRE[#All],4,FALSE)),"Fora do DRE",VLOOKUP(Base_Periodo1[[#This Row],[CONTA]],BaseContasDRE[#All],4,FALSE))</f>
        <v>Fora do DRE</v>
      </c>
      <c r="T5736" s="3" t="str">
        <f>IF(ISERROR(VLOOKUP(Base_Periodo1[[#This Row],[CONTA]],BaseContasDRE[#All],5,FALSE)),"Fora do DRE",VLOOKUP(Base_Periodo1[[#This Row],[CONTA]],BaseContasDRE[#All],6,FALSE))</f>
        <v>Fora do DRE</v>
      </c>
      <c r="U5736" s="3" t="str">
        <f>IF(ISERROR(VLOOKUP(Base_Periodo1[[#This Row],[CONTA]],BaseContasDRE[#All],7,FALSE)),"Fora do DRE",VLOOKUP(Base_Periodo1[[#This Row],[CONTA]],BaseContasDRE[#All],7,FALSE))</f>
        <v>Fora do DRE</v>
      </c>
      <c r="V5736" s="3" t="str">
        <f>IF(Base_Periodo1[[#This Row],[Tipo_Linha]]="Fora do DRE","Fora do DRE","( "&amp;Base_Periodo1[[#This Row],[Tipo_Linha]]&amp;" ) "&amp;Base_Periodo1[[#This Row],[Filtro]])</f>
        <v>Fora do DRE</v>
      </c>
      <c r="W5736" s="3" t="str">
        <f>LEFT(Base_Periodo1[[#This Row],[CLASS]],3)</f>
        <v>2.4</v>
      </c>
    </row>
    <row r="5737" spans="1:23" hidden="1">
      <c r="A5737" s="3" t="str">
        <f t="shared" si="89"/>
        <v>Período 1</v>
      </c>
      <c r="B5737">
        <v>39313</v>
      </c>
      <c r="C5737" t="s">
        <v>2300</v>
      </c>
      <c r="D5737" t="s">
        <v>3514</v>
      </c>
      <c r="E5737" s="3" t="str">
        <f>IF(LEN(Base_Periodo1[[#This Row],[CLASS]])&gt;=7,LEFT(Base_Periodo1[[#This Row],[CLASS]],7),"")</f>
        <v>2.4.1.1</v>
      </c>
      <c r="F5737" s="3" t="str">
        <f>VLOOKUP(Base_Periodo1[[#This Row],[Aux]],Base_Contas_Balanco[#All],2,FALSE)</f>
        <v>Capital Social Realizado</v>
      </c>
      <c r="G5737" s="1"/>
      <c r="H5737" s="281">
        <v>1421.4</v>
      </c>
      <c r="I5737" s="281">
        <v>0</v>
      </c>
      <c r="J5737" s="281">
        <v>0</v>
      </c>
      <c r="K5737" s="281">
        <v>1421.4</v>
      </c>
      <c r="L573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1421.4</v>
      </c>
      <c r="M5737" s="281">
        <f>ROUND(IF(AND(Base_Periodo1[[#This Row],[Tipo_Linha]]="-",Base_Periodo1[[#This Row],[TIPOSALDO]]="D"),Base_Periodo1[[#This Row],[SALDO_ATUAL]]*-1,Base_Periodo1[[#This Row],[SALDO_ATUAL]]),4)</f>
        <v>1421.4</v>
      </c>
      <c r="N5737" t="s">
        <v>116</v>
      </c>
      <c r="O5737" t="s">
        <v>459</v>
      </c>
      <c r="P5737" t="s">
        <v>459</v>
      </c>
      <c r="Q5737">
        <v>6</v>
      </c>
      <c r="R5737" s="281">
        <f>Base_Periodo1[[#This Row],[CREDITOS]]-Base_Periodo1[[#This Row],[DEBITOS]]</f>
        <v>0</v>
      </c>
      <c r="S5737" s="3" t="str">
        <f>IF(ISERROR(VLOOKUP(Base_Periodo1[[#This Row],[CONTA]],BaseContasDRE[#All],4,FALSE)),"Fora do DRE",VLOOKUP(Base_Periodo1[[#This Row],[CONTA]],BaseContasDRE[#All],4,FALSE))</f>
        <v>Fora do DRE</v>
      </c>
      <c r="T5737" s="3" t="str">
        <f>IF(ISERROR(VLOOKUP(Base_Periodo1[[#This Row],[CONTA]],BaseContasDRE[#All],5,FALSE)),"Fora do DRE",VLOOKUP(Base_Periodo1[[#This Row],[CONTA]],BaseContasDRE[#All],6,FALSE))</f>
        <v>Fora do DRE</v>
      </c>
      <c r="U5737" s="3" t="str">
        <f>IF(ISERROR(VLOOKUP(Base_Periodo1[[#This Row],[CONTA]],BaseContasDRE[#All],7,FALSE)),"Fora do DRE",VLOOKUP(Base_Periodo1[[#This Row],[CONTA]],BaseContasDRE[#All],7,FALSE))</f>
        <v>Fora do DRE</v>
      </c>
      <c r="V5737" s="3" t="str">
        <f>IF(Base_Periodo1[[#This Row],[Tipo_Linha]]="Fora do DRE","Fora do DRE","( "&amp;Base_Periodo1[[#This Row],[Tipo_Linha]]&amp;" ) "&amp;Base_Periodo1[[#This Row],[Filtro]])</f>
        <v>Fora do DRE</v>
      </c>
      <c r="W5737" s="3" t="str">
        <f>LEFT(Base_Periodo1[[#This Row],[CLASS]],3)</f>
        <v>2.4</v>
      </c>
    </row>
    <row r="5738" spans="1:23" hidden="1">
      <c r="A5738" s="3" t="str">
        <f t="shared" si="89"/>
        <v>Período 1</v>
      </c>
      <c r="B5738">
        <v>29670</v>
      </c>
      <c r="C5738" t="s">
        <v>2300</v>
      </c>
      <c r="D5738" t="s">
        <v>3515</v>
      </c>
      <c r="E5738" s="3" t="str">
        <f>IF(LEN(Base_Periodo1[[#This Row],[CLASS]])&gt;=7,LEFT(Base_Periodo1[[#This Row],[CLASS]],7),"")</f>
        <v>2.4.1.1</v>
      </c>
      <c r="F5738" s="3" t="str">
        <f>VLOOKUP(Base_Periodo1[[#This Row],[Aux]],Base_Contas_Balanco[#All],2,FALSE)</f>
        <v>Capital Social Realizado</v>
      </c>
      <c r="G5738" s="1"/>
      <c r="H5738" s="281">
        <v>2132.5299999999997</v>
      </c>
      <c r="I5738" s="281">
        <v>0</v>
      </c>
      <c r="J5738" s="281">
        <v>0</v>
      </c>
      <c r="K5738" s="281">
        <v>2132.5299999999997</v>
      </c>
      <c r="L573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2132.5300000000002</v>
      </c>
      <c r="M5738" s="281">
        <f>ROUND(IF(AND(Base_Periodo1[[#This Row],[Tipo_Linha]]="-",Base_Periodo1[[#This Row],[TIPOSALDO]]="D"),Base_Periodo1[[#This Row],[SALDO_ATUAL]]*-1,Base_Periodo1[[#This Row],[SALDO_ATUAL]]),4)</f>
        <v>2132.5300000000002</v>
      </c>
      <c r="N5738" t="s">
        <v>116</v>
      </c>
      <c r="O5738" t="s">
        <v>459</v>
      </c>
      <c r="P5738" t="s">
        <v>459</v>
      </c>
      <c r="Q5738">
        <v>6</v>
      </c>
      <c r="R5738" s="281">
        <f>Base_Periodo1[[#This Row],[CREDITOS]]-Base_Periodo1[[#This Row],[DEBITOS]]</f>
        <v>0</v>
      </c>
      <c r="S5738" s="3" t="str">
        <f>IF(ISERROR(VLOOKUP(Base_Periodo1[[#This Row],[CONTA]],BaseContasDRE[#All],4,FALSE)),"Fora do DRE",VLOOKUP(Base_Periodo1[[#This Row],[CONTA]],BaseContasDRE[#All],4,FALSE))</f>
        <v>Fora do DRE</v>
      </c>
      <c r="T5738" s="3" t="str">
        <f>IF(ISERROR(VLOOKUP(Base_Periodo1[[#This Row],[CONTA]],BaseContasDRE[#All],5,FALSE)),"Fora do DRE",VLOOKUP(Base_Periodo1[[#This Row],[CONTA]],BaseContasDRE[#All],6,FALSE))</f>
        <v>Fora do DRE</v>
      </c>
      <c r="U5738" s="3" t="str">
        <f>IF(ISERROR(VLOOKUP(Base_Periodo1[[#This Row],[CONTA]],BaseContasDRE[#All],7,FALSE)),"Fora do DRE",VLOOKUP(Base_Periodo1[[#This Row],[CONTA]],BaseContasDRE[#All],7,FALSE))</f>
        <v>Fora do DRE</v>
      </c>
      <c r="V5738" s="3" t="str">
        <f>IF(Base_Periodo1[[#This Row],[Tipo_Linha]]="Fora do DRE","Fora do DRE","( "&amp;Base_Periodo1[[#This Row],[Tipo_Linha]]&amp;" ) "&amp;Base_Periodo1[[#This Row],[Filtro]])</f>
        <v>Fora do DRE</v>
      </c>
      <c r="W5738" s="3" t="str">
        <f>LEFT(Base_Periodo1[[#This Row],[CLASS]],3)</f>
        <v>2.4</v>
      </c>
    </row>
    <row r="5739" spans="1:23" hidden="1">
      <c r="A5739" s="3" t="str">
        <f t="shared" si="89"/>
        <v>Período 1</v>
      </c>
      <c r="B5739">
        <v>19405</v>
      </c>
      <c r="C5739" t="s">
        <v>2300</v>
      </c>
      <c r="D5739" t="s">
        <v>3516</v>
      </c>
      <c r="E5739" s="3" t="str">
        <f>IF(LEN(Base_Periodo1[[#This Row],[CLASS]])&gt;=7,LEFT(Base_Periodo1[[#This Row],[CLASS]],7),"")</f>
        <v>2.4.1.1</v>
      </c>
      <c r="F5739" s="3" t="str">
        <f>VLOOKUP(Base_Periodo1[[#This Row],[Aux]],Base_Contas_Balanco[#All],2,FALSE)</f>
        <v>Capital Social Realizado</v>
      </c>
      <c r="G5739" s="1"/>
      <c r="H5739" s="281">
        <v>50</v>
      </c>
      <c r="I5739" s="281">
        <v>0</v>
      </c>
      <c r="J5739" s="281">
        <v>0</v>
      </c>
      <c r="K5739" s="281">
        <v>50</v>
      </c>
      <c r="L573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739" s="281">
        <f>ROUND(IF(AND(Base_Periodo1[[#This Row],[Tipo_Linha]]="-",Base_Periodo1[[#This Row],[TIPOSALDO]]="D"),Base_Periodo1[[#This Row],[SALDO_ATUAL]]*-1,Base_Periodo1[[#This Row],[SALDO_ATUAL]]),4)</f>
        <v>50</v>
      </c>
      <c r="N5739" t="s">
        <v>116</v>
      </c>
      <c r="O5739" t="s">
        <v>459</v>
      </c>
      <c r="P5739" t="s">
        <v>459</v>
      </c>
      <c r="Q5739">
        <v>6</v>
      </c>
      <c r="R5739" s="281">
        <f>Base_Periodo1[[#This Row],[CREDITOS]]-Base_Periodo1[[#This Row],[DEBITOS]]</f>
        <v>0</v>
      </c>
      <c r="S5739" s="3" t="str">
        <f>IF(ISERROR(VLOOKUP(Base_Periodo1[[#This Row],[CONTA]],BaseContasDRE[#All],4,FALSE)),"Fora do DRE",VLOOKUP(Base_Periodo1[[#This Row],[CONTA]],BaseContasDRE[#All],4,FALSE))</f>
        <v>Fora do DRE</v>
      </c>
      <c r="T5739" s="3" t="str">
        <f>IF(ISERROR(VLOOKUP(Base_Periodo1[[#This Row],[CONTA]],BaseContasDRE[#All],5,FALSE)),"Fora do DRE",VLOOKUP(Base_Periodo1[[#This Row],[CONTA]],BaseContasDRE[#All],6,FALSE))</f>
        <v>Fora do DRE</v>
      </c>
      <c r="U5739" s="3" t="str">
        <f>IF(ISERROR(VLOOKUP(Base_Periodo1[[#This Row],[CONTA]],BaseContasDRE[#All],7,FALSE)),"Fora do DRE",VLOOKUP(Base_Periodo1[[#This Row],[CONTA]],BaseContasDRE[#All],7,FALSE))</f>
        <v>Fora do DRE</v>
      </c>
      <c r="V5739" s="3" t="str">
        <f>IF(Base_Periodo1[[#This Row],[Tipo_Linha]]="Fora do DRE","Fora do DRE","( "&amp;Base_Periodo1[[#This Row],[Tipo_Linha]]&amp;" ) "&amp;Base_Periodo1[[#This Row],[Filtro]])</f>
        <v>Fora do DRE</v>
      </c>
      <c r="W5739" s="3" t="str">
        <f>LEFT(Base_Periodo1[[#This Row],[CLASS]],3)</f>
        <v>2.4</v>
      </c>
    </row>
    <row r="5740" spans="1:23" hidden="1">
      <c r="A5740" s="3" t="str">
        <f t="shared" si="89"/>
        <v>Período 1</v>
      </c>
      <c r="B5740">
        <v>16176</v>
      </c>
      <c r="C5740" t="s">
        <v>2300</v>
      </c>
      <c r="D5740" t="s">
        <v>3517</v>
      </c>
      <c r="E5740" s="3" t="str">
        <f>IF(LEN(Base_Periodo1[[#This Row],[CLASS]])&gt;=7,LEFT(Base_Periodo1[[#This Row],[CLASS]],7),"")</f>
        <v>2.4.1.1</v>
      </c>
      <c r="F5740" s="3" t="str">
        <f>VLOOKUP(Base_Periodo1[[#This Row],[Aux]],Base_Contas_Balanco[#All],2,FALSE)</f>
        <v>Capital Social Realizado</v>
      </c>
      <c r="G5740" s="1"/>
      <c r="H5740" s="281">
        <v>1089.03</v>
      </c>
      <c r="I5740" s="281">
        <v>0</v>
      </c>
      <c r="J5740" s="281">
        <v>0</v>
      </c>
      <c r="K5740" s="281">
        <v>1089.03</v>
      </c>
      <c r="L574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1089.03</v>
      </c>
      <c r="M5740" s="281">
        <f>ROUND(IF(AND(Base_Periodo1[[#This Row],[Tipo_Linha]]="-",Base_Periodo1[[#This Row],[TIPOSALDO]]="D"),Base_Periodo1[[#This Row],[SALDO_ATUAL]]*-1,Base_Periodo1[[#This Row],[SALDO_ATUAL]]),4)</f>
        <v>1089.03</v>
      </c>
      <c r="N5740" t="s">
        <v>116</v>
      </c>
      <c r="O5740" t="s">
        <v>459</v>
      </c>
      <c r="P5740" t="s">
        <v>459</v>
      </c>
      <c r="Q5740">
        <v>6</v>
      </c>
      <c r="R5740" s="281">
        <f>Base_Periodo1[[#This Row],[CREDITOS]]-Base_Periodo1[[#This Row],[DEBITOS]]</f>
        <v>0</v>
      </c>
      <c r="S5740" s="3" t="str">
        <f>IF(ISERROR(VLOOKUP(Base_Periodo1[[#This Row],[CONTA]],BaseContasDRE[#All],4,FALSE)),"Fora do DRE",VLOOKUP(Base_Periodo1[[#This Row],[CONTA]],BaseContasDRE[#All],4,FALSE))</f>
        <v>Fora do DRE</v>
      </c>
      <c r="T5740" s="3" t="str">
        <f>IF(ISERROR(VLOOKUP(Base_Periodo1[[#This Row],[CONTA]],BaseContasDRE[#All],5,FALSE)),"Fora do DRE",VLOOKUP(Base_Periodo1[[#This Row],[CONTA]],BaseContasDRE[#All],6,FALSE))</f>
        <v>Fora do DRE</v>
      </c>
      <c r="U5740" s="3" t="str">
        <f>IF(ISERROR(VLOOKUP(Base_Periodo1[[#This Row],[CONTA]],BaseContasDRE[#All],7,FALSE)),"Fora do DRE",VLOOKUP(Base_Periodo1[[#This Row],[CONTA]],BaseContasDRE[#All],7,FALSE))</f>
        <v>Fora do DRE</v>
      </c>
      <c r="V5740" s="3" t="str">
        <f>IF(Base_Periodo1[[#This Row],[Tipo_Linha]]="Fora do DRE","Fora do DRE","( "&amp;Base_Periodo1[[#This Row],[Tipo_Linha]]&amp;" ) "&amp;Base_Periodo1[[#This Row],[Filtro]])</f>
        <v>Fora do DRE</v>
      </c>
      <c r="W5740" s="3" t="str">
        <f>LEFT(Base_Periodo1[[#This Row],[CLASS]],3)</f>
        <v>2.4</v>
      </c>
    </row>
    <row r="5741" spans="1:23" hidden="1">
      <c r="A5741" s="3" t="str">
        <f t="shared" si="89"/>
        <v>Período 1</v>
      </c>
      <c r="B5741">
        <v>16102</v>
      </c>
      <c r="C5741" t="s">
        <v>2300</v>
      </c>
      <c r="D5741" t="s">
        <v>3518</v>
      </c>
      <c r="E5741" s="3" t="str">
        <f>IF(LEN(Base_Periodo1[[#This Row],[CLASS]])&gt;=7,LEFT(Base_Periodo1[[#This Row],[CLASS]],7),"")</f>
        <v>2.4.1.1</v>
      </c>
      <c r="F5741" s="3" t="str">
        <f>VLOOKUP(Base_Periodo1[[#This Row],[Aux]],Base_Contas_Balanco[#All],2,FALSE)</f>
        <v>Capital Social Realizado</v>
      </c>
      <c r="G5741" s="1"/>
      <c r="H5741" s="281">
        <v>4217.43</v>
      </c>
      <c r="I5741" s="281">
        <v>0</v>
      </c>
      <c r="J5741" s="281">
        <v>0</v>
      </c>
      <c r="K5741" s="281">
        <v>4217.43</v>
      </c>
      <c r="L574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4217.43</v>
      </c>
      <c r="M5741" s="281">
        <f>ROUND(IF(AND(Base_Periodo1[[#This Row],[Tipo_Linha]]="-",Base_Periodo1[[#This Row],[TIPOSALDO]]="D"),Base_Periodo1[[#This Row],[SALDO_ATUAL]]*-1,Base_Periodo1[[#This Row],[SALDO_ATUAL]]),4)</f>
        <v>4217.43</v>
      </c>
      <c r="N5741" t="s">
        <v>116</v>
      </c>
      <c r="O5741" t="s">
        <v>459</v>
      </c>
      <c r="P5741" t="s">
        <v>459</v>
      </c>
      <c r="Q5741">
        <v>6</v>
      </c>
      <c r="R5741" s="281">
        <f>Base_Periodo1[[#This Row],[CREDITOS]]-Base_Periodo1[[#This Row],[DEBITOS]]</f>
        <v>0</v>
      </c>
      <c r="S5741" s="3" t="str">
        <f>IF(ISERROR(VLOOKUP(Base_Periodo1[[#This Row],[CONTA]],BaseContasDRE[#All],4,FALSE)),"Fora do DRE",VLOOKUP(Base_Periodo1[[#This Row],[CONTA]],BaseContasDRE[#All],4,FALSE))</f>
        <v>Fora do DRE</v>
      </c>
      <c r="T5741" s="3" t="str">
        <f>IF(ISERROR(VLOOKUP(Base_Periodo1[[#This Row],[CONTA]],BaseContasDRE[#All],5,FALSE)),"Fora do DRE",VLOOKUP(Base_Periodo1[[#This Row],[CONTA]],BaseContasDRE[#All],6,FALSE))</f>
        <v>Fora do DRE</v>
      </c>
      <c r="U5741" s="3" t="str">
        <f>IF(ISERROR(VLOOKUP(Base_Periodo1[[#This Row],[CONTA]],BaseContasDRE[#All],7,FALSE)),"Fora do DRE",VLOOKUP(Base_Periodo1[[#This Row],[CONTA]],BaseContasDRE[#All],7,FALSE))</f>
        <v>Fora do DRE</v>
      </c>
      <c r="V5741" s="3" t="str">
        <f>IF(Base_Periodo1[[#This Row],[Tipo_Linha]]="Fora do DRE","Fora do DRE","( "&amp;Base_Periodo1[[#This Row],[Tipo_Linha]]&amp;" ) "&amp;Base_Periodo1[[#This Row],[Filtro]])</f>
        <v>Fora do DRE</v>
      </c>
      <c r="W5741" s="3" t="str">
        <f>LEFT(Base_Periodo1[[#This Row],[CLASS]],3)</f>
        <v>2.4</v>
      </c>
    </row>
    <row r="5742" spans="1:23" hidden="1">
      <c r="A5742" s="3" t="str">
        <f t="shared" si="89"/>
        <v>Período 1</v>
      </c>
      <c r="B5742">
        <v>1650</v>
      </c>
      <c r="C5742" t="s">
        <v>2300</v>
      </c>
      <c r="D5742" t="s">
        <v>286</v>
      </c>
      <c r="E5742" s="3" t="str">
        <f>IF(LEN(Base_Periodo1[[#This Row],[CLASS]])&gt;=7,LEFT(Base_Periodo1[[#This Row],[CLASS]],7),"")</f>
        <v>2.4.1.1</v>
      </c>
      <c r="F5742" s="3" t="str">
        <f>VLOOKUP(Base_Periodo1[[#This Row],[Aux]],Base_Contas_Balanco[#All],2,FALSE)</f>
        <v>Capital Social Realizado</v>
      </c>
      <c r="G5742" s="1">
        <v>40543</v>
      </c>
      <c r="H5742" s="281">
        <v>50</v>
      </c>
      <c r="I5742" s="281">
        <v>0</v>
      </c>
      <c r="J5742" s="281">
        <v>0</v>
      </c>
      <c r="K5742" s="281">
        <v>50</v>
      </c>
      <c r="L574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742" s="281">
        <f>ROUND(IF(AND(Base_Periodo1[[#This Row],[Tipo_Linha]]="-",Base_Periodo1[[#This Row],[TIPOSALDO]]="D"),Base_Periodo1[[#This Row],[SALDO_ATUAL]]*-1,Base_Periodo1[[#This Row],[SALDO_ATUAL]]),4)</f>
        <v>50</v>
      </c>
      <c r="N5742" t="s">
        <v>116</v>
      </c>
      <c r="O5742" t="s">
        <v>459</v>
      </c>
      <c r="P5742" t="s">
        <v>459</v>
      </c>
      <c r="Q5742">
        <v>6</v>
      </c>
      <c r="R5742" s="281">
        <f>Base_Periodo1[[#This Row],[CREDITOS]]-Base_Periodo1[[#This Row],[DEBITOS]]</f>
        <v>0</v>
      </c>
      <c r="S5742" s="3" t="str">
        <f>IF(ISERROR(VLOOKUP(Base_Periodo1[[#This Row],[CONTA]],BaseContasDRE[#All],4,FALSE)),"Fora do DRE",VLOOKUP(Base_Periodo1[[#This Row],[CONTA]],BaseContasDRE[#All],4,FALSE))</f>
        <v>Fora do DRE</v>
      </c>
      <c r="T5742" s="3" t="str">
        <f>IF(ISERROR(VLOOKUP(Base_Periodo1[[#This Row],[CONTA]],BaseContasDRE[#All],5,FALSE)),"Fora do DRE",VLOOKUP(Base_Periodo1[[#This Row],[CONTA]],BaseContasDRE[#All],6,FALSE))</f>
        <v>Fora do DRE</v>
      </c>
      <c r="U5742" s="3" t="str">
        <f>IF(ISERROR(VLOOKUP(Base_Periodo1[[#This Row],[CONTA]],BaseContasDRE[#All],7,FALSE)),"Fora do DRE",VLOOKUP(Base_Periodo1[[#This Row],[CONTA]],BaseContasDRE[#All],7,FALSE))</f>
        <v>Fora do DRE</v>
      </c>
      <c r="V5742" s="3" t="str">
        <f>IF(Base_Periodo1[[#This Row],[Tipo_Linha]]="Fora do DRE","Fora do DRE","( "&amp;Base_Periodo1[[#This Row],[Tipo_Linha]]&amp;" ) "&amp;Base_Periodo1[[#This Row],[Filtro]])</f>
        <v>Fora do DRE</v>
      </c>
      <c r="W5742" s="3" t="str">
        <f>LEFT(Base_Periodo1[[#This Row],[CLASS]],3)</f>
        <v>2.4</v>
      </c>
    </row>
    <row r="5743" spans="1:23" hidden="1">
      <c r="A5743" s="3" t="str">
        <f t="shared" si="89"/>
        <v>Período 1</v>
      </c>
      <c r="B5743">
        <v>1652</v>
      </c>
      <c r="C5743" t="s">
        <v>66</v>
      </c>
      <c r="D5743" t="s">
        <v>67</v>
      </c>
      <c r="E5743" s="3" t="str">
        <f>IF(LEN(Base_Periodo1[[#This Row],[CLASS]])&gt;=7,LEFT(Base_Periodo1[[#This Row],[CLASS]],7),"")</f>
        <v>2.4.1.2</v>
      </c>
      <c r="F5743" s="3" t="str">
        <f>VLOOKUP(Base_Periodo1[[#This Row],[Aux]],Base_Contas_Balanco[#All],2,FALSE)</f>
        <v>(-)Capital A Integralizar</v>
      </c>
      <c r="G5743" s="1"/>
      <c r="H5743" s="281">
        <v>7840.0000000000291</v>
      </c>
      <c r="I5743" s="281">
        <v>1879.6599999999999</v>
      </c>
      <c r="J5743" s="281">
        <v>5239.66</v>
      </c>
      <c r="K5743" s="281">
        <v>4480.0000000000291</v>
      </c>
      <c r="L574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-4480</v>
      </c>
      <c r="M5743" s="281">
        <f>ROUND(IF(AND(Base_Periodo1[[#This Row],[Tipo_Linha]]="-",Base_Periodo1[[#This Row],[TIPOSALDO]]="D"),Base_Periodo1[[#This Row],[SALDO_ATUAL]]*-1,Base_Periodo1[[#This Row],[SALDO_ATUAL]]),4)</f>
        <v>4480</v>
      </c>
      <c r="N5743" t="s">
        <v>396</v>
      </c>
      <c r="O5743" t="s">
        <v>397</v>
      </c>
      <c r="P5743" t="s">
        <v>397</v>
      </c>
      <c r="Q5743">
        <v>4</v>
      </c>
      <c r="R5743" s="281">
        <f>Base_Periodo1[[#This Row],[CREDITOS]]-Base_Periodo1[[#This Row],[DEBITOS]]</f>
        <v>3360</v>
      </c>
      <c r="S5743" s="3" t="str">
        <f>IF(ISERROR(VLOOKUP(Base_Periodo1[[#This Row],[CONTA]],BaseContasDRE[#All],4,FALSE)),"Fora do DRE",VLOOKUP(Base_Periodo1[[#This Row],[CONTA]],BaseContasDRE[#All],4,FALSE))</f>
        <v>Fora do DRE</v>
      </c>
      <c r="T5743" s="3" t="str">
        <f>IF(ISERROR(VLOOKUP(Base_Periodo1[[#This Row],[CONTA]],BaseContasDRE[#All],5,FALSE)),"Fora do DRE",VLOOKUP(Base_Periodo1[[#This Row],[CONTA]],BaseContasDRE[#All],6,FALSE))</f>
        <v>Fora do DRE</v>
      </c>
      <c r="U5743" s="3" t="str">
        <f>IF(ISERROR(VLOOKUP(Base_Periodo1[[#This Row],[CONTA]],BaseContasDRE[#All],7,FALSE)),"Fora do DRE",VLOOKUP(Base_Periodo1[[#This Row],[CONTA]],BaseContasDRE[#All],7,FALSE))</f>
        <v>Fora do DRE</v>
      </c>
      <c r="V5743" s="3" t="str">
        <f>IF(Base_Periodo1[[#This Row],[Tipo_Linha]]="Fora do DRE","Fora do DRE","( "&amp;Base_Periodo1[[#This Row],[Tipo_Linha]]&amp;" ) "&amp;Base_Periodo1[[#This Row],[Filtro]])</f>
        <v>Fora do DRE</v>
      </c>
      <c r="W5743" s="3" t="str">
        <f>LEFT(Base_Periodo1[[#This Row],[CLASS]],3)</f>
        <v>2.4</v>
      </c>
    </row>
    <row r="5744" spans="1:23" hidden="1">
      <c r="A5744" s="3" t="str">
        <f t="shared" si="89"/>
        <v>Período 1</v>
      </c>
      <c r="B5744">
        <v>1653</v>
      </c>
      <c r="C5744" t="s">
        <v>3519</v>
      </c>
      <c r="D5744" t="s">
        <v>67</v>
      </c>
      <c r="E5744" s="3" t="str">
        <f>IF(LEN(Base_Periodo1[[#This Row],[CLASS]])&gt;=7,LEFT(Base_Periodo1[[#This Row],[CLASS]],7),"")</f>
        <v>2.4.1.2</v>
      </c>
      <c r="F5744" s="3" t="str">
        <f>VLOOKUP(Base_Periodo1[[#This Row],[Aux]],Base_Contas_Balanco[#All],2,FALSE)</f>
        <v>(-)Capital A Integralizar</v>
      </c>
      <c r="G5744" s="1"/>
      <c r="H5744" s="281">
        <v>7840.0000000000291</v>
      </c>
      <c r="I5744" s="281">
        <v>1879.6599999999999</v>
      </c>
      <c r="J5744" s="281">
        <v>5239.66</v>
      </c>
      <c r="K5744" s="281">
        <v>4480.0000000000291</v>
      </c>
      <c r="L574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-4480</v>
      </c>
      <c r="M5744" s="281">
        <f>ROUND(IF(AND(Base_Periodo1[[#This Row],[Tipo_Linha]]="-",Base_Periodo1[[#This Row],[TIPOSALDO]]="D"),Base_Periodo1[[#This Row],[SALDO_ATUAL]]*-1,Base_Periodo1[[#This Row],[SALDO_ATUAL]]),4)</f>
        <v>4480</v>
      </c>
      <c r="N5744" t="s">
        <v>396</v>
      </c>
      <c r="O5744" t="s">
        <v>397</v>
      </c>
      <c r="P5744" t="s">
        <v>397</v>
      </c>
      <c r="Q5744">
        <v>5</v>
      </c>
      <c r="R5744" s="281">
        <f>Base_Periodo1[[#This Row],[CREDITOS]]-Base_Periodo1[[#This Row],[DEBITOS]]</f>
        <v>3360</v>
      </c>
      <c r="S5744" s="3" t="str">
        <f>IF(ISERROR(VLOOKUP(Base_Periodo1[[#This Row],[CONTA]],BaseContasDRE[#All],4,FALSE)),"Fora do DRE",VLOOKUP(Base_Periodo1[[#This Row],[CONTA]],BaseContasDRE[#All],4,FALSE))</f>
        <v>Fora do DRE</v>
      </c>
      <c r="T5744" s="3" t="str">
        <f>IF(ISERROR(VLOOKUP(Base_Periodo1[[#This Row],[CONTA]],BaseContasDRE[#All],5,FALSE)),"Fora do DRE",VLOOKUP(Base_Periodo1[[#This Row],[CONTA]],BaseContasDRE[#All],6,FALSE))</f>
        <v>Fora do DRE</v>
      </c>
      <c r="U5744" s="3" t="str">
        <f>IF(ISERROR(VLOOKUP(Base_Periodo1[[#This Row],[CONTA]],BaseContasDRE[#All],7,FALSE)),"Fora do DRE",VLOOKUP(Base_Periodo1[[#This Row],[CONTA]],BaseContasDRE[#All],7,FALSE))</f>
        <v>Fora do DRE</v>
      </c>
      <c r="V5744" s="3" t="str">
        <f>IF(Base_Periodo1[[#This Row],[Tipo_Linha]]="Fora do DRE","Fora do DRE","( "&amp;Base_Periodo1[[#This Row],[Tipo_Linha]]&amp;" ) "&amp;Base_Periodo1[[#This Row],[Filtro]])</f>
        <v>Fora do DRE</v>
      </c>
      <c r="W5744" s="3" t="str">
        <f>LEFT(Base_Periodo1[[#This Row],[CLASS]],3)</f>
        <v>2.4</v>
      </c>
    </row>
    <row r="5745" spans="1:23" hidden="1">
      <c r="A5745" s="3" t="str">
        <f t="shared" si="89"/>
        <v>Período 1</v>
      </c>
      <c r="B5745">
        <v>1654</v>
      </c>
      <c r="C5745" t="s">
        <v>3520</v>
      </c>
      <c r="D5745" t="s">
        <v>67</v>
      </c>
      <c r="E5745" s="3" t="str">
        <f>IF(LEN(Base_Periodo1[[#This Row],[CLASS]])&gt;=7,LEFT(Base_Periodo1[[#This Row],[CLASS]],7),"")</f>
        <v>2.4.1.2</v>
      </c>
      <c r="F5745" s="3" t="str">
        <f>VLOOKUP(Base_Periodo1[[#This Row],[Aux]],Base_Contas_Balanco[#All],2,FALSE)</f>
        <v>(-)Capital A Integralizar</v>
      </c>
      <c r="G5745" s="1">
        <v>42886</v>
      </c>
      <c r="H5745" s="281">
        <v>7840.0000000000291</v>
      </c>
      <c r="I5745" s="281">
        <v>1879.6599999999999</v>
      </c>
      <c r="J5745" s="281">
        <v>5239.66</v>
      </c>
      <c r="K5745" s="281">
        <v>4480.0000000000291</v>
      </c>
      <c r="L574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-4480</v>
      </c>
      <c r="M5745" s="281">
        <f>ROUND(IF(AND(Base_Periodo1[[#This Row],[Tipo_Linha]]="-",Base_Periodo1[[#This Row],[TIPOSALDO]]="D"),Base_Periodo1[[#This Row],[SALDO_ATUAL]]*-1,Base_Periodo1[[#This Row],[SALDO_ATUAL]]),4)</f>
        <v>4480</v>
      </c>
      <c r="N5745" t="s">
        <v>116</v>
      </c>
      <c r="O5745" t="s">
        <v>397</v>
      </c>
      <c r="P5745" t="s">
        <v>397</v>
      </c>
      <c r="Q5745">
        <v>6</v>
      </c>
      <c r="R5745" s="281">
        <f>Base_Periodo1[[#This Row],[CREDITOS]]-Base_Periodo1[[#This Row],[DEBITOS]]</f>
        <v>3360</v>
      </c>
      <c r="S5745" s="3" t="str">
        <f>IF(ISERROR(VLOOKUP(Base_Periodo1[[#This Row],[CONTA]],BaseContasDRE[#All],4,FALSE)),"Fora do DRE",VLOOKUP(Base_Periodo1[[#This Row],[CONTA]],BaseContasDRE[#All],4,FALSE))</f>
        <v>Fora do DRE</v>
      </c>
      <c r="T5745" s="3" t="str">
        <f>IF(ISERROR(VLOOKUP(Base_Periodo1[[#This Row],[CONTA]],BaseContasDRE[#All],5,FALSE)),"Fora do DRE",VLOOKUP(Base_Periodo1[[#This Row],[CONTA]],BaseContasDRE[#All],6,FALSE))</f>
        <v>Fora do DRE</v>
      </c>
      <c r="U5745" s="3" t="str">
        <f>IF(ISERROR(VLOOKUP(Base_Periodo1[[#This Row],[CONTA]],BaseContasDRE[#All],7,FALSE)),"Fora do DRE",VLOOKUP(Base_Periodo1[[#This Row],[CONTA]],BaseContasDRE[#All],7,FALSE))</f>
        <v>Fora do DRE</v>
      </c>
      <c r="V5745" s="3" t="str">
        <f>IF(Base_Periodo1[[#This Row],[Tipo_Linha]]="Fora do DRE","Fora do DRE","( "&amp;Base_Periodo1[[#This Row],[Tipo_Linha]]&amp;" ) "&amp;Base_Periodo1[[#This Row],[Filtro]])</f>
        <v>Fora do DRE</v>
      </c>
      <c r="W5745" s="3" t="str">
        <f>LEFT(Base_Periodo1[[#This Row],[CLASS]],3)</f>
        <v>2.4</v>
      </c>
    </row>
    <row r="5746" spans="1:23" hidden="1">
      <c r="A5746" s="3" t="str">
        <f t="shared" si="89"/>
        <v>Período 1</v>
      </c>
      <c r="B5746">
        <v>1656</v>
      </c>
      <c r="C5746" t="s">
        <v>3521</v>
      </c>
      <c r="D5746" t="s">
        <v>104</v>
      </c>
      <c r="E5746" s="3" t="str">
        <f>IF(LEN(Base_Periodo1[[#This Row],[CLASS]])&gt;=7,LEFT(Base_Periodo1[[#This Row],[CLASS]],7),"")</f>
        <v/>
      </c>
      <c r="F5746" s="3" t="e">
        <f>VLOOKUP(Base_Periodo1[[#This Row],[Aux]],Base_Contas_Balanco[#All],2,FALSE)</f>
        <v>#N/A</v>
      </c>
      <c r="G5746" s="1"/>
      <c r="H5746" s="281">
        <v>71560144.019999996</v>
      </c>
      <c r="I5746" s="281">
        <v>0</v>
      </c>
      <c r="J5746" s="281">
        <v>0</v>
      </c>
      <c r="K5746" s="281">
        <v>71560144.019999996</v>
      </c>
      <c r="L574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71560144.019999996</v>
      </c>
      <c r="M5746" s="281">
        <f>ROUND(IF(AND(Base_Periodo1[[#This Row],[Tipo_Linha]]="-",Base_Periodo1[[#This Row],[TIPOSALDO]]="D"),Base_Periodo1[[#This Row],[SALDO_ATUAL]]*-1,Base_Periodo1[[#This Row],[SALDO_ATUAL]]),4)</f>
        <v>71560144.019999996</v>
      </c>
      <c r="N5746" t="s">
        <v>396</v>
      </c>
      <c r="O5746" t="s">
        <v>459</v>
      </c>
      <c r="P5746" t="s">
        <v>459</v>
      </c>
      <c r="Q5746">
        <v>3</v>
      </c>
      <c r="R5746" s="281">
        <f>Base_Periodo1[[#This Row],[CREDITOS]]-Base_Periodo1[[#This Row],[DEBITOS]]</f>
        <v>0</v>
      </c>
      <c r="S5746" s="3" t="str">
        <f>IF(ISERROR(VLOOKUP(Base_Periodo1[[#This Row],[CONTA]],BaseContasDRE[#All],4,FALSE)),"Fora do DRE",VLOOKUP(Base_Periodo1[[#This Row],[CONTA]],BaseContasDRE[#All],4,FALSE))</f>
        <v>Fora do DRE</v>
      </c>
      <c r="T5746" s="3" t="str">
        <f>IF(ISERROR(VLOOKUP(Base_Periodo1[[#This Row],[CONTA]],BaseContasDRE[#All],5,FALSE)),"Fora do DRE",VLOOKUP(Base_Periodo1[[#This Row],[CONTA]],BaseContasDRE[#All],6,FALSE))</f>
        <v>Fora do DRE</v>
      </c>
      <c r="U5746" s="3" t="str">
        <f>IF(ISERROR(VLOOKUP(Base_Periodo1[[#This Row],[CONTA]],BaseContasDRE[#All],7,FALSE)),"Fora do DRE",VLOOKUP(Base_Periodo1[[#This Row],[CONTA]],BaseContasDRE[#All],7,FALSE))</f>
        <v>Fora do DRE</v>
      </c>
      <c r="V5746" s="3" t="str">
        <f>IF(Base_Periodo1[[#This Row],[Tipo_Linha]]="Fora do DRE","Fora do DRE","( "&amp;Base_Periodo1[[#This Row],[Tipo_Linha]]&amp;" ) "&amp;Base_Periodo1[[#This Row],[Filtro]])</f>
        <v>Fora do DRE</v>
      </c>
      <c r="W5746" s="3" t="str">
        <f>LEFT(Base_Periodo1[[#This Row],[CLASS]],3)</f>
        <v>2.4</v>
      </c>
    </row>
    <row r="5747" spans="1:23" hidden="1">
      <c r="A5747" s="3" t="str">
        <f t="shared" si="89"/>
        <v>Período 1</v>
      </c>
      <c r="B5747">
        <v>1660</v>
      </c>
      <c r="C5747" t="s">
        <v>68</v>
      </c>
      <c r="D5747" t="s">
        <v>69</v>
      </c>
      <c r="E5747" s="3" t="str">
        <f>IF(LEN(Base_Periodo1[[#This Row],[CLASS]])&gt;=7,LEFT(Base_Periodo1[[#This Row],[CLASS]],7),"")</f>
        <v>2.4.3.2</v>
      </c>
      <c r="F5747" s="3" t="str">
        <f>VLOOKUP(Base_Periodo1[[#This Row],[Aux]],Base_Contas_Balanco[#All],2,FALSE)</f>
        <v>Reservas de Sobras</v>
      </c>
      <c r="G5747" s="1"/>
      <c r="H5747" s="281">
        <v>71560144.019999996</v>
      </c>
      <c r="I5747" s="281">
        <v>0</v>
      </c>
      <c r="J5747" s="281">
        <v>0</v>
      </c>
      <c r="K5747" s="281">
        <v>71560144.019999996</v>
      </c>
      <c r="L574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71560144.019999996</v>
      </c>
      <c r="M5747" s="281">
        <f>ROUND(IF(AND(Base_Periodo1[[#This Row],[Tipo_Linha]]="-",Base_Periodo1[[#This Row],[TIPOSALDO]]="D"),Base_Periodo1[[#This Row],[SALDO_ATUAL]]*-1,Base_Periodo1[[#This Row],[SALDO_ATUAL]]),4)</f>
        <v>71560144.019999996</v>
      </c>
      <c r="N5747" t="s">
        <v>396</v>
      </c>
      <c r="O5747" t="s">
        <v>459</v>
      </c>
      <c r="P5747" t="s">
        <v>459</v>
      </c>
      <c r="Q5747">
        <v>4</v>
      </c>
      <c r="R5747" s="281">
        <f>Base_Periodo1[[#This Row],[CREDITOS]]-Base_Periodo1[[#This Row],[DEBITOS]]</f>
        <v>0</v>
      </c>
      <c r="S5747" s="3" t="str">
        <f>IF(ISERROR(VLOOKUP(Base_Periodo1[[#This Row],[CONTA]],BaseContasDRE[#All],4,FALSE)),"Fora do DRE",VLOOKUP(Base_Periodo1[[#This Row],[CONTA]],BaseContasDRE[#All],4,FALSE))</f>
        <v>Fora do DRE</v>
      </c>
      <c r="T5747" s="3" t="str">
        <f>IF(ISERROR(VLOOKUP(Base_Periodo1[[#This Row],[CONTA]],BaseContasDRE[#All],5,FALSE)),"Fora do DRE",VLOOKUP(Base_Periodo1[[#This Row],[CONTA]],BaseContasDRE[#All],6,FALSE))</f>
        <v>Fora do DRE</v>
      </c>
      <c r="U5747" s="3" t="str">
        <f>IF(ISERROR(VLOOKUP(Base_Periodo1[[#This Row],[CONTA]],BaseContasDRE[#All],7,FALSE)),"Fora do DRE",VLOOKUP(Base_Periodo1[[#This Row],[CONTA]],BaseContasDRE[#All],7,FALSE))</f>
        <v>Fora do DRE</v>
      </c>
      <c r="V5747" s="3" t="str">
        <f>IF(Base_Periodo1[[#This Row],[Tipo_Linha]]="Fora do DRE","Fora do DRE","( "&amp;Base_Periodo1[[#This Row],[Tipo_Linha]]&amp;" ) "&amp;Base_Periodo1[[#This Row],[Filtro]])</f>
        <v>Fora do DRE</v>
      </c>
      <c r="W5747" s="3" t="str">
        <f>LEFT(Base_Periodo1[[#This Row],[CLASS]],3)</f>
        <v>2.4</v>
      </c>
    </row>
    <row r="5748" spans="1:23" hidden="1">
      <c r="A5748" s="3" t="str">
        <f t="shared" si="89"/>
        <v>Período 1</v>
      </c>
      <c r="B5748">
        <v>1661</v>
      </c>
      <c r="C5748" t="s">
        <v>3522</v>
      </c>
      <c r="D5748" t="s">
        <v>3523</v>
      </c>
      <c r="E5748" s="3" t="str">
        <f>IF(LEN(Base_Periodo1[[#This Row],[CLASS]])&gt;=7,LEFT(Base_Periodo1[[#This Row],[CLASS]],7),"")</f>
        <v>2.4.3.2</v>
      </c>
      <c r="F5748" s="3" t="str">
        <f>VLOOKUP(Base_Periodo1[[#This Row],[Aux]],Base_Contas_Balanco[#All],2,FALSE)</f>
        <v>Reservas de Sobras</v>
      </c>
      <c r="G5748" s="1"/>
      <c r="H5748" s="281">
        <v>71560144.019999996</v>
      </c>
      <c r="I5748" s="281">
        <v>0</v>
      </c>
      <c r="J5748" s="281">
        <v>0</v>
      </c>
      <c r="K5748" s="281">
        <v>71560144.019999996</v>
      </c>
      <c r="L574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71560144.019999996</v>
      </c>
      <c r="M5748" s="281">
        <f>ROUND(IF(AND(Base_Periodo1[[#This Row],[Tipo_Linha]]="-",Base_Periodo1[[#This Row],[TIPOSALDO]]="D"),Base_Periodo1[[#This Row],[SALDO_ATUAL]]*-1,Base_Periodo1[[#This Row],[SALDO_ATUAL]]),4)</f>
        <v>71560144.019999996</v>
      </c>
      <c r="N5748" t="s">
        <v>396</v>
      </c>
      <c r="O5748" t="s">
        <v>459</v>
      </c>
      <c r="P5748" t="s">
        <v>459</v>
      </c>
      <c r="Q5748">
        <v>5</v>
      </c>
      <c r="R5748" s="281">
        <f>Base_Periodo1[[#This Row],[CREDITOS]]-Base_Periodo1[[#This Row],[DEBITOS]]</f>
        <v>0</v>
      </c>
      <c r="S5748" s="3" t="str">
        <f>IF(ISERROR(VLOOKUP(Base_Periodo1[[#This Row],[CONTA]],BaseContasDRE[#All],4,FALSE)),"Fora do DRE",VLOOKUP(Base_Periodo1[[#This Row],[CONTA]],BaseContasDRE[#All],4,FALSE))</f>
        <v>Fora do DRE</v>
      </c>
      <c r="T5748" s="3" t="str">
        <f>IF(ISERROR(VLOOKUP(Base_Periodo1[[#This Row],[CONTA]],BaseContasDRE[#All],5,FALSE)),"Fora do DRE",VLOOKUP(Base_Periodo1[[#This Row],[CONTA]],BaseContasDRE[#All],6,FALSE))</f>
        <v>Fora do DRE</v>
      </c>
      <c r="U5748" s="3" t="str">
        <f>IF(ISERROR(VLOOKUP(Base_Periodo1[[#This Row],[CONTA]],BaseContasDRE[#All],7,FALSE)),"Fora do DRE",VLOOKUP(Base_Periodo1[[#This Row],[CONTA]],BaseContasDRE[#All],7,FALSE))</f>
        <v>Fora do DRE</v>
      </c>
      <c r="V5748" s="3" t="str">
        <f>IF(Base_Periodo1[[#This Row],[Tipo_Linha]]="Fora do DRE","Fora do DRE","( "&amp;Base_Periodo1[[#This Row],[Tipo_Linha]]&amp;" ) "&amp;Base_Periodo1[[#This Row],[Filtro]])</f>
        <v>Fora do DRE</v>
      </c>
      <c r="W5748" s="3" t="str">
        <f>LEFT(Base_Periodo1[[#This Row],[CLASS]],3)</f>
        <v>2.4</v>
      </c>
    </row>
    <row r="5749" spans="1:23" hidden="1">
      <c r="A5749" s="3" t="str">
        <f t="shared" si="89"/>
        <v>Período 1</v>
      </c>
      <c r="B5749">
        <v>1663</v>
      </c>
      <c r="C5749" t="s">
        <v>3524</v>
      </c>
      <c r="D5749" t="s">
        <v>3525</v>
      </c>
      <c r="E5749" s="3" t="str">
        <f>IF(LEN(Base_Periodo1[[#This Row],[CLASS]])&gt;=7,LEFT(Base_Periodo1[[#This Row],[CLASS]],7),"")</f>
        <v>2.4.3.2</v>
      </c>
      <c r="F5749" s="3" t="str">
        <f>VLOOKUP(Base_Periodo1[[#This Row],[Aux]],Base_Contas_Balanco[#All],2,FALSE)</f>
        <v>Reservas de Sobras</v>
      </c>
      <c r="G5749" s="1">
        <v>42735</v>
      </c>
      <c r="H5749" s="281">
        <v>6867879.0399999991</v>
      </c>
      <c r="I5749" s="281">
        <v>0</v>
      </c>
      <c r="J5749" s="281">
        <v>0</v>
      </c>
      <c r="K5749" s="281">
        <v>6867879.0399999991</v>
      </c>
      <c r="L574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6867879.04</v>
      </c>
      <c r="M5749" s="281">
        <f>ROUND(IF(AND(Base_Periodo1[[#This Row],[Tipo_Linha]]="-",Base_Periodo1[[#This Row],[TIPOSALDO]]="D"),Base_Periodo1[[#This Row],[SALDO_ATUAL]]*-1,Base_Periodo1[[#This Row],[SALDO_ATUAL]]),4)</f>
        <v>6867879.04</v>
      </c>
      <c r="N5749" t="s">
        <v>116</v>
      </c>
      <c r="O5749" t="s">
        <v>459</v>
      </c>
      <c r="P5749" t="s">
        <v>459</v>
      </c>
      <c r="Q5749">
        <v>6</v>
      </c>
      <c r="R5749" s="281">
        <f>Base_Periodo1[[#This Row],[CREDITOS]]-Base_Periodo1[[#This Row],[DEBITOS]]</f>
        <v>0</v>
      </c>
      <c r="S5749" s="3" t="str">
        <f>IF(ISERROR(VLOOKUP(Base_Periodo1[[#This Row],[CONTA]],BaseContasDRE[#All],4,FALSE)),"Fora do DRE",VLOOKUP(Base_Periodo1[[#This Row],[CONTA]],BaseContasDRE[#All],4,FALSE))</f>
        <v>Fora do DRE</v>
      </c>
      <c r="T5749" s="3" t="str">
        <f>IF(ISERROR(VLOOKUP(Base_Periodo1[[#This Row],[CONTA]],BaseContasDRE[#All],5,FALSE)),"Fora do DRE",VLOOKUP(Base_Periodo1[[#This Row],[CONTA]],BaseContasDRE[#All],6,FALSE))</f>
        <v>Fora do DRE</v>
      </c>
      <c r="U5749" s="3" t="str">
        <f>IF(ISERROR(VLOOKUP(Base_Periodo1[[#This Row],[CONTA]],BaseContasDRE[#All],7,FALSE)),"Fora do DRE",VLOOKUP(Base_Periodo1[[#This Row],[CONTA]],BaseContasDRE[#All],7,FALSE))</f>
        <v>Fora do DRE</v>
      </c>
      <c r="V5749" s="3" t="str">
        <f>IF(Base_Periodo1[[#This Row],[Tipo_Linha]]="Fora do DRE","Fora do DRE","( "&amp;Base_Periodo1[[#This Row],[Tipo_Linha]]&amp;" ) "&amp;Base_Periodo1[[#This Row],[Filtro]])</f>
        <v>Fora do DRE</v>
      </c>
      <c r="W5749" s="3" t="str">
        <f>LEFT(Base_Periodo1[[#This Row],[CLASS]],3)</f>
        <v>2.4</v>
      </c>
    </row>
    <row r="5750" spans="1:23" hidden="1">
      <c r="A5750" s="3" t="str">
        <f t="shared" si="89"/>
        <v>Período 1</v>
      </c>
      <c r="B5750">
        <v>1664</v>
      </c>
      <c r="C5750" t="s">
        <v>3526</v>
      </c>
      <c r="D5750" t="s">
        <v>3527</v>
      </c>
      <c r="E5750" s="3" t="str">
        <f>IF(LEN(Base_Periodo1[[#This Row],[CLASS]])&gt;=7,LEFT(Base_Periodo1[[#This Row],[CLASS]],7),"")</f>
        <v>2.4.3.2</v>
      </c>
      <c r="F5750" s="3" t="str">
        <f>VLOOKUP(Base_Periodo1[[#This Row],[Aux]],Base_Contas_Balanco[#All],2,FALSE)</f>
        <v>Reservas de Sobras</v>
      </c>
      <c r="G5750" s="1"/>
      <c r="H5750" s="281">
        <v>12604112.789999999</v>
      </c>
      <c r="I5750" s="281">
        <v>0</v>
      </c>
      <c r="J5750" s="281">
        <v>0</v>
      </c>
      <c r="K5750" s="281">
        <v>12604112.789999999</v>
      </c>
      <c r="L575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12604112.789999999</v>
      </c>
      <c r="M5750" s="281">
        <f>ROUND(IF(AND(Base_Periodo1[[#This Row],[Tipo_Linha]]="-",Base_Periodo1[[#This Row],[TIPOSALDO]]="D"),Base_Periodo1[[#This Row],[SALDO_ATUAL]]*-1,Base_Periodo1[[#This Row],[SALDO_ATUAL]]),4)</f>
        <v>12604112.789999999</v>
      </c>
      <c r="N5750" t="s">
        <v>116</v>
      </c>
      <c r="O5750" t="s">
        <v>459</v>
      </c>
      <c r="P5750" t="s">
        <v>459</v>
      </c>
      <c r="Q5750">
        <v>6</v>
      </c>
      <c r="R5750" s="281">
        <f>Base_Periodo1[[#This Row],[CREDITOS]]-Base_Periodo1[[#This Row],[DEBITOS]]</f>
        <v>0</v>
      </c>
      <c r="S5750" s="3" t="str">
        <f>IF(ISERROR(VLOOKUP(Base_Periodo1[[#This Row],[CONTA]],BaseContasDRE[#All],4,FALSE)),"Fora do DRE",VLOOKUP(Base_Periodo1[[#This Row],[CONTA]],BaseContasDRE[#All],4,FALSE))</f>
        <v>Fora do DRE</v>
      </c>
      <c r="T5750" s="3" t="str">
        <f>IF(ISERROR(VLOOKUP(Base_Periodo1[[#This Row],[CONTA]],BaseContasDRE[#All],5,FALSE)),"Fora do DRE",VLOOKUP(Base_Periodo1[[#This Row],[CONTA]],BaseContasDRE[#All],6,FALSE))</f>
        <v>Fora do DRE</v>
      </c>
      <c r="U5750" s="3" t="str">
        <f>IF(ISERROR(VLOOKUP(Base_Periodo1[[#This Row],[CONTA]],BaseContasDRE[#All],7,FALSE)),"Fora do DRE",VLOOKUP(Base_Periodo1[[#This Row],[CONTA]],BaseContasDRE[#All],7,FALSE))</f>
        <v>Fora do DRE</v>
      </c>
      <c r="V5750" s="3" t="str">
        <f>IF(Base_Periodo1[[#This Row],[Tipo_Linha]]="Fora do DRE","Fora do DRE","( "&amp;Base_Periodo1[[#This Row],[Tipo_Linha]]&amp;" ) "&amp;Base_Periodo1[[#This Row],[Filtro]])</f>
        <v>Fora do DRE</v>
      </c>
      <c r="W5750" s="3" t="str">
        <f>LEFT(Base_Periodo1[[#This Row],[CLASS]],3)</f>
        <v>2.4</v>
      </c>
    </row>
    <row r="5751" spans="1:23" hidden="1">
      <c r="A5751" s="3" t="str">
        <f t="shared" si="89"/>
        <v>Período 1</v>
      </c>
      <c r="B5751">
        <v>1665</v>
      </c>
      <c r="C5751" t="s">
        <v>3528</v>
      </c>
      <c r="D5751" t="s">
        <v>3529</v>
      </c>
      <c r="E5751" s="3" t="str">
        <f>IF(LEN(Base_Periodo1[[#This Row],[CLASS]])&gt;=7,LEFT(Base_Periodo1[[#This Row],[CLASS]],7),"")</f>
        <v>2.4.3.2</v>
      </c>
      <c r="F5751" s="3" t="str">
        <f>VLOOKUP(Base_Periodo1[[#This Row],[Aux]],Base_Contas_Balanco[#All],2,FALSE)</f>
        <v>Reservas de Sobras</v>
      </c>
      <c r="G5751" s="1"/>
      <c r="H5751" s="281">
        <v>52088152.189999998</v>
      </c>
      <c r="I5751" s="281">
        <v>0</v>
      </c>
      <c r="J5751" s="281">
        <v>0</v>
      </c>
      <c r="K5751" s="281">
        <v>52088152.189999998</v>
      </c>
      <c r="L575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52088152.189999998</v>
      </c>
      <c r="M5751" s="281">
        <f>ROUND(IF(AND(Base_Periodo1[[#This Row],[Tipo_Linha]]="-",Base_Periodo1[[#This Row],[TIPOSALDO]]="D"),Base_Periodo1[[#This Row],[SALDO_ATUAL]]*-1,Base_Periodo1[[#This Row],[SALDO_ATUAL]]),4)</f>
        <v>52088152.189999998</v>
      </c>
      <c r="N5751" t="s">
        <v>116</v>
      </c>
      <c r="O5751" t="s">
        <v>459</v>
      </c>
      <c r="P5751" t="s">
        <v>459</v>
      </c>
      <c r="Q5751">
        <v>6</v>
      </c>
      <c r="R5751" s="281">
        <f>Base_Periodo1[[#This Row],[CREDITOS]]-Base_Periodo1[[#This Row],[DEBITOS]]</f>
        <v>0</v>
      </c>
      <c r="S5751" s="3" t="str">
        <f>IF(ISERROR(VLOOKUP(Base_Periodo1[[#This Row],[CONTA]],BaseContasDRE[#All],4,FALSE)),"Fora do DRE",VLOOKUP(Base_Periodo1[[#This Row],[CONTA]],BaseContasDRE[#All],4,FALSE))</f>
        <v>Fora do DRE</v>
      </c>
      <c r="T5751" s="3" t="str">
        <f>IF(ISERROR(VLOOKUP(Base_Periodo1[[#This Row],[CONTA]],BaseContasDRE[#All],5,FALSE)),"Fora do DRE",VLOOKUP(Base_Periodo1[[#This Row],[CONTA]],BaseContasDRE[#All],6,FALSE))</f>
        <v>Fora do DRE</v>
      </c>
      <c r="U5751" s="3" t="str">
        <f>IF(ISERROR(VLOOKUP(Base_Periodo1[[#This Row],[CONTA]],BaseContasDRE[#All],7,FALSE)),"Fora do DRE",VLOOKUP(Base_Periodo1[[#This Row],[CONTA]],BaseContasDRE[#All],7,FALSE))</f>
        <v>Fora do DRE</v>
      </c>
      <c r="V5751" s="3" t="str">
        <f>IF(Base_Periodo1[[#This Row],[Tipo_Linha]]="Fora do DRE","Fora do DRE","( "&amp;Base_Periodo1[[#This Row],[Tipo_Linha]]&amp;" ) "&amp;Base_Periodo1[[#This Row],[Filtro]])</f>
        <v>Fora do DRE</v>
      </c>
      <c r="W5751" s="3" t="str">
        <f>LEFT(Base_Periodo1[[#This Row],[CLASS]],3)</f>
        <v>2.4</v>
      </c>
    </row>
    <row r="5752" spans="1:23" hidden="1">
      <c r="A5752" s="3" t="str">
        <f t="shared" si="89"/>
        <v>Período 1</v>
      </c>
      <c r="B5752">
        <v>31824</v>
      </c>
      <c r="C5752" t="s">
        <v>3530</v>
      </c>
      <c r="D5752" t="s">
        <v>75</v>
      </c>
      <c r="E5752" s="3" t="str">
        <f>IF(LEN(Base_Periodo1[[#This Row],[CLASS]])&gt;=7,LEFT(Base_Periodo1[[#This Row],[CLASS]],7),"")</f>
        <v/>
      </c>
      <c r="F5752" s="3" t="e">
        <f>VLOOKUP(Base_Periodo1[[#This Row],[Aux]],Base_Contas_Balanco[#All],2,FALSE)</f>
        <v>#N/A</v>
      </c>
      <c r="G5752" s="1"/>
      <c r="H5752" s="281">
        <v>17455514.470000003</v>
      </c>
      <c r="I5752" s="281">
        <v>0</v>
      </c>
      <c r="J5752" s="281">
        <v>0</v>
      </c>
      <c r="K5752" s="281">
        <v>17455514.470000003</v>
      </c>
      <c r="L575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17455514.469999999</v>
      </c>
      <c r="M5752" s="281">
        <f>ROUND(IF(AND(Base_Periodo1[[#This Row],[Tipo_Linha]]="-",Base_Periodo1[[#This Row],[TIPOSALDO]]="D"),Base_Periodo1[[#This Row],[SALDO_ATUAL]]*-1,Base_Periodo1[[#This Row],[SALDO_ATUAL]]),4)</f>
        <v>17455514.469999999</v>
      </c>
      <c r="N5752" t="s">
        <v>396</v>
      </c>
      <c r="O5752" t="s">
        <v>459</v>
      </c>
      <c r="P5752" t="s">
        <v>459</v>
      </c>
      <c r="Q5752">
        <v>3</v>
      </c>
      <c r="R5752" s="281">
        <f>Base_Periodo1[[#This Row],[CREDITOS]]-Base_Periodo1[[#This Row],[DEBITOS]]</f>
        <v>0</v>
      </c>
      <c r="S5752" s="3" t="str">
        <f>IF(ISERROR(VLOOKUP(Base_Periodo1[[#This Row],[CONTA]],BaseContasDRE[#All],4,FALSE)),"Fora do DRE",VLOOKUP(Base_Periodo1[[#This Row],[CONTA]],BaseContasDRE[#All],4,FALSE))</f>
        <v>Fora do DRE</v>
      </c>
      <c r="T5752" s="3" t="str">
        <f>IF(ISERROR(VLOOKUP(Base_Periodo1[[#This Row],[CONTA]],BaseContasDRE[#All],5,FALSE)),"Fora do DRE",VLOOKUP(Base_Periodo1[[#This Row],[CONTA]],BaseContasDRE[#All],6,FALSE))</f>
        <v>Fora do DRE</v>
      </c>
      <c r="U5752" s="3" t="str">
        <f>IF(ISERROR(VLOOKUP(Base_Periodo1[[#This Row],[CONTA]],BaseContasDRE[#All],7,FALSE)),"Fora do DRE",VLOOKUP(Base_Periodo1[[#This Row],[CONTA]],BaseContasDRE[#All],7,FALSE))</f>
        <v>Fora do DRE</v>
      </c>
      <c r="V5752" s="3" t="str">
        <f>IF(Base_Periodo1[[#This Row],[Tipo_Linha]]="Fora do DRE","Fora do DRE","( "&amp;Base_Periodo1[[#This Row],[Tipo_Linha]]&amp;" ) "&amp;Base_Periodo1[[#This Row],[Filtro]])</f>
        <v>Fora do DRE</v>
      </c>
      <c r="W5752" s="3" t="str">
        <f>LEFT(Base_Periodo1[[#This Row],[CLASS]],3)</f>
        <v>2.4</v>
      </c>
    </row>
    <row r="5753" spans="1:23" hidden="1">
      <c r="A5753" s="3" t="str">
        <f t="shared" si="89"/>
        <v>Período 1</v>
      </c>
      <c r="B5753">
        <v>31825</v>
      </c>
      <c r="C5753" t="s">
        <v>74</v>
      </c>
      <c r="D5753" t="s">
        <v>75</v>
      </c>
      <c r="E5753" s="3" t="str">
        <f>IF(LEN(Base_Periodo1[[#This Row],[CLASS]])&gt;=7,LEFT(Base_Periodo1[[#This Row],[CLASS]],7),"")</f>
        <v>2.4.4.1</v>
      </c>
      <c r="F5753" s="3" t="str">
        <f>VLOOKUP(Base_Periodo1[[#This Row],[Aux]],Base_Contas_Balanco[#All],2,FALSE)</f>
        <v>Ajuste de Avaliacao Patrimonial</v>
      </c>
      <c r="G5753" s="1">
        <v>42735</v>
      </c>
      <c r="H5753" s="281">
        <v>17455514.470000003</v>
      </c>
      <c r="I5753" s="281">
        <v>0</v>
      </c>
      <c r="J5753" s="281">
        <v>0</v>
      </c>
      <c r="K5753" s="281">
        <v>17455514.470000003</v>
      </c>
      <c r="L575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17455514.469999999</v>
      </c>
      <c r="M5753" s="281">
        <f>ROUND(IF(AND(Base_Periodo1[[#This Row],[Tipo_Linha]]="-",Base_Periodo1[[#This Row],[TIPOSALDO]]="D"),Base_Periodo1[[#This Row],[SALDO_ATUAL]]*-1,Base_Periodo1[[#This Row],[SALDO_ATUAL]]),4)</f>
        <v>17455514.469999999</v>
      </c>
      <c r="N5753" t="s">
        <v>116</v>
      </c>
      <c r="O5753" t="s">
        <v>459</v>
      </c>
      <c r="P5753" t="s">
        <v>459</v>
      </c>
      <c r="Q5753">
        <v>4</v>
      </c>
      <c r="R5753" s="281">
        <f>Base_Periodo1[[#This Row],[CREDITOS]]-Base_Periodo1[[#This Row],[DEBITOS]]</f>
        <v>0</v>
      </c>
      <c r="S5753" s="3" t="str">
        <f>IF(ISERROR(VLOOKUP(Base_Periodo1[[#This Row],[CONTA]],BaseContasDRE[#All],4,FALSE)),"Fora do DRE",VLOOKUP(Base_Periodo1[[#This Row],[CONTA]],BaseContasDRE[#All],4,FALSE))</f>
        <v>Fora do DRE</v>
      </c>
      <c r="T5753" s="3" t="str">
        <f>IF(ISERROR(VLOOKUP(Base_Periodo1[[#This Row],[CONTA]],BaseContasDRE[#All],5,FALSE)),"Fora do DRE",VLOOKUP(Base_Periodo1[[#This Row],[CONTA]],BaseContasDRE[#All],6,FALSE))</f>
        <v>Fora do DRE</v>
      </c>
      <c r="U5753" s="3" t="str">
        <f>IF(ISERROR(VLOOKUP(Base_Periodo1[[#This Row],[CONTA]],BaseContasDRE[#All],7,FALSE)),"Fora do DRE",VLOOKUP(Base_Periodo1[[#This Row],[CONTA]],BaseContasDRE[#All],7,FALSE))</f>
        <v>Fora do DRE</v>
      </c>
      <c r="V5753" s="3" t="str">
        <f>IF(Base_Periodo1[[#This Row],[Tipo_Linha]]="Fora do DRE","Fora do DRE","( "&amp;Base_Periodo1[[#This Row],[Tipo_Linha]]&amp;" ) "&amp;Base_Periodo1[[#This Row],[Filtro]])</f>
        <v>Fora do DRE</v>
      </c>
      <c r="W5753" s="3" t="str">
        <f>LEFT(Base_Periodo1[[#This Row],[CLASS]],3)</f>
        <v>2.4</v>
      </c>
    </row>
    <row r="5754" spans="1:23" hidden="1">
      <c r="A5754" s="3" t="str">
        <f t="shared" si="89"/>
        <v>Período 1</v>
      </c>
      <c r="B5754">
        <v>1668</v>
      </c>
      <c r="C5754" t="s">
        <v>5629</v>
      </c>
      <c r="D5754" t="s">
        <v>5630</v>
      </c>
      <c r="E5754" s="3" t="str">
        <f>IF(LEN(Base_Periodo1[[#This Row],[CLASS]])&gt;=7,LEFT(Base_Periodo1[[#This Row],[CLASS]],7),"")</f>
        <v/>
      </c>
      <c r="F5754" s="3" t="e">
        <f>VLOOKUP(Base_Periodo1[[#This Row],[Aux]],Base_Contas_Balanco[#All],2,FALSE)</f>
        <v>#N/A</v>
      </c>
      <c r="G5754" s="1"/>
      <c r="H5754" s="281">
        <v>2523491.1799999662</v>
      </c>
      <c r="I5754" s="281">
        <v>0</v>
      </c>
      <c r="J5754" s="281">
        <v>0</v>
      </c>
      <c r="K5754" s="281">
        <v>2523491.1799999662</v>
      </c>
      <c r="L575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2523491.1800000002</v>
      </c>
      <c r="M5754" s="281">
        <f>ROUND(IF(AND(Base_Periodo1[[#This Row],[Tipo_Linha]]="-",Base_Periodo1[[#This Row],[TIPOSALDO]]="D"),Base_Periodo1[[#This Row],[SALDO_ATUAL]]*-1,Base_Periodo1[[#This Row],[SALDO_ATUAL]]),4)</f>
        <v>2523491.1800000002</v>
      </c>
      <c r="N5754" t="s">
        <v>396</v>
      </c>
      <c r="O5754" t="s">
        <v>459</v>
      </c>
      <c r="P5754" t="s">
        <v>459</v>
      </c>
      <c r="Q5754">
        <v>3</v>
      </c>
      <c r="R5754" s="281">
        <f>Base_Periodo1[[#This Row],[CREDITOS]]-Base_Periodo1[[#This Row],[DEBITOS]]</f>
        <v>0</v>
      </c>
      <c r="S5754" s="3" t="str">
        <f>IF(ISERROR(VLOOKUP(Base_Periodo1[[#This Row],[CONTA]],BaseContasDRE[#All],4,FALSE)),"Fora do DRE",VLOOKUP(Base_Periodo1[[#This Row],[CONTA]],BaseContasDRE[#All],4,FALSE))</f>
        <v>Fora do DRE</v>
      </c>
      <c r="T5754" s="3" t="str">
        <f>IF(ISERROR(VLOOKUP(Base_Periodo1[[#This Row],[CONTA]],BaseContasDRE[#All],5,FALSE)),"Fora do DRE",VLOOKUP(Base_Periodo1[[#This Row],[CONTA]],BaseContasDRE[#All],6,FALSE))</f>
        <v>Fora do DRE</v>
      </c>
      <c r="U5754" s="3" t="str">
        <f>IF(ISERROR(VLOOKUP(Base_Periodo1[[#This Row],[CONTA]],BaseContasDRE[#All],7,FALSE)),"Fora do DRE",VLOOKUP(Base_Periodo1[[#This Row],[CONTA]],BaseContasDRE[#All],7,FALSE))</f>
        <v>Fora do DRE</v>
      </c>
      <c r="V5754" s="3" t="str">
        <f>IF(Base_Periodo1[[#This Row],[Tipo_Linha]]="Fora do DRE","Fora do DRE","( "&amp;Base_Periodo1[[#This Row],[Tipo_Linha]]&amp;" ) "&amp;Base_Periodo1[[#This Row],[Filtro]])</f>
        <v>Fora do DRE</v>
      </c>
      <c r="W5754" s="3" t="str">
        <f>LEFT(Base_Periodo1[[#This Row],[CLASS]],3)</f>
        <v>2.4</v>
      </c>
    </row>
    <row r="5755" spans="1:23" hidden="1">
      <c r="A5755" s="3" t="str">
        <f t="shared" si="89"/>
        <v>Período 1</v>
      </c>
      <c r="B5755">
        <v>1671</v>
      </c>
      <c r="C5755" t="s">
        <v>70</v>
      </c>
      <c r="D5755" t="s">
        <v>71</v>
      </c>
      <c r="E5755" s="3" t="str">
        <f>IF(LEN(Base_Periodo1[[#This Row],[CLASS]])&gt;=7,LEFT(Base_Periodo1[[#This Row],[CLASS]],7),"")</f>
        <v>2.4.5.2</v>
      </c>
      <c r="F5755" s="3" t="str">
        <f>VLOOKUP(Base_Periodo1[[#This Row],[Aux]],Base_Contas_Balanco[#All],2,FALSE)</f>
        <v>Sobras ou Perdas a Disposicao da AGO</v>
      </c>
      <c r="G5755" s="1"/>
      <c r="H5755" s="281">
        <v>2523491.1799999662</v>
      </c>
      <c r="I5755" s="281">
        <v>0</v>
      </c>
      <c r="J5755" s="281">
        <v>0</v>
      </c>
      <c r="K5755" s="281">
        <v>2523491.1799999662</v>
      </c>
      <c r="L575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2523491.1800000002</v>
      </c>
      <c r="M5755" s="281">
        <f>ROUND(IF(AND(Base_Periodo1[[#This Row],[Tipo_Linha]]="-",Base_Periodo1[[#This Row],[TIPOSALDO]]="D"),Base_Periodo1[[#This Row],[SALDO_ATUAL]]*-1,Base_Periodo1[[#This Row],[SALDO_ATUAL]]),4)</f>
        <v>2523491.1800000002</v>
      </c>
      <c r="N5755" t="s">
        <v>396</v>
      </c>
      <c r="O5755" t="s">
        <v>459</v>
      </c>
      <c r="P5755" t="s">
        <v>459</v>
      </c>
      <c r="Q5755">
        <v>4</v>
      </c>
      <c r="R5755" s="281">
        <f>Base_Periodo1[[#This Row],[CREDITOS]]-Base_Periodo1[[#This Row],[DEBITOS]]</f>
        <v>0</v>
      </c>
      <c r="S5755" s="3" t="str">
        <f>IF(ISERROR(VLOOKUP(Base_Periodo1[[#This Row],[CONTA]],BaseContasDRE[#All],4,FALSE)),"Fora do DRE",VLOOKUP(Base_Periodo1[[#This Row],[CONTA]],BaseContasDRE[#All],4,FALSE))</f>
        <v>Fora do DRE</v>
      </c>
      <c r="T5755" s="3" t="str">
        <f>IF(ISERROR(VLOOKUP(Base_Periodo1[[#This Row],[CONTA]],BaseContasDRE[#All],5,FALSE)),"Fora do DRE",VLOOKUP(Base_Periodo1[[#This Row],[CONTA]],BaseContasDRE[#All],6,FALSE))</f>
        <v>Fora do DRE</v>
      </c>
      <c r="U5755" s="3" t="str">
        <f>IF(ISERROR(VLOOKUP(Base_Periodo1[[#This Row],[CONTA]],BaseContasDRE[#All],7,FALSE)),"Fora do DRE",VLOOKUP(Base_Periodo1[[#This Row],[CONTA]],BaseContasDRE[#All],7,FALSE))</f>
        <v>Fora do DRE</v>
      </c>
      <c r="V5755" s="3" t="str">
        <f>IF(Base_Periodo1[[#This Row],[Tipo_Linha]]="Fora do DRE","Fora do DRE","( "&amp;Base_Periodo1[[#This Row],[Tipo_Linha]]&amp;" ) "&amp;Base_Periodo1[[#This Row],[Filtro]])</f>
        <v>Fora do DRE</v>
      </c>
      <c r="W5755" s="3" t="str">
        <f>LEFT(Base_Periodo1[[#This Row],[CLASS]],3)</f>
        <v>2.4</v>
      </c>
    </row>
    <row r="5756" spans="1:23" hidden="1">
      <c r="A5756" s="3" t="str">
        <f t="shared" si="89"/>
        <v>Período 1</v>
      </c>
      <c r="B5756">
        <v>1672</v>
      </c>
      <c r="C5756" t="s">
        <v>5631</v>
      </c>
      <c r="D5756" t="s">
        <v>5632</v>
      </c>
      <c r="E5756" s="3" t="str">
        <f>IF(LEN(Base_Periodo1[[#This Row],[CLASS]])&gt;=7,LEFT(Base_Periodo1[[#This Row],[CLASS]],7),"")</f>
        <v>2.4.5.2</v>
      </c>
      <c r="F5756" s="3" t="str">
        <f>VLOOKUP(Base_Periodo1[[#This Row],[Aux]],Base_Contas_Balanco[#All],2,FALSE)</f>
        <v>Sobras ou Perdas a Disposicao da AGO</v>
      </c>
      <c r="G5756" s="1">
        <v>42735</v>
      </c>
      <c r="H5756" s="281">
        <v>2523491.1799999699</v>
      </c>
      <c r="I5756" s="281">
        <v>0</v>
      </c>
      <c r="J5756" s="281">
        <v>0</v>
      </c>
      <c r="K5756" s="281">
        <v>2523491.1799999699</v>
      </c>
      <c r="L575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2523491.1800000002</v>
      </c>
      <c r="M5756" s="281">
        <f>ROUND(IF(AND(Base_Periodo1[[#This Row],[Tipo_Linha]]="-",Base_Periodo1[[#This Row],[TIPOSALDO]]="D"),Base_Periodo1[[#This Row],[SALDO_ATUAL]]*-1,Base_Periodo1[[#This Row],[SALDO_ATUAL]]),4)</f>
        <v>2523491.1800000002</v>
      </c>
      <c r="N5756" t="s">
        <v>116</v>
      </c>
      <c r="O5756" t="s">
        <v>459</v>
      </c>
      <c r="P5756" t="s">
        <v>459</v>
      </c>
      <c r="Q5756">
        <v>5</v>
      </c>
      <c r="R5756" s="281">
        <f>Base_Periodo1[[#This Row],[CREDITOS]]-Base_Periodo1[[#This Row],[DEBITOS]]</f>
        <v>0</v>
      </c>
      <c r="S5756" s="3" t="str">
        <f>IF(ISERROR(VLOOKUP(Base_Periodo1[[#This Row],[CONTA]],BaseContasDRE[#All],4,FALSE)),"Fora do DRE",VLOOKUP(Base_Periodo1[[#This Row],[CONTA]],BaseContasDRE[#All],4,FALSE))</f>
        <v>Fora do DRE</v>
      </c>
      <c r="T5756" s="3" t="str">
        <f>IF(ISERROR(VLOOKUP(Base_Periodo1[[#This Row],[CONTA]],BaseContasDRE[#All],5,FALSE)),"Fora do DRE",VLOOKUP(Base_Periodo1[[#This Row],[CONTA]],BaseContasDRE[#All],6,FALSE))</f>
        <v>Fora do DRE</v>
      </c>
      <c r="U5756" s="3" t="str">
        <f>IF(ISERROR(VLOOKUP(Base_Periodo1[[#This Row],[CONTA]],BaseContasDRE[#All],7,FALSE)),"Fora do DRE",VLOOKUP(Base_Periodo1[[#This Row],[CONTA]],BaseContasDRE[#All],7,FALSE))</f>
        <v>Fora do DRE</v>
      </c>
      <c r="V5756" s="3" t="str">
        <f>IF(Base_Periodo1[[#This Row],[Tipo_Linha]]="Fora do DRE","Fora do DRE","( "&amp;Base_Periodo1[[#This Row],[Tipo_Linha]]&amp;" ) "&amp;Base_Periodo1[[#This Row],[Filtro]])</f>
        <v>Fora do DRE</v>
      </c>
      <c r="W5756" s="3" t="str">
        <f>LEFT(Base_Periodo1[[#This Row],[CLASS]],3)</f>
        <v>2.4</v>
      </c>
    </row>
    <row r="5757" spans="1:23" hidden="1">
      <c r="A5757" s="3" t="str">
        <f t="shared" si="89"/>
        <v>Período 1</v>
      </c>
      <c r="B5757">
        <v>1674</v>
      </c>
      <c r="C5757" t="s">
        <v>3531</v>
      </c>
      <c r="D5757" t="s">
        <v>3532</v>
      </c>
      <c r="E5757" s="3" t="str">
        <f>IF(LEN(Base_Periodo1[[#This Row],[CLASS]])&gt;=7,LEFT(Base_Periodo1[[#This Row],[CLASS]],7),"")</f>
        <v/>
      </c>
      <c r="F5757" s="3" t="e">
        <f>VLOOKUP(Base_Periodo1[[#This Row],[Aux]],Base_Contas_Balanco[#All],2,FALSE)</f>
        <v>#N/A</v>
      </c>
      <c r="G5757" s="1"/>
      <c r="H5757" s="281">
        <v>2160829.240000105</v>
      </c>
      <c r="I5757" s="281">
        <v>9237776.2100000009</v>
      </c>
      <c r="J5757" s="281">
        <v>8500300</v>
      </c>
      <c r="K5757" s="281">
        <v>1423353.0300001036</v>
      </c>
      <c r="L575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1423353.03</v>
      </c>
      <c r="M5757" s="281">
        <f>ROUND(IF(AND(Base_Periodo1[[#This Row],[Tipo_Linha]]="-",Base_Periodo1[[#This Row],[TIPOSALDO]]="D"),Base_Periodo1[[#This Row],[SALDO_ATUAL]]*-1,Base_Periodo1[[#This Row],[SALDO_ATUAL]]),4)</f>
        <v>1423353.03</v>
      </c>
      <c r="N5757" t="s">
        <v>396</v>
      </c>
      <c r="O5757" t="s">
        <v>459</v>
      </c>
      <c r="P5757" t="s">
        <v>459</v>
      </c>
      <c r="Q5757">
        <v>2</v>
      </c>
      <c r="R5757" s="281">
        <f>Base_Periodo1[[#This Row],[CREDITOS]]-Base_Periodo1[[#This Row],[DEBITOS]]</f>
        <v>-737476.21000000089</v>
      </c>
      <c r="S5757" s="3" t="str">
        <f>IF(ISERROR(VLOOKUP(Base_Periodo1[[#This Row],[CONTA]],BaseContasDRE[#All],4,FALSE)),"Fora do DRE",VLOOKUP(Base_Periodo1[[#This Row],[CONTA]],BaseContasDRE[#All],4,FALSE))</f>
        <v>Fora do DRE</v>
      </c>
      <c r="T5757" s="3" t="str">
        <f>IF(ISERROR(VLOOKUP(Base_Periodo1[[#This Row],[CONTA]],BaseContasDRE[#All],5,FALSE)),"Fora do DRE",VLOOKUP(Base_Periodo1[[#This Row],[CONTA]],BaseContasDRE[#All],6,FALSE))</f>
        <v>Fora do DRE</v>
      </c>
      <c r="U5757" s="3" t="str">
        <f>IF(ISERROR(VLOOKUP(Base_Periodo1[[#This Row],[CONTA]],BaseContasDRE[#All],7,FALSE)),"Fora do DRE",VLOOKUP(Base_Periodo1[[#This Row],[CONTA]],BaseContasDRE[#All],7,FALSE))</f>
        <v>Fora do DRE</v>
      </c>
      <c r="V5757" s="3" t="str">
        <f>IF(Base_Periodo1[[#This Row],[Tipo_Linha]]="Fora do DRE","Fora do DRE","( "&amp;Base_Periodo1[[#This Row],[Tipo_Linha]]&amp;" ) "&amp;Base_Periodo1[[#This Row],[Filtro]])</f>
        <v>Fora do DRE</v>
      </c>
      <c r="W5757" s="3" t="str">
        <f>LEFT(Base_Periodo1[[#This Row],[CLASS]],3)</f>
        <v>2.5</v>
      </c>
    </row>
    <row r="5758" spans="1:23" hidden="1">
      <c r="A5758" s="3" t="str">
        <f t="shared" si="89"/>
        <v>Período 1</v>
      </c>
      <c r="B5758">
        <v>1675</v>
      </c>
      <c r="C5758" t="s">
        <v>3533</v>
      </c>
      <c r="D5758" t="s">
        <v>3534</v>
      </c>
      <c r="E5758" s="3" t="str">
        <f>IF(LEN(Base_Periodo1[[#This Row],[CLASS]])&gt;=7,LEFT(Base_Periodo1[[#This Row],[CLASS]],7),"")</f>
        <v/>
      </c>
      <c r="F5758" s="3" t="e">
        <f>VLOOKUP(Base_Periodo1[[#This Row],[Aux]],Base_Contas_Balanco[#All],2,FALSE)</f>
        <v>#N/A</v>
      </c>
      <c r="G5758" s="1"/>
      <c r="H5758" s="281">
        <v>2160829.240000105</v>
      </c>
      <c r="I5758" s="281">
        <v>9237776.2100000009</v>
      </c>
      <c r="J5758" s="281">
        <v>8500300</v>
      </c>
      <c r="K5758" s="281">
        <v>1423353.0300001036</v>
      </c>
      <c r="L575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1423353.03</v>
      </c>
      <c r="M5758" s="281">
        <f>ROUND(IF(AND(Base_Periodo1[[#This Row],[Tipo_Linha]]="-",Base_Periodo1[[#This Row],[TIPOSALDO]]="D"),Base_Periodo1[[#This Row],[SALDO_ATUAL]]*-1,Base_Periodo1[[#This Row],[SALDO_ATUAL]]),4)</f>
        <v>1423353.03</v>
      </c>
      <c r="N5758" t="s">
        <v>396</v>
      </c>
      <c r="O5758" t="s">
        <v>459</v>
      </c>
      <c r="P5758" t="s">
        <v>459</v>
      </c>
      <c r="Q5758">
        <v>3</v>
      </c>
      <c r="R5758" s="281">
        <f>Base_Periodo1[[#This Row],[CREDITOS]]-Base_Periodo1[[#This Row],[DEBITOS]]</f>
        <v>-737476.21000000089</v>
      </c>
      <c r="S5758" s="3" t="str">
        <f>IF(ISERROR(VLOOKUP(Base_Periodo1[[#This Row],[CONTA]],BaseContasDRE[#All],4,FALSE)),"Fora do DRE",VLOOKUP(Base_Periodo1[[#This Row],[CONTA]],BaseContasDRE[#All],4,FALSE))</f>
        <v>Fora do DRE</v>
      </c>
      <c r="T5758" s="3" t="str">
        <f>IF(ISERROR(VLOOKUP(Base_Periodo1[[#This Row],[CONTA]],BaseContasDRE[#All],5,FALSE)),"Fora do DRE",VLOOKUP(Base_Periodo1[[#This Row],[CONTA]],BaseContasDRE[#All],6,FALSE))</f>
        <v>Fora do DRE</v>
      </c>
      <c r="U5758" s="3" t="str">
        <f>IF(ISERROR(VLOOKUP(Base_Periodo1[[#This Row],[CONTA]],BaseContasDRE[#All],7,FALSE)),"Fora do DRE",VLOOKUP(Base_Periodo1[[#This Row],[CONTA]],BaseContasDRE[#All],7,FALSE))</f>
        <v>Fora do DRE</v>
      </c>
      <c r="V5758" s="3" t="str">
        <f>IF(Base_Periodo1[[#This Row],[Tipo_Linha]]="Fora do DRE","Fora do DRE","( "&amp;Base_Periodo1[[#This Row],[Tipo_Linha]]&amp;" ) "&amp;Base_Periodo1[[#This Row],[Filtro]])</f>
        <v>Fora do DRE</v>
      </c>
      <c r="W5758" s="3" t="str">
        <f>LEFT(Base_Periodo1[[#This Row],[CLASS]],3)</f>
        <v>2.5</v>
      </c>
    </row>
    <row r="5759" spans="1:23" hidden="1">
      <c r="A5759" s="3" t="str">
        <f t="shared" si="89"/>
        <v>Período 1</v>
      </c>
      <c r="B5759">
        <v>1676</v>
      </c>
      <c r="C5759" t="s">
        <v>3535</v>
      </c>
      <c r="D5759" t="s">
        <v>25</v>
      </c>
      <c r="E5759" s="3" t="str">
        <f>IF(LEN(Base_Periodo1[[#This Row],[CLASS]])&gt;=7,LEFT(Base_Periodo1[[#This Row],[CLASS]],7),"")</f>
        <v>2.5.1.1</v>
      </c>
      <c r="F5759" s="3" t="e">
        <f>VLOOKUP(Base_Periodo1[[#This Row],[Aux]],Base_Contas_Balanco[#All],2,FALSE)</f>
        <v>#N/A</v>
      </c>
      <c r="G5759" s="1"/>
      <c r="H5759" s="281">
        <v>1954360.6399999561</v>
      </c>
      <c r="I5759" s="281">
        <v>9213086</v>
      </c>
      <c r="J5759" s="281">
        <v>8500300</v>
      </c>
      <c r="K5759" s="281">
        <v>1241574.6399999559</v>
      </c>
      <c r="L575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1241574.6399999999</v>
      </c>
      <c r="M5759" s="281">
        <f>ROUND(IF(AND(Base_Periodo1[[#This Row],[Tipo_Linha]]="-",Base_Periodo1[[#This Row],[TIPOSALDO]]="D"),Base_Periodo1[[#This Row],[SALDO_ATUAL]]*-1,Base_Periodo1[[#This Row],[SALDO_ATUAL]]),4)</f>
        <v>1241574.6399999999</v>
      </c>
      <c r="N5759" t="s">
        <v>396</v>
      </c>
      <c r="O5759" t="s">
        <v>459</v>
      </c>
      <c r="P5759" t="s">
        <v>459</v>
      </c>
      <c r="Q5759">
        <v>4</v>
      </c>
      <c r="R5759" s="281">
        <f>Base_Periodo1[[#This Row],[CREDITOS]]-Base_Periodo1[[#This Row],[DEBITOS]]</f>
        <v>-712786</v>
      </c>
      <c r="S5759" s="3" t="str">
        <f>IF(ISERROR(VLOOKUP(Base_Periodo1[[#This Row],[CONTA]],BaseContasDRE[#All],4,FALSE)),"Fora do DRE",VLOOKUP(Base_Periodo1[[#This Row],[CONTA]],BaseContasDRE[#All],4,FALSE))</f>
        <v>Fora do DRE</v>
      </c>
      <c r="T5759" s="3" t="str">
        <f>IF(ISERROR(VLOOKUP(Base_Periodo1[[#This Row],[CONTA]],BaseContasDRE[#All],5,FALSE)),"Fora do DRE",VLOOKUP(Base_Periodo1[[#This Row],[CONTA]],BaseContasDRE[#All],6,FALSE))</f>
        <v>Fora do DRE</v>
      </c>
      <c r="U5759" s="3" t="str">
        <f>IF(ISERROR(VLOOKUP(Base_Periodo1[[#This Row],[CONTA]],BaseContasDRE[#All],7,FALSE)),"Fora do DRE",VLOOKUP(Base_Periodo1[[#This Row],[CONTA]],BaseContasDRE[#All],7,FALSE))</f>
        <v>Fora do DRE</v>
      </c>
      <c r="V5759" s="3" t="str">
        <f>IF(Base_Periodo1[[#This Row],[Tipo_Linha]]="Fora do DRE","Fora do DRE","( "&amp;Base_Periodo1[[#This Row],[Tipo_Linha]]&amp;" ) "&amp;Base_Periodo1[[#This Row],[Filtro]])</f>
        <v>Fora do DRE</v>
      </c>
      <c r="W5759" s="3" t="str">
        <f>LEFT(Base_Periodo1[[#This Row],[CLASS]],3)</f>
        <v>2.5</v>
      </c>
    </row>
    <row r="5760" spans="1:23" hidden="1">
      <c r="A5760" s="3" t="str">
        <f t="shared" si="89"/>
        <v>Período 1</v>
      </c>
      <c r="B5760">
        <v>1677</v>
      </c>
      <c r="C5760" t="s">
        <v>3536</v>
      </c>
      <c r="D5760" t="s">
        <v>1048</v>
      </c>
      <c r="E5760" s="3" t="str">
        <f>IF(LEN(Base_Periodo1[[#This Row],[CLASS]])&gt;=7,LEFT(Base_Periodo1[[#This Row],[CLASS]],7),"")</f>
        <v>2.5.1.1</v>
      </c>
      <c r="F5760" s="3" t="e">
        <f>VLOOKUP(Base_Periodo1[[#This Row],[Aux]],Base_Contas_Balanco[#All],2,FALSE)</f>
        <v>#N/A</v>
      </c>
      <c r="G5760" s="1"/>
      <c r="H5760" s="281">
        <v>1634454.6699999557</v>
      </c>
      <c r="I5760" s="281">
        <v>9213086</v>
      </c>
      <c r="J5760" s="281">
        <v>8500300</v>
      </c>
      <c r="K5760" s="281">
        <v>921668.66999995522</v>
      </c>
      <c r="L576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921668.67</v>
      </c>
      <c r="M5760" s="281">
        <f>ROUND(IF(AND(Base_Periodo1[[#This Row],[Tipo_Linha]]="-",Base_Periodo1[[#This Row],[TIPOSALDO]]="D"),Base_Periodo1[[#This Row],[SALDO_ATUAL]]*-1,Base_Periodo1[[#This Row],[SALDO_ATUAL]]),4)</f>
        <v>921668.67</v>
      </c>
      <c r="N5760" t="s">
        <v>396</v>
      </c>
      <c r="O5760" t="s">
        <v>459</v>
      </c>
      <c r="P5760" t="s">
        <v>459</v>
      </c>
      <c r="Q5760">
        <v>5</v>
      </c>
      <c r="R5760" s="281">
        <f>Base_Periodo1[[#This Row],[CREDITOS]]-Base_Periodo1[[#This Row],[DEBITOS]]</f>
        <v>-712786</v>
      </c>
      <c r="S5760" s="3" t="str">
        <f>IF(ISERROR(VLOOKUP(Base_Periodo1[[#This Row],[CONTA]],BaseContasDRE[#All],4,FALSE)),"Fora do DRE",VLOOKUP(Base_Periodo1[[#This Row],[CONTA]],BaseContasDRE[#All],4,FALSE))</f>
        <v>Fora do DRE</v>
      </c>
      <c r="T5760" s="3" t="str">
        <f>IF(ISERROR(VLOOKUP(Base_Periodo1[[#This Row],[CONTA]],BaseContasDRE[#All],5,FALSE)),"Fora do DRE",VLOOKUP(Base_Periodo1[[#This Row],[CONTA]],BaseContasDRE[#All],6,FALSE))</f>
        <v>Fora do DRE</v>
      </c>
      <c r="U5760" s="3" t="str">
        <f>IF(ISERROR(VLOOKUP(Base_Periodo1[[#This Row],[CONTA]],BaseContasDRE[#All],7,FALSE)),"Fora do DRE",VLOOKUP(Base_Periodo1[[#This Row],[CONTA]],BaseContasDRE[#All],7,FALSE))</f>
        <v>Fora do DRE</v>
      </c>
      <c r="V5760" s="3" t="str">
        <f>IF(Base_Periodo1[[#This Row],[Tipo_Linha]]="Fora do DRE","Fora do DRE","( "&amp;Base_Periodo1[[#This Row],[Tipo_Linha]]&amp;" ) "&amp;Base_Periodo1[[#This Row],[Filtro]])</f>
        <v>Fora do DRE</v>
      </c>
      <c r="W5760" s="3" t="str">
        <f>LEFT(Base_Periodo1[[#This Row],[CLASS]],3)</f>
        <v>2.5</v>
      </c>
    </row>
    <row r="5761" spans="1:23" hidden="1">
      <c r="A5761" s="3" t="str">
        <f t="shared" si="89"/>
        <v>Período 1</v>
      </c>
      <c r="B5761">
        <v>1678</v>
      </c>
      <c r="C5761" t="s">
        <v>3537</v>
      </c>
      <c r="D5761" t="s">
        <v>1050</v>
      </c>
      <c r="E5761" s="3" t="str">
        <f>IF(LEN(Base_Periodo1[[#This Row],[CLASS]])&gt;=7,LEFT(Base_Periodo1[[#This Row],[CLASS]],7),"")</f>
        <v>2.5.1.1</v>
      </c>
      <c r="F5761" s="3" t="e">
        <f>VLOOKUP(Base_Periodo1[[#This Row],[Aux]],Base_Contas_Balanco[#All],2,FALSE)</f>
        <v>#N/A</v>
      </c>
      <c r="G5761" s="1"/>
      <c r="H5761" s="281">
        <v>1634454.6699999557</v>
      </c>
      <c r="I5761" s="281">
        <v>9213086</v>
      </c>
      <c r="J5761" s="281">
        <v>8500300</v>
      </c>
      <c r="K5761" s="281">
        <v>921668.66999995522</v>
      </c>
      <c r="L576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921668.67</v>
      </c>
      <c r="M5761" s="281">
        <f>ROUND(IF(AND(Base_Periodo1[[#This Row],[Tipo_Linha]]="-",Base_Periodo1[[#This Row],[TIPOSALDO]]="D"),Base_Periodo1[[#This Row],[SALDO_ATUAL]]*-1,Base_Periodo1[[#This Row],[SALDO_ATUAL]]),4)</f>
        <v>921668.67</v>
      </c>
      <c r="N5761" t="s">
        <v>396</v>
      </c>
      <c r="O5761" t="s">
        <v>459</v>
      </c>
      <c r="P5761" t="s">
        <v>459</v>
      </c>
      <c r="Q5761">
        <v>6</v>
      </c>
      <c r="R5761" s="281">
        <f>Base_Periodo1[[#This Row],[CREDITOS]]-Base_Periodo1[[#This Row],[DEBITOS]]</f>
        <v>-712786</v>
      </c>
      <c r="S5761" s="3" t="str">
        <f>IF(ISERROR(VLOOKUP(Base_Periodo1[[#This Row],[CONTA]],BaseContasDRE[#All],4,FALSE)),"Fora do DRE",VLOOKUP(Base_Periodo1[[#This Row],[CONTA]],BaseContasDRE[#All],4,FALSE))</f>
        <v>Fora do DRE</v>
      </c>
      <c r="T5761" s="3" t="str">
        <f>IF(ISERROR(VLOOKUP(Base_Periodo1[[#This Row],[CONTA]],BaseContasDRE[#All],5,FALSE)),"Fora do DRE",VLOOKUP(Base_Periodo1[[#This Row],[CONTA]],BaseContasDRE[#All],6,FALSE))</f>
        <v>Fora do DRE</v>
      </c>
      <c r="U5761" s="3" t="str">
        <f>IF(ISERROR(VLOOKUP(Base_Periodo1[[#This Row],[CONTA]],BaseContasDRE[#All],7,FALSE)),"Fora do DRE",VLOOKUP(Base_Periodo1[[#This Row],[CONTA]],BaseContasDRE[#All],7,FALSE))</f>
        <v>Fora do DRE</v>
      </c>
      <c r="V5761" s="3" t="str">
        <f>IF(Base_Periodo1[[#This Row],[Tipo_Linha]]="Fora do DRE","Fora do DRE","( "&amp;Base_Periodo1[[#This Row],[Tipo_Linha]]&amp;" ) "&amp;Base_Periodo1[[#This Row],[Filtro]])</f>
        <v>Fora do DRE</v>
      </c>
      <c r="W5761" s="3" t="str">
        <f>LEFT(Base_Periodo1[[#This Row],[CLASS]],3)</f>
        <v>2.5</v>
      </c>
    </row>
    <row r="5762" spans="1:23" hidden="1">
      <c r="A5762" s="3" t="str">
        <f t="shared" si="89"/>
        <v>Período 1</v>
      </c>
      <c r="B5762">
        <v>1679</v>
      </c>
      <c r="C5762" t="s">
        <v>3538</v>
      </c>
      <c r="D5762" t="s">
        <v>1052</v>
      </c>
      <c r="E5762" s="3" t="str">
        <f>IF(LEN(Base_Periodo1[[#This Row],[CLASS]])&gt;=7,LEFT(Base_Periodo1[[#This Row],[CLASS]],7),"")</f>
        <v>2.5.1.1</v>
      </c>
      <c r="F5762" s="3" t="e">
        <f>VLOOKUP(Base_Periodo1[[#This Row],[Aux]],Base_Contas_Balanco[#All],2,FALSE)</f>
        <v>#N/A</v>
      </c>
      <c r="G5762" s="1"/>
      <c r="H5762" s="281">
        <v>1634454.6699999571</v>
      </c>
      <c r="I5762" s="281">
        <v>9213086</v>
      </c>
      <c r="J5762" s="281">
        <v>8500300</v>
      </c>
      <c r="K5762" s="281">
        <v>921668.66999995708</v>
      </c>
      <c r="L576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921668.67</v>
      </c>
      <c r="M5762" s="281">
        <f>ROUND(IF(AND(Base_Periodo1[[#This Row],[Tipo_Linha]]="-",Base_Periodo1[[#This Row],[TIPOSALDO]]="D"),Base_Periodo1[[#This Row],[SALDO_ATUAL]]*-1,Base_Periodo1[[#This Row],[SALDO_ATUAL]]),4)</f>
        <v>921668.67</v>
      </c>
      <c r="N5762" t="s">
        <v>396</v>
      </c>
      <c r="O5762" t="s">
        <v>459</v>
      </c>
      <c r="P5762" t="s">
        <v>459</v>
      </c>
      <c r="Q5762">
        <v>7</v>
      </c>
      <c r="R5762" s="281">
        <f>Base_Periodo1[[#This Row],[CREDITOS]]-Base_Periodo1[[#This Row],[DEBITOS]]</f>
        <v>-712786</v>
      </c>
      <c r="S5762" s="3" t="str">
        <f>IF(ISERROR(VLOOKUP(Base_Periodo1[[#This Row],[CONTA]],BaseContasDRE[#All],4,FALSE)),"Fora do DRE",VLOOKUP(Base_Periodo1[[#This Row],[CONTA]],BaseContasDRE[#All],4,FALSE))</f>
        <v>Fora do DRE</v>
      </c>
      <c r="T5762" s="3" t="str">
        <f>IF(ISERROR(VLOOKUP(Base_Periodo1[[#This Row],[CONTA]],BaseContasDRE[#All],5,FALSE)),"Fora do DRE",VLOOKUP(Base_Periodo1[[#This Row],[CONTA]],BaseContasDRE[#All],6,FALSE))</f>
        <v>Fora do DRE</v>
      </c>
      <c r="U5762" s="3" t="str">
        <f>IF(ISERROR(VLOOKUP(Base_Periodo1[[#This Row],[CONTA]],BaseContasDRE[#All],7,FALSE)),"Fora do DRE",VLOOKUP(Base_Periodo1[[#This Row],[CONTA]],BaseContasDRE[#All],7,FALSE))</f>
        <v>Fora do DRE</v>
      </c>
      <c r="V5762" s="3" t="str">
        <f>IF(Base_Periodo1[[#This Row],[Tipo_Linha]]="Fora do DRE","Fora do DRE","( "&amp;Base_Periodo1[[#This Row],[Tipo_Linha]]&amp;" ) "&amp;Base_Periodo1[[#This Row],[Filtro]])</f>
        <v>Fora do DRE</v>
      </c>
      <c r="W5762" s="3" t="str">
        <f>LEFT(Base_Periodo1[[#This Row],[CLASS]],3)</f>
        <v>2.5</v>
      </c>
    </row>
    <row r="5763" spans="1:23" hidden="1">
      <c r="A5763" s="3" t="str">
        <f t="shared" si="89"/>
        <v>Período 1</v>
      </c>
      <c r="B5763">
        <v>1680</v>
      </c>
      <c r="C5763" t="s">
        <v>6014</v>
      </c>
      <c r="D5763" t="s">
        <v>3539</v>
      </c>
      <c r="E5763" s="3" t="str">
        <f>IF(LEN(Base_Periodo1[[#This Row],[CLASS]])&gt;=7,LEFT(Base_Periodo1[[#This Row],[CLASS]],7),"")</f>
        <v>2.5.1.1</v>
      </c>
      <c r="F5763" s="3" t="e">
        <f>VLOOKUP(Base_Periodo1[[#This Row],[Aux]],Base_Contas_Balanco[#All],2,FALSE)</f>
        <v>#N/A</v>
      </c>
      <c r="G5763" s="1">
        <v>42873</v>
      </c>
      <c r="H5763" s="281">
        <v>570000</v>
      </c>
      <c r="I5763" s="281">
        <v>2570000</v>
      </c>
      <c r="J5763" s="281">
        <v>2000000</v>
      </c>
      <c r="K5763" s="281">
        <v>0</v>
      </c>
      <c r="L576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5763" s="281">
        <f>ROUND(IF(AND(Base_Periodo1[[#This Row],[Tipo_Linha]]="-",Base_Periodo1[[#This Row],[TIPOSALDO]]="D"),Base_Periodo1[[#This Row],[SALDO_ATUAL]]*-1,Base_Periodo1[[#This Row],[SALDO_ATUAL]]),4)</f>
        <v>0</v>
      </c>
      <c r="N5763" t="s">
        <v>116</v>
      </c>
      <c r="O5763" t="s">
        <v>459</v>
      </c>
      <c r="P5763" t="s">
        <v>436</v>
      </c>
      <c r="Q5763">
        <v>8</v>
      </c>
      <c r="R5763" s="281">
        <f>Base_Periodo1[[#This Row],[CREDITOS]]-Base_Periodo1[[#This Row],[DEBITOS]]</f>
        <v>-570000</v>
      </c>
      <c r="S5763" s="3" t="str">
        <f>IF(ISERROR(VLOOKUP(Base_Periodo1[[#This Row],[CONTA]],BaseContasDRE[#All],4,FALSE)),"Fora do DRE",VLOOKUP(Base_Periodo1[[#This Row],[CONTA]],BaseContasDRE[#All],4,FALSE))</f>
        <v>Fora do DRE</v>
      </c>
      <c r="T5763" s="3" t="str">
        <f>IF(ISERROR(VLOOKUP(Base_Periodo1[[#This Row],[CONTA]],BaseContasDRE[#All],5,FALSE)),"Fora do DRE",VLOOKUP(Base_Periodo1[[#This Row],[CONTA]],BaseContasDRE[#All],6,FALSE))</f>
        <v>Fora do DRE</v>
      </c>
      <c r="U5763" s="3" t="str">
        <f>IF(ISERROR(VLOOKUP(Base_Periodo1[[#This Row],[CONTA]],BaseContasDRE[#All],7,FALSE)),"Fora do DRE",VLOOKUP(Base_Periodo1[[#This Row],[CONTA]],BaseContasDRE[#All],7,FALSE))</f>
        <v>Fora do DRE</v>
      </c>
      <c r="V5763" s="3" t="str">
        <f>IF(Base_Periodo1[[#This Row],[Tipo_Linha]]="Fora do DRE","Fora do DRE","( "&amp;Base_Periodo1[[#This Row],[Tipo_Linha]]&amp;" ) "&amp;Base_Periodo1[[#This Row],[Filtro]])</f>
        <v>Fora do DRE</v>
      </c>
      <c r="W5763" s="3" t="str">
        <f>LEFT(Base_Periodo1[[#This Row],[CLASS]],3)</f>
        <v>2.5</v>
      </c>
    </row>
    <row r="5764" spans="1:23" hidden="1">
      <c r="A5764" s="3" t="str">
        <f t="shared" si="89"/>
        <v>Período 1</v>
      </c>
      <c r="B5764">
        <v>1682</v>
      </c>
      <c r="C5764" t="s">
        <v>3540</v>
      </c>
      <c r="D5764" t="s">
        <v>3541</v>
      </c>
      <c r="E5764" s="3" t="str">
        <f>IF(LEN(Base_Periodo1[[#This Row],[CLASS]])&gt;=7,LEFT(Base_Periodo1[[#This Row],[CLASS]],7),"")</f>
        <v>2.5.1.1</v>
      </c>
      <c r="F5764" s="3" t="e">
        <f>VLOOKUP(Base_Periodo1[[#This Row],[Aux]],Base_Contas_Balanco[#All],2,FALSE)</f>
        <v>#N/A</v>
      </c>
      <c r="G5764" s="1">
        <v>42885</v>
      </c>
      <c r="H5764" s="281">
        <v>1052136.6699999571</v>
      </c>
      <c r="I5764" s="281">
        <v>6643086</v>
      </c>
      <c r="J5764" s="281">
        <v>6500300</v>
      </c>
      <c r="K5764" s="281">
        <v>909350.66999995708</v>
      </c>
      <c r="L576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909350.67</v>
      </c>
      <c r="M5764" s="281">
        <f>ROUND(IF(AND(Base_Periodo1[[#This Row],[Tipo_Linha]]="-",Base_Periodo1[[#This Row],[TIPOSALDO]]="D"),Base_Periodo1[[#This Row],[SALDO_ATUAL]]*-1,Base_Periodo1[[#This Row],[SALDO_ATUAL]]),4)</f>
        <v>909350.67</v>
      </c>
      <c r="N5764" t="s">
        <v>116</v>
      </c>
      <c r="O5764" t="s">
        <v>459</v>
      </c>
      <c r="P5764" t="s">
        <v>459</v>
      </c>
      <c r="Q5764">
        <v>8</v>
      </c>
      <c r="R5764" s="281">
        <f>Base_Periodo1[[#This Row],[CREDITOS]]-Base_Periodo1[[#This Row],[DEBITOS]]</f>
        <v>-142786</v>
      </c>
      <c r="S5764" s="3" t="str">
        <f>IF(ISERROR(VLOOKUP(Base_Periodo1[[#This Row],[CONTA]],BaseContasDRE[#All],4,FALSE)),"Fora do DRE",VLOOKUP(Base_Periodo1[[#This Row],[CONTA]],BaseContasDRE[#All],4,FALSE))</f>
        <v>Fora do DRE</v>
      </c>
      <c r="T5764" s="3" t="str">
        <f>IF(ISERROR(VLOOKUP(Base_Periodo1[[#This Row],[CONTA]],BaseContasDRE[#All],5,FALSE)),"Fora do DRE",VLOOKUP(Base_Periodo1[[#This Row],[CONTA]],BaseContasDRE[#All],6,FALSE))</f>
        <v>Fora do DRE</v>
      </c>
      <c r="U5764" s="3" t="str">
        <f>IF(ISERROR(VLOOKUP(Base_Periodo1[[#This Row],[CONTA]],BaseContasDRE[#All],7,FALSE)),"Fora do DRE",VLOOKUP(Base_Periodo1[[#This Row],[CONTA]],BaseContasDRE[#All],7,FALSE))</f>
        <v>Fora do DRE</v>
      </c>
      <c r="V5764" s="3" t="str">
        <f>IF(Base_Periodo1[[#This Row],[Tipo_Linha]]="Fora do DRE","Fora do DRE","( "&amp;Base_Periodo1[[#This Row],[Tipo_Linha]]&amp;" ) "&amp;Base_Periodo1[[#This Row],[Filtro]])</f>
        <v>Fora do DRE</v>
      </c>
      <c r="W5764" s="3" t="str">
        <f>LEFT(Base_Periodo1[[#This Row],[CLASS]],3)</f>
        <v>2.5</v>
      </c>
    </row>
    <row r="5765" spans="1:23" hidden="1">
      <c r="A5765" s="3" t="str">
        <f t="shared" si="89"/>
        <v>Período 1</v>
      </c>
      <c r="B5765">
        <v>33803</v>
      </c>
      <c r="C5765" t="s">
        <v>3542</v>
      </c>
      <c r="D5765" t="s">
        <v>3543</v>
      </c>
      <c r="E5765" s="3" t="str">
        <f>IF(LEN(Base_Periodo1[[#This Row],[CLASS]])&gt;=7,LEFT(Base_Periodo1[[#This Row],[CLASS]],7),"")</f>
        <v>2.5.1.1</v>
      </c>
      <c r="F5765" s="3" t="e">
        <f>VLOOKUP(Base_Periodo1[[#This Row],[Aux]],Base_Contas_Balanco[#All],2,FALSE)</f>
        <v>#N/A</v>
      </c>
      <c r="G5765" s="1">
        <v>42636</v>
      </c>
      <c r="H5765" s="281">
        <v>12318</v>
      </c>
      <c r="I5765" s="281">
        <v>0</v>
      </c>
      <c r="J5765" s="281">
        <v>0</v>
      </c>
      <c r="K5765" s="281">
        <v>12318</v>
      </c>
      <c r="L576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12318</v>
      </c>
      <c r="M5765" s="281">
        <f>ROUND(IF(AND(Base_Periodo1[[#This Row],[Tipo_Linha]]="-",Base_Periodo1[[#This Row],[TIPOSALDO]]="D"),Base_Periodo1[[#This Row],[SALDO_ATUAL]]*-1,Base_Periodo1[[#This Row],[SALDO_ATUAL]]),4)</f>
        <v>12318</v>
      </c>
      <c r="N5765" t="s">
        <v>116</v>
      </c>
      <c r="O5765" t="s">
        <v>459</v>
      </c>
      <c r="P5765" t="s">
        <v>459</v>
      </c>
      <c r="Q5765">
        <v>8</v>
      </c>
      <c r="R5765" s="281">
        <f>Base_Periodo1[[#This Row],[CREDITOS]]-Base_Periodo1[[#This Row],[DEBITOS]]</f>
        <v>0</v>
      </c>
      <c r="S5765" s="3" t="str">
        <f>IF(ISERROR(VLOOKUP(Base_Periodo1[[#This Row],[CONTA]],BaseContasDRE[#All],4,FALSE)),"Fora do DRE",VLOOKUP(Base_Periodo1[[#This Row],[CONTA]],BaseContasDRE[#All],4,FALSE))</f>
        <v>Fora do DRE</v>
      </c>
      <c r="T5765" s="3" t="str">
        <f>IF(ISERROR(VLOOKUP(Base_Periodo1[[#This Row],[CONTA]],BaseContasDRE[#All],5,FALSE)),"Fora do DRE",VLOOKUP(Base_Periodo1[[#This Row],[CONTA]],BaseContasDRE[#All],6,FALSE))</f>
        <v>Fora do DRE</v>
      </c>
      <c r="U5765" s="3" t="str">
        <f>IF(ISERROR(VLOOKUP(Base_Periodo1[[#This Row],[CONTA]],BaseContasDRE[#All],7,FALSE)),"Fora do DRE",VLOOKUP(Base_Periodo1[[#This Row],[CONTA]],BaseContasDRE[#All],7,FALSE))</f>
        <v>Fora do DRE</v>
      </c>
      <c r="V5765" s="3" t="str">
        <f>IF(Base_Periodo1[[#This Row],[Tipo_Linha]]="Fora do DRE","Fora do DRE","( "&amp;Base_Periodo1[[#This Row],[Tipo_Linha]]&amp;" ) "&amp;Base_Periodo1[[#This Row],[Filtro]])</f>
        <v>Fora do DRE</v>
      </c>
      <c r="W5765" s="3" t="str">
        <f>LEFT(Base_Periodo1[[#This Row],[CLASS]],3)</f>
        <v>2.5</v>
      </c>
    </row>
    <row r="5766" spans="1:23" hidden="1">
      <c r="A5766" s="3" t="str">
        <f t="shared" ref="A5766:A5829" si="90">"Período 1"</f>
        <v>Período 1</v>
      </c>
      <c r="B5766">
        <v>1695</v>
      </c>
      <c r="C5766" t="s">
        <v>3544</v>
      </c>
      <c r="D5766" t="s">
        <v>1152</v>
      </c>
      <c r="E5766" s="3" t="str">
        <f>IF(LEN(Base_Periodo1[[#This Row],[CLASS]])&gt;=7,LEFT(Base_Periodo1[[#This Row],[CLASS]],7),"")</f>
        <v>2.5.1.1</v>
      </c>
      <c r="F5766" s="3" t="e">
        <f>VLOOKUP(Base_Periodo1[[#This Row],[Aux]],Base_Contas_Balanco[#All],2,FALSE)</f>
        <v>#N/A</v>
      </c>
      <c r="G5766" s="1"/>
      <c r="H5766" s="281">
        <v>318132.84000000043</v>
      </c>
      <c r="I5766" s="281">
        <v>0</v>
      </c>
      <c r="J5766" s="281">
        <v>0</v>
      </c>
      <c r="K5766" s="281">
        <v>318132.84000000043</v>
      </c>
      <c r="L576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318132.84000000003</v>
      </c>
      <c r="M5766" s="281">
        <f>ROUND(IF(AND(Base_Periodo1[[#This Row],[Tipo_Linha]]="-",Base_Periodo1[[#This Row],[TIPOSALDO]]="D"),Base_Periodo1[[#This Row],[SALDO_ATUAL]]*-1,Base_Periodo1[[#This Row],[SALDO_ATUAL]]),4)</f>
        <v>318132.84000000003</v>
      </c>
      <c r="N5766" t="s">
        <v>396</v>
      </c>
      <c r="O5766" t="s">
        <v>459</v>
      </c>
      <c r="P5766" t="s">
        <v>459</v>
      </c>
      <c r="Q5766">
        <v>5</v>
      </c>
      <c r="R5766" s="281">
        <f>Base_Periodo1[[#This Row],[CREDITOS]]-Base_Periodo1[[#This Row],[DEBITOS]]</f>
        <v>0</v>
      </c>
      <c r="S5766" s="3" t="str">
        <f>IF(ISERROR(VLOOKUP(Base_Periodo1[[#This Row],[CONTA]],BaseContasDRE[#All],4,FALSE)),"Fora do DRE",VLOOKUP(Base_Periodo1[[#This Row],[CONTA]],BaseContasDRE[#All],4,FALSE))</f>
        <v>Fora do DRE</v>
      </c>
      <c r="T5766" s="3" t="str">
        <f>IF(ISERROR(VLOOKUP(Base_Periodo1[[#This Row],[CONTA]],BaseContasDRE[#All],5,FALSE)),"Fora do DRE",VLOOKUP(Base_Periodo1[[#This Row],[CONTA]],BaseContasDRE[#All],6,FALSE))</f>
        <v>Fora do DRE</v>
      </c>
      <c r="U5766" s="3" t="str">
        <f>IF(ISERROR(VLOOKUP(Base_Periodo1[[#This Row],[CONTA]],BaseContasDRE[#All],7,FALSE)),"Fora do DRE",VLOOKUP(Base_Periodo1[[#This Row],[CONTA]],BaseContasDRE[#All],7,FALSE))</f>
        <v>Fora do DRE</v>
      </c>
      <c r="V5766" s="3" t="str">
        <f>IF(Base_Periodo1[[#This Row],[Tipo_Linha]]="Fora do DRE","Fora do DRE","( "&amp;Base_Periodo1[[#This Row],[Tipo_Linha]]&amp;" ) "&amp;Base_Periodo1[[#This Row],[Filtro]])</f>
        <v>Fora do DRE</v>
      </c>
      <c r="W5766" s="3" t="str">
        <f>LEFT(Base_Periodo1[[#This Row],[CLASS]],3)</f>
        <v>2.5</v>
      </c>
    </row>
    <row r="5767" spans="1:23" hidden="1">
      <c r="A5767" s="3" t="str">
        <f t="shared" si="90"/>
        <v>Período 1</v>
      </c>
      <c r="B5767">
        <v>1696</v>
      </c>
      <c r="C5767" t="s">
        <v>3545</v>
      </c>
      <c r="D5767" t="s">
        <v>1154</v>
      </c>
      <c r="E5767" s="3" t="str">
        <f>IF(LEN(Base_Periodo1[[#This Row],[CLASS]])&gt;=7,LEFT(Base_Periodo1[[#This Row],[CLASS]],7),"")</f>
        <v>2.5.1.1</v>
      </c>
      <c r="F5767" s="3" t="e">
        <f>VLOOKUP(Base_Periodo1[[#This Row],[Aux]],Base_Contas_Balanco[#All],2,FALSE)</f>
        <v>#N/A</v>
      </c>
      <c r="G5767" s="1"/>
      <c r="H5767" s="281">
        <v>132511.24999999945</v>
      </c>
      <c r="I5767" s="281">
        <v>0</v>
      </c>
      <c r="J5767" s="281">
        <v>0</v>
      </c>
      <c r="K5767" s="281">
        <v>132511.24999999945</v>
      </c>
      <c r="L576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132511.25</v>
      </c>
      <c r="M5767" s="281">
        <f>ROUND(IF(AND(Base_Periodo1[[#This Row],[Tipo_Linha]]="-",Base_Periodo1[[#This Row],[TIPOSALDO]]="D"),Base_Periodo1[[#This Row],[SALDO_ATUAL]]*-1,Base_Periodo1[[#This Row],[SALDO_ATUAL]]),4)</f>
        <v>132511.25</v>
      </c>
      <c r="N5767" t="s">
        <v>396</v>
      </c>
      <c r="O5767" t="s">
        <v>459</v>
      </c>
      <c r="P5767" t="s">
        <v>459</v>
      </c>
      <c r="Q5767">
        <v>6</v>
      </c>
      <c r="R5767" s="281">
        <f>Base_Periodo1[[#This Row],[CREDITOS]]-Base_Periodo1[[#This Row],[DEBITOS]]</f>
        <v>0</v>
      </c>
      <c r="S5767" s="3" t="str">
        <f>IF(ISERROR(VLOOKUP(Base_Periodo1[[#This Row],[CONTA]],BaseContasDRE[#All],4,FALSE)),"Fora do DRE",VLOOKUP(Base_Periodo1[[#This Row],[CONTA]],BaseContasDRE[#All],4,FALSE))</f>
        <v>Fora do DRE</v>
      </c>
      <c r="T5767" s="3" t="str">
        <f>IF(ISERROR(VLOOKUP(Base_Periodo1[[#This Row],[CONTA]],BaseContasDRE[#All],5,FALSE)),"Fora do DRE",VLOOKUP(Base_Periodo1[[#This Row],[CONTA]],BaseContasDRE[#All],6,FALSE))</f>
        <v>Fora do DRE</v>
      </c>
      <c r="U5767" s="3" t="str">
        <f>IF(ISERROR(VLOOKUP(Base_Periodo1[[#This Row],[CONTA]],BaseContasDRE[#All],7,FALSE)),"Fora do DRE",VLOOKUP(Base_Periodo1[[#This Row],[CONTA]],BaseContasDRE[#All],7,FALSE))</f>
        <v>Fora do DRE</v>
      </c>
      <c r="V5767" s="3" t="str">
        <f>IF(Base_Periodo1[[#This Row],[Tipo_Linha]]="Fora do DRE","Fora do DRE","( "&amp;Base_Periodo1[[#This Row],[Tipo_Linha]]&amp;" ) "&amp;Base_Periodo1[[#This Row],[Filtro]])</f>
        <v>Fora do DRE</v>
      </c>
      <c r="W5767" s="3" t="str">
        <f>LEFT(Base_Periodo1[[#This Row],[CLASS]],3)</f>
        <v>2.5</v>
      </c>
    </row>
    <row r="5768" spans="1:23" hidden="1">
      <c r="A5768" s="3" t="str">
        <f t="shared" si="90"/>
        <v>Período 1</v>
      </c>
      <c r="B5768">
        <v>1697</v>
      </c>
      <c r="C5768" t="s">
        <v>5461</v>
      </c>
      <c r="D5768" t="s">
        <v>1156</v>
      </c>
      <c r="E5768" s="3" t="str">
        <f>IF(LEN(Base_Periodo1[[#This Row],[CLASS]])&gt;=7,LEFT(Base_Periodo1[[#This Row],[CLASS]],7),"")</f>
        <v>2.5.1.1</v>
      </c>
      <c r="F5768" s="3" t="e">
        <f>VLOOKUP(Base_Periodo1[[#This Row],[Aux]],Base_Contas_Balanco[#All],2,FALSE)</f>
        <v>#N/A</v>
      </c>
      <c r="G5768" s="1"/>
      <c r="H5768" s="281">
        <v>46538.239999999998</v>
      </c>
      <c r="I5768" s="281">
        <v>0</v>
      </c>
      <c r="J5768" s="281">
        <v>0</v>
      </c>
      <c r="K5768" s="281">
        <v>46538.239999999998</v>
      </c>
      <c r="L576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46538.239999999998</v>
      </c>
      <c r="M5768" s="281">
        <f>ROUND(IF(AND(Base_Periodo1[[#This Row],[Tipo_Linha]]="-",Base_Periodo1[[#This Row],[TIPOSALDO]]="D"),Base_Periodo1[[#This Row],[SALDO_ATUAL]]*-1,Base_Periodo1[[#This Row],[SALDO_ATUAL]]),4)</f>
        <v>46538.239999999998</v>
      </c>
      <c r="N5768" t="s">
        <v>396</v>
      </c>
      <c r="O5768" t="s">
        <v>459</v>
      </c>
      <c r="P5768" t="s">
        <v>459</v>
      </c>
      <c r="Q5768">
        <v>7</v>
      </c>
      <c r="R5768" s="281">
        <f>Base_Periodo1[[#This Row],[CREDITOS]]-Base_Periodo1[[#This Row],[DEBITOS]]</f>
        <v>0</v>
      </c>
      <c r="S5768" s="3" t="str">
        <f>IF(ISERROR(VLOOKUP(Base_Periodo1[[#This Row],[CONTA]],BaseContasDRE[#All],4,FALSE)),"Fora do DRE",VLOOKUP(Base_Periodo1[[#This Row],[CONTA]],BaseContasDRE[#All],4,FALSE))</f>
        <v>Fora do DRE</v>
      </c>
      <c r="T5768" s="3" t="str">
        <f>IF(ISERROR(VLOOKUP(Base_Periodo1[[#This Row],[CONTA]],BaseContasDRE[#All],5,FALSE)),"Fora do DRE",VLOOKUP(Base_Periodo1[[#This Row],[CONTA]],BaseContasDRE[#All],6,FALSE))</f>
        <v>Fora do DRE</v>
      </c>
      <c r="U5768" s="3" t="str">
        <f>IF(ISERROR(VLOOKUP(Base_Periodo1[[#This Row],[CONTA]],BaseContasDRE[#All],7,FALSE)),"Fora do DRE",VLOOKUP(Base_Periodo1[[#This Row],[CONTA]],BaseContasDRE[#All],7,FALSE))</f>
        <v>Fora do DRE</v>
      </c>
      <c r="V5768" s="3" t="str">
        <f>IF(Base_Periodo1[[#This Row],[Tipo_Linha]]="Fora do DRE","Fora do DRE","( "&amp;Base_Periodo1[[#This Row],[Tipo_Linha]]&amp;" ) "&amp;Base_Periodo1[[#This Row],[Filtro]])</f>
        <v>Fora do DRE</v>
      </c>
      <c r="W5768" s="3" t="str">
        <f>LEFT(Base_Periodo1[[#This Row],[CLASS]],3)</f>
        <v>2.5</v>
      </c>
    </row>
    <row r="5769" spans="1:23" hidden="1">
      <c r="A5769" s="3" t="str">
        <f t="shared" si="90"/>
        <v>Período 1</v>
      </c>
      <c r="B5769">
        <v>1699</v>
      </c>
      <c r="C5769" t="s">
        <v>5462</v>
      </c>
      <c r="D5769" t="s">
        <v>4384</v>
      </c>
      <c r="E5769" s="3" t="str">
        <f>IF(LEN(Base_Periodo1[[#This Row],[CLASS]])&gt;=7,LEFT(Base_Periodo1[[#This Row],[CLASS]],7),"")</f>
        <v>2.5.1.1</v>
      </c>
      <c r="F5769" s="3" t="e">
        <f>VLOOKUP(Base_Periodo1[[#This Row],[Aux]],Base_Contas_Balanco[#All],2,FALSE)</f>
        <v>#N/A</v>
      </c>
      <c r="G5769" s="1">
        <v>42801</v>
      </c>
      <c r="H5769" s="281">
        <v>46538.239999999998</v>
      </c>
      <c r="I5769" s="281">
        <v>0</v>
      </c>
      <c r="J5769" s="281">
        <v>0</v>
      </c>
      <c r="K5769" s="281">
        <v>46538.239999999998</v>
      </c>
      <c r="L576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46538.239999999998</v>
      </c>
      <c r="M5769" s="281">
        <f>ROUND(IF(AND(Base_Periodo1[[#This Row],[Tipo_Linha]]="-",Base_Periodo1[[#This Row],[TIPOSALDO]]="D"),Base_Periodo1[[#This Row],[SALDO_ATUAL]]*-1,Base_Periodo1[[#This Row],[SALDO_ATUAL]]),4)</f>
        <v>46538.239999999998</v>
      </c>
      <c r="N5769" t="s">
        <v>116</v>
      </c>
      <c r="O5769" t="s">
        <v>459</v>
      </c>
      <c r="P5769" t="s">
        <v>459</v>
      </c>
      <c r="Q5769">
        <v>8</v>
      </c>
      <c r="R5769" s="281">
        <f>Base_Periodo1[[#This Row],[CREDITOS]]-Base_Periodo1[[#This Row],[DEBITOS]]</f>
        <v>0</v>
      </c>
      <c r="S5769" s="3" t="str">
        <f>IF(ISERROR(VLOOKUP(Base_Periodo1[[#This Row],[CONTA]],BaseContasDRE[#All],4,FALSE)),"Fora do DRE",VLOOKUP(Base_Periodo1[[#This Row],[CONTA]],BaseContasDRE[#All],4,FALSE))</f>
        <v>Fora do DRE</v>
      </c>
      <c r="T5769" s="3" t="str">
        <f>IF(ISERROR(VLOOKUP(Base_Periodo1[[#This Row],[CONTA]],BaseContasDRE[#All],5,FALSE)),"Fora do DRE",VLOOKUP(Base_Periodo1[[#This Row],[CONTA]],BaseContasDRE[#All],6,FALSE))</f>
        <v>Fora do DRE</v>
      </c>
      <c r="U5769" s="3" t="str">
        <f>IF(ISERROR(VLOOKUP(Base_Periodo1[[#This Row],[CONTA]],BaseContasDRE[#All],7,FALSE)),"Fora do DRE",VLOOKUP(Base_Periodo1[[#This Row],[CONTA]],BaseContasDRE[#All],7,FALSE))</f>
        <v>Fora do DRE</v>
      </c>
      <c r="V5769" s="3" t="str">
        <f>IF(Base_Periodo1[[#This Row],[Tipo_Linha]]="Fora do DRE","Fora do DRE","( "&amp;Base_Periodo1[[#This Row],[Tipo_Linha]]&amp;" ) "&amp;Base_Periodo1[[#This Row],[Filtro]])</f>
        <v>Fora do DRE</v>
      </c>
      <c r="W5769" s="3" t="str">
        <f>LEFT(Base_Periodo1[[#This Row],[CLASS]],3)</f>
        <v>2.5</v>
      </c>
    </row>
    <row r="5770" spans="1:23" hidden="1">
      <c r="A5770" s="3" t="str">
        <f t="shared" si="90"/>
        <v>Período 1</v>
      </c>
      <c r="B5770">
        <v>1700</v>
      </c>
      <c r="C5770" t="s">
        <v>4382</v>
      </c>
      <c r="D5770" t="s">
        <v>1178</v>
      </c>
      <c r="E5770" s="3" t="str">
        <f>IF(LEN(Base_Periodo1[[#This Row],[CLASS]])&gt;=7,LEFT(Base_Periodo1[[#This Row],[CLASS]],7),"")</f>
        <v>2.5.1.1</v>
      </c>
      <c r="F5770" s="3" t="e">
        <f>VLOOKUP(Base_Periodo1[[#This Row],[Aux]],Base_Contas_Balanco[#All],2,FALSE)</f>
        <v>#N/A</v>
      </c>
      <c r="G5770" s="1"/>
      <c r="H5770" s="281">
        <v>66678.729999999516</v>
      </c>
      <c r="I5770" s="281">
        <v>0</v>
      </c>
      <c r="J5770" s="281">
        <v>0</v>
      </c>
      <c r="K5770" s="281">
        <v>66678.729999999516</v>
      </c>
      <c r="L577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66678.73</v>
      </c>
      <c r="M5770" s="281">
        <f>ROUND(IF(AND(Base_Periodo1[[#This Row],[Tipo_Linha]]="-",Base_Periodo1[[#This Row],[TIPOSALDO]]="D"),Base_Periodo1[[#This Row],[SALDO_ATUAL]]*-1,Base_Periodo1[[#This Row],[SALDO_ATUAL]]),4)</f>
        <v>66678.73</v>
      </c>
      <c r="N5770" t="s">
        <v>396</v>
      </c>
      <c r="O5770" t="s">
        <v>459</v>
      </c>
      <c r="P5770" t="s">
        <v>459</v>
      </c>
      <c r="Q5770">
        <v>7</v>
      </c>
      <c r="R5770" s="281">
        <f>Base_Periodo1[[#This Row],[CREDITOS]]-Base_Periodo1[[#This Row],[DEBITOS]]</f>
        <v>0</v>
      </c>
      <c r="S5770" s="3" t="str">
        <f>IF(ISERROR(VLOOKUP(Base_Periodo1[[#This Row],[CONTA]],BaseContasDRE[#All],4,FALSE)),"Fora do DRE",VLOOKUP(Base_Periodo1[[#This Row],[CONTA]],BaseContasDRE[#All],4,FALSE))</f>
        <v>Fora do DRE</v>
      </c>
      <c r="T5770" s="3" t="str">
        <f>IF(ISERROR(VLOOKUP(Base_Periodo1[[#This Row],[CONTA]],BaseContasDRE[#All],5,FALSE)),"Fora do DRE",VLOOKUP(Base_Periodo1[[#This Row],[CONTA]],BaseContasDRE[#All],6,FALSE))</f>
        <v>Fora do DRE</v>
      </c>
      <c r="U5770" s="3" t="str">
        <f>IF(ISERROR(VLOOKUP(Base_Periodo1[[#This Row],[CONTA]],BaseContasDRE[#All],7,FALSE)),"Fora do DRE",VLOOKUP(Base_Periodo1[[#This Row],[CONTA]],BaseContasDRE[#All],7,FALSE))</f>
        <v>Fora do DRE</v>
      </c>
      <c r="V5770" s="3" t="str">
        <f>IF(Base_Periodo1[[#This Row],[Tipo_Linha]]="Fora do DRE","Fora do DRE","( "&amp;Base_Periodo1[[#This Row],[Tipo_Linha]]&amp;" ) "&amp;Base_Periodo1[[#This Row],[Filtro]])</f>
        <v>Fora do DRE</v>
      </c>
      <c r="W5770" s="3" t="str">
        <f>LEFT(Base_Periodo1[[#This Row],[CLASS]],3)</f>
        <v>2.5</v>
      </c>
    </row>
    <row r="5771" spans="1:23" hidden="1">
      <c r="A5771" s="3" t="str">
        <f t="shared" si="90"/>
        <v>Período 1</v>
      </c>
      <c r="B5771">
        <v>1702</v>
      </c>
      <c r="C5771" t="s">
        <v>4383</v>
      </c>
      <c r="D5771" t="s">
        <v>4384</v>
      </c>
      <c r="E5771" s="3" t="str">
        <f>IF(LEN(Base_Periodo1[[#This Row],[CLASS]])&gt;=7,LEFT(Base_Periodo1[[#This Row],[CLASS]],7),"")</f>
        <v>2.5.1.1</v>
      </c>
      <c r="F5771" s="3" t="e">
        <f>VLOOKUP(Base_Periodo1[[#This Row],[Aux]],Base_Contas_Balanco[#All],2,FALSE)</f>
        <v>#N/A</v>
      </c>
      <c r="G5771" s="1">
        <v>42759</v>
      </c>
      <c r="H5771" s="281">
        <v>66678.729999999516</v>
      </c>
      <c r="I5771" s="281">
        <v>0</v>
      </c>
      <c r="J5771" s="281">
        <v>0</v>
      </c>
      <c r="K5771" s="281">
        <v>66678.729999999516</v>
      </c>
      <c r="L577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66678.73</v>
      </c>
      <c r="M5771" s="281">
        <f>ROUND(IF(AND(Base_Periodo1[[#This Row],[Tipo_Linha]]="-",Base_Periodo1[[#This Row],[TIPOSALDO]]="D"),Base_Periodo1[[#This Row],[SALDO_ATUAL]]*-1,Base_Periodo1[[#This Row],[SALDO_ATUAL]]),4)</f>
        <v>66678.73</v>
      </c>
      <c r="N5771" t="s">
        <v>116</v>
      </c>
      <c r="O5771" t="s">
        <v>459</v>
      </c>
      <c r="P5771" t="s">
        <v>459</v>
      </c>
      <c r="Q5771">
        <v>8</v>
      </c>
      <c r="R5771" s="281">
        <f>Base_Periodo1[[#This Row],[CREDITOS]]-Base_Periodo1[[#This Row],[DEBITOS]]</f>
        <v>0</v>
      </c>
      <c r="S5771" s="3" t="str">
        <f>IF(ISERROR(VLOOKUP(Base_Periodo1[[#This Row],[CONTA]],BaseContasDRE[#All],4,FALSE)),"Fora do DRE",VLOOKUP(Base_Periodo1[[#This Row],[CONTA]],BaseContasDRE[#All],4,FALSE))</f>
        <v>Fora do DRE</v>
      </c>
      <c r="T5771" s="3" t="str">
        <f>IF(ISERROR(VLOOKUP(Base_Periodo1[[#This Row],[CONTA]],BaseContasDRE[#All],5,FALSE)),"Fora do DRE",VLOOKUP(Base_Periodo1[[#This Row],[CONTA]],BaseContasDRE[#All],6,FALSE))</f>
        <v>Fora do DRE</v>
      </c>
      <c r="U5771" s="3" t="str">
        <f>IF(ISERROR(VLOOKUP(Base_Periodo1[[#This Row],[CONTA]],BaseContasDRE[#All],7,FALSE)),"Fora do DRE",VLOOKUP(Base_Periodo1[[#This Row],[CONTA]],BaseContasDRE[#All],7,FALSE))</f>
        <v>Fora do DRE</v>
      </c>
      <c r="V5771" s="3" t="str">
        <f>IF(Base_Periodo1[[#This Row],[Tipo_Linha]]="Fora do DRE","Fora do DRE","( "&amp;Base_Periodo1[[#This Row],[Tipo_Linha]]&amp;" ) "&amp;Base_Periodo1[[#This Row],[Filtro]])</f>
        <v>Fora do DRE</v>
      </c>
      <c r="W5771" s="3" t="str">
        <f>LEFT(Base_Periodo1[[#This Row],[CLASS]],3)</f>
        <v>2.5</v>
      </c>
    </row>
    <row r="5772" spans="1:23" hidden="1">
      <c r="A5772" s="3" t="str">
        <f t="shared" si="90"/>
        <v>Período 1</v>
      </c>
      <c r="B5772">
        <v>1703</v>
      </c>
      <c r="C5772" t="s">
        <v>3546</v>
      </c>
      <c r="D5772" t="s">
        <v>1194</v>
      </c>
      <c r="E5772" s="3" t="str">
        <f>IF(LEN(Base_Periodo1[[#This Row],[CLASS]])&gt;=7,LEFT(Base_Periodo1[[#This Row],[CLASS]],7),"")</f>
        <v>2.5.1.1</v>
      </c>
      <c r="F5772" s="3" t="e">
        <f>VLOOKUP(Base_Periodo1[[#This Row],[Aux]],Base_Contas_Balanco[#All],2,FALSE)</f>
        <v>#N/A</v>
      </c>
      <c r="G5772" s="1"/>
      <c r="H5772" s="281">
        <v>19294.279999999941</v>
      </c>
      <c r="I5772" s="281">
        <v>0</v>
      </c>
      <c r="J5772" s="281">
        <v>0</v>
      </c>
      <c r="K5772" s="281">
        <v>19294.279999999941</v>
      </c>
      <c r="L577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19294.28</v>
      </c>
      <c r="M5772" s="281">
        <f>ROUND(IF(AND(Base_Periodo1[[#This Row],[Tipo_Linha]]="-",Base_Periodo1[[#This Row],[TIPOSALDO]]="D"),Base_Periodo1[[#This Row],[SALDO_ATUAL]]*-1,Base_Periodo1[[#This Row],[SALDO_ATUAL]]),4)</f>
        <v>19294.28</v>
      </c>
      <c r="N5772" t="s">
        <v>396</v>
      </c>
      <c r="O5772" t="s">
        <v>459</v>
      </c>
      <c r="P5772" t="s">
        <v>459</v>
      </c>
      <c r="Q5772">
        <v>7</v>
      </c>
      <c r="R5772" s="281">
        <f>Base_Periodo1[[#This Row],[CREDITOS]]-Base_Periodo1[[#This Row],[DEBITOS]]</f>
        <v>0</v>
      </c>
      <c r="S5772" s="3" t="str">
        <f>IF(ISERROR(VLOOKUP(Base_Periodo1[[#This Row],[CONTA]],BaseContasDRE[#All],4,FALSE)),"Fora do DRE",VLOOKUP(Base_Periodo1[[#This Row],[CONTA]],BaseContasDRE[#All],4,FALSE))</f>
        <v>Fora do DRE</v>
      </c>
      <c r="T5772" s="3" t="str">
        <f>IF(ISERROR(VLOOKUP(Base_Periodo1[[#This Row],[CONTA]],BaseContasDRE[#All],5,FALSE)),"Fora do DRE",VLOOKUP(Base_Periodo1[[#This Row],[CONTA]],BaseContasDRE[#All],6,FALSE))</f>
        <v>Fora do DRE</v>
      </c>
      <c r="U5772" s="3" t="str">
        <f>IF(ISERROR(VLOOKUP(Base_Periodo1[[#This Row],[CONTA]],BaseContasDRE[#All],7,FALSE)),"Fora do DRE",VLOOKUP(Base_Periodo1[[#This Row],[CONTA]],BaseContasDRE[#All],7,FALSE))</f>
        <v>Fora do DRE</v>
      </c>
      <c r="V5772" s="3" t="str">
        <f>IF(Base_Periodo1[[#This Row],[Tipo_Linha]]="Fora do DRE","Fora do DRE","( "&amp;Base_Periodo1[[#This Row],[Tipo_Linha]]&amp;" ) "&amp;Base_Periodo1[[#This Row],[Filtro]])</f>
        <v>Fora do DRE</v>
      </c>
      <c r="W5772" s="3" t="str">
        <f>LEFT(Base_Periodo1[[#This Row],[CLASS]],3)</f>
        <v>2.5</v>
      </c>
    </row>
    <row r="5773" spans="1:23" hidden="1">
      <c r="A5773" s="3" t="str">
        <f t="shared" si="90"/>
        <v>Período 1</v>
      </c>
      <c r="B5773">
        <v>1704</v>
      </c>
      <c r="C5773" t="s">
        <v>3547</v>
      </c>
      <c r="D5773" t="s">
        <v>3539</v>
      </c>
      <c r="E5773" s="3" t="str">
        <f>IF(LEN(Base_Periodo1[[#This Row],[CLASS]])&gt;=7,LEFT(Base_Periodo1[[#This Row],[CLASS]],7),"")</f>
        <v>2.5.1.1</v>
      </c>
      <c r="F5773" s="3" t="e">
        <f>VLOOKUP(Base_Periodo1[[#This Row],[Aux]],Base_Contas_Balanco[#All],2,FALSE)</f>
        <v>#N/A</v>
      </c>
      <c r="G5773" s="1">
        <v>41948</v>
      </c>
      <c r="H5773" s="281">
        <v>3499.9999999999709</v>
      </c>
      <c r="I5773" s="281">
        <v>0</v>
      </c>
      <c r="J5773" s="281">
        <v>0</v>
      </c>
      <c r="K5773" s="281">
        <v>3499.9999999999709</v>
      </c>
      <c r="L577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3500</v>
      </c>
      <c r="M5773" s="281">
        <f>ROUND(IF(AND(Base_Periodo1[[#This Row],[Tipo_Linha]]="-",Base_Periodo1[[#This Row],[TIPOSALDO]]="D"),Base_Periodo1[[#This Row],[SALDO_ATUAL]]*-1,Base_Periodo1[[#This Row],[SALDO_ATUAL]]),4)</f>
        <v>3500</v>
      </c>
      <c r="N5773" t="s">
        <v>116</v>
      </c>
      <c r="O5773" t="s">
        <v>459</v>
      </c>
      <c r="P5773" t="s">
        <v>459</v>
      </c>
      <c r="Q5773">
        <v>8</v>
      </c>
      <c r="R5773" s="281">
        <f>Base_Periodo1[[#This Row],[CREDITOS]]-Base_Periodo1[[#This Row],[DEBITOS]]</f>
        <v>0</v>
      </c>
      <c r="S5773" s="3" t="str">
        <f>IF(ISERROR(VLOOKUP(Base_Periodo1[[#This Row],[CONTA]],BaseContasDRE[#All],4,FALSE)),"Fora do DRE",VLOOKUP(Base_Periodo1[[#This Row],[CONTA]],BaseContasDRE[#All],4,FALSE))</f>
        <v>Fora do DRE</v>
      </c>
      <c r="T5773" s="3" t="str">
        <f>IF(ISERROR(VLOOKUP(Base_Periodo1[[#This Row],[CONTA]],BaseContasDRE[#All],5,FALSE)),"Fora do DRE",VLOOKUP(Base_Periodo1[[#This Row],[CONTA]],BaseContasDRE[#All],6,FALSE))</f>
        <v>Fora do DRE</v>
      </c>
      <c r="U5773" s="3" t="str">
        <f>IF(ISERROR(VLOOKUP(Base_Periodo1[[#This Row],[CONTA]],BaseContasDRE[#All],7,FALSE)),"Fora do DRE",VLOOKUP(Base_Periodo1[[#This Row],[CONTA]],BaseContasDRE[#All],7,FALSE))</f>
        <v>Fora do DRE</v>
      </c>
      <c r="V5773" s="3" t="str">
        <f>IF(Base_Periodo1[[#This Row],[Tipo_Linha]]="Fora do DRE","Fora do DRE","( "&amp;Base_Periodo1[[#This Row],[Tipo_Linha]]&amp;" ) "&amp;Base_Periodo1[[#This Row],[Filtro]])</f>
        <v>Fora do DRE</v>
      </c>
      <c r="W5773" s="3" t="str">
        <f>LEFT(Base_Periodo1[[#This Row],[CLASS]],3)</f>
        <v>2.5</v>
      </c>
    </row>
    <row r="5774" spans="1:23" hidden="1">
      <c r="A5774" s="3" t="str">
        <f t="shared" si="90"/>
        <v>Período 1</v>
      </c>
      <c r="B5774">
        <v>1705</v>
      </c>
      <c r="C5774" t="s">
        <v>4385</v>
      </c>
      <c r="D5774" t="s">
        <v>4384</v>
      </c>
      <c r="E5774" s="3" t="str">
        <f>IF(LEN(Base_Periodo1[[#This Row],[CLASS]])&gt;=7,LEFT(Base_Periodo1[[#This Row],[CLASS]],7),"")</f>
        <v>2.5.1.1</v>
      </c>
      <c r="F5774" s="3" t="e">
        <f>VLOOKUP(Base_Periodo1[[#This Row],[Aux]],Base_Contas_Balanco[#All],2,FALSE)</f>
        <v>#N/A</v>
      </c>
      <c r="G5774" s="1">
        <v>42669</v>
      </c>
      <c r="H5774" s="281">
        <v>15794.27999999997</v>
      </c>
      <c r="I5774" s="281">
        <v>0</v>
      </c>
      <c r="J5774" s="281">
        <v>0</v>
      </c>
      <c r="K5774" s="281">
        <v>15794.27999999997</v>
      </c>
      <c r="L577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15794.28</v>
      </c>
      <c r="M5774" s="281">
        <f>ROUND(IF(AND(Base_Periodo1[[#This Row],[Tipo_Linha]]="-",Base_Periodo1[[#This Row],[TIPOSALDO]]="D"),Base_Periodo1[[#This Row],[SALDO_ATUAL]]*-1,Base_Periodo1[[#This Row],[SALDO_ATUAL]]),4)</f>
        <v>15794.28</v>
      </c>
      <c r="N5774" t="s">
        <v>116</v>
      </c>
      <c r="O5774" t="s">
        <v>459</v>
      </c>
      <c r="P5774" t="s">
        <v>459</v>
      </c>
      <c r="Q5774">
        <v>8</v>
      </c>
      <c r="R5774" s="281">
        <f>Base_Periodo1[[#This Row],[CREDITOS]]-Base_Periodo1[[#This Row],[DEBITOS]]</f>
        <v>0</v>
      </c>
      <c r="S5774" s="3" t="str">
        <f>IF(ISERROR(VLOOKUP(Base_Periodo1[[#This Row],[CONTA]],BaseContasDRE[#All],4,FALSE)),"Fora do DRE",VLOOKUP(Base_Periodo1[[#This Row],[CONTA]],BaseContasDRE[#All],4,FALSE))</f>
        <v>Fora do DRE</v>
      </c>
      <c r="T5774" s="3" t="str">
        <f>IF(ISERROR(VLOOKUP(Base_Periodo1[[#This Row],[CONTA]],BaseContasDRE[#All],5,FALSE)),"Fora do DRE",VLOOKUP(Base_Periodo1[[#This Row],[CONTA]],BaseContasDRE[#All],6,FALSE))</f>
        <v>Fora do DRE</v>
      </c>
      <c r="U5774" s="3" t="str">
        <f>IF(ISERROR(VLOOKUP(Base_Periodo1[[#This Row],[CONTA]],BaseContasDRE[#All],7,FALSE)),"Fora do DRE",VLOOKUP(Base_Periodo1[[#This Row],[CONTA]],BaseContasDRE[#All],7,FALSE))</f>
        <v>Fora do DRE</v>
      </c>
      <c r="V5774" s="3" t="str">
        <f>IF(Base_Periodo1[[#This Row],[Tipo_Linha]]="Fora do DRE","Fora do DRE","( "&amp;Base_Periodo1[[#This Row],[Tipo_Linha]]&amp;" ) "&amp;Base_Periodo1[[#This Row],[Filtro]])</f>
        <v>Fora do DRE</v>
      </c>
      <c r="W5774" s="3" t="str">
        <f>LEFT(Base_Periodo1[[#This Row],[CLASS]],3)</f>
        <v>2.5</v>
      </c>
    </row>
    <row r="5775" spans="1:23" hidden="1">
      <c r="A5775" s="3" t="str">
        <f t="shared" si="90"/>
        <v>Período 1</v>
      </c>
      <c r="B5775">
        <v>1713</v>
      </c>
      <c r="C5775" t="s">
        <v>5245</v>
      </c>
      <c r="D5775" t="s">
        <v>1244</v>
      </c>
      <c r="E5775" s="3" t="str">
        <f>IF(LEN(Base_Periodo1[[#This Row],[CLASS]])&gt;=7,LEFT(Base_Periodo1[[#This Row],[CLASS]],7),"")</f>
        <v>2.5.1.1</v>
      </c>
      <c r="F5775" s="3" t="e">
        <f>VLOOKUP(Base_Periodo1[[#This Row],[Aux]],Base_Contas_Balanco[#All],2,FALSE)</f>
        <v>#N/A</v>
      </c>
      <c r="G5775" s="1"/>
      <c r="H5775" s="281">
        <v>33214.619999999995</v>
      </c>
      <c r="I5775" s="281">
        <v>0</v>
      </c>
      <c r="J5775" s="281">
        <v>0</v>
      </c>
      <c r="K5775" s="281">
        <v>33214.619999999995</v>
      </c>
      <c r="L577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33214.620000000003</v>
      </c>
      <c r="M5775" s="281">
        <f>ROUND(IF(AND(Base_Periodo1[[#This Row],[Tipo_Linha]]="-",Base_Periodo1[[#This Row],[TIPOSALDO]]="D"),Base_Periodo1[[#This Row],[SALDO_ATUAL]]*-1,Base_Periodo1[[#This Row],[SALDO_ATUAL]]),4)</f>
        <v>33214.620000000003</v>
      </c>
      <c r="N5775" t="s">
        <v>396</v>
      </c>
      <c r="O5775" t="s">
        <v>459</v>
      </c>
      <c r="P5775" t="s">
        <v>459</v>
      </c>
      <c r="Q5775">
        <v>6</v>
      </c>
      <c r="R5775" s="281">
        <f>Base_Periodo1[[#This Row],[CREDITOS]]-Base_Periodo1[[#This Row],[DEBITOS]]</f>
        <v>0</v>
      </c>
      <c r="S5775" s="3" t="str">
        <f>IF(ISERROR(VLOOKUP(Base_Periodo1[[#This Row],[CONTA]],BaseContasDRE[#All],4,FALSE)),"Fora do DRE",VLOOKUP(Base_Periodo1[[#This Row],[CONTA]],BaseContasDRE[#All],4,FALSE))</f>
        <v>Fora do DRE</v>
      </c>
      <c r="T5775" s="3" t="str">
        <f>IF(ISERROR(VLOOKUP(Base_Periodo1[[#This Row],[CONTA]],BaseContasDRE[#All],5,FALSE)),"Fora do DRE",VLOOKUP(Base_Periodo1[[#This Row],[CONTA]],BaseContasDRE[#All],6,FALSE))</f>
        <v>Fora do DRE</v>
      </c>
      <c r="U5775" s="3" t="str">
        <f>IF(ISERROR(VLOOKUP(Base_Periodo1[[#This Row],[CONTA]],BaseContasDRE[#All],7,FALSE)),"Fora do DRE",VLOOKUP(Base_Periodo1[[#This Row],[CONTA]],BaseContasDRE[#All],7,FALSE))</f>
        <v>Fora do DRE</v>
      </c>
      <c r="V5775" s="3" t="str">
        <f>IF(Base_Periodo1[[#This Row],[Tipo_Linha]]="Fora do DRE","Fora do DRE","( "&amp;Base_Periodo1[[#This Row],[Tipo_Linha]]&amp;" ) "&amp;Base_Periodo1[[#This Row],[Filtro]])</f>
        <v>Fora do DRE</v>
      </c>
      <c r="W5775" s="3" t="str">
        <f>LEFT(Base_Periodo1[[#This Row],[CLASS]],3)</f>
        <v>2.5</v>
      </c>
    </row>
    <row r="5776" spans="1:23" hidden="1">
      <c r="A5776" s="3" t="str">
        <f t="shared" si="90"/>
        <v>Período 1</v>
      </c>
      <c r="B5776">
        <v>1714</v>
      </c>
      <c r="C5776" t="s">
        <v>5246</v>
      </c>
      <c r="D5776" t="s">
        <v>1245</v>
      </c>
      <c r="E5776" s="3" t="str">
        <f>IF(LEN(Base_Periodo1[[#This Row],[CLASS]])&gt;=7,LEFT(Base_Periodo1[[#This Row],[CLASS]],7),"")</f>
        <v>2.5.1.1</v>
      </c>
      <c r="F5776" s="3" t="e">
        <f>VLOOKUP(Base_Periodo1[[#This Row],[Aux]],Base_Contas_Balanco[#All],2,FALSE)</f>
        <v>#N/A</v>
      </c>
      <c r="G5776" s="1"/>
      <c r="H5776" s="281">
        <v>33214.619999999995</v>
      </c>
      <c r="I5776" s="281">
        <v>0</v>
      </c>
      <c r="J5776" s="281">
        <v>0</v>
      </c>
      <c r="K5776" s="281">
        <v>33214.619999999995</v>
      </c>
      <c r="L577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33214.620000000003</v>
      </c>
      <c r="M5776" s="281">
        <f>ROUND(IF(AND(Base_Periodo1[[#This Row],[Tipo_Linha]]="-",Base_Periodo1[[#This Row],[TIPOSALDO]]="D"),Base_Periodo1[[#This Row],[SALDO_ATUAL]]*-1,Base_Periodo1[[#This Row],[SALDO_ATUAL]]),4)</f>
        <v>33214.620000000003</v>
      </c>
      <c r="N5776" t="s">
        <v>396</v>
      </c>
      <c r="O5776" t="s">
        <v>459</v>
      </c>
      <c r="P5776" t="s">
        <v>459</v>
      </c>
      <c r="Q5776">
        <v>7</v>
      </c>
      <c r="R5776" s="281">
        <f>Base_Periodo1[[#This Row],[CREDITOS]]-Base_Periodo1[[#This Row],[DEBITOS]]</f>
        <v>0</v>
      </c>
      <c r="S5776" s="3" t="str">
        <f>IF(ISERROR(VLOOKUP(Base_Periodo1[[#This Row],[CONTA]],BaseContasDRE[#All],4,FALSE)),"Fora do DRE",VLOOKUP(Base_Periodo1[[#This Row],[CONTA]],BaseContasDRE[#All],4,FALSE))</f>
        <v>Fora do DRE</v>
      </c>
      <c r="T5776" s="3" t="str">
        <f>IF(ISERROR(VLOOKUP(Base_Periodo1[[#This Row],[CONTA]],BaseContasDRE[#All],5,FALSE)),"Fora do DRE",VLOOKUP(Base_Periodo1[[#This Row],[CONTA]],BaseContasDRE[#All],6,FALSE))</f>
        <v>Fora do DRE</v>
      </c>
      <c r="U5776" s="3" t="str">
        <f>IF(ISERROR(VLOOKUP(Base_Periodo1[[#This Row],[CONTA]],BaseContasDRE[#All],7,FALSE)),"Fora do DRE",VLOOKUP(Base_Periodo1[[#This Row],[CONTA]],BaseContasDRE[#All],7,FALSE))</f>
        <v>Fora do DRE</v>
      </c>
      <c r="V5776" s="3" t="str">
        <f>IF(Base_Periodo1[[#This Row],[Tipo_Linha]]="Fora do DRE","Fora do DRE","( "&amp;Base_Periodo1[[#This Row],[Tipo_Linha]]&amp;" ) "&amp;Base_Periodo1[[#This Row],[Filtro]])</f>
        <v>Fora do DRE</v>
      </c>
      <c r="W5776" s="3" t="str">
        <f>LEFT(Base_Periodo1[[#This Row],[CLASS]],3)</f>
        <v>2.5</v>
      </c>
    </row>
    <row r="5777" spans="1:23" hidden="1">
      <c r="A5777" s="3" t="str">
        <f t="shared" si="90"/>
        <v>Período 1</v>
      </c>
      <c r="B5777">
        <v>51958</v>
      </c>
      <c r="C5777" t="s">
        <v>5247</v>
      </c>
      <c r="D5777" t="s">
        <v>5206</v>
      </c>
      <c r="E5777" s="3" t="str">
        <f>IF(LEN(Base_Periodo1[[#This Row],[CLASS]])&gt;=7,LEFT(Base_Periodo1[[#This Row],[CLASS]],7),"")</f>
        <v>2.5.1.1</v>
      </c>
      <c r="F5777" s="3" t="e">
        <f>VLOOKUP(Base_Periodo1[[#This Row],[Aux]],Base_Contas_Balanco[#All],2,FALSE)</f>
        <v>#N/A</v>
      </c>
      <c r="G5777" s="1">
        <v>42634</v>
      </c>
      <c r="H5777" s="281">
        <v>33214.619999999995</v>
      </c>
      <c r="I5777" s="281">
        <v>0</v>
      </c>
      <c r="J5777" s="281">
        <v>0</v>
      </c>
      <c r="K5777" s="281">
        <v>33214.619999999995</v>
      </c>
      <c r="L577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33214.620000000003</v>
      </c>
      <c r="M5777" s="281">
        <f>ROUND(IF(AND(Base_Periodo1[[#This Row],[Tipo_Linha]]="-",Base_Periodo1[[#This Row],[TIPOSALDO]]="D"),Base_Periodo1[[#This Row],[SALDO_ATUAL]]*-1,Base_Periodo1[[#This Row],[SALDO_ATUAL]]),4)</f>
        <v>33214.620000000003</v>
      </c>
      <c r="N5777" t="s">
        <v>116</v>
      </c>
      <c r="O5777" t="s">
        <v>459</v>
      </c>
      <c r="P5777" t="s">
        <v>459</v>
      </c>
      <c r="Q5777">
        <v>8</v>
      </c>
      <c r="R5777" s="281">
        <f>Base_Periodo1[[#This Row],[CREDITOS]]-Base_Periodo1[[#This Row],[DEBITOS]]</f>
        <v>0</v>
      </c>
      <c r="S5777" s="3" t="str">
        <f>IF(ISERROR(VLOOKUP(Base_Periodo1[[#This Row],[CONTA]],BaseContasDRE[#All],4,FALSE)),"Fora do DRE",VLOOKUP(Base_Periodo1[[#This Row],[CONTA]],BaseContasDRE[#All],4,FALSE))</f>
        <v>Fora do DRE</v>
      </c>
      <c r="T5777" s="3" t="str">
        <f>IF(ISERROR(VLOOKUP(Base_Periodo1[[#This Row],[CONTA]],BaseContasDRE[#All],5,FALSE)),"Fora do DRE",VLOOKUP(Base_Periodo1[[#This Row],[CONTA]],BaseContasDRE[#All],6,FALSE))</f>
        <v>Fora do DRE</v>
      </c>
      <c r="U5777" s="3" t="str">
        <f>IF(ISERROR(VLOOKUP(Base_Periodo1[[#This Row],[CONTA]],BaseContasDRE[#All],7,FALSE)),"Fora do DRE",VLOOKUP(Base_Periodo1[[#This Row],[CONTA]],BaseContasDRE[#All],7,FALSE))</f>
        <v>Fora do DRE</v>
      </c>
      <c r="V5777" s="3" t="str">
        <f>IF(Base_Periodo1[[#This Row],[Tipo_Linha]]="Fora do DRE","Fora do DRE","( "&amp;Base_Periodo1[[#This Row],[Tipo_Linha]]&amp;" ) "&amp;Base_Periodo1[[#This Row],[Filtro]])</f>
        <v>Fora do DRE</v>
      </c>
      <c r="W5777" s="3" t="str">
        <f>LEFT(Base_Periodo1[[#This Row],[CLASS]],3)</f>
        <v>2.5</v>
      </c>
    </row>
    <row r="5778" spans="1:23" hidden="1">
      <c r="A5778" s="3" t="str">
        <f t="shared" si="90"/>
        <v>Período 1</v>
      </c>
      <c r="B5778">
        <v>1719</v>
      </c>
      <c r="C5778" t="s">
        <v>5360</v>
      </c>
      <c r="D5778" t="s">
        <v>1303</v>
      </c>
      <c r="E5778" s="3" t="str">
        <f>IF(LEN(Base_Periodo1[[#This Row],[CLASS]])&gt;=7,LEFT(Base_Periodo1[[#This Row],[CLASS]],7),"")</f>
        <v>2.5.1.1</v>
      </c>
      <c r="F5778" s="3" t="e">
        <f>VLOOKUP(Base_Periodo1[[#This Row],[Aux]],Base_Contas_Balanco[#All],2,FALSE)</f>
        <v>#N/A</v>
      </c>
      <c r="G5778" s="1"/>
      <c r="H5778" s="281">
        <v>152406.97000000096</v>
      </c>
      <c r="I5778" s="281">
        <v>0</v>
      </c>
      <c r="J5778" s="281">
        <v>0</v>
      </c>
      <c r="K5778" s="281">
        <v>152406.97000000096</v>
      </c>
      <c r="L577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152406.97</v>
      </c>
      <c r="M5778" s="281">
        <f>ROUND(IF(AND(Base_Periodo1[[#This Row],[Tipo_Linha]]="-",Base_Periodo1[[#This Row],[TIPOSALDO]]="D"),Base_Periodo1[[#This Row],[SALDO_ATUAL]]*-1,Base_Periodo1[[#This Row],[SALDO_ATUAL]]),4)</f>
        <v>152406.97</v>
      </c>
      <c r="N5778" t="s">
        <v>396</v>
      </c>
      <c r="O5778" t="s">
        <v>459</v>
      </c>
      <c r="P5778" t="s">
        <v>459</v>
      </c>
      <c r="Q5778">
        <v>6</v>
      </c>
      <c r="R5778" s="281">
        <f>Base_Periodo1[[#This Row],[CREDITOS]]-Base_Periodo1[[#This Row],[DEBITOS]]</f>
        <v>0</v>
      </c>
      <c r="S5778" s="3" t="str">
        <f>IF(ISERROR(VLOOKUP(Base_Periodo1[[#This Row],[CONTA]],BaseContasDRE[#All],4,FALSE)),"Fora do DRE",VLOOKUP(Base_Periodo1[[#This Row],[CONTA]],BaseContasDRE[#All],4,FALSE))</f>
        <v>Fora do DRE</v>
      </c>
      <c r="T5778" s="3" t="str">
        <f>IF(ISERROR(VLOOKUP(Base_Periodo1[[#This Row],[CONTA]],BaseContasDRE[#All],5,FALSE)),"Fora do DRE",VLOOKUP(Base_Periodo1[[#This Row],[CONTA]],BaseContasDRE[#All],6,FALSE))</f>
        <v>Fora do DRE</v>
      </c>
      <c r="U5778" s="3" t="str">
        <f>IF(ISERROR(VLOOKUP(Base_Periodo1[[#This Row],[CONTA]],BaseContasDRE[#All],7,FALSE)),"Fora do DRE",VLOOKUP(Base_Periodo1[[#This Row],[CONTA]],BaseContasDRE[#All],7,FALSE))</f>
        <v>Fora do DRE</v>
      </c>
      <c r="V5778" s="3" t="str">
        <f>IF(Base_Periodo1[[#This Row],[Tipo_Linha]]="Fora do DRE","Fora do DRE","( "&amp;Base_Periodo1[[#This Row],[Tipo_Linha]]&amp;" ) "&amp;Base_Periodo1[[#This Row],[Filtro]])</f>
        <v>Fora do DRE</v>
      </c>
      <c r="W5778" s="3" t="str">
        <f>LEFT(Base_Periodo1[[#This Row],[CLASS]],3)</f>
        <v>2.5</v>
      </c>
    </row>
    <row r="5779" spans="1:23" hidden="1">
      <c r="A5779" s="3" t="str">
        <f t="shared" si="90"/>
        <v>Período 1</v>
      </c>
      <c r="B5779">
        <v>10997</v>
      </c>
      <c r="C5779" t="s">
        <v>5361</v>
      </c>
      <c r="D5779" t="s">
        <v>3548</v>
      </c>
      <c r="E5779" s="3" t="str">
        <f>IF(LEN(Base_Periodo1[[#This Row],[CLASS]])&gt;=7,LEFT(Base_Periodo1[[#This Row],[CLASS]],7),"")</f>
        <v>2.5.1.1</v>
      </c>
      <c r="F5779" s="3" t="e">
        <f>VLOOKUP(Base_Periodo1[[#This Row],[Aux]],Base_Contas_Balanco[#All],2,FALSE)</f>
        <v>#N/A</v>
      </c>
      <c r="G5779" s="1"/>
      <c r="H5779" s="281">
        <v>152406.97000000096</v>
      </c>
      <c r="I5779" s="281">
        <v>0</v>
      </c>
      <c r="J5779" s="281">
        <v>0</v>
      </c>
      <c r="K5779" s="281">
        <v>152406.97000000096</v>
      </c>
      <c r="L577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152406.97</v>
      </c>
      <c r="M5779" s="281">
        <f>ROUND(IF(AND(Base_Periodo1[[#This Row],[Tipo_Linha]]="-",Base_Periodo1[[#This Row],[TIPOSALDO]]="D"),Base_Periodo1[[#This Row],[SALDO_ATUAL]]*-1,Base_Periodo1[[#This Row],[SALDO_ATUAL]]),4)</f>
        <v>152406.97</v>
      </c>
      <c r="N5779" t="s">
        <v>396</v>
      </c>
      <c r="O5779" t="s">
        <v>459</v>
      </c>
      <c r="P5779" t="s">
        <v>459</v>
      </c>
      <c r="Q5779">
        <v>7</v>
      </c>
      <c r="R5779" s="281">
        <f>Base_Periodo1[[#This Row],[CREDITOS]]-Base_Periodo1[[#This Row],[DEBITOS]]</f>
        <v>0</v>
      </c>
      <c r="S5779" s="3" t="str">
        <f>IF(ISERROR(VLOOKUP(Base_Periodo1[[#This Row],[CONTA]],BaseContasDRE[#All],4,FALSE)),"Fora do DRE",VLOOKUP(Base_Periodo1[[#This Row],[CONTA]],BaseContasDRE[#All],4,FALSE))</f>
        <v>Fora do DRE</v>
      </c>
      <c r="T5779" s="3" t="str">
        <f>IF(ISERROR(VLOOKUP(Base_Periodo1[[#This Row],[CONTA]],BaseContasDRE[#All],5,FALSE)),"Fora do DRE",VLOOKUP(Base_Periodo1[[#This Row],[CONTA]],BaseContasDRE[#All],6,FALSE))</f>
        <v>Fora do DRE</v>
      </c>
      <c r="U5779" s="3" t="str">
        <f>IF(ISERROR(VLOOKUP(Base_Periodo1[[#This Row],[CONTA]],BaseContasDRE[#All],7,FALSE)),"Fora do DRE",VLOOKUP(Base_Periodo1[[#This Row],[CONTA]],BaseContasDRE[#All],7,FALSE))</f>
        <v>Fora do DRE</v>
      </c>
      <c r="V5779" s="3" t="str">
        <f>IF(Base_Periodo1[[#This Row],[Tipo_Linha]]="Fora do DRE","Fora do DRE","( "&amp;Base_Periodo1[[#This Row],[Tipo_Linha]]&amp;" ) "&amp;Base_Periodo1[[#This Row],[Filtro]])</f>
        <v>Fora do DRE</v>
      </c>
      <c r="W5779" s="3" t="str">
        <f>LEFT(Base_Periodo1[[#This Row],[CLASS]],3)</f>
        <v>2.5</v>
      </c>
    </row>
    <row r="5780" spans="1:23" hidden="1">
      <c r="A5780" s="3" t="str">
        <f t="shared" si="90"/>
        <v>Período 1</v>
      </c>
      <c r="B5780">
        <v>54969</v>
      </c>
      <c r="C5780" t="s">
        <v>5362</v>
      </c>
      <c r="D5780" t="s">
        <v>3541</v>
      </c>
      <c r="E5780" s="3" t="str">
        <f>IF(LEN(Base_Periodo1[[#This Row],[CLASS]])&gt;=7,LEFT(Base_Periodo1[[#This Row],[CLASS]],7),"")</f>
        <v>2.5.1.1</v>
      </c>
      <c r="F5780" s="3" t="e">
        <f>VLOOKUP(Base_Periodo1[[#This Row],[Aux]],Base_Contas_Balanco[#All],2,FALSE)</f>
        <v>#N/A</v>
      </c>
      <c r="G5780" s="1">
        <v>42705</v>
      </c>
      <c r="H5780" s="281">
        <v>0.27000000094994903</v>
      </c>
      <c r="I5780" s="281">
        <v>0</v>
      </c>
      <c r="J5780" s="281">
        <v>0</v>
      </c>
      <c r="K5780" s="281">
        <v>0.27000000094994903</v>
      </c>
      <c r="L578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0.27</v>
      </c>
      <c r="M5780" s="281">
        <f>ROUND(IF(AND(Base_Periodo1[[#This Row],[Tipo_Linha]]="-",Base_Periodo1[[#This Row],[TIPOSALDO]]="D"),Base_Periodo1[[#This Row],[SALDO_ATUAL]]*-1,Base_Periodo1[[#This Row],[SALDO_ATUAL]]),4)</f>
        <v>0.27</v>
      </c>
      <c r="N5780" t="s">
        <v>116</v>
      </c>
      <c r="O5780" t="s">
        <v>459</v>
      </c>
      <c r="P5780" t="s">
        <v>459</v>
      </c>
      <c r="Q5780">
        <v>8</v>
      </c>
      <c r="R5780" s="281">
        <f>Base_Periodo1[[#This Row],[CREDITOS]]-Base_Periodo1[[#This Row],[DEBITOS]]</f>
        <v>0</v>
      </c>
      <c r="S5780" s="3" t="str">
        <f>IF(ISERROR(VLOOKUP(Base_Periodo1[[#This Row],[CONTA]],BaseContasDRE[#All],4,FALSE)),"Fora do DRE",VLOOKUP(Base_Periodo1[[#This Row],[CONTA]],BaseContasDRE[#All],4,FALSE))</f>
        <v>Fora do DRE</v>
      </c>
      <c r="T5780" s="3" t="str">
        <f>IF(ISERROR(VLOOKUP(Base_Periodo1[[#This Row],[CONTA]],BaseContasDRE[#All],5,FALSE)),"Fora do DRE",VLOOKUP(Base_Periodo1[[#This Row],[CONTA]],BaseContasDRE[#All],6,FALSE))</f>
        <v>Fora do DRE</v>
      </c>
      <c r="U5780" s="3" t="str">
        <f>IF(ISERROR(VLOOKUP(Base_Periodo1[[#This Row],[CONTA]],BaseContasDRE[#All],7,FALSE)),"Fora do DRE",VLOOKUP(Base_Periodo1[[#This Row],[CONTA]],BaseContasDRE[#All],7,FALSE))</f>
        <v>Fora do DRE</v>
      </c>
      <c r="V5780" s="3" t="str">
        <f>IF(Base_Periodo1[[#This Row],[Tipo_Linha]]="Fora do DRE","Fora do DRE","( "&amp;Base_Periodo1[[#This Row],[Tipo_Linha]]&amp;" ) "&amp;Base_Periodo1[[#This Row],[Filtro]])</f>
        <v>Fora do DRE</v>
      </c>
      <c r="W5780" s="3" t="str">
        <f>LEFT(Base_Periodo1[[#This Row],[CLASS]],3)</f>
        <v>2.5</v>
      </c>
    </row>
    <row r="5781" spans="1:23" hidden="1">
      <c r="A5781" s="3" t="str">
        <f t="shared" si="90"/>
        <v>Período 1</v>
      </c>
      <c r="B5781">
        <v>25811</v>
      </c>
      <c r="C5781" t="s">
        <v>6578</v>
      </c>
      <c r="D5781" t="s">
        <v>6579</v>
      </c>
      <c r="E5781" s="3" t="str">
        <f>IF(LEN(Base_Periodo1[[#This Row],[CLASS]])&gt;=7,LEFT(Base_Periodo1[[#This Row],[CLASS]],7),"")</f>
        <v>2.5.1.1</v>
      </c>
      <c r="F5781" s="3" t="e">
        <f>VLOOKUP(Base_Periodo1[[#This Row],[Aux]],Base_Contas_Balanco[#All],2,FALSE)</f>
        <v>#N/A</v>
      </c>
      <c r="G5781" s="1">
        <v>42851</v>
      </c>
      <c r="H5781" s="281">
        <v>152406.70000000001</v>
      </c>
      <c r="I5781" s="281">
        <v>0</v>
      </c>
      <c r="J5781" s="281">
        <v>0</v>
      </c>
      <c r="K5781" s="281">
        <v>152406.70000000001</v>
      </c>
      <c r="L578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152406.70000000001</v>
      </c>
      <c r="M5781" s="281">
        <f>ROUND(IF(AND(Base_Periodo1[[#This Row],[Tipo_Linha]]="-",Base_Periodo1[[#This Row],[TIPOSALDO]]="D"),Base_Periodo1[[#This Row],[SALDO_ATUAL]]*-1,Base_Periodo1[[#This Row],[SALDO_ATUAL]]),4)</f>
        <v>152406.70000000001</v>
      </c>
      <c r="N5781" t="s">
        <v>116</v>
      </c>
      <c r="O5781" t="s">
        <v>459</v>
      </c>
      <c r="P5781" t="s">
        <v>459</v>
      </c>
      <c r="Q5781">
        <v>8</v>
      </c>
      <c r="R5781" s="281">
        <f>Base_Periodo1[[#This Row],[CREDITOS]]-Base_Periodo1[[#This Row],[DEBITOS]]</f>
        <v>0</v>
      </c>
      <c r="S5781" s="3" t="str">
        <f>IF(ISERROR(VLOOKUP(Base_Periodo1[[#This Row],[CONTA]],BaseContasDRE[#All],4,FALSE)),"Fora do DRE",VLOOKUP(Base_Periodo1[[#This Row],[CONTA]],BaseContasDRE[#All],4,FALSE))</f>
        <v>Fora do DRE</v>
      </c>
      <c r="T5781" s="3" t="str">
        <f>IF(ISERROR(VLOOKUP(Base_Periodo1[[#This Row],[CONTA]],BaseContasDRE[#All],5,FALSE)),"Fora do DRE",VLOOKUP(Base_Periodo1[[#This Row],[CONTA]],BaseContasDRE[#All],6,FALSE))</f>
        <v>Fora do DRE</v>
      </c>
      <c r="U5781" s="3" t="str">
        <f>IF(ISERROR(VLOOKUP(Base_Periodo1[[#This Row],[CONTA]],BaseContasDRE[#All],7,FALSE)),"Fora do DRE",VLOOKUP(Base_Periodo1[[#This Row],[CONTA]],BaseContasDRE[#All],7,FALSE))</f>
        <v>Fora do DRE</v>
      </c>
      <c r="V5781" s="3" t="str">
        <f>IF(Base_Periodo1[[#This Row],[Tipo_Linha]]="Fora do DRE","Fora do DRE","( "&amp;Base_Periodo1[[#This Row],[Tipo_Linha]]&amp;" ) "&amp;Base_Periodo1[[#This Row],[Filtro]])</f>
        <v>Fora do DRE</v>
      </c>
      <c r="W5781" s="3" t="str">
        <f>LEFT(Base_Periodo1[[#This Row],[CLASS]],3)</f>
        <v>2.5</v>
      </c>
    </row>
    <row r="5782" spans="1:23" hidden="1">
      <c r="A5782" s="3" t="str">
        <f t="shared" si="90"/>
        <v>Período 1</v>
      </c>
      <c r="B5782">
        <v>1744</v>
      </c>
      <c r="C5782" t="s">
        <v>4484</v>
      </c>
      <c r="D5782" t="s">
        <v>1381</v>
      </c>
      <c r="E5782" s="3" t="str">
        <f>IF(LEN(Base_Periodo1[[#This Row],[CLASS]])&gt;=7,LEFT(Base_Periodo1[[#This Row],[CLASS]],7),"")</f>
        <v>2.5.1.1</v>
      </c>
      <c r="F5782" s="3" t="e">
        <f>VLOOKUP(Base_Periodo1[[#This Row],[Aux]],Base_Contas_Balanco[#All],2,FALSE)</f>
        <v>#N/A</v>
      </c>
      <c r="G5782" s="1"/>
      <c r="H5782" s="281">
        <v>1773.130000000001</v>
      </c>
      <c r="I5782" s="281">
        <v>0</v>
      </c>
      <c r="J5782" s="281">
        <v>0</v>
      </c>
      <c r="K5782" s="281">
        <v>1773.130000000001</v>
      </c>
      <c r="L578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1773.13</v>
      </c>
      <c r="M5782" s="281">
        <f>ROUND(IF(AND(Base_Periodo1[[#This Row],[Tipo_Linha]]="-",Base_Periodo1[[#This Row],[TIPOSALDO]]="D"),Base_Periodo1[[#This Row],[SALDO_ATUAL]]*-1,Base_Periodo1[[#This Row],[SALDO_ATUAL]]),4)</f>
        <v>1773.13</v>
      </c>
      <c r="N5782" t="s">
        <v>396</v>
      </c>
      <c r="O5782" t="s">
        <v>459</v>
      </c>
      <c r="P5782" t="s">
        <v>459</v>
      </c>
      <c r="Q5782">
        <v>5</v>
      </c>
      <c r="R5782" s="281">
        <f>Base_Periodo1[[#This Row],[CREDITOS]]-Base_Periodo1[[#This Row],[DEBITOS]]</f>
        <v>0</v>
      </c>
      <c r="S5782" s="3" t="str">
        <f>IF(ISERROR(VLOOKUP(Base_Periodo1[[#This Row],[CONTA]],BaseContasDRE[#All],4,FALSE)),"Fora do DRE",VLOOKUP(Base_Periodo1[[#This Row],[CONTA]],BaseContasDRE[#All],4,FALSE))</f>
        <v>Fora do DRE</v>
      </c>
      <c r="T5782" s="3" t="str">
        <f>IF(ISERROR(VLOOKUP(Base_Periodo1[[#This Row],[CONTA]],BaseContasDRE[#All],5,FALSE)),"Fora do DRE",VLOOKUP(Base_Periodo1[[#This Row],[CONTA]],BaseContasDRE[#All],6,FALSE))</f>
        <v>Fora do DRE</v>
      </c>
      <c r="U5782" s="3" t="str">
        <f>IF(ISERROR(VLOOKUP(Base_Periodo1[[#This Row],[CONTA]],BaseContasDRE[#All],7,FALSE)),"Fora do DRE",VLOOKUP(Base_Periodo1[[#This Row],[CONTA]],BaseContasDRE[#All],7,FALSE))</f>
        <v>Fora do DRE</v>
      </c>
      <c r="V5782" s="3" t="str">
        <f>IF(Base_Periodo1[[#This Row],[Tipo_Linha]]="Fora do DRE","Fora do DRE","( "&amp;Base_Periodo1[[#This Row],[Tipo_Linha]]&amp;" ) "&amp;Base_Periodo1[[#This Row],[Filtro]])</f>
        <v>Fora do DRE</v>
      </c>
      <c r="W5782" s="3" t="str">
        <f>LEFT(Base_Periodo1[[#This Row],[CLASS]],3)</f>
        <v>2.5</v>
      </c>
    </row>
    <row r="5783" spans="1:23" hidden="1">
      <c r="A5783" s="3" t="str">
        <f t="shared" si="90"/>
        <v>Período 1</v>
      </c>
      <c r="B5783">
        <v>1745</v>
      </c>
      <c r="C5783" t="s">
        <v>4485</v>
      </c>
      <c r="D5783" t="s">
        <v>1383</v>
      </c>
      <c r="E5783" s="3" t="str">
        <f>IF(LEN(Base_Periodo1[[#This Row],[CLASS]])&gt;=7,LEFT(Base_Periodo1[[#This Row],[CLASS]],7),"")</f>
        <v>2.5.1.1</v>
      </c>
      <c r="F5783" s="3" t="e">
        <f>VLOOKUP(Base_Periodo1[[#This Row],[Aux]],Base_Contas_Balanco[#All],2,FALSE)</f>
        <v>#N/A</v>
      </c>
      <c r="G5783" s="1"/>
      <c r="H5783" s="281">
        <v>1773.130000000001</v>
      </c>
      <c r="I5783" s="281">
        <v>0</v>
      </c>
      <c r="J5783" s="281">
        <v>0</v>
      </c>
      <c r="K5783" s="281">
        <v>1773.130000000001</v>
      </c>
      <c r="L578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1773.13</v>
      </c>
      <c r="M5783" s="281">
        <f>ROUND(IF(AND(Base_Periodo1[[#This Row],[Tipo_Linha]]="-",Base_Periodo1[[#This Row],[TIPOSALDO]]="D"),Base_Periodo1[[#This Row],[SALDO_ATUAL]]*-1,Base_Periodo1[[#This Row],[SALDO_ATUAL]]),4)</f>
        <v>1773.13</v>
      </c>
      <c r="N5783" t="s">
        <v>396</v>
      </c>
      <c r="O5783" t="s">
        <v>459</v>
      </c>
      <c r="P5783" t="s">
        <v>459</v>
      </c>
      <c r="Q5783">
        <v>6</v>
      </c>
      <c r="R5783" s="281">
        <f>Base_Periodo1[[#This Row],[CREDITOS]]-Base_Periodo1[[#This Row],[DEBITOS]]</f>
        <v>0</v>
      </c>
      <c r="S5783" s="3" t="str">
        <f>IF(ISERROR(VLOOKUP(Base_Periodo1[[#This Row],[CONTA]],BaseContasDRE[#All],4,FALSE)),"Fora do DRE",VLOOKUP(Base_Periodo1[[#This Row],[CONTA]],BaseContasDRE[#All],4,FALSE))</f>
        <v>Fora do DRE</v>
      </c>
      <c r="T5783" s="3" t="str">
        <f>IF(ISERROR(VLOOKUP(Base_Periodo1[[#This Row],[CONTA]],BaseContasDRE[#All],5,FALSE)),"Fora do DRE",VLOOKUP(Base_Periodo1[[#This Row],[CONTA]],BaseContasDRE[#All],6,FALSE))</f>
        <v>Fora do DRE</v>
      </c>
      <c r="U5783" s="3" t="str">
        <f>IF(ISERROR(VLOOKUP(Base_Periodo1[[#This Row],[CONTA]],BaseContasDRE[#All],7,FALSE)),"Fora do DRE",VLOOKUP(Base_Periodo1[[#This Row],[CONTA]],BaseContasDRE[#All],7,FALSE))</f>
        <v>Fora do DRE</v>
      </c>
      <c r="V5783" s="3" t="str">
        <f>IF(Base_Periodo1[[#This Row],[Tipo_Linha]]="Fora do DRE","Fora do DRE","( "&amp;Base_Periodo1[[#This Row],[Tipo_Linha]]&amp;" ) "&amp;Base_Periodo1[[#This Row],[Filtro]])</f>
        <v>Fora do DRE</v>
      </c>
      <c r="W5783" s="3" t="str">
        <f>LEFT(Base_Periodo1[[#This Row],[CLASS]],3)</f>
        <v>2.5</v>
      </c>
    </row>
    <row r="5784" spans="1:23" hidden="1">
      <c r="A5784" s="3" t="str">
        <f t="shared" si="90"/>
        <v>Período 1</v>
      </c>
      <c r="B5784">
        <v>29662</v>
      </c>
      <c r="C5784" t="s">
        <v>4486</v>
      </c>
      <c r="D5784" t="s">
        <v>4445</v>
      </c>
      <c r="E5784" s="3" t="str">
        <f>IF(LEN(Base_Periodo1[[#This Row],[CLASS]])&gt;=7,LEFT(Base_Periodo1[[#This Row],[CLASS]],7),"")</f>
        <v>2.5.1.1</v>
      </c>
      <c r="F5784" s="3" t="e">
        <f>VLOOKUP(Base_Periodo1[[#This Row],[Aux]],Base_Contas_Balanco[#All],2,FALSE)</f>
        <v>#N/A</v>
      </c>
      <c r="G5784" s="1"/>
      <c r="H5784" s="281">
        <v>1773.130000000001</v>
      </c>
      <c r="I5784" s="281">
        <v>0</v>
      </c>
      <c r="J5784" s="281">
        <v>0</v>
      </c>
      <c r="K5784" s="281">
        <v>1773.130000000001</v>
      </c>
      <c r="L578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1773.13</v>
      </c>
      <c r="M5784" s="281">
        <f>ROUND(IF(AND(Base_Periodo1[[#This Row],[Tipo_Linha]]="-",Base_Periodo1[[#This Row],[TIPOSALDO]]="D"),Base_Periodo1[[#This Row],[SALDO_ATUAL]]*-1,Base_Periodo1[[#This Row],[SALDO_ATUAL]]),4)</f>
        <v>1773.13</v>
      </c>
      <c r="N5784" t="s">
        <v>396</v>
      </c>
      <c r="O5784" t="s">
        <v>459</v>
      </c>
      <c r="P5784" t="s">
        <v>459</v>
      </c>
      <c r="Q5784">
        <v>7</v>
      </c>
      <c r="R5784" s="281">
        <f>Base_Periodo1[[#This Row],[CREDITOS]]-Base_Periodo1[[#This Row],[DEBITOS]]</f>
        <v>0</v>
      </c>
      <c r="S5784" s="3" t="str">
        <f>IF(ISERROR(VLOOKUP(Base_Periodo1[[#This Row],[CONTA]],BaseContasDRE[#All],4,FALSE)),"Fora do DRE",VLOOKUP(Base_Periodo1[[#This Row],[CONTA]],BaseContasDRE[#All],4,FALSE))</f>
        <v>Fora do DRE</v>
      </c>
      <c r="T5784" s="3" t="str">
        <f>IF(ISERROR(VLOOKUP(Base_Periodo1[[#This Row],[CONTA]],BaseContasDRE[#All],5,FALSE)),"Fora do DRE",VLOOKUP(Base_Periodo1[[#This Row],[CONTA]],BaseContasDRE[#All],6,FALSE))</f>
        <v>Fora do DRE</v>
      </c>
      <c r="U5784" s="3" t="str">
        <f>IF(ISERROR(VLOOKUP(Base_Periodo1[[#This Row],[CONTA]],BaseContasDRE[#All],7,FALSE)),"Fora do DRE",VLOOKUP(Base_Periodo1[[#This Row],[CONTA]],BaseContasDRE[#All],7,FALSE))</f>
        <v>Fora do DRE</v>
      </c>
      <c r="V5784" s="3" t="str">
        <f>IF(Base_Periodo1[[#This Row],[Tipo_Linha]]="Fora do DRE","Fora do DRE","( "&amp;Base_Periodo1[[#This Row],[Tipo_Linha]]&amp;" ) "&amp;Base_Periodo1[[#This Row],[Filtro]])</f>
        <v>Fora do DRE</v>
      </c>
      <c r="W5784" s="3" t="str">
        <f>LEFT(Base_Periodo1[[#This Row],[CLASS]],3)</f>
        <v>2.5</v>
      </c>
    </row>
    <row r="5785" spans="1:23" hidden="1">
      <c r="A5785" s="3" t="str">
        <f t="shared" si="90"/>
        <v>Período 1</v>
      </c>
      <c r="B5785">
        <v>29663</v>
      </c>
      <c r="C5785" t="s">
        <v>4487</v>
      </c>
      <c r="D5785" t="s">
        <v>4447</v>
      </c>
      <c r="E5785" s="3" t="str">
        <f>IF(LEN(Base_Periodo1[[#This Row],[CLASS]])&gt;=7,LEFT(Base_Periodo1[[#This Row],[CLASS]],7),"")</f>
        <v>2.5.1.1</v>
      </c>
      <c r="F5785" s="3" t="e">
        <f>VLOOKUP(Base_Periodo1[[#This Row],[Aux]],Base_Contas_Balanco[#All],2,FALSE)</f>
        <v>#N/A</v>
      </c>
      <c r="G5785" s="1">
        <v>42851</v>
      </c>
      <c r="H5785" s="281">
        <v>1773.130000000001</v>
      </c>
      <c r="I5785" s="281">
        <v>0</v>
      </c>
      <c r="J5785" s="281">
        <v>0</v>
      </c>
      <c r="K5785" s="281">
        <v>1773.130000000001</v>
      </c>
      <c r="L578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1773.13</v>
      </c>
      <c r="M5785" s="281">
        <f>ROUND(IF(AND(Base_Periodo1[[#This Row],[Tipo_Linha]]="-",Base_Periodo1[[#This Row],[TIPOSALDO]]="D"),Base_Periodo1[[#This Row],[SALDO_ATUAL]]*-1,Base_Periodo1[[#This Row],[SALDO_ATUAL]]),4)</f>
        <v>1773.13</v>
      </c>
      <c r="N5785" t="s">
        <v>116</v>
      </c>
      <c r="O5785" t="s">
        <v>459</v>
      </c>
      <c r="P5785" t="s">
        <v>459</v>
      </c>
      <c r="Q5785">
        <v>8</v>
      </c>
      <c r="R5785" s="281">
        <f>Base_Periodo1[[#This Row],[CREDITOS]]-Base_Periodo1[[#This Row],[DEBITOS]]</f>
        <v>0</v>
      </c>
      <c r="S5785" s="3" t="str">
        <f>IF(ISERROR(VLOOKUP(Base_Periodo1[[#This Row],[CONTA]],BaseContasDRE[#All],4,FALSE)),"Fora do DRE",VLOOKUP(Base_Periodo1[[#This Row],[CONTA]],BaseContasDRE[#All],4,FALSE))</f>
        <v>Fora do DRE</v>
      </c>
      <c r="T5785" s="3" t="str">
        <f>IF(ISERROR(VLOOKUP(Base_Periodo1[[#This Row],[CONTA]],BaseContasDRE[#All],5,FALSE)),"Fora do DRE",VLOOKUP(Base_Periodo1[[#This Row],[CONTA]],BaseContasDRE[#All],6,FALSE))</f>
        <v>Fora do DRE</v>
      </c>
      <c r="U5785" s="3" t="str">
        <f>IF(ISERROR(VLOOKUP(Base_Periodo1[[#This Row],[CONTA]],BaseContasDRE[#All],7,FALSE)),"Fora do DRE",VLOOKUP(Base_Periodo1[[#This Row],[CONTA]],BaseContasDRE[#All],7,FALSE))</f>
        <v>Fora do DRE</v>
      </c>
      <c r="V5785" s="3" t="str">
        <f>IF(Base_Periodo1[[#This Row],[Tipo_Linha]]="Fora do DRE","Fora do DRE","( "&amp;Base_Periodo1[[#This Row],[Tipo_Linha]]&amp;" ) "&amp;Base_Periodo1[[#This Row],[Filtro]])</f>
        <v>Fora do DRE</v>
      </c>
      <c r="W5785" s="3" t="str">
        <f>LEFT(Base_Periodo1[[#This Row],[CLASS]],3)</f>
        <v>2.5</v>
      </c>
    </row>
    <row r="5786" spans="1:23" hidden="1">
      <c r="A5786" s="3" t="str">
        <f t="shared" si="90"/>
        <v>Período 1</v>
      </c>
      <c r="B5786">
        <v>1747</v>
      </c>
      <c r="C5786" t="s">
        <v>5363</v>
      </c>
      <c r="D5786" t="s">
        <v>5316</v>
      </c>
      <c r="E5786" s="3" t="str">
        <f>IF(LEN(Base_Periodo1[[#This Row],[CLASS]])&gt;=7,LEFT(Base_Periodo1[[#This Row],[CLASS]],7),"")</f>
        <v>2.5.1.2</v>
      </c>
      <c r="F5786" s="3" t="e">
        <f>VLOOKUP(Base_Periodo1[[#This Row],[Aux]],Base_Contas_Balanco[#All],2,FALSE)</f>
        <v>#N/A</v>
      </c>
      <c r="G5786" s="1"/>
      <c r="H5786" s="281">
        <v>108674.93999999989</v>
      </c>
      <c r="I5786" s="281">
        <v>0</v>
      </c>
      <c r="J5786" s="281">
        <v>0</v>
      </c>
      <c r="K5786" s="281">
        <v>108674.93999999989</v>
      </c>
      <c r="L578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108674.94</v>
      </c>
      <c r="M5786" s="281">
        <f>ROUND(IF(AND(Base_Periodo1[[#This Row],[Tipo_Linha]]="-",Base_Periodo1[[#This Row],[TIPOSALDO]]="D"),Base_Periodo1[[#This Row],[SALDO_ATUAL]]*-1,Base_Periodo1[[#This Row],[SALDO_ATUAL]]),4)</f>
        <v>108674.94</v>
      </c>
      <c r="N5786" t="s">
        <v>396</v>
      </c>
      <c r="O5786" t="s">
        <v>459</v>
      </c>
      <c r="P5786" t="s">
        <v>459</v>
      </c>
      <c r="Q5786">
        <v>4</v>
      </c>
      <c r="R5786" s="281">
        <f>Base_Periodo1[[#This Row],[CREDITOS]]-Base_Periodo1[[#This Row],[DEBITOS]]</f>
        <v>0</v>
      </c>
      <c r="S5786" s="3" t="str">
        <f>IF(ISERROR(VLOOKUP(Base_Periodo1[[#This Row],[CONTA]],BaseContasDRE[#All],4,FALSE)),"Fora do DRE",VLOOKUP(Base_Periodo1[[#This Row],[CONTA]],BaseContasDRE[#All],4,FALSE))</f>
        <v>Fora do DRE</v>
      </c>
      <c r="T5786" s="3" t="str">
        <f>IF(ISERROR(VLOOKUP(Base_Periodo1[[#This Row],[CONTA]],BaseContasDRE[#All],5,FALSE)),"Fora do DRE",VLOOKUP(Base_Periodo1[[#This Row],[CONTA]],BaseContasDRE[#All],6,FALSE))</f>
        <v>Fora do DRE</v>
      </c>
      <c r="U5786" s="3" t="str">
        <f>IF(ISERROR(VLOOKUP(Base_Periodo1[[#This Row],[CONTA]],BaseContasDRE[#All],7,FALSE)),"Fora do DRE",VLOOKUP(Base_Periodo1[[#This Row],[CONTA]],BaseContasDRE[#All],7,FALSE))</f>
        <v>Fora do DRE</v>
      </c>
      <c r="V5786" s="3" t="str">
        <f>IF(Base_Periodo1[[#This Row],[Tipo_Linha]]="Fora do DRE","Fora do DRE","( "&amp;Base_Periodo1[[#This Row],[Tipo_Linha]]&amp;" ) "&amp;Base_Periodo1[[#This Row],[Filtro]])</f>
        <v>Fora do DRE</v>
      </c>
      <c r="W5786" s="3" t="str">
        <f>LEFT(Base_Periodo1[[#This Row],[CLASS]],3)</f>
        <v>2.5</v>
      </c>
    </row>
    <row r="5787" spans="1:23" hidden="1">
      <c r="A5787" s="3" t="str">
        <f t="shared" si="90"/>
        <v>Período 1</v>
      </c>
      <c r="B5787">
        <v>38046</v>
      </c>
      <c r="C5787" t="s">
        <v>5364</v>
      </c>
      <c r="D5787" t="s">
        <v>1381</v>
      </c>
      <c r="E5787" s="3" t="str">
        <f>IF(LEN(Base_Periodo1[[#This Row],[CLASS]])&gt;=7,LEFT(Base_Periodo1[[#This Row],[CLASS]],7),"")</f>
        <v>2.5.1.2</v>
      </c>
      <c r="F5787" s="3" t="e">
        <f>VLOOKUP(Base_Periodo1[[#This Row],[Aux]],Base_Contas_Balanco[#All],2,FALSE)</f>
        <v>#N/A</v>
      </c>
      <c r="G5787" s="1"/>
      <c r="H5787" s="281">
        <v>108674.93999999989</v>
      </c>
      <c r="I5787" s="281">
        <v>0</v>
      </c>
      <c r="J5787" s="281">
        <v>0</v>
      </c>
      <c r="K5787" s="281">
        <v>108674.93999999989</v>
      </c>
      <c r="L578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108674.94</v>
      </c>
      <c r="M5787" s="281">
        <f>ROUND(IF(AND(Base_Periodo1[[#This Row],[Tipo_Linha]]="-",Base_Periodo1[[#This Row],[TIPOSALDO]]="D"),Base_Periodo1[[#This Row],[SALDO_ATUAL]]*-1,Base_Periodo1[[#This Row],[SALDO_ATUAL]]),4)</f>
        <v>108674.94</v>
      </c>
      <c r="N5787" t="s">
        <v>396</v>
      </c>
      <c r="O5787" t="s">
        <v>459</v>
      </c>
      <c r="P5787" t="s">
        <v>459</v>
      </c>
      <c r="Q5787">
        <v>5</v>
      </c>
      <c r="R5787" s="281">
        <f>Base_Periodo1[[#This Row],[CREDITOS]]-Base_Periodo1[[#This Row],[DEBITOS]]</f>
        <v>0</v>
      </c>
      <c r="S5787" s="3" t="str">
        <f>IF(ISERROR(VLOOKUP(Base_Periodo1[[#This Row],[CONTA]],BaseContasDRE[#All],4,FALSE)),"Fora do DRE",VLOOKUP(Base_Periodo1[[#This Row],[CONTA]],BaseContasDRE[#All],4,FALSE))</f>
        <v>Fora do DRE</v>
      </c>
      <c r="T5787" s="3" t="str">
        <f>IF(ISERROR(VLOOKUP(Base_Periodo1[[#This Row],[CONTA]],BaseContasDRE[#All],5,FALSE)),"Fora do DRE",VLOOKUP(Base_Periodo1[[#This Row],[CONTA]],BaseContasDRE[#All],6,FALSE))</f>
        <v>Fora do DRE</v>
      </c>
      <c r="U5787" s="3" t="str">
        <f>IF(ISERROR(VLOOKUP(Base_Periodo1[[#This Row],[CONTA]],BaseContasDRE[#All],7,FALSE)),"Fora do DRE",VLOOKUP(Base_Periodo1[[#This Row],[CONTA]],BaseContasDRE[#All],7,FALSE))</f>
        <v>Fora do DRE</v>
      </c>
      <c r="V5787" s="3" t="str">
        <f>IF(Base_Periodo1[[#This Row],[Tipo_Linha]]="Fora do DRE","Fora do DRE","( "&amp;Base_Periodo1[[#This Row],[Tipo_Linha]]&amp;" ) "&amp;Base_Periodo1[[#This Row],[Filtro]])</f>
        <v>Fora do DRE</v>
      </c>
      <c r="W5787" s="3" t="str">
        <f>LEFT(Base_Periodo1[[#This Row],[CLASS]],3)</f>
        <v>2.5</v>
      </c>
    </row>
    <row r="5788" spans="1:23" hidden="1">
      <c r="A5788" s="3" t="str">
        <f t="shared" si="90"/>
        <v>Período 1</v>
      </c>
      <c r="B5788">
        <v>38047</v>
      </c>
      <c r="C5788" t="s">
        <v>5365</v>
      </c>
      <c r="D5788" t="s">
        <v>1383</v>
      </c>
      <c r="E5788" s="3" t="str">
        <f>IF(LEN(Base_Periodo1[[#This Row],[CLASS]])&gt;=7,LEFT(Base_Periodo1[[#This Row],[CLASS]],7),"")</f>
        <v>2.5.1.2</v>
      </c>
      <c r="F5788" s="3" t="e">
        <f>VLOOKUP(Base_Periodo1[[#This Row],[Aux]],Base_Contas_Balanco[#All],2,FALSE)</f>
        <v>#N/A</v>
      </c>
      <c r="G5788" s="1"/>
      <c r="H5788" s="281">
        <v>108674.93999999989</v>
      </c>
      <c r="I5788" s="281">
        <v>0</v>
      </c>
      <c r="J5788" s="281">
        <v>0</v>
      </c>
      <c r="K5788" s="281">
        <v>108674.93999999989</v>
      </c>
      <c r="L578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108674.94</v>
      </c>
      <c r="M5788" s="281">
        <f>ROUND(IF(AND(Base_Periodo1[[#This Row],[Tipo_Linha]]="-",Base_Periodo1[[#This Row],[TIPOSALDO]]="D"),Base_Periodo1[[#This Row],[SALDO_ATUAL]]*-1,Base_Periodo1[[#This Row],[SALDO_ATUAL]]),4)</f>
        <v>108674.94</v>
      </c>
      <c r="N5788" t="s">
        <v>396</v>
      </c>
      <c r="O5788" t="s">
        <v>459</v>
      </c>
      <c r="P5788" t="s">
        <v>459</v>
      </c>
      <c r="Q5788">
        <v>6</v>
      </c>
      <c r="R5788" s="281">
        <f>Base_Periodo1[[#This Row],[CREDITOS]]-Base_Periodo1[[#This Row],[DEBITOS]]</f>
        <v>0</v>
      </c>
      <c r="S5788" s="3" t="str">
        <f>IF(ISERROR(VLOOKUP(Base_Periodo1[[#This Row],[CONTA]],BaseContasDRE[#All],4,FALSE)),"Fora do DRE",VLOOKUP(Base_Periodo1[[#This Row],[CONTA]],BaseContasDRE[#All],4,FALSE))</f>
        <v>Fora do DRE</v>
      </c>
      <c r="T5788" s="3" t="str">
        <f>IF(ISERROR(VLOOKUP(Base_Periodo1[[#This Row],[CONTA]],BaseContasDRE[#All],5,FALSE)),"Fora do DRE",VLOOKUP(Base_Periodo1[[#This Row],[CONTA]],BaseContasDRE[#All],6,FALSE))</f>
        <v>Fora do DRE</v>
      </c>
      <c r="U5788" s="3" t="str">
        <f>IF(ISERROR(VLOOKUP(Base_Periodo1[[#This Row],[CONTA]],BaseContasDRE[#All],7,FALSE)),"Fora do DRE",VLOOKUP(Base_Periodo1[[#This Row],[CONTA]],BaseContasDRE[#All],7,FALSE))</f>
        <v>Fora do DRE</v>
      </c>
      <c r="V5788" s="3" t="str">
        <f>IF(Base_Periodo1[[#This Row],[Tipo_Linha]]="Fora do DRE","Fora do DRE","( "&amp;Base_Periodo1[[#This Row],[Tipo_Linha]]&amp;" ) "&amp;Base_Periodo1[[#This Row],[Filtro]])</f>
        <v>Fora do DRE</v>
      </c>
      <c r="W5788" s="3" t="str">
        <f>LEFT(Base_Periodo1[[#This Row],[CLASS]],3)</f>
        <v>2.5</v>
      </c>
    </row>
    <row r="5789" spans="1:23" hidden="1">
      <c r="A5789" s="3" t="str">
        <f t="shared" si="90"/>
        <v>Período 1</v>
      </c>
      <c r="B5789">
        <v>38048</v>
      </c>
      <c r="C5789" t="s">
        <v>5366</v>
      </c>
      <c r="D5789" t="s">
        <v>1425</v>
      </c>
      <c r="E5789" s="3" t="str">
        <f>IF(LEN(Base_Periodo1[[#This Row],[CLASS]])&gt;=7,LEFT(Base_Periodo1[[#This Row],[CLASS]],7),"")</f>
        <v>2.5.1.2</v>
      </c>
      <c r="F5789" s="3" t="e">
        <f>VLOOKUP(Base_Periodo1[[#This Row],[Aux]],Base_Contas_Balanco[#All],2,FALSE)</f>
        <v>#N/A</v>
      </c>
      <c r="G5789" s="1"/>
      <c r="H5789" s="281">
        <v>108674.93999999989</v>
      </c>
      <c r="I5789" s="281">
        <v>0</v>
      </c>
      <c r="J5789" s="281">
        <v>0</v>
      </c>
      <c r="K5789" s="281">
        <v>108674.93999999989</v>
      </c>
      <c r="L578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108674.94</v>
      </c>
      <c r="M5789" s="281">
        <f>ROUND(IF(AND(Base_Periodo1[[#This Row],[Tipo_Linha]]="-",Base_Periodo1[[#This Row],[TIPOSALDO]]="D"),Base_Periodo1[[#This Row],[SALDO_ATUAL]]*-1,Base_Periodo1[[#This Row],[SALDO_ATUAL]]),4)</f>
        <v>108674.94</v>
      </c>
      <c r="N5789" t="s">
        <v>396</v>
      </c>
      <c r="O5789" t="s">
        <v>459</v>
      </c>
      <c r="P5789" t="s">
        <v>459</v>
      </c>
      <c r="Q5789">
        <v>7</v>
      </c>
      <c r="R5789" s="281">
        <f>Base_Periodo1[[#This Row],[CREDITOS]]-Base_Periodo1[[#This Row],[DEBITOS]]</f>
        <v>0</v>
      </c>
      <c r="S5789" s="3" t="str">
        <f>IF(ISERROR(VLOOKUP(Base_Periodo1[[#This Row],[CONTA]],BaseContasDRE[#All],4,FALSE)),"Fora do DRE",VLOOKUP(Base_Periodo1[[#This Row],[CONTA]],BaseContasDRE[#All],4,FALSE))</f>
        <v>Fora do DRE</v>
      </c>
      <c r="T5789" s="3" t="str">
        <f>IF(ISERROR(VLOOKUP(Base_Periodo1[[#This Row],[CONTA]],BaseContasDRE[#All],5,FALSE)),"Fora do DRE",VLOOKUP(Base_Periodo1[[#This Row],[CONTA]],BaseContasDRE[#All],6,FALSE))</f>
        <v>Fora do DRE</v>
      </c>
      <c r="U5789" s="3" t="str">
        <f>IF(ISERROR(VLOOKUP(Base_Periodo1[[#This Row],[CONTA]],BaseContasDRE[#All],7,FALSE)),"Fora do DRE",VLOOKUP(Base_Periodo1[[#This Row],[CONTA]],BaseContasDRE[#All],7,FALSE))</f>
        <v>Fora do DRE</v>
      </c>
      <c r="V5789" s="3" t="str">
        <f>IF(Base_Periodo1[[#This Row],[Tipo_Linha]]="Fora do DRE","Fora do DRE","( "&amp;Base_Periodo1[[#This Row],[Tipo_Linha]]&amp;" ) "&amp;Base_Periodo1[[#This Row],[Filtro]])</f>
        <v>Fora do DRE</v>
      </c>
      <c r="W5789" s="3" t="str">
        <f>LEFT(Base_Periodo1[[#This Row],[CLASS]],3)</f>
        <v>2.5</v>
      </c>
    </row>
    <row r="5790" spans="1:23" hidden="1">
      <c r="A5790" s="3" t="str">
        <f t="shared" si="90"/>
        <v>Período 1</v>
      </c>
      <c r="B5790">
        <v>38049</v>
      </c>
      <c r="C5790" t="s">
        <v>5367</v>
      </c>
      <c r="D5790" t="s">
        <v>5368</v>
      </c>
      <c r="E5790" s="3" t="str">
        <f>IF(LEN(Base_Periodo1[[#This Row],[CLASS]])&gt;=7,LEFT(Base_Periodo1[[#This Row],[CLASS]],7),"")</f>
        <v>2.5.1.2</v>
      </c>
      <c r="F5790" s="3" t="e">
        <f>VLOOKUP(Base_Periodo1[[#This Row],[Aux]],Base_Contas_Balanco[#All],2,FALSE)</f>
        <v>#N/A</v>
      </c>
      <c r="G5790" s="1">
        <v>42845</v>
      </c>
      <c r="H5790" s="281">
        <v>108674.93999999989</v>
      </c>
      <c r="I5790" s="281">
        <v>0</v>
      </c>
      <c r="J5790" s="281">
        <v>0</v>
      </c>
      <c r="K5790" s="281">
        <v>108674.93999999989</v>
      </c>
      <c r="L579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108674.94</v>
      </c>
      <c r="M5790" s="281">
        <f>ROUND(IF(AND(Base_Periodo1[[#This Row],[Tipo_Linha]]="-",Base_Periodo1[[#This Row],[TIPOSALDO]]="D"),Base_Periodo1[[#This Row],[SALDO_ATUAL]]*-1,Base_Periodo1[[#This Row],[SALDO_ATUAL]]),4)</f>
        <v>108674.94</v>
      </c>
      <c r="N5790" t="s">
        <v>116</v>
      </c>
      <c r="O5790" t="s">
        <v>459</v>
      </c>
      <c r="P5790" t="s">
        <v>459</v>
      </c>
      <c r="Q5790">
        <v>8</v>
      </c>
      <c r="R5790" s="281">
        <f>Base_Periodo1[[#This Row],[CREDITOS]]-Base_Periodo1[[#This Row],[DEBITOS]]</f>
        <v>0</v>
      </c>
      <c r="S5790" s="3" t="str">
        <f>IF(ISERROR(VLOOKUP(Base_Periodo1[[#This Row],[CONTA]],BaseContasDRE[#All],4,FALSE)),"Fora do DRE",VLOOKUP(Base_Periodo1[[#This Row],[CONTA]],BaseContasDRE[#All],4,FALSE))</f>
        <v>Fora do DRE</v>
      </c>
      <c r="T5790" s="3" t="str">
        <f>IF(ISERROR(VLOOKUP(Base_Periodo1[[#This Row],[CONTA]],BaseContasDRE[#All],5,FALSE)),"Fora do DRE",VLOOKUP(Base_Periodo1[[#This Row],[CONTA]],BaseContasDRE[#All],6,FALSE))</f>
        <v>Fora do DRE</v>
      </c>
      <c r="U5790" s="3" t="str">
        <f>IF(ISERROR(VLOOKUP(Base_Periodo1[[#This Row],[CONTA]],BaseContasDRE[#All],7,FALSE)),"Fora do DRE",VLOOKUP(Base_Periodo1[[#This Row],[CONTA]],BaseContasDRE[#All],7,FALSE))</f>
        <v>Fora do DRE</v>
      </c>
      <c r="V5790" s="3" t="str">
        <f>IF(Base_Periodo1[[#This Row],[Tipo_Linha]]="Fora do DRE","Fora do DRE","( "&amp;Base_Periodo1[[#This Row],[Tipo_Linha]]&amp;" ) "&amp;Base_Periodo1[[#This Row],[Filtro]])</f>
        <v>Fora do DRE</v>
      </c>
      <c r="W5790" s="3" t="str">
        <f>LEFT(Base_Periodo1[[#This Row],[CLASS]],3)</f>
        <v>2.5</v>
      </c>
    </row>
    <row r="5791" spans="1:23" hidden="1">
      <c r="A5791" s="3" t="str">
        <f t="shared" si="90"/>
        <v>Período 1</v>
      </c>
      <c r="B5791">
        <v>1748</v>
      </c>
      <c r="C5791" t="s">
        <v>3549</v>
      </c>
      <c r="D5791" t="s">
        <v>1712</v>
      </c>
      <c r="E5791" s="3" t="str">
        <f>IF(LEN(Base_Periodo1[[#This Row],[CLASS]])&gt;=7,LEFT(Base_Periodo1[[#This Row],[CLASS]],7),"")</f>
        <v>2.5.1.3</v>
      </c>
      <c r="F5791" s="3" t="e">
        <f>VLOOKUP(Base_Periodo1[[#This Row],[Aux]],Base_Contas_Balanco[#All],2,FALSE)</f>
        <v>#N/A</v>
      </c>
      <c r="G5791" s="1"/>
      <c r="H5791" s="281">
        <v>97793.66000014903</v>
      </c>
      <c r="I5791" s="281">
        <v>24690.21</v>
      </c>
      <c r="J5791" s="281">
        <v>0</v>
      </c>
      <c r="K5791" s="281">
        <v>73103.450000149023</v>
      </c>
      <c r="L579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73103.45</v>
      </c>
      <c r="M5791" s="281">
        <f>ROUND(IF(AND(Base_Periodo1[[#This Row],[Tipo_Linha]]="-",Base_Periodo1[[#This Row],[TIPOSALDO]]="D"),Base_Periodo1[[#This Row],[SALDO_ATUAL]]*-1,Base_Periodo1[[#This Row],[SALDO_ATUAL]]),4)</f>
        <v>73103.45</v>
      </c>
      <c r="N5791" t="s">
        <v>396</v>
      </c>
      <c r="O5791" t="s">
        <v>459</v>
      </c>
      <c r="P5791" t="s">
        <v>459</v>
      </c>
      <c r="Q5791">
        <v>4</v>
      </c>
      <c r="R5791" s="281">
        <f>Base_Periodo1[[#This Row],[CREDITOS]]-Base_Periodo1[[#This Row],[DEBITOS]]</f>
        <v>-24690.21</v>
      </c>
      <c r="S5791" s="3" t="str">
        <f>IF(ISERROR(VLOOKUP(Base_Periodo1[[#This Row],[CONTA]],BaseContasDRE[#All],4,FALSE)),"Fora do DRE",VLOOKUP(Base_Periodo1[[#This Row],[CONTA]],BaseContasDRE[#All],4,FALSE))</f>
        <v>Fora do DRE</v>
      </c>
      <c r="T5791" s="3" t="str">
        <f>IF(ISERROR(VLOOKUP(Base_Periodo1[[#This Row],[CONTA]],BaseContasDRE[#All],5,FALSE)),"Fora do DRE",VLOOKUP(Base_Periodo1[[#This Row],[CONTA]],BaseContasDRE[#All],6,FALSE))</f>
        <v>Fora do DRE</v>
      </c>
      <c r="U5791" s="3" t="str">
        <f>IF(ISERROR(VLOOKUP(Base_Periodo1[[#This Row],[CONTA]],BaseContasDRE[#All],7,FALSE)),"Fora do DRE",VLOOKUP(Base_Periodo1[[#This Row],[CONTA]],BaseContasDRE[#All],7,FALSE))</f>
        <v>Fora do DRE</v>
      </c>
      <c r="V5791" s="3" t="str">
        <f>IF(Base_Periodo1[[#This Row],[Tipo_Linha]]="Fora do DRE","Fora do DRE","( "&amp;Base_Periodo1[[#This Row],[Tipo_Linha]]&amp;" ) "&amp;Base_Periodo1[[#This Row],[Filtro]])</f>
        <v>Fora do DRE</v>
      </c>
      <c r="W5791" s="3" t="str">
        <f>LEFT(Base_Periodo1[[#This Row],[CLASS]],3)</f>
        <v>2.5</v>
      </c>
    </row>
    <row r="5792" spans="1:23" hidden="1">
      <c r="A5792" s="3" t="str">
        <f t="shared" si="90"/>
        <v>Período 1</v>
      </c>
      <c r="B5792">
        <v>1750</v>
      </c>
      <c r="C5792" t="s">
        <v>3550</v>
      </c>
      <c r="D5792" t="s">
        <v>1714</v>
      </c>
      <c r="E5792" s="3" t="str">
        <f>IF(LEN(Base_Periodo1[[#This Row],[CLASS]])&gt;=7,LEFT(Base_Periodo1[[#This Row],[CLASS]],7),"")</f>
        <v>2.5.1.3</v>
      </c>
      <c r="F5792" s="3" t="e">
        <f>VLOOKUP(Base_Periodo1[[#This Row],[Aux]],Base_Contas_Balanco[#All],2,FALSE)</f>
        <v>#N/A</v>
      </c>
      <c r="G5792" s="1">
        <v>42886</v>
      </c>
      <c r="H5792" s="281">
        <v>35280.520000000019</v>
      </c>
      <c r="I5792" s="281">
        <v>24690.21</v>
      </c>
      <c r="J5792" s="281">
        <v>0</v>
      </c>
      <c r="K5792" s="281">
        <v>10590.310000000019</v>
      </c>
      <c r="L579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10590.31</v>
      </c>
      <c r="M5792" s="281">
        <f>ROUND(IF(AND(Base_Periodo1[[#This Row],[Tipo_Linha]]="-",Base_Periodo1[[#This Row],[TIPOSALDO]]="D"),Base_Periodo1[[#This Row],[SALDO_ATUAL]]*-1,Base_Periodo1[[#This Row],[SALDO_ATUAL]]),4)</f>
        <v>10590.31</v>
      </c>
      <c r="N5792" t="s">
        <v>116</v>
      </c>
      <c r="O5792" t="s">
        <v>459</v>
      </c>
      <c r="P5792" t="s">
        <v>459</v>
      </c>
      <c r="Q5792">
        <v>5</v>
      </c>
      <c r="R5792" s="281">
        <f>Base_Periodo1[[#This Row],[CREDITOS]]-Base_Periodo1[[#This Row],[DEBITOS]]</f>
        <v>-24690.21</v>
      </c>
      <c r="S5792" s="3" t="str">
        <f>IF(ISERROR(VLOOKUP(Base_Periodo1[[#This Row],[CONTA]],BaseContasDRE[#All],4,FALSE)),"Fora do DRE",VLOOKUP(Base_Periodo1[[#This Row],[CONTA]],BaseContasDRE[#All],4,FALSE))</f>
        <v>Fora do DRE</v>
      </c>
      <c r="T5792" s="3" t="str">
        <f>IF(ISERROR(VLOOKUP(Base_Periodo1[[#This Row],[CONTA]],BaseContasDRE[#All],5,FALSE)),"Fora do DRE",VLOOKUP(Base_Periodo1[[#This Row],[CONTA]],BaseContasDRE[#All],6,FALSE))</f>
        <v>Fora do DRE</v>
      </c>
      <c r="U5792" s="3" t="str">
        <f>IF(ISERROR(VLOOKUP(Base_Periodo1[[#This Row],[CONTA]],BaseContasDRE[#All],7,FALSE)),"Fora do DRE",VLOOKUP(Base_Periodo1[[#This Row],[CONTA]],BaseContasDRE[#All],7,FALSE))</f>
        <v>Fora do DRE</v>
      </c>
      <c r="V5792" s="3" t="str">
        <f>IF(Base_Periodo1[[#This Row],[Tipo_Linha]]="Fora do DRE","Fora do DRE","( "&amp;Base_Periodo1[[#This Row],[Tipo_Linha]]&amp;" ) "&amp;Base_Periodo1[[#This Row],[Filtro]])</f>
        <v>Fora do DRE</v>
      </c>
      <c r="W5792" s="3" t="str">
        <f>LEFT(Base_Periodo1[[#This Row],[CLASS]],3)</f>
        <v>2.5</v>
      </c>
    </row>
    <row r="5793" spans="1:23" hidden="1">
      <c r="A5793" s="3" t="str">
        <f t="shared" si="90"/>
        <v>Período 1</v>
      </c>
      <c r="B5793">
        <v>1752</v>
      </c>
      <c r="C5793" t="s">
        <v>5248</v>
      </c>
      <c r="D5793" t="s">
        <v>5208</v>
      </c>
      <c r="E5793" s="3" t="str">
        <f>IF(LEN(Base_Periodo1[[#This Row],[CLASS]])&gt;=7,LEFT(Base_Periodo1[[#This Row],[CLASS]],7),"")</f>
        <v>2.5.1.3</v>
      </c>
      <c r="F5793" s="3" t="e">
        <f>VLOOKUP(Base_Periodo1[[#This Row],[Aux]],Base_Contas_Balanco[#All],2,FALSE)</f>
        <v>#N/A</v>
      </c>
      <c r="G5793" s="1">
        <v>42627</v>
      </c>
      <c r="H5793" s="281">
        <v>24236</v>
      </c>
      <c r="I5793" s="281">
        <v>0</v>
      </c>
      <c r="J5793" s="281">
        <v>0</v>
      </c>
      <c r="K5793" s="281">
        <v>24236</v>
      </c>
      <c r="L579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24236</v>
      </c>
      <c r="M5793" s="281">
        <f>ROUND(IF(AND(Base_Periodo1[[#This Row],[Tipo_Linha]]="-",Base_Periodo1[[#This Row],[TIPOSALDO]]="D"),Base_Periodo1[[#This Row],[SALDO_ATUAL]]*-1,Base_Periodo1[[#This Row],[SALDO_ATUAL]]),4)</f>
        <v>24236</v>
      </c>
      <c r="N5793" t="s">
        <v>116</v>
      </c>
      <c r="O5793" t="s">
        <v>459</v>
      </c>
      <c r="P5793" t="s">
        <v>459</v>
      </c>
      <c r="Q5793">
        <v>5</v>
      </c>
      <c r="R5793" s="281">
        <f>Base_Periodo1[[#This Row],[CREDITOS]]-Base_Periodo1[[#This Row],[DEBITOS]]</f>
        <v>0</v>
      </c>
      <c r="S5793" s="3" t="str">
        <f>IF(ISERROR(VLOOKUP(Base_Periodo1[[#This Row],[CONTA]],BaseContasDRE[#All],4,FALSE)),"Fora do DRE",VLOOKUP(Base_Periodo1[[#This Row],[CONTA]],BaseContasDRE[#All],4,FALSE))</f>
        <v>Fora do DRE</v>
      </c>
      <c r="T5793" s="3" t="str">
        <f>IF(ISERROR(VLOOKUP(Base_Periodo1[[#This Row],[CONTA]],BaseContasDRE[#All],5,FALSE)),"Fora do DRE",VLOOKUP(Base_Periodo1[[#This Row],[CONTA]],BaseContasDRE[#All],6,FALSE))</f>
        <v>Fora do DRE</v>
      </c>
      <c r="U5793" s="3" t="str">
        <f>IF(ISERROR(VLOOKUP(Base_Periodo1[[#This Row],[CONTA]],BaseContasDRE[#All],7,FALSE)),"Fora do DRE",VLOOKUP(Base_Periodo1[[#This Row],[CONTA]],BaseContasDRE[#All],7,FALSE))</f>
        <v>Fora do DRE</v>
      </c>
      <c r="V5793" s="3" t="str">
        <f>IF(Base_Periodo1[[#This Row],[Tipo_Linha]]="Fora do DRE","Fora do DRE","( "&amp;Base_Periodo1[[#This Row],[Tipo_Linha]]&amp;" ) "&amp;Base_Periodo1[[#This Row],[Filtro]])</f>
        <v>Fora do DRE</v>
      </c>
      <c r="W5793" s="3" t="str">
        <f>LEFT(Base_Periodo1[[#This Row],[CLASS]],3)</f>
        <v>2.5</v>
      </c>
    </row>
    <row r="5794" spans="1:23" hidden="1">
      <c r="A5794" s="3" t="str">
        <f t="shared" si="90"/>
        <v>Período 1</v>
      </c>
      <c r="B5794">
        <v>33775</v>
      </c>
      <c r="C5794" t="s">
        <v>4707</v>
      </c>
      <c r="D5794" t="s">
        <v>4708</v>
      </c>
      <c r="E5794" s="3" t="str">
        <f>IF(LEN(Base_Periodo1[[#This Row],[CLASS]])&gt;=7,LEFT(Base_Periodo1[[#This Row],[CLASS]],7),"")</f>
        <v>2.5.1.3</v>
      </c>
      <c r="F5794" s="3" t="e">
        <f>VLOOKUP(Base_Periodo1[[#This Row],[Aux]],Base_Contas_Balanco[#All],2,FALSE)</f>
        <v>#N/A</v>
      </c>
      <c r="G5794" s="1">
        <v>42842</v>
      </c>
      <c r="H5794" s="281">
        <v>38277.14</v>
      </c>
      <c r="I5794" s="281">
        <v>0</v>
      </c>
      <c r="J5794" s="281">
        <v>0</v>
      </c>
      <c r="K5794" s="281">
        <v>38277.14</v>
      </c>
      <c r="L579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38277.14</v>
      </c>
      <c r="M5794" s="281">
        <f>ROUND(IF(AND(Base_Periodo1[[#This Row],[Tipo_Linha]]="-",Base_Periodo1[[#This Row],[TIPOSALDO]]="D"),Base_Periodo1[[#This Row],[SALDO_ATUAL]]*-1,Base_Periodo1[[#This Row],[SALDO_ATUAL]]),4)</f>
        <v>38277.14</v>
      </c>
      <c r="N5794" t="s">
        <v>116</v>
      </c>
      <c r="O5794" t="s">
        <v>459</v>
      </c>
      <c r="P5794" t="s">
        <v>459</v>
      </c>
      <c r="Q5794">
        <v>5</v>
      </c>
      <c r="R5794" s="281">
        <f>Base_Periodo1[[#This Row],[CREDITOS]]-Base_Periodo1[[#This Row],[DEBITOS]]</f>
        <v>0</v>
      </c>
      <c r="S5794" s="3" t="str">
        <f>IF(ISERROR(VLOOKUP(Base_Periodo1[[#This Row],[CONTA]],BaseContasDRE[#All],4,FALSE)),"Fora do DRE",VLOOKUP(Base_Periodo1[[#This Row],[CONTA]],BaseContasDRE[#All],4,FALSE))</f>
        <v>Fora do DRE</v>
      </c>
      <c r="T5794" s="3" t="str">
        <f>IF(ISERROR(VLOOKUP(Base_Periodo1[[#This Row],[CONTA]],BaseContasDRE[#All],5,FALSE)),"Fora do DRE",VLOOKUP(Base_Periodo1[[#This Row],[CONTA]],BaseContasDRE[#All],6,FALSE))</f>
        <v>Fora do DRE</v>
      </c>
      <c r="U5794" s="3" t="str">
        <f>IF(ISERROR(VLOOKUP(Base_Periodo1[[#This Row],[CONTA]],BaseContasDRE[#All],7,FALSE)),"Fora do DRE",VLOOKUP(Base_Periodo1[[#This Row],[CONTA]],BaseContasDRE[#All],7,FALSE))</f>
        <v>Fora do DRE</v>
      </c>
      <c r="V5794" s="3" t="str">
        <f>IF(Base_Periodo1[[#This Row],[Tipo_Linha]]="Fora do DRE","Fora do DRE","( "&amp;Base_Periodo1[[#This Row],[Tipo_Linha]]&amp;" ) "&amp;Base_Periodo1[[#This Row],[Filtro]])</f>
        <v>Fora do DRE</v>
      </c>
      <c r="W5794" s="3" t="str">
        <f>LEFT(Base_Periodo1[[#This Row],[CLASS]],3)</f>
        <v>2.5</v>
      </c>
    </row>
    <row r="5795" spans="1:23" hidden="1">
      <c r="A5795" s="3" t="str">
        <f t="shared" si="90"/>
        <v>Período 1</v>
      </c>
      <c r="B5795">
        <v>1753</v>
      </c>
      <c r="C5795" t="s">
        <v>3551</v>
      </c>
      <c r="D5795" t="s">
        <v>3552</v>
      </c>
      <c r="E5795" s="3" t="str">
        <f>IF(LEN(Base_Periodo1[[#This Row],[CLASS]])&gt;=7,LEFT(Base_Periodo1[[#This Row],[CLASS]],7),"")</f>
        <v/>
      </c>
      <c r="F5795" s="3" t="e">
        <f>VLOOKUP(Base_Periodo1[[#This Row],[Aux]],Base_Contas_Balanco[#All],2,FALSE)</f>
        <v>#N/A</v>
      </c>
      <c r="G5795" s="1"/>
      <c r="H5795" s="281">
        <v>2863793.169999097</v>
      </c>
      <c r="I5795" s="281">
        <v>720479498.69999981</v>
      </c>
      <c r="J5795" s="281">
        <v>720818665.12000036</v>
      </c>
      <c r="K5795" s="281">
        <v>2524626.7499985695</v>
      </c>
      <c r="L579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-2524626.75</v>
      </c>
      <c r="M5795" s="281">
        <f>ROUND(IF(AND(Base_Periodo1[[#This Row],[Tipo_Linha]]="-",Base_Periodo1[[#This Row],[TIPOSALDO]]="D"),Base_Periodo1[[#This Row],[SALDO_ATUAL]]*-1,Base_Periodo1[[#This Row],[SALDO_ATUAL]]),4)</f>
        <v>2524626.75</v>
      </c>
      <c r="N5795" t="s">
        <v>396</v>
      </c>
      <c r="O5795" t="s">
        <v>397</v>
      </c>
      <c r="P5795" t="s">
        <v>397</v>
      </c>
      <c r="Q5795">
        <v>1</v>
      </c>
      <c r="R5795" s="281">
        <f>Base_Periodo1[[#This Row],[CREDITOS]]-Base_Periodo1[[#This Row],[DEBITOS]]</f>
        <v>339166.42000055313</v>
      </c>
      <c r="S5795" s="3" t="str">
        <f>IF(ISERROR(VLOOKUP(Base_Periodo1[[#This Row],[CONTA]],BaseContasDRE[#All],4,FALSE)),"Fora do DRE",VLOOKUP(Base_Periodo1[[#This Row],[CONTA]],BaseContasDRE[#All],4,FALSE))</f>
        <v>Fora do DRE</v>
      </c>
      <c r="T5795" s="3" t="str">
        <f>IF(ISERROR(VLOOKUP(Base_Periodo1[[#This Row],[CONTA]],BaseContasDRE[#All],5,FALSE)),"Fora do DRE",VLOOKUP(Base_Periodo1[[#This Row],[CONTA]],BaseContasDRE[#All],6,FALSE))</f>
        <v>Fora do DRE</v>
      </c>
      <c r="U5795" s="3" t="str">
        <f>IF(ISERROR(VLOOKUP(Base_Periodo1[[#This Row],[CONTA]],BaseContasDRE[#All],7,FALSE)),"Fora do DRE",VLOOKUP(Base_Periodo1[[#This Row],[CONTA]],BaseContasDRE[#All],7,FALSE))</f>
        <v>Fora do DRE</v>
      </c>
      <c r="V5795" s="3" t="str">
        <f>IF(Base_Periodo1[[#This Row],[Tipo_Linha]]="Fora do DRE","Fora do DRE","( "&amp;Base_Periodo1[[#This Row],[Tipo_Linha]]&amp;" ) "&amp;Base_Periodo1[[#This Row],[Filtro]])</f>
        <v>Fora do DRE</v>
      </c>
      <c r="W5795" s="3" t="str">
        <f>LEFT(Base_Periodo1[[#This Row],[CLASS]],3)</f>
        <v>3</v>
      </c>
    </row>
    <row r="5796" spans="1:23" hidden="1">
      <c r="A5796" s="3" t="str">
        <f t="shared" si="90"/>
        <v>Período 1</v>
      </c>
      <c r="B5796">
        <v>1754</v>
      </c>
      <c r="C5796" t="s">
        <v>3553</v>
      </c>
      <c r="D5796" t="s">
        <v>3554</v>
      </c>
      <c r="E5796" s="3" t="str">
        <f>IF(LEN(Base_Periodo1[[#This Row],[CLASS]])&gt;=7,LEFT(Base_Periodo1[[#This Row],[CLASS]],7),"")</f>
        <v/>
      </c>
      <c r="F5796" s="3" t="e">
        <f>VLOOKUP(Base_Periodo1[[#This Row],[Aux]],Base_Contas_Balanco[#All],2,FALSE)</f>
        <v>#N/A</v>
      </c>
      <c r="G5796" s="1"/>
      <c r="H5796" s="281">
        <v>3586190.0800000047</v>
      </c>
      <c r="I5796" s="281">
        <v>324702170.22999984</v>
      </c>
      <c r="J5796" s="281">
        <v>324771350.85000002</v>
      </c>
      <c r="K5796" s="281">
        <v>3517009.4599997997</v>
      </c>
      <c r="L579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-3517009.46</v>
      </c>
      <c r="M5796" s="281">
        <f>ROUND(IF(AND(Base_Periodo1[[#This Row],[Tipo_Linha]]="-",Base_Periodo1[[#This Row],[TIPOSALDO]]="D"),Base_Periodo1[[#This Row],[SALDO_ATUAL]]*-1,Base_Periodo1[[#This Row],[SALDO_ATUAL]]),4)</f>
        <v>3517009.46</v>
      </c>
      <c r="N5796" t="s">
        <v>396</v>
      </c>
      <c r="O5796" t="s">
        <v>397</v>
      </c>
      <c r="P5796" t="s">
        <v>397</v>
      </c>
      <c r="Q5796">
        <v>2</v>
      </c>
      <c r="R5796" s="281">
        <f>Base_Periodo1[[#This Row],[CREDITOS]]-Base_Periodo1[[#This Row],[DEBITOS]]</f>
        <v>69180.620000183582</v>
      </c>
      <c r="S5796" s="3" t="str">
        <f>IF(ISERROR(VLOOKUP(Base_Periodo1[[#This Row],[CONTA]],BaseContasDRE[#All],4,FALSE)),"Fora do DRE",VLOOKUP(Base_Periodo1[[#This Row],[CONTA]],BaseContasDRE[#All],4,FALSE))</f>
        <v>Fora do DRE</v>
      </c>
      <c r="T5796" s="3" t="str">
        <f>IF(ISERROR(VLOOKUP(Base_Periodo1[[#This Row],[CONTA]],BaseContasDRE[#All],5,FALSE)),"Fora do DRE",VLOOKUP(Base_Periodo1[[#This Row],[CONTA]],BaseContasDRE[#All],6,FALSE))</f>
        <v>Fora do DRE</v>
      </c>
      <c r="U5796" s="3" t="str">
        <f>IF(ISERROR(VLOOKUP(Base_Periodo1[[#This Row],[CONTA]],BaseContasDRE[#All],7,FALSE)),"Fora do DRE",VLOOKUP(Base_Periodo1[[#This Row],[CONTA]],BaseContasDRE[#All],7,FALSE))</f>
        <v>Fora do DRE</v>
      </c>
      <c r="V5796" s="3" t="str">
        <f>IF(Base_Periodo1[[#This Row],[Tipo_Linha]]="Fora do DRE","Fora do DRE","( "&amp;Base_Periodo1[[#This Row],[Tipo_Linha]]&amp;" ) "&amp;Base_Periodo1[[#This Row],[Filtro]])</f>
        <v>Fora do DRE</v>
      </c>
      <c r="W5796" s="3" t="str">
        <f>LEFT(Base_Periodo1[[#This Row],[CLASS]],3)</f>
        <v>3.1</v>
      </c>
    </row>
    <row r="5797" spans="1:23" hidden="1">
      <c r="A5797" s="3" t="str">
        <f t="shared" si="90"/>
        <v>Período 1</v>
      </c>
      <c r="B5797">
        <v>1755</v>
      </c>
      <c r="C5797" t="s">
        <v>3555</v>
      </c>
      <c r="D5797" t="s">
        <v>3556</v>
      </c>
      <c r="E5797" s="3" t="str">
        <f>IF(LEN(Base_Periodo1[[#This Row],[CLASS]])&gt;=7,LEFT(Base_Periodo1[[#This Row],[CLASS]],7),"")</f>
        <v/>
      </c>
      <c r="F5797" s="3" t="e">
        <f>VLOOKUP(Base_Periodo1[[#This Row],[Aux]],Base_Contas_Balanco[#All],2,FALSE)</f>
        <v>#N/A</v>
      </c>
      <c r="G5797" s="1"/>
      <c r="H5797" s="281">
        <v>3614482.7300000046</v>
      </c>
      <c r="I5797" s="281">
        <v>324702170.22999984</v>
      </c>
      <c r="J5797" s="281">
        <v>324771350.85000002</v>
      </c>
      <c r="K5797" s="281">
        <v>3545302.1099998355</v>
      </c>
      <c r="L579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-3545302.11</v>
      </c>
      <c r="M5797" s="281">
        <f>ROUND(IF(AND(Base_Periodo1[[#This Row],[Tipo_Linha]]="-",Base_Periodo1[[#This Row],[TIPOSALDO]]="D"),Base_Periodo1[[#This Row],[SALDO_ATUAL]]*-1,Base_Periodo1[[#This Row],[SALDO_ATUAL]]),4)</f>
        <v>3545302.11</v>
      </c>
      <c r="N5797" t="s">
        <v>396</v>
      </c>
      <c r="O5797" t="s">
        <v>397</v>
      </c>
      <c r="P5797" t="s">
        <v>397</v>
      </c>
      <c r="Q5797">
        <v>3</v>
      </c>
      <c r="R5797" s="281">
        <f>Base_Periodo1[[#This Row],[CREDITOS]]-Base_Periodo1[[#This Row],[DEBITOS]]</f>
        <v>69180.620000183582</v>
      </c>
      <c r="S5797" s="3" t="str">
        <f>IF(ISERROR(VLOOKUP(Base_Periodo1[[#This Row],[CONTA]],BaseContasDRE[#All],4,FALSE)),"Fora do DRE",VLOOKUP(Base_Periodo1[[#This Row],[CONTA]],BaseContasDRE[#All],4,FALSE))</f>
        <v>Fora do DRE</v>
      </c>
      <c r="T5797" s="3" t="str">
        <f>IF(ISERROR(VLOOKUP(Base_Periodo1[[#This Row],[CONTA]],BaseContasDRE[#All],5,FALSE)),"Fora do DRE",VLOOKUP(Base_Periodo1[[#This Row],[CONTA]],BaseContasDRE[#All],6,FALSE))</f>
        <v>Fora do DRE</v>
      </c>
      <c r="U5797" s="3" t="str">
        <f>IF(ISERROR(VLOOKUP(Base_Periodo1[[#This Row],[CONTA]],BaseContasDRE[#All],7,FALSE)),"Fora do DRE",VLOOKUP(Base_Periodo1[[#This Row],[CONTA]],BaseContasDRE[#All],7,FALSE))</f>
        <v>Fora do DRE</v>
      </c>
      <c r="V5797" s="3" t="str">
        <f>IF(Base_Periodo1[[#This Row],[Tipo_Linha]]="Fora do DRE","Fora do DRE","( "&amp;Base_Periodo1[[#This Row],[Tipo_Linha]]&amp;" ) "&amp;Base_Periodo1[[#This Row],[Filtro]])</f>
        <v>Fora do DRE</v>
      </c>
      <c r="W5797" s="3" t="str">
        <f>LEFT(Base_Periodo1[[#This Row],[CLASS]],3)</f>
        <v>3.1</v>
      </c>
    </row>
    <row r="5798" spans="1:23" hidden="1">
      <c r="A5798" s="3" t="str">
        <f t="shared" si="90"/>
        <v>Período 1</v>
      </c>
      <c r="B5798">
        <v>1756</v>
      </c>
      <c r="C5798" t="s">
        <v>3557</v>
      </c>
      <c r="D5798" t="s">
        <v>3558</v>
      </c>
      <c r="E5798" s="3" t="str">
        <f>IF(LEN(Base_Periodo1[[#This Row],[CLASS]])&gt;=7,LEFT(Base_Periodo1[[#This Row],[CLASS]],7),"")</f>
        <v>3.1.1.1</v>
      </c>
      <c r="F5798" s="3" t="e">
        <f>VLOOKUP(Base_Periodo1[[#This Row],[Aux]],Base_Contas_Balanco[#All],2,FALSE)</f>
        <v>#N/A</v>
      </c>
      <c r="G5798" s="1"/>
      <c r="H5798" s="281">
        <v>23005735.849999823</v>
      </c>
      <c r="I5798" s="281">
        <v>312902707.36000013</v>
      </c>
      <c r="J5798" s="281">
        <v>315714578.28000021</v>
      </c>
      <c r="K5798" s="281">
        <v>25817606.769999921</v>
      </c>
      <c r="L579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25817606.77</v>
      </c>
      <c r="M5798" s="281">
        <f>ROUND(IF(AND(Base_Periodo1[[#This Row],[Tipo_Linha]]="-",Base_Periodo1[[#This Row],[TIPOSALDO]]="D"),Base_Periodo1[[#This Row],[SALDO_ATUAL]]*-1,Base_Periodo1[[#This Row],[SALDO_ATUAL]]),4)</f>
        <v>25817606.77</v>
      </c>
      <c r="N5798" t="s">
        <v>396</v>
      </c>
      <c r="O5798" t="s">
        <v>459</v>
      </c>
      <c r="P5798" t="s">
        <v>459</v>
      </c>
      <c r="Q5798">
        <v>4</v>
      </c>
      <c r="R5798" s="281">
        <f>Base_Periodo1[[#This Row],[CREDITOS]]-Base_Periodo1[[#This Row],[DEBITOS]]</f>
        <v>2811870.9200000763</v>
      </c>
      <c r="S5798" s="3" t="str">
        <f>IF(ISERROR(VLOOKUP(Base_Periodo1[[#This Row],[CONTA]],BaseContasDRE[#All],4,FALSE)),"Fora do DRE",VLOOKUP(Base_Periodo1[[#This Row],[CONTA]],BaseContasDRE[#All],4,FALSE))</f>
        <v>Fora do DRE</v>
      </c>
      <c r="T5798" s="3" t="str">
        <f>IF(ISERROR(VLOOKUP(Base_Periodo1[[#This Row],[CONTA]],BaseContasDRE[#All],5,FALSE)),"Fora do DRE",VLOOKUP(Base_Periodo1[[#This Row],[CONTA]],BaseContasDRE[#All],6,FALSE))</f>
        <v>Fora do DRE</v>
      </c>
      <c r="U5798" s="3" t="str">
        <f>IF(ISERROR(VLOOKUP(Base_Periodo1[[#This Row],[CONTA]],BaseContasDRE[#All],7,FALSE)),"Fora do DRE",VLOOKUP(Base_Periodo1[[#This Row],[CONTA]],BaseContasDRE[#All],7,FALSE))</f>
        <v>Fora do DRE</v>
      </c>
      <c r="V5798" s="3" t="str">
        <f>IF(Base_Periodo1[[#This Row],[Tipo_Linha]]="Fora do DRE","Fora do DRE","( "&amp;Base_Periodo1[[#This Row],[Tipo_Linha]]&amp;" ) "&amp;Base_Periodo1[[#This Row],[Filtro]])</f>
        <v>Fora do DRE</v>
      </c>
      <c r="W5798" s="3" t="str">
        <f>LEFT(Base_Periodo1[[#This Row],[CLASS]],3)</f>
        <v>3.1</v>
      </c>
    </row>
    <row r="5799" spans="1:23" hidden="1">
      <c r="A5799" s="3" t="str">
        <f t="shared" si="90"/>
        <v>Período 1</v>
      </c>
      <c r="B5799">
        <v>1757</v>
      </c>
      <c r="C5799" t="s">
        <v>3559</v>
      </c>
      <c r="D5799" t="s">
        <v>1048</v>
      </c>
      <c r="E5799" s="3" t="str">
        <f>IF(LEN(Base_Periodo1[[#This Row],[CLASS]])&gt;=7,LEFT(Base_Periodo1[[#This Row],[CLASS]],7),"")</f>
        <v>3.1.1.1</v>
      </c>
      <c r="F5799" s="3" t="e">
        <f>VLOOKUP(Base_Periodo1[[#This Row],[Aux]],Base_Contas_Balanco[#All],2,FALSE)</f>
        <v>#N/A</v>
      </c>
      <c r="G5799" s="1"/>
      <c r="H5799" s="281">
        <v>11850755.230000138</v>
      </c>
      <c r="I5799" s="281">
        <v>296453640.47000009</v>
      </c>
      <c r="J5799" s="281">
        <v>298367161.02000004</v>
      </c>
      <c r="K5799" s="281">
        <v>13764275.780000091</v>
      </c>
      <c r="L579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13764275.779999999</v>
      </c>
      <c r="M5799" s="281">
        <f>ROUND(IF(AND(Base_Periodo1[[#This Row],[Tipo_Linha]]="-",Base_Periodo1[[#This Row],[TIPOSALDO]]="D"),Base_Periodo1[[#This Row],[SALDO_ATUAL]]*-1,Base_Periodo1[[#This Row],[SALDO_ATUAL]]),4)</f>
        <v>13764275.779999999</v>
      </c>
      <c r="N5799" t="s">
        <v>396</v>
      </c>
      <c r="O5799" t="s">
        <v>459</v>
      </c>
      <c r="P5799" t="s">
        <v>459</v>
      </c>
      <c r="Q5799">
        <v>5</v>
      </c>
      <c r="R5799" s="281">
        <f>Base_Periodo1[[#This Row],[CREDITOS]]-Base_Periodo1[[#This Row],[DEBITOS]]</f>
        <v>1913520.5499999523</v>
      </c>
      <c r="S5799" s="3" t="str">
        <f>IF(ISERROR(VLOOKUP(Base_Periodo1[[#This Row],[CONTA]],BaseContasDRE[#All],4,FALSE)),"Fora do DRE",VLOOKUP(Base_Periodo1[[#This Row],[CONTA]],BaseContasDRE[#All],4,FALSE))</f>
        <v>Fora do DRE</v>
      </c>
      <c r="T5799" s="3" t="str">
        <f>IF(ISERROR(VLOOKUP(Base_Periodo1[[#This Row],[CONTA]],BaseContasDRE[#All],5,FALSE)),"Fora do DRE",VLOOKUP(Base_Periodo1[[#This Row],[CONTA]],BaseContasDRE[#All],6,FALSE))</f>
        <v>Fora do DRE</v>
      </c>
      <c r="U5799" s="3" t="str">
        <f>IF(ISERROR(VLOOKUP(Base_Periodo1[[#This Row],[CONTA]],BaseContasDRE[#All],7,FALSE)),"Fora do DRE",VLOOKUP(Base_Periodo1[[#This Row],[CONTA]],BaseContasDRE[#All],7,FALSE))</f>
        <v>Fora do DRE</v>
      </c>
      <c r="V5799" s="3" t="str">
        <f>IF(Base_Periodo1[[#This Row],[Tipo_Linha]]="Fora do DRE","Fora do DRE","( "&amp;Base_Periodo1[[#This Row],[Tipo_Linha]]&amp;" ) "&amp;Base_Periodo1[[#This Row],[Filtro]])</f>
        <v>Fora do DRE</v>
      </c>
      <c r="W5799" s="3" t="str">
        <f>LEFT(Base_Periodo1[[#This Row],[CLASS]],3)</f>
        <v>3.1</v>
      </c>
    </row>
    <row r="5800" spans="1:23" hidden="1">
      <c r="A5800" s="3" t="str">
        <f t="shared" si="90"/>
        <v>Período 1</v>
      </c>
      <c r="B5800">
        <v>1758</v>
      </c>
      <c r="C5800" t="s">
        <v>3560</v>
      </c>
      <c r="D5800" t="s">
        <v>1050</v>
      </c>
      <c r="E5800" s="3" t="str">
        <f>IF(LEN(Base_Periodo1[[#This Row],[CLASS]])&gt;=7,LEFT(Base_Periodo1[[#This Row],[CLASS]],7),"")</f>
        <v>3.1.1.1</v>
      </c>
      <c r="F5800" s="3" t="e">
        <f>VLOOKUP(Base_Periodo1[[#This Row],[Aux]],Base_Contas_Balanco[#All],2,FALSE)</f>
        <v>#N/A</v>
      </c>
      <c r="G5800" s="1"/>
      <c r="H5800" s="281">
        <v>11850755.230000138</v>
      </c>
      <c r="I5800" s="281">
        <v>296453640.47000009</v>
      </c>
      <c r="J5800" s="281">
        <v>298367161.02000004</v>
      </c>
      <c r="K5800" s="281">
        <v>13764275.780000091</v>
      </c>
      <c r="L580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13764275.779999999</v>
      </c>
      <c r="M5800" s="281">
        <f>ROUND(IF(AND(Base_Periodo1[[#This Row],[Tipo_Linha]]="-",Base_Periodo1[[#This Row],[TIPOSALDO]]="D"),Base_Periodo1[[#This Row],[SALDO_ATUAL]]*-1,Base_Periodo1[[#This Row],[SALDO_ATUAL]]),4)</f>
        <v>13764275.779999999</v>
      </c>
      <c r="N5800" t="s">
        <v>396</v>
      </c>
      <c r="O5800" t="s">
        <v>459</v>
      </c>
      <c r="P5800" t="s">
        <v>459</v>
      </c>
      <c r="Q5800">
        <v>6</v>
      </c>
      <c r="R5800" s="281">
        <f>Base_Periodo1[[#This Row],[CREDITOS]]-Base_Periodo1[[#This Row],[DEBITOS]]</f>
        <v>1913520.5499999523</v>
      </c>
      <c r="S5800" s="3" t="str">
        <f>IF(ISERROR(VLOOKUP(Base_Periodo1[[#This Row],[CONTA]],BaseContasDRE[#All],4,FALSE)),"Fora do DRE",VLOOKUP(Base_Periodo1[[#This Row],[CONTA]],BaseContasDRE[#All],4,FALSE))</f>
        <v>Fora do DRE</v>
      </c>
      <c r="T5800" s="3" t="str">
        <f>IF(ISERROR(VLOOKUP(Base_Periodo1[[#This Row],[CONTA]],BaseContasDRE[#All],5,FALSE)),"Fora do DRE",VLOOKUP(Base_Periodo1[[#This Row],[CONTA]],BaseContasDRE[#All],6,FALSE))</f>
        <v>Fora do DRE</v>
      </c>
      <c r="U5800" s="3" t="str">
        <f>IF(ISERROR(VLOOKUP(Base_Periodo1[[#This Row],[CONTA]],BaseContasDRE[#All],7,FALSE)),"Fora do DRE",VLOOKUP(Base_Periodo1[[#This Row],[CONTA]],BaseContasDRE[#All],7,FALSE))</f>
        <v>Fora do DRE</v>
      </c>
      <c r="V5800" s="3" t="str">
        <f>IF(Base_Periodo1[[#This Row],[Tipo_Linha]]="Fora do DRE","Fora do DRE","( "&amp;Base_Periodo1[[#This Row],[Tipo_Linha]]&amp;" ) "&amp;Base_Periodo1[[#This Row],[Filtro]])</f>
        <v>Fora do DRE</v>
      </c>
      <c r="W5800" s="3" t="str">
        <f>LEFT(Base_Periodo1[[#This Row],[CLASS]],3)</f>
        <v>3.1</v>
      </c>
    </row>
    <row r="5801" spans="1:23" hidden="1">
      <c r="A5801" s="3" t="str">
        <f t="shared" si="90"/>
        <v>Período 1</v>
      </c>
      <c r="B5801">
        <v>1759</v>
      </c>
      <c r="C5801" t="s">
        <v>5780</v>
      </c>
      <c r="D5801" t="s">
        <v>1052</v>
      </c>
      <c r="E5801" s="3" t="str">
        <f>IF(LEN(Base_Periodo1[[#This Row],[CLASS]])&gt;=7,LEFT(Base_Periodo1[[#This Row],[CLASS]],7),"")</f>
        <v>3.1.1.1</v>
      </c>
      <c r="F5801" s="3" t="e">
        <f>VLOOKUP(Base_Periodo1[[#This Row],[Aux]],Base_Contas_Balanco[#All],2,FALSE)</f>
        <v>#N/A</v>
      </c>
      <c r="G5801" s="1"/>
      <c r="H5801" s="281">
        <v>6550235.6999995857</v>
      </c>
      <c r="I5801" s="281">
        <v>166917372.65000004</v>
      </c>
      <c r="J5801" s="281">
        <v>167718704.73000002</v>
      </c>
      <c r="K5801" s="281">
        <v>7351567.7799995542</v>
      </c>
      <c r="L580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7351567.7800000003</v>
      </c>
      <c r="M5801" s="281">
        <f>ROUND(IF(AND(Base_Periodo1[[#This Row],[Tipo_Linha]]="-",Base_Periodo1[[#This Row],[TIPOSALDO]]="D"),Base_Periodo1[[#This Row],[SALDO_ATUAL]]*-1,Base_Periodo1[[#This Row],[SALDO_ATUAL]]),4)</f>
        <v>7351567.7800000003</v>
      </c>
      <c r="N5801" t="s">
        <v>396</v>
      </c>
      <c r="O5801" t="s">
        <v>459</v>
      </c>
      <c r="P5801" t="s">
        <v>459</v>
      </c>
      <c r="Q5801">
        <v>7</v>
      </c>
      <c r="R5801" s="281">
        <f>Base_Periodo1[[#This Row],[CREDITOS]]-Base_Periodo1[[#This Row],[DEBITOS]]</f>
        <v>801332.07999998331</v>
      </c>
      <c r="S5801" s="3" t="str">
        <f>IF(ISERROR(VLOOKUP(Base_Periodo1[[#This Row],[CONTA]],BaseContasDRE[#All],4,FALSE)),"Fora do DRE",VLOOKUP(Base_Periodo1[[#This Row],[CONTA]],BaseContasDRE[#All],4,FALSE))</f>
        <v>Fora do DRE</v>
      </c>
      <c r="T5801" s="3" t="str">
        <f>IF(ISERROR(VLOOKUP(Base_Periodo1[[#This Row],[CONTA]],BaseContasDRE[#All],5,FALSE)),"Fora do DRE",VLOOKUP(Base_Periodo1[[#This Row],[CONTA]],BaseContasDRE[#All],6,FALSE))</f>
        <v>Fora do DRE</v>
      </c>
      <c r="U5801" s="3" t="str">
        <f>IF(ISERROR(VLOOKUP(Base_Periodo1[[#This Row],[CONTA]],BaseContasDRE[#All],7,FALSE)),"Fora do DRE",VLOOKUP(Base_Periodo1[[#This Row],[CONTA]],BaseContasDRE[#All],7,FALSE))</f>
        <v>Fora do DRE</v>
      </c>
      <c r="V5801" s="3" t="str">
        <f>IF(Base_Periodo1[[#This Row],[Tipo_Linha]]="Fora do DRE","Fora do DRE","( "&amp;Base_Periodo1[[#This Row],[Tipo_Linha]]&amp;" ) "&amp;Base_Periodo1[[#This Row],[Filtro]])</f>
        <v>Fora do DRE</v>
      </c>
      <c r="W5801" s="3" t="str">
        <f>LEFT(Base_Periodo1[[#This Row],[CLASS]],3)</f>
        <v>3.1</v>
      </c>
    </row>
    <row r="5802" spans="1:23" hidden="1">
      <c r="A5802" s="3" t="str">
        <f t="shared" si="90"/>
        <v>Período 1</v>
      </c>
      <c r="B5802">
        <v>1760</v>
      </c>
      <c r="C5802" t="s">
        <v>5781</v>
      </c>
      <c r="D5802" t="s">
        <v>3561</v>
      </c>
      <c r="E5802" s="3" t="str">
        <f>IF(LEN(Base_Periodo1[[#This Row],[CLASS]])&gt;=7,LEFT(Base_Periodo1[[#This Row],[CLASS]],7),"")</f>
        <v>3.1.1.1</v>
      </c>
      <c r="F5802" s="3" t="e">
        <f>VLOOKUP(Base_Periodo1[[#This Row],[Aux]],Base_Contas_Balanco[#All],2,FALSE)</f>
        <v>#N/A</v>
      </c>
      <c r="G5802" s="1"/>
      <c r="H5802" s="281">
        <v>4038604.6800000668</v>
      </c>
      <c r="I5802" s="281">
        <v>4038604.68</v>
      </c>
      <c r="J5802" s="281">
        <v>3865412.63</v>
      </c>
      <c r="K5802" s="281">
        <v>3865412.6300000665</v>
      </c>
      <c r="L580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3865412.63</v>
      </c>
      <c r="M5802" s="281">
        <f>ROUND(IF(AND(Base_Periodo1[[#This Row],[Tipo_Linha]]="-",Base_Periodo1[[#This Row],[TIPOSALDO]]="D"),Base_Periodo1[[#This Row],[SALDO_ATUAL]]*-1,Base_Periodo1[[#This Row],[SALDO_ATUAL]]),4)</f>
        <v>3865412.63</v>
      </c>
      <c r="N5802" t="s">
        <v>396</v>
      </c>
      <c r="O5802" t="s">
        <v>459</v>
      </c>
      <c r="P5802" t="s">
        <v>459</v>
      </c>
      <c r="Q5802">
        <v>8</v>
      </c>
      <c r="R5802" s="281">
        <f>Base_Periodo1[[#This Row],[CREDITOS]]-Base_Periodo1[[#This Row],[DEBITOS]]</f>
        <v>-173192.05000000028</v>
      </c>
      <c r="S5802" s="3" t="str">
        <f>IF(ISERROR(VLOOKUP(Base_Periodo1[[#This Row],[CONTA]],BaseContasDRE[#All],4,FALSE)),"Fora do DRE",VLOOKUP(Base_Periodo1[[#This Row],[CONTA]],BaseContasDRE[#All],4,FALSE))</f>
        <v>Fora do DRE</v>
      </c>
      <c r="T5802" s="3" t="str">
        <f>IF(ISERROR(VLOOKUP(Base_Periodo1[[#This Row],[CONTA]],BaseContasDRE[#All],5,FALSE)),"Fora do DRE",VLOOKUP(Base_Periodo1[[#This Row],[CONTA]],BaseContasDRE[#All],6,FALSE))</f>
        <v>Fora do DRE</v>
      </c>
      <c r="U5802" s="3" t="str">
        <f>IF(ISERROR(VLOOKUP(Base_Periodo1[[#This Row],[CONTA]],BaseContasDRE[#All],7,FALSE)),"Fora do DRE",VLOOKUP(Base_Periodo1[[#This Row],[CONTA]],BaseContasDRE[#All],7,FALSE))</f>
        <v>Fora do DRE</v>
      </c>
      <c r="V5802" s="3" t="str">
        <f>IF(Base_Periodo1[[#This Row],[Tipo_Linha]]="Fora do DRE","Fora do DRE","( "&amp;Base_Periodo1[[#This Row],[Tipo_Linha]]&amp;" ) "&amp;Base_Periodo1[[#This Row],[Filtro]])</f>
        <v>Fora do DRE</v>
      </c>
      <c r="W5802" s="3" t="str">
        <f>LEFT(Base_Periodo1[[#This Row],[CLASS]],3)</f>
        <v>3.1</v>
      </c>
    </row>
    <row r="5803" spans="1:23" hidden="1">
      <c r="A5803" s="3" t="str">
        <f t="shared" si="90"/>
        <v>Período 1</v>
      </c>
      <c r="B5803">
        <v>1761</v>
      </c>
      <c r="C5803" t="s">
        <v>5782</v>
      </c>
      <c r="D5803" t="s">
        <v>3562</v>
      </c>
      <c r="E5803" s="3" t="str">
        <f>IF(LEN(Base_Periodo1[[#This Row],[CLASS]])&gt;=7,LEFT(Base_Periodo1[[#This Row],[CLASS]],7),"")</f>
        <v>3.1.1.1</v>
      </c>
      <c r="F5803" s="3" t="e">
        <f>VLOOKUP(Base_Periodo1[[#This Row],[Aux]],Base_Contas_Balanco[#All],2,FALSE)</f>
        <v>#N/A</v>
      </c>
      <c r="G5803" s="1">
        <v>42886</v>
      </c>
      <c r="H5803" s="281">
        <v>4038604.6800000668</v>
      </c>
      <c r="I5803" s="281">
        <v>4038604.68</v>
      </c>
      <c r="J5803" s="281">
        <v>3865412.63</v>
      </c>
      <c r="K5803" s="281">
        <v>3865412.6300000665</v>
      </c>
      <c r="L580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3865412.63</v>
      </c>
      <c r="M5803" s="281">
        <f>ROUND(IF(AND(Base_Periodo1[[#This Row],[Tipo_Linha]]="-",Base_Periodo1[[#This Row],[TIPOSALDO]]="D"),Base_Periodo1[[#This Row],[SALDO_ATUAL]]*-1,Base_Periodo1[[#This Row],[SALDO_ATUAL]]),4)</f>
        <v>3865412.63</v>
      </c>
      <c r="N5803" t="s">
        <v>116</v>
      </c>
      <c r="O5803" t="s">
        <v>459</v>
      </c>
      <c r="P5803" t="s">
        <v>459</v>
      </c>
      <c r="Q5803">
        <v>9</v>
      </c>
      <c r="R5803" s="281">
        <f>Base_Periodo1[[#This Row],[CREDITOS]]-Base_Periodo1[[#This Row],[DEBITOS]]</f>
        <v>-173192.05000000028</v>
      </c>
      <c r="S5803" s="3" t="str">
        <f>IF(ISERROR(VLOOKUP(Base_Periodo1[[#This Row],[CONTA]],BaseContasDRE[#All],4,FALSE)),"Fora do DRE",VLOOKUP(Base_Periodo1[[#This Row],[CONTA]],BaseContasDRE[#All],4,FALSE))</f>
        <v>+</v>
      </c>
      <c r="T5803" s="3">
        <f>IF(ISERROR(VLOOKUP(Base_Periodo1[[#This Row],[CONTA]],BaseContasDRE[#All],5,FALSE)),"Fora do DRE",VLOOKUP(Base_Periodo1[[#This Row],[CONTA]],BaseContasDRE[#All],6,FALSE))</f>
        <v>1</v>
      </c>
      <c r="U5803" s="3" t="str">
        <f>IF(ISERROR(VLOOKUP(Base_Periodo1[[#This Row],[CONTA]],BaseContasDRE[#All],7,FALSE)),"Fora do DRE",VLOOKUP(Base_Periodo1[[#This Row],[CONTA]],BaseContasDRE[#All],7,FALSE))</f>
        <v>PRODUTOS AGRICOLAS</v>
      </c>
      <c r="V5803" s="3" t="str">
        <f>IF(Base_Periodo1[[#This Row],[Tipo_Linha]]="Fora do DRE","Fora do DRE","( "&amp;Base_Periodo1[[#This Row],[Tipo_Linha]]&amp;" ) "&amp;Base_Periodo1[[#This Row],[Filtro]])</f>
        <v>( + ) PRODUTOS AGRICOLAS</v>
      </c>
      <c r="W5803" s="3" t="str">
        <f>LEFT(Base_Periodo1[[#This Row],[CLASS]],3)</f>
        <v>3.1</v>
      </c>
    </row>
    <row r="5804" spans="1:23" hidden="1">
      <c r="A5804" s="3" t="str">
        <f t="shared" si="90"/>
        <v>Período 1</v>
      </c>
      <c r="B5804">
        <v>1762</v>
      </c>
      <c r="C5804" t="s">
        <v>5783</v>
      </c>
      <c r="D5804" t="s">
        <v>5784</v>
      </c>
      <c r="E5804" s="3" t="str">
        <f>IF(LEN(Base_Periodo1[[#This Row],[CLASS]])&gt;=7,LEFT(Base_Periodo1[[#This Row],[CLASS]],7),"")</f>
        <v>3.1.1.1</v>
      </c>
      <c r="F5804" s="3" t="e">
        <f>VLOOKUP(Base_Periodo1[[#This Row],[Aux]],Base_Contas_Balanco[#All],2,FALSE)</f>
        <v>#N/A</v>
      </c>
      <c r="G5804" s="1"/>
      <c r="H5804" s="281">
        <v>79106328.869999886</v>
      </c>
      <c r="I5804" s="281">
        <v>79106328.870000005</v>
      </c>
      <c r="J5804" s="281">
        <v>86932273.780000001</v>
      </c>
      <c r="K5804" s="281">
        <v>86932273.779999882</v>
      </c>
      <c r="L580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86932273.780000001</v>
      </c>
      <c r="M5804" s="281">
        <f>ROUND(IF(AND(Base_Periodo1[[#This Row],[Tipo_Linha]]="-",Base_Periodo1[[#This Row],[TIPOSALDO]]="D"),Base_Periodo1[[#This Row],[SALDO_ATUAL]]*-1,Base_Periodo1[[#This Row],[SALDO_ATUAL]]),4)</f>
        <v>86932273.780000001</v>
      </c>
      <c r="N5804" t="s">
        <v>396</v>
      </c>
      <c r="O5804" t="s">
        <v>459</v>
      </c>
      <c r="P5804" t="s">
        <v>459</v>
      </c>
      <c r="Q5804">
        <v>8</v>
      </c>
      <c r="R5804" s="281">
        <f>Base_Periodo1[[#This Row],[CREDITOS]]-Base_Periodo1[[#This Row],[DEBITOS]]</f>
        <v>7825944.9099999964</v>
      </c>
      <c r="S5804" s="3" t="str">
        <f>IF(ISERROR(VLOOKUP(Base_Periodo1[[#This Row],[CONTA]],BaseContasDRE[#All],4,FALSE)),"Fora do DRE",VLOOKUP(Base_Periodo1[[#This Row],[CONTA]],BaseContasDRE[#All],4,FALSE))</f>
        <v>Fora do DRE</v>
      </c>
      <c r="T5804" s="3" t="str">
        <f>IF(ISERROR(VLOOKUP(Base_Periodo1[[#This Row],[CONTA]],BaseContasDRE[#All],5,FALSE)),"Fora do DRE",VLOOKUP(Base_Periodo1[[#This Row],[CONTA]],BaseContasDRE[#All],6,FALSE))</f>
        <v>Fora do DRE</v>
      </c>
      <c r="U5804" s="3" t="str">
        <f>IF(ISERROR(VLOOKUP(Base_Periodo1[[#This Row],[CONTA]],BaseContasDRE[#All],7,FALSE)),"Fora do DRE",VLOOKUP(Base_Periodo1[[#This Row],[CONTA]],BaseContasDRE[#All],7,FALSE))</f>
        <v>Fora do DRE</v>
      </c>
      <c r="V5804" s="3" t="str">
        <f>IF(Base_Periodo1[[#This Row],[Tipo_Linha]]="Fora do DRE","Fora do DRE","( "&amp;Base_Periodo1[[#This Row],[Tipo_Linha]]&amp;" ) "&amp;Base_Periodo1[[#This Row],[Filtro]])</f>
        <v>Fora do DRE</v>
      </c>
      <c r="W5804" s="3" t="str">
        <f>LEFT(Base_Periodo1[[#This Row],[CLASS]],3)</f>
        <v>3.1</v>
      </c>
    </row>
    <row r="5805" spans="1:23" hidden="1">
      <c r="A5805" s="3" t="str">
        <f t="shared" si="90"/>
        <v>Período 1</v>
      </c>
      <c r="B5805">
        <v>1763</v>
      </c>
      <c r="C5805" t="s">
        <v>5785</v>
      </c>
      <c r="D5805" t="s">
        <v>3562</v>
      </c>
      <c r="E5805" s="3" t="str">
        <f>IF(LEN(Base_Periodo1[[#This Row],[CLASS]])&gt;=7,LEFT(Base_Periodo1[[#This Row],[CLASS]],7),"")</f>
        <v>3.1.1.1</v>
      </c>
      <c r="F5805" s="3" t="e">
        <f>VLOOKUP(Base_Periodo1[[#This Row],[Aux]],Base_Contas_Balanco[#All],2,FALSE)</f>
        <v>#N/A</v>
      </c>
      <c r="G5805" s="1">
        <v>42886</v>
      </c>
      <c r="H5805" s="281">
        <v>79106328.869999886</v>
      </c>
      <c r="I5805" s="281">
        <v>79106328.870000005</v>
      </c>
      <c r="J5805" s="281">
        <v>86932273.780000001</v>
      </c>
      <c r="K5805" s="281">
        <v>86932273.779999882</v>
      </c>
      <c r="L580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86932273.780000001</v>
      </c>
      <c r="M5805" s="281">
        <f>ROUND(IF(AND(Base_Periodo1[[#This Row],[Tipo_Linha]]="-",Base_Periodo1[[#This Row],[TIPOSALDO]]="D"),Base_Periodo1[[#This Row],[SALDO_ATUAL]]*-1,Base_Periodo1[[#This Row],[SALDO_ATUAL]]),4)</f>
        <v>86932273.780000001</v>
      </c>
      <c r="N5805" t="s">
        <v>116</v>
      </c>
      <c r="O5805" t="s">
        <v>459</v>
      </c>
      <c r="P5805" t="s">
        <v>459</v>
      </c>
      <c r="Q5805">
        <v>9</v>
      </c>
      <c r="R5805" s="281">
        <f>Base_Periodo1[[#This Row],[CREDITOS]]-Base_Periodo1[[#This Row],[DEBITOS]]</f>
        <v>7825944.9099999964</v>
      </c>
      <c r="S5805" s="3" t="str">
        <f>IF(ISERROR(VLOOKUP(Base_Periodo1[[#This Row],[CONTA]],BaseContasDRE[#All],4,FALSE)),"Fora do DRE",VLOOKUP(Base_Periodo1[[#This Row],[CONTA]],BaseContasDRE[#All],4,FALSE))</f>
        <v>+</v>
      </c>
      <c r="T5805" s="3">
        <f>IF(ISERROR(VLOOKUP(Base_Periodo1[[#This Row],[CONTA]],BaseContasDRE[#All],5,FALSE)),"Fora do DRE",VLOOKUP(Base_Periodo1[[#This Row],[CONTA]],BaseContasDRE[#All],6,FALSE))</f>
        <v>1</v>
      </c>
      <c r="U5805" s="3" t="str">
        <f>IF(ISERROR(VLOOKUP(Base_Periodo1[[#This Row],[CONTA]],BaseContasDRE[#All],7,FALSE)),"Fora do DRE",VLOOKUP(Base_Periodo1[[#This Row],[CONTA]],BaseContasDRE[#All],7,FALSE))</f>
        <v>PRODUTOS AGRICOLAS</v>
      </c>
      <c r="V5805" s="3" t="str">
        <f>IF(Base_Periodo1[[#This Row],[Tipo_Linha]]="Fora do DRE","Fora do DRE","( "&amp;Base_Periodo1[[#This Row],[Tipo_Linha]]&amp;" ) "&amp;Base_Periodo1[[#This Row],[Filtro]])</f>
        <v>( + ) PRODUTOS AGRICOLAS</v>
      </c>
      <c r="W5805" s="3" t="str">
        <f>LEFT(Base_Periodo1[[#This Row],[CLASS]],3)</f>
        <v>3.1</v>
      </c>
    </row>
    <row r="5806" spans="1:23" hidden="1">
      <c r="A5806" s="3" t="str">
        <f t="shared" si="90"/>
        <v>Período 1</v>
      </c>
      <c r="B5806">
        <v>1766</v>
      </c>
      <c r="C5806" t="s">
        <v>6090</v>
      </c>
      <c r="D5806" t="s">
        <v>3563</v>
      </c>
      <c r="E5806" s="3" t="str">
        <f>IF(LEN(Base_Periodo1[[#This Row],[CLASS]])&gt;=7,LEFT(Base_Periodo1[[#This Row],[CLASS]],7),"")</f>
        <v>3.1.1.1</v>
      </c>
      <c r="F5806" s="3" t="e">
        <f>VLOOKUP(Base_Periodo1[[#This Row],[Aux]],Base_Contas_Balanco[#All],2,FALSE)</f>
        <v>#N/A</v>
      </c>
      <c r="G5806" s="1"/>
      <c r="H5806" s="281">
        <v>84557.480000000447</v>
      </c>
      <c r="I5806" s="281">
        <v>121372.09</v>
      </c>
      <c r="J5806" s="281">
        <v>84557.48</v>
      </c>
      <c r="K5806" s="281">
        <v>121372.09000000045</v>
      </c>
      <c r="L580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-121372.09</v>
      </c>
      <c r="M5806" s="281">
        <f>ROUND(IF(AND(Base_Periodo1[[#This Row],[Tipo_Linha]]="-",Base_Periodo1[[#This Row],[TIPOSALDO]]="D"),Base_Periodo1[[#This Row],[SALDO_ATUAL]]*-1,Base_Periodo1[[#This Row],[SALDO_ATUAL]]),4)</f>
        <v>121372.09</v>
      </c>
      <c r="N5806" t="s">
        <v>396</v>
      </c>
      <c r="O5806" t="s">
        <v>397</v>
      </c>
      <c r="P5806" t="s">
        <v>397</v>
      </c>
      <c r="Q5806">
        <v>8</v>
      </c>
      <c r="R5806" s="281">
        <f>Base_Periodo1[[#This Row],[CREDITOS]]-Base_Periodo1[[#This Row],[DEBITOS]]</f>
        <v>-36814.61</v>
      </c>
      <c r="S5806" s="3" t="str">
        <f>IF(ISERROR(VLOOKUP(Base_Periodo1[[#This Row],[CONTA]],BaseContasDRE[#All],4,FALSE)),"Fora do DRE",VLOOKUP(Base_Periodo1[[#This Row],[CONTA]],BaseContasDRE[#All],4,FALSE))</f>
        <v>Fora do DRE</v>
      </c>
      <c r="T5806" s="3" t="str">
        <f>IF(ISERROR(VLOOKUP(Base_Periodo1[[#This Row],[CONTA]],BaseContasDRE[#All],5,FALSE)),"Fora do DRE",VLOOKUP(Base_Periodo1[[#This Row],[CONTA]],BaseContasDRE[#All],6,FALSE))</f>
        <v>Fora do DRE</v>
      </c>
      <c r="U5806" s="3" t="str">
        <f>IF(ISERROR(VLOOKUP(Base_Periodo1[[#This Row],[CONTA]],BaseContasDRE[#All],7,FALSE)),"Fora do DRE",VLOOKUP(Base_Periodo1[[#This Row],[CONTA]],BaseContasDRE[#All],7,FALSE))</f>
        <v>Fora do DRE</v>
      </c>
      <c r="V5806" s="3" t="str">
        <f>IF(Base_Periodo1[[#This Row],[Tipo_Linha]]="Fora do DRE","Fora do DRE","( "&amp;Base_Periodo1[[#This Row],[Tipo_Linha]]&amp;" ) "&amp;Base_Periodo1[[#This Row],[Filtro]])</f>
        <v>Fora do DRE</v>
      </c>
      <c r="W5806" s="3" t="str">
        <f>LEFT(Base_Periodo1[[#This Row],[CLASS]],3)</f>
        <v>3.1</v>
      </c>
    </row>
    <row r="5807" spans="1:23" hidden="1">
      <c r="A5807" s="3" t="str">
        <f t="shared" si="90"/>
        <v>Período 1</v>
      </c>
      <c r="B5807">
        <v>1767</v>
      </c>
      <c r="C5807" t="s">
        <v>6091</v>
      </c>
      <c r="D5807" t="s">
        <v>3564</v>
      </c>
      <c r="E5807" s="3" t="str">
        <f>IF(LEN(Base_Periodo1[[#This Row],[CLASS]])&gt;=7,LEFT(Base_Periodo1[[#This Row],[CLASS]],7),"")</f>
        <v>3.1.1.1</v>
      </c>
      <c r="F5807" s="3" t="e">
        <f>VLOOKUP(Base_Periodo1[[#This Row],[Aux]],Base_Contas_Balanco[#All],2,FALSE)</f>
        <v>#N/A</v>
      </c>
      <c r="G5807" s="1">
        <v>42886</v>
      </c>
      <c r="H5807" s="281">
        <v>84557.480000000447</v>
      </c>
      <c r="I5807" s="281">
        <v>121372.09</v>
      </c>
      <c r="J5807" s="281">
        <v>84557.48</v>
      </c>
      <c r="K5807" s="281">
        <v>121372.09000000045</v>
      </c>
      <c r="L580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-121372.09</v>
      </c>
      <c r="M5807" s="281">
        <f>ROUND(IF(AND(Base_Periodo1[[#This Row],[Tipo_Linha]]="-",Base_Periodo1[[#This Row],[TIPOSALDO]]="D"),Base_Periodo1[[#This Row],[SALDO_ATUAL]]*-1,Base_Periodo1[[#This Row],[SALDO_ATUAL]]),4)</f>
        <v>-121372.09</v>
      </c>
      <c r="N5807" t="s">
        <v>116</v>
      </c>
      <c r="O5807" t="s">
        <v>397</v>
      </c>
      <c r="P5807" t="s">
        <v>397</v>
      </c>
      <c r="Q5807">
        <v>9</v>
      </c>
      <c r="R5807" s="281">
        <f>Base_Periodo1[[#This Row],[CREDITOS]]-Base_Periodo1[[#This Row],[DEBITOS]]</f>
        <v>-36814.61</v>
      </c>
      <c r="S5807" s="3" t="str">
        <f>IF(ISERROR(VLOOKUP(Base_Periodo1[[#This Row],[CONTA]],BaseContasDRE[#All],4,FALSE)),"Fora do DRE",VLOOKUP(Base_Periodo1[[#This Row],[CONTA]],BaseContasDRE[#All],4,FALSE))</f>
        <v>-</v>
      </c>
      <c r="T5807" s="3">
        <f>IF(ISERROR(VLOOKUP(Base_Periodo1[[#This Row],[CONTA]],BaseContasDRE[#All],5,FALSE)),"Fora do DRE",VLOOKUP(Base_Periodo1[[#This Row],[CONTA]],BaseContasDRE[#All],6,FALSE))</f>
        <v>2</v>
      </c>
      <c r="U5807" s="3" t="str">
        <f>IF(ISERROR(VLOOKUP(Base_Periodo1[[#This Row],[CONTA]],BaseContasDRE[#All],7,FALSE)),"Fora do DRE",VLOOKUP(Base_Periodo1[[#This Row],[CONTA]],BaseContasDRE[#All],7,FALSE))</f>
        <v>DEVOLUÇÃO DE PRODUTOS AGRICOLAS</v>
      </c>
      <c r="V5807" s="3" t="str">
        <f>IF(Base_Periodo1[[#This Row],[Tipo_Linha]]="Fora do DRE","Fora do DRE","( "&amp;Base_Periodo1[[#This Row],[Tipo_Linha]]&amp;" ) "&amp;Base_Periodo1[[#This Row],[Filtro]])</f>
        <v>( - ) DEVOLUÇÃO DE PRODUTOS AGRICOLAS</v>
      </c>
      <c r="W5807" s="3" t="str">
        <f>LEFT(Base_Periodo1[[#This Row],[CLASS]],3)</f>
        <v>3.1</v>
      </c>
    </row>
    <row r="5808" spans="1:23" hidden="1">
      <c r="A5808" s="3" t="str">
        <f t="shared" si="90"/>
        <v>Período 1</v>
      </c>
      <c r="B5808">
        <v>1770</v>
      </c>
      <c r="C5808" t="s">
        <v>5786</v>
      </c>
      <c r="D5808" t="s">
        <v>3567</v>
      </c>
      <c r="E5808" s="3" t="str">
        <f>IF(LEN(Base_Periodo1[[#This Row],[CLASS]])&gt;=7,LEFT(Base_Periodo1[[#This Row],[CLASS]],7),"")</f>
        <v>3.1.1.1</v>
      </c>
      <c r="F5808" s="3" t="e">
        <f>VLOOKUP(Base_Periodo1[[#This Row],[Aux]],Base_Contas_Balanco[#All],2,FALSE)</f>
        <v>#N/A</v>
      </c>
      <c r="G5808" s="1"/>
      <c r="H5808" s="281">
        <v>76510140.370000362</v>
      </c>
      <c r="I5808" s="281">
        <v>83651067.010000005</v>
      </c>
      <c r="J5808" s="281">
        <v>76836460.840000004</v>
      </c>
      <c r="K5808" s="281">
        <v>83324746.540000349</v>
      </c>
      <c r="L580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-83324746.540000007</v>
      </c>
      <c r="M5808" s="281">
        <f>ROUND(IF(AND(Base_Periodo1[[#This Row],[Tipo_Linha]]="-",Base_Periodo1[[#This Row],[TIPOSALDO]]="D"),Base_Periodo1[[#This Row],[SALDO_ATUAL]]*-1,Base_Periodo1[[#This Row],[SALDO_ATUAL]]),4)</f>
        <v>83324746.540000007</v>
      </c>
      <c r="N5808" t="s">
        <v>396</v>
      </c>
      <c r="O5808" t="s">
        <v>397</v>
      </c>
      <c r="P5808" t="s">
        <v>397</v>
      </c>
      <c r="Q5808">
        <v>8</v>
      </c>
      <c r="R5808" s="281">
        <f>Base_Periodo1[[#This Row],[CREDITOS]]-Base_Periodo1[[#This Row],[DEBITOS]]</f>
        <v>-6814606.1700000018</v>
      </c>
      <c r="S5808" s="3" t="str">
        <f>IF(ISERROR(VLOOKUP(Base_Periodo1[[#This Row],[CONTA]],BaseContasDRE[#All],4,FALSE)),"Fora do DRE",VLOOKUP(Base_Periodo1[[#This Row],[CONTA]],BaseContasDRE[#All],4,FALSE))</f>
        <v>Fora do DRE</v>
      </c>
      <c r="T5808" s="3" t="str">
        <f>IF(ISERROR(VLOOKUP(Base_Periodo1[[#This Row],[CONTA]],BaseContasDRE[#All],5,FALSE)),"Fora do DRE",VLOOKUP(Base_Periodo1[[#This Row],[CONTA]],BaseContasDRE[#All],6,FALSE))</f>
        <v>Fora do DRE</v>
      </c>
      <c r="U5808" s="3" t="str">
        <f>IF(ISERROR(VLOOKUP(Base_Periodo1[[#This Row],[CONTA]],BaseContasDRE[#All],7,FALSE)),"Fora do DRE",VLOOKUP(Base_Periodo1[[#This Row],[CONTA]],BaseContasDRE[#All],7,FALSE))</f>
        <v>Fora do DRE</v>
      </c>
      <c r="V5808" s="3" t="str">
        <f>IF(Base_Periodo1[[#This Row],[Tipo_Linha]]="Fora do DRE","Fora do DRE","( "&amp;Base_Periodo1[[#This Row],[Tipo_Linha]]&amp;" ) "&amp;Base_Periodo1[[#This Row],[Filtro]])</f>
        <v>Fora do DRE</v>
      </c>
      <c r="W5808" s="3" t="str">
        <f>LEFT(Base_Periodo1[[#This Row],[CLASS]],3)</f>
        <v>3.1</v>
      </c>
    </row>
    <row r="5809" spans="1:23" hidden="1">
      <c r="A5809" s="3" t="str">
        <f t="shared" si="90"/>
        <v>Período 1</v>
      </c>
      <c r="B5809">
        <v>1771</v>
      </c>
      <c r="C5809" t="s">
        <v>5787</v>
      </c>
      <c r="D5809" t="s">
        <v>3568</v>
      </c>
      <c r="E5809" s="3" t="str">
        <f>IF(LEN(Base_Periodo1[[#This Row],[CLASS]])&gt;=7,LEFT(Base_Periodo1[[#This Row],[CLASS]],7),"")</f>
        <v>3.1.1.1</v>
      </c>
      <c r="F5809" s="3" t="e">
        <f>VLOOKUP(Base_Periodo1[[#This Row],[Aux]],Base_Contas_Balanco[#All],2,FALSE)</f>
        <v>#N/A</v>
      </c>
      <c r="G5809" s="1">
        <v>42886</v>
      </c>
      <c r="H5809" s="281">
        <v>76510140.370000362</v>
      </c>
      <c r="I5809" s="281">
        <v>83651067.010000005</v>
      </c>
      <c r="J5809" s="281">
        <v>76836460.840000004</v>
      </c>
      <c r="K5809" s="281">
        <v>83324746.540000349</v>
      </c>
      <c r="L580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-83324746.540000007</v>
      </c>
      <c r="M5809" s="281">
        <f>ROUND(IF(AND(Base_Periodo1[[#This Row],[Tipo_Linha]]="-",Base_Periodo1[[#This Row],[TIPOSALDO]]="D"),Base_Periodo1[[#This Row],[SALDO_ATUAL]]*-1,Base_Periodo1[[#This Row],[SALDO_ATUAL]]),4)</f>
        <v>-83324746.540000007</v>
      </c>
      <c r="N5809" t="s">
        <v>116</v>
      </c>
      <c r="O5809" t="s">
        <v>397</v>
      </c>
      <c r="P5809" t="s">
        <v>397</v>
      </c>
      <c r="Q5809">
        <v>9</v>
      </c>
      <c r="R5809" s="281">
        <f>Base_Periodo1[[#This Row],[CREDITOS]]-Base_Periodo1[[#This Row],[DEBITOS]]</f>
        <v>-6814606.1700000018</v>
      </c>
      <c r="S5809" s="3" t="str">
        <f>IF(ISERROR(VLOOKUP(Base_Periodo1[[#This Row],[CONTA]],BaseContasDRE[#All],4,FALSE)),"Fora do DRE",VLOOKUP(Base_Periodo1[[#This Row],[CONTA]],BaseContasDRE[#All],4,FALSE))</f>
        <v>-</v>
      </c>
      <c r="T5809" s="3">
        <f>IF(ISERROR(VLOOKUP(Base_Periodo1[[#This Row],[CONTA]],BaseContasDRE[#All],5,FALSE)),"Fora do DRE",VLOOKUP(Base_Periodo1[[#This Row],[CONTA]],BaseContasDRE[#All],6,FALSE))</f>
        <v>3</v>
      </c>
      <c r="U5809" s="3" t="str">
        <f>IF(ISERROR(VLOOKUP(Base_Periodo1[[#This Row],[CONTA]],BaseContasDRE[#All],7,FALSE)),"Fora do DRE",VLOOKUP(Base_Periodo1[[#This Row],[CONTA]],BaseContasDRE[#All],7,FALSE))</f>
        <v>PRODUTOS AGRICOLAS</v>
      </c>
      <c r="V5809" s="3" t="str">
        <f>IF(Base_Periodo1[[#This Row],[Tipo_Linha]]="Fora do DRE","Fora do DRE","( "&amp;Base_Periodo1[[#This Row],[Tipo_Linha]]&amp;" ) "&amp;Base_Periodo1[[#This Row],[Filtro]])</f>
        <v>( - ) PRODUTOS AGRICOLAS</v>
      </c>
      <c r="W5809" s="3" t="str">
        <f>LEFT(Base_Periodo1[[#This Row],[CLASS]],3)</f>
        <v>3.1</v>
      </c>
    </row>
    <row r="5810" spans="1:23" hidden="1">
      <c r="A5810" s="3" t="str">
        <f t="shared" si="90"/>
        <v>Período 1</v>
      </c>
      <c r="B5810">
        <v>1772</v>
      </c>
      <c r="C5810" t="s">
        <v>3569</v>
      </c>
      <c r="D5810" t="s">
        <v>1076</v>
      </c>
      <c r="E5810" s="3" t="str">
        <f>IF(LEN(Base_Periodo1[[#This Row],[CLASS]])&gt;=7,LEFT(Base_Periodo1[[#This Row],[CLASS]],7),"")</f>
        <v>3.1.1.1</v>
      </c>
      <c r="F5810" s="3" t="e">
        <f>VLOOKUP(Base_Periodo1[[#This Row],[Aux]],Base_Contas_Balanco[#All],2,FALSE)</f>
        <v>#N/A</v>
      </c>
      <c r="G5810" s="1"/>
      <c r="H5810" s="281">
        <v>4701551.9700001851</v>
      </c>
      <c r="I5810" s="281">
        <v>80530578.930000007</v>
      </c>
      <c r="J5810" s="281">
        <v>80797128.629999995</v>
      </c>
      <c r="K5810" s="281">
        <v>4968101.6700001657</v>
      </c>
      <c r="L581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4968101.67</v>
      </c>
      <c r="M5810" s="281">
        <f>ROUND(IF(AND(Base_Periodo1[[#This Row],[Tipo_Linha]]="-",Base_Periodo1[[#This Row],[TIPOSALDO]]="D"),Base_Periodo1[[#This Row],[SALDO_ATUAL]]*-1,Base_Periodo1[[#This Row],[SALDO_ATUAL]]),4)</f>
        <v>4968101.67</v>
      </c>
      <c r="N5810" t="s">
        <v>396</v>
      </c>
      <c r="O5810" t="s">
        <v>459</v>
      </c>
      <c r="P5810" t="s">
        <v>459</v>
      </c>
      <c r="Q5810">
        <v>7</v>
      </c>
      <c r="R5810" s="281">
        <f>Base_Periodo1[[#This Row],[CREDITOS]]-Base_Periodo1[[#This Row],[DEBITOS]]</f>
        <v>266549.69999998808</v>
      </c>
      <c r="S5810" s="3" t="str">
        <f>IF(ISERROR(VLOOKUP(Base_Periodo1[[#This Row],[CONTA]],BaseContasDRE[#All],4,FALSE)),"Fora do DRE",VLOOKUP(Base_Periodo1[[#This Row],[CONTA]],BaseContasDRE[#All],4,FALSE))</f>
        <v>Fora do DRE</v>
      </c>
      <c r="T5810" s="3" t="str">
        <f>IF(ISERROR(VLOOKUP(Base_Periodo1[[#This Row],[CONTA]],BaseContasDRE[#All],5,FALSE)),"Fora do DRE",VLOOKUP(Base_Periodo1[[#This Row],[CONTA]],BaseContasDRE[#All],6,FALSE))</f>
        <v>Fora do DRE</v>
      </c>
      <c r="U5810" s="3" t="str">
        <f>IF(ISERROR(VLOOKUP(Base_Periodo1[[#This Row],[CONTA]],BaseContasDRE[#All],7,FALSE)),"Fora do DRE",VLOOKUP(Base_Periodo1[[#This Row],[CONTA]],BaseContasDRE[#All],7,FALSE))</f>
        <v>Fora do DRE</v>
      </c>
      <c r="V5810" s="3" t="str">
        <f>IF(Base_Periodo1[[#This Row],[Tipo_Linha]]="Fora do DRE","Fora do DRE","( "&amp;Base_Periodo1[[#This Row],[Tipo_Linha]]&amp;" ) "&amp;Base_Periodo1[[#This Row],[Filtro]])</f>
        <v>Fora do DRE</v>
      </c>
      <c r="W5810" s="3" t="str">
        <f>LEFT(Base_Periodo1[[#This Row],[CLASS]],3)</f>
        <v>3.1</v>
      </c>
    </row>
    <row r="5811" spans="1:23" hidden="1">
      <c r="A5811" s="3" t="str">
        <f t="shared" si="90"/>
        <v>Período 1</v>
      </c>
      <c r="B5811">
        <v>1773</v>
      </c>
      <c r="C5811" t="s">
        <v>3570</v>
      </c>
      <c r="D5811" t="s">
        <v>3561</v>
      </c>
      <c r="E5811" s="3" t="str">
        <f>IF(LEN(Base_Periodo1[[#This Row],[CLASS]])&gt;=7,LEFT(Base_Periodo1[[#This Row],[CLASS]],7),"")</f>
        <v>3.1.1.1</v>
      </c>
      <c r="F5811" s="3" t="e">
        <f>VLOOKUP(Base_Periodo1[[#This Row],[Aux]],Base_Contas_Balanco[#All],2,FALSE)</f>
        <v>#N/A</v>
      </c>
      <c r="G5811" s="1"/>
      <c r="H5811" s="281">
        <v>41078054.81000042</v>
      </c>
      <c r="I5811" s="281">
        <v>41021739.530000001</v>
      </c>
      <c r="J5811" s="281">
        <v>44387931.039999999</v>
      </c>
      <c r="K5811" s="281">
        <v>44444246.320000418</v>
      </c>
      <c r="L581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44444246.32</v>
      </c>
      <c r="M5811" s="281">
        <f>ROUND(IF(AND(Base_Periodo1[[#This Row],[Tipo_Linha]]="-",Base_Periodo1[[#This Row],[TIPOSALDO]]="D"),Base_Periodo1[[#This Row],[SALDO_ATUAL]]*-1,Base_Periodo1[[#This Row],[SALDO_ATUAL]]),4)</f>
        <v>44444246.32</v>
      </c>
      <c r="N5811" t="s">
        <v>396</v>
      </c>
      <c r="O5811" t="s">
        <v>459</v>
      </c>
      <c r="P5811" t="s">
        <v>459</v>
      </c>
      <c r="Q5811">
        <v>8</v>
      </c>
      <c r="R5811" s="281">
        <f>Base_Periodo1[[#This Row],[CREDITOS]]-Base_Periodo1[[#This Row],[DEBITOS]]</f>
        <v>3366191.5099999979</v>
      </c>
      <c r="S5811" s="3" t="str">
        <f>IF(ISERROR(VLOOKUP(Base_Periodo1[[#This Row],[CONTA]],BaseContasDRE[#All],4,FALSE)),"Fora do DRE",VLOOKUP(Base_Periodo1[[#This Row],[CONTA]],BaseContasDRE[#All],4,FALSE))</f>
        <v>Fora do DRE</v>
      </c>
      <c r="T5811" s="3" t="str">
        <f>IF(ISERROR(VLOOKUP(Base_Periodo1[[#This Row],[CONTA]],BaseContasDRE[#All],5,FALSE)),"Fora do DRE",VLOOKUP(Base_Periodo1[[#This Row],[CONTA]],BaseContasDRE[#All],6,FALSE))</f>
        <v>Fora do DRE</v>
      </c>
      <c r="U5811" s="3" t="str">
        <f>IF(ISERROR(VLOOKUP(Base_Periodo1[[#This Row],[CONTA]],BaseContasDRE[#All],7,FALSE)),"Fora do DRE",VLOOKUP(Base_Periodo1[[#This Row],[CONTA]],BaseContasDRE[#All],7,FALSE))</f>
        <v>Fora do DRE</v>
      </c>
      <c r="V5811" s="3" t="str">
        <f>IF(Base_Periodo1[[#This Row],[Tipo_Linha]]="Fora do DRE","Fora do DRE","( "&amp;Base_Periodo1[[#This Row],[Tipo_Linha]]&amp;" ) "&amp;Base_Periodo1[[#This Row],[Filtro]])</f>
        <v>Fora do DRE</v>
      </c>
      <c r="W5811" s="3" t="str">
        <f>LEFT(Base_Periodo1[[#This Row],[CLASS]],3)</f>
        <v>3.1</v>
      </c>
    </row>
    <row r="5812" spans="1:23" hidden="1">
      <c r="A5812" s="3" t="str">
        <f t="shared" si="90"/>
        <v>Período 1</v>
      </c>
      <c r="B5812">
        <v>1774</v>
      </c>
      <c r="C5812" t="s">
        <v>3571</v>
      </c>
      <c r="D5812" t="s">
        <v>3562</v>
      </c>
      <c r="E5812" s="3" t="str">
        <f>IF(LEN(Base_Periodo1[[#This Row],[CLASS]])&gt;=7,LEFT(Base_Periodo1[[#This Row],[CLASS]],7),"")</f>
        <v>3.1.1.1</v>
      </c>
      <c r="F5812" s="3" t="e">
        <f>VLOOKUP(Base_Periodo1[[#This Row],[Aux]],Base_Contas_Balanco[#All],2,FALSE)</f>
        <v>#N/A</v>
      </c>
      <c r="G5812" s="1">
        <v>42886</v>
      </c>
      <c r="H5812" s="281">
        <v>41078054.81000042</v>
      </c>
      <c r="I5812" s="281">
        <v>41021739.530000001</v>
      </c>
      <c r="J5812" s="281">
        <v>44387931.039999999</v>
      </c>
      <c r="K5812" s="281">
        <v>44444246.320000418</v>
      </c>
      <c r="L581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44444246.32</v>
      </c>
      <c r="M5812" s="281">
        <f>ROUND(IF(AND(Base_Periodo1[[#This Row],[Tipo_Linha]]="-",Base_Periodo1[[#This Row],[TIPOSALDO]]="D"),Base_Periodo1[[#This Row],[SALDO_ATUAL]]*-1,Base_Periodo1[[#This Row],[SALDO_ATUAL]]),4)</f>
        <v>44444246.32</v>
      </c>
      <c r="N5812" t="s">
        <v>116</v>
      </c>
      <c r="O5812" t="s">
        <v>459</v>
      </c>
      <c r="P5812" t="s">
        <v>459</v>
      </c>
      <c r="Q5812">
        <v>9</v>
      </c>
      <c r="R5812" s="281">
        <f>Base_Periodo1[[#This Row],[CREDITOS]]-Base_Periodo1[[#This Row],[DEBITOS]]</f>
        <v>3366191.5099999979</v>
      </c>
      <c r="S5812" s="3" t="str">
        <f>IF(ISERROR(VLOOKUP(Base_Periodo1[[#This Row],[CONTA]],BaseContasDRE[#All],4,FALSE)),"Fora do DRE",VLOOKUP(Base_Periodo1[[#This Row],[CONTA]],BaseContasDRE[#All],4,FALSE))</f>
        <v>+</v>
      </c>
      <c r="T5812" s="3">
        <f>IF(ISERROR(VLOOKUP(Base_Periodo1[[#This Row],[CONTA]],BaseContasDRE[#All],5,FALSE)),"Fora do DRE",VLOOKUP(Base_Periodo1[[#This Row],[CONTA]],BaseContasDRE[#All],6,FALSE))</f>
        <v>1</v>
      </c>
      <c r="U5812" s="3" t="str">
        <f>IF(ISERROR(VLOOKUP(Base_Periodo1[[#This Row],[CONTA]],BaseContasDRE[#All],7,FALSE)),"Fora do DRE",VLOOKUP(Base_Periodo1[[#This Row],[CONTA]],BaseContasDRE[#All],7,FALSE))</f>
        <v>PRODUTOS AGRICOLAS</v>
      </c>
      <c r="V5812" s="3" t="str">
        <f>IF(Base_Periodo1[[#This Row],[Tipo_Linha]]="Fora do DRE","Fora do DRE","( "&amp;Base_Periodo1[[#This Row],[Tipo_Linha]]&amp;" ) "&amp;Base_Periodo1[[#This Row],[Filtro]])</f>
        <v>( + ) PRODUTOS AGRICOLAS</v>
      </c>
      <c r="W5812" s="3" t="str">
        <f>LEFT(Base_Periodo1[[#This Row],[CLASS]],3)</f>
        <v>3.1</v>
      </c>
    </row>
    <row r="5813" spans="1:23" hidden="1">
      <c r="A5813" s="3" t="str">
        <f t="shared" si="90"/>
        <v>Período 1</v>
      </c>
      <c r="B5813">
        <v>1776</v>
      </c>
      <c r="C5813" t="s">
        <v>6580</v>
      </c>
      <c r="D5813" t="s">
        <v>3563</v>
      </c>
      <c r="E5813" s="3" t="str">
        <f>IF(LEN(Base_Periodo1[[#This Row],[CLASS]])&gt;=7,LEFT(Base_Periodo1[[#This Row],[CLASS]],7),"")</f>
        <v>3.1.1.1</v>
      </c>
      <c r="F5813" s="3" t="e">
        <f>VLOOKUP(Base_Periodo1[[#This Row],[Aux]],Base_Contas_Balanco[#All],2,FALSE)</f>
        <v>#N/A</v>
      </c>
      <c r="G5813" s="1"/>
      <c r="H5813" s="281">
        <v>8156.1099999998696</v>
      </c>
      <c r="I5813" s="281">
        <v>0</v>
      </c>
      <c r="J5813" s="281">
        <v>11275.439999999999</v>
      </c>
      <c r="K5813" s="281">
        <v>3119.3300000001291</v>
      </c>
      <c r="L581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3119.33</v>
      </c>
      <c r="M5813" s="281">
        <f>ROUND(IF(AND(Base_Periodo1[[#This Row],[Tipo_Linha]]="-",Base_Periodo1[[#This Row],[TIPOSALDO]]="D"),Base_Periodo1[[#This Row],[SALDO_ATUAL]]*-1,Base_Periodo1[[#This Row],[SALDO_ATUAL]]),4)</f>
        <v>3119.33</v>
      </c>
      <c r="N5813" t="s">
        <v>396</v>
      </c>
      <c r="O5813" t="s">
        <v>397</v>
      </c>
      <c r="P5813" t="s">
        <v>459</v>
      </c>
      <c r="Q5813">
        <v>8</v>
      </c>
      <c r="R5813" s="281">
        <f>Base_Periodo1[[#This Row],[CREDITOS]]-Base_Periodo1[[#This Row],[DEBITOS]]</f>
        <v>11275.439999999999</v>
      </c>
      <c r="S5813" s="3" t="str">
        <f>IF(ISERROR(VLOOKUP(Base_Periodo1[[#This Row],[CONTA]],BaseContasDRE[#All],4,FALSE)),"Fora do DRE",VLOOKUP(Base_Periodo1[[#This Row],[CONTA]],BaseContasDRE[#All],4,FALSE))</f>
        <v>Fora do DRE</v>
      </c>
      <c r="T5813" s="3" t="str">
        <f>IF(ISERROR(VLOOKUP(Base_Periodo1[[#This Row],[CONTA]],BaseContasDRE[#All],5,FALSE)),"Fora do DRE",VLOOKUP(Base_Periodo1[[#This Row],[CONTA]],BaseContasDRE[#All],6,FALSE))</f>
        <v>Fora do DRE</v>
      </c>
      <c r="U5813" s="3" t="str">
        <f>IF(ISERROR(VLOOKUP(Base_Periodo1[[#This Row],[CONTA]],BaseContasDRE[#All],7,FALSE)),"Fora do DRE",VLOOKUP(Base_Periodo1[[#This Row],[CONTA]],BaseContasDRE[#All],7,FALSE))</f>
        <v>Fora do DRE</v>
      </c>
      <c r="V5813" s="3" t="str">
        <f>IF(Base_Periodo1[[#This Row],[Tipo_Linha]]="Fora do DRE","Fora do DRE","( "&amp;Base_Periodo1[[#This Row],[Tipo_Linha]]&amp;" ) "&amp;Base_Periodo1[[#This Row],[Filtro]])</f>
        <v>Fora do DRE</v>
      </c>
      <c r="W5813" s="3" t="str">
        <f>LEFT(Base_Periodo1[[#This Row],[CLASS]],3)</f>
        <v>3.1</v>
      </c>
    </row>
    <row r="5814" spans="1:23" hidden="1">
      <c r="A5814" s="3" t="str">
        <f t="shared" si="90"/>
        <v>Período 1</v>
      </c>
      <c r="B5814">
        <v>1777</v>
      </c>
      <c r="C5814" t="s">
        <v>6581</v>
      </c>
      <c r="D5814" t="s">
        <v>3564</v>
      </c>
      <c r="E5814" s="3" t="str">
        <f>IF(LEN(Base_Periodo1[[#This Row],[CLASS]])&gt;=7,LEFT(Base_Periodo1[[#This Row],[CLASS]],7),"")</f>
        <v>3.1.1.1</v>
      </c>
      <c r="F5814" s="3" t="e">
        <f>VLOOKUP(Base_Periodo1[[#This Row],[Aux]],Base_Contas_Balanco[#All],2,FALSE)</f>
        <v>#N/A</v>
      </c>
      <c r="G5814" s="1">
        <v>42886</v>
      </c>
      <c r="H5814" s="281">
        <v>8156.1099999998696</v>
      </c>
      <c r="I5814" s="281">
        <v>0</v>
      </c>
      <c r="J5814" s="281">
        <v>11275.439999999999</v>
      </c>
      <c r="K5814" s="281">
        <v>3119.3300000001291</v>
      </c>
      <c r="L581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3119.33</v>
      </c>
      <c r="M5814" s="281">
        <f>ROUND(IF(AND(Base_Periodo1[[#This Row],[Tipo_Linha]]="-",Base_Periodo1[[#This Row],[TIPOSALDO]]="D"),Base_Periodo1[[#This Row],[SALDO_ATUAL]]*-1,Base_Periodo1[[#This Row],[SALDO_ATUAL]]),4)</f>
        <v>3119.33</v>
      </c>
      <c r="N5814" t="s">
        <v>116</v>
      </c>
      <c r="O5814" t="s">
        <v>397</v>
      </c>
      <c r="P5814" t="s">
        <v>459</v>
      </c>
      <c r="Q5814">
        <v>9</v>
      </c>
      <c r="R5814" s="281">
        <f>Base_Periodo1[[#This Row],[CREDITOS]]-Base_Periodo1[[#This Row],[DEBITOS]]</f>
        <v>11275.439999999999</v>
      </c>
      <c r="S5814" s="3" t="str">
        <f>IF(ISERROR(VLOOKUP(Base_Periodo1[[#This Row],[CONTA]],BaseContasDRE[#All],4,FALSE)),"Fora do DRE",VLOOKUP(Base_Periodo1[[#This Row],[CONTA]],BaseContasDRE[#All],4,FALSE))</f>
        <v>-</v>
      </c>
      <c r="T5814" s="3">
        <f>IF(ISERROR(VLOOKUP(Base_Periodo1[[#This Row],[CONTA]],BaseContasDRE[#All],5,FALSE)),"Fora do DRE",VLOOKUP(Base_Periodo1[[#This Row],[CONTA]],BaseContasDRE[#All],6,FALSE))</f>
        <v>2</v>
      </c>
      <c r="U5814" s="3" t="str">
        <f>IF(ISERROR(VLOOKUP(Base_Periodo1[[#This Row],[CONTA]],BaseContasDRE[#All],7,FALSE)),"Fora do DRE",VLOOKUP(Base_Periodo1[[#This Row],[CONTA]],BaseContasDRE[#All],7,FALSE))</f>
        <v>DEVOLUÇÃO DE PRODUTOS AGRICOLAS</v>
      </c>
      <c r="V5814" s="3" t="str">
        <f>IF(Base_Periodo1[[#This Row],[Tipo_Linha]]="Fora do DRE","Fora do DRE","( "&amp;Base_Periodo1[[#This Row],[Tipo_Linha]]&amp;" ) "&amp;Base_Periodo1[[#This Row],[Filtro]])</f>
        <v>( - ) DEVOLUÇÃO DE PRODUTOS AGRICOLAS</v>
      </c>
      <c r="W5814" s="3" t="str">
        <f>LEFT(Base_Periodo1[[#This Row],[CLASS]],3)</f>
        <v>3.1</v>
      </c>
    </row>
    <row r="5815" spans="1:23" hidden="1">
      <c r="A5815" s="3" t="str">
        <f t="shared" si="90"/>
        <v>Período 1</v>
      </c>
      <c r="B5815">
        <v>1778</v>
      </c>
      <c r="C5815" t="s">
        <v>5788</v>
      </c>
      <c r="D5815" t="s">
        <v>3565</v>
      </c>
      <c r="E5815" s="3" t="str">
        <f>IF(LEN(Base_Periodo1[[#This Row],[CLASS]])&gt;=7,LEFT(Base_Periodo1[[#This Row],[CLASS]],7),"")</f>
        <v>3.1.1.1</v>
      </c>
      <c r="F5815" s="3" t="e">
        <f>VLOOKUP(Base_Periodo1[[#This Row],[Aux]],Base_Contas_Balanco[#All],2,FALSE)</f>
        <v>#N/A</v>
      </c>
      <c r="G5815" s="1"/>
      <c r="H5815" s="281">
        <v>856390.49999999255</v>
      </c>
      <c r="I5815" s="281">
        <v>1112552.19</v>
      </c>
      <c r="J5815" s="281">
        <v>856390.5</v>
      </c>
      <c r="K5815" s="281">
        <v>1112552.1899999925</v>
      </c>
      <c r="L581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-1112552.19</v>
      </c>
      <c r="M5815" s="281">
        <f>ROUND(IF(AND(Base_Periodo1[[#This Row],[Tipo_Linha]]="-",Base_Periodo1[[#This Row],[TIPOSALDO]]="D"),Base_Periodo1[[#This Row],[SALDO_ATUAL]]*-1,Base_Periodo1[[#This Row],[SALDO_ATUAL]]),4)</f>
        <v>1112552.19</v>
      </c>
      <c r="N5815" t="s">
        <v>396</v>
      </c>
      <c r="O5815" t="s">
        <v>397</v>
      </c>
      <c r="P5815" t="s">
        <v>397</v>
      </c>
      <c r="Q5815">
        <v>8</v>
      </c>
      <c r="R5815" s="281">
        <f>Base_Periodo1[[#This Row],[CREDITOS]]-Base_Periodo1[[#This Row],[DEBITOS]]</f>
        <v>-256161.68999999994</v>
      </c>
      <c r="S5815" s="3" t="str">
        <f>IF(ISERROR(VLOOKUP(Base_Periodo1[[#This Row],[CONTA]],BaseContasDRE[#All],4,FALSE)),"Fora do DRE",VLOOKUP(Base_Periodo1[[#This Row],[CONTA]],BaseContasDRE[#All],4,FALSE))</f>
        <v>Fora do DRE</v>
      </c>
      <c r="T5815" s="3" t="str">
        <f>IF(ISERROR(VLOOKUP(Base_Periodo1[[#This Row],[CONTA]],BaseContasDRE[#All],5,FALSE)),"Fora do DRE",VLOOKUP(Base_Periodo1[[#This Row],[CONTA]],BaseContasDRE[#All],6,FALSE))</f>
        <v>Fora do DRE</v>
      </c>
      <c r="U5815" s="3" t="str">
        <f>IF(ISERROR(VLOOKUP(Base_Periodo1[[#This Row],[CONTA]],BaseContasDRE[#All],7,FALSE)),"Fora do DRE",VLOOKUP(Base_Periodo1[[#This Row],[CONTA]],BaseContasDRE[#All],7,FALSE))</f>
        <v>Fora do DRE</v>
      </c>
      <c r="V5815" s="3" t="str">
        <f>IF(Base_Periodo1[[#This Row],[Tipo_Linha]]="Fora do DRE","Fora do DRE","( "&amp;Base_Periodo1[[#This Row],[Tipo_Linha]]&amp;" ) "&amp;Base_Periodo1[[#This Row],[Filtro]])</f>
        <v>Fora do DRE</v>
      </c>
      <c r="W5815" s="3" t="str">
        <f>LEFT(Base_Periodo1[[#This Row],[CLASS]],3)</f>
        <v>3.1</v>
      </c>
    </row>
    <row r="5816" spans="1:23" hidden="1">
      <c r="A5816" s="3" t="str">
        <f t="shared" si="90"/>
        <v>Período 1</v>
      </c>
      <c r="B5816">
        <v>1779</v>
      </c>
      <c r="C5816" t="s">
        <v>5789</v>
      </c>
      <c r="D5816" t="s">
        <v>3566</v>
      </c>
      <c r="E5816" s="3" t="str">
        <f>IF(LEN(Base_Periodo1[[#This Row],[CLASS]])&gt;=7,LEFT(Base_Periodo1[[#This Row],[CLASS]],7),"")</f>
        <v>3.1.1.1</v>
      </c>
      <c r="F5816" s="3" t="e">
        <f>VLOOKUP(Base_Periodo1[[#This Row],[Aux]],Base_Contas_Balanco[#All],2,FALSE)</f>
        <v>#N/A</v>
      </c>
      <c r="G5816" s="1">
        <v>42886</v>
      </c>
      <c r="H5816" s="281">
        <v>856390.49999999255</v>
      </c>
      <c r="I5816" s="281">
        <v>1112552.19</v>
      </c>
      <c r="J5816" s="281">
        <v>856390.5</v>
      </c>
      <c r="K5816" s="281">
        <v>1112552.1899999925</v>
      </c>
      <c r="L581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-1112552.19</v>
      </c>
      <c r="M5816" s="281">
        <f>ROUND(IF(AND(Base_Periodo1[[#This Row],[Tipo_Linha]]="-",Base_Periodo1[[#This Row],[TIPOSALDO]]="D"),Base_Periodo1[[#This Row],[SALDO_ATUAL]]*-1,Base_Periodo1[[#This Row],[SALDO_ATUAL]]),4)</f>
        <v>-1112552.19</v>
      </c>
      <c r="N5816" t="s">
        <v>116</v>
      </c>
      <c r="O5816" t="s">
        <v>397</v>
      </c>
      <c r="P5816" t="s">
        <v>397</v>
      </c>
      <c r="Q5816">
        <v>9</v>
      </c>
      <c r="R5816" s="281">
        <f>Base_Periodo1[[#This Row],[CREDITOS]]-Base_Periodo1[[#This Row],[DEBITOS]]</f>
        <v>-256161.68999999994</v>
      </c>
      <c r="S5816" s="3" t="str">
        <f>IF(ISERROR(VLOOKUP(Base_Periodo1[[#This Row],[CONTA]],BaseContasDRE[#All],4,FALSE)),"Fora do DRE",VLOOKUP(Base_Periodo1[[#This Row],[CONTA]],BaseContasDRE[#All],4,FALSE))</f>
        <v>-</v>
      </c>
      <c r="T5816" s="3">
        <f>IF(ISERROR(VLOOKUP(Base_Periodo1[[#This Row],[CONTA]],BaseContasDRE[#All],5,FALSE)),"Fora do DRE",VLOOKUP(Base_Periodo1[[#This Row],[CONTA]],BaseContasDRE[#All],6,FALSE))</f>
        <v>2</v>
      </c>
      <c r="U5816" s="3" t="str">
        <f>IF(ISERROR(VLOOKUP(Base_Periodo1[[#This Row],[CONTA]],BaseContasDRE[#All],7,FALSE)),"Fora do DRE",VLOOKUP(Base_Periodo1[[#This Row],[CONTA]],BaseContasDRE[#All],7,FALSE))</f>
        <v>ICMS SOBRE INGRESSOS E RECEITAS</v>
      </c>
      <c r="V5816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5816" s="3" t="str">
        <f>LEFT(Base_Periodo1[[#This Row],[CLASS]],3)</f>
        <v>3.1</v>
      </c>
    </row>
    <row r="5817" spans="1:23" hidden="1">
      <c r="A5817" s="3" t="str">
        <f t="shared" si="90"/>
        <v>Período 1</v>
      </c>
      <c r="B5817">
        <v>1780</v>
      </c>
      <c r="C5817" t="s">
        <v>3572</v>
      </c>
      <c r="D5817" t="s">
        <v>3567</v>
      </c>
      <c r="E5817" s="3" t="str">
        <f>IF(LEN(Base_Periodo1[[#This Row],[CLASS]])&gt;=7,LEFT(Base_Periodo1[[#This Row],[CLASS]],7),"")</f>
        <v>3.1.1.1</v>
      </c>
      <c r="F5817" s="3" t="e">
        <f>VLOOKUP(Base_Periodo1[[#This Row],[Aux]],Base_Contas_Balanco[#All],2,FALSE)</f>
        <v>#N/A</v>
      </c>
      <c r="G5817" s="1"/>
      <c r="H5817" s="281">
        <v>35511956.230000257</v>
      </c>
      <c r="I5817" s="281">
        <v>38396287.210000001</v>
      </c>
      <c r="J5817" s="281">
        <v>35541531.649999999</v>
      </c>
      <c r="K5817" s="281">
        <v>38366711.790000267</v>
      </c>
      <c r="L581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-38366711.789999999</v>
      </c>
      <c r="M5817" s="281">
        <f>ROUND(IF(AND(Base_Periodo1[[#This Row],[Tipo_Linha]]="-",Base_Periodo1[[#This Row],[TIPOSALDO]]="D"),Base_Periodo1[[#This Row],[SALDO_ATUAL]]*-1,Base_Periodo1[[#This Row],[SALDO_ATUAL]]),4)</f>
        <v>38366711.789999999</v>
      </c>
      <c r="N5817" t="s">
        <v>396</v>
      </c>
      <c r="O5817" t="s">
        <v>397</v>
      </c>
      <c r="P5817" t="s">
        <v>397</v>
      </c>
      <c r="Q5817">
        <v>8</v>
      </c>
      <c r="R5817" s="281">
        <f>Base_Periodo1[[#This Row],[CREDITOS]]-Base_Periodo1[[#This Row],[DEBITOS]]</f>
        <v>-2854755.5600000024</v>
      </c>
      <c r="S5817" s="3" t="str">
        <f>IF(ISERROR(VLOOKUP(Base_Periodo1[[#This Row],[CONTA]],BaseContasDRE[#All],4,FALSE)),"Fora do DRE",VLOOKUP(Base_Periodo1[[#This Row],[CONTA]],BaseContasDRE[#All],4,FALSE))</f>
        <v>Fora do DRE</v>
      </c>
      <c r="T5817" s="3" t="str">
        <f>IF(ISERROR(VLOOKUP(Base_Periodo1[[#This Row],[CONTA]],BaseContasDRE[#All],5,FALSE)),"Fora do DRE",VLOOKUP(Base_Periodo1[[#This Row],[CONTA]],BaseContasDRE[#All],6,FALSE))</f>
        <v>Fora do DRE</v>
      </c>
      <c r="U5817" s="3" t="str">
        <f>IF(ISERROR(VLOOKUP(Base_Periodo1[[#This Row],[CONTA]],BaseContasDRE[#All],7,FALSE)),"Fora do DRE",VLOOKUP(Base_Periodo1[[#This Row],[CONTA]],BaseContasDRE[#All],7,FALSE))</f>
        <v>Fora do DRE</v>
      </c>
      <c r="V5817" s="3" t="str">
        <f>IF(Base_Periodo1[[#This Row],[Tipo_Linha]]="Fora do DRE","Fora do DRE","( "&amp;Base_Periodo1[[#This Row],[Tipo_Linha]]&amp;" ) "&amp;Base_Periodo1[[#This Row],[Filtro]])</f>
        <v>Fora do DRE</v>
      </c>
      <c r="W5817" s="3" t="str">
        <f>LEFT(Base_Periodo1[[#This Row],[CLASS]],3)</f>
        <v>3.1</v>
      </c>
    </row>
    <row r="5818" spans="1:23" hidden="1">
      <c r="A5818" s="3" t="str">
        <f t="shared" si="90"/>
        <v>Período 1</v>
      </c>
      <c r="B5818">
        <v>1781</v>
      </c>
      <c r="C5818" t="s">
        <v>3573</v>
      </c>
      <c r="D5818" t="s">
        <v>3568</v>
      </c>
      <c r="E5818" s="3" t="str">
        <f>IF(LEN(Base_Periodo1[[#This Row],[CLASS]])&gt;=7,LEFT(Base_Periodo1[[#This Row],[CLASS]],7),"")</f>
        <v>3.1.1.1</v>
      </c>
      <c r="F5818" s="3" t="e">
        <f>VLOOKUP(Base_Periodo1[[#This Row],[Aux]],Base_Contas_Balanco[#All],2,FALSE)</f>
        <v>#N/A</v>
      </c>
      <c r="G5818" s="1">
        <v>42886</v>
      </c>
      <c r="H5818" s="281">
        <v>35511956.230000257</v>
      </c>
      <c r="I5818" s="281">
        <v>38396287.210000001</v>
      </c>
      <c r="J5818" s="281">
        <v>35541531.649999999</v>
      </c>
      <c r="K5818" s="281">
        <v>38366711.790000267</v>
      </c>
      <c r="L581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-38366711.789999999</v>
      </c>
      <c r="M5818" s="281">
        <f>ROUND(IF(AND(Base_Periodo1[[#This Row],[Tipo_Linha]]="-",Base_Periodo1[[#This Row],[TIPOSALDO]]="D"),Base_Periodo1[[#This Row],[SALDO_ATUAL]]*-1,Base_Periodo1[[#This Row],[SALDO_ATUAL]]),4)</f>
        <v>-38366711.789999999</v>
      </c>
      <c r="N5818" t="s">
        <v>116</v>
      </c>
      <c r="O5818" t="s">
        <v>397</v>
      </c>
      <c r="P5818" t="s">
        <v>397</v>
      </c>
      <c r="Q5818">
        <v>9</v>
      </c>
      <c r="R5818" s="281">
        <f>Base_Periodo1[[#This Row],[CREDITOS]]-Base_Periodo1[[#This Row],[DEBITOS]]</f>
        <v>-2854755.5600000024</v>
      </c>
      <c r="S5818" s="3" t="str">
        <f>IF(ISERROR(VLOOKUP(Base_Periodo1[[#This Row],[CONTA]],BaseContasDRE[#All],4,FALSE)),"Fora do DRE",VLOOKUP(Base_Periodo1[[#This Row],[CONTA]],BaseContasDRE[#All],4,FALSE))</f>
        <v>-</v>
      </c>
      <c r="T5818" s="3">
        <f>IF(ISERROR(VLOOKUP(Base_Periodo1[[#This Row],[CONTA]],BaseContasDRE[#All],5,FALSE)),"Fora do DRE",VLOOKUP(Base_Periodo1[[#This Row],[CONTA]],BaseContasDRE[#All],6,FALSE))</f>
        <v>3</v>
      </c>
      <c r="U5818" s="3" t="str">
        <f>IF(ISERROR(VLOOKUP(Base_Periodo1[[#This Row],[CONTA]],BaseContasDRE[#All],7,FALSE)),"Fora do DRE",VLOOKUP(Base_Periodo1[[#This Row],[CONTA]],BaseContasDRE[#All],7,FALSE))</f>
        <v>PRODUTOS AGRICOLAS</v>
      </c>
      <c r="V5818" s="3" t="str">
        <f>IF(Base_Periodo1[[#This Row],[Tipo_Linha]]="Fora do DRE","Fora do DRE","( "&amp;Base_Periodo1[[#This Row],[Tipo_Linha]]&amp;" ) "&amp;Base_Periodo1[[#This Row],[Filtro]])</f>
        <v>( - ) PRODUTOS AGRICOLAS</v>
      </c>
      <c r="W5818" s="3" t="str">
        <f>LEFT(Base_Periodo1[[#This Row],[CLASS]],3)</f>
        <v>3.1</v>
      </c>
    </row>
    <row r="5819" spans="1:23" hidden="1">
      <c r="A5819" s="3" t="str">
        <f t="shared" si="90"/>
        <v>Período 1</v>
      </c>
      <c r="B5819">
        <v>1782</v>
      </c>
      <c r="C5819" t="s">
        <v>5790</v>
      </c>
      <c r="D5819" t="s">
        <v>1088</v>
      </c>
      <c r="E5819" s="3" t="str">
        <f>IF(LEN(Base_Periodo1[[#This Row],[CLASS]])&gt;=7,LEFT(Base_Periodo1[[#This Row],[CLASS]],7),"")</f>
        <v>3.1.1.1</v>
      </c>
      <c r="F5819" s="3" t="e">
        <f>VLOOKUP(Base_Periodo1[[#This Row],[Aux]],Base_Contas_Balanco[#All],2,FALSE)</f>
        <v>#N/A</v>
      </c>
      <c r="G5819" s="1"/>
      <c r="H5819" s="281">
        <v>1841224.7600001693</v>
      </c>
      <c r="I5819" s="281">
        <v>31357492.200000003</v>
      </c>
      <c r="J5819" s="281">
        <v>32104520.159999996</v>
      </c>
      <c r="K5819" s="281">
        <v>2588252.7200001627</v>
      </c>
      <c r="L581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2588252.7200000002</v>
      </c>
      <c r="M5819" s="281">
        <f>ROUND(IF(AND(Base_Periodo1[[#This Row],[Tipo_Linha]]="-",Base_Periodo1[[#This Row],[TIPOSALDO]]="D"),Base_Periodo1[[#This Row],[SALDO_ATUAL]]*-1,Base_Periodo1[[#This Row],[SALDO_ATUAL]]),4)</f>
        <v>2588252.7200000002</v>
      </c>
      <c r="N5819" t="s">
        <v>396</v>
      </c>
      <c r="O5819" t="s">
        <v>459</v>
      </c>
      <c r="P5819" t="s">
        <v>459</v>
      </c>
      <c r="Q5819">
        <v>7</v>
      </c>
      <c r="R5819" s="281">
        <f>Base_Periodo1[[#This Row],[CREDITOS]]-Base_Periodo1[[#This Row],[DEBITOS]]</f>
        <v>747027.95999999344</v>
      </c>
      <c r="S5819" s="3" t="str">
        <f>IF(ISERROR(VLOOKUP(Base_Periodo1[[#This Row],[CONTA]],BaseContasDRE[#All],4,FALSE)),"Fora do DRE",VLOOKUP(Base_Periodo1[[#This Row],[CONTA]],BaseContasDRE[#All],4,FALSE))</f>
        <v>Fora do DRE</v>
      </c>
      <c r="T5819" s="3" t="str">
        <f>IF(ISERROR(VLOOKUP(Base_Periodo1[[#This Row],[CONTA]],BaseContasDRE[#All],5,FALSE)),"Fora do DRE",VLOOKUP(Base_Periodo1[[#This Row],[CONTA]],BaseContasDRE[#All],6,FALSE))</f>
        <v>Fora do DRE</v>
      </c>
      <c r="U5819" s="3" t="str">
        <f>IF(ISERROR(VLOOKUP(Base_Periodo1[[#This Row],[CONTA]],BaseContasDRE[#All],7,FALSE)),"Fora do DRE",VLOOKUP(Base_Periodo1[[#This Row],[CONTA]],BaseContasDRE[#All],7,FALSE))</f>
        <v>Fora do DRE</v>
      </c>
      <c r="V5819" s="3" t="str">
        <f>IF(Base_Periodo1[[#This Row],[Tipo_Linha]]="Fora do DRE","Fora do DRE","( "&amp;Base_Periodo1[[#This Row],[Tipo_Linha]]&amp;" ) "&amp;Base_Periodo1[[#This Row],[Filtro]])</f>
        <v>Fora do DRE</v>
      </c>
      <c r="W5819" s="3" t="str">
        <f>LEFT(Base_Periodo1[[#This Row],[CLASS]],3)</f>
        <v>3.1</v>
      </c>
    </row>
    <row r="5820" spans="1:23" hidden="1">
      <c r="A5820" s="3" t="str">
        <f t="shared" si="90"/>
        <v>Período 1</v>
      </c>
      <c r="B5820">
        <v>1783</v>
      </c>
      <c r="C5820" t="s">
        <v>5791</v>
      </c>
      <c r="D5820" t="s">
        <v>3561</v>
      </c>
      <c r="E5820" s="3" t="str">
        <f>IF(LEN(Base_Periodo1[[#This Row],[CLASS]])&gt;=7,LEFT(Base_Periodo1[[#This Row],[CLASS]],7),"")</f>
        <v>3.1.1.1</v>
      </c>
      <c r="F5820" s="3" t="e">
        <f>VLOOKUP(Base_Periodo1[[#This Row],[Aux]],Base_Contas_Balanco[#All],2,FALSE)</f>
        <v>#N/A</v>
      </c>
      <c r="G5820" s="1"/>
      <c r="H5820" s="281">
        <v>16222482.200000286</v>
      </c>
      <c r="I5820" s="281">
        <v>16222482.199999999</v>
      </c>
      <c r="J5820" s="281">
        <v>17723262.719999999</v>
      </c>
      <c r="K5820" s="281">
        <v>17723262.720000286</v>
      </c>
      <c r="L582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17723262.719999999</v>
      </c>
      <c r="M5820" s="281">
        <f>ROUND(IF(AND(Base_Periodo1[[#This Row],[Tipo_Linha]]="-",Base_Periodo1[[#This Row],[TIPOSALDO]]="D"),Base_Periodo1[[#This Row],[SALDO_ATUAL]]*-1,Base_Periodo1[[#This Row],[SALDO_ATUAL]]),4)</f>
        <v>17723262.719999999</v>
      </c>
      <c r="N5820" t="s">
        <v>396</v>
      </c>
      <c r="O5820" t="s">
        <v>459</v>
      </c>
      <c r="P5820" t="s">
        <v>459</v>
      </c>
      <c r="Q5820">
        <v>8</v>
      </c>
      <c r="R5820" s="281">
        <f>Base_Periodo1[[#This Row],[CREDITOS]]-Base_Periodo1[[#This Row],[DEBITOS]]</f>
        <v>1500780.5199999996</v>
      </c>
      <c r="S5820" s="3" t="str">
        <f>IF(ISERROR(VLOOKUP(Base_Periodo1[[#This Row],[CONTA]],BaseContasDRE[#All],4,FALSE)),"Fora do DRE",VLOOKUP(Base_Periodo1[[#This Row],[CONTA]],BaseContasDRE[#All],4,FALSE))</f>
        <v>Fora do DRE</v>
      </c>
      <c r="T5820" s="3" t="str">
        <f>IF(ISERROR(VLOOKUP(Base_Periodo1[[#This Row],[CONTA]],BaseContasDRE[#All],5,FALSE)),"Fora do DRE",VLOOKUP(Base_Periodo1[[#This Row],[CONTA]],BaseContasDRE[#All],6,FALSE))</f>
        <v>Fora do DRE</v>
      </c>
      <c r="U5820" s="3" t="str">
        <f>IF(ISERROR(VLOOKUP(Base_Periodo1[[#This Row],[CONTA]],BaseContasDRE[#All],7,FALSE)),"Fora do DRE",VLOOKUP(Base_Periodo1[[#This Row],[CONTA]],BaseContasDRE[#All],7,FALSE))</f>
        <v>Fora do DRE</v>
      </c>
      <c r="V5820" s="3" t="str">
        <f>IF(Base_Periodo1[[#This Row],[Tipo_Linha]]="Fora do DRE","Fora do DRE","( "&amp;Base_Periodo1[[#This Row],[Tipo_Linha]]&amp;" ) "&amp;Base_Periodo1[[#This Row],[Filtro]])</f>
        <v>Fora do DRE</v>
      </c>
      <c r="W5820" s="3" t="str">
        <f>LEFT(Base_Periodo1[[#This Row],[CLASS]],3)</f>
        <v>3.1</v>
      </c>
    </row>
    <row r="5821" spans="1:23" hidden="1">
      <c r="A5821" s="3" t="str">
        <f t="shared" si="90"/>
        <v>Período 1</v>
      </c>
      <c r="B5821">
        <v>1784</v>
      </c>
      <c r="C5821" t="s">
        <v>5792</v>
      </c>
      <c r="D5821" t="s">
        <v>3562</v>
      </c>
      <c r="E5821" s="3" t="str">
        <f>IF(LEN(Base_Periodo1[[#This Row],[CLASS]])&gt;=7,LEFT(Base_Periodo1[[#This Row],[CLASS]],7),"")</f>
        <v>3.1.1.1</v>
      </c>
      <c r="F5821" s="3" t="e">
        <f>VLOOKUP(Base_Periodo1[[#This Row],[Aux]],Base_Contas_Balanco[#All],2,FALSE)</f>
        <v>#N/A</v>
      </c>
      <c r="G5821" s="1">
        <v>42886</v>
      </c>
      <c r="H5821" s="281">
        <v>16222482.200000286</v>
      </c>
      <c r="I5821" s="281">
        <v>16222482.199999999</v>
      </c>
      <c r="J5821" s="281">
        <v>17723262.719999999</v>
      </c>
      <c r="K5821" s="281">
        <v>17723262.720000286</v>
      </c>
      <c r="L582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17723262.719999999</v>
      </c>
      <c r="M5821" s="281">
        <f>ROUND(IF(AND(Base_Periodo1[[#This Row],[Tipo_Linha]]="-",Base_Periodo1[[#This Row],[TIPOSALDO]]="D"),Base_Periodo1[[#This Row],[SALDO_ATUAL]]*-1,Base_Periodo1[[#This Row],[SALDO_ATUAL]]),4)</f>
        <v>17723262.719999999</v>
      </c>
      <c r="N5821" t="s">
        <v>116</v>
      </c>
      <c r="O5821" t="s">
        <v>459</v>
      </c>
      <c r="P5821" t="s">
        <v>459</v>
      </c>
      <c r="Q5821">
        <v>9</v>
      </c>
      <c r="R5821" s="281">
        <f>Base_Periodo1[[#This Row],[CREDITOS]]-Base_Periodo1[[#This Row],[DEBITOS]]</f>
        <v>1500780.5199999996</v>
      </c>
      <c r="S5821" s="3" t="str">
        <f>IF(ISERROR(VLOOKUP(Base_Periodo1[[#This Row],[CONTA]],BaseContasDRE[#All],4,FALSE)),"Fora do DRE",VLOOKUP(Base_Periodo1[[#This Row],[CONTA]],BaseContasDRE[#All],4,FALSE))</f>
        <v>+</v>
      </c>
      <c r="T5821" s="3">
        <f>IF(ISERROR(VLOOKUP(Base_Periodo1[[#This Row],[CONTA]],BaseContasDRE[#All],5,FALSE)),"Fora do DRE",VLOOKUP(Base_Periodo1[[#This Row],[CONTA]],BaseContasDRE[#All],6,FALSE))</f>
        <v>1</v>
      </c>
      <c r="U5821" s="3" t="str">
        <f>IF(ISERROR(VLOOKUP(Base_Periodo1[[#This Row],[CONTA]],BaseContasDRE[#All],7,FALSE)),"Fora do DRE",VLOOKUP(Base_Periodo1[[#This Row],[CONTA]],BaseContasDRE[#All],7,FALSE))</f>
        <v>PRODUTOS AGRICOLAS</v>
      </c>
      <c r="V5821" s="3" t="str">
        <f>IF(Base_Periodo1[[#This Row],[Tipo_Linha]]="Fora do DRE","Fora do DRE","( "&amp;Base_Periodo1[[#This Row],[Tipo_Linha]]&amp;" ) "&amp;Base_Periodo1[[#This Row],[Filtro]])</f>
        <v>( + ) PRODUTOS AGRICOLAS</v>
      </c>
      <c r="W5821" s="3" t="str">
        <f>LEFT(Base_Periodo1[[#This Row],[CLASS]],3)</f>
        <v>3.1</v>
      </c>
    </row>
    <row r="5822" spans="1:23" hidden="1">
      <c r="A5822" s="3" t="str">
        <f t="shared" si="90"/>
        <v>Período 1</v>
      </c>
      <c r="B5822">
        <v>1787</v>
      </c>
      <c r="C5822" t="s">
        <v>6582</v>
      </c>
      <c r="D5822" t="s">
        <v>3563</v>
      </c>
      <c r="E5822" s="3" t="str">
        <f>IF(LEN(Base_Periodo1[[#This Row],[CLASS]])&gt;=7,LEFT(Base_Periodo1[[#This Row],[CLASS]],7),"")</f>
        <v>3.1.1.1</v>
      </c>
      <c r="F5822" s="3" t="e">
        <f>VLOOKUP(Base_Periodo1[[#This Row],[Aux]],Base_Contas_Balanco[#All],2,FALSE)</f>
        <v>#N/A</v>
      </c>
      <c r="G5822" s="1"/>
      <c r="H5822" s="281">
        <v>17514.579999999143</v>
      </c>
      <c r="I5822" s="281">
        <v>17806.8</v>
      </c>
      <c r="J5822" s="281">
        <v>17514.580000000002</v>
      </c>
      <c r="K5822" s="281">
        <v>17806.799999999144</v>
      </c>
      <c r="L582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-17806.8</v>
      </c>
      <c r="M5822" s="281">
        <f>ROUND(IF(AND(Base_Periodo1[[#This Row],[Tipo_Linha]]="-",Base_Periodo1[[#This Row],[TIPOSALDO]]="D"),Base_Periodo1[[#This Row],[SALDO_ATUAL]]*-1,Base_Periodo1[[#This Row],[SALDO_ATUAL]]),4)</f>
        <v>17806.8</v>
      </c>
      <c r="N5822" t="s">
        <v>396</v>
      </c>
      <c r="O5822" t="s">
        <v>397</v>
      </c>
      <c r="P5822" t="s">
        <v>397</v>
      </c>
      <c r="Q5822">
        <v>8</v>
      </c>
      <c r="R5822" s="281">
        <f>Base_Periodo1[[#This Row],[CREDITOS]]-Base_Periodo1[[#This Row],[DEBITOS]]</f>
        <v>-292.21999999999753</v>
      </c>
      <c r="S5822" s="3" t="str">
        <f>IF(ISERROR(VLOOKUP(Base_Periodo1[[#This Row],[CONTA]],BaseContasDRE[#All],4,FALSE)),"Fora do DRE",VLOOKUP(Base_Periodo1[[#This Row],[CONTA]],BaseContasDRE[#All],4,FALSE))</f>
        <v>Fora do DRE</v>
      </c>
      <c r="T5822" s="3" t="str">
        <f>IF(ISERROR(VLOOKUP(Base_Periodo1[[#This Row],[CONTA]],BaseContasDRE[#All],5,FALSE)),"Fora do DRE",VLOOKUP(Base_Periodo1[[#This Row],[CONTA]],BaseContasDRE[#All],6,FALSE))</f>
        <v>Fora do DRE</v>
      </c>
      <c r="U5822" s="3" t="str">
        <f>IF(ISERROR(VLOOKUP(Base_Periodo1[[#This Row],[CONTA]],BaseContasDRE[#All],7,FALSE)),"Fora do DRE",VLOOKUP(Base_Periodo1[[#This Row],[CONTA]],BaseContasDRE[#All],7,FALSE))</f>
        <v>Fora do DRE</v>
      </c>
      <c r="V5822" s="3" t="str">
        <f>IF(Base_Periodo1[[#This Row],[Tipo_Linha]]="Fora do DRE","Fora do DRE","( "&amp;Base_Periodo1[[#This Row],[Tipo_Linha]]&amp;" ) "&amp;Base_Periodo1[[#This Row],[Filtro]])</f>
        <v>Fora do DRE</v>
      </c>
      <c r="W5822" s="3" t="str">
        <f>LEFT(Base_Periodo1[[#This Row],[CLASS]],3)</f>
        <v>3.1</v>
      </c>
    </row>
    <row r="5823" spans="1:23" hidden="1">
      <c r="A5823" s="3" t="str">
        <f t="shared" si="90"/>
        <v>Período 1</v>
      </c>
      <c r="B5823">
        <v>1788</v>
      </c>
      <c r="C5823" t="s">
        <v>6583</v>
      </c>
      <c r="D5823" t="s">
        <v>3564</v>
      </c>
      <c r="E5823" s="3" t="str">
        <f>IF(LEN(Base_Periodo1[[#This Row],[CLASS]])&gt;=7,LEFT(Base_Periodo1[[#This Row],[CLASS]],7),"")</f>
        <v>3.1.1.1</v>
      </c>
      <c r="F5823" s="3" t="e">
        <f>VLOOKUP(Base_Periodo1[[#This Row],[Aux]],Base_Contas_Balanco[#All],2,FALSE)</f>
        <v>#N/A</v>
      </c>
      <c r="G5823" s="1">
        <v>42886</v>
      </c>
      <c r="H5823" s="281">
        <v>17514.579999999143</v>
      </c>
      <c r="I5823" s="281">
        <v>17806.8</v>
      </c>
      <c r="J5823" s="281">
        <v>17514.580000000002</v>
      </c>
      <c r="K5823" s="281">
        <v>17806.799999999144</v>
      </c>
      <c r="L582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-17806.8</v>
      </c>
      <c r="M5823" s="281">
        <f>ROUND(IF(AND(Base_Periodo1[[#This Row],[Tipo_Linha]]="-",Base_Periodo1[[#This Row],[TIPOSALDO]]="D"),Base_Periodo1[[#This Row],[SALDO_ATUAL]]*-1,Base_Periodo1[[#This Row],[SALDO_ATUAL]]),4)</f>
        <v>-17806.8</v>
      </c>
      <c r="N5823" t="s">
        <v>116</v>
      </c>
      <c r="O5823" t="s">
        <v>397</v>
      </c>
      <c r="P5823" t="s">
        <v>397</v>
      </c>
      <c r="Q5823">
        <v>9</v>
      </c>
      <c r="R5823" s="281">
        <f>Base_Periodo1[[#This Row],[CREDITOS]]-Base_Periodo1[[#This Row],[DEBITOS]]</f>
        <v>-292.21999999999753</v>
      </c>
      <c r="S5823" s="3" t="str">
        <f>IF(ISERROR(VLOOKUP(Base_Periodo1[[#This Row],[CONTA]],BaseContasDRE[#All],4,FALSE)),"Fora do DRE",VLOOKUP(Base_Periodo1[[#This Row],[CONTA]],BaseContasDRE[#All],4,FALSE))</f>
        <v>-</v>
      </c>
      <c r="T5823" s="3">
        <f>IF(ISERROR(VLOOKUP(Base_Periodo1[[#This Row],[CONTA]],BaseContasDRE[#All],5,FALSE)),"Fora do DRE",VLOOKUP(Base_Periodo1[[#This Row],[CONTA]],BaseContasDRE[#All],6,FALSE))</f>
        <v>2</v>
      </c>
      <c r="U5823" s="3" t="str">
        <f>IF(ISERROR(VLOOKUP(Base_Periodo1[[#This Row],[CONTA]],BaseContasDRE[#All],7,FALSE)),"Fora do DRE",VLOOKUP(Base_Periodo1[[#This Row],[CONTA]],BaseContasDRE[#All],7,FALSE))</f>
        <v>DEVOLUÇÃO DE PRODUTOS AGRICOLAS</v>
      </c>
      <c r="V5823" s="3" t="str">
        <f>IF(Base_Periodo1[[#This Row],[Tipo_Linha]]="Fora do DRE","Fora do DRE","( "&amp;Base_Periodo1[[#This Row],[Tipo_Linha]]&amp;" ) "&amp;Base_Periodo1[[#This Row],[Filtro]])</f>
        <v>( - ) DEVOLUÇÃO DE PRODUTOS AGRICOLAS</v>
      </c>
      <c r="W5823" s="3" t="str">
        <f>LEFT(Base_Periodo1[[#This Row],[CLASS]],3)</f>
        <v>3.1</v>
      </c>
    </row>
    <row r="5824" spans="1:23" hidden="1">
      <c r="A5824" s="3" t="str">
        <f t="shared" si="90"/>
        <v>Período 1</v>
      </c>
      <c r="B5824">
        <v>1789</v>
      </c>
      <c r="C5824" t="s">
        <v>5793</v>
      </c>
      <c r="D5824" t="s">
        <v>3565</v>
      </c>
      <c r="E5824" s="3" t="str">
        <f>IF(LEN(Base_Periodo1[[#This Row],[CLASS]])&gt;=7,LEFT(Base_Periodo1[[#This Row],[CLASS]],7),"")</f>
        <v>3.1.1.1</v>
      </c>
      <c r="F5824" s="3" t="e">
        <f>VLOOKUP(Base_Periodo1[[#This Row],[Aux]],Base_Contas_Balanco[#All],2,FALSE)</f>
        <v>#N/A</v>
      </c>
      <c r="G5824" s="1"/>
      <c r="H5824" s="281">
        <v>601687.73999999464</v>
      </c>
      <c r="I5824" s="281">
        <v>616841.76</v>
      </c>
      <c r="J5824" s="281">
        <v>601687.74</v>
      </c>
      <c r="K5824" s="281">
        <v>616841.75999999465</v>
      </c>
      <c r="L582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-616841.76</v>
      </c>
      <c r="M5824" s="281">
        <f>ROUND(IF(AND(Base_Periodo1[[#This Row],[Tipo_Linha]]="-",Base_Periodo1[[#This Row],[TIPOSALDO]]="D"),Base_Periodo1[[#This Row],[SALDO_ATUAL]]*-1,Base_Periodo1[[#This Row],[SALDO_ATUAL]]),4)</f>
        <v>616841.76</v>
      </c>
      <c r="N5824" t="s">
        <v>396</v>
      </c>
      <c r="O5824" t="s">
        <v>397</v>
      </c>
      <c r="P5824" t="s">
        <v>397</v>
      </c>
      <c r="Q5824">
        <v>8</v>
      </c>
      <c r="R5824" s="281">
        <f>Base_Periodo1[[#This Row],[CREDITOS]]-Base_Periodo1[[#This Row],[DEBITOS]]</f>
        <v>-15154.020000000019</v>
      </c>
      <c r="S5824" s="3" t="str">
        <f>IF(ISERROR(VLOOKUP(Base_Periodo1[[#This Row],[CONTA]],BaseContasDRE[#All],4,FALSE)),"Fora do DRE",VLOOKUP(Base_Periodo1[[#This Row],[CONTA]],BaseContasDRE[#All],4,FALSE))</f>
        <v>Fora do DRE</v>
      </c>
      <c r="T5824" s="3" t="str">
        <f>IF(ISERROR(VLOOKUP(Base_Periodo1[[#This Row],[CONTA]],BaseContasDRE[#All],5,FALSE)),"Fora do DRE",VLOOKUP(Base_Periodo1[[#This Row],[CONTA]],BaseContasDRE[#All],6,FALSE))</f>
        <v>Fora do DRE</v>
      </c>
      <c r="U5824" s="3" t="str">
        <f>IF(ISERROR(VLOOKUP(Base_Periodo1[[#This Row],[CONTA]],BaseContasDRE[#All],7,FALSE)),"Fora do DRE",VLOOKUP(Base_Periodo1[[#This Row],[CONTA]],BaseContasDRE[#All],7,FALSE))</f>
        <v>Fora do DRE</v>
      </c>
      <c r="V5824" s="3" t="str">
        <f>IF(Base_Periodo1[[#This Row],[Tipo_Linha]]="Fora do DRE","Fora do DRE","( "&amp;Base_Periodo1[[#This Row],[Tipo_Linha]]&amp;" ) "&amp;Base_Periodo1[[#This Row],[Filtro]])</f>
        <v>Fora do DRE</v>
      </c>
      <c r="W5824" s="3" t="str">
        <f>LEFT(Base_Periodo1[[#This Row],[CLASS]],3)</f>
        <v>3.1</v>
      </c>
    </row>
    <row r="5825" spans="1:23" hidden="1">
      <c r="A5825" s="3" t="str">
        <f t="shared" si="90"/>
        <v>Período 1</v>
      </c>
      <c r="B5825">
        <v>1790</v>
      </c>
      <c r="C5825" t="s">
        <v>5794</v>
      </c>
      <c r="D5825" t="s">
        <v>3566</v>
      </c>
      <c r="E5825" s="3" t="str">
        <f>IF(LEN(Base_Periodo1[[#This Row],[CLASS]])&gt;=7,LEFT(Base_Periodo1[[#This Row],[CLASS]],7),"")</f>
        <v>3.1.1.1</v>
      </c>
      <c r="F5825" s="3" t="e">
        <f>VLOOKUP(Base_Periodo1[[#This Row],[Aux]],Base_Contas_Balanco[#All],2,FALSE)</f>
        <v>#N/A</v>
      </c>
      <c r="G5825" s="1">
        <v>42886</v>
      </c>
      <c r="H5825" s="281">
        <v>601687.73999999464</v>
      </c>
      <c r="I5825" s="281">
        <v>616841.76</v>
      </c>
      <c r="J5825" s="281">
        <v>601687.74</v>
      </c>
      <c r="K5825" s="281">
        <v>616841.75999999465</v>
      </c>
      <c r="L582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-616841.76</v>
      </c>
      <c r="M5825" s="281">
        <f>ROUND(IF(AND(Base_Periodo1[[#This Row],[Tipo_Linha]]="-",Base_Periodo1[[#This Row],[TIPOSALDO]]="D"),Base_Periodo1[[#This Row],[SALDO_ATUAL]]*-1,Base_Periodo1[[#This Row],[SALDO_ATUAL]]),4)</f>
        <v>-616841.76</v>
      </c>
      <c r="N5825" t="s">
        <v>116</v>
      </c>
      <c r="O5825" t="s">
        <v>397</v>
      </c>
      <c r="P5825" t="s">
        <v>397</v>
      </c>
      <c r="Q5825">
        <v>9</v>
      </c>
      <c r="R5825" s="281">
        <f>Base_Periodo1[[#This Row],[CREDITOS]]-Base_Periodo1[[#This Row],[DEBITOS]]</f>
        <v>-15154.020000000019</v>
      </c>
      <c r="S5825" s="3" t="str">
        <f>IF(ISERROR(VLOOKUP(Base_Periodo1[[#This Row],[CONTA]],BaseContasDRE[#All],4,FALSE)),"Fora do DRE",VLOOKUP(Base_Periodo1[[#This Row],[CONTA]],BaseContasDRE[#All],4,FALSE))</f>
        <v>-</v>
      </c>
      <c r="T5825" s="3">
        <f>IF(ISERROR(VLOOKUP(Base_Periodo1[[#This Row],[CONTA]],BaseContasDRE[#All],5,FALSE)),"Fora do DRE",VLOOKUP(Base_Periodo1[[#This Row],[CONTA]],BaseContasDRE[#All],6,FALSE))</f>
        <v>2</v>
      </c>
      <c r="U5825" s="3" t="str">
        <f>IF(ISERROR(VLOOKUP(Base_Periodo1[[#This Row],[CONTA]],BaseContasDRE[#All],7,FALSE)),"Fora do DRE",VLOOKUP(Base_Periodo1[[#This Row],[CONTA]],BaseContasDRE[#All],7,FALSE))</f>
        <v>ICMS SOBRE INGRESSOS E RECEITAS</v>
      </c>
      <c r="V5825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5825" s="3" t="str">
        <f>LEFT(Base_Periodo1[[#This Row],[CLASS]],3)</f>
        <v>3.1</v>
      </c>
    </row>
    <row r="5826" spans="1:23" hidden="1">
      <c r="A5826" s="3" t="str">
        <f t="shared" si="90"/>
        <v>Período 1</v>
      </c>
      <c r="B5826">
        <v>1791</v>
      </c>
      <c r="C5826" t="s">
        <v>5795</v>
      </c>
      <c r="D5826" t="s">
        <v>3567</v>
      </c>
      <c r="E5826" s="3" t="str">
        <f>IF(LEN(Base_Periodo1[[#This Row],[CLASS]])&gt;=7,LEFT(Base_Periodo1[[#This Row],[CLASS]],7),"")</f>
        <v>3.1.1.1</v>
      </c>
      <c r="F5826" s="3" t="e">
        <f>VLOOKUP(Base_Periodo1[[#This Row],[Aux]],Base_Contas_Balanco[#All],2,FALSE)</f>
        <v>#N/A</v>
      </c>
      <c r="G5826" s="1"/>
      <c r="H5826" s="281">
        <v>13762055.120000124</v>
      </c>
      <c r="I5826" s="281">
        <v>14500361.439999999</v>
      </c>
      <c r="J5826" s="281">
        <v>13762055.119999999</v>
      </c>
      <c r="K5826" s="281">
        <v>14500361.440000122</v>
      </c>
      <c r="L582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-14500361.439999999</v>
      </c>
      <c r="M5826" s="281">
        <f>ROUND(IF(AND(Base_Periodo1[[#This Row],[Tipo_Linha]]="-",Base_Periodo1[[#This Row],[TIPOSALDO]]="D"),Base_Periodo1[[#This Row],[SALDO_ATUAL]]*-1,Base_Periodo1[[#This Row],[SALDO_ATUAL]]),4)</f>
        <v>14500361.439999999</v>
      </c>
      <c r="N5826" t="s">
        <v>396</v>
      </c>
      <c r="O5826" t="s">
        <v>397</v>
      </c>
      <c r="P5826" t="s">
        <v>397</v>
      </c>
      <c r="Q5826">
        <v>8</v>
      </c>
      <c r="R5826" s="281">
        <f>Base_Periodo1[[#This Row],[CREDITOS]]-Base_Periodo1[[#This Row],[DEBITOS]]</f>
        <v>-738306.3200000003</v>
      </c>
      <c r="S5826" s="3" t="str">
        <f>IF(ISERROR(VLOOKUP(Base_Periodo1[[#This Row],[CONTA]],BaseContasDRE[#All],4,FALSE)),"Fora do DRE",VLOOKUP(Base_Periodo1[[#This Row],[CONTA]],BaseContasDRE[#All],4,FALSE))</f>
        <v>Fora do DRE</v>
      </c>
      <c r="T5826" s="3" t="str">
        <f>IF(ISERROR(VLOOKUP(Base_Periodo1[[#This Row],[CONTA]],BaseContasDRE[#All],5,FALSE)),"Fora do DRE",VLOOKUP(Base_Periodo1[[#This Row],[CONTA]],BaseContasDRE[#All],6,FALSE))</f>
        <v>Fora do DRE</v>
      </c>
      <c r="U5826" s="3" t="str">
        <f>IF(ISERROR(VLOOKUP(Base_Periodo1[[#This Row],[CONTA]],BaseContasDRE[#All],7,FALSE)),"Fora do DRE",VLOOKUP(Base_Periodo1[[#This Row],[CONTA]],BaseContasDRE[#All],7,FALSE))</f>
        <v>Fora do DRE</v>
      </c>
      <c r="V5826" s="3" t="str">
        <f>IF(Base_Periodo1[[#This Row],[Tipo_Linha]]="Fora do DRE","Fora do DRE","( "&amp;Base_Periodo1[[#This Row],[Tipo_Linha]]&amp;" ) "&amp;Base_Periodo1[[#This Row],[Filtro]])</f>
        <v>Fora do DRE</v>
      </c>
      <c r="W5826" s="3" t="str">
        <f>LEFT(Base_Periodo1[[#This Row],[CLASS]],3)</f>
        <v>3.1</v>
      </c>
    </row>
    <row r="5827" spans="1:23" hidden="1">
      <c r="A5827" s="3" t="str">
        <f t="shared" si="90"/>
        <v>Período 1</v>
      </c>
      <c r="B5827">
        <v>1792</v>
      </c>
      <c r="C5827" t="s">
        <v>5796</v>
      </c>
      <c r="D5827" t="s">
        <v>3568</v>
      </c>
      <c r="E5827" s="3" t="str">
        <f>IF(LEN(Base_Periodo1[[#This Row],[CLASS]])&gt;=7,LEFT(Base_Periodo1[[#This Row],[CLASS]],7),"")</f>
        <v>3.1.1.1</v>
      </c>
      <c r="F5827" s="3" t="e">
        <f>VLOOKUP(Base_Periodo1[[#This Row],[Aux]],Base_Contas_Balanco[#All],2,FALSE)</f>
        <v>#N/A</v>
      </c>
      <c r="G5827" s="1">
        <v>42886</v>
      </c>
      <c r="H5827" s="281">
        <v>13762055.120000124</v>
      </c>
      <c r="I5827" s="281">
        <v>14500361.439999999</v>
      </c>
      <c r="J5827" s="281">
        <v>13762055.119999999</v>
      </c>
      <c r="K5827" s="281">
        <v>14500361.440000122</v>
      </c>
      <c r="L582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-14500361.439999999</v>
      </c>
      <c r="M5827" s="281">
        <f>ROUND(IF(AND(Base_Periodo1[[#This Row],[Tipo_Linha]]="-",Base_Periodo1[[#This Row],[TIPOSALDO]]="D"),Base_Periodo1[[#This Row],[SALDO_ATUAL]]*-1,Base_Periodo1[[#This Row],[SALDO_ATUAL]]),4)</f>
        <v>-14500361.439999999</v>
      </c>
      <c r="N5827" t="s">
        <v>116</v>
      </c>
      <c r="O5827" t="s">
        <v>397</v>
      </c>
      <c r="P5827" t="s">
        <v>397</v>
      </c>
      <c r="Q5827">
        <v>9</v>
      </c>
      <c r="R5827" s="281">
        <f>Base_Periodo1[[#This Row],[CREDITOS]]-Base_Periodo1[[#This Row],[DEBITOS]]</f>
        <v>-738306.3200000003</v>
      </c>
      <c r="S5827" s="3" t="str">
        <f>IF(ISERROR(VLOOKUP(Base_Periodo1[[#This Row],[CONTA]],BaseContasDRE[#All],4,FALSE)),"Fora do DRE",VLOOKUP(Base_Periodo1[[#This Row],[CONTA]],BaseContasDRE[#All],4,FALSE))</f>
        <v>-</v>
      </c>
      <c r="T5827" s="3">
        <f>IF(ISERROR(VLOOKUP(Base_Periodo1[[#This Row],[CONTA]],BaseContasDRE[#All],5,FALSE)),"Fora do DRE",VLOOKUP(Base_Periodo1[[#This Row],[CONTA]],BaseContasDRE[#All],6,FALSE))</f>
        <v>3</v>
      </c>
      <c r="U5827" s="3" t="str">
        <f>IF(ISERROR(VLOOKUP(Base_Periodo1[[#This Row],[CONTA]],BaseContasDRE[#All],7,FALSE)),"Fora do DRE",VLOOKUP(Base_Periodo1[[#This Row],[CONTA]],BaseContasDRE[#All],7,FALSE))</f>
        <v>PRODUTOS AGRICOLAS</v>
      </c>
      <c r="V5827" s="3" t="str">
        <f>IF(Base_Periodo1[[#This Row],[Tipo_Linha]]="Fora do DRE","Fora do DRE","( "&amp;Base_Periodo1[[#This Row],[Tipo_Linha]]&amp;" ) "&amp;Base_Periodo1[[#This Row],[Filtro]])</f>
        <v>( - ) PRODUTOS AGRICOLAS</v>
      </c>
      <c r="W5827" s="3" t="str">
        <f>LEFT(Base_Periodo1[[#This Row],[CLASS]],3)</f>
        <v>3.1</v>
      </c>
    </row>
    <row r="5828" spans="1:23" hidden="1">
      <c r="A5828" s="3" t="str">
        <f t="shared" si="90"/>
        <v>Período 1</v>
      </c>
      <c r="B5828">
        <v>1812</v>
      </c>
      <c r="C5828" t="s">
        <v>5797</v>
      </c>
      <c r="D5828" t="s">
        <v>1102</v>
      </c>
      <c r="E5828" s="3" t="str">
        <f>IF(LEN(Base_Periodo1[[#This Row],[CLASS]])&gt;=7,LEFT(Base_Periodo1[[#This Row],[CLASS]],7),"")</f>
        <v>3.1.1.1</v>
      </c>
      <c r="F5828" s="3" t="e">
        <f>VLOOKUP(Base_Periodo1[[#This Row],[Aux]],Base_Contas_Balanco[#All],2,FALSE)</f>
        <v>#N/A</v>
      </c>
      <c r="G5828" s="1"/>
      <c r="H5828" s="281">
        <v>1286489.0099998051</v>
      </c>
      <c r="I5828" s="281">
        <v>17627746.699999999</v>
      </c>
      <c r="J5828" s="281">
        <v>17705691.18</v>
      </c>
      <c r="K5828" s="281">
        <v>1208544.5299998038</v>
      </c>
      <c r="L582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-1208544.53</v>
      </c>
      <c r="M5828" s="281">
        <f>ROUND(IF(AND(Base_Periodo1[[#This Row],[Tipo_Linha]]="-",Base_Periodo1[[#This Row],[TIPOSALDO]]="D"),Base_Periodo1[[#This Row],[SALDO_ATUAL]]*-1,Base_Periodo1[[#This Row],[SALDO_ATUAL]]),4)</f>
        <v>1208544.53</v>
      </c>
      <c r="N5828" t="s">
        <v>396</v>
      </c>
      <c r="O5828" t="s">
        <v>397</v>
      </c>
      <c r="P5828" t="s">
        <v>397</v>
      </c>
      <c r="Q5828">
        <v>7</v>
      </c>
      <c r="R5828" s="281">
        <f>Base_Periodo1[[#This Row],[CREDITOS]]-Base_Periodo1[[#This Row],[DEBITOS]]</f>
        <v>77944.480000000447</v>
      </c>
      <c r="S5828" s="3" t="str">
        <f>IF(ISERROR(VLOOKUP(Base_Periodo1[[#This Row],[CONTA]],BaseContasDRE[#All],4,FALSE)),"Fora do DRE",VLOOKUP(Base_Periodo1[[#This Row],[CONTA]],BaseContasDRE[#All],4,FALSE))</f>
        <v>Fora do DRE</v>
      </c>
      <c r="T5828" s="3" t="str">
        <f>IF(ISERROR(VLOOKUP(Base_Periodo1[[#This Row],[CONTA]],BaseContasDRE[#All],5,FALSE)),"Fora do DRE",VLOOKUP(Base_Periodo1[[#This Row],[CONTA]],BaseContasDRE[#All],6,FALSE))</f>
        <v>Fora do DRE</v>
      </c>
      <c r="U5828" s="3" t="str">
        <f>IF(ISERROR(VLOOKUP(Base_Periodo1[[#This Row],[CONTA]],BaseContasDRE[#All],7,FALSE)),"Fora do DRE",VLOOKUP(Base_Periodo1[[#This Row],[CONTA]],BaseContasDRE[#All],7,FALSE))</f>
        <v>Fora do DRE</v>
      </c>
      <c r="V5828" s="3" t="str">
        <f>IF(Base_Periodo1[[#This Row],[Tipo_Linha]]="Fora do DRE","Fora do DRE","( "&amp;Base_Periodo1[[#This Row],[Tipo_Linha]]&amp;" ) "&amp;Base_Periodo1[[#This Row],[Filtro]])</f>
        <v>Fora do DRE</v>
      </c>
      <c r="W5828" s="3" t="str">
        <f>LEFT(Base_Periodo1[[#This Row],[CLASS]],3)</f>
        <v>3.1</v>
      </c>
    </row>
    <row r="5829" spans="1:23" hidden="1">
      <c r="A5829" s="3" t="str">
        <f t="shared" si="90"/>
        <v>Período 1</v>
      </c>
      <c r="B5829">
        <v>1813</v>
      </c>
      <c r="C5829" t="s">
        <v>5798</v>
      </c>
      <c r="D5829" t="s">
        <v>3561</v>
      </c>
      <c r="E5829" s="3" t="str">
        <f>IF(LEN(Base_Periodo1[[#This Row],[CLASS]])&gt;=7,LEFT(Base_Periodo1[[#This Row],[CLASS]],7),"")</f>
        <v>3.1.1.1</v>
      </c>
      <c r="F5829" s="3" t="e">
        <f>VLOOKUP(Base_Periodo1[[#This Row],[Aux]],Base_Contas_Balanco[#All],2,FALSE)</f>
        <v>#N/A</v>
      </c>
      <c r="G5829" s="1"/>
      <c r="H5829" s="281">
        <v>6460498.2500002384</v>
      </c>
      <c r="I5829" s="281">
        <v>6460498.25</v>
      </c>
      <c r="J5829" s="281">
        <v>10771758.57</v>
      </c>
      <c r="K5829" s="281">
        <v>10771758.570000239</v>
      </c>
      <c r="L582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10771758.57</v>
      </c>
      <c r="M5829" s="281">
        <f>ROUND(IF(AND(Base_Periodo1[[#This Row],[Tipo_Linha]]="-",Base_Periodo1[[#This Row],[TIPOSALDO]]="D"),Base_Periodo1[[#This Row],[SALDO_ATUAL]]*-1,Base_Periodo1[[#This Row],[SALDO_ATUAL]]),4)</f>
        <v>10771758.57</v>
      </c>
      <c r="N5829" t="s">
        <v>396</v>
      </c>
      <c r="O5829" t="s">
        <v>459</v>
      </c>
      <c r="P5829" t="s">
        <v>459</v>
      </c>
      <c r="Q5829">
        <v>8</v>
      </c>
      <c r="R5829" s="281">
        <f>Base_Periodo1[[#This Row],[CREDITOS]]-Base_Periodo1[[#This Row],[DEBITOS]]</f>
        <v>4311260.32</v>
      </c>
      <c r="S5829" s="3" t="str">
        <f>IF(ISERROR(VLOOKUP(Base_Periodo1[[#This Row],[CONTA]],BaseContasDRE[#All],4,FALSE)),"Fora do DRE",VLOOKUP(Base_Periodo1[[#This Row],[CONTA]],BaseContasDRE[#All],4,FALSE))</f>
        <v>Fora do DRE</v>
      </c>
      <c r="T5829" s="3" t="str">
        <f>IF(ISERROR(VLOOKUP(Base_Periodo1[[#This Row],[CONTA]],BaseContasDRE[#All],5,FALSE)),"Fora do DRE",VLOOKUP(Base_Periodo1[[#This Row],[CONTA]],BaseContasDRE[#All],6,FALSE))</f>
        <v>Fora do DRE</v>
      </c>
      <c r="U5829" s="3" t="str">
        <f>IF(ISERROR(VLOOKUP(Base_Periodo1[[#This Row],[CONTA]],BaseContasDRE[#All],7,FALSE)),"Fora do DRE",VLOOKUP(Base_Periodo1[[#This Row],[CONTA]],BaseContasDRE[#All],7,FALSE))</f>
        <v>Fora do DRE</v>
      </c>
      <c r="V5829" s="3" t="str">
        <f>IF(Base_Periodo1[[#This Row],[Tipo_Linha]]="Fora do DRE","Fora do DRE","( "&amp;Base_Periodo1[[#This Row],[Tipo_Linha]]&amp;" ) "&amp;Base_Periodo1[[#This Row],[Filtro]])</f>
        <v>Fora do DRE</v>
      </c>
      <c r="W5829" s="3" t="str">
        <f>LEFT(Base_Periodo1[[#This Row],[CLASS]],3)</f>
        <v>3.1</v>
      </c>
    </row>
    <row r="5830" spans="1:23" hidden="1">
      <c r="A5830" s="3" t="str">
        <f t="shared" ref="A5830:A5893" si="91">"Período 1"</f>
        <v>Período 1</v>
      </c>
      <c r="B5830">
        <v>1822</v>
      </c>
      <c r="C5830" t="s">
        <v>5799</v>
      </c>
      <c r="D5830" t="s">
        <v>5800</v>
      </c>
      <c r="E5830" s="3" t="str">
        <f>IF(LEN(Base_Periodo1[[#This Row],[CLASS]])&gt;=7,LEFT(Base_Periodo1[[#This Row],[CLASS]],7),"")</f>
        <v>3.1.1.1</v>
      </c>
      <c r="F5830" s="3" t="e">
        <f>VLOOKUP(Base_Periodo1[[#This Row],[Aux]],Base_Contas_Balanco[#All],2,FALSE)</f>
        <v>#N/A</v>
      </c>
      <c r="G5830" s="1">
        <v>42886</v>
      </c>
      <c r="H5830" s="281">
        <v>6460498.2500002384</v>
      </c>
      <c r="I5830" s="281">
        <v>6460498.25</v>
      </c>
      <c r="J5830" s="281">
        <v>10771758.57</v>
      </c>
      <c r="K5830" s="281">
        <v>10771758.570000239</v>
      </c>
      <c r="L583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10771758.57</v>
      </c>
      <c r="M5830" s="281">
        <f>ROUND(IF(AND(Base_Periodo1[[#This Row],[Tipo_Linha]]="-",Base_Periodo1[[#This Row],[TIPOSALDO]]="D"),Base_Periodo1[[#This Row],[SALDO_ATUAL]]*-1,Base_Periodo1[[#This Row],[SALDO_ATUAL]]),4)</f>
        <v>10771758.57</v>
      </c>
      <c r="N5830" t="s">
        <v>116</v>
      </c>
      <c r="O5830" t="s">
        <v>459</v>
      </c>
      <c r="P5830" t="s">
        <v>459</v>
      </c>
      <c r="Q5830">
        <v>9</v>
      </c>
      <c r="R5830" s="281">
        <f>Base_Periodo1[[#This Row],[CREDITOS]]-Base_Periodo1[[#This Row],[DEBITOS]]</f>
        <v>4311260.32</v>
      </c>
      <c r="S5830" s="3" t="str">
        <f>IF(ISERROR(VLOOKUP(Base_Periodo1[[#This Row],[CONTA]],BaseContasDRE[#All],4,FALSE)),"Fora do DRE",VLOOKUP(Base_Periodo1[[#This Row],[CONTA]],BaseContasDRE[#All],4,FALSE))</f>
        <v>+</v>
      </c>
      <c r="T5830" s="3">
        <f>IF(ISERROR(VLOOKUP(Base_Periodo1[[#This Row],[CONTA]],BaseContasDRE[#All],5,FALSE)),"Fora do DRE",VLOOKUP(Base_Periodo1[[#This Row],[CONTA]],BaseContasDRE[#All],6,FALSE))</f>
        <v>1</v>
      </c>
      <c r="U5830" s="3" t="str">
        <f>IF(ISERROR(VLOOKUP(Base_Periodo1[[#This Row],[CONTA]],BaseContasDRE[#All],7,FALSE)),"Fora do DRE",VLOOKUP(Base_Periodo1[[#This Row],[CONTA]],BaseContasDRE[#All],7,FALSE))</f>
        <v>PRODUTOS AGRICOLAS</v>
      </c>
      <c r="V5830" s="3" t="str">
        <f>IF(Base_Periodo1[[#This Row],[Tipo_Linha]]="Fora do DRE","Fora do DRE","( "&amp;Base_Periodo1[[#This Row],[Tipo_Linha]]&amp;" ) "&amp;Base_Periodo1[[#This Row],[Filtro]])</f>
        <v>( + ) PRODUTOS AGRICOLAS</v>
      </c>
      <c r="W5830" s="3" t="str">
        <f>LEFT(Base_Periodo1[[#This Row],[CLASS]],3)</f>
        <v>3.1</v>
      </c>
    </row>
    <row r="5831" spans="1:23" hidden="1">
      <c r="A5831" s="3" t="str">
        <f t="shared" si="91"/>
        <v>Período 1</v>
      </c>
      <c r="B5831">
        <v>1814</v>
      </c>
      <c r="C5831" t="s">
        <v>5801</v>
      </c>
      <c r="D5831" t="s">
        <v>3565</v>
      </c>
      <c r="E5831" s="3" t="str">
        <f>IF(LEN(Base_Periodo1[[#This Row],[CLASS]])&gt;=7,LEFT(Base_Periodo1[[#This Row],[CLASS]],7),"")</f>
        <v>3.1.1.1</v>
      </c>
      <c r="F5831" s="3" t="e">
        <f>VLOOKUP(Base_Periodo1[[#This Row],[Aux]],Base_Contas_Balanco[#All],2,FALSE)</f>
        <v>#N/A</v>
      </c>
      <c r="G5831" s="1"/>
      <c r="H5831" s="281">
        <v>48519.930000000633</v>
      </c>
      <c r="I5831" s="281">
        <v>85471.79</v>
      </c>
      <c r="J5831" s="281">
        <v>48519.93</v>
      </c>
      <c r="K5831" s="281">
        <v>85471.790000000619</v>
      </c>
      <c r="L583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-85471.79</v>
      </c>
      <c r="M5831" s="281">
        <f>ROUND(IF(AND(Base_Periodo1[[#This Row],[Tipo_Linha]]="-",Base_Periodo1[[#This Row],[TIPOSALDO]]="D"),Base_Periodo1[[#This Row],[SALDO_ATUAL]]*-1,Base_Periodo1[[#This Row],[SALDO_ATUAL]]),4)</f>
        <v>85471.79</v>
      </c>
      <c r="N5831" t="s">
        <v>396</v>
      </c>
      <c r="O5831" t="s">
        <v>397</v>
      </c>
      <c r="P5831" t="s">
        <v>397</v>
      </c>
      <c r="Q5831">
        <v>8</v>
      </c>
      <c r="R5831" s="281">
        <f>Base_Periodo1[[#This Row],[CREDITOS]]-Base_Periodo1[[#This Row],[DEBITOS]]</f>
        <v>-36951.859999999993</v>
      </c>
      <c r="S5831" s="3" t="str">
        <f>IF(ISERROR(VLOOKUP(Base_Periodo1[[#This Row],[CONTA]],BaseContasDRE[#All],4,FALSE)),"Fora do DRE",VLOOKUP(Base_Periodo1[[#This Row],[CONTA]],BaseContasDRE[#All],4,FALSE))</f>
        <v>Fora do DRE</v>
      </c>
      <c r="T5831" s="3" t="str">
        <f>IF(ISERROR(VLOOKUP(Base_Periodo1[[#This Row],[CONTA]],BaseContasDRE[#All],5,FALSE)),"Fora do DRE",VLOOKUP(Base_Periodo1[[#This Row],[CONTA]],BaseContasDRE[#All],6,FALSE))</f>
        <v>Fora do DRE</v>
      </c>
      <c r="U5831" s="3" t="str">
        <f>IF(ISERROR(VLOOKUP(Base_Periodo1[[#This Row],[CONTA]],BaseContasDRE[#All],7,FALSE)),"Fora do DRE",VLOOKUP(Base_Periodo1[[#This Row],[CONTA]],BaseContasDRE[#All],7,FALSE))</f>
        <v>Fora do DRE</v>
      </c>
      <c r="V5831" s="3" t="str">
        <f>IF(Base_Periodo1[[#This Row],[Tipo_Linha]]="Fora do DRE","Fora do DRE","( "&amp;Base_Periodo1[[#This Row],[Tipo_Linha]]&amp;" ) "&amp;Base_Periodo1[[#This Row],[Filtro]])</f>
        <v>Fora do DRE</v>
      </c>
      <c r="W5831" s="3" t="str">
        <f>LEFT(Base_Periodo1[[#This Row],[CLASS]],3)</f>
        <v>3.1</v>
      </c>
    </row>
    <row r="5832" spans="1:23" hidden="1">
      <c r="A5832" s="3" t="str">
        <f t="shared" si="91"/>
        <v>Período 1</v>
      </c>
      <c r="B5832">
        <v>1815</v>
      </c>
      <c r="C5832" t="s">
        <v>5802</v>
      </c>
      <c r="D5832" t="s">
        <v>3566</v>
      </c>
      <c r="E5832" s="3" t="str">
        <f>IF(LEN(Base_Periodo1[[#This Row],[CLASS]])&gt;=7,LEFT(Base_Periodo1[[#This Row],[CLASS]],7),"")</f>
        <v>3.1.1.1</v>
      </c>
      <c r="F5832" s="3" t="e">
        <f>VLOOKUP(Base_Periodo1[[#This Row],[Aux]],Base_Contas_Balanco[#All],2,FALSE)</f>
        <v>#N/A</v>
      </c>
      <c r="G5832" s="1">
        <v>42886</v>
      </c>
      <c r="H5832" s="281">
        <v>48519.930000000633</v>
      </c>
      <c r="I5832" s="281">
        <v>85471.79</v>
      </c>
      <c r="J5832" s="281">
        <v>48519.93</v>
      </c>
      <c r="K5832" s="281">
        <v>85471.790000000619</v>
      </c>
      <c r="L583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-85471.79</v>
      </c>
      <c r="M5832" s="281">
        <f>ROUND(IF(AND(Base_Periodo1[[#This Row],[Tipo_Linha]]="-",Base_Periodo1[[#This Row],[TIPOSALDO]]="D"),Base_Periodo1[[#This Row],[SALDO_ATUAL]]*-1,Base_Periodo1[[#This Row],[SALDO_ATUAL]]),4)</f>
        <v>-85471.79</v>
      </c>
      <c r="N5832" t="s">
        <v>116</v>
      </c>
      <c r="O5832" t="s">
        <v>397</v>
      </c>
      <c r="P5832" t="s">
        <v>397</v>
      </c>
      <c r="Q5832">
        <v>9</v>
      </c>
      <c r="R5832" s="281">
        <f>Base_Periodo1[[#This Row],[CREDITOS]]-Base_Periodo1[[#This Row],[DEBITOS]]</f>
        <v>-36951.859999999993</v>
      </c>
      <c r="S5832" s="3" t="str">
        <f>IF(ISERROR(VLOOKUP(Base_Periodo1[[#This Row],[CONTA]],BaseContasDRE[#All],4,FALSE)),"Fora do DRE",VLOOKUP(Base_Periodo1[[#This Row],[CONTA]],BaseContasDRE[#All],4,FALSE))</f>
        <v>-</v>
      </c>
      <c r="T5832" s="3">
        <f>IF(ISERROR(VLOOKUP(Base_Periodo1[[#This Row],[CONTA]],BaseContasDRE[#All],5,FALSE)),"Fora do DRE",VLOOKUP(Base_Periodo1[[#This Row],[CONTA]],BaseContasDRE[#All],6,FALSE))</f>
        <v>2</v>
      </c>
      <c r="U5832" s="3" t="str">
        <f>IF(ISERROR(VLOOKUP(Base_Periodo1[[#This Row],[CONTA]],BaseContasDRE[#All],7,FALSE)),"Fora do DRE",VLOOKUP(Base_Periodo1[[#This Row],[CONTA]],BaseContasDRE[#All],7,FALSE))</f>
        <v>ICMS SOBRE INGRESSOS E RECEITAS</v>
      </c>
      <c r="V5832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5832" s="3" t="str">
        <f>LEFT(Base_Periodo1[[#This Row],[CLASS]],3)</f>
        <v>3.1</v>
      </c>
    </row>
    <row r="5833" spans="1:23" hidden="1">
      <c r="A5833" s="3" t="str">
        <f t="shared" si="91"/>
        <v>Período 1</v>
      </c>
      <c r="B5833">
        <v>1823</v>
      </c>
      <c r="C5833" t="s">
        <v>5803</v>
      </c>
      <c r="D5833" t="s">
        <v>3567</v>
      </c>
      <c r="E5833" s="3" t="str">
        <f>IF(LEN(Base_Periodo1[[#This Row],[CLASS]])&gt;=7,LEFT(Base_Periodo1[[#This Row],[CLASS]],7),"")</f>
        <v>3.1.1.1</v>
      </c>
      <c r="F5833" s="3" t="e">
        <f>VLOOKUP(Base_Periodo1[[#This Row],[Aux]],Base_Contas_Balanco[#All],2,FALSE)</f>
        <v>#N/A</v>
      </c>
      <c r="G5833" s="1"/>
      <c r="H5833" s="281">
        <v>7698467.3300000429</v>
      </c>
      <c r="I5833" s="281">
        <v>11081776.66</v>
      </c>
      <c r="J5833" s="281">
        <v>6885412.6799999997</v>
      </c>
      <c r="K5833" s="281">
        <v>11894831.310000043</v>
      </c>
      <c r="L583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-11894831.310000001</v>
      </c>
      <c r="M5833" s="281">
        <f>ROUND(IF(AND(Base_Periodo1[[#This Row],[Tipo_Linha]]="-",Base_Periodo1[[#This Row],[TIPOSALDO]]="D"),Base_Periodo1[[#This Row],[SALDO_ATUAL]]*-1,Base_Periodo1[[#This Row],[SALDO_ATUAL]]),4)</f>
        <v>11894831.310000001</v>
      </c>
      <c r="N5833" t="s">
        <v>396</v>
      </c>
      <c r="O5833" t="s">
        <v>397</v>
      </c>
      <c r="P5833" t="s">
        <v>397</v>
      </c>
      <c r="Q5833">
        <v>8</v>
      </c>
      <c r="R5833" s="281">
        <f>Base_Periodo1[[#This Row],[CREDITOS]]-Base_Periodo1[[#This Row],[DEBITOS]]</f>
        <v>-4196363.9800000004</v>
      </c>
      <c r="S5833" s="3" t="str">
        <f>IF(ISERROR(VLOOKUP(Base_Periodo1[[#This Row],[CONTA]],BaseContasDRE[#All],4,FALSE)),"Fora do DRE",VLOOKUP(Base_Periodo1[[#This Row],[CONTA]],BaseContasDRE[#All],4,FALSE))</f>
        <v>Fora do DRE</v>
      </c>
      <c r="T5833" s="3" t="str">
        <f>IF(ISERROR(VLOOKUP(Base_Periodo1[[#This Row],[CONTA]],BaseContasDRE[#All],5,FALSE)),"Fora do DRE",VLOOKUP(Base_Periodo1[[#This Row],[CONTA]],BaseContasDRE[#All],6,FALSE))</f>
        <v>Fora do DRE</v>
      </c>
      <c r="U5833" s="3" t="str">
        <f>IF(ISERROR(VLOOKUP(Base_Periodo1[[#This Row],[CONTA]],BaseContasDRE[#All],7,FALSE)),"Fora do DRE",VLOOKUP(Base_Periodo1[[#This Row],[CONTA]],BaseContasDRE[#All],7,FALSE))</f>
        <v>Fora do DRE</v>
      </c>
      <c r="V5833" s="3" t="str">
        <f>IF(Base_Periodo1[[#This Row],[Tipo_Linha]]="Fora do DRE","Fora do DRE","( "&amp;Base_Periodo1[[#This Row],[Tipo_Linha]]&amp;" ) "&amp;Base_Periodo1[[#This Row],[Filtro]])</f>
        <v>Fora do DRE</v>
      </c>
      <c r="W5833" s="3" t="str">
        <f>LEFT(Base_Periodo1[[#This Row],[CLASS]],3)</f>
        <v>3.1</v>
      </c>
    </row>
    <row r="5834" spans="1:23" hidden="1">
      <c r="A5834" s="3" t="str">
        <f t="shared" si="91"/>
        <v>Período 1</v>
      </c>
      <c r="B5834">
        <v>1824</v>
      </c>
      <c r="C5834" t="s">
        <v>5804</v>
      </c>
      <c r="D5834" t="s">
        <v>3568</v>
      </c>
      <c r="E5834" s="3" t="str">
        <f>IF(LEN(Base_Periodo1[[#This Row],[CLASS]])&gt;=7,LEFT(Base_Periodo1[[#This Row],[CLASS]],7),"")</f>
        <v>3.1.1.1</v>
      </c>
      <c r="F5834" s="3" t="e">
        <f>VLOOKUP(Base_Periodo1[[#This Row],[Aux]],Base_Contas_Balanco[#All],2,FALSE)</f>
        <v>#N/A</v>
      </c>
      <c r="G5834" s="1">
        <v>42886</v>
      </c>
      <c r="H5834" s="281">
        <v>7698467.3300000429</v>
      </c>
      <c r="I5834" s="281">
        <v>11081776.66</v>
      </c>
      <c r="J5834" s="281">
        <v>6885412.6799999997</v>
      </c>
      <c r="K5834" s="281">
        <v>11894831.310000043</v>
      </c>
      <c r="L583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-11894831.310000001</v>
      </c>
      <c r="M5834" s="281">
        <f>ROUND(IF(AND(Base_Periodo1[[#This Row],[Tipo_Linha]]="-",Base_Periodo1[[#This Row],[TIPOSALDO]]="D"),Base_Periodo1[[#This Row],[SALDO_ATUAL]]*-1,Base_Periodo1[[#This Row],[SALDO_ATUAL]]),4)</f>
        <v>-11894831.310000001</v>
      </c>
      <c r="N5834" t="s">
        <v>116</v>
      </c>
      <c r="O5834" t="s">
        <v>397</v>
      </c>
      <c r="P5834" t="s">
        <v>397</v>
      </c>
      <c r="Q5834">
        <v>9</v>
      </c>
      <c r="R5834" s="281">
        <f>Base_Periodo1[[#This Row],[CREDITOS]]-Base_Periodo1[[#This Row],[DEBITOS]]</f>
        <v>-4196363.9800000004</v>
      </c>
      <c r="S5834" s="3" t="str">
        <f>IF(ISERROR(VLOOKUP(Base_Periodo1[[#This Row],[CONTA]],BaseContasDRE[#All],4,FALSE)),"Fora do DRE",VLOOKUP(Base_Periodo1[[#This Row],[CONTA]],BaseContasDRE[#All],4,FALSE))</f>
        <v>-</v>
      </c>
      <c r="T5834" s="3">
        <f>IF(ISERROR(VLOOKUP(Base_Periodo1[[#This Row],[CONTA]],BaseContasDRE[#All],5,FALSE)),"Fora do DRE",VLOOKUP(Base_Periodo1[[#This Row],[CONTA]],BaseContasDRE[#All],6,FALSE))</f>
        <v>3</v>
      </c>
      <c r="U5834" s="3" t="str">
        <f>IF(ISERROR(VLOOKUP(Base_Periodo1[[#This Row],[CONTA]],BaseContasDRE[#All],7,FALSE)),"Fora do DRE",VLOOKUP(Base_Periodo1[[#This Row],[CONTA]],BaseContasDRE[#All],7,FALSE))</f>
        <v>PRODUTOS AGRICOLAS</v>
      </c>
      <c r="V5834" s="3" t="str">
        <f>IF(Base_Periodo1[[#This Row],[Tipo_Linha]]="Fora do DRE","Fora do DRE","( "&amp;Base_Periodo1[[#This Row],[Tipo_Linha]]&amp;" ) "&amp;Base_Periodo1[[#This Row],[Filtro]])</f>
        <v>( - ) PRODUTOS AGRICOLAS</v>
      </c>
      <c r="W5834" s="3" t="str">
        <f>LEFT(Base_Periodo1[[#This Row],[CLASS]],3)</f>
        <v>3.1</v>
      </c>
    </row>
    <row r="5835" spans="1:23" hidden="1">
      <c r="A5835" s="3" t="str">
        <f t="shared" si="91"/>
        <v>Período 1</v>
      </c>
      <c r="B5835">
        <v>52646</v>
      </c>
      <c r="C5835" t="s">
        <v>4796</v>
      </c>
      <c r="D5835" t="s">
        <v>4649</v>
      </c>
      <c r="E5835" s="3" t="str">
        <f>IF(LEN(Base_Periodo1[[#This Row],[CLASS]])&gt;=7,LEFT(Base_Periodo1[[#This Row],[CLASS]],7),"")</f>
        <v>3.1.1.1</v>
      </c>
      <c r="F5835" s="3" t="e">
        <f>VLOOKUP(Base_Periodo1[[#This Row],[Aux]],Base_Contas_Balanco[#All],2,FALSE)</f>
        <v>#N/A</v>
      </c>
      <c r="G5835" s="1"/>
      <c r="H5835" s="281">
        <v>44231.810000000085</v>
      </c>
      <c r="I5835" s="281">
        <v>20449.989999999998</v>
      </c>
      <c r="J5835" s="281">
        <v>41116.320000000007</v>
      </c>
      <c r="K5835" s="281">
        <v>64898.140000000094</v>
      </c>
      <c r="L583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64898.14</v>
      </c>
      <c r="M5835" s="281">
        <f>ROUND(IF(AND(Base_Periodo1[[#This Row],[Tipo_Linha]]="-",Base_Periodo1[[#This Row],[TIPOSALDO]]="D"),Base_Periodo1[[#This Row],[SALDO_ATUAL]]*-1,Base_Periodo1[[#This Row],[SALDO_ATUAL]]),4)</f>
        <v>64898.14</v>
      </c>
      <c r="N5835" t="s">
        <v>396</v>
      </c>
      <c r="O5835" t="s">
        <v>459</v>
      </c>
      <c r="P5835" t="s">
        <v>459</v>
      </c>
      <c r="Q5835">
        <v>7</v>
      </c>
      <c r="R5835" s="281">
        <f>Base_Periodo1[[#This Row],[CREDITOS]]-Base_Periodo1[[#This Row],[DEBITOS]]</f>
        <v>20666.330000000009</v>
      </c>
      <c r="S5835" s="3" t="str">
        <f>IF(ISERROR(VLOOKUP(Base_Periodo1[[#This Row],[CONTA]],BaseContasDRE[#All],4,FALSE)),"Fora do DRE",VLOOKUP(Base_Periodo1[[#This Row],[CONTA]],BaseContasDRE[#All],4,FALSE))</f>
        <v>Fora do DRE</v>
      </c>
      <c r="T5835" s="3" t="str">
        <f>IF(ISERROR(VLOOKUP(Base_Periodo1[[#This Row],[CONTA]],BaseContasDRE[#All],5,FALSE)),"Fora do DRE",VLOOKUP(Base_Periodo1[[#This Row],[CONTA]],BaseContasDRE[#All],6,FALSE))</f>
        <v>Fora do DRE</v>
      </c>
      <c r="U5835" s="3" t="str">
        <f>IF(ISERROR(VLOOKUP(Base_Periodo1[[#This Row],[CONTA]],BaseContasDRE[#All],7,FALSE)),"Fora do DRE",VLOOKUP(Base_Periodo1[[#This Row],[CONTA]],BaseContasDRE[#All],7,FALSE))</f>
        <v>Fora do DRE</v>
      </c>
      <c r="V5835" s="3" t="str">
        <f>IF(Base_Periodo1[[#This Row],[Tipo_Linha]]="Fora do DRE","Fora do DRE","( "&amp;Base_Periodo1[[#This Row],[Tipo_Linha]]&amp;" ) "&amp;Base_Periodo1[[#This Row],[Filtro]])</f>
        <v>Fora do DRE</v>
      </c>
      <c r="W5835" s="3" t="str">
        <f>LEFT(Base_Periodo1[[#This Row],[CLASS]],3)</f>
        <v>3.1</v>
      </c>
    </row>
    <row r="5836" spans="1:23" hidden="1">
      <c r="A5836" s="3" t="str">
        <f t="shared" si="91"/>
        <v>Período 1</v>
      </c>
      <c r="B5836">
        <v>52647</v>
      </c>
      <c r="C5836" t="s">
        <v>4797</v>
      </c>
      <c r="D5836" t="s">
        <v>4001</v>
      </c>
      <c r="E5836" s="3" t="str">
        <f>IF(LEN(Base_Periodo1[[#This Row],[CLASS]])&gt;=7,LEFT(Base_Periodo1[[#This Row],[CLASS]],7),"")</f>
        <v>3.1.1.1</v>
      </c>
      <c r="F5836" s="3" t="e">
        <f>VLOOKUP(Base_Periodo1[[#This Row],[Aux]],Base_Contas_Balanco[#All],2,FALSE)</f>
        <v>#N/A</v>
      </c>
      <c r="G5836" s="1"/>
      <c r="H5836" s="281">
        <v>216326.14000000007</v>
      </c>
      <c r="I5836" s="281">
        <v>0</v>
      </c>
      <c r="J5836" s="281">
        <v>41116.320000000007</v>
      </c>
      <c r="K5836" s="281">
        <v>257442.46000000008</v>
      </c>
      <c r="L583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257442.46</v>
      </c>
      <c r="M5836" s="281">
        <f>ROUND(IF(AND(Base_Periodo1[[#This Row],[Tipo_Linha]]="-",Base_Periodo1[[#This Row],[TIPOSALDO]]="D"),Base_Periodo1[[#This Row],[SALDO_ATUAL]]*-1,Base_Periodo1[[#This Row],[SALDO_ATUAL]]),4)</f>
        <v>257442.46</v>
      </c>
      <c r="N5836" t="s">
        <v>396</v>
      </c>
      <c r="O5836" t="s">
        <v>459</v>
      </c>
      <c r="P5836" t="s">
        <v>459</v>
      </c>
      <c r="Q5836">
        <v>8</v>
      </c>
      <c r="R5836" s="281">
        <f>Base_Periodo1[[#This Row],[CREDITOS]]-Base_Periodo1[[#This Row],[DEBITOS]]</f>
        <v>41116.320000000007</v>
      </c>
      <c r="S5836" s="3" t="str">
        <f>IF(ISERROR(VLOOKUP(Base_Periodo1[[#This Row],[CONTA]],BaseContasDRE[#All],4,FALSE)),"Fora do DRE",VLOOKUP(Base_Periodo1[[#This Row],[CONTA]],BaseContasDRE[#All],4,FALSE))</f>
        <v>Fora do DRE</v>
      </c>
      <c r="T5836" s="3" t="str">
        <f>IF(ISERROR(VLOOKUP(Base_Periodo1[[#This Row],[CONTA]],BaseContasDRE[#All],5,FALSE)),"Fora do DRE",VLOOKUP(Base_Periodo1[[#This Row],[CONTA]],BaseContasDRE[#All],6,FALSE))</f>
        <v>Fora do DRE</v>
      </c>
      <c r="U5836" s="3" t="str">
        <f>IF(ISERROR(VLOOKUP(Base_Periodo1[[#This Row],[CONTA]],BaseContasDRE[#All],7,FALSE)),"Fora do DRE",VLOOKUP(Base_Periodo1[[#This Row],[CONTA]],BaseContasDRE[#All],7,FALSE))</f>
        <v>Fora do DRE</v>
      </c>
      <c r="V5836" s="3" t="str">
        <f>IF(Base_Periodo1[[#This Row],[Tipo_Linha]]="Fora do DRE","Fora do DRE","( "&amp;Base_Periodo1[[#This Row],[Tipo_Linha]]&amp;" ) "&amp;Base_Periodo1[[#This Row],[Filtro]])</f>
        <v>Fora do DRE</v>
      </c>
      <c r="W5836" s="3" t="str">
        <f>LEFT(Base_Periodo1[[#This Row],[CLASS]],3)</f>
        <v>3.1</v>
      </c>
    </row>
    <row r="5837" spans="1:23" hidden="1">
      <c r="A5837" s="3" t="str">
        <f t="shared" si="91"/>
        <v>Período 1</v>
      </c>
      <c r="B5837">
        <v>52648</v>
      </c>
      <c r="C5837" t="s">
        <v>4798</v>
      </c>
      <c r="D5837" t="s">
        <v>4001</v>
      </c>
      <c r="E5837" s="3" t="str">
        <f>IF(LEN(Base_Periodo1[[#This Row],[CLASS]])&gt;=7,LEFT(Base_Periodo1[[#This Row],[CLASS]],7),"")</f>
        <v>3.1.1.1</v>
      </c>
      <c r="F5837" s="3" t="e">
        <f>VLOOKUP(Base_Periodo1[[#This Row],[Aux]],Base_Contas_Balanco[#All],2,FALSE)</f>
        <v>#N/A</v>
      </c>
      <c r="G5837" s="1">
        <v>42886</v>
      </c>
      <c r="H5837" s="281">
        <v>216326.14000000007</v>
      </c>
      <c r="I5837" s="281">
        <v>0</v>
      </c>
      <c r="J5837" s="281">
        <v>41116.320000000007</v>
      </c>
      <c r="K5837" s="281">
        <v>257442.46000000008</v>
      </c>
      <c r="L583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257442.46</v>
      </c>
      <c r="M5837" s="281">
        <f>ROUND(IF(AND(Base_Periodo1[[#This Row],[Tipo_Linha]]="-",Base_Periodo1[[#This Row],[TIPOSALDO]]="D"),Base_Periodo1[[#This Row],[SALDO_ATUAL]]*-1,Base_Periodo1[[#This Row],[SALDO_ATUAL]]),4)</f>
        <v>257442.46</v>
      </c>
      <c r="N5837" t="s">
        <v>116</v>
      </c>
      <c r="O5837" t="s">
        <v>459</v>
      </c>
      <c r="P5837" t="s">
        <v>459</v>
      </c>
      <c r="Q5837">
        <v>9</v>
      </c>
      <c r="R5837" s="281">
        <f>Base_Periodo1[[#This Row],[CREDITOS]]-Base_Periodo1[[#This Row],[DEBITOS]]</f>
        <v>41116.320000000007</v>
      </c>
      <c r="S5837" s="3" t="str">
        <f>IF(ISERROR(VLOOKUP(Base_Periodo1[[#This Row],[CONTA]],BaseContasDRE[#All],4,FALSE)),"Fora do DRE",VLOOKUP(Base_Periodo1[[#This Row],[CONTA]],BaseContasDRE[#All],4,FALSE))</f>
        <v>+</v>
      </c>
      <c r="T5837" s="3">
        <f>IF(ISERROR(VLOOKUP(Base_Periodo1[[#This Row],[CONTA]],BaseContasDRE[#All],5,FALSE)),"Fora do DRE",VLOOKUP(Base_Periodo1[[#This Row],[CONTA]],BaseContasDRE[#All],6,FALSE))</f>
        <v>1</v>
      </c>
      <c r="U5837" s="3" t="str">
        <f>IF(ISERROR(VLOOKUP(Base_Periodo1[[#This Row],[CONTA]],BaseContasDRE[#All],7,FALSE)),"Fora do DRE",VLOOKUP(Base_Periodo1[[#This Row],[CONTA]],BaseContasDRE[#All],7,FALSE))</f>
        <v>PRODUTOS AGRICOLAS</v>
      </c>
      <c r="V5837" s="3" t="str">
        <f>IF(Base_Periodo1[[#This Row],[Tipo_Linha]]="Fora do DRE","Fora do DRE","( "&amp;Base_Periodo1[[#This Row],[Tipo_Linha]]&amp;" ) "&amp;Base_Periodo1[[#This Row],[Filtro]])</f>
        <v>( + ) PRODUTOS AGRICOLAS</v>
      </c>
      <c r="W5837" s="3" t="str">
        <f>LEFT(Base_Periodo1[[#This Row],[CLASS]],3)</f>
        <v>3.1</v>
      </c>
    </row>
    <row r="5838" spans="1:23" hidden="1">
      <c r="A5838" s="3" t="str">
        <f t="shared" si="91"/>
        <v>Período 1</v>
      </c>
      <c r="B5838">
        <v>56305</v>
      </c>
      <c r="C5838" t="s">
        <v>5737</v>
      </c>
      <c r="D5838" t="s">
        <v>3568</v>
      </c>
      <c r="E5838" s="3" t="str">
        <f>IF(LEN(Base_Periodo1[[#This Row],[CLASS]])&gt;=7,LEFT(Base_Periodo1[[#This Row],[CLASS]],7),"")</f>
        <v>3.1.1.1</v>
      </c>
      <c r="F5838" s="3" t="e">
        <f>VLOOKUP(Base_Periodo1[[#This Row],[Aux]],Base_Contas_Balanco[#All],2,FALSE)</f>
        <v>#N/A</v>
      </c>
      <c r="G5838" s="1"/>
      <c r="H5838" s="281">
        <v>172094.33</v>
      </c>
      <c r="I5838" s="281">
        <v>20449.989999999998</v>
      </c>
      <c r="J5838" s="281">
        <v>0</v>
      </c>
      <c r="K5838" s="281">
        <v>192544.31999999998</v>
      </c>
      <c r="L583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-192544.32</v>
      </c>
      <c r="M5838" s="281">
        <f>ROUND(IF(AND(Base_Periodo1[[#This Row],[Tipo_Linha]]="-",Base_Periodo1[[#This Row],[TIPOSALDO]]="D"),Base_Periodo1[[#This Row],[SALDO_ATUAL]]*-1,Base_Periodo1[[#This Row],[SALDO_ATUAL]]),4)</f>
        <v>192544.32</v>
      </c>
      <c r="N5838" t="s">
        <v>396</v>
      </c>
      <c r="O5838" t="s">
        <v>397</v>
      </c>
      <c r="P5838" t="s">
        <v>397</v>
      </c>
      <c r="Q5838">
        <v>8</v>
      </c>
      <c r="R5838" s="281">
        <f>Base_Periodo1[[#This Row],[CREDITOS]]-Base_Periodo1[[#This Row],[DEBITOS]]</f>
        <v>-20449.989999999998</v>
      </c>
      <c r="S5838" s="3" t="str">
        <f>IF(ISERROR(VLOOKUP(Base_Periodo1[[#This Row],[CONTA]],BaseContasDRE[#All],4,FALSE)),"Fora do DRE",VLOOKUP(Base_Periodo1[[#This Row],[CONTA]],BaseContasDRE[#All],4,FALSE))</f>
        <v>Fora do DRE</v>
      </c>
      <c r="T5838" s="3" t="str">
        <f>IF(ISERROR(VLOOKUP(Base_Periodo1[[#This Row],[CONTA]],BaseContasDRE[#All],5,FALSE)),"Fora do DRE",VLOOKUP(Base_Periodo1[[#This Row],[CONTA]],BaseContasDRE[#All],6,FALSE))</f>
        <v>Fora do DRE</v>
      </c>
      <c r="U5838" s="3" t="str">
        <f>IF(ISERROR(VLOOKUP(Base_Periodo1[[#This Row],[CONTA]],BaseContasDRE[#All],7,FALSE)),"Fora do DRE",VLOOKUP(Base_Periodo1[[#This Row],[CONTA]],BaseContasDRE[#All],7,FALSE))</f>
        <v>Fora do DRE</v>
      </c>
      <c r="V5838" s="3" t="str">
        <f>IF(Base_Periodo1[[#This Row],[Tipo_Linha]]="Fora do DRE","Fora do DRE","( "&amp;Base_Periodo1[[#This Row],[Tipo_Linha]]&amp;" ) "&amp;Base_Periodo1[[#This Row],[Filtro]])</f>
        <v>Fora do DRE</v>
      </c>
      <c r="W5838" s="3" t="str">
        <f>LEFT(Base_Periodo1[[#This Row],[CLASS]],3)</f>
        <v>3.1</v>
      </c>
    </row>
    <row r="5839" spans="1:23" hidden="1">
      <c r="A5839" s="3" t="str">
        <f t="shared" si="91"/>
        <v>Período 1</v>
      </c>
      <c r="B5839">
        <v>56306</v>
      </c>
      <c r="C5839" t="s">
        <v>5738</v>
      </c>
      <c r="D5839" t="s">
        <v>3568</v>
      </c>
      <c r="E5839" s="3" t="str">
        <f>IF(LEN(Base_Periodo1[[#This Row],[CLASS]])&gt;=7,LEFT(Base_Periodo1[[#This Row],[CLASS]],7),"")</f>
        <v>3.1.1.1</v>
      </c>
      <c r="F5839" s="3" t="e">
        <f>VLOOKUP(Base_Periodo1[[#This Row],[Aux]],Base_Contas_Balanco[#All],2,FALSE)</f>
        <v>#N/A</v>
      </c>
      <c r="G5839" s="1">
        <v>42886</v>
      </c>
      <c r="H5839" s="281">
        <v>172094.33</v>
      </c>
      <c r="I5839" s="281">
        <v>20449.989999999998</v>
      </c>
      <c r="J5839" s="281">
        <v>0</v>
      </c>
      <c r="K5839" s="281">
        <v>192544.31999999998</v>
      </c>
      <c r="L583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-192544.32</v>
      </c>
      <c r="M5839" s="281">
        <f>ROUND(IF(AND(Base_Periodo1[[#This Row],[Tipo_Linha]]="-",Base_Periodo1[[#This Row],[TIPOSALDO]]="D"),Base_Periodo1[[#This Row],[SALDO_ATUAL]]*-1,Base_Periodo1[[#This Row],[SALDO_ATUAL]]),4)</f>
        <v>-192544.32</v>
      </c>
      <c r="N5839" t="s">
        <v>116</v>
      </c>
      <c r="O5839" t="s">
        <v>397</v>
      </c>
      <c r="P5839" t="s">
        <v>397</v>
      </c>
      <c r="Q5839">
        <v>9</v>
      </c>
      <c r="R5839" s="281">
        <f>Base_Periodo1[[#This Row],[CREDITOS]]-Base_Periodo1[[#This Row],[DEBITOS]]</f>
        <v>-20449.989999999998</v>
      </c>
      <c r="S5839" s="3" t="str">
        <f>IF(ISERROR(VLOOKUP(Base_Periodo1[[#This Row],[CONTA]],BaseContasDRE[#All],4,FALSE)),"Fora do DRE",VLOOKUP(Base_Periodo1[[#This Row],[CONTA]],BaseContasDRE[#All],4,FALSE))</f>
        <v>-</v>
      </c>
      <c r="T5839" s="3">
        <f>IF(ISERROR(VLOOKUP(Base_Periodo1[[#This Row],[CONTA]],BaseContasDRE[#All],5,FALSE)),"Fora do DRE",VLOOKUP(Base_Periodo1[[#This Row],[CONTA]],BaseContasDRE[#All],6,FALSE))</f>
        <v>3</v>
      </c>
      <c r="U5839" s="3" t="str">
        <f>IF(ISERROR(VLOOKUP(Base_Periodo1[[#This Row],[CONTA]],BaseContasDRE[#All],7,FALSE)),"Fora do DRE",VLOOKUP(Base_Periodo1[[#This Row],[CONTA]],BaseContasDRE[#All],7,FALSE))</f>
        <v>PRODUTOS AGRICOLAS</v>
      </c>
      <c r="V5839" s="3" t="str">
        <f>IF(Base_Periodo1[[#This Row],[Tipo_Linha]]="Fora do DRE","Fora do DRE","( "&amp;Base_Periodo1[[#This Row],[Tipo_Linha]]&amp;" ) "&amp;Base_Periodo1[[#This Row],[Filtro]])</f>
        <v>( - ) PRODUTOS AGRICOLAS</v>
      </c>
      <c r="W5839" s="3" t="str">
        <f>LEFT(Base_Periodo1[[#This Row],[CLASS]],3)</f>
        <v>3.1</v>
      </c>
    </row>
    <row r="5840" spans="1:23" hidden="1">
      <c r="A5840" s="3" t="str">
        <f t="shared" si="91"/>
        <v>Período 1</v>
      </c>
      <c r="B5840">
        <v>1842</v>
      </c>
      <c r="C5840" t="s">
        <v>3574</v>
      </c>
      <c r="D5840" t="s">
        <v>1152</v>
      </c>
      <c r="E5840" s="3" t="str">
        <f>IF(LEN(Base_Periodo1[[#This Row],[CLASS]])&gt;=7,LEFT(Base_Periodo1[[#This Row],[CLASS]],7),"")</f>
        <v>3.1.1.1</v>
      </c>
      <c r="F5840" s="3" t="e">
        <f>VLOOKUP(Base_Periodo1[[#This Row],[Aux]],Base_Contas_Balanco[#All],2,FALSE)</f>
        <v>#N/A</v>
      </c>
      <c r="G5840" s="1"/>
      <c r="H5840" s="281">
        <v>9495591.959999647</v>
      </c>
      <c r="I5840" s="281">
        <v>4141473.0999999992</v>
      </c>
      <c r="J5840" s="281">
        <v>4806819.4800000004</v>
      </c>
      <c r="K5840" s="281">
        <v>10160938.339999648</v>
      </c>
      <c r="L584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10160938.34</v>
      </c>
      <c r="M5840" s="281">
        <f>ROUND(IF(AND(Base_Periodo1[[#This Row],[Tipo_Linha]]="-",Base_Periodo1[[#This Row],[TIPOSALDO]]="D"),Base_Periodo1[[#This Row],[SALDO_ATUAL]]*-1,Base_Periodo1[[#This Row],[SALDO_ATUAL]]),4)</f>
        <v>10160938.34</v>
      </c>
      <c r="N5840" t="s">
        <v>396</v>
      </c>
      <c r="O5840" t="s">
        <v>459</v>
      </c>
      <c r="P5840" t="s">
        <v>459</v>
      </c>
      <c r="Q5840">
        <v>5</v>
      </c>
      <c r="R5840" s="281">
        <f>Base_Periodo1[[#This Row],[CREDITOS]]-Base_Periodo1[[#This Row],[DEBITOS]]</f>
        <v>665346.38000000129</v>
      </c>
      <c r="S5840" s="3" t="str">
        <f>IF(ISERROR(VLOOKUP(Base_Periodo1[[#This Row],[CONTA]],BaseContasDRE[#All],4,FALSE)),"Fora do DRE",VLOOKUP(Base_Periodo1[[#This Row],[CONTA]],BaseContasDRE[#All],4,FALSE))</f>
        <v>Fora do DRE</v>
      </c>
      <c r="T5840" s="3" t="str">
        <f>IF(ISERROR(VLOOKUP(Base_Periodo1[[#This Row],[CONTA]],BaseContasDRE[#All],5,FALSE)),"Fora do DRE",VLOOKUP(Base_Periodo1[[#This Row],[CONTA]],BaseContasDRE[#All],6,FALSE))</f>
        <v>Fora do DRE</v>
      </c>
      <c r="U5840" s="3" t="str">
        <f>IF(ISERROR(VLOOKUP(Base_Periodo1[[#This Row],[CONTA]],BaseContasDRE[#All],7,FALSE)),"Fora do DRE",VLOOKUP(Base_Periodo1[[#This Row],[CONTA]],BaseContasDRE[#All],7,FALSE))</f>
        <v>Fora do DRE</v>
      </c>
      <c r="V5840" s="3" t="str">
        <f>IF(Base_Periodo1[[#This Row],[Tipo_Linha]]="Fora do DRE","Fora do DRE","( "&amp;Base_Periodo1[[#This Row],[Tipo_Linha]]&amp;" ) "&amp;Base_Periodo1[[#This Row],[Filtro]])</f>
        <v>Fora do DRE</v>
      </c>
      <c r="W5840" s="3" t="str">
        <f>LEFT(Base_Periodo1[[#This Row],[CLASS]],3)</f>
        <v>3.1</v>
      </c>
    </row>
    <row r="5841" spans="1:23" hidden="1">
      <c r="A5841" s="3" t="str">
        <f t="shared" si="91"/>
        <v>Período 1</v>
      </c>
      <c r="B5841">
        <v>1843</v>
      </c>
      <c r="C5841" t="s">
        <v>3575</v>
      </c>
      <c r="D5841" t="s">
        <v>1154</v>
      </c>
      <c r="E5841" s="3" t="str">
        <f>IF(LEN(Base_Periodo1[[#This Row],[CLASS]])&gt;=7,LEFT(Base_Periodo1[[#This Row],[CLASS]],7),"")</f>
        <v>3.1.1.1</v>
      </c>
      <c r="F5841" s="3" t="e">
        <f>VLOOKUP(Base_Periodo1[[#This Row],[Aux]],Base_Contas_Balanco[#All],2,FALSE)</f>
        <v>#N/A</v>
      </c>
      <c r="G5841" s="1"/>
      <c r="H5841" s="281">
        <v>6159524.1599998064</v>
      </c>
      <c r="I5841" s="281">
        <v>1141601.5999999999</v>
      </c>
      <c r="J5841" s="281">
        <v>1389215.3700000003</v>
      </c>
      <c r="K5841" s="281">
        <v>6407137.9299998069</v>
      </c>
      <c r="L584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6407137.9299999997</v>
      </c>
      <c r="M5841" s="281">
        <f>ROUND(IF(AND(Base_Periodo1[[#This Row],[Tipo_Linha]]="-",Base_Periodo1[[#This Row],[TIPOSALDO]]="D"),Base_Periodo1[[#This Row],[SALDO_ATUAL]]*-1,Base_Periodo1[[#This Row],[SALDO_ATUAL]]),4)</f>
        <v>6407137.9299999997</v>
      </c>
      <c r="N5841" t="s">
        <v>396</v>
      </c>
      <c r="O5841" t="s">
        <v>459</v>
      </c>
      <c r="P5841" t="s">
        <v>459</v>
      </c>
      <c r="Q5841">
        <v>6</v>
      </c>
      <c r="R5841" s="281">
        <f>Base_Periodo1[[#This Row],[CREDITOS]]-Base_Periodo1[[#This Row],[DEBITOS]]</f>
        <v>247613.77000000048</v>
      </c>
      <c r="S5841" s="3" t="str">
        <f>IF(ISERROR(VLOOKUP(Base_Periodo1[[#This Row],[CONTA]],BaseContasDRE[#All],4,FALSE)),"Fora do DRE",VLOOKUP(Base_Periodo1[[#This Row],[CONTA]],BaseContasDRE[#All],4,FALSE))</f>
        <v>Fora do DRE</v>
      </c>
      <c r="T5841" s="3" t="str">
        <f>IF(ISERROR(VLOOKUP(Base_Periodo1[[#This Row],[CONTA]],BaseContasDRE[#All],5,FALSE)),"Fora do DRE",VLOOKUP(Base_Periodo1[[#This Row],[CONTA]],BaseContasDRE[#All],6,FALSE))</f>
        <v>Fora do DRE</v>
      </c>
      <c r="U5841" s="3" t="str">
        <f>IF(ISERROR(VLOOKUP(Base_Periodo1[[#This Row],[CONTA]],BaseContasDRE[#All],7,FALSE)),"Fora do DRE",VLOOKUP(Base_Periodo1[[#This Row],[CONTA]],BaseContasDRE[#All],7,FALSE))</f>
        <v>Fora do DRE</v>
      </c>
      <c r="V5841" s="3" t="str">
        <f>IF(Base_Periodo1[[#This Row],[Tipo_Linha]]="Fora do DRE","Fora do DRE","( "&amp;Base_Periodo1[[#This Row],[Tipo_Linha]]&amp;" ) "&amp;Base_Periodo1[[#This Row],[Filtro]])</f>
        <v>Fora do DRE</v>
      </c>
      <c r="W5841" s="3" t="str">
        <f>LEFT(Base_Periodo1[[#This Row],[CLASS]],3)</f>
        <v>3.1</v>
      </c>
    </row>
    <row r="5842" spans="1:23" hidden="1">
      <c r="A5842" s="3" t="str">
        <f t="shared" si="91"/>
        <v>Período 1</v>
      </c>
      <c r="B5842">
        <v>1844</v>
      </c>
      <c r="C5842" t="s">
        <v>3576</v>
      </c>
      <c r="D5842" t="s">
        <v>1156</v>
      </c>
      <c r="E5842" s="3" t="str">
        <f>IF(LEN(Base_Periodo1[[#This Row],[CLASS]])&gt;=7,LEFT(Base_Periodo1[[#This Row],[CLASS]],7),"")</f>
        <v>3.1.1.1</v>
      </c>
      <c r="F5842" s="3" t="e">
        <f>VLOOKUP(Base_Periodo1[[#This Row],[Aux]],Base_Contas_Balanco[#All],2,FALSE)</f>
        <v>#N/A</v>
      </c>
      <c r="G5842" s="1"/>
      <c r="H5842" s="281">
        <v>734698.18999998504</v>
      </c>
      <c r="I5842" s="281">
        <v>701874.42999999993</v>
      </c>
      <c r="J5842" s="281">
        <v>781871.69000000029</v>
      </c>
      <c r="K5842" s="281">
        <v>814695.4499999854</v>
      </c>
      <c r="L584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814695.45</v>
      </c>
      <c r="M5842" s="281">
        <f>ROUND(IF(AND(Base_Periodo1[[#This Row],[Tipo_Linha]]="-",Base_Periodo1[[#This Row],[TIPOSALDO]]="D"),Base_Periodo1[[#This Row],[SALDO_ATUAL]]*-1,Base_Periodo1[[#This Row],[SALDO_ATUAL]]),4)</f>
        <v>814695.45</v>
      </c>
      <c r="N5842" t="s">
        <v>396</v>
      </c>
      <c r="O5842" t="s">
        <v>459</v>
      </c>
      <c r="P5842" t="s">
        <v>459</v>
      </c>
      <c r="Q5842">
        <v>7</v>
      </c>
      <c r="R5842" s="281">
        <f>Base_Periodo1[[#This Row],[CREDITOS]]-Base_Periodo1[[#This Row],[DEBITOS]]</f>
        <v>79997.260000000359</v>
      </c>
      <c r="S5842" s="3" t="str">
        <f>IF(ISERROR(VLOOKUP(Base_Periodo1[[#This Row],[CONTA]],BaseContasDRE[#All],4,FALSE)),"Fora do DRE",VLOOKUP(Base_Periodo1[[#This Row],[CONTA]],BaseContasDRE[#All],4,FALSE))</f>
        <v>Fora do DRE</v>
      </c>
      <c r="T5842" s="3" t="str">
        <f>IF(ISERROR(VLOOKUP(Base_Periodo1[[#This Row],[CONTA]],BaseContasDRE[#All],5,FALSE)),"Fora do DRE",VLOOKUP(Base_Periodo1[[#This Row],[CONTA]],BaseContasDRE[#All],6,FALSE))</f>
        <v>Fora do DRE</v>
      </c>
      <c r="U5842" s="3" t="str">
        <f>IF(ISERROR(VLOOKUP(Base_Periodo1[[#This Row],[CONTA]],BaseContasDRE[#All],7,FALSE)),"Fora do DRE",VLOOKUP(Base_Periodo1[[#This Row],[CONTA]],BaseContasDRE[#All],7,FALSE))</f>
        <v>Fora do DRE</v>
      </c>
      <c r="V5842" s="3" t="str">
        <f>IF(Base_Periodo1[[#This Row],[Tipo_Linha]]="Fora do DRE","Fora do DRE","( "&amp;Base_Periodo1[[#This Row],[Tipo_Linha]]&amp;" ) "&amp;Base_Periodo1[[#This Row],[Filtro]])</f>
        <v>Fora do DRE</v>
      </c>
      <c r="W5842" s="3" t="str">
        <f>LEFT(Base_Periodo1[[#This Row],[CLASS]],3)</f>
        <v>3.1</v>
      </c>
    </row>
    <row r="5843" spans="1:23" hidden="1">
      <c r="A5843" s="3" t="str">
        <f t="shared" si="91"/>
        <v>Período 1</v>
      </c>
      <c r="B5843">
        <v>1845</v>
      </c>
      <c r="C5843" t="s">
        <v>3577</v>
      </c>
      <c r="D5843" t="s">
        <v>3578</v>
      </c>
      <c r="E5843" s="3" t="str">
        <f>IF(LEN(Base_Periodo1[[#This Row],[CLASS]])&gt;=7,LEFT(Base_Periodo1[[#This Row],[CLASS]],7),"")</f>
        <v>3.1.1.1</v>
      </c>
      <c r="F5843" s="3" t="e">
        <f>VLOOKUP(Base_Periodo1[[#This Row],[Aux]],Base_Contas_Balanco[#All],2,FALSE)</f>
        <v>#N/A</v>
      </c>
      <c r="G5843" s="1"/>
      <c r="H5843" s="281">
        <v>3148148.5199999809</v>
      </c>
      <c r="I5843" s="281">
        <v>0</v>
      </c>
      <c r="J5843" s="281">
        <v>781871.69000000029</v>
      </c>
      <c r="K5843" s="281">
        <v>3930020.2099999813</v>
      </c>
      <c r="L584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3930020.21</v>
      </c>
      <c r="M5843" s="281">
        <f>ROUND(IF(AND(Base_Periodo1[[#This Row],[Tipo_Linha]]="-",Base_Periodo1[[#This Row],[TIPOSALDO]]="D"),Base_Periodo1[[#This Row],[SALDO_ATUAL]]*-1,Base_Periodo1[[#This Row],[SALDO_ATUAL]]),4)</f>
        <v>3930020.21</v>
      </c>
      <c r="N5843" t="s">
        <v>396</v>
      </c>
      <c r="O5843" t="s">
        <v>459</v>
      </c>
      <c r="P5843" t="s">
        <v>459</v>
      </c>
      <c r="Q5843">
        <v>8</v>
      </c>
      <c r="R5843" s="281">
        <f>Base_Periodo1[[#This Row],[CREDITOS]]-Base_Periodo1[[#This Row],[DEBITOS]]</f>
        <v>781871.69000000029</v>
      </c>
      <c r="S5843" s="3" t="str">
        <f>IF(ISERROR(VLOOKUP(Base_Periodo1[[#This Row],[CONTA]],BaseContasDRE[#All],4,FALSE)),"Fora do DRE",VLOOKUP(Base_Periodo1[[#This Row],[CONTA]],BaseContasDRE[#All],4,FALSE))</f>
        <v>Fora do DRE</v>
      </c>
      <c r="T5843" s="3" t="str">
        <f>IF(ISERROR(VLOOKUP(Base_Periodo1[[#This Row],[CONTA]],BaseContasDRE[#All],5,FALSE)),"Fora do DRE",VLOOKUP(Base_Periodo1[[#This Row],[CONTA]],BaseContasDRE[#All],6,FALSE))</f>
        <v>Fora do DRE</v>
      </c>
      <c r="U5843" s="3" t="str">
        <f>IF(ISERROR(VLOOKUP(Base_Periodo1[[#This Row],[CONTA]],BaseContasDRE[#All],7,FALSE)),"Fora do DRE",VLOOKUP(Base_Periodo1[[#This Row],[CONTA]],BaseContasDRE[#All],7,FALSE))</f>
        <v>Fora do DRE</v>
      </c>
      <c r="V5843" s="3" t="str">
        <f>IF(Base_Periodo1[[#This Row],[Tipo_Linha]]="Fora do DRE","Fora do DRE","( "&amp;Base_Periodo1[[#This Row],[Tipo_Linha]]&amp;" ) "&amp;Base_Periodo1[[#This Row],[Filtro]])</f>
        <v>Fora do DRE</v>
      </c>
      <c r="W5843" s="3" t="str">
        <f>LEFT(Base_Periodo1[[#This Row],[CLASS]],3)</f>
        <v>3.1</v>
      </c>
    </row>
    <row r="5844" spans="1:23" hidden="1">
      <c r="A5844" s="3" t="str">
        <f t="shared" si="91"/>
        <v>Período 1</v>
      </c>
      <c r="B5844">
        <v>1846</v>
      </c>
      <c r="C5844" t="s">
        <v>3579</v>
      </c>
      <c r="D5844" t="s">
        <v>3562</v>
      </c>
      <c r="E5844" s="3" t="str">
        <f>IF(LEN(Base_Periodo1[[#This Row],[CLASS]])&gt;=7,LEFT(Base_Periodo1[[#This Row],[CLASS]],7),"")</f>
        <v>3.1.1.1</v>
      </c>
      <c r="F5844" s="3" t="e">
        <f>VLOOKUP(Base_Periodo1[[#This Row],[Aux]],Base_Contas_Balanco[#All],2,FALSE)</f>
        <v>#N/A</v>
      </c>
      <c r="G5844" s="1">
        <v>42885</v>
      </c>
      <c r="H5844" s="281">
        <v>3148148.5199999809</v>
      </c>
      <c r="I5844" s="281">
        <v>0</v>
      </c>
      <c r="J5844" s="281">
        <v>781871.69000000029</v>
      </c>
      <c r="K5844" s="281">
        <v>3930020.2099999813</v>
      </c>
      <c r="L584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3930020.21</v>
      </c>
      <c r="M5844" s="281">
        <f>ROUND(IF(AND(Base_Periodo1[[#This Row],[Tipo_Linha]]="-",Base_Periodo1[[#This Row],[TIPOSALDO]]="D"),Base_Periodo1[[#This Row],[SALDO_ATUAL]]*-1,Base_Periodo1[[#This Row],[SALDO_ATUAL]]),4)</f>
        <v>3930020.21</v>
      </c>
      <c r="N5844" t="s">
        <v>116</v>
      </c>
      <c r="O5844" t="s">
        <v>459</v>
      </c>
      <c r="P5844" t="s">
        <v>459</v>
      </c>
      <c r="Q5844">
        <v>9</v>
      </c>
      <c r="R5844" s="281">
        <f>Base_Periodo1[[#This Row],[CREDITOS]]-Base_Periodo1[[#This Row],[DEBITOS]]</f>
        <v>781871.69000000029</v>
      </c>
      <c r="S5844" s="3" t="str">
        <f>IF(ISERROR(VLOOKUP(Base_Periodo1[[#This Row],[CONTA]],BaseContasDRE[#All],4,FALSE)),"Fora do DRE",VLOOKUP(Base_Periodo1[[#This Row],[CONTA]],BaseContasDRE[#All],4,FALSE))</f>
        <v>+</v>
      </c>
      <c r="T5844" s="3">
        <f>IF(ISERROR(VLOOKUP(Base_Periodo1[[#This Row],[CONTA]],BaseContasDRE[#All],5,FALSE)),"Fora do DRE",VLOOKUP(Base_Periodo1[[#This Row],[CONTA]],BaseContasDRE[#All],6,FALSE))</f>
        <v>1</v>
      </c>
      <c r="U5844" s="3" t="str">
        <f>IF(ISERROR(VLOOKUP(Base_Periodo1[[#This Row],[CONTA]],BaseContasDRE[#All],7,FALSE)),"Fora do DRE",VLOOKUP(Base_Periodo1[[#This Row],[CONTA]],BaseContasDRE[#All],7,FALSE))</f>
        <v>INSUMOS AGROPECUARIOS</v>
      </c>
      <c r="V5844" s="3" t="str">
        <f>IF(Base_Periodo1[[#This Row],[Tipo_Linha]]="Fora do DRE","Fora do DRE","( "&amp;Base_Periodo1[[#This Row],[Tipo_Linha]]&amp;" ) "&amp;Base_Periodo1[[#This Row],[Filtro]])</f>
        <v>( + ) INSUMOS AGROPECUARIOS</v>
      </c>
      <c r="W5844" s="3" t="str">
        <f>LEFT(Base_Periodo1[[#This Row],[CLASS]],3)</f>
        <v>3.1</v>
      </c>
    </row>
    <row r="5845" spans="1:23" hidden="1">
      <c r="A5845" s="3" t="str">
        <f t="shared" si="91"/>
        <v>Período 1</v>
      </c>
      <c r="B5845">
        <v>1850</v>
      </c>
      <c r="C5845" t="s">
        <v>3580</v>
      </c>
      <c r="D5845" t="s">
        <v>3563</v>
      </c>
      <c r="E5845" s="3" t="str">
        <f>IF(LEN(Base_Periodo1[[#This Row],[CLASS]])&gt;=7,LEFT(Base_Periodo1[[#This Row],[CLASS]],7),"")</f>
        <v>3.1.1.1</v>
      </c>
      <c r="F5845" s="3" t="e">
        <f>VLOOKUP(Base_Periodo1[[#This Row],[Aux]],Base_Contas_Balanco[#All],2,FALSE)</f>
        <v>#N/A</v>
      </c>
      <c r="G5845" s="1"/>
      <c r="H5845" s="281">
        <v>36552.239999999641</v>
      </c>
      <c r="I5845" s="281">
        <v>25803.200000000001</v>
      </c>
      <c r="J5845" s="281">
        <v>0</v>
      </c>
      <c r="K5845" s="281">
        <v>62355.439999999639</v>
      </c>
      <c r="L584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-62355.44</v>
      </c>
      <c r="M5845" s="281">
        <f>ROUND(IF(AND(Base_Periodo1[[#This Row],[Tipo_Linha]]="-",Base_Periodo1[[#This Row],[TIPOSALDO]]="D"),Base_Periodo1[[#This Row],[SALDO_ATUAL]]*-1,Base_Periodo1[[#This Row],[SALDO_ATUAL]]),4)</f>
        <v>62355.44</v>
      </c>
      <c r="N5845" t="s">
        <v>396</v>
      </c>
      <c r="O5845" t="s">
        <v>397</v>
      </c>
      <c r="P5845" t="s">
        <v>397</v>
      </c>
      <c r="Q5845">
        <v>8</v>
      </c>
      <c r="R5845" s="281">
        <f>Base_Periodo1[[#This Row],[CREDITOS]]-Base_Periodo1[[#This Row],[DEBITOS]]</f>
        <v>-25803.200000000001</v>
      </c>
      <c r="S5845" s="3" t="str">
        <f>IF(ISERROR(VLOOKUP(Base_Periodo1[[#This Row],[CONTA]],BaseContasDRE[#All],4,FALSE)),"Fora do DRE",VLOOKUP(Base_Periodo1[[#This Row],[CONTA]],BaseContasDRE[#All],4,FALSE))</f>
        <v>Fora do DRE</v>
      </c>
      <c r="T5845" s="3" t="str">
        <f>IF(ISERROR(VLOOKUP(Base_Periodo1[[#This Row],[CONTA]],BaseContasDRE[#All],5,FALSE)),"Fora do DRE",VLOOKUP(Base_Periodo1[[#This Row],[CONTA]],BaseContasDRE[#All],6,FALSE))</f>
        <v>Fora do DRE</v>
      </c>
      <c r="U5845" s="3" t="str">
        <f>IF(ISERROR(VLOOKUP(Base_Periodo1[[#This Row],[CONTA]],BaseContasDRE[#All],7,FALSE)),"Fora do DRE",VLOOKUP(Base_Periodo1[[#This Row],[CONTA]],BaseContasDRE[#All],7,FALSE))</f>
        <v>Fora do DRE</v>
      </c>
      <c r="V5845" s="3" t="str">
        <f>IF(Base_Periodo1[[#This Row],[Tipo_Linha]]="Fora do DRE","Fora do DRE","( "&amp;Base_Periodo1[[#This Row],[Tipo_Linha]]&amp;" ) "&amp;Base_Periodo1[[#This Row],[Filtro]])</f>
        <v>Fora do DRE</v>
      </c>
      <c r="W5845" s="3" t="str">
        <f>LEFT(Base_Periodo1[[#This Row],[CLASS]],3)</f>
        <v>3.1</v>
      </c>
    </row>
    <row r="5846" spans="1:23" hidden="1">
      <c r="A5846" s="3" t="str">
        <f t="shared" si="91"/>
        <v>Período 1</v>
      </c>
      <c r="B5846">
        <v>1851</v>
      </c>
      <c r="C5846" t="s">
        <v>3581</v>
      </c>
      <c r="D5846" t="s">
        <v>3564</v>
      </c>
      <c r="E5846" s="3" t="str">
        <f>IF(LEN(Base_Periodo1[[#This Row],[CLASS]])&gt;=7,LEFT(Base_Periodo1[[#This Row],[CLASS]],7),"")</f>
        <v>3.1.1.1</v>
      </c>
      <c r="F5846" s="3" t="e">
        <f>VLOOKUP(Base_Periodo1[[#This Row],[Aux]],Base_Contas_Balanco[#All],2,FALSE)</f>
        <v>#N/A</v>
      </c>
      <c r="G5846" s="1">
        <v>42885</v>
      </c>
      <c r="H5846" s="281">
        <v>36552.239999999641</v>
      </c>
      <c r="I5846" s="281">
        <v>25803.200000000001</v>
      </c>
      <c r="J5846" s="281">
        <v>0</v>
      </c>
      <c r="K5846" s="281">
        <v>62355.439999999639</v>
      </c>
      <c r="L584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-62355.44</v>
      </c>
      <c r="M5846" s="281">
        <f>ROUND(IF(AND(Base_Periodo1[[#This Row],[Tipo_Linha]]="-",Base_Periodo1[[#This Row],[TIPOSALDO]]="D"),Base_Periodo1[[#This Row],[SALDO_ATUAL]]*-1,Base_Periodo1[[#This Row],[SALDO_ATUAL]]),4)</f>
        <v>-62355.44</v>
      </c>
      <c r="N5846" t="s">
        <v>116</v>
      </c>
      <c r="O5846" t="s">
        <v>397</v>
      </c>
      <c r="P5846" t="s">
        <v>397</v>
      </c>
      <c r="Q5846">
        <v>9</v>
      </c>
      <c r="R5846" s="281">
        <f>Base_Periodo1[[#This Row],[CREDITOS]]-Base_Periodo1[[#This Row],[DEBITOS]]</f>
        <v>-25803.200000000001</v>
      </c>
      <c r="S5846" s="3" t="str">
        <f>IF(ISERROR(VLOOKUP(Base_Periodo1[[#This Row],[CONTA]],BaseContasDRE[#All],4,FALSE)),"Fora do DRE",VLOOKUP(Base_Periodo1[[#This Row],[CONTA]],BaseContasDRE[#All],4,FALSE))</f>
        <v>-</v>
      </c>
      <c r="T5846" s="3">
        <f>IF(ISERROR(VLOOKUP(Base_Periodo1[[#This Row],[CONTA]],BaseContasDRE[#All],5,FALSE)),"Fora do DRE",VLOOKUP(Base_Periodo1[[#This Row],[CONTA]],BaseContasDRE[#All],6,FALSE))</f>
        <v>2</v>
      </c>
      <c r="U5846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846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846" s="3" t="str">
        <f>LEFT(Base_Periodo1[[#This Row],[CLASS]],3)</f>
        <v>3.1</v>
      </c>
    </row>
    <row r="5847" spans="1:23" hidden="1">
      <c r="A5847" s="3" t="str">
        <f t="shared" si="91"/>
        <v>Período 1</v>
      </c>
      <c r="B5847">
        <v>1852</v>
      </c>
      <c r="C5847" t="s">
        <v>3582</v>
      </c>
      <c r="D5847" t="s">
        <v>3583</v>
      </c>
      <c r="E5847" s="3" t="str">
        <f>IF(LEN(Base_Periodo1[[#This Row],[CLASS]])&gt;=7,LEFT(Base_Periodo1[[#This Row],[CLASS]],7),"")</f>
        <v>3.1.1.1</v>
      </c>
      <c r="F5847" s="3" t="e">
        <f>VLOOKUP(Base_Periodo1[[#This Row],[Aux]],Base_Contas_Balanco[#All],2,FALSE)</f>
        <v>#N/A</v>
      </c>
      <c r="G5847" s="1"/>
      <c r="H5847" s="281">
        <v>1475.0000000000109</v>
      </c>
      <c r="I5847" s="281">
        <v>0</v>
      </c>
      <c r="J5847" s="281">
        <v>0</v>
      </c>
      <c r="K5847" s="281">
        <v>1475.0000000000109</v>
      </c>
      <c r="L584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1475</v>
      </c>
      <c r="M5847" s="281">
        <f>ROUND(IF(AND(Base_Periodo1[[#This Row],[Tipo_Linha]]="-",Base_Periodo1[[#This Row],[TIPOSALDO]]="D"),Base_Periodo1[[#This Row],[SALDO_ATUAL]]*-1,Base_Periodo1[[#This Row],[SALDO_ATUAL]]),4)</f>
        <v>1475</v>
      </c>
      <c r="N5847" t="s">
        <v>396</v>
      </c>
      <c r="O5847" t="s">
        <v>459</v>
      </c>
      <c r="P5847" t="s">
        <v>459</v>
      </c>
      <c r="Q5847">
        <v>8</v>
      </c>
      <c r="R5847" s="281">
        <f>Base_Periodo1[[#This Row],[CREDITOS]]-Base_Periodo1[[#This Row],[DEBITOS]]</f>
        <v>0</v>
      </c>
      <c r="S5847" s="3" t="str">
        <f>IF(ISERROR(VLOOKUP(Base_Periodo1[[#This Row],[CONTA]],BaseContasDRE[#All],4,FALSE)),"Fora do DRE",VLOOKUP(Base_Periodo1[[#This Row],[CONTA]],BaseContasDRE[#All],4,FALSE))</f>
        <v>Fora do DRE</v>
      </c>
      <c r="T5847" s="3" t="str">
        <f>IF(ISERROR(VLOOKUP(Base_Periodo1[[#This Row],[CONTA]],BaseContasDRE[#All],5,FALSE)),"Fora do DRE",VLOOKUP(Base_Periodo1[[#This Row],[CONTA]],BaseContasDRE[#All],6,FALSE))</f>
        <v>Fora do DRE</v>
      </c>
      <c r="U5847" s="3" t="str">
        <f>IF(ISERROR(VLOOKUP(Base_Periodo1[[#This Row],[CONTA]],BaseContasDRE[#All],7,FALSE)),"Fora do DRE",VLOOKUP(Base_Periodo1[[#This Row],[CONTA]],BaseContasDRE[#All],7,FALSE))</f>
        <v>Fora do DRE</v>
      </c>
      <c r="V5847" s="3" t="str">
        <f>IF(Base_Periodo1[[#This Row],[Tipo_Linha]]="Fora do DRE","Fora do DRE","( "&amp;Base_Periodo1[[#This Row],[Tipo_Linha]]&amp;" ) "&amp;Base_Periodo1[[#This Row],[Filtro]])</f>
        <v>Fora do DRE</v>
      </c>
      <c r="W5847" s="3" t="str">
        <f>LEFT(Base_Periodo1[[#This Row],[CLASS]],3)</f>
        <v>3.1</v>
      </c>
    </row>
    <row r="5848" spans="1:23" hidden="1">
      <c r="A5848" s="3" t="str">
        <f t="shared" si="91"/>
        <v>Período 1</v>
      </c>
      <c r="B5848">
        <v>1853</v>
      </c>
      <c r="C5848" t="s">
        <v>3584</v>
      </c>
      <c r="D5848" t="s">
        <v>3566</v>
      </c>
      <c r="E5848" s="3" t="str">
        <f>IF(LEN(Base_Periodo1[[#This Row],[CLASS]])&gt;=7,LEFT(Base_Periodo1[[#This Row],[CLASS]],7),"")</f>
        <v>3.1.1.1</v>
      </c>
      <c r="F5848" s="3" t="e">
        <f>VLOOKUP(Base_Periodo1[[#This Row],[Aux]],Base_Contas_Balanco[#All],2,FALSE)</f>
        <v>#N/A</v>
      </c>
      <c r="G5848" s="1">
        <v>42850</v>
      </c>
      <c r="H5848" s="281">
        <v>1475.0000000000109</v>
      </c>
      <c r="I5848" s="281">
        <v>0</v>
      </c>
      <c r="J5848" s="281">
        <v>0</v>
      </c>
      <c r="K5848" s="281">
        <v>1475.0000000000109</v>
      </c>
      <c r="L584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1475</v>
      </c>
      <c r="M5848" s="281">
        <f>ROUND(IF(AND(Base_Periodo1[[#This Row],[Tipo_Linha]]="-",Base_Periodo1[[#This Row],[TIPOSALDO]]="D"),Base_Periodo1[[#This Row],[SALDO_ATUAL]]*-1,Base_Periodo1[[#This Row],[SALDO_ATUAL]]),4)</f>
        <v>1475</v>
      </c>
      <c r="N5848" t="s">
        <v>116</v>
      </c>
      <c r="O5848" t="s">
        <v>459</v>
      </c>
      <c r="P5848" t="s">
        <v>459</v>
      </c>
      <c r="Q5848">
        <v>9</v>
      </c>
      <c r="R5848" s="281">
        <f>Base_Periodo1[[#This Row],[CREDITOS]]-Base_Periodo1[[#This Row],[DEBITOS]]</f>
        <v>0</v>
      </c>
      <c r="S5848" s="3" t="str">
        <f>IF(ISERROR(VLOOKUP(Base_Periodo1[[#This Row],[CONTA]],BaseContasDRE[#All],4,FALSE)),"Fora do DRE",VLOOKUP(Base_Periodo1[[#This Row],[CONTA]],BaseContasDRE[#All],4,FALSE))</f>
        <v>-</v>
      </c>
      <c r="T5848" s="3">
        <f>IF(ISERROR(VLOOKUP(Base_Periodo1[[#This Row],[CONTA]],BaseContasDRE[#All],5,FALSE)),"Fora do DRE",VLOOKUP(Base_Periodo1[[#This Row],[CONTA]],BaseContasDRE[#All],6,FALSE))</f>
        <v>2</v>
      </c>
      <c r="U5848" s="3" t="str">
        <f>IF(ISERROR(VLOOKUP(Base_Periodo1[[#This Row],[CONTA]],BaseContasDRE[#All],7,FALSE)),"Fora do DRE",VLOOKUP(Base_Periodo1[[#This Row],[CONTA]],BaseContasDRE[#All],7,FALSE))</f>
        <v>ICMS SOBRE INGRESSOS E RECEITAS</v>
      </c>
      <c r="V5848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5848" s="3" t="str">
        <f>LEFT(Base_Periodo1[[#This Row],[CLASS]],3)</f>
        <v>3.1</v>
      </c>
    </row>
    <row r="5849" spans="1:23" hidden="1">
      <c r="A5849" s="3" t="str">
        <f t="shared" si="91"/>
        <v>Período 1</v>
      </c>
      <c r="B5849">
        <v>1854</v>
      </c>
      <c r="C5849" t="s">
        <v>3585</v>
      </c>
      <c r="D5849" t="s">
        <v>3567</v>
      </c>
      <c r="E5849" s="3" t="str">
        <f>IF(LEN(Base_Periodo1[[#This Row],[CLASS]])&gt;=7,LEFT(Base_Periodo1[[#This Row],[CLASS]],7),"")</f>
        <v>3.1.1.1</v>
      </c>
      <c r="F5849" s="3" t="e">
        <f>VLOOKUP(Base_Periodo1[[#This Row],[Aux]],Base_Contas_Balanco[#All],2,FALSE)</f>
        <v>#N/A</v>
      </c>
      <c r="G5849" s="1"/>
      <c r="H5849" s="281">
        <v>2378373.0899999961</v>
      </c>
      <c r="I5849" s="281">
        <v>676071.23</v>
      </c>
      <c r="J5849" s="281">
        <v>0</v>
      </c>
      <c r="K5849" s="281">
        <v>3054444.3199999961</v>
      </c>
      <c r="L584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-3054444.32</v>
      </c>
      <c r="M5849" s="281">
        <f>ROUND(IF(AND(Base_Periodo1[[#This Row],[Tipo_Linha]]="-",Base_Periodo1[[#This Row],[TIPOSALDO]]="D"),Base_Periodo1[[#This Row],[SALDO_ATUAL]]*-1,Base_Periodo1[[#This Row],[SALDO_ATUAL]]),4)</f>
        <v>3054444.32</v>
      </c>
      <c r="N5849" t="s">
        <v>396</v>
      </c>
      <c r="O5849" t="s">
        <v>397</v>
      </c>
      <c r="P5849" t="s">
        <v>397</v>
      </c>
      <c r="Q5849">
        <v>8</v>
      </c>
      <c r="R5849" s="281">
        <f>Base_Periodo1[[#This Row],[CREDITOS]]-Base_Periodo1[[#This Row],[DEBITOS]]</f>
        <v>-676071.23</v>
      </c>
      <c r="S5849" s="3" t="str">
        <f>IF(ISERROR(VLOOKUP(Base_Periodo1[[#This Row],[CONTA]],BaseContasDRE[#All],4,FALSE)),"Fora do DRE",VLOOKUP(Base_Periodo1[[#This Row],[CONTA]],BaseContasDRE[#All],4,FALSE))</f>
        <v>Fora do DRE</v>
      </c>
      <c r="T5849" s="3" t="str">
        <f>IF(ISERROR(VLOOKUP(Base_Periodo1[[#This Row],[CONTA]],BaseContasDRE[#All],5,FALSE)),"Fora do DRE",VLOOKUP(Base_Periodo1[[#This Row],[CONTA]],BaseContasDRE[#All],6,FALSE))</f>
        <v>Fora do DRE</v>
      </c>
      <c r="U5849" s="3" t="str">
        <f>IF(ISERROR(VLOOKUP(Base_Periodo1[[#This Row],[CONTA]],BaseContasDRE[#All],7,FALSE)),"Fora do DRE",VLOOKUP(Base_Periodo1[[#This Row],[CONTA]],BaseContasDRE[#All],7,FALSE))</f>
        <v>Fora do DRE</v>
      </c>
      <c r="V5849" s="3" t="str">
        <f>IF(Base_Periodo1[[#This Row],[Tipo_Linha]]="Fora do DRE","Fora do DRE","( "&amp;Base_Periodo1[[#This Row],[Tipo_Linha]]&amp;" ) "&amp;Base_Periodo1[[#This Row],[Filtro]])</f>
        <v>Fora do DRE</v>
      </c>
      <c r="W5849" s="3" t="str">
        <f>LEFT(Base_Periodo1[[#This Row],[CLASS]],3)</f>
        <v>3.1</v>
      </c>
    </row>
    <row r="5850" spans="1:23" hidden="1">
      <c r="A5850" s="3" t="str">
        <f t="shared" si="91"/>
        <v>Período 1</v>
      </c>
      <c r="B5850">
        <v>1855</v>
      </c>
      <c r="C5850" t="s">
        <v>3586</v>
      </c>
      <c r="D5850" t="s">
        <v>3587</v>
      </c>
      <c r="E5850" s="3" t="str">
        <f>IF(LEN(Base_Periodo1[[#This Row],[CLASS]])&gt;=7,LEFT(Base_Periodo1[[#This Row],[CLASS]],7),"")</f>
        <v>3.1.1.1</v>
      </c>
      <c r="F5850" s="3" t="e">
        <f>VLOOKUP(Base_Periodo1[[#This Row],[Aux]],Base_Contas_Balanco[#All],2,FALSE)</f>
        <v>#N/A</v>
      </c>
      <c r="G5850" s="1">
        <v>42886</v>
      </c>
      <c r="H5850" s="281">
        <v>2378373.0899999961</v>
      </c>
      <c r="I5850" s="281">
        <v>676071.23</v>
      </c>
      <c r="J5850" s="281">
        <v>0</v>
      </c>
      <c r="K5850" s="281">
        <v>3054444.3199999961</v>
      </c>
      <c r="L585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-3054444.32</v>
      </c>
      <c r="M5850" s="281">
        <f>ROUND(IF(AND(Base_Periodo1[[#This Row],[Tipo_Linha]]="-",Base_Periodo1[[#This Row],[TIPOSALDO]]="D"),Base_Periodo1[[#This Row],[SALDO_ATUAL]]*-1,Base_Periodo1[[#This Row],[SALDO_ATUAL]]),4)</f>
        <v>-3054444.32</v>
      </c>
      <c r="N5850" t="s">
        <v>116</v>
      </c>
      <c r="O5850" t="s">
        <v>397</v>
      </c>
      <c r="P5850" t="s">
        <v>397</v>
      </c>
      <c r="Q5850">
        <v>9</v>
      </c>
      <c r="R5850" s="281">
        <f>Base_Periodo1[[#This Row],[CREDITOS]]-Base_Periodo1[[#This Row],[DEBITOS]]</f>
        <v>-676071.23</v>
      </c>
      <c r="S5850" s="3" t="str">
        <f>IF(ISERROR(VLOOKUP(Base_Periodo1[[#This Row],[CONTA]],BaseContasDRE[#All],4,FALSE)),"Fora do DRE",VLOOKUP(Base_Periodo1[[#This Row],[CONTA]],BaseContasDRE[#All],4,FALSE))</f>
        <v>-</v>
      </c>
      <c r="T5850" s="3">
        <f>IF(ISERROR(VLOOKUP(Base_Periodo1[[#This Row],[CONTA]],BaseContasDRE[#All],5,FALSE)),"Fora do DRE",VLOOKUP(Base_Periodo1[[#This Row],[CONTA]],BaseContasDRE[#All],6,FALSE))</f>
        <v>3</v>
      </c>
      <c r="U5850" s="3" t="str">
        <f>IF(ISERROR(VLOOKUP(Base_Periodo1[[#This Row],[CONTA]],BaseContasDRE[#All],7,FALSE)),"Fora do DRE",VLOOKUP(Base_Periodo1[[#This Row],[CONTA]],BaseContasDRE[#All],7,FALSE))</f>
        <v>INSUMOS AGROPECUARIOS</v>
      </c>
      <c r="V5850" s="3" t="str">
        <f>IF(Base_Periodo1[[#This Row],[Tipo_Linha]]="Fora do DRE","Fora do DRE","( "&amp;Base_Periodo1[[#This Row],[Tipo_Linha]]&amp;" ) "&amp;Base_Periodo1[[#This Row],[Filtro]])</f>
        <v>( - ) INSUMOS AGROPECUARIOS</v>
      </c>
      <c r="W5850" s="3" t="str">
        <f>LEFT(Base_Periodo1[[#This Row],[CLASS]],3)</f>
        <v>3.1</v>
      </c>
    </row>
    <row r="5851" spans="1:23" hidden="1">
      <c r="A5851" s="3" t="str">
        <f t="shared" si="91"/>
        <v>Período 1</v>
      </c>
      <c r="B5851">
        <v>1856</v>
      </c>
      <c r="C5851" t="s">
        <v>3588</v>
      </c>
      <c r="D5851" t="s">
        <v>1178</v>
      </c>
      <c r="E5851" s="3" t="str">
        <f>IF(LEN(Base_Periodo1[[#This Row],[CLASS]])&gt;=7,LEFT(Base_Periodo1[[#This Row],[CLASS]],7),"")</f>
        <v>3.1.1.1</v>
      </c>
      <c r="F5851" s="3" t="e">
        <f>VLOOKUP(Base_Periodo1[[#This Row],[Aux]],Base_Contas_Balanco[#All],2,FALSE)</f>
        <v>#N/A</v>
      </c>
      <c r="G5851" s="1"/>
      <c r="H5851" s="281">
        <v>1804098.1100000886</v>
      </c>
      <c r="I5851" s="281">
        <v>89934.84</v>
      </c>
      <c r="J5851" s="281">
        <v>92237.670000000013</v>
      </c>
      <c r="K5851" s="281">
        <v>1806400.9400000884</v>
      </c>
      <c r="L585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1806400.94</v>
      </c>
      <c r="M5851" s="281">
        <f>ROUND(IF(AND(Base_Periodo1[[#This Row],[Tipo_Linha]]="-",Base_Periodo1[[#This Row],[TIPOSALDO]]="D"),Base_Periodo1[[#This Row],[SALDO_ATUAL]]*-1,Base_Periodo1[[#This Row],[SALDO_ATUAL]]),4)</f>
        <v>1806400.94</v>
      </c>
      <c r="N5851" t="s">
        <v>396</v>
      </c>
      <c r="O5851" t="s">
        <v>459</v>
      </c>
      <c r="P5851" t="s">
        <v>459</v>
      </c>
      <c r="Q5851">
        <v>7</v>
      </c>
      <c r="R5851" s="281">
        <f>Base_Periodo1[[#This Row],[CREDITOS]]-Base_Periodo1[[#This Row],[DEBITOS]]</f>
        <v>2302.8300000000163</v>
      </c>
      <c r="S5851" s="3" t="str">
        <f>IF(ISERROR(VLOOKUP(Base_Periodo1[[#This Row],[CONTA]],BaseContasDRE[#All],4,FALSE)),"Fora do DRE",VLOOKUP(Base_Periodo1[[#This Row],[CONTA]],BaseContasDRE[#All],4,FALSE))</f>
        <v>Fora do DRE</v>
      </c>
      <c r="T5851" s="3" t="str">
        <f>IF(ISERROR(VLOOKUP(Base_Periodo1[[#This Row],[CONTA]],BaseContasDRE[#All],5,FALSE)),"Fora do DRE",VLOOKUP(Base_Periodo1[[#This Row],[CONTA]],BaseContasDRE[#All],6,FALSE))</f>
        <v>Fora do DRE</v>
      </c>
      <c r="U5851" s="3" t="str">
        <f>IF(ISERROR(VLOOKUP(Base_Periodo1[[#This Row],[CONTA]],BaseContasDRE[#All],7,FALSE)),"Fora do DRE",VLOOKUP(Base_Periodo1[[#This Row],[CONTA]],BaseContasDRE[#All],7,FALSE))</f>
        <v>Fora do DRE</v>
      </c>
      <c r="V5851" s="3" t="str">
        <f>IF(Base_Periodo1[[#This Row],[Tipo_Linha]]="Fora do DRE","Fora do DRE","( "&amp;Base_Periodo1[[#This Row],[Tipo_Linha]]&amp;" ) "&amp;Base_Periodo1[[#This Row],[Filtro]])</f>
        <v>Fora do DRE</v>
      </c>
      <c r="W5851" s="3" t="str">
        <f>LEFT(Base_Periodo1[[#This Row],[CLASS]],3)</f>
        <v>3.1</v>
      </c>
    </row>
    <row r="5852" spans="1:23" hidden="1">
      <c r="A5852" s="3" t="str">
        <f t="shared" si="91"/>
        <v>Período 1</v>
      </c>
      <c r="B5852">
        <v>1857</v>
      </c>
      <c r="C5852" t="s">
        <v>3589</v>
      </c>
      <c r="D5852" t="s">
        <v>3578</v>
      </c>
      <c r="E5852" s="3" t="str">
        <f>IF(LEN(Base_Periodo1[[#This Row],[CLASS]])&gt;=7,LEFT(Base_Periodo1[[#This Row],[CLASS]],7),"")</f>
        <v>3.1.1.1</v>
      </c>
      <c r="F5852" s="3" t="e">
        <f>VLOOKUP(Base_Periodo1[[#This Row],[Aux]],Base_Contas_Balanco[#All],2,FALSE)</f>
        <v>#N/A</v>
      </c>
      <c r="G5852" s="1"/>
      <c r="H5852" s="281">
        <v>5638489.6800000966</v>
      </c>
      <c r="I5852" s="281">
        <v>0</v>
      </c>
      <c r="J5852" s="281">
        <v>87355.950000000012</v>
      </c>
      <c r="K5852" s="281">
        <v>5725845.6300000967</v>
      </c>
      <c r="L585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5725845.6299999999</v>
      </c>
      <c r="M5852" s="281">
        <f>ROUND(IF(AND(Base_Periodo1[[#This Row],[Tipo_Linha]]="-",Base_Periodo1[[#This Row],[TIPOSALDO]]="D"),Base_Periodo1[[#This Row],[SALDO_ATUAL]]*-1,Base_Periodo1[[#This Row],[SALDO_ATUAL]]),4)</f>
        <v>5725845.6299999999</v>
      </c>
      <c r="N5852" t="s">
        <v>396</v>
      </c>
      <c r="O5852" t="s">
        <v>459</v>
      </c>
      <c r="P5852" t="s">
        <v>459</v>
      </c>
      <c r="Q5852">
        <v>8</v>
      </c>
      <c r="R5852" s="281">
        <f>Base_Periodo1[[#This Row],[CREDITOS]]-Base_Periodo1[[#This Row],[DEBITOS]]</f>
        <v>87355.950000000012</v>
      </c>
      <c r="S5852" s="3" t="str">
        <f>IF(ISERROR(VLOOKUP(Base_Periodo1[[#This Row],[CONTA]],BaseContasDRE[#All],4,FALSE)),"Fora do DRE",VLOOKUP(Base_Periodo1[[#This Row],[CONTA]],BaseContasDRE[#All],4,FALSE))</f>
        <v>Fora do DRE</v>
      </c>
      <c r="T5852" s="3" t="str">
        <f>IF(ISERROR(VLOOKUP(Base_Periodo1[[#This Row],[CONTA]],BaseContasDRE[#All],5,FALSE)),"Fora do DRE",VLOOKUP(Base_Periodo1[[#This Row],[CONTA]],BaseContasDRE[#All],6,FALSE))</f>
        <v>Fora do DRE</v>
      </c>
      <c r="U5852" s="3" t="str">
        <f>IF(ISERROR(VLOOKUP(Base_Periodo1[[#This Row],[CONTA]],BaseContasDRE[#All],7,FALSE)),"Fora do DRE",VLOOKUP(Base_Periodo1[[#This Row],[CONTA]],BaseContasDRE[#All],7,FALSE))</f>
        <v>Fora do DRE</v>
      </c>
      <c r="V5852" s="3" t="str">
        <f>IF(Base_Periodo1[[#This Row],[Tipo_Linha]]="Fora do DRE","Fora do DRE","( "&amp;Base_Periodo1[[#This Row],[Tipo_Linha]]&amp;" ) "&amp;Base_Periodo1[[#This Row],[Filtro]])</f>
        <v>Fora do DRE</v>
      </c>
      <c r="W5852" s="3" t="str">
        <f>LEFT(Base_Periodo1[[#This Row],[CLASS]],3)</f>
        <v>3.1</v>
      </c>
    </row>
    <row r="5853" spans="1:23" hidden="1">
      <c r="A5853" s="3" t="str">
        <f t="shared" si="91"/>
        <v>Período 1</v>
      </c>
      <c r="B5853">
        <v>1858</v>
      </c>
      <c r="C5853" t="s">
        <v>3590</v>
      </c>
      <c r="D5853" t="s">
        <v>3562</v>
      </c>
      <c r="E5853" s="3" t="str">
        <f>IF(LEN(Base_Periodo1[[#This Row],[CLASS]])&gt;=7,LEFT(Base_Periodo1[[#This Row],[CLASS]],7),"")</f>
        <v>3.1.1.1</v>
      </c>
      <c r="F5853" s="3" t="e">
        <f>VLOOKUP(Base_Periodo1[[#This Row],[Aux]],Base_Contas_Balanco[#All],2,FALSE)</f>
        <v>#N/A</v>
      </c>
      <c r="G5853" s="1">
        <v>42885</v>
      </c>
      <c r="H5853" s="281">
        <v>5638489.6800000966</v>
      </c>
      <c r="I5853" s="281">
        <v>0</v>
      </c>
      <c r="J5853" s="281">
        <v>87355.950000000012</v>
      </c>
      <c r="K5853" s="281">
        <v>5725845.6300000967</v>
      </c>
      <c r="L585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5725845.6299999999</v>
      </c>
      <c r="M5853" s="281">
        <f>ROUND(IF(AND(Base_Periodo1[[#This Row],[Tipo_Linha]]="-",Base_Periodo1[[#This Row],[TIPOSALDO]]="D"),Base_Periodo1[[#This Row],[SALDO_ATUAL]]*-1,Base_Periodo1[[#This Row],[SALDO_ATUAL]]),4)</f>
        <v>5725845.6299999999</v>
      </c>
      <c r="N5853" t="s">
        <v>116</v>
      </c>
      <c r="O5853" t="s">
        <v>459</v>
      </c>
      <c r="P5853" t="s">
        <v>459</v>
      </c>
      <c r="Q5853">
        <v>9</v>
      </c>
      <c r="R5853" s="281">
        <f>Base_Periodo1[[#This Row],[CREDITOS]]-Base_Periodo1[[#This Row],[DEBITOS]]</f>
        <v>87355.950000000012</v>
      </c>
      <c r="S5853" s="3" t="str">
        <f>IF(ISERROR(VLOOKUP(Base_Periodo1[[#This Row],[CONTA]],BaseContasDRE[#All],4,FALSE)),"Fora do DRE",VLOOKUP(Base_Periodo1[[#This Row],[CONTA]],BaseContasDRE[#All],4,FALSE))</f>
        <v>+</v>
      </c>
      <c r="T5853" s="3">
        <f>IF(ISERROR(VLOOKUP(Base_Periodo1[[#This Row],[CONTA]],BaseContasDRE[#All],5,FALSE)),"Fora do DRE",VLOOKUP(Base_Periodo1[[#This Row],[CONTA]],BaseContasDRE[#All],6,FALSE))</f>
        <v>1</v>
      </c>
      <c r="U5853" s="3" t="str">
        <f>IF(ISERROR(VLOOKUP(Base_Periodo1[[#This Row],[CONTA]],BaseContasDRE[#All],7,FALSE)),"Fora do DRE",VLOOKUP(Base_Periodo1[[#This Row],[CONTA]],BaseContasDRE[#All],7,FALSE))</f>
        <v>INSUMOS AGROPECUARIOS</v>
      </c>
      <c r="V5853" s="3" t="str">
        <f>IF(Base_Periodo1[[#This Row],[Tipo_Linha]]="Fora do DRE","Fora do DRE","( "&amp;Base_Periodo1[[#This Row],[Tipo_Linha]]&amp;" ) "&amp;Base_Periodo1[[#This Row],[Filtro]])</f>
        <v>( + ) INSUMOS AGROPECUARIOS</v>
      </c>
      <c r="W5853" s="3" t="str">
        <f>LEFT(Base_Periodo1[[#This Row],[CLASS]],3)</f>
        <v>3.1</v>
      </c>
    </row>
    <row r="5854" spans="1:23" hidden="1">
      <c r="A5854" s="3" t="str">
        <f t="shared" si="91"/>
        <v>Período 1</v>
      </c>
      <c r="B5854">
        <v>1859</v>
      </c>
      <c r="C5854" t="s">
        <v>6584</v>
      </c>
      <c r="D5854" t="s">
        <v>3591</v>
      </c>
      <c r="E5854" s="3" t="str">
        <f>IF(LEN(Base_Periodo1[[#This Row],[CLASS]])&gt;=7,LEFT(Base_Periodo1[[#This Row],[CLASS]],7),"")</f>
        <v>3.1.1.1</v>
      </c>
      <c r="F5854" s="3" t="e">
        <f>VLOOKUP(Base_Periodo1[[#This Row],[Aux]],Base_Contas_Balanco[#All],2,FALSE)</f>
        <v>#N/A</v>
      </c>
      <c r="G5854" s="1"/>
      <c r="H5854" s="281">
        <v>412645.59999999986</v>
      </c>
      <c r="I5854" s="281">
        <v>0</v>
      </c>
      <c r="J5854" s="281">
        <v>0</v>
      </c>
      <c r="K5854" s="281">
        <v>412645.59999999986</v>
      </c>
      <c r="L585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412645.6</v>
      </c>
      <c r="M5854" s="281">
        <f>ROUND(IF(AND(Base_Periodo1[[#This Row],[Tipo_Linha]]="-",Base_Periodo1[[#This Row],[TIPOSALDO]]="D"),Base_Periodo1[[#This Row],[SALDO_ATUAL]]*-1,Base_Periodo1[[#This Row],[SALDO_ATUAL]]),4)</f>
        <v>412645.6</v>
      </c>
      <c r="N5854" t="s">
        <v>396</v>
      </c>
      <c r="O5854" t="s">
        <v>459</v>
      </c>
      <c r="P5854" t="s">
        <v>459</v>
      </c>
      <c r="Q5854">
        <v>8</v>
      </c>
      <c r="R5854" s="281">
        <f>Base_Periodo1[[#This Row],[CREDITOS]]-Base_Periodo1[[#This Row],[DEBITOS]]</f>
        <v>0</v>
      </c>
      <c r="S5854" s="3" t="str">
        <f>IF(ISERROR(VLOOKUP(Base_Periodo1[[#This Row],[CONTA]],BaseContasDRE[#All],4,FALSE)),"Fora do DRE",VLOOKUP(Base_Periodo1[[#This Row],[CONTA]],BaseContasDRE[#All],4,FALSE))</f>
        <v>Fora do DRE</v>
      </c>
      <c r="T5854" s="3" t="str">
        <f>IF(ISERROR(VLOOKUP(Base_Periodo1[[#This Row],[CONTA]],BaseContasDRE[#All],5,FALSE)),"Fora do DRE",VLOOKUP(Base_Periodo1[[#This Row],[CONTA]],BaseContasDRE[#All],6,FALSE))</f>
        <v>Fora do DRE</v>
      </c>
      <c r="U5854" s="3" t="str">
        <f>IF(ISERROR(VLOOKUP(Base_Periodo1[[#This Row],[CONTA]],BaseContasDRE[#All],7,FALSE)),"Fora do DRE",VLOOKUP(Base_Periodo1[[#This Row],[CONTA]],BaseContasDRE[#All],7,FALSE))</f>
        <v>Fora do DRE</v>
      </c>
      <c r="V5854" s="3" t="str">
        <f>IF(Base_Periodo1[[#This Row],[Tipo_Linha]]="Fora do DRE","Fora do DRE","( "&amp;Base_Periodo1[[#This Row],[Tipo_Linha]]&amp;" ) "&amp;Base_Periodo1[[#This Row],[Filtro]])</f>
        <v>Fora do DRE</v>
      </c>
      <c r="W5854" s="3" t="str">
        <f>LEFT(Base_Periodo1[[#This Row],[CLASS]],3)</f>
        <v>3.1</v>
      </c>
    </row>
    <row r="5855" spans="1:23" hidden="1">
      <c r="A5855" s="3" t="str">
        <f t="shared" si="91"/>
        <v>Período 1</v>
      </c>
      <c r="B5855">
        <v>1860</v>
      </c>
      <c r="C5855" t="s">
        <v>6585</v>
      </c>
      <c r="D5855" t="s">
        <v>3592</v>
      </c>
      <c r="E5855" s="3" t="str">
        <f>IF(LEN(Base_Periodo1[[#This Row],[CLASS]])&gt;=7,LEFT(Base_Periodo1[[#This Row],[CLASS]],7),"")</f>
        <v>3.1.1.1</v>
      </c>
      <c r="F5855" s="3" t="e">
        <f>VLOOKUP(Base_Periodo1[[#This Row],[Aux]],Base_Contas_Balanco[#All],2,FALSE)</f>
        <v>#N/A</v>
      </c>
      <c r="G5855" s="1">
        <v>42811</v>
      </c>
      <c r="H5855" s="281">
        <v>412645.59999999986</v>
      </c>
      <c r="I5855" s="281">
        <v>0</v>
      </c>
      <c r="J5855" s="281">
        <v>0</v>
      </c>
      <c r="K5855" s="281">
        <v>412645.59999999986</v>
      </c>
      <c r="L585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412645.6</v>
      </c>
      <c r="M5855" s="281">
        <f>ROUND(IF(AND(Base_Periodo1[[#This Row],[Tipo_Linha]]="-",Base_Periodo1[[#This Row],[TIPOSALDO]]="D"),Base_Periodo1[[#This Row],[SALDO_ATUAL]]*-1,Base_Periodo1[[#This Row],[SALDO_ATUAL]]),4)</f>
        <v>412645.6</v>
      </c>
      <c r="N5855" t="s">
        <v>116</v>
      </c>
      <c r="O5855" t="s">
        <v>459</v>
      </c>
      <c r="P5855" t="s">
        <v>459</v>
      </c>
      <c r="Q5855">
        <v>9</v>
      </c>
      <c r="R5855" s="281">
        <f>Base_Periodo1[[#This Row],[CREDITOS]]-Base_Periodo1[[#This Row],[DEBITOS]]</f>
        <v>0</v>
      </c>
      <c r="S5855" s="3" t="str">
        <f>IF(ISERROR(VLOOKUP(Base_Periodo1[[#This Row],[CONTA]],BaseContasDRE[#All],4,FALSE)),"Fora do DRE",VLOOKUP(Base_Periodo1[[#This Row],[CONTA]],BaseContasDRE[#All],4,FALSE))</f>
        <v>+</v>
      </c>
      <c r="T5855" s="3">
        <f>IF(ISERROR(VLOOKUP(Base_Periodo1[[#This Row],[CONTA]],BaseContasDRE[#All],5,FALSE)),"Fora do DRE",VLOOKUP(Base_Periodo1[[#This Row],[CONTA]],BaseContasDRE[#All],6,FALSE))</f>
        <v>1</v>
      </c>
      <c r="U5855" s="3" t="str">
        <f>IF(ISERROR(VLOOKUP(Base_Periodo1[[#This Row],[CONTA]],BaseContasDRE[#All],7,FALSE)),"Fora do DRE",VLOOKUP(Base_Periodo1[[#This Row],[CONTA]],BaseContasDRE[#All],7,FALSE))</f>
        <v>BONIFICAÇÕES RECEBIDAS</v>
      </c>
      <c r="V5855" s="3" t="str">
        <f>IF(Base_Periodo1[[#This Row],[Tipo_Linha]]="Fora do DRE","Fora do DRE","( "&amp;Base_Periodo1[[#This Row],[Tipo_Linha]]&amp;" ) "&amp;Base_Periodo1[[#This Row],[Filtro]])</f>
        <v>( + ) BONIFICAÇÕES RECEBIDAS</v>
      </c>
      <c r="W5855" s="3" t="str">
        <f>LEFT(Base_Periodo1[[#This Row],[CLASS]],3)</f>
        <v>3.1</v>
      </c>
    </row>
    <row r="5856" spans="1:23" hidden="1">
      <c r="A5856" s="3" t="str">
        <f t="shared" si="91"/>
        <v>Período 1</v>
      </c>
      <c r="B5856">
        <v>1861</v>
      </c>
      <c r="C5856" t="s">
        <v>3593</v>
      </c>
      <c r="D5856" t="s">
        <v>3563</v>
      </c>
      <c r="E5856" s="3" t="str">
        <f>IF(LEN(Base_Periodo1[[#This Row],[CLASS]])&gt;=7,LEFT(Base_Periodo1[[#This Row],[CLASS]],7),"")</f>
        <v>3.1.1.1</v>
      </c>
      <c r="F5856" s="3" t="e">
        <f>VLOOKUP(Base_Periodo1[[#This Row],[Aux]],Base_Contas_Balanco[#All],2,FALSE)</f>
        <v>#N/A</v>
      </c>
      <c r="G5856" s="1"/>
      <c r="H5856" s="281">
        <v>80408.510000000475</v>
      </c>
      <c r="I5856" s="281">
        <v>14228.34</v>
      </c>
      <c r="J5856" s="281">
        <v>0</v>
      </c>
      <c r="K5856" s="281">
        <v>94636.850000000471</v>
      </c>
      <c r="L585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-94636.85</v>
      </c>
      <c r="M5856" s="281">
        <f>ROUND(IF(AND(Base_Periodo1[[#This Row],[Tipo_Linha]]="-",Base_Periodo1[[#This Row],[TIPOSALDO]]="D"),Base_Periodo1[[#This Row],[SALDO_ATUAL]]*-1,Base_Periodo1[[#This Row],[SALDO_ATUAL]]),4)</f>
        <v>94636.85</v>
      </c>
      <c r="N5856" t="s">
        <v>396</v>
      </c>
      <c r="O5856" t="s">
        <v>397</v>
      </c>
      <c r="P5856" t="s">
        <v>397</v>
      </c>
      <c r="Q5856">
        <v>8</v>
      </c>
      <c r="R5856" s="281">
        <f>Base_Periodo1[[#This Row],[CREDITOS]]-Base_Periodo1[[#This Row],[DEBITOS]]</f>
        <v>-14228.34</v>
      </c>
      <c r="S5856" s="3" t="str">
        <f>IF(ISERROR(VLOOKUP(Base_Periodo1[[#This Row],[CONTA]],BaseContasDRE[#All],4,FALSE)),"Fora do DRE",VLOOKUP(Base_Periodo1[[#This Row],[CONTA]],BaseContasDRE[#All],4,FALSE))</f>
        <v>Fora do DRE</v>
      </c>
      <c r="T5856" s="3" t="str">
        <f>IF(ISERROR(VLOOKUP(Base_Periodo1[[#This Row],[CONTA]],BaseContasDRE[#All],5,FALSE)),"Fora do DRE",VLOOKUP(Base_Periodo1[[#This Row],[CONTA]],BaseContasDRE[#All],6,FALSE))</f>
        <v>Fora do DRE</v>
      </c>
      <c r="U5856" s="3" t="str">
        <f>IF(ISERROR(VLOOKUP(Base_Periodo1[[#This Row],[CONTA]],BaseContasDRE[#All],7,FALSE)),"Fora do DRE",VLOOKUP(Base_Periodo1[[#This Row],[CONTA]],BaseContasDRE[#All],7,FALSE))</f>
        <v>Fora do DRE</v>
      </c>
      <c r="V5856" s="3" t="str">
        <f>IF(Base_Periodo1[[#This Row],[Tipo_Linha]]="Fora do DRE","Fora do DRE","( "&amp;Base_Periodo1[[#This Row],[Tipo_Linha]]&amp;" ) "&amp;Base_Periodo1[[#This Row],[Filtro]])</f>
        <v>Fora do DRE</v>
      </c>
      <c r="W5856" s="3" t="str">
        <f>LEFT(Base_Periodo1[[#This Row],[CLASS]],3)</f>
        <v>3.1</v>
      </c>
    </row>
    <row r="5857" spans="1:23" hidden="1">
      <c r="A5857" s="3" t="str">
        <f t="shared" si="91"/>
        <v>Período 1</v>
      </c>
      <c r="B5857">
        <v>1862</v>
      </c>
      <c r="C5857" t="s">
        <v>3594</v>
      </c>
      <c r="D5857" t="s">
        <v>3564</v>
      </c>
      <c r="E5857" s="3" t="str">
        <f>IF(LEN(Base_Periodo1[[#This Row],[CLASS]])&gt;=7,LEFT(Base_Periodo1[[#This Row],[CLASS]],7),"")</f>
        <v>3.1.1.1</v>
      </c>
      <c r="F5857" s="3" t="e">
        <f>VLOOKUP(Base_Periodo1[[#This Row],[Aux]],Base_Contas_Balanco[#All],2,FALSE)</f>
        <v>#N/A</v>
      </c>
      <c r="G5857" s="1">
        <v>42884</v>
      </c>
      <c r="H5857" s="281">
        <v>80408.510000000475</v>
      </c>
      <c r="I5857" s="281">
        <v>14228.34</v>
      </c>
      <c r="J5857" s="281">
        <v>0</v>
      </c>
      <c r="K5857" s="281">
        <v>94636.850000000471</v>
      </c>
      <c r="L585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-94636.85</v>
      </c>
      <c r="M5857" s="281">
        <f>ROUND(IF(AND(Base_Periodo1[[#This Row],[Tipo_Linha]]="-",Base_Periodo1[[#This Row],[TIPOSALDO]]="D"),Base_Periodo1[[#This Row],[SALDO_ATUAL]]*-1,Base_Periodo1[[#This Row],[SALDO_ATUAL]]),4)</f>
        <v>-94636.85</v>
      </c>
      <c r="N5857" t="s">
        <v>116</v>
      </c>
      <c r="O5857" t="s">
        <v>397</v>
      </c>
      <c r="P5857" t="s">
        <v>397</v>
      </c>
      <c r="Q5857">
        <v>9</v>
      </c>
      <c r="R5857" s="281">
        <f>Base_Periodo1[[#This Row],[CREDITOS]]-Base_Periodo1[[#This Row],[DEBITOS]]</f>
        <v>-14228.34</v>
      </c>
      <c r="S5857" s="3" t="str">
        <f>IF(ISERROR(VLOOKUP(Base_Periodo1[[#This Row],[CONTA]],BaseContasDRE[#All],4,FALSE)),"Fora do DRE",VLOOKUP(Base_Periodo1[[#This Row],[CONTA]],BaseContasDRE[#All],4,FALSE))</f>
        <v>-</v>
      </c>
      <c r="T5857" s="3">
        <f>IF(ISERROR(VLOOKUP(Base_Periodo1[[#This Row],[CONTA]],BaseContasDRE[#All],5,FALSE)),"Fora do DRE",VLOOKUP(Base_Periodo1[[#This Row],[CONTA]],BaseContasDRE[#All],6,FALSE))</f>
        <v>2</v>
      </c>
      <c r="U5857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857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857" s="3" t="str">
        <f>LEFT(Base_Periodo1[[#This Row],[CLASS]],3)</f>
        <v>3.1</v>
      </c>
    </row>
    <row r="5858" spans="1:23" hidden="1">
      <c r="A5858" s="3" t="str">
        <f t="shared" si="91"/>
        <v>Período 1</v>
      </c>
      <c r="B5858">
        <v>1863</v>
      </c>
      <c r="C5858" t="s">
        <v>3595</v>
      </c>
      <c r="D5858" t="s">
        <v>3583</v>
      </c>
      <c r="E5858" s="3" t="str">
        <f>IF(LEN(Base_Periodo1[[#This Row],[CLASS]])&gt;=7,LEFT(Base_Periodo1[[#This Row],[CLASS]],7),"")</f>
        <v>3.1.1.1</v>
      </c>
      <c r="F5858" s="3" t="e">
        <f>VLOOKUP(Base_Periodo1[[#This Row],[Aux]],Base_Contas_Balanco[#All],2,FALSE)</f>
        <v>#N/A</v>
      </c>
      <c r="G5858" s="1"/>
      <c r="H5858" s="281">
        <v>926.48000000001775</v>
      </c>
      <c r="I5858" s="281">
        <v>0</v>
      </c>
      <c r="J5858" s="281">
        <v>0</v>
      </c>
      <c r="K5858" s="281">
        <v>926.48000000001775</v>
      </c>
      <c r="L585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-926.48</v>
      </c>
      <c r="M5858" s="281">
        <f>ROUND(IF(AND(Base_Periodo1[[#This Row],[Tipo_Linha]]="-",Base_Periodo1[[#This Row],[TIPOSALDO]]="D"),Base_Periodo1[[#This Row],[SALDO_ATUAL]]*-1,Base_Periodo1[[#This Row],[SALDO_ATUAL]]),4)</f>
        <v>926.48</v>
      </c>
      <c r="N5858" t="s">
        <v>396</v>
      </c>
      <c r="O5858" t="s">
        <v>397</v>
      </c>
      <c r="P5858" t="s">
        <v>397</v>
      </c>
      <c r="Q5858">
        <v>8</v>
      </c>
      <c r="R5858" s="281">
        <f>Base_Periodo1[[#This Row],[CREDITOS]]-Base_Periodo1[[#This Row],[DEBITOS]]</f>
        <v>0</v>
      </c>
      <c r="S5858" s="3" t="str">
        <f>IF(ISERROR(VLOOKUP(Base_Periodo1[[#This Row],[CONTA]],BaseContasDRE[#All],4,FALSE)),"Fora do DRE",VLOOKUP(Base_Periodo1[[#This Row],[CONTA]],BaseContasDRE[#All],4,FALSE))</f>
        <v>Fora do DRE</v>
      </c>
      <c r="T5858" s="3" t="str">
        <f>IF(ISERROR(VLOOKUP(Base_Periodo1[[#This Row],[CONTA]],BaseContasDRE[#All],5,FALSE)),"Fora do DRE",VLOOKUP(Base_Periodo1[[#This Row],[CONTA]],BaseContasDRE[#All],6,FALSE))</f>
        <v>Fora do DRE</v>
      </c>
      <c r="U5858" s="3" t="str">
        <f>IF(ISERROR(VLOOKUP(Base_Periodo1[[#This Row],[CONTA]],BaseContasDRE[#All],7,FALSE)),"Fora do DRE",VLOOKUP(Base_Periodo1[[#This Row],[CONTA]],BaseContasDRE[#All],7,FALSE))</f>
        <v>Fora do DRE</v>
      </c>
      <c r="V5858" s="3" t="str">
        <f>IF(Base_Periodo1[[#This Row],[Tipo_Linha]]="Fora do DRE","Fora do DRE","( "&amp;Base_Periodo1[[#This Row],[Tipo_Linha]]&amp;" ) "&amp;Base_Periodo1[[#This Row],[Filtro]])</f>
        <v>Fora do DRE</v>
      </c>
      <c r="W5858" s="3" t="str">
        <f>LEFT(Base_Periodo1[[#This Row],[CLASS]],3)</f>
        <v>3.1</v>
      </c>
    </row>
    <row r="5859" spans="1:23" hidden="1">
      <c r="A5859" s="3" t="str">
        <f t="shared" si="91"/>
        <v>Período 1</v>
      </c>
      <c r="B5859">
        <v>1864</v>
      </c>
      <c r="C5859" t="s">
        <v>3596</v>
      </c>
      <c r="D5859" t="s">
        <v>3566</v>
      </c>
      <c r="E5859" s="3" t="str">
        <f>IF(LEN(Base_Periodo1[[#This Row],[CLASS]])&gt;=7,LEFT(Base_Periodo1[[#This Row],[CLASS]],7),"")</f>
        <v>3.1.1.1</v>
      </c>
      <c r="F5859" s="3" t="e">
        <f>VLOOKUP(Base_Periodo1[[#This Row],[Aux]],Base_Contas_Balanco[#All],2,FALSE)</f>
        <v>#N/A</v>
      </c>
      <c r="G5859" s="1">
        <v>42819</v>
      </c>
      <c r="H5859" s="281">
        <v>926.48000000001775</v>
      </c>
      <c r="I5859" s="281">
        <v>0</v>
      </c>
      <c r="J5859" s="281">
        <v>0</v>
      </c>
      <c r="K5859" s="281">
        <v>926.48000000001775</v>
      </c>
      <c r="L585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-926.48</v>
      </c>
      <c r="M5859" s="281">
        <f>ROUND(IF(AND(Base_Periodo1[[#This Row],[Tipo_Linha]]="-",Base_Periodo1[[#This Row],[TIPOSALDO]]="D"),Base_Periodo1[[#This Row],[SALDO_ATUAL]]*-1,Base_Periodo1[[#This Row],[SALDO_ATUAL]]),4)</f>
        <v>-926.48</v>
      </c>
      <c r="N5859" t="s">
        <v>116</v>
      </c>
      <c r="O5859" t="s">
        <v>397</v>
      </c>
      <c r="P5859" t="s">
        <v>397</v>
      </c>
      <c r="Q5859">
        <v>9</v>
      </c>
      <c r="R5859" s="281">
        <f>Base_Periodo1[[#This Row],[CREDITOS]]-Base_Periodo1[[#This Row],[DEBITOS]]</f>
        <v>0</v>
      </c>
      <c r="S5859" s="3" t="str">
        <f>IF(ISERROR(VLOOKUP(Base_Periodo1[[#This Row],[CONTA]],BaseContasDRE[#All],4,FALSE)),"Fora do DRE",VLOOKUP(Base_Periodo1[[#This Row],[CONTA]],BaseContasDRE[#All],4,FALSE))</f>
        <v>-</v>
      </c>
      <c r="T5859" s="3">
        <f>IF(ISERROR(VLOOKUP(Base_Periodo1[[#This Row],[CONTA]],BaseContasDRE[#All],5,FALSE)),"Fora do DRE",VLOOKUP(Base_Periodo1[[#This Row],[CONTA]],BaseContasDRE[#All],6,FALSE))</f>
        <v>2</v>
      </c>
      <c r="U5859" s="3" t="str">
        <f>IF(ISERROR(VLOOKUP(Base_Periodo1[[#This Row],[CONTA]],BaseContasDRE[#All],7,FALSE)),"Fora do DRE",VLOOKUP(Base_Periodo1[[#This Row],[CONTA]],BaseContasDRE[#All],7,FALSE))</f>
        <v>ICMS SOBRE INGRESSOS E RECEITAS</v>
      </c>
      <c r="V5859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5859" s="3" t="str">
        <f>LEFT(Base_Periodo1[[#This Row],[CLASS]],3)</f>
        <v>3.1</v>
      </c>
    </row>
    <row r="5860" spans="1:23" hidden="1">
      <c r="A5860" s="3" t="str">
        <f t="shared" si="91"/>
        <v>Período 1</v>
      </c>
      <c r="B5860">
        <v>1865</v>
      </c>
      <c r="C5860" t="s">
        <v>3597</v>
      </c>
      <c r="D5860" t="s">
        <v>3567</v>
      </c>
      <c r="E5860" s="3" t="str">
        <f>IF(LEN(Base_Periodo1[[#This Row],[CLASS]])&gt;=7,LEFT(Base_Periodo1[[#This Row],[CLASS]],7),"")</f>
        <v>3.1.1.1</v>
      </c>
      <c r="F5860" s="3" t="e">
        <f>VLOOKUP(Base_Periodo1[[#This Row],[Aux]],Base_Contas_Balanco[#All],2,FALSE)</f>
        <v>#N/A</v>
      </c>
      <c r="G5860" s="1"/>
      <c r="H5860" s="281">
        <v>4165702.1800000072</v>
      </c>
      <c r="I5860" s="281">
        <v>75706.5</v>
      </c>
      <c r="J5860" s="281">
        <v>4881.72</v>
      </c>
      <c r="K5860" s="281">
        <v>4236526.9600000074</v>
      </c>
      <c r="L586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-4236526.96</v>
      </c>
      <c r="M5860" s="281">
        <f>ROUND(IF(AND(Base_Periodo1[[#This Row],[Tipo_Linha]]="-",Base_Periodo1[[#This Row],[TIPOSALDO]]="D"),Base_Periodo1[[#This Row],[SALDO_ATUAL]]*-1,Base_Periodo1[[#This Row],[SALDO_ATUAL]]),4)</f>
        <v>4236526.96</v>
      </c>
      <c r="N5860" t="s">
        <v>396</v>
      </c>
      <c r="O5860" t="s">
        <v>397</v>
      </c>
      <c r="P5860" t="s">
        <v>397</v>
      </c>
      <c r="Q5860">
        <v>8</v>
      </c>
      <c r="R5860" s="281">
        <f>Base_Periodo1[[#This Row],[CREDITOS]]-Base_Periodo1[[#This Row],[DEBITOS]]</f>
        <v>-70824.78</v>
      </c>
      <c r="S5860" s="3" t="str">
        <f>IF(ISERROR(VLOOKUP(Base_Periodo1[[#This Row],[CONTA]],BaseContasDRE[#All],4,FALSE)),"Fora do DRE",VLOOKUP(Base_Periodo1[[#This Row],[CONTA]],BaseContasDRE[#All],4,FALSE))</f>
        <v>Fora do DRE</v>
      </c>
      <c r="T5860" s="3" t="str">
        <f>IF(ISERROR(VLOOKUP(Base_Periodo1[[#This Row],[CONTA]],BaseContasDRE[#All],5,FALSE)),"Fora do DRE",VLOOKUP(Base_Periodo1[[#This Row],[CONTA]],BaseContasDRE[#All],6,FALSE))</f>
        <v>Fora do DRE</v>
      </c>
      <c r="U5860" s="3" t="str">
        <f>IF(ISERROR(VLOOKUP(Base_Periodo1[[#This Row],[CONTA]],BaseContasDRE[#All],7,FALSE)),"Fora do DRE",VLOOKUP(Base_Periodo1[[#This Row],[CONTA]],BaseContasDRE[#All],7,FALSE))</f>
        <v>Fora do DRE</v>
      </c>
      <c r="V5860" s="3" t="str">
        <f>IF(Base_Periodo1[[#This Row],[Tipo_Linha]]="Fora do DRE","Fora do DRE","( "&amp;Base_Periodo1[[#This Row],[Tipo_Linha]]&amp;" ) "&amp;Base_Periodo1[[#This Row],[Filtro]])</f>
        <v>Fora do DRE</v>
      </c>
      <c r="W5860" s="3" t="str">
        <f>LEFT(Base_Periodo1[[#This Row],[CLASS]],3)</f>
        <v>3.1</v>
      </c>
    </row>
    <row r="5861" spans="1:23" hidden="1">
      <c r="A5861" s="3" t="str">
        <f t="shared" si="91"/>
        <v>Período 1</v>
      </c>
      <c r="B5861">
        <v>1866</v>
      </c>
      <c r="C5861" t="s">
        <v>3598</v>
      </c>
      <c r="D5861" t="s">
        <v>3568</v>
      </c>
      <c r="E5861" s="3" t="str">
        <f>IF(LEN(Base_Periodo1[[#This Row],[CLASS]])&gt;=7,LEFT(Base_Periodo1[[#This Row],[CLASS]],7),"")</f>
        <v>3.1.1.1</v>
      </c>
      <c r="F5861" s="3" t="e">
        <f>VLOOKUP(Base_Periodo1[[#This Row],[Aux]],Base_Contas_Balanco[#All],2,FALSE)</f>
        <v>#N/A</v>
      </c>
      <c r="G5861" s="1">
        <v>42886</v>
      </c>
      <c r="H5861" s="281">
        <v>4165702.1800000072</v>
      </c>
      <c r="I5861" s="281">
        <v>75706.5</v>
      </c>
      <c r="J5861" s="281">
        <v>4881.72</v>
      </c>
      <c r="K5861" s="281">
        <v>4236526.9600000074</v>
      </c>
      <c r="L586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-4236526.96</v>
      </c>
      <c r="M5861" s="281">
        <f>ROUND(IF(AND(Base_Periodo1[[#This Row],[Tipo_Linha]]="-",Base_Periodo1[[#This Row],[TIPOSALDO]]="D"),Base_Periodo1[[#This Row],[SALDO_ATUAL]]*-1,Base_Periodo1[[#This Row],[SALDO_ATUAL]]),4)</f>
        <v>-4236526.96</v>
      </c>
      <c r="N5861" t="s">
        <v>116</v>
      </c>
      <c r="O5861" t="s">
        <v>397</v>
      </c>
      <c r="P5861" t="s">
        <v>397</v>
      </c>
      <c r="Q5861">
        <v>9</v>
      </c>
      <c r="R5861" s="281">
        <f>Base_Periodo1[[#This Row],[CREDITOS]]-Base_Periodo1[[#This Row],[DEBITOS]]</f>
        <v>-70824.78</v>
      </c>
      <c r="S5861" s="3" t="str">
        <f>IF(ISERROR(VLOOKUP(Base_Periodo1[[#This Row],[CONTA]],BaseContasDRE[#All],4,FALSE)),"Fora do DRE",VLOOKUP(Base_Periodo1[[#This Row],[CONTA]],BaseContasDRE[#All],4,FALSE))</f>
        <v>-</v>
      </c>
      <c r="T5861" s="3">
        <f>IF(ISERROR(VLOOKUP(Base_Periodo1[[#This Row],[CONTA]],BaseContasDRE[#All],5,FALSE)),"Fora do DRE",VLOOKUP(Base_Periodo1[[#This Row],[CONTA]],BaseContasDRE[#All],6,FALSE))</f>
        <v>3</v>
      </c>
      <c r="U5861" s="3" t="str">
        <f>IF(ISERROR(VLOOKUP(Base_Periodo1[[#This Row],[CONTA]],BaseContasDRE[#All],7,FALSE)),"Fora do DRE",VLOOKUP(Base_Periodo1[[#This Row],[CONTA]],BaseContasDRE[#All],7,FALSE))</f>
        <v>INSUMOS AGROPECUARIOS</v>
      </c>
      <c r="V5861" s="3" t="str">
        <f>IF(Base_Periodo1[[#This Row],[Tipo_Linha]]="Fora do DRE","Fora do DRE","( "&amp;Base_Periodo1[[#This Row],[Tipo_Linha]]&amp;" ) "&amp;Base_Periodo1[[#This Row],[Filtro]])</f>
        <v>( - ) INSUMOS AGROPECUARIOS</v>
      </c>
      <c r="W5861" s="3" t="str">
        <f>LEFT(Base_Periodo1[[#This Row],[CLASS]],3)</f>
        <v>3.1</v>
      </c>
    </row>
    <row r="5862" spans="1:23" hidden="1">
      <c r="A5862" s="3" t="str">
        <f t="shared" si="91"/>
        <v>Período 1</v>
      </c>
      <c r="B5862">
        <v>1867</v>
      </c>
      <c r="C5862" t="s">
        <v>3599</v>
      </c>
      <c r="D5862" t="s">
        <v>1194</v>
      </c>
      <c r="E5862" s="3" t="str">
        <f>IF(LEN(Base_Periodo1[[#This Row],[CLASS]])&gt;=7,LEFT(Base_Periodo1[[#This Row],[CLASS]],7),"")</f>
        <v>3.1.1.1</v>
      </c>
      <c r="F5862" s="3" t="e">
        <f>VLOOKUP(Base_Periodo1[[#This Row],[Aux]],Base_Contas_Balanco[#All],2,FALSE)</f>
        <v>#N/A</v>
      </c>
      <c r="G5862" s="1"/>
      <c r="H5862" s="281">
        <v>3449663.7999997409</v>
      </c>
      <c r="I5862" s="281">
        <v>318171.98000000004</v>
      </c>
      <c r="J5862" s="281">
        <v>434696.82</v>
      </c>
      <c r="K5862" s="281">
        <v>3566188.6399997408</v>
      </c>
      <c r="L586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3566188.64</v>
      </c>
      <c r="M5862" s="281">
        <f>ROUND(IF(AND(Base_Periodo1[[#This Row],[Tipo_Linha]]="-",Base_Periodo1[[#This Row],[TIPOSALDO]]="D"),Base_Periodo1[[#This Row],[SALDO_ATUAL]]*-1,Base_Periodo1[[#This Row],[SALDO_ATUAL]]),4)</f>
        <v>3566188.64</v>
      </c>
      <c r="N5862" t="s">
        <v>396</v>
      </c>
      <c r="O5862" t="s">
        <v>459</v>
      </c>
      <c r="P5862" t="s">
        <v>459</v>
      </c>
      <c r="Q5862">
        <v>7</v>
      </c>
      <c r="R5862" s="281">
        <f>Base_Periodo1[[#This Row],[CREDITOS]]-Base_Periodo1[[#This Row],[DEBITOS]]</f>
        <v>116524.83999999997</v>
      </c>
      <c r="S5862" s="3" t="str">
        <f>IF(ISERROR(VLOOKUP(Base_Periodo1[[#This Row],[CONTA]],BaseContasDRE[#All],4,FALSE)),"Fora do DRE",VLOOKUP(Base_Periodo1[[#This Row],[CONTA]],BaseContasDRE[#All],4,FALSE))</f>
        <v>Fora do DRE</v>
      </c>
      <c r="T5862" s="3" t="str">
        <f>IF(ISERROR(VLOOKUP(Base_Periodo1[[#This Row],[CONTA]],BaseContasDRE[#All],5,FALSE)),"Fora do DRE",VLOOKUP(Base_Periodo1[[#This Row],[CONTA]],BaseContasDRE[#All],6,FALSE))</f>
        <v>Fora do DRE</v>
      </c>
      <c r="U5862" s="3" t="str">
        <f>IF(ISERROR(VLOOKUP(Base_Periodo1[[#This Row],[CONTA]],BaseContasDRE[#All],7,FALSE)),"Fora do DRE",VLOOKUP(Base_Periodo1[[#This Row],[CONTA]],BaseContasDRE[#All],7,FALSE))</f>
        <v>Fora do DRE</v>
      </c>
      <c r="V5862" s="3" t="str">
        <f>IF(Base_Periodo1[[#This Row],[Tipo_Linha]]="Fora do DRE","Fora do DRE","( "&amp;Base_Periodo1[[#This Row],[Tipo_Linha]]&amp;" ) "&amp;Base_Periodo1[[#This Row],[Filtro]])</f>
        <v>Fora do DRE</v>
      </c>
      <c r="W5862" s="3" t="str">
        <f>LEFT(Base_Periodo1[[#This Row],[CLASS]],3)</f>
        <v>3.1</v>
      </c>
    </row>
    <row r="5863" spans="1:23" hidden="1">
      <c r="A5863" s="3" t="str">
        <f t="shared" si="91"/>
        <v>Período 1</v>
      </c>
      <c r="B5863">
        <v>1868</v>
      </c>
      <c r="C5863" t="s">
        <v>3600</v>
      </c>
      <c r="D5863" t="s">
        <v>3578</v>
      </c>
      <c r="E5863" s="3" t="str">
        <f>IF(LEN(Base_Periodo1[[#This Row],[CLASS]])&gt;=7,LEFT(Base_Periodo1[[#This Row],[CLASS]],7),"")</f>
        <v>3.1.1.1</v>
      </c>
      <c r="F5863" s="3" t="e">
        <f>VLOOKUP(Base_Periodo1[[#This Row],[Aux]],Base_Contas_Balanco[#All],2,FALSE)</f>
        <v>#N/A</v>
      </c>
      <c r="G5863" s="1"/>
      <c r="H5863" s="281">
        <v>12886741.349999741</v>
      </c>
      <c r="I5863" s="281">
        <v>0</v>
      </c>
      <c r="J5863" s="281">
        <v>434696.82</v>
      </c>
      <c r="K5863" s="281">
        <v>13321438.169999741</v>
      </c>
      <c r="L586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13321438.17</v>
      </c>
      <c r="M5863" s="281">
        <f>ROUND(IF(AND(Base_Periodo1[[#This Row],[Tipo_Linha]]="-",Base_Periodo1[[#This Row],[TIPOSALDO]]="D"),Base_Periodo1[[#This Row],[SALDO_ATUAL]]*-1,Base_Periodo1[[#This Row],[SALDO_ATUAL]]),4)</f>
        <v>13321438.17</v>
      </c>
      <c r="N5863" t="s">
        <v>396</v>
      </c>
      <c r="O5863" t="s">
        <v>459</v>
      </c>
      <c r="P5863" t="s">
        <v>459</v>
      </c>
      <c r="Q5863">
        <v>8</v>
      </c>
      <c r="R5863" s="281">
        <f>Base_Periodo1[[#This Row],[CREDITOS]]-Base_Periodo1[[#This Row],[DEBITOS]]</f>
        <v>434696.82</v>
      </c>
      <c r="S5863" s="3" t="str">
        <f>IF(ISERROR(VLOOKUP(Base_Periodo1[[#This Row],[CONTA]],BaseContasDRE[#All],4,FALSE)),"Fora do DRE",VLOOKUP(Base_Periodo1[[#This Row],[CONTA]],BaseContasDRE[#All],4,FALSE))</f>
        <v>Fora do DRE</v>
      </c>
      <c r="T5863" s="3" t="str">
        <f>IF(ISERROR(VLOOKUP(Base_Periodo1[[#This Row],[CONTA]],BaseContasDRE[#All],5,FALSE)),"Fora do DRE",VLOOKUP(Base_Periodo1[[#This Row],[CONTA]],BaseContasDRE[#All],6,FALSE))</f>
        <v>Fora do DRE</v>
      </c>
      <c r="U5863" s="3" t="str">
        <f>IF(ISERROR(VLOOKUP(Base_Periodo1[[#This Row],[CONTA]],BaseContasDRE[#All],7,FALSE)),"Fora do DRE",VLOOKUP(Base_Periodo1[[#This Row],[CONTA]],BaseContasDRE[#All],7,FALSE))</f>
        <v>Fora do DRE</v>
      </c>
      <c r="V5863" s="3" t="str">
        <f>IF(Base_Periodo1[[#This Row],[Tipo_Linha]]="Fora do DRE","Fora do DRE","( "&amp;Base_Periodo1[[#This Row],[Tipo_Linha]]&amp;" ) "&amp;Base_Periodo1[[#This Row],[Filtro]])</f>
        <v>Fora do DRE</v>
      </c>
      <c r="W5863" s="3" t="str">
        <f>LEFT(Base_Periodo1[[#This Row],[CLASS]],3)</f>
        <v>3.1</v>
      </c>
    </row>
    <row r="5864" spans="1:23" hidden="1">
      <c r="A5864" s="3" t="str">
        <f t="shared" si="91"/>
        <v>Período 1</v>
      </c>
      <c r="B5864">
        <v>1869</v>
      </c>
      <c r="C5864" t="s">
        <v>3601</v>
      </c>
      <c r="D5864" t="s">
        <v>3562</v>
      </c>
      <c r="E5864" s="3" t="str">
        <f>IF(LEN(Base_Periodo1[[#This Row],[CLASS]])&gt;=7,LEFT(Base_Periodo1[[#This Row],[CLASS]],7),"")</f>
        <v>3.1.1.1</v>
      </c>
      <c r="F5864" s="3" t="e">
        <f>VLOOKUP(Base_Periodo1[[#This Row],[Aux]],Base_Contas_Balanco[#All],2,FALSE)</f>
        <v>#N/A</v>
      </c>
      <c r="G5864" s="1">
        <v>42885</v>
      </c>
      <c r="H5864" s="281">
        <v>12886741.349999741</v>
      </c>
      <c r="I5864" s="281">
        <v>0</v>
      </c>
      <c r="J5864" s="281">
        <v>434696.82</v>
      </c>
      <c r="K5864" s="281">
        <v>13321438.169999741</v>
      </c>
      <c r="L586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13321438.17</v>
      </c>
      <c r="M5864" s="281">
        <f>ROUND(IF(AND(Base_Periodo1[[#This Row],[Tipo_Linha]]="-",Base_Periodo1[[#This Row],[TIPOSALDO]]="D"),Base_Periodo1[[#This Row],[SALDO_ATUAL]]*-1,Base_Periodo1[[#This Row],[SALDO_ATUAL]]),4)</f>
        <v>13321438.17</v>
      </c>
      <c r="N5864" t="s">
        <v>116</v>
      </c>
      <c r="O5864" t="s">
        <v>459</v>
      </c>
      <c r="P5864" t="s">
        <v>459</v>
      </c>
      <c r="Q5864">
        <v>9</v>
      </c>
      <c r="R5864" s="281">
        <f>Base_Periodo1[[#This Row],[CREDITOS]]-Base_Periodo1[[#This Row],[DEBITOS]]</f>
        <v>434696.82</v>
      </c>
      <c r="S5864" s="3" t="str">
        <f>IF(ISERROR(VLOOKUP(Base_Periodo1[[#This Row],[CONTA]],BaseContasDRE[#All],4,FALSE)),"Fora do DRE",VLOOKUP(Base_Periodo1[[#This Row],[CONTA]],BaseContasDRE[#All],4,FALSE))</f>
        <v>+</v>
      </c>
      <c r="T5864" s="3">
        <f>IF(ISERROR(VLOOKUP(Base_Periodo1[[#This Row],[CONTA]],BaseContasDRE[#All],5,FALSE)),"Fora do DRE",VLOOKUP(Base_Periodo1[[#This Row],[CONTA]],BaseContasDRE[#All],6,FALSE))</f>
        <v>1</v>
      </c>
      <c r="U5864" s="3" t="str">
        <f>IF(ISERROR(VLOOKUP(Base_Periodo1[[#This Row],[CONTA]],BaseContasDRE[#All],7,FALSE)),"Fora do DRE",VLOOKUP(Base_Periodo1[[#This Row],[CONTA]],BaseContasDRE[#All],7,FALSE))</f>
        <v>INSUMOS AGROPECUARIOS</v>
      </c>
      <c r="V5864" s="3" t="str">
        <f>IF(Base_Periodo1[[#This Row],[Tipo_Linha]]="Fora do DRE","Fora do DRE","( "&amp;Base_Periodo1[[#This Row],[Tipo_Linha]]&amp;" ) "&amp;Base_Periodo1[[#This Row],[Filtro]])</f>
        <v>( + ) INSUMOS AGROPECUARIOS</v>
      </c>
      <c r="W5864" s="3" t="str">
        <f>LEFT(Base_Periodo1[[#This Row],[CLASS]],3)</f>
        <v>3.1</v>
      </c>
    </row>
    <row r="5865" spans="1:23" hidden="1">
      <c r="A5865" s="3" t="str">
        <f t="shared" si="91"/>
        <v>Período 1</v>
      </c>
      <c r="B5865">
        <v>1870</v>
      </c>
      <c r="C5865" t="s">
        <v>6015</v>
      </c>
      <c r="D5865" t="s">
        <v>3591</v>
      </c>
      <c r="E5865" s="3" t="str">
        <f>IF(LEN(Base_Periodo1[[#This Row],[CLASS]])&gt;=7,LEFT(Base_Periodo1[[#This Row],[CLASS]],7),"")</f>
        <v>3.1.1.1</v>
      </c>
      <c r="F5865" s="3" t="e">
        <f>VLOOKUP(Base_Periodo1[[#This Row],[Aux]],Base_Contas_Balanco[#All],2,FALSE)</f>
        <v>#N/A</v>
      </c>
      <c r="G5865" s="1"/>
      <c r="H5865" s="281">
        <v>1945.1999999999534</v>
      </c>
      <c r="I5865" s="281">
        <v>0</v>
      </c>
      <c r="J5865" s="281">
        <v>0</v>
      </c>
      <c r="K5865" s="281">
        <v>1945.1999999999534</v>
      </c>
      <c r="L586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1945.2</v>
      </c>
      <c r="M5865" s="281">
        <f>ROUND(IF(AND(Base_Periodo1[[#This Row],[Tipo_Linha]]="-",Base_Periodo1[[#This Row],[TIPOSALDO]]="D"),Base_Periodo1[[#This Row],[SALDO_ATUAL]]*-1,Base_Periodo1[[#This Row],[SALDO_ATUAL]]),4)</f>
        <v>1945.2</v>
      </c>
      <c r="N5865" t="s">
        <v>396</v>
      </c>
      <c r="O5865" t="s">
        <v>459</v>
      </c>
      <c r="P5865" t="s">
        <v>459</v>
      </c>
      <c r="Q5865">
        <v>8</v>
      </c>
      <c r="R5865" s="281">
        <f>Base_Periodo1[[#This Row],[CREDITOS]]-Base_Periodo1[[#This Row],[DEBITOS]]</f>
        <v>0</v>
      </c>
      <c r="S5865" s="3" t="str">
        <f>IF(ISERROR(VLOOKUP(Base_Periodo1[[#This Row],[CONTA]],BaseContasDRE[#All],4,FALSE)),"Fora do DRE",VLOOKUP(Base_Periodo1[[#This Row],[CONTA]],BaseContasDRE[#All],4,FALSE))</f>
        <v>Fora do DRE</v>
      </c>
      <c r="T5865" s="3" t="str">
        <f>IF(ISERROR(VLOOKUP(Base_Periodo1[[#This Row],[CONTA]],BaseContasDRE[#All],5,FALSE)),"Fora do DRE",VLOOKUP(Base_Periodo1[[#This Row],[CONTA]],BaseContasDRE[#All],6,FALSE))</f>
        <v>Fora do DRE</v>
      </c>
      <c r="U5865" s="3" t="str">
        <f>IF(ISERROR(VLOOKUP(Base_Periodo1[[#This Row],[CONTA]],BaseContasDRE[#All],7,FALSE)),"Fora do DRE",VLOOKUP(Base_Periodo1[[#This Row],[CONTA]],BaseContasDRE[#All],7,FALSE))</f>
        <v>Fora do DRE</v>
      </c>
      <c r="V5865" s="3" t="str">
        <f>IF(Base_Periodo1[[#This Row],[Tipo_Linha]]="Fora do DRE","Fora do DRE","( "&amp;Base_Periodo1[[#This Row],[Tipo_Linha]]&amp;" ) "&amp;Base_Periodo1[[#This Row],[Filtro]])</f>
        <v>Fora do DRE</v>
      </c>
      <c r="W5865" s="3" t="str">
        <f>LEFT(Base_Periodo1[[#This Row],[CLASS]],3)</f>
        <v>3.1</v>
      </c>
    </row>
    <row r="5866" spans="1:23" hidden="1">
      <c r="A5866" s="3" t="str">
        <f t="shared" si="91"/>
        <v>Período 1</v>
      </c>
      <c r="B5866">
        <v>1871</v>
      </c>
      <c r="C5866" t="s">
        <v>6016</v>
      </c>
      <c r="D5866" t="s">
        <v>3592</v>
      </c>
      <c r="E5866" s="3" t="str">
        <f>IF(LEN(Base_Periodo1[[#This Row],[CLASS]])&gt;=7,LEFT(Base_Periodo1[[#This Row],[CLASS]],7),"")</f>
        <v>3.1.1.1</v>
      </c>
      <c r="F5866" s="3" t="e">
        <f>VLOOKUP(Base_Periodo1[[#This Row],[Aux]],Base_Contas_Balanco[#All],2,FALSE)</f>
        <v>#N/A</v>
      </c>
      <c r="G5866" s="1">
        <v>42797</v>
      </c>
      <c r="H5866" s="281">
        <v>1945.1999999999534</v>
      </c>
      <c r="I5866" s="281">
        <v>0</v>
      </c>
      <c r="J5866" s="281">
        <v>0</v>
      </c>
      <c r="K5866" s="281">
        <v>1945.1999999999534</v>
      </c>
      <c r="L586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1945.2</v>
      </c>
      <c r="M5866" s="281">
        <f>ROUND(IF(AND(Base_Periodo1[[#This Row],[Tipo_Linha]]="-",Base_Periodo1[[#This Row],[TIPOSALDO]]="D"),Base_Periodo1[[#This Row],[SALDO_ATUAL]]*-1,Base_Periodo1[[#This Row],[SALDO_ATUAL]]),4)</f>
        <v>1945.2</v>
      </c>
      <c r="N5866" t="s">
        <v>116</v>
      </c>
      <c r="O5866" t="s">
        <v>459</v>
      </c>
      <c r="P5866" t="s">
        <v>459</v>
      </c>
      <c r="Q5866">
        <v>9</v>
      </c>
      <c r="R5866" s="281">
        <f>Base_Periodo1[[#This Row],[CREDITOS]]-Base_Periodo1[[#This Row],[DEBITOS]]</f>
        <v>0</v>
      </c>
      <c r="S5866" s="3" t="str">
        <f>IF(ISERROR(VLOOKUP(Base_Periodo1[[#This Row],[CONTA]],BaseContasDRE[#All],4,FALSE)),"Fora do DRE",VLOOKUP(Base_Periodo1[[#This Row],[CONTA]],BaseContasDRE[#All],4,FALSE))</f>
        <v>+</v>
      </c>
      <c r="T5866" s="3">
        <f>IF(ISERROR(VLOOKUP(Base_Periodo1[[#This Row],[CONTA]],BaseContasDRE[#All],5,FALSE)),"Fora do DRE",VLOOKUP(Base_Periodo1[[#This Row],[CONTA]],BaseContasDRE[#All],6,FALSE))</f>
        <v>1</v>
      </c>
      <c r="U5866" s="3" t="str">
        <f>IF(ISERROR(VLOOKUP(Base_Periodo1[[#This Row],[CONTA]],BaseContasDRE[#All],7,FALSE)),"Fora do DRE",VLOOKUP(Base_Periodo1[[#This Row],[CONTA]],BaseContasDRE[#All],7,FALSE))</f>
        <v>BONIFICAÇÕES RECEBIDAS</v>
      </c>
      <c r="V5866" s="3" t="str">
        <f>IF(Base_Periodo1[[#This Row],[Tipo_Linha]]="Fora do DRE","Fora do DRE","( "&amp;Base_Periodo1[[#This Row],[Tipo_Linha]]&amp;" ) "&amp;Base_Periodo1[[#This Row],[Filtro]])</f>
        <v>( + ) BONIFICAÇÕES RECEBIDAS</v>
      </c>
      <c r="W5866" s="3" t="str">
        <f>LEFT(Base_Periodo1[[#This Row],[CLASS]],3)</f>
        <v>3.1</v>
      </c>
    </row>
    <row r="5867" spans="1:23" hidden="1">
      <c r="A5867" s="3" t="str">
        <f t="shared" si="91"/>
        <v>Período 1</v>
      </c>
      <c r="B5867">
        <v>1872</v>
      </c>
      <c r="C5867" t="s">
        <v>3602</v>
      </c>
      <c r="D5867" t="s">
        <v>3563</v>
      </c>
      <c r="E5867" s="3" t="str">
        <f>IF(LEN(Base_Periodo1[[#This Row],[CLASS]])&gt;=7,LEFT(Base_Periodo1[[#This Row],[CLASS]],7),"")</f>
        <v>3.1.1.1</v>
      </c>
      <c r="F5867" s="3" t="e">
        <f>VLOOKUP(Base_Periodo1[[#This Row],[Aux]],Base_Contas_Balanco[#All],2,FALSE)</f>
        <v>#N/A</v>
      </c>
      <c r="G5867" s="1"/>
      <c r="H5867" s="281">
        <v>141761.89000000129</v>
      </c>
      <c r="I5867" s="281">
        <v>16742.400000000001</v>
      </c>
      <c r="J5867" s="281">
        <v>0</v>
      </c>
      <c r="K5867" s="281">
        <v>158504.29000000129</v>
      </c>
      <c r="L586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-158504.29</v>
      </c>
      <c r="M5867" s="281">
        <f>ROUND(IF(AND(Base_Periodo1[[#This Row],[Tipo_Linha]]="-",Base_Periodo1[[#This Row],[TIPOSALDO]]="D"),Base_Periodo1[[#This Row],[SALDO_ATUAL]]*-1,Base_Periodo1[[#This Row],[SALDO_ATUAL]]),4)</f>
        <v>158504.29</v>
      </c>
      <c r="N5867" t="s">
        <v>396</v>
      </c>
      <c r="O5867" t="s">
        <v>397</v>
      </c>
      <c r="P5867" t="s">
        <v>397</v>
      </c>
      <c r="Q5867">
        <v>8</v>
      </c>
      <c r="R5867" s="281">
        <f>Base_Periodo1[[#This Row],[CREDITOS]]-Base_Periodo1[[#This Row],[DEBITOS]]</f>
        <v>-16742.400000000001</v>
      </c>
      <c r="S5867" s="3" t="str">
        <f>IF(ISERROR(VLOOKUP(Base_Periodo1[[#This Row],[CONTA]],BaseContasDRE[#All],4,FALSE)),"Fora do DRE",VLOOKUP(Base_Periodo1[[#This Row],[CONTA]],BaseContasDRE[#All],4,FALSE))</f>
        <v>Fora do DRE</v>
      </c>
      <c r="T5867" s="3" t="str">
        <f>IF(ISERROR(VLOOKUP(Base_Periodo1[[#This Row],[CONTA]],BaseContasDRE[#All],5,FALSE)),"Fora do DRE",VLOOKUP(Base_Periodo1[[#This Row],[CONTA]],BaseContasDRE[#All],6,FALSE))</f>
        <v>Fora do DRE</v>
      </c>
      <c r="U5867" s="3" t="str">
        <f>IF(ISERROR(VLOOKUP(Base_Periodo1[[#This Row],[CONTA]],BaseContasDRE[#All],7,FALSE)),"Fora do DRE",VLOOKUP(Base_Periodo1[[#This Row],[CONTA]],BaseContasDRE[#All],7,FALSE))</f>
        <v>Fora do DRE</v>
      </c>
      <c r="V5867" s="3" t="str">
        <f>IF(Base_Periodo1[[#This Row],[Tipo_Linha]]="Fora do DRE","Fora do DRE","( "&amp;Base_Periodo1[[#This Row],[Tipo_Linha]]&amp;" ) "&amp;Base_Periodo1[[#This Row],[Filtro]])</f>
        <v>Fora do DRE</v>
      </c>
      <c r="W5867" s="3" t="str">
        <f>LEFT(Base_Periodo1[[#This Row],[CLASS]],3)</f>
        <v>3.1</v>
      </c>
    </row>
    <row r="5868" spans="1:23" hidden="1">
      <c r="A5868" s="3" t="str">
        <f t="shared" si="91"/>
        <v>Período 1</v>
      </c>
      <c r="B5868">
        <v>1873</v>
      </c>
      <c r="C5868" t="s">
        <v>3603</v>
      </c>
      <c r="D5868" t="s">
        <v>3564</v>
      </c>
      <c r="E5868" s="3" t="str">
        <f>IF(LEN(Base_Periodo1[[#This Row],[CLASS]])&gt;=7,LEFT(Base_Periodo1[[#This Row],[CLASS]],7),"")</f>
        <v>3.1.1.1</v>
      </c>
      <c r="F5868" s="3" t="e">
        <f>VLOOKUP(Base_Periodo1[[#This Row],[Aux]],Base_Contas_Balanco[#All],2,FALSE)</f>
        <v>#N/A</v>
      </c>
      <c r="G5868" s="1">
        <v>42875</v>
      </c>
      <c r="H5868" s="281">
        <v>141761.89000000129</v>
      </c>
      <c r="I5868" s="281">
        <v>16742.400000000001</v>
      </c>
      <c r="J5868" s="281">
        <v>0</v>
      </c>
      <c r="K5868" s="281">
        <v>158504.29000000129</v>
      </c>
      <c r="L586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-158504.29</v>
      </c>
      <c r="M5868" s="281">
        <f>ROUND(IF(AND(Base_Periodo1[[#This Row],[Tipo_Linha]]="-",Base_Periodo1[[#This Row],[TIPOSALDO]]="D"),Base_Periodo1[[#This Row],[SALDO_ATUAL]]*-1,Base_Periodo1[[#This Row],[SALDO_ATUAL]]),4)</f>
        <v>-158504.29</v>
      </c>
      <c r="N5868" t="s">
        <v>116</v>
      </c>
      <c r="O5868" t="s">
        <v>397</v>
      </c>
      <c r="P5868" t="s">
        <v>397</v>
      </c>
      <c r="Q5868">
        <v>9</v>
      </c>
      <c r="R5868" s="281">
        <f>Base_Periodo1[[#This Row],[CREDITOS]]-Base_Periodo1[[#This Row],[DEBITOS]]</f>
        <v>-16742.400000000001</v>
      </c>
      <c r="S5868" s="3" t="str">
        <f>IF(ISERROR(VLOOKUP(Base_Periodo1[[#This Row],[CONTA]],BaseContasDRE[#All],4,FALSE)),"Fora do DRE",VLOOKUP(Base_Periodo1[[#This Row],[CONTA]],BaseContasDRE[#All],4,FALSE))</f>
        <v>-</v>
      </c>
      <c r="T5868" s="3">
        <f>IF(ISERROR(VLOOKUP(Base_Periodo1[[#This Row],[CONTA]],BaseContasDRE[#All],5,FALSE)),"Fora do DRE",VLOOKUP(Base_Periodo1[[#This Row],[CONTA]],BaseContasDRE[#All],6,FALSE))</f>
        <v>2</v>
      </c>
      <c r="U5868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868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868" s="3" t="str">
        <f>LEFT(Base_Periodo1[[#This Row],[CLASS]],3)</f>
        <v>3.1</v>
      </c>
    </row>
    <row r="5869" spans="1:23" hidden="1">
      <c r="A5869" s="3" t="str">
        <f t="shared" si="91"/>
        <v>Período 1</v>
      </c>
      <c r="B5869">
        <v>1874</v>
      </c>
      <c r="C5869" t="s">
        <v>3604</v>
      </c>
      <c r="D5869" t="s">
        <v>3583</v>
      </c>
      <c r="E5869" s="3" t="str">
        <f>IF(LEN(Base_Periodo1[[#This Row],[CLASS]])&gt;=7,LEFT(Base_Periodo1[[#This Row],[CLASS]],7),"")</f>
        <v>3.1.1.1</v>
      </c>
      <c r="F5869" s="3" t="e">
        <f>VLOOKUP(Base_Periodo1[[#This Row],[Aux]],Base_Contas_Balanco[#All],2,FALSE)</f>
        <v>#N/A</v>
      </c>
      <c r="G5869" s="1"/>
      <c r="H5869" s="281">
        <v>1222.7499999999927</v>
      </c>
      <c r="I5869" s="281">
        <v>0</v>
      </c>
      <c r="J5869" s="281">
        <v>0</v>
      </c>
      <c r="K5869" s="281">
        <v>1222.7499999999927</v>
      </c>
      <c r="L586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-1222.75</v>
      </c>
      <c r="M5869" s="281">
        <f>ROUND(IF(AND(Base_Periodo1[[#This Row],[Tipo_Linha]]="-",Base_Periodo1[[#This Row],[TIPOSALDO]]="D"),Base_Periodo1[[#This Row],[SALDO_ATUAL]]*-1,Base_Periodo1[[#This Row],[SALDO_ATUAL]]),4)</f>
        <v>1222.75</v>
      </c>
      <c r="N5869" t="s">
        <v>396</v>
      </c>
      <c r="O5869" t="s">
        <v>397</v>
      </c>
      <c r="P5869" t="s">
        <v>397</v>
      </c>
      <c r="Q5869">
        <v>8</v>
      </c>
      <c r="R5869" s="281">
        <f>Base_Periodo1[[#This Row],[CREDITOS]]-Base_Periodo1[[#This Row],[DEBITOS]]</f>
        <v>0</v>
      </c>
      <c r="S5869" s="3" t="str">
        <f>IF(ISERROR(VLOOKUP(Base_Periodo1[[#This Row],[CONTA]],BaseContasDRE[#All],4,FALSE)),"Fora do DRE",VLOOKUP(Base_Periodo1[[#This Row],[CONTA]],BaseContasDRE[#All],4,FALSE))</f>
        <v>Fora do DRE</v>
      </c>
      <c r="T5869" s="3" t="str">
        <f>IF(ISERROR(VLOOKUP(Base_Periodo1[[#This Row],[CONTA]],BaseContasDRE[#All],5,FALSE)),"Fora do DRE",VLOOKUP(Base_Periodo1[[#This Row],[CONTA]],BaseContasDRE[#All],6,FALSE))</f>
        <v>Fora do DRE</v>
      </c>
      <c r="U5869" s="3" t="str">
        <f>IF(ISERROR(VLOOKUP(Base_Periodo1[[#This Row],[CONTA]],BaseContasDRE[#All],7,FALSE)),"Fora do DRE",VLOOKUP(Base_Periodo1[[#This Row],[CONTA]],BaseContasDRE[#All],7,FALSE))</f>
        <v>Fora do DRE</v>
      </c>
      <c r="V5869" s="3" t="str">
        <f>IF(Base_Periodo1[[#This Row],[Tipo_Linha]]="Fora do DRE","Fora do DRE","( "&amp;Base_Periodo1[[#This Row],[Tipo_Linha]]&amp;" ) "&amp;Base_Periodo1[[#This Row],[Filtro]])</f>
        <v>Fora do DRE</v>
      </c>
      <c r="W5869" s="3" t="str">
        <f>LEFT(Base_Periodo1[[#This Row],[CLASS]],3)</f>
        <v>3.1</v>
      </c>
    </row>
    <row r="5870" spans="1:23" hidden="1">
      <c r="A5870" s="3" t="str">
        <f t="shared" si="91"/>
        <v>Período 1</v>
      </c>
      <c r="B5870">
        <v>1875</v>
      </c>
      <c r="C5870" t="s">
        <v>3605</v>
      </c>
      <c r="D5870" t="s">
        <v>3566</v>
      </c>
      <c r="E5870" s="3" t="str">
        <f>IF(LEN(Base_Periodo1[[#This Row],[CLASS]])&gt;=7,LEFT(Base_Periodo1[[#This Row],[CLASS]],7),"")</f>
        <v>3.1.1.1</v>
      </c>
      <c r="F5870" s="3" t="e">
        <f>VLOOKUP(Base_Periodo1[[#This Row],[Aux]],Base_Contas_Balanco[#All],2,FALSE)</f>
        <v>#N/A</v>
      </c>
      <c r="G5870" s="1">
        <v>42825</v>
      </c>
      <c r="H5870" s="281">
        <v>1222.7499999999927</v>
      </c>
      <c r="I5870" s="281">
        <v>0</v>
      </c>
      <c r="J5870" s="281">
        <v>0</v>
      </c>
      <c r="K5870" s="281">
        <v>1222.7499999999927</v>
      </c>
      <c r="L587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-1222.75</v>
      </c>
      <c r="M5870" s="281">
        <f>ROUND(IF(AND(Base_Periodo1[[#This Row],[Tipo_Linha]]="-",Base_Periodo1[[#This Row],[TIPOSALDO]]="D"),Base_Periodo1[[#This Row],[SALDO_ATUAL]]*-1,Base_Periodo1[[#This Row],[SALDO_ATUAL]]),4)</f>
        <v>-1222.75</v>
      </c>
      <c r="N5870" t="s">
        <v>116</v>
      </c>
      <c r="O5870" t="s">
        <v>397</v>
      </c>
      <c r="P5870" t="s">
        <v>397</v>
      </c>
      <c r="Q5870">
        <v>9</v>
      </c>
      <c r="R5870" s="281">
        <f>Base_Periodo1[[#This Row],[CREDITOS]]-Base_Periodo1[[#This Row],[DEBITOS]]</f>
        <v>0</v>
      </c>
      <c r="S5870" s="3" t="str">
        <f>IF(ISERROR(VLOOKUP(Base_Periodo1[[#This Row],[CONTA]],BaseContasDRE[#All],4,FALSE)),"Fora do DRE",VLOOKUP(Base_Periodo1[[#This Row],[CONTA]],BaseContasDRE[#All],4,FALSE))</f>
        <v>-</v>
      </c>
      <c r="T5870" s="3">
        <f>IF(ISERROR(VLOOKUP(Base_Periodo1[[#This Row],[CONTA]],BaseContasDRE[#All],5,FALSE)),"Fora do DRE",VLOOKUP(Base_Periodo1[[#This Row],[CONTA]],BaseContasDRE[#All],6,FALSE))</f>
        <v>2</v>
      </c>
      <c r="U5870" s="3" t="str">
        <f>IF(ISERROR(VLOOKUP(Base_Periodo1[[#This Row],[CONTA]],BaseContasDRE[#All],7,FALSE)),"Fora do DRE",VLOOKUP(Base_Periodo1[[#This Row],[CONTA]],BaseContasDRE[#All],7,FALSE))</f>
        <v>ICMS SOBRE INGRESSOS E RECEITAS</v>
      </c>
      <c r="V5870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5870" s="3" t="str">
        <f>LEFT(Base_Periodo1[[#This Row],[CLASS]],3)</f>
        <v>3.1</v>
      </c>
    </row>
    <row r="5871" spans="1:23" hidden="1">
      <c r="A5871" s="3" t="str">
        <f t="shared" si="91"/>
        <v>Período 1</v>
      </c>
      <c r="B5871">
        <v>1876</v>
      </c>
      <c r="C5871" t="s">
        <v>3606</v>
      </c>
      <c r="D5871" t="s">
        <v>3567</v>
      </c>
      <c r="E5871" s="3" t="str">
        <f>IF(LEN(Base_Periodo1[[#This Row],[CLASS]])&gt;=7,LEFT(Base_Periodo1[[#This Row],[CLASS]],7),"")</f>
        <v>3.1.1.1</v>
      </c>
      <c r="F5871" s="3" t="e">
        <f>VLOOKUP(Base_Periodo1[[#This Row],[Aux]],Base_Contas_Balanco[#All],2,FALSE)</f>
        <v>#N/A</v>
      </c>
      <c r="G5871" s="1"/>
      <c r="H5871" s="281">
        <v>9296038.1099999994</v>
      </c>
      <c r="I5871" s="281">
        <v>301429.58</v>
      </c>
      <c r="J5871" s="281">
        <v>0</v>
      </c>
      <c r="K5871" s="281">
        <v>9597467.6899999995</v>
      </c>
      <c r="L587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-9597467.6899999995</v>
      </c>
      <c r="M5871" s="281">
        <f>ROUND(IF(AND(Base_Periodo1[[#This Row],[Tipo_Linha]]="-",Base_Periodo1[[#This Row],[TIPOSALDO]]="D"),Base_Periodo1[[#This Row],[SALDO_ATUAL]]*-1,Base_Periodo1[[#This Row],[SALDO_ATUAL]]),4)</f>
        <v>9597467.6899999995</v>
      </c>
      <c r="N5871" t="s">
        <v>396</v>
      </c>
      <c r="O5871" t="s">
        <v>397</v>
      </c>
      <c r="P5871" t="s">
        <v>397</v>
      </c>
      <c r="Q5871">
        <v>8</v>
      </c>
      <c r="R5871" s="281">
        <f>Base_Periodo1[[#This Row],[CREDITOS]]-Base_Periodo1[[#This Row],[DEBITOS]]</f>
        <v>-301429.58</v>
      </c>
      <c r="S5871" s="3" t="str">
        <f>IF(ISERROR(VLOOKUP(Base_Periodo1[[#This Row],[CONTA]],BaseContasDRE[#All],4,FALSE)),"Fora do DRE",VLOOKUP(Base_Periodo1[[#This Row],[CONTA]],BaseContasDRE[#All],4,FALSE))</f>
        <v>Fora do DRE</v>
      </c>
      <c r="T5871" s="3" t="str">
        <f>IF(ISERROR(VLOOKUP(Base_Periodo1[[#This Row],[CONTA]],BaseContasDRE[#All],5,FALSE)),"Fora do DRE",VLOOKUP(Base_Periodo1[[#This Row],[CONTA]],BaseContasDRE[#All],6,FALSE))</f>
        <v>Fora do DRE</v>
      </c>
      <c r="U5871" s="3" t="str">
        <f>IF(ISERROR(VLOOKUP(Base_Periodo1[[#This Row],[CONTA]],BaseContasDRE[#All],7,FALSE)),"Fora do DRE",VLOOKUP(Base_Periodo1[[#This Row],[CONTA]],BaseContasDRE[#All],7,FALSE))</f>
        <v>Fora do DRE</v>
      </c>
      <c r="V5871" s="3" t="str">
        <f>IF(Base_Periodo1[[#This Row],[Tipo_Linha]]="Fora do DRE","Fora do DRE","( "&amp;Base_Periodo1[[#This Row],[Tipo_Linha]]&amp;" ) "&amp;Base_Periodo1[[#This Row],[Filtro]])</f>
        <v>Fora do DRE</v>
      </c>
      <c r="W5871" s="3" t="str">
        <f>LEFT(Base_Periodo1[[#This Row],[CLASS]],3)</f>
        <v>3.1</v>
      </c>
    </row>
    <row r="5872" spans="1:23" hidden="1">
      <c r="A5872" s="3" t="str">
        <f t="shared" si="91"/>
        <v>Período 1</v>
      </c>
      <c r="B5872">
        <v>1877</v>
      </c>
      <c r="C5872" t="s">
        <v>3607</v>
      </c>
      <c r="D5872" t="s">
        <v>3568</v>
      </c>
      <c r="E5872" s="3" t="str">
        <f>IF(LEN(Base_Periodo1[[#This Row],[CLASS]])&gt;=7,LEFT(Base_Periodo1[[#This Row],[CLASS]],7),"")</f>
        <v>3.1.1.1</v>
      </c>
      <c r="F5872" s="3" t="e">
        <f>VLOOKUP(Base_Periodo1[[#This Row],[Aux]],Base_Contas_Balanco[#All],2,FALSE)</f>
        <v>#N/A</v>
      </c>
      <c r="G5872" s="1">
        <v>42886</v>
      </c>
      <c r="H5872" s="281">
        <v>9296038.1099999994</v>
      </c>
      <c r="I5872" s="281">
        <v>301429.58</v>
      </c>
      <c r="J5872" s="281">
        <v>0</v>
      </c>
      <c r="K5872" s="281">
        <v>9597467.6899999995</v>
      </c>
      <c r="L587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-9597467.6899999995</v>
      </c>
      <c r="M5872" s="281">
        <f>ROUND(IF(AND(Base_Periodo1[[#This Row],[Tipo_Linha]]="-",Base_Periodo1[[#This Row],[TIPOSALDO]]="D"),Base_Periodo1[[#This Row],[SALDO_ATUAL]]*-1,Base_Periodo1[[#This Row],[SALDO_ATUAL]]),4)</f>
        <v>-9597467.6899999995</v>
      </c>
      <c r="N5872" t="s">
        <v>116</v>
      </c>
      <c r="O5872" t="s">
        <v>397</v>
      </c>
      <c r="P5872" t="s">
        <v>397</v>
      </c>
      <c r="Q5872">
        <v>9</v>
      </c>
      <c r="R5872" s="281">
        <f>Base_Periodo1[[#This Row],[CREDITOS]]-Base_Periodo1[[#This Row],[DEBITOS]]</f>
        <v>-301429.58</v>
      </c>
      <c r="S5872" s="3" t="str">
        <f>IF(ISERROR(VLOOKUP(Base_Periodo1[[#This Row],[CONTA]],BaseContasDRE[#All],4,FALSE)),"Fora do DRE",VLOOKUP(Base_Periodo1[[#This Row],[CONTA]],BaseContasDRE[#All],4,FALSE))</f>
        <v>-</v>
      </c>
      <c r="T5872" s="3">
        <f>IF(ISERROR(VLOOKUP(Base_Periodo1[[#This Row],[CONTA]],BaseContasDRE[#All],5,FALSE)),"Fora do DRE",VLOOKUP(Base_Periodo1[[#This Row],[CONTA]],BaseContasDRE[#All],6,FALSE))</f>
        <v>3</v>
      </c>
      <c r="U5872" s="3" t="str">
        <f>IF(ISERROR(VLOOKUP(Base_Periodo1[[#This Row],[CONTA]],BaseContasDRE[#All],7,FALSE)),"Fora do DRE",VLOOKUP(Base_Periodo1[[#This Row],[CONTA]],BaseContasDRE[#All],7,FALSE))</f>
        <v>INSUMOS AGROPECUARIOS</v>
      </c>
      <c r="V5872" s="3" t="str">
        <f>IF(Base_Periodo1[[#This Row],[Tipo_Linha]]="Fora do DRE","Fora do DRE","( "&amp;Base_Periodo1[[#This Row],[Tipo_Linha]]&amp;" ) "&amp;Base_Periodo1[[#This Row],[Filtro]])</f>
        <v>( - ) INSUMOS AGROPECUARIOS</v>
      </c>
      <c r="W5872" s="3" t="str">
        <f>LEFT(Base_Periodo1[[#This Row],[CLASS]],3)</f>
        <v>3.1</v>
      </c>
    </row>
    <row r="5873" spans="1:23" hidden="1">
      <c r="A5873" s="3" t="str">
        <f t="shared" si="91"/>
        <v>Período 1</v>
      </c>
      <c r="B5873">
        <v>1878</v>
      </c>
      <c r="C5873" t="s">
        <v>3608</v>
      </c>
      <c r="D5873" t="s">
        <v>1210</v>
      </c>
      <c r="E5873" s="3" t="str">
        <f>IF(LEN(Base_Periodo1[[#This Row],[CLASS]])&gt;=7,LEFT(Base_Periodo1[[#This Row],[CLASS]],7),"")</f>
        <v>3.1.1.1</v>
      </c>
      <c r="F5873" s="3" t="e">
        <f>VLOOKUP(Base_Periodo1[[#This Row],[Aux]],Base_Contas_Balanco[#All],2,FALSE)</f>
        <v>#N/A</v>
      </c>
      <c r="G5873" s="1"/>
      <c r="H5873" s="281">
        <v>11121.880000000674</v>
      </c>
      <c r="I5873" s="281">
        <v>7088.44</v>
      </c>
      <c r="J5873" s="281">
        <v>9969.4700000000012</v>
      </c>
      <c r="K5873" s="281">
        <v>14002.910000000677</v>
      </c>
      <c r="L587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14002.91</v>
      </c>
      <c r="M5873" s="281">
        <f>ROUND(IF(AND(Base_Periodo1[[#This Row],[Tipo_Linha]]="-",Base_Periodo1[[#This Row],[TIPOSALDO]]="D"),Base_Periodo1[[#This Row],[SALDO_ATUAL]]*-1,Base_Periodo1[[#This Row],[SALDO_ATUAL]]),4)</f>
        <v>14002.91</v>
      </c>
      <c r="N5873" t="s">
        <v>396</v>
      </c>
      <c r="O5873" t="s">
        <v>459</v>
      </c>
      <c r="P5873" t="s">
        <v>459</v>
      </c>
      <c r="Q5873">
        <v>7</v>
      </c>
      <c r="R5873" s="281">
        <f>Base_Periodo1[[#This Row],[CREDITOS]]-Base_Periodo1[[#This Row],[DEBITOS]]</f>
        <v>2881.0300000000016</v>
      </c>
      <c r="S5873" s="3" t="str">
        <f>IF(ISERROR(VLOOKUP(Base_Periodo1[[#This Row],[CONTA]],BaseContasDRE[#All],4,FALSE)),"Fora do DRE",VLOOKUP(Base_Periodo1[[#This Row],[CONTA]],BaseContasDRE[#All],4,FALSE))</f>
        <v>Fora do DRE</v>
      </c>
      <c r="T5873" s="3" t="str">
        <f>IF(ISERROR(VLOOKUP(Base_Periodo1[[#This Row],[CONTA]],BaseContasDRE[#All],5,FALSE)),"Fora do DRE",VLOOKUP(Base_Periodo1[[#This Row],[CONTA]],BaseContasDRE[#All],6,FALSE))</f>
        <v>Fora do DRE</v>
      </c>
      <c r="U5873" s="3" t="str">
        <f>IF(ISERROR(VLOOKUP(Base_Periodo1[[#This Row],[CONTA]],BaseContasDRE[#All],7,FALSE)),"Fora do DRE",VLOOKUP(Base_Periodo1[[#This Row],[CONTA]],BaseContasDRE[#All],7,FALSE))</f>
        <v>Fora do DRE</v>
      </c>
      <c r="V5873" s="3" t="str">
        <f>IF(Base_Periodo1[[#This Row],[Tipo_Linha]]="Fora do DRE","Fora do DRE","( "&amp;Base_Periodo1[[#This Row],[Tipo_Linha]]&amp;" ) "&amp;Base_Periodo1[[#This Row],[Filtro]])</f>
        <v>Fora do DRE</v>
      </c>
      <c r="W5873" s="3" t="str">
        <f>LEFT(Base_Periodo1[[#This Row],[CLASS]],3)</f>
        <v>3.1</v>
      </c>
    </row>
    <row r="5874" spans="1:23" hidden="1">
      <c r="A5874" s="3" t="str">
        <f t="shared" si="91"/>
        <v>Período 1</v>
      </c>
      <c r="B5874">
        <v>1879</v>
      </c>
      <c r="C5874" t="s">
        <v>3609</v>
      </c>
      <c r="D5874" t="s">
        <v>3578</v>
      </c>
      <c r="E5874" s="3" t="str">
        <f>IF(LEN(Base_Periodo1[[#This Row],[CLASS]])&gt;=7,LEFT(Base_Periodo1[[#This Row],[CLASS]],7),"")</f>
        <v>3.1.1.1</v>
      </c>
      <c r="F5874" s="3" t="e">
        <f>VLOOKUP(Base_Periodo1[[#This Row],[Aux]],Base_Contas_Balanco[#All],2,FALSE)</f>
        <v>#N/A</v>
      </c>
      <c r="G5874" s="1"/>
      <c r="H5874" s="281">
        <v>50276.290000000619</v>
      </c>
      <c r="I5874" s="281">
        <v>0</v>
      </c>
      <c r="J5874" s="281">
        <v>9969.4700000000012</v>
      </c>
      <c r="K5874" s="281">
        <v>60245.76000000062</v>
      </c>
      <c r="L587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60245.760000000002</v>
      </c>
      <c r="M5874" s="281">
        <f>ROUND(IF(AND(Base_Periodo1[[#This Row],[Tipo_Linha]]="-",Base_Periodo1[[#This Row],[TIPOSALDO]]="D"),Base_Periodo1[[#This Row],[SALDO_ATUAL]]*-1,Base_Periodo1[[#This Row],[SALDO_ATUAL]]),4)</f>
        <v>60245.760000000002</v>
      </c>
      <c r="N5874" t="s">
        <v>396</v>
      </c>
      <c r="O5874" t="s">
        <v>459</v>
      </c>
      <c r="P5874" t="s">
        <v>459</v>
      </c>
      <c r="Q5874">
        <v>8</v>
      </c>
      <c r="R5874" s="281">
        <f>Base_Periodo1[[#This Row],[CREDITOS]]-Base_Periodo1[[#This Row],[DEBITOS]]</f>
        <v>9969.4700000000012</v>
      </c>
      <c r="S5874" s="3" t="str">
        <f>IF(ISERROR(VLOOKUP(Base_Periodo1[[#This Row],[CONTA]],BaseContasDRE[#All],4,FALSE)),"Fora do DRE",VLOOKUP(Base_Periodo1[[#This Row],[CONTA]],BaseContasDRE[#All],4,FALSE))</f>
        <v>Fora do DRE</v>
      </c>
      <c r="T5874" s="3" t="str">
        <f>IF(ISERROR(VLOOKUP(Base_Periodo1[[#This Row],[CONTA]],BaseContasDRE[#All],5,FALSE)),"Fora do DRE",VLOOKUP(Base_Periodo1[[#This Row],[CONTA]],BaseContasDRE[#All],6,FALSE))</f>
        <v>Fora do DRE</v>
      </c>
      <c r="U5874" s="3" t="str">
        <f>IF(ISERROR(VLOOKUP(Base_Periodo1[[#This Row],[CONTA]],BaseContasDRE[#All],7,FALSE)),"Fora do DRE",VLOOKUP(Base_Periodo1[[#This Row],[CONTA]],BaseContasDRE[#All],7,FALSE))</f>
        <v>Fora do DRE</v>
      </c>
      <c r="V5874" s="3" t="str">
        <f>IF(Base_Periodo1[[#This Row],[Tipo_Linha]]="Fora do DRE","Fora do DRE","( "&amp;Base_Periodo1[[#This Row],[Tipo_Linha]]&amp;" ) "&amp;Base_Periodo1[[#This Row],[Filtro]])</f>
        <v>Fora do DRE</v>
      </c>
      <c r="W5874" s="3" t="str">
        <f>LEFT(Base_Periodo1[[#This Row],[CLASS]],3)</f>
        <v>3.1</v>
      </c>
    </row>
    <row r="5875" spans="1:23" hidden="1">
      <c r="A5875" s="3" t="str">
        <f t="shared" si="91"/>
        <v>Período 1</v>
      </c>
      <c r="B5875">
        <v>1880</v>
      </c>
      <c r="C5875" t="s">
        <v>3610</v>
      </c>
      <c r="D5875" t="s">
        <v>3562</v>
      </c>
      <c r="E5875" s="3" t="str">
        <f>IF(LEN(Base_Periodo1[[#This Row],[CLASS]])&gt;=7,LEFT(Base_Periodo1[[#This Row],[CLASS]],7),"")</f>
        <v>3.1.1.1</v>
      </c>
      <c r="F5875" s="3" t="e">
        <f>VLOOKUP(Base_Periodo1[[#This Row],[Aux]],Base_Contas_Balanco[#All],2,FALSE)</f>
        <v>#N/A</v>
      </c>
      <c r="G5875" s="1">
        <v>42885</v>
      </c>
      <c r="H5875" s="281">
        <v>50276.290000000619</v>
      </c>
      <c r="I5875" s="281">
        <v>0</v>
      </c>
      <c r="J5875" s="281">
        <v>9969.4700000000012</v>
      </c>
      <c r="K5875" s="281">
        <v>60245.76000000062</v>
      </c>
      <c r="L587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60245.760000000002</v>
      </c>
      <c r="M5875" s="281">
        <f>ROUND(IF(AND(Base_Periodo1[[#This Row],[Tipo_Linha]]="-",Base_Periodo1[[#This Row],[TIPOSALDO]]="D"),Base_Periodo1[[#This Row],[SALDO_ATUAL]]*-1,Base_Periodo1[[#This Row],[SALDO_ATUAL]]),4)</f>
        <v>60245.760000000002</v>
      </c>
      <c r="N5875" t="s">
        <v>116</v>
      </c>
      <c r="O5875" t="s">
        <v>459</v>
      </c>
      <c r="P5875" t="s">
        <v>459</v>
      </c>
      <c r="Q5875">
        <v>9</v>
      </c>
      <c r="R5875" s="281">
        <f>Base_Periodo1[[#This Row],[CREDITOS]]-Base_Periodo1[[#This Row],[DEBITOS]]</f>
        <v>9969.4700000000012</v>
      </c>
      <c r="S5875" s="3" t="str">
        <f>IF(ISERROR(VLOOKUP(Base_Periodo1[[#This Row],[CONTA]],BaseContasDRE[#All],4,FALSE)),"Fora do DRE",VLOOKUP(Base_Periodo1[[#This Row],[CONTA]],BaseContasDRE[#All],4,FALSE))</f>
        <v>+</v>
      </c>
      <c r="T5875" s="3">
        <f>IF(ISERROR(VLOOKUP(Base_Periodo1[[#This Row],[CONTA]],BaseContasDRE[#All],5,FALSE)),"Fora do DRE",VLOOKUP(Base_Periodo1[[#This Row],[CONTA]],BaseContasDRE[#All],6,FALSE))</f>
        <v>1</v>
      </c>
      <c r="U5875" s="3" t="str">
        <f>IF(ISERROR(VLOOKUP(Base_Periodo1[[#This Row],[CONTA]],BaseContasDRE[#All],7,FALSE)),"Fora do DRE",VLOOKUP(Base_Periodo1[[#This Row],[CONTA]],BaseContasDRE[#All],7,FALSE))</f>
        <v>INSUMOS AGROPECUARIOS</v>
      </c>
      <c r="V5875" s="3" t="str">
        <f>IF(Base_Periodo1[[#This Row],[Tipo_Linha]]="Fora do DRE","Fora do DRE","( "&amp;Base_Periodo1[[#This Row],[Tipo_Linha]]&amp;" ) "&amp;Base_Periodo1[[#This Row],[Filtro]])</f>
        <v>( + ) INSUMOS AGROPECUARIOS</v>
      </c>
      <c r="W5875" s="3" t="str">
        <f>LEFT(Base_Periodo1[[#This Row],[CLASS]],3)</f>
        <v>3.1</v>
      </c>
    </row>
    <row r="5876" spans="1:23" hidden="1">
      <c r="A5876" s="3" t="str">
        <f t="shared" si="91"/>
        <v>Período 1</v>
      </c>
      <c r="B5876">
        <v>1883</v>
      </c>
      <c r="C5876" t="s">
        <v>6586</v>
      </c>
      <c r="D5876" t="s">
        <v>3563</v>
      </c>
      <c r="E5876" s="3" t="str">
        <f>IF(LEN(Base_Periodo1[[#This Row],[CLASS]])&gt;=7,LEFT(Base_Periodo1[[#This Row],[CLASS]],7),"")</f>
        <v>3.1.1.1</v>
      </c>
      <c r="F5876" s="3" t="e">
        <f>VLOOKUP(Base_Periodo1[[#This Row],[Aux]],Base_Contas_Balanco[#All],2,FALSE)</f>
        <v>#N/A</v>
      </c>
      <c r="G5876" s="1"/>
      <c r="H5876" s="281">
        <v>202</v>
      </c>
      <c r="I5876" s="281">
        <v>328</v>
      </c>
      <c r="J5876" s="281">
        <v>0</v>
      </c>
      <c r="K5876" s="281">
        <v>530</v>
      </c>
      <c r="L587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-530</v>
      </c>
      <c r="M5876" s="281">
        <f>ROUND(IF(AND(Base_Periodo1[[#This Row],[Tipo_Linha]]="-",Base_Periodo1[[#This Row],[TIPOSALDO]]="D"),Base_Periodo1[[#This Row],[SALDO_ATUAL]]*-1,Base_Periodo1[[#This Row],[SALDO_ATUAL]]),4)</f>
        <v>530</v>
      </c>
      <c r="N5876" t="s">
        <v>396</v>
      </c>
      <c r="O5876" t="s">
        <v>397</v>
      </c>
      <c r="P5876" t="s">
        <v>397</v>
      </c>
      <c r="Q5876">
        <v>8</v>
      </c>
      <c r="R5876" s="281">
        <f>Base_Periodo1[[#This Row],[CREDITOS]]-Base_Periodo1[[#This Row],[DEBITOS]]</f>
        <v>-328</v>
      </c>
      <c r="S5876" s="3" t="str">
        <f>IF(ISERROR(VLOOKUP(Base_Periodo1[[#This Row],[CONTA]],BaseContasDRE[#All],4,FALSE)),"Fora do DRE",VLOOKUP(Base_Periodo1[[#This Row],[CONTA]],BaseContasDRE[#All],4,FALSE))</f>
        <v>Fora do DRE</v>
      </c>
      <c r="T5876" s="3" t="str">
        <f>IF(ISERROR(VLOOKUP(Base_Periodo1[[#This Row],[CONTA]],BaseContasDRE[#All],5,FALSE)),"Fora do DRE",VLOOKUP(Base_Periodo1[[#This Row],[CONTA]],BaseContasDRE[#All],6,FALSE))</f>
        <v>Fora do DRE</v>
      </c>
      <c r="U5876" s="3" t="str">
        <f>IF(ISERROR(VLOOKUP(Base_Periodo1[[#This Row],[CONTA]],BaseContasDRE[#All],7,FALSE)),"Fora do DRE",VLOOKUP(Base_Periodo1[[#This Row],[CONTA]],BaseContasDRE[#All],7,FALSE))</f>
        <v>Fora do DRE</v>
      </c>
      <c r="V5876" s="3" t="str">
        <f>IF(Base_Periodo1[[#This Row],[Tipo_Linha]]="Fora do DRE","Fora do DRE","( "&amp;Base_Periodo1[[#This Row],[Tipo_Linha]]&amp;" ) "&amp;Base_Periodo1[[#This Row],[Filtro]])</f>
        <v>Fora do DRE</v>
      </c>
      <c r="W5876" s="3" t="str">
        <f>LEFT(Base_Periodo1[[#This Row],[CLASS]],3)</f>
        <v>3.1</v>
      </c>
    </row>
    <row r="5877" spans="1:23" hidden="1">
      <c r="A5877" s="3" t="str">
        <f t="shared" si="91"/>
        <v>Período 1</v>
      </c>
      <c r="B5877">
        <v>1884</v>
      </c>
      <c r="C5877" t="s">
        <v>6587</v>
      </c>
      <c r="D5877" t="s">
        <v>3564</v>
      </c>
      <c r="E5877" s="3" t="str">
        <f>IF(LEN(Base_Periodo1[[#This Row],[CLASS]])&gt;=7,LEFT(Base_Periodo1[[#This Row],[CLASS]],7),"")</f>
        <v>3.1.1.1</v>
      </c>
      <c r="F5877" s="3" t="e">
        <f>VLOOKUP(Base_Periodo1[[#This Row],[Aux]],Base_Contas_Balanco[#All],2,FALSE)</f>
        <v>#N/A</v>
      </c>
      <c r="G5877" s="1">
        <v>42867</v>
      </c>
      <c r="H5877" s="281">
        <v>202</v>
      </c>
      <c r="I5877" s="281">
        <v>328</v>
      </c>
      <c r="J5877" s="281">
        <v>0</v>
      </c>
      <c r="K5877" s="281">
        <v>530</v>
      </c>
      <c r="L587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-530</v>
      </c>
      <c r="M5877" s="281">
        <f>ROUND(IF(AND(Base_Periodo1[[#This Row],[Tipo_Linha]]="-",Base_Periodo1[[#This Row],[TIPOSALDO]]="D"),Base_Periodo1[[#This Row],[SALDO_ATUAL]]*-1,Base_Periodo1[[#This Row],[SALDO_ATUAL]]),4)</f>
        <v>-530</v>
      </c>
      <c r="N5877" t="s">
        <v>116</v>
      </c>
      <c r="O5877" t="s">
        <v>397</v>
      </c>
      <c r="P5877" t="s">
        <v>397</v>
      </c>
      <c r="Q5877">
        <v>9</v>
      </c>
      <c r="R5877" s="281">
        <f>Base_Periodo1[[#This Row],[CREDITOS]]-Base_Periodo1[[#This Row],[DEBITOS]]</f>
        <v>-328</v>
      </c>
      <c r="S5877" s="3" t="str">
        <f>IF(ISERROR(VLOOKUP(Base_Periodo1[[#This Row],[CONTA]],BaseContasDRE[#All],4,FALSE)),"Fora do DRE",VLOOKUP(Base_Periodo1[[#This Row],[CONTA]],BaseContasDRE[#All],4,FALSE))</f>
        <v>-</v>
      </c>
      <c r="T5877" s="3">
        <f>IF(ISERROR(VLOOKUP(Base_Periodo1[[#This Row],[CONTA]],BaseContasDRE[#All],5,FALSE)),"Fora do DRE",VLOOKUP(Base_Periodo1[[#This Row],[CONTA]],BaseContasDRE[#All],6,FALSE))</f>
        <v>2</v>
      </c>
      <c r="U5877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877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877" s="3" t="str">
        <f>LEFT(Base_Periodo1[[#This Row],[CLASS]],3)</f>
        <v>3.1</v>
      </c>
    </row>
    <row r="5878" spans="1:23" hidden="1">
      <c r="A5878" s="3" t="str">
        <f t="shared" si="91"/>
        <v>Período 1</v>
      </c>
      <c r="B5878">
        <v>1885</v>
      </c>
      <c r="C5878" t="s">
        <v>6017</v>
      </c>
      <c r="D5878" t="s">
        <v>3565</v>
      </c>
      <c r="E5878" s="3" t="str">
        <f>IF(LEN(Base_Periodo1[[#This Row],[CLASS]])&gt;=7,LEFT(Base_Periodo1[[#This Row],[CLASS]],7),"")</f>
        <v>3.1.1.1</v>
      </c>
      <c r="F5878" s="3" t="e">
        <f>VLOOKUP(Base_Periodo1[[#This Row],[Aux]],Base_Contas_Balanco[#All],2,FALSE)</f>
        <v>#N/A</v>
      </c>
      <c r="G5878" s="1"/>
      <c r="H5878" s="281">
        <v>2.210000000000079</v>
      </c>
      <c r="I5878" s="281">
        <v>7.9</v>
      </c>
      <c r="J5878" s="281">
        <v>0</v>
      </c>
      <c r="K5878" s="281">
        <v>10.110000000000079</v>
      </c>
      <c r="L587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-10.11</v>
      </c>
      <c r="M5878" s="281">
        <f>ROUND(IF(AND(Base_Periodo1[[#This Row],[Tipo_Linha]]="-",Base_Periodo1[[#This Row],[TIPOSALDO]]="D"),Base_Periodo1[[#This Row],[SALDO_ATUAL]]*-1,Base_Periodo1[[#This Row],[SALDO_ATUAL]]),4)</f>
        <v>10.11</v>
      </c>
      <c r="N5878" t="s">
        <v>396</v>
      </c>
      <c r="O5878" t="s">
        <v>397</v>
      </c>
      <c r="P5878" t="s">
        <v>397</v>
      </c>
      <c r="Q5878">
        <v>8</v>
      </c>
      <c r="R5878" s="281">
        <f>Base_Periodo1[[#This Row],[CREDITOS]]-Base_Periodo1[[#This Row],[DEBITOS]]</f>
        <v>-7.9</v>
      </c>
      <c r="S5878" s="3" t="str">
        <f>IF(ISERROR(VLOOKUP(Base_Periodo1[[#This Row],[CONTA]],BaseContasDRE[#All],4,FALSE)),"Fora do DRE",VLOOKUP(Base_Periodo1[[#This Row],[CONTA]],BaseContasDRE[#All],4,FALSE))</f>
        <v>Fora do DRE</v>
      </c>
      <c r="T5878" s="3" t="str">
        <f>IF(ISERROR(VLOOKUP(Base_Periodo1[[#This Row],[CONTA]],BaseContasDRE[#All],5,FALSE)),"Fora do DRE",VLOOKUP(Base_Periodo1[[#This Row],[CONTA]],BaseContasDRE[#All],6,FALSE))</f>
        <v>Fora do DRE</v>
      </c>
      <c r="U5878" s="3" t="str">
        <f>IF(ISERROR(VLOOKUP(Base_Periodo1[[#This Row],[CONTA]],BaseContasDRE[#All],7,FALSE)),"Fora do DRE",VLOOKUP(Base_Periodo1[[#This Row],[CONTA]],BaseContasDRE[#All],7,FALSE))</f>
        <v>Fora do DRE</v>
      </c>
      <c r="V5878" s="3" t="str">
        <f>IF(Base_Periodo1[[#This Row],[Tipo_Linha]]="Fora do DRE","Fora do DRE","( "&amp;Base_Periodo1[[#This Row],[Tipo_Linha]]&amp;" ) "&amp;Base_Periodo1[[#This Row],[Filtro]])</f>
        <v>Fora do DRE</v>
      </c>
      <c r="W5878" s="3" t="str">
        <f>LEFT(Base_Periodo1[[#This Row],[CLASS]],3)</f>
        <v>3.1</v>
      </c>
    </row>
    <row r="5879" spans="1:23" hidden="1">
      <c r="A5879" s="3" t="str">
        <f t="shared" si="91"/>
        <v>Período 1</v>
      </c>
      <c r="B5879">
        <v>1886</v>
      </c>
      <c r="C5879" t="s">
        <v>6018</v>
      </c>
      <c r="D5879" t="s">
        <v>3566</v>
      </c>
      <c r="E5879" s="3" t="str">
        <f>IF(LEN(Base_Periodo1[[#This Row],[CLASS]])&gt;=7,LEFT(Base_Periodo1[[#This Row],[CLASS]],7),"")</f>
        <v>3.1.1.1</v>
      </c>
      <c r="F5879" s="3" t="e">
        <f>VLOOKUP(Base_Periodo1[[#This Row],[Aux]],Base_Contas_Balanco[#All],2,FALSE)</f>
        <v>#N/A</v>
      </c>
      <c r="G5879" s="1">
        <v>42872</v>
      </c>
      <c r="H5879" s="281">
        <v>2.2099999999999937</v>
      </c>
      <c r="I5879" s="281">
        <v>7.9</v>
      </c>
      <c r="J5879" s="281">
        <v>0</v>
      </c>
      <c r="K5879" s="281">
        <v>10.109999999999994</v>
      </c>
      <c r="L587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-10.11</v>
      </c>
      <c r="M5879" s="281">
        <f>ROUND(IF(AND(Base_Periodo1[[#This Row],[Tipo_Linha]]="-",Base_Periodo1[[#This Row],[TIPOSALDO]]="D"),Base_Periodo1[[#This Row],[SALDO_ATUAL]]*-1,Base_Periodo1[[#This Row],[SALDO_ATUAL]]),4)</f>
        <v>-10.11</v>
      </c>
      <c r="N5879" t="s">
        <v>116</v>
      </c>
      <c r="O5879" t="s">
        <v>397</v>
      </c>
      <c r="P5879" t="s">
        <v>397</v>
      </c>
      <c r="Q5879">
        <v>9</v>
      </c>
      <c r="R5879" s="281">
        <f>Base_Periodo1[[#This Row],[CREDITOS]]-Base_Periodo1[[#This Row],[DEBITOS]]</f>
        <v>-7.9</v>
      </c>
      <c r="S5879" s="3" t="str">
        <f>IF(ISERROR(VLOOKUP(Base_Periodo1[[#This Row],[CONTA]],BaseContasDRE[#All],4,FALSE)),"Fora do DRE",VLOOKUP(Base_Periodo1[[#This Row],[CONTA]],BaseContasDRE[#All],4,FALSE))</f>
        <v>-</v>
      </c>
      <c r="T5879" s="3">
        <f>IF(ISERROR(VLOOKUP(Base_Periodo1[[#This Row],[CONTA]],BaseContasDRE[#All],5,FALSE)),"Fora do DRE",VLOOKUP(Base_Periodo1[[#This Row],[CONTA]],BaseContasDRE[#All],6,FALSE))</f>
        <v>2</v>
      </c>
      <c r="U5879" s="3" t="str">
        <f>IF(ISERROR(VLOOKUP(Base_Periodo1[[#This Row],[CONTA]],BaseContasDRE[#All],7,FALSE)),"Fora do DRE",VLOOKUP(Base_Periodo1[[#This Row],[CONTA]],BaseContasDRE[#All],7,FALSE))</f>
        <v>ICMS SOBRE INGRESSOS E RECEITAS</v>
      </c>
      <c r="V5879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5879" s="3" t="str">
        <f>LEFT(Base_Periodo1[[#This Row],[CLASS]],3)</f>
        <v>3.1</v>
      </c>
    </row>
    <row r="5880" spans="1:23" hidden="1">
      <c r="A5880" s="3" t="str">
        <f t="shared" si="91"/>
        <v>Período 1</v>
      </c>
      <c r="B5880">
        <v>1887</v>
      </c>
      <c r="C5880" t="s">
        <v>3611</v>
      </c>
      <c r="D5880" t="s">
        <v>3567</v>
      </c>
      <c r="E5880" s="3" t="str">
        <f>IF(LEN(Base_Periodo1[[#This Row],[CLASS]])&gt;=7,LEFT(Base_Periodo1[[#This Row],[CLASS]],7),"")</f>
        <v>3.1.1.1</v>
      </c>
      <c r="F5880" s="3" t="e">
        <f>VLOOKUP(Base_Periodo1[[#This Row],[Aux]],Base_Contas_Balanco[#All],2,FALSE)</f>
        <v>#N/A</v>
      </c>
      <c r="G5880" s="1"/>
      <c r="H5880" s="281">
        <v>38950.199999999953</v>
      </c>
      <c r="I5880" s="281">
        <v>6752.54</v>
      </c>
      <c r="J5880" s="281">
        <v>0</v>
      </c>
      <c r="K5880" s="281">
        <v>45702.739999999954</v>
      </c>
      <c r="L588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-45702.74</v>
      </c>
      <c r="M5880" s="281">
        <f>ROUND(IF(AND(Base_Periodo1[[#This Row],[Tipo_Linha]]="-",Base_Periodo1[[#This Row],[TIPOSALDO]]="D"),Base_Periodo1[[#This Row],[SALDO_ATUAL]]*-1,Base_Periodo1[[#This Row],[SALDO_ATUAL]]),4)</f>
        <v>45702.74</v>
      </c>
      <c r="N5880" t="s">
        <v>396</v>
      </c>
      <c r="O5880" t="s">
        <v>397</v>
      </c>
      <c r="P5880" t="s">
        <v>397</v>
      </c>
      <c r="Q5880">
        <v>8</v>
      </c>
      <c r="R5880" s="281">
        <f>Base_Periodo1[[#This Row],[CREDITOS]]-Base_Periodo1[[#This Row],[DEBITOS]]</f>
        <v>-6752.54</v>
      </c>
      <c r="S5880" s="3" t="str">
        <f>IF(ISERROR(VLOOKUP(Base_Periodo1[[#This Row],[CONTA]],BaseContasDRE[#All],4,FALSE)),"Fora do DRE",VLOOKUP(Base_Periodo1[[#This Row],[CONTA]],BaseContasDRE[#All],4,FALSE))</f>
        <v>Fora do DRE</v>
      </c>
      <c r="T5880" s="3" t="str">
        <f>IF(ISERROR(VLOOKUP(Base_Periodo1[[#This Row],[CONTA]],BaseContasDRE[#All],5,FALSE)),"Fora do DRE",VLOOKUP(Base_Periodo1[[#This Row],[CONTA]],BaseContasDRE[#All],6,FALSE))</f>
        <v>Fora do DRE</v>
      </c>
      <c r="U5880" s="3" t="str">
        <f>IF(ISERROR(VLOOKUP(Base_Periodo1[[#This Row],[CONTA]],BaseContasDRE[#All],7,FALSE)),"Fora do DRE",VLOOKUP(Base_Periodo1[[#This Row],[CONTA]],BaseContasDRE[#All],7,FALSE))</f>
        <v>Fora do DRE</v>
      </c>
      <c r="V5880" s="3" t="str">
        <f>IF(Base_Periodo1[[#This Row],[Tipo_Linha]]="Fora do DRE","Fora do DRE","( "&amp;Base_Periodo1[[#This Row],[Tipo_Linha]]&amp;" ) "&amp;Base_Periodo1[[#This Row],[Filtro]])</f>
        <v>Fora do DRE</v>
      </c>
      <c r="W5880" s="3" t="str">
        <f>LEFT(Base_Periodo1[[#This Row],[CLASS]],3)</f>
        <v>3.1</v>
      </c>
    </row>
    <row r="5881" spans="1:23" hidden="1">
      <c r="A5881" s="3" t="str">
        <f t="shared" si="91"/>
        <v>Período 1</v>
      </c>
      <c r="B5881">
        <v>1888</v>
      </c>
      <c r="C5881" t="s">
        <v>3612</v>
      </c>
      <c r="D5881" t="s">
        <v>3568</v>
      </c>
      <c r="E5881" s="3" t="str">
        <f>IF(LEN(Base_Periodo1[[#This Row],[CLASS]])&gt;=7,LEFT(Base_Periodo1[[#This Row],[CLASS]],7),"")</f>
        <v>3.1.1.1</v>
      </c>
      <c r="F5881" s="3" t="e">
        <f>VLOOKUP(Base_Periodo1[[#This Row],[Aux]],Base_Contas_Balanco[#All],2,FALSE)</f>
        <v>#N/A</v>
      </c>
      <c r="G5881" s="1">
        <v>42886</v>
      </c>
      <c r="H5881" s="281">
        <v>38950.199999999953</v>
      </c>
      <c r="I5881" s="281">
        <v>6752.54</v>
      </c>
      <c r="J5881" s="281">
        <v>0</v>
      </c>
      <c r="K5881" s="281">
        <v>45702.739999999954</v>
      </c>
      <c r="L588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-45702.74</v>
      </c>
      <c r="M5881" s="281">
        <f>ROUND(IF(AND(Base_Periodo1[[#This Row],[Tipo_Linha]]="-",Base_Periodo1[[#This Row],[TIPOSALDO]]="D"),Base_Periodo1[[#This Row],[SALDO_ATUAL]]*-1,Base_Periodo1[[#This Row],[SALDO_ATUAL]]),4)</f>
        <v>-45702.74</v>
      </c>
      <c r="N5881" t="s">
        <v>116</v>
      </c>
      <c r="O5881" t="s">
        <v>397</v>
      </c>
      <c r="P5881" t="s">
        <v>397</v>
      </c>
      <c r="Q5881">
        <v>9</v>
      </c>
      <c r="R5881" s="281">
        <f>Base_Periodo1[[#This Row],[CREDITOS]]-Base_Periodo1[[#This Row],[DEBITOS]]</f>
        <v>-6752.54</v>
      </c>
      <c r="S5881" s="3" t="str">
        <f>IF(ISERROR(VLOOKUP(Base_Periodo1[[#This Row],[CONTA]],BaseContasDRE[#All],4,FALSE)),"Fora do DRE",VLOOKUP(Base_Periodo1[[#This Row],[CONTA]],BaseContasDRE[#All],4,FALSE))</f>
        <v>-</v>
      </c>
      <c r="T5881" s="3">
        <f>IF(ISERROR(VLOOKUP(Base_Periodo1[[#This Row],[CONTA]],BaseContasDRE[#All],5,FALSE)),"Fora do DRE",VLOOKUP(Base_Periodo1[[#This Row],[CONTA]],BaseContasDRE[#All],6,FALSE))</f>
        <v>3</v>
      </c>
      <c r="U5881" s="3" t="str">
        <f>IF(ISERROR(VLOOKUP(Base_Periodo1[[#This Row],[CONTA]],BaseContasDRE[#All],7,FALSE)),"Fora do DRE",VLOOKUP(Base_Periodo1[[#This Row],[CONTA]],BaseContasDRE[#All],7,FALSE))</f>
        <v>INSUMOS AGROPECUARIOS</v>
      </c>
      <c r="V5881" s="3" t="str">
        <f>IF(Base_Periodo1[[#This Row],[Tipo_Linha]]="Fora do DRE","Fora do DRE","( "&amp;Base_Periodo1[[#This Row],[Tipo_Linha]]&amp;" ) "&amp;Base_Periodo1[[#This Row],[Filtro]])</f>
        <v>( - ) INSUMOS AGROPECUARIOS</v>
      </c>
      <c r="W5881" s="3" t="str">
        <f>LEFT(Base_Periodo1[[#This Row],[CLASS]],3)</f>
        <v>3.1</v>
      </c>
    </row>
    <row r="5882" spans="1:23" hidden="1">
      <c r="A5882" s="3" t="str">
        <f t="shared" si="91"/>
        <v>Período 1</v>
      </c>
      <c r="B5882">
        <v>1898</v>
      </c>
      <c r="C5882" t="s">
        <v>3613</v>
      </c>
      <c r="D5882" t="s">
        <v>1224</v>
      </c>
      <c r="E5882" s="3" t="str">
        <f>IF(LEN(Base_Periodo1[[#This Row],[CLASS]])&gt;=7,LEFT(Base_Periodo1[[#This Row],[CLASS]],7),"")</f>
        <v>3.1.1.1</v>
      </c>
      <c r="F5882" s="3" t="e">
        <f>VLOOKUP(Base_Periodo1[[#This Row],[Aux]],Base_Contas_Balanco[#All],2,FALSE)</f>
        <v>#N/A</v>
      </c>
      <c r="G5882" s="1"/>
      <c r="H5882" s="281">
        <v>159925.99999999264</v>
      </c>
      <c r="I5882" s="281">
        <v>24531.91</v>
      </c>
      <c r="J5882" s="281">
        <v>70439.72</v>
      </c>
      <c r="K5882" s="281">
        <v>205833.80999999263</v>
      </c>
      <c r="L588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205833.81</v>
      </c>
      <c r="M5882" s="281">
        <f>ROUND(IF(AND(Base_Periodo1[[#This Row],[Tipo_Linha]]="-",Base_Periodo1[[#This Row],[TIPOSALDO]]="D"),Base_Periodo1[[#This Row],[SALDO_ATUAL]]*-1,Base_Periodo1[[#This Row],[SALDO_ATUAL]]),4)</f>
        <v>205833.81</v>
      </c>
      <c r="N5882" t="s">
        <v>396</v>
      </c>
      <c r="O5882" t="s">
        <v>459</v>
      </c>
      <c r="P5882" t="s">
        <v>459</v>
      </c>
      <c r="Q5882">
        <v>7</v>
      </c>
      <c r="R5882" s="281">
        <f>Base_Periodo1[[#This Row],[CREDITOS]]-Base_Periodo1[[#This Row],[DEBITOS]]</f>
        <v>45907.81</v>
      </c>
      <c r="S5882" s="3" t="str">
        <f>IF(ISERROR(VLOOKUP(Base_Periodo1[[#This Row],[CONTA]],BaseContasDRE[#All],4,FALSE)),"Fora do DRE",VLOOKUP(Base_Periodo1[[#This Row],[CONTA]],BaseContasDRE[#All],4,FALSE))</f>
        <v>Fora do DRE</v>
      </c>
      <c r="T5882" s="3" t="str">
        <f>IF(ISERROR(VLOOKUP(Base_Periodo1[[#This Row],[CONTA]],BaseContasDRE[#All],5,FALSE)),"Fora do DRE",VLOOKUP(Base_Periodo1[[#This Row],[CONTA]],BaseContasDRE[#All],6,FALSE))</f>
        <v>Fora do DRE</v>
      </c>
      <c r="U5882" s="3" t="str">
        <f>IF(ISERROR(VLOOKUP(Base_Periodo1[[#This Row],[CONTA]],BaseContasDRE[#All],7,FALSE)),"Fora do DRE",VLOOKUP(Base_Periodo1[[#This Row],[CONTA]],BaseContasDRE[#All],7,FALSE))</f>
        <v>Fora do DRE</v>
      </c>
      <c r="V5882" s="3" t="str">
        <f>IF(Base_Periodo1[[#This Row],[Tipo_Linha]]="Fora do DRE","Fora do DRE","( "&amp;Base_Periodo1[[#This Row],[Tipo_Linha]]&amp;" ) "&amp;Base_Periodo1[[#This Row],[Filtro]])</f>
        <v>Fora do DRE</v>
      </c>
      <c r="W5882" s="3" t="str">
        <f>LEFT(Base_Periodo1[[#This Row],[CLASS]],3)</f>
        <v>3.1</v>
      </c>
    </row>
    <row r="5883" spans="1:23" hidden="1">
      <c r="A5883" s="3" t="str">
        <f t="shared" si="91"/>
        <v>Período 1</v>
      </c>
      <c r="B5883">
        <v>1899</v>
      </c>
      <c r="C5883" t="s">
        <v>3614</v>
      </c>
      <c r="D5883" t="s">
        <v>3578</v>
      </c>
      <c r="E5883" s="3" t="str">
        <f>IF(LEN(Base_Periodo1[[#This Row],[CLASS]])&gt;=7,LEFT(Base_Periodo1[[#This Row],[CLASS]],7),"")</f>
        <v>3.1.1.1</v>
      </c>
      <c r="F5883" s="3" t="e">
        <f>VLOOKUP(Base_Periodo1[[#This Row],[Aux]],Base_Contas_Balanco[#All],2,FALSE)</f>
        <v>#N/A</v>
      </c>
      <c r="G5883" s="1"/>
      <c r="H5883" s="281">
        <v>581521.63999999128</v>
      </c>
      <c r="I5883" s="281">
        <v>0</v>
      </c>
      <c r="J5883" s="281">
        <v>63095.720000000008</v>
      </c>
      <c r="K5883" s="281">
        <v>644617.35999999125</v>
      </c>
      <c r="L588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644617.36</v>
      </c>
      <c r="M5883" s="281">
        <f>ROUND(IF(AND(Base_Periodo1[[#This Row],[Tipo_Linha]]="-",Base_Periodo1[[#This Row],[TIPOSALDO]]="D"),Base_Periodo1[[#This Row],[SALDO_ATUAL]]*-1,Base_Periodo1[[#This Row],[SALDO_ATUAL]]),4)</f>
        <v>644617.36</v>
      </c>
      <c r="N5883" t="s">
        <v>396</v>
      </c>
      <c r="O5883" t="s">
        <v>459</v>
      </c>
      <c r="P5883" t="s">
        <v>459</v>
      </c>
      <c r="Q5883">
        <v>8</v>
      </c>
      <c r="R5883" s="281">
        <f>Base_Periodo1[[#This Row],[CREDITOS]]-Base_Periodo1[[#This Row],[DEBITOS]]</f>
        <v>63095.720000000008</v>
      </c>
      <c r="S5883" s="3" t="str">
        <f>IF(ISERROR(VLOOKUP(Base_Periodo1[[#This Row],[CONTA]],BaseContasDRE[#All],4,FALSE)),"Fora do DRE",VLOOKUP(Base_Periodo1[[#This Row],[CONTA]],BaseContasDRE[#All],4,FALSE))</f>
        <v>Fora do DRE</v>
      </c>
      <c r="T5883" s="3" t="str">
        <f>IF(ISERROR(VLOOKUP(Base_Periodo1[[#This Row],[CONTA]],BaseContasDRE[#All],5,FALSE)),"Fora do DRE",VLOOKUP(Base_Periodo1[[#This Row],[CONTA]],BaseContasDRE[#All],6,FALSE))</f>
        <v>Fora do DRE</v>
      </c>
      <c r="U5883" s="3" t="str">
        <f>IF(ISERROR(VLOOKUP(Base_Periodo1[[#This Row],[CONTA]],BaseContasDRE[#All],7,FALSE)),"Fora do DRE",VLOOKUP(Base_Periodo1[[#This Row],[CONTA]],BaseContasDRE[#All],7,FALSE))</f>
        <v>Fora do DRE</v>
      </c>
      <c r="V5883" s="3" t="str">
        <f>IF(Base_Periodo1[[#This Row],[Tipo_Linha]]="Fora do DRE","Fora do DRE","( "&amp;Base_Periodo1[[#This Row],[Tipo_Linha]]&amp;" ) "&amp;Base_Periodo1[[#This Row],[Filtro]])</f>
        <v>Fora do DRE</v>
      </c>
      <c r="W5883" s="3" t="str">
        <f>LEFT(Base_Periodo1[[#This Row],[CLASS]],3)</f>
        <v>3.1</v>
      </c>
    </row>
    <row r="5884" spans="1:23" hidden="1">
      <c r="A5884" s="3" t="str">
        <f t="shared" si="91"/>
        <v>Período 1</v>
      </c>
      <c r="B5884">
        <v>1900</v>
      </c>
      <c r="C5884" t="s">
        <v>3615</v>
      </c>
      <c r="D5884" t="s">
        <v>3562</v>
      </c>
      <c r="E5884" s="3" t="str">
        <f>IF(LEN(Base_Periodo1[[#This Row],[CLASS]])&gt;=7,LEFT(Base_Periodo1[[#This Row],[CLASS]],7),"")</f>
        <v>3.1.1.1</v>
      </c>
      <c r="F5884" s="3" t="e">
        <f>VLOOKUP(Base_Periodo1[[#This Row],[Aux]],Base_Contas_Balanco[#All],2,FALSE)</f>
        <v>#N/A</v>
      </c>
      <c r="G5884" s="1">
        <v>42885</v>
      </c>
      <c r="H5884" s="281">
        <v>581521.63999999128</v>
      </c>
      <c r="I5884" s="281">
        <v>0</v>
      </c>
      <c r="J5884" s="281">
        <v>63095.720000000008</v>
      </c>
      <c r="K5884" s="281">
        <v>644617.35999999125</v>
      </c>
      <c r="L588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644617.36</v>
      </c>
      <c r="M5884" s="281">
        <f>ROUND(IF(AND(Base_Periodo1[[#This Row],[Tipo_Linha]]="-",Base_Periodo1[[#This Row],[TIPOSALDO]]="D"),Base_Periodo1[[#This Row],[SALDO_ATUAL]]*-1,Base_Periodo1[[#This Row],[SALDO_ATUAL]]),4)</f>
        <v>644617.36</v>
      </c>
      <c r="N5884" t="s">
        <v>116</v>
      </c>
      <c r="O5884" t="s">
        <v>459</v>
      </c>
      <c r="P5884" t="s">
        <v>459</v>
      </c>
      <c r="Q5884">
        <v>9</v>
      </c>
      <c r="R5884" s="281">
        <f>Base_Periodo1[[#This Row],[CREDITOS]]-Base_Periodo1[[#This Row],[DEBITOS]]</f>
        <v>63095.720000000008</v>
      </c>
      <c r="S5884" s="3" t="str">
        <f>IF(ISERROR(VLOOKUP(Base_Periodo1[[#This Row],[CONTA]],BaseContasDRE[#All],4,FALSE)),"Fora do DRE",VLOOKUP(Base_Periodo1[[#This Row],[CONTA]],BaseContasDRE[#All],4,FALSE))</f>
        <v>+</v>
      </c>
      <c r="T5884" s="3">
        <f>IF(ISERROR(VLOOKUP(Base_Periodo1[[#This Row],[CONTA]],BaseContasDRE[#All],5,FALSE)),"Fora do DRE",VLOOKUP(Base_Periodo1[[#This Row],[CONTA]],BaseContasDRE[#All],6,FALSE))</f>
        <v>1</v>
      </c>
      <c r="U5884" s="3" t="str">
        <f>IF(ISERROR(VLOOKUP(Base_Periodo1[[#This Row],[CONTA]],BaseContasDRE[#All],7,FALSE)),"Fora do DRE",VLOOKUP(Base_Periodo1[[#This Row],[CONTA]],BaseContasDRE[#All],7,FALSE))</f>
        <v>INSUMOS AGROPECUARIOS</v>
      </c>
      <c r="V5884" s="3" t="str">
        <f>IF(Base_Periodo1[[#This Row],[Tipo_Linha]]="Fora do DRE","Fora do DRE","( "&amp;Base_Periodo1[[#This Row],[Tipo_Linha]]&amp;" ) "&amp;Base_Periodo1[[#This Row],[Filtro]])</f>
        <v>( + ) INSUMOS AGROPECUARIOS</v>
      </c>
      <c r="W5884" s="3" t="str">
        <f>LEFT(Base_Periodo1[[#This Row],[CLASS]],3)</f>
        <v>3.1</v>
      </c>
    </row>
    <row r="5885" spans="1:23" hidden="1">
      <c r="A5885" s="3" t="str">
        <f t="shared" si="91"/>
        <v>Período 1</v>
      </c>
      <c r="B5885">
        <v>1901</v>
      </c>
      <c r="C5885" t="s">
        <v>6588</v>
      </c>
      <c r="D5885" t="s">
        <v>3591</v>
      </c>
      <c r="E5885" s="3" t="str">
        <f>IF(LEN(Base_Periodo1[[#This Row],[CLASS]])&gt;=7,LEFT(Base_Periodo1[[#This Row],[CLASS]],7),"")</f>
        <v>3.1.1.1</v>
      </c>
      <c r="F5885" s="3" t="e">
        <f>VLOOKUP(Base_Periodo1[[#This Row],[Aux]],Base_Contas_Balanco[#All],2,FALSE)</f>
        <v>#N/A</v>
      </c>
      <c r="G5885" s="1"/>
      <c r="H5885" s="281"/>
      <c r="I5885" s="281">
        <v>0</v>
      </c>
      <c r="J5885" s="281">
        <v>7344</v>
      </c>
      <c r="K5885" s="281">
        <v>7344</v>
      </c>
      <c r="L588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7344</v>
      </c>
      <c r="M5885" s="281">
        <f>ROUND(IF(AND(Base_Periodo1[[#This Row],[Tipo_Linha]]="-",Base_Periodo1[[#This Row],[TIPOSALDO]]="D"),Base_Periodo1[[#This Row],[SALDO_ATUAL]]*-1,Base_Periodo1[[#This Row],[SALDO_ATUAL]]),4)</f>
        <v>7344</v>
      </c>
      <c r="N5885" t="s">
        <v>396</v>
      </c>
      <c r="O5885" t="s">
        <v>436</v>
      </c>
      <c r="P5885" t="s">
        <v>459</v>
      </c>
      <c r="Q5885">
        <v>8</v>
      </c>
      <c r="R5885" s="281">
        <f>Base_Periodo1[[#This Row],[CREDITOS]]-Base_Periodo1[[#This Row],[DEBITOS]]</f>
        <v>7344</v>
      </c>
      <c r="S5885" s="3" t="str">
        <f>IF(ISERROR(VLOOKUP(Base_Periodo1[[#This Row],[CONTA]],BaseContasDRE[#All],4,FALSE)),"Fora do DRE",VLOOKUP(Base_Periodo1[[#This Row],[CONTA]],BaseContasDRE[#All],4,FALSE))</f>
        <v>Fora do DRE</v>
      </c>
      <c r="T5885" s="3" t="str">
        <f>IF(ISERROR(VLOOKUP(Base_Periodo1[[#This Row],[CONTA]],BaseContasDRE[#All],5,FALSE)),"Fora do DRE",VLOOKUP(Base_Periodo1[[#This Row],[CONTA]],BaseContasDRE[#All],6,FALSE))</f>
        <v>Fora do DRE</v>
      </c>
      <c r="U5885" s="3" t="str">
        <f>IF(ISERROR(VLOOKUP(Base_Periodo1[[#This Row],[CONTA]],BaseContasDRE[#All],7,FALSE)),"Fora do DRE",VLOOKUP(Base_Periodo1[[#This Row],[CONTA]],BaseContasDRE[#All],7,FALSE))</f>
        <v>Fora do DRE</v>
      </c>
      <c r="V5885" s="3" t="str">
        <f>IF(Base_Periodo1[[#This Row],[Tipo_Linha]]="Fora do DRE","Fora do DRE","( "&amp;Base_Periodo1[[#This Row],[Tipo_Linha]]&amp;" ) "&amp;Base_Periodo1[[#This Row],[Filtro]])</f>
        <v>Fora do DRE</v>
      </c>
      <c r="W5885" s="3" t="str">
        <f>LEFT(Base_Periodo1[[#This Row],[CLASS]],3)</f>
        <v>3.1</v>
      </c>
    </row>
    <row r="5886" spans="1:23" hidden="1">
      <c r="A5886" s="3" t="str">
        <f t="shared" si="91"/>
        <v>Período 1</v>
      </c>
      <c r="B5886">
        <v>1902</v>
      </c>
      <c r="C5886" t="s">
        <v>6589</v>
      </c>
      <c r="D5886" t="s">
        <v>3592</v>
      </c>
      <c r="E5886" s="3" t="str">
        <f>IF(LEN(Base_Periodo1[[#This Row],[CLASS]])&gt;=7,LEFT(Base_Periodo1[[#This Row],[CLASS]],7),"")</f>
        <v>3.1.1.1</v>
      </c>
      <c r="F5886" s="3" t="e">
        <f>VLOOKUP(Base_Periodo1[[#This Row],[Aux]],Base_Contas_Balanco[#All],2,FALSE)</f>
        <v>#N/A</v>
      </c>
      <c r="G5886" s="1">
        <v>42860</v>
      </c>
      <c r="H5886" s="281"/>
      <c r="I5886" s="281">
        <v>0</v>
      </c>
      <c r="J5886" s="281">
        <v>7344</v>
      </c>
      <c r="K5886" s="281">
        <v>7344</v>
      </c>
      <c r="L588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7344</v>
      </c>
      <c r="M5886" s="281">
        <f>ROUND(IF(AND(Base_Periodo1[[#This Row],[Tipo_Linha]]="-",Base_Periodo1[[#This Row],[TIPOSALDO]]="D"),Base_Periodo1[[#This Row],[SALDO_ATUAL]]*-1,Base_Periodo1[[#This Row],[SALDO_ATUAL]]),4)</f>
        <v>7344</v>
      </c>
      <c r="N5886" t="s">
        <v>116</v>
      </c>
      <c r="O5886" t="s">
        <v>436</v>
      </c>
      <c r="P5886" t="s">
        <v>459</v>
      </c>
      <c r="Q5886">
        <v>9</v>
      </c>
      <c r="R5886" s="281">
        <f>Base_Periodo1[[#This Row],[CREDITOS]]-Base_Periodo1[[#This Row],[DEBITOS]]</f>
        <v>7344</v>
      </c>
      <c r="S5886" s="3" t="str">
        <f>IF(ISERROR(VLOOKUP(Base_Periodo1[[#This Row],[CONTA]],BaseContasDRE[#All],4,FALSE)),"Fora do DRE",VLOOKUP(Base_Periodo1[[#This Row],[CONTA]],BaseContasDRE[#All],4,FALSE))</f>
        <v>+</v>
      </c>
      <c r="T5886" s="3">
        <f>IF(ISERROR(VLOOKUP(Base_Periodo1[[#This Row],[CONTA]],BaseContasDRE[#All],5,FALSE)),"Fora do DRE",VLOOKUP(Base_Periodo1[[#This Row],[CONTA]],BaseContasDRE[#All],6,FALSE))</f>
        <v>1</v>
      </c>
      <c r="U5886" s="3" t="str">
        <f>IF(ISERROR(VLOOKUP(Base_Periodo1[[#This Row],[CONTA]],BaseContasDRE[#All],7,FALSE)),"Fora do DRE",VLOOKUP(Base_Periodo1[[#This Row],[CONTA]],BaseContasDRE[#All],7,FALSE))</f>
        <v>BONIFICAÇÕES RECEBIDAS</v>
      </c>
      <c r="V5886" s="3" t="str">
        <f>IF(Base_Periodo1[[#This Row],[Tipo_Linha]]="Fora do DRE","Fora do DRE","( "&amp;Base_Periodo1[[#This Row],[Tipo_Linha]]&amp;" ) "&amp;Base_Periodo1[[#This Row],[Filtro]])</f>
        <v>( + ) BONIFICAÇÕES RECEBIDAS</v>
      </c>
      <c r="W5886" s="3" t="str">
        <f>LEFT(Base_Periodo1[[#This Row],[CLASS]],3)</f>
        <v>3.1</v>
      </c>
    </row>
    <row r="5887" spans="1:23" hidden="1">
      <c r="A5887" s="3" t="str">
        <f t="shared" si="91"/>
        <v>Período 1</v>
      </c>
      <c r="B5887">
        <v>1903</v>
      </c>
      <c r="C5887" t="s">
        <v>4488</v>
      </c>
      <c r="D5887" t="s">
        <v>3563</v>
      </c>
      <c r="E5887" s="3" t="str">
        <f>IF(LEN(Base_Periodo1[[#This Row],[CLASS]])&gt;=7,LEFT(Base_Periodo1[[#This Row],[CLASS]],7),"")</f>
        <v>3.1.1.1</v>
      </c>
      <c r="F5887" s="3" t="e">
        <f>VLOOKUP(Base_Periodo1[[#This Row],[Aux]],Base_Contas_Balanco[#All],2,FALSE)</f>
        <v>#N/A</v>
      </c>
      <c r="G5887" s="1"/>
      <c r="H5887" s="281">
        <v>2758.3000000000029</v>
      </c>
      <c r="I5887" s="281">
        <v>102</v>
      </c>
      <c r="J5887" s="281">
        <v>0</v>
      </c>
      <c r="K5887" s="281">
        <v>2860.3000000000029</v>
      </c>
      <c r="L588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-2860.3</v>
      </c>
      <c r="M5887" s="281">
        <f>ROUND(IF(AND(Base_Periodo1[[#This Row],[Tipo_Linha]]="-",Base_Periodo1[[#This Row],[TIPOSALDO]]="D"),Base_Periodo1[[#This Row],[SALDO_ATUAL]]*-1,Base_Periodo1[[#This Row],[SALDO_ATUAL]]),4)</f>
        <v>2860.3</v>
      </c>
      <c r="N5887" t="s">
        <v>396</v>
      </c>
      <c r="O5887" t="s">
        <v>397</v>
      </c>
      <c r="P5887" t="s">
        <v>397</v>
      </c>
      <c r="Q5887">
        <v>8</v>
      </c>
      <c r="R5887" s="281">
        <f>Base_Periodo1[[#This Row],[CREDITOS]]-Base_Periodo1[[#This Row],[DEBITOS]]</f>
        <v>-102</v>
      </c>
      <c r="S5887" s="3" t="str">
        <f>IF(ISERROR(VLOOKUP(Base_Periodo1[[#This Row],[CONTA]],BaseContasDRE[#All],4,FALSE)),"Fora do DRE",VLOOKUP(Base_Periodo1[[#This Row],[CONTA]],BaseContasDRE[#All],4,FALSE))</f>
        <v>Fora do DRE</v>
      </c>
      <c r="T5887" s="3" t="str">
        <f>IF(ISERROR(VLOOKUP(Base_Periodo1[[#This Row],[CONTA]],BaseContasDRE[#All],5,FALSE)),"Fora do DRE",VLOOKUP(Base_Periodo1[[#This Row],[CONTA]],BaseContasDRE[#All],6,FALSE))</f>
        <v>Fora do DRE</v>
      </c>
      <c r="U5887" s="3" t="str">
        <f>IF(ISERROR(VLOOKUP(Base_Periodo1[[#This Row],[CONTA]],BaseContasDRE[#All],7,FALSE)),"Fora do DRE",VLOOKUP(Base_Periodo1[[#This Row],[CONTA]],BaseContasDRE[#All],7,FALSE))</f>
        <v>Fora do DRE</v>
      </c>
      <c r="V5887" s="3" t="str">
        <f>IF(Base_Periodo1[[#This Row],[Tipo_Linha]]="Fora do DRE","Fora do DRE","( "&amp;Base_Periodo1[[#This Row],[Tipo_Linha]]&amp;" ) "&amp;Base_Periodo1[[#This Row],[Filtro]])</f>
        <v>Fora do DRE</v>
      </c>
      <c r="W5887" s="3" t="str">
        <f>LEFT(Base_Periodo1[[#This Row],[CLASS]],3)</f>
        <v>3.1</v>
      </c>
    </row>
    <row r="5888" spans="1:23" hidden="1">
      <c r="A5888" s="3" t="str">
        <f t="shared" si="91"/>
        <v>Período 1</v>
      </c>
      <c r="B5888">
        <v>1904</v>
      </c>
      <c r="C5888" t="s">
        <v>4489</v>
      </c>
      <c r="D5888" t="s">
        <v>3564</v>
      </c>
      <c r="E5888" s="3" t="str">
        <f>IF(LEN(Base_Periodo1[[#This Row],[CLASS]])&gt;=7,LEFT(Base_Periodo1[[#This Row],[CLASS]],7),"")</f>
        <v>3.1.1.1</v>
      </c>
      <c r="F5888" s="3" t="e">
        <f>VLOOKUP(Base_Periodo1[[#This Row],[Aux]],Base_Contas_Balanco[#All],2,FALSE)</f>
        <v>#N/A</v>
      </c>
      <c r="G5888" s="1">
        <v>42870</v>
      </c>
      <c r="H5888" s="281">
        <v>2758.3000000000029</v>
      </c>
      <c r="I5888" s="281">
        <v>102</v>
      </c>
      <c r="J5888" s="281">
        <v>0</v>
      </c>
      <c r="K5888" s="281">
        <v>2860.3000000000029</v>
      </c>
      <c r="L588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-2860.3</v>
      </c>
      <c r="M5888" s="281">
        <f>ROUND(IF(AND(Base_Periodo1[[#This Row],[Tipo_Linha]]="-",Base_Periodo1[[#This Row],[TIPOSALDO]]="D"),Base_Periodo1[[#This Row],[SALDO_ATUAL]]*-1,Base_Periodo1[[#This Row],[SALDO_ATUAL]]),4)</f>
        <v>-2860.3</v>
      </c>
      <c r="N5888" t="s">
        <v>116</v>
      </c>
      <c r="O5888" t="s">
        <v>397</v>
      </c>
      <c r="P5888" t="s">
        <v>397</v>
      </c>
      <c r="Q5888">
        <v>9</v>
      </c>
      <c r="R5888" s="281">
        <f>Base_Periodo1[[#This Row],[CREDITOS]]-Base_Periodo1[[#This Row],[DEBITOS]]</f>
        <v>-102</v>
      </c>
      <c r="S5888" s="3" t="str">
        <f>IF(ISERROR(VLOOKUP(Base_Periodo1[[#This Row],[CONTA]],BaseContasDRE[#All],4,FALSE)),"Fora do DRE",VLOOKUP(Base_Periodo1[[#This Row],[CONTA]],BaseContasDRE[#All],4,FALSE))</f>
        <v>-</v>
      </c>
      <c r="T5888" s="3">
        <f>IF(ISERROR(VLOOKUP(Base_Periodo1[[#This Row],[CONTA]],BaseContasDRE[#All],5,FALSE)),"Fora do DRE",VLOOKUP(Base_Periodo1[[#This Row],[CONTA]],BaseContasDRE[#All],6,FALSE))</f>
        <v>2</v>
      </c>
      <c r="U5888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888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888" s="3" t="str">
        <f>LEFT(Base_Periodo1[[#This Row],[CLASS]],3)</f>
        <v>3.1</v>
      </c>
    </row>
    <row r="5889" spans="1:23" hidden="1">
      <c r="A5889" s="3" t="str">
        <f t="shared" si="91"/>
        <v>Período 1</v>
      </c>
      <c r="B5889">
        <v>1905</v>
      </c>
      <c r="C5889" t="s">
        <v>3616</v>
      </c>
      <c r="D5889" t="s">
        <v>3565</v>
      </c>
      <c r="E5889" s="3" t="str">
        <f>IF(LEN(Base_Periodo1[[#This Row],[CLASS]])&gt;=7,LEFT(Base_Periodo1[[#This Row],[CLASS]],7),"")</f>
        <v>3.1.1.1</v>
      </c>
      <c r="F5889" s="3" t="e">
        <f>VLOOKUP(Base_Periodo1[[#This Row],[Aux]],Base_Contas_Balanco[#All],2,FALSE)</f>
        <v>#N/A</v>
      </c>
      <c r="G5889" s="1"/>
      <c r="H5889" s="281">
        <v>82.030000000000655</v>
      </c>
      <c r="I5889" s="281">
        <v>0</v>
      </c>
      <c r="J5889" s="281">
        <v>0</v>
      </c>
      <c r="K5889" s="281">
        <v>82.030000000000655</v>
      </c>
      <c r="L588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-82.03</v>
      </c>
      <c r="M5889" s="281">
        <f>ROUND(IF(AND(Base_Periodo1[[#This Row],[Tipo_Linha]]="-",Base_Periodo1[[#This Row],[TIPOSALDO]]="D"),Base_Periodo1[[#This Row],[SALDO_ATUAL]]*-1,Base_Periodo1[[#This Row],[SALDO_ATUAL]]),4)</f>
        <v>82.03</v>
      </c>
      <c r="N5889" t="s">
        <v>396</v>
      </c>
      <c r="O5889" t="s">
        <v>397</v>
      </c>
      <c r="P5889" t="s">
        <v>397</v>
      </c>
      <c r="Q5889">
        <v>8</v>
      </c>
      <c r="R5889" s="281">
        <f>Base_Periodo1[[#This Row],[CREDITOS]]-Base_Periodo1[[#This Row],[DEBITOS]]</f>
        <v>0</v>
      </c>
      <c r="S5889" s="3" t="str">
        <f>IF(ISERROR(VLOOKUP(Base_Periodo1[[#This Row],[CONTA]],BaseContasDRE[#All],4,FALSE)),"Fora do DRE",VLOOKUP(Base_Periodo1[[#This Row],[CONTA]],BaseContasDRE[#All],4,FALSE))</f>
        <v>Fora do DRE</v>
      </c>
      <c r="T5889" s="3" t="str">
        <f>IF(ISERROR(VLOOKUP(Base_Periodo1[[#This Row],[CONTA]],BaseContasDRE[#All],5,FALSE)),"Fora do DRE",VLOOKUP(Base_Periodo1[[#This Row],[CONTA]],BaseContasDRE[#All],6,FALSE))</f>
        <v>Fora do DRE</v>
      </c>
      <c r="U5889" s="3" t="str">
        <f>IF(ISERROR(VLOOKUP(Base_Periodo1[[#This Row],[CONTA]],BaseContasDRE[#All],7,FALSE)),"Fora do DRE",VLOOKUP(Base_Periodo1[[#This Row],[CONTA]],BaseContasDRE[#All],7,FALSE))</f>
        <v>Fora do DRE</v>
      </c>
      <c r="V5889" s="3" t="str">
        <f>IF(Base_Periodo1[[#This Row],[Tipo_Linha]]="Fora do DRE","Fora do DRE","( "&amp;Base_Periodo1[[#This Row],[Tipo_Linha]]&amp;" ) "&amp;Base_Periodo1[[#This Row],[Filtro]])</f>
        <v>Fora do DRE</v>
      </c>
      <c r="W5889" s="3" t="str">
        <f>LEFT(Base_Periodo1[[#This Row],[CLASS]],3)</f>
        <v>3.1</v>
      </c>
    </row>
    <row r="5890" spans="1:23" hidden="1">
      <c r="A5890" s="3" t="str">
        <f t="shared" si="91"/>
        <v>Período 1</v>
      </c>
      <c r="B5890">
        <v>1906</v>
      </c>
      <c r="C5890" t="s">
        <v>3617</v>
      </c>
      <c r="D5890" t="s">
        <v>3566</v>
      </c>
      <c r="E5890" s="3" t="str">
        <f>IF(LEN(Base_Periodo1[[#This Row],[CLASS]])&gt;=7,LEFT(Base_Periodo1[[#This Row],[CLASS]],7),"")</f>
        <v>3.1.1.1</v>
      </c>
      <c r="F5890" s="3" t="e">
        <f>VLOOKUP(Base_Periodo1[[#This Row],[Aux]],Base_Contas_Balanco[#All],2,FALSE)</f>
        <v>#N/A</v>
      </c>
      <c r="G5890" s="1">
        <v>42779</v>
      </c>
      <c r="H5890" s="281">
        <v>82.0300000000002</v>
      </c>
      <c r="I5890" s="281">
        <v>0</v>
      </c>
      <c r="J5890" s="281">
        <v>0</v>
      </c>
      <c r="K5890" s="281">
        <v>82.0300000000002</v>
      </c>
      <c r="L589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-82.03</v>
      </c>
      <c r="M5890" s="281">
        <f>ROUND(IF(AND(Base_Periodo1[[#This Row],[Tipo_Linha]]="-",Base_Periodo1[[#This Row],[TIPOSALDO]]="D"),Base_Periodo1[[#This Row],[SALDO_ATUAL]]*-1,Base_Periodo1[[#This Row],[SALDO_ATUAL]]),4)</f>
        <v>-82.03</v>
      </c>
      <c r="N5890" t="s">
        <v>116</v>
      </c>
      <c r="O5890" t="s">
        <v>397</v>
      </c>
      <c r="P5890" t="s">
        <v>397</v>
      </c>
      <c r="Q5890">
        <v>9</v>
      </c>
      <c r="R5890" s="281">
        <f>Base_Periodo1[[#This Row],[CREDITOS]]-Base_Periodo1[[#This Row],[DEBITOS]]</f>
        <v>0</v>
      </c>
      <c r="S5890" s="3" t="str">
        <f>IF(ISERROR(VLOOKUP(Base_Periodo1[[#This Row],[CONTA]],BaseContasDRE[#All],4,FALSE)),"Fora do DRE",VLOOKUP(Base_Periodo1[[#This Row],[CONTA]],BaseContasDRE[#All],4,FALSE))</f>
        <v>-</v>
      </c>
      <c r="T5890" s="3">
        <f>IF(ISERROR(VLOOKUP(Base_Periodo1[[#This Row],[CONTA]],BaseContasDRE[#All],5,FALSE)),"Fora do DRE",VLOOKUP(Base_Periodo1[[#This Row],[CONTA]],BaseContasDRE[#All],6,FALSE))</f>
        <v>2</v>
      </c>
      <c r="U5890" s="3" t="str">
        <f>IF(ISERROR(VLOOKUP(Base_Periodo1[[#This Row],[CONTA]],BaseContasDRE[#All],7,FALSE)),"Fora do DRE",VLOOKUP(Base_Periodo1[[#This Row],[CONTA]],BaseContasDRE[#All],7,FALSE))</f>
        <v>ICMS SOBRE INGRESSOS E RECEITAS</v>
      </c>
      <c r="V5890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5890" s="3" t="str">
        <f>LEFT(Base_Periodo1[[#This Row],[CLASS]],3)</f>
        <v>3.1</v>
      </c>
    </row>
    <row r="5891" spans="1:23" hidden="1">
      <c r="A5891" s="3" t="str">
        <f t="shared" si="91"/>
        <v>Período 1</v>
      </c>
      <c r="B5891">
        <v>1907</v>
      </c>
      <c r="C5891" t="s">
        <v>3618</v>
      </c>
      <c r="D5891" t="s">
        <v>3567</v>
      </c>
      <c r="E5891" s="3" t="str">
        <f>IF(LEN(Base_Periodo1[[#This Row],[CLASS]])&gt;=7,LEFT(Base_Periodo1[[#This Row],[CLASS]],7),"")</f>
        <v>3.1.1.1</v>
      </c>
      <c r="F5891" s="3" t="e">
        <f>VLOOKUP(Base_Periodo1[[#This Row],[Aux]],Base_Contas_Balanco[#All],2,FALSE)</f>
        <v>#N/A</v>
      </c>
      <c r="G5891" s="1"/>
      <c r="H5891" s="281">
        <v>418755.30999999866</v>
      </c>
      <c r="I5891" s="281">
        <v>24429.91</v>
      </c>
      <c r="J5891" s="281">
        <v>0</v>
      </c>
      <c r="K5891" s="281">
        <v>443185.21999999863</v>
      </c>
      <c r="L589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-443185.22</v>
      </c>
      <c r="M5891" s="281">
        <f>ROUND(IF(AND(Base_Periodo1[[#This Row],[Tipo_Linha]]="-",Base_Periodo1[[#This Row],[TIPOSALDO]]="D"),Base_Periodo1[[#This Row],[SALDO_ATUAL]]*-1,Base_Periodo1[[#This Row],[SALDO_ATUAL]]),4)</f>
        <v>443185.22</v>
      </c>
      <c r="N5891" t="s">
        <v>396</v>
      </c>
      <c r="O5891" t="s">
        <v>397</v>
      </c>
      <c r="P5891" t="s">
        <v>397</v>
      </c>
      <c r="Q5891">
        <v>8</v>
      </c>
      <c r="R5891" s="281">
        <f>Base_Periodo1[[#This Row],[CREDITOS]]-Base_Periodo1[[#This Row],[DEBITOS]]</f>
        <v>-24429.91</v>
      </c>
      <c r="S5891" s="3" t="str">
        <f>IF(ISERROR(VLOOKUP(Base_Periodo1[[#This Row],[CONTA]],BaseContasDRE[#All],4,FALSE)),"Fora do DRE",VLOOKUP(Base_Periodo1[[#This Row],[CONTA]],BaseContasDRE[#All],4,FALSE))</f>
        <v>Fora do DRE</v>
      </c>
      <c r="T5891" s="3" t="str">
        <f>IF(ISERROR(VLOOKUP(Base_Periodo1[[#This Row],[CONTA]],BaseContasDRE[#All],5,FALSE)),"Fora do DRE",VLOOKUP(Base_Periodo1[[#This Row],[CONTA]],BaseContasDRE[#All],6,FALSE))</f>
        <v>Fora do DRE</v>
      </c>
      <c r="U5891" s="3" t="str">
        <f>IF(ISERROR(VLOOKUP(Base_Periodo1[[#This Row],[CONTA]],BaseContasDRE[#All],7,FALSE)),"Fora do DRE",VLOOKUP(Base_Periodo1[[#This Row],[CONTA]],BaseContasDRE[#All],7,FALSE))</f>
        <v>Fora do DRE</v>
      </c>
      <c r="V5891" s="3" t="str">
        <f>IF(Base_Periodo1[[#This Row],[Tipo_Linha]]="Fora do DRE","Fora do DRE","( "&amp;Base_Periodo1[[#This Row],[Tipo_Linha]]&amp;" ) "&amp;Base_Periodo1[[#This Row],[Filtro]])</f>
        <v>Fora do DRE</v>
      </c>
      <c r="W5891" s="3" t="str">
        <f>LEFT(Base_Periodo1[[#This Row],[CLASS]],3)</f>
        <v>3.1</v>
      </c>
    </row>
    <row r="5892" spans="1:23" hidden="1">
      <c r="A5892" s="3" t="str">
        <f t="shared" si="91"/>
        <v>Período 1</v>
      </c>
      <c r="B5892">
        <v>1908</v>
      </c>
      <c r="C5892" t="s">
        <v>3619</v>
      </c>
      <c r="D5892" t="s">
        <v>3568</v>
      </c>
      <c r="E5892" s="3" t="str">
        <f>IF(LEN(Base_Periodo1[[#This Row],[CLASS]])&gt;=7,LEFT(Base_Periodo1[[#This Row],[CLASS]],7),"")</f>
        <v>3.1.1.1</v>
      </c>
      <c r="F5892" s="3" t="e">
        <f>VLOOKUP(Base_Periodo1[[#This Row],[Aux]],Base_Contas_Balanco[#All],2,FALSE)</f>
        <v>#N/A</v>
      </c>
      <c r="G5892" s="1">
        <v>42886</v>
      </c>
      <c r="H5892" s="281">
        <v>418755.30999999866</v>
      </c>
      <c r="I5892" s="281">
        <v>24429.91</v>
      </c>
      <c r="J5892" s="281">
        <v>0</v>
      </c>
      <c r="K5892" s="281">
        <v>443185.21999999863</v>
      </c>
      <c r="L589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-443185.22</v>
      </c>
      <c r="M5892" s="281">
        <f>ROUND(IF(AND(Base_Periodo1[[#This Row],[Tipo_Linha]]="-",Base_Periodo1[[#This Row],[TIPOSALDO]]="D"),Base_Periodo1[[#This Row],[SALDO_ATUAL]]*-1,Base_Periodo1[[#This Row],[SALDO_ATUAL]]),4)</f>
        <v>-443185.22</v>
      </c>
      <c r="N5892" t="s">
        <v>116</v>
      </c>
      <c r="O5892" t="s">
        <v>397</v>
      </c>
      <c r="P5892" t="s">
        <v>397</v>
      </c>
      <c r="Q5892">
        <v>9</v>
      </c>
      <c r="R5892" s="281">
        <f>Base_Periodo1[[#This Row],[CREDITOS]]-Base_Periodo1[[#This Row],[DEBITOS]]</f>
        <v>-24429.91</v>
      </c>
      <c r="S5892" s="3" t="str">
        <f>IF(ISERROR(VLOOKUP(Base_Periodo1[[#This Row],[CONTA]],BaseContasDRE[#All],4,FALSE)),"Fora do DRE",VLOOKUP(Base_Periodo1[[#This Row],[CONTA]],BaseContasDRE[#All],4,FALSE))</f>
        <v>-</v>
      </c>
      <c r="T5892" s="3">
        <f>IF(ISERROR(VLOOKUP(Base_Periodo1[[#This Row],[CONTA]],BaseContasDRE[#All],5,FALSE)),"Fora do DRE",VLOOKUP(Base_Periodo1[[#This Row],[CONTA]],BaseContasDRE[#All],6,FALSE))</f>
        <v>3</v>
      </c>
      <c r="U5892" s="3" t="str">
        <f>IF(ISERROR(VLOOKUP(Base_Periodo1[[#This Row],[CONTA]],BaseContasDRE[#All],7,FALSE)),"Fora do DRE",VLOOKUP(Base_Periodo1[[#This Row],[CONTA]],BaseContasDRE[#All],7,FALSE))</f>
        <v>INSUMOS AGROPECUARIOS</v>
      </c>
      <c r="V5892" s="3" t="str">
        <f>IF(Base_Periodo1[[#This Row],[Tipo_Linha]]="Fora do DRE","Fora do DRE","( "&amp;Base_Periodo1[[#This Row],[Tipo_Linha]]&amp;" ) "&amp;Base_Periodo1[[#This Row],[Filtro]])</f>
        <v>( - ) INSUMOS AGROPECUARIOS</v>
      </c>
      <c r="W5892" s="3" t="str">
        <f>LEFT(Base_Periodo1[[#This Row],[CLASS]],3)</f>
        <v>3.1</v>
      </c>
    </row>
    <row r="5893" spans="1:23" hidden="1">
      <c r="A5893" s="3" t="str">
        <f t="shared" si="91"/>
        <v>Período 1</v>
      </c>
      <c r="B5893">
        <v>1909</v>
      </c>
      <c r="C5893" t="s">
        <v>5463</v>
      </c>
      <c r="D5893" t="s">
        <v>5464</v>
      </c>
      <c r="E5893" s="3" t="str">
        <f>IF(LEN(Base_Periodo1[[#This Row],[CLASS]])&gt;=7,LEFT(Base_Periodo1[[#This Row],[CLASS]],7),"")</f>
        <v>3.1.1.1</v>
      </c>
      <c r="F5893" s="3" t="e">
        <f>VLOOKUP(Base_Periodo1[[#This Row],[Aux]],Base_Contas_Balanco[#All],2,FALSE)</f>
        <v>#N/A</v>
      </c>
      <c r="G5893" s="1"/>
      <c r="H5893" s="281">
        <v>16.180000000000064</v>
      </c>
      <c r="I5893" s="281">
        <v>0</v>
      </c>
      <c r="J5893" s="281">
        <v>0</v>
      </c>
      <c r="K5893" s="281">
        <v>16.180000000000064</v>
      </c>
      <c r="L589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16.18</v>
      </c>
      <c r="M5893" s="281">
        <f>ROUND(IF(AND(Base_Periodo1[[#This Row],[Tipo_Linha]]="-",Base_Periodo1[[#This Row],[TIPOSALDO]]="D"),Base_Periodo1[[#This Row],[SALDO_ATUAL]]*-1,Base_Periodo1[[#This Row],[SALDO_ATUAL]]),4)</f>
        <v>16.18</v>
      </c>
      <c r="N5893" t="s">
        <v>396</v>
      </c>
      <c r="O5893" t="s">
        <v>459</v>
      </c>
      <c r="P5893" t="s">
        <v>459</v>
      </c>
      <c r="Q5893">
        <v>7</v>
      </c>
      <c r="R5893" s="281">
        <f>Base_Periodo1[[#This Row],[CREDITOS]]-Base_Periodo1[[#This Row],[DEBITOS]]</f>
        <v>0</v>
      </c>
      <c r="S5893" s="3" t="str">
        <f>IF(ISERROR(VLOOKUP(Base_Periodo1[[#This Row],[CONTA]],BaseContasDRE[#All],4,FALSE)),"Fora do DRE",VLOOKUP(Base_Periodo1[[#This Row],[CONTA]],BaseContasDRE[#All],4,FALSE))</f>
        <v>Fora do DRE</v>
      </c>
      <c r="T5893" s="3" t="str">
        <f>IF(ISERROR(VLOOKUP(Base_Periodo1[[#This Row],[CONTA]],BaseContasDRE[#All],5,FALSE)),"Fora do DRE",VLOOKUP(Base_Periodo1[[#This Row],[CONTA]],BaseContasDRE[#All],6,FALSE))</f>
        <v>Fora do DRE</v>
      </c>
      <c r="U5893" s="3" t="str">
        <f>IF(ISERROR(VLOOKUP(Base_Periodo1[[#This Row],[CONTA]],BaseContasDRE[#All],7,FALSE)),"Fora do DRE",VLOOKUP(Base_Periodo1[[#This Row],[CONTA]],BaseContasDRE[#All],7,FALSE))</f>
        <v>Fora do DRE</v>
      </c>
      <c r="V5893" s="3" t="str">
        <f>IF(Base_Periodo1[[#This Row],[Tipo_Linha]]="Fora do DRE","Fora do DRE","( "&amp;Base_Periodo1[[#This Row],[Tipo_Linha]]&amp;" ) "&amp;Base_Periodo1[[#This Row],[Filtro]])</f>
        <v>Fora do DRE</v>
      </c>
      <c r="W5893" s="3" t="str">
        <f>LEFT(Base_Periodo1[[#This Row],[CLASS]],3)</f>
        <v>3.1</v>
      </c>
    </row>
    <row r="5894" spans="1:23" hidden="1">
      <c r="A5894" s="3" t="str">
        <f t="shared" ref="A5894:A5957" si="92">"Período 1"</f>
        <v>Período 1</v>
      </c>
      <c r="B5894">
        <v>1910</v>
      </c>
      <c r="C5894" t="s">
        <v>5465</v>
      </c>
      <c r="D5894" t="s">
        <v>3561</v>
      </c>
      <c r="E5894" s="3" t="str">
        <f>IF(LEN(Base_Periodo1[[#This Row],[CLASS]])&gt;=7,LEFT(Base_Periodo1[[#This Row],[CLASS]],7),"")</f>
        <v>3.1.1.1</v>
      </c>
      <c r="F5894" s="3" t="e">
        <f>VLOOKUP(Base_Periodo1[[#This Row],[Aux]],Base_Contas_Balanco[#All],2,FALSE)</f>
        <v>#N/A</v>
      </c>
      <c r="G5894" s="1"/>
      <c r="H5894" s="281">
        <v>49.999999999999773</v>
      </c>
      <c r="I5894" s="281">
        <v>0</v>
      </c>
      <c r="J5894" s="281">
        <v>0</v>
      </c>
      <c r="K5894" s="281">
        <v>49.999999999999773</v>
      </c>
      <c r="L589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894" s="281">
        <f>ROUND(IF(AND(Base_Periodo1[[#This Row],[Tipo_Linha]]="-",Base_Periodo1[[#This Row],[TIPOSALDO]]="D"),Base_Periodo1[[#This Row],[SALDO_ATUAL]]*-1,Base_Periodo1[[#This Row],[SALDO_ATUAL]]),4)</f>
        <v>50</v>
      </c>
      <c r="N5894" t="s">
        <v>396</v>
      </c>
      <c r="O5894" t="s">
        <v>459</v>
      </c>
      <c r="P5894" t="s">
        <v>459</v>
      </c>
      <c r="Q5894">
        <v>8</v>
      </c>
      <c r="R5894" s="281">
        <f>Base_Periodo1[[#This Row],[CREDITOS]]-Base_Periodo1[[#This Row],[DEBITOS]]</f>
        <v>0</v>
      </c>
      <c r="S5894" s="3" t="str">
        <f>IF(ISERROR(VLOOKUP(Base_Periodo1[[#This Row],[CONTA]],BaseContasDRE[#All],4,FALSE)),"Fora do DRE",VLOOKUP(Base_Periodo1[[#This Row],[CONTA]],BaseContasDRE[#All],4,FALSE))</f>
        <v>Fora do DRE</v>
      </c>
      <c r="T5894" s="3" t="str">
        <f>IF(ISERROR(VLOOKUP(Base_Periodo1[[#This Row],[CONTA]],BaseContasDRE[#All],5,FALSE)),"Fora do DRE",VLOOKUP(Base_Periodo1[[#This Row],[CONTA]],BaseContasDRE[#All],6,FALSE))</f>
        <v>Fora do DRE</v>
      </c>
      <c r="U5894" s="3" t="str">
        <f>IF(ISERROR(VLOOKUP(Base_Periodo1[[#This Row],[CONTA]],BaseContasDRE[#All],7,FALSE)),"Fora do DRE",VLOOKUP(Base_Periodo1[[#This Row],[CONTA]],BaseContasDRE[#All],7,FALSE))</f>
        <v>Fora do DRE</v>
      </c>
      <c r="V5894" s="3" t="str">
        <f>IF(Base_Periodo1[[#This Row],[Tipo_Linha]]="Fora do DRE","Fora do DRE","( "&amp;Base_Periodo1[[#This Row],[Tipo_Linha]]&amp;" ) "&amp;Base_Periodo1[[#This Row],[Filtro]])</f>
        <v>Fora do DRE</v>
      </c>
      <c r="W5894" s="3" t="str">
        <f>LEFT(Base_Periodo1[[#This Row],[CLASS]],3)</f>
        <v>3.1</v>
      </c>
    </row>
    <row r="5895" spans="1:23" hidden="1">
      <c r="A5895" s="3" t="str">
        <f t="shared" si="92"/>
        <v>Período 1</v>
      </c>
      <c r="B5895">
        <v>1911</v>
      </c>
      <c r="C5895" t="s">
        <v>5466</v>
      </c>
      <c r="D5895" t="s">
        <v>3562</v>
      </c>
      <c r="E5895" s="3" t="str">
        <f>IF(LEN(Base_Periodo1[[#This Row],[CLASS]])&gt;=7,LEFT(Base_Periodo1[[#This Row],[CLASS]],7),"")</f>
        <v>3.1.1.1</v>
      </c>
      <c r="F5895" s="3" t="e">
        <f>VLOOKUP(Base_Periodo1[[#This Row],[Aux]],Base_Contas_Balanco[#All],2,FALSE)</f>
        <v>#N/A</v>
      </c>
      <c r="G5895" s="1">
        <v>42747</v>
      </c>
      <c r="H5895" s="281">
        <v>49.999999999999773</v>
      </c>
      <c r="I5895" s="281">
        <v>0</v>
      </c>
      <c r="J5895" s="281">
        <v>0</v>
      </c>
      <c r="K5895" s="281">
        <v>49.999999999999773</v>
      </c>
      <c r="L589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</v>
      </c>
      <c r="M5895" s="281">
        <f>ROUND(IF(AND(Base_Periodo1[[#This Row],[Tipo_Linha]]="-",Base_Periodo1[[#This Row],[TIPOSALDO]]="D"),Base_Periodo1[[#This Row],[SALDO_ATUAL]]*-1,Base_Periodo1[[#This Row],[SALDO_ATUAL]]),4)</f>
        <v>50</v>
      </c>
      <c r="N5895" t="s">
        <v>116</v>
      </c>
      <c r="O5895" t="s">
        <v>459</v>
      </c>
      <c r="P5895" t="s">
        <v>459</v>
      </c>
      <c r="Q5895">
        <v>9</v>
      </c>
      <c r="R5895" s="281">
        <f>Base_Periodo1[[#This Row],[CREDITOS]]-Base_Periodo1[[#This Row],[DEBITOS]]</f>
        <v>0</v>
      </c>
      <c r="S5895" s="3" t="str">
        <f>IF(ISERROR(VLOOKUP(Base_Periodo1[[#This Row],[CONTA]],BaseContasDRE[#All],4,FALSE)),"Fora do DRE",VLOOKUP(Base_Periodo1[[#This Row],[CONTA]],BaseContasDRE[#All],4,FALSE))</f>
        <v>+</v>
      </c>
      <c r="T5895" s="3">
        <f>IF(ISERROR(VLOOKUP(Base_Periodo1[[#This Row],[CONTA]],BaseContasDRE[#All],5,FALSE)),"Fora do DRE",VLOOKUP(Base_Periodo1[[#This Row],[CONTA]],BaseContasDRE[#All],6,FALSE))</f>
        <v>1</v>
      </c>
      <c r="U5895" s="3" t="str">
        <f>IF(ISERROR(VLOOKUP(Base_Periodo1[[#This Row],[CONTA]],BaseContasDRE[#All],7,FALSE)),"Fora do DRE",VLOOKUP(Base_Periodo1[[#This Row],[CONTA]],BaseContasDRE[#All],7,FALSE))</f>
        <v>INSUMOS AGROPECUARIOS</v>
      </c>
      <c r="V5895" s="3" t="str">
        <f>IF(Base_Periodo1[[#This Row],[Tipo_Linha]]="Fora do DRE","Fora do DRE","( "&amp;Base_Periodo1[[#This Row],[Tipo_Linha]]&amp;" ) "&amp;Base_Periodo1[[#This Row],[Filtro]])</f>
        <v>( + ) INSUMOS AGROPECUARIOS</v>
      </c>
      <c r="W5895" s="3" t="str">
        <f>LEFT(Base_Periodo1[[#This Row],[CLASS]],3)</f>
        <v>3.1</v>
      </c>
    </row>
    <row r="5896" spans="1:23" hidden="1">
      <c r="A5896" s="3" t="str">
        <f t="shared" si="92"/>
        <v>Período 1</v>
      </c>
      <c r="B5896">
        <v>1912</v>
      </c>
      <c r="C5896" t="s">
        <v>5467</v>
      </c>
      <c r="D5896" t="s">
        <v>3567</v>
      </c>
      <c r="E5896" s="3" t="str">
        <f>IF(LEN(Base_Periodo1[[#This Row],[CLASS]])&gt;=7,LEFT(Base_Periodo1[[#This Row],[CLASS]],7),"")</f>
        <v>3.1.1.1</v>
      </c>
      <c r="F5896" s="3" t="e">
        <f>VLOOKUP(Base_Periodo1[[#This Row],[Aux]],Base_Contas_Balanco[#All],2,FALSE)</f>
        <v>#N/A</v>
      </c>
      <c r="G5896" s="1"/>
      <c r="H5896" s="281">
        <v>33.819999999999709</v>
      </c>
      <c r="I5896" s="281">
        <v>0</v>
      </c>
      <c r="J5896" s="281">
        <v>0</v>
      </c>
      <c r="K5896" s="281">
        <v>33.819999999999709</v>
      </c>
      <c r="L589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-33.82</v>
      </c>
      <c r="M5896" s="281">
        <f>ROUND(IF(AND(Base_Periodo1[[#This Row],[Tipo_Linha]]="-",Base_Periodo1[[#This Row],[TIPOSALDO]]="D"),Base_Periodo1[[#This Row],[SALDO_ATUAL]]*-1,Base_Periodo1[[#This Row],[SALDO_ATUAL]]),4)</f>
        <v>33.82</v>
      </c>
      <c r="N5896" t="s">
        <v>396</v>
      </c>
      <c r="O5896" t="s">
        <v>397</v>
      </c>
      <c r="P5896" t="s">
        <v>397</v>
      </c>
      <c r="Q5896">
        <v>8</v>
      </c>
      <c r="R5896" s="281">
        <f>Base_Periodo1[[#This Row],[CREDITOS]]-Base_Periodo1[[#This Row],[DEBITOS]]</f>
        <v>0</v>
      </c>
      <c r="S5896" s="3" t="str">
        <f>IF(ISERROR(VLOOKUP(Base_Periodo1[[#This Row],[CONTA]],BaseContasDRE[#All],4,FALSE)),"Fora do DRE",VLOOKUP(Base_Periodo1[[#This Row],[CONTA]],BaseContasDRE[#All],4,FALSE))</f>
        <v>Fora do DRE</v>
      </c>
      <c r="T5896" s="3" t="str">
        <f>IF(ISERROR(VLOOKUP(Base_Periodo1[[#This Row],[CONTA]],BaseContasDRE[#All],5,FALSE)),"Fora do DRE",VLOOKUP(Base_Periodo1[[#This Row],[CONTA]],BaseContasDRE[#All],6,FALSE))</f>
        <v>Fora do DRE</v>
      </c>
      <c r="U5896" s="3" t="str">
        <f>IF(ISERROR(VLOOKUP(Base_Periodo1[[#This Row],[CONTA]],BaseContasDRE[#All],7,FALSE)),"Fora do DRE",VLOOKUP(Base_Periodo1[[#This Row],[CONTA]],BaseContasDRE[#All],7,FALSE))</f>
        <v>Fora do DRE</v>
      </c>
      <c r="V5896" s="3" t="str">
        <f>IF(Base_Periodo1[[#This Row],[Tipo_Linha]]="Fora do DRE","Fora do DRE","( "&amp;Base_Periodo1[[#This Row],[Tipo_Linha]]&amp;" ) "&amp;Base_Periodo1[[#This Row],[Filtro]])</f>
        <v>Fora do DRE</v>
      </c>
      <c r="W5896" s="3" t="str">
        <f>LEFT(Base_Periodo1[[#This Row],[CLASS]],3)</f>
        <v>3.1</v>
      </c>
    </row>
    <row r="5897" spans="1:23" hidden="1">
      <c r="A5897" s="3" t="str">
        <f t="shared" si="92"/>
        <v>Período 1</v>
      </c>
      <c r="B5897">
        <v>1913</v>
      </c>
      <c r="C5897" t="s">
        <v>5468</v>
      </c>
      <c r="D5897" t="s">
        <v>3568</v>
      </c>
      <c r="E5897" s="3" t="str">
        <f>IF(LEN(Base_Periodo1[[#This Row],[CLASS]])&gt;=7,LEFT(Base_Periodo1[[#This Row],[CLASS]],7),"")</f>
        <v>3.1.1.1</v>
      </c>
      <c r="F5897" s="3" t="e">
        <f>VLOOKUP(Base_Periodo1[[#This Row],[Aux]],Base_Contas_Balanco[#All],2,FALSE)</f>
        <v>#N/A</v>
      </c>
      <c r="G5897" s="1">
        <v>42886</v>
      </c>
      <c r="H5897" s="281">
        <v>33.819999999999709</v>
      </c>
      <c r="I5897" s="281">
        <v>0</v>
      </c>
      <c r="J5897" s="281">
        <v>0</v>
      </c>
      <c r="K5897" s="281">
        <v>33.819999999999709</v>
      </c>
      <c r="L589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-33.82</v>
      </c>
      <c r="M5897" s="281">
        <f>ROUND(IF(AND(Base_Periodo1[[#This Row],[Tipo_Linha]]="-",Base_Periodo1[[#This Row],[TIPOSALDO]]="D"),Base_Periodo1[[#This Row],[SALDO_ATUAL]]*-1,Base_Periodo1[[#This Row],[SALDO_ATUAL]]),4)</f>
        <v>-33.82</v>
      </c>
      <c r="N5897" t="s">
        <v>116</v>
      </c>
      <c r="O5897" t="s">
        <v>397</v>
      </c>
      <c r="P5897" t="s">
        <v>397</v>
      </c>
      <c r="Q5897">
        <v>9</v>
      </c>
      <c r="R5897" s="281">
        <f>Base_Periodo1[[#This Row],[CREDITOS]]-Base_Periodo1[[#This Row],[DEBITOS]]</f>
        <v>0</v>
      </c>
      <c r="S5897" s="3" t="str">
        <f>IF(ISERROR(VLOOKUP(Base_Periodo1[[#This Row],[CONTA]],BaseContasDRE[#All],4,FALSE)),"Fora do DRE",VLOOKUP(Base_Periodo1[[#This Row],[CONTA]],BaseContasDRE[#All],4,FALSE))</f>
        <v>-</v>
      </c>
      <c r="T5897" s="3">
        <f>IF(ISERROR(VLOOKUP(Base_Periodo1[[#This Row],[CONTA]],BaseContasDRE[#All],5,FALSE)),"Fora do DRE",VLOOKUP(Base_Periodo1[[#This Row],[CONTA]],BaseContasDRE[#All],6,FALSE))</f>
        <v>3</v>
      </c>
      <c r="U5897" s="3" t="str">
        <f>IF(ISERROR(VLOOKUP(Base_Periodo1[[#This Row],[CONTA]],BaseContasDRE[#All],7,FALSE)),"Fora do DRE",VLOOKUP(Base_Periodo1[[#This Row],[CONTA]],BaseContasDRE[#All],7,FALSE))</f>
        <v>INSUMOS AGROPECUARIOS</v>
      </c>
      <c r="V5897" s="3" t="str">
        <f>IF(Base_Periodo1[[#This Row],[Tipo_Linha]]="Fora do DRE","Fora do DRE","( "&amp;Base_Periodo1[[#This Row],[Tipo_Linha]]&amp;" ) "&amp;Base_Periodo1[[#This Row],[Filtro]])</f>
        <v>( - ) INSUMOS AGROPECUARIOS</v>
      </c>
      <c r="W5897" s="3" t="str">
        <f>LEFT(Base_Periodo1[[#This Row],[CLASS]],3)</f>
        <v>3.1</v>
      </c>
    </row>
    <row r="5898" spans="1:23" hidden="1">
      <c r="A5898" s="3" t="str">
        <f t="shared" si="92"/>
        <v>Período 1</v>
      </c>
      <c r="B5898">
        <v>1914</v>
      </c>
      <c r="C5898" t="s">
        <v>3620</v>
      </c>
      <c r="D5898" t="s">
        <v>1244</v>
      </c>
      <c r="E5898" s="3" t="str">
        <f>IF(LEN(Base_Periodo1[[#This Row],[CLASS]])&gt;=7,LEFT(Base_Periodo1[[#This Row],[CLASS]],7),"")</f>
        <v>3.1.1.1</v>
      </c>
      <c r="F5898" s="3" t="e">
        <f>VLOOKUP(Base_Periodo1[[#This Row],[Aux]],Base_Contas_Balanco[#All],2,FALSE)</f>
        <v>#N/A</v>
      </c>
      <c r="G5898" s="1"/>
      <c r="H5898" s="281">
        <v>74756.749999993583</v>
      </c>
      <c r="I5898" s="281">
        <v>199640.61</v>
      </c>
      <c r="J5898" s="281">
        <v>211496.15999999995</v>
      </c>
      <c r="K5898" s="281">
        <v>86612.299999993542</v>
      </c>
      <c r="L589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86612.3</v>
      </c>
      <c r="M5898" s="281">
        <f>ROUND(IF(AND(Base_Periodo1[[#This Row],[Tipo_Linha]]="-",Base_Periodo1[[#This Row],[TIPOSALDO]]="D"),Base_Periodo1[[#This Row],[SALDO_ATUAL]]*-1,Base_Periodo1[[#This Row],[SALDO_ATUAL]]),4)</f>
        <v>86612.3</v>
      </c>
      <c r="N5898" t="s">
        <v>396</v>
      </c>
      <c r="O5898" t="s">
        <v>459</v>
      </c>
      <c r="P5898" t="s">
        <v>459</v>
      </c>
      <c r="Q5898">
        <v>6</v>
      </c>
      <c r="R5898" s="281">
        <f>Base_Periodo1[[#This Row],[CREDITOS]]-Base_Periodo1[[#This Row],[DEBITOS]]</f>
        <v>11855.549999999959</v>
      </c>
      <c r="S5898" s="3" t="str">
        <f>IF(ISERROR(VLOOKUP(Base_Periodo1[[#This Row],[CONTA]],BaseContasDRE[#All],4,FALSE)),"Fora do DRE",VLOOKUP(Base_Periodo1[[#This Row],[CONTA]],BaseContasDRE[#All],4,FALSE))</f>
        <v>Fora do DRE</v>
      </c>
      <c r="T5898" s="3" t="str">
        <f>IF(ISERROR(VLOOKUP(Base_Periodo1[[#This Row],[CONTA]],BaseContasDRE[#All],5,FALSE)),"Fora do DRE",VLOOKUP(Base_Periodo1[[#This Row],[CONTA]],BaseContasDRE[#All],6,FALSE))</f>
        <v>Fora do DRE</v>
      </c>
      <c r="U5898" s="3" t="str">
        <f>IF(ISERROR(VLOOKUP(Base_Periodo1[[#This Row],[CONTA]],BaseContasDRE[#All],7,FALSE)),"Fora do DRE",VLOOKUP(Base_Periodo1[[#This Row],[CONTA]],BaseContasDRE[#All],7,FALSE))</f>
        <v>Fora do DRE</v>
      </c>
      <c r="V5898" s="3" t="str">
        <f>IF(Base_Periodo1[[#This Row],[Tipo_Linha]]="Fora do DRE","Fora do DRE","( "&amp;Base_Periodo1[[#This Row],[Tipo_Linha]]&amp;" ) "&amp;Base_Periodo1[[#This Row],[Filtro]])</f>
        <v>Fora do DRE</v>
      </c>
      <c r="W5898" s="3" t="str">
        <f>LEFT(Base_Periodo1[[#This Row],[CLASS]],3)</f>
        <v>3.1</v>
      </c>
    </row>
    <row r="5899" spans="1:23" hidden="1">
      <c r="A5899" s="3" t="str">
        <f t="shared" si="92"/>
        <v>Período 1</v>
      </c>
      <c r="B5899">
        <v>1915</v>
      </c>
      <c r="C5899" t="s">
        <v>3621</v>
      </c>
      <c r="D5899" t="s">
        <v>1245</v>
      </c>
      <c r="E5899" s="3" t="str">
        <f>IF(LEN(Base_Periodo1[[#This Row],[CLASS]])&gt;=7,LEFT(Base_Periodo1[[#This Row],[CLASS]],7),"")</f>
        <v>3.1.1.1</v>
      </c>
      <c r="F5899" s="3" t="e">
        <f>VLOOKUP(Base_Periodo1[[#This Row],[Aux]],Base_Contas_Balanco[#All],2,FALSE)</f>
        <v>#N/A</v>
      </c>
      <c r="G5899" s="1"/>
      <c r="H5899" s="281">
        <v>409352.97000000835</v>
      </c>
      <c r="I5899" s="281">
        <v>0</v>
      </c>
      <c r="J5899" s="281">
        <v>0</v>
      </c>
      <c r="K5899" s="281">
        <v>409352.97000000835</v>
      </c>
      <c r="L589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-409352.97</v>
      </c>
      <c r="M5899" s="281">
        <f>ROUND(IF(AND(Base_Periodo1[[#This Row],[Tipo_Linha]]="-",Base_Periodo1[[#This Row],[TIPOSALDO]]="D"),Base_Periodo1[[#This Row],[SALDO_ATUAL]]*-1,Base_Periodo1[[#This Row],[SALDO_ATUAL]]),4)</f>
        <v>409352.97</v>
      </c>
      <c r="N5899" t="s">
        <v>396</v>
      </c>
      <c r="O5899" t="s">
        <v>397</v>
      </c>
      <c r="P5899" t="s">
        <v>397</v>
      </c>
      <c r="Q5899">
        <v>7</v>
      </c>
      <c r="R5899" s="281">
        <f>Base_Periodo1[[#This Row],[CREDITOS]]-Base_Periodo1[[#This Row],[DEBITOS]]</f>
        <v>0</v>
      </c>
      <c r="S5899" s="3" t="str">
        <f>IF(ISERROR(VLOOKUP(Base_Periodo1[[#This Row],[CONTA]],BaseContasDRE[#All],4,FALSE)),"Fora do DRE",VLOOKUP(Base_Periodo1[[#This Row],[CONTA]],BaseContasDRE[#All],4,FALSE))</f>
        <v>Fora do DRE</v>
      </c>
      <c r="T5899" s="3" t="str">
        <f>IF(ISERROR(VLOOKUP(Base_Periodo1[[#This Row],[CONTA]],BaseContasDRE[#All],5,FALSE)),"Fora do DRE",VLOOKUP(Base_Periodo1[[#This Row],[CONTA]],BaseContasDRE[#All],6,FALSE))</f>
        <v>Fora do DRE</v>
      </c>
      <c r="U5899" s="3" t="str">
        <f>IF(ISERROR(VLOOKUP(Base_Periodo1[[#This Row],[CONTA]],BaseContasDRE[#All],7,FALSE)),"Fora do DRE",VLOOKUP(Base_Periodo1[[#This Row],[CONTA]],BaseContasDRE[#All],7,FALSE))</f>
        <v>Fora do DRE</v>
      </c>
      <c r="V5899" s="3" t="str">
        <f>IF(Base_Periodo1[[#This Row],[Tipo_Linha]]="Fora do DRE","Fora do DRE","( "&amp;Base_Periodo1[[#This Row],[Tipo_Linha]]&amp;" ) "&amp;Base_Periodo1[[#This Row],[Filtro]])</f>
        <v>Fora do DRE</v>
      </c>
      <c r="W5899" s="3" t="str">
        <f>LEFT(Base_Periodo1[[#This Row],[CLASS]],3)</f>
        <v>3.1</v>
      </c>
    </row>
    <row r="5900" spans="1:23" hidden="1">
      <c r="A5900" s="3" t="str">
        <f t="shared" si="92"/>
        <v>Período 1</v>
      </c>
      <c r="B5900">
        <v>1916</v>
      </c>
      <c r="C5900" t="s">
        <v>3622</v>
      </c>
      <c r="D5900" t="s">
        <v>3561</v>
      </c>
      <c r="E5900" s="3" t="str">
        <f>IF(LEN(Base_Periodo1[[#This Row],[CLASS]])&gt;=7,LEFT(Base_Periodo1[[#This Row],[CLASS]],7),"")</f>
        <v>3.1.1.1</v>
      </c>
      <c r="F5900" s="3" t="e">
        <f>VLOOKUP(Base_Periodo1[[#This Row],[Aux]],Base_Contas_Balanco[#All],2,FALSE)</f>
        <v>#N/A</v>
      </c>
      <c r="G5900" s="1"/>
      <c r="H5900" s="281">
        <v>336632.38999999687</v>
      </c>
      <c r="I5900" s="281">
        <v>0</v>
      </c>
      <c r="J5900" s="281">
        <v>0</v>
      </c>
      <c r="K5900" s="281">
        <v>336632.38999999687</v>
      </c>
      <c r="L590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336632.39</v>
      </c>
      <c r="M5900" s="281">
        <f>ROUND(IF(AND(Base_Periodo1[[#This Row],[Tipo_Linha]]="-",Base_Periodo1[[#This Row],[TIPOSALDO]]="D"),Base_Periodo1[[#This Row],[SALDO_ATUAL]]*-1,Base_Periodo1[[#This Row],[SALDO_ATUAL]]),4)</f>
        <v>336632.39</v>
      </c>
      <c r="N5900" t="s">
        <v>396</v>
      </c>
      <c r="O5900" t="s">
        <v>459</v>
      </c>
      <c r="P5900" t="s">
        <v>459</v>
      </c>
      <c r="Q5900">
        <v>8</v>
      </c>
      <c r="R5900" s="281">
        <f>Base_Periodo1[[#This Row],[CREDITOS]]-Base_Periodo1[[#This Row],[DEBITOS]]</f>
        <v>0</v>
      </c>
      <c r="S5900" s="3" t="str">
        <f>IF(ISERROR(VLOOKUP(Base_Periodo1[[#This Row],[CONTA]],BaseContasDRE[#All],4,FALSE)),"Fora do DRE",VLOOKUP(Base_Periodo1[[#This Row],[CONTA]],BaseContasDRE[#All],4,FALSE))</f>
        <v>Fora do DRE</v>
      </c>
      <c r="T5900" s="3" t="str">
        <f>IF(ISERROR(VLOOKUP(Base_Periodo1[[#This Row],[CONTA]],BaseContasDRE[#All],5,FALSE)),"Fora do DRE",VLOOKUP(Base_Periodo1[[#This Row],[CONTA]],BaseContasDRE[#All],6,FALSE))</f>
        <v>Fora do DRE</v>
      </c>
      <c r="U5900" s="3" t="str">
        <f>IF(ISERROR(VLOOKUP(Base_Periodo1[[#This Row],[CONTA]],BaseContasDRE[#All],7,FALSE)),"Fora do DRE",VLOOKUP(Base_Periodo1[[#This Row],[CONTA]],BaseContasDRE[#All],7,FALSE))</f>
        <v>Fora do DRE</v>
      </c>
      <c r="V5900" s="3" t="str">
        <f>IF(Base_Periodo1[[#This Row],[Tipo_Linha]]="Fora do DRE","Fora do DRE","( "&amp;Base_Periodo1[[#This Row],[Tipo_Linha]]&amp;" ) "&amp;Base_Periodo1[[#This Row],[Filtro]])</f>
        <v>Fora do DRE</v>
      </c>
      <c r="W5900" s="3" t="str">
        <f>LEFT(Base_Periodo1[[#This Row],[CLASS]],3)</f>
        <v>3.1</v>
      </c>
    </row>
    <row r="5901" spans="1:23" hidden="1">
      <c r="A5901" s="3" t="str">
        <f t="shared" si="92"/>
        <v>Período 1</v>
      </c>
      <c r="B5901">
        <v>1917</v>
      </c>
      <c r="C5901" t="s">
        <v>3623</v>
      </c>
      <c r="D5901" t="s">
        <v>3562</v>
      </c>
      <c r="E5901" s="3" t="str">
        <f>IF(LEN(Base_Periodo1[[#This Row],[CLASS]])&gt;=7,LEFT(Base_Periodo1[[#This Row],[CLASS]],7),"")</f>
        <v>3.1.1.1</v>
      </c>
      <c r="F5901" s="3" t="e">
        <f>VLOOKUP(Base_Periodo1[[#This Row],[Aux]],Base_Contas_Balanco[#All],2,FALSE)</f>
        <v>#N/A</v>
      </c>
      <c r="G5901" s="1">
        <v>42835</v>
      </c>
      <c r="H5901" s="281">
        <v>336632.38999999687</v>
      </c>
      <c r="I5901" s="281">
        <v>0</v>
      </c>
      <c r="J5901" s="281">
        <v>0</v>
      </c>
      <c r="K5901" s="281">
        <v>336632.38999999687</v>
      </c>
      <c r="L590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336632.39</v>
      </c>
      <c r="M5901" s="281">
        <f>ROUND(IF(AND(Base_Periodo1[[#This Row],[Tipo_Linha]]="-",Base_Periodo1[[#This Row],[TIPOSALDO]]="D"),Base_Periodo1[[#This Row],[SALDO_ATUAL]]*-1,Base_Periodo1[[#This Row],[SALDO_ATUAL]]),4)</f>
        <v>336632.39</v>
      </c>
      <c r="N5901" t="s">
        <v>116</v>
      </c>
      <c r="O5901" t="s">
        <v>459</v>
      </c>
      <c r="P5901" t="s">
        <v>459</v>
      </c>
      <c r="Q5901">
        <v>9</v>
      </c>
      <c r="R5901" s="281">
        <f>Base_Periodo1[[#This Row],[CREDITOS]]-Base_Periodo1[[#This Row],[DEBITOS]]</f>
        <v>0</v>
      </c>
      <c r="S5901" s="3" t="str">
        <f>IF(ISERROR(VLOOKUP(Base_Periodo1[[#This Row],[CONTA]],BaseContasDRE[#All],4,FALSE)),"Fora do DRE",VLOOKUP(Base_Periodo1[[#This Row],[CONTA]],BaseContasDRE[#All],4,FALSE))</f>
        <v>+</v>
      </c>
      <c r="T5901" s="3">
        <f>IF(ISERROR(VLOOKUP(Base_Periodo1[[#This Row],[CONTA]],BaseContasDRE[#All],5,FALSE)),"Fora do DRE",VLOOKUP(Base_Periodo1[[#This Row],[CONTA]],BaseContasDRE[#All],6,FALSE))</f>
        <v>1</v>
      </c>
      <c r="U5901" s="3" t="str">
        <f>IF(ISERROR(VLOOKUP(Base_Periodo1[[#This Row],[CONTA]],BaseContasDRE[#All],7,FALSE)),"Fora do DRE",VLOOKUP(Base_Periodo1[[#This Row],[CONTA]],BaseContasDRE[#All],7,FALSE))</f>
        <v>INSUMOS AGROPECUARIOS</v>
      </c>
      <c r="V5901" s="3" t="str">
        <f>IF(Base_Periodo1[[#This Row],[Tipo_Linha]]="Fora do DRE","Fora do DRE","( "&amp;Base_Periodo1[[#This Row],[Tipo_Linha]]&amp;" ) "&amp;Base_Periodo1[[#This Row],[Filtro]])</f>
        <v>( + ) INSUMOS AGROPECUARIOS</v>
      </c>
      <c r="W5901" s="3" t="str">
        <f>LEFT(Base_Periodo1[[#This Row],[CLASS]],3)</f>
        <v>3.1</v>
      </c>
    </row>
    <row r="5902" spans="1:23" hidden="1">
      <c r="A5902" s="3" t="str">
        <f t="shared" si="92"/>
        <v>Período 1</v>
      </c>
      <c r="B5902">
        <v>1920</v>
      </c>
      <c r="C5902" t="s">
        <v>3624</v>
      </c>
      <c r="D5902" t="s">
        <v>3563</v>
      </c>
      <c r="E5902" s="3" t="str">
        <f>IF(LEN(Base_Periodo1[[#This Row],[CLASS]])&gt;=7,LEFT(Base_Periodo1[[#This Row],[CLASS]],7),"")</f>
        <v>3.1.1.1</v>
      </c>
      <c r="F5902" s="3" t="e">
        <f>VLOOKUP(Base_Periodo1[[#This Row],[Aux]],Base_Contas_Balanco[#All],2,FALSE)</f>
        <v>#N/A</v>
      </c>
      <c r="G5902" s="1"/>
      <c r="H5902" s="281">
        <v>237959.2999999997</v>
      </c>
      <c r="I5902" s="281">
        <v>0</v>
      </c>
      <c r="J5902" s="281">
        <v>0</v>
      </c>
      <c r="K5902" s="281">
        <v>237959.2999999997</v>
      </c>
      <c r="L590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-237959.3</v>
      </c>
      <c r="M5902" s="281">
        <f>ROUND(IF(AND(Base_Periodo1[[#This Row],[Tipo_Linha]]="-",Base_Periodo1[[#This Row],[TIPOSALDO]]="D"),Base_Periodo1[[#This Row],[SALDO_ATUAL]]*-1,Base_Periodo1[[#This Row],[SALDO_ATUAL]]),4)</f>
        <v>237959.3</v>
      </c>
      <c r="N5902" t="s">
        <v>396</v>
      </c>
      <c r="O5902" t="s">
        <v>397</v>
      </c>
      <c r="P5902" t="s">
        <v>397</v>
      </c>
      <c r="Q5902">
        <v>8</v>
      </c>
      <c r="R5902" s="281">
        <f>Base_Periodo1[[#This Row],[CREDITOS]]-Base_Periodo1[[#This Row],[DEBITOS]]</f>
        <v>0</v>
      </c>
      <c r="S5902" s="3" t="str">
        <f>IF(ISERROR(VLOOKUP(Base_Periodo1[[#This Row],[CONTA]],BaseContasDRE[#All],4,FALSE)),"Fora do DRE",VLOOKUP(Base_Periodo1[[#This Row],[CONTA]],BaseContasDRE[#All],4,FALSE))</f>
        <v>Fora do DRE</v>
      </c>
      <c r="T5902" s="3" t="str">
        <f>IF(ISERROR(VLOOKUP(Base_Periodo1[[#This Row],[CONTA]],BaseContasDRE[#All],5,FALSE)),"Fora do DRE",VLOOKUP(Base_Periodo1[[#This Row],[CONTA]],BaseContasDRE[#All],6,FALSE))</f>
        <v>Fora do DRE</v>
      </c>
      <c r="U5902" s="3" t="str">
        <f>IF(ISERROR(VLOOKUP(Base_Periodo1[[#This Row],[CONTA]],BaseContasDRE[#All],7,FALSE)),"Fora do DRE",VLOOKUP(Base_Periodo1[[#This Row],[CONTA]],BaseContasDRE[#All],7,FALSE))</f>
        <v>Fora do DRE</v>
      </c>
      <c r="V5902" s="3" t="str">
        <f>IF(Base_Periodo1[[#This Row],[Tipo_Linha]]="Fora do DRE","Fora do DRE","( "&amp;Base_Periodo1[[#This Row],[Tipo_Linha]]&amp;" ) "&amp;Base_Periodo1[[#This Row],[Filtro]])</f>
        <v>Fora do DRE</v>
      </c>
      <c r="W5902" s="3" t="str">
        <f>LEFT(Base_Periodo1[[#This Row],[CLASS]],3)</f>
        <v>3.1</v>
      </c>
    </row>
    <row r="5903" spans="1:23" hidden="1">
      <c r="A5903" s="3" t="str">
        <f t="shared" si="92"/>
        <v>Período 1</v>
      </c>
      <c r="B5903">
        <v>1921</v>
      </c>
      <c r="C5903" t="s">
        <v>3625</v>
      </c>
      <c r="D5903" t="s">
        <v>3564</v>
      </c>
      <c r="E5903" s="3" t="str">
        <f>IF(LEN(Base_Periodo1[[#This Row],[CLASS]])&gt;=7,LEFT(Base_Periodo1[[#This Row],[CLASS]],7),"")</f>
        <v>3.1.1.1</v>
      </c>
      <c r="F5903" s="3" t="e">
        <f>VLOOKUP(Base_Periodo1[[#This Row],[Aux]],Base_Contas_Balanco[#All],2,FALSE)</f>
        <v>#N/A</v>
      </c>
      <c r="G5903" s="1">
        <v>42835</v>
      </c>
      <c r="H5903" s="281">
        <v>237959.2999999997</v>
      </c>
      <c r="I5903" s="281">
        <v>0</v>
      </c>
      <c r="J5903" s="281">
        <v>0</v>
      </c>
      <c r="K5903" s="281">
        <v>237959.2999999997</v>
      </c>
      <c r="L590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-237959.3</v>
      </c>
      <c r="M5903" s="281">
        <f>ROUND(IF(AND(Base_Periodo1[[#This Row],[Tipo_Linha]]="-",Base_Periodo1[[#This Row],[TIPOSALDO]]="D"),Base_Periodo1[[#This Row],[SALDO_ATUAL]]*-1,Base_Periodo1[[#This Row],[SALDO_ATUAL]]),4)</f>
        <v>-237959.3</v>
      </c>
      <c r="N5903" t="s">
        <v>116</v>
      </c>
      <c r="O5903" t="s">
        <v>397</v>
      </c>
      <c r="P5903" t="s">
        <v>397</v>
      </c>
      <c r="Q5903">
        <v>9</v>
      </c>
      <c r="R5903" s="281">
        <f>Base_Periodo1[[#This Row],[CREDITOS]]-Base_Periodo1[[#This Row],[DEBITOS]]</f>
        <v>0</v>
      </c>
      <c r="S5903" s="3" t="str">
        <f>IF(ISERROR(VLOOKUP(Base_Periodo1[[#This Row],[CONTA]],BaseContasDRE[#All],4,FALSE)),"Fora do DRE",VLOOKUP(Base_Periodo1[[#This Row],[CONTA]],BaseContasDRE[#All],4,FALSE))</f>
        <v>-</v>
      </c>
      <c r="T5903" s="3">
        <f>IF(ISERROR(VLOOKUP(Base_Periodo1[[#This Row],[CONTA]],BaseContasDRE[#All],5,FALSE)),"Fora do DRE",VLOOKUP(Base_Periodo1[[#This Row],[CONTA]],BaseContasDRE[#All],6,FALSE))</f>
        <v>2</v>
      </c>
      <c r="U5903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903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903" s="3" t="str">
        <f>LEFT(Base_Periodo1[[#This Row],[CLASS]],3)</f>
        <v>3.1</v>
      </c>
    </row>
    <row r="5904" spans="1:23" hidden="1">
      <c r="A5904" s="3" t="str">
        <f t="shared" si="92"/>
        <v>Período 1</v>
      </c>
      <c r="B5904">
        <v>1922</v>
      </c>
      <c r="C5904" t="s">
        <v>4225</v>
      </c>
      <c r="D5904" t="s">
        <v>3565</v>
      </c>
      <c r="E5904" s="3" t="str">
        <f>IF(LEN(Base_Periodo1[[#This Row],[CLASS]])&gt;=7,LEFT(Base_Periodo1[[#This Row],[CLASS]],7),"")</f>
        <v>3.1.1.1</v>
      </c>
      <c r="F5904" s="3" t="e">
        <f>VLOOKUP(Base_Periodo1[[#This Row],[Aux]],Base_Contas_Balanco[#All],2,FALSE)</f>
        <v>#N/A</v>
      </c>
      <c r="G5904" s="1"/>
      <c r="H5904" s="281">
        <v>6114.3900000000067</v>
      </c>
      <c r="I5904" s="281">
        <v>0</v>
      </c>
      <c r="J5904" s="281">
        <v>0</v>
      </c>
      <c r="K5904" s="281">
        <v>6114.3900000000067</v>
      </c>
      <c r="L590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-6114.39</v>
      </c>
      <c r="M5904" s="281">
        <f>ROUND(IF(AND(Base_Periodo1[[#This Row],[Tipo_Linha]]="-",Base_Periodo1[[#This Row],[TIPOSALDO]]="D"),Base_Periodo1[[#This Row],[SALDO_ATUAL]]*-1,Base_Periodo1[[#This Row],[SALDO_ATUAL]]),4)</f>
        <v>6114.39</v>
      </c>
      <c r="N5904" t="s">
        <v>396</v>
      </c>
      <c r="O5904" t="s">
        <v>397</v>
      </c>
      <c r="P5904" t="s">
        <v>397</v>
      </c>
      <c r="Q5904">
        <v>8</v>
      </c>
      <c r="R5904" s="281">
        <f>Base_Periodo1[[#This Row],[CREDITOS]]-Base_Periodo1[[#This Row],[DEBITOS]]</f>
        <v>0</v>
      </c>
      <c r="S5904" s="3" t="str">
        <f>IF(ISERROR(VLOOKUP(Base_Periodo1[[#This Row],[CONTA]],BaseContasDRE[#All],4,FALSE)),"Fora do DRE",VLOOKUP(Base_Periodo1[[#This Row],[CONTA]],BaseContasDRE[#All],4,FALSE))</f>
        <v>Fora do DRE</v>
      </c>
      <c r="T5904" s="3" t="str">
        <f>IF(ISERROR(VLOOKUP(Base_Periodo1[[#This Row],[CONTA]],BaseContasDRE[#All],5,FALSE)),"Fora do DRE",VLOOKUP(Base_Periodo1[[#This Row],[CONTA]],BaseContasDRE[#All],6,FALSE))</f>
        <v>Fora do DRE</v>
      </c>
      <c r="U5904" s="3" t="str">
        <f>IF(ISERROR(VLOOKUP(Base_Periodo1[[#This Row],[CONTA]],BaseContasDRE[#All],7,FALSE)),"Fora do DRE",VLOOKUP(Base_Periodo1[[#This Row],[CONTA]],BaseContasDRE[#All],7,FALSE))</f>
        <v>Fora do DRE</v>
      </c>
      <c r="V5904" s="3" t="str">
        <f>IF(Base_Periodo1[[#This Row],[Tipo_Linha]]="Fora do DRE","Fora do DRE","( "&amp;Base_Periodo1[[#This Row],[Tipo_Linha]]&amp;" ) "&amp;Base_Periodo1[[#This Row],[Filtro]])</f>
        <v>Fora do DRE</v>
      </c>
      <c r="W5904" s="3" t="str">
        <f>LEFT(Base_Periodo1[[#This Row],[CLASS]],3)</f>
        <v>3.1</v>
      </c>
    </row>
    <row r="5905" spans="1:23" hidden="1">
      <c r="A5905" s="3" t="str">
        <f t="shared" si="92"/>
        <v>Período 1</v>
      </c>
      <c r="B5905">
        <v>1923</v>
      </c>
      <c r="C5905" t="s">
        <v>4226</v>
      </c>
      <c r="D5905" t="s">
        <v>3566</v>
      </c>
      <c r="E5905" s="3" t="str">
        <f>IF(LEN(Base_Periodo1[[#This Row],[CLASS]])&gt;=7,LEFT(Base_Periodo1[[#This Row],[CLASS]],7),"")</f>
        <v>3.1.1.1</v>
      </c>
      <c r="F5905" s="3" t="e">
        <f>VLOOKUP(Base_Periodo1[[#This Row],[Aux]],Base_Contas_Balanco[#All],2,FALSE)</f>
        <v>#N/A</v>
      </c>
      <c r="G5905" s="1">
        <v>42776</v>
      </c>
      <c r="H5905" s="281">
        <v>6114.3900000000067</v>
      </c>
      <c r="I5905" s="281">
        <v>0</v>
      </c>
      <c r="J5905" s="281">
        <v>0</v>
      </c>
      <c r="K5905" s="281">
        <v>6114.3900000000067</v>
      </c>
      <c r="L590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-6114.39</v>
      </c>
      <c r="M5905" s="281">
        <f>ROUND(IF(AND(Base_Periodo1[[#This Row],[Tipo_Linha]]="-",Base_Periodo1[[#This Row],[TIPOSALDO]]="D"),Base_Periodo1[[#This Row],[SALDO_ATUAL]]*-1,Base_Periodo1[[#This Row],[SALDO_ATUAL]]),4)</f>
        <v>-6114.39</v>
      </c>
      <c r="N5905" t="s">
        <v>116</v>
      </c>
      <c r="O5905" t="s">
        <v>397</v>
      </c>
      <c r="P5905" t="s">
        <v>397</v>
      </c>
      <c r="Q5905">
        <v>9</v>
      </c>
      <c r="R5905" s="281">
        <f>Base_Periodo1[[#This Row],[CREDITOS]]-Base_Periodo1[[#This Row],[DEBITOS]]</f>
        <v>0</v>
      </c>
      <c r="S5905" s="3" t="str">
        <f>IF(ISERROR(VLOOKUP(Base_Periodo1[[#This Row],[CONTA]],BaseContasDRE[#All],4,FALSE)),"Fora do DRE",VLOOKUP(Base_Periodo1[[#This Row],[CONTA]],BaseContasDRE[#All],4,FALSE))</f>
        <v>-</v>
      </c>
      <c r="T5905" s="3">
        <f>IF(ISERROR(VLOOKUP(Base_Periodo1[[#This Row],[CONTA]],BaseContasDRE[#All],5,FALSE)),"Fora do DRE",VLOOKUP(Base_Periodo1[[#This Row],[CONTA]],BaseContasDRE[#All],6,FALSE))</f>
        <v>2</v>
      </c>
      <c r="U5905" s="3" t="str">
        <f>IF(ISERROR(VLOOKUP(Base_Periodo1[[#This Row],[CONTA]],BaseContasDRE[#All],7,FALSE)),"Fora do DRE",VLOOKUP(Base_Periodo1[[#This Row],[CONTA]],BaseContasDRE[#All],7,FALSE))</f>
        <v>ICMS SOBRE INGRESSOS E RECEITAS</v>
      </c>
      <c r="V5905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5905" s="3" t="str">
        <f>LEFT(Base_Periodo1[[#This Row],[CLASS]],3)</f>
        <v>3.1</v>
      </c>
    </row>
    <row r="5906" spans="1:23" hidden="1">
      <c r="A5906" s="3" t="str">
        <f t="shared" si="92"/>
        <v>Período 1</v>
      </c>
      <c r="B5906">
        <v>1924</v>
      </c>
      <c r="C5906" t="s">
        <v>3626</v>
      </c>
      <c r="D5906" t="s">
        <v>3567</v>
      </c>
      <c r="E5906" s="3" t="str">
        <f>IF(LEN(Base_Periodo1[[#This Row],[CLASS]])&gt;=7,LEFT(Base_Periodo1[[#This Row],[CLASS]],7),"")</f>
        <v>3.1.1.1</v>
      </c>
      <c r="F5906" s="3" t="e">
        <f>VLOOKUP(Base_Periodo1[[#This Row],[Aux]],Base_Contas_Balanco[#All],2,FALSE)</f>
        <v>#N/A</v>
      </c>
      <c r="G5906" s="1"/>
      <c r="H5906" s="281">
        <v>501911.67000000551</v>
      </c>
      <c r="I5906" s="281">
        <v>0</v>
      </c>
      <c r="J5906" s="281">
        <v>0</v>
      </c>
      <c r="K5906" s="281">
        <v>501911.67000000551</v>
      </c>
      <c r="L590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-501911.67</v>
      </c>
      <c r="M5906" s="281">
        <f>ROUND(IF(AND(Base_Periodo1[[#This Row],[Tipo_Linha]]="-",Base_Periodo1[[#This Row],[TIPOSALDO]]="D"),Base_Periodo1[[#This Row],[SALDO_ATUAL]]*-1,Base_Periodo1[[#This Row],[SALDO_ATUAL]]),4)</f>
        <v>501911.67</v>
      </c>
      <c r="N5906" t="s">
        <v>396</v>
      </c>
      <c r="O5906" t="s">
        <v>397</v>
      </c>
      <c r="P5906" t="s">
        <v>397</v>
      </c>
      <c r="Q5906">
        <v>8</v>
      </c>
      <c r="R5906" s="281">
        <f>Base_Periodo1[[#This Row],[CREDITOS]]-Base_Periodo1[[#This Row],[DEBITOS]]</f>
        <v>0</v>
      </c>
      <c r="S5906" s="3" t="str">
        <f>IF(ISERROR(VLOOKUP(Base_Periodo1[[#This Row],[CONTA]],BaseContasDRE[#All],4,FALSE)),"Fora do DRE",VLOOKUP(Base_Periodo1[[#This Row],[CONTA]],BaseContasDRE[#All],4,FALSE))</f>
        <v>Fora do DRE</v>
      </c>
      <c r="T5906" s="3" t="str">
        <f>IF(ISERROR(VLOOKUP(Base_Periodo1[[#This Row],[CONTA]],BaseContasDRE[#All],5,FALSE)),"Fora do DRE",VLOOKUP(Base_Periodo1[[#This Row],[CONTA]],BaseContasDRE[#All],6,FALSE))</f>
        <v>Fora do DRE</v>
      </c>
      <c r="U5906" s="3" t="str">
        <f>IF(ISERROR(VLOOKUP(Base_Periodo1[[#This Row],[CONTA]],BaseContasDRE[#All],7,FALSE)),"Fora do DRE",VLOOKUP(Base_Periodo1[[#This Row],[CONTA]],BaseContasDRE[#All],7,FALSE))</f>
        <v>Fora do DRE</v>
      </c>
      <c r="V5906" s="3" t="str">
        <f>IF(Base_Periodo1[[#This Row],[Tipo_Linha]]="Fora do DRE","Fora do DRE","( "&amp;Base_Periodo1[[#This Row],[Tipo_Linha]]&amp;" ) "&amp;Base_Periodo1[[#This Row],[Filtro]])</f>
        <v>Fora do DRE</v>
      </c>
      <c r="W5906" s="3" t="str">
        <f>LEFT(Base_Periodo1[[#This Row],[CLASS]],3)</f>
        <v>3.1</v>
      </c>
    </row>
    <row r="5907" spans="1:23" hidden="1">
      <c r="A5907" s="3" t="str">
        <f t="shared" si="92"/>
        <v>Período 1</v>
      </c>
      <c r="B5907">
        <v>1925</v>
      </c>
      <c r="C5907" t="s">
        <v>3627</v>
      </c>
      <c r="D5907" t="s">
        <v>3568</v>
      </c>
      <c r="E5907" s="3" t="str">
        <f>IF(LEN(Base_Periodo1[[#This Row],[CLASS]])&gt;=7,LEFT(Base_Periodo1[[#This Row],[CLASS]],7),"")</f>
        <v>3.1.1.1</v>
      </c>
      <c r="F5907" s="3" t="e">
        <f>VLOOKUP(Base_Periodo1[[#This Row],[Aux]],Base_Contas_Balanco[#All],2,FALSE)</f>
        <v>#N/A</v>
      </c>
      <c r="G5907" s="1">
        <v>42855</v>
      </c>
      <c r="H5907" s="281">
        <v>501911.67000000551</v>
      </c>
      <c r="I5907" s="281">
        <v>0</v>
      </c>
      <c r="J5907" s="281">
        <v>0</v>
      </c>
      <c r="K5907" s="281">
        <v>501911.67000000551</v>
      </c>
      <c r="L590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-501911.67</v>
      </c>
      <c r="M5907" s="281">
        <f>ROUND(IF(AND(Base_Periodo1[[#This Row],[Tipo_Linha]]="-",Base_Periodo1[[#This Row],[TIPOSALDO]]="D"),Base_Periodo1[[#This Row],[SALDO_ATUAL]]*-1,Base_Periodo1[[#This Row],[SALDO_ATUAL]]),4)</f>
        <v>-501911.67</v>
      </c>
      <c r="N5907" t="s">
        <v>116</v>
      </c>
      <c r="O5907" t="s">
        <v>397</v>
      </c>
      <c r="P5907" t="s">
        <v>397</v>
      </c>
      <c r="Q5907">
        <v>9</v>
      </c>
      <c r="R5907" s="281">
        <f>Base_Periodo1[[#This Row],[CREDITOS]]-Base_Periodo1[[#This Row],[DEBITOS]]</f>
        <v>0</v>
      </c>
      <c r="S5907" s="3" t="str">
        <f>IF(ISERROR(VLOOKUP(Base_Periodo1[[#This Row],[CONTA]],BaseContasDRE[#All],4,FALSE)),"Fora do DRE",VLOOKUP(Base_Periodo1[[#This Row],[CONTA]],BaseContasDRE[#All],4,FALSE))</f>
        <v>-</v>
      </c>
      <c r="T5907" s="3">
        <f>IF(ISERROR(VLOOKUP(Base_Periodo1[[#This Row],[CONTA]],BaseContasDRE[#All],5,FALSE)),"Fora do DRE",VLOOKUP(Base_Periodo1[[#This Row],[CONTA]],BaseContasDRE[#All],6,FALSE))</f>
        <v>3</v>
      </c>
      <c r="U5907" s="3" t="str">
        <f>IF(ISERROR(VLOOKUP(Base_Periodo1[[#This Row],[CONTA]],BaseContasDRE[#All],7,FALSE)),"Fora do DRE",VLOOKUP(Base_Periodo1[[#This Row],[CONTA]],BaseContasDRE[#All],7,FALSE))</f>
        <v>INSUMOS AGROPECUARIOS</v>
      </c>
      <c r="V5907" s="3" t="str">
        <f>IF(Base_Periodo1[[#This Row],[Tipo_Linha]]="Fora do DRE","Fora do DRE","( "&amp;Base_Periodo1[[#This Row],[Tipo_Linha]]&amp;" ) "&amp;Base_Periodo1[[#This Row],[Filtro]])</f>
        <v>( - ) INSUMOS AGROPECUARIOS</v>
      </c>
      <c r="W5907" s="3" t="str">
        <f>LEFT(Base_Periodo1[[#This Row],[CLASS]],3)</f>
        <v>3.1</v>
      </c>
    </row>
    <row r="5908" spans="1:23" hidden="1">
      <c r="A5908" s="3" t="str">
        <f t="shared" si="92"/>
        <v>Período 1</v>
      </c>
      <c r="B5908">
        <v>1926</v>
      </c>
      <c r="C5908" t="s">
        <v>3628</v>
      </c>
      <c r="D5908" t="s">
        <v>1258</v>
      </c>
      <c r="E5908" s="3" t="str">
        <f>IF(LEN(Base_Periodo1[[#This Row],[CLASS]])&gt;=7,LEFT(Base_Periodo1[[#This Row],[CLASS]],7),"")</f>
        <v>3.1.1.1</v>
      </c>
      <c r="F5908" s="3" t="e">
        <f>VLOOKUP(Base_Periodo1[[#This Row],[Aux]],Base_Contas_Balanco[#All],2,FALSE)</f>
        <v>#N/A</v>
      </c>
      <c r="G5908" s="1"/>
      <c r="H5908" s="281">
        <v>474444.00999999716</v>
      </c>
      <c r="I5908" s="281">
        <v>4400</v>
      </c>
      <c r="J5908" s="281">
        <v>0</v>
      </c>
      <c r="K5908" s="281">
        <v>470044.00999999716</v>
      </c>
      <c r="L590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470044.01</v>
      </c>
      <c r="M5908" s="281">
        <f>ROUND(IF(AND(Base_Periodo1[[#This Row],[Tipo_Linha]]="-",Base_Periodo1[[#This Row],[TIPOSALDO]]="D"),Base_Periodo1[[#This Row],[SALDO_ATUAL]]*-1,Base_Periodo1[[#This Row],[SALDO_ATUAL]]),4)</f>
        <v>470044.01</v>
      </c>
      <c r="N5908" t="s">
        <v>396</v>
      </c>
      <c r="O5908" t="s">
        <v>459</v>
      </c>
      <c r="P5908" t="s">
        <v>459</v>
      </c>
      <c r="Q5908">
        <v>7</v>
      </c>
      <c r="R5908" s="281">
        <f>Base_Periodo1[[#This Row],[CREDITOS]]-Base_Periodo1[[#This Row],[DEBITOS]]</f>
        <v>-4400</v>
      </c>
      <c r="S5908" s="3" t="str">
        <f>IF(ISERROR(VLOOKUP(Base_Periodo1[[#This Row],[CONTA]],BaseContasDRE[#All],4,FALSE)),"Fora do DRE",VLOOKUP(Base_Periodo1[[#This Row],[CONTA]],BaseContasDRE[#All],4,FALSE))</f>
        <v>Fora do DRE</v>
      </c>
      <c r="T5908" s="3" t="str">
        <f>IF(ISERROR(VLOOKUP(Base_Periodo1[[#This Row],[CONTA]],BaseContasDRE[#All],5,FALSE)),"Fora do DRE",VLOOKUP(Base_Periodo1[[#This Row],[CONTA]],BaseContasDRE[#All],6,FALSE))</f>
        <v>Fora do DRE</v>
      </c>
      <c r="U5908" s="3" t="str">
        <f>IF(ISERROR(VLOOKUP(Base_Periodo1[[#This Row],[CONTA]],BaseContasDRE[#All],7,FALSE)),"Fora do DRE",VLOOKUP(Base_Periodo1[[#This Row],[CONTA]],BaseContasDRE[#All],7,FALSE))</f>
        <v>Fora do DRE</v>
      </c>
      <c r="V5908" s="3" t="str">
        <f>IF(Base_Periodo1[[#This Row],[Tipo_Linha]]="Fora do DRE","Fora do DRE","( "&amp;Base_Periodo1[[#This Row],[Tipo_Linha]]&amp;" ) "&amp;Base_Periodo1[[#This Row],[Filtro]])</f>
        <v>Fora do DRE</v>
      </c>
      <c r="W5908" s="3" t="str">
        <f>LEFT(Base_Periodo1[[#This Row],[CLASS]],3)</f>
        <v>3.1</v>
      </c>
    </row>
    <row r="5909" spans="1:23" hidden="1">
      <c r="A5909" s="3" t="str">
        <f t="shared" si="92"/>
        <v>Período 1</v>
      </c>
      <c r="B5909">
        <v>1927</v>
      </c>
      <c r="C5909" t="s">
        <v>3629</v>
      </c>
      <c r="D5909" t="s">
        <v>3630</v>
      </c>
      <c r="E5909" s="3" t="str">
        <f>IF(LEN(Base_Periodo1[[#This Row],[CLASS]])&gt;=7,LEFT(Base_Periodo1[[#This Row],[CLASS]],7),"")</f>
        <v>3.1.1.1</v>
      </c>
      <c r="F5909" s="3" t="e">
        <f>VLOOKUP(Base_Periodo1[[#This Row],[Aux]],Base_Contas_Balanco[#All],2,FALSE)</f>
        <v>#N/A</v>
      </c>
      <c r="G5909" s="1"/>
      <c r="H5909" s="281">
        <v>2040681.0399999991</v>
      </c>
      <c r="I5909" s="281">
        <v>0</v>
      </c>
      <c r="J5909" s="281">
        <v>0</v>
      </c>
      <c r="K5909" s="281">
        <v>2040681.0399999991</v>
      </c>
      <c r="L590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2040681.04</v>
      </c>
      <c r="M5909" s="281">
        <f>ROUND(IF(AND(Base_Periodo1[[#This Row],[Tipo_Linha]]="-",Base_Periodo1[[#This Row],[TIPOSALDO]]="D"),Base_Periodo1[[#This Row],[SALDO_ATUAL]]*-1,Base_Periodo1[[#This Row],[SALDO_ATUAL]]),4)</f>
        <v>2040681.04</v>
      </c>
      <c r="N5909" t="s">
        <v>396</v>
      </c>
      <c r="O5909" t="s">
        <v>459</v>
      </c>
      <c r="P5909" t="s">
        <v>459</v>
      </c>
      <c r="Q5909">
        <v>8</v>
      </c>
      <c r="R5909" s="281">
        <f>Base_Periodo1[[#This Row],[CREDITOS]]-Base_Periodo1[[#This Row],[DEBITOS]]</f>
        <v>0</v>
      </c>
      <c r="S5909" s="3" t="str">
        <f>IF(ISERROR(VLOOKUP(Base_Periodo1[[#This Row],[CONTA]],BaseContasDRE[#All],4,FALSE)),"Fora do DRE",VLOOKUP(Base_Periodo1[[#This Row],[CONTA]],BaseContasDRE[#All],4,FALSE))</f>
        <v>Fora do DRE</v>
      </c>
      <c r="T5909" s="3" t="str">
        <f>IF(ISERROR(VLOOKUP(Base_Periodo1[[#This Row],[CONTA]],BaseContasDRE[#All],5,FALSE)),"Fora do DRE",VLOOKUP(Base_Periodo1[[#This Row],[CONTA]],BaseContasDRE[#All],6,FALSE))</f>
        <v>Fora do DRE</v>
      </c>
      <c r="U5909" s="3" t="str">
        <f>IF(ISERROR(VLOOKUP(Base_Periodo1[[#This Row],[CONTA]],BaseContasDRE[#All],7,FALSE)),"Fora do DRE",VLOOKUP(Base_Periodo1[[#This Row],[CONTA]],BaseContasDRE[#All],7,FALSE))</f>
        <v>Fora do DRE</v>
      </c>
      <c r="V5909" s="3" t="str">
        <f>IF(Base_Periodo1[[#This Row],[Tipo_Linha]]="Fora do DRE","Fora do DRE","( "&amp;Base_Periodo1[[#This Row],[Tipo_Linha]]&amp;" ) "&amp;Base_Periodo1[[#This Row],[Filtro]])</f>
        <v>Fora do DRE</v>
      </c>
      <c r="W5909" s="3" t="str">
        <f>LEFT(Base_Periodo1[[#This Row],[CLASS]],3)</f>
        <v>3.1</v>
      </c>
    </row>
    <row r="5910" spans="1:23" hidden="1">
      <c r="A5910" s="3" t="str">
        <f t="shared" si="92"/>
        <v>Período 1</v>
      </c>
      <c r="B5910">
        <v>1928</v>
      </c>
      <c r="C5910" t="s">
        <v>3631</v>
      </c>
      <c r="D5910" t="s">
        <v>3562</v>
      </c>
      <c r="E5910" s="3" t="str">
        <f>IF(LEN(Base_Periodo1[[#This Row],[CLASS]])&gt;=7,LEFT(Base_Periodo1[[#This Row],[CLASS]],7),"")</f>
        <v>3.1.1.1</v>
      </c>
      <c r="F5910" s="3" t="e">
        <f>VLOOKUP(Base_Periodo1[[#This Row],[Aux]],Base_Contas_Balanco[#All],2,FALSE)</f>
        <v>#N/A</v>
      </c>
      <c r="G5910" s="1">
        <v>42809</v>
      </c>
      <c r="H5910" s="281">
        <v>2040681.0399999991</v>
      </c>
      <c r="I5910" s="281">
        <v>0</v>
      </c>
      <c r="J5910" s="281">
        <v>0</v>
      </c>
      <c r="K5910" s="281">
        <v>2040681.0399999991</v>
      </c>
      <c r="L591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2040681.04</v>
      </c>
      <c r="M5910" s="281">
        <f>ROUND(IF(AND(Base_Periodo1[[#This Row],[Tipo_Linha]]="-",Base_Periodo1[[#This Row],[TIPOSALDO]]="D"),Base_Periodo1[[#This Row],[SALDO_ATUAL]]*-1,Base_Periodo1[[#This Row],[SALDO_ATUAL]]),4)</f>
        <v>2040681.04</v>
      </c>
      <c r="N5910" t="s">
        <v>116</v>
      </c>
      <c r="O5910" t="s">
        <v>459</v>
      </c>
      <c r="P5910" t="s">
        <v>459</v>
      </c>
      <c r="Q5910">
        <v>9</v>
      </c>
      <c r="R5910" s="281">
        <f>Base_Periodo1[[#This Row],[CREDITOS]]-Base_Periodo1[[#This Row],[DEBITOS]]</f>
        <v>0</v>
      </c>
      <c r="S5910" s="3" t="str">
        <f>IF(ISERROR(VLOOKUP(Base_Periodo1[[#This Row],[CONTA]],BaseContasDRE[#All],4,FALSE)),"Fora do DRE",VLOOKUP(Base_Periodo1[[#This Row],[CONTA]],BaseContasDRE[#All],4,FALSE))</f>
        <v>+</v>
      </c>
      <c r="T5910" s="3">
        <f>IF(ISERROR(VLOOKUP(Base_Periodo1[[#This Row],[CONTA]],BaseContasDRE[#All],5,FALSE)),"Fora do DRE",VLOOKUP(Base_Periodo1[[#This Row],[CONTA]],BaseContasDRE[#All],6,FALSE))</f>
        <v>1</v>
      </c>
      <c r="U5910" s="3" t="str">
        <f>IF(ISERROR(VLOOKUP(Base_Periodo1[[#This Row],[CONTA]],BaseContasDRE[#All],7,FALSE)),"Fora do DRE",VLOOKUP(Base_Periodo1[[#This Row],[CONTA]],BaseContasDRE[#All],7,FALSE))</f>
        <v>INSUMOS AGROPECUARIOS</v>
      </c>
      <c r="V5910" s="3" t="str">
        <f>IF(Base_Periodo1[[#This Row],[Tipo_Linha]]="Fora do DRE","Fora do DRE","( "&amp;Base_Periodo1[[#This Row],[Tipo_Linha]]&amp;" ) "&amp;Base_Periodo1[[#This Row],[Filtro]])</f>
        <v>( + ) INSUMOS AGROPECUARIOS</v>
      </c>
      <c r="W5910" s="3" t="str">
        <f>LEFT(Base_Periodo1[[#This Row],[CLASS]],3)</f>
        <v>3.1</v>
      </c>
    </row>
    <row r="5911" spans="1:23" hidden="1">
      <c r="A5911" s="3" t="str">
        <f t="shared" si="92"/>
        <v>Período 1</v>
      </c>
      <c r="B5911">
        <v>1929</v>
      </c>
      <c r="C5911" t="s">
        <v>5114</v>
      </c>
      <c r="D5911" t="s">
        <v>3591</v>
      </c>
      <c r="E5911" s="3" t="str">
        <f>IF(LEN(Base_Periodo1[[#This Row],[CLASS]])&gt;=7,LEFT(Base_Periodo1[[#This Row],[CLASS]],7),"")</f>
        <v>3.1.1.1</v>
      </c>
      <c r="F5911" s="3" t="e">
        <f>VLOOKUP(Base_Periodo1[[#This Row],[Aux]],Base_Contas_Balanco[#All],2,FALSE)</f>
        <v>#N/A</v>
      </c>
      <c r="G5911" s="1"/>
      <c r="H5911" s="281">
        <v>63274.199999999895</v>
      </c>
      <c r="I5911" s="281">
        <v>0</v>
      </c>
      <c r="J5911" s="281">
        <v>0</v>
      </c>
      <c r="K5911" s="281">
        <v>63274.199999999895</v>
      </c>
      <c r="L591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63274.2</v>
      </c>
      <c r="M5911" s="281">
        <f>ROUND(IF(AND(Base_Periodo1[[#This Row],[Tipo_Linha]]="-",Base_Periodo1[[#This Row],[TIPOSALDO]]="D"),Base_Periodo1[[#This Row],[SALDO_ATUAL]]*-1,Base_Periodo1[[#This Row],[SALDO_ATUAL]]),4)</f>
        <v>63274.2</v>
      </c>
      <c r="N5911" t="s">
        <v>396</v>
      </c>
      <c r="O5911" t="s">
        <v>459</v>
      </c>
      <c r="P5911" t="s">
        <v>459</v>
      </c>
      <c r="Q5911">
        <v>8</v>
      </c>
      <c r="R5911" s="281">
        <f>Base_Periodo1[[#This Row],[CREDITOS]]-Base_Periodo1[[#This Row],[DEBITOS]]</f>
        <v>0</v>
      </c>
      <c r="S5911" s="3" t="str">
        <f>IF(ISERROR(VLOOKUP(Base_Periodo1[[#This Row],[CONTA]],BaseContasDRE[#All],4,FALSE)),"Fora do DRE",VLOOKUP(Base_Periodo1[[#This Row],[CONTA]],BaseContasDRE[#All],4,FALSE))</f>
        <v>Fora do DRE</v>
      </c>
      <c r="T5911" s="3" t="str">
        <f>IF(ISERROR(VLOOKUP(Base_Periodo1[[#This Row],[CONTA]],BaseContasDRE[#All],5,FALSE)),"Fora do DRE",VLOOKUP(Base_Periodo1[[#This Row],[CONTA]],BaseContasDRE[#All],6,FALSE))</f>
        <v>Fora do DRE</v>
      </c>
      <c r="U5911" s="3" t="str">
        <f>IF(ISERROR(VLOOKUP(Base_Periodo1[[#This Row],[CONTA]],BaseContasDRE[#All],7,FALSE)),"Fora do DRE",VLOOKUP(Base_Periodo1[[#This Row],[CONTA]],BaseContasDRE[#All],7,FALSE))</f>
        <v>Fora do DRE</v>
      </c>
      <c r="V5911" s="3" t="str">
        <f>IF(Base_Periodo1[[#This Row],[Tipo_Linha]]="Fora do DRE","Fora do DRE","( "&amp;Base_Periodo1[[#This Row],[Tipo_Linha]]&amp;" ) "&amp;Base_Periodo1[[#This Row],[Filtro]])</f>
        <v>Fora do DRE</v>
      </c>
      <c r="W5911" s="3" t="str">
        <f>LEFT(Base_Periodo1[[#This Row],[CLASS]],3)</f>
        <v>3.1</v>
      </c>
    </row>
    <row r="5912" spans="1:23" hidden="1">
      <c r="A5912" s="3" t="str">
        <f t="shared" si="92"/>
        <v>Período 1</v>
      </c>
      <c r="B5912">
        <v>1930</v>
      </c>
      <c r="C5912" t="s">
        <v>5115</v>
      </c>
      <c r="D5912" t="s">
        <v>3592</v>
      </c>
      <c r="E5912" s="3" t="str">
        <f>IF(LEN(Base_Periodo1[[#This Row],[CLASS]])&gt;=7,LEFT(Base_Periodo1[[#This Row],[CLASS]],7),"")</f>
        <v>3.1.1.1</v>
      </c>
      <c r="F5912" s="3" t="e">
        <f>VLOOKUP(Base_Periodo1[[#This Row],[Aux]],Base_Contas_Balanco[#All],2,FALSE)</f>
        <v>#N/A</v>
      </c>
      <c r="G5912" s="1">
        <v>42758</v>
      </c>
      <c r="H5912" s="281">
        <v>63274.199999999895</v>
      </c>
      <c r="I5912" s="281">
        <v>0</v>
      </c>
      <c r="J5912" s="281">
        <v>0</v>
      </c>
      <c r="K5912" s="281">
        <v>63274.199999999895</v>
      </c>
      <c r="L591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63274.2</v>
      </c>
      <c r="M5912" s="281">
        <f>ROUND(IF(AND(Base_Periodo1[[#This Row],[Tipo_Linha]]="-",Base_Periodo1[[#This Row],[TIPOSALDO]]="D"),Base_Periodo1[[#This Row],[SALDO_ATUAL]]*-1,Base_Periodo1[[#This Row],[SALDO_ATUAL]]),4)</f>
        <v>63274.2</v>
      </c>
      <c r="N5912" t="s">
        <v>116</v>
      </c>
      <c r="O5912" t="s">
        <v>459</v>
      </c>
      <c r="P5912" t="s">
        <v>459</v>
      </c>
      <c r="Q5912">
        <v>9</v>
      </c>
      <c r="R5912" s="281">
        <f>Base_Periodo1[[#This Row],[CREDITOS]]-Base_Periodo1[[#This Row],[DEBITOS]]</f>
        <v>0</v>
      </c>
      <c r="S5912" s="3" t="str">
        <f>IF(ISERROR(VLOOKUP(Base_Periodo1[[#This Row],[CONTA]],BaseContasDRE[#All],4,FALSE)),"Fora do DRE",VLOOKUP(Base_Periodo1[[#This Row],[CONTA]],BaseContasDRE[#All],4,FALSE))</f>
        <v>+</v>
      </c>
      <c r="T5912" s="3">
        <f>IF(ISERROR(VLOOKUP(Base_Periodo1[[#This Row],[CONTA]],BaseContasDRE[#All],5,FALSE)),"Fora do DRE",VLOOKUP(Base_Periodo1[[#This Row],[CONTA]],BaseContasDRE[#All],6,FALSE))</f>
        <v>1</v>
      </c>
      <c r="U5912" s="3" t="str">
        <f>IF(ISERROR(VLOOKUP(Base_Periodo1[[#This Row],[CONTA]],BaseContasDRE[#All],7,FALSE)),"Fora do DRE",VLOOKUP(Base_Periodo1[[#This Row],[CONTA]],BaseContasDRE[#All],7,FALSE))</f>
        <v>BONIFICAÇÕES RECEBIDAS</v>
      </c>
      <c r="V5912" s="3" t="str">
        <f>IF(Base_Periodo1[[#This Row],[Tipo_Linha]]="Fora do DRE","Fora do DRE","( "&amp;Base_Periodo1[[#This Row],[Tipo_Linha]]&amp;" ) "&amp;Base_Periodo1[[#This Row],[Filtro]])</f>
        <v>( + ) BONIFICAÇÕES RECEBIDAS</v>
      </c>
      <c r="W5912" s="3" t="str">
        <f>LEFT(Base_Periodo1[[#This Row],[CLASS]],3)</f>
        <v>3.1</v>
      </c>
    </row>
    <row r="5913" spans="1:23" hidden="1">
      <c r="A5913" s="3" t="str">
        <f t="shared" si="92"/>
        <v>Período 1</v>
      </c>
      <c r="B5913">
        <v>1931</v>
      </c>
      <c r="C5913" t="s">
        <v>3632</v>
      </c>
      <c r="D5913" t="s">
        <v>3563</v>
      </c>
      <c r="E5913" s="3" t="str">
        <f>IF(LEN(Base_Periodo1[[#This Row],[CLASS]])&gt;=7,LEFT(Base_Periodo1[[#This Row],[CLASS]],7),"")</f>
        <v>3.1.1.1</v>
      </c>
      <c r="F5913" s="3" t="e">
        <f>VLOOKUP(Base_Periodo1[[#This Row],[Aux]],Base_Contas_Balanco[#All],2,FALSE)</f>
        <v>#N/A</v>
      </c>
      <c r="G5913" s="1"/>
      <c r="H5913" s="281">
        <v>76172.329999999492</v>
      </c>
      <c r="I5913" s="281">
        <v>2200</v>
      </c>
      <c r="J5913" s="281">
        <v>0</v>
      </c>
      <c r="K5913" s="281">
        <v>78372.329999999492</v>
      </c>
      <c r="L591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-78372.33</v>
      </c>
      <c r="M5913" s="281">
        <f>ROUND(IF(AND(Base_Periodo1[[#This Row],[Tipo_Linha]]="-",Base_Periodo1[[#This Row],[TIPOSALDO]]="D"),Base_Periodo1[[#This Row],[SALDO_ATUAL]]*-1,Base_Periodo1[[#This Row],[SALDO_ATUAL]]),4)</f>
        <v>78372.33</v>
      </c>
      <c r="N5913" t="s">
        <v>396</v>
      </c>
      <c r="O5913" t="s">
        <v>397</v>
      </c>
      <c r="P5913" t="s">
        <v>397</v>
      </c>
      <c r="Q5913">
        <v>8</v>
      </c>
      <c r="R5913" s="281">
        <f>Base_Periodo1[[#This Row],[CREDITOS]]-Base_Periodo1[[#This Row],[DEBITOS]]</f>
        <v>-2200</v>
      </c>
      <c r="S5913" s="3" t="str">
        <f>IF(ISERROR(VLOOKUP(Base_Periodo1[[#This Row],[CONTA]],BaseContasDRE[#All],4,FALSE)),"Fora do DRE",VLOOKUP(Base_Periodo1[[#This Row],[CONTA]],BaseContasDRE[#All],4,FALSE))</f>
        <v>Fora do DRE</v>
      </c>
      <c r="T5913" s="3" t="str">
        <f>IF(ISERROR(VLOOKUP(Base_Periodo1[[#This Row],[CONTA]],BaseContasDRE[#All],5,FALSE)),"Fora do DRE",VLOOKUP(Base_Periodo1[[#This Row],[CONTA]],BaseContasDRE[#All],6,FALSE))</f>
        <v>Fora do DRE</v>
      </c>
      <c r="U5913" s="3" t="str">
        <f>IF(ISERROR(VLOOKUP(Base_Periodo1[[#This Row],[CONTA]],BaseContasDRE[#All],7,FALSE)),"Fora do DRE",VLOOKUP(Base_Periodo1[[#This Row],[CONTA]],BaseContasDRE[#All],7,FALSE))</f>
        <v>Fora do DRE</v>
      </c>
      <c r="V5913" s="3" t="str">
        <f>IF(Base_Periodo1[[#This Row],[Tipo_Linha]]="Fora do DRE","Fora do DRE","( "&amp;Base_Periodo1[[#This Row],[Tipo_Linha]]&amp;" ) "&amp;Base_Periodo1[[#This Row],[Filtro]])</f>
        <v>Fora do DRE</v>
      </c>
      <c r="W5913" s="3" t="str">
        <f>LEFT(Base_Periodo1[[#This Row],[CLASS]],3)</f>
        <v>3.1</v>
      </c>
    </row>
    <row r="5914" spans="1:23" hidden="1">
      <c r="A5914" s="3" t="str">
        <f t="shared" si="92"/>
        <v>Período 1</v>
      </c>
      <c r="B5914">
        <v>1932</v>
      </c>
      <c r="C5914" t="s">
        <v>3633</v>
      </c>
      <c r="D5914" t="s">
        <v>3564</v>
      </c>
      <c r="E5914" s="3" t="str">
        <f>IF(LEN(Base_Periodo1[[#This Row],[CLASS]])&gt;=7,LEFT(Base_Periodo1[[#This Row],[CLASS]],7),"")</f>
        <v>3.1.1.1</v>
      </c>
      <c r="F5914" s="3" t="e">
        <f>VLOOKUP(Base_Periodo1[[#This Row],[Aux]],Base_Contas_Balanco[#All],2,FALSE)</f>
        <v>#N/A</v>
      </c>
      <c r="G5914" s="1">
        <v>42864</v>
      </c>
      <c r="H5914" s="281">
        <v>76172.329999999492</v>
      </c>
      <c r="I5914" s="281">
        <v>2200</v>
      </c>
      <c r="J5914" s="281">
        <v>0</v>
      </c>
      <c r="K5914" s="281">
        <v>78372.329999999492</v>
      </c>
      <c r="L591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-78372.33</v>
      </c>
      <c r="M5914" s="281">
        <f>ROUND(IF(AND(Base_Periodo1[[#This Row],[Tipo_Linha]]="-",Base_Periodo1[[#This Row],[TIPOSALDO]]="D"),Base_Periodo1[[#This Row],[SALDO_ATUAL]]*-1,Base_Periodo1[[#This Row],[SALDO_ATUAL]]),4)</f>
        <v>-78372.33</v>
      </c>
      <c r="N5914" t="s">
        <v>116</v>
      </c>
      <c r="O5914" t="s">
        <v>397</v>
      </c>
      <c r="P5914" t="s">
        <v>397</v>
      </c>
      <c r="Q5914">
        <v>9</v>
      </c>
      <c r="R5914" s="281">
        <f>Base_Periodo1[[#This Row],[CREDITOS]]-Base_Periodo1[[#This Row],[DEBITOS]]</f>
        <v>-2200</v>
      </c>
      <c r="S5914" s="3" t="str">
        <f>IF(ISERROR(VLOOKUP(Base_Periodo1[[#This Row],[CONTA]],BaseContasDRE[#All],4,FALSE)),"Fora do DRE",VLOOKUP(Base_Periodo1[[#This Row],[CONTA]],BaseContasDRE[#All],4,FALSE))</f>
        <v>-</v>
      </c>
      <c r="T5914" s="3">
        <f>IF(ISERROR(VLOOKUP(Base_Periodo1[[#This Row],[CONTA]],BaseContasDRE[#All],5,FALSE)),"Fora do DRE",VLOOKUP(Base_Periodo1[[#This Row],[CONTA]],BaseContasDRE[#All],6,FALSE))</f>
        <v>2</v>
      </c>
      <c r="U5914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914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914" s="3" t="str">
        <f>LEFT(Base_Periodo1[[#This Row],[CLASS]],3)</f>
        <v>3.1</v>
      </c>
    </row>
    <row r="5915" spans="1:23" hidden="1">
      <c r="A5915" s="3" t="str">
        <f t="shared" si="92"/>
        <v>Período 1</v>
      </c>
      <c r="B5915">
        <v>1935</v>
      </c>
      <c r="C5915" t="s">
        <v>3634</v>
      </c>
      <c r="D5915" t="s">
        <v>3567</v>
      </c>
      <c r="E5915" s="3" t="str">
        <f>IF(LEN(Base_Periodo1[[#This Row],[CLASS]])&gt;=7,LEFT(Base_Periodo1[[#This Row],[CLASS]],7),"")</f>
        <v>3.1.1.1</v>
      </c>
      <c r="F5915" s="3" t="e">
        <f>VLOOKUP(Base_Periodo1[[#This Row],[Aux]],Base_Contas_Balanco[#All],2,FALSE)</f>
        <v>#N/A</v>
      </c>
      <c r="G5915" s="1"/>
      <c r="H5915" s="281">
        <v>1553338.9000000022</v>
      </c>
      <c r="I5915" s="281">
        <v>2200</v>
      </c>
      <c r="J5915" s="281">
        <v>0</v>
      </c>
      <c r="K5915" s="281">
        <v>1555538.9000000022</v>
      </c>
      <c r="L591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-1555538.9</v>
      </c>
      <c r="M5915" s="281">
        <f>ROUND(IF(AND(Base_Periodo1[[#This Row],[Tipo_Linha]]="-",Base_Periodo1[[#This Row],[TIPOSALDO]]="D"),Base_Periodo1[[#This Row],[SALDO_ATUAL]]*-1,Base_Periodo1[[#This Row],[SALDO_ATUAL]]),4)</f>
        <v>1555538.9</v>
      </c>
      <c r="N5915" t="s">
        <v>396</v>
      </c>
      <c r="O5915" t="s">
        <v>397</v>
      </c>
      <c r="P5915" t="s">
        <v>397</v>
      </c>
      <c r="Q5915">
        <v>8</v>
      </c>
      <c r="R5915" s="281">
        <f>Base_Periodo1[[#This Row],[CREDITOS]]-Base_Periodo1[[#This Row],[DEBITOS]]</f>
        <v>-2200</v>
      </c>
      <c r="S5915" s="3" t="str">
        <f>IF(ISERROR(VLOOKUP(Base_Periodo1[[#This Row],[CONTA]],BaseContasDRE[#All],4,FALSE)),"Fora do DRE",VLOOKUP(Base_Periodo1[[#This Row],[CONTA]],BaseContasDRE[#All],4,FALSE))</f>
        <v>Fora do DRE</v>
      </c>
      <c r="T5915" s="3" t="str">
        <f>IF(ISERROR(VLOOKUP(Base_Periodo1[[#This Row],[CONTA]],BaseContasDRE[#All],5,FALSE)),"Fora do DRE",VLOOKUP(Base_Periodo1[[#This Row],[CONTA]],BaseContasDRE[#All],6,FALSE))</f>
        <v>Fora do DRE</v>
      </c>
      <c r="U5915" s="3" t="str">
        <f>IF(ISERROR(VLOOKUP(Base_Periodo1[[#This Row],[CONTA]],BaseContasDRE[#All],7,FALSE)),"Fora do DRE",VLOOKUP(Base_Periodo1[[#This Row],[CONTA]],BaseContasDRE[#All],7,FALSE))</f>
        <v>Fora do DRE</v>
      </c>
      <c r="V5915" s="3" t="str">
        <f>IF(Base_Periodo1[[#This Row],[Tipo_Linha]]="Fora do DRE","Fora do DRE","( "&amp;Base_Periodo1[[#This Row],[Tipo_Linha]]&amp;" ) "&amp;Base_Periodo1[[#This Row],[Filtro]])</f>
        <v>Fora do DRE</v>
      </c>
      <c r="W5915" s="3" t="str">
        <f>LEFT(Base_Periodo1[[#This Row],[CLASS]],3)</f>
        <v>3.1</v>
      </c>
    </row>
    <row r="5916" spans="1:23" hidden="1">
      <c r="A5916" s="3" t="str">
        <f t="shared" si="92"/>
        <v>Período 1</v>
      </c>
      <c r="B5916">
        <v>1936</v>
      </c>
      <c r="C5916" t="s">
        <v>3635</v>
      </c>
      <c r="D5916" t="s">
        <v>3568</v>
      </c>
      <c r="E5916" s="3" t="str">
        <f>IF(LEN(Base_Periodo1[[#This Row],[CLASS]])&gt;=7,LEFT(Base_Periodo1[[#This Row],[CLASS]],7),"")</f>
        <v>3.1.1.1</v>
      </c>
      <c r="F5916" s="3" t="e">
        <f>VLOOKUP(Base_Periodo1[[#This Row],[Aux]],Base_Contas_Balanco[#All],2,FALSE)</f>
        <v>#N/A</v>
      </c>
      <c r="G5916" s="1">
        <v>42864</v>
      </c>
      <c r="H5916" s="281">
        <v>1553338.9000000022</v>
      </c>
      <c r="I5916" s="281">
        <v>2200</v>
      </c>
      <c r="J5916" s="281">
        <v>0</v>
      </c>
      <c r="K5916" s="281">
        <v>1555538.9000000022</v>
      </c>
      <c r="L591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-1555538.9</v>
      </c>
      <c r="M5916" s="281">
        <f>ROUND(IF(AND(Base_Periodo1[[#This Row],[Tipo_Linha]]="-",Base_Periodo1[[#This Row],[TIPOSALDO]]="D"),Base_Periodo1[[#This Row],[SALDO_ATUAL]]*-1,Base_Periodo1[[#This Row],[SALDO_ATUAL]]),4)</f>
        <v>-1555538.9</v>
      </c>
      <c r="N5916" t="s">
        <v>116</v>
      </c>
      <c r="O5916" t="s">
        <v>397</v>
      </c>
      <c r="P5916" t="s">
        <v>397</v>
      </c>
      <c r="Q5916">
        <v>9</v>
      </c>
      <c r="R5916" s="281">
        <f>Base_Periodo1[[#This Row],[CREDITOS]]-Base_Periodo1[[#This Row],[DEBITOS]]</f>
        <v>-2200</v>
      </c>
      <c r="S5916" s="3" t="str">
        <f>IF(ISERROR(VLOOKUP(Base_Periodo1[[#This Row],[CONTA]],BaseContasDRE[#All],4,FALSE)),"Fora do DRE",VLOOKUP(Base_Periodo1[[#This Row],[CONTA]],BaseContasDRE[#All],4,FALSE))</f>
        <v>-</v>
      </c>
      <c r="T5916" s="3">
        <f>IF(ISERROR(VLOOKUP(Base_Periodo1[[#This Row],[CONTA]],BaseContasDRE[#All],5,FALSE)),"Fora do DRE",VLOOKUP(Base_Periodo1[[#This Row],[CONTA]],BaseContasDRE[#All],6,FALSE))</f>
        <v>3</v>
      </c>
      <c r="U5916" s="3" t="str">
        <f>IF(ISERROR(VLOOKUP(Base_Periodo1[[#This Row],[CONTA]],BaseContasDRE[#All],7,FALSE)),"Fora do DRE",VLOOKUP(Base_Periodo1[[#This Row],[CONTA]],BaseContasDRE[#All],7,FALSE))</f>
        <v>INSUMOS AGROPECUARIOS</v>
      </c>
      <c r="V5916" s="3" t="str">
        <f>IF(Base_Periodo1[[#This Row],[Tipo_Linha]]="Fora do DRE","Fora do DRE","( "&amp;Base_Periodo1[[#This Row],[Tipo_Linha]]&amp;" ) "&amp;Base_Periodo1[[#This Row],[Filtro]])</f>
        <v>( - ) INSUMOS AGROPECUARIOS</v>
      </c>
      <c r="W5916" s="3" t="str">
        <f>LEFT(Base_Periodo1[[#This Row],[CLASS]],3)</f>
        <v>3.1</v>
      </c>
    </row>
    <row r="5917" spans="1:23" hidden="1">
      <c r="A5917" s="3" t="str">
        <f t="shared" si="92"/>
        <v>Período 1</v>
      </c>
      <c r="B5917">
        <v>1937</v>
      </c>
      <c r="C5917" t="s">
        <v>6590</v>
      </c>
      <c r="D5917" t="s">
        <v>1272</v>
      </c>
      <c r="E5917" s="3" t="str">
        <f>IF(LEN(Base_Periodo1[[#This Row],[CLASS]])&gt;=7,LEFT(Base_Periodo1[[#This Row],[CLASS]],7),"")</f>
        <v>3.1.1.1</v>
      </c>
      <c r="F5917" s="3" t="e">
        <f>VLOOKUP(Base_Periodo1[[#This Row],[Aux]],Base_Contas_Balanco[#All],2,FALSE)</f>
        <v>#N/A</v>
      </c>
      <c r="G5917" s="1"/>
      <c r="H5917" s="281">
        <v>552.06999999843538</v>
      </c>
      <c r="I5917" s="281">
        <v>192018.05</v>
      </c>
      <c r="J5917" s="281">
        <v>205332.84999999995</v>
      </c>
      <c r="K5917" s="281">
        <v>12762.730000001524</v>
      </c>
      <c r="L591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12762.73</v>
      </c>
      <c r="M5917" s="281">
        <f>ROUND(IF(AND(Base_Periodo1[[#This Row],[Tipo_Linha]]="-",Base_Periodo1[[#This Row],[TIPOSALDO]]="D"),Base_Periodo1[[#This Row],[SALDO_ATUAL]]*-1,Base_Periodo1[[#This Row],[SALDO_ATUAL]]),4)</f>
        <v>12762.73</v>
      </c>
      <c r="N5917" t="s">
        <v>396</v>
      </c>
      <c r="O5917" t="s">
        <v>397</v>
      </c>
      <c r="P5917" t="s">
        <v>459</v>
      </c>
      <c r="Q5917">
        <v>7</v>
      </c>
      <c r="R5917" s="281">
        <f>Base_Periodo1[[#This Row],[CREDITOS]]-Base_Periodo1[[#This Row],[DEBITOS]]</f>
        <v>13314.799999999959</v>
      </c>
      <c r="S5917" s="3" t="str">
        <f>IF(ISERROR(VLOOKUP(Base_Periodo1[[#This Row],[CONTA]],BaseContasDRE[#All],4,FALSE)),"Fora do DRE",VLOOKUP(Base_Periodo1[[#This Row],[CONTA]],BaseContasDRE[#All],4,FALSE))</f>
        <v>Fora do DRE</v>
      </c>
      <c r="T5917" s="3" t="str">
        <f>IF(ISERROR(VLOOKUP(Base_Periodo1[[#This Row],[CONTA]],BaseContasDRE[#All],5,FALSE)),"Fora do DRE",VLOOKUP(Base_Periodo1[[#This Row],[CONTA]],BaseContasDRE[#All],6,FALSE))</f>
        <v>Fora do DRE</v>
      </c>
      <c r="U5917" s="3" t="str">
        <f>IF(ISERROR(VLOOKUP(Base_Periodo1[[#This Row],[CONTA]],BaseContasDRE[#All],7,FALSE)),"Fora do DRE",VLOOKUP(Base_Periodo1[[#This Row],[CONTA]],BaseContasDRE[#All],7,FALSE))</f>
        <v>Fora do DRE</v>
      </c>
      <c r="V5917" s="3" t="str">
        <f>IF(Base_Periodo1[[#This Row],[Tipo_Linha]]="Fora do DRE","Fora do DRE","( "&amp;Base_Periodo1[[#This Row],[Tipo_Linha]]&amp;" ) "&amp;Base_Periodo1[[#This Row],[Filtro]])</f>
        <v>Fora do DRE</v>
      </c>
      <c r="W5917" s="3" t="str">
        <f>LEFT(Base_Periodo1[[#This Row],[CLASS]],3)</f>
        <v>3.1</v>
      </c>
    </row>
    <row r="5918" spans="1:23" hidden="1">
      <c r="A5918" s="3" t="str">
        <f t="shared" si="92"/>
        <v>Período 1</v>
      </c>
      <c r="B5918">
        <v>1938</v>
      </c>
      <c r="C5918" t="s">
        <v>6591</v>
      </c>
      <c r="D5918" t="s">
        <v>3578</v>
      </c>
      <c r="E5918" s="3" t="str">
        <f>IF(LEN(Base_Periodo1[[#This Row],[CLASS]])&gt;=7,LEFT(Base_Periodo1[[#This Row],[CLASS]],7),"")</f>
        <v>3.1.1.1</v>
      </c>
      <c r="F5918" s="3" t="e">
        <f>VLOOKUP(Base_Periodo1[[#This Row],[Aux]],Base_Contas_Balanco[#All],2,FALSE)</f>
        <v>#N/A</v>
      </c>
      <c r="G5918" s="1"/>
      <c r="H5918" s="281">
        <v>40347.420000001788</v>
      </c>
      <c r="I5918" s="281">
        <v>0</v>
      </c>
      <c r="J5918" s="281">
        <v>205332.84999999995</v>
      </c>
      <c r="K5918" s="281">
        <v>245680.27000000174</v>
      </c>
      <c r="L591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245680.27</v>
      </c>
      <c r="M5918" s="281">
        <f>ROUND(IF(AND(Base_Periodo1[[#This Row],[Tipo_Linha]]="-",Base_Periodo1[[#This Row],[TIPOSALDO]]="D"),Base_Periodo1[[#This Row],[SALDO_ATUAL]]*-1,Base_Periodo1[[#This Row],[SALDO_ATUAL]]),4)</f>
        <v>245680.27</v>
      </c>
      <c r="N5918" t="s">
        <v>396</v>
      </c>
      <c r="O5918" t="s">
        <v>459</v>
      </c>
      <c r="P5918" t="s">
        <v>459</v>
      </c>
      <c r="Q5918">
        <v>8</v>
      </c>
      <c r="R5918" s="281">
        <f>Base_Periodo1[[#This Row],[CREDITOS]]-Base_Periodo1[[#This Row],[DEBITOS]]</f>
        <v>205332.84999999995</v>
      </c>
      <c r="S5918" s="3" t="str">
        <f>IF(ISERROR(VLOOKUP(Base_Periodo1[[#This Row],[CONTA]],BaseContasDRE[#All],4,FALSE)),"Fora do DRE",VLOOKUP(Base_Periodo1[[#This Row],[CONTA]],BaseContasDRE[#All],4,FALSE))</f>
        <v>Fora do DRE</v>
      </c>
      <c r="T5918" s="3" t="str">
        <f>IF(ISERROR(VLOOKUP(Base_Periodo1[[#This Row],[CONTA]],BaseContasDRE[#All],5,FALSE)),"Fora do DRE",VLOOKUP(Base_Periodo1[[#This Row],[CONTA]],BaseContasDRE[#All],6,FALSE))</f>
        <v>Fora do DRE</v>
      </c>
      <c r="U5918" s="3" t="str">
        <f>IF(ISERROR(VLOOKUP(Base_Periodo1[[#This Row],[CONTA]],BaseContasDRE[#All],7,FALSE)),"Fora do DRE",VLOOKUP(Base_Periodo1[[#This Row],[CONTA]],BaseContasDRE[#All],7,FALSE))</f>
        <v>Fora do DRE</v>
      </c>
      <c r="V5918" s="3" t="str">
        <f>IF(Base_Periodo1[[#This Row],[Tipo_Linha]]="Fora do DRE","Fora do DRE","( "&amp;Base_Periodo1[[#This Row],[Tipo_Linha]]&amp;" ) "&amp;Base_Periodo1[[#This Row],[Filtro]])</f>
        <v>Fora do DRE</v>
      </c>
      <c r="W5918" s="3" t="str">
        <f>LEFT(Base_Periodo1[[#This Row],[CLASS]],3)</f>
        <v>3.1</v>
      </c>
    </row>
    <row r="5919" spans="1:23" hidden="1">
      <c r="A5919" s="3" t="str">
        <f t="shared" si="92"/>
        <v>Período 1</v>
      </c>
      <c r="B5919">
        <v>1939</v>
      </c>
      <c r="C5919" t="s">
        <v>6592</v>
      </c>
      <c r="D5919" t="s">
        <v>3562</v>
      </c>
      <c r="E5919" s="3" t="str">
        <f>IF(LEN(Base_Periodo1[[#This Row],[CLASS]])&gt;=7,LEFT(Base_Periodo1[[#This Row],[CLASS]],7),"")</f>
        <v>3.1.1.1</v>
      </c>
      <c r="F5919" s="3" t="e">
        <f>VLOOKUP(Base_Periodo1[[#This Row],[Aux]],Base_Contas_Balanco[#All],2,FALSE)</f>
        <v>#N/A</v>
      </c>
      <c r="G5919" s="1">
        <v>42881</v>
      </c>
      <c r="H5919" s="281">
        <v>40347.420000001788</v>
      </c>
      <c r="I5919" s="281">
        <v>0</v>
      </c>
      <c r="J5919" s="281">
        <v>205332.84999999995</v>
      </c>
      <c r="K5919" s="281">
        <v>245680.27000000174</v>
      </c>
      <c r="L591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245680.27</v>
      </c>
      <c r="M5919" s="281">
        <f>ROUND(IF(AND(Base_Periodo1[[#This Row],[Tipo_Linha]]="-",Base_Periodo1[[#This Row],[TIPOSALDO]]="D"),Base_Periodo1[[#This Row],[SALDO_ATUAL]]*-1,Base_Periodo1[[#This Row],[SALDO_ATUAL]]),4)</f>
        <v>245680.27</v>
      </c>
      <c r="N5919" t="s">
        <v>116</v>
      </c>
      <c r="O5919" t="s">
        <v>459</v>
      </c>
      <c r="P5919" t="s">
        <v>459</v>
      </c>
      <c r="Q5919">
        <v>9</v>
      </c>
      <c r="R5919" s="281">
        <f>Base_Periodo1[[#This Row],[CREDITOS]]-Base_Periodo1[[#This Row],[DEBITOS]]</f>
        <v>205332.84999999995</v>
      </c>
      <c r="S5919" s="3" t="str">
        <f>IF(ISERROR(VLOOKUP(Base_Periodo1[[#This Row],[CONTA]],BaseContasDRE[#All],4,FALSE)),"Fora do DRE",VLOOKUP(Base_Periodo1[[#This Row],[CONTA]],BaseContasDRE[#All],4,FALSE))</f>
        <v>+</v>
      </c>
      <c r="T5919" s="3">
        <f>IF(ISERROR(VLOOKUP(Base_Periodo1[[#This Row],[CONTA]],BaseContasDRE[#All],5,FALSE)),"Fora do DRE",VLOOKUP(Base_Periodo1[[#This Row],[CONTA]],BaseContasDRE[#All],6,FALSE))</f>
        <v>1</v>
      </c>
      <c r="U5919" s="3" t="str">
        <f>IF(ISERROR(VLOOKUP(Base_Periodo1[[#This Row],[CONTA]],BaseContasDRE[#All],7,FALSE)),"Fora do DRE",VLOOKUP(Base_Periodo1[[#This Row],[CONTA]],BaseContasDRE[#All],7,FALSE))</f>
        <v>INSUMOS AGROPECUARIOS</v>
      </c>
      <c r="V5919" s="3" t="str">
        <f>IF(Base_Periodo1[[#This Row],[Tipo_Linha]]="Fora do DRE","Fora do DRE","( "&amp;Base_Periodo1[[#This Row],[Tipo_Linha]]&amp;" ) "&amp;Base_Periodo1[[#This Row],[Filtro]])</f>
        <v>( + ) INSUMOS AGROPECUARIOS</v>
      </c>
      <c r="W5919" s="3" t="str">
        <f>LEFT(Base_Periodo1[[#This Row],[CLASS]],3)</f>
        <v>3.1</v>
      </c>
    </row>
    <row r="5920" spans="1:23" hidden="1">
      <c r="A5920" s="3" t="str">
        <f t="shared" si="92"/>
        <v>Período 1</v>
      </c>
      <c r="B5920">
        <v>1940</v>
      </c>
      <c r="C5920" t="s">
        <v>7189</v>
      </c>
      <c r="D5920" t="s">
        <v>3563</v>
      </c>
      <c r="E5920" s="3" t="str">
        <f>IF(LEN(Base_Periodo1[[#This Row],[CLASS]])&gt;=7,LEFT(Base_Periodo1[[#This Row],[CLASS]],7),"")</f>
        <v>3.1.1.1</v>
      </c>
      <c r="F5920" s="3" t="e">
        <f>VLOOKUP(Base_Periodo1[[#This Row],[Aux]],Base_Contas_Balanco[#All],2,FALSE)</f>
        <v>#N/A</v>
      </c>
      <c r="G5920" s="1"/>
      <c r="H5920" s="281"/>
      <c r="I5920" s="281">
        <v>6750</v>
      </c>
      <c r="J5920" s="281">
        <v>0</v>
      </c>
      <c r="K5920" s="281">
        <v>6750</v>
      </c>
      <c r="L592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-6750</v>
      </c>
      <c r="M5920" s="281">
        <f>ROUND(IF(AND(Base_Periodo1[[#This Row],[Tipo_Linha]]="-",Base_Periodo1[[#This Row],[TIPOSALDO]]="D"),Base_Periodo1[[#This Row],[SALDO_ATUAL]]*-1,Base_Periodo1[[#This Row],[SALDO_ATUAL]]),4)</f>
        <v>6750</v>
      </c>
      <c r="N5920" t="s">
        <v>396</v>
      </c>
      <c r="O5920" t="s">
        <v>436</v>
      </c>
      <c r="P5920" t="s">
        <v>397</v>
      </c>
      <c r="Q5920">
        <v>8</v>
      </c>
      <c r="R5920" s="281">
        <f>Base_Periodo1[[#This Row],[CREDITOS]]-Base_Periodo1[[#This Row],[DEBITOS]]</f>
        <v>-6750</v>
      </c>
      <c r="S5920" s="3" t="str">
        <f>IF(ISERROR(VLOOKUP(Base_Periodo1[[#This Row],[CONTA]],BaseContasDRE[#All],4,FALSE)),"Fora do DRE",VLOOKUP(Base_Periodo1[[#This Row],[CONTA]],BaseContasDRE[#All],4,FALSE))</f>
        <v>Fora do DRE</v>
      </c>
      <c r="T5920" s="3" t="str">
        <f>IF(ISERROR(VLOOKUP(Base_Periodo1[[#This Row],[CONTA]],BaseContasDRE[#All],5,FALSE)),"Fora do DRE",VLOOKUP(Base_Periodo1[[#This Row],[CONTA]],BaseContasDRE[#All],6,FALSE))</f>
        <v>Fora do DRE</v>
      </c>
      <c r="U5920" s="3" t="str">
        <f>IF(ISERROR(VLOOKUP(Base_Periodo1[[#This Row],[CONTA]],BaseContasDRE[#All],7,FALSE)),"Fora do DRE",VLOOKUP(Base_Periodo1[[#This Row],[CONTA]],BaseContasDRE[#All],7,FALSE))</f>
        <v>Fora do DRE</v>
      </c>
      <c r="V5920" s="3" t="str">
        <f>IF(Base_Periodo1[[#This Row],[Tipo_Linha]]="Fora do DRE","Fora do DRE","( "&amp;Base_Periodo1[[#This Row],[Tipo_Linha]]&amp;" ) "&amp;Base_Periodo1[[#This Row],[Filtro]])</f>
        <v>Fora do DRE</v>
      </c>
      <c r="W5920" s="3" t="str">
        <f>LEFT(Base_Periodo1[[#This Row],[CLASS]],3)</f>
        <v>3.1</v>
      </c>
    </row>
    <row r="5921" spans="1:23" hidden="1">
      <c r="A5921" s="3" t="str">
        <f t="shared" si="92"/>
        <v>Período 1</v>
      </c>
      <c r="B5921">
        <v>1941</v>
      </c>
      <c r="C5921" t="s">
        <v>7190</v>
      </c>
      <c r="D5921" t="s">
        <v>3564</v>
      </c>
      <c r="E5921" s="3" t="str">
        <f>IF(LEN(Base_Periodo1[[#This Row],[CLASS]])&gt;=7,LEFT(Base_Periodo1[[#This Row],[CLASS]],7),"")</f>
        <v>3.1.1.1</v>
      </c>
      <c r="F5921" s="3" t="e">
        <f>VLOOKUP(Base_Periodo1[[#This Row],[Aux]],Base_Contas_Balanco[#All],2,FALSE)</f>
        <v>#N/A</v>
      </c>
      <c r="G5921" s="1">
        <v>42878</v>
      </c>
      <c r="H5921" s="281"/>
      <c r="I5921" s="281">
        <v>6750</v>
      </c>
      <c r="J5921" s="281">
        <v>0</v>
      </c>
      <c r="K5921" s="281">
        <v>6750</v>
      </c>
      <c r="L592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-6750</v>
      </c>
      <c r="M5921" s="281">
        <f>ROUND(IF(AND(Base_Periodo1[[#This Row],[Tipo_Linha]]="-",Base_Periodo1[[#This Row],[TIPOSALDO]]="D"),Base_Periodo1[[#This Row],[SALDO_ATUAL]]*-1,Base_Periodo1[[#This Row],[SALDO_ATUAL]]),4)</f>
        <v>-6750</v>
      </c>
      <c r="N5921" t="s">
        <v>116</v>
      </c>
      <c r="O5921" t="s">
        <v>436</v>
      </c>
      <c r="P5921" t="s">
        <v>397</v>
      </c>
      <c r="Q5921">
        <v>9</v>
      </c>
      <c r="R5921" s="281">
        <f>Base_Periodo1[[#This Row],[CREDITOS]]-Base_Periodo1[[#This Row],[DEBITOS]]</f>
        <v>-6750</v>
      </c>
      <c r="S5921" s="3" t="str">
        <f>IF(ISERROR(VLOOKUP(Base_Periodo1[[#This Row],[CONTA]],BaseContasDRE[#All],4,FALSE)),"Fora do DRE",VLOOKUP(Base_Periodo1[[#This Row],[CONTA]],BaseContasDRE[#All],4,FALSE))</f>
        <v>-</v>
      </c>
      <c r="T5921" s="3">
        <f>IF(ISERROR(VLOOKUP(Base_Periodo1[[#This Row],[CONTA]],BaseContasDRE[#All],5,FALSE)),"Fora do DRE",VLOOKUP(Base_Periodo1[[#This Row],[CONTA]],BaseContasDRE[#All],6,FALSE))</f>
        <v>2</v>
      </c>
      <c r="U5921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921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921" s="3" t="str">
        <f>LEFT(Base_Periodo1[[#This Row],[CLASS]],3)</f>
        <v>3.1</v>
      </c>
    </row>
    <row r="5922" spans="1:23" hidden="1">
      <c r="A5922" s="3" t="str">
        <f t="shared" si="92"/>
        <v>Período 1</v>
      </c>
      <c r="B5922">
        <v>1944</v>
      </c>
      <c r="C5922" t="s">
        <v>6593</v>
      </c>
      <c r="D5922" t="s">
        <v>3567</v>
      </c>
      <c r="E5922" s="3" t="str">
        <f>IF(LEN(Base_Periodo1[[#This Row],[CLASS]])&gt;=7,LEFT(Base_Periodo1[[#This Row],[CLASS]],7),"")</f>
        <v>3.1.1.1</v>
      </c>
      <c r="F5922" s="3" t="e">
        <f>VLOOKUP(Base_Periodo1[[#This Row],[Aux]],Base_Contas_Balanco[#All],2,FALSE)</f>
        <v>#N/A</v>
      </c>
      <c r="G5922" s="1"/>
      <c r="H5922" s="281">
        <v>40899.490000000224</v>
      </c>
      <c r="I5922" s="281">
        <v>185268.05</v>
      </c>
      <c r="J5922" s="281">
        <v>0</v>
      </c>
      <c r="K5922" s="281">
        <v>226167.54000000021</v>
      </c>
      <c r="L592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-226167.54</v>
      </c>
      <c r="M5922" s="281">
        <f>ROUND(IF(AND(Base_Periodo1[[#This Row],[Tipo_Linha]]="-",Base_Periodo1[[#This Row],[TIPOSALDO]]="D"),Base_Periodo1[[#This Row],[SALDO_ATUAL]]*-1,Base_Periodo1[[#This Row],[SALDO_ATUAL]]),4)</f>
        <v>226167.54</v>
      </c>
      <c r="N5922" t="s">
        <v>396</v>
      </c>
      <c r="O5922" t="s">
        <v>397</v>
      </c>
      <c r="P5922" t="s">
        <v>397</v>
      </c>
      <c r="Q5922">
        <v>8</v>
      </c>
      <c r="R5922" s="281">
        <f>Base_Periodo1[[#This Row],[CREDITOS]]-Base_Periodo1[[#This Row],[DEBITOS]]</f>
        <v>-185268.05</v>
      </c>
      <c r="S5922" s="3" t="str">
        <f>IF(ISERROR(VLOOKUP(Base_Periodo1[[#This Row],[CONTA]],BaseContasDRE[#All],4,FALSE)),"Fora do DRE",VLOOKUP(Base_Periodo1[[#This Row],[CONTA]],BaseContasDRE[#All],4,FALSE))</f>
        <v>Fora do DRE</v>
      </c>
      <c r="T5922" s="3" t="str">
        <f>IF(ISERROR(VLOOKUP(Base_Periodo1[[#This Row],[CONTA]],BaseContasDRE[#All],5,FALSE)),"Fora do DRE",VLOOKUP(Base_Periodo1[[#This Row],[CONTA]],BaseContasDRE[#All],6,FALSE))</f>
        <v>Fora do DRE</v>
      </c>
      <c r="U5922" s="3" t="str">
        <f>IF(ISERROR(VLOOKUP(Base_Periodo1[[#This Row],[CONTA]],BaseContasDRE[#All],7,FALSE)),"Fora do DRE",VLOOKUP(Base_Periodo1[[#This Row],[CONTA]],BaseContasDRE[#All],7,FALSE))</f>
        <v>Fora do DRE</v>
      </c>
      <c r="V5922" s="3" t="str">
        <f>IF(Base_Periodo1[[#This Row],[Tipo_Linha]]="Fora do DRE","Fora do DRE","( "&amp;Base_Periodo1[[#This Row],[Tipo_Linha]]&amp;" ) "&amp;Base_Periodo1[[#This Row],[Filtro]])</f>
        <v>Fora do DRE</v>
      </c>
      <c r="W5922" s="3" t="str">
        <f>LEFT(Base_Periodo1[[#This Row],[CLASS]],3)</f>
        <v>3.1</v>
      </c>
    </row>
    <row r="5923" spans="1:23" hidden="1">
      <c r="A5923" s="3" t="str">
        <f t="shared" si="92"/>
        <v>Período 1</v>
      </c>
      <c r="B5923">
        <v>1945</v>
      </c>
      <c r="C5923" t="s">
        <v>6594</v>
      </c>
      <c r="D5923" t="s">
        <v>3568</v>
      </c>
      <c r="E5923" s="3" t="str">
        <f>IF(LEN(Base_Periodo1[[#This Row],[CLASS]])&gt;=7,LEFT(Base_Periodo1[[#This Row],[CLASS]],7),"")</f>
        <v>3.1.1.1</v>
      </c>
      <c r="F5923" s="3" t="e">
        <f>VLOOKUP(Base_Periodo1[[#This Row],[Aux]],Base_Contas_Balanco[#All],2,FALSE)</f>
        <v>#N/A</v>
      </c>
      <c r="G5923" s="1">
        <v>42886</v>
      </c>
      <c r="H5923" s="281">
        <v>40899.490000000224</v>
      </c>
      <c r="I5923" s="281">
        <v>185268.05</v>
      </c>
      <c r="J5923" s="281">
        <v>0</v>
      </c>
      <c r="K5923" s="281">
        <v>226167.54000000021</v>
      </c>
      <c r="L592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-226167.54</v>
      </c>
      <c r="M5923" s="281">
        <f>ROUND(IF(AND(Base_Periodo1[[#This Row],[Tipo_Linha]]="-",Base_Periodo1[[#This Row],[TIPOSALDO]]="D"),Base_Periodo1[[#This Row],[SALDO_ATUAL]]*-1,Base_Periodo1[[#This Row],[SALDO_ATUAL]]),4)</f>
        <v>-226167.54</v>
      </c>
      <c r="N5923" t="s">
        <v>116</v>
      </c>
      <c r="O5923" t="s">
        <v>397</v>
      </c>
      <c r="P5923" t="s">
        <v>397</v>
      </c>
      <c r="Q5923">
        <v>9</v>
      </c>
      <c r="R5923" s="281">
        <f>Base_Periodo1[[#This Row],[CREDITOS]]-Base_Periodo1[[#This Row],[DEBITOS]]</f>
        <v>-185268.05</v>
      </c>
      <c r="S5923" s="3" t="str">
        <f>IF(ISERROR(VLOOKUP(Base_Periodo1[[#This Row],[CONTA]],BaseContasDRE[#All],4,FALSE)),"Fora do DRE",VLOOKUP(Base_Periodo1[[#This Row],[CONTA]],BaseContasDRE[#All],4,FALSE))</f>
        <v>-</v>
      </c>
      <c r="T5923" s="3">
        <f>IF(ISERROR(VLOOKUP(Base_Periodo1[[#This Row],[CONTA]],BaseContasDRE[#All],5,FALSE)),"Fora do DRE",VLOOKUP(Base_Periodo1[[#This Row],[CONTA]],BaseContasDRE[#All],6,FALSE))</f>
        <v>3</v>
      </c>
      <c r="U5923" s="3" t="str">
        <f>IF(ISERROR(VLOOKUP(Base_Periodo1[[#This Row],[CONTA]],BaseContasDRE[#All],7,FALSE)),"Fora do DRE",VLOOKUP(Base_Periodo1[[#This Row],[CONTA]],BaseContasDRE[#All],7,FALSE))</f>
        <v>INSUMOS AGROPECUARIOS</v>
      </c>
      <c r="V5923" s="3" t="str">
        <f>IF(Base_Periodo1[[#This Row],[Tipo_Linha]]="Fora do DRE","Fora do DRE","( "&amp;Base_Periodo1[[#This Row],[Tipo_Linha]]&amp;" ) "&amp;Base_Periodo1[[#This Row],[Filtro]])</f>
        <v>( - ) INSUMOS AGROPECUARIOS</v>
      </c>
      <c r="W5923" s="3" t="str">
        <f>LEFT(Base_Periodo1[[#This Row],[CLASS]],3)</f>
        <v>3.1</v>
      </c>
    </row>
    <row r="5924" spans="1:23" hidden="1">
      <c r="A5924" s="3" t="str">
        <f t="shared" si="92"/>
        <v>Período 1</v>
      </c>
      <c r="B5924">
        <v>1946</v>
      </c>
      <c r="C5924" t="s">
        <v>3636</v>
      </c>
      <c r="D5924" t="s">
        <v>1273</v>
      </c>
      <c r="E5924" s="3" t="str">
        <f>IF(LEN(Base_Periodo1[[#This Row],[CLASS]])&gt;=7,LEFT(Base_Periodo1[[#This Row],[CLASS]],7),"")</f>
        <v>3.1.1.1</v>
      </c>
      <c r="F5924" s="3" t="e">
        <f>VLOOKUP(Base_Periodo1[[#This Row],[Aux]],Base_Contas_Balanco[#All],2,FALSE)</f>
        <v>#N/A</v>
      </c>
      <c r="G5924" s="1"/>
      <c r="H5924" s="281">
        <v>4513.3600000030419</v>
      </c>
      <c r="I5924" s="281">
        <v>0</v>
      </c>
      <c r="J5924" s="281">
        <v>0</v>
      </c>
      <c r="K5924" s="281">
        <v>4513.3600000030419</v>
      </c>
      <c r="L592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4513.3599999999997</v>
      </c>
      <c r="M5924" s="281">
        <f>ROUND(IF(AND(Base_Periodo1[[#This Row],[Tipo_Linha]]="-",Base_Periodo1[[#This Row],[TIPOSALDO]]="D"),Base_Periodo1[[#This Row],[SALDO_ATUAL]]*-1,Base_Periodo1[[#This Row],[SALDO_ATUAL]]),4)</f>
        <v>4513.3599999999997</v>
      </c>
      <c r="N5924" t="s">
        <v>396</v>
      </c>
      <c r="O5924" t="s">
        <v>459</v>
      </c>
      <c r="P5924" t="s">
        <v>459</v>
      </c>
      <c r="Q5924">
        <v>7</v>
      </c>
      <c r="R5924" s="281">
        <f>Base_Periodo1[[#This Row],[CREDITOS]]-Base_Periodo1[[#This Row],[DEBITOS]]</f>
        <v>0</v>
      </c>
      <c r="S5924" s="3" t="str">
        <f>IF(ISERROR(VLOOKUP(Base_Periodo1[[#This Row],[CONTA]],BaseContasDRE[#All],4,FALSE)),"Fora do DRE",VLOOKUP(Base_Periodo1[[#This Row],[CONTA]],BaseContasDRE[#All],4,FALSE))</f>
        <v>Fora do DRE</v>
      </c>
      <c r="T5924" s="3" t="str">
        <f>IF(ISERROR(VLOOKUP(Base_Periodo1[[#This Row],[CONTA]],BaseContasDRE[#All],5,FALSE)),"Fora do DRE",VLOOKUP(Base_Periodo1[[#This Row],[CONTA]],BaseContasDRE[#All],6,FALSE))</f>
        <v>Fora do DRE</v>
      </c>
      <c r="U5924" s="3" t="str">
        <f>IF(ISERROR(VLOOKUP(Base_Periodo1[[#This Row],[CONTA]],BaseContasDRE[#All],7,FALSE)),"Fora do DRE",VLOOKUP(Base_Periodo1[[#This Row],[CONTA]],BaseContasDRE[#All],7,FALSE))</f>
        <v>Fora do DRE</v>
      </c>
      <c r="V5924" s="3" t="str">
        <f>IF(Base_Periodo1[[#This Row],[Tipo_Linha]]="Fora do DRE","Fora do DRE","( "&amp;Base_Periodo1[[#This Row],[Tipo_Linha]]&amp;" ) "&amp;Base_Periodo1[[#This Row],[Filtro]])</f>
        <v>Fora do DRE</v>
      </c>
      <c r="W5924" s="3" t="str">
        <f>LEFT(Base_Periodo1[[#This Row],[CLASS]],3)</f>
        <v>3.1</v>
      </c>
    </row>
    <row r="5925" spans="1:23" hidden="1">
      <c r="A5925" s="3" t="str">
        <f t="shared" si="92"/>
        <v>Período 1</v>
      </c>
      <c r="B5925">
        <v>1947</v>
      </c>
      <c r="C5925" t="s">
        <v>3637</v>
      </c>
      <c r="D5925" t="s">
        <v>3561</v>
      </c>
      <c r="E5925" s="3" t="str">
        <f>IF(LEN(Base_Periodo1[[#This Row],[CLASS]])&gt;=7,LEFT(Base_Periodo1[[#This Row],[CLASS]],7),"")</f>
        <v>3.1.1.1</v>
      </c>
      <c r="F5925" s="3" t="e">
        <f>VLOOKUP(Base_Periodo1[[#This Row],[Aux]],Base_Contas_Balanco[#All],2,FALSE)</f>
        <v>#N/A</v>
      </c>
      <c r="G5925" s="1"/>
      <c r="H5925" s="281">
        <v>64305.920000002719</v>
      </c>
      <c r="I5925" s="281">
        <v>0</v>
      </c>
      <c r="J5925" s="281">
        <v>0</v>
      </c>
      <c r="K5925" s="281">
        <v>64305.920000002719</v>
      </c>
      <c r="L592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64305.919999999998</v>
      </c>
      <c r="M5925" s="281">
        <f>ROUND(IF(AND(Base_Periodo1[[#This Row],[Tipo_Linha]]="-",Base_Periodo1[[#This Row],[TIPOSALDO]]="D"),Base_Periodo1[[#This Row],[SALDO_ATUAL]]*-1,Base_Periodo1[[#This Row],[SALDO_ATUAL]]),4)</f>
        <v>64305.919999999998</v>
      </c>
      <c r="N5925" t="s">
        <v>396</v>
      </c>
      <c r="O5925" t="s">
        <v>459</v>
      </c>
      <c r="P5925" t="s">
        <v>459</v>
      </c>
      <c r="Q5925">
        <v>8</v>
      </c>
      <c r="R5925" s="281">
        <f>Base_Periodo1[[#This Row],[CREDITOS]]-Base_Periodo1[[#This Row],[DEBITOS]]</f>
        <v>0</v>
      </c>
      <c r="S5925" s="3" t="str">
        <f>IF(ISERROR(VLOOKUP(Base_Periodo1[[#This Row],[CONTA]],BaseContasDRE[#All],4,FALSE)),"Fora do DRE",VLOOKUP(Base_Periodo1[[#This Row],[CONTA]],BaseContasDRE[#All],4,FALSE))</f>
        <v>Fora do DRE</v>
      </c>
      <c r="T5925" s="3" t="str">
        <f>IF(ISERROR(VLOOKUP(Base_Periodo1[[#This Row],[CONTA]],BaseContasDRE[#All],5,FALSE)),"Fora do DRE",VLOOKUP(Base_Periodo1[[#This Row],[CONTA]],BaseContasDRE[#All],6,FALSE))</f>
        <v>Fora do DRE</v>
      </c>
      <c r="U5925" s="3" t="str">
        <f>IF(ISERROR(VLOOKUP(Base_Periodo1[[#This Row],[CONTA]],BaseContasDRE[#All],7,FALSE)),"Fora do DRE",VLOOKUP(Base_Periodo1[[#This Row],[CONTA]],BaseContasDRE[#All],7,FALSE))</f>
        <v>Fora do DRE</v>
      </c>
      <c r="V5925" s="3" t="str">
        <f>IF(Base_Periodo1[[#This Row],[Tipo_Linha]]="Fora do DRE","Fora do DRE","( "&amp;Base_Periodo1[[#This Row],[Tipo_Linha]]&amp;" ) "&amp;Base_Periodo1[[#This Row],[Filtro]])</f>
        <v>Fora do DRE</v>
      </c>
      <c r="W5925" s="3" t="str">
        <f>LEFT(Base_Periodo1[[#This Row],[CLASS]],3)</f>
        <v>3.1</v>
      </c>
    </row>
    <row r="5926" spans="1:23" hidden="1">
      <c r="A5926" s="3" t="str">
        <f t="shared" si="92"/>
        <v>Período 1</v>
      </c>
      <c r="B5926">
        <v>1948</v>
      </c>
      <c r="C5926" t="s">
        <v>3638</v>
      </c>
      <c r="D5926" t="s">
        <v>3562</v>
      </c>
      <c r="E5926" s="3" t="str">
        <f>IF(LEN(Base_Periodo1[[#This Row],[CLASS]])&gt;=7,LEFT(Base_Periodo1[[#This Row],[CLASS]],7),"")</f>
        <v>3.1.1.1</v>
      </c>
      <c r="F5926" s="3" t="e">
        <f>VLOOKUP(Base_Periodo1[[#This Row],[Aux]],Base_Contas_Balanco[#All],2,FALSE)</f>
        <v>#N/A</v>
      </c>
      <c r="G5926" s="1">
        <v>42786</v>
      </c>
      <c r="H5926" s="281">
        <v>64305.920000002719</v>
      </c>
      <c r="I5926" s="281">
        <v>0</v>
      </c>
      <c r="J5926" s="281">
        <v>0</v>
      </c>
      <c r="K5926" s="281">
        <v>64305.920000002719</v>
      </c>
      <c r="L592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64305.919999999998</v>
      </c>
      <c r="M5926" s="281">
        <f>ROUND(IF(AND(Base_Periodo1[[#This Row],[Tipo_Linha]]="-",Base_Periodo1[[#This Row],[TIPOSALDO]]="D"),Base_Periodo1[[#This Row],[SALDO_ATUAL]]*-1,Base_Periodo1[[#This Row],[SALDO_ATUAL]]),4)</f>
        <v>64305.919999999998</v>
      </c>
      <c r="N5926" t="s">
        <v>116</v>
      </c>
      <c r="O5926" t="s">
        <v>459</v>
      </c>
      <c r="P5926" t="s">
        <v>459</v>
      </c>
      <c r="Q5926">
        <v>9</v>
      </c>
      <c r="R5926" s="281">
        <f>Base_Periodo1[[#This Row],[CREDITOS]]-Base_Periodo1[[#This Row],[DEBITOS]]</f>
        <v>0</v>
      </c>
      <c r="S5926" s="3" t="str">
        <f>IF(ISERROR(VLOOKUP(Base_Periodo1[[#This Row],[CONTA]],BaseContasDRE[#All],4,FALSE)),"Fora do DRE",VLOOKUP(Base_Periodo1[[#This Row],[CONTA]],BaseContasDRE[#All],4,FALSE))</f>
        <v>+</v>
      </c>
      <c r="T5926" s="3">
        <f>IF(ISERROR(VLOOKUP(Base_Periodo1[[#This Row],[CONTA]],BaseContasDRE[#All],5,FALSE)),"Fora do DRE",VLOOKUP(Base_Periodo1[[#This Row],[CONTA]],BaseContasDRE[#All],6,FALSE))</f>
        <v>1</v>
      </c>
      <c r="U5926" s="3" t="str">
        <f>IF(ISERROR(VLOOKUP(Base_Periodo1[[#This Row],[CONTA]],BaseContasDRE[#All],7,FALSE)),"Fora do DRE",VLOOKUP(Base_Periodo1[[#This Row],[CONTA]],BaseContasDRE[#All],7,FALSE))</f>
        <v>INSUMOS AGROPECUARIOS</v>
      </c>
      <c r="V5926" s="3" t="str">
        <f>IF(Base_Periodo1[[#This Row],[Tipo_Linha]]="Fora do DRE","Fora do DRE","( "&amp;Base_Periodo1[[#This Row],[Tipo_Linha]]&amp;" ) "&amp;Base_Periodo1[[#This Row],[Filtro]])</f>
        <v>( + ) INSUMOS AGROPECUARIOS</v>
      </c>
      <c r="W5926" s="3" t="str">
        <f>LEFT(Base_Periodo1[[#This Row],[CLASS]],3)</f>
        <v>3.1</v>
      </c>
    </row>
    <row r="5927" spans="1:23" hidden="1">
      <c r="A5927" s="3" t="str">
        <f t="shared" si="92"/>
        <v>Período 1</v>
      </c>
      <c r="B5927">
        <v>1949</v>
      </c>
      <c r="C5927" t="s">
        <v>5469</v>
      </c>
      <c r="D5927" t="s">
        <v>3563</v>
      </c>
      <c r="E5927" s="3" t="str">
        <f>IF(LEN(Base_Periodo1[[#This Row],[CLASS]])&gt;=7,LEFT(Base_Periodo1[[#This Row],[CLASS]],7),"")</f>
        <v>3.1.1.1</v>
      </c>
      <c r="F5927" s="3" t="e">
        <f>VLOOKUP(Base_Periodo1[[#This Row],[Aux]],Base_Contas_Balanco[#All],2,FALSE)</f>
        <v>#N/A</v>
      </c>
      <c r="G5927" s="1"/>
      <c r="H5927" s="281">
        <v>18880.160000000003</v>
      </c>
      <c r="I5927" s="281">
        <v>0</v>
      </c>
      <c r="J5927" s="281">
        <v>0</v>
      </c>
      <c r="K5927" s="281">
        <v>18880.160000000003</v>
      </c>
      <c r="L592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-18880.16</v>
      </c>
      <c r="M5927" s="281">
        <f>ROUND(IF(AND(Base_Periodo1[[#This Row],[Tipo_Linha]]="-",Base_Periodo1[[#This Row],[TIPOSALDO]]="D"),Base_Periodo1[[#This Row],[SALDO_ATUAL]]*-1,Base_Periodo1[[#This Row],[SALDO_ATUAL]]),4)</f>
        <v>18880.16</v>
      </c>
      <c r="N5927" t="s">
        <v>396</v>
      </c>
      <c r="O5927" t="s">
        <v>397</v>
      </c>
      <c r="P5927" t="s">
        <v>397</v>
      </c>
      <c r="Q5927">
        <v>8</v>
      </c>
      <c r="R5927" s="281">
        <f>Base_Periodo1[[#This Row],[CREDITOS]]-Base_Periodo1[[#This Row],[DEBITOS]]</f>
        <v>0</v>
      </c>
      <c r="S5927" s="3" t="str">
        <f>IF(ISERROR(VLOOKUP(Base_Periodo1[[#This Row],[CONTA]],BaseContasDRE[#All],4,FALSE)),"Fora do DRE",VLOOKUP(Base_Periodo1[[#This Row],[CONTA]],BaseContasDRE[#All],4,FALSE))</f>
        <v>Fora do DRE</v>
      </c>
      <c r="T5927" s="3" t="str">
        <f>IF(ISERROR(VLOOKUP(Base_Periodo1[[#This Row],[CONTA]],BaseContasDRE[#All],5,FALSE)),"Fora do DRE",VLOOKUP(Base_Periodo1[[#This Row],[CONTA]],BaseContasDRE[#All],6,FALSE))</f>
        <v>Fora do DRE</v>
      </c>
      <c r="U5927" s="3" t="str">
        <f>IF(ISERROR(VLOOKUP(Base_Periodo1[[#This Row],[CONTA]],BaseContasDRE[#All],7,FALSE)),"Fora do DRE",VLOOKUP(Base_Periodo1[[#This Row],[CONTA]],BaseContasDRE[#All],7,FALSE))</f>
        <v>Fora do DRE</v>
      </c>
      <c r="V5927" s="3" t="str">
        <f>IF(Base_Periodo1[[#This Row],[Tipo_Linha]]="Fora do DRE","Fora do DRE","( "&amp;Base_Periodo1[[#This Row],[Tipo_Linha]]&amp;" ) "&amp;Base_Periodo1[[#This Row],[Filtro]])</f>
        <v>Fora do DRE</v>
      </c>
      <c r="W5927" s="3" t="str">
        <f>LEFT(Base_Periodo1[[#This Row],[CLASS]],3)</f>
        <v>3.1</v>
      </c>
    </row>
    <row r="5928" spans="1:23" hidden="1">
      <c r="A5928" s="3" t="str">
        <f t="shared" si="92"/>
        <v>Período 1</v>
      </c>
      <c r="B5928">
        <v>1950</v>
      </c>
      <c r="C5928" t="s">
        <v>5470</v>
      </c>
      <c r="D5928" t="s">
        <v>3564</v>
      </c>
      <c r="E5928" s="3" t="str">
        <f>IF(LEN(Base_Periodo1[[#This Row],[CLASS]])&gt;=7,LEFT(Base_Periodo1[[#This Row],[CLASS]],7),"")</f>
        <v>3.1.1.1</v>
      </c>
      <c r="F5928" s="3" t="e">
        <f>VLOOKUP(Base_Periodo1[[#This Row],[Aux]],Base_Contas_Balanco[#All],2,FALSE)</f>
        <v>#N/A</v>
      </c>
      <c r="G5928" s="1">
        <v>42744</v>
      </c>
      <c r="H5928" s="281">
        <v>18880.160000000003</v>
      </c>
      <c r="I5928" s="281">
        <v>0</v>
      </c>
      <c r="J5928" s="281">
        <v>0</v>
      </c>
      <c r="K5928" s="281">
        <v>18880.160000000003</v>
      </c>
      <c r="L592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-18880.16</v>
      </c>
      <c r="M5928" s="281">
        <f>ROUND(IF(AND(Base_Periodo1[[#This Row],[Tipo_Linha]]="-",Base_Periodo1[[#This Row],[TIPOSALDO]]="D"),Base_Periodo1[[#This Row],[SALDO_ATUAL]]*-1,Base_Periodo1[[#This Row],[SALDO_ATUAL]]),4)</f>
        <v>-18880.16</v>
      </c>
      <c r="N5928" t="s">
        <v>116</v>
      </c>
      <c r="O5928" t="s">
        <v>397</v>
      </c>
      <c r="P5928" t="s">
        <v>397</v>
      </c>
      <c r="Q5928">
        <v>9</v>
      </c>
      <c r="R5928" s="281">
        <f>Base_Periodo1[[#This Row],[CREDITOS]]-Base_Periodo1[[#This Row],[DEBITOS]]</f>
        <v>0</v>
      </c>
      <c r="S5928" s="3" t="str">
        <f>IF(ISERROR(VLOOKUP(Base_Periodo1[[#This Row],[CONTA]],BaseContasDRE[#All],4,FALSE)),"Fora do DRE",VLOOKUP(Base_Periodo1[[#This Row],[CONTA]],BaseContasDRE[#All],4,FALSE))</f>
        <v>-</v>
      </c>
      <c r="T5928" s="3">
        <f>IF(ISERROR(VLOOKUP(Base_Periodo1[[#This Row],[CONTA]],BaseContasDRE[#All],5,FALSE)),"Fora do DRE",VLOOKUP(Base_Periodo1[[#This Row],[CONTA]],BaseContasDRE[#All],6,FALSE))</f>
        <v>2</v>
      </c>
      <c r="U5928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928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928" s="3" t="str">
        <f>LEFT(Base_Periodo1[[#This Row],[CLASS]],3)</f>
        <v>3.1</v>
      </c>
    </row>
    <row r="5929" spans="1:23" hidden="1">
      <c r="A5929" s="3" t="str">
        <f t="shared" si="92"/>
        <v>Período 1</v>
      </c>
      <c r="B5929">
        <v>1951</v>
      </c>
      <c r="C5929" t="s">
        <v>6019</v>
      </c>
      <c r="D5929" t="s">
        <v>3567</v>
      </c>
      <c r="E5929" s="3" t="str">
        <f>IF(LEN(Base_Periodo1[[#This Row],[CLASS]])&gt;=7,LEFT(Base_Periodo1[[#This Row],[CLASS]],7),"")</f>
        <v>3.1.1.1</v>
      </c>
      <c r="F5929" s="3" t="e">
        <f>VLOOKUP(Base_Periodo1[[#This Row],[Aux]],Base_Contas_Balanco[#All],2,FALSE)</f>
        <v>#N/A</v>
      </c>
      <c r="G5929" s="1"/>
      <c r="H5929" s="281">
        <v>40912.399999999674</v>
      </c>
      <c r="I5929" s="281">
        <v>0</v>
      </c>
      <c r="J5929" s="281">
        <v>0</v>
      </c>
      <c r="K5929" s="281">
        <v>40912.399999999674</v>
      </c>
      <c r="L592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-40912.400000000001</v>
      </c>
      <c r="M5929" s="281">
        <f>ROUND(IF(AND(Base_Periodo1[[#This Row],[Tipo_Linha]]="-",Base_Periodo1[[#This Row],[TIPOSALDO]]="D"),Base_Periodo1[[#This Row],[SALDO_ATUAL]]*-1,Base_Periodo1[[#This Row],[SALDO_ATUAL]]),4)</f>
        <v>40912.400000000001</v>
      </c>
      <c r="N5929" t="s">
        <v>396</v>
      </c>
      <c r="O5929" t="s">
        <v>397</v>
      </c>
      <c r="P5929" t="s">
        <v>397</v>
      </c>
      <c r="Q5929">
        <v>8</v>
      </c>
      <c r="R5929" s="281">
        <f>Base_Periodo1[[#This Row],[CREDITOS]]-Base_Periodo1[[#This Row],[DEBITOS]]</f>
        <v>0</v>
      </c>
      <c r="S5929" s="3" t="str">
        <f>IF(ISERROR(VLOOKUP(Base_Periodo1[[#This Row],[CONTA]],BaseContasDRE[#All],4,FALSE)),"Fora do DRE",VLOOKUP(Base_Periodo1[[#This Row],[CONTA]],BaseContasDRE[#All],4,FALSE))</f>
        <v>Fora do DRE</v>
      </c>
      <c r="T5929" s="3" t="str">
        <f>IF(ISERROR(VLOOKUP(Base_Periodo1[[#This Row],[CONTA]],BaseContasDRE[#All],5,FALSE)),"Fora do DRE",VLOOKUP(Base_Periodo1[[#This Row],[CONTA]],BaseContasDRE[#All],6,FALSE))</f>
        <v>Fora do DRE</v>
      </c>
      <c r="U5929" s="3" t="str">
        <f>IF(ISERROR(VLOOKUP(Base_Periodo1[[#This Row],[CONTA]],BaseContasDRE[#All],7,FALSE)),"Fora do DRE",VLOOKUP(Base_Periodo1[[#This Row],[CONTA]],BaseContasDRE[#All],7,FALSE))</f>
        <v>Fora do DRE</v>
      </c>
      <c r="V5929" s="3" t="str">
        <f>IF(Base_Periodo1[[#This Row],[Tipo_Linha]]="Fora do DRE","Fora do DRE","( "&amp;Base_Periodo1[[#This Row],[Tipo_Linha]]&amp;" ) "&amp;Base_Periodo1[[#This Row],[Filtro]])</f>
        <v>Fora do DRE</v>
      </c>
      <c r="W5929" s="3" t="str">
        <f>LEFT(Base_Periodo1[[#This Row],[CLASS]],3)</f>
        <v>3.1</v>
      </c>
    </row>
    <row r="5930" spans="1:23" hidden="1">
      <c r="A5930" s="3" t="str">
        <f t="shared" si="92"/>
        <v>Período 1</v>
      </c>
      <c r="B5930">
        <v>1952</v>
      </c>
      <c r="C5930" t="s">
        <v>6020</v>
      </c>
      <c r="D5930" t="s">
        <v>3568</v>
      </c>
      <c r="E5930" s="3" t="str">
        <f>IF(LEN(Base_Periodo1[[#This Row],[CLASS]])&gt;=7,LEFT(Base_Periodo1[[#This Row],[CLASS]],7),"")</f>
        <v>3.1.1.1</v>
      </c>
      <c r="F5930" s="3" t="e">
        <f>VLOOKUP(Base_Periodo1[[#This Row],[Aux]],Base_Contas_Balanco[#All],2,FALSE)</f>
        <v>#N/A</v>
      </c>
      <c r="G5930" s="1">
        <v>42886</v>
      </c>
      <c r="H5930" s="281">
        <v>40912.399999999674</v>
      </c>
      <c r="I5930" s="281">
        <v>0</v>
      </c>
      <c r="J5930" s="281">
        <v>0</v>
      </c>
      <c r="K5930" s="281">
        <v>40912.399999999674</v>
      </c>
      <c r="L593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-40912.400000000001</v>
      </c>
      <c r="M5930" s="281">
        <f>ROUND(IF(AND(Base_Periodo1[[#This Row],[Tipo_Linha]]="-",Base_Periodo1[[#This Row],[TIPOSALDO]]="D"),Base_Periodo1[[#This Row],[SALDO_ATUAL]]*-1,Base_Periodo1[[#This Row],[SALDO_ATUAL]]),4)</f>
        <v>-40912.400000000001</v>
      </c>
      <c r="N5930" t="s">
        <v>116</v>
      </c>
      <c r="O5930" t="s">
        <v>397</v>
      </c>
      <c r="P5930" t="s">
        <v>397</v>
      </c>
      <c r="Q5930">
        <v>9</v>
      </c>
      <c r="R5930" s="281">
        <f>Base_Periodo1[[#This Row],[CREDITOS]]-Base_Periodo1[[#This Row],[DEBITOS]]</f>
        <v>0</v>
      </c>
      <c r="S5930" s="3" t="str">
        <f>IF(ISERROR(VLOOKUP(Base_Periodo1[[#This Row],[CONTA]],BaseContasDRE[#All],4,FALSE)),"Fora do DRE",VLOOKUP(Base_Periodo1[[#This Row],[CONTA]],BaseContasDRE[#All],4,FALSE))</f>
        <v>-</v>
      </c>
      <c r="T5930" s="3">
        <f>IF(ISERROR(VLOOKUP(Base_Periodo1[[#This Row],[CONTA]],BaseContasDRE[#All],5,FALSE)),"Fora do DRE",VLOOKUP(Base_Periodo1[[#This Row],[CONTA]],BaseContasDRE[#All],6,FALSE))</f>
        <v>3</v>
      </c>
      <c r="U5930" s="3" t="str">
        <f>IF(ISERROR(VLOOKUP(Base_Periodo1[[#This Row],[CONTA]],BaseContasDRE[#All],7,FALSE)),"Fora do DRE",VLOOKUP(Base_Periodo1[[#This Row],[CONTA]],BaseContasDRE[#All],7,FALSE))</f>
        <v>INSUMOS AGROPECUARIOS</v>
      </c>
      <c r="V5930" s="3" t="str">
        <f>IF(Base_Periodo1[[#This Row],[Tipo_Linha]]="Fora do DRE","Fora do DRE","( "&amp;Base_Periodo1[[#This Row],[Tipo_Linha]]&amp;" ) "&amp;Base_Periodo1[[#This Row],[Filtro]])</f>
        <v>( - ) INSUMOS AGROPECUARIOS</v>
      </c>
      <c r="W5930" s="3" t="str">
        <f>LEFT(Base_Periodo1[[#This Row],[CLASS]],3)</f>
        <v>3.1</v>
      </c>
    </row>
    <row r="5931" spans="1:23" hidden="1">
      <c r="A5931" s="3" t="str">
        <f t="shared" si="92"/>
        <v>Período 1</v>
      </c>
      <c r="B5931">
        <v>1960</v>
      </c>
      <c r="C5931" t="s">
        <v>3639</v>
      </c>
      <c r="D5931" t="s">
        <v>1280</v>
      </c>
      <c r="E5931" s="3" t="str">
        <f>IF(LEN(Base_Periodo1[[#This Row],[CLASS]])&gt;=7,LEFT(Base_Periodo1[[#This Row],[CLASS]],7),"")</f>
        <v>3.1.1.1</v>
      </c>
      <c r="F5931" s="3" t="e">
        <f>VLOOKUP(Base_Periodo1[[#This Row],[Aux]],Base_Contas_Balanco[#All],2,FALSE)</f>
        <v>#N/A</v>
      </c>
      <c r="G5931" s="1"/>
      <c r="H5931" s="281">
        <v>6302.7099999999045</v>
      </c>
      <c r="I5931" s="281">
        <v>0</v>
      </c>
      <c r="J5931" s="281">
        <v>1742.74</v>
      </c>
      <c r="K5931" s="281">
        <v>4559.9699999999048</v>
      </c>
      <c r="L593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-4559.97</v>
      </c>
      <c r="M5931" s="281">
        <f>ROUND(IF(AND(Base_Periodo1[[#This Row],[Tipo_Linha]]="-",Base_Periodo1[[#This Row],[TIPOSALDO]]="D"),Base_Periodo1[[#This Row],[SALDO_ATUAL]]*-1,Base_Periodo1[[#This Row],[SALDO_ATUAL]]),4)</f>
        <v>4559.97</v>
      </c>
      <c r="N5931" t="s">
        <v>396</v>
      </c>
      <c r="O5931" t="s">
        <v>397</v>
      </c>
      <c r="P5931" t="s">
        <v>397</v>
      </c>
      <c r="Q5931">
        <v>7</v>
      </c>
      <c r="R5931" s="281">
        <f>Base_Periodo1[[#This Row],[CREDITOS]]-Base_Periodo1[[#This Row],[DEBITOS]]</f>
        <v>1742.74</v>
      </c>
      <c r="S5931" s="3" t="str">
        <f>IF(ISERROR(VLOOKUP(Base_Periodo1[[#This Row],[CONTA]],BaseContasDRE[#All],4,FALSE)),"Fora do DRE",VLOOKUP(Base_Periodo1[[#This Row],[CONTA]],BaseContasDRE[#All],4,FALSE))</f>
        <v>Fora do DRE</v>
      </c>
      <c r="T5931" s="3" t="str">
        <f>IF(ISERROR(VLOOKUP(Base_Periodo1[[#This Row],[CONTA]],BaseContasDRE[#All],5,FALSE)),"Fora do DRE",VLOOKUP(Base_Periodo1[[#This Row],[CONTA]],BaseContasDRE[#All],6,FALSE))</f>
        <v>Fora do DRE</v>
      </c>
      <c r="U5931" s="3" t="str">
        <f>IF(ISERROR(VLOOKUP(Base_Periodo1[[#This Row],[CONTA]],BaseContasDRE[#All],7,FALSE)),"Fora do DRE",VLOOKUP(Base_Periodo1[[#This Row],[CONTA]],BaseContasDRE[#All],7,FALSE))</f>
        <v>Fora do DRE</v>
      </c>
      <c r="V5931" s="3" t="str">
        <f>IF(Base_Periodo1[[#This Row],[Tipo_Linha]]="Fora do DRE","Fora do DRE","( "&amp;Base_Periodo1[[#This Row],[Tipo_Linha]]&amp;" ) "&amp;Base_Periodo1[[#This Row],[Filtro]])</f>
        <v>Fora do DRE</v>
      </c>
      <c r="W5931" s="3" t="str">
        <f>LEFT(Base_Periodo1[[#This Row],[CLASS]],3)</f>
        <v>3.1</v>
      </c>
    </row>
    <row r="5932" spans="1:23" hidden="1">
      <c r="A5932" s="3" t="str">
        <f t="shared" si="92"/>
        <v>Período 1</v>
      </c>
      <c r="B5932">
        <v>1961</v>
      </c>
      <c r="C5932" t="s">
        <v>3640</v>
      </c>
      <c r="D5932" t="s">
        <v>3561</v>
      </c>
      <c r="E5932" s="3" t="str">
        <f>IF(LEN(Base_Periodo1[[#This Row],[CLASS]])&gt;=7,LEFT(Base_Periodo1[[#This Row],[CLASS]],7),"")</f>
        <v>3.1.1.1</v>
      </c>
      <c r="F5932" s="3" t="e">
        <f>VLOOKUP(Base_Periodo1[[#This Row],[Aux]],Base_Contas_Balanco[#All],2,FALSE)</f>
        <v>#N/A</v>
      </c>
      <c r="G5932" s="1"/>
      <c r="H5932" s="281">
        <v>3420</v>
      </c>
      <c r="I5932" s="281">
        <v>0</v>
      </c>
      <c r="J5932" s="281">
        <v>312</v>
      </c>
      <c r="K5932" s="281">
        <v>3732</v>
      </c>
      <c r="L593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3732</v>
      </c>
      <c r="M5932" s="281">
        <f>ROUND(IF(AND(Base_Periodo1[[#This Row],[Tipo_Linha]]="-",Base_Periodo1[[#This Row],[TIPOSALDO]]="D"),Base_Periodo1[[#This Row],[SALDO_ATUAL]]*-1,Base_Periodo1[[#This Row],[SALDO_ATUAL]]),4)</f>
        <v>3732</v>
      </c>
      <c r="N5932" t="s">
        <v>396</v>
      </c>
      <c r="O5932" t="s">
        <v>459</v>
      </c>
      <c r="P5932" t="s">
        <v>459</v>
      </c>
      <c r="Q5932">
        <v>8</v>
      </c>
      <c r="R5932" s="281">
        <f>Base_Periodo1[[#This Row],[CREDITOS]]-Base_Periodo1[[#This Row],[DEBITOS]]</f>
        <v>312</v>
      </c>
      <c r="S5932" s="3" t="str">
        <f>IF(ISERROR(VLOOKUP(Base_Periodo1[[#This Row],[CONTA]],BaseContasDRE[#All],4,FALSE)),"Fora do DRE",VLOOKUP(Base_Periodo1[[#This Row],[CONTA]],BaseContasDRE[#All],4,FALSE))</f>
        <v>Fora do DRE</v>
      </c>
      <c r="T5932" s="3" t="str">
        <f>IF(ISERROR(VLOOKUP(Base_Periodo1[[#This Row],[CONTA]],BaseContasDRE[#All],5,FALSE)),"Fora do DRE",VLOOKUP(Base_Periodo1[[#This Row],[CONTA]],BaseContasDRE[#All],6,FALSE))</f>
        <v>Fora do DRE</v>
      </c>
      <c r="U5932" s="3" t="str">
        <f>IF(ISERROR(VLOOKUP(Base_Periodo1[[#This Row],[CONTA]],BaseContasDRE[#All],7,FALSE)),"Fora do DRE",VLOOKUP(Base_Periodo1[[#This Row],[CONTA]],BaseContasDRE[#All],7,FALSE))</f>
        <v>Fora do DRE</v>
      </c>
      <c r="V5932" s="3" t="str">
        <f>IF(Base_Periodo1[[#This Row],[Tipo_Linha]]="Fora do DRE","Fora do DRE","( "&amp;Base_Periodo1[[#This Row],[Tipo_Linha]]&amp;" ) "&amp;Base_Periodo1[[#This Row],[Filtro]])</f>
        <v>Fora do DRE</v>
      </c>
      <c r="W5932" s="3" t="str">
        <f>LEFT(Base_Periodo1[[#This Row],[CLASS]],3)</f>
        <v>3.1</v>
      </c>
    </row>
    <row r="5933" spans="1:23" hidden="1">
      <c r="A5933" s="3" t="str">
        <f t="shared" si="92"/>
        <v>Período 1</v>
      </c>
      <c r="B5933">
        <v>1962</v>
      </c>
      <c r="C5933" t="s">
        <v>3641</v>
      </c>
      <c r="D5933" t="s">
        <v>3562</v>
      </c>
      <c r="E5933" s="3" t="str">
        <f>IF(LEN(Base_Periodo1[[#This Row],[CLASS]])&gt;=7,LEFT(Base_Periodo1[[#This Row],[CLASS]],7),"")</f>
        <v>3.1.1.1</v>
      </c>
      <c r="F5933" s="3" t="e">
        <f>VLOOKUP(Base_Periodo1[[#This Row],[Aux]],Base_Contas_Balanco[#All],2,FALSE)</f>
        <v>#N/A</v>
      </c>
      <c r="G5933" s="1">
        <v>42871</v>
      </c>
      <c r="H5933" s="281">
        <v>3420</v>
      </c>
      <c r="I5933" s="281">
        <v>0</v>
      </c>
      <c r="J5933" s="281">
        <v>312</v>
      </c>
      <c r="K5933" s="281">
        <v>3732</v>
      </c>
      <c r="L593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3732</v>
      </c>
      <c r="M5933" s="281">
        <f>ROUND(IF(AND(Base_Periodo1[[#This Row],[Tipo_Linha]]="-",Base_Periodo1[[#This Row],[TIPOSALDO]]="D"),Base_Periodo1[[#This Row],[SALDO_ATUAL]]*-1,Base_Periodo1[[#This Row],[SALDO_ATUAL]]),4)</f>
        <v>3732</v>
      </c>
      <c r="N5933" t="s">
        <v>116</v>
      </c>
      <c r="O5933" t="s">
        <v>459</v>
      </c>
      <c r="P5933" t="s">
        <v>459</v>
      </c>
      <c r="Q5933">
        <v>9</v>
      </c>
      <c r="R5933" s="281">
        <f>Base_Periodo1[[#This Row],[CREDITOS]]-Base_Periodo1[[#This Row],[DEBITOS]]</f>
        <v>312</v>
      </c>
      <c r="S5933" s="3" t="str">
        <f>IF(ISERROR(VLOOKUP(Base_Periodo1[[#This Row],[CONTA]],BaseContasDRE[#All],4,FALSE)),"Fora do DRE",VLOOKUP(Base_Periodo1[[#This Row],[CONTA]],BaseContasDRE[#All],4,FALSE))</f>
        <v>+</v>
      </c>
      <c r="T5933" s="3">
        <f>IF(ISERROR(VLOOKUP(Base_Periodo1[[#This Row],[CONTA]],BaseContasDRE[#All],5,FALSE)),"Fora do DRE",VLOOKUP(Base_Periodo1[[#This Row],[CONTA]],BaseContasDRE[#All],6,FALSE))</f>
        <v>1</v>
      </c>
      <c r="U5933" s="3" t="str">
        <f>IF(ISERROR(VLOOKUP(Base_Periodo1[[#This Row],[CONTA]],BaseContasDRE[#All],7,FALSE)),"Fora do DRE",VLOOKUP(Base_Periodo1[[#This Row],[CONTA]],BaseContasDRE[#All],7,FALSE))</f>
        <v>INSUMOS AGROPECUARIOS</v>
      </c>
      <c r="V5933" s="3" t="str">
        <f>IF(Base_Periodo1[[#This Row],[Tipo_Linha]]="Fora do DRE","Fora do DRE","( "&amp;Base_Periodo1[[#This Row],[Tipo_Linha]]&amp;" ) "&amp;Base_Periodo1[[#This Row],[Filtro]])</f>
        <v>( + ) INSUMOS AGROPECUARIOS</v>
      </c>
      <c r="W5933" s="3" t="str">
        <f>LEFT(Base_Periodo1[[#This Row],[CLASS]],3)</f>
        <v>3.1</v>
      </c>
    </row>
    <row r="5934" spans="1:23" hidden="1">
      <c r="A5934" s="3" t="str">
        <f t="shared" si="92"/>
        <v>Período 1</v>
      </c>
      <c r="B5934">
        <v>1965</v>
      </c>
      <c r="C5934" t="s">
        <v>3642</v>
      </c>
      <c r="D5934" t="s">
        <v>3567</v>
      </c>
      <c r="E5934" s="3" t="str">
        <f>IF(LEN(Base_Periodo1[[#This Row],[CLASS]])&gt;=7,LEFT(Base_Periodo1[[#This Row],[CLASS]],7),"")</f>
        <v>3.1.1.1</v>
      </c>
      <c r="F5934" s="3" t="e">
        <f>VLOOKUP(Base_Periodo1[[#This Row],[Aux]],Base_Contas_Balanco[#All],2,FALSE)</f>
        <v>#N/A</v>
      </c>
      <c r="G5934" s="1"/>
      <c r="H5934" s="281">
        <v>9722.7099999999045</v>
      </c>
      <c r="I5934" s="281">
        <v>0</v>
      </c>
      <c r="J5934" s="281">
        <v>1430.74</v>
      </c>
      <c r="K5934" s="281">
        <v>8291.9699999999048</v>
      </c>
      <c r="L593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-8291.9699999999993</v>
      </c>
      <c r="M5934" s="281">
        <f>ROUND(IF(AND(Base_Periodo1[[#This Row],[Tipo_Linha]]="-",Base_Periodo1[[#This Row],[TIPOSALDO]]="D"),Base_Periodo1[[#This Row],[SALDO_ATUAL]]*-1,Base_Periodo1[[#This Row],[SALDO_ATUAL]]),4)</f>
        <v>8291.9699999999993</v>
      </c>
      <c r="N5934" t="s">
        <v>396</v>
      </c>
      <c r="O5934" t="s">
        <v>397</v>
      </c>
      <c r="P5934" t="s">
        <v>397</v>
      </c>
      <c r="Q5934">
        <v>8</v>
      </c>
      <c r="R5934" s="281">
        <f>Base_Periodo1[[#This Row],[CREDITOS]]-Base_Periodo1[[#This Row],[DEBITOS]]</f>
        <v>1430.74</v>
      </c>
      <c r="S5934" s="3" t="str">
        <f>IF(ISERROR(VLOOKUP(Base_Periodo1[[#This Row],[CONTA]],BaseContasDRE[#All],4,FALSE)),"Fora do DRE",VLOOKUP(Base_Periodo1[[#This Row],[CONTA]],BaseContasDRE[#All],4,FALSE))</f>
        <v>Fora do DRE</v>
      </c>
      <c r="T5934" s="3" t="str">
        <f>IF(ISERROR(VLOOKUP(Base_Periodo1[[#This Row],[CONTA]],BaseContasDRE[#All],5,FALSE)),"Fora do DRE",VLOOKUP(Base_Periodo1[[#This Row],[CONTA]],BaseContasDRE[#All],6,FALSE))</f>
        <v>Fora do DRE</v>
      </c>
      <c r="U5934" s="3" t="str">
        <f>IF(ISERROR(VLOOKUP(Base_Periodo1[[#This Row],[CONTA]],BaseContasDRE[#All],7,FALSE)),"Fora do DRE",VLOOKUP(Base_Periodo1[[#This Row],[CONTA]],BaseContasDRE[#All],7,FALSE))</f>
        <v>Fora do DRE</v>
      </c>
      <c r="V5934" s="3" t="str">
        <f>IF(Base_Periodo1[[#This Row],[Tipo_Linha]]="Fora do DRE","Fora do DRE","( "&amp;Base_Periodo1[[#This Row],[Tipo_Linha]]&amp;" ) "&amp;Base_Periodo1[[#This Row],[Filtro]])</f>
        <v>Fora do DRE</v>
      </c>
      <c r="W5934" s="3" t="str">
        <f>LEFT(Base_Periodo1[[#This Row],[CLASS]],3)</f>
        <v>3.1</v>
      </c>
    </row>
    <row r="5935" spans="1:23" hidden="1">
      <c r="A5935" s="3" t="str">
        <f t="shared" si="92"/>
        <v>Período 1</v>
      </c>
      <c r="B5935">
        <v>1966</v>
      </c>
      <c r="C5935" t="s">
        <v>3643</v>
      </c>
      <c r="D5935" t="s">
        <v>3568</v>
      </c>
      <c r="E5935" s="3" t="str">
        <f>IF(LEN(Base_Periodo1[[#This Row],[CLASS]])&gt;=7,LEFT(Base_Periodo1[[#This Row],[CLASS]],7),"")</f>
        <v>3.1.1.1</v>
      </c>
      <c r="F5935" s="3" t="e">
        <f>VLOOKUP(Base_Periodo1[[#This Row],[Aux]],Base_Contas_Balanco[#All],2,FALSE)</f>
        <v>#N/A</v>
      </c>
      <c r="G5935" s="1">
        <v>42856</v>
      </c>
      <c r="H5935" s="281">
        <v>9722.7099999999045</v>
      </c>
      <c r="I5935" s="281">
        <v>0</v>
      </c>
      <c r="J5935" s="281">
        <v>1430.74</v>
      </c>
      <c r="K5935" s="281">
        <v>8291.9699999999048</v>
      </c>
      <c r="L593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-8291.9699999999993</v>
      </c>
      <c r="M5935" s="281">
        <f>ROUND(IF(AND(Base_Periodo1[[#This Row],[Tipo_Linha]]="-",Base_Periodo1[[#This Row],[TIPOSALDO]]="D"),Base_Periodo1[[#This Row],[SALDO_ATUAL]]*-1,Base_Periodo1[[#This Row],[SALDO_ATUAL]]),4)</f>
        <v>-8291.9699999999993</v>
      </c>
      <c r="N5935" t="s">
        <v>116</v>
      </c>
      <c r="O5935" t="s">
        <v>397</v>
      </c>
      <c r="P5935" t="s">
        <v>397</v>
      </c>
      <c r="Q5935">
        <v>9</v>
      </c>
      <c r="R5935" s="281">
        <f>Base_Periodo1[[#This Row],[CREDITOS]]-Base_Periodo1[[#This Row],[DEBITOS]]</f>
        <v>1430.74</v>
      </c>
      <c r="S5935" s="3" t="str">
        <f>IF(ISERROR(VLOOKUP(Base_Periodo1[[#This Row],[CONTA]],BaseContasDRE[#All],4,FALSE)),"Fora do DRE",VLOOKUP(Base_Periodo1[[#This Row],[CONTA]],BaseContasDRE[#All],4,FALSE))</f>
        <v>-</v>
      </c>
      <c r="T5935" s="3">
        <f>IF(ISERROR(VLOOKUP(Base_Periodo1[[#This Row],[CONTA]],BaseContasDRE[#All],5,FALSE)),"Fora do DRE",VLOOKUP(Base_Periodo1[[#This Row],[CONTA]],BaseContasDRE[#All],6,FALSE))</f>
        <v>3</v>
      </c>
      <c r="U5935" s="3" t="str">
        <f>IF(ISERROR(VLOOKUP(Base_Periodo1[[#This Row],[CONTA]],BaseContasDRE[#All],7,FALSE)),"Fora do DRE",VLOOKUP(Base_Periodo1[[#This Row],[CONTA]],BaseContasDRE[#All],7,FALSE))</f>
        <v>INSUMOS AGROPECUARIOS</v>
      </c>
      <c r="V5935" s="3" t="str">
        <f>IF(Base_Periodo1[[#This Row],[Tipo_Linha]]="Fora do DRE","Fora do DRE","( "&amp;Base_Periodo1[[#This Row],[Tipo_Linha]]&amp;" ) "&amp;Base_Periodo1[[#This Row],[Filtro]])</f>
        <v>( - ) INSUMOS AGROPECUARIOS</v>
      </c>
      <c r="W5935" s="3" t="str">
        <f>LEFT(Base_Periodo1[[#This Row],[CLASS]],3)</f>
        <v>3.1</v>
      </c>
    </row>
    <row r="5936" spans="1:23" hidden="1">
      <c r="A5936" s="3" t="str">
        <f t="shared" si="92"/>
        <v>Período 1</v>
      </c>
      <c r="B5936">
        <v>1967</v>
      </c>
      <c r="C5936" t="s">
        <v>3644</v>
      </c>
      <c r="D5936" t="s">
        <v>1282</v>
      </c>
      <c r="E5936" s="3" t="str">
        <f>IF(LEN(Base_Periodo1[[#This Row],[CLASS]])&gt;=7,LEFT(Base_Periodo1[[#This Row],[CLASS]],7),"")</f>
        <v>3.1.1.1</v>
      </c>
      <c r="F5936" s="3" t="e">
        <f>VLOOKUP(Base_Periodo1[[#This Row],[Aux]],Base_Contas_Balanco[#All],2,FALSE)</f>
        <v>#N/A</v>
      </c>
      <c r="G5936" s="1"/>
      <c r="H5936" s="281">
        <v>2454.6600000000326</v>
      </c>
      <c r="I5936" s="281">
        <v>0</v>
      </c>
      <c r="J5936" s="281">
        <v>0</v>
      </c>
      <c r="K5936" s="281">
        <v>2454.6600000000326</v>
      </c>
      <c r="L593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2454.66</v>
      </c>
      <c r="M5936" s="281">
        <f>ROUND(IF(AND(Base_Periodo1[[#This Row],[Tipo_Linha]]="-",Base_Periodo1[[#This Row],[TIPOSALDO]]="D"),Base_Periodo1[[#This Row],[SALDO_ATUAL]]*-1,Base_Periodo1[[#This Row],[SALDO_ATUAL]]),4)</f>
        <v>2454.66</v>
      </c>
      <c r="N5936" t="s">
        <v>396</v>
      </c>
      <c r="O5936" t="s">
        <v>459</v>
      </c>
      <c r="P5936" t="s">
        <v>459</v>
      </c>
      <c r="Q5936">
        <v>7</v>
      </c>
      <c r="R5936" s="281">
        <f>Base_Periodo1[[#This Row],[CREDITOS]]-Base_Periodo1[[#This Row],[DEBITOS]]</f>
        <v>0</v>
      </c>
      <c r="S5936" s="3" t="str">
        <f>IF(ISERROR(VLOOKUP(Base_Periodo1[[#This Row],[CONTA]],BaseContasDRE[#All],4,FALSE)),"Fora do DRE",VLOOKUP(Base_Periodo1[[#This Row],[CONTA]],BaseContasDRE[#All],4,FALSE))</f>
        <v>Fora do DRE</v>
      </c>
      <c r="T5936" s="3" t="str">
        <f>IF(ISERROR(VLOOKUP(Base_Periodo1[[#This Row],[CONTA]],BaseContasDRE[#All],5,FALSE)),"Fora do DRE",VLOOKUP(Base_Periodo1[[#This Row],[CONTA]],BaseContasDRE[#All],6,FALSE))</f>
        <v>Fora do DRE</v>
      </c>
      <c r="U5936" s="3" t="str">
        <f>IF(ISERROR(VLOOKUP(Base_Periodo1[[#This Row],[CONTA]],BaseContasDRE[#All],7,FALSE)),"Fora do DRE",VLOOKUP(Base_Periodo1[[#This Row],[CONTA]],BaseContasDRE[#All],7,FALSE))</f>
        <v>Fora do DRE</v>
      </c>
      <c r="V5936" s="3" t="str">
        <f>IF(Base_Periodo1[[#This Row],[Tipo_Linha]]="Fora do DRE","Fora do DRE","( "&amp;Base_Periodo1[[#This Row],[Tipo_Linha]]&amp;" ) "&amp;Base_Periodo1[[#This Row],[Filtro]])</f>
        <v>Fora do DRE</v>
      </c>
      <c r="W5936" s="3" t="str">
        <f>LEFT(Base_Periodo1[[#This Row],[CLASS]],3)</f>
        <v>3.1</v>
      </c>
    </row>
    <row r="5937" spans="1:23" hidden="1">
      <c r="A5937" s="3" t="str">
        <f t="shared" si="92"/>
        <v>Período 1</v>
      </c>
      <c r="B5937">
        <v>1968</v>
      </c>
      <c r="C5937" t="s">
        <v>3645</v>
      </c>
      <c r="D5937" t="s">
        <v>3561</v>
      </c>
      <c r="E5937" s="3" t="str">
        <f>IF(LEN(Base_Periodo1[[#This Row],[CLASS]])&gt;=7,LEFT(Base_Periodo1[[#This Row],[CLASS]],7),"")</f>
        <v>3.1.1.1</v>
      </c>
      <c r="F5937" s="3" t="e">
        <f>VLOOKUP(Base_Periodo1[[#This Row],[Aux]],Base_Contas_Balanco[#All],2,FALSE)</f>
        <v>#N/A</v>
      </c>
      <c r="G5937" s="1"/>
      <c r="H5937" s="281">
        <v>15060.000000000015</v>
      </c>
      <c r="I5937" s="281">
        <v>0</v>
      </c>
      <c r="J5937" s="281">
        <v>0</v>
      </c>
      <c r="K5937" s="281">
        <v>15060.000000000015</v>
      </c>
      <c r="L593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15060</v>
      </c>
      <c r="M5937" s="281">
        <f>ROUND(IF(AND(Base_Periodo1[[#This Row],[Tipo_Linha]]="-",Base_Periodo1[[#This Row],[TIPOSALDO]]="D"),Base_Periodo1[[#This Row],[SALDO_ATUAL]]*-1,Base_Periodo1[[#This Row],[SALDO_ATUAL]]),4)</f>
        <v>15060</v>
      </c>
      <c r="N5937" t="s">
        <v>396</v>
      </c>
      <c r="O5937" t="s">
        <v>459</v>
      </c>
      <c r="P5937" t="s">
        <v>459</v>
      </c>
      <c r="Q5937">
        <v>8</v>
      </c>
      <c r="R5937" s="281">
        <f>Base_Periodo1[[#This Row],[CREDITOS]]-Base_Periodo1[[#This Row],[DEBITOS]]</f>
        <v>0</v>
      </c>
      <c r="S5937" s="3" t="str">
        <f>IF(ISERROR(VLOOKUP(Base_Periodo1[[#This Row],[CONTA]],BaseContasDRE[#All],4,FALSE)),"Fora do DRE",VLOOKUP(Base_Periodo1[[#This Row],[CONTA]],BaseContasDRE[#All],4,FALSE))</f>
        <v>Fora do DRE</v>
      </c>
      <c r="T5937" s="3" t="str">
        <f>IF(ISERROR(VLOOKUP(Base_Periodo1[[#This Row],[CONTA]],BaseContasDRE[#All],5,FALSE)),"Fora do DRE",VLOOKUP(Base_Periodo1[[#This Row],[CONTA]],BaseContasDRE[#All],6,FALSE))</f>
        <v>Fora do DRE</v>
      </c>
      <c r="U5937" s="3" t="str">
        <f>IF(ISERROR(VLOOKUP(Base_Periodo1[[#This Row],[CONTA]],BaseContasDRE[#All],7,FALSE)),"Fora do DRE",VLOOKUP(Base_Periodo1[[#This Row],[CONTA]],BaseContasDRE[#All],7,FALSE))</f>
        <v>Fora do DRE</v>
      </c>
      <c r="V5937" s="3" t="str">
        <f>IF(Base_Periodo1[[#This Row],[Tipo_Linha]]="Fora do DRE","Fora do DRE","( "&amp;Base_Periodo1[[#This Row],[Tipo_Linha]]&amp;" ) "&amp;Base_Periodo1[[#This Row],[Filtro]])</f>
        <v>Fora do DRE</v>
      </c>
      <c r="W5937" s="3" t="str">
        <f>LEFT(Base_Periodo1[[#This Row],[CLASS]],3)</f>
        <v>3.1</v>
      </c>
    </row>
    <row r="5938" spans="1:23" hidden="1">
      <c r="A5938" s="3" t="str">
        <f t="shared" si="92"/>
        <v>Período 1</v>
      </c>
      <c r="B5938">
        <v>1969</v>
      </c>
      <c r="C5938" t="s">
        <v>3646</v>
      </c>
      <c r="D5938" t="s">
        <v>3562</v>
      </c>
      <c r="E5938" s="3" t="str">
        <f>IF(LEN(Base_Periodo1[[#This Row],[CLASS]])&gt;=7,LEFT(Base_Periodo1[[#This Row],[CLASS]],7),"")</f>
        <v>3.1.1.1</v>
      </c>
      <c r="F5938" s="3" t="e">
        <f>VLOOKUP(Base_Periodo1[[#This Row],[Aux]],Base_Contas_Balanco[#All],2,FALSE)</f>
        <v>#N/A</v>
      </c>
      <c r="G5938" s="1">
        <v>42797</v>
      </c>
      <c r="H5938" s="281">
        <v>15060.000000000015</v>
      </c>
      <c r="I5938" s="281">
        <v>0</v>
      </c>
      <c r="J5938" s="281">
        <v>0</v>
      </c>
      <c r="K5938" s="281">
        <v>15060.000000000015</v>
      </c>
      <c r="L593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15060</v>
      </c>
      <c r="M5938" s="281">
        <f>ROUND(IF(AND(Base_Periodo1[[#This Row],[Tipo_Linha]]="-",Base_Periodo1[[#This Row],[TIPOSALDO]]="D"),Base_Periodo1[[#This Row],[SALDO_ATUAL]]*-1,Base_Periodo1[[#This Row],[SALDO_ATUAL]]),4)</f>
        <v>15060</v>
      </c>
      <c r="N5938" t="s">
        <v>116</v>
      </c>
      <c r="O5938" t="s">
        <v>459</v>
      </c>
      <c r="P5938" t="s">
        <v>459</v>
      </c>
      <c r="Q5938">
        <v>9</v>
      </c>
      <c r="R5938" s="281">
        <f>Base_Periodo1[[#This Row],[CREDITOS]]-Base_Periodo1[[#This Row],[DEBITOS]]</f>
        <v>0</v>
      </c>
      <c r="S5938" s="3" t="str">
        <f>IF(ISERROR(VLOOKUP(Base_Periodo1[[#This Row],[CONTA]],BaseContasDRE[#All],4,FALSE)),"Fora do DRE",VLOOKUP(Base_Periodo1[[#This Row],[CONTA]],BaseContasDRE[#All],4,FALSE))</f>
        <v>+</v>
      </c>
      <c r="T5938" s="3">
        <f>IF(ISERROR(VLOOKUP(Base_Periodo1[[#This Row],[CONTA]],BaseContasDRE[#All],5,FALSE)),"Fora do DRE",VLOOKUP(Base_Periodo1[[#This Row],[CONTA]],BaseContasDRE[#All],6,FALSE))</f>
        <v>1</v>
      </c>
      <c r="U5938" s="3" t="str">
        <f>IF(ISERROR(VLOOKUP(Base_Periodo1[[#This Row],[CONTA]],BaseContasDRE[#All],7,FALSE)),"Fora do DRE",VLOOKUP(Base_Periodo1[[#This Row],[CONTA]],BaseContasDRE[#All],7,FALSE))</f>
        <v>INSUMOS AGROPECUARIOS</v>
      </c>
      <c r="V5938" s="3" t="str">
        <f>IF(Base_Periodo1[[#This Row],[Tipo_Linha]]="Fora do DRE","Fora do DRE","( "&amp;Base_Periodo1[[#This Row],[Tipo_Linha]]&amp;" ) "&amp;Base_Periodo1[[#This Row],[Filtro]])</f>
        <v>( + ) INSUMOS AGROPECUARIOS</v>
      </c>
      <c r="W5938" s="3" t="str">
        <f>LEFT(Base_Periodo1[[#This Row],[CLASS]],3)</f>
        <v>3.1</v>
      </c>
    </row>
    <row r="5939" spans="1:23" hidden="1">
      <c r="A5939" s="3" t="str">
        <f t="shared" si="92"/>
        <v>Período 1</v>
      </c>
      <c r="B5939">
        <v>1970</v>
      </c>
      <c r="C5939" t="s">
        <v>6021</v>
      </c>
      <c r="D5939" t="s">
        <v>3563</v>
      </c>
      <c r="E5939" s="3" t="str">
        <f>IF(LEN(Base_Periodo1[[#This Row],[CLASS]])&gt;=7,LEFT(Base_Periodo1[[#This Row],[CLASS]],7),"")</f>
        <v>3.1.1.1</v>
      </c>
      <c r="F5939" s="3" t="e">
        <f>VLOOKUP(Base_Periodo1[[#This Row],[Aux]],Base_Contas_Balanco[#All],2,FALSE)</f>
        <v>#N/A</v>
      </c>
      <c r="G5939" s="1"/>
      <c r="H5939" s="281">
        <v>684</v>
      </c>
      <c r="I5939" s="281">
        <v>0</v>
      </c>
      <c r="J5939" s="281">
        <v>0</v>
      </c>
      <c r="K5939" s="281">
        <v>684</v>
      </c>
      <c r="L593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-684</v>
      </c>
      <c r="M5939" s="281">
        <f>ROUND(IF(AND(Base_Periodo1[[#This Row],[Tipo_Linha]]="-",Base_Periodo1[[#This Row],[TIPOSALDO]]="D"),Base_Periodo1[[#This Row],[SALDO_ATUAL]]*-1,Base_Periodo1[[#This Row],[SALDO_ATUAL]]),4)</f>
        <v>684</v>
      </c>
      <c r="N5939" t="s">
        <v>396</v>
      </c>
      <c r="O5939" t="s">
        <v>397</v>
      </c>
      <c r="P5939" t="s">
        <v>397</v>
      </c>
      <c r="Q5939">
        <v>8</v>
      </c>
      <c r="R5939" s="281">
        <f>Base_Periodo1[[#This Row],[CREDITOS]]-Base_Periodo1[[#This Row],[DEBITOS]]</f>
        <v>0</v>
      </c>
      <c r="S5939" s="3" t="str">
        <f>IF(ISERROR(VLOOKUP(Base_Periodo1[[#This Row],[CONTA]],BaseContasDRE[#All],4,FALSE)),"Fora do DRE",VLOOKUP(Base_Periodo1[[#This Row],[CONTA]],BaseContasDRE[#All],4,FALSE))</f>
        <v>Fora do DRE</v>
      </c>
      <c r="T5939" s="3" t="str">
        <f>IF(ISERROR(VLOOKUP(Base_Periodo1[[#This Row],[CONTA]],BaseContasDRE[#All],5,FALSE)),"Fora do DRE",VLOOKUP(Base_Periodo1[[#This Row],[CONTA]],BaseContasDRE[#All],6,FALSE))</f>
        <v>Fora do DRE</v>
      </c>
      <c r="U5939" s="3" t="str">
        <f>IF(ISERROR(VLOOKUP(Base_Periodo1[[#This Row],[CONTA]],BaseContasDRE[#All],7,FALSE)),"Fora do DRE",VLOOKUP(Base_Periodo1[[#This Row],[CONTA]],BaseContasDRE[#All],7,FALSE))</f>
        <v>Fora do DRE</v>
      </c>
      <c r="V5939" s="3" t="str">
        <f>IF(Base_Periodo1[[#This Row],[Tipo_Linha]]="Fora do DRE","Fora do DRE","( "&amp;Base_Periodo1[[#This Row],[Tipo_Linha]]&amp;" ) "&amp;Base_Periodo1[[#This Row],[Filtro]])</f>
        <v>Fora do DRE</v>
      </c>
      <c r="W5939" s="3" t="str">
        <f>LEFT(Base_Periodo1[[#This Row],[CLASS]],3)</f>
        <v>3.1</v>
      </c>
    </row>
    <row r="5940" spans="1:23" hidden="1">
      <c r="A5940" s="3" t="str">
        <f t="shared" si="92"/>
        <v>Período 1</v>
      </c>
      <c r="B5940">
        <v>1971</v>
      </c>
      <c r="C5940" t="s">
        <v>6022</v>
      </c>
      <c r="D5940" t="s">
        <v>3564</v>
      </c>
      <c r="E5940" s="3" t="str">
        <f>IF(LEN(Base_Periodo1[[#This Row],[CLASS]])&gt;=7,LEFT(Base_Periodo1[[#This Row],[CLASS]],7),"")</f>
        <v>3.1.1.1</v>
      </c>
      <c r="F5940" s="3" t="e">
        <f>VLOOKUP(Base_Periodo1[[#This Row],[Aux]],Base_Contas_Balanco[#All],2,FALSE)</f>
        <v>#N/A</v>
      </c>
      <c r="G5940" s="1">
        <v>42775</v>
      </c>
      <c r="H5940" s="281">
        <v>684</v>
      </c>
      <c r="I5940" s="281">
        <v>0</v>
      </c>
      <c r="J5940" s="281">
        <v>0</v>
      </c>
      <c r="K5940" s="281">
        <v>684</v>
      </c>
      <c r="L594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-684</v>
      </c>
      <c r="M5940" s="281">
        <f>ROUND(IF(AND(Base_Periodo1[[#This Row],[Tipo_Linha]]="-",Base_Periodo1[[#This Row],[TIPOSALDO]]="D"),Base_Periodo1[[#This Row],[SALDO_ATUAL]]*-1,Base_Periodo1[[#This Row],[SALDO_ATUAL]]),4)</f>
        <v>-684</v>
      </c>
      <c r="N5940" t="s">
        <v>116</v>
      </c>
      <c r="O5940" t="s">
        <v>397</v>
      </c>
      <c r="P5940" t="s">
        <v>397</v>
      </c>
      <c r="Q5940">
        <v>9</v>
      </c>
      <c r="R5940" s="281">
        <f>Base_Periodo1[[#This Row],[CREDITOS]]-Base_Periodo1[[#This Row],[DEBITOS]]</f>
        <v>0</v>
      </c>
      <c r="S5940" s="3" t="str">
        <f>IF(ISERROR(VLOOKUP(Base_Periodo1[[#This Row],[CONTA]],BaseContasDRE[#All],4,FALSE)),"Fora do DRE",VLOOKUP(Base_Periodo1[[#This Row],[CONTA]],BaseContasDRE[#All],4,FALSE))</f>
        <v>-</v>
      </c>
      <c r="T5940" s="3">
        <f>IF(ISERROR(VLOOKUP(Base_Periodo1[[#This Row],[CONTA]],BaseContasDRE[#All],5,FALSE)),"Fora do DRE",VLOOKUP(Base_Periodo1[[#This Row],[CONTA]],BaseContasDRE[#All],6,FALSE))</f>
        <v>2</v>
      </c>
      <c r="U5940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940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940" s="3" t="str">
        <f>LEFT(Base_Periodo1[[#This Row],[CLASS]],3)</f>
        <v>3.1</v>
      </c>
    </row>
    <row r="5941" spans="1:23" hidden="1">
      <c r="A5941" s="3" t="str">
        <f t="shared" si="92"/>
        <v>Período 1</v>
      </c>
      <c r="B5941">
        <v>1974</v>
      </c>
      <c r="C5941" t="s">
        <v>3647</v>
      </c>
      <c r="D5941" t="s">
        <v>3567</v>
      </c>
      <c r="E5941" s="3" t="str">
        <f>IF(LEN(Base_Periodo1[[#This Row],[CLASS]])&gt;=7,LEFT(Base_Periodo1[[#This Row],[CLASS]],7),"")</f>
        <v>3.1.1.1</v>
      </c>
      <c r="F5941" s="3" t="e">
        <f>VLOOKUP(Base_Periodo1[[#This Row],[Aux]],Base_Contas_Balanco[#All],2,FALSE)</f>
        <v>#N/A</v>
      </c>
      <c r="G5941" s="1"/>
      <c r="H5941" s="281">
        <v>11921.339999999982</v>
      </c>
      <c r="I5941" s="281">
        <v>0</v>
      </c>
      <c r="J5941" s="281">
        <v>0</v>
      </c>
      <c r="K5941" s="281">
        <v>11921.339999999982</v>
      </c>
      <c r="L594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-11921.34</v>
      </c>
      <c r="M5941" s="281">
        <f>ROUND(IF(AND(Base_Periodo1[[#This Row],[Tipo_Linha]]="-",Base_Periodo1[[#This Row],[TIPOSALDO]]="D"),Base_Periodo1[[#This Row],[SALDO_ATUAL]]*-1,Base_Periodo1[[#This Row],[SALDO_ATUAL]]),4)</f>
        <v>11921.34</v>
      </c>
      <c r="N5941" t="s">
        <v>396</v>
      </c>
      <c r="O5941" t="s">
        <v>397</v>
      </c>
      <c r="P5941" t="s">
        <v>397</v>
      </c>
      <c r="Q5941">
        <v>8</v>
      </c>
      <c r="R5941" s="281">
        <f>Base_Periodo1[[#This Row],[CREDITOS]]-Base_Periodo1[[#This Row],[DEBITOS]]</f>
        <v>0</v>
      </c>
      <c r="S5941" s="3" t="str">
        <f>IF(ISERROR(VLOOKUP(Base_Periodo1[[#This Row],[CONTA]],BaseContasDRE[#All],4,FALSE)),"Fora do DRE",VLOOKUP(Base_Periodo1[[#This Row],[CONTA]],BaseContasDRE[#All],4,FALSE))</f>
        <v>Fora do DRE</v>
      </c>
      <c r="T5941" s="3" t="str">
        <f>IF(ISERROR(VLOOKUP(Base_Periodo1[[#This Row],[CONTA]],BaseContasDRE[#All],5,FALSE)),"Fora do DRE",VLOOKUP(Base_Periodo1[[#This Row],[CONTA]],BaseContasDRE[#All],6,FALSE))</f>
        <v>Fora do DRE</v>
      </c>
      <c r="U5941" s="3" t="str">
        <f>IF(ISERROR(VLOOKUP(Base_Periodo1[[#This Row],[CONTA]],BaseContasDRE[#All],7,FALSE)),"Fora do DRE",VLOOKUP(Base_Periodo1[[#This Row],[CONTA]],BaseContasDRE[#All],7,FALSE))</f>
        <v>Fora do DRE</v>
      </c>
      <c r="V5941" s="3" t="str">
        <f>IF(Base_Periodo1[[#This Row],[Tipo_Linha]]="Fora do DRE","Fora do DRE","( "&amp;Base_Periodo1[[#This Row],[Tipo_Linha]]&amp;" ) "&amp;Base_Periodo1[[#This Row],[Filtro]])</f>
        <v>Fora do DRE</v>
      </c>
      <c r="W5941" s="3" t="str">
        <f>LEFT(Base_Periodo1[[#This Row],[CLASS]],3)</f>
        <v>3.1</v>
      </c>
    </row>
    <row r="5942" spans="1:23" hidden="1">
      <c r="A5942" s="3" t="str">
        <f t="shared" si="92"/>
        <v>Período 1</v>
      </c>
      <c r="B5942">
        <v>1975</v>
      </c>
      <c r="C5942" t="s">
        <v>3648</v>
      </c>
      <c r="D5942" t="s">
        <v>3568</v>
      </c>
      <c r="E5942" s="3" t="str">
        <f>IF(LEN(Base_Periodo1[[#This Row],[CLASS]])&gt;=7,LEFT(Base_Periodo1[[#This Row],[CLASS]],7),"")</f>
        <v>3.1.1.1</v>
      </c>
      <c r="F5942" s="3" t="e">
        <f>VLOOKUP(Base_Periodo1[[#This Row],[Aux]],Base_Contas_Balanco[#All],2,FALSE)</f>
        <v>#N/A</v>
      </c>
      <c r="G5942" s="1">
        <v>42886</v>
      </c>
      <c r="H5942" s="281">
        <v>11921.339999999982</v>
      </c>
      <c r="I5942" s="281">
        <v>0</v>
      </c>
      <c r="J5942" s="281">
        <v>0</v>
      </c>
      <c r="K5942" s="281">
        <v>11921.339999999982</v>
      </c>
      <c r="L594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-11921.34</v>
      </c>
      <c r="M5942" s="281">
        <f>ROUND(IF(AND(Base_Periodo1[[#This Row],[Tipo_Linha]]="-",Base_Periodo1[[#This Row],[TIPOSALDO]]="D"),Base_Periodo1[[#This Row],[SALDO_ATUAL]]*-1,Base_Periodo1[[#This Row],[SALDO_ATUAL]]),4)</f>
        <v>-11921.34</v>
      </c>
      <c r="N5942" t="s">
        <v>116</v>
      </c>
      <c r="O5942" t="s">
        <v>397</v>
      </c>
      <c r="P5942" t="s">
        <v>397</v>
      </c>
      <c r="Q5942">
        <v>9</v>
      </c>
      <c r="R5942" s="281">
        <f>Base_Periodo1[[#This Row],[CREDITOS]]-Base_Periodo1[[#This Row],[DEBITOS]]</f>
        <v>0</v>
      </c>
      <c r="S5942" s="3" t="str">
        <f>IF(ISERROR(VLOOKUP(Base_Periodo1[[#This Row],[CONTA]],BaseContasDRE[#All],4,FALSE)),"Fora do DRE",VLOOKUP(Base_Periodo1[[#This Row],[CONTA]],BaseContasDRE[#All],4,FALSE))</f>
        <v>-</v>
      </c>
      <c r="T5942" s="3">
        <f>IF(ISERROR(VLOOKUP(Base_Periodo1[[#This Row],[CONTA]],BaseContasDRE[#All],5,FALSE)),"Fora do DRE",VLOOKUP(Base_Periodo1[[#This Row],[CONTA]],BaseContasDRE[#All],6,FALSE))</f>
        <v>3</v>
      </c>
      <c r="U5942" s="3" t="str">
        <f>IF(ISERROR(VLOOKUP(Base_Periodo1[[#This Row],[CONTA]],BaseContasDRE[#All],7,FALSE)),"Fora do DRE",VLOOKUP(Base_Periodo1[[#This Row],[CONTA]],BaseContasDRE[#All],7,FALSE))</f>
        <v>INSUMOS AGROPECUARIOS</v>
      </c>
      <c r="V5942" s="3" t="str">
        <f>IF(Base_Periodo1[[#This Row],[Tipo_Linha]]="Fora do DRE","Fora do DRE","( "&amp;Base_Periodo1[[#This Row],[Tipo_Linha]]&amp;" ) "&amp;Base_Periodo1[[#This Row],[Filtro]])</f>
        <v>( - ) INSUMOS AGROPECUARIOS</v>
      </c>
      <c r="W5942" s="3" t="str">
        <f>LEFT(Base_Periodo1[[#This Row],[CLASS]],3)</f>
        <v>3.1</v>
      </c>
    </row>
    <row r="5943" spans="1:23" hidden="1">
      <c r="A5943" s="3" t="str">
        <f t="shared" si="92"/>
        <v>Período 1</v>
      </c>
      <c r="B5943">
        <v>1987</v>
      </c>
      <c r="C5943" t="s">
        <v>3649</v>
      </c>
      <c r="D5943" t="s">
        <v>1292</v>
      </c>
      <c r="E5943" s="3" t="str">
        <f>IF(LEN(Base_Periodo1[[#This Row],[CLASS]])&gt;=7,LEFT(Base_Periodo1[[#This Row],[CLASS]],7),"")</f>
        <v>3.1.1.1</v>
      </c>
      <c r="F5943" s="3" t="e">
        <f>VLOOKUP(Base_Periodo1[[#This Row],[Aux]],Base_Contas_Balanco[#All],2,FALSE)</f>
        <v>#N/A</v>
      </c>
      <c r="G5943" s="1"/>
      <c r="H5943" s="281">
        <v>9552.4700000000303</v>
      </c>
      <c r="I5943" s="281">
        <v>3222.56</v>
      </c>
      <c r="J5943" s="281">
        <v>4420.57</v>
      </c>
      <c r="K5943" s="281">
        <v>10750.48000000003</v>
      </c>
      <c r="L594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10750.48</v>
      </c>
      <c r="M5943" s="281">
        <f>ROUND(IF(AND(Base_Periodo1[[#This Row],[Tipo_Linha]]="-",Base_Periodo1[[#This Row],[TIPOSALDO]]="D"),Base_Periodo1[[#This Row],[SALDO_ATUAL]]*-1,Base_Periodo1[[#This Row],[SALDO_ATUAL]]),4)</f>
        <v>10750.48</v>
      </c>
      <c r="N5943" t="s">
        <v>396</v>
      </c>
      <c r="O5943" t="s">
        <v>459</v>
      </c>
      <c r="P5943" t="s">
        <v>459</v>
      </c>
      <c r="Q5943">
        <v>7</v>
      </c>
      <c r="R5943" s="281">
        <f>Base_Periodo1[[#This Row],[CREDITOS]]-Base_Periodo1[[#This Row],[DEBITOS]]</f>
        <v>1198.0099999999998</v>
      </c>
      <c r="S5943" s="3" t="str">
        <f>IF(ISERROR(VLOOKUP(Base_Periodo1[[#This Row],[CONTA]],BaseContasDRE[#All],4,FALSE)),"Fora do DRE",VLOOKUP(Base_Periodo1[[#This Row],[CONTA]],BaseContasDRE[#All],4,FALSE))</f>
        <v>Fora do DRE</v>
      </c>
      <c r="T5943" s="3" t="str">
        <f>IF(ISERROR(VLOOKUP(Base_Periodo1[[#This Row],[CONTA]],BaseContasDRE[#All],5,FALSE)),"Fora do DRE",VLOOKUP(Base_Periodo1[[#This Row],[CONTA]],BaseContasDRE[#All],6,FALSE))</f>
        <v>Fora do DRE</v>
      </c>
      <c r="U5943" s="3" t="str">
        <f>IF(ISERROR(VLOOKUP(Base_Periodo1[[#This Row],[CONTA]],BaseContasDRE[#All],7,FALSE)),"Fora do DRE",VLOOKUP(Base_Periodo1[[#This Row],[CONTA]],BaseContasDRE[#All],7,FALSE))</f>
        <v>Fora do DRE</v>
      </c>
      <c r="V5943" s="3" t="str">
        <f>IF(Base_Periodo1[[#This Row],[Tipo_Linha]]="Fora do DRE","Fora do DRE","( "&amp;Base_Periodo1[[#This Row],[Tipo_Linha]]&amp;" ) "&amp;Base_Periodo1[[#This Row],[Filtro]])</f>
        <v>Fora do DRE</v>
      </c>
      <c r="W5943" s="3" t="str">
        <f>LEFT(Base_Periodo1[[#This Row],[CLASS]],3)</f>
        <v>3.1</v>
      </c>
    </row>
    <row r="5944" spans="1:23" hidden="1">
      <c r="A5944" s="3" t="str">
        <f t="shared" si="92"/>
        <v>Período 1</v>
      </c>
      <c r="B5944">
        <v>1988</v>
      </c>
      <c r="C5944" t="s">
        <v>3650</v>
      </c>
      <c r="D5944" t="s">
        <v>3561</v>
      </c>
      <c r="E5944" s="3" t="str">
        <f>IF(LEN(Base_Periodo1[[#This Row],[CLASS]])&gt;=7,LEFT(Base_Periodo1[[#This Row],[CLASS]],7),"")</f>
        <v>3.1.1.1</v>
      </c>
      <c r="F5944" s="3" t="e">
        <f>VLOOKUP(Base_Periodo1[[#This Row],[Aux]],Base_Contas_Balanco[#All],2,FALSE)</f>
        <v>#N/A</v>
      </c>
      <c r="G5944" s="1"/>
      <c r="H5944" s="281">
        <v>63848.620000000024</v>
      </c>
      <c r="I5944" s="281">
        <v>0</v>
      </c>
      <c r="J5944" s="281">
        <v>4420.57</v>
      </c>
      <c r="K5944" s="281">
        <v>68269.190000000031</v>
      </c>
      <c r="L594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68269.19</v>
      </c>
      <c r="M5944" s="281">
        <f>ROUND(IF(AND(Base_Periodo1[[#This Row],[Tipo_Linha]]="-",Base_Periodo1[[#This Row],[TIPOSALDO]]="D"),Base_Periodo1[[#This Row],[SALDO_ATUAL]]*-1,Base_Periodo1[[#This Row],[SALDO_ATUAL]]),4)</f>
        <v>68269.19</v>
      </c>
      <c r="N5944" t="s">
        <v>396</v>
      </c>
      <c r="O5944" t="s">
        <v>459</v>
      </c>
      <c r="P5944" t="s">
        <v>459</v>
      </c>
      <c r="Q5944">
        <v>8</v>
      </c>
      <c r="R5944" s="281">
        <f>Base_Periodo1[[#This Row],[CREDITOS]]-Base_Periodo1[[#This Row],[DEBITOS]]</f>
        <v>4420.57</v>
      </c>
      <c r="S5944" s="3" t="str">
        <f>IF(ISERROR(VLOOKUP(Base_Periodo1[[#This Row],[CONTA]],BaseContasDRE[#All],4,FALSE)),"Fora do DRE",VLOOKUP(Base_Periodo1[[#This Row],[CONTA]],BaseContasDRE[#All],4,FALSE))</f>
        <v>Fora do DRE</v>
      </c>
      <c r="T5944" s="3" t="str">
        <f>IF(ISERROR(VLOOKUP(Base_Periodo1[[#This Row],[CONTA]],BaseContasDRE[#All],5,FALSE)),"Fora do DRE",VLOOKUP(Base_Periodo1[[#This Row],[CONTA]],BaseContasDRE[#All],6,FALSE))</f>
        <v>Fora do DRE</v>
      </c>
      <c r="U5944" s="3" t="str">
        <f>IF(ISERROR(VLOOKUP(Base_Periodo1[[#This Row],[CONTA]],BaseContasDRE[#All],7,FALSE)),"Fora do DRE",VLOOKUP(Base_Periodo1[[#This Row],[CONTA]],BaseContasDRE[#All],7,FALSE))</f>
        <v>Fora do DRE</v>
      </c>
      <c r="V5944" s="3" t="str">
        <f>IF(Base_Periodo1[[#This Row],[Tipo_Linha]]="Fora do DRE","Fora do DRE","( "&amp;Base_Periodo1[[#This Row],[Tipo_Linha]]&amp;" ) "&amp;Base_Periodo1[[#This Row],[Filtro]])</f>
        <v>Fora do DRE</v>
      </c>
      <c r="W5944" s="3" t="str">
        <f>LEFT(Base_Periodo1[[#This Row],[CLASS]],3)</f>
        <v>3.1</v>
      </c>
    </row>
    <row r="5945" spans="1:23" hidden="1">
      <c r="A5945" s="3" t="str">
        <f t="shared" si="92"/>
        <v>Período 1</v>
      </c>
      <c r="B5945">
        <v>36297</v>
      </c>
      <c r="C5945" t="s">
        <v>3651</v>
      </c>
      <c r="D5945" t="s">
        <v>3652</v>
      </c>
      <c r="E5945" s="3" t="str">
        <f>IF(LEN(Base_Periodo1[[#This Row],[CLASS]])&gt;=7,LEFT(Base_Periodo1[[#This Row],[CLASS]],7),"")</f>
        <v>3.1.1.1</v>
      </c>
      <c r="F5945" s="3" t="e">
        <f>VLOOKUP(Base_Periodo1[[#This Row],[Aux]],Base_Contas_Balanco[#All],2,FALSE)</f>
        <v>#N/A</v>
      </c>
      <c r="G5945" s="1">
        <v>42885</v>
      </c>
      <c r="H5945" s="281">
        <v>63848.620000000024</v>
      </c>
      <c r="I5945" s="281">
        <v>0</v>
      </c>
      <c r="J5945" s="281">
        <v>4420.57</v>
      </c>
      <c r="K5945" s="281">
        <v>68269.190000000031</v>
      </c>
      <c r="L594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68269.19</v>
      </c>
      <c r="M5945" s="281">
        <f>ROUND(IF(AND(Base_Periodo1[[#This Row],[Tipo_Linha]]="-",Base_Periodo1[[#This Row],[TIPOSALDO]]="D"),Base_Periodo1[[#This Row],[SALDO_ATUAL]]*-1,Base_Periodo1[[#This Row],[SALDO_ATUAL]]),4)</f>
        <v>68269.19</v>
      </c>
      <c r="N5945" t="s">
        <v>116</v>
      </c>
      <c r="O5945" t="s">
        <v>459</v>
      </c>
      <c r="P5945" t="s">
        <v>459</v>
      </c>
      <c r="Q5945">
        <v>9</v>
      </c>
      <c r="R5945" s="281">
        <f>Base_Periodo1[[#This Row],[CREDITOS]]-Base_Periodo1[[#This Row],[DEBITOS]]</f>
        <v>4420.57</v>
      </c>
      <c r="S5945" s="3" t="str">
        <f>IF(ISERROR(VLOOKUP(Base_Periodo1[[#This Row],[CONTA]],BaseContasDRE[#All],4,FALSE)),"Fora do DRE",VLOOKUP(Base_Periodo1[[#This Row],[CONTA]],BaseContasDRE[#All],4,FALSE))</f>
        <v>+</v>
      </c>
      <c r="T5945" s="3">
        <f>IF(ISERROR(VLOOKUP(Base_Periodo1[[#This Row],[CONTA]],BaseContasDRE[#All],5,FALSE)),"Fora do DRE",VLOOKUP(Base_Periodo1[[#This Row],[CONTA]],BaseContasDRE[#All],6,FALSE))</f>
        <v>1</v>
      </c>
      <c r="U5945" s="3" t="str">
        <f>IF(ISERROR(VLOOKUP(Base_Periodo1[[#This Row],[CONTA]],BaseContasDRE[#All],7,FALSE)),"Fora do DRE",VLOOKUP(Base_Periodo1[[#This Row],[CONTA]],BaseContasDRE[#All],7,FALSE))</f>
        <v>INSUMOS AGROPECUARIOS</v>
      </c>
      <c r="V5945" s="3" t="str">
        <f>IF(Base_Periodo1[[#This Row],[Tipo_Linha]]="Fora do DRE","Fora do DRE","( "&amp;Base_Periodo1[[#This Row],[Tipo_Linha]]&amp;" ) "&amp;Base_Periodo1[[#This Row],[Filtro]])</f>
        <v>( + ) INSUMOS AGROPECUARIOS</v>
      </c>
      <c r="W5945" s="3" t="str">
        <f>LEFT(Base_Periodo1[[#This Row],[CLASS]],3)</f>
        <v>3.1</v>
      </c>
    </row>
    <row r="5946" spans="1:23" hidden="1">
      <c r="A5946" s="3" t="str">
        <f t="shared" si="92"/>
        <v>Período 1</v>
      </c>
      <c r="B5946">
        <v>50280</v>
      </c>
      <c r="C5946" t="s">
        <v>6595</v>
      </c>
      <c r="D5946" t="s">
        <v>6596</v>
      </c>
      <c r="E5946" s="3" t="str">
        <f>IF(LEN(Base_Periodo1[[#This Row],[CLASS]])&gt;=7,LEFT(Base_Periodo1[[#This Row],[CLASS]],7),"")</f>
        <v>3.1.1.1</v>
      </c>
      <c r="F5946" s="3" t="e">
        <f>VLOOKUP(Base_Periodo1[[#This Row],[Aux]],Base_Contas_Balanco[#All],2,FALSE)</f>
        <v>#N/A</v>
      </c>
      <c r="G5946" s="1"/>
      <c r="H5946" s="281">
        <v>880</v>
      </c>
      <c r="I5946" s="281">
        <v>1020.57</v>
      </c>
      <c r="J5946" s="281">
        <v>0</v>
      </c>
      <c r="K5946" s="281">
        <v>1900.5700000000002</v>
      </c>
      <c r="L594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-1900.57</v>
      </c>
      <c r="M5946" s="281">
        <f>ROUND(IF(AND(Base_Periodo1[[#This Row],[Tipo_Linha]]="-",Base_Periodo1[[#This Row],[TIPOSALDO]]="D"),Base_Periodo1[[#This Row],[SALDO_ATUAL]]*-1,Base_Periodo1[[#This Row],[SALDO_ATUAL]]),4)</f>
        <v>1900.57</v>
      </c>
      <c r="N5946" t="s">
        <v>396</v>
      </c>
      <c r="O5946" t="s">
        <v>397</v>
      </c>
      <c r="P5946" t="s">
        <v>397</v>
      </c>
      <c r="Q5946">
        <v>8</v>
      </c>
      <c r="R5946" s="281">
        <f>Base_Periodo1[[#This Row],[CREDITOS]]-Base_Periodo1[[#This Row],[DEBITOS]]</f>
        <v>-1020.57</v>
      </c>
      <c r="S5946" s="3" t="str">
        <f>IF(ISERROR(VLOOKUP(Base_Periodo1[[#This Row],[CONTA]],BaseContasDRE[#All],4,FALSE)),"Fora do DRE",VLOOKUP(Base_Periodo1[[#This Row],[CONTA]],BaseContasDRE[#All],4,FALSE))</f>
        <v>Fora do DRE</v>
      </c>
      <c r="T5946" s="3" t="str">
        <f>IF(ISERROR(VLOOKUP(Base_Periodo1[[#This Row],[CONTA]],BaseContasDRE[#All],5,FALSE)),"Fora do DRE",VLOOKUP(Base_Periodo1[[#This Row],[CONTA]],BaseContasDRE[#All],6,FALSE))</f>
        <v>Fora do DRE</v>
      </c>
      <c r="U5946" s="3" t="str">
        <f>IF(ISERROR(VLOOKUP(Base_Periodo1[[#This Row],[CONTA]],BaseContasDRE[#All],7,FALSE)),"Fora do DRE",VLOOKUP(Base_Periodo1[[#This Row],[CONTA]],BaseContasDRE[#All],7,FALSE))</f>
        <v>Fora do DRE</v>
      </c>
      <c r="V5946" s="3" t="str">
        <f>IF(Base_Periodo1[[#This Row],[Tipo_Linha]]="Fora do DRE","Fora do DRE","( "&amp;Base_Periodo1[[#This Row],[Tipo_Linha]]&amp;" ) "&amp;Base_Periodo1[[#This Row],[Filtro]])</f>
        <v>Fora do DRE</v>
      </c>
      <c r="W5946" s="3" t="str">
        <f>LEFT(Base_Periodo1[[#This Row],[CLASS]],3)</f>
        <v>3.1</v>
      </c>
    </row>
    <row r="5947" spans="1:23" hidden="1">
      <c r="A5947" s="3" t="str">
        <f t="shared" si="92"/>
        <v>Período 1</v>
      </c>
      <c r="B5947">
        <v>50281</v>
      </c>
      <c r="C5947" t="s">
        <v>6597</v>
      </c>
      <c r="D5947" t="s">
        <v>6598</v>
      </c>
      <c r="E5947" s="3" t="str">
        <f>IF(LEN(Base_Periodo1[[#This Row],[CLASS]])&gt;=7,LEFT(Base_Periodo1[[#This Row],[CLASS]],7),"")</f>
        <v>3.1.1.1</v>
      </c>
      <c r="F5947" s="3" t="e">
        <f>VLOOKUP(Base_Periodo1[[#This Row],[Aux]],Base_Contas_Balanco[#All],2,FALSE)</f>
        <v>#N/A</v>
      </c>
      <c r="G5947" s="1">
        <v>42886</v>
      </c>
      <c r="H5947" s="281">
        <v>880</v>
      </c>
      <c r="I5947" s="281">
        <v>1020.57</v>
      </c>
      <c r="J5947" s="281">
        <v>0</v>
      </c>
      <c r="K5947" s="281">
        <v>1900.5700000000002</v>
      </c>
      <c r="L594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-1900.57</v>
      </c>
      <c r="M5947" s="281">
        <f>ROUND(IF(AND(Base_Periodo1[[#This Row],[Tipo_Linha]]="-",Base_Periodo1[[#This Row],[TIPOSALDO]]="D"),Base_Periodo1[[#This Row],[SALDO_ATUAL]]*-1,Base_Periodo1[[#This Row],[SALDO_ATUAL]]),4)</f>
        <v>-1900.57</v>
      </c>
      <c r="N5947" t="s">
        <v>116</v>
      </c>
      <c r="O5947" t="s">
        <v>397</v>
      </c>
      <c r="P5947" t="s">
        <v>397</v>
      </c>
      <c r="Q5947">
        <v>9</v>
      </c>
      <c r="R5947" s="281">
        <f>Base_Periodo1[[#This Row],[CREDITOS]]-Base_Periodo1[[#This Row],[DEBITOS]]</f>
        <v>-1020.57</v>
      </c>
      <c r="S5947" s="3" t="str">
        <f>IF(ISERROR(VLOOKUP(Base_Periodo1[[#This Row],[CONTA]],BaseContasDRE[#All],4,FALSE)),"Fora do DRE",VLOOKUP(Base_Periodo1[[#This Row],[CONTA]],BaseContasDRE[#All],4,FALSE))</f>
        <v>-</v>
      </c>
      <c r="T5947" s="3">
        <f>IF(ISERROR(VLOOKUP(Base_Periodo1[[#This Row],[CONTA]],BaseContasDRE[#All],5,FALSE)),"Fora do DRE",VLOOKUP(Base_Periodo1[[#This Row],[CONTA]],BaseContasDRE[#All],6,FALSE))</f>
        <v>2</v>
      </c>
      <c r="U5947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947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947" s="3" t="str">
        <f>LEFT(Base_Periodo1[[#This Row],[CLASS]],3)</f>
        <v>3.1</v>
      </c>
    </row>
    <row r="5948" spans="1:23" hidden="1">
      <c r="A5948" s="3" t="str">
        <f t="shared" si="92"/>
        <v>Período 1</v>
      </c>
      <c r="B5948">
        <v>1989</v>
      </c>
      <c r="C5948" t="s">
        <v>3653</v>
      </c>
      <c r="D5948" t="s">
        <v>3567</v>
      </c>
      <c r="E5948" s="3" t="str">
        <f>IF(LEN(Base_Periodo1[[#This Row],[CLASS]])&gt;=7,LEFT(Base_Periodo1[[#This Row],[CLASS]],7),"")</f>
        <v>3.1.1.1</v>
      </c>
      <c r="F5948" s="3" t="e">
        <f>VLOOKUP(Base_Periodo1[[#This Row],[Aux]],Base_Contas_Balanco[#All],2,FALSE)</f>
        <v>#N/A</v>
      </c>
      <c r="G5948" s="1"/>
      <c r="H5948" s="281">
        <v>53416.149999999994</v>
      </c>
      <c r="I5948" s="281">
        <v>2201.9899999999998</v>
      </c>
      <c r="J5948" s="281">
        <v>0</v>
      </c>
      <c r="K5948" s="281">
        <v>55618.139999999992</v>
      </c>
      <c r="L594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-55618.14</v>
      </c>
      <c r="M5948" s="281">
        <f>ROUND(IF(AND(Base_Periodo1[[#This Row],[Tipo_Linha]]="-",Base_Periodo1[[#This Row],[TIPOSALDO]]="D"),Base_Periodo1[[#This Row],[SALDO_ATUAL]]*-1,Base_Periodo1[[#This Row],[SALDO_ATUAL]]),4)</f>
        <v>55618.14</v>
      </c>
      <c r="N5948" t="s">
        <v>396</v>
      </c>
      <c r="O5948" t="s">
        <v>397</v>
      </c>
      <c r="P5948" t="s">
        <v>397</v>
      </c>
      <c r="Q5948">
        <v>8</v>
      </c>
      <c r="R5948" s="281">
        <f>Base_Periodo1[[#This Row],[CREDITOS]]-Base_Periodo1[[#This Row],[DEBITOS]]</f>
        <v>-2201.9899999999998</v>
      </c>
      <c r="S5948" s="3" t="str">
        <f>IF(ISERROR(VLOOKUP(Base_Periodo1[[#This Row],[CONTA]],BaseContasDRE[#All],4,FALSE)),"Fora do DRE",VLOOKUP(Base_Periodo1[[#This Row],[CONTA]],BaseContasDRE[#All],4,FALSE))</f>
        <v>Fora do DRE</v>
      </c>
      <c r="T5948" s="3" t="str">
        <f>IF(ISERROR(VLOOKUP(Base_Periodo1[[#This Row],[CONTA]],BaseContasDRE[#All],5,FALSE)),"Fora do DRE",VLOOKUP(Base_Periodo1[[#This Row],[CONTA]],BaseContasDRE[#All],6,FALSE))</f>
        <v>Fora do DRE</v>
      </c>
      <c r="U5948" s="3" t="str">
        <f>IF(ISERROR(VLOOKUP(Base_Periodo1[[#This Row],[CONTA]],BaseContasDRE[#All],7,FALSE)),"Fora do DRE",VLOOKUP(Base_Periodo1[[#This Row],[CONTA]],BaseContasDRE[#All],7,FALSE))</f>
        <v>Fora do DRE</v>
      </c>
      <c r="V5948" s="3" t="str">
        <f>IF(Base_Periodo1[[#This Row],[Tipo_Linha]]="Fora do DRE","Fora do DRE","( "&amp;Base_Periodo1[[#This Row],[Tipo_Linha]]&amp;" ) "&amp;Base_Periodo1[[#This Row],[Filtro]])</f>
        <v>Fora do DRE</v>
      </c>
      <c r="W5948" s="3" t="str">
        <f>LEFT(Base_Periodo1[[#This Row],[CLASS]],3)</f>
        <v>3.1</v>
      </c>
    </row>
    <row r="5949" spans="1:23" hidden="1">
      <c r="A5949" s="3" t="str">
        <f t="shared" si="92"/>
        <v>Período 1</v>
      </c>
      <c r="B5949">
        <v>1990</v>
      </c>
      <c r="C5949" t="s">
        <v>3654</v>
      </c>
      <c r="D5949" t="s">
        <v>3568</v>
      </c>
      <c r="E5949" s="3" t="str">
        <f>IF(LEN(Base_Periodo1[[#This Row],[CLASS]])&gt;=7,LEFT(Base_Periodo1[[#This Row],[CLASS]],7),"")</f>
        <v>3.1.1.1</v>
      </c>
      <c r="F5949" s="3" t="e">
        <f>VLOOKUP(Base_Periodo1[[#This Row],[Aux]],Base_Contas_Balanco[#All],2,FALSE)</f>
        <v>#N/A</v>
      </c>
      <c r="G5949" s="1">
        <v>42886</v>
      </c>
      <c r="H5949" s="281">
        <v>53416.149999999994</v>
      </c>
      <c r="I5949" s="281">
        <v>2201.9899999999998</v>
      </c>
      <c r="J5949" s="281">
        <v>0</v>
      </c>
      <c r="K5949" s="281">
        <v>55618.139999999992</v>
      </c>
      <c r="L594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-55618.14</v>
      </c>
      <c r="M5949" s="281">
        <f>ROUND(IF(AND(Base_Periodo1[[#This Row],[Tipo_Linha]]="-",Base_Periodo1[[#This Row],[TIPOSALDO]]="D"),Base_Periodo1[[#This Row],[SALDO_ATUAL]]*-1,Base_Periodo1[[#This Row],[SALDO_ATUAL]]),4)</f>
        <v>-55618.14</v>
      </c>
      <c r="N5949" t="s">
        <v>116</v>
      </c>
      <c r="O5949" t="s">
        <v>397</v>
      </c>
      <c r="P5949" t="s">
        <v>397</v>
      </c>
      <c r="Q5949">
        <v>9</v>
      </c>
      <c r="R5949" s="281">
        <f>Base_Periodo1[[#This Row],[CREDITOS]]-Base_Periodo1[[#This Row],[DEBITOS]]</f>
        <v>-2201.9899999999998</v>
      </c>
      <c r="S5949" s="3" t="str">
        <f>IF(ISERROR(VLOOKUP(Base_Periodo1[[#This Row],[CONTA]],BaseContasDRE[#All],4,FALSE)),"Fora do DRE",VLOOKUP(Base_Periodo1[[#This Row],[CONTA]],BaseContasDRE[#All],4,FALSE))</f>
        <v>-</v>
      </c>
      <c r="T5949" s="3">
        <f>IF(ISERROR(VLOOKUP(Base_Periodo1[[#This Row],[CONTA]],BaseContasDRE[#All],5,FALSE)),"Fora do DRE",VLOOKUP(Base_Periodo1[[#This Row],[CONTA]],BaseContasDRE[#All],6,FALSE))</f>
        <v>3</v>
      </c>
      <c r="U5949" s="3" t="str">
        <f>IF(ISERROR(VLOOKUP(Base_Periodo1[[#This Row],[CONTA]],BaseContasDRE[#All],7,FALSE)),"Fora do DRE",VLOOKUP(Base_Periodo1[[#This Row],[CONTA]],BaseContasDRE[#All],7,FALSE))</f>
        <v>INSUMOS AGROPECUARIOS</v>
      </c>
      <c r="V5949" s="3" t="str">
        <f>IF(Base_Periodo1[[#This Row],[Tipo_Linha]]="Fora do DRE","Fora do DRE","( "&amp;Base_Periodo1[[#This Row],[Tipo_Linha]]&amp;" ) "&amp;Base_Periodo1[[#This Row],[Filtro]])</f>
        <v>( - ) INSUMOS AGROPECUARIOS</v>
      </c>
      <c r="W5949" s="3" t="str">
        <f>LEFT(Base_Periodo1[[#This Row],[CLASS]],3)</f>
        <v>3.1</v>
      </c>
    </row>
    <row r="5950" spans="1:23" hidden="1">
      <c r="A5950" s="3" t="str">
        <f t="shared" si="92"/>
        <v>Período 1</v>
      </c>
      <c r="B5950">
        <v>1991</v>
      </c>
      <c r="C5950" t="s">
        <v>3655</v>
      </c>
      <c r="D5950" t="s">
        <v>3656</v>
      </c>
      <c r="E5950" s="3" t="str">
        <f>IF(LEN(Base_Periodo1[[#This Row],[CLASS]])&gt;=7,LEFT(Base_Periodo1[[#This Row],[CLASS]],7),"")</f>
        <v>3.1.1.1</v>
      </c>
      <c r="F5950" s="3" t="e">
        <f>VLOOKUP(Base_Periodo1[[#This Row],[Aux]],Base_Contas_Balanco[#All],2,FALSE)</f>
        <v>#N/A</v>
      </c>
      <c r="G5950" s="1"/>
      <c r="H5950" s="281">
        <v>3259774.8899998423</v>
      </c>
      <c r="I5950" s="281">
        <v>2800230.8899999992</v>
      </c>
      <c r="J5950" s="281">
        <v>3206107.9500000007</v>
      </c>
      <c r="K5950" s="281">
        <v>3665651.9499998437</v>
      </c>
      <c r="L595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3665651.95</v>
      </c>
      <c r="M5950" s="281">
        <f>ROUND(IF(AND(Base_Periodo1[[#This Row],[Tipo_Linha]]="-",Base_Periodo1[[#This Row],[TIPOSALDO]]="D"),Base_Periodo1[[#This Row],[SALDO_ATUAL]]*-1,Base_Periodo1[[#This Row],[SALDO_ATUAL]]),4)</f>
        <v>3665651.95</v>
      </c>
      <c r="N5950" t="s">
        <v>396</v>
      </c>
      <c r="O5950" t="s">
        <v>459</v>
      </c>
      <c r="P5950" t="s">
        <v>459</v>
      </c>
      <c r="Q5950">
        <v>6</v>
      </c>
      <c r="R5950" s="281">
        <f>Base_Periodo1[[#This Row],[CREDITOS]]-Base_Periodo1[[#This Row],[DEBITOS]]</f>
        <v>405877.06000000145</v>
      </c>
      <c r="S5950" s="3" t="str">
        <f>IF(ISERROR(VLOOKUP(Base_Periodo1[[#This Row],[CONTA]],BaseContasDRE[#All],4,FALSE)),"Fora do DRE",VLOOKUP(Base_Periodo1[[#This Row],[CONTA]],BaseContasDRE[#All],4,FALSE))</f>
        <v>Fora do DRE</v>
      </c>
      <c r="T5950" s="3" t="str">
        <f>IF(ISERROR(VLOOKUP(Base_Periodo1[[#This Row],[CONTA]],BaseContasDRE[#All],5,FALSE)),"Fora do DRE",VLOOKUP(Base_Periodo1[[#This Row],[CONTA]],BaseContasDRE[#All],6,FALSE))</f>
        <v>Fora do DRE</v>
      </c>
      <c r="U5950" s="3" t="str">
        <f>IF(ISERROR(VLOOKUP(Base_Periodo1[[#This Row],[CONTA]],BaseContasDRE[#All],7,FALSE)),"Fora do DRE",VLOOKUP(Base_Periodo1[[#This Row],[CONTA]],BaseContasDRE[#All],7,FALSE))</f>
        <v>Fora do DRE</v>
      </c>
      <c r="V5950" s="3" t="str">
        <f>IF(Base_Periodo1[[#This Row],[Tipo_Linha]]="Fora do DRE","Fora do DRE","( "&amp;Base_Periodo1[[#This Row],[Tipo_Linha]]&amp;" ) "&amp;Base_Periodo1[[#This Row],[Filtro]])</f>
        <v>Fora do DRE</v>
      </c>
      <c r="W5950" s="3" t="str">
        <f>LEFT(Base_Periodo1[[#This Row],[CLASS]],3)</f>
        <v>3.1</v>
      </c>
    </row>
    <row r="5951" spans="1:23" hidden="1">
      <c r="A5951" s="3" t="str">
        <f t="shared" si="92"/>
        <v>Período 1</v>
      </c>
      <c r="B5951">
        <v>1992</v>
      </c>
      <c r="C5951" t="s">
        <v>3657</v>
      </c>
      <c r="D5951" t="s">
        <v>1305</v>
      </c>
      <c r="E5951" s="3" t="str">
        <f>IF(LEN(Base_Periodo1[[#This Row],[CLASS]])&gt;=7,LEFT(Base_Periodo1[[#This Row],[CLASS]],7),"")</f>
        <v>3.1.1.1</v>
      </c>
      <c r="F5951" s="3" t="e">
        <f>VLOOKUP(Base_Periodo1[[#This Row],[Aux]],Base_Contas_Balanco[#All],2,FALSE)</f>
        <v>#N/A</v>
      </c>
      <c r="G5951" s="1"/>
      <c r="H5951" s="281">
        <v>1129602.4699998666</v>
      </c>
      <c r="I5951" s="281">
        <v>1948113.9199999999</v>
      </c>
      <c r="J5951" s="281">
        <v>2165264.46</v>
      </c>
      <c r="K5951" s="281">
        <v>1346753.0099998666</v>
      </c>
      <c r="L595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1346753.01</v>
      </c>
      <c r="M5951" s="281">
        <f>ROUND(IF(AND(Base_Periodo1[[#This Row],[Tipo_Linha]]="-",Base_Periodo1[[#This Row],[TIPOSALDO]]="D"),Base_Periodo1[[#This Row],[SALDO_ATUAL]]*-1,Base_Periodo1[[#This Row],[SALDO_ATUAL]]),4)</f>
        <v>1346753.01</v>
      </c>
      <c r="N5951" t="s">
        <v>396</v>
      </c>
      <c r="O5951" t="s">
        <v>459</v>
      </c>
      <c r="P5951" t="s">
        <v>459</v>
      </c>
      <c r="Q5951">
        <v>7</v>
      </c>
      <c r="R5951" s="281">
        <f>Base_Periodo1[[#This Row],[CREDITOS]]-Base_Periodo1[[#This Row],[DEBITOS]]</f>
        <v>217150.54000000004</v>
      </c>
      <c r="S5951" s="3" t="str">
        <f>IF(ISERROR(VLOOKUP(Base_Periodo1[[#This Row],[CONTA]],BaseContasDRE[#All],4,FALSE)),"Fora do DRE",VLOOKUP(Base_Periodo1[[#This Row],[CONTA]],BaseContasDRE[#All],4,FALSE))</f>
        <v>Fora do DRE</v>
      </c>
      <c r="T5951" s="3" t="str">
        <f>IF(ISERROR(VLOOKUP(Base_Periodo1[[#This Row],[CONTA]],BaseContasDRE[#All],5,FALSE)),"Fora do DRE",VLOOKUP(Base_Periodo1[[#This Row],[CONTA]],BaseContasDRE[#All],6,FALSE))</f>
        <v>Fora do DRE</v>
      </c>
      <c r="U5951" s="3" t="str">
        <f>IF(ISERROR(VLOOKUP(Base_Periodo1[[#This Row],[CONTA]],BaseContasDRE[#All],7,FALSE)),"Fora do DRE",VLOOKUP(Base_Periodo1[[#This Row],[CONTA]],BaseContasDRE[#All],7,FALSE))</f>
        <v>Fora do DRE</v>
      </c>
      <c r="V5951" s="3" t="str">
        <f>IF(Base_Periodo1[[#This Row],[Tipo_Linha]]="Fora do DRE","Fora do DRE","( "&amp;Base_Periodo1[[#This Row],[Tipo_Linha]]&amp;" ) "&amp;Base_Periodo1[[#This Row],[Filtro]])</f>
        <v>Fora do DRE</v>
      </c>
      <c r="W5951" s="3" t="str">
        <f>LEFT(Base_Periodo1[[#This Row],[CLASS]],3)</f>
        <v>3.1</v>
      </c>
    </row>
    <row r="5952" spans="1:23" hidden="1">
      <c r="A5952" s="3" t="str">
        <f t="shared" si="92"/>
        <v>Período 1</v>
      </c>
      <c r="B5952">
        <v>1993</v>
      </c>
      <c r="C5952" t="s">
        <v>3658</v>
      </c>
      <c r="D5952" t="s">
        <v>3578</v>
      </c>
      <c r="E5952" s="3" t="str">
        <f>IF(LEN(Base_Periodo1[[#This Row],[CLASS]])&gt;=7,LEFT(Base_Periodo1[[#This Row],[CLASS]],7),"")</f>
        <v>3.1.1.1</v>
      </c>
      <c r="F5952" s="3" t="e">
        <f>VLOOKUP(Base_Periodo1[[#This Row],[Aux]],Base_Contas_Balanco[#All],2,FALSE)</f>
        <v>#N/A</v>
      </c>
      <c r="G5952" s="1"/>
      <c r="H5952" s="281">
        <v>6027250.5599998832</v>
      </c>
      <c r="I5952" s="281">
        <v>0</v>
      </c>
      <c r="J5952" s="281">
        <v>2165264.46</v>
      </c>
      <c r="K5952" s="281">
        <v>8192515.0199998831</v>
      </c>
      <c r="L595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8192515.0199999996</v>
      </c>
      <c r="M5952" s="281">
        <f>ROUND(IF(AND(Base_Periodo1[[#This Row],[Tipo_Linha]]="-",Base_Periodo1[[#This Row],[TIPOSALDO]]="D"),Base_Periodo1[[#This Row],[SALDO_ATUAL]]*-1,Base_Periodo1[[#This Row],[SALDO_ATUAL]]),4)</f>
        <v>8192515.0199999996</v>
      </c>
      <c r="N5952" t="s">
        <v>396</v>
      </c>
      <c r="O5952" t="s">
        <v>459</v>
      </c>
      <c r="P5952" t="s">
        <v>459</v>
      </c>
      <c r="Q5952">
        <v>8</v>
      </c>
      <c r="R5952" s="281">
        <f>Base_Periodo1[[#This Row],[CREDITOS]]-Base_Periodo1[[#This Row],[DEBITOS]]</f>
        <v>2165264.46</v>
      </c>
      <c r="S5952" s="3" t="str">
        <f>IF(ISERROR(VLOOKUP(Base_Periodo1[[#This Row],[CONTA]],BaseContasDRE[#All],4,FALSE)),"Fora do DRE",VLOOKUP(Base_Periodo1[[#This Row],[CONTA]],BaseContasDRE[#All],4,FALSE))</f>
        <v>Fora do DRE</v>
      </c>
      <c r="T5952" s="3" t="str">
        <f>IF(ISERROR(VLOOKUP(Base_Periodo1[[#This Row],[CONTA]],BaseContasDRE[#All],5,FALSE)),"Fora do DRE",VLOOKUP(Base_Periodo1[[#This Row],[CONTA]],BaseContasDRE[#All],6,FALSE))</f>
        <v>Fora do DRE</v>
      </c>
      <c r="U5952" s="3" t="str">
        <f>IF(ISERROR(VLOOKUP(Base_Periodo1[[#This Row],[CONTA]],BaseContasDRE[#All],7,FALSE)),"Fora do DRE",VLOOKUP(Base_Periodo1[[#This Row],[CONTA]],BaseContasDRE[#All],7,FALSE))</f>
        <v>Fora do DRE</v>
      </c>
      <c r="V5952" s="3" t="str">
        <f>IF(Base_Periodo1[[#This Row],[Tipo_Linha]]="Fora do DRE","Fora do DRE","( "&amp;Base_Periodo1[[#This Row],[Tipo_Linha]]&amp;" ) "&amp;Base_Periodo1[[#This Row],[Filtro]])</f>
        <v>Fora do DRE</v>
      </c>
      <c r="W5952" s="3" t="str">
        <f>LEFT(Base_Periodo1[[#This Row],[CLASS]],3)</f>
        <v>3.1</v>
      </c>
    </row>
    <row r="5953" spans="1:23" hidden="1">
      <c r="A5953" s="3" t="str">
        <f t="shared" si="92"/>
        <v>Período 1</v>
      </c>
      <c r="B5953">
        <v>1994</v>
      </c>
      <c r="C5953" t="s">
        <v>3659</v>
      </c>
      <c r="D5953" t="s">
        <v>3562</v>
      </c>
      <c r="E5953" s="3" t="str">
        <f>IF(LEN(Base_Periodo1[[#This Row],[CLASS]])&gt;=7,LEFT(Base_Periodo1[[#This Row],[CLASS]],7),"")</f>
        <v>3.1.1.1</v>
      </c>
      <c r="F5953" s="3" t="e">
        <f>VLOOKUP(Base_Periodo1[[#This Row],[Aux]],Base_Contas_Balanco[#All],2,FALSE)</f>
        <v>#N/A</v>
      </c>
      <c r="G5953" s="1">
        <v>42886</v>
      </c>
      <c r="H5953" s="281">
        <v>6027250.5599998832</v>
      </c>
      <c r="I5953" s="281">
        <v>0</v>
      </c>
      <c r="J5953" s="281">
        <v>2165264.46</v>
      </c>
      <c r="K5953" s="281">
        <v>8192515.0199998831</v>
      </c>
      <c r="L595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8192515.0199999996</v>
      </c>
      <c r="M5953" s="281">
        <f>ROUND(IF(AND(Base_Periodo1[[#This Row],[Tipo_Linha]]="-",Base_Periodo1[[#This Row],[TIPOSALDO]]="D"),Base_Periodo1[[#This Row],[SALDO_ATUAL]]*-1,Base_Periodo1[[#This Row],[SALDO_ATUAL]]),4)</f>
        <v>8192515.0199999996</v>
      </c>
      <c r="N5953" t="s">
        <v>116</v>
      </c>
      <c r="O5953" t="s">
        <v>459</v>
      </c>
      <c r="P5953" t="s">
        <v>459</v>
      </c>
      <c r="Q5953">
        <v>9</v>
      </c>
      <c r="R5953" s="281">
        <f>Base_Periodo1[[#This Row],[CREDITOS]]-Base_Periodo1[[#This Row],[DEBITOS]]</f>
        <v>2165264.46</v>
      </c>
      <c r="S5953" s="3" t="str">
        <f>IF(ISERROR(VLOOKUP(Base_Periodo1[[#This Row],[CONTA]],BaseContasDRE[#All],4,FALSE)),"Fora do DRE",VLOOKUP(Base_Periodo1[[#This Row],[CONTA]],BaseContasDRE[#All],4,FALSE))</f>
        <v>+</v>
      </c>
      <c r="T5953" s="3">
        <f>IF(ISERROR(VLOOKUP(Base_Periodo1[[#This Row],[CONTA]],BaseContasDRE[#All],5,FALSE)),"Fora do DRE",VLOOKUP(Base_Periodo1[[#This Row],[CONTA]],BaseContasDRE[#All],6,FALSE))</f>
        <v>1</v>
      </c>
      <c r="U5953" s="3" t="str">
        <f>IF(ISERROR(VLOOKUP(Base_Periodo1[[#This Row],[CONTA]],BaseContasDRE[#All],7,FALSE)),"Fora do DRE",VLOOKUP(Base_Periodo1[[#This Row],[CONTA]],BaseContasDRE[#All],7,FALSE))</f>
        <v>INSUMOS AGROPECUARIOS</v>
      </c>
      <c r="V5953" s="3" t="str">
        <f>IF(Base_Periodo1[[#This Row],[Tipo_Linha]]="Fora do DRE","Fora do DRE","( "&amp;Base_Periodo1[[#This Row],[Tipo_Linha]]&amp;" ) "&amp;Base_Periodo1[[#This Row],[Filtro]])</f>
        <v>( + ) INSUMOS AGROPECUARIOS</v>
      </c>
      <c r="W5953" s="3" t="str">
        <f>LEFT(Base_Periodo1[[#This Row],[CLASS]],3)</f>
        <v>3.1</v>
      </c>
    </row>
    <row r="5954" spans="1:23" hidden="1">
      <c r="A5954" s="3" t="str">
        <f t="shared" si="92"/>
        <v>Período 1</v>
      </c>
      <c r="B5954">
        <v>1995</v>
      </c>
      <c r="C5954" t="s">
        <v>6023</v>
      </c>
      <c r="D5954" t="s">
        <v>3591</v>
      </c>
      <c r="E5954" s="3" t="str">
        <f>IF(LEN(Base_Periodo1[[#This Row],[CLASS]])&gt;=7,LEFT(Base_Periodo1[[#This Row],[CLASS]],7),"")</f>
        <v>3.1.1.1</v>
      </c>
      <c r="F5954" s="3" t="e">
        <f>VLOOKUP(Base_Periodo1[[#This Row],[Aux]],Base_Contas_Balanco[#All],2,FALSE)</f>
        <v>#N/A</v>
      </c>
      <c r="G5954" s="1"/>
      <c r="H5954" s="281">
        <v>67600</v>
      </c>
      <c r="I5954" s="281">
        <v>0</v>
      </c>
      <c r="J5954" s="281">
        <v>0</v>
      </c>
      <c r="K5954" s="281">
        <v>67600</v>
      </c>
      <c r="L595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67600</v>
      </c>
      <c r="M5954" s="281">
        <f>ROUND(IF(AND(Base_Periodo1[[#This Row],[Tipo_Linha]]="-",Base_Periodo1[[#This Row],[TIPOSALDO]]="D"),Base_Periodo1[[#This Row],[SALDO_ATUAL]]*-1,Base_Periodo1[[#This Row],[SALDO_ATUAL]]),4)</f>
        <v>67600</v>
      </c>
      <c r="N5954" t="s">
        <v>396</v>
      </c>
      <c r="O5954" t="s">
        <v>459</v>
      </c>
      <c r="P5954" t="s">
        <v>459</v>
      </c>
      <c r="Q5954">
        <v>8</v>
      </c>
      <c r="R5954" s="281">
        <f>Base_Periodo1[[#This Row],[CREDITOS]]-Base_Periodo1[[#This Row],[DEBITOS]]</f>
        <v>0</v>
      </c>
      <c r="S5954" s="3" t="str">
        <f>IF(ISERROR(VLOOKUP(Base_Periodo1[[#This Row],[CONTA]],BaseContasDRE[#All],4,FALSE)),"Fora do DRE",VLOOKUP(Base_Periodo1[[#This Row],[CONTA]],BaseContasDRE[#All],4,FALSE))</f>
        <v>Fora do DRE</v>
      </c>
      <c r="T5954" s="3" t="str">
        <f>IF(ISERROR(VLOOKUP(Base_Periodo1[[#This Row],[CONTA]],BaseContasDRE[#All],5,FALSE)),"Fora do DRE",VLOOKUP(Base_Periodo1[[#This Row],[CONTA]],BaseContasDRE[#All],6,FALSE))</f>
        <v>Fora do DRE</v>
      </c>
      <c r="U5954" s="3" t="str">
        <f>IF(ISERROR(VLOOKUP(Base_Periodo1[[#This Row],[CONTA]],BaseContasDRE[#All],7,FALSE)),"Fora do DRE",VLOOKUP(Base_Periodo1[[#This Row],[CONTA]],BaseContasDRE[#All],7,FALSE))</f>
        <v>Fora do DRE</v>
      </c>
      <c r="V5954" s="3" t="str">
        <f>IF(Base_Periodo1[[#This Row],[Tipo_Linha]]="Fora do DRE","Fora do DRE","( "&amp;Base_Periodo1[[#This Row],[Tipo_Linha]]&amp;" ) "&amp;Base_Periodo1[[#This Row],[Filtro]])</f>
        <v>Fora do DRE</v>
      </c>
      <c r="W5954" s="3" t="str">
        <f>LEFT(Base_Periodo1[[#This Row],[CLASS]],3)</f>
        <v>3.1</v>
      </c>
    </row>
    <row r="5955" spans="1:23" hidden="1">
      <c r="A5955" s="3" t="str">
        <f t="shared" si="92"/>
        <v>Período 1</v>
      </c>
      <c r="B5955">
        <v>1996</v>
      </c>
      <c r="C5955" t="s">
        <v>6024</v>
      </c>
      <c r="D5955" t="s">
        <v>3592</v>
      </c>
      <c r="E5955" s="3" t="str">
        <f>IF(LEN(Base_Periodo1[[#This Row],[CLASS]])&gt;=7,LEFT(Base_Periodo1[[#This Row],[CLASS]],7),"")</f>
        <v>3.1.1.1</v>
      </c>
      <c r="F5955" s="3" t="e">
        <f>VLOOKUP(Base_Periodo1[[#This Row],[Aux]],Base_Contas_Balanco[#All],2,FALSE)</f>
        <v>#N/A</v>
      </c>
      <c r="G5955" s="1">
        <v>42789</v>
      </c>
      <c r="H5955" s="281">
        <v>67600</v>
      </c>
      <c r="I5955" s="281">
        <v>0</v>
      </c>
      <c r="J5955" s="281">
        <v>0</v>
      </c>
      <c r="K5955" s="281">
        <v>67600</v>
      </c>
      <c r="L5955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67600</v>
      </c>
      <c r="M5955" s="281">
        <f>ROUND(IF(AND(Base_Periodo1[[#This Row],[Tipo_Linha]]="-",Base_Periodo1[[#This Row],[TIPOSALDO]]="D"),Base_Periodo1[[#This Row],[SALDO_ATUAL]]*-1,Base_Periodo1[[#This Row],[SALDO_ATUAL]]),4)</f>
        <v>67600</v>
      </c>
      <c r="N5955" t="s">
        <v>116</v>
      </c>
      <c r="O5955" t="s">
        <v>459</v>
      </c>
      <c r="P5955" t="s">
        <v>459</v>
      </c>
      <c r="Q5955">
        <v>9</v>
      </c>
      <c r="R5955" s="281">
        <f>Base_Periodo1[[#This Row],[CREDITOS]]-Base_Periodo1[[#This Row],[DEBITOS]]</f>
        <v>0</v>
      </c>
      <c r="S5955" s="3" t="str">
        <f>IF(ISERROR(VLOOKUP(Base_Periodo1[[#This Row],[CONTA]],BaseContasDRE[#All],4,FALSE)),"Fora do DRE",VLOOKUP(Base_Periodo1[[#This Row],[CONTA]],BaseContasDRE[#All],4,FALSE))</f>
        <v>+</v>
      </c>
      <c r="T5955" s="3">
        <f>IF(ISERROR(VLOOKUP(Base_Periodo1[[#This Row],[CONTA]],BaseContasDRE[#All],5,FALSE)),"Fora do DRE",VLOOKUP(Base_Periodo1[[#This Row],[CONTA]],BaseContasDRE[#All],6,FALSE))</f>
        <v>1</v>
      </c>
      <c r="U5955" s="3" t="str">
        <f>IF(ISERROR(VLOOKUP(Base_Periodo1[[#This Row],[CONTA]],BaseContasDRE[#All],7,FALSE)),"Fora do DRE",VLOOKUP(Base_Periodo1[[#This Row],[CONTA]],BaseContasDRE[#All],7,FALSE))</f>
        <v>BONIFICAÇÕES RECEBIDAS</v>
      </c>
      <c r="V5955" s="3" t="str">
        <f>IF(Base_Periodo1[[#This Row],[Tipo_Linha]]="Fora do DRE","Fora do DRE","( "&amp;Base_Periodo1[[#This Row],[Tipo_Linha]]&amp;" ) "&amp;Base_Periodo1[[#This Row],[Filtro]])</f>
        <v>( + ) BONIFICAÇÕES RECEBIDAS</v>
      </c>
      <c r="W5955" s="3" t="str">
        <f>LEFT(Base_Periodo1[[#This Row],[CLASS]],3)</f>
        <v>3.1</v>
      </c>
    </row>
    <row r="5956" spans="1:23" hidden="1">
      <c r="A5956" s="3" t="str">
        <f t="shared" si="92"/>
        <v>Período 1</v>
      </c>
      <c r="B5956">
        <v>1997</v>
      </c>
      <c r="C5956" t="s">
        <v>3660</v>
      </c>
      <c r="D5956" t="s">
        <v>3563</v>
      </c>
      <c r="E5956" s="3" t="str">
        <f>IF(LEN(Base_Periodo1[[#This Row],[CLASS]])&gt;=7,LEFT(Base_Periodo1[[#This Row],[CLASS]],7),"")</f>
        <v>3.1.1.1</v>
      </c>
      <c r="F5956" s="3" t="e">
        <f>VLOOKUP(Base_Periodo1[[#This Row],[Aux]],Base_Contas_Balanco[#All],2,FALSE)</f>
        <v>#N/A</v>
      </c>
      <c r="G5956" s="1"/>
      <c r="H5956" s="281">
        <v>72888.929999997374</v>
      </c>
      <c r="I5956" s="281">
        <v>80084.33</v>
      </c>
      <c r="J5956" s="281">
        <v>0</v>
      </c>
      <c r="K5956" s="281">
        <v>152973.25999999739</v>
      </c>
      <c r="L5956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-152973.26</v>
      </c>
      <c r="M5956" s="281">
        <f>ROUND(IF(AND(Base_Periodo1[[#This Row],[Tipo_Linha]]="-",Base_Periodo1[[#This Row],[TIPOSALDO]]="D"),Base_Periodo1[[#This Row],[SALDO_ATUAL]]*-1,Base_Periodo1[[#This Row],[SALDO_ATUAL]]),4)</f>
        <v>152973.26</v>
      </c>
      <c r="N5956" t="s">
        <v>396</v>
      </c>
      <c r="O5956" t="s">
        <v>397</v>
      </c>
      <c r="P5956" t="s">
        <v>397</v>
      </c>
      <c r="Q5956">
        <v>8</v>
      </c>
      <c r="R5956" s="281">
        <f>Base_Periodo1[[#This Row],[CREDITOS]]-Base_Periodo1[[#This Row],[DEBITOS]]</f>
        <v>-80084.33</v>
      </c>
      <c r="S5956" s="3" t="str">
        <f>IF(ISERROR(VLOOKUP(Base_Periodo1[[#This Row],[CONTA]],BaseContasDRE[#All],4,FALSE)),"Fora do DRE",VLOOKUP(Base_Periodo1[[#This Row],[CONTA]],BaseContasDRE[#All],4,FALSE))</f>
        <v>Fora do DRE</v>
      </c>
      <c r="T5956" s="3" t="str">
        <f>IF(ISERROR(VLOOKUP(Base_Periodo1[[#This Row],[CONTA]],BaseContasDRE[#All],5,FALSE)),"Fora do DRE",VLOOKUP(Base_Periodo1[[#This Row],[CONTA]],BaseContasDRE[#All],6,FALSE))</f>
        <v>Fora do DRE</v>
      </c>
      <c r="U5956" s="3" t="str">
        <f>IF(ISERROR(VLOOKUP(Base_Periodo1[[#This Row],[CONTA]],BaseContasDRE[#All],7,FALSE)),"Fora do DRE",VLOOKUP(Base_Periodo1[[#This Row],[CONTA]],BaseContasDRE[#All],7,FALSE))</f>
        <v>Fora do DRE</v>
      </c>
      <c r="V5956" s="3" t="str">
        <f>IF(Base_Periodo1[[#This Row],[Tipo_Linha]]="Fora do DRE","Fora do DRE","( "&amp;Base_Periodo1[[#This Row],[Tipo_Linha]]&amp;" ) "&amp;Base_Periodo1[[#This Row],[Filtro]])</f>
        <v>Fora do DRE</v>
      </c>
      <c r="W5956" s="3" t="str">
        <f>LEFT(Base_Periodo1[[#This Row],[CLASS]],3)</f>
        <v>3.1</v>
      </c>
    </row>
    <row r="5957" spans="1:23" hidden="1">
      <c r="A5957" s="3" t="str">
        <f t="shared" si="92"/>
        <v>Período 1</v>
      </c>
      <c r="B5957">
        <v>1998</v>
      </c>
      <c r="C5957" t="s">
        <v>3661</v>
      </c>
      <c r="D5957" t="s">
        <v>3564</v>
      </c>
      <c r="E5957" s="3" t="str">
        <f>IF(LEN(Base_Periodo1[[#This Row],[CLASS]])&gt;=7,LEFT(Base_Periodo1[[#This Row],[CLASS]],7),"")</f>
        <v>3.1.1.1</v>
      </c>
      <c r="F5957" s="3" t="e">
        <f>VLOOKUP(Base_Periodo1[[#This Row],[Aux]],Base_Contas_Balanco[#All],2,FALSE)</f>
        <v>#N/A</v>
      </c>
      <c r="G5957" s="1">
        <v>42878</v>
      </c>
      <c r="H5957" s="281">
        <v>72888.929999997374</v>
      </c>
      <c r="I5957" s="281">
        <v>80084.33</v>
      </c>
      <c r="J5957" s="281">
        <v>0</v>
      </c>
      <c r="K5957" s="281">
        <v>152973.25999999739</v>
      </c>
      <c r="L5957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-152973.26</v>
      </c>
      <c r="M5957" s="281">
        <f>ROUND(IF(AND(Base_Periodo1[[#This Row],[Tipo_Linha]]="-",Base_Periodo1[[#This Row],[TIPOSALDO]]="D"),Base_Periodo1[[#This Row],[SALDO_ATUAL]]*-1,Base_Periodo1[[#This Row],[SALDO_ATUAL]]),4)</f>
        <v>-152973.26</v>
      </c>
      <c r="N5957" t="s">
        <v>116</v>
      </c>
      <c r="O5957" t="s">
        <v>397</v>
      </c>
      <c r="P5957" t="s">
        <v>397</v>
      </c>
      <c r="Q5957">
        <v>9</v>
      </c>
      <c r="R5957" s="281">
        <f>Base_Periodo1[[#This Row],[CREDITOS]]-Base_Periodo1[[#This Row],[DEBITOS]]</f>
        <v>-80084.33</v>
      </c>
      <c r="S5957" s="3" t="str">
        <f>IF(ISERROR(VLOOKUP(Base_Periodo1[[#This Row],[CONTA]],BaseContasDRE[#All],4,FALSE)),"Fora do DRE",VLOOKUP(Base_Periodo1[[#This Row],[CONTA]],BaseContasDRE[#All],4,FALSE))</f>
        <v>-</v>
      </c>
      <c r="T5957" s="3">
        <f>IF(ISERROR(VLOOKUP(Base_Periodo1[[#This Row],[CONTA]],BaseContasDRE[#All],5,FALSE)),"Fora do DRE",VLOOKUP(Base_Periodo1[[#This Row],[CONTA]],BaseContasDRE[#All],6,FALSE))</f>
        <v>2</v>
      </c>
      <c r="U5957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957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957" s="3" t="str">
        <f>LEFT(Base_Periodo1[[#This Row],[CLASS]],3)</f>
        <v>3.1</v>
      </c>
    </row>
    <row r="5958" spans="1:23" hidden="1">
      <c r="A5958" s="3" t="str">
        <f t="shared" ref="A5958:A6021" si="93">"Período 1"</f>
        <v>Período 1</v>
      </c>
      <c r="B5958">
        <v>1999</v>
      </c>
      <c r="C5958" t="s">
        <v>3662</v>
      </c>
      <c r="D5958" t="s">
        <v>3583</v>
      </c>
      <c r="E5958" s="3" t="str">
        <f>IF(LEN(Base_Periodo1[[#This Row],[CLASS]])&gt;=7,LEFT(Base_Periodo1[[#This Row],[CLASS]],7),"")</f>
        <v>3.1.1.1</v>
      </c>
      <c r="F5958" s="3" t="e">
        <f>VLOOKUP(Base_Periodo1[[#This Row],[Aux]],Base_Contas_Balanco[#All],2,FALSE)</f>
        <v>#N/A</v>
      </c>
      <c r="G5958" s="1"/>
      <c r="H5958" s="281">
        <v>5871.9300000002841</v>
      </c>
      <c r="I5958" s="281">
        <v>3477.6</v>
      </c>
      <c r="J5958" s="281">
        <v>0</v>
      </c>
      <c r="K5958" s="281">
        <v>9349.5300000002844</v>
      </c>
      <c r="L5958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-9349.5300000000007</v>
      </c>
      <c r="M5958" s="281">
        <f>ROUND(IF(AND(Base_Periodo1[[#This Row],[Tipo_Linha]]="-",Base_Periodo1[[#This Row],[TIPOSALDO]]="D"),Base_Periodo1[[#This Row],[SALDO_ATUAL]]*-1,Base_Periodo1[[#This Row],[SALDO_ATUAL]]),4)</f>
        <v>9349.5300000000007</v>
      </c>
      <c r="N5958" t="s">
        <v>396</v>
      </c>
      <c r="O5958" t="s">
        <v>397</v>
      </c>
      <c r="P5958" t="s">
        <v>397</v>
      </c>
      <c r="Q5958">
        <v>8</v>
      </c>
      <c r="R5958" s="281">
        <f>Base_Periodo1[[#This Row],[CREDITOS]]-Base_Periodo1[[#This Row],[DEBITOS]]</f>
        <v>-3477.6</v>
      </c>
      <c r="S5958" s="3" t="str">
        <f>IF(ISERROR(VLOOKUP(Base_Periodo1[[#This Row],[CONTA]],BaseContasDRE[#All],4,FALSE)),"Fora do DRE",VLOOKUP(Base_Periodo1[[#This Row],[CONTA]],BaseContasDRE[#All],4,FALSE))</f>
        <v>Fora do DRE</v>
      </c>
      <c r="T5958" s="3" t="str">
        <f>IF(ISERROR(VLOOKUP(Base_Periodo1[[#This Row],[CONTA]],BaseContasDRE[#All],5,FALSE)),"Fora do DRE",VLOOKUP(Base_Periodo1[[#This Row],[CONTA]],BaseContasDRE[#All],6,FALSE))</f>
        <v>Fora do DRE</v>
      </c>
      <c r="U5958" s="3" t="str">
        <f>IF(ISERROR(VLOOKUP(Base_Periodo1[[#This Row],[CONTA]],BaseContasDRE[#All],7,FALSE)),"Fora do DRE",VLOOKUP(Base_Periodo1[[#This Row],[CONTA]],BaseContasDRE[#All],7,FALSE))</f>
        <v>Fora do DRE</v>
      </c>
      <c r="V5958" s="3" t="str">
        <f>IF(Base_Periodo1[[#This Row],[Tipo_Linha]]="Fora do DRE","Fora do DRE","( "&amp;Base_Periodo1[[#This Row],[Tipo_Linha]]&amp;" ) "&amp;Base_Periodo1[[#This Row],[Filtro]])</f>
        <v>Fora do DRE</v>
      </c>
      <c r="W5958" s="3" t="str">
        <f>LEFT(Base_Periodo1[[#This Row],[CLASS]],3)</f>
        <v>3.1</v>
      </c>
    </row>
    <row r="5959" spans="1:23" hidden="1">
      <c r="A5959" s="3" t="str">
        <f t="shared" si="93"/>
        <v>Período 1</v>
      </c>
      <c r="B5959">
        <v>2000</v>
      </c>
      <c r="C5959" t="s">
        <v>3663</v>
      </c>
      <c r="D5959" t="s">
        <v>3566</v>
      </c>
      <c r="E5959" s="3" t="str">
        <f>IF(LEN(Base_Periodo1[[#This Row],[CLASS]])&gt;=7,LEFT(Base_Periodo1[[#This Row],[CLASS]],7),"")</f>
        <v>3.1.1.1</v>
      </c>
      <c r="F5959" s="3" t="e">
        <f>VLOOKUP(Base_Periodo1[[#This Row],[Aux]],Base_Contas_Balanco[#All],2,FALSE)</f>
        <v>#N/A</v>
      </c>
      <c r="G5959" s="1">
        <v>42860</v>
      </c>
      <c r="H5959" s="281">
        <v>5871.9300000002841</v>
      </c>
      <c r="I5959" s="281">
        <v>3477.6</v>
      </c>
      <c r="J5959" s="281">
        <v>0</v>
      </c>
      <c r="K5959" s="281">
        <v>9349.5300000002844</v>
      </c>
      <c r="L5959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-9349.5300000000007</v>
      </c>
      <c r="M5959" s="281">
        <f>ROUND(IF(AND(Base_Periodo1[[#This Row],[Tipo_Linha]]="-",Base_Periodo1[[#This Row],[TIPOSALDO]]="D"),Base_Periodo1[[#This Row],[SALDO_ATUAL]]*-1,Base_Periodo1[[#This Row],[SALDO_ATUAL]]),4)</f>
        <v>-9349.5300000000007</v>
      </c>
      <c r="N5959" t="s">
        <v>116</v>
      </c>
      <c r="O5959" t="s">
        <v>397</v>
      </c>
      <c r="P5959" t="s">
        <v>397</v>
      </c>
      <c r="Q5959">
        <v>9</v>
      </c>
      <c r="R5959" s="281">
        <f>Base_Periodo1[[#This Row],[CREDITOS]]-Base_Periodo1[[#This Row],[DEBITOS]]</f>
        <v>-3477.6</v>
      </c>
      <c r="S5959" s="3" t="str">
        <f>IF(ISERROR(VLOOKUP(Base_Periodo1[[#This Row],[CONTA]],BaseContasDRE[#All],4,FALSE)),"Fora do DRE",VLOOKUP(Base_Periodo1[[#This Row],[CONTA]],BaseContasDRE[#All],4,FALSE))</f>
        <v>-</v>
      </c>
      <c r="T5959" s="3">
        <f>IF(ISERROR(VLOOKUP(Base_Periodo1[[#This Row],[CONTA]],BaseContasDRE[#All],5,FALSE)),"Fora do DRE",VLOOKUP(Base_Periodo1[[#This Row],[CONTA]],BaseContasDRE[#All],6,FALSE))</f>
        <v>2</v>
      </c>
      <c r="U5959" s="3" t="str">
        <f>IF(ISERROR(VLOOKUP(Base_Periodo1[[#This Row],[CONTA]],BaseContasDRE[#All],7,FALSE)),"Fora do DRE",VLOOKUP(Base_Periodo1[[#This Row],[CONTA]],BaseContasDRE[#All],7,FALSE))</f>
        <v>ICMS SOBRE INGRESSOS E RECEITAS</v>
      </c>
      <c r="V5959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5959" s="3" t="str">
        <f>LEFT(Base_Periodo1[[#This Row],[CLASS]],3)</f>
        <v>3.1</v>
      </c>
    </row>
    <row r="5960" spans="1:23" hidden="1">
      <c r="A5960" s="3" t="str">
        <f t="shared" si="93"/>
        <v>Período 1</v>
      </c>
      <c r="B5960">
        <v>2001</v>
      </c>
      <c r="C5960" t="s">
        <v>3664</v>
      </c>
      <c r="D5960" t="s">
        <v>3567</v>
      </c>
      <c r="E5960" s="3" t="str">
        <f>IF(LEN(Base_Periodo1[[#This Row],[CLASS]])&gt;=7,LEFT(Base_Periodo1[[#This Row],[CLASS]],7),"")</f>
        <v>3.1.1.1</v>
      </c>
      <c r="F5960" s="3" t="e">
        <f>VLOOKUP(Base_Periodo1[[#This Row],[Aux]],Base_Contas_Balanco[#All],2,FALSE)</f>
        <v>#N/A</v>
      </c>
      <c r="G5960" s="1"/>
      <c r="H5960" s="281">
        <v>4886487.2300000191</v>
      </c>
      <c r="I5960" s="281">
        <v>1864551.99</v>
      </c>
      <c r="J5960" s="281">
        <v>0</v>
      </c>
      <c r="K5960" s="281">
        <v>6751039.2200000193</v>
      </c>
      <c r="L5960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-6751039.2199999997</v>
      </c>
      <c r="M5960" s="281">
        <f>ROUND(IF(AND(Base_Periodo1[[#This Row],[Tipo_Linha]]="-",Base_Periodo1[[#This Row],[TIPOSALDO]]="D"),Base_Periodo1[[#This Row],[SALDO_ATUAL]]*-1,Base_Periodo1[[#This Row],[SALDO_ATUAL]]),4)</f>
        <v>6751039.2199999997</v>
      </c>
      <c r="N5960" t="s">
        <v>396</v>
      </c>
      <c r="O5960" t="s">
        <v>397</v>
      </c>
      <c r="P5960" t="s">
        <v>397</v>
      </c>
      <c r="Q5960">
        <v>8</v>
      </c>
      <c r="R5960" s="281">
        <f>Base_Periodo1[[#This Row],[CREDITOS]]-Base_Periodo1[[#This Row],[DEBITOS]]</f>
        <v>-1864551.99</v>
      </c>
      <c r="S5960" s="3" t="str">
        <f>IF(ISERROR(VLOOKUP(Base_Periodo1[[#This Row],[CONTA]],BaseContasDRE[#All],4,FALSE)),"Fora do DRE",VLOOKUP(Base_Periodo1[[#This Row],[CONTA]],BaseContasDRE[#All],4,FALSE))</f>
        <v>Fora do DRE</v>
      </c>
      <c r="T5960" s="3" t="str">
        <f>IF(ISERROR(VLOOKUP(Base_Periodo1[[#This Row],[CONTA]],BaseContasDRE[#All],5,FALSE)),"Fora do DRE",VLOOKUP(Base_Periodo1[[#This Row],[CONTA]],BaseContasDRE[#All],6,FALSE))</f>
        <v>Fora do DRE</v>
      </c>
      <c r="U5960" s="3" t="str">
        <f>IF(ISERROR(VLOOKUP(Base_Periodo1[[#This Row],[CONTA]],BaseContasDRE[#All],7,FALSE)),"Fora do DRE",VLOOKUP(Base_Periodo1[[#This Row],[CONTA]],BaseContasDRE[#All],7,FALSE))</f>
        <v>Fora do DRE</v>
      </c>
      <c r="V5960" s="3" t="str">
        <f>IF(Base_Periodo1[[#This Row],[Tipo_Linha]]="Fora do DRE","Fora do DRE","( "&amp;Base_Periodo1[[#This Row],[Tipo_Linha]]&amp;" ) "&amp;Base_Periodo1[[#This Row],[Filtro]])</f>
        <v>Fora do DRE</v>
      </c>
      <c r="W5960" s="3" t="str">
        <f>LEFT(Base_Periodo1[[#This Row],[CLASS]],3)</f>
        <v>3.1</v>
      </c>
    </row>
    <row r="5961" spans="1:23" hidden="1">
      <c r="A5961" s="3" t="str">
        <f t="shared" si="93"/>
        <v>Período 1</v>
      </c>
      <c r="B5961">
        <v>2002</v>
      </c>
      <c r="C5961" t="s">
        <v>3665</v>
      </c>
      <c r="D5961" t="s">
        <v>3568</v>
      </c>
      <c r="E5961" s="3" t="str">
        <f>IF(LEN(Base_Periodo1[[#This Row],[CLASS]])&gt;=7,LEFT(Base_Periodo1[[#This Row],[CLASS]],7),"")</f>
        <v>3.1.1.1</v>
      </c>
      <c r="F5961" s="3" t="e">
        <f>VLOOKUP(Base_Periodo1[[#This Row],[Aux]],Base_Contas_Balanco[#All],2,FALSE)</f>
        <v>#N/A</v>
      </c>
      <c r="G5961" s="1">
        <v>42886</v>
      </c>
      <c r="H5961" s="281">
        <v>4886487.2300000191</v>
      </c>
      <c r="I5961" s="281">
        <v>1864551.99</v>
      </c>
      <c r="J5961" s="281">
        <v>0</v>
      </c>
      <c r="K5961" s="281">
        <v>6751039.2200000193</v>
      </c>
      <c r="L5961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-6751039.2199999997</v>
      </c>
      <c r="M5961" s="281">
        <f>ROUND(IF(AND(Base_Periodo1[[#This Row],[Tipo_Linha]]="-",Base_Periodo1[[#This Row],[TIPOSALDO]]="D"),Base_Periodo1[[#This Row],[SALDO_ATUAL]]*-1,Base_Periodo1[[#This Row],[SALDO_ATUAL]]),4)</f>
        <v>-6751039.2199999997</v>
      </c>
      <c r="N5961" t="s">
        <v>116</v>
      </c>
      <c r="O5961" t="s">
        <v>397</v>
      </c>
      <c r="P5961" t="s">
        <v>397</v>
      </c>
      <c r="Q5961">
        <v>9</v>
      </c>
      <c r="R5961" s="281">
        <f>Base_Periodo1[[#This Row],[CREDITOS]]-Base_Periodo1[[#This Row],[DEBITOS]]</f>
        <v>-1864551.99</v>
      </c>
      <c r="S5961" s="3" t="str">
        <f>IF(ISERROR(VLOOKUP(Base_Periodo1[[#This Row],[CONTA]],BaseContasDRE[#All],4,FALSE)),"Fora do DRE",VLOOKUP(Base_Periodo1[[#This Row],[CONTA]],BaseContasDRE[#All],4,FALSE))</f>
        <v>-</v>
      </c>
      <c r="T5961" s="3">
        <f>IF(ISERROR(VLOOKUP(Base_Periodo1[[#This Row],[CONTA]],BaseContasDRE[#All],5,FALSE)),"Fora do DRE",VLOOKUP(Base_Periodo1[[#This Row],[CONTA]],BaseContasDRE[#All],6,FALSE))</f>
        <v>3</v>
      </c>
      <c r="U5961" s="3" t="str">
        <f>IF(ISERROR(VLOOKUP(Base_Periodo1[[#This Row],[CONTA]],BaseContasDRE[#All],7,FALSE)),"Fora do DRE",VLOOKUP(Base_Periodo1[[#This Row],[CONTA]],BaseContasDRE[#All],7,FALSE))</f>
        <v>INSUMOS AGROPECUARIOS</v>
      </c>
      <c r="V5961" s="3" t="str">
        <f>IF(Base_Periodo1[[#This Row],[Tipo_Linha]]="Fora do DRE","Fora do DRE","( "&amp;Base_Periodo1[[#This Row],[Tipo_Linha]]&amp;" ) "&amp;Base_Periodo1[[#This Row],[Filtro]])</f>
        <v>( - ) INSUMOS AGROPECUARIOS</v>
      </c>
      <c r="W5961" s="3" t="str">
        <f>LEFT(Base_Periodo1[[#This Row],[CLASS]],3)</f>
        <v>3.1</v>
      </c>
    </row>
    <row r="5962" spans="1:23" hidden="1">
      <c r="A5962" s="3" t="str">
        <f t="shared" si="93"/>
        <v>Período 1</v>
      </c>
      <c r="B5962">
        <v>2003</v>
      </c>
      <c r="C5962" t="s">
        <v>3666</v>
      </c>
      <c r="D5962" t="s">
        <v>1321</v>
      </c>
      <c r="E5962" s="3" t="str">
        <f>IF(LEN(Base_Periodo1[[#This Row],[CLASS]])&gt;=7,LEFT(Base_Periodo1[[#This Row],[CLASS]],7),"")</f>
        <v>3.1.1.1</v>
      </c>
      <c r="F5962" s="3" t="e">
        <f>VLOOKUP(Base_Periodo1[[#This Row],[Aux]],Base_Contas_Balanco[#All],2,FALSE)</f>
        <v>#N/A</v>
      </c>
      <c r="G5962" s="1"/>
      <c r="H5962" s="281">
        <v>683352.35000001406</v>
      </c>
      <c r="I5962" s="281">
        <v>278058.33999999997</v>
      </c>
      <c r="J5962" s="281">
        <v>297314.95</v>
      </c>
      <c r="K5962" s="281">
        <v>702608.96000001417</v>
      </c>
      <c r="L5962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702608.96</v>
      </c>
      <c r="M5962" s="281">
        <f>ROUND(IF(AND(Base_Periodo1[[#This Row],[Tipo_Linha]]="-",Base_Periodo1[[#This Row],[TIPOSALDO]]="D"),Base_Periodo1[[#This Row],[SALDO_ATUAL]]*-1,Base_Periodo1[[#This Row],[SALDO_ATUAL]]),4)</f>
        <v>702608.96</v>
      </c>
      <c r="N5962" t="s">
        <v>396</v>
      </c>
      <c r="O5962" t="s">
        <v>459</v>
      </c>
      <c r="P5962" t="s">
        <v>459</v>
      </c>
      <c r="Q5962">
        <v>7</v>
      </c>
      <c r="R5962" s="281">
        <f>Base_Periodo1[[#This Row],[CREDITOS]]-Base_Periodo1[[#This Row],[DEBITOS]]</f>
        <v>19256.610000000044</v>
      </c>
      <c r="S5962" s="3" t="str">
        <f>IF(ISERROR(VLOOKUP(Base_Periodo1[[#This Row],[CONTA]],BaseContasDRE[#All],4,FALSE)),"Fora do DRE",VLOOKUP(Base_Periodo1[[#This Row],[CONTA]],BaseContasDRE[#All],4,FALSE))</f>
        <v>Fora do DRE</v>
      </c>
      <c r="T5962" s="3" t="str">
        <f>IF(ISERROR(VLOOKUP(Base_Periodo1[[#This Row],[CONTA]],BaseContasDRE[#All],5,FALSE)),"Fora do DRE",VLOOKUP(Base_Periodo1[[#This Row],[CONTA]],BaseContasDRE[#All],6,FALSE))</f>
        <v>Fora do DRE</v>
      </c>
      <c r="U5962" s="3" t="str">
        <f>IF(ISERROR(VLOOKUP(Base_Periodo1[[#This Row],[CONTA]],BaseContasDRE[#All],7,FALSE)),"Fora do DRE",VLOOKUP(Base_Periodo1[[#This Row],[CONTA]],BaseContasDRE[#All],7,FALSE))</f>
        <v>Fora do DRE</v>
      </c>
      <c r="V5962" s="3" t="str">
        <f>IF(Base_Periodo1[[#This Row],[Tipo_Linha]]="Fora do DRE","Fora do DRE","( "&amp;Base_Periodo1[[#This Row],[Tipo_Linha]]&amp;" ) "&amp;Base_Periodo1[[#This Row],[Filtro]])</f>
        <v>Fora do DRE</v>
      </c>
      <c r="W5962" s="3" t="str">
        <f>LEFT(Base_Periodo1[[#This Row],[CLASS]],3)</f>
        <v>3.1</v>
      </c>
    </row>
    <row r="5963" spans="1:23" hidden="1">
      <c r="A5963" s="3" t="str">
        <f t="shared" si="93"/>
        <v>Período 1</v>
      </c>
      <c r="B5963">
        <v>2004</v>
      </c>
      <c r="C5963" t="s">
        <v>3667</v>
      </c>
      <c r="D5963" t="s">
        <v>3578</v>
      </c>
      <c r="E5963" s="3" t="str">
        <f>IF(LEN(Base_Periodo1[[#This Row],[CLASS]])&gt;=7,LEFT(Base_Periodo1[[#This Row],[CLASS]],7),"")</f>
        <v>3.1.1.1</v>
      </c>
      <c r="F5963" s="3" t="e">
        <f>VLOOKUP(Base_Periodo1[[#This Row],[Aux]],Base_Contas_Balanco[#All],2,FALSE)</f>
        <v>#N/A</v>
      </c>
      <c r="G5963" s="1"/>
      <c r="H5963" s="281">
        <v>3079631.1900000051</v>
      </c>
      <c r="I5963" s="281">
        <v>0</v>
      </c>
      <c r="J5963" s="281">
        <v>297314.95</v>
      </c>
      <c r="K5963" s="281">
        <v>3376946.1400000053</v>
      </c>
      <c r="L5963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3376946.14</v>
      </c>
      <c r="M5963" s="281">
        <f>ROUND(IF(AND(Base_Periodo1[[#This Row],[Tipo_Linha]]="-",Base_Periodo1[[#This Row],[TIPOSALDO]]="D"),Base_Periodo1[[#This Row],[SALDO_ATUAL]]*-1,Base_Periodo1[[#This Row],[SALDO_ATUAL]]),4)</f>
        <v>3376946.14</v>
      </c>
      <c r="N5963" t="s">
        <v>396</v>
      </c>
      <c r="O5963" t="s">
        <v>459</v>
      </c>
      <c r="P5963" t="s">
        <v>459</v>
      </c>
      <c r="Q5963">
        <v>8</v>
      </c>
      <c r="R5963" s="281">
        <f>Base_Periodo1[[#This Row],[CREDITOS]]-Base_Periodo1[[#This Row],[DEBITOS]]</f>
        <v>297314.95</v>
      </c>
      <c r="S5963" s="3" t="str">
        <f>IF(ISERROR(VLOOKUP(Base_Periodo1[[#This Row],[CONTA]],BaseContasDRE[#All],4,FALSE)),"Fora do DRE",VLOOKUP(Base_Periodo1[[#This Row],[CONTA]],BaseContasDRE[#All],4,FALSE))</f>
        <v>Fora do DRE</v>
      </c>
      <c r="T5963" s="3" t="str">
        <f>IF(ISERROR(VLOOKUP(Base_Periodo1[[#This Row],[CONTA]],BaseContasDRE[#All],5,FALSE)),"Fora do DRE",VLOOKUP(Base_Periodo1[[#This Row],[CONTA]],BaseContasDRE[#All],6,FALSE))</f>
        <v>Fora do DRE</v>
      </c>
      <c r="U5963" s="3" t="str">
        <f>IF(ISERROR(VLOOKUP(Base_Periodo1[[#This Row],[CONTA]],BaseContasDRE[#All],7,FALSE)),"Fora do DRE",VLOOKUP(Base_Periodo1[[#This Row],[CONTA]],BaseContasDRE[#All],7,FALSE))</f>
        <v>Fora do DRE</v>
      </c>
      <c r="V5963" s="3" t="str">
        <f>IF(Base_Periodo1[[#This Row],[Tipo_Linha]]="Fora do DRE","Fora do DRE","( "&amp;Base_Periodo1[[#This Row],[Tipo_Linha]]&amp;" ) "&amp;Base_Periodo1[[#This Row],[Filtro]])</f>
        <v>Fora do DRE</v>
      </c>
      <c r="W5963" s="3" t="str">
        <f>LEFT(Base_Periodo1[[#This Row],[CLASS]],3)</f>
        <v>3.1</v>
      </c>
    </row>
    <row r="5964" spans="1:23" hidden="1">
      <c r="A5964" s="3" t="str">
        <f t="shared" si="93"/>
        <v>Período 1</v>
      </c>
      <c r="B5964">
        <v>2005</v>
      </c>
      <c r="C5964" t="s">
        <v>3668</v>
      </c>
      <c r="D5964" t="s">
        <v>3562</v>
      </c>
      <c r="E5964" s="3" t="str">
        <f>IF(LEN(Base_Periodo1[[#This Row],[CLASS]])&gt;=7,LEFT(Base_Periodo1[[#This Row],[CLASS]],7),"")</f>
        <v>3.1.1.1</v>
      </c>
      <c r="F5964" s="3" t="e">
        <f>VLOOKUP(Base_Periodo1[[#This Row],[Aux]],Base_Contas_Balanco[#All],2,FALSE)</f>
        <v>#N/A</v>
      </c>
      <c r="G5964" s="1">
        <v>42885</v>
      </c>
      <c r="H5964" s="281">
        <v>3079631.1900000051</v>
      </c>
      <c r="I5964" s="281">
        <v>0</v>
      </c>
      <c r="J5964" s="281">
        <v>297314.95</v>
      </c>
      <c r="K5964" s="281">
        <v>3376946.1400000053</v>
      </c>
      <c r="L5964" s="281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3376946.14</v>
      </c>
      <c r="M5964" s="281">
        <f>ROUND(IF(AND(Base_Periodo1[[#This Row],[Tipo_Linha]]="-",Base_Periodo1[[#This Row],[TIPOSALDO]]="D"),Base_Periodo1[[#This Row],[SALDO_ATUAL]]*-1,Base_Periodo1[[#This Row],[SALDO_ATUAL]]),4)</f>
        <v>3376946.14</v>
      </c>
      <c r="N5964" t="s">
        <v>116</v>
      </c>
      <c r="O5964" t="s">
        <v>459</v>
      </c>
      <c r="P5964" t="s">
        <v>459</v>
      </c>
      <c r="Q5964">
        <v>9</v>
      </c>
      <c r="R5964" s="281">
        <f>Base_Periodo1[[#This Row],[CREDITOS]]-Base_Periodo1[[#This Row],[DEBITOS]]</f>
        <v>297314.95</v>
      </c>
      <c r="S5964" s="3" t="str">
        <f>IF(ISERROR(VLOOKUP(Base_Periodo1[[#This Row],[CONTA]],BaseContasDRE[#All],4,FALSE)),"Fora do DRE",VLOOKUP(Base_Periodo1[[#This Row],[CONTA]],BaseContasDRE[#All],4,FALSE))</f>
        <v>+</v>
      </c>
      <c r="T5964" s="3">
        <f>IF(ISERROR(VLOOKUP(Base_Periodo1[[#This Row],[CONTA]],BaseContasDRE[#All],5,FALSE)),"Fora do DRE",VLOOKUP(Base_Periodo1[[#This Row],[CONTA]],BaseContasDRE[#All],6,FALSE))</f>
        <v>1</v>
      </c>
      <c r="U5964" s="3" t="str">
        <f>IF(ISERROR(VLOOKUP(Base_Periodo1[[#This Row],[CONTA]],BaseContasDRE[#All],7,FALSE)),"Fora do DRE",VLOOKUP(Base_Periodo1[[#This Row],[CONTA]],BaseContasDRE[#All],7,FALSE))</f>
        <v>INSUMOS AGROPECUARIOS</v>
      </c>
      <c r="V5964" s="3" t="str">
        <f>IF(Base_Periodo1[[#This Row],[Tipo_Linha]]="Fora do DRE","Fora do DRE","( "&amp;Base_Periodo1[[#This Row],[Tipo_Linha]]&amp;" ) "&amp;Base_Periodo1[[#This Row],[Filtro]])</f>
        <v>( + ) INSUMOS AGROPECUARIOS</v>
      </c>
      <c r="W5964" s="3" t="str">
        <f>LEFT(Base_Periodo1[[#This Row],[CLASS]],3)</f>
        <v>3.1</v>
      </c>
    </row>
    <row r="5965" spans="1:23" hidden="1">
      <c r="A5965" s="3" t="str">
        <f t="shared" si="93"/>
        <v>Período 1</v>
      </c>
      <c r="B5965">
        <v>2008</v>
      </c>
      <c r="C5965" t="s">
        <v>6025</v>
      </c>
      <c r="D5965" t="s">
        <v>3563</v>
      </c>
      <c r="E5965" s="3" t="str">
        <f>IF(LEN(Base_Periodo1[[#This Row],[CLASS]])&gt;=7,LEFT(Base_Periodo1[[#This Row],[CLASS]],7),"")</f>
        <v>3.1.1.1</v>
      </c>
      <c r="F5965" s="3" t="e">
        <f>VLOOKUP(Base_Periodo1[[#This Row],[Aux]],Base_Contas_Balanco[#All],2,FALSE)</f>
        <v>#N/A</v>
      </c>
      <c r="G5965" s="1"/>
      <c r="H5965" s="225">
        <v>12804.239999999991</v>
      </c>
      <c r="I5965" s="225">
        <v>14912.05</v>
      </c>
      <c r="J5965" s="225">
        <v>0</v>
      </c>
      <c r="K5965" s="225">
        <v>27716.28999999999</v>
      </c>
      <c r="L59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-27716.29</v>
      </c>
      <c r="M5965" s="225">
        <f>ROUND(IF(AND(Base_Periodo1[[#This Row],[Tipo_Linha]]="-",Base_Periodo1[[#This Row],[TIPOSALDO]]="D"),Base_Periodo1[[#This Row],[SALDO_ATUAL]]*-1,Base_Periodo1[[#This Row],[SALDO_ATUAL]]),4)</f>
        <v>27716.29</v>
      </c>
      <c r="N5965" t="s">
        <v>396</v>
      </c>
      <c r="O5965" t="s">
        <v>397</v>
      </c>
      <c r="P5965" t="s">
        <v>397</v>
      </c>
      <c r="Q5965">
        <v>8</v>
      </c>
      <c r="R5965" s="282">
        <f>Base_Periodo1[[#This Row],[CREDITOS]]-Base_Periodo1[[#This Row],[DEBITOS]]</f>
        <v>-14912.05</v>
      </c>
      <c r="S5965" s="3" t="str">
        <f>IF(ISERROR(VLOOKUP(Base_Periodo1[[#This Row],[CONTA]],BaseContasDRE[#All],4,FALSE)),"Fora do DRE",VLOOKUP(Base_Periodo1[[#This Row],[CONTA]],BaseContasDRE[#All],4,FALSE))</f>
        <v>Fora do DRE</v>
      </c>
      <c r="T5965" s="3" t="str">
        <f>IF(ISERROR(VLOOKUP(Base_Periodo1[[#This Row],[CONTA]],BaseContasDRE[#All],5,FALSE)),"Fora do DRE",VLOOKUP(Base_Periodo1[[#This Row],[CONTA]],BaseContasDRE[#All],6,FALSE))</f>
        <v>Fora do DRE</v>
      </c>
      <c r="U5965" s="3" t="str">
        <f>IF(ISERROR(VLOOKUP(Base_Periodo1[[#This Row],[CONTA]],BaseContasDRE[#All],7,FALSE)),"Fora do DRE",VLOOKUP(Base_Periodo1[[#This Row],[CONTA]],BaseContasDRE[#All],7,FALSE))</f>
        <v>Fora do DRE</v>
      </c>
      <c r="V5965" s="3" t="str">
        <f>IF(Base_Periodo1[[#This Row],[Tipo_Linha]]="Fora do DRE","Fora do DRE","( "&amp;Base_Periodo1[[#This Row],[Tipo_Linha]]&amp;" ) "&amp;Base_Periodo1[[#This Row],[Filtro]])</f>
        <v>Fora do DRE</v>
      </c>
      <c r="W5965" s="3" t="str">
        <f>LEFT(Base_Periodo1[[#This Row],[CLASS]],3)</f>
        <v>3.1</v>
      </c>
    </row>
    <row r="5966" spans="1:23" hidden="1">
      <c r="A5966" s="3" t="str">
        <f t="shared" si="93"/>
        <v>Período 1</v>
      </c>
      <c r="B5966">
        <v>2009</v>
      </c>
      <c r="C5966" t="s">
        <v>6026</v>
      </c>
      <c r="D5966" t="s">
        <v>3564</v>
      </c>
      <c r="E5966" s="3" t="str">
        <f>IF(LEN(Base_Periodo1[[#This Row],[CLASS]])&gt;=7,LEFT(Base_Periodo1[[#This Row],[CLASS]],7),"")</f>
        <v>3.1.1.1</v>
      </c>
      <c r="F5966" s="3" t="e">
        <f>VLOOKUP(Base_Periodo1[[#This Row],[Aux]],Base_Contas_Balanco[#All],2,FALSE)</f>
        <v>#N/A</v>
      </c>
      <c r="G5966" s="1">
        <v>42870</v>
      </c>
      <c r="H5966" s="225">
        <v>12804.239999999991</v>
      </c>
      <c r="I5966" s="225">
        <v>14912.05</v>
      </c>
      <c r="J5966" s="225">
        <v>0</v>
      </c>
      <c r="K5966" s="225">
        <v>27716.28999999999</v>
      </c>
      <c r="L59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-27716.29</v>
      </c>
      <c r="M5966" s="225">
        <f>ROUND(IF(AND(Base_Periodo1[[#This Row],[Tipo_Linha]]="-",Base_Periodo1[[#This Row],[TIPOSALDO]]="D"),Base_Periodo1[[#This Row],[SALDO_ATUAL]]*-1,Base_Periodo1[[#This Row],[SALDO_ATUAL]]),4)</f>
        <v>-27716.29</v>
      </c>
      <c r="N5966" t="s">
        <v>116</v>
      </c>
      <c r="O5966" t="s">
        <v>397</v>
      </c>
      <c r="P5966" t="s">
        <v>397</v>
      </c>
      <c r="Q5966">
        <v>9</v>
      </c>
      <c r="R5966" s="282">
        <f>Base_Periodo1[[#This Row],[CREDITOS]]-Base_Periodo1[[#This Row],[DEBITOS]]</f>
        <v>-14912.05</v>
      </c>
      <c r="S5966" s="3" t="str">
        <f>IF(ISERROR(VLOOKUP(Base_Periodo1[[#This Row],[CONTA]],BaseContasDRE[#All],4,FALSE)),"Fora do DRE",VLOOKUP(Base_Periodo1[[#This Row],[CONTA]],BaseContasDRE[#All],4,FALSE))</f>
        <v>-</v>
      </c>
      <c r="T5966" s="3">
        <f>IF(ISERROR(VLOOKUP(Base_Periodo1[[#This Row],[CONTA]],BaseContasDRE[#All],5,FALSE)),"Fora do DRE",VLOOKUP(Base_Periodo1[[#This Row],[CONTA]],BaseContasDRE[#All],6,FALSE))</f>
        <v>2</v>
      </c>
      <c r="U5966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966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966" s="3" t="str">
        <f>LEFT(Base_Periodo1[[#This Row],[CLASS]],3)</f>
        <v>3.1</v>
      </c>
    </row>
    <row r="5967" spans="1:23" hidden="1">
      <c r="A5967" s="3" t="str">
        <f t="shared" si="93"/>
        <v>Período 1</v>
      </c>
      <c r="B5967">
        <v>2010</v>
      </c>
      <c r="C5967" t="s">
        <v>4490</v>
      </c>
      <c r="D5967" t="s">
        <v>3565</v>
      </c>
      <c r="E5967" s="3" t="str">
        <f>IF(LEN(Base_Periodo1[[#This Row],[CLASS]])&gt;=7,LEFT(Base_Periodo1[[#This Row],[CLASS]],7),"")</f>
        <v>3.1.1.1</v>
      </c>
      <c r="F5967" s="3" t="e">
        <f>VLOOKUP(Base_Periodo1[[#This Row],[Aux]],Base_Contas_Balanco[#All],2,FALSE)</f>
        <v>#N/A</v>
      </c>
      <c r="G5967" s="1"/>
      <c r="H5967" s="225">
        <v>40593.01999999996</v>
      </c>
      <c r="I5967" s="225">
        <v>0</v>
      </c>
      <c r="J5967" s="225">
        <v>0</v>
      </c>
      <c r="K5967" s="225">
        <v>40593.01999999996</v>
      </c>
      <c r="L59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-40593.019999999997</v>
      </c>
      <c r="M5967" s="225">
        <f>ROUND(IF(AND(Base_Periodo1[[#This Row],[Tipo_Linha]]="-",Base_Periodo1[[#This Row],[TIPOSALDO]]="D"),Base_Periodo1[[#This Row],[SALDO_ATUAL]]*-1,Base_Periodo1[[#This Row],[SALDO_ATUAL]]),4)</f>
        <v>40593.019999999997</v>
      </c>
      <c r="N5967" t="s">
        <v>396</v>
      </c>
      <c r="O5967" t="s">
        <v>397</v>
      </c>
      <c r="P5967" t="s">
        <v>397</v>
      </c>
      <c r="Q5967">
        <v>8</v>
      </c>
      <c r="R5967" s="282">
        <f>Base_Periodo1[[#This Row],[CREDITOS]]-Base_Periodo1[[#This Row],[DEBITOS]]</f>
        <v>0</v>
      </c>
      <c r="S5967" s="3" t="str">
        <f>IF(ISERROR(VLOOKUP(Base_Periodo1[[#This Row],[CONTA]],BaseContasDRE[#All],4,FALSE)),"Fora do DRE",VLOOKUP(Base_Periodo1[[#This Row],[CONTA]],BaseContasDRE[#All],4,FALSE))</f>
        <v>Fora do DRE</v>
      </c>
      <c r="T5967" s="3" t="str">
        <f>IF(ISERROR(VLOOKUP(Base_Periodo1[[#This Row],[CONTA]],BaseContasDRE[#All],5,FALSE)),"Fora do DRE",VLOOKUP(Base_Periodo1[[#This Row],[CONTA]],BaseContasDRE[#All],6,FALSE))</f>
        <v>Fora do DRE</v>
      </c>
      <c r="U5967" s="3" t="str">
        <f>IF(ISERROR(VLOOKUP(Base_Periodo1[[#This Row],[CONTA]],BaseContasDRE[#All],7,FALSE)),"Fora do DRE",VLOOKUP(Base_Periodo1[[#This Row],[CONTA]],BaseContasDRE[#All],7,FALSE))</f>
        <v>Fora do DRE</v>
      </c>
      <c r="V5967" s="3" t="str">
        <f>IF(Base_Periodo1[[#This Row],[Tipo_Linha]]="Fora do DRE","Fora do DRE","( "&amp;Base_Periodo1[[#This Row],[Tipo_Linha]]&amp;" ) "&amp;Base_Periodo1[[#This Row],[Filtro]])</f>
        <v>Fora do DRE</v>
      </c>
      <c r="W5967" s="3" t="str">
        <f>LEFT(Base_Periodo1[[#This Row],[CLASS]],3)</f>
        <v>3.1</v>
      </c>
    </row>
    <row r="5968" spans="1:23" hidden="1">
      <c r="A5968" s="3" t="str">
        <f t="shared" si="93"/>
        <v>Período 1</v>
      </c>
      <c r="B5968">
        <v>2011</v>
      </c>
      <c r="C5968" t="s">
        <v>4491</v>
      </c>
      <c r="D5968" t="s">
        <v>3566</v>
      </c>
      <c r="E5968" s="3" t="str">
        <f>IF(LEN(Base_Periodo1[[#This Row],[CLASS]])&gt;=7,LEFT(Base_Periodo1[[#This Row],[CLASS]],7),"")</f>
        <v>3.1.1.1</v>
      </c>
      <c r="F5968" s="3" t="e">
        <f>VLOOKUP(Base_Periodo1[[#This Row],[Aux]],Base_Contas_Balanco[#All],2,FALSE)</f>
        <v>#N/A</v>
      </c>
      <c r="G5968" s="1">
        <v>42844</v>
      </c>
      <c r="H5968" s="225">
        <v>40593.01999999996</v>
      </c>
      <c r="I5968" s="225">
        <v>0</v>
      </c>
      <c r="J5968" s="225">
        <v>0</v>
      </c>
      <c r="K5968" s="225">
        <v>40593.01999999996</v>
      </c>
      <c r="L59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-40593.019999999997</v>
      </c>
      <c r="M5968" s="225">
        <f>ROUND(IF(AND(Base_Periodo1[[#This Row],[Tipo_Linha]]="-",Base_Periodo1[[#This Row],[TIPOSALDO]]="D"),Base_Periodo1[[#This Row],[SALDO_ATUAL]]*-1,Base_Periodo1[[#This Row],[SALDO_ATUAL]]),4)</f>
        <v>-40593.019999999997</v>
      </c>
      <c r="N5968" t="s">
        <v>116</v>
      </c>
      <c r="O5968" t="s">
        <v>397</v>
      </c>
      <c r="P5968" t="s">
        <v>397</v>
      </c>
      <c r="Q5968">
        <v>9</v>
      </c>
      <c r="R5968" s="282">
        <f>Base_Periodo1[[#This Row],[CREDITOS]]-Base_Periodo1[[#This Row],[DEBITOS]]</f>
        <v>0</v>
      </c>
      <c r="S5968" s="3" t="str">
        <f>IF(ISERROR(VLOOKUP(Base_Periodo1[[#This Row],[CONTA]],BaseContasDRE[#All],4,FALSE)),"Fora do DRE",VLOOKUP(Base_Periodo1[[#This Row],[CONTA]],BaseContasDRE[#All],4,FALSE))</f>
        <v>-</v>
      </c>
      <c r="T5968" s="3">
        <f>IF(ISERROR(VLOOKUP(Base_Periodo1[[#This Row],[CONTA]],BaseContasDRE[#All],5,FALSE)),"Fora do DRE",VLOOKUP(Base_Periodo1[[#This Row],[CONTA]],BaseContasDRE[#All],6,FALSE))</f>
        <v>2</v>
      </c>
      <c r="U5968" s="3" t="str">
        <f>IF(ISERROR(VLOOKUP(Base_Periodo1[[#This Row],[CONTA]],BaseContasDRE[#All],7,FALSE)),"Fora do DRE",VLOOKUP(Base_Periodo1[[#This Row],[CONTA]],BaseContasDRE[#All],7,FALSE))</f>
        <v>ICMS SOBRE INGRESSOS E RECEITAS</v>
      </c>
      <c r="V5968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5968" s="3" t="str">
        <f>LEFT(Base_Periodo1[[#This Row],[CLASS]],3)</f>
        <v>3.1</v>
      </c>
    </row>
    <row r="5969" spans="1:23" hidden="1">
      <c r="A5969" s="3" t="str">
        <f t="shared" si="93"/>
        <v>Período 1</v>
      </c>
      <c r="B5969">
        <v>2012</v>
      </c>
      <c r="C5969" t="s">
        <v>3669</v>
      </c>
      <c r="D5969" t="s">
        <v>3567</v>
      </c>
      <c r="E5969" s="3" t="str">
        <f>IF(LEN(Base_Periodo1[[#This Row],[CLASS]])&gt;=7,LEFT(Base_Periodo1[[#This Row],[CLASS]],7),"")</f>
        <v>3.1.1.1</v>
      </c>
      <c r="F5969" s="3" t="e">
        <f>VLOOKUP(Base_Periodo1[[#This Row],[Aux]],Base_Contas_Balanco[#All],2,FALSE)</f>
        <v>#N/A</v>
      </c>
      <c r="G5969" s="1"/>
      <c r="H5969" s="225">
        <v>2342881.5799999908</v>
      </c>
      <c r="I5969" s="225">
        <v>263146.28999999998</v>
      </c>
      <c r="J5969" s="225">
        <v>0</v>
      </c>
      <c r="K5969" s="225">
        <v>2606027.8699999908</v>
      </c>
      <c r="L59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-2606027.87</v>
      </c>
      <c r="M5969" s="225">
        <f>ROUND(IF(AND(Base_Periodo1[[#This Row],[Tipo_Linha]]="-",Base_Periodo1[[#This Row],[TIPOSALDO]]="D"),Base_Periodo1[[#This Row],[SALDO_ATUAL]]*-1,Base_Periodo1[[#This Row],[SALDO_ATUAL]]),4)</f>
        <v>2606027.87</v>
      </c>
      <c r="N5969" t="s">
        <v>396</v>
      </c>
      <c r="O5969" t="s">
        <v>397</v>
      </c>
      <c r="P5969" t="s">
        <v>397</v>
      </c>
      <c r="Q5969">
        <v>8</v>
      </c>
      <c r="R5969" s="282">
        <f>Base_Periodo1[[#This Row],[CREDITOS]]-Base_Periodo1[[#This Row],[DEBITOS]]</f>
        <v>-263146.28999999998</v>
      </c>
      <c r="S5969" s="3" t="str">
        <f>IF(ISERROR(VLOOKUP(Base_Periodo1[[#This Row],[CONTA]],BaseContasDRE[#All],4,FALSE)),"Fora do DRE",VLOOKUP(Base_Periodo1[[#This Row],[CONTA]],BaseContasDRE[#All],4,FALSE))</f>
        <v>Fora do DRE</v>
      </c>
      <c r="T5969" s="3" t="str">
        <f>IF(ISERROR(VLOOKUP(Base_Periodo1[[#This Row],[CONTA]],BaseContasDRE[#All],5,FALSE)),"Fora do DRE",VLOOKUP(Base_Periodo1[[#This Row],[CONTA]],BaseContasDRE[#All],6,FALSE))</f>
        <v>Fora do DRE</v>
      </c>
      <c r="U5969" s="3" t="str">
        <f>IF(ISERROR(VLOOKUP(Base_Periodo1[[#This Row],[CONTA]],BaseContasDRE[#All],7,FALSE)),"Fora do DRE",VLOOKUP(Base_Periodo1[[#This Row],[CONTA]],BaseContasDRE[#All],7,FALSE))</f>
        <v>Fora do DRE</v>
      </c>
      <c r="V5969" s="3" t="str">
        <f>IF(Base_Periodo1[[#This Row],[Tipo_Linha]]="Fora do DRE","Fora do DRE","( "&amp;Base_Periodo1[[#This Row],[Tipo_Linha]]&amp;" ) "&amp;Base_Periodo1[[#This Row],[Filtro]])</f>
        <v>Fora do DRE</v>
      </c>
      <c r="W5969" s="3" t="str">
        <f>LEFT(Base_Periodo1[[#This Row],[CLASS]],3)</f>
        <v>3.1</v>
      </c>
    </row>
    <row r="5970" spans="1:23" hidden="1">
      <c r="A5970" s="3" t="str">
        <f t="shared" si="93"/>
        <v>Período 1</v>
      </c>
      <c r="B5970">
        <v>2013</v>
      </c>
      <c r="C5970" t="s">
        <v>3670</v>
      </c>
      <c r="D5970" t="s">
        <v>3568</v>
      </c>
      <c r="E5970" s="3" t="str">
        <f>IF(LEN(Base_Periodo1[[#This Row],[CLASS]])&gt;=7,LEFT(Base_Periodo1[[#This Row],[CLASS]],7),"")</f>
        <v>3.1.1.1</v>
      </c>
      <c r="F5970" s="3" t="e">
        <f>VLOOKUP(Base_Periodo1[[#This Row],[Aux]],Base_Contas_Balanco[#All],2,FALSE)</f>
        <v>#N/A</v>
      </c>
      <c r="G5970" s="1">
        <v>42886</v>
      </c>
      <c r="H5970" s="225">
        <v>2342881.5799999908</v>
      </c>
      <c r="I5970" s="225">
        <v>263146.28999999998</v>
      </c>
      <c r="J5970" s="225">
        <v>0</v>
      </c>
      <c r="K5970" s="225">
        <v>2606027.8699999908</v>
      </c>
      <c r="L59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-2606027.87</v>
      </c>
      <c r="M5970" s="225">
        <f>ROUND(IF(AND(Base_Periodo1[[#This Row],[Tipo_Linha]]="-",Base_Periodo1[[#This Row],[TIPOSALDO]]="D"),Base_Periodo1[[#This Row],[SALDO_ATUAL]]*-1,Base_Periodo1[[#This Row],[SALDO_ATUAL]]),4)</f>
        <v>-2606027.87</v>
      </c>
      <c r="N5970" t="s">
        <v>116</v>
      </c>
      <c r="O5970" t="s">
        <v>397</v>
      </c>
      <c r="P5970" t="s">
        <v>397</v>
      </c>
      <c r="Q5970">
        <v>9</v>
      </c>
      <c r="R5970" s="282">
        <f>Base_Periodo1[[#This Row],[CREDITOS]]-Base_Periodo1[[#This Row],[DEBITOS]]</f>
        <v>-263146.28999999998</v>
      </c>
      <c r="S5970" s="3" t="str">
        <f>IF(ISERROR(VLOOKUP(Base_Periodo1[[#This Row],[CONTA]],BaseContasDRE[#All],4,FALSE)),"Fora do DRE",VLOOKUP(Base_Periodo1[[#This Row],[CONTA]],BaseContasDRE[#All],4,FALSE))</f>
        <v>-</v>
      </c>
      <c r="T5970" s="3">
        <f>IF(ISERROR(VLOOKUP(Base_Periodo1[[#This Row],[CONTA]],BaseContasDRE[#All],5,FALSE)),"Fora do DRE",VLOOKUP(Base_Periodo1[[#This Row],[CONTA]],BaseContasDRE[#All],6,FALSE))</f>
        <v>3</v>
      </c>
      <c r="U5970" s="3" t="str">
        <f>IF(ISERROR(VLOOKUP(Base_Periodo1[[#This Row],[CONTA]],BaseContasDRE[#All],7,FALSE)),"Fora do DRE",VLOOKUP(Base_Periodo1[[#This Row],[CONTA]],BaseContasDRE[#All],7,FALSE))</f>
        <v>INSUMOS AGROPECUARIOS</v>
      </c>
      <c r="V5970" s="3" t="str">
        <f>IF(Base_Periodo1[[#This Row],[Tipo_Linha]]="Fora do DRE","Fora do DRE","( "&amp;Base_Periodo1[[#This Row],[Tipo_Linha]]&amp;" ) "&amp;Base_Periodo1[[#This Row],[Filtro]])</f>
        <v>( - ) INSUMOS AGROPECUARIOS</v>
      </c>
      <c r="W5970" s="3" t="str">
        <f>LEFT(Base_Periodo1[[#This Row],[CLASS]],3)</f>
        <v>3.1</v>
      </c>
    </row>
    <row r="5971" spans="1:23" hidden="1">
      <c r="A5971" s="3" t="str">
        <f t="shared" si="93"/>
        <v>Período 1</v>
      </c>
      <c r="B5971">
        <v>2028</v>
      </c>
      <c r="C5971" t="s">
        <v>3671</v>
      </c>
      <c r="D5971" t="s">
        <v>3672</v>
      </c>
      <c r="E5971" s="3" t="str">
        <f>IF(LEN(Base_Periodo1[[#This Row],[CLASS]])&gt;=7,LEFT(Base_Periodo1[[#This Row],[CLASS]],7),"")</f>
        <v>3.1.1.1</v>
      </c>
      <c r="F5971" s="3" t="e">
        <f>VLOOKUP(Base_Periodo1[[#This Row],[Aux]],Base_Contas_Balanco[#All],2,FALSE)</f>
        <v>#N/A</v>
      </c>
      <c r="G5971" s="1"/>
      <c r="H5971" s="225">
        <v>91008.219999972644</v>
      </c>
      <c r="I5971" s="225">
        <v>17074.04</v>
      </c>
      <c r="J5971" s="225">
        <v>22395.200000000001</v>
      </c>
      <c r="K5971" s="225">
        <v>96329.379999972633</v>
      </c>
      <c r="L59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96329.38</v>
      </c>
      <c r="M5971" s="225">
        <f>ROUND(IF(AND(Base_Periodo1[[#This Row],[Tipo_Linha]]="-",Base_Periodo1[[#This Row],[TIPOSALDO]]="D"),Base_Periodo1[[#This Row],[SALDO_ATUAL]]*-1,Base_Periodo1[[#This Row],[SALDO_ATUAL]]),4)</f>
        <v>96329.38</v>
      </c>
      <c r="N5971" t="s">
        <v>396</v>
      </c>
      <c r="O5971" t="s">
        <v>459</v>
      </c>
      <c r="P5971" t="s">
        <v>459</v>
      </c>
      <c r="Q5971">
        <v>7</v>
      </c>
      <c r="R5971" s="282">
        <f>Base_Periodo1[[#This Row],[CREDITOS]]-Base_Periodo1[[#This Row],[DEBITOS]]</f>
        <v>5321.16</v>
      </c>
      <c r="S5971" s="3" t="str">
        <f>IF(ISERROR(VLOOKUP(Base_Periodo1[[#This Row],[CONTA]],BaseContasDRE[#All],4,FALSE)),"Fora do DRE",VLOOKUP(Base_Periodo1[[#This Row],[CONTA]],BaseContasDRE[#All],4,FALSE))</f>
        <v>Fora do DRE</v>
      </c>
      <c r="T5971" s="3" t="str">
        <f>IF(ISERROR(VLOOKUP(Base_Periodo1[[#This Row],[CONTA]],BaseContasDRE[#All],5,FALSE)),"Fora do DRE",VLOOKUP(Base_Periodo1[[#This Row],[CONTA]],BaseContasDRE[#All],6,FALSE))</f>
        <v>Fora do DRE</v>
      </c>
      <c r="U5971" s="3" t="str">
        <f>IF(ISERROR(VLOOKUP(Base_Periodo1[[#This Row],[CONTA]],BaseContasDRE[#All],7,FALSE)),"Fora do DRE",VLOOKUP(Base_Periodo1[[#This Row],[CONTA]],BaseContasDRE[#All],7,FALSE))</f>
        <v>Fora do DRE</v>
      </c>
      <c r="V5971" s="3" t="str">
        <f>IF(Base_Periodo1[[#This Row],[Tipo_Linha]]="Fora do DRE","Fora do DRE","( "&amp;Base_Periodo1[[#This Row],[Tipo_Linha]]&amp;" ) "&amp;Base_Periodo1[[#This Row],[Filtro]])</f>
        <v>Fora do DRE</v>
      </c>
      <c r="W5971" s="3" t="str">
        <f>LEFT(Base_Periodo1[[#This Row],[CLASS]],3)</f>
        <v>3.1</v>
      </c>
    </row>
    <row r="5972" spans="1:23" hidden="1">
      <c r="A5972" s="3" t="str">
        <f t="shared" si="93"/>
        <v>Período 1</v>
      </c>
      <c r="B5972">
        <v>2029</v>
      </c>
      <c r="C5972" t="s">
        <v>3673</v>
      </c>
      <c r="D5972" t="s">
        <v>3578</v>
      </c>
      <c r="E5972" s="3" t="str">
        <f>IF(LEN(Base_Periodo1[[#This Row],[CLASS]])&gt;=7,LEFT(Base_Periodo1[[#This Row],[CLASS]],7),"")</f>
        <v>3.1.1.1</v>
      </c>
      <c r="F5972" s="3" t="e">
        <f>VLOOKUP(Base_Periodo1[[#This Row],[Aux]],Base_Contas_Balanco[#All],2,FALSE)</f>
        <v>#N/A</v>
      </c>
      <c r="G5972" s="1"/>
      <c r="H5972" s="225">
        <v>405625.94999998063</v>
      </c>
      <c r="I5972" s="225">
        <v>0</v>
      </c>
      <c r="J5972" s="225">
        <v>22395.200000000001</v>
      </c>
      <c r="K5972" s="225">
        <v>428021.14999998064</v>
      </c>
      <c r="L59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428021.15</v>
      </c>
      <c r="M5972" s="225">
        <f>ROUND(IF(AND(Base_Periodo1[[#This Row],[Tipo_Linha]]="-",Base_Periodo1[[#This Row],[TIPOSALDO]]="D"),Base_Periodo1[[#This Row],[SALDO_ATUAL]]*-1,Base_Periodo1[[#This Row],[SALDO_ATUAL]]),4)</f>
        <v>428021.15</v>
      </c>
      <c r="N5972" t="s">
        <v>396</v>
      </c>
      <c r="O5972" t="s">
        <v>459</v>
      </c>
      <c r="P5972" t="s">
        <v>459</v>
      </c>
      <c r="Q5972">
        <v>8</v>
      </c>
      <c r="R5972" s="282">
        <f>Base_Periodo1[[#This Row],[CREDITOS]]-Base_Periodo1[[#This Row],[DEBITOS]]</f>
        <v>22395.200000000001</v>
      </c>
      <c r="S5972" s="3" t="str">
        <f>IF(ISERROR(VLOOKUP(Base_Periodo1[[#This Row],[CONTA]],BaseContasDRE[#All],4,FALSE)),"Fora do DRE",VLOOKUP(Base_Periodo1[[#This Row],[CONTA]],BaseContasDRE[#All],4,FALSE))</f>
        <v>Fora do DRE</v>
      </c>
      <c r="T5972" s="3" t="str">
        <f>IF(ISERROR(VLOOKUP(Base_Periodo1[[#This Row],[CONTA]],BaseContasDRE[#All],5,FALSE)),"Fora do DRE",VLOOKUP(Base_Periodo1[[#This Row],[CONTA]],BaseContasDRE[#All],6,FALSE))</f>
        <v>Fora do DRE</v>
      </c>
      <c r="U5972" s="3" t="str">
        <f>IF(ISERROR(VLOOKUP(Base_Periodo1[[#This Row],[CONTA]],BaseContasDRE[#All],7,FALSE)),"Fora do DRE",VLOOKUP(Base_Periodo1[[#This Row],[CONTA]],BaseContasDRE[#All],7,FALSE))</f>
        <v>Fora do DRE</v>
      </c>
      <c r="V5972" s="3" t="str">
        <f>IF(Base_Periodo1[[#This Row],[Tipo_Linha]]="Fora do DRE","Fora do DRE","( "&amp;Base_Periodo1[[#This Row],[Tipo_Linha]]&amp;" ) "&amp;Base_Periodo1[[#This Row],[Filtro]])</f>
        <v>Fora do DRE</v>
      </c>
      <c r="W5972" s="3" t="str">
        <f>LEFT(Base_Periodo1[[#This Row],[CLASS]],3)</f>
        <v>3.1</v>
      </c>
    </row>
    <row r="5973" spans="1:23" hidden="1">
      <c r="A5973" s="3" t="str">
        <f t="shared" si="93"/>
        <v>Período 1</v>
      </c>
      <c r="B5973">
        <v>2030</v>
      </c>
      <c r="C5973" t="s">
        <v>3674</v>
      </c>
      <c r="D5973" t="s">
        <v>3562</v>
      </c>
      <c r="E5973" s="3" t="str">
        <f>IF(LEN(Base_Periodo1[[#This Row],[CLASS]])&gt;=7,LEFT(Base_Periodo1[[#This Row],[CLASS]],7),"")</f>
        <v>3.1.1.1</v>
      </c>
      <c r="F5973" s="3" t="e">
        <f>VLOOKUP(Base_Periodo1[[#This Row],[Aux]],Base_Contas_Balanco[#All],2,FALSE)</f>
        <v>#N/A</v>
      </c>
      <c r="G5973" s="1">
        <v>42880</v>
      </c>
      <c r="H5973" s="225">
        <v>405625.94999998063</v>
      </c>
      <c r="I5973" s="225">
        <v>0</v>
      </c>
      <c r="J5973" s="225">
        <v>22395.200000000001</v>
      </c>
      <c r="K5973" s="225">
        <v>428021.14999998064</v>
      </c>
      <c r="L59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428021.15</v>
      </c>
      <c r="M5973" s="225">
        <f>ROUND(IF(AND(Base_Periodo1[[#This Row],[Tipo_Linha]]="-",Base_Periodo1[[#This Row],[TIPOSALDO]]="D"),Base_Periodo1[[#This Row],[SALDO_ATUAL]]*-1,Base_Periodo1[[#This Row],[SALDO_ATUAL]]),4)</f>
        <v>428021.15</v>
      </c>
      <c r="N5973" t="s">
        <v>116</v>
      </c>
      <c r="O5973" t="s">
        <v>459</v>
      </c>
      <c r="P5973" t="s">
        <v>459</v>
      </c>
      <c r="Q5973">
        <v>9</v>
      </c>
      <c r="R5973" s="282">
        <f>Base_Periodo1[[#This Row],[CREDITOS]]-Base_Periodo1[[#This Row],[DEBITOS]]</f>
        <v>22395.200000000001</v>
      </c>
      <c r="S5973" s="3" t="str">
        <f>IF(ISERROR(VLOOKUP(Base_Periodo1[[#This Row],[CONTA]],BaseContasDRE[#All],4,FALSE)),"Fora do DRE",VLOOKUP(Base_Periodo1[[#This Row],[CONTA]],BaseContasDRE[#All],4,FALSE))</f>
        <v>+</v>
      </c>
      <c r="T5973" s="3">
        <f>IF(ISERROR(VLOOKUP(Base_Periodo1[[#This Row],[CONTA]],BaseContasDRE[#All],5,FALSE)),"Fora do DRE",VLOOKUP(Base_Periodo1[[#This Row],[CONTA]],BaseContasDRE[#All],6,FALSE))</f>
        <v>1</v>
      </c>
      <c r="U5973" s="3" t="str">
        <f>IF(ISERROR(VLOOKUP(Base_Periodo1[[#This Row],[CONTA]],BaseContasDRE[#All],7,FALSE)),"Fora do DRE",VLOOKUP(Base_Periodo1[[#This Row],[CONTA]],BaseContasDRE[#All],7,FALSE))</f>
        <v>INSUMOS AGROPECUARIOS</v>
      </c>
      <c r="V5973" s="3" t="str">
        <f>IF(Base_Periodo1[[#This Row],[Tipo_Linha]]="Fora do DRE","Fora do DRE","( "&amp;Base_Periodo1[[#This Row],[Tipo_Linha]]&amp;" ) "&amp;Base_Periodo1[[#This Row],[Filtro]])</f>
        <v>( + ) INSUMOS AGROPECUARIOS</v>
      </c>
      <c r="W5973" s="3" t="str">
        <f>LEFT(Base_Periodo1[[#This Row],[CLASS]],3)</f>
        <v>3.1</v>
      </c>
    </row>
    <row r="5974" spans="1:23" hidden="1">
      <c r="A5974" s="3" t="str">
        <f t="shared" si="93"/>
        <v>Período 1</v>
      </c>
      <c r="B5974">
        <v>2031</v>
      </c>
      <c r="C5974" t="s">
        <v>6027</v>
      </c>
      <c r="D5974" t="s">
        <v>3563</v>
      </c>
      <c r="E5974" s="3" t="str">
        <f>IF(LEN(Base_Periodo1[[#This Row],[CLASS]])&gt;=7,LEFT(Base_Periodo1[[#This Row],[CLASS]],7),"")</f>
        <v>3.1.1.1</v>
      </c>
      <c r="F5974" s="3" t="e">
        <f>VLOOKUP(Base_Periodo1[[#This Row],[Aux]],Base_Contas_Balanco[#All],2,FALSE)</f>
        <v>#N/A</v>
      </c>
      <c r="G5974" s="1"/>
      <c r="H5974" s="225">
        <v>1100.0000000001164</v>
      </c>
      <c r="I5974" s="225">
        <v>0</v>
      </c>
      <c r="J5974" s="225">
        <v>0</v>
      </c>
      <c r="K5974" s="225">
        <v>1100.0000000001164</v>
      </c>
      <c r="L59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-1100</v>
      </c>
      <c r="M5974" s="225">
        <f>ROUND(IF(AND(Base_Periodo1[[#This Row],[Tipo_Linha]]="-",Base_Periodo1[[#This Row],[TIPOSALDO]]="D"),Base_Periodo1[[#This Row],[SALDO_ATUAL]]*-1,Base_Periodo1[[#This Row],[SALDO_ATUAL]]),4)</f>
        <v>1100</v>
      </c>
      <c r="N5974" t="s">
        <v>396</v>
      </c>
      <c r="O5974" t="s">
        <v>397</v>
      </c>
      <c r="P5974" t="s">
        <v>397</v>
      </c>
      <c r="Q5974">
        <v>8</v>
      </c>
      <c r="R5974" s="282">
        <f>Base_Periodo1[[#This Row],[CREDITOS]]-Base_Periodo1[[#This Row],[DEBITOS]]</f>
        <v>0</v>
      </c>
      <c r="S5974" s="3" t="str">
        <f>IF(ISERROR(VLOOKUP(Base_Periodo1[[#This Row],[CONTA]],BaseContasDRE[#All],4,FALSE)),"Fora do DRE",VLOOKUP(Base_Periodo1[[#This Row],[CONTA]],BaseContasDRE[#All],4,FALSE))</f>
        <v>Fora do DRE</v>
      </c>
      <c r="T5974" s="3" t="str">
        <f>IF(ISERROR(VLOOKUP(Base_Periodo1[[#This Row],[CONTA]],BaseContasDRE[#All],5,FALSE)),"Fora do DRE",VLOOKUP(Base_Periodo1[[#This Row],[CONTA]],BaseContasDRE[#All],6,FALSE))</f>
        <v>Fora do DRE</v>
      </c>
      <c r="U5974" s="3" t="str">
        <f>IF(ISERROR(VLOOKUP(Base_Periodo1[[#This Row],[CONTA]],BaseContasDRE[#All],7,FALSE)),"Fora do DRE",VLOOKUP(Base_Periodo1[[#This Row],[CONTA]],BaseContasDRE[#All],7,FALSE))</f>
        <v>Fora do DRE</v>
      </c>
      <c r="V5974" s="3" t="str">
        <f>IF(Base_Periodo1[[#This Row],[Tipo_Linha]]="Fora do DRE","Fora do DRE","( "&amp;Base_Periodo1[[#This Row],[Tipo_Linha]]&amp;" ) "&amp;Base_Periodo1[[#This Row],[Filtro]])</f>
        <v>Fora do DRE</v>
      </c>
      <c r="W5974" s="3" t="str">
        <f>LEFT(Base_Periodo1[[#This Row],[CLASS]],3)</f>
        <v>3.1</v>
      </c>
    </row>
    <row r="5975" spans="1:23" hidden="1">
      <c r="A5975" s="3" t="str">
        <f t="shared" si="93"/>
        <v>Período 1</v>
      </c>
      <c r="B5975">
        <v>2032</v>
      </c>
      <c r="C5975" t="s">
        <v>6028</v>
      </c>
      <c r="D5975" t="s">
        <v>3564</v>
      </c>
      <c r="E5975" s="3" t="str">
        <f>IF(LEN(Base_Periodo1[[#This Row],[CLASS]])&gt;=7,LEFT(Base_Periodo1[[#This Row],[CLASS]],7),"")</f>
        <v>3.1.1.1</v>
      </c>
      <c r="F5975" s="3" t="e">
        <f>VLOOKUP(Base_Periodo1[[#This Row],[Aux]],Base_Contas_Balanco[#All],2,FALSE)</f>
        <v>#N/A</v>
      </c>
      <c r="G5975" s="1">
        <v>42767</v>
      </c>
      <c r="H5975" s="225">
        <v>1100.0000000001164</v>
      </c>
      <c r="I5975" s="225">
        <v>0</v>
      </c>
      <c r="J5975" s="225">
        <v>0</v>
      </c>
      <c r="K5975" s="225">
        <v>1100.0000000001164</v>
      </c>
      <c r="L59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-1100</v>
      </c>
      <c r="M5975" s="225">
        <f>ROUND(IF(AND(Base_Periodo1[[#This Row],[Tipo_Linha]]="-",Base_Periodo1[[#This Row],[TIPOSALDO]]="D"),Base_Periodo1[[#This Row],[SALDO_ATUAL]]*-1,Base_Periodo1[[#This Row],[SALDO_ATUAL]]),4)</f>
        <v>-1100</v>
      </c>
      <c r="N5975" t="s">
        <v>116</v>
      </c>
      <c r="O5975" t="s">
        <v>397</v>
      </c>
      <c r="P5975" t="s">
        <v>397</v>
      </c>
      <c r="Q5975">
        <v>9</v>
      </c>
      <c r="R5975" s="282">
        <f>Base_Periodo1[[#This Row],[CREDITOS]]-Base_Periodo1[[#This Row],[DEBITOS]]</f>
        <v>0</v>
      </c>
      <c r="S5975" s="3" t="str">
        <f>IF(ISERROR(VLOOKUP(Base_Periodo1[[#This Row],[CONTA]],BaseContasDRE[#All],4,FALSE)),"Fora do DRE",VLOOKUP(Base_Periodo1[[#This Row],[CONTA]],BaseContasDRE[#All],4,FALSE))</f>
        <v>-</v>
      </c>
      <c r="T5975" s="3">
        <f>IF(ISERROR(VLOOKUP(Base_Periodo1[[#This Row],[CONTA]],BaseContasDRE[#All],5,FALSE)),"Fora do DRE",VLOOKUP(Base_Periodo1[[#This Row],[CONTA]],BaseContasDRE[#All],6,FALSE))</f>
        <v>2</v>
      </c>
      <c r="U5975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975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975" s="3" t="str">
        <f>LEFT(Base_Periodo1[[#This Row],[CLASS]],3)</f>
        <v>3.1</v>
      </c>
    </row>
    <row r="5976" spans="1:23" hidden="1">
      <c r="A5976" s="3" t="str">
        <f t="shared" si="93"/>
        <v>Período 1</v>
      </c>
      <c r="B5976">
        <v>2035</v>
      </c>
      <c r="C5976" t="s">
        <v>3675</v>
      </c>
      <c r="D5976" t="s">
        <v>3567</v>
      </c>
      <c r="E5976" s="3" t="str">
        <f>IF(LEN(Base_Periodo1[[#This Row],[CLASS]])&gt;=7,LEFT(Base_Periodo1[[#This Row],[CLASS]],7),"")</f>
        <v>3.1.1.1</v>
      </c>
      <c r="F5976" s="3" t="e">
        <f>VLOOKUP(Base_Periodo1[[#This Row],[Aux]],Base_Contas_Balanco[#All],2,FALSE)</f>
        <v>#N/A</v>
      </c>
      <c r="G5976" s="1"/>
      <c r="H5976" s="225">
        <v>313517.7300000079</v>
      </c>
      <c r="I5976" s="225">
        <v>17074.04</v>
      </c>
      <c r="J5976" s="225">
        <v>0</v>
      </c>
      <c r="K5976" s="225">
        <v>330591.77000000788</v>
      </c>
      <c r="L59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-330591.77</v>
      </c>
      <c r="M5976" s="225">
        <f>ROUND(IF(AND(Base_Periodo1[[#This Row],[Tipo_Linha]]="-",Base_Periodo1[[#This Row],[TIPOSALDO]]="D"),Base_Periodo1[[#This Row],[SALDO_ATUAL]]*-1,Base_Periodo1[[#This Row],[SALDO_ATUAL]]),4)</f>
        <v>330591.77</v>
      </c>
      <c r="N5976" t="s">
        <v>396</v>
      </c>
      <c r="O5976" t="s">
        <v>397</v>
      </c>
      <c r="P5976" t="s">
        <v>397</v>
      </c>
      <c r="Q5976">
        <v>8</v>
      </c>
      <c r="R5976" s="282">
        <f>Base_Periodo1[[#This Row],[CREDITOS]]-Base_Periodo1[[#This Row],[DEBITOS]]</f>
        <v>-17074.04</v>
      </c>
      <c r="S5976" s="3" t="str">
        <f>IF(ISERROR(VLOOKUP(Base_Periodo1[[#This Row],[CONTA]],BaseContasDRE[#All],4,FALSE)),"Fora do DRE",VLOOKUP(Base_Periodo1[[#This Row],[CONTA]],BaseContasDRE[#All],4,FALSE))</f>
        <v>Fora do DRE</v>
      </c>
      <c r="T5976" s="3" t="str">
        <f>IF(ISERROR(VLOOKUP(Base_Periodo1[[#This Row],[CONTA]],BaseContasDRE[#All],5,FALSE)),"Fora do DRE",VLOOKUP(Base_Periodo1[[#This Row],[CONTA]],BaseContasDRE[#All],6,FALSE))</f>
        <v>Fora do DRE</v>
      </c>
      <c r="U5976" s="3" t="str">
        <f>IF(ISERROR(VLOOKUP(Base_Periodo1[[#This Row],[CONTA]],BaseContasDRE[#All],7,FALSE)),"Fora do DRE",VLOOKUP(Base_Periodo1[[#This Row],[CONTA]],BaseContasDRE[#All],7,FALSE))</f>
        <v>Fora do DRE</v>
      </c>
      <c r="V5976" s="3" t="str">
        <f>IF(Base_Periodo1[[#This Row],[Tipo_Linha]]="Fora do DRE","Fora do DRE","( "&amp;Base_Periodo1[[#This Row],[Tipo_Linha]]&amp;" ) "&amp;Base_Periodo1[[#This Row],[Filtro]])</f>
        <v>Fora do DRE</v>
      </c>
      <c r="W5976" s="3" t="str">
        <f>LEFT(Base_Periodo1[[#This Row],[CLASS]],3)</f>
        <v>3.1</v>
      </c>
    </row>
    <row r="5977" spans="1:23" hidden="1">
      <c r="A5977" s="3" t="str">
        <f t="shared" si="93"/>
        <v>Período 1</v>
      </c>
      <c r="B5977">
        <v>2036</v>
      </c>
      <c r="C5977" t="s">
        <v>3676</v>
      </c>
      <c r="D5977" t="s">
        <v>3568</v>
      </c>
      <c r="E5977" s="3" t="str">
        <f>IF(LEN(Base_Periodo1[[#This Row],[CLASS]])&gt;=7,LEFT(Base_Periodo1[[#This Row],[CLASS]],7),"")</f>
        <v>3.1.1.1</v>
      </c>
      <c r="F5977" s="3" t="e">
        <f>VLOOKUP(Base_Periodo1[[#This Row],[Aux]],Base_Contas_Balanco[#All],2,FALSE)</f>
        <v>#N/A</v>
      </c>
      <c r="G5977" s="1">
        <v>42886</v>
      </c>
      <c r="H5977" s="225">
        <v>313517.7300000079</v>
      </c>
      <c r="I5977" s="225">
        <v>17074.04</v>
      </c>
      <c r="J5977" s="225">
        <v>0</v>
      </c>
      <c r="K5977" s="225">
        <v>330591.77000000788</v>
      </c>
      <c r="L59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-330591.77</v>
      </c>
      <c r="M5977" s="225">
        <f>ROUND(IF(AND(Base_Periodo1[[#This Row],[Tipo_Linha]]="-",Base_Periodo1[[#This Row],[TIPOSALDO]]="D"),Base_Periodo1[[#This Row],[SALDO_ATUAL]]*-1,Base_Periodo1[[#This Row],[SALDO_ATUAL]]),4)</f>
        <v>-330591.77</v>
      </c>
      <c r="N5977" t="s">
        <v>116</v>
      </c>
      <c r="O5977" t="s">
        <v>397</v>
      </c>
      <c r="P5977" t="s">
        <v>397</v>
      </c>
      <c r="Q5977">
        <v>9</v>
      </c>
      <c r="R5977" s="282">
        <f>Base_Periodo1[[#This Row],[CREDITOS]]-Base_Periodo1[[#This Row],[DEBITOS]]</f>
        <v>-17074.04</v>
      </c>
      <c r="S5977" s="3" t="str">
        <f>IF(ISERROR(VLOOKUP(Base_Periodo1[[#This Row],[CONTA]],BaseContasDRE[#All],4,FALSE)),"Fora do DRE",VLOOKUP(Base_Periodo1[[#This Row],[CONTA]],BaseContasDRE[#All],4,FALSE))</f>
        <v>-</v>
      </c>
      <c r="T5977" s="3">
        <f>IF(ISERROR(VLOOKUP(Base_Periodo1[[#This Row],[CONTA]],BaseContasDRE[#All],5,FALSE)),"Fora do DRE",VLOOKUP(Base_Periodo1[[#This Row],[CONTA]],BaseContasDRE[#All],6,FALSE))</f>
        <v>3</v>
      </c>
      <c r="U5977" s="3" t="str">
        <f>IF(ISERROR(VLOOKUP(Base_Periodo1[[#This Row],[CONTA]],BaseContasDRE[#All],7,FALSE)),"Fora do DRE",VLOOKUP(Base_Periodo1[[#This Row],[CONTA]],BaseContasDRE[#All],7,FALSE))</f>
        <v>INSUMOS AGROPECUARIOS</v>
      </c>
      <c r="V5977" s="3" t="str">
        <f>IF(Base_Periodo1[[#This Row],[Tipo_Linha]]="Fora do DRE","Fora do DRE","( "&amp;Base_Periodo1[[#This Row],[Tipo_Linha]]&amp;" ) "&amp;Base_Periodo1[[#This Row],[Filtro]])</f>
        <v>( - ) INSUMOS AGROPECUARIOS</v>
      </c>
      <c r="W5977" s="3" t="str">
        <f>LEFT(Base_Periodo1[[#This Row],[CLASS]],3)</f>
        <v>3.1</v>
      </c>
    </row>
    <row r="5978" spans="1:23" hidden="1">
      <c r="A5978" s="3" t="str">
        <f t="shared" si="93"/>
        <v>Período 1</v>
      </c>
      <c r="B5978">
        <v>2046</v>
      </c>
      <c r="C5978" t="s">
        <v>3677</v>
      </c>
      <c r="D5978" t="s">
        <v>321</v>
      </c>
      <c r="E5978" s="3" t="str">
        <f>IF(LEN(Base_Periodo1[[#This Row],[CLASS]])&gt;=7,LEFT(Base_Periodo1[[#This Row],[CLASS]],7),"")</f>
        <v>3.1.1.1</v>
      </c>
      <c r="F5978" s="3" t="e">
        <f>VLOOKUP(Base_Periodo1[[#This Row],[Aux]],Base_Contas_Balanco[#All],2,FALSE)</f>
        <v>#N/A</v>
      </c>
      <c r="G5978" s="1"/>
      <c r="H5978" s="225">
        <v>80722.419999994338</v>
      </c>
      <c r="I5978" s="225">
        <v>104550.53</v>
      </c>
      <c r="J5978" s="225">
        <v>131984</v>
      </c>
      <c r="K5978" s="225">
        <v>108155.88999999434</v>
      </c>
      <c r="L59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108155.89</v>
      </c>
      <c r="M5978" s="225">
        <f>ROUND(IF(AND(Base_Periodo1[[#This Row],[Tipo_Linha]]="-",Base_Periodo1[[#This Row],[TIPOSALDO]]="D"),Base_Periodo1[[#This Row],[SALDO_ATUAL]]*-1,Base_Periodo1[[#This Row],[SALDO_ATUAL]]),4)</f>
        <v>108155.89</v>
      </c>
      <c r="N5978" t="s">
        <v>396</v>
      </c>
      <c r="O5978" t="s">
        <v>459</v>
      </c>
      <c r="P5978" t="s">
        <v>459</v>
      </c>
      <c r="Q5978">
        <v>7</v>
      </c>
      <c r="R5978" s="282">
        <f>Base_Periodo1[[#This Row],[CREDITOS]]-Base_Periodo1[[#This Row],[DEBITOS]]</f>
        <v>27433.47</v>
      </c>
      <c r="S5978" s="3" t="str">
        <f>IF(ISERROR(VLOOKUP(Base_Periodo1[[#This Row],[CONTA]],BaseContasDRE[#All],4,FALSE)),"Fora do DRE",VLOOKUP(Base_Periodo1[[#This Row],[CONTA]],BaseContasDRE[#All],4,FALSE))</f>
        <v>Fora do DRE</v>
      </c>
      <c r="T5978" s="3" t="str">
        <f>IF(ISERROR(VLOOKUP(Base_Periodo1[[#This Row],[CONTA]],BaseContasDRE[#All],5,FALSE)),"Fora do DRE",VLOOKUP(Base_Periodo1[[#This Row],[CONTA]],BaseContasDRE[#All],6,FALSE))</f>
        <v>Fora do DRE</v>
      </c>
      <c r="U5978" s="3" t="str">
        <f>IF(ISERROR(VLOOKUP(Base_Periodo1[[#This Row],[CONTA]],BaseContasDRE[#All],7,FALSE)),"Fora do DRE",VLOOKUP(Base_Periodo1[[#This Row],[CONTA]],BaseContasDRE[#All],7,FALSE))</f>
        <v>Fora do DRE</v>
      </c>
      <c r="V5978" s="3" t="str">
        <f>IF(Base_Periodo1[[#This Row],[Tipo_Linha]]="Fora do DRE","Fora do DRE","( "&amp;Base_Periodo1[[#This Row],[Tipo_Linha]]&amp;" ) "&amp;Base_Periodo1[[#This Row],[Filtro]])</f>
        <v>Fora do DRE</v>
      </c>
      <c r="W5978" s="3" t="str">
        <f>LEFT(Base_Periodo1[[#This Row],[CLASS]],3)</f>
        <v>3.1</v>
      </c>
    </row>
    <row r="5979" spans="1:23" hidden="1">
      <c r="A5979" s="3" t="str">
        <f t="shared" si="93"/>
        <v>Período 1</v>
      </c>
      <c r="B5979">
        <v>2047</v>
      </c>
      <c r="C5979" t="s">
        <v>3678</v>
      </c>
      <c r="D5979" t="s">
        <v>3578</v>
      </c>
      <c r="E5979" s="3" t="str">
        <f>IF(LEN(Base_Periodo1[[#This Row],[CLASS]])&gt;=7,LEFT(Base_Periodo1[[#This Row],[CLASS]],7),"")</f>
        <v>3.1.1.1</v>
      </c>
      <c r="F5979" s="3" t="e">
        <f>VLOOKUP(Base_Periodo1[[#This Row],[Aux]],Base_Contas_Balanco[#All],2,FALSE)</f>
        <v>#N/A</v>
      </c>
      <c r="G5979" s="1"/>
      <c r="H5979" s="225">
        <v>450213.16999999434</v>
      </c>
      <c r="I5979" s="225">
        <v>0</v>
      </c>
      <c r="J5979" s="225">
        <v>131984</v>
      </c>
      <c r="K5979" s="225">
        <v>582197.16999999434</v>
      </c>
      <c r="L59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582197.17000000004</v>
      </c>
      <c r="M5979" s="225">
        <f>ROUND(IF(AND(Base_Periodo1[[#This Row],[Tipo_Linha]]="-",Base_Periodo1[[#This Row],[TIPOSALDO]]="D"),Base_Periodo1[[#This Row],[SALDO_ATUAL]]*-1,Base_Periodo1[[#This Row],[SALDO_ATUAL]]),4)</f>
        <v>582197.17000000004</v>
      </c>
      <c r="N5979" t="s">
        <v>396</v>
      </c>
      <c r="O5979" t="s">
        <v>459</v>
      </c>
      <c r="P5979" t="s">
        <v>459</v>
      </c>
      <c r="Q5979">
        <v>8</v>
      </c>
      <c r="R5979" s="282">
        <f>Base_Periodo1[[#This Row],[CREDITOS]]-Base_Periodo1[[#This Row],[DEBITOS]]</f>
        <v>131984</v>
      </c>
      <c r="S5979" s="3" t="str">
        <f>IF(ISERROR(VLOOKUP(Base_Periodo1[[#This Row],[CONTA]],BaseContasDRE[#All],4,FALSE)),"Fora do DRE",VLOOKUP(Base_Periodo1[[#This Row],[CONTA]],BaseContasDRE[#All],4,FALSE))</f>
        <v>Fora do DRE</v>
      </c>
      <c r="T5979" s="3" t="str">
        <f>IF(ISERROR(VLOOKUP(Base_Periodo1[[#This Row],[CONTA]],BaseContasDRE[#All],5,FALSE)),"Fora do DRE",VLOOKUP(Base_Periodo1[[#This Row],[CONTA]],BaseContasDRE[#All],6,FALSE))</f>
        <v>Fora do DRE</v>
      </c>
      <c r="U5979" s="3" t="str">
        <f>IF(ISERROR(VLOOKUP(Base_Periodo1[[#This Row],[CONTA]],BaseContasDRE[#All],7,FALSE)),"Fora do DRE",VLOOKUP(Base_Periodo1[[#This Row],[CONTA]],BaseContasDRE[#All],7,FALSE))</f>
        <v>Fora do DRE</v>
      </c>
      <c r="V5979" s="3" t="str">
        <f>IF(Base_Periodo1[[#This Row],[Tipo_Linha]]="Fora do DRE","Fora do DRE","( "&amp;Base_Periodo1[[#This Row],[Tipo_Linha]]&amp;" ) "&amp;Base_Periodo1[[#This Row],[Filtro]])</f>
        <v>Fora do DRE</v>
      </c>
      <c r="W5979" s="3" t="str">
        <f>LEFT(Base_Periodo1[[#This Row],[CLASS]],3)</f>
        <v>3.1</v>
      </c>
    </row>
    <row r="5980" spans="1:23" hidden="1">
      <c r="A5980" s="3" t="str">
        <f t="shared" si="93"/>
        <v>Período 1</v>
      </c>
      <c r="B5980">
        <v>2048</v>
      </c>
      <c r="C5980" t="s">
        <v>3679</v>
      </c>
      <c r="D5980" t="s">
        <v>3562</v>
      </c>
      <c r="E5980" s="3" t="str">
        <f>IF(LEN(Base_Periodo1[[#This Row],[CLASS]])&gt;=7,LEFT(Base_Periodo1[[#This Row],[CLASS]],7),"")</f>
        <v>3.1.1.1</v>
      </c>
      <c r="F5980" s="3" t="e">
        <f>VLOOKUP(Base_Periodo1[[#This Row],[Aux]],Base_Contas_Balanco[#All],2,FALSE)</f>
        <v>#N/A</v>
      </c>
      <c r="G5980" s="1">
        <v>42881</v>
      </c>
      <c r="H5980" s="225">
        <v>450213.16999999434</v>
      </c>
      <c r="I5980" s="225">
        <v>0</v>
      </c>
      <c r="J5980" s="225">
        <v>131984</v>
      </c>
      <c r="K5980" s="225">
        <v>582197.16999999434</v>
      </c>
      <c r="L59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582197.17000000004</v>
      </c>
      <c r="M5980" s="225">
        <f>ROUND(IF(AND(Base_Periodo1[[#This Row],[Tipo_Linha]]="-",Base_Periodo1[[#This Row],[TIPOSALDO]]="D"),Base_Periodo1[[#This Row],[SALDO_ATUAL]]*-1,Base_Periodo1[[#This Row],[SALDO_ATUAL]]),4)</f>
        <v>582197.17000000004</v>
      </c>
      <c r="N5980" t="s">
        <v>116</v>
      </c>
      <c r="O5980" t="s">
        <v>459</v>
      </c>
      <c r="P5980" t="s">
        <v>459</v>
      </c>
      <c r="Q5980">
        <v>9</v>
      </c>
      <c r="R5980" s="282">
        <f>Base_Periodo1[[#This Row],[CREDITOS]]-Base_Periodo1[[#This Row],[DEBITOS]]</f>
        <v>131984</v>
      </c>
      <c r="S5980" s="3" t="str">
        <f>IF(ISERROR(VLOOKUP(Base_Periodo1[[#This Row],[CONTA]],BaseContasDRE[#All],4,FALSE)),"Fora do DRE",VLOOKUP(Base_Periodo1[[#This Row],[CONTA]],BaseContasDRE[#All],4,FALSE))</f>
        <v>+</v>
      </c>
      <c r="T5980" s="3">
        <f>IF(ISERROR(VLOOKUP(Base_Periodo1[[#This Row],[CONTA]],BaseContasDRE[#All],5,FALSE)),"Fora do DRE",VLOOKUP(Base_Periodo1[[#This Row],[CONTA]],BaseContasDRE[#All],6,FALSE))</f>
        <v>1</v>
      </c>
      <c r="U5980" s="3" t="str">
        <f>IF(ISERROR(VLOOKUP(Base_Periodo1[[#This Row],[CONTA]],BaseContasDRE[#All],7,FALSE)),"Fora do DRE",VLOOKUP(Base_Periodo1[[#This Row],[CONTA]],BaseContasDRE[#All],7,FALSE))</f>
        <v>INSUMOS AGROPECUARIOS</v>
      </c>
      <c r="V5980" s="3" t="str">
        <f>IF(Base_Periodo1[[#This Row],[Tipo_Linha]]="Fora do DRE","Fora do DRE","( "&amp;Base_Periodo1[[#This Row],[Tipo_Linha]]&amp;" ) "&amp;Base_Periodo1[[#This Row],[Filtro]])</f>
        <v>( + ) INSUMOS AGROPECUARIOS</v>
      </c>
      <c r="W5980" s="3" t="str">
        <f>LEFT(Base_Periodo1[[#This Row],[CLASS]],3)</f>
        <v>3.1</v>
      </c>
    </row>
    <row r="5981" spans="1:23" hidden="1">
      <c r="A5981" s="3" t="str">
        <f t="shared" si="93"/>
        <v>Período 1</v>
      </c>
      <c r="B5981">
        <v>2049</v>
      </c>
      <c r="C5981" t="s">
        <v>6029</v>
      </c>
      <c r="D5981" t="s">
        <v>3563</v>
      </c>
      <c r="E5981" s="3" t="str">
        <f>IF(LEN(Base_Periodo1[[#This Row],[CLASS]])&gt;=7,LEFT(Base_Periodo1[[#This Row],[CLASS]],7),"")</f>
        <v>3.1.1.1</v>
      </c>
      <c r="F5981" s="3" t="e">
        <f>VLOOKUP(Base_Periodo1[[#This Row],[Aux]],Base_Contas_Balanco[#All],2,FALSE)</f>
        <v>#N/A</v>
      </c>
      <c r="G5981" s="1"/>
      <c r="H5981" s="225">
        <v>17000</v>
      </c>
      <c r="I5981" s="225">
        <v>0</v>
      </c>
      <c r="J5981" s="225">
        <v>0</v>
      </c>
      <c r="K5981" s="225">
        <v>17000</v>
      </c>
      <c r="L59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-17000</v>
      </c>
      <c r="M5981" s="225">
        <f>ROUND(IF(AND(Base_Periodo1[[#This Row],[Tipo_Linha]]="-",Base_Periodo1[[#This Row],[TIPOSALDO]]="D"),Base_Periodo1[[#This Row],[SALDO_ATUAL]]*-1,Base_Periodo1[[#This Row],[SALDO_ATUAL]]),4)</f>
        <v>17000</v>
      </c>
      <c r="N5981" t="s">
        <v>396</v>
      </c>
      <c r="O5981" t="s">
        <v>397</v>
      </c>
      <c r="P5981" t="s">
        <v>397</v>
      </c>
      <c r="Q5981">
        <v>8</v>
      </c>
      <c r="R5981" s="282">
        <f>Base_Periodo1[[#This Row],[CREDITOS]]-Base_Periodo1[[#This Row],[DEBITOS]]</f>
        <v>0</v>
      </c>
      <c r="S5981" s="3" t="str">
        <f>IF(ISERROR(VLOOKUP(Base_Periodo1[[#This Row],[CONTA]],BaseContasDRE[#All],4,FALSE)),"Fora do DRE",VLOOKUP(Base_Periodo1[[#This Row],[CONTA]],BaseContasDRE[#All],4,FALSE))</f>
        <v>Fora do DRE</v>
      </c>
      <c r="T5981" s="3" t="str">
        <f>IF(ISERROR(VLOOKUP(Base_Periodo1[[#This Row],[CONTA]],BaseContasDRE[#All],5,FALSE)),"Fora do DRE",VLOOKUP(Base_Periodo1[[#This Row],[CONTA]],BaseContasDRE[#All],6,FALSE))</f>
        <v>Fora do DRE</v>
      </c>
      <c r="U5981" s="3" t="str">
        <f>IF(ISERROR(VLOOKUP(Base_Periodo1[[#This Row],[CONTA]],BaseContasDRE[#All],7,FALSE)),"Fora do DRE",VLOOKUP(Base_Periodo1[[#This Row],[CONTA]],BaseContasDRE[#All],7,FALSE))</f>
        <v>Fora do DRE</v>
      </c>
      <c r="V5981" s="3" t="str">
        <f>IF(Base_Periodo1[[#This Row],[Tipo_Linha]]="Fora do DRE","Fora do DRE","( "&amp;Base_Periodo1[[#This Row],[Tipo_Linha]]&amp;" ) "&amp;Base_Periodo1[[#This Row],[Filtro]])</f>
        <v>Fora do DRE</v>
      </c>
      <c r="W5981" s="3" t="str">
        <f>LEFT(Base_Periodo1[[#This Row],[CLASS]],3)</f>
        <v>3.1</v>
      </c>
    </row>
    <row r="5982" spans="1:23" hidden="1">
      <c r="A5982" s="3" t="str">
        <f t="shared" si="93"/>
        <v>Período 1</v>
      </c>
      <c r="B5982">
        <v>2050</v>
      </c>
      <c r="C5982" t="s">
        <v>6030</v>
      </c>
      <c r="D5982" t="s">
        <v>3564</v>
      </c>
      <c r="E5982" s="3" t="str">
        <f>IF(LEN(Base_Periodo1[[#This Row],[CLASS]])&gt;=7,LEFT(Base_Periodo1[[#This Row],[CLASS]],7),"")</f>
        <v>3.1.1.1</v>
      </c>
      <c r="F5982" s="3" t="e">
        <f>VLOOKUP(Base_Periodo1[[#This Row],[Aux]],Base_Contas_Balanco[#All],2,FALSE)</f>
        <v>#N/A</v>
      </c>
      <c r="G5982" s="1">
        <v>42773</v>
      </c>
      <c r="H5982" s="225">
        <v>17000</v>
      </c>
      <c r="I5982" s="225">
        <v>0</v>
      </c>
      <c r="J5982" s="225">
        <v>0</v>
      </c>
      <c r="K5982" s="225">
        <v>17000</v>
      </c>
      <c r="L59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-17000</v>
      </c>
      <c r="M5982" s="225">
        <f>ROUND(IF(AND(Base_Periodo1[[#This Row],[Tipo_Linha]]="-",Base_Periodo1[[#This Row],[TIPOSALDO]]="D"),Base_Periodo1[[#This Row],[SALDO_ATUAL]]*-1,Base_Periodo1[[#This Row],[SALDO_ATUAL]]),4)</f>
        <v>-17000</v>
      </c>
      <c r="N5982" t="s">
        <v>116</v>
      </c>
      <c r="O5982" t="s">
        <v>397</v>
      </c>
      <c r="P5982" t="s">
        <v>397</v>
      </c>
      <c r="Q5982">
        <v>9</v>
      </c>
      <c r="R5982" s="282">
        <f>Base_Periodo1[[#This Row],[CREDITOS]]-Base_Periodo1[[#This Row],[DEBITOS]]</f>
        <v>0</v>
      </c>
      <c r="S5982" s="3" t="str">
        <f>IF(ISERROR(VLOOKUP(Base_Periodo1[[#This Row],[CONTA]],BaseContasDRE[#All],4,FALSE)),"Fora do DRE",VLOOKUP(Base_Periodo1[[#This Row],[CONTA]],BaseContasDRE[#All],4,FALSE))</f>
        <v>-</v>
      </c>
      <c r="T5982" s="3">
        <f>IF(ISERROR(VLOOKUP(Base_Periodo1[[#This Row],[CONTA]],BaseContasDRE[#All],5,FALSE)),"Fora do DRE",VLOOKUP(Base_Periodo1[[#This Row],[CONTA]],BaseContasDRE[#All],6,FALSE))</f>
        <v>2</v>
      </c>
      <c r="U5982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982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982" s="3" t="str">
        <f>LEFT(Base_Periodo1[[#This Row],[CLASS]],3)</f>
        <v>3.1</v>
      </c>
    </row>
    <row r="5983" spans="1:23" hidden="1">
      <c r="A5983" s="3" t="str">
        <f t="shared" si="93"/>
        <v>Período 1</v>
      </c>
      <c r="B5983">
        <v>2053</v>
      </c>
      <c r="C5983" t="s">
        <v>3680</v>
      </c>
      <c r="D5983" t="s">
        <v>3567</v>
      </c>
      <c r="E5983" s="3" t="str">
        <f>IF(LEN(Base_Periodo1[[#This Row],[CLASS]])&gt;=7,LEFT(Base_Periodo1[[#This Row],[CLASS]],7),"")</f>
        <v>3.1.1.1</v>
      </c>
      <c r="F5983" s="3" t="e">
        <f>VLOOKUP(Base_Periodo1[[#This Row],[Aux]],Base_Contas_Balanco[#All],2,FALSE)</f>
        <v>#N/A</v>
      </c>
      <c r="G5983" s="1"/>
      <c r="H5983" s="225">
        <v>352490.75</v>
      </c>
      <c r="I5983" s="225">
        <v>104550.53</v>
      </c>
      <c r="J5983" s="225">
        <v>0</v>
      </c>
      <c r="K5983" s="225">
        <v>457041.28</v>
      </c>
      <c r="L59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-457041.28</v>
      </c>
      <c r="M5983" s="225">
        <f>ROUND(IF(AND(Base_Periodo1[[#This Row],[Tipo_Linha]]="-",Base_Periodo1[[#This Row],[TIPOSALDO]]="D"),Base_Periodo1[[#This Row],[SALDO_ATUAL]]*-1,Base_Periodo1[[#This Row],[SALDO_ATUAL]]),4)</f>
        <v>457041.28</v>
      </c>
      <c r="N5983" t="s">
        <v>396</v>
      </c>
      <c r="O5983" t="s">
        <v>397</v>
      </c>
      <c r="P5983" t="s">
        <v>397</v>
      </c>
      <c r="Q5983">
        <v>8</v>
      </c>
      <c r="R5983" s="282">
        <f>Base_Periodo1[[#This Row],[CREDITOS]]-Base_Periodo1[[#This Row],[DEBITOS]]</f>
        <v>-104550.53</v>
      </c>
      <c r="S5983" s="3" t="str">
        <f>IF(ISERROR(VLOOKUP(Base_Periodo1[[#This Row],[CONTA]],BaseContasDRE[#All],4,FALSE)),"Fora do DRE",VLOOKUP(Base_Periodo1[[#This Row],[CONTA]],BaseContasDRE[#All],4,FALSE))</f>
        <v>Fora do DRE</v>
      </c>
      <c r="T5983" s="3" t="str">
        <f>IF(ISERROR(VLOOKUP(Base_Periodo1[[#This Row],[CONTA]],BaseContasDRE[#All],5,FALSE)),"Fora do DRE",VLOOKUP(Base_Periodo1[[#This Row],[CONTA]],BaseContasDRE[#All],6,FALSE))</f>
        <v>Fora do DRE</v>
      </c>
      <c r="U5983" s="3" t="str">
        <f>IF(ISERROR(VLOOKUP(Base_Periodo1[[#This Row],[CONTA]],BaseContasDRE[#All],7,FALSE)),"Fora do DRE",VLOOKUP(Base_Periodo1[[#This Row],[CONTA]],BaseContasDRE[#All],7,FALSE))</f>
        <v>Fora do DRE</v>
      </c>
      <c r="V5983" s="3" t="str">
        <f>IF(Base_Periodo1[[#This Row],[Tipo_Linha]]="Fora do DRE","Fora do DRE","( "&amp;Base_Periodo1[[#This Row],[Tipo_Linha]]&amp;" ) "&amp;Base_Periodo1[[#This Row],[Filtro]])</f>
        <v>Fora do DRE</v>
      </c>
      <c r="W5983" s="3" t="str">
        <f>LEFT(Base_Periodo1[[#This Row],[CLASS]],3)</f>
        <v>3.1</v>
      </c>
    </row>
    <row r="5984" spans="1:23" hidden="1">
      <c r="A5984" s="3" t="str">
        <f t="shared" si="93"/>
        <v>Período 1</v>
      </c>
      <c r="B5984">
        <v>2054</v>
      </c>
      <c r="C5984" t="s">
        <v>3681</v>
      </c>
      <c r="D5984" t="s">
        <v>3587</v>
      </c>
      <c r="E5984" s="3" t="str">
        <f>IF(LEN(Base_Periodo1[[#This Row],[CLASS]])&gt;=7,LEFT(Base_Periodo1[[#This Row],[CLASS]],7),"")</f>
        <v>3.1.1.1</v>
      </c>
      <c r="F5984" s="3" t="e">
        <f>VLOOKUP(Base_Periodo1[[#This Row],[Aux]],Base_Contas_Balanco[#All],2,FALSE)</f>
        <v>#N/A</v>
      </c>
      <c r="G5984" s="1">
        <v>42886</v>
      </c>
      <c r="H5984" s="225">
        <v>352490.75</v>
      </c>
      <c r="I5984" s="225">
        <v>104550.53</v>
      </c>
      <c r="J5984" s="225">
        <v>0</v>
      </c>
      <c r="K5984" s="225">
        <v>457041.28</v>
      </c>
      <c r="L59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-457041.28</v>
      </c>
      <c r="M5984" s="225">
        <f>ROUND(IF(AND(Base_Periodo1[[#This Row],[Tipo_Linha]]="-",Base_Periodo1[[#This Row],[TIPOSALDO]]="D"),Base_Periodo1[[#This Row],[SALDO_ATUAL]]*-1,Base_Periodo1[[#This Row],[SALDO_ATUAL]]),4)</f>
        <v>-457041.28</v>
      </c>
      <c r="N5984" t="s">
        <v>116</v>
      </c>
      <c r="O5984" t="s">
        <v>397</v>
      </c>
      <c r="P5984" t="s">
        <v>397</v>
      </c>
      <c r="Q5984">
        <v>9</v>
      </c>
      <c r="R5984" s="282">
        <f>Base_Periodo1[[#This Row],[CREDITOS]]-Base_Periodo1[[#This Row],[DEBITOS]]</f>
        <v>-104550.53</v>
      </c>
      <c r="S5984" s="3" t="str">
        <f>IF(ISERROR(VLOOKUP(Base_Periodo1[[#This Row],[CONTA]],BaseContasDRE[#All],4,FALSE)),"Fora do DRE",VLOOKUP(Base_Periodo1[[#This Row],[CONTA]],BaseContasDRE[#All],4,FALSE))</f>
        <v>-</v>
      </c>
      <c r="T5984" s="3">
        <f>IF(ISERROR(VLOOKUP(Base_Periodo1[[#This Row],[CONTA]],BaseContasDRE[#All],5,FALSE)),"Fora do DRE",VLOOKUP(Base_Periodo1[[#This Row],[CONTA]],BaseContasDRE[#All],6,FALSE))</f>
        <v>3</v>
      </c>
      <c r="U5984" s="3" t="str">
        <f>IF(ISERROR(VLOOKUP(Base_Periodo1[[#This Row],[CONTA]],BaseContasDRE[#All],7,FALSE)),"Fora do DRE",VLOOKUP(Base_Periodo1[[#This Row],[CONTA]],BaseContasDRE[#All],7,FALSE))</f>
        <v>INSUMOS AGROPECUARIOS</v>
      </c>
      <c r="V5984" s="3" t="str">
        <f>IF(Base_Periodo1[[#This Row],[Tipo_Linha]]="Fora do DRE","Fora do DRE","( "&amp;Base_Periodo1[[#This Row],[Tipo_Linha]]&amp;" ) "&amp;Base_Periodo1[[#This Row],[Filtro]])</f>
        <v>( - ) INSUMOS AGROPECUARIOS</v>
      </c>
      <c r="W5984" s="3" t="str">
        <f>LEFT(Base_Periodo1[[#This Row],[CLASS]],3)</f>
        <v>3.1</v>
      </c>
    </row>
    <row r="5985" spans="1:23" hidden="1">
      <c r="A5985" s="3" t="str">
        <f t="shared" si="93"/>
        <v>Período 1</v>
      </c>
      <c r="B5985">
        <v>2073</v>
      </c>
      <c r="C5985" t="s">
        <v>3682</v>
      </c>
      <c r="D5985" t="s">
        <v>1354</v>
      </c>
      <c r="E5985" s="3" t="str">
        <f>IF(LEN(Base_Periodo1[[#This Row],[CLASS]])&gt;=7,LEFT(Base_Periodo1[[#This Row],[CLASS]],7),"")</f>
        <v>3.1.1.1</v>
      </c>
      <c r="F5985" s="3" t="e">
        <f>VLOOKUP(Base_Periodo1[[#This Row],[Aux]],Base_Contas_Balanco[#All],2,FALSE)</f>
        <v>#N/A</v>
      </c>
      <c r="G5985" s="1"/>
      <c r="H5985" s="225">
        <v>51160.300000018105</v>
      </c>
      <c r="I5985" s="225">
        <v>426387.83</v>
      </c>
      <c r="J5985" s="225">
        <v>476541.36999999994</v>
      </c>
      <c r="K5985" s="225">
        <v>101313.84000001801</v>
      </c>
      <c r="L59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101313.84</v>
      </c>
      <c r="M5985" s="225">
        <f>ROUND(IF(AND(Base_Periodo1[[#This Row],[Tipo_Linha]]="-",Base_Periodo1[[#This Row],[TIPOSALDO]]="D"),Base_Periodo1[[#This Row],[SALDO_ATUAL]]*-1,Base_Periodo1[[#This Row],[SALDO_ATUAL]]),4)</f>
        <v>101313.84</v>
      </c>
      <c r="N5985" t="s">
        <v>396</v>
      </c>
      <c r="O5985" t="s">
        <v>459</v>
      </c>
      <c r="P5985" t="s">
        <v>459</v>
      </c>
      <c r="Q5985">
        <v>7</v>
      </c>
      <c r="R5985" s="282">
        <f>Base_Periodo1[[#This Row],[CREDITOS]]-Base_Periodo1[[#This Row],[DEBITOS]]</f>
        <v>50153.539999999921</v>
      </c>
      <c r="S5985" s="3" t="str">
        <f>IF(ISERROR(VLOOKUP(Base_Periodo1[[#This Row],[CONTA]],BaseContasDRE[#All],4,FALSE)),"Fora do DRE",VLOOKUP(Base_Periodo1[[#This Row],[CONTA]],BaseContasDRE[#All],4,FALSE))</f>
        <v>Fora do DRE</v>
      </c>
      <c r="T5985" s="3" t="str">
        <f>IF(ISERROR(VLOOKUP(Base_Periodo1[[#This Row],[CONTA]],BaseContasDRE[#All],5,FALSE)),"Fora do DRE",VLOOKUP(Base_Periodo1[[#This Row],[CONTA]],BaseContasDRE[#All],6,FALSE))</f>
        <v>Fora do DRE</v>
      </c>
      <c r="U5985" s="3" t="str">
        <f>IF(ISERROR(VLOOKUP(Base_Periodo1[[#This Row],[CONTA]],BaseContasDRE[#All],7,FALSE)),"Fora do DRE",VLOOKUP(Base_Periodo1[[#This Row],[CONTA]],BaseContasDRE[#All],7,FALSE))</f>
        <v>Fora do DRE</v>
      </c>
      <c r="V5985" s="3" t="str">
        <f>IF(Base_Periodo1[[#This Row],[Tipo_Linha]]="Fora do DRE","Fora do DRE","( "&amp;Base_Periodo1[[#This Row],[Tipo_Linha]]&amp;" ) "&amp;Base_Periodo1[[#This Row],[Filtro]])</f>
        <v>Fora do DRE</v>
      </c>
      <c r="W5985" s="3" t="str">
        <f>LEFT(Base_Periodo1[[#This Row],[CLASS]],3)</f>
        <v>3.1</v>
      </c>
    </row>
    <row r="5986" spans="1:23" hidden="1">
      <c r="A5986" s="3" t="str">
        <f t="shared" si="93"/>
        <v>Período 1</v>
      </c>
      <c r="B5986">
        <v>2074</v>
      </c>
      <c r="C5986" t="s">
        <v>3683</v>
      </c>
      <c r="D5986" t="s">
        <v>3578</v>
      </c>
      <c r="E5986" s="3" t="str">
        <f>IF(LEN(Base_Periodo1[[#This Row],[CLASS]])&gt;=7,LEFT(Base_Periodo1[[#This Row],[CLASS]],7),"")</f>
        <v>3.1.1.1</v>
      </c>
      <c r="F5986" s="3" t="e">
        <f>VLOOKUP(Base_Periodo1[[#This Row],[Aux]],Base_Contas_Balanco[#All],2,FALSE)</f>
        <v>#N/A</v>
      </c>
      <c r="G5986" s="1"/>
      <c r="H5986" s="225">
        <v>436839.86000001896</v>
      </c>
      <c r="I5986" s="225">
        <v>0</v>
      </c>
      <c r="J5986" s="225">
        <v>476541.36999999994</v>
      </c>
      <c r="K5986" s="225">
        <v>913381.23000001884</v>
      </c>
      <c r="L59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913381.23</v>
      </c>
      <c r="M5986" s="225">
        <f>ROUND(IF(AND(Base_Periodo1[[#This Row],[Tipo_Linha]]="-",Base_Periodo1[[#This Row],[TIPOSALDO]]="D"),Base_Periodo1[[#This Row],[SALDO_ATUAL]]*-1,Base_Periodo1[[#This Row],[SALDO_ATUAL]]),4)</f>
        <v>913381.23</v>
      </c>
      <c r="N5986" t="s">
        <v>396</v>
      </c>
      <c r="O5986" t="s">
        <v>459</v>
      </c>
      <c r="P5986" t="s">
        <v>459</v>
      </c>
      <c r="Q5986">
        <v>8</v>
      </c>
      <c r="R5986" s="282">
        <f>Base_Periodo1[[#This Row],[CREDITOS]]-Base_Periodo1[[#This Row],[DEBITOS]]</f>
        <v>476541.36999999994</v>
      </c>
      <c r="S5986" s="3" t="str">
        <f>IF(ISERROR(VLOOKUP(Base_Periodo1[[#This Row],[CONTA]],BaseContasDRE[#All],4,FALSE)),"Fora do DRE",VLOOKUP(Base_Periodo1[[#This Row],[CONTA]],BaseContasDRE[#All],4,FALSE))</f>
        <v>Fora do DRE</v>
      </c>
      <c r="T5986" s="3" t="str">
        <f>IF(ISERROR(VLOOKUP(Base_Periodo1[[#This Row],[CONTA]],BaseContasDRE[#All],5,FALSE)),"Fora do DRE",VLOOKUP(Base_Periodo1[[#This Row],[CONTA]],BaseContasDRE[#All],6,FALSE))</f>
        <v>Fora do DRE</v>
      </c>
      <c r="U5986" s="3" t="str">
        <f>IF(ISERROR(VLOOKUP(Base_Periodo1[[#This Row],[CONTA]],BaseContasDRE[#All],7,FALSE)),"Fora do DRE",VLOOKUP(Base_Periodo1[[#This Row],[CONTA]],BaseContasDRE[#All],7,FALSE))</f>
        <v>Fora do DRE</v>
      </c>
      <c r="V5986" s="3" t="str">
        <f>IF(Base_Periodo1[[#This Row],[Tipo_Linha]]="Fora do DRE","Fora do DRE","( "&amp;Base_Periodo1[[#This Row],[Tipo_Linha]]&amp;" ) "&amp;Base_Periodo1[[#This Row],[Filtro]])</f>
        <v>Fora do DRE</v>
      </c>
      <c r="W5986" s="3" t="str">
        <f>LEFT(Base_Periodo1[[#This Row],[CLASS]],3)</f>
        <v>3.1</v>
      </c>
    </row>
    <row r="5987" spans="1:23" hidden="1">
      <c r="A5987" s="3" t="str">
        <f t="shared" si="93"/>
        <v>Período 1</v>
      </c>
      <c r="B5987">
        <v>2075</v>
      </c>
      <c r="C5987" t="s">
        <v>3684</v>
      </c>
      <c r="D5987" t="s">
        <v>3562</v>
      </c>
      <c r="E5987" s="3" t="str">
        <f>IF(LEN(Base_Periodo1[[#This Row],[CLASS]])&gt;=7,LEFT(Base_Periodo1[[#This Row],[CLASS]],7),"")</f>
        <v>3.1.1.1</v>
      </c>
      <c r="F5987" s="3" t="e">
        <f>VLOOKUP(Base_Periodo1[[#This Row],[Aux]],Base_Contas_Balanco[#All],2,FALSE)</f>
        <v>#N/A</v>
      </c>
      <c r="G5987" s="1">
        <v>42886</v>
      </c>
      <c r="H5987" s="225">
        <v>436839.86000001896</v>
      </c>
      <c r="I5987" s="225">
        <v>0</v>
      </c>
      <c r="J5987" s="225">
        <v>476541.36999999994</v>
      </c>
      <c r="K5987" s="225">
        <v>913381.23000001884</v>
      </c>
      <c r="L59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913381.23</v>
      </c>
      <c r="M5987" s="225">
        <f>ROUND(IF(AND(Base_Periodo1[[#This Row],[Tipo_Linha]]="-",Base_Periodo1[[#This Row],[TIPOSALDO]]="D"),Base_Periodo1[[#This Row],[SALDO_ATUAL]]*-1,Base_Periodo1[[#This Row],[SALDO_ATUAL]]),4)</f>
        <v>913381.23</v>
      </c>
      <c r="N5987" t="s">
        <v>116</v>
      </c>
      <c r="O5987" t="s">
        <v>459</v>
      </c>
      <c r="P5987" t="s">
        <v>459</v>
      </c>
      <c r="Q5987">
        <v>9</v>
      </c>
      <c r="R5987" s="282">
        <f>Base_Periodo1[[#This Row],[CREDITOS]]-Base_Periodo1[[#This Row],[DEBITOS]]</f>
        <v>476541.36999999994</v>
      </c>
      <c r="S5987" s="3" t="str">
        <f>IF(ISERROR(VLOOKUP(Base_Periodo1[[#This Row],[CONTA]],BaseContasDRE[#All],4,FALSE)),"Fora do DRE",VLOOKUP(Base_Periodo1[[#This Row],[CONTA]],BaseContasDRE[#All],4,FALSE))</f>
        <v>+</v>
      </c>
      <c r="T5987" s="3">
        <f>IF(ISERROR(VLOOKUP(Base_Periodo1[[#This Row],[CONTA]],BaseContasDRE[#All],5,FALSE)),"Fora do DRE",VLOOKUP(Base_Periodo1[[#This Row],[CONTA]],BaseContasDRE[#All],6,FALSE))</f>
        <v>1</v>
      </c>
      <c r="U5987" s="3" t="str">
        <f>IF(ISERROR(VLOOKUP(Base_Periodo1[[#This Row],[CONTA]],BaseContasDRE[#All],7,FALSE)),"Fora do DRE",VLOOKUP(Base_Periodo1[[#This Row],[CONTA]],BaseContasDRE[#All],7,FALSE))</f>
        <v>INSUMOS AGROPECUARIOS</v>
      </c>
      <c r="V5987" s="3" t="str">
        <f>IF(Base_Periodo1[[#This Row],[Tipo_Linha]]="Fora do DRE","Fora do DRE","( "&amp;Base_Periodo1[[#This Row],[Tipo_Linha]]&amp;" ) "&amp;Base_Periodo1[[#This Row],[Filtro]])</f>
        <v>( + ) INSUMOS AGROPECUARIOS</v>
      </c>
      <c r="W5987" s="3" t="str">
        <f>LEFT(Base_Periodo1[[#This Row],[CLASS]],3)</f>
        <v>3.1</v>
      </c>
    </row>
    <row r="5988" spans="1:23" hidden="1">
      <c r="A5988" s="3" t="str">
        <f t="shared" si="93"/>
        <v>Período 1</v>
      </c>
      <c r="B5988">
        <v>2076</v>
      </c>
      <c r="C5988" t="s">
        <v>6599</v>
      </c>
      <c r="D5988" t="s">
        <v>3563</v>
      </c>
      <c r="E5988" s="3" t="str">
        <f>IF(LEN(Base_Periodo1[[#This Row],[CLASS]])&gt;=7,LEFT(Base_Periodo1[[#This Row],[CLASS]],7),"")</f>
        <v>3.1.1.1</v>
      </c>
      <c r="F5988" s="3" t="e">
        <f>VLOOKUP(Base_Periodo1[[#This Row],[Aux]],Base_Contas_Balanco[#All],2,FALSE)</f>
        <v>#N/A</v>
      </c>
      <c r="G5988" s="1"/>
      <c r="H5988" s="225">
        <v>3848.7599999997765</v>
      </c>
      <c r="I5988" s="225">
        <v>0</v>
      </c>
      <c r="J5988" s="225">
        <v>0</v>
      </c>
      <c r="K5988" s="225">
        <v>3848.7599999997765</v>
      </c>
      <c r="L59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-3848.76</v>
      </c>
      <c r="M5988" s="225">
        <f>ROUND(IF(AND(Base_Periodo1[[#This Row],[Tipo_Linha]]="-",Base_Periodo1[[#This Row],[TIPOSALDO]]="D"),Base_Periodo1[[#This Row],[SALDO_ATUAL]]*-1,Base_Periodo1[[#This Row],[SALDO_ATUAL]]),4)</f>
        <v>3848.76</v>
      </c>
      <c r="N5988" t="s">
        <v>396</v>
      </c>
      <c r="O5988" t="s">
        <v>397</v>
      </c>
      <c r="P5988" t="s">
        <v>397</v>
      </c>
      <c r="Q5988">
        <v>8</v>
      </c>
      <c r="R5988" s="282">
        <f>Base_Periodo1[[#This Row],[CREDITOS]]-Base_Periodo1[[#This Row],[DEBITOS]]</f>
        <v>0</v>
      </c>
      <c r="S5988" s="3" t="str">
        <f>IF(ISERROR(VLOOKUP(Base_Periodo1[[#This Row],[CONTA]],BaseContasDRE[#All],4,FALSE)),"Fora do DRE",VLOOKUP(Base_Periodo1[[#This Row],[CONTA]],BaseContasDRE[#All],4,FALSE))</f>
        <v>Fora do DRE</v>
      </c>
      <c r="T5988" s="3" t="str">
        <f>IF(ISERROR(VLOOKUP(Base_Periodo1[[#This Row],[CONTA]],BaseContasDRE[#All],5,FALSE)),"Fora do DRE",VLOOKUP(Base_Periodo1[[#This Row],[CONTA]],BaseContasDRE[#All],6,FALSE))</f>
        <v>Fora do DRE</v>
      </c>
      <c r="U5988" s="3" t="str">
        <f>IF(ISERROR(VLOOKUP(Base_Periodo1[[#This Row],[CONTA]],BaseContasDRE[#All],7,FALSE)),"Fora do DRE",VLOOKUP(Base_Periodo1[[#This Row],[CONTA]],BaseContasDRE[#All],7,FALSE))</f>
        <v>Fora do DRE</v>
      </c>
      <c r="V5988" s="3" t="str">
        <f>IF(Base_Periodo1[[#This Row],[Tipo_Linha]]="Fora do DRE","Fora do DRE","( "&amp;Base_Periodo1[[#This Row],[Tipo_Linha]]&amp;" ) "&amp;Base_Periodo1[[#This Row],[Filtro]])</f>
        <v>Fora do DRE</v>
      </c>
      <c r="W5988" s="3" t="str">
        <f>LEFT(Base_Periodo1[[#This Row],[CLASS]],3)</f>
        <v>3.1</v>
      </c>
    </row>
    <row r="5989" spans="1:23" hidden="1">
      <c r="A5989" s="3" t="str">
        <f t="shared" si="93"/>
        <v>Período 1</v>
      </c>
      <c r="B5989">
        <v>2077</v>
      </c>
      <c r="C5989" t="s">
        <v>6600</v>
      </c>
      <c r="D5989" t="s">
        <v>3564</v>
      </c>
      <c r="E5989" s="3" t="str">
        <f>IF(LEN(Base_Periodo1[[#This Row],[CLASS]])&gt;=7,LEFT(Base_Periodo1[[#This Row],[CLASS]],7),"")</f>
        <v>3.1.1.1</v>
      </c>
      <c r="F5989" s="3" t="e">
        <f>VLOOKUP(Base_Periodo1[[#This Row],[Aux]],Base_Contas_Balanco[#All],2,FALSE)</f>
        <v>#N/A</v>
      </c>
      <c r="G5989" s="1">
        <v>42853</v>
      </c>
      <c r="H5989" s="225">
        <v>3848.7599999997765</v>
      </c>
      <c r="I5989" s="225">
        <v>0</v>
      </c>
      <c r="J5989" s="225">
        <v>0</v>
      </c>
      <c r="K5989" s="225">
        <v>3848.7599999997765</v>
      </c>
      <c r="L59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-3848.76</v>
      </c>
      <c r="M5989" s="225">
        <f>ROUND(IF(AND(Base_Periodo1[[#This Row],[Tipo_Linha]]="-",Base_Periodo1[[#This Row],[TIPOSALDO]]="D"),Base_Periodo1[[#This Row],[SALDO_ATUAL]]*-1,Base_Periodo1[[#This Row],[SALDO_ATUAL]]),4)</f>
        <v>-3848.76</v>
      </c>
      <c r="N5989" t="s">
        <v>116</v>
      </c>
      <c r="O5989" t="s">
        <v>397</v>
      </c>
      <c r="P5989" t="s">
        <v>397</v>
      </c>
      <c r="Q5989">
        <v>9</v>
      </c>
      <c r="R5989" s="282">
        <f>Base_Periodo1[[#This Row],[CREDITOS]]-Base_Periodo1[[#This Row],[DEBITOS]]</f>
        <v>0</v>
      </c>
      <c r="S5989" s="3" t="str">
        <f>IF(ISERROR(VLOOKUP(Base_Periodo1[[#This Row],[CONTA]],BaseContasDRE[#All],4,FALSE)),"Fora do DRE",VLOOKUP(Base_Periodo1[[#This Row],[CONTA]],BaseContasDRE[#All],4,FALSE))</f>
        <v>-</v>
      </c>
      <c r="T5989" s="3">
        <f>IF(ISERROR(VLOOKUP(Base_Periodo1[[#This Row],[CONTA]],BaseContasDRE[#All],5,FALSE)),"Fora do DRE",VLOOKUP(Base_Periodo1[[#This Row],[CONTA]],BaseContasDRE[#All],6,FALSE))</f>
        <v>2</v>
      </c>
      <c r="U5989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989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989" s="3" t="str">
        <f>LEFT(Base_Periodo1[[#This Row],[CLASS]],3)</f>
        <v>3.1</v>
      </c>
    </row>
    <row r="5990" spans="1:23" hidden="1">
      <c r="A5990" s="3" t="str">
        <f t="shared" si="93"/>
        <v>Período 1</v>
      </c>
      <c r="B5990">
        <v>2078</v>
      </c>
      <c r="C5990" t="s">
        <v>6601</v>
      </c>
      <c r="D5990" t="s">
        <v>3565</v>
      </c>
      <c r="E5990" s="3" t="str">
        <f>IF(LEN(Base_Periodo1[[#This Row],[CLASS]])&gt;=7,LEFT(Base_Periodo1[[#This Row],[CLASS]],7),"")</f>
        <v>3.1.1.1</v>
      </c>
      <c r="F5990" s="3" t="e">
        <f>VLOOKUP(Base_Periodo1[[#This Row],[Aux]],Base_Contas_Balanco[#All],2,FALSE)</f>
        <v>#N/A</v>
      </c>
      <c r="G5990" s="1"/>
      <c r="H5990" s="225">
        <v>623.38999999999965</v>
      </c>
      <c r="I5990" s="225">
        <v>0</v>
      </c>
      <c r="J5990" s="225">
        <v>0</v>
      </c>
      <c r="K5990" s="225">
        <v>623.38999999999965</v>
      </c>
      <c r="L59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-623.39</v>
      </c>
      <c r="M5990" s="225">
        <f>ROUND(IF(AND(Base_Periodo1[[#This Row],[Tipo_Linha]]="-",Base_Periodo1[[#This Row],[TIPOSALDO]]="D"),Base_Periodo1[[#This Row],[SALDO_ATUAL]]*-1,Base_Periodo1[[#This Row],[SALDO_ATUAL]]),4)</f>
        <v>623.39</v>
      </c>
      <c r="N5990" t="s">
        <v>396</v>
      </c>
      <c r="O5990" t="s">
        <v>397</v>
      </c>
      <c r="P5990" t="s">
        <v>397</v>
      </c>
      <c r="Q5990">
        <v>8</v>
      </c>
      <c r="R5990" s="282">
        <f>Base_Periodo1[[#This Row],[CREDITOS]]-Base_Periodo1[[#This Row],[DEBITOS]]</f>
        <v>0</v>
      </c>
      <c r="S5990" s="3" t="str">
        <f>IF(ISERROR(VLOOKUP(Base_Periodo1[[#This Row],[CONTA]],BaseContasDRE[#All],4,FALSE)),"Fora do DRE",VLOOKUP(Base_Periodo1[[#This Row],[CONTA]],BaseContasDRE[#All],4,FALSE))</f>
        <v>Fora do DRE</v>
      </c>
      <c r="T5990" s="3" t="str">
        <f>IF(ISERROR(VLOOKUP(Base_Periodo1[[#This Row],[CONTA]],BaseContasDRE[#All],5,FALSE)),"Fora do DRE",VLOOKUP(Base_Periodo1[[#This Row],[CONTA]],BaseContasDRE[#All],6,FALSE))</f>
        <v>Fora do DRE</v>
      </c>
      <c r="U5990" s="3" t="str">
        <f>IF(ISERROR(VLOOKUP(Base_Periodo1[[#This Row],[CONTA]],BaseContasDRE[#All],7,FALSE)),"Fora do DRE",VLOOKUP(Base_Periodo1[[#This Row],[CONTA]],BaseContasDRE[#All],7,FALSE))</f>
        <v>Fora do DRE</v>
      </c>
      <c r="V5990" s="3" t="str">
        <f>IF(Base_Periodo1[[#This Row],[Tipo_Linha]]="Fora do DRE","Fora do DRE","( "&amp;Base_Periodo1[[#This Row],[Tipo_Linha]]&amp;" ) "&amp;Base_Periodo1[[#This Row],[Filtro]])</f>
        <v>Fora do DRE</v>
      </c>
      <c r="W5990" s="3" t="str">
        <f>LEFT(Base_Periodo1[[#This Row],[CLASS]],3)</f>
        <v>3.1</v>
      </c>
    </row>
    <row r="5991" spans="1:23" hidden="1">
      <c r="A5991" s="3" t="str">
        <f t="shared" si="93"/>
        <v>Período 1</v>
      </c>
      <c r="B5991">
        <v>2079</v>
      </c>
      <c r="C5991" t="s">
        <v>6602</v>
      </c>
      <c r="D5991" t="s">
        <v>3566</v>
      </c>
      <c r="E5991" s="3" t="str">
        <f>IF(LEN(Base_Periodo1[[#This Row],[CLASS]])&gt;=7,LEFT(Base_Periodo1[[#This Row],[CLASS]],7),"")</f>
        <v>3.1.1.1</v>
      </c>
      <c r="F5991" s="3" t="e">
        <f>VLOOKUP(Base_Periodo1[[#This Row],[Aux]],Base_Contas_Balanco[#All],2,FALSE)</f>
        <v>#N/A</v>
      </c>
      <c r="G5991" s="1">
        <v>42828</v>
      </c>
      <c r="H5991" s="225">
        <v>623.38999999999965</v>
      </c>
      <c r="I5991" s="225">
        <v>0</v>
      </c>
      <c r="J5991" s="225">
        <v>0</v>
      </c>
      <c r="K5991" s="225">
        <v>623.38999999999965</v>
      </c>
      <c r="L59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-623.39</v>
      </c>
      <c r="M5991" s="225">
        <f>ROUND(IF(AND(Base_Periodo1[[#This Row],[Tipo_Linha]]="-",Base_Periodo1[[#This Row],[TIPOSALDO]]="D"),Base_Periodo1[[#This Row],[SALDO_ATUAL]]*-1,Base_Periodo1[[#This Row],[SALDO_ATUAL]]),4)</f>
        <v>-623.39</v>
      </c>
      <c r="N5991" t="s">
        <v>116</v>
      </c>
      <c r="O5991" t="s">
        <v>397</v>
      </c>
      <c r="P5991" t="s">
        <v>397</v>
      </c>
      <c r="Q5991">
        <v>9</v>
      </c>
      <c r="R5991" s="282">
        <f>Base_Periodo1[[#This Row],[CREDITOS]]-Base_Periodo1[[#This Row],[DEBITOS]]</f>
        <v>0</v>
      </c>
      <c r="S5991" s="3" t="str">
        <f>IF(ISERROR(VLOOKUP(Base_Periodo1[[#This Row],[CONTA]],BaseContasDRE[#All],4,FALSE)),"Fora do DRE",VLOOKUP(Base_Periodo1[[#This Row],[CONTA]],BaseContasDRE[#All],4,FALSE))</f>
        <v>-</v>
      </c>
      <c r="T5991" s="3">
        <f>IF(ISERROR(VLOOKUP(Base_Periodo1[[#This Row],[CONTA]],BaseContasDRE[#All],5,FALSE)),"Fora do DRE",VLOOKUP(Base_Periodo1[[#This Row],[CONTA]],BaseContasDRE[#All],6,FALSE))</f>
        <v>2</v>
      </c>
      <c r="U5991" s="3" t="str">
        <f>IF(ISERROR(VLOOKUP(Base_Periodo1[[#This Row],[CONTA]],BaseContasDRE[#All],7,FALSE)),"Fora do DRE",VLOOKUP(Base_Periodo1[[#This Row],[CONTA]],BaseContasDRE[#All],7,FALSE))</f>
        <v>ICMS SOBRE INGRESSOS E RECEITAS</v>
      </c>
      <c r="V5991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5991" s="3" t="str">
        <f>LEFT(Base_Periodo1[[#This Row],[CLASS]],3)</f>
        <v>3.1</v>
      </c>
    </row>
    <row r="5992" spans="1:23" hidden="1">
      <c r="A5992" s="3" t="str">
        <f t="shared" si="93"/>
        <v>Período 1</v>
      </c>
      <c r="B5992">
        <v>2080</v>
      </c>
      <c r="C5992" t="s">
        <v>3685</v>
      </c>
      <c r="D5992" t="s">
        <v>3567</v>
      </c>
      <c r="E5992" s="3" t="str">
        <f>IF(LEN(Base_Periodo1[[#This Row],[CLASS]])&gt;=7,LEFT(Base_Periodo1[[#This Row],[CLASS]],7),"")</f>
        <v>3.1.1.1</v>
      </c>
      <c r="F5992" s="3" t="e">
        <f>VLOOKUP(Base_Periodo1[[#This Row],[Aux]],Base_Contas_Balanco[#All],2,FALSE)</f>
        <v>#N/A</v>
      </c>
      <c r="G5992" s="1"/>
      <c r="H5992" s="225">
        <v>381207.41000000108</v>
      </c>
      <c r="I5992" s="225">
        <v>426387.83</v>
      </c>
      <c r="J5992" s="225">
        <v>0</v>
      </c>
      <c r="K5992" s="225">
        <v>807595.24000000115</v>
      </c>
      <c r="L59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-807595.24</v>
      </c>
      <c r="M5992" s="225">
        <f>ROUND(IF(AND(Base_Periodo1[[#This Row],[Tipo_Linha]]="-",Base_Periodo1[[#This Row],[TIPOSALDO]]="D"),Base_Periodo1[[#This Row],[SALDO_ATUAL]]*-1,Base_Periodo1[[#This Row],[SALDO_ATUAL]]),4)</f>
        <v>807595.24</v>
      </c>
      <c r="N5992" t="s">
        <v>396</v>
      </c>
      <c r="O5992" t="s">
        <v>397</v>
      </c>
      <c r="P5992" t="s">
        <v>397</v>
      </c>
      <c r="Q5992">
        <v>8</v>
      </c>
      <c r="R5992" s="282">
        <f>Base_Periodo1[[#This Row],[CREDITOS]]-Base_Periodo1[[#This Row],[DEBITOS]]</f>
        <v>-426387.83</v>
      </c>
      <c r="S5992" s="3" t="str">
        <f>IF(ISERROR(VLOOKUP(Base_Periodo1[[#This Row],[CONTA]],BaseContasDRE[#All],4,FALSE)),"Fora do DRE",VLOOKUP(Base_Periodo1[[#This Row],[CONTA]],BaseContasDRE[#All],4,FALSE))</f>
        <v>Fora do DRE</v>
      </c>
      <c r="T5992" s="3" t="str">
        <f>IF(ISERROR(VLOOKUP(Base_Periodo1[[#This Row],[CONTA]],BaseContasDRE[#All],5,FALSE)),"Fora do DRE",VLOOKUP(Base_Periodo1[[#This Row],[CONTA]],BaseContasDRE[#All],6,FALSE))</f>
        <v>Fora do DRE</v>
      </c>
      <c r="U5992" s="3" t="str">
        <f>IF(ISERROR(VLOOKUP(Base_Periodo1[[#This Row],[CONTA]],BaseContasDRE[#All],7,FALSE)),"Fora do DRE",VLOOKUP(Base_Periodo1[[#This Row],[CONTA]],BaseContasDRE[#All],7,FALSE))</f>
        <v>Fora do DRE</v>
      </c>
      <c r="V5992" s="3" t="str">
        <f>IF(Base_Periodo1[[#This Row],[Tipo_Linha]]="Fora do DRE","Fora do DRE","( "&amp;Base_Periodo1[[#This Row],[Tipo_Linha]]&amp;" ) "&amp;Base_Periodo1[[#This Row],[Filtro]])</f>
        <v>Fora do DRE</v>
      </c>
      <c r="W5992" s="3" t="str">
        <f>LEFT(Base_Periodo1[[#This Row],[CLASS]],3)</f>
        <v>3.1</v>
      </c>
    </row>
    <row r="5993" spans="1:23" hidden="1">
      <c r="A5993" s="3" t="str">
        <f t="shared" si="93"/>
        <v>Período 1</v>
      </c>
      <c r="B5993">
        <v>2081</v>
      </c>
      <c r="C5993" t="s">
        <v>3686</v>
      </c>
      <c r="D5993" t="s">
        <v>3568</v>
      </c>
      <c r="E5993" s="3" t="str">
        <f>IF(LEN(Base_Periodo1[[#This Row],[CLASS]])&gt;=7,LEFT(Base_Periodo1[[#This Row],[CLASS]],7),"")</f>
        <v>3.1.1.1</v>
      </c>
      <c r="F5993" s="3" t="e">
        <f>VLOOKUP(Base_Periodo1[[#This Row],[Aux]],Base_Contas_Balanco[#All],2,FALSE)</f>
        <v>#N/A</v>
      </c>
      <c r="G5993" s="1">
        <v>42886</v>
      </c>
      <c r="H5993" s="225">
        <v>381207.41000000108</v>
      </c>
      <c r="I5993" s="225">
        <v>426387.83</v>
      </c>
      <c r="J5993" s="225">
        <v>0</v>
      </c>
      <c r="K5993" s="225">
        <v>807595.24000000115</v>
      </c>
      <c r="L59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-807595.24</v>
      </c>
      <c r="M5993" s="225">
        <f>ROUND(IF(AND(Base_Periodo1[[#This Row],[Tipo_Linha]]="-",Base_Periodo1[[#This Row],[TIPOSALDO]]="D"),Base_Periodo1[[#This Row],[SALDO_ATUAL]]*-1,Base_Periodo1[[#This Row],[SALDO_ATUAL]]),4)</f>
        <v>-807595.24</v>
      </c>
      <c r="N5993" t="s">
        <v>116</v>
      </c>
      <c r="O5993" t="s">
        <v>397</v>
      </c>
      <c r="P5993" t="s">
        <v>397</v>
      </c>
      <c r="Q5993">
        <v>9</v>
      </c>
      <c r="R5993" s="282">
        <f>Base_Periodo1[[#This Row],[CREDITOS]]-Base_Periodo1[[#This Row],[DEBITOS]]</f>
        <v>-426387.83</v>
      </c>
      <c r="S5993" s="3" t="str">
        <f>IF(ISERROR(VLOOKUP(Base_Periodo1[[#This Row],[CONTA]],BaseContasDRE[#All],4,FALSE)),"Fora do DRE",VLOOKUP(Base_Periodo1[[#This Row],[CONTA]],BaseContasDRE[#All],4,FALSE))</f>
        <v>-</v>
      </c>
      <c r="T5993" s="3">
        <f>IF(ISERROR(VLOOKUP(Base_Periodo1[[#This Row],[CONTA]],BaseContasDRE[#All],5,FALSE)),"Fora do DRE",VLOOKUP(Base_Periodo1[[#This Row],[CONTA]],BaseContasDRE[#All],6,FALSE))</f>
        <v>3</v>
      </c>
      <c r="U5993" s="3" t="str">
        <f>IF(ISERROR(VLOOKUP(Base_Periodo1[[#This Row],[CONTA]],BaseContasDRE[#All],7,FALSE)),"Fora do DRE",VLOOKUP(Base_Periodo1[[#This Row],[CONTA]],BaseContasDRE[#All],7,FALSE))</f>
        <v>INSUMOS AGROPECUARIOS</v>
      </c>
      <c r="V5993" s="3" t="str">
        <f>IF(Base_Periodo1[[#This Row],[Tipo_Linha]]="Fora do DRE","Fora do DRE","( "&amp;Base_Periodo1[[#This Row],[Tipo_Linha]]&amp;" ) "&amp;Base_Periodo1[[#This Row],[Filtro]])</f>
        <v>( - ) INSUMOS AGROPECUARIOS</v>
      </c>
      <c r="W5993" s="3" t="str">
        <f>LEFT(Base_Periodo1[[#This Row],[CLASS]],3)</f>
        <v>3.1</v>
      </c>
    </row>
    <row r="5994" spans="1:23" hidden="1">
      <c r="A5994" s="3" t="str">
        <f t="shared" si="93"/>
        <v>Período 1</v>
      </c>
      <c r="B5994">
        <v>2082</v>
      </c>
      <c r="C5994" t="s">
        <v>3687</v>
      </c>
      <c r="D5994" t="s">
        <v>3548</v>
      </c>
      <c r="E5994" s="3" t="str">
        <f>IF(LEN(Base_Periodo1[[#This Row],[CLASS]])&gt;=7,LEFT(Base_Periodo1[[#This Row],[CLASS]],7),"")</f>
        <v>3.1.1.1</v>
      </c>
      <c r="F5994" s="3" t="e">
        <f>VLOOKUP(Base_Periodo1[[#This Row],[Aux]],Base_Contas_Balanco[#All],2,FALSE)</f>
        <v>#N/A</v>
      </c>
      <c r="G5994" s="1"/>
      <c r="H5994" s="225">
        <v>1223929.1299999803</v>
      </c>
      <c r="I5994" s="225">
        <v>26046.229999999996</v>
      </c>
      <c r="J5994" s="225">
        <v>112607.97</v>
      </c>
      <c r="K5994" s="225">
        <v>1310490.8699999803</v>
      </c>
      <c r="L59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1310490.8700000001</v>
      </c>
      <c r="M5994" s="225">
        <f>ROUND(IF(AND(Base_Periodo1[[#This Row],[Tipo_Linha]]="-",Base_Periodo1[[#This Row],[TIPOSALDO]]="D"),Base_Periodo1[[#This Row],[SALDO_ATUAL]]*-1,Base_Periodo1[[#This Row],[SALDO_ATUAL]]),4)</f>
        <v>1310490.8700000001</v>
      </c>
      <c r="N5994" t="s">
        <v>396</v>
      </c>
      <c r="O5994" t="s">
        <v>459</v>
      </c>
      <c r="P5994" t="s">
        <v>459</v>
      </c>
      <c r="Q5994">
        <v>7</v>
      </c>
      <c r="R5994" s="282">
        <f>Base_Periodo1[[#This Row],[CREDITOS]]-Base_Periodo1[[#This Row],[DEBITOS]]</f>
        <v>86561.74</v>
      </c>
      <c r="S5994" s="3" t="str">
        <f>IF(ISERROR(VLOOKUP(Base_Periodo1[[#This Row],[CONTA]],BaseContasDRE[#All],4,FALSE)),"Fora do DRE",VLOOKUP(Base_Periodo1[[#This Row],[CONTA]],BaseContasDRE[#All],4,FALSE))</f>
        <v>Fora do DRE</v>
      </c>
      <c r="T5994" s="3" t="str">
        <f>IF(ISERROR(VLOOKUP(Base_Periodo1[[#This Row],[CONTA]],BaseContasDRE[#All],5,FALSE)),"Fora do DRE",VLOOKUP(Base_Periodo1[[#This Row],[CONTA]],BaseContasDRE[#All],6,FALSE))</f>
        <v>Fora do DRE</v>
      </c>
      <c r="U5994" s="3" t="str">
        <f>IF(ISERROR(VLOOKUP(Base_Periodo1[[#This Row],[CONTA]],BaseContasDRE[#All],7,FALSE)),"Fora do DRE",VLOOKUP(Base_Periodo1[[#This Row],[CONTA]],BaseContasDRE[#All],7,FALSE))</f>
        <v>Fora do DRE</v>
      </c>
      <c r="V5994" s="3" t="str">
        <f>IF(Base_Periodo1[[#This Row],[Tipo_Linha]]="Fora do DRE","Fora do DRE","( "&amp;Base_Periodo1[[#This Row],[Tipo_Linha]]&amp;" ) "&amp;Base_Periodo1[[#This Row],[Filtro]])</f>
        <v>Fora do DRE</v>
      </c>
      <c r="W5994" s="3" t="str">
        <f>LEFT(Base_Periodo1[[#This Row],[CLASS]],3)</f>
        <v>3.1</v>
      </c>
    </row>
    <row r="5995" spans="1:23" hidden="1">
      <c r="A5995" s="3" t="str">
        <f t="shared" si="93"/>
        <v>Período 1</v>
      </c>
      <c r="B5995">
        <v>2083</v>
      </c>
      <c r="C5995" t="s">
        <v>3688</v>
      </c>
      <c r="D5995" t="s">
        <v>3578</v>
      </c>
      <c r="E5995" s="3" t="str">
        <f>IF(LEN(Base_Periodo1[[#This Row],[CLASS]])&gt;=7,LEFT(Base_Periodo1[[#This Row],[CLASS]],7),"")</f>
        <v>3.1.1.1</v>
      </c>
      <c r="F5995" s="3" t="e">
        <f>VLOOKUP(Base_Periodo1[[#This Row],[Aux]],Base_Contas_Balanco[#All],2,FALSE)</f>
        <v>#N/A</v>
      </c>
      <c r="G5995" s="1"/>
      <c r="H5995" s="225">
        <v>2767845.4999999776</v>
      </c>
      <c r="I5995" s="225">
        <v>0</v>
      </c>
      <c r="J5995" s="225">
        <v>112607.97</v>
      </c>
      <c r="K5995" s="225">
        <v>2880453.4699999779</v>
      </c>
      <c r="L59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2880453.47</v>
      </c>
      <c r="M5995" s="225">
        <f>ROUND(IF(AND(Base_Periodo1[[#This Row],[Tipo_Linha]]="-",Base_Periodo1[[#This Row],[TIPOSALDO]]="D"),Base_Periodo1[[#This Row],[SALDO_ATUAL]]*-1,Base_Periodo1[[#This Row],[SALDO_ATUAL]]),4)</f>
        <v>2880453.47</v>
      </c>
      <c r="N5995" t="s">
        <v>396</v>
      </c>
      <c r="O5995" t="s">
        <v>459</v>
      </c>
      <c r="P5995" t="s">
        <v>459</v>
      </c>
      <c r="Q5995">
        <v>8</v>
      </c>
      <c r="R5995" s="282">
        <f>Base_Periodo1[[#This Row],[CREDITOS]]-Base_Periodo1[[#This Row],[DEBITOS]]</f>
        <v>112607.97</v>
      </c>
      <c r="S5995" s="3" t="str">
        <f>IF(ISERROR(VLOOKUP(Base_Periodo1[[#This Row],[CONTA]],BaseContasDRE[#All],4,FALSE)),"Fora do DRE",VLOOKUP(Base_Periodo1[[#This Row],[CONTA]],BaseContasDRE[#All],4,FALSE))</f>
        <v>Fora do DRE</v>
      </c>
      <c r="T5995" s="3" t="str">
        <f>IF(ISERROR(VLOOKUP(Base_Periodo1[[#This Row],[CONTA]],BaseContasDRE[#All],5,FALSE)),"Fora do DRE",VLOOKUP(Base_Periodo1[[#This Row],[CONTA]],BaseContasDRE[#All],6,FALSE))</f>
        <v>Fora do DRE</v>
      </c>
      <c r="U5995" s="3" t="str">
        <f>IF(ISERROR(VLOOKUP(Base_Periodo1[[#This Row],[CONTA]],BaseContasDRE[#All],7,FALSE)),"Fora do DRE",VLOOKUP(Base_Periodo1[[#This Row],[CONTA]],BaseContasDRE[#All],7,FALSE))</f>
        <v>Fora do DRE</v>
      </c>
      <c r="V5995" s="3" t="str">
        <f>IF(Base_Periodo1[[#This Row],[Tipo_Linha]]="Fora do DRE","Fora do DRE","( "&amp;Base_Periodo1[[#This Row],[Tipo_Linha]]&amp;" ) "&amp;Base_Periodo1[[#This Row],[Filtro]])</f>
        <v>Fora do DRE</v>
      </c>
      <c r="W5995" s="3" t="str">
        <f>LEFT(Base_Periodo1[[#This Row],[CLASS]],3)</f>
        <v>3.1</v>
      </c>
    </row>
    <row r="5996" spans="1:23" hidden="1">
      <c r="A5996" s="3" t="str">
        <f t="shared" si="93"/>
        <v>Período 1</v>
      </c>
      <c r="B5996">
        <v>2084</v>
      </c>
      <c r="C5996" t="s">
        <v>3689</v>
      </c>
      <c r="D5996" t="s">
        <v>3562</v>
      </c>
      <c r="E5996" s="3" t="str">
        <f>IF(LEN(Base_Periodo1[[#This Row],[CLASS]])&gt;=7,LEFT(Base_Periodo1[[#This Row],[CLASS]],7),"")</f>
        <v>3.1.1.1</v>
      </c>
      <c r="F5996" s="3" t="e">
        <f>VLOOKUP(Base_Periodo1[[#This Row],[Aux]],Base_Contas_Balanco[#All],2,FALSE)</f>
        <v>#N/A</v>
      </c>
      <c r="G5996" s="1">
        <v>42885</v>
      </c>
      <c r="H5996" s="225">
        <v>2767845.4999999776</v>
      </c>
      <c r="I5996" s="225">
        <v>0</v>
      </c>
      <c r="J5996" s="225">
        <v>112607.97</v>
      </c>
      <c r="K5996" s="225">
        <v>2880453.4699999779</v>
      </c>
      <c r="L59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2880453.47</v>
      </c>
      <c r="M5996" s="225">
        <f>ROUND(IF(AND(Base_Periodo1[[#This Row],[Tipo_Linha]]="-",Base_Periodo1[[#This Row],[TIPOSALDO]]="D"),Base_Periodo1[[#This Row],[SALDO_ATUAL]]*-1,Base_Periodo1[[#This Row],[SALDO_ATUAL]]),4)</f>
        <v>2880453.47</v>
      </c>
      <c r="N5996" t="s">
        <v>116</v>
      </c>
      <c r="O5996" t="s">
        <v>459</v>
      </c>
      <c r="P5996" t="s">
        <v>459</v>
      </c>
      <c r="Q5996">
        <v>9</v>
      </c>
      <c r="R5996" s="282">
        <f>Base_Periodo1[[#This Row],[CREDITOS]]-Base_Periodo1[[#This Row],[DEBITOS]]</f>
        <v>112607.97</v>
      </c>
      <c r="S5996" s="3" t="str">
        <f>IF(ISERROR(VLOOKUP(Base_Periodo1[[#This Row],[CONTA]],BaseContasDRE[#All],4,FALSE)),"Fora do DRE",VLOOKUP(Base_Periodo1[[#This Row],[CONTA]],BaseContasDRE[#All],4,FALSE))</f>
        <v>+</v>
      </c>
      <c r="T5996" s="3">
        <f>IF(ISERROR(VLOOKUP(Base_Periodo1[[#This Row],[CONTA]],BaseContasDRE[#All],5,FALSE)),"Fora do DRE",VLOOKUP(Base_Periodo1[[#This Row],[CONTA]],BaseContasDRE[#All],6,FALSE))</f>
        <v>1</v>
      </c>
      <c r="U5996" s="3" t="str">
        <f>IF(ISERROR(VLOOKUP(Base_Periodo1[[#This Row],[CONTA]],BaseContasDRE[#All],7,FALSE)),"Fora do DRE",VLOOKUP(Base_Periodo1[[#This Row],[CONTA]],BaseContasDRE[#All],7,FALSE))</f>
        <v>INSUMOS AGROPECUARIOS</v>
      </c>
      <c r="V5996" s="3" t="str">
        <f>IF(Base_Periodo1[[#This Row],[Tipo_Linha]]="Fora do DRE","Fora do DRE","( "&amp;Base_Periodo1[[#This Row],[Tipo_Linha]]&amp;" ) "&amp;Base_Periodo1[[#This Row],[Filtro]])</f>
        <v>( + ) INSUMOS AGROPECUARIOS</v>
      </c>
      <c r="W5996" s="3" t="str">
        <f>LEFT(Base_Periodo1[[#This Row],[CLASS]],3)</f>
        <v>3.1</v>
      </c>
    </row>
    <row r="5997" spans="1:23" hidden="1">
      <c r="A5997" s="3" t="str">
        <f t="shared" si="93"/>
        <v>Período 1</v>
      </c>
      <c r="B5997">
        <v>2085</v>
      </c>
      <c r="C5997" t="s">
        <v>3690</v>
      </c>
      <c r="D5997" t="s">
        <v>3563</v>
      </c>
      <c r="E5997" s="3" t="str">
        <f>IF(LEN(Base_Periodo1[[#This Row],[CLASS]])&gt;=7,LEFT(Base_Periodo1[[#This Row],[CLASS]],7),"")</f>
        <v>3.1.1.1</v>
      </c>
      <c r="F5997" s="3" t="e">
        <f>VLOOKUP(Base_Periodo1[[#This Row],[Aux]],Base_Contas_Balanco[#All],2,FALSE)</f>
        <v>#N/A</v>
      </c>
      <c r="G5997" s="1"/>
      <c r="H5997" s="225">
        <v>50215.419999999227</v>
      </c>
      <c r="I5997" s="225">
        <v>16164.919999999998</v>
      </c>
      <c r="J5997" s="225">
        <v>0</v>
      </c>
      <c r="K5997" s="225">
        <v>66380.339999999225</v>
      </c>
      <c r="L59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-66380.34</v>
      </c>
      <c r="M5997" s="225">
        <f>ROUND(IF(AND(Base_Periodo1[[#This Row],[Tipo_Linha]]="-",Base_Periodo1[[#This Row],[TIPOSALDO]]="D"),Base_Periodo1[[#This Row],[SALDO_ATUAL]]*-1,Base_Periodo1[[#This Row],[SALDO_ATUAL]]),4)</f>
        <v>66380.34</v>
      </c>
      <c r="N5997" t="s">
        <v>396</v>
      </c>
      <c r="O5997" t="s">
        <v>397</v>
      </c>
      <c r="P5997" t="s">
        <v>397</v>
      </c>
      <c r="Q5997">
        <v>8</v>
      </c>
      <c r="R5997" s="282">
        <f>Base_Periodo1[[#This Row],[CREDITOS]]-Base_Periodo1[[#This Row],[DEBITOS]]</f>
        <v>-16164.919999999998</v>
      </c>
      <c r="S5997" s="3" t="str">
        <f>IF(ISERROR(VLOOKUP(Base_Periodo1[[#This Row],[CONTA]],BaseContasDRE[#All],4,FALSE)),"Fora do DRE",VLOOKUP(Base_Periodo1[[#This Row],[CONTA]],BaseContasDRE[#All],4,FALSE))</f>
        <v>Fora do DRE</v>
      </c>
      <c r="T5997" s="3" t="str">
        <f>IF(ISERROR(VLOOKUP(Base_Periodo1[[#This Row],[CONTA]],BaseContasDRE[#All],5,FALSE)),"Fora do DRE",VLOOKUP(Base_Periodo1[[#This Row],[CONTA]],BaseContasDRE[#All],6,FALSE))</f>
        <v>Fora do DRE</v>
      </c>
      <c r="U5997" s="3" t="str">
        <f>IF(ISERROR(VLOOKUP(Base_Periodo1[[#This Row],[CONTA]],BaseContasDRE[#All],7,FALSE)),"Fora do DRE",VLOOKUP(Base_Periodo1[[#This Row],[CONTA]],BaseContasDRE[#All],7,FALSE))</f>
        <v>Fora do DRE</v>
      </c>
      <c r="V5997" s="3" t="str">
        <f>IF(Base_Periodo1[[#This Row],[Tipo_Linha]]="Fora do DRE","Fora do DRE","( "&amp;Base_Periodo1[[#This Row],[Tipo_Linha]]&amp;" ) "&amp;Base_Periodo1[[#This Row],[Filtro]])</f>
        <v>Fora do DRE</v>
      </c>
      <c r="W5997" s="3" t="str">
        <f>LEFT(Base_Periodo1[[#This Row],[CLASS]],3)</f>
        <v>3.1</v>
      </c>
    </row>
    <row r="5998" spans="1:23" hidden="1">
      <c r="A5998" s="3" t="str">
        <f t="shared" si="93"/>
        <v>Período 1</v>
      </c>
      <c r="B5998">
        <v>2086</v>
      </c>
      <c r="C5998" t="s">
        <v>3691</v>
      </c>
      <c r="D5998" t="s">
        <v>3564</v>
      </c>
      <c r="E5998" s="3" t="str">
        <f>IF(LEN(Base_Periodo1[[#This Row],[CLASS]])&gt;=7,LEFT(Base_Periodo1[[#This Row],[CLASS]],7),"")</f>
        <v>3.1.1.1</v>
      </c>
      <c r="F5998" s="3" t="e">
        <f>VLOOKUP(Base_Periodo1[[#This Row],[Aux]],Base_Contas_Balanco[#All],2,FALSE)</f>
        <v>#N/A</v>
      </c>
      <c r="G5998" s="1">
        <v>42880</v>
      </c>
      <c r="H5998" s="225">
        <v>50215.419999999227</v>
      </c>
      <c r="I5998" s="225">
        <v>16164.919999999998</v>
      </c>
      <c r="J5998" s="225">
        <v>0</v>
      </c>
      <c r="K5998" s="225">
        <v>66380.339999999225</v>
      </c>
      <c r="L59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-66380.34</v>
      </c>
      <c r="M5998" s="225">
        <f>ROUND(IF(AND(Base_Periodo1[[#This Row],[Tipo_Linha]]="-",Base_Periodo1[[#This Row],[TIPOSALDO]]="D"),Base_Periodo1[[#This Row],[SALDO_ATUAL]]*-1,Base_Periodo1[[#This Row],[SALDO_ATUAL]]),4)</f>
        <v>-66380.34</v>
      </c>
      <c r="N5998" t="s">
        <v>116</v>
      </c>
      <c r="O5998" t="s">
        <v>397</v>
      </c>
      <c r="P5998" t="s">
        <v>397</v>
      </c>
      <c r="Q5998">
        <v>9</v>
      </c>
      <c r="R5998" s="282">
        <f>Base_Periodo1[[#This Row],[CREDITOS]]-Base_Periodo1[[#This Row],[DEBITOS]]</f>
        <v>-16164.919999999998</v>
      </c>
      <c r="S5998" s="3" t="str">
        <f>IF(ISERROR(VLOOKUP(Base_Periodo1[[#This Row],[CONTA]],BaseContasDRE[#All],4,FALSE)),"Fora do DRE",VLOOKUP(Base_Periodo1[[#This Row],[CONTA]],BaseContasDRE[#All],4,FALSE))</f>
        <v>-</v>
      </c>
      <c r="T5998" s="3">
        <f>IF(ISERROR(VLOOKUP(Base_Periodo1[[#This Row],[CONTA]],BaseContasDRE[#All],5,FALSE)),"Fora do DRE",VLOOKUP(Base_Periodo1[[#This Row],[CONTA]],BaseContasDRE[#All],6,FALSE))</f>
        <v>2</v>
      </c>
      <c r="U5998" s="3" t="str">
        <f>IF(ISERROR(VLOOKUP(Base_Periodo1[[#This Row],[CONTA]],BaseContasDRE[#All],7,FALSE)),"Fora do DRE",VLOOKUP(Base_Periodo1[[#This Row],[CONTA]],BaseContasDRE[#All],7,FALSE))</f>
        <v>DEVOLUÇÃO DE INSUMOS AGROPECUARIOS</v>
      </c>
      <c r="V5998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5998" s="3" t="str">
        <f>LEFT(Base_Periodo1[[#This Row],[CLASS]],3)</f>
        <v>3.1</v>
      </c>
    </row>
    <row r="5999" spans="1:23" hidden="1">
      <c r="A5999" s="3" t="str">
        <f t="shared" si="93"/>
        <v>Período 1</v>
      </c>
      <c r="B5999">
        <v>2087</v>
      </c>
      <c r="C5999" t="s">
        <v>3692</v>
      </c>
      <c r="D5999" t="s">
        <v>3565</v>
      </c>
      <c r="E5999" s="3" t="str">
        <f>IF(LEN(Base_Periodo1[[#This Row],[CLASS]])&gt;=7,LEFT(Base_Periodo1[[#This Row],[CLASS]],7),"")</f>
        <v>3.1.1.1</v>
      </c>
      <c r="F5999" s="3" t="e">
        <f>VLOOKUP(Base_Periodo1[[#This Row],[Aux]],Base_Contas_Balanco[#All],2,FALSE)</f>
        <v>#N/A</v>
      </c>
      <c r="G5999" s="1"/>
      <c r="H5999" s="225">
        <v>1587.8700000000972</v>
      </c>
      <c r="I5999" s="225">
        <v>11.76</v>
      </c>
      <c r="J5999" s="225">
        <v>0</v>
      </c>
      <c r="K5999" s="225">
        <v>1599.6300000000972</v>
      </c>
      <c r="L59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-1599.63</v>
      </c>
      <c r="M5999" s="225">
        <f>ROUND(IF(AND(Base_Periodo1[[#This Row],[Tipo_Linha]]="-",Base_Periodo1[[#This Row],[TIPOSALDO]]="D"),Base_Periodo1[[#This Row],[SALDO_ATUAL]]*-1,Base_Periodo1[[#This Row],[SALDO_ATUAL]]),4)</f>
        <v>1599.63</v>
      </c>
      <c r="N5999" t="s">
        <v>396</v>
      </c>
      <c r="O5999" t="s">
        <v>397</v>
      </c>
      <c r="P5999" t="s">
        <v>397</v>
      </c>
      <c r="Q5999">
        <v>8</v>
      </c>
      <c r="R5999" s="282">
        <f>Base_Periodo1[[#This Row],[CREDITOS]]-Base_Periodo1[[#This Row],[DEBITOS]]</f>
        <v>-11.76</v>
      </c>
      <c r="S5999" s="3" t="str">
        <f>IF(ISERROR(VLOOKUP(Base_Periodo1[[#This Row],[CONTA]],BaseContasDRE[#All],4,FALSE)),"Fora do DRE",VLOOKUP(Base_Periodo1[[#This Row],[CONTA]],BaseContasDRE[#All],4,FALSE))</f>
        <v>Fora do DRE</v>
      </c>
      <c r="T5999" s="3" t="str">
        <f>IF(ISERROR(VLOOKUP(Base_Periodo1[[#This Row],[CONTA]],BaseContasDRE[#All],5,FALSE)),"Fora do DRE",VLOOKUP(Base_Periodo1[[#This Row],[CONTA]],BaseContasDRE[#All],6,FALSE))</f>
        <v>Fora do DRE</v>
      </c>
      <c r="U5999" s="3" t="str">
        <f>IF(ISERROR(VLOOKUP(Base_Periodo1[[#This Row],[CONTA]],BaseContasDRE[#All],7,FALSE)),"Fora do DRE",VLOOKUP(Base_Periodo1[[#This Row],[CONTA]],BaseContasDRE[#All],7,FALSE))</f>
        <v>Fora do DRE</v>
      </c>
      <c r="V5999" s="3" t="str">
        <f>IF(Base_Periodo1[[#This Row],[Tipo_Linha]]="Fora do DRE","Fora do DRE","( "&amp;Base_Periodo1[[#This Row],[Tipo_Linha]]&amp;" ) "&amp;Base_Periodo1[[#This Row],[Filtro]])</f>
        <v>Fora do DRE</v>
      </c>
      <c r="W5999" s="3" t="str">
        <f>LEFT(Base_Periodo1[[#This Row],[CLASS]],3)</f>
        <v>3.1</v>
      </c>
    </row>
    <row r="6000" spans="1:23" hidden="1">
      <c r="A6000" s="3" t="str">
        <f t="shared" si="93"/>
        <v>Período 1</v>
      </c>
      <c r="B6000">
        <v>2088</v>
      </c>
      <c r="C6000" t="s">
        <v>3693</v>
      </c>
      <c r="D6000" t="s">
        <v>3566</v>
      </c>
      <c r="E6000" s="3" t="str">
        <f>IF(LEN(Base_Periodo1[[#This Row],[CLASS]])&gt;=7,LEFT(Base_Periodo1[[#This Row],[CLASS]],7),"")</f>
        <v>3.1.1.1</v>
      </c>
      <c r="F6000" s="3" t="e">
        <f>VLOOKUP(Base_Periodo1[[#This Row],[Aux]],Base_Contas_Balanco[#All],2,FALSE)</f>
        <v>#N/A</v>
      </c>
      <c r="G6000" s="1">
        <v>42875</v>
      </c>
      <c r="H6000" s="225">
        <v>1587.8699999999808</v>
      </c>
      <c r="I6000" s="225">
        <v>11.76</v>
      </c>
      <c r="J6000" s="225">
        <v>0</v>
      </c>
      <c r="K6000" s="225">
        <v>1599.6299999999808</v>
      </c>
      <c r="L60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-1599.63</v>
      </c>
      <c r="M6000" s="225">
        <f>ROUND(IF(AND(Base_Periodo1[[#This Row],[Tipo_Linha]]="-",Base_Periodo1[[#This Row],[TIPOSALDO]]="D"),Base_Periodo1[[#This Row],[SALDO_ATUAL]]*-1,Base_Periodo1[[#This Row],[SALDO_ATUAL]]),4)</f>
        <v>-1599.63</v>
      </c>
      <c r="N6000" t="s">
        <v>116</v>
      </c>
      <c r="O6000" t="s">
        <v>397</v>
      </c>
      <c r="P6000" t="s">
        <v>397</v>
      </c>
      <c r="Q6000">
        <v>9</v>
      </c>
      <c r="R6000" s="282">
        <f>Base_Periodo1[[#This Row],[CREDITOS]]-Base_Periodo1[[#This Row],[DEBITOS]]</f>
        <v>-11.76</v>
      </c>
      <c r="S6000" s="3" t="str">
        <f>IF(ISERROR(VLOOKUP(Base_Periodo1[[#This Row],[CONTA]],BaseContasDRE[#All],4,FALSE)),"Fora do DRE",VLOOKUP(Base_Periodo1[[#This Row],[CONTA]],BaseContasDRE[#All],4,FALSE))</f>
        <v>-</v>
      </c>
      <c r="T6000" s="3">
        <f>IF(ISERROR(VLOOKUP(Base_Periodo1[[#This Row],[CONTA]],BaseContasDRE[#All],5,FALSE)),"Fora do DRE",VLOOKUP(Base_Periodo1[[#This Row],[CONTA]],BaseContasDRE[#All],6,FALSE))</f>
        <v>2</v>
      </c>
      <c r="U6000" s="3" t="str">
        <f>IF(ISERROR(VLOOKUP(Base_Periodo1[[#This Row],[CONTA]],BaseContasDRE[#All],7,FALSE)),"Fora do DRE",VLOOKUP(Base_Periodo1[[#This Row],[CONTA]],BaseContasDRE[#All],7,FALSE))</f>
        <v>ICMS SOBRE INGRESSOS E RECEITAS</v>
      </c>
      <c r="V6000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000" s="3" t="str">
        <f>LEFT(Base_Periodo1[[#This Row],[CLASS]],3)</f>
        <v>3.1</v>
      </c>
    </row>
    <row r="6001" spans="1:23" hidden="1">
      <c r="A6001" s="3" t="str">
        <f t="shared" si="93"/>
        <v>Período 1</v>
      </c>
      <c r="B6001">
        <v>2089</v>
      </c>
      <c r="C6001" t="s">
        <v>3694</v>
      </c>
      <c r="D6001" t="s">
        <v>3567</v>
      </c>
      <c r="E6001" s="3" t="str">
        <f>IF(LEN(Base_Periodo1[[#This Row],[CLASS]])&gt;=7,LEFT(Base_Periodo1[[#This Row],[CLASS]],7),"")</f>
        <v>3.1.1.1</v>
      </c>
      <c r="F6001" s="3" t="e">
        <f>VLOOKUP(Base_Periodo1[[#This Row],[Aux]],Base_Contas_Balanco[#All],2,FALSE)</f>
        <v>#N/A</v>
      </c>
      <c r="G6001" s="1"/>
      <c r="H6001" s="225">
        <v>1492113.0799999982</v>
      </c>
      <c r="I6001" s="225">
        <v>9869.5499999999993</v>
      </c>
      <c r="J6001" s="225">
        <v>0</v>
      </c>
      <c r="K6001" s="225">
        <v>1501982.6299999983</v>
      </c>
      <c r="L60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-1501982.63</v>
      </c>
      <c r="M6001" s="225">
        <f>ROUND(IF(AND(Base_Periodo1[[#This Row],[Tipo_Linha]]="-",Base_Periodo1[[#This Row],[TIPOSALDO]]="D"),Base_Periodo1[[#This Row],[SALDO_ATUAL]]*-1,Base_Periodo1[[#This Row],[SALDO_ATUAL]]),4)</f>
        <v>1501982.63</v>
      </c>
      <c r="N6001" t="s">
        <v>396</v>
      </c>
      <c r="O6001" t="s">
        <v>397</v>
      </c>
      <c r="P6001" t="s">
        <v>397</v>
      </c>
      <c r="Q6001">
        <v>8</v>
      </c>
      <c r="R6001" s="282">
        <f>Base_Periodo1[[#This Row],[CREDITOS]]-Base_Periodo1[[#This Row],[DEBITOS]]</f>
        <v>-9869.5499999999993</v>
      </c>
      <c r="S6001" s="3" t="str">
        <f>IF(ISERROR(VLOOKUP(Base_Periodo1[[#This Row],[CONTA]],BaseContasDRE[#All],4,FALSE)),"Fora do DRE",VLOOKUP(Base_Periodo1[[#This Row],[CONTA]],BaseContasDRE[#All],4,FALSE))</f>
        <v>Fora do DRE</v>
      </c>
      <c r="T6001" s="3" t="str">
        <f>IF(ISERROR(VLOOKUP(Base_Periodo1[[#This Row],[CONTA]],BaseContasDRE[#All],5,FALSE)),"Fora do DRE",VLOOKUP(Base_Periodo1[[#This Row],[CONTA]],BaseContasDRE[#All],6,FALSE))</f>
        <v>Fora do DRE</v>
      </c>
      <c r="U6001" s="3" t="str">
        <f>IF(ISERROR(VLOOKUP(Base_Periodo1[[#This Row],[CONTA]],BaseContasDRE[#All],7,FALSE)),"Fora do DRE",VLOOKUP(Base_Periodo1[[#This Row],[CONTA]],BaseContasDRE[#All],7,FALSE))</f>
        <v>Fora do DRE</v>
      </c>
      <c r="V6001" s="3" t="str">
        <f>IF(Base_Periodo1[[#This Row],[Tipo_Linha]]="Fora do DRE","Fora do DRE","( "&amp;Base_Periodo1[[#This Row],[Tipo_Linha]]&amp;" ) "&amp;Base_Periodo1[[#This Row],[Filtro]])</f>
        <v>Fora do DRE</v>
      </c>
      <c r="W6001" s="3" t="str">
        <f>LEFT(Base_Periodo1[[#This Row],[CLASS]],3)</f>
        <v>3.1</v>
      </c>
    </row>
    <row r="6002" spans="1:23" hidden="1">
      <c r="A6002" s="3" t="str">
        <f t="shared" si="93"/>
        <v>Período 1</v>
      </c>
      <c r="B6002">
        <v>2090</v>
      </c>
      <c r="C6002" t="s">
        <v>3695</v>
      </c>
      <c r="D6002" t="s">
        <v>3568</v>
      </c>
      <c r="E6002" s="3" t="str">
        <f>IF(LEN(Base_Periodo1[[#This Row],[CLASS]])&gt;=7,LEFT(Base_Periodo1[[#This Row],[CLASS]],7),"")</f>
        <v>3.1.1.1</v>
      </c>
      <c r="F6002" s="3" t="e">
        <f>VLOOKUP(Base_Periodo1[[#This Row],[Aux]],Base_Contas_Balanco[#All],2,FALSE)</f>
        <v>#N/A</v>
      </c>
      <c r="G6002" s="1">
        <v>42874</v>
      </c>
      <c r="H6002" s="225">
        <v>1492113.0799999982</v>
      </c>
      <c r="I6002" s="225">
        <v>9869.5499999999993</v>
      </c>
      <c r="J6002" s="225">
        <v>0</v>
      </c>
      <c r="K6002" s="225">
        <v>1501982.6299999983</v>
      </c>
      <c r="L60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-1501982.63</v>
      </c>
      <c r="M6002" s="225">
        <f>ROUND(IF(AND(Base_Periodo1[[#This Row],[Tipo_Linha]]="-",Base_Periodo1[[#This Row],[TIPOSALDO]]="D"),Base_Periodo1[[#This Row],[SALDO_ATUAL]]*-1,Base_Periodo1[[#This Row],[SALDO_ATUAL]]),4)</f>
        <v>-1501982.63</v>
      </c>
      <c r="N6002" t="s">
        <v>116</v>
      </c>
      <c r="O6002" t="s">
        <v>397</v>
      </c>
      <c r="P6002" t="s">
        <v>397</v>
      </c>
      <c r="Q6002">
        <v>9</v>
      </c>
      <c r="R6002" s="282">
        <f>Base_Periodo1[[#This Row],[CREDITOS]]-Base_Periodo1[[#This Row],[DEBITOS]]</f>
        <v>-9869.5499999999993</v>
      </c>
      <c r="S6002" s="3" t="str">
        <f>IF(ISERROR(VLOOKUP(Base_Periodo1[[#This Row],[CONTA]],BaseContasDRE[#All],4,FALSE)),"Fora do DRE",VLOOKUP(Base_Periodo1[[#This Row],[CONTA]],BaseContasDRE[#All],4,FALSE))</f>
        <v>-</v>
      </c>
      <c r="T6002" s="3">
        <f>IF(ISERROR(VLOOKUP(Base_Periodo1[[#This Row],[CONTA]],BaseContasDRE[#All],5,FALSE)),"Fora do DRE",VLOOKUP(Base_Periodo1[[#This Row],[CONTA]],BaseContasDRE[#All],6,FALSE))</f>
        <v>3</v>
      </c>
      <c r="U6002" s="3" t="str">
        <f>IF(ISERROR(VLOOKUP(Base_Periodo1[[#This Row],[CONTA]],BaseContasDRE[#All],7,FALSE)),"Fora do DRE",VLOOKUP(Base_Periodo1[[#This Row],[CONTA]],BaseContasDRE[#All],7,FALSE))</f>
        <v>INSUMOS AGROPECUARIOS</v>
      </c>
      <c r="V6002" s="3" t="str">
        <f>IF(Base_Periodo1[[#This Row],[Tipo_Linha]]="Fora do DRE","Fora do DRE","( "&amp;Base_Periodo1[[#This Row],[Tipo_Linha]]&amp;" ) "&amp;Base_Periodo1[[#This Row],[Filtro]])</f>
        <v>( - ) INSUMOS AGROPECUARIOS</v>
      </c>
      <c r="W6002" s="3" t="str">
        <f>LEFT(Base_Periodo1[[#This Row],[CLASS]],3)</f>
        <v>3.1</v>
      </c>
    </row>
    <row r="6003" spans="1:23" hidden="1">
      <c r="A6003" s="3" t="str">
        <f t="shared" si="93"/>
        <v>Período 1</v>
      </c>
      <c r="B6003">
        <v>2109</v>
      </c>
      <c r="C6003" t="s">
        <v>5249</v>
      </c>
      <c r="D6003" t="s">
        <v>4925</v>
      </c>
      <c r="E6003" s="3" t="str">
        <f>IF(LEN(Base_Periodo1[[#This Row],[CLASS]])&gt;=7,LEFT(Base_Periodo1[[#This Row],[CLASS]],7),"")</f>
        <v>3.1.1.1</v>
      </c>
      <c r="F6003" s="3" t="e">
        <f>VLOOKUP(Base_Periodo1[[#This Row],[Aux]],Base_Contas_Balanco[#All],2,FALSE)</f>
        <v>#N/A</v>
      </c>
      <c r="G6003" s="1"/>
      <c r="H6003" s="225">
        <v>1536.1599999999999</v>
      </c>
      <c r="I6003" s="225">
        <v>0</v>
      </c>
      <c r="J6003" s="225">
        <v>0</v>
      </c>
      <c r="K6003" s="225">
        <v>1536.1599999999999</v>
      </c>
      <c r="L60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1536.16</v>
      </c>
      <c r="M6003" s="225">
        <f>ROUND(IF(AND(Base_Periodo1[[#This Row],[Tipo_Linha]]="-",Base_Periodo1[[#This Row],[TIPOSALDO]]="D"),Base_Periodo1[[#This Row],[SALDO_ATUAL]]*-1,Base_Periodo1[[#This Row],[SALDO_ATUAL]]),4)</f>
        <v>1536.16</v>
      </c>
      <c r="N6003" t="s">
        <v>396</v>
      </c>
      <c r="O6003" t="s">
        <v>459</v>
      </c>
      <c r="P6003" t="s">
        <v>459</v>
      </c>
      <c r="Q6003">
        <v>6</v>
      </c>
      <c r="R6003" s="282">
        <f>Base_Periodo1[[#This Row],[CREDITOS]]-Base_Periodo1[[#This Row],[DEBITOS]]</f>
        <v>0</v>
      </c>
      <c r="S6003" s="3" t="str">
        <f>IF(ISERROR(VLOOKUP(Base_Periodo1[[#This Row],[CONTA]],BaseContasDRE[#All],4,FALSE)),"Fora do DRE",VLOOKUP(Base_Periodo1[[#This Row],[CONTA]],BaseContasDRE[#All],4,FALSE))</f>
        <v>Fora do DRE</v>
      </c>
      <c r="T6003" s="3" t="str">
        <f>IF(ISERROR(VLOOKUP(Base_Periodo1[[#This Row],[CONTA]],BaseContasDRE[#All],5,FALSE)),"Fora do DRE",VLOOKUP(Base_Periodo1[[#This Row],[CONTA]],BaseContasDRE[#All],6,FALSE))</f>
        <v>Fora do DRE</v>
      </c>
      <c r="U6003" s="3" t="str">
        <f>IF(ISERROR(VLOOKUP(Base_Periodo1[[#This Row],[CONTA]],BaseContasDRE[#All],7,FALSE)),"Fora do DRE",VLOOKUP(Base_Periodo1[[#This Row],[CONTA]],BaseContasDRE[#All],7,FALSE))</f>
        <v>Fora do DRE</v>
      </c>
      <c r="V6003" s="3" t="str">
        <f>IF(Base_Periodo1[[#This Row],[Tipo_Linha]]="Fora do DRE","Fora do DRE","( "&amp;Base_Periodo1[[#This Row],[Tipo_Linha]]&amp;" ) "&amp;Base_Periodo1[[#This Row],[Filtro]])</f>
        <v>Fora do DRE</v>
      </c>
      <c r="W6003" s="3" t="str">
        <f>LEFT(Base_Periodo1[[#This Row],[CLASS]],3)</f>
        <v>3.1</v>
      </c>
    </row>
    <row r="6004" spans="1:23" hidden="1">
      <c r="A6004" s="3" t="str">
        <f t="shared" si="93"/>
        <v>Período 1</v>
      </c>
      <c r="B6004">
        <v>2110</v>
      </c>
      <c r="C6004" t="s">
        <v>5250</v>
      </c>
      <c r="D6004" t="s">
        <v>4927</v>
      </c>
      <c r="E6004" s="3" t="str">
        <f>IF(LEN(Base_Periodo1[[#This Row],[CLASS]])&gt;=7,LEFT(Base_Periodo1[[#This Row],[CLASS]],7),"")</f>
        <v>3.1.1.1</v>
      </c>
      <c r="F6004" s="3" t="e">
        <f>VLOOKUP(Base_Periodo1[[#This Row],[Aux]],Base_Contas_Balanco[#All],2,FALSE)</f>
        <v>#N/A</v>
      </c>
      <c r="G6004" s="1"/>
      <c r="H6004" s="225">
        <v>1536.1599999999999</v>
      </c>
      <c r="I6004" s="225">
        <v>0</v>
      </c>
      <c r="J6004" s="225">
        <v>0</v>
      </c>
      <c r="K6004" s="225">
        <v>1536.1599999999999</v>
      </c>
      <c r="L60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1536.16</v>
      </c>
      <c r="M6004" s="225">
        <f>ROUND(IF(AND(Base_Periodo1[[#This Row],[Tipo_Linha]]="-",Base_Periodo1[[#This Row],[TIPOSALDO]]="D"),Base_Periodo1[[#This Row],[SALDO_ATUAL]]*-1,Base_Periodo1[[#This Row],[SALDO_ATUAL]]),4)</f>
        <v>1536.16</v>
      </c>
      <c r="N6004" t="s">
        <v>396</v>
      </c>
      <c r="O6004" t="s">
        <v>459</v>
      </c>
      <c r="P6004" t="s">
        <v>459</v>
      </c>
      <c r="Q6004">
        <v>7</v>
      </c>
      <c r="R6004" s="282">
        <f>Base_Periodo1[[#This Row],[CREDITOS]]-Base_Periodo1[[#This Row],[DEBITOS]]</f>
        <v>0</v>
      </c>
      <c r="S6004" s="3" t="str">
        <f>IF(ISERROR(VLOOKUP(Base_Periodo1[[#This Row],[CONTA]],BaseContasDRE[#All],4,FALSE)),"Fora do DRE",VLOOKUP(Base_Periodo1[[#This Row],[CONTA]],BaseContasDRE[#All],4,FALSE))</f>
        <v>Fora do DRE</v>
      </c>
      <c r="T6004" s="3" t="str">
        <f>IF(ISERROR(VLOOKUP(Base_Periodo1[[#This Row],[CONTA]],BaseContasDRE[#All],5,FALSE)),"Fora do DRE",VLOOKUP(Base_Periodo1[[#This Row],[CONTA]],BaseContasDRE[#All],6,FALSE))</f>
        <v>Fora do DRE</v>
      </c>
      <c r="U6004" s="3" t="str">
        <f>IF(ISERROR(VLOOKUP(Base_Periodo1[[#This Row],[CONTA]],BaseContasDRE[#All],7,FALSE)),"Fora do DRE",VLOOKUP(Base_Periodo1[[#This Row],[CONTA]],BaseContasDRE[#All],7,FALSE))</f>
        <v>Fora do DRE</v>
      </c>
      <c r="V6004" s="3" t="str">
        <f>IF(Base_Periodo1[[#This Row],[Tipo_Linha]]="Fora do DRE","Fora do DRE","( "&amp;Base_Periodo1[[#This Row],[Tipo_Linha]]&amp;" ) "&amp;Base_Periodo1[[#This Row],[Filtro]])</f>
        <v>Fora do DRE</v>
      </c>
      <c r="W6004" s="3" t="str">
        <f>LEFT(Base_Periodo1[[#This Row],[CLASS]],3)</f>
        <v>3.1</v>
      </c>
    </row>
    <row r="6005" spans="1:23" hidden="1">
      <c r="A6005" s="3" t="str">
        <f t="shared" si="93"/>
        <v>Período 1</v>
      </c>
      <c r="B6005">
        <v>2111</v>
      </c>
      <c r="C6005" t="s">
        <v>5251</v>
      </c>
      <c r="D6005" t="s">
        <v>3561</v>
      </c>
      <c r="E6005" s="3" t="str">
        <f>IF(LEN(Base_Periodo1[[#This Row],[CLASS]])&gt;=7,LEFT(Base_Periodo1[[#This Row],[CLASS]],7),"")</f>
        <v>3.1.1.1</v>
      </c>
      <c r="F6005" s="3" t="e">
        <f>VLOOKUP(Base_Periodo1[[#This Row],[Aux]],Base_Contas_Balanco[#All],2,FALSE)</f>
        <v>#N/A</v>
      </c>
      <c r="G6005" s="1"/>
      <c r="H6005" s="225">
        <v>4469.3999999999978</v>
      </c>
      <c r="I6005" s="225">
        <v>0</v>
      </c>
      <c r="J6005" s="225">
        <v>0</v>
      </c>
      <c r="K6005" s="225">
        <v>4469.3999999999978</v>
      </c>
      <c r="L60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4469.3999999999996</v>
      </c>
      <c r="M6005" s="225">
        <f>ROUND(IF(AND(Base_Periodo1[[#This Row],[Tipo_Linha]]="-",Base_Periodo1[[#This Row],[TIPOSALDO]]="D"),Base_Periodo1[[#This Row],[SALDO_ATUAL]]*-1,Base_Periodo1[[#This Row],[SALDO_ATUAL]]),4)</f>
        <v>4469.3999999999996</v>
      </c>
      <c r="N6005" t="s">
        <v>396</v>
      </c>
      <c r="O6005" t="s">
        <v>459</v>
      </c>
      <c r="P6005" t="s">
        <v>459</v>
      </c>
      <c r="Q6005">
        <v>8</v>
      </c>
      <c r="R6005" s="282">
        <f>Base_Periodo1[[#This Row],[CREDITOS]]-Base_Periodo1[[#This Row],[DEBITOS]]</f>
        <v>0</v>
      </c>
      <c r="S6005" s="3" t="str">
        <f>IF(ISERROR(VLOOKUP(Base_Periodo1[[#This Row],[CONTA]],BaseContasDRE[#All],4,FALSE)),"Fora do DRE",VLOOKUP(Base_Periodo1[[#This Row],[CONTA]],BaseContasDRE[#All],4,FALSE))</f>
        <v>Fora do DRE</v>
      </c>
      <c r="T6005" s="3" t="str">
        <f>IF(ISERROR(VLOOKUP(Base_Periodo1[[#This Row],[CONTA]],BaseContasDRE[#All],5,FALSE)),"Fora do DRE",VLOOKUP(Base_Periodo1[[#This Row],[CONTA]],BaseContasDRE[#All],6,FALSE))</f>
        <v>Fora do DRE</v>
      </c>
      <c r="U6005" s="3" t="str">
        <f>IF(ISERROR(VLOOKUP(Base_Periodo1[[#This Row],[CONTA]],BaseContasDRE[#All],7,FALSE)),"Fora do DRE",VLOOKUP(Base_Periodo1[[#This Row],[CONTA]],BaseContasDRE[#All],7,FALSE))</f>
        <v>Fora do DRE</v>
      </c>
      <c r="V6005" s="3" t="str">
        <f>IF(Base_Periodo1[[#This Row],[Tipo_Linha]]="Fora do DRE","Fora do DRE","( "&amp;Base_Periodo1[[#This Row],[Tipo_Linha]]&amp;" ) "&amp;Base_Periodo1[[#This Row],[Filtro]])</f>
        <v>Fora do DRE</v>
      </c>
      <c r="W6005" s="3" t="str">
        <f>LEFT(Base_Periodo1[[#This Row],[CLASS]],3)</f>
        <v>3.1</v>
      </c>
    </row>
    <row r="6006" spans="1:23" hidden="1">
      <c r="A6006" s="3" t="str">
        <f t="shared" si="93"/>
        <v>Período 1</v>
      </c>
      <c r="B6006">
        <v>2112</v>
      </c>
      <c r="C6006" t="s">
        <v>5252</v>
      </c>
      <c r="D6006" t="s">
        <v>3562</v>
      </c>
      <c r="E6006" s="3" t="str">
        <f>IF(LEN(Base_Periodo1[[#This Row],[CLASS]])&gt;=7,LEFT(Base_Periodo1[[#This Row],[CLASS]],7),"")</f>
        <v>3.1.1.1</v>
      </c>
      <c r="F6006" s="3" t="e">
        <f>VLOOKUP(Base_Periodo1[[#This Row],[Aux]],Base_Contas_Balanco[#All],2,FALSE)</f>
        <v>#N/A</v>
      </c>
      <c r="G6006" s="1">
        <v>42747</v>
      </c>
      <c r="H6006" s="225">
        <v>4469.3999999999978</v>
      </c>
      <c r="I6006" s="225">
        <v>0</v>
      </c>
      <c r="J6006" s="225">
        <v>0</v>
      </c>
      <c r="K6006" s="225">
        <v>4469.3999999999978</v>
      </c>
      <c r="L60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4469.3999999999996</v>
      </c>
      <c r="M6006" s="225">
        <f>ROUND(IF(AND(Base_Periodo1[[#This Row],[Tipo_Linha]]="-",Base_Periodo1[[#This Row],[TIPOSALDO]]="D"),Base_Periodo1[[#This Row],[SALDO_ATUAL]]*-1,Base_Periodo1[[#This Row],[SALDO_ATUAL]]),4)</f>
        <v>4469.3999999999996</v>
      </c>
      <c r="N6006" t="s">
        <v>116</v>
      </c>
      <c r="O6006" t="s">
        <v>459</v>
      </c>
      <c r="P6006" t="s">
        <v>459</v>
      </c>
      <c r="Q6006">
        <v>9</v>
      </c>
      <c r="R6006" s="282">
        <f>Base_Periodo1[[#This Row],[CREDITOS]]-Base_Periodo1[[#This Row],[DEBITOS]]</f>
        <v>0</v>
      </c>
      <c r="S6006" s="3" t="str">
        <f>IF(ISERROR(VLOOKUP(Base_Periodo1[[#This Row],[CONTA]],BaseContasDRE[#All],4,FALSE)),"Fora do DRE",VLOOKUP(Base_Periodo1[[#This Row],[CONTA]],BaseContasDRE[#All],4,FALSE))</f>
        <v>+</v>
      </c>
      <c r="T6006" s="3">
        <f>IF(ISERROR(VLOOKUP(Base_Periodo1[[#This Row],[CONTA]],BaseContasDRE[#All],5,FALSE)),"Fora do DRE",VLOOKUP(Base_Periodo1[[#This Row],[CONTA]],BaseContasDRE[#All],6,FALSE))</f>
        <v>1</v>
      </c>
      <c r="U6006" s="3" t="str">
        <f>IF(ISERROR(VLOOKUP(Base_Periodo1[[#This Row],[CONTA]],BaseContasDRE[#All],7,FALSE)),"Fora do DRE",VLOOKUP(Base_Periodo1[[#This Row],[CONTA]],BaseContasDRE[#All],7,FALSE))</f>
        <v>INSUMOS AGROPECUARIOS</v>
      </c>
      <c r="V6006" s="3" t="str">
        <f>IF(Base_Periodo1[[#This Row],[Tipo_Linha]]="Fora do DRE","Fora do DRE","( "&amp;Base_Periodo1[[#This Row],[Tipo_Linha]]&amp;" ) "&amp;Base_Periodo1[[#This Row],[Filtro]])</f>
        <v>( + ) INSUMOS AGROPECUARIOS</v>
      </c>
      <c r="W6006" s="3" t="str">
        <f>LEFT(Base_Periodo1[[#This Row],[CLASS]],3)</f>
        <v>3.1</v>
      </c>
    </row>
    <row r="6007" spans="1:23" hidden="1">
      <c r="A6007" s="3" t="str">
        <f t="shared" si="93"/>
        <v>Período 1</v>
      </c>
      <c r="B6007">
        <v>2119</v>
      </c>
      <c r="C6007" t="s">
        <v>5253</v>
      </c>
      <c r="D6007" t="s">
        <v>3567</v>
      </c>
      <c r="E6007" s="3" t="str">
        <f>IF(LEN(Base_Periodo1[[#This Row],[CLASS]])&gt;=7,LEFT(Base_Periodo1[[#This Row],[CLASS]],7),"")</f>
        <v>3.1.1.1</v>
      </c>
      <c r="F6007" s="3" t="e">
        <f>VLOOKUP(Base_Periodo1[[#This Row],[Aux]],Base_Contas_Balanco[#All],2,FALSE)</f>
        <v>#N/A</v>
      </c>
      <c r="G6007" s="1"/>
      <c r="H6007" s="225">
        <v>2933.239999999998</v>
      </c>
      <c r="I6007" s="225">
        <v>0</v>
      </c>
      <c r="J6007" s="225">
        <v>0</v>
      </c>
      <c r="K6007" s="225">
        <v>2933.239999999998</v>
      </c>
      <c r="L60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-2933.24</v>
      </c>
      <c r="M6007" s="225">
        <f>ROUND(IF(AND(Base_Periodo1[[#This Row],[Tipo_Linha]]="-",Base_Periodo1[[#This Row],[TIPOSALDO]]="D"),Base_Periodo1[[#This Row],[SALDO_ATUAL]]*-1,Base_Periodo1[[#This Row],[SALDO_ATUAL]]),4)</f>
        <v>2933.24</v>
      </c>
      <c r="N6007" t="s">
        <v>396</v>
      </c>
      <c r="O6007" t="s">
        <v>397</v>
      </c>
      <c r="P6007" t="s">
        <v>397</v>
      </c>
      <c r="Q6007">
        <v>8</v>
      </c>
      <c r="R6007" s="282">
        <f>Base_Periodo1[[#This Row],[CREDITOS]]-Base_Periodo1[[#This Row],[DEBITOS]]</f>
        <v>0</v>
      </c>
      <c r="S6007" s="3" t="str">
        <f>IF(ISERROR(VLOOKUP(Base_Periodo1[[#This Row],[CONTA]],BaseContasDRE[#All],4,FALSE)),"Fora do DRE",VLOOKUP(Base_Periodo1[[#This Row],[CONTA]],BaseContasDRE[#All],4,FALSE))</f>
        <v>Fora do DRE</v>
      </c>
      <c r="T6007" s="3" t="str">
        <f>IF(ISERROR(VLOOKUP(Base_Periodo1[[#This Row],[CONTA]],BaseContasDRE[#All],5,FALSE)),"Fora do DRE",VLOOKUP(Base_Periodo1[[#This Row],[CONTA]],BaseContasDRE[#All],6,FALSE))</f>
        <v>Fora do DRE</v>
      </c>
      <c r="U6007" s="3" t="str">
        <f>IF(ISERROR(VLOOKUP(Base_Periodo1[[#This Row],[CONTA]],BaseContasDRE[#All],7,FALSE)),"Fora do DRE",VLOOKUP(Base_Periodo1[[#This Row],[CONTA]],BaseContasDRE[#All],7,FALSE))</f>
        <v>Fora do DRE</v>
      </c>
      <c r="V6007" s="3" t="str">
        <f>IF(Base_Periodo1[[#This Row],[Tipo_Linha]]="Fora do DRE","Fora do DRE","( "&amp;Base_Periodo1[[#This Row],[Tipo_Linha]]&amp;" ) "&amp;Base_Periodo1[[#This Row],[Filtro]])</f>
        <v>Fora do DRE</v>
      </c>
      <c r="W6007" s="3" t="str">
        <f>LEFT(Base_Periodo1[[#This Row],[CLASS]],3)</f>
        <v>3.1</v>
      </c>
    </row>
    <row r="6008" spans="1:23" hidden="1">
      <c r="A6008" s="3" t="str">
        <f t="shared" si="93"/>
        <v>Período 1</v>
      </c>
      <c r="B6008">
        <v>2120</v>
      </c>
      <c r="C6008" t="s">
        <v>5254</v>
      </c>
      <c r="D6008" t="s">
        <v>3568</v>
      </c>
      <c r="E6008" s="3" t="str">
        <f>IF(LEN(Base_Periodo1[[#This Row],[CLASS]])&gt;=7,LEFT(Base_Periodo1[[#This Row],[CLASS]],7),"")</f>
        <v>3.1.1.1</v>
      </c>
      <c r="F6008" s="3" t="e">
        <f>VLOOKUP(Base_Periodo1[[#This Row],[Aux]],Base_Contas_Balanco[#All],2,FALSE)</f>
        <v>#N/A</v>
      </c>
      <c r="G6008" s="1">
        <v>42766</v>
      </c>
      <c r="H6008" s="225">
        <v>2933.239999999998</v>
      </c>
      <c r="I6008" s="225">
        <v>0</v>
      </c>
      <c r="J6008" s="225">
        <v>0</v>
      </c>
      <c r="K6008" s="225">
        <v>2933.239999999998</v>
      </c>
      <c r="L60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-2933.24</v>
      </c>
      <c r="M6008" s="225">
        <f>ROUND(IF(AND(Base_Periodo1[[#This Row],[Tipo_Linha]]="-",Base_Periodo1[[#This Row],[TIPOSALDO]]="D"),Base_Periodo1[[#This Row],[SALDO_ATUAL]]*-1,Base_Periodo1[[#This Row],[SALDO_ATUAL]]),4)</f>
        <v>-2933.24</v>
      </c>
      <c r="N6008" t="s">
        <v>116</v>
      </c>
      <c r="O6008" t="s">
        <v>397</v>
      </c>
      <c r="P6008" t="s">
        <v>397</v>
      </c>
      <c r="Q6008">
        <v>9</v>
      </c>
      <c r="R6008" s="282">
        <f>Base_Periodo1[[#This Row],[CREDITOS]]-Base_Periodo1[[#This Row],[DEBITOS]]</f>
        <v>0</v>
      </c>
      <c r="S6008" s="3" t="str">
        <f>IF(ISERROR(VLOOKUP(Base_Periodo1[[#This Row],[CONTA]],BaseContasDRE[#All],4,FALSE)),"Fora do DRE",VLOOKUP(Base_Periodo1[[#This Row],[CONTA]],BaseContasDRE[#All],4,FALSE))</f>
        <v>-</v>
      </c>
      <c r="T6008" s="3">
        <f>IF(ISERROR(VLOOKUP(Base_Periodo1[[#This Row],[CONTA]],BaseContasDRE[#All],5,FALSE)),"Fora do DRE",VLOOKUP(Base_Periodo1[[#This Row],[CONTA]],BaseContasDRE[#All],6,FALSE))</f>
        <v>3</v>
      </c>
      <c r="U6008" s="3" t="str">
        <f>IF(ISERROR(VLOOKUP(Base_Periodo1[[#This Row],[CONTA]],BaseContasDRE[#All],7,FALSE)),"Fora do DRE",VLOOKUP(Base_Periodo1[[#This Row],[CONTA]],BaseContasDRE[#All],7,FALSE))</f>
        <v>INSUMOS AGROPECUARIOS</v>
      </c>
      <c r="V6008" s="3" t="str">
        <f>IF(Base_Periodo1[[#This Row],[Tipo_Linha]]="Fora do DRE","Fora do DRE","( "&amp;Base_Periodo1[[#This Row],[Tipo_Linha]]&amp;" ) "&amp;Base_Periodo1[[#This Row],[Filtro]])</f>
        <v>( - ) INSUMOS AGROPECUARIOS</v>
      </c>
      <c r="W6008" s="3" t="str">
        <f>LEFT(Base_Periodo1[[#This Row],[CLASS]],3)</f>
        <v>3.1</v>
      </c>
    </row>
    <row r="6009" spans="1:23" hidden="1">
      <c r="A6009" s="3" t="str">
        <f t="shared" si="93"/>
        <v>Período 1</v>
      </c>
      <c r="B6009">
        <v>2134</v>
      </c>
      <c r="C6009" t="s">
        <v>3696</v>
      </c>
      <c r="D6009" t="s">
        <v>1381</v>
      </c>
      <c r="E6009" s="3" t="str">
        <f>IF(LEN(Base_Periodo1[[#This Row],[CLASS]])&gt;=7,LEFT(Base_Periodo1[[#This Row],[CLASS]],7),"")</f>
        <v>3.1.1.1</v>
      </c>
      <c r="F6009" s="3" t="e">
        <f>VLOOKUP(Base_Periodo1[[#This Row],[Aux]],Base_Contas_Balanco[#All],2,FALSE)</f>
        <v>#N/A</v>
      </c>
      <c r="G6009" s="1"/>
      <c r="H6009" s="225">
        <v>13852.299999999897</v>
      </c>
      <c r="I6009" s="225">
        <v>20661.07</v>
      </c>
      <c r="J6009" s="225">
        <v>39510</v>
      </c>
      <c r="K6009" s="225">
        <v>32701.229999999898</v>
      </c>
      <c r="L60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32701.23</v>
      </c>
      <c r="M6009" s="225">
        <f>ROUND(IF(AND(Base_Periodo1[[#This Row],[Tipo_Linha]]="-",Base_Periodo1[[#This Row],[TIPOSALDO]]="D"),Base_Periodo1[[#This Row],[SALDO_ATUAL]]*-1,Base_Periodo1[[#This Row],[SALDO_ATUAL]]),4)</f>
        <v>32701.23</v>
      </c>
      <c r="N6009" t="s">
        <v>396</v>
      </c>
      <c r="O6009" t="s">
        <v>459</v>
      </c>
      <c r="P6009" t="s">
        <v>459</v>
      </c>
      <c r="Q6009">
        <v>5</v>
      </c>
      <c r="R6009" s="282">
        <f>Base_Periodo1[[#This Row],[CREDITOS]]-Base_Periodo1[[#This Row],[DEBITOS]]</f>
        <v>18848.93</v>
      </c>
      <c r="S6009" s="3" t="str">
        <f>IF(ISERROR(VLOOKUP(Base_Periodo1[[#This Row],[CONTA]],BaseContasDRE[#All],4,FALSE)),"Fora do DRE",VLOOKUP(Base_Periodo1[[#This Row],[CONTA]],BaseContasDRE[#All],4,FALSE))</f>
        <v>Fora do DRE</v>
      </c>
      <c r="T6009" s="3" t="str">
        <f>IF(ISERROR(VLOOKUP(Base_Periodo1[[#This Row],[CONTA]],BaseContasDRE[#All],5,FALSE)),"Fora do DRE",VLOOKUP(Base_Periodo1[[#This Row],[CONTA]],BaseContasDRE[#All],6,FALSE))</f>
        <v>Fora do DRE</v>
      </c>
      <c r="U6009" s="3" t="str">
        <f>IF(ISERROR(VLOOKUP(Base_Periodo1[[#This Row],[CONTA]],BaseContasDRE[#All],7,FALSE)),"Fora do DRE",VLOOKUP(Base_Periodo1[[#This Row],[CONTA]],BaseContasDRE[#All],7,FALSE))</f>
        <v>Fora do DRE</v>
      </c>
      <c r="V6009" s="3" t="str">
        <f>IF(Base_Periodo1[[#This Row],[Tipo_Linha]]="Fora do DRE","Fora do DRE","( "&amp;Base_Periodo1[[#This Row],[Tipo_Linha]]&amp;" ) "&amp;Base_Periodo1[[#This Row],[Filtro]])</f>
        <v>Fora do DRE</v>
      </c>
      <c r="W6009" s="3" t="str">
        <f>LEFT(Base_Periodo1[[#This Row],[CLASS]],3)</f>
        <v>3.1</v>
      </c>
    </row>
    <row r="6010" spans="1:23" hidden="1">
      <c r="A6010" s="3" t="str">
        <f t="shared" si="93"/>
        <v>Período 1</v>
      </c>
      <c r="B6010">
        <v>2135</v>
      </c>
      <c r="C6010" t="s">
        <v>3697</v>
      </c>
      <c r="D6010" t="s">
        <v>1383</v>
      </c>
      <c r="E6010" s="3" t="str">
        <f>IF(LEN(Base_Periodo1[[#This Row],[CLASS]])&gt;=7,LEFT(Base_Periodo1[[#This Row],[CLASS]],7),"")</f>
        <v>3.1.1.1</v>
      </c>
      <c r="F6010" s="3" t="e">
        <f>VLOOKUP(Base_Periodo1[[#This Row],[Aux]],Base_Contas_Balanco[#All],2,FALSE)</f>
        <v>#N/A</v>
      </c>
      <c r="G6010" s="1"/>
      <c r="H6010" s="225">
        <v>13852.299999999897</v>
      </c>
      <c r="I6010" s="225">
        <v>20661.07</v>
      </c>
      <c r="J6010" s="225">
        <v>39510</v>
      </c>
      <c r="K6010" s="225">
        <v>32701.229999999898</v>
      </c>
      <c r="L60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32701.23</v>
      </c>
      <c r="M6010" s="225">
        <f>ROUND(IF(AND(Base_Periodo1[[#This Row],[Tipo_Linha]]="-",Base_Periodo1[[#This Row],[TIPOSALDO]]="D"),Base_Periodo1[[#This Row],[SALDO_ATUAL]]*-1,Base_Periodo1[[#This Row],[SALDO_ATUAL]]),4)</f>
        <v>32701.23</v>
      </c>
      <c r="N6010" t="s">
        <v>396</v>
      </c>
      <c r="O6010" t="s">
        <v>459</v>
      </c>
      <c r="P6010" t="s">
        <v>459</v>
      </c>
      <c r="Q6010">
        <v>6</v>
      </c>
      <c r="R6010" s="282">
        <f>Base_Periodo1[[#This Row],[CREDITOS]]-Base_Periodo1[[#This Row],[DEBITOS]]</f>
        <v>18848.93</v>
      </c>
      <c r="S6010" s="3" t="str">
        <f>IF(ISERROR(VLOOKUP(Base_Periodo1[[#This Row],[CONTA]],BaseContasDRE[#All],4,FALSE)),"Fora do DRE",VLOOKUP(Base_Periodo1[[#This Row],[CONTA]],BaseContasDRE[#All],4,FALSE))</f>
        <v>Fora do DRE</v>
      </c>
      <c r="T6010" s="3" t="str">
        <f>IF(ISERROR(VLOOKUP(Base_Periodo1[[#This Row],[CONTA]],BaseContasDRE[#All],5,FALSE)),"Fora do DRE",VLOOKUP(Base_Periodo1[[#This Row],[CONTA]],BaseContasDRE[#All],6,FALSE))</f>
        <v>Fora do DRE</v>
      </c>
      <c r="U6010" s="3" t="str">
        <f>IF(ISERROR(VLOOKUP(Base_Periodo1[[#This Row],[CONTA]],BaseContasDRE[#All],7,FALSE)),"Fora do DRE",VLOOKUP(Base_Periodo1[[#This Row],[CONTA]],BaseContasDRE[#All],7,FALSE))</f>
        <v>Fora do DRE</v>
      </c>
      <c r="V6010" s="3" t="str">
        <f>IF(Base_Periodo1[[#This Row],[Tipo_Linha]]="Fora do DRE","Fora do DRE","( "&amp;Base_Periodo1[[#This Row],[Tipo_Linha]]&amp;" ) "&amp;Base_Periodo1[[#This Row],[Filtro]])</f>
        <v>Fora do DRE</v>
      </c>
      <c r="W6010" s="3" t="str">
        <f>LEFT(Base_Periodo1[[#This Row],[CLASS]],3)</f>
        <v>3.1</v>
      </c>
    </row>
    <row r="6011" spans="1:23" hidden="1">
      <c r="A6011" s="3" t="str">
        <f t="shared" si="93"/>
        <v>Período 1</v>
      </c>
      <c r="B6011">
        <v>2136</v>
      </c>
      <c r="C6011" t="s">
        <v>6092</v>
      </c>
      <c r="D6011" t="s">
        <v>4434</v>
      </c>
      <c r="E6011" s="3" t="str">
        <f>IF(LEN(Base_Periodo1[[#This Row],[CLASS]])&gt;=7,LEFT(Base_Periodo1[[#This Row],[CLASS]],7),"")</f>
        <v>3.1.1.1</v>
      </c>
      <c r="F6011" s="3" t="e">
        <f>VLOOKUP(Base_Periodo1[[#This Row],[Aux]],Base_Contas_Balanco[#All],2,FALSE)</f>
        <v>#N/A</v>
      </c>
      <c r="G6011" s="1"/>
      <c r="H6011" s="225">
        <v>7685.5299999999588</v>
      </c>
      <c r="I6011" s="225">
        <v>0</v>
      </c>
      <c r="J6011" s="225">
        <v>0</v>
      </c>
      <c r="K6011" s="225">
        <v>7685.5299999999588</v>
      </c>
      <c r="L60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7685.53</v>
      </c>
      <c r="M6011" s="225">
        <f>ROUND(IF(AND(Base_Periodo1[[#This Row],[Tipo_Linha]]="-",Base_Periodo1[[#This Row],[TIPOSALDO]]="D"),Base_Periodo1[[#This Row],[SALDO_ATUAL]]*-1,Base_Periodo1[[#This Row],[SALDO_ATUAL]]),4)</f>
        <v>7685.53</v>
      </c>
      <c r="N6011" t="s">
        <v>396</v>
      </c>
      <c r="O6011" t="s">
        <v>459</v>
      </c>
      <c r="P6011" t="s">
        <v>459</v>
      </c>
      <c r="Q6011">
        <v>7</v>
      </c>
      <c r="R6011" s="282">
        <f>Base_Periodo1[[#This Row],[CREDITOS]]-Base_Periodo1[[#This Row],[DEBITOS]]</f>
        <v>0</v>
      </c>
      <c r="S6011" s="3" t="str">
        <f>IF(ISERROR(VLOOKUP(Base_Periodo1[[#This Row],[CONTA]],BaseContasDRE[#All],4,FALSE)),"Fora do DRE",VLOOKUP(Base_Periodo1[[#This Row],[CONTA]],BaseContasDRE[#All],4,FALSE))</f>
        <v>Fora do DRE</v>
      </c>
      <c r="T6011" s="3" t="str">
        <f>IF(ISERROR(VLOOKUP(Base_Periodo1[[#This Row],[CONTA]],BaseContasDRE[#All],5,FALSE)),"Fora do DRE",VLOOKUP(Base_Periodo1[[#This Row],[CONTA]],BaseContasDRE[#All],6,FALSE))</f>
        <v>Fora do DRE</v>
      </c>
      <c r="U6011" s="3" t="str">
        <f>IF(ISERROR(VLOOKUP(Base_Periodo1[[#This Row],[CONTA]],BaseContasDRE[#All],7,FALSE)),"Fora do DRE",VLOOKUP(Base_Periodo1[[#This Row],[CONTA]],BaseContasDRE[#All],7,FALSE))</f>
        <v>Fora do DRE</v>
      </c>
      <c r="V6011" s="3" t="str">
        <f>IF(Base_Periodo1[[#This Row],[Tipo_Linha]]="Fora do DRE","Fora do DRE","( "&amp;Base_Periodo1[[#This Row],[Tipo_Linha]]&amp;" ) "&amp;Base_Periodo1[[#This Row],[Filtro]])</f>
        <v>Fora do DRE</v>
      </c>
      <c r="W6011" s="3" t="str">
        <f>LEFT(Base_Periodo1[[#This Row],[CLASS]],3)</f>
        <v>3.1</v>
      </c>
    </row>
    <row r="6012" spans="1:23" hidden="1">
      <c r="A6012" s="3" t="str">
        <f t="shared" si="93"/>
        <v>Período 1</v>
      </c>
      <c r="B6012">
        <v>2141</v>
      </c>
      <c r="C6012" t="s">
        <v>6093</v>
      </c>
      <c r="D6012" t="s">
        <v>3567</v>
      </c>
      <c r="E6012" s="3" t="str">
        <f>IF(LEN(Base_Periodo1[[#This Row],[CLASS]])&gt;=7,LEFT(Base_Periodo1[[#This Row],[CLASS]],7),"")</f>
        <v>3.1.1.1</v>
      </c>
      <c r="F6012" s="3" t="e">
        <f>VLOOKUP(Base_Periodo1[[#This Row],[Aux]],Base_Contas_Balanco[#All],2,FALSE)</f>
        <v>#N/A</v>
      </c>
      <c r="G6012" s="1"/>
      <c r="H6012" s="225">
        <v>7685.5299999999697</v>
      </c>
      <c r="I6012" s="225">
        <v>0</v>
      </c>
      <c r="J6012" s="225">
        <v>0</v>
      </c>
      <c r="K6012" s="225">
        <v>7685.5299999999697</v>
      </c>
      <c r="L60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7685.53</v>
      </c>
      <c r="M6012" s="225">
        <f>ROUND(IF(AND(Base_Periodo1[[#This Row],[Tipo_Linha]]="-",Base_Periodo1[[#This Row],[TIPOSALDO]]="D"),Base_Periodo1[[#This Row],[SALDO_ATUAL]]*-1,Base_Periodo1[[#This Row],[SALDO_ATUAL]]),4)</f>
        <v>7685.53</v>
      </c>
      <c r="N6012" t="s">
        <v>396</v>
      </c>
      <c r="O6012" t="s">
        <v>459</v>
      </c>
      <c r="P6012" t="s">
        <v>459</v>
      </c>
      <c r="Q6012">
        <v>8</v>
      </c>
      <c r="R6012" s="282">
        <f>Base_Periodo1[[#This Row],[CREDITOS]]-Base_Periodo1[[#This Row],[DEBITOS]]</f>
        <v>0</v>
      </c>
      <c r="S6012" s="3" t="str">
        <f>IF(ISERROR(VLOOKUP(Base_Periodo1[[#This Row],[CONTA]],BaseContasDRE[#All],4,FALSE)),"Fora do DRE",VLOOKUP(Base_Periodo1[[#This Row],[CONTA]],BaseContasDRE[#All],4,FALSE))</f>
        <v>Fora do DRE</v>
      </c>
      <c r="T6012" s="3" t="str">
        <f>IF(ISERROR(VLOOKUP(Base_Periodo1[[#This Row],[CONTA]],BaseContasDRE[#All],5,FALSE)),"Fora do DRE",VLOOKUP(Base_Periodo1[[#This Row],[CONTA]],BaseContasDRE[#All],6,FALSE))</f>
        <v>Fora do DRE</v>
      </c>
      <c r="U6012" s="3" t="str">
        <f>IF(ISERROR(VLOOKUP(Base_Periodo1[[#This Row],[CONTA]],BaseContasDRE[#All],7,FALSE)),"Fora do DRE",VLOOKUP(Base_Periodo1[[#This Row],[CONTA]],BaseContasDRE[#All],7,FALSE))</f>
        <v>Fora do DRE</v>
      </c>
      <c r="V6012" s="3" t="str">
        <f>IF(Base_Periodo1[[#This Row],[Tipo_Linha]]="Fora do DRE","Fora do DRE","( "&amp;Base_Periodo1[[#This Row],[Tipo_Linha]]&amp;" ) "&amp;Base_Periodo1[[#This Row],[Filtro]])</f>
        <v>Fora do DRE</v>
      </c>
      <c r="W6012" s="3" t="str">
        <f>LEFT(Base_Periodo1[[#This Row],[CLASS]],3)</f>
        <v>3.1</v>
      </c>
    </row>
    <row r="6013" spans="1:23" hidden="1">
      <c r="A6013" s="3" t="str">
        <f t="shared" si="93"/>
        <v>Período 1</v>
      </c>
      <c r="B6013">
        <v>2142</v>
      </c>
      <c r="C6013" t="s">
        <v>6094</v>
      </c>
      <c r="D6013" t="s">
        <v>3568</v>
      </c>
      <c r="E6013" s="3" t="str">
        <f>IF(LEN(Base_Periodo1[[#This Row],[CLASS]])&gt;=7,LEFT(Base_Periodo1[[#This Row],[CLASS]],7),"")</f>
        <v>3.1.1.1</v>
      </c>
      <c r="F6013" s="3" t="e">
        <f>VLOOKUP(Base_Periodo1[[#This Row],[Aux]],Base_Contas_Balanco[#All],2,FALSE)</f>
        <v>#N/A</v>
      </c>
      <c r="G6013" s="1">
        <v>42886</v>
      </c>
      <c r="H6013" s="225">
        <v>7685.5299999999697</v>
      </c>
      <c r="I6013" s="225">
        <v>0</v>
      </c>
      <c r="J6013" s="225">
        <v>0</v>
      </c>
      <c r="K6013" s="225">
        <v>7685.5299999999697</v>
      </c>
      <c r="L60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7685.53</v>
      </c>
      <c r="M6013" s="225">
        <f>ROUND(IF(AND(Base_Periodo1[[#This Row],[Tipo_Linha]]="-",Base_Periodo1[[#This Row],[TIPOSALDO]]="D"),Base_Periodo1[[#This Row],[SALDO_ATUAL]]*-1,Base_Periodo1[[#This Row],[SALDO_ATUAL]]),4)</f>
        <v>7685.53</v>
      </c>
      <c r="N6013" t="s">
        <v>116</v>
      </c>
      <c r="O6013" t="s">
        <v>459</v>
      </c>
      <c r="P6013" t="s">
        <v>459</v>
      </c>
      <c r="Q6013">
        <v>9</v>
      </c>
      <c r="R6013" s="282">
        <f>Base_Periodo1[[#This Row],[CREDITOS]]-Base_Periodo1[[#This Row],[DEBITOS]]</f>
        <v>0</v>
      </c>
      <c r="S6013" s="3" t="str">
        <f>IF(ISERROR(VLOOKUP(Base_Periodo1[[#This Row],[CONTA]],BaseContasDRE[#All],4,FALSE)),"Fora do DRE",VLOOKUP(Base_Periodo1[[#This Row],[CONTA]],BaseContasDRE[#All],4,FALSE))</f>
        <v>-</v>
      </c>
      <c r="T6013" s="3">
        <f>IF(ISERROR(VLOOKUP(Base_Periodo1[[#This Row],[CONTA]],BaseContasDRE[#All],5,FALSE)),"Fora do DRE",VLOOKUP(Base_Periodo1[[#This Row],[CONTA]],BaseContasDRE[#All],6,FALSE))</f>
        <v>3</v>
      </c>
      <c r="U6013" s="3" t="str">
        <f>IF(ISERROR(VLOOKUP(Base_Periodo1[[#This Row],[CONTA]],BaseContasDRE[#All],7,FALSE)),"Fora do DRE",VLOOKUP(Base_Periodo1[[#This Row],[CONTA]],BaseContasDRE[#All],7,FALSE))</f>
        <v>INSUMOS AGROPECUARIOS</v>
      </c>
      <c r="V6013" s="3" t="str">
        <f>IF(Base_Periodo1[[#This Row],[Tipo_Linha]]="Fora do DRE","Fora do DRE","( "&amp;Base_Periodo1[[#This Row],[Tipo_Linha]]&amp;" ) "&amp;Base_Periodo1[[#This Row],[Filtro]])</f>
        <v>( - ) INSUMOS AGROPECUARIOS</v>
      </c>
      <c r="W6013" s="3" t="str">
        <f>LEFT(Base_Periodo1[[#This Row],[CLASS]],3)</f>
        <v>3.1</v>
      </c>
    </row>
    <row r="6014" spans="1:23" hidden="1">
      <c r="A6014" s="3" t="str">
        <f t="shared" si="93"/>
        <v>Período 1</v>
      </c>
      <c r="B6014">
        <v>2143</v>
      </c>
      <c r="C6014" t="s">
        <v>6031</v>
      </c>
      <c r="D6014" t="s">
        <v>1385</v>
      </c>
      <c r="E6014" s="3" t="str">
        <f>IF(LEN(Base_Periodo1[[#This Row],[CLASS]])&gt;=7,LEFT(Base_Periodo1[[#This Row],[CLASS]],7),"")</f>
        <v>3.1.1.1</v>
      </c>
      <c r="F6014" s="3" t="e">
        <f>VLOOKUP(Base_Periodo1[[#This Row],[Aux]],Base_Contas_Balanco[#All],2,FALSE)</f>
        <v>#N/A</v>
      </c>
      <c r="G6014" s="1"/>
      <c r="H6014" s="225">
        <v>197.79999999999995</v>
      </c>
      <c r="I6014" s="225">
        <v>0</v>
      </c>
      <c r="J6014" s="225">
        <v>0</v>
      </c>
      <c r="K6014" s="225">
        <v>197.79999999999995</v>
      </c>
      <c r="L60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197.8</v>
      </c>
      <c r="M6014" s="225">
        <f>ROUND(IF(AND(Base_Periodo1[[#This Row],[Tipo_Linha]]="-",Base_Periodo1[[#This Row],[TIPOSALDO]]="D"),Base_Periodo1[[#This Row],[SALDO_ATUAL]]*-1,Base_Periodo1[[#This Row],[SALDO_ATUAL]]),4)</f>
        <v>197.8</v>
      </c>
      <c r="N6014" t="s">
        <v>396</v>
      </c>
      <c r="O6014" t="s">
        <v>459</v>
      </c>
      <c r="P6014" t="s">
        <v>459</v>
      </c>
      <c r="Q6014">
        <v>7</v>
      </c>
      <c r="R6014" s="282">
        <f>Base_Periodo1[[#This Row],[CREDITOS]]-Base_Periodo1[[#This Row],[DEBITOS]]</f>
        <v>0</v>
      </c>
      <c r="S6014" s="3" t="str">
        <f>IF(ISERROR(VLOOKUP(Base_Periodo1[[#This Row],[CONTA]],BaseContasDRE[#All],4,FALSE)),"Fora do DRE",VLOOKUP(Base_Periodo1[[#This Row],[CONTA]],BaseContasDRE[#All],4,FALSE))</f>
        <v>Fora do DRE</v>
      </c>
      <c r="T6014" s="3" t="str">
        <f>IF(ISERROR(VLOOKUP(Base_Periodo1[[#This Row],[CONTA]],BaseContasDRE[#All],5,FALSE)),"Fora do DRE",VLOOKUP(Base_Periodo1[[#This Row],[CONTA]],BaseContasDRE[#All],6,FALSE))</f>
        <v>Fora do DRE</v>
      </c>
      <c r="U6014" s="3" t="str">
        <f>IF(ISERROR(VLOOKUP(Base_Periodo1[[#This Row],[CONTA]],BaseContasDRE[#All],7,FALSE)),"Fora do DRE",VLOOKUP(Base_Periodo1[[#This Row],[CONTA]],BaseContasDRE[#All],7,FALSE))</f>
        <v>Fora do DRE</v>
      </c>
      <c r="V6014" s="3" t="str">
        <f>IF(Base_Periodo1[[#This Row],[Tipo_Linha]]="Fora do DRE","Fora do DRE","( "&amp;Base_Periodo1[[#This Row],[Tipo_Linha]]&amp;" ) "&amp;Base_Periodo1[[#This Row],[Filtro]])</f>
        <v>Fora do DRE</v>
      </c>
      <c r="W6014" s="3" t="str">
        <f>LEFT(Base_Periodo1[[#This Row],[CLASS]],3)</f>
        <v>3.1</v>
      </c>
    </row>
    <row r="6015" spans="1:23" hidden="1">
      <c r="A6015" s="3" t="str">
        <f t="shared" si="93"/>
        <v>Período 1</v>
      </c>
      <c r="B6015">
        <v>6000</v>
      </c>
      <c r="C6015" t="s">
        <v>6032</v>
      </c>
      <c r="D6015" t="s">
        <v>3561</v>
      </c>
      <c r="E6015" s="3" t="str">
        <f>IF(LEN(Base_Periodo1[[#This Row],[CLASS]])&gt;=7,LEFT(Base_Periodo1[[#This Row],[CLASS]],7),"")</f>
        <v>3.1.1.1</v>
      </c>
      <c r="F6015" s="3" t="e">
        <f>VLOOKUP(Base_Periodo1[[#This Row],[Aux]],Base_Contas_Balanco[#All],2,FALSE)</f>
        <v>#N/A</v>
      </c>
      <c r="G6015" s="1"/>
      <c r="H6015" s="225">
        <v>295.11999999999898</v>
      </c>
      <c r="I6015" s="225">
        <v>0</v>
      </c>
      <c r="J6015" s="225">
        <v>0</v>
      </c>
      <c r="K6015" s="225">
        <v>295.11999999999898</v>
      </c>
      <c r="L60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295.12</v>
      </c>
      <c r="M6015" s="225">
        <f>ROUND(IF(AND(Base_Periodo1[[#This Row],[Tipo_Linha]]="-",Base_Periodo1[[#This Row],[TIPOSALDO]]="D"),Base_Periodo1[[#This Row],[SALDO_ATUAL]]*-1,Base_Periodo1[[#This Row],[SALDO_ATUAL]]),4)</f>
        <v>295.12</v>
      </c>
      <c r="N6015" t="s">
        <v>396</v>
      </c>
      <c r="O6015" t="s">
        <v>459</v>
      </c>
      <c r="P6015" t="s">
        <v>459</v>
      </c>
      <c r="Q6015">
        <v>8</v>
      </c>
      <c r="R6015" s="282">
        <f>Base_Periodo1[[#This Row],[CREDITOS]]-Base_Periodo1[[#This Row],[DEBITOS]]</f>
        <v>0</v>
      </c>
      <c r="S6015" s="3" t="str">
        <f>IF(ISERROR(VLOOKUP(Base_Periodo1[[#This Row],[CONTA]],BaseContasDRE[#All],4,FALSE)),"Fora do DRE",VLOOKUP(Base_Periodo1[[#This Row],[CONTA]],BaseContasDRE[#All],4,FALSE))</f>
        <v>Fora do DRE</v>
      </c>
      <c r="T6015" s="3" t="str">
        <f>IF(ISERROR(VLOOKUP(Base_Periodo1[[#This Row],[CONTA]],BaseContasDRE[#All],5,FALSE)),"Fora do DRE",VLOOKUP(Base_Periodo1[[#This Row],[CONTA]],BaseContasDRE[#All],6,FALSE))</f>
        <v>Fora do DRE</v>
      </c>
      <c r="U6015" s="3" t="str">
        <f>IF(ISERROR(VLOOKUP(Base_Periodo1[[#This Row],[CONTA]],BaseContasDRE[#All],7,FALSE)),"Fora do DRE",VLOOKUP(Base_Periodo1[[#This Row],[CONTA]],BaseContasDRE[#All],7,FALSE))</f>
        <v>Fora do DRE</v>
      </c>
      <c r="V6015" s="3" t="str">
        <f>IF(Base_Periodo1[[#This Row],[Tipo_Linha]]="Fora do DRE","Fora do DRE","( "&amp;Base_Periodo1[[#This Row],[Tipo_Linha]]&amp;" ) "&amp;Base_Periodo1[[#This Row],[Filtro]])</f>
        <v>Fora do DRE</v>
      </c>
      <c r="W6015" s="3" t="str">
        <f>LEFT(Base_Periodo1[[#This Row],[CLASS]],3)</f>
        <v>3.1</v>
      </c>
    </row>
    <row r="6016" spans="1:23" hidden="1">
      <c r="A6016" s="3" t="str">
        <f t="shared" si="93"/>
        <v>Período 1</v>
      </c>
      <c r="B6016">
        <v>6001</v>
      </c>
      <c r="C6016" t="s">
        <v>6033</v>
      </c>
      <c r="D6016" t="s">
        <v>3562</v>
      </c>
      <c r="E6016" s="3" t="str">
        <f>IF(LEN(Base_Periodo1[[#This Row],[CLASS]])&gt;=7,LEFT(Base_Periodo1[[#This Row],[CLASS]],7),"")</f>
        <v>3.1.1.1</v>
      </c>
      <c r="F6016" s="3" t="e">
        <f>VLOOKUP(Base_Periodo1[[#This Row],[Aux]],Base_Contas_Balanco[#All],2,FALSE)</f>
        <v>#N/A</v>
      </c>
      <c r="G6016" s="1">
        <v>42781</v>
      </c>
      <c r="H6016" s="225">
        <v>295.11999999999898</v>
      </c>
      <c r="I6016" s="225">
        <v>0</v>
      </c>
      <c r="J6016" s="225">
        <v>0</v>
      </c>
      <c r="K6016" s="225">
        <v>295.11999999999898</v>
      </c>
      <c r="L60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295.12</v>
      </c>
      <c r="M6016" s="225">
        <f>ROUND(IF(AND(Base_Periodo1[[#This Row],[Tipo_Linha]]="-",Base_Periodo1[[#This Row],[TIPOSALDO]]="D"),Base_Periodo1[[#This Row],[SALDO_ATUAL]]*-1,Base_Periodo1[[#This Row],[SALDO_ATUAL]]),4)</f>
        <v>295.12</v>
      </c>
      <c r="N6016" t="s">
        <v>116</v>
      </c>
      <c r="O6016" t="s">
        <v>459</v>
      </c>
      <c r="P6016" t="s">
        <v>459</v>
      </c>
      <c r="Q6016">
        <v>9</v>
      </c>
      <c r="R6016" s="282">
        <f>Base_Periodo1[[#This Row],[CREDITOS]]-Base_Periodo1[[#This Row],[DEBITOS]]</f>
        <v>0</v>
      </c>
      <c r="S6016" s="3" t="str">
        <f>IF(ISERROR(VLOOKUP(Base_Periodo1[[#This Row],[CONTA]],BaseContasDRE[#All],4,FALSE)),"Fora do DRE",VLOOKUP(Base_Periodo1[[#This Row],[CONTA]],BaseContasDRE[#All],4,FALSE))</f>
        <v>+</v>
      </c>
      <c r="T6016" s="3">
        <f>IF(ISERROR(VLOOKUP(Base_Periodo1[[#This Row],[CONTA]],BaseContasDRE[#All],5,FALSE)),"Fora do DRE",VLOOKUP(Base_Periodo1[[#This Row],[CONTA]],BaseContasDRE[#All],6,FALSE))</f>
        <v>1</v>
      </c>
      <c r="U6016" s="3" t="str">
        <f>IF(ISERROR(VLOOKUP(Base_Periodo1[[#This Row],[CONTA]],BaseContasDRE[#All],7,FALSE)),"Fora do DRE",VLOOKUP(Base_Periodo1[[#This Row],[CONTA]],BaseContasDRE[#All],7,FALSE))</f>
        <v>INSUMOS AGROPECUARIOS</v>
      </c>
      <c r="V6016" s="3" t="str">
        <f>IF(Base_Periodo1[[#This Row],[Tipo_Linha]]="Fora do DRE","Fora do DRE","( "&amp;Base_Periodo1[[#This Row],[Tipo_Linha]]&amp;" ) "&amp;Base_Periodo1[[#This Row],[Filtro]])</f>
        <v>( + ) INSUMOS AGROPECUARIOS</v>
      </c>
      <c r="W6016" s="3" t="str">
        <f>LEFT(Base_Periodo1[[#This Row],[CLASS]],3)</f>
        <v>3.1</v>
      </c>
    </row>
    <row r="6017" spans="1:23" hidden="1">
      <c r="A6017" s="3" t="str">
        <f t="shared" si="93"/>
        <v>Período 1</v>
      </c>
      <c r="B6017">
        <v>6004</v>
      </c>
      <c r="C6017" t="s">
        <v>6034</v>
      </c>
      <c r="D6017" t="s">
        <v>3565</v>
      </c>
      <c r="E6017" s="3" t="str">
        <f>IF(LEN(Base_Periodo1[[#This Row],[CLASS]])&gt;=7,LEFT(Base_Periodo1[[#This Row],[CLASS]],7),"")</f>
        <v>3.1.1.1</v>
      </c>
      <c r="F6017" s="3" t="e">
        <f>VLOOKUP(Base_Periodo1[[#This Row],[Aux]],Base_Contas_Balanco[#All],2,FALSE)</f>
        <v>#N/A</v>
      </c>
      <c r="G6017" s="1"/>
      <c r="H6017" s="225">
        <v>16.529999999999973</v>
      </c>
      <c r="I6017" s="225">
        <v>0</v>
      </c>
      <c r="J6017" s="225">
        <v>0</v>
      </c>
      <c r="K6017" s="225">
        <v>16.529999999999973</v>
      </c>
      <c r="L60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-16.53</v>
      </c>
      <c r="M6017" s="225">
        <f>ROUND(IF(AND(Base_Periodo1[[#This Row],[Tipo_Linha]]="-",Base_Periodo1[[#This Row],[TIPOSALDO]]="D"),Base_Periodo1[[#This Row],[SALDO_ATUAL]]*-1,Base_Periodo1[[#This Row],[SALDO_ATUAL]]),4)</f>
        <v>16.53</v>
      </c>
      <c r="N6017" t="s">
        <v>396</v>
      </c>
      <c r="O6017" t="s">
        <v>397</v>
      </c>
      <c r="P6017" t="s">
        <v>397</v>
      </c>
      <c r="Q6017">
        <v>8</v>
      </c>
      <c r="R6017" s="282">
        <f>Base_Periodo1[[#This Row],[CREDITOS]]-Base_Periodo1[[#This Row],[DEBITOS]]</f>
        <v>0</v>
      </c>
      <c r="S6017" s="3" t="str">
        <f>IF(ISERROR(VLOOKUP(Base_Periodo1[[#This Row],[CONTA]],BaseContasDRE[#All],4,FALSE)),"Fora do DRE",VLOOKUP(Base_Periodo1[[#This Row],[CONTA]],BaseContasDRE[#All],4,FALSE))</f>
        <v>Fora do DRE</v>
      </c>
      <c r="T6017" s="3" t="str">
        <f>IF(ISERROR(VLOOKUP(Base_Periodo1[[#This Row],[CONTA]],BaseContasDRE[#All],5,FALSE)),"Fora do DRE",VLOOKUP(Base_Periodo1[[#This Row],[CONTA]],BaseContasDRE[#All],6,FALSE))</f>
        <v>Fora do DRE</v>
      </c>
      <c r="U6017" s="3" t="str">
        <f>IF(ISERROR(VLOOKUP(Base_Periodo1[[#This Row],[CONTA]],BaseContasDRE[#All],7,FALSE)),"Fora do DRE",VLOOKUP(Base_Periodo1[[#This Row],[CONTA]],BaseContasDRE[#All],7,FALSE))</f>
        <v>Fora do DRE</v>
      </c>
      <c r="V6017" s="3" t="str">
        <f>IF(Base_Periodo1[[#This Row],[Tipo_Linha]]="Fora do DRE","Fora do DRE","( "&amp;Base_Periodo1[[#This Row],[Tipo_Linha]]&amp;" ) "&amp;Base_Periodo1[[#This Row],[Filtro]])</f>
        <v>Fora do DRE</v>
      </c>
      <c r="W6017" s="3" t="str">
        <f>LEFT(Base_Periodo1[[#This Row],[CLASS]],3)</f>
        <v>3.1</v>
      </c>
    </row>
    <row r="6018" spans="1:23" hidden="1">
      <c r="A6018" s="3" t="str">
        <f t="shared" si="93"/>
        <v>Período 1</v>
      </c>
      <c r="B6018">
        <v>6005</v>
      </c>
      <c r="C6018" t="s">
        <v>6035</v>
      </c>
      <c r="D6018" t="s">
        <v>3566</v>
      </c>
      <c r="E6018" s="3" t="str">
        <f>IF(LEN(Base_Periodo1[[#This Row],[CLASS]])&gt;=7,LEFT(Base_Periodo1[[#This Row],[CLASS]],7),"")</f>
        <v>3.1.1.1</v>
      </c>
      <c r="F6018" s="3" t="e">
        <f>VLOOKUP(Base_Periodo1[[#This Row],[Aux]],Base_Contas_Balanco[#All],2,FALSE)</f>
        <v>#N/A</v>
      </c>
      <c r="G6018" s="1">
        <v>42781</v>
      </c>
      <c r="H6018" s="225">
        <v>16.529999999999973</v>
      </c>
      <c r="I6018" s="225">
        <v>0</v>
      </c>
      <c r="J6018" s="225">
        <v>0</v>
      </c>
      <c r="K6018" s="225">
        <v>16.529999999999973</v>
      </c>
      <c r="L60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-16.53</v>
      </c>
      <c r="M6018" s="225">
        <f>ROUND(IF(AND(Base_Periodo1[[#This Row],[Tipo_Linha]]="-",Base_Periodo1[[#This Row],[TIPOSALDO]]="D"),Base_Periodo1[[#This Row],[SALDO_ATUAL]]*-1,Base_Periodo1[[#This Row],[SALDO_ATUAL]]),4)</f>
        <v>-16.53</v>
      </c>
      <c r="N6018" t="s">
        <v>116</v>
      </c>
      <c r="O6018" t="s">
        <v>397</v>
      </c>
      <c r="P6018" t="s">
        <v>397</v>
      </c>
      <c r="Q6018">
        <v>9</v>
      </c>
      <c r="R6018" s="282">
        <f>Base_Periodo1[[#This Row],[CREDITOS]]-Base_Periodo1[[#This Row],[DEBITOS]]</f>
        <v>0</v>
      </c>
      <c r="S6018" s="3" t="str">
        <f>IF(ISERROR(VLOOKUP(Base_Periodo1[[#This Row],[CONTA]],BaseContasDRE[#All],4,FALSE)),"Fora do DRE",VLOOKUP(Base_Periodo1[[#This Row],[CONTA]],BaseContasDRE[#All],4,FALSE))</f>
        <v>-</v>
      </c>
      <c r="T6018" s="3">
        <f>IF(ISERROR(VLOOKUP(Base_Periodo1[[#This Row],[CONTA]],BaseContasDRE[#All],5,FALSE)),"Fora do DRE",VLOOKUP(Base_Periodo1[[#This Row],[CONTA]],BaseContasDRE[#All],6,FALSE))</f>
        <v>2</v>
      </c>
      <c r="U6018" s="3" t="str">
        <f>IF(ISERROR(VLOOKUP(Base_Periodo1[[#This Row],[CONTA]],BaseContasDRE[#All],7,FALSE)),"Fora do DRE",VLOOKUP(Base_Periodo1[[#This Row],[CONTA]],BaseContasDRE[#All],7,FALSE))</f>
        <v>ICMS SOBRE INGRESSOS E RECEITAS</v>
      </c>
      <c r="V6018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018" s="3" t="str">
        <f>LEFT(Base_Periodo1[[#This Row],[CLASS]],3)</f>
        <v>3.1</v>
      </c>
    </row>
    <row r="6019" spans="1:23" hidden="1">
      <c r="A6019" s="3" t="str">
        <f t="shared" si="93"/>
        <v>Período 1</v>
      </c>
      <c r="B6019">
        <v>6006</v>
      </c>
      <c r="C6019" t="s">
        <v>6036</v>
      </c>
      <c r="D6019" t="s">
        <v>3567</v>
      </c>
      <c r="E6019" s="3" t="str">
        <f>IF(LEN(Base_Periodo1[[#This Row],[CLASS]])&gt;=7,LEFT(Base_Periodo1[[#This Row],[CLASS]],7),"")</f>
        <v>3.1.1.1</v>
      </c>
      <c r="F6019" s="3" t="e">
        <f>VLOOKUP(Base_Periodo1[[#This Row],[Aux]],Base_Contas_Balanco[#All],2,FALSE)</f>
        <v>#N/A</v>
      </c>
      <c r="G6019" s="1"/>
      <c r="H6019" s="225">
        <v>80.789999999999054</v>
      </c>
      <c r="I6019" s="225">
        <v>0</v>
      </c>
      <c r="J6019" s="225">
        <v>0</v>
      </c>
      <c r="K6019" s="225">
        <v>80.789999999999054</v>
      </c>
      <c r="L60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-80.790000000000006</v>
      </c>
      <c r="M6019" s="225">
        <f>ROUND(IF(AND(Base_Periodo1[[#This Row],[Tipo_Linha]]="-",Base_Periodo1[[#This Row],[TIPOSALDO]]="D"),Base_Periodo1[[#This Row],[SALDO_ATUAL]]*-1,Base_Periodo1[[#This Row],[SALDO_ATUAL]]),4)</f>
        <v>80.790000000000006</v>
      </c>
      <c r="N6019" t="s">
        <v>396</v>
      </c>
      <c r="O6019" t="s">
        <v>397</v>
      </c>
      <c r="P6019" t="s">
        <v>397</v>
      </c>
      <c r="Q6019">
        <v>8</v>
      </c>
      <c r="R6019" s="282">
        <f>Base_Periodo1[[#This Row],[CREDITOS]]-Base_Periodo1[[#This Row],[DEBITOS]]</f>
        <v>0</v>
      </c>
      <c r="S6019" s="3" t="str">
        <f>IF(ISERROR(VLOOKUP(Base_Periodo1[[#This Row],[CONTA]],BaseContasDRE[#All],4,FALSE)),"Fora do DRE",VLOOKUP(Base_Periodo1[[#This Row],[CONTA]],BaseContasDRE[#All],4,FALSE))</f>
        <v>Fora do DRE</v>
      </c>
      <c r="T6019" s="3" t="str">
        <f>IF(ISERROR(VLOOKUP(Base_Periodo1[[#This Row],[CONTA]],BaseContasDRE[#All],5,FALSE)),"Fora do DRE",VLOOKUP(Base_Periodo1[[#This Row],[CONTA]],BaseContasDRE[#All],6,FALSE))</f>
        <v>Fora do DRE</v>
      </c>
      <c r="U6019" s="3" t="str">
        <f>IF(ISERROR(VLOOKUP(Base_Periodo1[[#This Row],[CONTA]],BaseContasDRE[#All],7,FALSE)),"Fora do DRE",VLOOKUP(Base_Periodo1[[#This Row],[CONTA]],BaseContasDRE[#All],7,FALSE))</f>
        <v>Fora do DRE</v>
      </c>
      <c r="V6019" s="3" t="str">
        <f>IF(Base_Periodo1[[#This Row],[Tipo_Linha]]="Fora do DRE","Fora do DRE","( "&amp;Base_Periodo1[[#This Row],[Tipo_Linha]]&amp;" ) "&amp;Base_Periodo1[[#This Row],[Filtro]])</f>
        <v>Fora do DRE</v>
      </c>
      <c r="W6019" s="3" t="str">
        <f>LEFT(Base_Periodo1[[#This Row],[CLASS]],3)</f>
        <v>3.1</v>
      </c>
    </row>
    <row r="6020" spans="1:23" hidden="1">
      <c r="A6020" s="3" t="str">
        <f t="shared" si="93"/>
        <v>Período 1</v>
      </c>
      <c r="B6020">
        <v>6007</v>
      </c>
      <c r="C6020" t="s">
        <v>6037</v>
      </c>
      <c r="D6020" t="s">
        <v>3568</v>
      </c>
      <c r="E6020" s="3" t="str">
        <f>IF(LEN(Base_Periodo1[[#This Row],[CLASS]])&gt;=7,LEFT(Base_Periodo1[[#This Row],[CLASS]],7),"")</f>
        <v>3.1.1.1</v>
      </c>
      <c r="F6020" s="3" t="e">
        <f>VLOOKUP(Base_Periodo1[[#This Row],[Aux]],Base_Contas_Balanco[#All],2,FALSE)</f>
        <v>#N/A</v>
      </c>
      <c r="G6020" s="1">
        <v>42886</v>
      </c>
      <c r="H6020" s="225">
        <v>80.789999999999054</v>
      </c>
      <c r="I6020" s="225">
        <v>0</v>
      </c>
      <c r="J6020" s="225">
        <v>0</v>
      </c>
      <c r="K6020" s="225">
        <v>80.789999999999054</v>
      </c>
      <c r="L60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-80.790000000000006</v>
      </c>
      <c r="M6020" s="225">
        <f>ROUND(IF(AND(Base_Periodo1[[#This Row],[Tipo_Linha]]="-",Base_Periodo1[[#This Row],[TIPOSALDO]]="D"),Base_Periodo1[[#This Row],[SALDO_ATUAL]]*-1,Base_Periodo1[[#This Row],[SALDO_ATUAL]]),4)</f>
        <v>-80.790000000000006</v>
      </c>
      <c r="N6020" t="s">
        <v>116</v>
      </c>
      <c r="O6020" t="s">
        <v>397</v>
      </c>
      <c r="P6020" t="s">
        <v>397</v>
      </c>
      <c r="Q6020">
        <v>9</v>
      </c>
      <c r="R6020" s="282">
        <f>Base_Periodo1[[#This Row],[CREDITOS]]-Base_Periodo1[[#This Row],[DEBITOS]]</f>
        <v>0</v>
      </c>
      <c r="S6020" s="3" t="str">
        <f>IF(ISERROR(VLOOKUP(Base_Periodo1[[#This Row],[CONTA]],BaseContasDRE[#All],4,FALSE)),"Fora do DRE",VLOOKUP(Base_Periodo1[[#This Row],[CONTA]],BaseContasDRE[#All],4,FALSE))</f>
        <v>-</v>
      </c>
      <c r="T6020" s="3">
        <f>IF(ISERROR(VLOOKUP(Base_Periodo1[[#This Row],[CONTA]],BaseContasDRE[#All],5,FALSE)),"Fora do DRE",VLOOKUP(Base_Periodo1[[#This Row],[CONTA]],BaseContasDRE[#All],6,FALSE))</f>
        <v>3</v>
      </c>
      <c r="U6020" s="3" t="str">
        <f>IF(ISERROR(VLOOKUP(Base_Periodo1[[#This Row],[CONTA]],BaseContasDRE[#All],7,FALSE)),"Fora do DRE",VLOOKUP(Base_Periodo1[[#This Row],[CONTA]],BaseContasDRE[#All],7,FALSE))</f>
        <v>INSUMOS AGROPECUARIOS</v>
      </c>
      <c r="V6020" s="3" t="str">
        <f>IF(Base_Periodo1[[#This Row],[Tipo_Linha]]="Fora do DRE","Fora do DRE","( "&amp;Base_Periodo1[[#This Row],[Tipo_Linha]]&amp;" ) "&amp;Base_Periodo1[[#This Row],[Filtro]])</f>
        <v>( - ) INSUMOS AGROPECUARIOS</v>
      </c>
      <c r="W6020" s="3" t="str">
        <f>LEFT(Base_Periodo1[[#This Row],[CLASS]],3)</f>
        <v>3.1</v>
      </c>
    </row>
    <row r="6021" spans="1:23" hidden="1">
      <c r="A6021" s="3" t="str">
        <f t="shared" si="93"/>
        <v>Período 1</v>
      </c>
      <c r="B6021">
        <v>6008</v>
      </c>
      <c r="C6021" t="s">
        <v>3698</v>
      </c>
      <c r="D6021" t="s">
        <v>1389</v>
      </c>
      <c r="E6021" s="3" t="str">
        <f>IF(LEN(Base_Periodo1[[#This Row],[CLASS]])&gt;=7,LEFT(Base_Periodo1[[#This Row],[CLASS]],7),"")</f>
        <v>3.1.1.1</v>
      </c>
      <c r="F6021" s="3" t="e">
        <f>VLOOKUP(Base_Periodo1[[#This Row],[Aux]],Base_Contas_Balanco[#All],2,FALSE)</f>
        <v>#N/A</v>
      </c>
      <c r="G6021" s="1"/>
      <c r="H6021" s="225">
        <v>128.11000000005856</v>
      </c>
      <c r="I6021" s="225">
        <v>0</v>
      </c>
      <c r="J6021" s="225">
        <v>0</v>
      </c>
      <c r="K6021" s="225">
        <v>128.11000000005856</v>
      </c>
      <c r="L60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128.11000000000001</v>
      </c>
      <c r="M6021" s="225">
        <f>ROUND(IF(AND(Base_Periodo1[[#This Row],[Tipo_Linha]]="-",Base_Periodo1[[#This Row],[TIPOSALDO]]="D"),Base_Periodo1[[#This Row],[SALDO_ATUAL]]*-1,Base_Periodo1[[#This Row],[SALDO_ATUAL]]),4)</f>
        <v>128.11000000000001</v>
      </c>
      <c r="N6021" t="s">
        <v>396</v>
      </c>
      <c r="O6021" t="s">
        <v>459</v>
      </c>
      <c r="P6021" t="s">
        <v>459</v>
      </c>
      <c r="Q6021">
        <v>7</v>
      </c>
      <c r="R6021" s="282">
        <f>Base_Periodo1[[#This Row],[CREDITOS]]-Base_Periodo1[[#This Row],[DEBITOS]]</f>
        <v>0</v>
      </c>
      <c r="S6021" s="3" t="str">
        <f>IF(ISERROR(VLOOKUP(Base_Periodo1[[#This Row],[CONTA]],BaseContasDRE[#All],4,FALSE)),"Fora do DRE",VLOOKUP(Base_Periodo1[[#This Row],[CONTA]],BaseContasDRE[#All],4,FALSE))</f>
        <v>Fora do DRE</v>
      </c>
      <c r="T6021" s="3" t="str">
        <f>IF(ISERROR(VLOOKUP(Base_Periodo1[[#This Row],[CONTA]],BaseContasDRE[#All],5,FALSE)),"Fora do DRE",VLOOKUP(Base_Periodo1[[#This Row],[CONTA]],BaseContasDRE[#All],6,FALSE))</f>
        <v>Fora do DRE</v>
      </c>
      <c r="U6021" s="3" t="str">
        <f>IF(ISERROR(VLOOKUP(Base_Periodo1[[#This Row],[CONTA]],BaseContasDRE[#All],7,FALSE)),"Fora do DRE",VLOOKUP(Base_Periodo1[[#This Row],[CONTA]],BaseContasDRE[#All],7,FALSE))</f>
        <v>Fora do DRE</v>
      </c>
      <c r="V6021" s="3" t="str">
        <f>IF(Base_Periodo1[[#This Row],[Tipo_Linha]]="Fora do DRE","Fora do DRE","( "&amp;Base_Periodo1[[#This Row],[Tipo_Linha]]&amp;" ) "&amp;Base_Periodo1[[#This Row],[Filtro]])</f>
        <v>Fora do DRE</v>
      </c>
      <c r="W6021" s="3" t="str">
        <f>LEFT(Base_Periodo1[[#This Row],[CLASS]],3)</f>
        <v>3.1</v>
      </c>
    </row>
    <row r="6022" spans="1:23" hidden="1">
      <c r="A6022" s="3" t="str">
        <f t="shared" ref="A6022:A6085" si="94">"Período 1"</f>
        <v>Período 1</v>
      </c>
      <c r="B6022">
        <v>6009</v>
      </c>
      <c r="C6022" t="s">
        <v>3699</v>
      </c>
      <c r="D6022" t="s">
        <v>3561</v>
      </c>
      <c r="E6022" s="3" t="str">
        <f>IF(LEN(Base_Periodo1[[#This Row],[CLASS]])&gt;=7,LEFT(Base_Periodo1[[#This Row],[CLASS]],7),"")</f>
        <v>3.1.1.1</v>
      </c>
      <c r="F6022" s="3" t="e">
        <f>VLOOKUP(Base_Periodo1[[#This Row],[Aux]],Base_Contas_Balanco[#All],2,FALSE)</f>
        <v>#N/A</v>
      </c>
      <c r="G6022" s="1"/>
      <c r="H6022" s="225">
        <v>5486.8500000000495</v>
      </c>
      <c r="I6022" s="225">
        <v>0</v>
      </c>
      <c r="J6022" s="225">
        <v>0</v>
      </c>
      <c r="K6022" s="225">
        <v>5486.8500000000495</v>
      </c>
      <c r="L60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5486.85</v>
      </c>
      <c r="M6022" s="225">
        <f>ROUND(IF(AND(Base_Periodo1[[#This Row],[Tipo_Linha]]="-",Base_Periodo1[[#This Row],[TIPOSALDO]]="D"),Base_Periodo1[[#This Row],[SALDO_ATUAL]]*-1,Base_Periodo1[[#This Row],[SALDO_ATUAL]]),4)</f>
        <v>5486.85</v>
      </c>
      <c r="N6022" t="s">
        <v>396</v>
      </c>
      <c r="O6022" t="s">
        <v>459</v>
      </c>
      <c r="P6022" t="s">
        <v>459</v>
      </c>
      <c r="Q6022">
        <v>8</v>
      </c>
      <c r="R6022" s="282">
        <f>Base_Periodo1[[#This Row],[CREDITOS]]-Base_Periodo1[[#This Row],[DEBITOS]]</f>
        <v>0</v>
      </c>
      <c r="S6022" s="3" t="str">
        <f>IF(ISERROR(VLOOKUP(Base_Periodo1[[#This Row],[CONTA]],BaseContasDRE[#All],4,FALSE)),"Fora do DRE",VLOOKUP(Base_Periodo1[[#This Row],[CONTA]],BaseContasDRE[#All],4,FALSE))</f>
        <v>Fora do DRE</v>
      </c>
      <c r="T6022" s="3" t="str">
        <f>IF(ISERROR(VLOOKUP(Base_Periodo1[[#This Row],[CONTA]],BaseContasDRE[#All],5,FALSE)),"Fora do DRE",VLOOKUP(Base_Periodo1[[#This Row],[CONTA]],BaseContasDRE[#All],6,FALSE))</f>
        <v>Fora do DRE</v>
      </c>
      <c r="U6022" s="3" t="str">
        <f>IF(ISERROR(VLOOKUP(Base_Periodo1[[#This Row],[CONTA]],BaseContasDRE[#All],7,FALSE)),"Fora do DRE",VLOOKUP(Base_Periodo1[[#This Row],[CONTA]],BaseContasDRE[#All],7,FALSE))</f>
        <v>Fora do DRE</v>
      </c>
      <c r="V6022" s="3" t="str">
        <f>IF(Base_Periodo1[[#This Row],[Tipo_Linha]]="Fora do DRE","Fora do DRE","( "&amp;Base_Periodo1[[#This Row],[Tipo_Linha]]&amp;" ) "&amp;Base_Periodo1[[#This Row],[Filtro]])</f>
        <v>Fora do DRE</v>
      </c>
      <c r="W6022" s="3" t="str">
        <f>LEFT(Base_Periodo1[[#This Row],[CLASS]],3)</f>
        <v>3.1</v>
      </c>
    </row>
    <row r="6023" spans="1:23" hidden="1">
      <c r="A6023" s="3" t="str">
        <f t="shared" si="94"/>
        <v>Período 1</v>
      </c>
      <c r="B6023">
        <v>6010</v>
      </c>
      <c r="C6023" t="s">
        <v>3700</v>
      </c>
      <c r="D6023" t="s">
        <v>3562</v>
      </c>
      <c r="E6023" s="3" t="str">
        <f>IF(LEN(Base_Periodo1[[#This Row],[CLASS]])&gt;=7,LEFT(Base_Periodo1[[#This Row],[CLASS]],7),"")</f>
        <v>3.1.1.1</v>
      </c>
      <c r="F6023" s="3" t="e">
        <f>VLOOKUP(Base_Periodo1[[#This Row],[Aux]],Base_Contas_Balanco[#All],2,FALSE)</f>
        <v>#N/A</v>
      </c>
      <c r="G6023" s="1">
        <v>42838</v>
      </c>
      <c r="H6023" s="225">
        <v>5486.8500000000495</v>
      </c>
      <c r="I6023" s="225">
        <v>0</v>
      </c>
      <c r="J6023" s="225">
        <v>0</v>
      </c>
      <c r="K6023" s="225">
        <v>5486.8500000000495</v>
      </c>
      <c r="L60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5486.85</v>
      </c>
      <c r="M6023" s="225">
        <f>ROUND(IF(AND(Base_Periodo1[[#This Row],[Tipo_Linha]]="-",Base_Periodo1[[#This Row],[TIPOSALDO]]="D"),Base_Periodo1[[#This Row],[SALDO_ATUAL]]*-1,Base_Periodo1[[#This Row],[SALDO_ATUAL]]),4)</f>
        <v>5486.85</v>
      </c>
      <c r="N6023" t="s">
        <v>116</v>
      </c>
      <c r="O6023" t="s">
        <v>459</v>
      </c>
      <c r="P6023" t="s">
        <v>459</v>
      </c>
      <c r="Q6023">
        <v>9</v>
      </c>
      <c r="R6023" s="282">
        <f>Base_Periodo1[[#This Row],[CREDITOS]]-Base_Periodo1[[#This Row],[DEBITOS]]</f>
        <v>0</v>
      </c>
      <c r="S6023" s="3" t="str">
        <f>IF(ISERROR(VLOOKUP(Base_Periodo1[[#This Row],[CONTA]],BaseContasDRE[#All],4,FALSE)),"Fora do DRE",VLOOKUP(Base_Periodo1[[#This Row],[CONTA]],BaseContasDRE[#All],4,FALSE))</f>
        <v>+</v>
      </c>
      <c r="T6023" s="3">
        <f>IF(ISERROR(VLOOKUP(Base_Periodo1[[#This Row],[CONTA]],BaseContasDRE[#All],5,FALSE)),"Fora do DRE",VLOOKUP(Base_Periodo1[[#This Row],[CONTA]],BaseContasDRE[#All],6,FALSE))</f>
        <v>1</v>
      </c>
      <c r="U6023" s="3" t="str">
        <f>IF(ISERROR(VLOOKUP(Base_Periodo1[[#This Row],[CONTA]],BaseContasDRE[#All],7,FALSE)),"Fora do DRE",VLOOKUP(Base_Periodo1[[#This Row],[CONTA]],BaseContasDRE[#All],7,FALSE))</f>
        <v>INSUMOS AGROPECUARIOS</v>
      </c>
      <c r="V6023" s="3" t="str">
        <f>IF(Base_Periodo1[[#This Row],[Tipo_Linha]]="Fora do DRE","Fora do DRE","( "&amp;Base_Periodo1[[#This Row],[Tipo_Linha]]&amp;" ) "&amp;Base_Periodo1[[#This Row],[Filtro]])</f>
        <v>( + ) INSUMOS AGROPECUARIOS</v>
      </c>
      <c r="W6023" s="3" t="str">
        <f>LEFT(Base_Periodo1[[#This Row],[CLASS]],3)</f>
        <v>3.1</v>
      </c>
    </row>
    <row r="6024" spans="1:23" hidden="1">
      <c r="A6024" s="3" t="str">
        <f t="shared" si="94"/>
        <v>Período 1</v>
      </c>
      <c r="B6024">
        <v>6013</v>
      </c>
      <c r="C6024" t="s">
        <v>3701</v>
      </c>
      <c r="D6024" t="s">
        <v>3565</v>
      </c>
      <c r="E6024" s="3" t="str">
        <f>IF(LEN(Base_Periodo1[[#This Row],[CLASS]])&gt;=7,LEFT(Base_Periodo1[[#This Row],[CLASS]],7),"")</f>
        <v>3.1.1.1</v>
      </c>
      <c r="F6024" s="3" t="e">
        <f>VLOOKUP(Base_Periodo1[[#This Row],[Aux]],Base_Contas_Balanco[#All],2,FALSE)</f>
        <v>#N/A</v>
      </c>
      <c r="G6024" s="1"/>
      <c r="H6024" s="225">
        <v>984.08999999999651</v>
      </c>
      <c r="I6024" s="225">
        <v>0</v>
      </c>
      <c r="J6024" s="225">
        <v>0</v>
      </c>
      <c r="K6024" s="225">
        <v>984.08999999999651</v>
      </c>
      <c r="L60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-984.09</v>
      </c>
      <c r="M6024" s="225">
        <f>ROUND(IF(AND(Base_Periodo1[[#This Row],[Tipo_Linha]]="-",Base_Periodo1[[#This Row],[TIPOSALDO]]="D"),Base_Periodo1[[#This Row],[SALDO_ATUAL]]*-1,Base_Periodo1[[#This Row],[SALDO_ATUAL]]),4)</f>
        <v>984.09</v>
      </c>
      <c r="N6024" t="s">
        <v>396</v>
      </c>
      <c r="O6024" t="s">
        <v>397</v>
      </c>
      <c r="P6024" t="s">
        <v>397</v>
      </c>
      <c r="Q6024">
        <v>8</v>
      </c>
      <c r="R6024" s="282">
        <f>Base_Periodo1[[#This Row],[CREDITOS]]-Base_Periodo1[[#This Row],[DEBITOS]]</f>
        <v>0</v>
      </c>
      <c r="S6024" s="3" t="str">
        <f>IF(ISERROR(VLOOKUP(Base_Periodo1[[#This Row],[CONTA]],BaseContasDRE[#All],4,FALSE)),"Fora do DRE",VLOOKUP(Base_Periodo1[[#This Row],[CONTA]],BaseContasDRE[#All],4,FALSE))</f>
        <v>Fora do DRE</v>
      </c>
      <c r="T6024" s="3" t="str">
        <f>IF(ISERROR(VLOOKUP(Base_Periodo1[[#This Row],[CONTA]],BaseContasDRE[#All],5,FALSE)),"Fora do DRE",VLOOKUP(Base_Periodo1[[#This Row],[CONTA]],BaseContasDRE[#All],6,FALSE))</f>
        <v>Fora do DRE</v>
      </c>
      <c r="U6024" s="3" t="str">
        <f>IF(ISERROR(VLOOKUP(Base_Periodo1[[#This Row],[CONTA]],BaseContasDRE[#All],7,FALSE)),"Fora do DRE",VLOOKUP(Base_Periodo1[[#This Row],[CONTA]],BaseContasDRE[#All],7,FALSE))</f>
        <v>Fora do DRE</v>
      </c>
      <c r="V6024" s="3" t="str">
        <f>IF(Base_Periodo1[[#This Row],[Tipo_Linha]]="Fora do DRE","Fora do DRE","( "&amp;Base_Periodo1[[#This Row],[Tipo_Linha]]&amp;" ) "&amp;Base_Periodo1[[#This Row],[Filtro]])</f>
        <v>Fora do DRE</v>
      </c>
      <c r="W6024" s="3" t="str">
        <f>LEFT(Base_Periodo1[[#This Row],[CLASS]],3)</f>
        <v>3.1</v>
      </c>
    </row>
    <row r="6025" spans="1:23" hidden="1">
      <c r="A6025" s="3" t="str">
        <f t="shared" si="94"/>
        <v>Período 1</v>
      </c>
      <c r="B6025">
        <v>6014</v>
      </c>
      <c r="C6025" t="s">
        <v>3702</v>
      </c>
      <c r="D6025" t="s">
        <v>3566</v>
      </c>
      <c r="E6025" s="3" t="str">
        <f>IF(LEN(Base_Periodo1[[#This Row],[CLASS]])&gt;=7,LEFT(Base_Periodo1[[#This Row],[CLASS]],7),"")</f>
        <v>3.1.1.1</v>
      </c>
      <c r="F6025" s="3" t="e">
        <f>VLOOKUP(Base_Periodo1[[#This Row],[Aux]],Base_Contas_Balanco[#All],2,FALSE)</f>
        <v>#N/A</v>
      </c>
      <c r="G6025" s="1">
        <v>42838</v>
      </c>
      <c r="H6025" s="225">
        <v>984.08999999999651</v>
      </c>
      <c r="I6025" s="225">
        <v>0</v>
      </c>
      <c r="J6025" s="225">
        <v>0</v>
      </c>
      <c r="K6025" s="225">
        <v>984.08999999999651</v>
      </c>
      <c r="L60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-984.09</v>
      </c>
      <c r="M6025" s="225">
        <f>ROUND(IF(AND(Base_Periodo1[[#This Row],[Tipo_Linha]]="-",Base_Periodo1[[#This Row],[TIPOSALDO]]="D"),Base_Periodo1[[#This Row],[SALDO_ATUAL]]*-1,Base_Periodo1[[#This Row],[SALDO_ATUAL]]),4)</f>
        <v>-984.09</v>
      </c>
      <c r="N6025" t="s">
        <v>116</v>
      </c>
      <c r="O6025" t="s">
        <v>397</v>
      </c>
      <c r="P6025" t="s">
        <v>397</v>
      </c>
      <c r="Q6025">
        <v>9</v>
      </c>
      <c r="R6025" s="282">
        <f>Base_Periodo1[[#This Row],[CREDITOS]]-Base_Periodo1[[#This Row],[DEBITOS]]</f>
        <v>0</v>
      </c>
      <c r="S6025" s="3" t="str">
        <f>IF(ISERROR(VLOOKUP(Base_Periodo1[[#This Row],[CONTA]],BaseContasDRE[#All],4,FALSE)),"Fora do DRE",VLOOKUP(Base_Periodo1[[#This Row],[CONTA]],BaseContasDRE[#All],4,FALSE))</f>
        <v>-</v>
      </c>
      <c r="T6025" s="3">
        <f>IF(ISERROR(VLOOKUP(Base_Periodo1[[#This Row],[CONTA]],BaseContasDRE[#All],5,FALSE)),"Fora do DRE",VLOOKUP(Base_Periodo1[[#This Row],[CONTA]],BaseContasDRE[#All],6,FALSE))</f>
        <v>2</v>
      </c>
      <c r="U6025" s="3" t="str">
        <f>IF(ISERROR(VLOOKUP(Base_Periodo1[[#This Row],[CONTA]],BaseContasDRE[#All],7,FALSE)),"Fora do DRE",VLOOKUP(Base_Periodo1[[#This Row],[CONTA]],BaseContasDRE[#All],7,FALSE))</f>
        <v>ICMS SOBRE INGRESSOS E RECEITAS</v>
      </c>
      <c r="V6025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025" s="3" t="str">
        <f>LEFT(Base_Periodo1[[#This Row],[CLASS]],3)</f>
        <v>3.1</v>
      </c>
    </row>
    <row r="6026" spans="1:23" hidden="1">
      <c r="A6026" s="3" t="str">
        <f t="shared" si="94"/>
        <v>Período 1</v>
      </c>
      <c r="B6026">
        <v>6015</v>
      </c>
      <c r="C6026" t="s">
        <v>3703</v>
      </c>
      <c r="D6026" t="s">
        <v>3567</v>
      </c>
      <c r="E6026" s="3" t="str">
        <f>IF(LEN(Base_Periodo1[[#This Row],[CLASS]])&gt;=7,LEFT(Base_Periodo1[[#This Row],[CLASS]],7),"")</f>
        <v>3.1.1.1</v>
      </c>
      <c r="F6026" s="3" t="e">
        <f>VLOOKUP(Base_Periodo1[[#This Row],[Aux]],Base_Contas_Balanco[#All],2,FALSE)</f>
        <v>#N/A</v>
      </c>
      <c r="G6026" s="1"/>
      <c r="H6026" s="225">
        <v>4374.6499999999942</v>
      </c>
      <c r="I6026" s="225">
        <v>0</v>
      </c>
      <c r="J6026" s="225">
        <v>0</v>
      </c>
      <c r="K6026" s="225">
        <v>4374.6499999999942</v>
      </c>
      <c r="L60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-4374.6499999999996</v>
      </c>
      <c r="M6026" s="225">
        <f>ROUND(IF(AND(Base_Periodo1[[#This Row],[Tipo_Linha]]="-",Base_Periodo1[[#This Row],[TIPOSALDO]]="D"),Base_Periodo1[[#This Row],[SALDO_ATUAL]]*-1,Base_Periodo1[[#This Row],[SALDO_ATUAL]]),4)</f>
        <v>4374.6499999999996</v>
      </c>
      <c r="N6026" t="s">
        <v>396</v>
      </c>
      <c r="O6026" t="s">
        <v>397</v>
      </c>
      <c r="P6026" t="s">
        <v>397</v>
      </c>
      <c r="Q6026">
        <v>8</v>
      </c>
      <c r="R6026" s="282">
        <f>Base_Periodo1[[#This Row],[CREDITOS]]-Base_Periodo1[[#This Row],[DEBITOS]]</f>
        <v>0</v>
      </c>
      <c r="S6026" s="3" t="str">
        <f>IF(ISERROR(VLOOKUP(Base_Periodo1[[#This Row],[CONTA]],BaseContasDRE[#All],4,FALSE)),"Fora do DRE",VLOOKUP(Base_Periodo1[[#This Row],[CONTA]],BaseContasDRE[#All],4,FALSE))</f>
        <v>Fora do DRE</v>
      </c>
      <c r="T6026" s="3" t="str">
        <f>IF(ISERROR(VLOOKUP(Base_Periodo1[[#This Row],[CONTA]],BaseContasDRE[#All],5,FALSE)),"Fora do DRE",VLOOKUP(Base_Periodo1[[#This Row],[CONTA]],BaseContasDRE[#All],6,FALSE))</f>
        <v>Fora do DRE</v>
      </c>
      <c r="U6026" s="3" t="str">
        <f>IF(ISERROR(VLOOKUP(Base_Periodo1[[#This Row],[CONTA]],BaseContasDRE[#All],7,FALSE)),"Fora do DRE",VLOOKUP(Base_Periodo1[[#This Row],[CONTA]],BaseContasDRE[#All],7,FALSE))</f>
        <v>Fora do DRE</v>
      </c>
      <c r="V6026" s="3" t="str">
        <f>IF(Base_Periodo1[[#This Row],[Tipo_Linha]]="Fora do DRE","Fora do DRE","( "&amp;Base_Periodo1[[#This Row],[Tipo_Linha]]&amp;" ) "&amp;Base_Periodo1[[#This Row],[Filtro]])</f>
        <v>Fora do DRE</v>
      </c>
      <c r="W6026" s="3" t="str">
        <f>LEFT(Base_Periodo1[[#This Row],[CLASS]],3)</f>
        <v>3.1</v>
      </c>
    </row>
    <row r="6027" spans="1:23" hidden="1">
      <c r="A6027" s="3" t="str">
        <f t="shared" si="94"/>
        <v>Período 1</v>
      </c>
      <c r="B6027">
        <v>6016</v>
      </c>
      <c r="C6027" t="s">
        <v>3704</v>
      </c>
      <c r="D6027" t="s">
        <v>3568</v>
      </c>
      <c r="E6027" s="3" t="str">
        <f>IF(LEN(Base_Periodo1[[#This Row],[CLASS]])&gt;=7,LEFT(Base_Periodo1[[#This Row],[CLASS]],7),"")</f>
        <v>3.1.1.1</v>
      </c>
      <c r="F6027" s="3" t="e">
        <f>VLOOKUP(Base_Periodo1[[#This Row],[Aux]],Base_Contas_Balanco[#All],2,FALSE)</f>
        <v>#N/A</v>
      </c>
      <c r="G6027" s="1">
        <v>42886</v>
      </c>
      <c r="H6027" s="225">
        <v>4374.6499999999942</v>
      </c>
      <c r="I6027" s="225">
        <v>0</v>
      </c>
      <c r="J6027" s="225">
        <v>0</v>
      </c>
      <c r="K6027" s="225">
        <v>4374.6499999999942</v>
      </c>
      <c r="L60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-4374.6499999999996</v>
      </c>
      <c r="M6027" s="225">
        <f>ROUND(IF(AND(Base_Periodo1[[#This Row],[Tipo_Linha]]="-",Base_Periodo1[[#This Row],[TIPOSALDO]]="D"),Base_Periodo1[[#This Row],[SALDO_ATUAL]]*-1,Base_Periodo1[[#This Row],[SALDO_ATUAL]]),4)</f>
        <v>-4374.6499999999996</v>
      </c>
      <c r="N6027" t="s">
        <v>116</v>
      </c>
      <c r="O6027" t="s">
        <v>397</v>
      </c>
      <c r="P6027" t="s">
        <v>397</v>
      </c>
      <c r="Q6027">
        <v>9</v>
      </c>
      <c r="R6027" s="282">
        <f>Base_Periodo1[[#This Row],[CREDITOS]]-Base_Periodo1[[#This Row],[DEBITOS]]</f>
        <v>0</v>
      </c>
      <c r="S6027" s="3" t="str">
        <f>IF(ISERROR(VLOOKUP(Base_Periodo1[[#This Row],[CONTA]],BaseContasDRE[#All],4,FALSE)),"Fora do DRE",VLOOKUP(Base_Periodo1[[#This Row],[CONTA]],BaseContasDRE[#All],4,FALSE))</f>
        <v>-</v>
      </c>
      <c r="T6027" s="3">
        <f>IF(ISERROR(VLOOKUP(Base_Periodo1[[#This Row],[CONTA]],BaseContasDRE[#All],5,FALSE)),"Fora do DRE",VLOOKUP(Base_Periodo1[[#This Row],[CONTA]],BaseContasDRE[#All],6,FALSE))</f>
        <v>3</v>
      </c>
      <c r="U6027" s="3" t="str">
        <f>IF(ISERROR(VLOOKUP(Base_Periodo1[[#This Row],[CONTA]],BaseContasDRE[#All],7,FALSE)),"Fora do DRE",VLOOKUP(Base_Periodo1[[#This Row],[CONTA]],BaseContasDRE[#All],7,FALSE))</f>
        <v>INSUMOS AGROPECUARIOS</v>
      </c>
      <c r="V6027" s="3" t="str">
        <f>IF(Base_Periodo1[[#This Row],[Tipo_Linha]]="Fora do DRE","Fora do DRE","( "&amp;Base_Periodo1[[#This Row],[Tipo_Linha]]&amp;" ) "&amp;Base_Periodo1[[#This Row],[Filtro]])</f>
        <v>( - ) INSUMOS AGROPECUARIOS</v>
      </c>
      <c r="W6027" s="3" t="str">
        <f>LEFT(Base_Periodo1[[#This Row],[CLASS]],3)</f>
        <v>3.1</v>
      </c>
    </row>
    <row r="6028" spans="1:23" hidden="1">
      <c r="A6028" s="3" t="str">
        <f t="shared" si="94"/>
        <v>Período 1</v>
      </c>
      <c r="B6028">
        <v>6017</v>
      </c>
      <c r="C6028" t="s">
        <v>3705</v>
      </c>
      <c r="D6028" t="s">
        <v>1399</v>
      </c>
      <c r="E6028" s="3" t="str">
        <f>IF(LEN(Base_Periodo1[[#This Row],[CLASS]])&gt;=7,LEFT(Base_Periodo1[[#This Row],[CLASS]],7),"")</f>
        <v>3.1.1.1</v>
      </c>
      <c r="F6028" s="3" t="e">
        <f>VLOOKUP(Base_Periodo1[[#This Row],[Aux]],Base_Contas_Balanco[#All],2,FALSE)</f>
        <v>#N/A</v>
      </c>
      <c r="G6028" s="1"/>
      <c r="H6028" s="225">
        <v>183.80000000000837</v>
      </c>
      <c r="I6028" s="225">
        <v>0</v>
      </c>
      <c r="J6028" s="225">
        <v>0</v>
      </c>
      <c r="K6028" s="225">
        <v>183.80000000000837</v>
      </c>
      <c r="L60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183.8</v>
      </c>
      <c r="M6028" s="225">
        <f>ROUND(IF(AND(Base_Periodo1[[#This Row],[Tipo_Linha]]="-",Base_Periodo1[[#This Row],[TIPOSALDO]]="D"),Base_Periodo1[[#This Row],[SALDO_ATUAL]]*-1,Base_Periodo1[[#This Row],[SALDO_ATUAL]]),4)</f>
        <v>183.8</v>
      </c>
      <c r="N6028" t="s">
        <v>396</v>
      </c>
      <c r="O6028" t="s">
        <v>459</v>
      </c>
      <c r="P6028" t="s">
        <v>459</v>
      </c>
      <c r="Q6028">
        <v>7</v>
      </c>
      <c r="R6028" s="282">
        <f>Base_Periodo1[[#This Row],[CREDITOS]]-Base_Periodo1[[#This Row],[DEBITOS]]</f>
        <v>0</v>
      </c>
      <c r="S6028" s="3" t="str">
        <f>IF(ISERROR(VLOOKUP(Base_Periodo1[[#This Row],[CONTA]],BaseContasDRE[#All],4,FALSE)),"Fora do DRE",VLOOKUP(Base_Periodo1[[#This Row],[CONTA]],BaseContasDRE[#All],4,FALSE))</f>
        <v>Fora do DRE</v>
      </c>
      <c r="T6028" s="3" t="str">
        <f>IF(ISERROR(VLOOKUP(Base_Periodo1[[#This Row],[CONTA]],BaseContasDRE[#All],5,FALSE)),"Fora do DRE",VLOOKUP(Base_Periodo1[[#This Row],[CONTA]],BaseContasDRE[#All],6,FALSE))</f>
        <v>Fora do DRE</v>
      </c>
      <c r="U6028" s="3" t="str">
        <f>IF(ISERROR(VLOOKUP(Base_Periodo1[[#This Row],[CONTA]],BaseContasDRE[#All],7,FALSE)),"Fora do DRE",VLOOKUP(Base_Periodo1[[#This Row],[CONTA]],BaseContasDRE[#All],7,FALSE))</f>
        <v>Fora do DRE</v>
      </c>
      <c r="V6028" s="3" t="str">
        <f>IF(Base_Periodo1[[#This Row],[Tipo_Linha]]="Fora do DRE","Fora do DRE","( "&amp;Base_Periodo1[[#This Row],[Tipo_Linha]]&amp;" ) "&amp;Base_Periodo1[[#This Row],[Filtro]])</f>
        <v>Fora do DRE</v>
      </c>
      <c r="W6028" s="3" t="str">
        <f>LEFT(Base_Periodo1[[#This Row],[CLASS]],3)</f>
        <v>3.1</v>
      </c>
    </row>
    <row r="6029" spans="1:23" hidden="1">
      <c r="A6029" s="3" t="str">
        <f t="shared" si="94"/>
        <v>Período 1</v>
      </c>
      <c r="B6029">
        <v>6018</v>
      </c>
      <c r="C6029" t="s">
        <v>4709</v>
      </c>
      <c r="D6029" t="s">
        <v>3561</v>
      </c>
      <c r="E6029" s="3" t="str">
        <f>IF(LEN(Base_Periodo1[[#This Row],[CLASS]])&gt;=7,LEFT(Base_Periodo1[[#This Row],[CLASS]],7),"")</f>
        <v>3.1.1.1</v>
      </c>
      <c r="F6029" s="3" t="e">
        <f>VLOOKUP(Base_Periodo1[[#This Row],[Aux]],Base_Contas_Balanco[#All],2,FALSE)</f>
        <v>#N/A</v>
      </c>
      <c r="G6029" s="1"/>
      <c r="H6029" s="225">
        <v>273.80000000000109</v>
      </c>
      <c r="I6029" s="225">
        <v>0</v>
      </c>
      <c r="J6029" s="225">
        <v>0</v>
      </c>
      <c r="K6029" s="225">
        <v>273.80000000000109</v>
      </c>
      <c r="L60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273.8</v>
      </c>
      <c r="M6029" s="225">
        <f>ROUND(IF(AND(Base_Periodo1[[#This Row],[Tipo_Linha]]="-",Base_Periodo1[[#This Row],[TIPOSALDO]]="D"),Base_Periodo1[[#This Row],[SALDO_ATUAL]]*-1,Base_Periodo1[[#This Row],[SALDO_ATUAL]]),4)</f>
        <v>273.8</v>
      </c>
      <c r="N6029" t="s">
        <v>396</v>
      </c>
      <c r="O6029" t="s">
        <v>459</v>
      </c>
      <c r="P6029" t="s">
        <v>459</v>
      </c>
      <c r="Q6029">
        <v>8</v>
      </c>
      <c r="R6029" s="282">
        <f>Base_Periodo1[[#This Row],[CREDITOS]]-Base_Periodo1[[#This Row],[DEBITOS]]</f>
        <v>0</v>
      </c>
      <c r="S6029" s="3" t="str">
        <f>IF(ISERROR(VLOOKUP(Base_Periodo1[[#This Row],[CONTA]],BaseContasDRE[#All],4,FALSE)),"Fora do DRE",VLOOKUP(Base_Periodo1[[#This Row],[CONTA]],BaseContasDRE[#All],4,FALSE))</f>
        <v>Fora do DRE</v>
      </c>
      <c r="T6029" s="3" t="str">
        <f>IF(ISERROR(VLOOKUP(Base_Periodo1[[#This Row],[CONTA]],BaseContasDRE[#All],5,FALSE)),"Fora do DRE",VLOOKUP(Base_Periodo1[[#This Row],[CONTA]],BaseContasDRE[#All],6,FALSE))</f>
        <v>Fora do DRE</v>
      </c>
      <c r="U6029" s="3" t="str">
        <f>IF(ISERROR(VLOOKUP(Base_Periodo1[[#This Row],[CONTA]],BaseContasDRE[#All],7,FALSE)),"Fora do DRE",VLOOKUP(Base_Periodo1[[#This Row],[CONTA]],BaseContasDRE[#All],7,FALSE))</f>
        <v>Fora do DRE</v>
      </c>
      <c r="V6029" s="3" t="str">
        <f>IF(Base_Periodo1[[#This Row],[Tipo_Linha]]="Fora do DRE","Fora do DRE","( "&amp;Base_Periodo1[[#This Row],[Tipo_Linha]]&amp;" ) "&amp;Base_Periodo1[[#This Row],[Filtro]])</f>
        <v>Fora do DRE</v>
      </c>
      <c r="W6029" s="3" t="str">
        <f>LEFT(Base_Periodo1[[#This Row],[CLASS]],3)</f>
        <v>3.1</v>
      </c>
    </row>
    <row r="6030" spans="1:23" hidden="1">
      <c r="A6030" s="3" t="str">
        <f t="shared" si="94"/>
        <v>Período 1</v>
      </c>
      <c r="B6030">
        <v>9128</v>
      </c>
      <c r="C6030" t="s">
        <v>4710</v>
      </c>
      <c r="D6030" t="s">
        <v>3562</v>
      </c>
      <c r="E6030" s="3" t="str">
        <f>IF(LEN(Base_Periodo1[[#This Row],[CLASS]])&gt;=7,LEFT(Base_Periodo1[[#This Row],[CLASS]],7),"")</f>
        <v>3.1.1.1</v>
      </c>
      <c r="F6030" s="3" t="e">
        <f>VLOOKUP(Base_Periodo1[[#This Row],[Aux]],Base_Contas_Balanco[#All],2,FALSE)</f>
        <v>#N/A</v>
      </c>
      <c r="G6030" s="1">
        <v>42776</v>
      </c>
      <c r="H6030" s="225">
        <v>273.80000000000109</v>
      </c>
      <c r="I6030" s="225">
        <v>0</v>
      </c>
      <c r="J6030" s="225">
        <v>0</v>
      </c>
      <c r="K6030" s="225">
        <v>273.80000000000109</v>
      </c>
      <c r="L60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273.8</v>
      </c>
      <c r="M6030" s="225">
        <f>ROUND(IF(AND(Base_Periodo1[[#This Row],[Tipo_Linha]]="-",Base_Periodo1[[#This Row],[TIPOSALDO]]="D"),Base_Periodo1[[#This Row],[SALDO_ATUAL]]*-1,Base_Periodo1[[#This Row],[SALDO_ATUAL]]),4)</f>
        <v>273.8</v>
      </c>
      <c r="N6030" t="s">
        <v>116</v>
      </c>
      <c r="O6030" t="s">
        <v>459</v>
      </c>
      <c r="P6030" t="s">
        <v>459</v>
      </c>
      <c r="Q6030">
        <v>9</v>
      </c>
      <c r="R6030" s="282">
        <f>Base_Periodo1[[#This Row],[CREDITOS]]-Base_Periodo1[[#This Row],[DEBITOS]]</f>
        <v>0</v>
      </c>
      <c r="S6030" s="3" t="str">
        <f>IF(ISERROR(VLOOKUP(Base_Periodo1[[#This Row],[CONTA]],BaseContasDRE[#All],4,FALSE)),"Fora do DRE",VLOOKUP(Base_Periodo1[[#This Row],[CONTA]],BaseContasDRE[#All],4,FALSE))</f>
        <v>+</v>
      </c>
      <c r="T6030" s="3">
        <f>IF(ISERROR(VLOOKUP(Base_Periodo1[[#This Row],[CONTA]],BaseContasDRE[#All],5,FALSE)),"Fora do DRE",VLOOKUP(Base_Periodo1[[#This Row],[CONTA]],BaseContasDRE[#All],6,FALSE))</f>
        <v>1</v>
      </c>
      <c r="U6030" s="3" t="str">
        <f>IF(ISERROR(VLOOKUP(Base_Periodo1[[#This Row],[CONTA]],BaseContasDRE[#All],7,FALSE)),"Fora do DRE",VLOOKUP(Base_Periodo1[[#This Row],[CONTA]],BaseContasDRE[#All],7,FALSE))</f>
        <v>INSUMOS AGROPECUARIOS</v>
      </c>
      <c r="V6030" s="3" t="str">
        <f>IF(Base_Periodo1[[#This Row],[Tipo_Linha]]="Fora do DRE","Fora do DRE","( "&amp;Base_Periodo1[[#This Row],[Tipo_Linha]]&amp;" ) "&amp;Base_Periodo1[[#This Row],[Filtro]])</f>
        <v>( + ) INSUMOS AGROPECUARIOS</v>
      </c>
      <c r="W6030" s="3" t="str">
        <f>LEFT(Base_Periodo1[[#This Row],[CLASS]],3)</f>
        <v>3.1</v>
      </c>
    </row>
    <row r="6031" spans="1:23" hidden="1">
      <c r="A6031" s="3" t="str">
        <f t="shared" si="94"/>
        <v>Período 1</v>
      </c>
      <c r="B6031">
        <v>6021</v>
      </c>
      <c r="C6031" t="s">
        <v>6603</v>
      </c>
      <c r="D6031" t="s">
        <v>3567</v>
      </c>
      <c r="E6031" s="3" t="str">
        <f>IF(LEN(Base_Periodo1[[#This Row],[CLASS]])&gt;=7,LEFT(Base_Periodo1[[#This Row],[CLASS]],7),"")</f>
        <v>3.1.1.1</v>
      </c>
      <c r="F6031" s="3" t="e">
        <f>VLOOKUP(Base_Periodo1[[#This Row],[Aux]],Base_Contas_Balanco[#All],2,FALSE)</f>
        <v>#N/A</v>
      </c>
      <c r="G6031" s="1"/>
      <c r="H6031" s="225">
        <v>89.999999999992724</v>
      </c>
      <c r="I6031" s="225">
        <v>0</v>
      </c>
      <c r="J6031" s="225">
        <v>0</v>
      </c>
      <c r="K6031" s="225">
        <v>89.999999999992724</v>
      </c>
      <c r="L60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-90</v>
      </c>
      <c r="M6031" s="225">
        <f>ROUND(IF(AND(Base_Periodo1[[#This Row],[Tipo_Linha]]="-",Base_Periodo1[[#This Row],[TIPOSALDO]]="D"),Base_Periodo1[[#This Row],[SALDO_ATUAL]]*-1,Base_Periodo1[[#This Row],[SALDO_ATUAL]]),4)</f>
        <v>90</v>
      </c>
      <c r="N6031" t="s">
        <v>396</v>
      </c>
      <c r="O6031" t="s">
        <v>397</v>
      </c>
      <c r="P6031" t="s">
        <v>397</v>
      </c>
      <c r="Q6031">
        <v>8</v>
      </c>
      <c r="R6031" s="282">
        <f>Base_Periodo1[[#This Row],[CREDITOS]]-Base_Periodo1[[#This Row],[DEBITOS]]</f>
        <v>0</v>
      </c>
      <c r="S6031" s="3" t="str">
        <f>IF(ISERROR(VLOOKUP(Base_Periodo1[[#This Row],[CONTA]],BaseContasDRE[#All],4,FALSE)),"Fora do DRE",VLOOKUP(Base_Periodo1[[#This Row],[CONTA]],BaseContasDRE[#All],4,FALSE))</f>
        <v>Fora do DRE</v>
      </c>
      <c r="T6031" s="3" t="str">
        <f>IF(ISERROR(VLOOKUP(Base_Periodo1[[#This Row],[CONTA]],BaseContasDRE[#All],5,FALSE)),"Fora do DRE",VLOOKUP(Base_Periodo1[[#This Row],[CONTA]],BaseContasDRE[#All],6,FALSE))</f>
        <v>Fora do DRE</v>
      </c>
      <c r="U6031" s="3" t="str">
        <f>IF(ISERROR(VLOOKUP(Base_Periodo1[[#This Row],[CONTA]],BaseContasDRE[#All],7,FALSE)),"Fora do DRE",VLOOKUP(Base_Periodo1[[#This Row],[CONTA]],BaseContasDRE[#All],7,FALSE))</f>
        <v>Fora do DRE</v>
      </c>
      <c r="V6031" s="3" t="str">
        <f>IF(Base_Periodo1[[#This Row],[Tipo_Linha]]="Fora do DRE","Fora do DRE","( "&amp;Base_Periodo1[[#This Row],[Tipo_Linha]]&amp;" ) "&amp;Base_Periodo1[[#This Row],[Filtro]])</f>
        <v>Fora do DRE</v>
      </c>
      <c r="W6031" s="3" t="str">
        <f>LEFT(Base_Periodo1[[#This Row],[CLASS]],3)</f>
        <v>3.1</v>
      </c>
    </row>
    <row r="6032" spans="1:23" hidden="1">
      <c r="A6032" s="3" t="str">
        <f t="shared" si="94"/>
        <v>Período 1</v>
      </c>
      <c r="B6032">
        <v>6022</v>
      </c>
      <c r="C6032" t="s">
        <v>6604</v>
      </c>
      <c r="D6032" t="s">
        <v>3568</v>
      </c>
      <c r="E6032" s="3" t="str">
        <f>IF(LEN(Base_Periodo1[[#This Row],[CLASS]])&gt;=7,LEFT(Base_Periodo1[[#This Row],[CLASS]],7),"")</f>
        <v>3.1.1.1</v>
      </c>
      <c r="F6032" s="3" t="e">
        <f>VLOOKUP(Base_Periodo1[[#This Row],[Aux]],Base_Contas_Balanco[#All],2,FALSE)</f>
        <v>#N/A</v>
      </c>
      <c r="G6032" s="1">
        <v>42807</v>
      </c>
      <c r="H6032" s="225">
        <v>89.999999999992724</v>
      </c>
      <c r="I6032" s="225">
        <v>0</v>
      </c>
      <c r="J6032" s="225">
        <v>0</v>
      </c>
      <c r="K6032" s="225">
        <v>89.999999999992724</v>
      </c>
      <c r="L60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-90</v>
      </c>
      <c r="M6032" s="225">
        <f>ROUND(IF(AND(Base_Periodo1[[#This Row],[Tipo_Linha]]="-",Base_Periodo1[[#This Row],[TIPOSALDO]]="D"),Base_Periodo1[[#This Row],[SALDO_ATUAL]]*-1,Base_Periodo1[[#This Row],[SALDO_ATUAL]]),4)</f>
        <v>-90</v>
      </c>
      <c r="N6032" t="s">
        <v>116</v>
      </c>
      <c r="O6032" t="s">
        <v>397</v>
      </c>
      <c r="P6032" t="s">
        <v>397</v>
      </c>
      <c r="Q6032">
        <v>9</v>
      </c>
      <c r="R6032" s="282">
        <f>Base_Periodo1[[#This Row],[CREDITOS]]-Base_Periodo1[[#This Row],[DEBITOS]]</f>
        <v>0</v>
      </c>
      <c r="S6032" s="3" t="str">
        <f>IF(ISERROR(VLOOKUP(Base_Periodo1[[#This Row],[CONTA]],BaseContasDRE[#All],4,FALSE)),"Fora do DRE",VLOOKUP(Base_Periodo1[[#This Row],[CONTA]],BaseContasDRE[#All],4,FALSE))</f>
        <v>-</v>
      </c>
      <c r="T6032" s="3">
        <f>IF(ISERROR(VLOOKUP(Base_Periodo1[[#This Row],[CONTA]],BaseContasDRE[#All],5,FALSE)),"Fora do DRE",VLOOKUP(Base_Periodo1[[#This Row],[CONTA]],BaseContasDRE[#All],6,FALSE))</f>
        <v>3</v>
      </c>
      <c r="U6032" s="3" t="str">
        <f>IF(ISERROR(VLOOKUP(Base_Periodo1[[#This Row],[CONTA]],BaseContasDRE[#All],7,FALSE)),"Fora do DRE",VLOOKUP(Base_Periodo1[[#This Row],[CONTA]],BaseContasDRE[#All],7,FALSE))</f>
        <v>INSUMOS AGROPECUARIOS</v>
      </c>
      <c r="V6032" s="3" t="str">
        <f>IF(Base_Periodo1[[#This Row],[Tipo_Linha]]="Fora do DRE","Fora do DRE","( "&amp;Base_Periodo1[[#This Row],[Tipo_Linha]]&amp;" ) "&amp;Base_Periodo1[[#This Row],[Filtro]])</f>
        <v>( - ) INSUMOS AGROPECUARIOS</v>
      </c>
      <c r="W6032" s="3" t="str">
        <f>LEFT(Base_Periodo1[[#This Row],[CLASS]],3)</f>
        <v>3.1</v>
      </c>
    </row>
    <row r="6033" spans="1:23" hidden="1">
      <c r="A6033" s="3" t="str">
        <f t="shared" si="94"/>
        <v>Período 1</v>
      </c>
      <c r="B6033">
        <v>6032</v>
      </c>
      <c r="C6033" t="s">
        <v>3706</v>
      </c>
      <c r="D6033" t="s">
        <v>1411</v>
      </c>
      <c r="E6033" s="3" t="str">
        <f>IF(LEN(Base_Periodo1[[#This Row],[CLASS]])&gt;=7,LEFT(Base_Periodo1[[#This Row],[CLASS]],7),"")</f>
        <v>3.1.1.1</v>
      </c>
      <c r="F6033" s="3" t="e">
        <f>VLOOKUP(Base_Periodo1[[#This Row],[Aux]],Base_Contas_Balanco[#All],2,FALSE)</f>
        <v>#N/A</v>
      </c>
      <c r="G6033" s="1"/>
      <c r="H6033" s="225">
        <v>2614.7799999999156</v>
      </c>
      <c r="I6033" s="225">
        <v>349.39000000000004</v>
      </c>
      <c r="J6033" s="225">
        <v>320</v>
      </c>
      <c r="K6033" s="225">
        <v>2585.3899999999157</v>
      </c>
      <c r="L60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2585.39</v>
      </c>
      <c r="M6033" s="225">
        <f>ROUND(IF(AND(Base_Periodo1[[#This Row],[Tipo_Linha]]="-",Base_Periodo1[[#This Row],[TIPOSALDO]]="D"),Base_Periodo1[[#This Row],[SALDO_ATUAL]]*-1,Base_Periodo1[[#This Row],[SALDO_ATUAL]]),4)</f>
        <v>2585.39</v>
      </c>
      <c r="N6033" t="s">
        <v>396</v>
      </c>
      <c r="O6033" t="s">
        <v>459</v>
      </c>
      <c r="P6033" t="s">
        <v>459</v>
      </c>
      <c r="Q6033">
        <v>7</v>
      </c>
      <c r="R6033" s="282">
        <f>Base_Periodo1[[#This Row],[CREDITOS]]-Base_Periodo1[[#This Row],[DEBITOS]]</f>
        <v>-29.390000000000043</v>
      </c>
      <c r="S6033" s="3" t="str">
        <f>IF(ISERROR(VLOOKUP(Base_Periodo1[[#This Row],[CONTA]],BaseContasDRE[#All],4,FALSE)),"Fora do DRE",VLOOKUP(Base_Periodo1[[#This Row],[CONTA]],BaseContasDRE[#All],4,FALSE))</f>
        <v>Fora do DRE</v>
      </c>
      <c r="T6033" s="3" t="str">
        <f>IF(ISERROR(VLOOKUP(Base_Periodo1[[#This Row],[CONTA]],BaseContasDRE[#All],5,FALSE)),"Fora do DRE",VLOOKUP(Base_Periodo1[[#This Row],[CONTA]],BaseContasDRE[#All],6,FALSE))</f>
        <v>Fora do DRE</v>
      </c>
      <c r="U6033" s="3" t="str">
        <f>IF(ISERROR(VLOOKUP(Base_Periodo1[[#This Row],[CONTA]],BaseContasDRE[#All],7,FALSE)),"Fora do DRE",VLOOKUP(Base_Periodo1[[#This Row],[CONTA]],BaseContasDRE[#All],7,FALSE))</f>
        <v>Fora do DRE</v>
      </c>
      <c r="V6033" s="3" t="str">
        <f>IF(Base_Periodo1[[#This Row],[Tipo_Linha]]="Fora do DRE","Fora do DRE","( "&amp;Base_Periodo1[[#This Row],[Tipo_Linha]]&amp;" ) "&amp;Base_Periodo1[[#This Row],[Filtro]])</f>
        <v>Fora do DRE</v>
      </c>
      <c r="W6033" s="3" t="str">
        <f>LEFT(Base_Periodo1[[#This Row],[CLASS]],3)</f>
        <v>3.1</v>
      </c>
    </row>
    <row r="6034" spans="1:23" hidden="1">
      <c r="A6034" s="3" t="str">
        <f t="shared" si="94"/>
        <v>Período 1</v>
      </c>
      <c r="B6034">
        <v>6033</v>
      </c>
      <c r="C6034" t="s">
        <v>3707</v>
      </c>
      <c r="D6034" t="s">
        <v>3561</v>
      </c>
      <c r="E6034" s="3" t="str">
        <f>IF(LEN(Base_Periodo1[[#This Row],[CLASS]])&gt;=7,LEFT(Base_Periodo1[[#This Row],[CLASS]],7),"")</f>
        <v>3.1.1.1</v>
      </c>
      <c r="F6034" s="3" t="e">
        <f>VLOOKUP(Base_Periodo1[[#This Row],[Aux]],Base_Contas_Balanco[#All],2,FALSE)</f>
        <v>#N/A</v>
      </c>
      <c r="G6034" s="1"/>
      <c r="H6034" s="225">
        <v>5315.379999999961</v>
      </c>
      <c r="I6034" s="225">
        <v>0</v>
      </c>
      <c r="J6034" s="225">
        <v>320</v>
      </c>
      <c r="K6034" s="225">
        <v>5635.379999999961</v>
      </c>
      <c r="L60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5635.38</v>
      </c>
      <c r="M6034" s="225">
        <f>ROUND(IF(AND(Base_Periodo1[[#This Row],[Tipo_Linha]]="-",Base_Periodo1[[#This Row],[TIPOSALDO]]="D"),Base_Periodo1[[#This Row],[SALDO_ATUAL]]*-1,Base_Periodo1[[#This Row],[SALDO_ATUAL]]),4)</f>
        <v>5635.38</v>
      </c>
      <c r="N6034" t="s">
        <v>396</v>
      </c>
      <c r="O6034" t="s">
        <v>459</v>
      </c>
      <c r="P6034" t="s">
        <v>459</v>
      </c>
      <c r="Q6034">
        <v>8</v>
      </c>
      <c r="R6034" s="282">
        <f>Base_Periodo1[[#This Row],[CREDITOS]]-Base_Periodo1[[#This Row],[DEBITOS]]</f>
        <v>320</v>
      </c>
      <c r="S6034" s="3" t="str">
        <f>IF(ISERROR(VLOOKUP(Base_Periodo1[[#This Row],[CONTA]],BaseContasDRE[#All],4,FALSE)),"Fora do DRE",VLOOKUP(Base_Periodo1[[#This Row],[CONTA]],BaseContasDRE[#All],4,FALSE))</f>
        <v>Fora do DRE</v>
      </c>
      <c r="T6034" s="3" t="str">
        <f>IF(ISERROR(VLOOKUP(Base_Periodo1[[#This Row],[CONTA]],BaseContasDRE[#All],5,FALSE)),"Fora do DRE",VLOOKUP(Base_Periodo1[[#This Row],[CONTA]],BaseContasDRE[#All],6,FALSE))</f>
        <v>Fora do DRE</v>
      </c>
      <c r="U6034" s="3" t="str">
        <f>IF(ISERROR(VLOOKUP(Base_Periodo1[[#This Row],[CONTA]],BaseContasDRE[#All],7,FALSE)),"Fora do DRE",VLOOKUP(Base_Periodo1[[#This Row],[CONTA]],BaseContasDRE[#All],7,FALSE))</f>
        <v>Fora do DRE</v>
      </c>
      <c r="V6034" s="3" t="str">
        <f>IF(Base_Periodo1[[#This Row],[Tipo_Linha]]="Fora do DRE","Fora do DRE","( "&amp;Base_Periodo1[[#This Row],[Tipo_Linha]]&amp;" ) "&amp;Base_Periodo1[[#This Row],[Filtro]])</f>
        <v>Fora do DRE</v>
      </c>
      <c r="W6034" s="3" t="str">
        <f>LEFT(Base_Periodo1[[#This Row],[CLASS]],3)</f>
        <v>3.1</v>
      </c>
    </row>
    <row r="6035" spans="1:23" hidden="1">
      <c r="A6035" s="3" t="str">
        <f t="shared" si="94"/>
        <v>Período 1</v>
      </c>
      <c r="B6035">
        <v>6034</v>
      </c>
      <c r="C6035" t="s">
        <v>3708</v>
      </c>
      <c r="D6035" t="s">
        <v>3562</v>
      </c>
      <c r="E6035" s="3" t="str">
        <f>IF(LEN(Base_Periodo1[[#This Row],[CLASS]])&gt;=7,LEFT(Base_Periodo1[[#This Row],[CLASS]],7),"")</f>
        <v>3.1.1.1</v>
      </c>
      <c r="F6035" s="3" t="e">
        <f>VLOOKUP(Base_Periodo1[[#This Row],[Aux]],Base_Contas_Balanco[#All],2,FALSE)</f>
        <v>#N/A</v>
      </c>
      <c r="G6035" s="1">
        <v>42866</v>
      </c>
      <c r="H6035" s="225">
        <v>5315.379999999961</v>
      </c>
      <c r="I6035" s="225">
        <v>0</v>
      </c>
      <c r="J6035" s="225">
        <v>320</v>
      </c>
      <c r="K6035" s="225">
        <v>5635.379999999961</v>
      </c>
      <c r="L60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5635.38</v>
      </c>
      <c r="M6035" s="225">
        <f>ROUND(IF(AND(Base_Periodo1[[#This Row],[Tipo_Linha]]="-",Base_Periodo1[[#This Row],[TIPOSALDO]]="D"),Base_Periodo1[[#This Row],[SALDO_ATUAL]]*-1,Base_Periodo1[[#This Row],[SALDO_ATUAL]]),4)</f>
        <v>5635.38</v>
      </c>
      <c r="N6035" t="s">
        <v>116</v>
      </c>
      <c r="O6035" t="s">
        <v>459</v>
      </c>
      <c r="P6035" t="s">
        <v>459</v>
      </c>
      <c r="Q6035">
        <v>9</v>
      </c>
      <c r="R6035" s="282">
        <f>Base_Periodo1[[#This Row],[CREDITOS]]-Base_Periodo1[[#This Row],[DEBITOS]]</f>
        <v>320</v>
      </c>
      <c r="S6035" s="3" t="str">
        <f>IF(ISERROR(VLOOKUP(Base_Periodo1[[#This Row],[CONTA]],BaseContasDRE[#All],4,FALSE)),"Fora do DRE",VLOOKUP(Base_Periodo1[[#This Row],[CONTA]],BaseContasDRE[#All],4,FALSE))</f>
        <v>+</v>
      </c>
      <c r="T6035" s="3">
        <f>IF(ISERROR(VLOOKUP(Base_Periodo1[[#This Row],[CONTA]],BaseContasDRE[#All],5,FALSE)),"Fora do DRE",VLOOKUP(Base_Periodo1[[#This Row],[CONTA]],BaseContasDRE[#All],6,FALSE))</f>
        <v>1</v>
      </c>
      <c r="U6035" s="3" t="str">
        <f>IF(ISERROR(VLOOKUP(Base_Periodo1[[#This Row],[CONTA]],BaseContasDRE[#All],7,FALSE)),"Fora do DRE",VLOOKUP(Base_Periodo1[[#This Row],[CONTA]],BaseContasDRE[#All],7,FALSE))</f>
        <v>INSUMOS AGROPECUARIOS</v>
      </c>
      <c r="V6035" s="3" t="str">
        <f>IF(Base_Periodo1[[#This Row],[Tipo_Linha]]="Fora do DRE","Fora do DRE","( "&amp;Base_Periodo1[[#This Row],[Tipo_Linha]]&amp;" ) "&amp;Base_Periodo1[[#This Row],[Filtro]])</f>
        <v>( + ) INSUMOS AGROPECUARIOS</v>
      </c>
      <c r="W6035" s="3" t="str">
        <f>LEFT(Base_Periodo1[[#This Row],[CLASS]],3)</f>
        <v>3.1</v>
      </c>
    </row>
    <row r="6036" spans="1:23" hidden="1">
      <c r="A6036" s="3" t="str">
        <f t="shared" si="94"/>
        <v>Período 1</v>
      </c>
      <c r="B6036">
        <v>24782</v>
      </c>
      <c r="C6036" t="s">
        <v>3709</v>
      </c>
      <c r="D6036" t="s">
        <v>3710</v>
      </c>
      <c r="E6036" s="3" t="str">
        <f>IF(LEN(Base_Periodo1[[#This Row],[CLASS]])&gt;=7,LEFT(Base_Periodo1[[#This Row],[CLASS]],7),"")</f>
        <v>3.1.1.1</v>
      </c>
      <c r="F6036" s="3" t="e">
        <f>VLOOKUP(Base_Periodo1[[#This Row],[Aux]],Base_Contas_Balanco[#All],2,FALSE)</f>
        <v>#N/A</v>
      </c>
      <c r="G6036" s="1"/>
      <c r="H6036" s="225">
        <v>956.77</v>
      </c>
      <c r="I6036" s="225">
        <v>57.6</v>
      </c>
      <c r="J6036" s="225">
        <v>0</v>
      </c>
      <c r="K6036" s="225">
        <v>1014.37</v>
      </c>
      <c r="L60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-1014.37</v>
      </c>
      <c r="M6036" s="225">
        <f>ROUND(IF(AND(Base_Periodo1[[#This Row],[Tipo_Linha]]="-",Base_Periodo1[[#This Row],[TIPOSALDO]]="D"),Base_Periodo1[[#This Row],[SALDO_ATUAL]]*-1,Base_Periodo1[[#This Row],[SALDO_ATUAL]]),4)</f>
        <v>1014.37</v>
      </c>
      <c r="N6036" t="s">
        <v>396</v>
      </c>
      <c r="O6036" t="s">
        <v>397</v>
      </c>
      <c r="P6036" t="s">
        <v>397</v>
      </c>
      <c r="Q6036">
        <v>8</v>
      </c>
      <c r="R6036" s="282">
        <f>Base_Periodo1[[#This Row],[CREDITOS]]-Base_Periodo1[[#This Row],[DEBITOS]]</f>
        <v>-57.6</v>
      </c>
      <c r="S6036" s="3" t="str">
        <f>IF(ISERROR(VLOOKUP(Base_Periodo1[[#This Row],[CONTA]],BaseContasDRE[#All],4,FALSE)),"Fora do DRE",VLOOKUP(Base_Periodo1[[#This Row],[CONTA]],BaseContasDRE[#All],4,FALSE))</f>
        <v>Fora do DRE</v>
      </c>
      <c r="T6036" s="3" t="str">
        <f>IF(ISERROR(VLOOKUP(Base_Periodo1[[#This Row],[CONTA]],BaseContasDRE[#All],5,FALSE)),"Fora do DRE",VLOOKUP(Base_Periodo1[[#This Row],[CONTA]],BaseContasDRE[#All],6,FALSE))</f>
        <v>Fora do DRE</v>
      </c>
      <c r="U6036" s="3" t="str">
        <f>IF(ISERROR(VLOOKUP(Base_Periodo1[[#This Row],[CONTA]],BaseContasDRE[#All],7,FALSE)),"Fora do DRE",VLOOKUP(Base_Periodo1[[#This Row],[CONTA]],BaseContasDRE[#All],7,FALSE))</f>
        <v>Fora do DRE</v>
      </c>
      <c r="V6036" s="3" t="str">
        <f>IF(Base_Periodo1[[#This Row],[Tipo_Linha]]="Fora do DRE","Fora do DRE","( "&amp;Base_Periodo1[[#This Row],[Tipo_Linha]]&amp;" ) "&amp;Base_Periodo1[[#This Row],[Filtro]])</f>
        <v>Fora do DRE</v>
      </c>
      <c r="W6036" s="3" t="str">
        <f>LEFT(Base_Periodo1[[#This Row],[CLASS]],3)</f>
        <v>3.1</v>
      </c>
    </row>
    <row r="6037" spans="1:23" hidden="1">
      <c r="A6037" s="3" t="str">
        <f t="shared" si="94"/>
        <v>Período 1</v>
      </c>
      <c r="B6037">
        <v>24783</v>
      </c>
      <c r="C6037" t="s">
        <v>3711</v>
      </c>
      <c r="D6037" t="s">
        <v>3566</v>
      </c>
      <c r="E6037" s="3" t="str">
        <f>IF(LEN(Base_Periodo1[[#This Row],[CLASS]])&gt;=7,LEFT(Base_Periodo1[[#This Row],[CLASS]],7),"")</f>
        <v>3.1.1.1</v>
      </c>
      <c r="F6037" s="3" t="e">
        <f>VLOOKUP(Base_Periodo1[[#This Row],[Aux]],Base_Contas_Balanco[#All],2,FALSE)</f>
        <v>#N/A</v>
      </c>
      <c r="G6037" s="1">
        <v>42866</v>
      </c>
      <c r="H6037" s="225">
        <v>956.77</v>
      </c>
      <c r="I6037" s="225">
        <v>57.6</v>
      </c>
      <c r="J6037" s="225">
        <v>0</v>
      </c>
      <c r="K6037" s="225">
        <v>1014.37</v>
      </c>
      <c r="L60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-1014.37</v>
      </c>
      <c r="M6037" s="225">
        <f>ROUND(IF(AND(Base_Periodo1[[#This Row],[Tipo_Linha]]="-",Base_Periodo1[[#This Row],[TIPOSALDO]]="D"),Base_Periodo1[[#This Row],[SALDO_ATUAL]]*-1,Base_Periodo1[[#This Row],[SALDO_ATUAL]]),4)</f>
        <v>-1014.37</v>
      </c>
      <c r="N6037" t="s">
        <v>116</v>
      </c>
      <c r="O6037" t="s">
        <v>397</v>
      </c>
      <c r="P6037" t="s">
        <v>397</v>
      </c>
      <c r="Q6037">
        <v>9</v>
      </c>
      <c r="R6037" s="282">
        <f>Base_Periodo1[[#This Row],[CREDITOS]]-Base_Periodo1[[#This Row],[DEBITOS]]</f>
        <v>-57.6</v>
      </c>
      <c r="S6037" s="3" t="str">
        <f>IF(ISERROR(VLOOKUP(Base_Periodo1[[#This Row],[CONTA]],BaseContasDRE[#All],4,FALSE)),"Fora do DRE",VLOOKUP(Base_Periodo1[[#This Row],[CONTA]],BaseContasDRE[#All],4,FALSE))</f>
        <v>-</v>
      </c>
      <c r="T6037" s="3">
        <f>IF(ISERROR(VLOOKUP(Base_Periodo1[[#This Row],[CONTA]],BaseContasDRE[#All],5,FALSE)),"Fora do DRE",VLOOKUP(Base_Periodo1[[#This Row],[CONTA]],BaseContasDRE[#All],6,FALSE))</f>
        <v>2</v>
      </c>
      <c r="U6037" s="3" t="str">
        <f>IF(ISERROR(VLOOKUP(Base_Periodo1[[#This Row],[CONTA]],BaseContasDRE[#All],7,FALSE)),"Fora do DRE",VLOOKUP(Base_Periodo1[[#This Row],[CONTA]],BaseContasDRE[#All],7,FALSE))</f>
        <v>ICMS SOBRE INGRESSOS E RECEITAS</v>
      </c>
      <c r="V6037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037" s="3" t="str">
        <f>LEFT(Base_Periodo1[[#This Row],[CLASS]],3)</f>
        <v>3.1</v>
      </c>
    </row>
    <row r="6038" spans="1:23" hidden="1">
      <c r="A6038" s="3" t="str">
        <f t="shared" si="94"/>
        <v>Período 1</v>
      </c>
      <c r="B6038">
        <v>6035</v>
      </c>
      <c r="C6038" t="s">
        <v>3712</v>
      </c>
      <c r="D6038" t="s">
        <v>3567</v>
      </c>
      <c r="E6038" s="3" t="str">
        <f>IF(LEN(Base_Periodo1[[#This Row],[CLASS]])&gt;=7,LEFT(Base_Periodo1[[#This Row],[CLASS]],7),"")</f>
        <v>3.1.1.1</v>
      </c>
      <c r="F6038" s="3" t="e">
        <f>VLOOKUP(Base_Periodo1[[#This Row],[Aux]],Base_Contas_Balanco[#All],2,FALSE)</f>
        <v>#N/A</v>
      </c>
      <c r="G6038" s="1"/>
      <c r="H6038" s="225">
        <v>1743.8300000000454</v>
      </c>
      <c r="I6038" s="225">
        <v>291.79000000000002</v>
      </c>
      <c r="J6038" s="225">
        <v>0</v>
      </c>
      <c r="K6038" s="225">
        <v>2035.6200000000454</v>
      </c>
      <c r="L60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-2035.62</v>
      </c>
      <c r="M6038" s="225">
        <f>ROUND(IF(AND(Base_Periodo1[[#This Row],[Tipo_Linha]]="-",Base_Periodo1[[#This Row],[TIPOSALDO]]="D"),Base_Periodo1[[#This Row],[SALDO_ATUAL]]*-1,Base_Periodo1[[#This Row],[SALDO_ATUAL]]),4)</f>
        <v>2035.62</v>
      </c>
      <c r="N6038" t="s">
        <v>396</v>
      </c>
      <c r="O6038" t="s">
        <v>397</v>
      </c>
      <c r="P6038" t="s">
        <v>397</v>
      </c>
      <c r="Q6038">
        <v>8</v>
      </c>
      <c r="R6038" s="282">
        <f>Base_Periodo1[[#This Row],[CREDITOS]]-Base_Periodo1[[#This Row],[DEBITOS]]</f>
        <v>-291.79000000000002</v>
      </c>
      <c r="S6038" s="3" t="str">
        <f>IF(ISERROR(VLOOKUP(Base_Periodo1[[#This Row],[CONTA]],BaseContasDRE[#All],4,FALSE)),"Fora do DRE",VLOOKUP(Base_Periodo1[[#This Row],[CONTA]],BaseContasDRE[#All],4,FALSE))</f>
        <v>Fora do DRE</v>
      </c>
      <c r="T6038" s="3" t="str">
        <f>IF(ISERROR(VLOOKUP(Base_Periodo1[[#This Row],[CONTA]],BaseContasDRE[#All],5,FALSE)),"Fora do DRE",VLOOKUP(Base_Periodo1[[#This Row],[CONTA]],BaseContasDRE[#All],6,FALSE))</f>
        <v>Fora do DRE</v>
      </c>
      <c r="U6038" s="3" t="str">
        <f>IF(ISERROR(VLOOKUP(Base_Periodo1[[#This Row],[CONTA]],BaseContasDRE[#All],7,FALSE)),"Fora do DRE",VLOOKUP(Base_Periodo1[[#This Row],[CONTA]],BaseContasDRE[#All],7,FALSE))</f>
        <v>Fora do DRE</v>
      </c>
      <c r="V6038" s="3" t="str">
        <f>IF(Base_Periodo1[[#This Row],[Tipo_Linha]]="Fora do DRE","Fora do DRE","( "&amp;Base_Periodo1[[#This Row],[Tipo_Linha]]&amp;" ) "&amp;Base_Periodo1[[#This Row],[Filtro]])</f>
        <v>Fora do DRE</v>
      </c>
      <c r="W6038" s="3" t="str">
        <f>LEFT(Base_Periodo1[[#This Row],[CLASS]],3)</f>
        <v>3.1</v>
      </c>
    </row>
    <row r="6039" spans="1:23" hidden="1">
      <c r="A6039" s="3" t="str">
        <f t="shared" si="94"/>
        <v>Período 1</v>
      </c>
      <c r="B6039">
        <v>6036</v>
      </c>
      <c r="C6039" t="s">
        <v>3713</v>
      </c>
      <c r="D6039" t="s">
        <v>3568</v>
      </c>
      <c r="E6039" s="3" t="str">
        <f>IF(LEN(Base_Periodo1[[#This Row],[CLASS]])&gt;=7,LEFT(Base_Periodo1[[#This Row],[CLASS]],7),"")</f>
        <v>3.1.1.1</v>
      </c>
      <c r="F6039" s="3" t="e">
        <f>VLOOKUP(Base_Periodo1[[#This Row],[Aux]],Base_Contas_Balanco[#All],2,FALSE)</f>
        <v>#N/A</v>
      </c>
      <c r="G6039" s="1">
        <v>42886</v>
      </c>
      <c r="H6039" s="225">
        <v>1743.8300000000454</v>
      </c>
      <c r="I6039" s="225">
        <v>291.79000000000002</v>
      </c>
      <c r="J6039" s="225">
        <v>0</v>
      </c>
      <c r="K6039" s="225">
        <v>2035.6200000000454</v>
      </c>
      <c r="L60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-2035.62</v>
      </c>
      <c r="M6039" s="225">
        <f>ROUND(IF(AND(Base_Periodo1[[#This Row],[Tipo_Linha]]="-",Base_Periodo1[[#This Row],[TIPOSALDO]]="D"),Base_Periodo1[[#This Row],[SALDO_ATUAL]]*-1,Base_Periodo1[[#This Row],[SALDO_ATUAL]]),4)</f>
        <v>-2035.62</v>
      </c>
      <c r="N6039" t="s">
        <v>116</v>
      </c>
      <c r="O6039" t="s">
        <v>397</v>
      </c>
      <c r="P6039" t="s">
        <v>397</v>
      </c>
      <c r="Q6039">
        <v>9</v>
      </c>
      <c r="R6039" s="282">
        <f>Base_Periodo1[[#This Row],[CREDITOS]]-Base_Periodo1[[#This Row],[DEBITOS]]</f>
        <v>-291.79000000000002</v>
      </c>
      <c r="S6039" s="3" t="str">
        <f>IF(ISERROR(VLOOKUP(Base_Periodo1[[#This Row],[CONTA]],BaseContasDRE[#All],4,FALSE)),"Fora do DRE",VLOOKUP(Base_Periodo1[[#This Row],[CONTA]],BaseContasDRE[#All],4,FALSE))</f>
        <v>-</v>
      </c>
      <c r="T6039" s="3">
        <f>IF(ISERROR(VLOOKUP(Base_Periodo1[[#This Row],[CONTA]],BaseContasDRE[#All],5,FALSE)),"Fora do DRE",VLOOKUP(Base_Periodo1[[#This Row],[CONTA]],BaseContasDRE[#All],6,FALSE))</f>
        <v>3</v>
      </c>
      <c r="U6039" s="3" t="str">
        <f>IF(ISERROR(VLOOKUP(Base_Periodo1[[#This Row],[CONTA]],BaseContasDRE[#All],7,FALSE)),"Fora do DRE",VLOOKUP(Base_Periodo1[[#This Row],[CONTA]],BaseContasDRE[#All],7,FALSE))</f>
        <v>INSUMOS AGROPECUARIOS</v>
      </c>
      <c r="V6039" s="3" t="str">
        <f>IF(Base_Periodo1[[#This Row],[Tipo_Linha]]="Fora do DRE","Fora do DRE","( "&amp;Base_Periodo1[[#This Row],[Tipo_Linha]]&amp;" ) "&amp;Base_Periodo1[[#This Row],[Filtro]])</f>
        <v>( - ) INSUMOS AGROPECUARIOS</v>
      </c>
      <c r="W6039" s="3" t="str">
        <f>LEFT(Base_Periodo1[[#This Row],[CLASS]],3)</f>
        <v>3.1</v>
      </c>
    </row>
    <row r="6040" spans="1:23" hidden="1">
      <c r="A6040" s="3" t="str">
        <f t="shared" si="94"/>
        <v>Período 1</v>
      </c>
      <c r="B6040">
        <v>6037</v>
      </c>
      <c r="C6040" t="s">
        <v>6038</v>
      </c>
      <c r="D6040" t="s">
        <v>1421</v>
      </c>
      <c r="E6040" s="3" t="str">
        <f>IF(LEN(Base_Periodo1[[#This Row],[CLASS]])&gt;=7,LEFT(Base_Periodo1[[#This Row],[CLASS]],7),"")</f>
        <v>3.1.1.1</v>
      </c>
      <c r="F6040" s="3" t="e">
        <f>VLOOKUP(Base_Periodo1[[#This Row],[Aux]],Base_Contas_Balanco[#All],2,FALSE)</f>
        <v>#N/A</v>
      </c>
      <c r="G6040" s="1"/>
      <c r="H6040" s="225">
        <v>751.76000000000204</v>
      </c>
      <c r="I6040" s="225">
        <v>0</v>
      </c>
      <c r="J6040" s="225">
        <v>0</v>
      </c>
      <c r="K6040" s="225">
        <v>751.76000000000204</v>
      </c>
      <c r="L60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-751.76</v>
      </c>
      <c r="M6040" s="225">
        <f>ROUND(IF(AND(Base_Periodo1[[#This Row],[Tipo_Linha]]="-",Base_Periodo1[[#This Row],[TIPOSALDO]]="D"),Base_Periodo1[[#This Row],[SALDO_ATUAL]]*-1,Base_Periodo1[[#This Row],[SALDO_ATUAL]]),4)</f>
        <v>751.76</v>
      </c>
      <c r="N6040" t="s">
        <v>396</v>
      </c>
      <c r="O6040" t="s">
        <v>397</v>
      </c>
      <c r="P6040" t="s">
        <v>397</v>
      </c>
      <c r="Q6040">
        <v>7</v>
      </c>
      <c r="R6040" s="282">
        <f>Base_Periodo1[[#This Row],[CREDITOS]]-Base_Periodo1[[#This Row],[DEBITOS]]</f>
        <v>0</v>
      </c>
      <c r="S6040" s="3" t="str">
        <f>IF(ISERROR(VLOOKUP(Base_Periodo1[[#This Row],[CONTA]],BaseContasDRE[#All],4,FALSE)),"Fora do DRE",VLOOKUP(Base_Periodo1[[#This Row],[CONTA]],BaseContasDRE[#All],4,FALSE))</f>
        <v>Fora do DRE</v>
      </c>
      <c r="T6040" s="3" t="str">
        <f>IF(ISERROR(VLOOKUP(Base_Periodo1[[#This Row],[CONTA]],BaseContasDRE[#All],5,FALSE)),"Fora do DRE",VLOOKUP(Base_Periodo1[[#This Row],[CONTA]],BaseContasDRE[#All],6,FALSE))</f>
        <v>Fora do DRE</v>
      </c>
      <c r="U6040" s="3" t="str">
        <f>IF(ISERROR(VLOOKUP(Base_Periodo1[[#This Row],[CONTA]],BaseContasDRE[#All],7,FALSE)),"Fora do DRE",VLOOKUP(Base_Periodo1[[#This Row],[CONTA]],BaseContasDRE[#All],7,FALSE))</f>
        <v>Fora do DRE</v>
      </c>
      <c r="V6040" s="3" t="str">
        <f>IF(Base_Periodo1[[#This Row],[Tipo_Linha]]="Fora do DRE","Fora do DRE","( "&amp;Base_Periodo1[[#This Row],[Tipo_Linha]]&amp;" ) "&amp;Base_Periodo1[[#This Row],[Filtro]])</f>
        <v>Fora do DRE</v>
      </c>
      <c r="W6040" s="3" t="str">
        <f>LEFT(Base_Periodo1[[#This Row],[CLASS]],3)</f>
        <v>3.1</v>
      </c>
    </row>
    <row r="6041" spans="1:23" hidden="1">
      <c r="A6041" s="3" t="str">
        <f t="shared" si="94"/>
        <v>Período 1</v>
      </c>
      <c r="B6041">
        <v>6038</v>
      </c>
      <c r="C6041" t="s">
        <v>6039</v>
      </c>
      <c r="D6041" t="s">
        <v>3561</v>
      </c>
      <c r="E6041" s="3" t="str">
        <f>IF(LEN(Base_Periodo1[[#This Row],[CLASS]])&gt;=7,LEFT(Base_Periodo1[[#This Row],[CLASS]],7),"")</f>
        <v>3.1.1.1</v>
      </c>
      <c r="F6041" s="3" t="e">
        <f>VLOOKUP(Base_Periodo1[[#This Row],[Aux]],Base_Contas_Balanco[#All],2,FALSE)</f>
        <v>#N/A</v>
      </c>
      <c r="G6041" s="1"/>
      <c r="H6041" s="225">
        <v>373.00000000000364</v>
      </c>
      <c r="I6041" s="225">
        <v>0</v>
      </c>
      <c r="J6041" s="225">
        <v>0</v>
      </c>
      <c r="K6041" s="225">
        <v>373.00000000000364</v>
      </c>
      <c r="L60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373</v>
      </c>
      <c r="M6041" s="225">
        <f>ROUND(IF(AND(Base_Periodo1[[#This Row],[Tipo_Linha]]="-",Base_Periodo1[[#This Row],[TIPOSALDO]]="D"),Base_Periodo1[[#This Row],[SALDO_ATUAL]]*-1,Base_Periodo1[[#This Row],[SALDO_ATUAL]]),4)</f>
        <v>373</v>
      </c>
      <c r="N6041" t="s">
        <v>396</v>
      </c>
      <c r="O6041" t="s">
        <v>459</v>
      </c>
      <c r="P6041" t="s">
        <v>459</v>
      </c>
      <c r="Q6041">
        <v>8</v>
      </c>
      <c r="R6041" s="282">
        <f>Base_Periodo1[[#This Row],[CREDITOS]]-Base_Periodo1[[#This Row],[DEBITOS]]</f>
        <v>0</v>
      </c>
      <c r="S6041" s="3" t="str">
        <f>IF(ISERROR(VLOOKUP(Base_Periodo1[[#This Row],[CONTA]],BaseContasDRE[#All],4,FALSE)),"Fora do DRE",VLOOKUP(Base_Periodo1[[#This Row],[CONTA]],BaseContasDRE[#All],4,FALSE))</f>
        <v>Fora do DRE</v>
      </c>
      <c r="T6041" s="3" t="str">
        <f>IF(ISERROR(VLOOKUP(Base_Periodo1[[#This Row],[CONTA]],BaseContasDRE[#All],5,FALSE)),"Fora do DRE",VLOOKUP(Base_Periodo1[[#This Row],[CONTA]],BaseContasDRE[#All],6,FALSE))</f>
        <v>Fora do DRE</v>
      </c>
      <c r="U6041" s="3" t="str">
        <f>IF(ISERROR(VLOOKUP(Base_Periodo1[[#This Row],[CONTA]],BaseContasDRE[#All],7,FALSE)),"Fora do DRE",VLOOKUP(Base_Periodo1[[#This Row],[CONTA]],BaseContasDRE[#All],7,FALSE))</f>
        <v>Fora do DRE</v>
      </c>
      <c r="V6041" s="3" t="str">
        <f>IF(Base_Periodo1[[#This Row],[Tipo_Linha]]="Fora do DRE","Fora do DRE","( "&amp;Base_Periodo1[[#This Row],[Tipo_Linha]]&amp;" ) "&amp;Base_Periodo1[[#This Row],[Filtro]])</f>
        <v>Fora do DRE</v>
      </c>
      <c r="W6041" s="3" t="str">
        <f>LEFT(Base_Periodo1[[#This Row],[CLASS]],3)</f>
        <v>3.1</v>
      </c>
    </row>
    <row r="6042" spans="1:23" hidden="1">
      <c r="A6042" s="3" t="str">
        <f t="shared" si="94"/>
        <v>Período 1</v>
      </c>
      <c r="B6042">
        <v>6039</v>
      </c>
      <c r="C6042" t="s">
        <v>6040</v>
      </c>
      <c r="D6042" t="s">
        <v>3562</v>
      </c>
      <c r="E6042" s="3" t="str">
        <f>IF(LEN(Base_Periodo1[[#This Row],[CLASS]])&gt;=7,LEFT(Base_Periodo1[[#This Row],[CLASS]],7),"")</f>
        <v>3.1.1.1</v>
      </c>
      <c r="F6042" s="3" t="e">
        <f>VLOOKUP(Base_Periodo1[[#This Row],[Aux]],Base_Contas_Balanco[#All],2,FALSE)</f>
        <v>#N/A</v>
      </c>
      <c r="G6042" s="1">
        <v>42843</v>
      </c>
      <c r="H6042" s="225">
        <v>373.00000000000364</v>
      </c>
      <c r="I6042" s="225">
        <v>0</v>
      </c>
      <c r="J6042" s="225">
        <v>0</v>
      </c>
      <c r="K6042" s="225">
        <v>373.00000000000364</v>
      </c>
      <c r="L60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373</v>
      </c>
      <c r="M6042" s="225">
        <f>ROUND(IF(AND(Base_Periodo1[[#This Row],[Tipo_Linha]]="-",Base_Periodo1[[#This Row],[TIPOSALDO]]="D"),Base_Periodo1[[#This Row],[SALDO_ATUAL]]*-1,Base_Periodo1[[#This Row],[SALDO_ATUAL]]),4)</f>
        <v>373</v>
      </c>
      <c r="N6042" t="s">
        <v>116</v>
      </c>
      <c r="O6042" t="s">
        <v>459</v>
      </c>
      <c r="P6042" t="s">
        <v>459</v>
      </c>
      <c r="Q6042">
        <v>9</v>
      </c>
      <c r="R6042" s="282">
        <f>Base_Periodo1[[#This Row],[CREDITOS]]-Base_Periodo1[[#This Row],[DEBITOS]]</f>
        <v>0</v>
      </c>
      <c r="S6042" s="3" t="str">
        <f>IF(ISERROR(VLOOKUP(Base_Periodo1[[#This Row],[CONTA]],BaseContasDRE[#All],4,FALSE)),"Fora do DRE",VLOOKUP(Base_Periodo1[[#This Row],[CONTA]],BaseContasDRE[#All],4,FALSE))</f>
        <v>+</v>
      </c>
      <c r="T6042" s="3">
        <f>IF(ISERROR(VLOOKUP(Base_Periodo1[[#This Row],[CONTA]],BaseContasDRE[#All],5,FALSE)),"Fora do DRE",VLOOKUP(Base_Periodo1[[#This Row],[CONTA]],BaseContasDRE[#All],6,FALSE))</f>
        <v>1</v>
      </c>
      <c r="U6042" s="3" t="str">
        <f>IF(ISERROR(VLOOKUP(Base_Periodo1[[#This Row],[CONTA]],BaseContasDRE[#All],7,FALSE)),"Fora do DRE",VLOOKUP(Base_Periodo1[[#This Row],[CONTA]],BaseContasDRE[#All],7,FALSE))</f>
        <v>INSUMOS AGROPECUARIOS</v>
      </c>
      <c r="V6042" s="3" t="str">
        <f>IF(Base_Periodo1[[#This Row],[Tipo_Linha]]="Fora do DRE","Fora do DRE","( "&amp;Base_Periodo1[[#This Row],[Tipo_Linha]]&amp;" ) "&amp;Base_Periodo1[[#This Row],[Filtro]])</f>
        <v>( + ) INSUMOS AGROPECUARIOS</v>
      </c>
      <c r="W6042" s="3" t="str">
        <f>LEFT(Base_Periodo1[[#This Row],[CLASS]],3)</f>
        <v>3.1</v>
      </c>
    </row>
    <row r="6043" spans="1:23" hidden="1">
      <c r="A6043" s="3" t="str">
        <f t="shared" si="94"/>
        <v>Período 1</v>
      </c>
      <c r="B6043">
        <v>6042</v>
      </c>
      <c r="C6043" t="s">
        <v>6041</v>
      </c>
      <c r="D6043" t="s">
        <v>3565</v>
      </c>
      <c r="E6043" s="3" t="str">
        <f>IF(LEN(Base_Periodo1[[#This Row],[CLASS]])&gt;=7,LEFT(Base_Periodo1[[#This Row],[CLASS]],7),"")</f>
        <v>3.1.1.1</v>
      </c>
      <c r="F6043" s="3" t="e">
        <f>VLOOKUP(Base_Periodo1[[#This Row],[Aux]],Base_Contas_Balanco[#All],2,FALSE)</f>
        <v>#N/A</v>
      </c>
      <c r="G6043" s="1"/>
      <c r="H6043" s="225">
        <v>44.759999999998385</v>
      </c>
      <c r="I6043" s="225">
        <v>0</v>
      </c>
      <c r="J6043" s="225">
        <v>0</v>
      </c>
      <c r="K6043" s="225">
        <v>44.759999999998385</v>
      </c>
      <c r="L60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-44.76</v>
      </c>
      <c r="M6043" s="225">
        <f>ROUND(IF(AND(Base_Periodo1[[#This Row],[Tipo_Linha]]="-",Base_Periodo1[[#This Row],[TIPOSALDO]]="D"),Base_Periodo1[[#This Row],[SALDO_ATUAL]]*-1,Base_Periodo1[[#This Row],[SALDO_ATUAL]]),4)</f>
        <v>44.76</v>
      </c>
      <c r="N6043" t="s">
        <v>396</v>
      </c>
      <c r="O6043" t="s">
        <v>397</v>
      </c>
      <c r="P6043" t="s">
        <v>397</v>
      </c>
      <c r="Q6043">
        <v>8</v>
      </c>
      <c r="R6043" s="282">
        <f>Base_Periodo1[[#This Row],[CREDITOS]]-Base_Periodo1[[#This Row],[DEBITOS]]</f>
        <v>0</v>
      </c>
      <c r="S6043" s="3" t="str">
        <f>IF(ISERROR(VLOOKUP(Base_Periodo1[[#This Row],[CONTA]],BaseContasDRE[#All],4,FALSE)),"Fora do DRE",VLOOKUP(Base_Periodo1[[#This Row],[CONTA]],BaseContasDRE[#All],4,FALSE))</f>
        <v>Fora do DRE</v>
      </c>
      <c r="T6043" s="3" t="str">
        <f>IF(ISERROR(VLOOKUP(Base_Periodo1[[#This Row],[CONTA]],BaseContasDRE[#All],5,FALSE)),"Fora do DRE",VLOOKUP(Base_Periodo1[[#This Row],[CONTA]],BaseContasDRE[#All],6,FALSE))</f>
        <v>Fora do DRE</v>
      </c>
      <c r="U6043" s="3" t="str">
        <f>IF(ISERROR(VLOOKUP(Base_Periodo1[[#This Row],[CONTA]],BaseContasDRE[#All],7,FALSE)),"Fora do DRE",VLOOKUP(Base_Periodo1[[#This Row],[CONTA]],BaseContasDRE[#All],7,FALSE))</f>
        <v>Fora do DRE</v>
      </c>
      <c r="V6043" s="3" t="str">
        <f>IF(Base_Periodo1[[#This Row],[Tipo_Linha]]="Fora do DRE","Fora do DRE","( "&amp;Base_Periodo1[[#This Row],[Tipo_Linha]]&amp;" ) "&amp;Base_Periodo1[[#This Row],[Filtro]])</f>
        <v>Fora do DRE</v>
      </c>
      <c r="W6043" s="3" t="str">
        <f>LEFT(Base_Periodo1[[#This Row],[CLASS]],3)</f>
        <v>3.1</v>
      </c>
    </row>
    <row r="6044" spans="1:23" hidden="1">
      <c r="A6044" s="3" t="str">
        <f t="shared" si="94"/>
        <v>Período 1</v>
      </c>
      <c r="B6044">
        <v>6043</v>
      </c>
      <c r="C6044" t="s">
        <v>6042</v>
      </c>
      <c r="D6044" t="s">
        <v>3566</v>
      </c>
      <c r="E6044" s="3" t="str">
        <f>IF(LEN(Base_Periodo1[[#This Row],[CLASS]])&gt;=7,LEFT(Base_Periodo1[[#This Row],[CLASS]],7),"")</f>
        <v>3.1.1.1</v>
      </c>
      <c r="F6044" s="3" t="e">
        <f>VLOOKUP(Base_Periodo1[[#This Row],[Aux]],Base_Contas_Balanco[#All],2,FALSE)</f>
        <v>#N/A</v>
      </c>
      <c r="G6044" s="1">
        <v>42843</v>
      </c>
      <c r="H6044" s="225">
        <v>44.759999999998399</v>
      </c>
      <c r="I6044" s="225">
        <v>0</v>
      </c>
      <c r="J6044" s="225">
        <v>0</v>
      </c>
      <c r="K6044" s="225">
        <v>44.759999999998399</v>
      </c>
      <c r="L60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-44.76</v>
      </c>
      <c r="M6044" s="225">
        <f>ROUND(IF(AND(Base_Periodo1[[#This Row],[Tipo_Linha]]="-",Base_Periodo1[[#This Row],[TIPOSALDO]]="D"),Base_Periodo1[[#This Row],[SALDO_ATUAL]]*-1,Base_Periodo1[[#This Row],[SALDO_ATUAL]]),4)</f>
        <v>-44.76</v>
      </c>
      <c r="N6044" t="s">
        <v>116</v>
      </c>
      <c r="O6044" t="s">
        <v>397</v>
      </c>
      <c r="P6044" t="s">
        <v>397</v>
      </c>
      <c r="Q6044">
        <v>9</v>
      </c>
      <c r="R6044" s="282">
        <f>Base_Periodo1[[#This Row],[CREDITOS]]-Base_Periodo1[[#This Row],[DEBITOS]]</f>
        <v>0</v>
      </c>
      <c r="S6044" s="3" t="str">
        <f>IF(ISERROR(VLOOKUP(Base_Periodo1[[#This Row],[CONTA]],BaseContasDRE[#All],4,FALSE)),"Fora do DRE",VLOOKUP(Base_Periodo1[[#This Row],[CONTA]],BaseContasDRE[#All],4,FALSE))</f>
        <v>-</v>
      </c>
      <c r="T6044" s="3">
        <f>IF(ISERROR(VLOOKUP(Base_Periodo1[[#This Row],[CONTA]],BaseContasDRE[#All],5,FALSE)),"Fora do DRE",VLOOKUP(Base_Periodo1[[#This Row],[CONTA]],BaseContasDRE[#All],6,FALSE))</f>
        <v>2</v>
      </c>
      <c r="U6044" s="3" t="str">
        <f>IF(ISERROR(VLOOKUP(Base_Periodo1[[#This Row],[CONTA]],BaseContasDRE[#All],7,FALSE)),"Fora do DRE",VLOOKUP(Base_Periodo1[[#This Row],[CONTA]],BaseContasDRE[#All],7,FALSE))</f>
        <v>ICMS SOBRE INGRESSOS E RECEITAS</v>
      </c>
      <c r="V6044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044" s="3" t="str">
        <f>LEFT(Base_Periodo1[[#This Row],[CLASS]],3)</f>
        <v>3.1</v>
      </c>
    </row>
    <row r="6045" spans="1:23" hidden="1">
      <c r="A6045" s="3" t="str">
        <f t="shared" si="94"/>
        <v>Período 1</v>
      </c>
      <c r="B6045">
        <v>6044</v>
      </c>
      <c r="C6045" t="s">
        <v>6043</v>
      </c>
      <c r="D6045" t="s">
        <v>3567</v>
      </c>
      <c r="E6045" s="3" t="str">
        <f>IF(LEN(Base_Periodo1[[#This Row],[CLASS]])&gt;=7,LEFT(Base_Periodo1[[#This Row],[CLASS]],7),"")</f>
        <v>3.1.1.1</v>
      </c>
      <c r="F6045" s="3" t="e">
        <f>VLOOKUP(Base_Periodo1[[#This Row],[Aux]],Base_Contas_Balanco[#All],2,FALSE)</f>
        <v>#N/A</v>
      </c>
      <c r="G6045" s="1"/>
      <c r="H6045" s="225">
        <v>1080.0000000000073</v>
      </c>
      <c r="I6045" s="225">
        <v>0</v>
      </c>
      <c r="J6045" s="225">
        <v>0</v>
      </c>
      <c r="K6045" s="225">
        <v>1080.0000000000073</v>
      </c>
      <c r="L60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-1080</v>
      </c>
      <c r="M6045" s="225">
        <f>ROUND(IF(AND(Base_Periodo1[[#This Row],[Tipo_Linha]]="-",Base_Periodo1[[#This Row],[TIPOSALDO]]="D"),Base_Periodo1[[#This Row],[SALDO_ATUAL]]*-1,Base_Periodo1[[#This Row],[SALDO_ATUAL]]),4)</f>
        <v>1080</v>
      </c>
      <c r="N6045" t="s">
        <v>396</v>
      </c>
      <c r="O6045" t="s">
        <v>397</v>
      </c>
      <c r="P6045" t="s">
        <v>397</v>
      </c>
      <c r="Q6045">
        <v>8</v>
      </c>
      <c r="R6045" s="282">
        <f>Base_Periodo1[[#This Row],[CREDITOS]]-Base_Periodo1[[#This Row],[DEBITOS]]</f>
        <v>0</v>
      </c>
      <c r="S6045" s="3" t="str">
        <f>IF(ISERROR(VLOOKUP(Base_Periodo1[[#This Row],[CONTA]],BaseContasDRE[#All],4,FALSE)),"Fora do DRE",VLOOKUP(Base_Periodo1[[#This Row],[CONTA]],BaseContasDRE[#All],4,FALSE))</f>
        <v>Fora do DRE</v>
      </c>
      <c r="T6045" s="3" t="str">
        <f>IF(ISERROR(VLOOKUP(Base_Periodo1[[#This Row],[CONTA]],BaseContasDRE[#All],5,FALSE)),"Fora do DRE",VLOOKUP(Base_Periodo1[[#This Row],[CONTA]],BaseContasDRE[#All],6,FALSE))</f>
        <v>Fora do DRE</v>
      </c>
      <c r="U6045" s="3" t="str">
        <f>IF(ISERROR(VLOOKUP(Base_Periodo1[[#This Row],[CONTA]],BaseContasDRE[#All],7,FALSE)),"Fora do DRE",VLOOKUP(Base_Periodo1[[#This Row],[CONTA]],BaseContasDRE[#All],7,FALSE))</f>
        <v>Fora do DRE</v>
      </c>
      <c r="V6045" s="3" t="str">
        <f>IF(Base_Periodo1[[#This Row],[Tipo_Linha]]="Fora do DRE","Fora do DRE","( "&amp;Base_Periodo1[[#This Row],[Tipo_Linha]]&amp;" ) "&amp;Base_Periodo1[[#This Row],[Filtro]])</f>
        <v>Fora do DRE</v>
      </c>
      <c r="W6045" s="3" t="str">
        <f>LEFT(Base_Periodo1[[#This Row],[CLASS]],3)</f>
        <v>3.1</v>
      </c>
    </row>
    <row r="6046" spans="1:23" hidden="1">
      <c r="A6046" s="3" t="str">
        <f t="shared" si="94"/>
        <v>Período 1</v>
      </c>
      <c r="B6046">
        <v>6045</v>
      </c>
      <c r="C6046" t="s">
        <v>6044</v>
      </c>
      <c r="D6046" t="s">
        <v>3568</v>
      </c>
      <c r="E6046" s="3" t="str">
        <f>IF(LEN(Base_Periodo1[[#This Row],[CLASS]])&gt;=7,LEFT(Base_Periodo1[[#This Row],[CLASS]],7),"")</f>
        <v>3.1.1.1</v>
      </c>
      <c r="F6046" s="3" t="e">
        <f>VLOOKUP(Base_Periodo1[[#This Row],[Aux]],Base_Contas_Balanco[#All],2,FALSE)</f>
        <v>#N/A</v>
      </c>
      <c r="G6046" s="1">
        <v>42776</v>
      </c>
      <c r="H6046" s="225">
        <v>1080.0000000000073</v>
      </c>
      <c r="I6046" s="225">
        <v>0</v>
      </c>
      <c r="J6046" s="225">
        <v>0</v>
      </c>
      <c r="K6046" s="225">
        <v>1080.0000000000073</v>
      </c>
      <c r="L60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-1080</v>
      </c>
      <c r="M6046" s="225">
        <f>ROUND(IF(AND(Base_Periodo1[[#This Row],[Tipo_Linha]]="-",Base_Periodo1[[#This Row],[TIPOSALDO]]="D"),Base_Periodo1[[#This Row],[SALDO_ATUAL]]*-1,Base_Periodo1[[#This Row],[SALDO_ATUAL]]),4)</f>
        <v>-1080</v>
      </c>
      <c r="N6046" t="s">
        <v>116</v>
      </c>
      <c r="O6046" t="s">
        <v>397</v>
      </c>
      <c r="P6046" t="s">
        <v>397</v>
      </c>
      <c r="Q6046">
        <v>9</v>
      </c>
      <c r="R6046" s="282">
        <f>Base_Periodo1[[#This Row],[CREDITOS]]-Base_Periodo1[[#This Row],[DEBITOS]]</f>
        <v>0</v>
      </c>
      <c r="S6046" s="3" t="str">
        <f>IF(ISERROR(VLOOKUP(Base_Periodo1[[#This Row],[CONTA]],BaseContasDRE[#All],4,FALSE)),"Fora do DRE",VLOOKUP(Base_Periodo1[[#This Row],[CONTA]],BaseContasDRE[#All],4,FALSE))</f>
        <v>-</v>
      </c>
      <c r="T6046" s="3">
        <f>IF(ISERROR(VLOOKUP(Base_Periodo1[[#This Row],[CONTA]],BaseContasDRE[#All],5,FALSE)),"Fora do DRE",VLOOKUP(Base_Periodo1[[#This Row],[CONTA]],BaseContasDRE[#All],6,FALSE))</f>
        <v>3</v>
      </c>
      <c r="U6046" s="3" t="str">
        <f>IF(ISERROR(VLOOKUP(Base_Periodo1[[#This Row],[CONTA]],BaseContasDRE[#All],7,FALSE)),"Fora do DRE",VLOOKUP(Base_Periodo1[[#This Row],[CONTA]],BaseContasDRE[#All],7,FALSE))</f>
        <v>INSUMOS AGROPECUARIOS</v>
      </c>
      <c r="V6046" s="3" t="str">
        <f>IF(Base_Periodo1[[#This Row],[Tipo_Linha]]="Fora do DRE","Fora do DRE","( "&amp;Base_Periodo1[[#This Row],[Tipo_Linha]]&amp;" ) "&amp;Base_Periodo1[[#This Row],[Filtro]])</f>
        <v>( - ) INSUMOS AGROPECUARIOS</v>
      </c>
      <c r="W6046" s="3" t="str">
        <f>LEFT(Base_Periodo1[[#This Row],[CLASS]],3)</f>
        <v>3.1</v>
      </c>
    </row>
    <row r="6047" spans="1:23" hidden="1">
      <c r="A6047" s="3" t="str">
        <f t="shared" si="94"/>
        <v>Período 1</v>
      </c>
      <c r="B6047">
        <v>29641</v>
      </c>
      <c r="C6047" t="s">
        <v>6095</v>
      </c>
      <c r="D6047" t="s">
        <v>1426</v>
      </c>
      <c r="E6047" s="3" t="str">
        <f>IF(LEN(Base_Periodo1[[#This Row],[CLASS]])&gt;=7,LEFT(Base_Periodo1[[#This Row],[CLASS]],7),"")</f>
        <v>3.1.1.1</v>
      </c>
      <c r="F6047" s="3" t="e">
        <f>VLOOKUP(Base_Periodo1[[#This Row],[Aux]],Base_Contas_Balanco[#All],2,FALSE)</f>
        <v>#N/A</v>
      </c>
      <c r="G6047" s="1"/>
      <c r="H6047" s="225">
        <v>3735.2200000000012</v>
      </c>
      <c r="I6047" s="225">
        <v>0</v>
      </c>
      <c r="J6047" s="225">
        <v>0</v>
      </c>
      <c r="K6047" s="225">
        <v>3735.2200000000012</v>
      </c>
      <c r="L60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3735.22</v>
      </c>
      <c r="M6047" s="225">
        <f>ROUND(IF(AND(Base_Periodo1[[#This Row],[Tipo_Linha]]="-",Base_Periodo1[[#This Row],[TIPOSALDO]]="D"),Base_Periodo1[[#This Row],[SALDO_ATUAL]]*-1,Base_Periodo1[[#This Row],[SALDO_ATUAL]]),4)</f>
        <v>3735.22</v>
      </c>
      <c r="N6047" t="s">
        <v>396</v>
      </c>
      <c r="O6047" t="s">
        <v>459</v>
      </c>
      <c r="P6047" t="s">
        <v>459</v>
      </c>
      <c r="Q6047">
        <v>7</v>
      </c>
      <c r="R6047" s="282">
        <f>Base_Periodo1[[#This Row],[CREDITOS]]-Base_Periodo1[[#This Row],[DEBITOS]]</f>
        <v>0</v>
      </c>
      <c r="S6047" s="3" t="str">
        <f>IF(ISERROR(VLOOKUP(Base_Periodo1[[#This Row],[CONTA]],BaseContasDRE[#All],4,FALSE)),"Fora do DRE",VLOOKUP(Base_Periodo1[[#This Row],[CONTA]],BaseContasDRE[#All],4,FALSE))</f>
        <v>Fora do DRE</v>
      </c>
      <c r="T6047" s="3" t="str">
        <f>IF(ISERROR(VLOOKUP(Base_Periodo1[[#This Row],[CONTA]],BaseContasDRE[#All],5,FALSE)),"Fora do DRE",VLOOKUP(Base_Periodo1[[#This Row],[CONTA]],BaseContasDRE[#All],6,FALSE))</f>
        <v>Fora do DRE</v>
      </c>
      <c r="U6047" s="3" t="str">
        <f>IF(ISERROR(VLOOKUP(Base_Periodo1[[#This Row],[CONTA]],BaseContasDRE[#All],7,FALSE)),"Fora do DRE",VLOOKUP(Base_Periodo1[[#This Row],[CONTA]],BaseContasDRE[#All],7,FALSE))</f>
        <v>Fora do DRE</v>
      </c>
      <c r="V6047" s="3" t="str">
        <f>IF(Base_Periodo1[[#This Row],[Tipo_Linha]]="Fora do DRE","Fora do DRE","( "&amp;Base_Periodo1[[#This Row],[Tipo_Linha]]&amp;" ) "&amp;Base_Periodo1[[#This Row],[Filtro]])</f>
        <v>Fora do DRE</v>
      </c>
      <c r="W6047" s="3" t="str">
        <f>LEFT(Base_Periodo1[[#This Row],[CLASS]],3)</f>
        <v>3.1</v>
      </c>
    </row>
    <row r="6048" spans="1:23" hidden="1">
      <c r="A6048" s="3" t="str">
        <f t="shared" si="94"/>
        <v>Período 1</v>
      </c>
      <c r="B6048">
        <v>29648</v>
      </c>
      <c r="C6048" t="s">
        <v>6096</v>
      </c>
      <c r="D6048" t="s">
        <v>3567</v>
      </c>
      <c r="E6048" s="3" t="str">
        <f>IF(LEN(Base_Periodo1[[#This Row],[CLASS]])&gt;=7,LEFT(Base_Periodo1[[#This Row],[CLASS]],7),"")</f>
        <v>3.1.1.1</v>
      </c>
      <c r="F6048" s="3" t="e">
        <f>VLOOKUP(Base_Periodo1[[#This Row],[Aux]],Base_Contas_Balanco[#All],2,FALSE)</f>
        <v>#N/A</v>
      </c>
      <c r="G6048" s="1"/>
      <c r="H6048" s="225">
        <v>3735.2200000000012</v>
      </c>
      <c r="I6048" s="225">
        <v>0</v>
      </c>
      <c r="J6048" s="225">
        <v>0</v>
      </c>
      <c r="K6048" s="225">
        <v>3735.2200000000012</v>
      </c>
      <c r="L60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3735.22</v>
      </c>
      <c r="M6048" s="225">
        <f>ROUND(IF(AND(Base_Periodo1[[#This Row],[Tipo_Linha]]="-",Base_Periodo1[[#This Row],[TIPOSALDO]]="D"),Base_Periodo1[[#This Row],[SALDO_ATUAL]]*-1,Base_Periodo1[[#This Row],[SALDO_ATUAL]]),4)</f>
        <v>3735.22</v>
      </c>
      <c r="N6048" t="s">
        <v>396</v>
      </c>
      <c r="O6048" t="s">
        <v>459</v>
      </c>
      <c r="P6048" t="s">
        <v>459</v>
      </c>
      <c r="Q6048">
        <v>8</v>
      </c>
      <c r="R6048" s="282">
        <f>Base_Periodo1[[#This Row],[CREDITOS]]-Base_Periodo1[[#This Row],[DEBITOS]]</f>
        <v>0</v>
      </c>
      <c r="S6048" s="3" t="str">
        <f>IF(ISERROR(VLOOKUP(Base_Periodo1[[#This Row],[CONTA]],BaseContasDRE[#All],4,FALSE)),"Fora do DRE",VLOOKUP(Base_Periodo1[[#This Row],[CONTA]],BaseContasDRE[#All],4,FALSE))</f>
        <v>Fora do DRE</v>
      </c>
      <c r="T6048" s="3" t="str">
        <f>IF(ISERROR(VLOOKUP(Base_Periodo1[[#This Row],[CONTA]],BaseContasDRE[#All],5,FALSE)),"Fora do DRE",VLOOKUP(Base_Periodo1[[#This Row],[CONTA]],BaseContasDRE[#All],6,FALSE))</f>
        <v>Fora do DRE</v>
      </c>
      <c r="U6048" s="3" t="str">
        <f>IF(ISERROR(VLOOKUP(Base_Periodo1[[#This Row],[CONTA]],BaseContasDRE[#All],7,FALSE)),"Fora do DRE",VLOOKUP(Base_Periodo1[[#This Row],[CONTA]],BaseContasDRE[#All],7,FALSE))</f>
        <v>Fora do DRE</v>
      </c>
      <c r="V6048" s="3" t="str">
        <f>IF(Base_Periodo1[[#This Row],[Tipo_Linha]]="Fora do DRE","Fora do DRE","( "&amp;Base_Periodo1[[#This Row],[Tipo_Linha]]&amp;" ) "&amp;Base_Periodo1[[#This Row],[Filtro]])</f>
        <v>Fora do DRE</v>
      </c>
      <c r="W6048" s="3" t="str">
        <f>LEFT(Base_Periodo1[[#This Row],[CLASS]],3)</f>
        <v>3.1</v>
      </c>
    </row>
    <row r="6049" spans="1:23" hidden="1">
      <c r="A6049" s="3" t="str">
        <f t="shared" si="94"/>
        <v>Período 1</v>
      </c>
      <c r="B6049">
        <v>29649</v>
      </c>
      <c r="C6049" t="s">
        <v>6097</v>
      </c>
      <c r="D6049" t="s">
        <v>3568</v>
      </c>
      <c r="E6049" s="3" t="str">
        <f>IF(LEN(Base_Periodo1[[#This Row],[CLASS]])&gt;=7,LEFT(Base_Periodo1[[#This Row],[CLASS]],7),"")</f>
        <v>3.1.1.1</v>
      </c>
      <c r="F6049" s="3" t="e">
        <f>VLOOKUP(Base_Periodo1[[#This Row],[Aux]],Base_Contas_Balanco[#All],2,FALSE)</f>
        <v>#N/A</v>
      </c>
      <c r="G6049" s="1">
        <v>42767</v>
      </c>
      <c r="H6049" s="225">
        <v>3735.2200000000012</v>
      </c>
      <c r="I6049" s="225">
        <v>0</v>
      </c>
      <c r="J6049" s="225">
        <v>0</v>
      </c>
      <c r="K6049" s="225">
        <v>3735.2200000000012</v>
      </c>
      <c r="L60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3735.22</v>
      </c>
      <c r="M6049" s="225">
        <f>ROUND(IF(AND(Base_Periodo1[[#This Row],[Tipo_Linha]]="-",Base_Periodo1[[#This Row],[TIPOSALDO]]="D"),Base_Periodo1[[#This Row],[SALDO_ATUAL]]*-1,Base_Periodo1[[#This Row],[SALDO_ATUAL]]),4)</f>
        <v>3735.22</v>
      </c>
      <c r="N6049" t="s">
        <v>116</v>
      </c>
      <c r="O6049" t="s">
        <v>459</v>
      </c>
      <c r="P6049" t="s">
        <v>459</v>
      </c>
      <c r="Q6049">
        <v>9</v>
      </c>
      <c r="R6049" s="282">
        <f>Base_Periodo1[[#This Row],[CREDITOS]]-Base_Periodo1[[#This Row],[DEBITOS]]</f>
        <v>0</v>
      </c>
      <c r="S6049" s="3" t="str">
        <f>IF(ISERROR(VLOOKUP(Base_Periodo1[[#This Row],[CONTA]],BaseContasDRE[#All],4,FALSE)),"Fora do DRE",VLOOKUP(Base_Periodo1[[#This Row],[CONTA]],BaseContasDRE[#All],4,FALSE))</f>
        <v>-</v>
      </c>
      <c r="T6049" s="3">
        <f>IF(ISERROR(VLOOKUP(Base_Periodo1[[#This Row],[CONTA]],BaseContasDRE[#All],5,FALSE)),"Fora do DRE",VLOOKUP(Base_Periodo1[[#This Row],[CONTA]],BaseContasDRE[#All],6,FALSE))</f>
        <v>3</v>
      </c>
      <c r="U6049" s="3" t="str">
        <f>IF(ISERROR(VLOOKUP(Base_Periodo1[[#This Row],[CONTA]],BaseContasDRE[#All],7,FALSE)),"Fora do DRE",VLOOKUP(Base_Periodo1[[#This Row],[CONTA]],BaseContasDRE[#All],7,FALSE))</f>
        <v>INSUMOS AGROPECUARIOS</v>
      </c>
      <c r="V6049" s="3" t="str">
        <f>IF(Base_Periodo1[[#This Row],[Tipo_Linha]]="Fora do DRE","Fora do DRE","( "&amp;Base_Periodo1[[#This Row],[Tipo_Linha]]&amp;" ) "&amp;Base_Periodo1[[#This Row],[Filtro]])</f>
        <v>( - ) INSUMOS AGROPECUARIOS</v>
      </c>
      <c r="W6049" s="3" t="str">
        <f>LEFT(Base_Periodo1[[#This Row],[CLASS]],3)</f>
        <v>3.1</v>
      </c>
    </row>
    <row r="6050" spans="1:23" hidden="1">
      <c r="A6050" s="3" t="str">
        <f t="shared" si="94"/>
        <v>Período 1</v>
      </c>
      <c r="B6050">
        <v>33604</v>
      </c>
      <c r="C6050" t="s">
        <v>3714</v>
      </c>
      <c r="D6050" t="s">
        <v>1428</v>
      </c>
      <c r="E6050" s="3" t="str">
        <f>IF(LEN(Base_Periodo1[[#This Row],[CLASS]])&gt;=7,LEFT(Base_Periodo1[[#This Row],[CLASS]],7),"")</f>
        <v>3.1.1.1</v>
      </c>
      <c r="F6050" s="3" t="e">
        <f>VLOOKUP(Base_Periodo1[[#This Row],[Aux]],Base_Contas_Balanco[#All],2,FALSE)</f>
        <v>#N/A</v>
      </c>
      <c r="G6050" s="1"/>
      <c r="H6050" s="225">
        <v>58.819999999986976</v>
      </c>
      <c r="I6050" s="225">
        <v>20311.68</v>
      </c>
      <c r="J6050" s="225">
        <v>39190</v>
      </c>
      <c r="K6050" s="225">
        <v>18937.139999999985</v>
      </c>
      <c r="L60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18937.14</v>
      </c>
      <c r="M6050" s="225">
        <f>ROUND(IF(AND(Base_Periodo1[[#This Row],[Tipo_Linha]]="-",Base_Periodo1[[#This Row],[TIPOSALDO]]="D"),Base_Periodo1[[#This Row],[SALDO_ATUAL]]*-1,Base_Periodo1[[#This Row],[SALDO_ATUAL]]),4)</f>
        <v>18937.14</v>
      </c>
      <c r="N6050" t="s">
        <v>396</v>
      </c>
      <c r="O6050" t="s">
        <v>459</v>
      </c>
      <c r="P6050" t="s">
        <v>459</v>
      </c>
      <c r="Q6050">
        <v>7</v>
      </c>
      <c r="R6050" s="282">
        <f>Base_Periodo1[[#This Row],[CREDITOS]]-Base_Periodo1[[#This Row],[DEBITOS]]</f>
        <v>18878.32</v>
      </c>
      <c r="S6050" s="3" t="str">
        <f>IF(ISERROR(VLOOKUP(Base_Periodo1[[#This Row],[CONTA]],BaseContasDRE[#All],4,FALSE)),"Fora do DRE",VLOOKUP(Base_Periodo1[[#This Row],[CONTA]],BaseContasDRE[#All],4,FALSE))</f>
        <v>Fora do DRE</v>
      </c>
      <c r="T6050" s="3" t="str">
        <f>IF(ISERROR(VLOOKUP(Base_Periodo1[[#This Row],[CONTA]],BaseContasDRE[#All],5,FALSE)),"Fora do DRE",VLOOKUP(Base_Periodo1[[#This Row],[CONTA]],BaseContasDRE[#All],6,FALSE))</f>
        <v>Fora do DRE</v>
      </c>
      <c r="U6050" s="3" t="str">
        <f>IF(ISERROR(VLOOKUP(Base_Periodo1[[#This Row],[CONTA]],BaseContasDRE[#All],7,FALSE)),"Fora do DRE",VLOOKUP(Base_Periodo1[[#This Row],[CONTA]],BaseContasDRE[#All],7,FALSE))</f>
        <v>Fora do DRE</v>
      </c>
      <c r="V6050" s="3" t="str">
        <f>IF(Base_Periodo1[[#This Row],[Tipo_Linha]]="Fora do DRE","Fora do DRE","( "&amp;Base_Periodo1[[#This Row],[Tipo_Linha]]&amp;" ) "&amp;Base_Periodo1[[#This Row],[Filtro]])</f>
        <v>Fora do DRE</v>
      </c>
      <c r="W6050" s="3" t="str">
        <f>LEFT(Base_Periodo1[[#This Row],[CLASS]],3)</f>
        <v>3.1</v>
      </c>
    </row>
    <row r="6051" spans="1:23" hidden="1">
      <c r="A6051" s="3" t="str">
        <f t="shared" si="94"/>
        <v>Período 1</v>
      </c>
      <c r="B6051">
        <v>33605</v>
      </c>
      <c r="C6051" t="s">
        <v>3715</v>
      </c>
      <c r="D6051" t="s">
        <v>3716</v>
      </c>
      <c r="E6051" s="3" t="str">
        <f>IF(LEN(Base_Periodo1[[#This Row],[CLASS]])&gt;=7,LEFT(Base_Periodo1[[#This Row],[CLASS]],7),"")</f>
        <v>3.1.1.1</v>
      </c>
      <c r="F6051" s="3" t="e">
        <f>VLOOKUP(Base_Periodo1[[#This Row],[Aux]],Base_Contas_Balanco[#All],2,FALSE)</f>
        <v>#N/A</v>
      </c>
      <c r="G6051" s="1"/>
      <c r="H6051" s="225">
        <v>9759.9999999999927</v>
      </c>
      <c r="I6051" s="225">
        <v>0</v>
      </c>
      <c r="J6051" s="225">
        <v>39190</v>
      </c>
      <c r="K6051" s="225">
        <v>48949.999999999993</v>
      </c>
      <c r="L60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48950</v>
      </c>
      <c r="M6051" s="225">
        <f>ROUND(IF(AND(Base_Periodo1[[#This Row],[Tipo_Linha]]="-",Base_Periodo1[[#This Row],[TIPOSALDO]]="D"),Base_Periodo1[[#This Row],[SALDO_ATUAL]]*-1,Base_Periodo1[[#This Row],[SALDO_ATUAL]]),4)</f>
        <v>48950</v>
      </c>
      <c r="N6051" t="s">
        <v>396</v>
      </c>
      <c r="O6051" t="s">
        <v>459</v>
      </c>
      <c r="P6051" t="s">
        <v>459</v>
      </c>
      <c r="Q6051">
        <v>8</v>
      </c>
      <c r="R6051" s="282">
        <f>Base_Periodo1[[#This Row],[CREDITOS]]-Base_Periodo1[[#This Row],[DEBITOS]]</f>
        <v>39190</v>
      </c>
      <c r="S6051" s="3" t="str">
        <f>IF(ISERROR(VLOOKUP(Base_Periodo1[[#This Row],[CONTA]],BaseContasDRE[#All],4,FALSE)),"Fora do DRE",VLOOKUP(Base_Periodo1[[#This Row],[CONTA]],BaseContasDRE[#All],4,FALSE))</f>
        <v>Fora do DRE</v>
      </c>
      <c r="T6051" s="3" t="str">
        <f>IF(ISERROR(VLOOKUP(Base_Periodo1[[#This Row],[CONTA]],BaseContasDRE[#All],5,FALSE)),"Fora do DRE",VLOOKUP(Base_Periodo1[[#This Row],[CONTA]],BaseContasDRE[#All],6,FALSE))</f>
        <v>Fora do DRE</v>
      </c>
      <c r="U6051" s="3" t="str">
        <f>IF(ISERROR(VLOOKUP(Base_Periodo1[[#This Row],[CONTA]],BaseContasDRE[#All],7,FALSE)),"Fora do DRE",VLOOKUP(Base_Periodo1[[#This Row],[CONTA]],BaseContasDRE[#All],7,FALSE))</f>
        <v>Fora do DRE</v>
      </c>
      <c r="V6051" s="3" t="str">
        <f>IF(Base_Periodo1[[#This Row],[Tipo_Linha]]="Fora do DRE","Fora do DRE","( "&amp;Base_Periodo1[[#This Row],[Tipo_Linha]]&amp;" ) "&amp;Base_Periodo1[[#This Row],[Filtro]])</f>
        <v>Fora do DRE</v>
      </c>
      <c r="W6051" s="3" t="str">
        <f>LEFT(Base_Periodo1[[#This Row],[CLASS]],3)</f>
        <v>3.1</v>
      </c>
    </row>
    <row r="6052" spans="1:23" hidden="1">
      <c r="A6052" s="3" t="str">
        <f t="shared" si="94"/>
        <v>Período 1</v>
      </c>
      <c r="B6052">
        <v>33606</v>
      </c>
      <c r="C6052" t="s">
        <v>3717</v>
      </c>
      <c r="D6052" t="s">
        <v>3562</v>
      </c>
      <c r="E6052" s="3" t="str">
        <f>IF(LEN(Base_Periodo1[[#This Row],[CLASS]])&gt;=7,LEFT(Base_Periodo1[[#This Row],[CLASS]],7),"")</f>
        <v>3.1.1.1</v>
      </c>
      <c r="F6052" s="3" t="e">
        <f>VLOOKUP(Base_Periodo1[[#This Row],[Aux]],Base_Contas_Balanco[#All],2,FALSE)</f>
        <v>#N/A</v>
      </c>
      <c r="G6052" s="1">
        <v>42886</v>
      </c>
      <c r="H6052" s="225">
        <v>9759.9999999999927</v>
      </c>
      <c r="I6052" s="225">
        <v>0</v>
      </c>
      <c r="J6052" s="225">
        <v>39190</v>
      </c>
      <c r="K6052" s="225">
        <v>48949.999999999993</v>
      </c>
      <c r="L60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48950</v>
      </c>
      <c r="M6052" s="225">
        <f>ROUND(IF(AND(Base_Periodo1[[#This Row],[Tipo_Linha]]="-",Base_Periodo1[[#This Row],[TIPOSALDO]]="D"),Base_Periodo1[[#This Row],[SALDO_ATUAL]]*-1,Base_Periodo1[[#This Row],[SALDO_ATUAL]]),4)</f>
        <v>48950</v>
      </c>
      <c r="N6052" t="s">
        <v>116</v>
      </c>
      <c r="O6052" t="s">
        <v>459</v>
      </c>
      <c r="P6052" t="s">
        <v>459</v>
      </c>
      <c r="Q6052">
        <v>9</v>
      </c>
      <c r="R6052" s="282">
        <f>Base_Periodo1[[#This Row],[CREDITOS]]-Base_Periodo1[[#This Row],[DEBITOS]]</f>
        <v>39190</v>
      </c>
      <c r="S6052" s="3" t="str">
        <f>IF(ISERROR(VLOOKUP(Base_Periodo1[[#This Row],[CONTA]],BaseContasDRE[#All],4,FALSE)),"Fora do DRE",VLOOKUP(Base_Periodo1[[#This Row],[CONTA]],BaseContasDRE[#All],4,FALSE))</f>
        <v>+</v>
      </c>
      <c r="T6052" s="3">
        <f>IF(ISERROR(VLOOKUP(Base_Periodo1[[#This Row],[CONTA]],BaseContasDRE[#All],5,FALSE)),"Fora do DRE",VLOOKUP(Base_Periodo1[[#This Row],[CONTA]],BaseContasDRE[#All],6,FALSE))</f>
        <v>1</v>
      </c>
      <c r="U6052" s="3" t="str">
        <f>IF(ISERROR(VLOOKUP(Base_Periodo1[[#This Row],[CONTA]],BaseContasDRE[#All],7,FALSE)),"Fora do DRE",VLOOKUP(Base_Periodo1[[#This Row],[CONTA]],BaseContasDRE[#All],7,FALSE))</f>
        <v>INSUMOS AGROPECUARIOS</v>
      </c>
      <c r="V6052" s="3" t="str">
        <f>IF(Base_Periodo1[[#This Row],[Tipo_Linha]]="Fora do DRE","Fora do DRE","( "&amp;Base_Periodo1[[#This Row],[Tipo_Linha]]&amp;" ) "&amp;Base_Periodo1[[#This Row],[Filtro]])</f>
        <v>( + ) INSUMOS AGROPECUARIOS</v>
      </c>
      <c r="W6052" s="3" t="str">
        <f>LEFT(Base_Periodo1[[#This Row],[CLASS]],3)</f>
        <v>3.1</v>
      </c>
    </row>
    <row r="6053" spans="1:23" hidden="1">
      <c r="A6053" s="3" t="str">
        <f t="shared" si="94"/>
        <v>Período 1</v>
      </c>
      <c r="B6053">
        <v>33607</v>
      </c>
      <c r="C6053" t="s">
        <v>4711</v>
      </c>
      <c r="D6053" t="s">
        <v>3563</v>
      </c>
      <c r="E6053" s="3" t="str">
        <f>IF(LEN(Base_Periodo1[[#This Row],[CLASS]])&gt;=7,LEFT(Base_Periodo1[[#This Row],[CLASS]],7),"")</f>
        <v>3.1.1.1</v>
      </c>
      <c r="F6053" s="3" t="e">
        <f>VLOOKUP(Base_Periodo1[[#This Row],[Aux]],Base_Contas_Balanco[#All],2,FALSE)</f>
        <v>#N/A</v>
      </c>
      <c r="G6053" s="1"/>
      <c r="H6053" s="225">
        <v>75</v>
      </c>
      <c r="I6053" s="225">
        <v>0</v>
      </c>
      <c r="J6053" s="225">
        <v>0</v>
      </c>
      <c r="K6053" s="225">
        <v>75</v>
      </c>
      <c r="L60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-75</v>
      </c>
      <c r="M6053" s="225">
        <f>ROUND(IF(AND(Base_Periodo1[[#This Row],[Tipo_Linha]]="-",Base_Periodo1[[#This Row],[TIPOSALDO]]="D"),Base_Periodo1[[#This Row],[SALDO_ATUAL]]*-1,Base_Periodo1[[#This Row],[SALDO_ATUAL]]),4)</f>
        <v>75</v>
      </c>
      <c r="N6053" t="s">
        <v>396</v>
      </c>
      <c r="O6053" t="s">
        <v>397</v>
      </c>
      <c r="P6053" t="s">
        <v>397</v>
      </c>
      <c r="Q6053">
        <v>8</v>
      </c>
      <c r="R6053" s="282">
        <f>Base_Periodo1[[#This Row],[CREDITOS]]-Base_Periodo1[[#This Row],[DEBITOS]]</f>
        <v>0</v>
      </c>
      <c r="S6053" s="3" t="str">
        <f>IF(ISERROR(VLOOKUP(Base_Periodo1[[#This Row],[CONTA]],BaseContasDRE[#All],4,FALSE)),"Fora do DRE",VLOOKUP(Base_Periodo1[[#This Row],[CONTA]],BaseContasDRE[#All],4,FALSE))</f>
        <v>Fora do DRE</v>
      </c>
      <c r="T6053" s="3" t="str">
        <f>IF(ISERROR(VLOOKUP(Base_Periodo1[[#This Row],[CONTA]],BaseContasDRE[#All],5,FALSE)),"Fora do DRE",VLOOKUP(Base_Periodo1[[#This Row],[CONTA]],BaseContasDRE[#All],6,FALSE))</f>
        <v>Fora do DRE</v>
      </c>
      <c r="U6053" s="3" t="str">
        <f>IF(ISERROR(VLOOKUP(Base_Periodo1[[#This Row],[CONTA]],BaseContasDRE[#All],7,FALSE)),"Fora do DRE",VLOOKUP(Base_Periodo1[[#This Row],[CONTA]],BaseContasDRE[#All],7,FALSE))</f>
        <v>Fora do DRE</v>
      </c>
      <c r="V6053" s="3" t="str">
        <f>IF(Base_Periodo1[[#This Row],[Tipo_Linha]]="Fora do DRE","Fora do DRE","( "&amp;Base_Periodo1[[#This Row],[Tipo_Linha]]&amp;" ) "&amp;Base_Periodo1[[#This Row],[Filtro]])</f>
        <v>Fora do DRE</v>
      </c>
      <c r="W6053" s="3" t="str">
        <f>LEFT(Base_Periodo1[[#This Row],[CLASS]],3)</f>
        <v>3.1</v>
      </c>
    </row>
    <row r="6054" spans="1:23" hidden="1">
      <c r="A6054" s="3" t="str">
        <f t="shared" si="94"/>
        <v>Período 1</v>
      </c>
      <c r="B6054">
        <v>33608</v>
      </c>
      <c r="C6054" t="s">
        <v>4712</v>
      </c>
      <c r="D6054" t="s">
        <v>3564</v>
      </c>
      <c r="E6054" s="3" t="str">
        <f>IF(LEN(Base_Periodo1[[#This Row],[CLASS]])&gt;=7,LEFT(Base_Periodo1[[#This Row],[CLASS]],7),"")</f>
        <v>3.1.1.1</v>
      </c>
      <c r="F6054" s="3" t="e">
        <f>VLOOKUP(Base_Periodo1[[#This Row],[Aux]],Base_Contas_Balanco[#All],2,FALSE)</f>
        <v>#N/A</v>
      </c>
      <c r="G6054" s="1">
        <v>42748</v>
      </c>
      <c r="H6054" s="225">
        <v>75</v>
      </c>
      <c r="I6054" s="225">
        <v>0</v>
      </c>
      <c r="J6054" s="225">
        <v>0</v>
      </c>
      <c r="K6054" s="225">
        <v>75</v>
      </c>
      <c r="L60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-75</v>
      </c>
      <c r="M6054" s="225">
        <f>ROUND(IF(AND(Base_Periodo1[[#This Row],[Tipo_Linha]]="-",Base_Periodo1[[#This Row],[TIPOSALDO]]="D"),Base_Periodo1[[#This Row],[SALDO_ATUAL]]*-1,Base_Periodo1[[#This Row],[SALDO_ATUAL]]),4)</f>
        <v>-75</v>
      </c>
      <c r="N6054" t="s">
        <v>116</v>
      </c>
      <c r="O6054" t="s">
        <v>397</v>
      </c>
      <c r="P6054" t="s">
        <v>397</v>
      </c>
      <c r="Q6054">
        <v>9</v>
      </c>
      <c r="R6054" s="282">
        <f>Base_Periodo1[[#This Row],[CREDITOS]]-Base_Periodo1[[#This Row],[DEBITOS]]</f>
        <v>0</v>
      </c>
      <c r="S6054" s="3" t="str">
        <f>IF(ISERROR(VLOOKUP(Base_Periodo1[[#This Row],[CONTA]],BaseContasDRE[#All],4,FALSE)),"Fora do DRE",VLOOKUP(Base_Periodo1[[#This Row],[CONTA]],BaseContasDRE[#All],4,FALSE))</f>
        <v>-</v>
      </c>
      <c r="T6054" s="3">
        <f>IF(ISERROR(VLOOKUP(Base_Periodo1[[#This Row],[CONTA]],BaseContasDRE[#All],5,FALSE)),"Fora do DRE",VLOOKUP(Base_Periodo1[[#This Row],[CONTA]],BaseContasDRE[#All],6,FALSE))</f>
        <v>2</v>
      </c>
      <c r="U6054" s="3" t="str">
        <f>IF(ISERROR(VLOOKUP(Base_Periodo1[[#This Row],[CONTA]],BaseContasDRE[#All],7,FALSE)),"Fora do DRE",VLOOKUP(Base_Periodo1[[#This Row],[CONTA]],BaseContasDRE[#All],7,FALSE))</f>
        <v>DEVOLUÇÃO DE INSUMOS AGROPECUARIOS</v>
      </c>
      <c r="V6054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6054" s="3" t="str">
        <f>LEFT(Base_Periodo1[[#This Row],[CLASS]],3)</f>
        <v>3.1</v>
      </c>
    </row>
    <row r="6055" spans="1:23" hidden="1">
      <c r="A6055" s="3" t="str">
        <f t="shared" si="94"/>
        <v>Período 1</v>
      </c>
      <c r="B6055">
        <v>33609</v>
      </c>
      <c r="C6055" t="s">
        <v>3718</v>
      </c>
      <c r="D6055" t="s">
        <v>3565</v>
      </c>
      <c r="E6055" s="3" t="str">
        <f>IF(LEN(Base_Periodo1[[#This Row],[CLASS]])&gt;=7,LEFT(Base_Periodo1[[#This Row],[CLASS]],7),"")</f>
        <v>3.1.1.1</v>
      </c>
      <c r="F6055" s="3" t="e">
        <f>VLOOKUP(Base_Periodo1[[#This Row],[Aux]],Base_Contas_Balanco[#All],2,FALSE)</f>
        <v>#N/A</v>
      </c>
      <c r="G6055" s="1"/>
      <c r="H6055" s="225">
        <v>1743.3000000000047</v>
      </c>
      <c r="I6055" s="225">
        <v>7054.2000000000007</v>
      </c>
      <c r="J6055" s="225">
        <v>0</v>
      </c>
      <c r="K6055" s="225">
        <v>8797.5000000000055</v>
      </c>
      <c r="L60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-8797.5</v>
      </c>
      <c r="M6055" s="225">
        <f>ROUND(IF(AND(Base_Periodo1[[#This Row],[Tipo_Linha]]="-",Base_Periodo1[[#This Row],[TIPOSALDO]]="D"),Base_Periodo1[[#This Row],[SALDO_ATUAL]]*-1,Base_Periodo1[[#This Row],[SALDO_ATUAL]]),4)</f>
        <v>8797.5</v>
      </c>
      <c r="N6055" t="s">
        <v>396</v>
      </c>
      <c r="O6055" t="s">
        <v>397</v>
      </c>
      <c r="P6055" t="s">
        <v>397</v>
      </c>
      <c r="Q6055">
        <v>8</v>
      </c>
      <c r="R6055" s="282">
        <f>Base_Periodo1[[#This Row],[CREDITOS]]-Base_Periodo1[[#This Row],[DEBITOS]]</f>
        <v>-7054.2000000000007</v>
      </c>
      <c r="S6055" s="3" t="str">
        <f>IF(ISERROR(VLOOKUP(Base_Periodo1[[#This Row],[CONTA]],BaseContasDRE[#All],4,FALSE)),"Fora do DRE",VLOOKUP(Base_Periodo1[[#This Row],[CONTA]],BaseContasDRE[#All],4,FALSE))</f>
        <v>Fora do DRE</v>
      </c>
      <c r="T6055" s="3" t="str">
        <f>IF(ISERROR(VLOOKUP(Base_Periodo1[[#This Row],[CONTA]],BaseContasDRE[#All],5,FALSE)),"Fora do DRE",VLOOKUP(Base_Periodo1[[#This Row],[CONTA]],BaseContasDRE[#All],6,FALSE))</f>
        <v>Fora do DRE</v>
      </c>
      <c r="U6055" s="3" t="str">
        <f>IF(ISERROR(VLOOKUP(Base_Periodo1[[#This Row],[CONTA]],BaseContasDRE[#All],7,FALSE)),"Fora do DRE",VLOOKUP(Base_Periodo1[[#This Row],[CONTA]],BaseContasDRE[#All],7,FALSE))</f>
        <v>Fora do DRE</v>
      </c>
      <c r="V6055" s="3" t="str">
        <f>IF(Base_Periodo1[[#This Row],[Tipo_Linha]]="Fora do DRE","Fora do DRE","( "&amp;Base_Periodo1[[#This Row],[Tipo_Linha]]&amp;" ) "&amp;Base_Periodo1[[#This Row],[Filtro]])</f>
        <v>Fora do DRE</v>
      </c>
      <c r="W6055" s="3" t="str">
        <f>LEFT(Base_Periodo1[[#This Row],[CLASS]],3)</f>
        <v>3.1</v>
      </c>
    </row>
    <row r="6056" spans="1:23" hidden="1">
      <c r="A6056" s="3" t="str">
        <f t="shared" si="94"/>
        <v>Período 1</v>
      </c>
      <c r="B6056">
        <v>33610</v>
      </c>
      <c r="C6056" t="s">
        <v>3719</v>
      </c>
      <c r="D6056" t="s">
        <v>3566</v>
      </c>
      <c r="E6056" s="3" t="str">
        <f>IF(LEN(Base_Periodo1[[#This Row],[CLASS]])&gt;=7,LEFT(Base_Periodo1[[#This Row],[CLASS]],7),"")</f>
        <v>3.1.1.1</v>
      </c>
      <c r="F6056" s="3" t="e">
        <f>VLOOKUP(Base_Periodo1[[#This Row],[Aux]],Base_Contas_Balanco[#All],2,FALSE)</f>
        <v>#N/A</v>
      </c>
      <c r="G6056" s="1">
        <v>42886</v>
      </c>
      <c r="H6056" s="225">
        <v>1743.3000000000047</v>
      </c>
      <c r="I6056" s="225">
        <v>7054.2000000000007</v>
      </c>
      <c r="J6056" s="225">
        <v>0</v>
      </c>
      <c r="K6056" s="225">
        <v>8797.5000000000055</v>
      </c>
      <c r="L60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-8797.5</v>
      </c>
      <c r="M6056" s="225">
        <f>ROUND(IF(AND(Base_Periodo1[[#This Row],[Tipo_Linha]]="-",Base_Periodo1[[#This Row],[TIPOSALDO]]="D"),Base_Periodo1[[#This Row],[SALDO_ATUAL]]*-1,Base_Periodo1[[#This Row],[SALDO_ATUAL]]),4)</f>
        <v>-8797.5</v>
      </c>
      <c r="N6056" t="s">
        <v>116</v>
      </c>
      <c r="O6056" t="s">
        <v>397</v>
      </c>
      <c r="P6056" t="s">
        <v>397</v>
      </c>
      <c r="Q6056">
        <v>9</v>
      </c>
      <c r="R6056" s="282">
        <f>Base_Periodo1[[#This Row],[CREDITOS]]-Base_Periodo1[[#This Row],[DEBITOS]]</f>
        <v>-7054.2000000000007</v>
      </c>
      <c r="S6056" s="3" t="str">
        <f>IF(ISERROR(VLOOKUP(Base_Periodo1[[#This Row],[CONTA]],BaseContasDRE[#All],4,FALSE)),"Fora do DRE",VLOOKUP(Base_Periodo1[[#This Row],[CONTA]],BaseContasDRE[#All],4,FALSE))</f>
        <v>-</v>
      </c>
      <c r="T6056" s="3">
        <f>IF(ISERROR(VLOOKUP(Base_Periodo1[[#This Row],[CONTA]],BaseContasDRE[#All],5,FALSE)),"Fora do DRE",VLOOKUP(Base_Periodo1[[#This Row],[CONTA]],BaseContasDRE[#All],6,FALSE))</f>
        <v>2</v>
      </c>
      <c r="U6056" s="3" t="str">
        <f>IF(ISERROR(VLOOKUP(Base_Periodo1[[#This Row],[CONTA]],BaseContasDRE[#All],7,FALSE)),"Fora do DRE",VLOOKUP(Base_Periodo1[[#This Row],[CONTA]],BaseContasDRE[#All],7,FALSE))</f>
        <v>ICMS SOBRE INGRESSOS E RECEITAS</v>
      </c>
      <c r="V6056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056" s="3" t="str">
        <f>LEFT(Base_Periodo1[[#This Row],[CLASS]],3)</f>
        <v>3.1</v>
      </c>
    </row>
    <row r="6057" spans="1:23" hidden="1">
      <c r="A6057" s="3" t="str">
        <f t="shared" si="94"/>
        <v>Período 1</v>
      </c>
      <c r="B6057">
        <v>33611</v>
      </c>
      <c r="C6057" t="s">
        <v>6045</v>
      </c>
      <c r="D6057" t="s">
        <v>3567</v>
      </c>
      <c r="E6057" s="3" t="str">
        <f>IF(LEN(Base_Periodo1[[#This Row],[CLASS]])&gt;=7,LEFT(Base_Periodo1[[#This Row],[CLASS]],7),"")</f>
        <v>3.1.1.1</v>
      </c>
      <c r="F6057" s="3" t="e">
        <f>VLOOKUP(Base_Periodo1[[#This Row],[Aux]],Base_Contas_Balanco[#All],2,FALSE)</f>
        <v>#N/A</v>
      </c>
      <c r="G6057" s="1"/>
      <c r="H6057" s="225">
        <v>7882.880000000001</v>
      </c>
      <c r="I6057" s="225">
        <v>13257.48</v>
      </c>
      <c r="J6057" s="225">
        <v>0</v>
      </c>
      <c r="K6057" s="225">
        <v>21140.36</v>
      </c>
      <c r="L60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-21140.36</v>
      </c>
      <c r="M6057" s="225">
        <f>ROUND(IF(AND(Base_Periodo1[[#This Row],[Tipo_Linha]]="-",Base_Periodo1[[#This Row],[TIPOSALDO]]="D"),Base_Periodo1[[#This Row],[SALDO_ATUAL]]*-1,Base_Periodo1[[#This Row],[SALDO_ATUAL]]),4)</f>
        <v>21140.36</v>
      </c>
      <c r="N6057" t="s">
        <v>396</v>
      </c>
      <c r="O6057" t="s">
        <v>397</v>
      </c>
      <c r="P6057" t="s">
        <v>397</v>
      </c>
      <c r="Q6057">
        <v>8</v>
      </c>
      <c r="R6057" s="282">
        <f>Base_Periodo1[[#This Row],[CREDITOS]]-Base_Periodo1[[#This Row],[DEBITOS]]</f>
        <v>-13257.48</v>
      </c>
      <c r="S6057" s="3" t="str">
        <f>IF(ISERROR(VLOOKUP(Base_Periodo1[[#This Row],[CONTA]],BaseContasDRE[#All],4,FALSE)),"Fora do DRE",VLOOKUP(Base_Periodo1[[#This Row],[CONTA]],BaseContasDRE[#All],4,FALSE))</f>
        <v>Fora do DRE</v>
      </c>
      <c r="T6057" s="3" t="str">
        <f>IF(ISERROR(VLOOKUP(Base_Periodo1[[#This Row],[CONTA]],BaseContasDRE[#All],5,FALSE)),"Fora do DRE",VLOOKUP(Base_Periodo1[[#This Row],[CONTA]],BaseContasDRE[#All],6,FALSE))</f>
        <v>Fora do DRE</v>
      </c>
      <c r="U6057" s="3" t="str">
        <f>IF(ISERROR(VLOOKUP(Base_Periodo1[[#This Row],[CONTA]],BaseContasDRE[#All],7,FALSE)),"Fora do DRE",VLOOKUP(Base_Periodo1[[#This Row],[CONTA]],BaseContasDRE[#All],7,FALSE))</f>
        <v>Fora do DRE</v>
      </c>
      <c r="V6057" s="3" t="str">
        <f>IF(Base_Periodo1[[#This Row],[Tipo_Linha]]="Fora do DRE","Fora do DRE","( "&amp;Base_Periodo1[[#This Row],[Tipo_Linha]]&amp;" ) "&amp;Base_Periodo1[[#This Row],[Filtro]])</f>
        <v>Fora do DRE</v>
      </c>
      <c r="W6057" s="3" t="str">
        <f>LEFT(Base_Periodo1[[#This Row],[CLASS]],3)</f>
        <v>3.1</v>
      </c>
    </row>
    <row r="6058" spans="1:23" hidden="1">
      <c r="A6058" s="3" t="str">
        <f t="shared" si="94"/>
        <v>Período 1</v>
      </c>
      <c r="B6058">
        <v>33612</v>
      </c>
      <c r="C6058" t="s">
        <v>6046</v>
      </c>
      <c r="D6058" t="s">
        <v>3568</v>
      </c>
      <c r="E6058" s="3" t="str">
        <f>IF(LEN(Base_Periodo1[[#This Row],[CLASS]])&gt;=7,LEFT(Base_Periodo1[[#This Row],[CLASS]],7),"")</f>
        <v>3.1.1.1</v>
      </c>
      <c r="F6058" s="3" t="e">
        <f>VLOOKUP(Base_Periodo1[[#This Row],[Aux]],Base_Contas_Balanco[#All],2,FALSE)</f>
        <v>#N/A</v>
      </c>
      <c r="G6058" s="1">
        <v>42886</v>
      </c>
      <c r="H6058" s="225">
        <v>7882.880000000001</v>
      </c>
      <c r="I6058" s="225">
        <v>13257.48</v>
      </c>
      <c r="J6058" s="225">
        <v>0</v>
      </c>
      <c r="K6058" s="225">
        <v>21140.36</v>
      </c>
      <c r="L60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-21140.36</v>
      </c>
      <c r="M6058" s="225">
        <f>ROUND(IF(AND(Base_Periodo1[[#This Row],[Tipo_Linha]]="-",Base_Periodo1[[#This Row],[TIPOSALDO]]="D"),Base_Periodo1[[#This Row],[SALDO_ATUAL]]*-1,Base_Periodo1[[#This Row],[SALDO_ATUAL]]),4)</f>
        <v>-21140.36</v>
      </c>
      <c r="N6058" t="s">
        <v>116</v>
      </c>
      <c r="O6058" t="s">
        <v>397</v>
      </c>
      <c r="P6058" t="s">
        <v>397</v>
      </c>
      <c r="Q6058">
        <v>9</v>
      </c>
      <c r="R6058" s="282">
        <f>Base_Periodo1[[#This Row],[CREDITOS]]-Base_Periodo1[[#This Row],[DEBITOS]]</f>
        <v>-13257.48</v>
      </c>
      <c r="S6058" s="3" t="str">
        <f>IF(ISERROR(VLOOKUP(Base_Periodo1[[#This Row],[CONTA]],BaseContasDRE[#All],4,FALSE)),"Fora do DRE",VLOOKUP(Base_Periodo1[[#This Row],[CONTA]],BaseContasDRE[#All],4,FALSE))</f>
        <v>-</v>
      </c>
      <c r="T6058" s="3">
        <f>IF(ISERROR(VLOOKUP(Base_Periodo1[[#This Row],[CONTA]],BaseContasDRE[#All],5,FALSE)),"Fora do DRE",VLOOKUP(Base_Periodo1[[#This Row],[CONTA]],BaseContasDRE[#All],6,FALSE))</f>
        <v>3</v>
      </c>
      <c r="U6058" s="3" t="str">
        <f>IF(ISERROR(VLOOKUP(Base_Periodo1[[#This Row],[CONTA]],BaseContasDRE[#All],7,FALSE)),"Fora do DRE",VLOOKUP(Base_Periodo1[[#This Row],[CONTA]],BaseContasDRE[#All],7,FALSE))</f>
        <v>INSUMOS AGROPECUARIOS</v>
      </c>
      <c r="V6058" s="3" t="str">
        <f>IF(Base_Periodo1[[#This Row],[Tipo_Linha]]="Fora do DRE","Fora do DRE","( "&amp;Base_Periodo1[[#This Row],[Tipo_Linha]]&amp;" ) "&amp;Base_Periodo1[[#This Row],[Filtro]])</f>
        <v>( - ) INSUMOS AGROPECUARIOS</v>
      </c>
      <c r="W6058" s="3" t="str">
        <f>LEFT(Base_Periodo1[[#This Row],[CLASS]],3)</f>
        <v>3.1</v>
      </c>
    </row>
    <row r="6059" spans="1:23" hidden="1">
      <c r="A6059" s="3" t="str">
        <f t="shared" si="94"/>
        <v>Período 1</v>
      </c>
      <c r="B6059">
        <v>31441</v>
      </c>
      <c r="C6059" t="s">
        <v>3720</v>
      </c>
      <c r="D6059" t="s">
        <v>3721</v>
      </c>
      <c r="E6059" s="3" t="str">
        <f>IF(LEN(Base_Periodo1[[#This Row],[CLASS]])&gt;=7,LEFT(Base_Periodo1[[#This Row],[CLASS]],7),"")</f>
        <v>3.1.1.1</v>
      </c>
      <c r="F6059" s="3" t="e">
        <f>VLOOKUP(Base_Periodo1[[#This Row],[Aux]],Base_Contas_Balanco[#All],2,FALSE)</f>
        <v>#N/A</v>
      </c>
      <c r="G6059" s="1"/>
      <c r="H6059" s="225">
        <v>1645536.3600000462</v>
      </c>
      <c r="I6059" s="225">
        <v>12286932.720000001</v>
      </c>
      <c r="J6059" s="225">
        <v>12501087.779999997</v>
      </c>
      <c r="K6059" s="225">
        <v>1859691.4200000428</v>
      </c>
      <c r="L60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1859691.42</v>
      </c>
      <c r="M6059" s="225">
        <f>ROUND(IF(AND(Base_Periodo1[[#This Row],[Tipo_Linha]]="-",Base_Periodo1[[#This Row],[TIPOSALDO]]="D"),Base_Periodo1[[#This Row],[SALDO_ATUAL]]*-1,Base_Periodo1[[#This Row],[SALDO_ATUAL]]),4)</f>
        <v>1859691.42</v>
      </c>
      <c r="N6059" t="s">
        <v>396</v>
      </c>
      <c r="O6059" t="s">
        <v>459</v>
      </c>
      <c r="P6059" t="s">
        <v>459</v>
      </c>
      <c r="Q6059">
        <v>5</v>
      </c>
      <c r="R6059" s="282">
        <f>Base_Periodo1[[#This Row],[CREDITOS]]-Base_Periodo1[[#This Row],[DEBITOS]]</f>
        <v>214155.0599999968</v>
      </c>
      <c r="S6059" s="3" t="str">
        <f>IF(ISERROR(VLOOKUP(Base_Periodo1[[#This Row],[CONTA]],BaseContasDRE[#All],4,FALSE)),"Fora do DRE",VLOOKUP(Base_Periodo1[[#This Row],[CONTA]],BaseContasDRE[#All],4,FALSE))</f>
        <v>Fora do DRE</v>
      </c>
      <c r="T6059" s="3" t="str">
        <f>IF(ISERROR(VLOOKUP(Base_Periodo1[[#This Row],[CONTA]],BaseContasDRE[#All],5,FALSE)),"Fora do DRE",VLOOKUP(Base_Periodo1[[#This Row],[CONTA]],BaseContasDRE[#All],6,FALSE))</f>
        <v>Fora do DRE</v>
      </c>
      <c r="U6059" s="3" t="str">
        <f>IF(ISERROR(VLOOKUP(Base_Periodo1[[#This Row],[CONTA]],BaseContasDRE[#All],7,FALSE)),"Fora do DRE",VLOOKUP(Base_Periodo1[[#This Row],[CONTA]],BaseContasDRE[#All],7,FALSE))</f>
        <v>Fora do DRE</v>
      </c>
      <c r="V6059" s="3" t="str">
        <f>IF(Base_Periodo1[[#This Row],[Tipo_Linha]]="Fora do DRE","Fora do DRE","( "&amp;Base_Periodo1[[#This Row],[Tipo_Linha]]&amp;" ) "&amp;Base_Periodo1[[#This Row],[Filtro]])</f>
        <v>Fora do DRE</v>
      </c>
      <c r="W6059" s="3" t="str">
        <f>LEFT(Base_Periodo1[[#This Row],[CLASS]],3)</f>
        <v>3.1</v>
      </c>
    </row>
    <row r="6060" spans="1:23" hidden="1">
      <c r="A6060" s="3" t="str">
        <f t="shared" si="94"/>
        <v>Período 1</v>
      </c>
      <c r="B6060">
        <v>31442</v>
      </c>
      <c r="C6060" t="s">
        <v>3722</v>
      </c>
      <c r="D6060" t="s">
        <v>3723</v>
      </c>
      <c r="E6060" s="3" t="str">
        <f>IF(LEN(Base_Periodo1[[#This Row],[CLASS]])&gt;=7,LEFT(Base_Periodo1[[#This Row],[CLASS]],7),"")</f>
        <v>3.1.1.1</v>
      </c>
      <c r="F6060" s="3" t="e">
        <f>VLOOKUP(Base_Periodo1[[#This Row],[Aux]],Base_Contas_Balanco[#All],2,FALSE)</f>
        <v>#N/A</v>
      </c>
      <c r="G6060" s="1"/>
      <c r="H6060" s="225">
        <v>923734.77000001899</v>
      </c>
      <c r="I6060" s="225">
        <v>9826583.6099999994</v>
      </c>
      <c r="J6060" s="225">
        <v>9971977.5299999993</v>
      </c>
      <c r="K6060" s="225">
        <v>1069128.6900000181</v>
      </c>
      <c r="L60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1069128.69</v>
      </c>
      <c r="M6060" s="225">
        <f>ROUND(IF(AND(Base_Periodo1[[#This Row],[Tipo_Linha]]="-",Base_Periodo1[[#This Row],[TIPOSALDO]]="D"),Base_Periodo1[[#This Row],[SALDO_ATUAL]]*-1,Base_Periodo1[[#This Row],[SALDO_ATUAL]]),4)</f>
        <v>1069128.69</v>
      </c>
      <c r="N6060" t="s">
        <v>396</v>
      </c>
      <c r="O6060" t="s">
        <v>459</v>
      </c>
      <c r="P6060" t="s">
        <v>459</v>
      </c>
      <c r="Q6060">
        <v>6</v>
      </c>
      <c r="R6060" s="282">
        <f>Base_Periodo1[[#This Row],[CREDITOS]]-Base_Periodo1[[#This Row],[DEBITOS]]</f>
        <v>145393.91999999993</v>
      </c>
      <c r="S6060" s="3" t="str">
        <f>IF(ISERROR(VLOOKUP(Base_Periodo1[[#This Row],[CONTA]],BaseContasDRE[#All],4,FALSE)),"Fora do DRE",VLOOKUP(Base_Periodo1[[#This Row],[CONTA]],BaseContasDRE[#All],4,FALSE))</f>
        <v>Fora do DRE</v>
      </c>
      <c r="T6060" s="3" t="str">
        <f>IF(ISERROR(VLOOKUP(Base_Periodo1[[#This Row],[CONTA]],BaseContasDRE[#All],5,FALSE)),"Fora do DRE",VLOOKUP(Base_Periodo1[[#This Row],[CONTA]],BaseContasDRE[#All],6,FALSE))</f>
        <v>Fora do DRE</v>
      </c>
      <c r="U6060" s="3" t="str">
        <f>IF(ISERROR(VLOOKUP(Base_Periodo1[[#This Row],[CONTA]],BaseContasDRE[#All],7,FALSE)),"Fora do DRE",VLOOKUP(Base_Periodo1[[#This Row],[CONTA]],BaseContasDRE[#All],7,FALSE))</f>
        <v>Fora do DRE</v>
      </c>
      <c r="V6060" s="3" t="str">
        <f>IF(Base_Periodo1[[#This Row],[Tipo_Linha]]="Fora do DRE","Fora do DRE","( "&amp;Base_Periodo1[[#This Row],[Tipo_Linha]]&amp;" ) "&amp;Base_Periodo1[[#This Row],[Filtro]])</f>
        <v>Fora do DRE</v>
      </c>
      <c r="W6060" s="3" t="str">
        <f>LEFT(Base_Periodo1[[#This Row],[CLASS]],3)</f>
        <v>3.1</v>
      </c>
    </row>
    <row r="6061" spans="1:23" hidden="1">
      <c r="A6061" s="3" t="str">
        <f t="shared" si="94"/>
        <v>Período 1</v>
      </c>
      <c r="B6061">
        <v>31443</v>
      </c>
      <c r="C6061" t="s">
        <v>3724</v>
      </c>
      <c r="D6061" t="s">
        <v>3725</v>
      </c>
      <c r="E6061" s="3" t="str">
        <f>IF(LEN(Base_Periodo1[[#This Row],[CLASS]])&gt;=7,LEFT(Base_Periodo1[[#This Row],[CLASS]],7),"")</f>
        <v>3.1.1.1</v>
      </c>
      <c r="F6061" s="3" t="e">
        <f>VLOOKUP(Base_Periodo1[[#This Row],[Aux]],Base_Contas_Balanco[#All],2,FALSE)</f>
        <v>#N/A</v>
      </c>
      <c r="G6061" s="1"/>
      <c r="H6061" s="225">
        <v>238561.30999999144</v>
      </c>
      <c r="I6061" s="225">
        <v>1905700.5900000003</v>
      </c>
      <c r="J6061" s="225">
        <v>1990726.87</v>
      </c>
      <c r="K6061" s="225">
        <v>323587.58999999124</v>
      </c>
      <c r="L60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323587.59000000003</v>
      </c>
      <c r="M6061" s="225">
        <f>ROUND(IF(AND(Base_Periodo1[[#This Row],[Tipo_Linha]]="-",Base_Periodo1[[#This Row],[TIPOSALDO]]="D"),Base_Periodo1[[#This Row],[SALDO_ATUAL]]*-1,Base_Periodo1[[#This Row],[SALDO_ATUAL]]),4)</f>
        <v>323587.59000000003</v>
      </c>
      <c r="N6061" t="s">
        <v>396</v>
      </c>
      <c r="O6061" t="s">
        <v>459</v>
      </c>
      <c r="P6061" t="s">
        <v>459</v>
      </c>
      <c r="Q6061">
        <v>7</v>
      </c>
      <c r="R6061" s="282">
        <f>Base_Periodo1[[#This Row],[CREDITOS]]-Base_Periodo1[[#This Row],[DEBITOS]]</f>
        <v>85026.279999999795</v>
      </c>
      <c r="S6061" s="3" t="str">
        <f>IF(ISERROR(VLOOKUP(Base_Periodo1[[#This Row],[CONTA]],BaseContasDRE[#All],4,FALSE)),"Fora do DRE",VLOOKUP(Base_Periodo1[[#This Row],[CONTA]],BaseContasDRE[#All],4,FALSE))</f>
        <v>Fora do DRE</v>
      </c>
      <c r="T6061" s="3" t="str">
        <f>IF(ISERROR(VLOOKUP(Base_Periodo1[[#This Row],[CONTA]],BaseContasDRE[#All],5,FALSE)),"Fora do DRE",VLOOKUP(Base_Periodo1[[#This Row],[CONTA]],BaseContasDRE[#All],6,FALSE))</f>
        <v>Fora do DRE</v>
      </c>
      <c r="U6061" s="3" t="str">
        <f>IF(ISERROR(VLOOKUP(Base_Periodo1[[#This Row],[CONTA]],BaseContasDRE[#All],7,FALSE)),"Fora do DRE",VLOOKUP(Base_Periodo1[[#This Row],[CONTA]],BaseContasDRE[#All],7,FALSE))</f>
        <v>Fora do DRE</v>
      </c>
      <c r="V6061" s="3" t="str">
        <f>IF(Base_Periodo1[[#This Row],[Tipo_Linha]]="Fora do DRE","Fora do DRE","( "&amp;Base_Periodo1[[#This Row],[Tipo_Linha]]&amp;" ) "&amp;Base_Periodo1[[#This Row],[Filtro]])</f>
        <v>Fora do DRE</v>
      </c>
      <c r="W6061" s="3" t="str">
        <f>LEFT(Base_Periodo1[[#This Row],[CLASS]],3)</f>
        <v>3.1</v>
      </c>
    </row>
    <row r="6062" spans="1:23" hidden="1">
      <c r="A6062" s="3" t="str">
        <f t="shared" si="94"/>
        <v>Período 1</v>
      </c>
      <c r="B6062">
        <v>31444</v>
      </c>
      <c r="C6062" t="s">
        <v>3726</v>
      </c>
      <c r="D6062" t="s">
        <v>3562</v>
      </c>
      <c r="E6062" s="3" t="str">
        <f>IF(LEN(Base_Periodo1[[#This Row],[CLASS]])&gt;=7,LEFT(Base_Periodo1[[#This Row],[CLASS]],7),"")</f>
        <v>3.1.1.1</v>
      </c>
      <c r="F6062" s="3" t="e">
        <f>VLOOKUP(Base_Periodo1[[#This Row],[Aux]],Base_Contas_Balanco[#All],2,FALSE)</f>
        <v>#N/A</v>
      </c>
      <c r="G6062" s="1"/>
      <c r="H6062" s="225">
        <v>935867.32000002265</v>
      </c>
      <c r="I6062" s="225">
        <v>934720.5</v>
      </c>
      <c r="J6062" s="225">
        <v>1234543.3</v>
      </c>
      <c r="K6062" s="225">
        <v>1235690.1200000227</v>
      </c>
      <c r="L60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1235690.1200000001</v>
      </c>
      <c r="M6062" s="225">
        <f>ROUND(IF(AND(Base_Periodo1[[#This Row],[Tipo_Linha]]="-",Base_Periodo1[[#This Row],[TIPOSALDO]]="D"),Base_Periodo1[[#This Row],[SALDO_ATUAL]]*-1,Base_Periodo1[[#This Row],[SALDO_ATUAL]]),4)</f>
        <v>1235690.1200000001</v>
      </c>
      <c r="N6062" t="s">
        <v>396</v>
      </c>
      <c r="O6062" t="s">
        <v>459</v>
      </c>
      <c r="P6062" t="s">
        <v>459</v>
      </c>
      <c r="Q6062">
        <v>8</v>
      </c>
      <c r="R6062" s="282">
        <f>Base_Periodo1[[#This Row],[CREDITOS]]-Base_Periodo1[[#This Row],[DEBITOS]]</f>
        <v>299822.80000000005</v>
      </c>
      <c r="S6062" s="3" t="str">
        <f>IF(ISERROR(VLOOKUP(Base_Periodo1[[#This Row],[CONTA]],BaseContasDRE[#All],4,FALSE)),"Fora do DRE",VLOOKUP(Base_Periodo1[[#This Row],[CONTA]],BaseContasDRE[#All],4,FALSE))</f>
        <v>Fora do DRE</v>
      </c>
      <c r="T6062" s="3" t="str">
        <f>IF(ISERROR(VLOOKUP(Base_Periodo1[[#This Row],[CONTA]],BaseContasDRE[#All],5,FALSE)),"Fora do DRE",VLOOKUP(Base_Periodo1[[#This Row],[CONTA]],BaseContasDRE[#All],6,FALSE))</f>
        <v>Fora do DRE</v>
      </c>
      <c r="U6062" s="3" t="str">
        <f>IF(ISERROR(VLOOKUP(Base_Periodo1[[#This Row],[CONTA]],BaseContasDRE[#All],7,FALSE)),"Fora do DRE",VLOOKUP(Base_Periodo1[[#This Row],[CONTA]],BaseContasDRE[#All],7,FALSE))</f>
        <v>Fora do DRE</v>
      </c>
      <c r="V6062" s="3" t="str">
        <f>IF(Base_Periodo1[[#This Row],[Tipo_Linha]]="Fora do DRE","Fora do DRE","( "&amp;Base_Periodo1[[#This Row],[Tipo_Linha]]&amp;" ) "&amp;Base_Periodo1[[#This Row],[Filtro]])</f>
        <v>Fora do DRE</v>
      </c>
      <c r="W6062" s="3" t="str">
        <f>LEFT(Base_Periodo1[[#This Row],[CLASS]],3)</f>
        <v>3.1</v>
      </c>
    </row>
    <row r="6063" spans="1:23" hidden="1">
      <c r="A6063" s="3" t="str">
        <f t="shared" si="94"/>
        <v>Período 1</v>
      </c>
      <c r="B6063">
        <v>31445</v>
      </c>
      <c r="C6063" t="s">
        <v>3727</v>
      </c>
      <c r="D6063" t="s">
        <v>3562</v>
      </c>
      <c r="E6063" s="3" t="str">
        <f>IF(LEN(Base_Periodo1[[#This Row],[CLASS]])&gt;=7,LEFT(Base_Periodo1[[#This Row],[CLASS]],7),"")</f>
        <v>3.1.1.1</v>
      </c>
      <c r="F6063" s="3" t="e">
        <f>VLOOKUP(Base_Periodo1[[#This Row],[Aux]],Base_Contas_Balanco[#All],2,FALSE)</f>
        <v>#N/A</v>
      </c>
      <c r="G6063" s="1">
        <v>42886</v>
      </c>
      <c r="H6063" s="225">
        <v>935867.32000002265</v>
      </c>
      <c r="I6063" s="225">
        <v>934720.5</v>
      </c>
      <c r="J6063" s="225">
        <v>1234543.3</v>
      </c>
      <c r="K6063" s="225">
        <v>1235690.1200000227</v>
      </c>
      <c r="L60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1235690.1200000001</v>
      </c>
      <c r="M6063" s="225">
        <f>ROUND(IF(AND(Base_Periodo1[[#This Row],[Tipo_Linha]]="-",Base_Periodo1[[#This Row],[TIPOSALDO]]="D"),Base_Periodo1[[#This Row],[SALDO_ATUAL]]*-1,Base_Periodo1[[#This Row],[SALDO_ATUAL]]),4)</f>
        <v>1235690.1200000001</v>
      </c>
      <c r="N6063" t="s">
        <v>116</v>
      </c>
      <c r="O6063" t="s">
        <v>459</v>
      </c>
      <c r="P6063" t="s">
        <v>459</v>
      </c>
      <c r="Q6063">
        <v>9</v>
      </c>
      <c r="R6063" s="282">
        <f>Base_Periodo1[[#This Row],[CREDITOS]]-Base_Periodo1[[#This Row],[DEBITOS]]</f>
        <v>299822.80000000005</v>
      </c>
      <c r="S6063" s="3" t="str">
        <f>IF(ISERROR(VLOOKUP(Base_Periodo1[[#This Row],[CONTA]],BaseContasDRE[#All],4,FALSE)),"Fora do DRE",VLOOKUP(Base_Periodo1[[#This Row],[CONTA]],BaseContasDRE[#All],4,FALSE))</f>
        <v>+</v>
      </c>
      <c r="T6063" s="3">
        <f>IF(ISERROR(VLOOKUP(Base_Periodo1[[#This Row],[CONTA]],BaseContasDRE[#All],5,FALSE)),"Fora do DRE",VLOOKUP(Base_Periodo1[[#This Row],[CONTA]],BaseContasDRE[#All],6,FALSE))</f>
        <v>1</v>
      </c>
      <c r="U6063" s="3" t="str">
        <f>IF(ISERROR(VLOOKUP(Base_Periodo1[[#This Row],[CONTA]],BaseContasDRE[#All],7,FALSE)),"Fora do DRE",VLOOKUP(Base_Periodo1[[#This Row],[CONTA]],BaseContasDRE[#All],7,FALSE))</f>
        <v>SEMENTES PRODUZIDAS</v>
      </c>
      <c r="V6063" s="3" t="str">
        <f>IF(Base_Periodo1[[#This Row],[Tipo_Linha]]="Fora do DRE","Fora do DRE","( "&amp;Base_Periodo1[[#This Row],[Tipo_Linha]]&amp;" ) "&amp;Base_Periodo1[[#This Row],[Filtro]])</f>
        <v>( + ) SEMENTES PRODUZIDAS</v>
      </c>
      <c r="W6063" s="3" t="str">
        <f>LEFT(Base_Periodo1[[#This Row],[CLASS]],3)</f>
        <v>3.1</v>
      </c>
    </row>
    <row r="6064" spans="1:23" hidden="1">
      <c r="A6064" s="3" t="str">
        <f t="shared" si="94"/>
        <v>Período 1</v>
      </c>
      <c r="B6064">
        <v>31448</v>
      </c>
      <c r="C6064" t="s">
        <v>3728</v>
      </c>
      <c r="D6064" t="s">
        <v>3563</v>
      </c>
      <c r="E6064" s="3" t="str">
        <f>IF(LEN(Base_Periodo1[[#This Row],[CLASS]])&gt;=7,LEFT(Base_Periodo1[[#This Row],[CLASS]],7),"")</f>
        <v>3.1.1.1</v>
      </c>
      <c r="F6064" s="3" t="e">
        <f>VLOOKUP(Base_Periodo1[[#This Row],[Aux]],Base_Contas_Balanco[#All],2,FALSE)</f>
        <v>#N/A</v>
      </c>
      <c r="G6064" s="1"/>
      <c r="H6064" s="225">
        <v>196757.40000000224</v>
      </c>
      <c r="I6064" s="225">
        <v>194705.31</v>
      </c>
      <c r="J6064" s="225">
        <v>195717.4</v>
      </c>
      <c r="K6064" s="225">
        <v>195745.31000000224</v>
      </c>
      <c r="L60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-195745.31</v>
      </c>
      <c r="M6064" s="225">
        <f>ROUND(IF(AND(Base_Periodo1[[#This Row],[Tipo_Linha]]="-",Base_Periodo1[[#This Row],[TIPOSALDO]]="D"),Base_Periodo1[[#This Row],[SALDO_ATUAL]]*-1,Base_Periodo1[[#This Row],[SALDO_ATUAL]]),4)</f>
        <v>195745.31</v>
      </c>
      <c r="N6064" t="s">
        <v>396</v>
      </c>
      <c r="O6064" t="s">
        <v>397</v>
      </c>
      <c r="P6064" t="s">
        <v>397</v>
      </c>
      <c r="Q6064">
        <v>8</v>
      </c>
      <c r="R6064" s="282">
        <f>Base_Periodo1[[#This Row],[CREDITOS]]-Base_Periodo1[[#This Row],[DEBITOS]]</f>
        <v>1012.0899999999965</v>
      </c>
      <c r="S6064" s="3" t="str">
        <f>IF(ISERROR(VLOOKUP(Base_Periodo1[[#This Row],[CONTA]],BaseContasDRE[#All],4,FALSE)),"Fora do DRE",VLOOKUP(Base_Periodo1[[#This Row],[CONTA]],BaseContasDRE[#All],4,FALSE))</f>
        <v>Fora do DRE</v>
      </c>
      <c r="T6064" s="3" t="str">
        <f>IF(ISERROR(VLOOKUP(Base_Periodo1[[#This Row],[CONTA]],BaseContasDRE[#All],5,FALSE)),"Fora do DRE",VLOOKUP(Base_Periodo1[[#This Row],[CONTA]],BaseContasDRE[#All],6,FALSE))</f>
        <v>Fora do DRE</v>
      </c>
      <c r="U6064" s="3" t="str">
        <f>IF(ISERROR(VLOOKUP(Base_Periodo1[[#This Row],[CONTA]],BaseContasDRE[#All],7,FALSE)),"Fora do DRE",VLOOKUP(Base_Periodo1[[#This Row],[CONTA]],BaseContasDRE[#All],7,FALSE))</f>
        <v>Fora do DRE</v>
      </c>
      <c r="V6064" s="3" t="str">
        <f>IF(Base_Periodo1[[#This Row],[Tipo_Linha]]="Fora do DRE","Fora do DRE","( "&amp;Base_Periodo1[[#This Row],[Tipo_Linha]]&amp;" ) "&amp;Base_Periodo1[[#This Row],[Filtro]])</f>
        <v>Fora do DRE</v>
      </c>
      <c r="W6064" s="3" t="str">
        <f>LEFT(Base_Periodo1[[#This Row],[CLASS]],3)</f>
        <v>3.1</v>
      </c>
    </row>
    <row r="6065" spans="1:23" hidden="1">
      <c r="A6065" s="3" t="str">
        <f t="shared" si="94"/>
        <v>Período 1</v>
      </c>
      <c r="B6065">
        <v>31449</v>
      </c>
      <c r="C6065" t="s">
        <v>3729</v>
      </c>
      <c r="D6065" t="s">
        <v>3564</v>
      </c>
      <c r="E6065" s="3" t="str">
        <f>IF(LEN(Base_Periodo1[[#This Row],[CLASS]])&gt;=7,LEFT(Base_Periodo1[[#This Row],[CLASS]],7),"")</f>
        <v>3.1.1.1</v>
      </c>
      <c r="F6065" s="3" t="e">
        <f>VLOOKUP(Base_Periodo1[[#This Row],[Aux]],Base_Contas_Balanco[#All],2,FALSE)</f>
        <v>#N/A</v>
      </c>
      <c r="G6065" s="1">
        <v>42886</v>
      </c>
      <c r="H6065" s="225">
        <v>196757.40000000224</v>
      </c>
      <c r="I6065" s="225">
        <v>194705.31</v>
      </c>
      <c r="J6065" s="225">
        <v>195717.4</v>
      </c>
      <c r="K6065" s="225">
        <v>195745.31000000224</v>
      </c>
      <c r="L60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-195745.31</v>
      </c>
      <c r="M6065" s="225">
        <f>ROUND(IF(AND(Base_Periodo1[[#This Row],[Tipo_Linha]]="-",Base_Periodo1[[#This Row],[TIPOSALDO]]="D"),Base_Periodo1[[#This Row],[SALDO_ATUAL]]*-1,Base_Periodo1[[#This Row],[SALDO_ATUAL]]),4)</f>
        <v>-195745.31</v>
      </c>
      <c r="N6065" t="s">
        <v>116</v>
      </c>
      <c r="O6065" t="s">
        <v>397</v>
      </c>
      <c r="P6065" t="s">
        <v>397</v>
      </c>
      <c r="Q6065">
        <v>9</v>
      </c>
      <c r="R6065" s="282">
        <f>Base_Periodo1[[#This Row],[CREDITOS]]-Base_Periodo1[[#This Row],[DEBITOS]]</f>
        <v>1012.0899999999965</v>
      </c>
      <c r="S6065" s="3" t="str">
        <f>IF(ISERROR(VLOOKUP(Base_Periodo1[[#This Row],[CONTA]],BaseContasDRE[#All],4,FALSE)),"Fora do DRE",VLOOKUP(Base_Periodo1[[#This Row],[CONTA]],BaseContasDRE[#All],4,FALSE))</f>
        <v>-</v>
      </c>
      <c r="T6065" s="3">
        <f>IF(ISERROR(VLOOKUP(Base_Periodo1[[#This Row],[CONTA]],BaseContasDRE[#All],5,FALSE)),"Fora do DRE",VLOOKUP(Base_Periodo1[[#This Row],[CONTA]],BaseContasDRE[#All],6,FALSE))</f>
        <v>2</v>
      </c>
      <c r="U6065" s="3" t="str">
        <f>IF(ISERROR(VLOOKUP(Base_Periodo1[[#This Row],[CONTA]],BaseContasDRE[#All],7,FALSE)),"Fora do DRE",VLOOKUP(Base_Periodo1[[#This Row],[CONTA]],BaseContasDRE[#All],7,FALSE))</f>
        <v>DEVOLUÇÃO DE SEMENTE PRODUZIDA</v>
      </c>
      <c r="V6065" s="3" t="str">
        <f>IF(Base_Periodo1[[#This Row],[Tipo_Linha]]="Fora do DRE","Fora do DRE","( "&amp;Base_Periodo1[[#This Row],[Tipo_Linha]]&amp;" ) "&amp;Base_Periodo1[[#This Row],[Filtro]])</f>
        <v>( - ) DEVOLUÇÃO DE SEMENTE PRODUZIDA</v>
      </c>
      <c r="W6065" s="3" t="str">
        <f>LEFT(Base_Periodo1[[#This Row],[CLASS]],3)</f>
        <v>3.1</v>
      </c>
    </row>
    <row r="6066" spans="1:23" hidden="1">
      <c r="A6066" s="3" t="str">
        <f t="shared" si="94"/>
        <v>Período 1</v>
      </c>
      <c r="B6066">
        <v>31450</v>
      </c>
      <c r="C6066" t="s">
        <v>5805</v>
      </c>
      <c r="D6066" t="s">
        <v>3565</v>
      </c>
      <c r="E6066" s="3" t="str">
        <f>IF(LEN(Base_Periodo1[[#This Row],[CLASS]])&gt;=7,LEFT(Base_Periodo1[[#This Row],[CLASS]],7),"")</f>
        <v>3.1.1.1</v>
      </c>
      <c r="F6066" s="3" t="e">
        <f>VLOOKUP(Base_Periodo1[[#This Row],[Aux]],Base_Contas_Balanco[#All],2,FALSE)</f>
        <v>#N/A</v>
      </c>
      <c r="G6066" s="1"/>
      <c r="H6066" s="225">
        <v>1329.4999999997672</v>
      </c>
      <c r="I6066" s="225">
        <v>1322.62</v>
      </c>
      <c r="J6066" s="225">
        <v>1329.5</v>
      </c>
      <c r="K6066" s="225">
        <v>1322.6199999997671</v>
      </c>
      <c r="L60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-1322.62</v>
      </c>
      <c r="M6066" s="225">
        <f>ROUND(IF(AND(Base_Periodo1[[#This Row],[Tipo_Linha]]="-",Base_Periodo1[[#This Row],[TIPOSALDO]]="D"),Base_Periodo1[[#This Row],[SALDO_ATUAL]]*-1,Base_Periodo1[[#This Row],[SALDO_ATUAL]]),4)</f>
        <v>1322.62</v>
      </c>
      <c r="N6066" t="s">
        <v>396</v>
      </c>
      <c r="O6066" t="s">
        <v>397</v>
      </c>
      <c r="P6066" t="s">
        <v>397</v>
      </c>
      <c r="Q6066">
        <v>8</v>
      </c>
      <c r="R6066" s="282">
        <f>Base_Periodo1[[#This Row],[CREDITOS]]-Base_Periodo1[[#This Row],[DEBITOS]]</f>
        <v>6.8800000000001091</v>
      </c>
      <c r="S6066" s="3" t="str">
        <f>IF(ISERROR(VLOOKUP(Base_Periodo1[[#This Row],[CONTA]],BaseContasDRE[#All],4,FALSE)),"Fora do DRE",VLOOKUP(Base_Periodo1[[#This Row],[CONTA]],BaseContasDRE[#All],4,FALSE))</f>
        <v>Fora do DRE</v>
      </c>
      <c r="T6066" s="3" t="str">
        <f>IF(ISERROR(VLOOKUP(Base_Periodo1[[#This Row],[CONTA]],BaseContasDRE[#All],5,FALSE)),"Fora do DRE",VLOOKUP(Base_Periodo1[[#This Row],[CONTA]],BaseContasDRE[#All],6,FALSE))</f>
        <v>Fora do DRE</v>
      </c>
      <c r="U6066" s="3" t="str">
        <f>IF(ISERROR(VLOOKUP(Base_Periodo1[[#This Row],[CONTA]],BaseContasDRE[#All],7,FALSE)),"Fora do DRE",VLOOKUP(Base_Periodo1[[#This Row],[CONTA]],BaseContasDRE[#All],7,FALSE))</f>
        <v>Fora do DRE</v>
      </c>
      <c r="V6066" s="3" t="str">
        <f>IF(Base_Periodo1[[#This Row],[Tipo_Linha]]="Fora do DRE","Fora do DRE","( "&amp;Base_Periodo1[[#This Row],[Tipo_Linha]]&amp;" ) "&amp;Base_Periodo1[[#This Row],[Filtro]])</f>
        <v>Fora do DRE</v>
      </c>
      <c r="W6066" s="3" t="str">
        <f>LEFT(Base_Periodo1[[#This Row],[CLASS]],3)</f>
        <v>3.1</v>
      </c>
    </row>
    <row r="6067" spans="1:23" hidden="1">
      <c r="A6067" s="3" t="str">
        <f t="shared" si="94"/>
        <v>Período 1</v>
      </c>
      <c r="B6067">
        <v>31451</v>
      </c>
      <c r="C6067" t="s">
        <v>5806</v>
      </c>
      <c r="D6067" t="s">
        <v>3566</v>
      </c>
      <c r="E6067" s="3" t="str">
        <f>IF(LEN(Base_Periodo1[[#This Row],[CLASS]])&gt;=7,LEFT(Base_Periodo1[[#This Row],[CLASS]],7),"")</f>
        <v>3.1.1.1</v>
      </c>
      <c r="F6067" s="3" t="e">
        <f>VLOOKUP(Base_Periodo1[[#This Row],[Aux]],Base_Contas_Balanco[#All],2,FALSE)</f>
        <v>#N/A</v>
      </c>
      <c r="G6067" s="1">
        <v>42886</v>
      </c>
      <c r="H6067" s="225">
        <v>1329.4999999997672</v>
      </c>
      <c r="I6067" s="225">
        <v>1322.62</v>
      </c>
      <c r="J6067" s="225">
        <v>1329.5</v>
      </c>
      <c r="K6067" s="225">
        <v>1322.6199999997671</v>
      </c>
      <c r="L60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-1322.62</v>
      </c>
      <c r="M6067" s="225">
        <f>ROUND(IF(AND(Base_Periodo1[[#This Row],[Tipo_Linha]]="-",Base_Periodo1[[#This Row],[TIPOSALDO]]="D"),Base_Periodo1[[#This Row],[SALDO_ATUAL]]*-1,Base_Periodo1[[#This Row],[SALDO_ATUAL]]),4)</f>
        <v>-1322.62</v>
      </c>
      <c r="N6067" t="s">
        <v>116</v>
      </c>
      <c r="O6067" t="s">
        <v>397</v>
      </c>
      <c r="P6067" t="s">
        <v>397</v>
      </c>
      <c r="Q6067">
        <v>9</v>
      </c>
      <c r="R6067" s="282">
        <f>Base_Periodo1[[#This Row],[CREDITOS]]-Base_Periodo1[[#This Row],[DEBITOS]]</f>
        <v>6.8800000000001091</v>
      </c>
      <c r="S6067" s="3" t="str">
        <f>IF(ISERROR(VLOOKUP(Base_Periodo1[[#This Row],[CONTA]],BaseContasDRE[#All],4,FALSE)),"Fora do DRE",VLOOKUP(Base_Periodo1[[#This Row],[CONTA]],BaseContasDRE[#All],4,FALSE))</f>
        <v>-</v>
      </c>
      <c r="T6067" s="3">
        <f>IF(ISERROR(VLOOKUP(Base_Periodo1[[#This Row],[CONTA]],BaseContasDRE[#All],5,FALSE)),"Fora do DRE",VLOOKUP(Base_Periodo1[[#This Row],[CONTA]],BaseContasDRE[#All],6,FALSE))</f>
        <v>2</v>
      </c>
      <c r="U6067" s="3" t="str">
        <f>IF(ISERROR(VLOOKUP(Base_Periodo1[[#This Row],[CONTA]],BaseContasDRE[#All],7,FALSE)),"Fora do DRE",VLOOKUP(Base_Periodo1[[#This Row],[CONTA]],BaseContasDRE[#All],7,FALSE))</f>
        <v>ICMS SOBRE INGRESSOS E RECEITAS</v>
      </c>
      <c r="V6067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067" s="3" t="str">
        <f>LEFT(Base_Periodo1[[#This Row],[CLASS]],3)</f>
        <v>3.1</v>
      </c>
    </row>
    <row r="6068" spans="1:23" hidden="1">
      <c r="A6068" s="3" t="str">
        <f t="shared" si="94"/>
        <v>Período 1</v>
      </c>
      <c r="B6068">
        <v>31452</v>
      </c>
      <c r="C6068" t="s">
        <v>3730</v>
      </c>
      <c r="D6068" t="s">
        <v>3567</v>
      </c>
      <c r="E6068" s="3" t="str">
        <f>IF(LEN(Base_Periodo1[[#This Row],[CLASS]])&gt;=7,LEFT(Base_Periodo1[[#This Row],[CLASS]],7),"")</f>
        <v>3.1.1.1</v>
      </c>
      <c r="F6068" s="3" t="e">
        <f>VLOOKUP(Base_Periodo1[[#This Row],[Aux]],Base_Contas_Balanco[#All],2,FALSE)</f>
        <v>#N/A</v>
      </c>
      <c r="G6068" s="1"/>
      <c r="H6068" s="225">
        <v>499219.11000002921</v>
      </c>
      <c r="I6068" s="225">
        <v>774952.16</v>
      </c>
      <c r="J6068" s="225">
        <v>559136.67000000004</v>
      </c>
      <c r="K6068" s="225">
        <v>715034.60000002931</v>
      </c>
      <c r="L60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-715034.6</v>
      </c>
      <c r="M6068" s="225">
        <f>ROUND(IF(AND(Base_Periodo1[[#This Row],[Tipo_Linha]]="-",Base_Periodo1[[#This Row],[TIPOSALDO]]="D"),Base_Periodo1[[#This Row],[SALDO_ATUAL]]*-1,Base_Periodo1[[#This Row],[SALDO_ATUAL]]),4)</f>
        <v>715034.6</v>
      </c>
      <c r="N6068" t="s">
        <v>396</v>
      </c>
      <c r="O6068" t="s">
        <v>397</v>
      </c>
      <c r="P6068" t="s">
        <v>397</v>
      </c>
      <c r="Q6068">
        <v>8</v>
      </c>
      <c r="R6068" s="282">
        <f>Base_Periodo1[[#This Row],[CREDITOS]]-Base_Periodo1[[#This Row],[DEBITOS]]</f>
        <v>-215815.49</v>
      </c>
      <c r="S6068" s="3" t="str">
        <f>IF(ISERROR(VLOOKUP(Base_Periodo1[[#This Row],[CONTA]],BaseContasDRE[#All],4,FALSE)),"Fora do DRE",VLOOKUP(Base_Periodo1[[#This Row],[CONTA]],BaseContasDRE[#All],4,FALSE))</f>
        <v>Fora do DRE</v>
      </c>
      <c r="T6068" s="3" t="str">
        <f>IF(ISERROR(VLOOKUP(Base_Periodo1[[#This Row],[CONTA]],BaseContasDRE[#All],5,FALSE)),"Fora do DRE",VLOOKUP(Base_Periodo1[[#This Row],[CONTA]],BaseContasDRE[#All],6,FALSE))</f>
        <v>Fora do DRE</v>
      </c>
      <c r="U6068" s="3" t="str">
        <f>IF(ISERROR(VLOOKUP(Base_Periodo1[[#This Row],[CONTA]],BaseContasDRE[#All],7,FALSE)),"Fora do DRE",VLOOKUP(Base_Periodo1[[#This Row],[CONTA]],BaseContasDRE[#All],7,FALSE))</f>
        <v>Fora do DRE</v>
      </c>
      <c r="V6068" s="3" t="str">
        <f>IF(Base_Periodo1[[#This Row],[Tipo_Linha]]="Fora do DRE","Fora do DRE","( "&amp;Base_Periodo1[[#This Row],[Tipo_Linha]]&amp;" ) "&amp;Base_Periodo1[[#This Row],[Filtro]])</f>
        <v>Fora do DRE</v>
      </c>
      <c r="W6068" s="3" t="str">
        <f>LEFT(Base_Periodo1[[#This Row],[CLASS]],3)</f>
        <v>3.1</v>
      </c>
    </row>
    <row r="6069" spans="1:23" hidden="1">
      <c r="A6069" s="3" t="str">
        <f t="shared" si="94"/>
        <v>Período 1</v>
      </c>
      <c r="B6069">
        <v>31453</v>
      </c>
      <c r="C6069" t="s">
        <v>3731</v>
      </c>
      <c r="D6069" t="s">
        <v>3568</v>
      </c>
      <c r="E6069" s="3" t="str">
        <f>IF(LEN(Base_Periodo1[[#This Row],[CLASS]])&gt;=7,LEFT(Base_Periodo1[[#This Row],[CLASS]],7),"")</f>
        <v>3.1.1.1</v>
      </c>
      <c r="F6069" s="3" t="e">
        <f>VLOOKUP(Base_Periodo1[[#This Row],[Aux]],Base_Contas_Balanco[#All],2,FALSE)</f>
        <v>#N/A</v>
      </c>
      <c r="G6069" s="1">
        <v>42886</v>
      </c>
      <c r="H6069" s="225">
        <v>499219.11000002921</v>
      </c>
      <c r="I6069" s="225">
        <v>774952.16</v>
      </c>
      <c r="J6069" s="225">
        <v>559136.67000000004</v>
      </c>
      <c r="K6069" s="225">
        <v>715034.60000002931</v>
      </c>
      <c r="L60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-715034.6</v>
      </c>
      <c r="M6069" s="225">
        <f>ROUND(IF(AND(Base_Periodo1[[#This Row],[Tipo_Linha]]="-",Base_Periodo1[[#This Row],[TIPOSALDO]]="D"),Base_Periodo1[[#This Row],[SALDO_ATUAL]]*-1,Base_Periodo1[[#This Row],[SALDO_ATUAL]]),4)</f>
        <v>-715034.6</v>
      </c>
      <c r="N6069" t="s">
        <v>116</v>
      </c>
      <c r="O6069" t="s">
        <v>397</v>
      </c>
      <c r="P6069" t="s">
        <v>397</v>
      </c>
      <c r="Q6069">
        <v>9</v>
      </c>
      <c r="R6069" s="282">
        <f>Base_Periodo1[[#This Row],[CREDITOS]]-Base_Periodo1[[#This Row],[DEBITOS]]</f>
        <v>-215815.49</v>
      </c>
      <c r="S6069" s="3" t="str">
        <f>IF(ISERROR(VLOOKUP(Base_Periodo1[[#This Row],[CONTA]],BaseContasDRE[#All],4,FALSE)),"Fora do DRE",VLOOKUP(Base_Periodo1[[#This Row],[CONTA]],BaseContasDRE[#All],4,FALSE))</f>
        <v>-</v>
      </c>
      <c r="T6069" s="3">
        <f>IF(ISERROR(VLOOKUP(Base_Periodo1[[#This Row],[CONTA]],BaseContasDRE[#All],5,FALSE)),"Fora do DRE",VLOOKUP(Base_Periodo1[[#This Row],[CONTA]],BaseContasDRE[#All],6,FALSE))</f>
        <v>3</v>
      </c>
      <c r="U6069" s="3" t="str">
        <f>IF(ISERROR(VLOOKUP(Base_Periodo1[[#This Row],[CONTA]],BaseContasDRE[#All],7,FALSE)),"Fora do DRE",VLOOKUP(Base_Periodo1[[#This Row],[CONTA]],BaseContasDRE[#All],7,FALSE))</f>
        <v>PRODUÇÃO DE SEMENTES</v>
      </c>
      <c r="V6069" s="3" t="str">
        <f>IF(Base_Periodo1[[#This Row],[Tipo_Linha]]="Fora do DRE","Fora do DRE","( "&amp;Base_Periodo1[[#This Row],[Tipo_Linha]]&amp;" ) "&amp;Base_Periodo1[[#This Row],[Filtro]])</f>
        <v>( - ) PRODUÇÃO DE SEMENTES</v>
      </c>
      <c r="W6069" s="3" t="str">
        <f>LEFT(Base_Periodo1[[#This Row],[CLASS]],3)</f>
        <v>3.1</v>
      </c>
    </row>
    <row r="6070" spans="1:23" hidden="1">
      <c r="A6070" s="3" t="str">
        <f t="shared" si="94"/>
        <v>Período 1</v>
      </c>
      <c r="B6070">
        <v>31465</v>
      </c>
      <c r="C6070" t="s">
        <v>6098</v>
      </c>
      <c r="D6070" t="s">
        <v>4441</v>
      </c>
      <c r="E6070" s="3" t="str">
        <f>IF(LEN(Base_Periodo1[[#This Row],[CLASS]])&gt;=7,LEFT(Base_Periodo1[[#This Row],[CLASS]],7),"")</f>
        <v>3.1.1.1</v>
      </c>
      <c r="F6070" s="3" t="e">
        <f>VLOOKUP(Base_Periodo1[[#This Row],[Aux]],Base_Contas_Balanco[#All],2,FALSE)</f>
        <v>#N/A</v>
      </c>
      <c r="G6070" s="1"/>
      <c r="H6070" s="225">
        <v>80560.579999962356</v>
      </c>
      <c r="I6070" s="225">
        <v>6476378.3300000001</v>
      </c>
      <c r="J6070" s="225">
        <v>6282870.7699999996</v>
      </c>
      <c r="K6070" s="225">
        <v>274068.13999996334</v>
      </c>
      <c r="L60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-274068.14</v>
      </c>
      <c r="M6070" s="225">
        <f>ROUND(IF(AND(Base_Periodo1[[#This Row],[Tipo_Linha]]="-",Base_Periodo1[[#This Row],[TIPOSALDO]]="D"),Base_Periodo1[[#This Row],[SALDO_ATUAL]]*-1,Base_Periodo1[[#This Row],[SALDO_ATUAL]]),4)</f>
        <v>274068.14</v>
      </c>
      <c r="N6070" t="s">
        <v>396</v>
      </c>
      <c r="O6070" t="s">
        <v>397</v>
      </c>
      <c r="P6070" t="s">
        <v>397</v>
      </c>
      <c r="Q6070">
        <v>7</v>
      </c>
      <c r="R6070" s="282">
        <f>Base_Periodo1[[#This Row],[CREDITOS]]-Base_Periodo1[[#This Row],[DEBITOS]]</f>
        <v>-193507.56000000052</v>
      </c>
      <c r="S6070" s="3" t="str">
        <f>IF(ISERROR(VLOOKUP(Base_Periodo1[[#This Row],[CONTA]],BaseContasDRE[#All],4,FALSE)),"Fora do DRE",VLOOKUP(Base_Periodo1[[#This Row],[CONTA]],BaseContasDRE[#All],4,FALSE))</f>
        <v>Fora do DRE</v>
      </c>
      <c r="T6070" s="3" t="str">
        <f>IF(ISERROR(VLOOKUP(Base_Periodo1[[#This Row],[CONTA]],BaseContasDRE[#All],5,FALSE)),"Fora do DRE",VLOOKUP(Base_Periodo1[[#This Row],[CONTA]],BaseContasDRE[#All],6,FALSE))</f>
        <v>Fora do DRE</v>
      </c>
      <c r="U6070" s="3" t="str">
        <f>IF(ISERROR(VLOOKUP(Base_Periodo1[[#This Row],[CONTA]],BaseContasDRE[#All],7,FALSE)),"Fora do DRE",VLOOKUP(Base_Periodo1[[#This Row],[CONTA]],BaseContasDRE[#All],7,FALSE))</f>
        <v>Fora do DRE</v>
      </c>
      <c r="V6070" s="3" t="str">
        <f>IF(Base_Periodo1[[#This Row],[Tipo_Linha]]="Fora do DRE","Fora do DRE","( "&amp;Base_Periodo1[[#This Row],[Tipo_Linha]]&amp;" ) "&amp;Base_Periodo1[[#This Row],[Filtro]])</f>
        <v>Fora do DRE</v>
      </c>
      <c r="W6070" s="3" t="str">
        <f>LEFT(Base_Periodo1[[#This Row],[CLASS]],3)</f>
        <v>3.1</v>
      </c>
    </row>
    <row r="6071" spans="1:23" hidden="1">
      <c r="A6071" s="3" t="str">
        <f t="shared" si="94"/>
        <v>Período 1</v>
      </c>
      <c r="B6071">
        <v>31466</v>
      </c>
      <c r="C6071" t="s">
        <v>6605</v>
      </c>
      <c r="D6071" t="s">
        <v>3562</v>
      </c>
      <c r="E6071" s="3" t="str">
        <f>IF(LEN(Base_Periodo1[[#This Row],[CLASS]])&gt;=7,LEFT(Base_Periodo1[[#This Row],[CLASS]],7),"")</f>
        <v>3.1.1.1</v>
      </c>
      <c r="F6071" s="3" t="e">
        <f>VLOOKUP(Base_Periodo1[[#This Row],[Aux]],Base_Contas_Balanco[#All],2,FALSE)</f>
        <v>#N/A</v>
      </c>
      <c r="G6071" s="1"/>
      <c r="H6071" s="225">
        <v>2846694.8600000143</v>
      </c>
      <c r="I6071" s="225">
        <v>2287406.7599999998</v>
      </c>
      <c r="J6071" s="225">
        <v>3829740.46</v>
      </c>
      <c r="K6071" s="225">
        <v>4389028.5600000145</v>
      </c>
      <c r="L60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4389028.5599999996</v>
      </c>
      <c r="M6071" s="225">
        <f>ROUND(IF(AND(Base_Periodo1[[#This Row],[Tipo_Linha]]="-",Base_Periodo1[[#This Row],[TIPOSALDO]]="D"),Base_Periodo1[[#This Row],[SALDO_ATUAL]]*-1,Base_Periodo1[[#This Row],[SALDO_ATUAL]]),4)</f>
        <v>4389028.5599999996</v>
      </c>
      <c r="N6071" t="s">
        <v>396</v>
      </c>
      <c r="O6071" t="s">
        <v>459</v>
      </c>
      <c r="P6071" t="s">
        <v>459</v>
      </c>
      <c r="Q6071">
        <v>8</v>
      </c>
      <c r="R6071" s="282">
        <f>Base_Periodo1[[#This Row],[CREDITOS]]-Base_Periodo1[[#This Row],[DEBITOS]]</f>
        <v>1542333.7000000002</v>
      </c>
      <c r="S6071" s="3" t="str">
        <f>IF(ISERROR(VLOOKUP(Base_Periodo1[[#This Row],[CONTA]],BaseContasDRE[#All],4,FALSE)),"Fora do DRE",VLOOKUP(Base_Periodo1[[#This Row],[CONTA]],BaseContasDRE[#All],4,FALSE))</f>
        <v>Fora do DRE</v>
      </c>
      <c r="T6071" s="3" t="str">
        <f>IF(ISERROR(VLOOKUP(Base_Periodo1[[#This Row],[CONTA]],BaseContasDRE[#All],5,FALSE)),"Fora do DRE",VLOOKUP(Base_Periodo1[[#This Row],[CONTA]],BaseContasDRE[#All],6,FALSE))</f>
        <v>Fora do DRE</v>
      </c>
      <c r="U6071" s="3" t="str">
        <f>IF(ISERROR(VLOOKUP(Base_Periodo1[[#This Row],[CONTA]],BaseContasDRE[#All],7,FALSE)),"Fora do DRE",VLOOKUP(Base_Periodo1[[#This Row],[CONTA]],BaseContasDRE[#All],7,FALSE))</f>
        <v>Fora do DRE</v>
      </c>
      <c r="V6071" s="3" t="str">
        <f>IF(Base_Periodo1[[#This Row],[Tipo_Linha]]="Fora do DRE","Fora do DRE","( "&amp;Base_Periodo1[[#This Row],[Tipo_Linha]]&amp;" ) "&amp;Base_Periodo1[[#This Row],[Filtro]])</f>
        <v>Fora do DRE</v>
      </c>
      <c r="W6071" s="3" t="str">
        <f>LEFT(Base_Periodo1[[#This Row],[CLASS]],3)</f>
        <v>3.1</v>
      </c>
    </row>
    <row r="6072" spans="1:23" hidden="1">
      <c r="A6072" s="3" t="str">
        <f t="shared" si="94"/>
        <v>Período 1</v>
      </c>
      <c r="B6072">
        <v>31467</v>
      </c>
      <c r="C6072" t="s">
        <v>6606</v>
      </c>
      <c r="D6072" t="s">
        <v>3562</v>
      </c>
      <c r="E6072" s="3" t="str">
        <f>IF(LEN(Base_Periodo1[[#This Row],[CLASS]])&gt;=7,LEFT(Base_Periodo1[[#This Row],[CLASS]],7),"")</f>
        <v>3.1.1.1</v>
      </c>
      <c r="F6072" s="3" t="e">
        <f>VLOOKUP(Base_Periodo1[[#This Row],[Aux]],Base_Contas_Balanco[#All],2,FALSE)</f>
        <v>#N/A</v>
      </c>
      <c r="G6072" s="1">
        <v>42886</v>
      </c>
      <c r="H6072" s="225">
        <v>2846694.8600000143</v>
      </c>
      <c r="I6072" s="225">
        <v>2287406.7599999998</v>
      </c>
      <c r="J6072" s="225">
        <v>3829740.46</v>
      </c>
      <c r="K6072" s="225">
        <v>4389028.5600000145</v>
      </c>
      <c r="L60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4389028.5599999996</v>
      </c>
      <c r="M6072" s="225">
        <f>ROUND(IF(AND(Base_Periodo1[[#This Row],[Tipo_Linha]]="-",Base_Periodo1[[#This Row],[TIPOSALDO]]="D"),Base_Periodo1[[#This Row],[SALDO_ATUAL]]*-1,Base_Periodo1[[#This Row],[SALDO_ATUAL]]),4)</f>
        <v>4389028.5599999996</v>
      </c>
      <c r="N6072" t="s">
        <v>116</v>
      </c>
      <c r="O6072" t="s">
        <v>459</v>
      </c>
      <c r="P6072" t="s">
        <v>459</v>
      </c>
      <c r="Q6072">
        <v>9</v>
      </c>
      <c r="R6072" s="282">
        <f>Base_Periodo1[[#This Row],[CREDITOS]]-Base_Periodo1[[#This Row],[DEBITOS]]</f>
        <v>1542333.7000000002</v>
      </c>
      <c r="S6072" s="3" t="str">
        <f>IF(ISERROR(VLOOKUP(Base_Periodo1[[#This Row],[CONTA]],BaseContasDRE[#All],4,FALSE)),"Fora do DRE",VLOOKUP(Base_Periodo1[[#This Row],[CONTA]],BaseContasDRE[#All],4,FALSE))</f>
        <v>+</v>
      </c>
      <c r="T6072" s="3">
        <f>IF(ISERROR(VLOOKUP(Base_Periodo1[[#This Row],[CONTA]],BaseContasDRE[#All],5,FALSE)),"Fora do DRE",VLOOKUP(Base_Periodo1[[#This Row],[CONTA]],BaseContasDRE[#All],6,FALSE))</f>
        <v>1</v>
      </c>
      <c r="U6072" s="3" t="str">
        <f>IF(ISERROR(VLOOKUP(Base_Periodo1[[#This Row],[CONTA]],BaseContasDRE[#All],7,FALSE)),"Fora do DRE",VLOOKUP(Base_Periodo1[[#This Row],[CONTA]],BaseContasDRE[#All],7,FALSE))</f>
        <v>SEMENTES PRODUZIDAS</v>
      </c>
      <c r="V6072" s="3" t="str">
        <f>IF(Base_Periodo1[[#This Row],[Tipo_Linha]]="Fora do DRE","Fora do DRE","( "&amp;Base_Periodo1[[#This Row],[Tipo_Linha]]&amp;" ) "&amp;Base_Periodo1[[#This Row],[Filtro]])</f>
        <v>( + ) SEMENTES PRODUZIDAS</v>
      </c>
      <c r="W6072" s="3" t="str">
        <f>LEFT(Base_Periodo1[[#This Row],[CLASS]],3)</f>
        <v>3.1</v>
      </c>
    </row>
    <row r="6073" spans="1:23" hidden="1">
      <c r="A6073" s="3" t="str">
        <f t="shared" si="94"/>
        <v>Período 1</v>
      </c>
      <c r="B6073">
        <v>31468</v>
      </c>
      <c r="C6073" t="s">
        <v>6607</v>
      </c>
      <c r="D6073" t="s">
        <v>3563</v>
      </c>
      <c r="E6073" s="3" t="str">
        <f>IF(LEN(Base_Periodo1[[#This Row],[CLASS]])&gt;=7,LEFT(Base_Periodo1[[#This Row],[CLASS]],7),"")</f>
        <v>3.1.1.1</v>
      </c>
      <c r="F6073" s="3" t="e">
        <f>VLOOKUP(Base_Periodo1[[#This Row],[Aux]],Base_Contas_Balanco[#All],2,FALSE)</f>
        <v>#N/A</v>
      </c>
      <c r="G6073" s="1"/>
      <c r="H6073" s="225">
        <v>1019.4699999999721</v>
      </c>
      <c r="I6073" s="225">
        <v>71344.26999999999</v>
      </c>
      <c r="J6073" s="225">
        <v>1019.47</v>
      </c>
      <c r="K6073" s="225">
        <v>71344.26999999996</v>
      </c>
      <c r="L60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-71344.27</v>
      </c>
      <c r="M6073" s="225">
        <f>ROUND(IF(AND(Base_Periodo1[[#This Row],[Tipo_Linha]]="-",Base_Periodo1[[#This Row],[TIPOSALDO]]="D"),Base_Periodo1[[#This Row],[SALDO_ATUAL]]*-1,Base_Periodo1[[#This Row],[SALDO_ATUAL]]),4)</f>
        <v>71344.27</v>
      </c>
      <c r="N6073" t="s">
        <v>396</v>
      </c>
      <c r="O6073" t="s">
        <v>397</v>
      </c>
      <c r="P6073" t="s">
        <v>397</v>
      </c>
      <c r="Q6073">
        <v>8</v>
      </c>
      <c r="R6073" s="282">
        <f>Base_Periodo1[[#This Row],[CREDITOS]]-Base_Periodo1[[#This Row],[DEBITOS]]</f>
        <v>-70324.799999999988</v>
      </c>
      <c r="S6073" s="3" t="str">
        <f>IF(ISERROR(VLOOKUP(Base_Periodo1[[#This Row],[CONTA]],BaseContasDRE[#All],4,FALSE)),"Fora do DRE",VLOOKUP(Base_Periodo1[[#This Row],[CONTA]],BaseContasDRE[#All],4,FALSE))</f>
        <v>Fora do DRE</v>
      </c>
      <c r="T6073" s="3" t="str">
        <f>IF(ISERROR(VLOOKUP(Base_Periodo1[[#This Row],[CONTA]],BaseContasDRE[#All],5,FALSE)),"Fora do DRE",VLOOKUP(Base_Periodo1[[#This Row],[CONTA]],BaseContasDRE[#All],6,FALSE))</f>
        <v>Fora do DRE</v>
      </c>
      <c r="U6073" s="3" t="str">
        <f>IF(ISERROR(VLOOKUP(Base_Periodo1[[#This Row],[CONTA]],BaseContasDRE[#All],7,FALSE)),"Fora do DRE",VLOOKUP(Base_Periodo1[[#This Row],[CONTA]],BaseContasDRE[#All],7,FALSE))</f>
        <v>Fora do DRE</v>
      </c>
      <c r="V6073" s="3" t="str">
        <f>IF(Base_Periodo1[[#This Row],[Tipo_Linha]]="Fora do DRE","Fora do DRE","( "&amp;Base_Periodo1[[#This Row],[Tipo_Linha]]&amp;" ) "&amp;Base_Periodo1[[#This Row],[Filtro]])</f>
        <v>Fora do DRE</v>
      </c>
      <c r="W6073" s="3" t="str">
        <f>LEFT(Base_Periodo1[[#This Row],[CLASS]],3)</f>
        <v>3.1</v>
      </c>
    </row>
    <row r="6074" spans="1:23" hidden="1">
      <c r="A6074" s="3" t="str">
        <f t="shared" si="94"/>
        <v>Período 1</v>
      </c>
      <c r="B6074">
        <v>31469</v>
      </c>
      <c r="C6074" t="s">
        <v>6608</v>
      </c>
      <c r="D6074" t="s">
        <v>3564</v>
      </c>
      <c r="E6074" s="3" t="str">
        <f>IF(LEN(Base_Periodo1[[#This Row],[CLASS]])&gt;=7,LEFT(Base_Periodo1[[#This Row],[CLASS]],7),"")</f>
        <v>3.1.1.1</v>
      </c>
      <c r="F6074" s="3" t="e">
        <f>VLOOKUP(Base_Periodo1[[#This Row],[Aux]],Base_Contas_Balanco[#All],2,FALSE)</f>
        <v>#N/A</v>
      </c>
      <c r="G6074" s="1">
        <v>42886</v>
      </c>
      <c r="H6074" s="225">
        <v>1019.4699999999721</v>
      </c>
      <c r="I6074" s="225">
        <v>71344.26999999999</v>
      </c>
      <c r="J6074" s="225">
        <v>1019.47</v>
      </c>
      <c r="K6074" s="225">
        <v>71344.26999999996</v>
      </c>
      <c r="L60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-71344.27</v>
      </c>
      <c r="M6074" s="225">
        <f>ROUND(IF(AND(Base_Periodo1[[#This Row],[Tipo_Linha]]="-",Base_Periodo1[[#This Row],[TIPOSALDO]]="D"),Base_Periodo1[[#This Row],[SALDO_ATUAL]]*-1,Base_Periodo1[[#This Row],[SALDO_ATUAL]]),4)</f>
        <v>-71344.27</v>
      </c>
      <c r="N6074" t="s">
        <v>116</v>
      </c>
      <c r="O6074" t="s">
        <v>397</v>
      </c>
      <c r="P6074" t="s">
        <v>397</v>
      </c>
      <c r="Q6074">
        <v>9</v>
      </c>
      <c r="R6074" s="282">
        <f>Base_Periodo1[[#This Row],[CREDITOS]]-Base_Periodo1[[#This Row],[DEBITOS]]</f>
        <v>-70324.799999999988</v>
      </c>
      <c r="S6074" s="3" t="str">
        <f>IF(ISERROR(VLOOKUP(Base_Periodo1[[#This Row],[CONTA]],BaseContasDRE[#All],4,FALSE)),"Fora do DRE",VLOOKUP(Base_Periodo1[[#This Row],[CONTA]],BaseContasDRE[#All],4,FALSE))</f>
        <v>-</v>
      </c>
      <c r="T6074" s="3">
        <f>IF(ISERROR(VLOOKUP(Base_Periodo1[[#This Row],[CONTA]],BaseContasDRE[#All],5,FALSE)),"Fora do DRE",VLOOKUP(Base_Periodo1[[#This Row],[CONTA]],BaseContasDRE[#All],6,FALSE))</f>
        <v>2</v>
      </c>
      <c r="U6074" s="3" t="str">
        <f>IF(ISERROR(VLOOKUP(Base_Periodo1[[#This Row],[CONTA]],BaseContasDRE[#All],7,FALSE)),"Fora do DRE",VLOOKUP(Base_Periodo1[[#This Row],[CONTA]],BaseContasDRE[#All],7,FALSE))</f>
        <v>DEVOLUÇÃO DE SEMENTE PRODUZIDA</v>
      </c>
      <c r="V6074" s="3" t="str">
        <f>IF(Base_Periodo1[[#This Row],[Tipo_Linha]]="Fora do DRE","Fora do DRE","( "&amp;Base_Periodo1[[#This Row],[Tipo_Linha]]&amp;" ) "&amp;Base_Periodo1[[#This Row],[Filtro]])</f>
        <v>( - ) DEVOLUÇÃO DE SEMENTE PRODUZIDA</v>
      </c>
      <c r="W6074" s="3" t="str">
        <f>LEFT(Base_Periodo1[[#This Row],[CLASS]],3)</f>
        <v>3.1</v>
      </c>
    </row>
    <row r="6075" spans="1:23" hidden="1">
      <c r="A6075" s="3" t="str">
        <f t="shared" si="94"/>
        <v>Período 1</v>
      </c>
      <c r="B6075">
        <v>31470</v>
      </c>
      <c r="C6075" t="s">
        <v>6609</v>
      </c>
      <c r="D6075" t="s">
        <v>3565</v>
      </c>
      <c r="E6075" s="3" t="str">
        <f>IF(LEN(Base_Periodo1[[#This Row],[CLASS]])&gt;=7,LEFT(Base_Periodo1[[#This Row],[CLASS]],7),"")</f>
        <v>3.1.1.1</v>
      </c>
      <c r="F6075" s="3" t="e">
        <f>VLOOKUP(Base_Periodo1[[#This Row],[Aux]],Base_Contas_Balanco[#All],2,FALSE)</f>
        <v>#N/A</v>
      </c>
      <c r="G6075" s="1"/>
      <c r="H6075" s="225">
        <v>45127.10999999987</v>
      </c>
      <c r="I6075" s="225">
        <v>58929.2</v>
      </c>
      <c r="J6075" s="225">
        <v>44582.79</v>
      </c>
      <c r="K6075" s="225">
        <v>59473.519999999866</v>
      </c>
      <c r="L60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-59473.52</v>
      </c>
      <c r="M6075" s="225">
        <f>ROUND(IF(AND(Base_Periodo1[[#This Row],[Tipo_Linha]]="-",Base_Periodo1[[#This Row],[TIPOSALDO]]="D"),Base_Periodo1[[#This Row],[SALDO_ATUAL]]*-1,Base_Periodo1[[#This Row],[SALDO_ATUAL]]),4)</f>
        <v>59473.52</v>
      </c>
      <c r="N6075" t="s">
        <v>396</v>
      </c>
      <c r="O6075" t="s">
        <v>397</v>
      </c>
      <c r="P6075" t="s">
        <v>397</v>
      </c>
      <c r="Q6075">
        <v>8</v>
      </c>
      <c r="R6075" s="282">
        <f>Base_Periodo1[[#This Row],[CREDITOS]]-Base_Periodo1[[#This Row],[DEBITOS]]</f>
        <v>-14346.409999999996</v>
      </c>
      <c r="S6075" s="3" t="str">
        <f>IF(ISERROR(VLOOKUP(Base_Periodo1[[#This Row],[CONTA]],BaseContasDRE[#All],4,FALSE)),"Fora do DRE",VLOOKUP(Base_Periodo1[[#This Row],[CONTA]],BaseContasDRE[#All],4,FALSE))</f>
        <v>Fora do DRE</v>
      </c>
      <c r="T6075" s="3" t="str">
        <f>IF(ISERROR(VLOOKUP(Base_Periodo1[[#This Row],[CONTA]],BaseContasDRE[#All],5,FALSE)),"Fora do DRE",VLOOKUP(Base_Periodo1[[#This Row],[CONTA]],BaseContasDRE[#All],6,FALSE))</f>
        <v>Fora do DRE</v>
      </c>
      <c r="U6075" s="3" t="str">
        <f>IF(ISERROR(VLOOKUP(Base_Periodo1[[#This Row],[CONTA]],BaseContasDRE[#All],7,FALSE)),"Fora do DRE",VLOOKUP(Base_Periodo1[[#This Row],[CONTA]],BaseContasDRE[#All],7,FALSE))</f>
        <v>Fora do DRE</v>
      </c>
      <c r="V6075" s="3" t="str">
        <f>IF(Base_Periodo1[[#This Row],[Tipo_Linha]]="Fora do DRE","Fora do DRE","( "&amp;Base_Periodo1[[#This Row],[Tipo_Linha]]&amp;" ) "&amp;Base_Periodo1[[#This Row],[Filtro]])</f>
        <v>Fora do DRE</v>
      </c>
      <c r="W6075" s="3" t="str">
        <f>LEFT(Base_Periodo1[[#This Row],[CLASS]],3)</f>
        <v>3.1</v>
      </c>
    </row>
    <row r="6076" spans="1:23" hidden="1">
      <c r="A6076" s="3" t="str">
        <f t="shared" si="94"/>
        <v>Período 1</v>
      </c>
      <c r="B6076">
        <v>31471</v>
      </c>
      <c r="C6076" t="s">
        <v>6610</v>
      </c>
      <c r="D6076" t="s">
        <v>3566</v>
      </c>
      <c r="E6076" s="3" t="str">
        <f>IF(LEN(Base_Periodo1[[#This Row],[CLASS]])&gt;=7,LEFT(Base_Periodo1[[#This Row],[CLASS]],7),"")</f>
        <v>3.1.1.1</v>
      </c>
      <c r="F6076" s="3" t="e">
        <f>VLOOKUP(Base_Periodo1[[#This Row],[Aux]],Base_Contas_Balanco[#All],2,FALSE)</f>
        <v>#N/A</v>
      </c>
      <c r="G6076" s="1">
        <v>42886</v>
      </c>
      <c r="H6076" s="225">
        <v>45127.10999999987</v>
      </c>
      <c r="I6076" s="225">
        <v>58929.2</v>
      </c>
      <c r="J6076" s="225">
        <v>44582.79</v>
      </c>
      <c r="K6076" s="225">
        <v>59473.519999999866</v>
      </c>
      <c r="L60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-59473.52</v>
      </c>
      <c r="M6076" s="225">
        <f>ROUND(IF(AND(Base_Periodo1[[#This Row],[Tipo_Linha]]="-",Base_Periodo1[[#This Row],[TIPOSALDO]]="D"),Base_Periodo1[[#This Row],[SALDO_ATUAL]]*-1,Base_Periodo1[[#This Row],[SALDO_ATUAL]]),4)</f>
        <v>-59473.52</v>
      </c>
      <c r="N6076" t="s">
        <v>116</v>
      </c>
      <c r="O6076" t="s">
        <v>397</v>
      </c>
      <c r="P6076" t="s">
        <v>397</v>
      </c>
      <c r="Q6076">
        <v>9</v>
      </c>
      <c r="R6076" s="282">
        <f>Base_Periodo1[[#This Row],[CREDITOS]]-Base_Periodo1[[#This Row],[DEBITOS]]</f>
        <v>-14346.409999999996</v>
      </c>
      <c r="S6076" s="3" t="str">
        <f>IF(ISERROR(VLOOKUP(Base_Periodo1[[#This Row],[CONTA]],BaseContasDRE[#All],4,FALSE)),"Fora do DRE",VLOOKUP(Base_Periodo1[[#This Row],[CONTA]],BaseContasDRE[#All],4,FALSE))</f>
        <v>-</v>
      </c>
      <c r="T6076" s="3">
        <f>IF(ISERROR(VLOOKUP(Base_Periodo1[[#This Row],[CONTA]],BaseContasDRE[#All],5,FALSE)),"Fora do DRE",VLOOKUP(Base_Periodo1[[#This Row],[CONTA]],BaseContasDRE[#All],6,FALSE))</f>
        <v>2</v>
      </c>
      <c r="U6076" s="3" t="str">
        <f>IF(ISERROR(VLOOKUP(Base_Periodo1[[#This Row],[CONTA]],BaseContasDRE[#All],7,FALSE)),"Fora do DRE",VLOOKUP(Base_Periodo1[[#This Row],[CONTA]],BaseContasDRE[#All],7,FALSE))</f>
        <v>ICMS SOBRE INGRESSOS E RECEITAS</v>
      </c>
      <c r="V6076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076" s="3" t="str">
        <f>LEFT(Base_Periodo1[[#This Row],[CLASS]],3)</f>
        <v>3.1</v>
      </c>
    </row>
    <row r="6077" spans="1:23" hidden="1">
      <c r="A6077" s="3" t="str">
        <f t="shared" si="94"/>
        <v>Período 1</v>
      </c>
      <c r="B6077">
        <v>31472</v>
      </c>
      <c r="C6077" t="s">
        <v>6099</v>
      </c>
      <c r="D6077" t="s">
        <v>3567</v>
      </c>
      <c r="E6077" s="3" t="str">
        <f>IF(LEN(Base_Periodo1[[#This Row],[CLASS]])&gt;=7,LEFT(Base_Periodo1[[#This Row],[CLASS]],7),"")</f>
        <v>3.1.1.1</v>
      </c>
      <c r="F6077" s="3" t="e">
        <f>VLOOKUP(Base_Periodo1[[#This Row],[Aux]],Base_Contas_Balanco[#All],2,FALSE)</f>
        <v>#N/A</v>
      </c>
      <c r="G6077" s="1"/>
      <c r="H6077" s="225">
        <v>2881108.8599999771</v>
      </c>
      <c r="I6077" s="225">
        <v>4058698.0999999996</v>
      </c>
      <c r="J6077" s="225">
        <v>2407528.0499999998</v>
      </c>
      <c r="K6077" s="225">
        <v>4532278.9099999769</v>
      </c>
      <c r="L60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-4532278.91</v>
      </c>
      <c r="M6077" s="225">
        <f>ROUND(IF(AND(Base_Periodo1[[#This Row],[Tipo_Linha]]="-",Base_Periodo1[[#This Row],[TIPOSALDO]]="D"),Base_Periodo1[[#This Row],[SALDO_ATUAL]]*-1,Base_Periodo1[[#This Row],[SALDO_ATUAL]]),4)</f>
        <v>4532278.91</v>
      </c>
      <c r="N6077" t="s">
        <v>396</v>
      </c>
      <c r="O6077" t="s">
        <v>397</v>
      </c>
      <c r="P6077" t="s">
        <v>397</v>
      </c>
      <c r="Q6077">
        <v>8</v>
      </c>
      <c r="R6077" s="282">
        <f>Base_Periodo1[[#This Row],[CREDITOS]]-Base_Periodo1[[#This Row],[DEBITOS]]</f>
        <v>-1651170.0499999998</v>
      </c>
      <c r="S6077" s="3" t="str">
        <f>IF(ISERROR(VLOOKUP(Base_Periodo1[[#This Row],[CONTA]],BaseContasDRE[#All],4,FALSE)),"Fora do DRE",VLOOKUP(Base_Periodo1[[#This Row],[CONTA]],BaseContasDRE[#All],4,FALSE))</f>
        <v>Fora do DRE</v>
      </c>
      <c r="T6077" s="3" t="str">
        <f>IF(ISERROR(VLOOKUP(Base_Periodo1[[#This Row],[CONTA]],BaseContasDRE[#All],5,FALSE)),"Fora do DRE",VLOOKUP(Base_Periodo1[[#This Row],[CONTA]],BaseContasDRE[#All],6,FALSE))</f>
        <v>Fora do DRE</v>
      </c>
      <c r="U6077" s="3" t="str">
        <f>IF(ISERROR(VLOOKUP(Base_Periodo1[[#This Row],[CONTA]],BaseContasDRE[#All],7,FALSE)),"Fora do DRE",VLOOKUP(Base_Periodo1[[#This Row],[CONTA]],BaseContasDRE[#All],7,FALSE))</f>
        <v>Fora do DRE</v>
      </c>
      <c r="V6077" s="3" t="str">
        <f>IF(Base_Periodo1[[#This Row],[Tipo_Linha]]="Fora do DRE","Fora do DRE","( "&amp;Base_Periodo1[[#This Row],[Tipo_Linha]]&amp;" ) "&amp;Base_Periodo1[[#This Row],[Filtro]])</f>
        <v>Fora do DRE</v>
      </c>
      <c r="W6077" s="3" t="str">
        <f>LEFT(Base_Periodo1[[#This Row],[CLASS]],3)</f>
        <v>3.1</v>
      </c>
    </row>
    <row r="6078" spans="1:23" hidden="1">
      <c r="A6078" s="3" t="str">
        <f t="shared" si="94"/>
        <v>Período 1</v>
      </c>
      <c r="B6078">
        <v>31473</v>
      </c>
      <c r="C6078" t="s">
        <v>6100</v>
      </c>
      <c r="D6078" t="s">
        <v>3568</v>
      </c>
      <c r="E6078" s="3" t="str">
        <f>IF(LEN(Base_Periodo1[[#This Row],[CLASS]])&gt;=7,LEFT(Base_Periodo1[[#This Row],[CLASS]],7),"")</f>
        <v>3.1.1.1</v>
      </c>
      <c r="F6078" s="3" t="e">
        <f>VLOOKUP(Base_Periodo1[[#This Row],[Aux]],Base_Contas_Balanco[#All],2,FALSE)</f>
        <v>#N/A</v>
      </c>
      <c r="G6078" s="1">
        <v>42886</v>
      </c>
      <c r="H6078" s="225">
        <v>2881108.8599999771</v>
      </c>
      <c r="I6078" s="225">
        <v>4058698.0999999996</v>
      </c>
      <c r="J6078" s="225">
        <v>2407528.0499999998</v>
      </c>
      <c r="K6078" s="225">
        <v>4532278.9099999769</v>
      </c>
      <c r="L60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-4532278.91</v>
      </c>
      <c r="M6078" s="225">
        <f>ROUND(IF(AND(Base_Periodo1[[#This Row],[Tipo_Linha]]="-",Base_Periodo1[[#This Row],[TIPOSALDO]]="D"),Base_Periodo1[[#This Row],[SALDO_ATUAL]]*-1,Base_Periodo1[[#This Row],[SALDO_ATUAL]]),4)</f>
        <v>-4532278.91</v>
      </c>
      <c r="N6078" t="s">
        <v>116</v>
      </c>
      <c r="O6078" t="s">
        <v>397</v>
      </c>
      <c r="P6078" t="s">
        <v>397</v>
      </c>
      <c r="Q6078">
        <v>9</v>
      </c>
      <c r="R6078" s="282">
        <f>Base_Periodo1[[#This Row],[CREDITOS]]-Base_Periodo1[[#This Row],[DEBITOS]]</f>
        <v>-1651170.0499999998</v>
      </c>
      <c r="S6078" s="3" t="str">
        <f>IF(ISERROR(VLOOKUP(Base_Periodo1[[#This Row],[CONTA]],BaseContasDRE[#All],4,FALSE)),"Fora do DRE",VLOOKUP(Base_Periodo1[[#This Row],[CONTA]],BaseContasDRE[#All],4,FALSE))</f>
        <v>-</v>
      </c>
      <c r="T6078" s="3">
        <f>IF(ISERROR(VLOOKUP(Base_Periodo1[[#This Row],[CONTA]],BaseContasDRE[#All],5,FALSE)),"Fora do DRE",VLOOKUP(Base_Periodo1[[#This Row],[CONTA]],BaseContasDRE[#All],6,FALSE))</f>
        <v>3</v>
      </c>
      <c r="U6078" s="3" t="str">
        <f>IF(ISERROR(VLOOKUP(Base_Periodo1[[#This Row],[CONTA]],BaseContasDRE[#All],7,FALSE)),"Fora do DRE",VLOOKUP(Base_Periodo1[[#This Row],[CONTA]],BaseContasDRE[#All],7,FALSE))</f>
        <v>PRODUÇÃO DE SEMENTES</v>
      </c>
      <c r="V6078" s="3" t="str">
        <f>IF(Base_Periodo1[[#This Row],[Tipo_Linha]]="Fora do DRE","Fora do DRE","( "&amp;Base_Periodo1[[#This Row],[Tipo_Linha]]&amp;" ) "&amp;Base_Periodo1[[#This Row],[Filtro]])</f>
        <v>( - ) PRODUÇÃO DE SEMENTES</v>
      </c>
      <c r="W6078" s="3" t="str">
        <f>LEFT(Base_Periodo1[[#This Row],[CLASS]],3)</f>
        <v>3.1</v>
      </c>
    </row>
    <row r="6079" spans="1:23" hidden="1">
      <c r="A6079" s="3" t="str">
        <f t="shared" si="94"/>
        <v>Período 1</v>
      </c>
      <c r="B6079">
        <v>31474</v>
      </c>
      <c r="C6079" t="s">
        <v>3732</v>
      </c>
      <c r="D6079" t="s">
        <v>1493</v>
      </c>
      <c r="E6079" s="3" t="str">
        <f>IF(LEN(Base_Periodo1[[#This Row],[CLASS]])&gt;=7,LEFT(Base_Periodo1[[#This Row],[CLASS]],7),"")</f>
        <v>3.1.1.1</v>
      </c>
      <c r="F6079" s="3" t="e">
        <f>VLOOKUP(Base_Periodo1[[#This Row],[Aux]],Base_Contas_Balanco[#All],2,FALSE)</f>
        <v>#N/A</v>
      </c>
      <c r="G6079" s="1"/>
      <c r="H6079" s="225">
        <v>765734.03999998979</v>
      </c>
      <c r="I6079" s="225">
        <v>1444504.69</v>
      </c>
      <c r="J6079" s="225">
        <v>1698379.89</v>
      </c>
      <c r="K6079" s="225">
        <v>1019609.2399999897</v>
      </c>
      <c r="L60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1019609.24</v>
      </c>
      <c r="M6079" s="225">
        <f>ROUND(IF(AND(Base_Periodo1[[#This Row],[Tipo_Linha]]="-",Base_Periodo1[[#This Row],[TIPOSALDO]]="D"),Base_Periodo1[[#This Row],[SALDO_ATUAL]]*-1,Base_Periodo1[[#This Row],[SALDO_ATUAL]]),4)</f>
        <v>1019609.24</v>
      </c>
      <c r="N6079" t="s">
        <v>396</v>
      </c>
      <c r="O6079" t="s">
        <v>459</v>
      </c>
      <c r="P6079" t="s">
        <v>459</v>
      </c>
      <c r="Q6079">
        <v>7</v>
      </c>
      <c r="R6079" s="282">
        <f>Base_Periodo1[[#This Row],[CREDITOS]]-Base_Periodo1[[#This Row],[DEBITOS]]</f>
        <v>253875.19999999995</v>
      </c>
      <c r="S6079" s="3" t="str">
        <f>IF(ISERROR(VLOOKUP(Base_Periodo1[[#This Row],[CONTA]],BaseContasDRE[#All],4,FALSE)),"Fora do DRE",VLOOKUP(Base_Periodo1[[#This Row],[CONTA]],BaseContasDRE[#All],4,FALSE))</f>
        <v>Fora do DRE</v>
      </c>
      <c r="T6079" s="3" t="str">
        <f>IF(ISERROR(VLOOKUP(Base_Periodo1[[#This Row],[CONTA]],BaseContasDRE[#All],5,FALSE)),"Fora do DRE",VLOOKUP(Base_Periodo1[[#This Row],[CONTA]],BaseContasDRE[#All],6,FALSE))</f>
        <v>Fora do DRE</v>
      </c>
      <c r="U6079" s="3" t="str">
        <f>IF(ISERROR(VLOOKUP(Base_Periodo1[[#This Row],[CONTA]],BaseContasDRE[#All],7,FALSE)),"Fora do DRE",VLOOKUP(Base_Periodo1[[#This Row],[CONTA]],BaseContasDRE[#All],7,FALSE))</f>
        <v>Fora do DRE</v>
      </c>
      <c r="V6079" s="3" t="str">
        <f>IF(Base_Periodo1[[#This Row],[Tipo_Linha]]="Fora do DRE","Fora do DRE","( "&amp;Base_Periodo1[[#This Row],[Tipo_Linha]]&amp;" ) "&amp;Base_Periodo1[[#This Row],[Filtro]])</f>
        <v>Fora do DRE</v>
      </c>
      <c r="W6079" s="3" t="str">
        <f>LEFT(Base_Periodo1[[#This Row],[CLASS]],3)</f>
        <v>3.1</v>
      </c>
    </row>
    <row r="6080" spans="1:23" hidden="1">
      <c r="A6080" s="3" t="str">
        <f t="shared" si="94"/>
        <v>Período 1</v>
      </c>
      <c r="B6080">
        <v>31475</v>
      </c>
      <c r="C6080" t="s">
        <v>3733</v>
      </c>
      <c r="D6080" t="s">
        <v>3562</v>
      </c>
      <c r="E6080" s="3" t="str">
        <f>IF(LEN(Base_Periodo1[[#This Row],[CLASS]])&gt;=7,LEFT(Base_Periodo1[[#This Row],[CLASS]],7),"")</f>
        <v>3.1.1.1</v>
      </c>
      <c r="F6080" s="3" t="e">
        <f>VLOOKUP(Base_Periodo1[[#This Row],[Aux]],Base_Contas_Balanco[#All],2,FALSE)</f>
        <v>#N/A</v>
      </c>
      <c r="G6080" s="1"/>
      <c r="H6080" s="225">
        <v>1337290.5399999879</v>
      </c>
      <c r="I6080" s="225">
        <v>734523.64</v>
      </c>
      <c r="J6080" s="225">
        <v>1288026.44</v>
      </c>
      <c r="K6080" s="225">
        <v>1890793.3399999877</v>
      </c>
      <c r="L60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1890793.34</v>
      </c>
      <c r="M6080" s="225">
        <f>ROUND(IF(AND(Base_Periodo1[[#This Row],[Tipo_Linha]]="-",Base_Periodo1[[#This Row],[TIPOSALDO]]="D"),Base_Periodo1[[#This Row],[SALDO_ATUAL]]*-1,Base_Periodo1[[#This Row],[SALDO_ATUAL]]),4)</f>
        <v>1890793.34</v>
      </c>
      <c r="N6080" t="s">
        <v>396</v>
      </c>
      <c r="O6080" t="s">
        <v>459</v>
      </c>
      <c r="P6080" t="s">
        <v>459</v>
      </c>
      <c r="Q6080">
        <v>8</v>
      </c>
      <c r="R6080" s="282">
        <f>Base_Periodo1[[#This Row],[CREDITOS]]-Base_Periodo1[[#This Row],[DEBITOS]]</f>
        <v>553502.79999999993</v>
      </c>
      <c r="S6080" s="3" t="str">
        <f>IF(ISERROR(VLOOKUP(Base_Periodo1[[#This Row],[CONTA]],BaseContasDRE[#All],4,FALSE)),"Fora do DRE",VLOOKUP(Base_Periodo1[[#This Row],[CONTA]],BaseContasDRE[#All],4,FALSE))</f>
        <v>Fora do DRE</v>
      </c>
      <c r="T6080" s="3" t="str">
        <f>IF(ISERROR(VLOOKUP(Base_Periodo1[[#This Row],[CONTA]],BaseContasDRE[#All],5,FALSE)),"Fora do DRE",VLOOKUP(Base_Periodo1[[#This Row],[CONTA]],BaseContasDRE[#All],6,FALSE))</f>
        <v>Fora do DRE</v>
      </c>
      <c r="U6080" s="3" t="str">
        <f>IF(ISERROR(VLOOKUP(Base_Periodo1[[#This Row],[CONTA]],BaseContasDRE[#All],7,FALSE)),"Fora do DRE",VLOOKUP(Base_Periodo1[[#This Row],[CONTA]],BaseContasDRE[#All],7,FALSE))</f>
        <v>Fora do DRE</v>
      </c>
      <c r="V6080" s="3" t="str">
        <f>IF(Base_Periodo1[[#This Row],[Tipo_Linha]]="Fora do DRE","Fora do DRE","( "&amp;Base_Periodo1[[#This Row],[Tipo_Linha]]&amp;" ) "&amp;Base_Periodo1[[#This Row],[Filtro]])</f>
        <v>Fora do DRE</v>
      </c>
      <c r="W6080" s="3" t="str">
        <f>LEFT(Base_Periodo1[[#This Row],[CLASS]],3)</f>
        <v>3.1</v>
      </c>
    </row>
    <row r="6081" spans="1:23" hidden="1">
      <c r="A6081" s="3" t="str">
        <f t="shared" si="94"/>
        <v>Período 1</v>
      </c>
      <c r="B6081">
        <v>31476</v>
      </c>
      <c r="C6081" t="s">
        <v>3734</v>
      </c>
      <c r="D6081" t="s">
        <v>3562</v>
      </c>
      <c r="E6081" s="3" t="str">
        <f>IF(LEN(Base_Periodo1[[#This Row],[CLASS]])&gt;=7,LEFT(Base_Periodo1[[#This Row],[CLASS]],7),"")</f>
        <v>3.1.1.1</v>
      </c>
      <c r="F6081" s="3" t="e">
        <f>VLOOKUP(Base_Periodo1[[#This Row],[Aux]],Base_Contas_Balanco[#All],2,FALSE)</f>
        <v>#N/A</v>
      </c>
      <c r="G6081" s="1">
        <v>42886</v>
      </c>
      <c r="H6081" s="225">
        <v>1337290.5399999879</v>
      </c>
      <c r="I6081" s="225">
        <v>734523.64</v>
      </c>
      <c r="J6081" s="225">
        <v>1288026.44</v>
      </c>
      <c r="K6081" s="225">
        <v>1890793.3399999877</v>
      </c>
      <c r="L60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1890793.34</v>
      </c>
      <c r="M6081" s="225">
        <f>ROUND(IF(AND(Base_Periodo1[[#This Row],[Tipo_Linha]]="-",Base_Periodo1[[#This Row],[TIPOSALDO]]="D"),Base_Periodo1[[#This Row],[SALDO_ATUAL]]*-1,Base_Periodo1[[#This Row],[SALDO_ATUAL]]),4)</f>
        <v>1890793.34</v>
      </c>
      <c r="N6081" t="s">
        <v>116</v>
      </c>
      <c r="O6081" t="s">
        <v>459</v>
      </c>
      <c r="P6081" t="s">
        <v>459</v>
      </c>
      <c r="Q6081">
        <v>9</v>
      </c>
      <c r="R6081" s="282">
        <f>Base_Periodo1[[#This Row],[CREDITOS]]-Base_Periodo1[[#This Row],[DEBITOS]]</f>
        <v>553502.79999999993</v>
      </c>
      <c r="S6081" s="3" t="str">
        <f>IF(ISERROR(VLOOKUP(Base_Periodo1[[#This Row],[CONTA]],BaseContasDRE[#All],4,FALSE)),"Fora do DRE",VLOOKUP(Base_Periodo1[[#This Row],[CONTA]],BaseContasDRE[#All],4,FALSE))</f>
        <v>+</v>
      </c>
      <c r="T6081" s="3">
        <f>IF(ISERROR(VLOOKUP(Base_Periodo1[[#This Row],[CONTA]],BaseContasDRE[#All],5,FALSE)),"Fora do DRE",VLOOKUP(Base_Periodo1[[#This Row],[CONTA]],BaseContasDRE[#All],6,FALSE))</f>
        <v>1</v>
      </c>
      <c r="U6081" s="3" t="str">
        <f>IF(ISERROR(VLOOKUP(Base_Periodo1[[#This Row],[CONTA]],BaseContasDRE[#All],7,FALSE)),"Fora do DRE",VLOOKUP(Base_Periodo1[[#This Row],[CONTA]],BaseContasDRE[#All],7,FALSE))</f>
        <v>SEMENTES PRODUZIDAS</v>
      </c>
      <c r="V6081" s="3" t="str">
        <f>IF(Base_Periodo1[[#This Row],[Tipo_Linha]]="Fora do DRE","Fora do DRE","( "&amp;Base_Periodo1[[#This Row],[Tipo_Linha]]&amp;" ) "&amp;Base_Periodo1[[#This Row],[Filtro]])</f>
        <v>( + ) SEMENTES PRODUZIDAS</v>
      </c>
      <c r="W6081" s="3" t="str">
        <f>LEFT(Base_Periodo1[[#This Row],[CLASS]],3)</f>
        <v>3.1</v>
      </c>
    </row>
    <row r="6082" spans="1:23" hidden="1">
      <c r="A6082" s="3" t="str">
        <f t="shared" si="94"/>
        <v>Período 1</v>
      </c>
      <c r="B6082">
        <v>31477</v>
      </c>
      <c r="C6082" t="s">
        <v>3735</v>
      </c>
      <c r="D6082" t="s">
        <v>3563</v>
      </c>
      <c r="E6082" s="3" t="str">
        <f>IF(LEN(Base_Periodo1[[#This Row],[CLASS]])&gt;=7,LEFT(Base_Periodo1[[#This Row],[CLASS]],7),"")</f>
        <v>3.1.1.1</v>
      </c>
      <c r="F6082" s="3" t="e">
        <f>VLOOKUP(Base_Periodo1[[#This Row],[Aux]],Base_Contas_Balanco[#All],2,FALSE)</f>
        <v>#N/A</v>
      </c>
      <c r="G6082" s="1"/>
      <c r="H6082" s="225">
        <v>2234</v>
      </c>
      <c r="I6082" s="225">
        <v>16800</v>
      </c>
      <c r="J6082" s="225">
        <v>0</v>
      </c>
      <c r="K6082" s="225">
        <v>19034</v>
      </c>
      <c r="L60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-19034</v>
      </c>
      <c r="M6082" s="225">
        <f>ROUND(IF(AND(Base_Periodo1[[#This Row],[Tipo_Linha]]="-",Base_Periodo1[[#This Row],[TIPOSALDO]]="D"),Base_Periodo1[[#This Row],[SALDO_ATUAL]]*-1,Base_Periodo1[[#This Row],[SALDO_ATUAL]]),4)</f>
        <v>19034</v>
      </c>
      <c r="N6082" t="s">
        <v>396</v>
      </c>
      <c r="O6082" t="s">
        <v>397</v>
      </c>
      <c r="P6082" t="s">
        <v>397</v>
      </c>
      <c r="Q6082">
        <v>8</v>
      </c>
      <c r="R6082" s="282">
        <f>Base_Periodo1[[#This Row],[CREDITOS]]-Base_Periodo1[[#This Row],[DEBITOS]]</f>
        <v>-16800</v>
      </c>
      <c r="S6082" s="3" t="str">
        <f>IF(ISERROR(VLOOKUP(Base_Periodo1[[#This Row],[CONTA]],BaseContasDRE[#All],4,FALSE)),"Fora do DRE",VLOOKUP(Base_Periodo1[[#This Row],[CONTA]],BaseContasDRE[#All],4,FALSE))</f>
        <v>Fora do DRE</v>
      </c>
      <c r="T6082" s="3" t="str">
        <f>IF(ISERROR(VLOOKUP(Base_Periodo1[[#This Row],[CONTA]],BaseContasDRE[#All],5,FALSE)),"Fora do DRE",VLOOKUP(Base_Periodo1[[#This Row],[CONTA]],BaseContasDRE[#All],6,FALSE))</f>
        <v>Fora do DRE</v>
      </c>
      <c r="U6082" s="3" t="str">
        <f>IF(ISERROR(VLOOKUP(Base_Periodo1[[#This Row],[CONTA]],BaseContasDRE[#All],7,FALSE)),"Fora do DRE",VLOOKUP(Base_Periodo1[[#This Row],[CONTA]],BaseContasDRE[#All],7,FALSE))</f>
        <v>Fora do DRE</v>
      </c>
      <c r="V6082" s="3" t="str">
        <f>IF(Base_Periodo1[[#This Row],[Tipo_Linha]]="Fora do DRE","Fora do DRE","( "&amp;Base_Periodo1[[#This Row],[Tipo_Linha]]&amp;" ) "&amp;Base_Periodo1[[#This Row],[Filtro]])</f>
        <v>Fora do DRE</v>
      </c>
      <c r="W6082" s="3" t="str">
        <f>LEFT(Base_Periodo1[[#This Row],[CLASS]],3)</f>
        <v>3.1</v>
      </c>
    </row>
    <row r="6083" spans="1:23" hidden="1">
      <c r="A6083" s="3" t="str">
        <f t="shared" si="94"/>
        <v>Período 1</v>
      </c>
      <c r="B6083">
        <v>31478</v>
      </c>
      <c r="C6083" t="s">
        <v>3736</v>
      </c>
      <c r="D6083" t="s">
        <v>3564</v>
      </c>
      <c r="E6083" s="3" t="str">
        <f>IF(LEN(Base_Periodo1[[#This Row],[CLASS]])&gt;=7,LEFT(Base_Periodo1[[#This Row],[CLASS]],7),"")</f>
        <v>3.1.1.1</v>
      </c>
      <c r="F6083" s="3" t="e">
        <f>VLOOKUP(Base_Periodo1[[#This Row],[Aux]],Base_Contas_Balanco[#All],2,FALSE)</f>
        <v>#N/A</v>
      </c>
      <c r="G6083" s="1">
        <v>42886</v>
      </c>
      <c r="H6083" s="225">
        <v>2234</v>
      </c>
      <c r="I6083" s="225">
        <v>16800</v>
      </c>
      <c r="J6083" s="225">
        <v>0</v>
      </c>
      <c r="K6083" s="225">
        <v>19034</v>
      </c>
      <c r="L60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-19034</v>
      </c>
      <c r="M6083" s="225">
        <f>ROUND(IF(AND(Base_Periodo1[[#This Row],[Tipo_Linha]]="-",Base_Periodo1[[#This Row],[TIPOSALDO]]="D"),Base_Periodo1[[#This Row],[SALDO_ATUAL]]*-1,Base_Periodo1[[#This Row],[SALDO_ATUAL]]),4)</f>
        <v>-19034</v>
      </c>
      <c r="N6083" t="s">
        <v>116</v>
      </c>
      <c r="O6083" t="s">
        <v>397</v>
      </c>
      <c r="P6083" t="s">
        <v>397</v>
      </c>
      <c r="Q6083">
        <v>9</v>
      </c>
      <c r="R6083" s="282">
        <f>Base_Periodo1[[#This Row],[CREDITOS]]-Base_Periodo1[[#This Row],[DEBITOS]]</f>
        <v>-16800</v>
      </c>
      <c r="S6083" s="3" t="str">
        <f>IF(ISERROR(VLOOKUP(Base_Periodo1[[#This Row],[CONTA]],BaseContasDRE[#All],4,FALSE)),"Fora do DRE",VLOOKUP(Base_Periodo1[[#This Row],[CONTA]],BaseContasDRE[#All],4,FALSE))</f>
        <v>-</v>
      </c>
      <c r="T6083" s="3">
        <f>IF(ISERROR(VLOOKUP(Base_Periodo1[[#This Row],[CONTA]],BaseContasDRE[#All],5,FALSE)),"Fora do DRE",VLOOKUP(Base_Periodo1[[#This Row],[CONTA]],BaseContasDRE[#All],6,FALSE))</f>
        <v>2</v>
      </c>
      <c r="U6083" s="3" t="str">
        <f>IF(ISERROR(VLOOKUP(Base_Periodo1[[#This Row],[CONTA]],BaseContasDRE[#All],7,FALSE)),"Fora do DRE",VLOOKUP(Base_Periodo1[[#This Row],[CONTA]],BaseContasDRE[#All],7,FALSE))</f>
        <v>DEVOLUÇÃO DE SEMENTE PRODUZIDA</v>
      </c>
      <c r="V6083" s="3" t="str">
        <f>IF(Base_Periodo1[[#This Row],[Tipo_Linha]]="Fora do DRE","Fora do DRE","( "&amp;Base_Periodo1[[#This Row],[Tipo_Linha]]&amp;" ) "&amp;Base_Periodo1[[#This Row],[Filtro]])</f>
        <v>( - ) DEVOLUÇÃO DE SEMENTE PRODUZIDA</v>
      </c>
      <c r="W6083" s="3" t="str">
        <f>LEFT(Base_Periodo1[[#This Row],[CLASS]],3)</f>
        <v>3.1</v>
      </c>
    </row>
    <row r="6084" spans="1:23" hidden="1">
      <c r="A6084" s="3" t="str">
        <f t="shared" si="94"/>
        <v>Período 1</v>
      </c>
      <c r="B6084">
        <v>31977</v>
      </c>
      <c r="C6084" t="s">
        <v>5807</v>
      </c>
      <c r="D6084" t="s">
        <v>3565</v>
      </c>
      <c r="E6084" s="3" t="str">
        <f>IF(LEN(Base_Periodo1[[#This Row],[CLASS]])&gt;=7,LEFT(Base_Periodo1[[#This Row],[CLASS]],7),"")</f>
        <v>3.1.1.1</v>
      </c>
      <c r="F6084" s="3" t="e">
        <f>VLOOKUP(Base_Periodo1[[#This Row],[Aux]],Base_Contas_Balanco[#All],2,FALSE)</f>
        <v>#N/A</v>
      </c>
      <c r="G6084" s="1"/>
      <c r="H6084" s="225">
        <v>16756.919999999984</v>
      </c>
      <c r="I6084" s="225">
        <v>43325.02</v>
      </c>
      <c r="J6084" s="225">
        <v>16756.919999999998</v>
      </c>
      <c r="K6084" s="225">
        <v>43325.019999999982</v>
      </c>
      <c r="L60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-43325.02</v>
      </c>
      <c r="M6084" s="225">
        <f>ROUND(IF(AND(Base_Periodo1[[#This Row],[Tipo_Linha]]="-",Base_Periodo1[[#This Row],[TIPOSALDO]]="D"),Base_Periodo1[[#This Row],[SALDO_ATUAL]]*-1,Base_Periodo1[[#This Row],[SALDO_ATUAL]]),4)</f>
        <v>43325.02</v>
      </c>
      <c r="N6084" t="s">
        <v>396</v>
      </c>
      <c r="O6084" t="s">
        <v>397</v>
      </c>
      <c r="P6084" t="s">
        <v>397</v>
      </c>
      <c r="Q6084">
        <v>8</v>
      </c>
      <c r="R6084" s="282">
        <f>Base_Periodo1[[#This Row],[CREDITOS]]-Base_Periodo1[[#This Row],[DEBITOS]]</f>
        <v>-26568.1</v>
      </c>
      <c r="S6084" s="3" t="str">
        <f>IF(ISERROR(VLOOKUP(Base_Periodo1[[#This Row],[CONTA]],BaseContasDRE[#All],4,FALSE)),"Fora do DRE",VLOOKUP(Base_Periodo1[[#This Row],[CONTA]],BaseContasDRE[#All],4,FALSE))</f>
        <v>Fora do DRE</v>
      </c>
      <c r="T6084" s="3" t="str">
        <f>IF(ISERROR(VLOOKUP(Base_Periodo1[[#This Row],[CONTA]],BaseContasDRE[#All],5,FALSE)),"Fora do DRE",VLOOKUP(Base_Periodo1[[#This Row],[CONTA]],BaseContasDRE[#All],6,FALSE))</f>
        <v>Fora do DRE</v>
      </c>
      <c r="U6084" s="3" t="str">
        <f>IF(ISERROR(VLOOKUP(Base_Periodo1[[#This Row],[CONTA]],BaseContasDRE[#All],7,FALSE)),"Fora do DRE",VLOOKUP(Base_Periodo1[[#This Row],[CONTA]],BaseContasDRE[#All],7,FALSE))</f>
        <v>Fora do DRE</v>
      </c>
      <c r="V6084" s="3" t="str">
        <f>IF(Base_Periodo1[[#This Row],[Tipo_Linha]]="Fora do DRE","Fora do DRE","( "&amp;Base_Periodo1[[#This Row],[Tipo_Linha]]&amp;" ) "&amp;Base_Periodo1[[#This Row],[Filtro]])</f>
        <v>Fora do DRE</v>
      </c>
      <c r="W6084" s="3" t="str">
        <f>LEFT(Base_Periodo1[[#This Row],[CLASS]],3)</f>
        <v>3.1</v>
      </c>
    </row>
    <row r="6085" spans="1:23" hidden="1">
      <c r="A6085" s="3" t="str">
        <f t="shared" si="94"/>
        <v>Período 1</v>
      </c>
      <c r="B6085">
        <v>31978</v>
      </c>
      <c r="C6085" t="s">
        <v>5808</v>
      </c>
      <c r="D6085" t="s">
        <v>3566</v>
      </c>
      <c r="E6085" s="3" t="str">
        <f>IF(LEN(Base_Periodo1[[#This Row],[CLASS]])&gt;=7,LEFT(Base_Periodo1[[#This Row],[CLASS]],7),"")</f>
        <v>3.1.1.1</v>
      </c>
      <c r="F6085" s="3" t="e">
        <f>VLOOKUP(Base_Periodo1[[#This Row],[Aux]],Base_Contas_Balanco[#All],2,FALSE)</f>
        <v>#N/A</v>
      </c>
      <c r="G6085" s="1">
        <v>42886</v>
      </c>
      <c r="H6085" s="225">
        <v>16756.919999999984</v>
      </c>
      <c r="I6085" s="225">
        <v>43325.02</v>
      </c>
      <c r="J6085" s="225">
        <v>16756.919999999998</v>
      </c>
      <c r="K6085" s="225">
        <v>43325.019999999982</v>
      </c>
      <c r="L60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-43325.02</v>
      </c>
      <c r="M6085" s="225">
        <f>ROUND(IF(AND(Base_Periodo1[[#This Row],[Tipo_Linha]]="-",Base_Periodo1[[#This Row],[TIPOSALDO]]="D"),Base_Periodo1[[#This Row],[SALDO_ATUAL]]*-1,Base_Periodo1[[#This Row],[SALDO_ATUAL]]),4)</f>
        <v>-43325.02</v>
      </c>
      <c r="N6085" t="s">
        <v>116</v>
      </c>
      <c r="O6085" t="s">
        <v>397</v>
      </c>
      <c r="P6085" t="s">
        <v>397</v>
      </c>
      <c r="Q6085">
        <v>9</v>
      </c>
      <c r="R6085" s="282">
        <f>Base_Periodo1[[#This Row],[CREDITOS]]-Base_Periodo1[[#This Row],[DEBITOS]]</f>
        <v>-26568.1</v>
      </c>
      <c r="S6085" s="3" t="str">
        <f>IF(ISERROR(VLOOKUP(Base_Periodo1[[#This Row],[CONTA]],BaseContasDRE[#All],4,FALSE)),"Fora do DRE",VLOOKUP(Base_Periodo1[[#This Row],[CONTA]],BaseContasDRE[#All],4,FALSE))</f>
        <v>-</v>
      </c>
      <c r="T6085" s="3">
        <f>IF(ISERROR(VLOOKUP(Base_Periodo1[[#This Row],[CONTA]],BaseContasDRE[#All],5,FALSE)),"Fora do DRE",VLOOKUP(Base_Periodo1[[#This Row],[CONTA]],BaseContasDRE[#All],6,FALSE))</f>
        <v>2</v>
      </c>
      <c r="U6085" s="3" t="str">
        <f>IF(ISERROR(VLOOKUP(Base_Periodo1[[#This Row],[CONTA]],BaseContasDRE[#All],7,FALSE)),"Fora do DRE",VLOOKUP(Base_Periodo1[[#This Row],[CONTA]],BaseContasDRE[#All],7,FALSE))</f>
        <v>ICMS SOBRE INGRESSOS E RECEITAS</v>
      </c>
      <c r="V6085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085" s="3" t="str">
        <f>LEFT(Base_Periodo1[[#This Row],[CLASS]],3)</f>
        <v>3.1</v>
      </c>
    </row>
    <row r="6086" spans="1:23" hidden="1">
      <c r="A6086" s="3" t="str">
        <f t="shared" ref="A6086:A6149" si="95">"Período 1"</f>
        <v>Período 1</v>
      </c>
      <c r="B6086">
        <v>31479</v>
      </c>
      <c r="C6086" t="s">
        <v>4414</v>
      </c>
      <c r="D6086" t="s">
        <v>3567</v>
      </c>
      <c r="E6086" s="3" t="str">
        <f>IF(LEN(Base_Periodo1[[#This Row],[CLASS]])&gt;=7,LEFT(Base_Periodo1[[#This Row],[CLASS]],7),"")</f>
        <v>3.1.1.1</v>
      </c>
      <c r="F6086" s="3" t="e">
        <f>VLOOKUP(Base_Periodo1[[#This Row],[Aux]],Base_Contas_Balanco[#All],2,FALSE)</f>
        <v>#N/A</v>
      </c>
      <c r="G6086" s="1"/>
      <c r="H6086" s="225">
        <v>552565.57999999821</v>
      </c>
      <c r="I6086" s="225">
        <v>649856.03</v>
      </c>
      <c r="J6086" s="225">
        <v>393596.53</v>
      </c>
      <c r="K6086" s="225">
        <v>808825.07999999821</v>
      </c>
      <c r="L60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-808825.08</v>
      </c>
      <c r="M6086" s="225">
        <f>ROUND(IF(AND(Base_Periodo1[[#This Row],[Tipo_Linha]]="-",Base_Periodo1[[#This Row],[TIPOSALDO]]="D"),Base_Periodo1[[#This Row],[SALDO_ATUAL]]*-1,Base_Periodo1[[#This Row],[SALDO_ATUAL]]),4)</f>
        <v>808825.08</v>
      </c>
      <c r="N6086" t="s">
        <v>396</v>
      </c>
      <c r="O6086" t="s">
        <v>397</v>
      </c>
      <c r="P6086" t="s">
        <v>397</v>
      </c>
      <c r="Q6086">
        <v>8</v>
      </c>
      <c r="R6086" s="282">
        <f>Base_Periodo1[[#This Row],[CREDITOS]]-Base_Periodo1[[#This Row],[DEBITOS]]</f>
        <v>-256259.5</v>
      </c>
      <c r="S6086" s="3" t="str">
        <f>IF(ISERROR(VLOOKUP(Base_Periodo1[[#This Row],[CONTA]],BaseContasDRE[#All],4,FALSE)),"Fora do DRE",VLOOKUP(Base_Periodo1[[#This Row],[CONTA]],BaseContasDRE[#All],4,FALSE))</f>
        <v>Fora do DRE</v>
      </c>
      <c r="T6086" s="3" t="str">
        <f>IF(ISERROR(VLOOKUP(Base_Periodo1[[#This Row],[CONTA]],BaseContasDRE[#All],5,FALSE)),"Fora do DRE",VLOOKUP(Base_Periodo1[[#This Row],[CONTA]],BaseContasDRE[#All],6,FALSE))</f>
        <v>Fora do DRE</v>
      </c>
      <c r="U6086" s="3" t="str">
        <f>IF(ISERROR(VLOOKUP(Base_Periodo1[[#This Row],[CONTA]],BaseContasDRE[#All],7,FALSE)),"Fora do DRE",VLOOKUP(Base_Periodo1[[#This Row],[CONTA]],BaseContasDRE[#All],7,FALSE))</f>
        <v>Fora do DRE</v>
      </c>
      <c r="V6086" s="3" t="str">
        <f>IF(Base_Periodo1[[#This Row],[Tipo_Linha]]="Fora do DRE","Fora do DRE","( "&amp;Base_Periodo1[[#This Row],[Tipo_Linha]]&amp;" ) "&amp;Base_Periodo1[[#This Row],[Filtro]])</f>
        <v>Fora do DRE</v>
      </c>
      <c r="W6086" s="3" t="str">
        <f>LEFT(Base_Periodo1[[#This Row],[CLASS]],3)</f>
        <v>3.1</v>
      </c>
    </row>
    <row r="6087" spans="1:23" hidden="1">
      <c r="A6087" s="3" t="str">
        <f t="shared" si="95"/>
        <v>Período 1</v>
      </c>
      <c r="B6087">
        <v>31991</v>
      </c>
      <c r="C6087" t="s">
        <v>4415</v>
      </c>
      <c r="D6087" t="s">
        <v>3568</v>
      </c>
      <c r="E6087" s="3" t="str">
        <f>IF(LEN(Base_Periodo1[[#This Row],[CLASS]])&gt;=7,LEFT(Base_Periodo1[[#This Row],[CLASS]],7),"")</f>
        <v>3.1.1.1</v>
      </c>
      <c r="F6087" s="3" t="e">
        <f>VLOOKUP(Base_Periodo1[[#This Row],[Aux]],Base_Contas_Balanco[#All],2,FALSE)</f>
        <v>#N/A</v>
      </c>
      <c r="G6087" s="1">
        <v>42886</v>
      </c>
      <c r="H6087" s="225">
        <v>552565.57999999821</v>
      </c>
      <c r="I6087" s="225">
        <v>649856.03</v>
      </c>
      <c r="J6087" s="225">
        <v>393596.53</v>
      </c>
      <c r="K6087" s="225">
        <v>808825.07999999821</v>
      </c>
      <c r="L60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-808825.08</v>
      </c>
      <c r="M6087" s="225">
        <f>ROUND(IF(AND(Base_Periodo1[[#This Row],[Tipo_Linha]]="-",Base_Periodo1[[#This Row],[TIPOSALDO]]="D"),Base_Periodo1[[#This Row],[SALDO_ATUAL]]*-1,Base_Periodo1[[#This Row],[SALDO_ATUAL]]),4)</f>
        <v>-808825.08</v>
      </c>
      <c r="N6087" t="s">
        <v>116</v>
      </c>
      <c r="O6087" t="s">
        <v>397</v>
      </c>
      <c r="P6087" t="s">
        <v>397</v>
      </c>
      <c r="Q6087">
        <v>9</v>
      </c>
      <c r="R6087" s="282">
        <f>Base_Periodo1[[#This Row],[CREDITOS]]-Base_Periodo1[[#This Row],[DEBITOS]]</f>
        <v>-256259.5</v>
      </c>
      <c r="S6087" s="3" t="str">
        <f>IF(ISERROR(VLOOKUP(Base_Periodo1[[#This Row],[CONTA]],BaseContasDRE[#All],4,FALSE)),"Fora do DRE",VLOOKUP(Base_Periodo1[[#This Row],[CONTA]],BaseContasDRE[#All],4,FALSE))</f>
        <v>-</v>
      </c>
      <c r="T6087" s="3">
        <f>IF(ISERROR(VLOOKUP(Base_Periodo1[[#This Row],[CONTA]],BaseContasDRE[#All],5,FALSE)),"Fora do DRE",VLOOKUP(Base_Periodo1[[#This Row],[CONTA]],BaseContasDRE[#All],6,FALSE))</f>
        <v>3</v>
      </c>
      <c r="U6087" s="3" t="str">
        <f>IF(ISERROR(VLOOKUP(Base_Periodo1[[#This Row],[CONTA]],BaseContasDRE[#All],7,FALSE)),"Fora do DRE",VLOOKUP(Base_Periodo1[[#This Row],[CONTA]],BaseContasDRE[#All],7,FALSE))</f>
        <v>PRODUÇÃO DE SEMENTES</v>
      </c>
      <c r="V6087" s="3" t="str">
        <f>IF(Base_Periodo1[[#This Row],[Tipo_Linha]]="Fora do DRE","Fora do DRE","( "&amp;Base_Periodo1[[#This Row],[Tipo_Linha]]&amp;" ) "&amp;Base_Periodo1[[#This Row],[Filtro]])</f>
        <v>( - ) PRODUÇÃO DE SEMENTES</v>
      </c>
      <c r="W6087" s="3" t="str">
        <f>LEFT(Base_Periodo1[[#This Row],[CLASS]],3)</f>
        <v>3.1</v>
      </c>
    </row>
    <row r="6088" spans="1:23" hidden="1">
      <c r="A6088" s="3" t="str">
        <f t="shared" si="95"/>
        <v>Período 1</v>
      </c>
      <c r="B6088">
        <v>31489</v>
      </c>
      <c r="C6088" t="s">
        <v>3737</v>
      </c>
      <c r="D6088" t="s">
        <v>3738</v>
      </c>
      <c r="E6088" s="3" t="str">
        <f>IF(LEN(Base_Periodo1[[#This Row],[CLASS]])&gt;=7,LEFT(Base_Periodo1[[#This Row],[CLASS]],7),"")</f>
        <v>3.1.1.1</v>
      </c>
      <c r="F6088" s="3" t="e">
        <f>VLOOKUP(Base_Periodo1[[#This Row],[Aux]],Base_Contas_Balanco[#All],2,FALSE)</f>
        <v>#N/A</v>
      </c>
      <c r="G6088" s="1"/>
      <c r="H6088" s="225">
        <v>721801.59000002698</v>
      </c>
      <c r="I6088" s="225">
        <v>2460349.1100000003</v>
      </c>
      <c r="J6088" s="225">
        <v>2529110.25</v>
      </c>
      <c r="K6088" s="225">
        <v>790562.73000002652</v>
      </c>
      <c r="L60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790562.73</v>
      </c>
      <c r="M6088" s="225">
        <f>ROUND(IF(AND(Base_Periodo1[[#This Row],[Tipo_Linha]]="-",Base_Periodo1[[#This Row],[TIPOSALDO]]="D"),Base_Periodo1[[#This Row],[SALDO_ATUAL]]*-1,Base_Periodo1[[#This Row],[SALDO_ATUAL]]),4)</f>
        <v>790562.73</v>
      </c>
      <c r="N6088" t="s">
        <v>396</v>
      </c>
      <c r="O6088" t="s">
        <v>459</v>
      </c>
      <c r="P6088" t="s">
        <v>459</v>
      </c>
      <c r="Q6088">
        <v>6</v>
      </c>
      <c r="R6088" s="282">
        <f>Base_Periodo1[[#This Row],[CREDITOS]]-Base_Periodo1[[#This Row],[DEBITOS]]</f>
        <v>68761.139999999665</v>
      </c>
      <c r="S6088" s="3" t="str">
        <f>IF(ISERROR(VLOOKUP(Base_Periodo1[[#This Row],[CONTA]],BaseContasDRE[#All],4,FALSE)),"Fora do DRE",VLOOKUP(Base_Periodo1[[#This Row],[CONTA]],BaseContasDRE[#All],4,FALSE))</f>
        <v>Fora do DRE</v>
      </c>
      <c r="T6088" s="3" t="str">
        <f>IF(ISERROR(VLOOKUP(Base_Periodo1[[#This Row],[CONTA]],BaseContasDRE[#All],5,FALSE)),"Fora do DRE",VLOOKUP(Base_Periodo1[[#This Row],[CONTA]],BaseContasDRE[#All],6,FALSE))</f>
        <v>Fora do DRE</v>
      </c>
      <c r="U6088" s="3" t="str">
        <f>IF(ISERROR(VLOOKUP(Base_Periodo1[[#This Row],[CONTA]],BaseContasDRE[#All],7,FALSE)),"Fora do DRE",VLOOKUP(Base_Periodo1[[#This Row],[CONTA]],BaseContasDRE[#All],7,FALSE))</f>
        <v>Fora do DRE</v>
      </c>
      <c r="V6088" s="3" t="str">
        <f>IF(Base_Periodo1[[#This Row],[Tipo_Linha]]="Fora do DRE","Fora do DRE","( "&amp;Base_Periodo1[[#This Row],[Tipo_Linha]]&amp;" ) "&amp;Base_Periodo1[[#This Row],[Filtro]])</f>
        <v>Fora do DRE</v>
      </c>
      <c r="W6088" s="3" t="str">
        <f>LEFT(Base_Periodo1[[#This Row],[CLASS]],3)</f>
        <v>3.1</v>
      </c>
    </row>
    <row r="6089" spans="1:23" hidden="1">
      <c r="A6089" s="3" t="str">
        <f t="shared" si="95"/>
        <v>Período 1</v>
      </c>
      <c r="B6089">
        <v>31490</v>
      </c>
      <c r="C6089" t="s">
        <v>3739</v>
      </c>
      <c r="D6089" t="s">
        <v>1602</v>
      </c>
      <c r="E6089" s="3" t="str">
        <f>IF(LEN(Base_Periodo1[[#This Row],[CLASS]])&gt;=7,LEFT(Base_Periodo1[[#This Row],[CLASS]],7),"")</f>
        <v>3.1.1.1</v>
      </c>
      <c r="F6089" s="3" t="e">
        <f>VLOOKUP(Base_Periodo1[[#This Row],[Aux]],Base_Contas_Balanco[#All],2,FALSE)</f>
        <v>#N/A</v>
      </c>
      <c r="G6089" s="1"/>
      <c r="H6089" s="225">
        <v>4793.579999983267</v>
      </c>
      <c r="I6089" s="225">
        <v>85422.13</v>
      </c>
      <c r="J6089" s="225">
        <v>63886.869999999995</v>
      </c>
      <c r="K6089" s="225">
        <v>26328.839999983276</v>
      </c>
      <c r="L60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-26328.84</v>
      </c>
      <c r="M6089" s="225">
        <f>ROUND(IF(AND(Base_Periodo1[[#This Row],[Tipo_Linha]]="-",Base_Periodo1[[#This Row],[TIPOSALDO]]="D"),Base_Periodo1[[#This Row],[SALDO_ATUAL]]*-1,Base_Periodo1[[#This Row],[SALDO_ATUAL]]),4)</f>
        <v>26328.84</v>
      </c>
      <c r="N6089" t="s">
        <v>396</v>
      </c>
      <c r="O6089" t="s">
        <v>397</v>
      </c>
      <c r="P6089" t="s">
        <v>397</v>
      </c>
      <c r="Q6089">
        <v>7</v>
      </c>
      <c r="R6089" s="282">
        <f>Base_Periodo1[[#This Row],[CREDITOS]]-Base_Periodo1[[#This Row],[DEBITOS]]</f>
        <v>-21535.260000000009</v>
      </c>
      <c r="S6089" s="3" t="str">
        <f>IF(ISERROR(VLOOKUP(Base_Periodo1[[#This Row],[CONTA]],BaseContasDRE[#All],4,FALSE)),"Fora do DRE",VLOOKUP(Base_Periodo1[[#This Row],[CONTA]],BaseContasDRE[#All],4,FALSE))</f>
        <v>Fora do DRE</v>
      </c>
      <c r="T6089" s="3" t="str">
        <f>IF(ISERROR(VLOOKUP(Base_Periodo1[[#This Row],[CONTA]],BaseContasDRE[#All],5,FALSE)),"Fora do DRE",VLOOKUP(Base_Periodo1[[#This Row],[CONTA]],BaseContasDRE[#All],6,FALSE))</f>
        <v>Fora do DRE</v>
      </c>
      <c r="U6089" s="3" t="str">
        <f>IF(ISERROR(VLOOKUP(Base_Periodo1[[#This Row],[CONTA]],BaseContasDRE[#All],7,FALSE)),"Fora do DRE",VLOOKUP(Base_Periodo1[[#This Row],[CONTA]],BaseContasDRE[#All],7,FALSE))</f>
        <v>Fora do DRE</v>
      </c>
      <c r="V6089" s="3" t="str">
        <f>IF(Base_Periodo1[[#This Row],[Tipo_Linha]]="Fora do DRE","Fora do DRE","( "&amp;Base_Periodo1[[#This Row],[Tipo_Linha]]&amp;" ) "&amp;Base_Periodo1[[#This Row],[Filtro]])</f>
        <v>Fora do DRE</v>
      </c>
      <c r="W6089" s="3" t="str">
        <f>LEFT(Base_Periodo1[[#This Row],[CLASS]],3)</f>
        <v>3.1</v>
      </c>
    </row>
    <row r="6090" spans="1:23" hidden="1">
      <c r="A6090" s="3" t="str">
        <f t="shared" si="95"/>
        <v>Período 1</v>
      </c>
      <c r="B6090">
        <v>31491</v>
      </c>
      <c r="C6090" t="s">
        <v>3740</v>
      </c>
      <c r="D6090" t="s">
        <v>3562</v>
      </c>
      <c r="E6090" s="3" t="str">
        <f>IF(LEN(Base_Periodo1[[#This Row],[CLASS]])&gt;=7,LEFT(Base_Periodo1[[#This Row],[CLASS]],7),"")</f>
        <v>3.1.1.1</v>
      </c>
      <c r="F6090" s="3" t="e">
        <f>VLOOKUP(Base_Periodo1[[#This Row],[Aux]],Base_Contas_Balanco[#All],2,FALSE)</f>
        <v>#N/A</v>
      </c>
      <c r="G6090" s="1"/>
      <c r="H6090" s="225">
        <v>108008.57999999821</v>
      </c>
      <c r="I6090" s="225">
        <v>36722</v>
      </c>
      <c r="J6090" s="225">
        <v>36532.1</v>
      </c>
      <c r="K6090" s="225">
        <v>107818.67999999822</v>
      </c>
      <c r="L60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107818.68</v>
      </c>
      <c r="M6090" s="225">
        <f>ROUND(IF(AND(Base_Periodo1[[#This Row],[Tipo_Linha]]="-",Base_Periodo1[[#This Row],[TIPOSALDO]]="D"),Base_Periodo1[[#This Row],[SALDO_ATUAL]]*-1,Base_Periodo1[[#This Row],[SALDO_ATUAL]]),4)</f>
        <v>107818.68</v>
      </c>
      <c r="N6090" t="s">
        <v>396</v>
      </c>
      <c r="O6090" t="s">
        <v>459</v>
      </c>
      <c r="P6090" t="s">
        <v>459</v>
      </c>
      <c r="Q6090">
        <v>8</v>
      </c>
      <c r="R6090" s="282">
        <f>Base_Periodo1[[#This Row],[CREDITOS]]-Base_Periodo1[[#This Row],[DEBITOS]]</f>
        <v>-189.90000000000146</v>
      </c>
      <c r="S6090" s="3" t="str">
        <f>IF(ISERROR(VLOOKUP(Base_Periodo1[[#This Row],[CONTA]],BaseContasDRE[#All],4,FALSE)),"Fora do DRE",VLOOKUP(Base_Periodo1[[#This Row],[CONTA]],BaseContasDRE[#All],4,FALSE))</f>
        <v>Fora do DRE</v>
      </c>
      <c r="T6090" s="3" t="str">
        <f>IF(ISERROR(VLOOKUP(Base_Periodo1[[#This Row],[CONTA]],BaseContasDRE[#All],5,FALSE)),"Fora do DRE",VLOOKUP(Base_Periodo1[[#This Row],[CONTA]],BaseContasDRE[#All],6,FALSE))</f>
        <v>Fora do DRE</v>
      </c>
      <c r="U6090" s="3" t="str">
        <f>IF(ISERROR(VLOOKUP(Base_Periodo1[[#This Row],[CONTA]],BaseContasDRE[#All],7,FALSE)),"Fora do DRE",VLOOKUP(Base_Periodo1[[#This Row],[CONTA]],BaseContasDRE[#All],7,FALSE))</f>
        <v>Fora do DRE</v>
      </c>
      <c r="V6090" s="3" t="str">
        <f>IF(Base_Periodo1[[#This Row],[Tipo_Linha]]="Fora do DRE","Fora do DRE","( "&amp;Base_Periodo1[[#This Row],[Tipo_Linha]]&amp;" ) "&amp;Base_Periodo1[[#This Row],[Filtro]])</f>
        <v>Fora do DRE</v>
      </c>
      <c r="W6090" s="3" t="str">
        <f>LEFT(Base_Periodo1[[#This Row],[CLASS]],3)</f>
        <v>3.1</v>
      </c>
    </row>
    <row r="6091" spans="1:23" hidden="1">
      <c r="A6091" s="3" t="str">
        <f t="shared" si="95"/>
        <v>Período 1</v>
      </c>
      <c r="B6091">
        <v>31492</v>
      </c>
      <c r="C6091" t="s">
        <v>3741</v>
      </c>
      <c r="D6091" t="s">
        <v>3562</v>
      </c>
      <c r="E6091" s="3" t="str">
        <f>IF(LEN(Base_Periodo1[[#This Row],[CLASS]])&gt;=7,LEFT(Base_Periodo1[[#This Row],[CLASS]],7),"")</f>
        <v>3.1.1.1</v>
      </c>
      <c r="F6091" s="3" t="e">
        <f>VLOOKUP(Base_Periodo1[[#This Row],[Aux]],Base_Contas_Balanco[#All],2,FALSE)</f>
        <v>#N/A</v>
      </c>
      <c r="G6091" s="1">
        <v>42886</v>
      </c>
      <c r="H6091" s="225">
        <v>108008.57999999821</v>
      </c>
      <c r="I6091" s="225">
        <v>36722</v>
      </c>
      <c r="J6091" s="225">
        <v>36532.1</v>
      </c>
      <c r="K6091" s="225">
        <v>107818.67999999822</v>
      </c>
      <c r="L60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107818.68</v>
      </c>
      <c r="M6091" s="225">
        <f>ROUND(IF(AND(Base_Periodo1[[#This Row],[Tipo_Linha]]="-",Base_Periodo1[[#This Row],[TIPOSALDO]]="D"),Base_Periodo1[[#This Row],[SALDO_ATUAL]]*-1,Base_Periodo1[[#This Row],[SALDO_ATUAL]]),4)</f>
        <v>107818.68</v>
      </c>
      <c r="N6091" t="s">
        <v>116</v>
      </c>
      <c r="O6091" t="s">
        <v>459</v>
      </c>
      <c r="P6091" t="s">
        <v>459</v>
      </c>
      <c r="Q6091">
        <v>9</v>
      </c>
      <c r="R6091" s="282">
        <f>Base_Periodo1[[#This Row],[CREDITOS]]-Base_Periodo1[[#This Row],[DEBITOS]]</f>
        <v>-189.90000000000146</v>
      </c>
      <c r="S6091" s="3" t="str">
        <f>IF(ISERROR(VLOOKUP(Base_Periodo1[[#This Row],[CONTA]],BaseContasDRE[#All],4,FALSE)),"Fora do DRE",VLOOKUP(Base_Periodo1[[#This Row],[CONTA]],BaseContasDRE[#All],4,FALSE))</f>
        <v>+</v>
      </c>
      <c r="T6091" s="3">
        <f>IF(ISERROR(VLOOKUP(Base_Periodo1[[#This Row],[CONTA]],BaseContasDRE[#All],5,FALSE)),"Fora do DRE",VLOOKUP(Base_Periodo1[[#This Row],[CONTA]],BaseContasDRE[#All],6,FALSE))</f>
        <v>1</v>
      </c>
      <c r="U6091" s="3" t="str">
        <f>IF(ISERROR(VLOOKUP(Base_Periodo1[[#This Row],[CONTA]],BaseContasDRE[#All],7,FALSE)),"Fora do DRE",VLOOKUP(Base_Periodo1[[#This Row],[CONTA]],BaseContasDRE[#All],7,FALSE))</f>
        <v>SEMENTES PRODUZIDAS</v>
      </c>
      <c r="V6091" s="3" t="str">
        <f>IF(Base_Periodo1[[#This Row],[Tipo_Linha]]="Fora do DRE","Fora do DRE","( "&amp;Base_Periodo1[[#This Row],[Tipo_Linha]]&amp;" ) "&amp;Base_Periodo1[[#This Row],[Filtro]])</f>
        <v>( + ) SEMENTES PRODUZIDAS</v>
      </c>
      <c r="W6091" s="3" t="str">
        <f>LEFT(Base_Periodo1[[#This Row],[CLASS]],3)</f>
        <v>3.1</v>
      </c>
    </row>
    <row r="6092" spans="1:23" hidden="1">
      <c r="A6092" s="3" t="str">
        <f t="shared" si="95"/>
        <v>Período 1</v>
      </c>
      <c r="B6092">
        <v>35394</v>
      </c>
      <c r="C6092" t="s">
        <v>3742</v>
      </c>
      <c r="D6092" t="s">
        <v>3743</v>
      </c>
      <c r="E6092" s="3" t="str">
        <f>IF(LEN(Base_Periodo1[[#This Row],[CLASS]])&gt;=7,LEFT(Base_Periodo1[[#This Row],[CLASS]],7),"")</f>
        <v>3.1.1.1</v>
      </c>
      <c r="F6092" s="3" t="e">
        <f>VLOOKUP(Base_Periodo1[[#This Row],[Aux]],Base_Contas_Balanco[#All],2,FALSE)</f>
        <v>#N/A</v>
      </c>
      <c r="G6092" s="1"/>
      <c r="H6092" s="225">
        <v>41133.999999999942</v>
      </c>
      <c r="I6092" s="225">
        <v>0</v>
      </c>
      <c r="J6092" s="225">
        <v>0</v>
      </c>
      <c r="K6092" s="225">
        <v>41133.999999999942</v>
      </c>
      <c r="L60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-41134</v>
      </c>
      <c r="M6092" s="225">
        <f>ROUND(IF(AND(Base_Periodo1[[#This Row],[Tipo_Linha]]="-",Base_Periodo1[[#This Row],[TIPOSALDO]]="D"),Base_Periodo1[[#This Row],[SALDO_ATUAL]]*-1,Base_Periodo1[[#This Row],[SALDO_ATUAL]]),4)</f>
        <v>41134</v>
      </c>
      <c r="N6092" t="s">
        <v>396</v>
      </c>
      <c r="O6092" t="s">
        <v>397</v>
      </c>
      <c r="P6092" t="s">
        <v>397</v>
      </c>
      <c r="Q6092">
        <v>8</v>
      </c>
      <c r="R6092" s="282">
        <f>Base_Periodo1[[#This Row],[CREDITOS]]-Base_Periodo1[[#This Row],[DEBITOS]]</f>
        <v>0</v>
      </c>
      <c r="S6092" s="3" t="str">
        <f>IF(ISERROR(VLOOKUP(Base_Periodo1[[#This Row],[CONTA]],BaseContasDRE[#All],4,FALSE)),"Fora do DRE",VLOOKUP(Base_Periodo1[[#This Row],[CONTA]],BaseContasDRE[#All],4,FALSE))</f>
        <v>Fora do DRE</v>
      </c>
      <c r="T6092" s="3" t="str">
        <f>IF(ISERROR(VLOOKUP(Base_Periodo1[[#This Row],[CONTA]],BaseContasDRE[#All],5,FALSE)),"Fora do DRE",VLOOKUP(Base_Periodo1[[#This Row],[CONTA]],BaseContasDRE[#All],6,FALSE))</f>
        <v>Fora do DRE</v>
      </c>
      <c r="U6092" s="3" t="str">
        <f>IF(ISERROR(VLOOKUP(Base_Periodo1[[#This Row],[CONTA]],BaseContasDRE[#All],7,FALSE)),"Fora do DRE",VLOOKUP(Base_Periodo1[[#This Row],[CONTA]],BaseContasDRE[#All],7,FALSE))</f>
        <v>Fora do DRE</v>
      </c>
      <c r="V6092" s="3" t="str">
        <f>IF(Base_Periodo1[[#This Row],[Tipo_Linha]]="Fora do DRE","Fora do DRE","( "&amp;Base_Periodo1[[#This Row],[Tipo_Linha]]&amp;" ) "&amp;Base_Periodo1[[#This Row],[Filtro]])</f>
        <v>Fora do DRE</v>
      </c>
      <c r="W6092" s="3" t="str">
        <f>LEFT(Base_Periodo1[[#This Row],[CLASS]],3)</f>
        <v>3.1</v>
      </c>
    </row>
    <row r="6093" spans="1:23" hidden="1">
      <c r="A6093" s="3" t="str">
        <f t="shared" si="95"/>
        <v>Período 1</v>
      </c>
      <c r="B6093">
        <v>35395</v>
      </c>
      <c r="C6093" t="s">
        <v>3744</v>
      </c>
      <c r="D6093" t="s">
        <v>3564</v>
      </c>
      <c r="E6093" s="3" t="str">
        <f>IF(LEN(Base_Periodo1[[#This Row],[CLASS]])&gt;=7,LEFT(Base_Periodo1[[#This Row],[CLASS]],7),"")</f>
        <v>3.1.1.1</v>
      </c>
      <c r="F6093" s="3" t="e">
        <f>VLOOKUP(Base_Periodo1[[#This Row],[Aux]],Base_Contas_Balanco[#All],2,FALSE)</f>
        <v>#N/A</v>
      </c>
      <c r="G6093" s="1">
        <v>42886</v>
      </c>
      <c r="H6093" s="225">
        <v>41133.999999999942</v>
      </c>
      <c r="I6093" s="225">
        <v>0</v>
      </c>
      <c r="J6093" s="225">
        <v>0</v>
      </c>
      <c r="K6093" s="225">
        <v>41133.999999999942</v>
      </c>
      <c r="L60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-41134</v>
      </c>
      <c r="M6093" s="225">
        <f>ROUND(IF(AND(Base_Periodo1[[#This Row],[Tipo_Linha]]="-",Base_Periodo1[[#This Row],[TIPOSALDO]]="D"),Base_Periodo1[[#This Row],[SALDO_ATUAL]]*-1,Base_Periodo1[[#This Row],[SALDO_ATUAL]]),4)</f>
        <v>-41134</v>
      </c>
      <c r="N6093" t="s">
        <v>116</v>
      </c>
      <c r="O6093" t="s">
        <v>397</v>
      </c>
      <c r="P6093" t="s">
        <v>397</v>
      </c>
      <c r="Q6093">
        <v>9</v>
      </c>
      <c r="R6093" s="282">
        <f>Base_Periodo1[[#This Row],[CREDITOS]]-Base_Periodo1[[#This Row],[DEBITOS]]</f>
        <v>0</v>
      </c>
      <c r="S6093" s="3" t="str">
        <f>IF(ISERROR(VLOOKUP(Base_Periodo1[[#This Row],[CONTA]],BaseContasDRE[#All],4,FALSE)),"Fora do DRE",VLOOKUP(Base_Periodo1[[#This Row],[CONTA]],BaseContasDRE[#All],4,FALSE))</f>
        <v>-</v>
      </c>
      <c r="T6093" s="3">
        <f>IF(ISERROR(VLOOKUP(Base_Periodo1[[#This Row],[CONTA]],BaseContasDRE[#All],5,FALSE)),"Fora do DRE",VLOOKUP(Base_Periodo1[[#This Row],[CONTA]],BaseContasDRE[#All],6,FALSE))</f>
        <v>2</v>
      </c>
      <c r="U6093" s="3" t="str">
        <f>IF(ISERROR(VLOOKUP(Base_Periodo1[[#This Row],[CONTA]],BaseContasDRE[#All],7,FALSE)),"Fora do DRE",VLOOKUP(Base_Periodo1[[#This Row],[CONTA]],BaseContasDRE[#All],7,FALSE))</f>
        <v>DEVOLUÇÃO DE SEMENTE PRODUZIDA</v>
      </c>
      <c r="V6093" s="3" t="str">
        <f>IF(Base_Periodo1[[#This Row],[Tipo_Linha]]="Fora do DRE","Fora do DRE","( "&amp;Base_Periodo1[[#This Row],[Tipo_Linha]]&amp;" ) "&amp;Base_Periodo1[[#This Row],[Filtro]])</f>
        <v>( - ) DEVOLUÇÃO DE SEMENTE PRODUZIDA</v>
      </c>
      <c r="W6093" s="3" t="str">
        <f>LEFT(Base_Periodo1[[#This Row],[CLASS]],3)</f>
        <v>3.1</v>
      </c>
    </row>
    <row r="6094" spans="1:23" hidden="1">
      <c r="A6094" s="3" t="str">
        <f t="shared" si="95"/>
        <v>Período 1</v>
      </c>
      <c r="B6094">
        <v>31499</v>
      </c>
      <c r="C6094" t="s">
        <v>3745</v>
      </c>
      <c r="D6094" t="s">
        <v>3567</v>
      </c>
      <c r="E6094" s="3" t="str">
        <f>IF(LEN(Base_Periodo1[[#This Row],[CLASS]])&gt;=7,LEFT(Base_Periodo1[[#This Row],[CLASS]],7),"")</f>
        <v>3.1.1.1</v>
      </c>
      <c r="F6094" s="3" t="e">
        <f>VLOOKUP(Base_Periodo1[[#This Row],[Aux]],Base_Contas_Balanco[#All],2,FALSE)</f>
        <v>#N/A</v>
      </c>
      <c r="G6094" s="1"/>
      <c r="H6094" s="225">
        <v>71668.159999981523</v>
      </c>
      <c r="I6094" s="225">
        <v>48700.13</v>
      </c>
      <c r="J6094" s="225">
        <v>27354.77</v>
      </c>
      <c r="K6094" s="225">
        <v>93013.519999981523</v>
      </c>
      <c r="L60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-93013.52</v>
      </c>
      <c r="M6094" s="225">
        <f>ROUND(IF(AND(Base_Periodo1[[#This Row],[Tipo_Linha]]="-",Base_Periodo1[[#This Row],[TIPOSALDO]]="D"),Base_Periodo1[[#This Row],[SALDO_ATUAL]]*-1,Base_Periodo1[[#This Row],[SALDO_ATUAL]]),4)</f>
        <v>93013.52</v>
      </c>
      <c r="N6094" t="s">
        <v>396</v>
      </c>
      <c r="O6094" t="s">
        <v>397</v>
      </c>
      <c r="P6094" t="s">
        <v>397</v>
      </c>
      <c r="Q6094">
        <v>8</v>
      </c>
      <c r="R6094" s="282">
        <f>Base_Periodo1[[#This Row],[CREDITOS]]-Base_Periodo1[[#This Row],[DEBITOS]]</f>
        <v>-21345.359999999997</v>
      </c>
      <c r="S6094" s="3" t="str">
        <f>IF(ISERROR(VLOOKUP(Base_Periodo1[[#This Row],[CONTA]],BaseContasDRE[#All],4,FALSE)),"Fora do DRE",VLOOKUP(Base_Periodo1[[#This Row],[CONTA]],BaseContasDRE[#All],4,FALSE))</f>
        <v>Fora do DRE</v>
      </c>
      <c r="T6094" s="3" t="str">
        <f>IF(ISERROR(VLOOKUP(Base_Periodo1[[#This Row],[CONTA]],BaseContasDRE[#All],5,FALSE)),"Fora do DRE",VLOOKUP(Base_Periodo1[[#This Row],[CONTA]],BaseContasDRE[#All],6,FALSE))</f>
        <v>Fora do DRE</v>
      </c>
      <c r="U6094" s="3" t="str">
        <f>IF(ISERROR(VLOOKUP(Base_Periodo1[[#This Row],[CONTA]],BaseContasDRE[#All],7,FALSE)),"Fora do DRE",VLOOKUP(Base_Periodo1[[#This Row],[CONTA]],BaseContasDRE[#All],7,FALSE))</f>
        <v>Fora do DRE</v>
      </c>
      <c r="V6094" s="3" t="str">
        <f>IF(Base_Periodo1[[#This Row],[Tipo_Linha]]="Fora do DRE","Fora do DRE","( "&amp;Base_Periodo1[[#This Row],[Tipo_Linha]]&amp;" ) "&amp;Base_Periodo1[[#This Row],[Filtro]])</f>
        <v>Fora do DRE</v>
      </c>
      <c r="W6094" s="3" t="str">
        <f>LEFT(Base_Periodo1[[#This Row],[CLASS]],3)</f>
        <v>3.1</v>
      </c>
    </row>
    <row r="6095" spans="1:23" hidden="1">
      <c r="A6095" s="3" t="str">
        <f t="shared" si="95"/>
        <v>Período 1</v>
      </c>
      <c r="B6095">
        <v>31500</v>
      </c>
      <c r="C6095" t="s">
        <v>3746</v>
      </c>
      <c r="D6095" t="s">
        <v>3568</v>
      </c>
      <c r="E6095" s="3" t="str">
        <f>IF(LEN(Base_Periodo1[[#This Row],[CLASS]])&gt;=7,LEFT(Base_Periodo1[[#This Row],[CLASS]],7),"")</f>
        <v>3.1.1.1</v>
      </c>
      <c r="F6095" s="3" t="e">
        <f>VLOOKUP(Base_Periodo1[[#This Row],[Aux]],Base_Contas_Balanco[#All],2,FALSE)</f>
        <v>#N/A</v>
      </c>
      <c r="G6095" s="1">
        <v>42886</v>
      </c>
      <c r="H6095" s="225">
        <v>71668.159999981523</v>
      </c>
      <c r="I6095" s="225">
        <v>48700.13</v>
      </c>
      <c r="J6095" s="225">
        <v>27354.77</v>
      </c>
      <c r="K6095" s="225">
        <v>93013.519999981523</v>
      </c>
      <c r="L60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-93013.52</v>
      </c>
      <c r="M6095" s="225">
        <f>ROUND(IF(AND(Base_Periodo1[[#This Row],[Tipo_Linha]]="-",Base_Periodo1[[#This Row],[TIPOSALDO]]="D"),Base_Periodo1[[#This Row],[SALDO_ATUAL]]*-1,Base_Periodo1[[#This Row],[SALDO_ATUAL]]),4)</f>
        <v>-93013.52</v>
      </c>
      <c r="N6095" t="s">
        <v>116</v>
      </c>
      <c r="O6095" t="s">
        <v>397</v>
      </c>
      <c r="P6095" t="s">
        <v>397</v>
      </c>
      <c r="Q6095">
        <v>9</v>
      </c>
      <c r="R6095" s="282">
        <f>Base_Periodo1[[#This Row],[CREDITOS]]-Base_Periodo1[[#This Row],[DEBITOS]]</f>
        <v>-21345.359999999997</v>
      </c>
      <c r="S6095" s="3" t="str">
        <f>IF(ISERROR(VLOOKUP(Base_Periodo1[[#This Row],[CONTA]],BaseContasDRE[#All],4,FALSE)),"Fora do DRE",VLOOKUP(Base_Periodo1[[#This Row],[CONTA]],BaseContasDRE[#All],4,FALSE))</f>
        <v>-</v>
      </c>
      <c r="T6095" s="3">
        <f>IF(ISERROR(VLOOKUP(Base_Periodo1[[#This Row],[CONTA]],BaseContasDRE[#All],5,FALSE)),"Fora do DRE",VLOOKUP(Base_Periodo1[[#This Row],[CONTA]],BaseContasDRE[#All],6,FALSE))</f>
        <v>3</v>
      </c>
      <c r="U6095" s="3" t="str">
        <f>IF(ISERROR(VLOOKUP(Base_Periodo1[[#This Row],[CONTA]],BaseContasDRE[#All],7,FALSE)),"Fora do DRE",VLOOKUP(Base_Periodo1[[#This Row],[CONTA]],BaseContasDRE[#All],7,FALSE))</f>
        <v>PRODUÇÃO DE SEMENTES</v>
      </c>
      <c r="V6095" s="3" t="str">
        <f>IF(Base_Periodo1[[#This Row],[Tipo_Linha]]="Fora do DRE","Fora do DRE","( "&amp;Base_Periodo1[[#This Row],[Tipo_Linha]]&amp;" ) "&amp;Base_Periodo1[[#This Row],[Filtro]])</f>
        <v>( - ) PRODUÇÃO DE SEMENTES</v>
      </c>
      <c r="W6095" s="3" t="str">
        <f>LEFT(Base_Periodo1[[#This Row],[CLASS]],3)</f>
        <v>3.1</v>
      </c>
    </row>
    <row r="6096" spans="1:23" hidden="1">
      <c r="A6096" s="3" t="str">
        <f t="shared" si="95"/>
        <v>Período 1</v>
      </c>
      <c r="B6096">
        <v>31512</v>
      </c>
      <c r="C6096" t="s">
        <v>6611</v>
      </c>
      <c r="D6096" t="s">
        <v>4520</v>
      </c>
      <c r="E6096" s="3" t="str">
        <f>IF(LEN(Base_Periodo1[[#This Row],[CLASS]])&gt;=7,LEFT(Base_Periodo1[[#This Row],[CLASS]],7),"")</f>
        <v>3.1.1.1</v>
      </c>
      <c r="F6096" s="3" t="e">
        <f>VLOOKUP(Base_Periodo1[[#This Row],[Aux]],Base_Contas_Balanco[#All],2,FALSE)</f>
        <v>#N/A</v>
      </c>
      <c r="G6096" s="1"/>
      <c r="H6096" s="225">
        <v>181085.63000000978</v>
      </c>
      <c r="I6096" s="225">
        <v>2285111.81</v>
      </c>
      <c r="J6096" s="225">
        <v>2375408.21</v>
      </c>
      <c r="K6096" s="225">
        <v>271382.03000000957</v>
      </c>
      <c r="L60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271382.03000000003</v>
      </c>
      <c r="M6096" s="225">
        <f>ROUND(IF(AND(Base_Periodo1[[#This Row],[Tipo_Linha]]="-",Base_Periodo1[[#This Row],[TIPOSALDO]]="D"),Base_Periodo1[[#This Row],[SALDO_ATUAL]]*-1,Base_Periodo1[[#This Row],[SALDO_ATUAL]]),4)</f>
        <v>271382.03000000003</v>
      </c>
      <c r="N6096" t="s">
        <v>396</v>
      </c>
      <c r="O6096" t="s">
        <v>459</v>
      </c>
      <c r="P6096" t="s">
        <v>459</v>
      </c>
      <c r="Q6096">
        <v>7</v>
      </c>
      <c r="R6096" s="282">
        <f>Base_Periodo1[[#This Row],[CREDITOS]]-Base_Periodo1[[#This Row],[DEBITOS]]</f>
        <v>90296.399999999907</v>
      </c>
      <c r="S6096" s="3" t="str">
        <f>IF(ISERROR(VLOOKUP(Base_Periodo1[[#This Row],[CONTA]],BaseContasDRE[#All],4,FALSE)),"Fora do DRE",VLOOKUP(Base_Periodo1[[#This Row],[CONTA]],BaseContasDRE[#All],4,FALSE))</f>
        <v>Fora do DRE</v>
      </c>
      <c r="T6096" s="3" t="str">
        <f>IF(ISERROR(VLOOKUP(Base_Periodo1[[#This Row],[CONTA]],BaseContasDRE[#All],5,FALSE)),"Fora do DRE",VLOOKUP(Base_Periodo1[[#This Row],[CONTA]],BaseContasDRE[#All],6,FALSE))</f>
        <v>Fora do DRE</v>
      </c>
      <c r="U6096" s="3" t="str">
        <f>IF(ISERROR(VLOOKUP(Base_Periodo1[[#This Row],[CONTA]],BaseContasDRE[#All],7,FALSE)),"Fora do DRE",VLOOKUP(Base_Periodo1[[#This Row],[CONTA]],BaseContasDRE[#All],7,FALSE))</f>
        <v>Fora do DRE</v>
      </c>
      <c r="V6096" s="3" t="str">
        <f>IF(Base_Periodo1[[#This Row],[Tipo_Linha]]="Fora do DRE","Fora do DRE","( "&amp;Base_Periodo1[[#This Row],[Tipo_Linha]]&amp;" ) "&amp;Base_Periodo1[[#This Row],[Filtro]])</f>
        <v>Fora do DRE</v>
      </c>
      <c r="W6096" s="3" t="str">
        <f>LEFT(Base_Periodo1[[#This Row],[CLASS]],3)</f>
        <v>3.1</v>
      </c>
    </row>
    <row r="6097" spans="1:23" hidden="1">
      <c r="A6097" s="3" t="str">
        <f t="shared" si="95"/>
        <v>Período 1</v>
      </c>
      <c r="B6097">
        <v>31513</v>
      </c>
      <c r="C6097" t="s">
        <v>6612</v>
      </c>
      <c r="D6097" t="s">
        <v>3562</v>
      </c>
      <c r="E6097" s="3" t="str">
        <f>IF(LEN(Base_Periodo1[[#This Row],[CLASS]])&gt;=7,LEFT(Base_Periodo1[[#This Row],[CLASS]],7),"")</f>
        <v>3.1.1.1</v>
      </c>
      <c r="F6097" s="3" t="e">
        <f>VLOOKUP(Base_Periodo1[[#This Row],[Aux]],Base_Contas_Balanco[#All],2,FALSE)</f>
        <v>#N/A</v>
      </c>
      <c r="G6097" s="1"/>
      <c r="H6097" s="225">
        <v>833829.09000001103</v>
      </c>
      <c r="I6097" s="225">
        <v>828129.09</v>
      </c>
      <c r="J6097" s="225">
        <v>1726316.3599999999</v>
      </c>
      <c r="K6097" s="225">
        <v>1732016.360000011</v>
      </c>
      <c r="L60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1732016.36</v>
      </c>
      <c r="M6097" s="225">
        <f>ROUND(IF(AND(Base_Periodo1[[#This Row],[Tipo_Linha]]="-",Base_Periodo1[[#This Row],[TIPOSALDO]]="D"),Base_Periodo1[[#This Row],[SALDO_ATUAL]]*-1,Base_Periodo1[[#This Row],[SALDO_ATUAL]]),4)</f>
        <v>1732016.36</v>
      </c>
      <c r="N6097" t="s">
        <v>396</v>
      </c>
      <c r="O6097" t="s">
        <v>459</v>
      </c>
      <c r="P6097" t="s">
        <v>459</v>
      </c>
      <c r="Q6097">
        <v>8</v>
      </c>
      <c r="R6097" s="282">
        <f>Base_Periodo1[[#This Row],[CREDITOS]]-Base_Periodo1[[#This Row],[DEBITOS]]</f>
        <v>898187.2699999999</v>
      </c>
      <c r="S6097" s="3" t="str">
        <f>IF(ISERROR(VLOOKUP(Base_Periodo1[[#This Row],[CONTA]],BaseContasDRE[#All],4,FALSE)),"Fora do DRE",VLOOKUP(Base_Periodo1[[#This Row],[CONTA]],BaseContasDRE[#All],4,FALSE))</f>
        <v>Fora do DRE</v>
      </c>
      <c r="T6097" s="3" t="str">
        <f>IF(ISERROR(VLOOKUP(Base_Periodo1[[#This Row],[CONTA]],BaseContasDRE[#All],5,FALSE)),"Fora do DRE",VLOOKUP(Base_Periodo1[[#This Row],[CONTA]],BaseContasDRE[#All],6,FALSE))</f>
        <v>Fora do DRE</v>
      </c>
      <c r="U6097" s="3" t="str">
        <f>IF(ISERROR(VLOOKUP(Base_Periodo1[[#This Row],[CONTA]],BaseContasDRE[#All],7,FALSE)),"Fora do DRE",VLOOKUP(Base_Periodo1[[#This Row],[CONTA]],BaseContasDRE[#All],7,FALSE))</f>
        <v>Fora do DRE</v>
      </c>
      <c r="V6097" s="3" t="str">
        <f>IF(Base_Periodo1[[#This Row],[Tipo_Linha]]="Fora do DRE","Fora do DRE","( "&amp;Base_Periodo1[[#This Row],[Tipo_Linha]]&amp;" ) "&amp;Base_Periodo1[[#This Row],[Filtro]])</f>
        <v>Fora do DRE</v>
      </c>
      <c r="W6097" s="3" t="str">
        <f>LEFT(Base_Periodo1[[#This Row],[CLASS]],3)</f>
        <v>3.1</v>
      </c>
    </row>
    <row r="6098" spans="1:23" hidden="1">
      <c r="A6098" s="3" t="str">
        <f t="shared" si="95"/>
        <v>Período 1</v>
      </c>
      <c r="B6098">
        <v>31514</v>
      </c>
      <c r="C6098" t="s">
        <v>6613</v>
      </c>
      <c r="D6098" t="s">
        <v>3562</v>
      </c>
      <c r="E6098" s="3" t="str">
        <f>IF(LEN(Base_Periodo1[[#This Row],[CLASS]])&gt;=7,LEFT(Base_Periodo1[[#This Row],[CLASS]],7),"")</f>
        <v>3.1.1.1</v>
      </c>
      <c r="F6098" s="3" t="e">
        <f>VLOOKUP(Base_Periodo1[[#This Row],[Aux]],Base_Contas_Balanco[#All],2,FALSE)</f>
        <v>#N/A</v>
      </c>
      <c r="G6098" s="1">
        <v>42886</v>
      </c>
      <c r="H6098" s="225">
        <v>833829.09000001103</v>
      </c>
      <c r="I6098" s="225">
        <v>828129.09</v>
      </c>
      <c r="J6098" s="225">
        <v>1726316.3599999999</v>
      </c>
      <c r="K6098" s="225">
        <v>1732016.360000011</v>
      </c>
      <c r="L60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1732016.36</v>
      </c>
      <c r="M6098" s="225">
        <f>ROUND(IF(AND(Base_Periodo1[[#This Row],[Tipo_Linha]]="-",Base_Periodo1[[#This Row],[TIPOSALDO]]="D"),Base_Periodo1[[#This Row],[SALDO_ATUAL]]*-1,Base_Periodo1[[#This Row],[SALDO_ATUAL]]),4)</f>
        <v>1732016.36</v>
      </c>
      <c r="N6098" t="s">
        <v>116</v>
      </c>
      <c r="O6098" t="s">
        <v>459</v>
      </c>
      <c r="P6098" t="s">
        <v>459</v>
      </c>
      <c r="Q6098">
        <v>9</v>
      </c>
      <c r="R6098" s="282">
        <f>Base_Periodo1[[#This Row],[CREDITOS]]-Base_Periodo1[[#This Row],[DEBITOS]]</f>
        <v>898187.2699999999</v>
      </c>
      <c r="S6098" s="3" t="str">
        <f>IF(ISERROR(VLOOKUP(Base_Periodo1[[#This Row],[CONTA]],BaseContasDRE[#All],4,FALSE)),"Fora do DRE",VLOOKUP(Base_Periodo1[[#This Row],[CONTA]],BaseContasDRE[#All],4,FALSE))</f>
        <v>+</v>
      </c>
      <c r="T6098" s="3">
        <f>IF(ISERROR(VLOOKUP(Base_Periodo1[[#This Row],[CONTA]],BaseContasDRE[#All],5,FALSE)),"Fora do DRE",VLOOKUP(Base_Periodo1[[#This Row],[CONTA]],BaseContasDRE[#All],6,FALSE))</f>
        <v>1</v>
      </c>
      <c r="U6098" s="3" t="str">
        <f>IF(ISERROR(VLOOKUP(Base_Periodo1[[#This Row],[CONTA]],BaseContasDRE[#All],7,FALSE)),"Fora do DRE",VLOOKUP(Base_Periodo1[[#This Row],[CONTA]],BaseContasDRE[#All],7,FALSE))</f>
        <v>SEMENTES PRODUZIDAS</v>
      </c>
      <c r="V6098" s="3" t="str">
        <f>IF(Base_Periodo1[[#This Row],[Tipo_Linha]]="Fora do DRE","Fora do DRE","( "&amp;Base_Periodo1[[#This Row],[Tipo_Linha]]&amp;" ) "&amp;Base_Periodo1[[#This Row],[Filtro]])</f>
        <v>( + ) SEMENTES PRODUZIDAS</v>
      </c>
      <c r="W6098" s="3" t="str">
        <f>LEFT(Base_Periodo1[[#This Row],[CLASS]],3)</f>
        <v>3.1</v>
      </c>
    </row>
    <row r="6099" spans="1:23" hidden="1">
      <c r="A6099" s="3" t="str">
        <f t="shared" si="95"/>
        <v>Período 1</v>
      </c>
      <c r="B6099">
        <v>31515</v>
      </c>
      <c r="C6099" t="s">
        <v>6614</v>
      </c>
      <c r="D6099" t="s">
        <v>3563</v>
      </c>
      <c r="E6099" s="3" t="str">
        <f>IF(LEN(Base_Periodo1[[#This Row],[CLASS]])&gt;=7,LEFT(Base_Periodo1[[#This Row],[CLASS]],7),"")</f>
        <v>3.1.1.1</v>
      </c>
      <c r="F6099" s="3" t="e">
        <f>VLOOKUP(Base_Periodo1[[#This Row],[Aux]],Base_Contas_Balanco[#All],2,FALSE)</f>
        <v>#N/A</v>
      </c>
      <c r="G6099" s="1"/>
      <c r="H6099" s="225">
        <v>94567.770000000033</v>
      </c>
      <c r="I6099" s="225">
        <v>149435.10999999999</v>
      </c>
      <c r="J6099" s="225">
        <v>94567.77</v>
      </c>
      <c r="K6099" s="225">
        <v>149435.10999999999</v>
      </c>
      <c r="L60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-149435.10999999999</v>
      </c>
      <c r="M6099" s="225">
        <f>ROUND(IF(AND(Base_Periodo1[[#This Row],[Tipo_Linha]]="-",Base_Periodo1[[#This Row],[TIPOSALDO]]="D"),Base_Periodo1[[#This Row],[SALDO_ATUAL]]*-1,Base_Periodo1[[#This Row],[SALDO_ATUAL]]),4)</f>
        <v>149435.10999999999</v>
      </c>
      <c r="N6099" t="s">
        <v>396</v>
      </c>
      <c r="O6099" t="s">
        <v>397</v>
      </c>
      <c r="P6099" t="s">
        <v>397</v>
      </c>
      <c r="Q6099">
        <v>8</v>
      </c>
      <c r="R6099" s="282">
        <f>Base_Periodo1[[#This Row],[CREDITOS]]-Base_Periodo1[[#This Row],[DEBITOS]]</f>
        <v>-54867.339999999982</v>
      </c>
      <c r="S6099" s="3" t="str">
        <f>IF(ISERROR(VLOOKUP(Base_Periodo1[[#This Row],[CONTA]],BaseContasDRE[#All],4,FALSE)),"Fora do DRE",VLOOKUP(Base_Periodo1[[#This Row],[CONTA]],BaseContasDRE[#All],4,FALSE))</f>
        <v>Fora do DRE</v>
      </c>
      <c r="T6099" s="3" t="str">
        <f>IF(ISERROR(VLOOKUP(Base_Periodo1[[#This Row],[CONTA]],BaseContasDRE[#All],5,FALSE)),"Fora do DRE",VLOOKUP(Base_Periodo1[[#This Row],[CONTA]],BaseContasDRE[#All],6,FALSE))</f>
        <v>Fora do DRE</v>
      </c>
      <c r="U6099" s="3" t="str">
        <f>IF(ISERROR(VLOOKUP(Base_Periodo1[[#This Row],[CONTA]],BaseContasDRE[#All],7,FALSE)),"Fora do DRE",VLOOKUP(Base_Periodo1[[#This Row],[CONTA]],BaseContasDRE[#All],7,FALSE))</f>
        <v>Fora do DRE</v>
      </c>
      <c r="V6099" s="3" t="str">
        <f>IF(Base_Periodo1[[#This Row],[Tipo_Linha]]="Fora do DRE","Fora do DRE","( "&amp;Base_Periodo1[[#This Row],[Tipo_Linha]]&amp;" ) "&amp;Base_Periodo1[[#This Row],[Filtro]])</f>
        <v>Fora do DRE</v>
      </c>
      <c r="W6099" s="3" t="str">
        <f>LEFT(Base_Periodo1[[#This Row],[CLASS]],3)</f>
        <v>3.1</v>
      </c>
    </row>
    <row r="6100" spans="1:23" hidden="1">
      <c r="A6100" s="3" t="str">
        <f t="shared" si="95"/>
        <v>Período 1</v>
      </c>
      <c r="B6100">
        <v>31516</v>
      </c>
      <c r="C6100" t="s">
        <v>6615</v>
      </c>
      <c r="D6100" t="s">
        <v>3564</v>
      </c>
      <c r="E6100" s="3" t="str">
        <f>IF(LEN(Base_Periodo1[[#This Row],[CLASS]])&gt;=7,LEFT(Base_Periodo1[[#This Row],[CLASS]],7),"")</f>
        <v>3.1.1.1</v>
      </c>
      <c r="F6100" s="3" t="e">
        <f>VLOOKUP(Base_Periodo1[[#This Row],[Aux]],Base_Contas_Balanco[#All],2,FALSE)</f>
        <v>#N/A</v>
      </c>
      <c r="G6100" s="1">
        <v>42886</v>
      </c>
      <c r="H6100" s="225">
        <v>94567.770000000033</v>
      </c>
      <c r="I6100" s="225">
        <v>149435.10999999999</v>
      </c>
      <c r="J6100" s="225">
        <v>94567.77</v>
      </c>
      <c r="K6100" s="225">
        <v>149435.10999999999</v>
      </c>
      <c r="L61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-149435.10999999999</v>
      </c>
      <c r="M6100" s="225">
        <f>ROUND(IF(AND(Base_Periodo1[[#This Row],[Tipo_Linha]]="-",Base_Periodo1[[#This Row],[TIPOSALDO]]="D"),Base_Periodo1[[#This Row],[SALDO_ATUAL]]*-1,Base_Periodo1[[#This Row],[SALDO_ATUAL]]),4)</f>
        <v>-149435.10999999999</v>
      </c>
      <c r="N6100" t="s">
        <v>116</v>
      </c>
      <c r="O6100" t="s">
        <v>397</v>
      </c>
      <c r="P6100" t="s">
        <v>397</v>
      </c>
      <c r="Q6100">
        <v>9</v>
      </c>
      <c r="R6100" s="282">
        <f>Base_Periodo1[[#This Row],[CREDITOS]]-Base_Periodo1[[#This Row],[DEBITOS]]</f>
        <v>-54867.339999999982</v>
      </c>
      <c r="S6100" s="3" t="str">
        <f>IF(ISERROR(VLOOKUP(Base_Periodo1[[#This Row],[CONTA]],BaseContasDRE[#All],4,FALSE)),"Fora do DRE",VLOOKUP(Base_Periodo1[[#This Row],[CONTA]],BaseContasDRE[#All],4,FALSE))</f>
        <v>-</v>
      </c>
      <c r="T6100" s="3">
        <f>IF(ISERROR(VLOOKUP(Base_Periodo1[[#This Row],[CONTA]],BaseContasDRE[#All],5,FALSE)),"Fora do DRE",VLOOKUP(Base_Periodo1[[#This Row],[CONTA]],BaseContasDRE[#All],6,FALSE))</f>
        <v>2</v>
      </c>
      <c r="U6100" s="3" t="str">
        <f>IF(ISERROR(VLOOKUP(Base_Periodo1[[#This Row],[CONTA]],BaseContasDRE[#All],7,FALSE)),"Fora do DRE",VLOOKUP(Base_Periodo1[[#This Row],[CONTA]],BaseContasDRE[#All],7,FALSE))</f>
        <v>DEVOLUÇÃO DE SEMENTE PRODUZIDA</v>
      </c>
      <c r="V6100" s="3" t="str">
        <f>IF(Base_Periodo1[[#This Row],[Tipo_Linha]]="Fora do DRE","Fora do DRE","( "&amp;Base_Periodo1[[#This Row],[Tipo_Linha]]&amp;" ) "&amp;Base_Periodo1[[#This Row],[Filtro]])</f>
        <v>( - ) DEVOLUÇÃO DE SEMENTE PRODUZIDA</v>
      </c>
      <c r="W6100" s="3" t="str">
        <f>LEFT(Base_Periodo1[[#This Row],[CLASS]],3)</f>
        <v>3.1</v>
      </c>
    </row>
    <row r="6101" spans="1:23" hidden="1">
      <c r="A6101" s="3" t="str">
        <f t="shared" si="95"/>
        <v>Período 1</v>
      </c>
      <c r="B6101">
        <v>31517</v>
      </c>
      <c r="C6101" t="s">
        <v>6616</v>
      </c>
      <c r="D6101" t="s">
        <v>3565</v>
      </c>
      <c r="E6101" s="3" t="str">
        <f>IF(LEN(Base_Periodo1[[#This Row],[CLASS]])&gt;=7,LEFT(Base_Periodo1[[#This Row],[CLASS]],7),"")</f>
        <v>3.1.1.1</v>
      </c>
      <c r="F6101" s="3" t="e">
        <f>VLOOKUP(Base_Periodo1[[#This Row],[Aux]],Base_Contas_Balanco[#All],2,FALSE)</f>
        <v>#N/A</v>
      </c>
      <c r="G6101" s="1"/>
      <c r="H6101" s="225">
        <v>1300.4100000000035</v>
      </c>
      <c r="I6101" s="225">
        <v>3589.31</v>
      </c>
      <c r="J6101" s="225">
        <v>1300.4100000000001</v>
      </c>
      <c r="K6101" s="225">
        <v>3589.3100000000031</v>
      </c>
      <c r="L61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-3589.31</v>
      </c>
      <c r="M6101" s="225">
        <f>ROUND(IF(AND(Base_Periodo1[[#This Row],[Tipo_Linha]]="-",Base_Periodo1[[#This Row],[TIPOSALDO]]="D"),Base_Periodo1[[#This Row],[SALDO_ATUAL]]*-1,Base_Periodo1[[#This Row],[SALDO_ATUAL]]),4)</f>
        <v>3589.31</v>
      </c>
      <c r="N6101" t="s">
        <v>396</v>
      </c>
      <c r="O6101" t="s">
        <v>397</v>
      </c>
      <c r="P6101" t="s">
        <v>397</v>
      </c>
      <c r="Q6101">
        <v>8</v>
      </c>
      <c r="R6101" s="282">
        <f>Base_Periodo1[[#This Row],[CREDITOS]]-Base_Periodo1[[#This Row],[DEBITOS]]</f>
        <v>-2288.8999999999996</v>
      </c>
      <c r="S6101" s="3" t="str">
        <f>IF(ISERROR(VLOOKUP(Base_Periodo1[[#This Row],[CONTA]],BaseContasDRE[#All],4,FALSE)),"Fora do DRE",VLOOKUP(Base_Periodo1[[#This Row],[CONTA]],BaseContasDRE[#All],4,FALSE))</f>
        <v>Fora do DRE</v>
      </c>
      <c r="T6101" s="3" t="str">
        <f>IF(ISERROR(VLOOKUP(Base_Periodo1[[#This Row],[CONTA]],BaseContasDRE[#All],5,FALSE)),"Fora do DRE",VLOOKUP(Base_Periodo1[[#This Row],[CONTA]],BaseContasDRE[#All],6,FALSE))</f>
        <v>Fora do DRE</v>
      </c>
      <c r="U6101" s="3" t="str">
        <f>IF(ISERROR(VLOOKUP(Base_Periodo1[[#This Row],[CONTA]],BaseContasDRE[#All],7,FALSE)),"Fora do DRE",VLOOKUP(Base_Periodo1[[#This Row],[CONTA]],BaseContasDRE[#All],7,FALSE))</f>
        <v>Fora do DRE</v>
      </c>
      <c r="V6101" s="3" t="str">
        <f>IF(Base_Periodo1[[#This Row],[Tipo_Linha]]="Fora do DRE","Fora do DRE","( "&amp;Base_Periodo1[[#This Row],[Tipo_Linha]]&amp;" ) "&amp;Base_Periodo1[[#This Row],[Filtro]])</f>
        <v>Fora do DRE</v>
      </c>
      <c r="W6101" s="3" t="str">
        <f>LEFT(Base_Periodo1[[#This Row],[CLASS]],3)</f>
        <v>3.1</v>
      </c>
    </row>
    <row r="6102" spans="1:23" hidden="1">
      <c r="A6102" s="3" t="str">
        <f t="shared" si="95"/>
        <v>Período 1</v>
      </c>
      <c r="B6102">
        <v>31518</v>
      </c>
      <c r="C6102" t="s">
        <v>6617</v>
      </c>
      <c r="D6102" t="s">
        <v>3566</v>
      </c>
      <c r="E6102" s="3" t="str">
        <f>IF(LEN(Base_Periodo1[[#This Row],[CLASS]])&gt;=7,LEFT(Base_Periodo1[[#This Row],[CLASS]],7),"")</f>
        <v>3.1.1.1</v>
      </c>
      <c r="F6102" s="3" t="e">
        <f>VLOOKUP(Base_Periodo1[[#This Row],[Aux]],Base_Contas_Balanco[#All],2,FALSE)</f>
        <v>#N/A</v>
      </c>
      <c r="G6102" s="1">
        <v>42886</v>
      </c>
      <c r="H6102" s="225">
        <v>1300.4100000000035</v>
      </c>
      <c r="I6102" s="225">
        <v>3589.31</v>
      </c>
      <c r="J6102" s="225">
        <v>1300.4100000000001</v>
      </c>
      <c r="K6102" s="225">
        <v>3589.3100000000031</v>
      </c>
      <c r="L61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-3589.31</v>
      </c>
      <c r="M6102" s="225">
        <f>ROUND(IF(AND(Base_Periodo1[[#This Row],[Tipo_Linha]]="-",Base_Periodo1[[#This Row],[TIPOSALDO]]="D"),Base_Periodo1[[#This Row],[SALDO_ATUAL]]*-1,Base_Periodo1[[#This Row],[SALDO_ATUAL]]),4)</f>
        <v>-3589.31</v>
      </c>
      <c r="N6102" t="s">
        <v>116</v>
      </c>
      <c r="O6102" t="s">
        <v>397</v>
      </c>
      <c r="P6102" t="s">
        <v>397</v>
      </c>
      <c r="Q6102">
        <v>9</v>
      </c>
      <c r="R6102" s="282">
        <f>Base_Periodo1[[#This Row],[CREDITOS]]-Base_Periodo1[[#This Row],[DEBITOS]]</f>
        <v>-2288.8999999999996</v>
      </c>
      <c r="S6102" s="3" t="str">
        <f>IF(ISERROR(VLOOKUP(Base_Periodo1[[#This Row],[CONTA]],BaseContasDRE[#All],4,FALSE)),"Fora do DRE",VLOOKUP(Base_Periodo1[[#This Row],[CONTA]],BaseContasDRE[#All],4,FALSE))</f>
        <v>-</v>
      </c>
      <c r="T6102" s="3">
        <f>IF(ISERROR(VLOOKUP(Base_Periodo1[[#This Row],[CONTA]],BaseContasDRE[#All],5,FALSE)),"Fora do DRE",VLOOKUP(Base_Periodo1[[#This Row],[CONTA]],BaseContasDRE[#All],6,FALSE))</f>
        <v>2</v>
      </c>
      <c r="U6102" s="3" t="str">
        <f>IF(ISERROR(VLOOKUP(Base_Periodo1[[#This Row],[CONTA]],BaseContasDRE[#All],7,FALSE)),"Fora do DRE",VLOOKUP(Base_Periodo1[[#This Row],[CONTA]],BaseContasDRE[#All],7,FALSE))</f>
        <v>ICMS SOBRE INGRESSOS E RECEITAS</v>
      </c>
      <c r="V6102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102" s="3" t="str">
        <f>LEFT(Base_Periodo1[[#This Row],[CLASS]],3)</f>
        <v>3.1</v>
      </c>
    </row>
    <row r="6103" spans="1:23" hidden="1">
      <c r="A6103" s="3" t="str">
        <f t="shared" si="95"/>
        <v>Período 1</v>
      </c>
      <c r="B6103">
        <v>31519</v>
      </c>
      <c r="C6103" t="s">
        <v>6618</v>
      </c>
      <c r="D6103" t="s">
        <v>3567</v>
      </c>
      <c r="E6103" s="3" t="str">
        <f>IF(LEN(Base_Periodo1[[#This Row],[CLASS]])&gt;=7,LEFT(Base_Periodo1[[#This Row],[CLASS]],7),"")</f>
        <v>3.1.1.1</v>
      </c>
      <c r="F6103" s="3" t="e">
        <f>VLOOKUP(Base_Periodo1[[#This Row],[Aux]],Base_Contas_Balanco[#All],2,FALSE)</f>
        <v>#N/A</v>
      </c>
      <c r="G6103" s="1"/>
      <c r="H6103" s="225">
        <v>556875.28000000119</v>
      </c>
      <c r="I6103" s="225">
        <v>1303958.3</v>
      </c>
      <c r="J6103" s="225">
        <v>553223.67000000004</v>
      </c>
      <c r="K6103" s="225">
        <v>1307609.9100000011</v>
      </c>
      <c r="L61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-1307609.9099999999</v>
      </c>
      <c r="M6103" s="225">
        <f>ROUND(IF(AND(Base_Periodo1[[#This Row],[Tipo_Linha]]="-",Base_Periodo1[[#This Row],[TIPOSALDO]]="D"),Base_Periodo1[[#This Row],[SALDO_ATUAL]]*-1,Base_Periodo1[[#This Row],[SALDO_ATUAL]]),4)</f>
        <v>1307609.9099999999</v>
      </c>
      <c r="N6103" t="s">
        <v>396</v>
      </c>
      <c r="O6103" t="s">
        <v>397</v>
      </c>
      <c r="P6103" t="s">
        <v>397</v>
      </c>
      <c r="Q6103">
        <v>8</v>
      </c>
      <c r="R6103" s="282">
        <f>Base_Periodo1[[#This Row],[CREDITOS]]-Base_Periodo1[[#This Row],[DEBITOS]]</f>
        <v>-750734.63</v>
      </c>
      <c r="S6103" s="3" t="str">
        <f>IF(ISERROR(VLOOKUP(Base_Periodo1[[#This Row],[CONTA]],BaseContasDRE[#All],4,FALSE)),"Fora do DRE",VLOOKUP(Base_Periodo1[[#This Row],[CONTA]],BaseContasDRE[#All],4,FALSE))</f>
        <v>Fora do DRE</v>
      </c>
      <c r="T6103" s="3" t="str">
        <f>IF(ISERROR(VLOOKUP(Base_Periodo1[[#This Row],[CONTA]],BaseContasDRE[#All],5,FALSE)),"Fora do DRE",VLOOKUP(Base_Periodo1[[#This Row],[CONTA]],BaseContasDRE[#All],6,FALSE))</f>
        <v>Fora do DRE</v>
      </c>
      <c r="U6103" s="3" t="str">
        <f>IF(ISERROR(VLOOKUP(Base_Periodo1[[#This Row],[CONTA]],BaseContasDRE[#All],7,FALSE)),"Fora do DRE",VLOOKUP(Base_Periodo1[[#This Row],[CONTA]],BaseContasDRE[#All],7,FALSE))</f>
        <v>Fora do DRE</v>
      </c>
      <c r="V6103" s="3" t="str">
        <f>IF(Base_Periodo1[[#This Row],[Tipo_Linha]]="Fora do DRE","Fora do DRE","( "&amp;Base_Periodo1[[#This Row],[Tipo_Linha]]&amp;" ) "&amp;Base_Periodo1[[#This Row],[Filtro]])</f>
        <v>Fora do DRE</v>
      </c>
      <c r="W6103" s="3" t="str">
        <f>LEFT(Base_Periodo1[[#This Row],[CLASS]],3)</f>
        <v>3.1</v>
      </c>
    </row>
    <row r="6104" spans="1:23" hidden="1">
      <c r="A6104" s="3" t="str">
        <f t="shared" si="95"/>
        <v>Período 1</v>
      </c>
      <c r="B6104">
        <v>31520</v>
      </c>
      <c r="C6104" t="s">
        <v>6619</v>
      </c>
      <c r="D6104" t="s">
        <v>3568</v>
      </c>
      <c r="E6104" s="3" t="str">
        <f>IF(LEN(Base_Periodo1[[#This Row],[CLASS]])&gt;=7,LEFT(Base_Periodo1[[#This Row],[CLASS]],7),"")</f>
        <v>3.1.1.1</v>
      </c>
      <c r="F6104" s="3" t="e">
        <f>VLOOKUP(Base_Periodo1[[#This Row],[Aux]],Base_Contas_Balanco[#All],2,FALSE)</f>
        <v>#N/A</v>
      </c>
      <c r="G6104" s="1">
        <v>42886</v>
      </c>
      <c r="H6104" s="225">
        <v>556875.28000000119</v>
      </c>
      <c r="I6104" s="225">
        <v>1303958.3</v>
      </c>
      <c r="J6104" s="225">
        <v>553223.67000000004</v>
      </c>
      <c r="K6104" s="225">
        <v>1307609.9100000011</v>
      </c>
      <c r="L61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-1307609.9099999999</v>
      </c>
      <c r="M6104" s="225">
        <f>ROUND(IF(AND(Base_Periodo1[[#This Row],[Tipo_Linha]]="-",Base_Periodo1[[#This Row],[TIPOSALDO]]="D"),Base_Periodo1[[#This Row],[SALDO_ATUAL]]*-1,Base_Periodo1[[#This Row],[SALDO_ATUAL]]),4)</f>
        <v>-1307609.9099999999</v>
      </c>
      <c r="N6104" t="s">
        <v>116</v>
      </c>
      <c r="O6104" t="s">
        <v>397</v>
      </c>
      <c r="P6104" t="s">
        <v>397</v>
      </c>
      <c r="Q6104">
        <v>9</v>
      </c>
      <c r="R6104" s="282">
        <f>Base_Periodo1[[#This Row],[CREDITOS]]-Base_Periodo1[[#This Row],[DEBITOS]]</f>
        <v>-750734.63</v>
      </c>
      <c r="S6104" s="3" t="str">
        <f>IF(ISERROR(VLOOKUP(Base_Periodo1[[#This Row],[CONTA]],BaseContasDRE[#All],4,FALSE)),"Fora do DRE",VLOOKUP(Base_Periodo1[[#This Row],[CONTA]],BaseContasDRE[#All],4,FALSE))</f>
        <v>-</v>
      </c>
      <c r="T6104" s="3">
        <f>IF(ISERROR(VLOOKUP(Base_Periodo1[[#This Row],[CONTA]],BaseContasDRE[#All],5,FALSE)),"Fora do DRE",VLOOKUP(Base_Periodo1[[#This Row],[CONTA]],BaseContasDRE[#All],6,FALSE))</f>
        <v>3</v>
      </c>
      <c r="U6104" s="3" t="str">
        <f>IF(ISERROR(VLOOKUP(Base_Periodo1[[#This Row],[CONTA]],BaseContasDRE[#All],7,FALSE)),"Fora do DRE",VLOOKUP(Base_Periodo1[[#This Row],[CONTA]],BaseContasDRE[#All],7,FALSE))</f>
        <v>PRODUÇÃO DE SEMENTES</v>
      </c>
      <c r="V6104" s="3" t="str">
        <f>IF(Base_Periodo1[[#This Row],[Tipo_Linha]]="Fora do DRE","Fora do DRE","( "&amp;Base_Periodo1[[#This Row],[Tipo_Linha]]&amp;" ) "&amp;Base_Periodo1[[#This Row],[Filtro]])</f>
        <v>( - ) PRODUÇÃO DE SEMENTES</v>
      </c>
      <c r="W6104" s="3" t="str">
        <f>LEFT(Base_Periodo1[[#This Row],[CLASS]],3)</f>
        <v>3.1</v>
      </c>
    </row>
    <row r="6105" spans="1:23" hidden="1">
      <c r="A6105" s="3" t="str">
        <f t="shared" si="95"/>
        <v>Período 1</v>
      </c>
      <c r="B6105">
        <v>31521</v>
      </c>
      <c r="C6105" t="s">
        <v>3747</v>
      </c>
      <c r="D6105" t="s">
        <v>5613</v>
      </c>
      <c r="E6105" s="3" t="str">
        <f>IF(LEN(Base_Periodo1[[#This Row],[CLASS]])&gt;=7,LEFT(Base_Periodo1[[#This Row],[CLASS]],7),"")</f>
        <v>3.1.1.1</v>
      </c>
      <c r="F6105" s="3" t="e">
        <f>VLOOKUP(Base_Periodo1[[#This Row],[Aux]],Base_Contas_Balanco[#All],2,FALSE)</f>
        <v>#N/A</v>
      </c>
      <c r="G6105" s="1"/>
      <c r="H6105" s="225">
        <v>545509.54000000062</v>
      </c>
      <c r="I6105" s="225">
        <v>89815.17</v>
      </c>
      <c r="J6105" s="225">
        <v>89815.17</v>
      </c>
      <c r="K6105" s="225">
        <v>545509.54000000062</v>
      </c>
      <c r="L61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545509.54</v>
      </c>
      <c r="M6105" s="225">
        <f>ROUND(IF(AND(Base_Periodo1[[#This Row],[Tipo_Linha]]="-",Base_Periodo1[[#This Row],[TIPOSALDO]]="D"),Base_Periodo1[[#This Row],[SALDO_ATUAL]]*-1,Base_Periodo1[[#This Row],[SALDO_ATUAL]]),4)</f>
        <v>545509.54</v>
      </c>
      <c r="N6105" t="s">
        <v>396</v>
      </c>
      <c r="O6105" t="s">
        <v>459</v>
      </c>
      <c r="P6105" t="s">
        <v>459</v>
      </c>
      <c r="Q6105">
        <v>7</v>
      </c>
      <c r="R6105" s="282">
        <f>Base_Periodo1[[#This Row],[CREDITOS]]-Base_Periodo1[[#This Row],[DEBITOS]]</f>
        <v>0</v>
      </c>
      <c r="S6105" s="3" t="str">
        <f>IF(ISERROR(VLOOKUP(Base_Periodo1[[#This Row],[CONTA]],BaseContasDRE[#All],4,FALSE)),"Fora do DRE",VLOOKUP(Base_Periodo1[[#This Row],[CONTA]],BaseContasDRE[#All],4,FALSE))</f>
        <v>Fora do DRE</v>
      </c>
      <c r="T6105" s="3" t="str">
        <f>IF(ISERROR(VLOOKUP(Base_Periodo1[[#This Row],[CONTA]],BaseContasDRE[#All],5,FALSE)),"Fora do DRE",VLOOKUP(Base_Periodo1[[#This Row],[CONTA]],BaseContasDRE[#All],6,FALSE))</f>
        <v>Fora do DRE</v>
      </c>
      <c r="U6105" s="3" t="str">
        <f>IF(ISERROR(VLOOKUP(Base_Periodo1[[#This Row],[CONTA]],BaseContasDRE[#All],7,FALSE)),"Fora do DRE",VLOOKUP(Base_Periodo1[[#This Row],[CONTA]],BaseContasDRE[#All],7,FALSE))</f>
        <v>Fora do DRE</v>
      </c>
      <c r="V6105" s="3" t="str">
        <f>IF(Base_Periodo1[[#This Row],[Tipo_Linha]]="Fora do DRE","Fora do DRE","( "&amp;Base_Periodo1[[#This Row],[Tipo_Linha]]&amp;" ) "&amp;Base_Periodo1[[#This Row],[Filtro]])</f>
        <v>Fora do DRE</v>
      </c>
      <c r="W6105" s="3" t="str">
        <f>LEFT(Base_Periodo1[[#This Row],[CLASS]],3)</f>
        <v>3.1</v>
      </c>
    </row>
    <row r="6106" spans="1:23" hidden="1">
      <c r="A6106" s="3" t="str">
        <f t="shared" si="95"/>
        <v>Período 1</v>
      </c>
      <c r="B6106">
        <v>31522</v>
      </c>
      <c r="C6106" t="s">
        <v>3748</v>
      </c>
      <c r="D6106" t="s">
        <v>3562</v>
      </c>
      <c r="E6106" s="3" t="str">
        <f>IF(LEN(Base_Periodo1[[#This Row],[CLASS]])&gt;=7,LEFT(Base_Periodo1[[#This Row],[CLASS]],7),"")</f>
        <v>3.1.1.1</v>
      </c>
      <c r="F6106" s="3" t="e">
        <f>VLOOKUP(Base_Periodo1[[#This Row],[Aux]],Base_Contas_Balanco[#All],2,FALSE)</f>
        <v>#N/A</v>
      </c>
      <c r="G6106" s="1"/>
      <c r="H6106" s="225">
        <v>1183690.6300000008</v>
      </c>
      <c r="I6106" s="225">
        <v>58656.92</v>
      </c>
      <c r="J6106" s="225">
        <v>60046.92</v>
      </c>
      <c r="K6106" s="225">
        <v>1185080.6300000008</v>
      </c>
      <c r="L61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1185080.6299999999</v>
      </c>
      <c r="M6106" s="225">
        <f>ROUND(IF(AND(Base_Periodo1[[#This Row],[Tipo_Linha]]="-",Base_Periodo1[[#This Row],[TIPOSALDO]]="D"),Base_Periodo1[[#This Row],[SALDO_ATUAL]]*-1,Base_Periodo1[[#This Row],[SALDO_ATUAL]]),4)</f>
        <v>1185080.6299999999</v>
      </c>
      <c r="N6106" t="s">
        <v>396</v>
      </c>
      <c r="O6106" t="s">
        <v>459</v>
      </c>
      <c r="P6106" t="s">
        <v>459</v>
      </c>
      <c r="Q6106">
        <v>8</v>
      </c>
      <c r="R6106" s="282">
        <f>Base_Periodo1[[#This Row],[CREDITOS]]-Base_Periodo1[[#This Row],[DEBITOS]]</f>
        <v>1390</v>
      </c>
      <c r="S6106" s="3" t="str">
        <f>IF(ISERROR(VLOOKUP(Base_Periodo1[[#This Row],[CONTA]],BaseContasDRE[#All],4,FALSE)),"Fora do DRE",VLOOKUP(Base_Periodo1[[#This Row],[CONTA]],BaseContasDRE[#All],4,FALSE))</f>
        <v>Fora do DRE</v>
      </c>
      <c r="T6106" s="3" t="str">
        <f>IF(ISERROR(VLOOKUP(Base_Periodo1[[#This Row],[CONTA]],BaseContasDRE[#All],5,FALSE)),"Fora do DRE",VLOOKUP(Base_Periodo1[[#This Row],[CONTA]],BaseContasDRE[#All],6,FALSE))</f>
        <v>Fora do DRE</v>
      </c>
      <c r="U6106" s="3" t="str">
        <f>IF(ISERROR(VLOOKUP(Base_Periodo1[[#This Row],[CONTA]],BaseContasDRE[#All],7,FALSE)),"Fora do DRE",VLOOKUP(Base_Periodo1[[#This Row],[CONTA]],BaseContasDRE[#All],7,FALSE))</f>
        <v>Fora do DRE</v>
      </c>
      <c r="V6106" s="3" t="str">
        <f>IF(Base_Periodo1[[#This Row],[Tipo_Linha]]="Fora do DRE","Fora do DRE","( "&amp;Base_Periodo1[[#This Row],[Tipo_Linha]]&amp;" ) "&amp;Base_Periodo1[[#This Row],[Filtro]])</f>
        <v>Fora do DRE</v>
      </c>
      <c r="W6106" s="3" t="str">
        <f>LEFT(Base_Periodo1[[#This Row],[CLASS]],3)</f>
        <v>3.1</v>
      </c>
    </row>
    <row r="6107" spans="1:23" hidden="1">
      <c r="A6107" s="3" t="str">
        <f t="shared" si="95"/>
        <v>Período 1</v>
      </c>
      <c r="B6107">
        <v>31523</v>
      </c>
      <c r="C6107" t="s">
        <v>3749</v>
      </c>
      <c r="D6107" t="s">
        <v>3562</v>
      </c>
      <c r="E6107" s="3" t="str">
        <f>IF(LEN(Base_Periodo1[[#This Row],[CLASS]])&gt;=7,LEFT(Base_Periodo1[[#This Row],[CLASS]],7),"")</f>
        <v>3.1.1.1</v>
      </c>
      <c r="F6107" s="3" t="e">
        <f>VLOOKUP(Base_Periodo1[[#This Row],[Aux]],Base_Contas_Balanco[#All],2,FALSE)</f>
        <v>#N/A</v>
      </c>
      <c r="G6107" s="1">
        <v>42886</v>
      </c>
      <c r="H6107" s="225">
        <v>1183690.6300000008</v>
      </c>
      <c r="I6107" s="225">
        <v>58656.92</v>
      </c>
      <c r="J6107" s="225">
        <v>60046.92</v>
      </c>
      <c r="K6107" s="225">
        <v>1185080.6300000008</v>
      </c>
      <c r="L61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1185080.6299999999</v>
      </c>
      <c r="M6107" s="225">
        <f>ROUND(IF(AND(Base_Periodo1[[#This Row],[Tipo_Linha]]="-",Base_Periodo1[[#This Row],[TIPOSALDO]]="D"),Base_Periodo1[[#This Row],[SALDO_ATUAL]]*-1,Base_Periodo1[[#This Row],[SALDO_ATUAL]]),4)</f>
        <v>1185080.6299999999</v>
      </c>
      <c r="N6107" t="s">
        <v>116</v>
      </c>
      <c r="O6107" t="s">
        <v>459</v>
      </c>
      <c r="P6107" t="s">
        <v>459</v>
      </c>
      <c r="Q6107">
        <v>9</v>
      </c>
      <c r="R6107" s="282">
        <f>Base_Periodo1[[#This Row],[CREDITOS]]-Base_Periodo1[[#This Row],[DEBITOS]]</f>
        <v>1390</v>
      </c>
      <c r="S6107" s="3" t="str">
        <f>IF(ISERROR(VLOOKUP(Base_Periodo1[[#This Row],[CONTA]],BaseContasDRE[#All],4,FALSE)),"Fora do DRE",VLOOKUP(Base_Periodo1[[#This Row],[CONTA]],BaseContasDRE[#All],4,FALSE))</f>
        <v>+</v>
      </c>
      <c r="T6107" s="3">
        <f>IF(ISERROR(VLOOKUP(Base_Periodo1[[#This Row],[CONTA]],BaseContasDRE[#All],5,FALSE)),"Fora do DRE",VLOOKUP(Base_Periodo1[[#This Row],[CONTA]],BaseContasDRE[#All],6,FALSE))</f>
        <v>1</v>
      </c>
      <c r="U6107" s="3" t="str">
        <f>IF(ISERROR(VLOOKUP(Base_Periodo1[[#This Row],[CONTA]],BaseContasDRE[#All],7,FALSE)),"Fora do DRE",VLOOKUP(Base_Periodo1[[#This Row],[CONTA]],BaseContasDRE[#All],7,FALSE))</f>
        <v>SEMENTES PRODUZIDAS</v>
      </c>
      <c r="V6107" s="3" t="str">
        <f>IF(Base_Periodo1[[#This Row],[Tipo_Linha]]="Fora do DRE","Fora do DRE","( "&amp;Base_Periodo1[[#This Row],[Tipo_Linha]]&amp;" ) "&amp;Base_Periodo1[[#This Row],[Filtro]])</f>
        <v>( + ) SEMENTES PRODUZIDAS</v>
      </c>
      <c r="W6107" s="3" t="str">
        <f>LEFT(Base_Periodo1[[#This Row],[CLASS]],3)</f>
        <v>3.1</v>
      </c>
    </row>
    <row r="6108" spans="1:23" hidden="1">
      <c r="A6108" s="3" t="str">
        <f t="shared" si="95"/>
        <v>Período 1</v>
      </c>
      <c r="B6108">
        <v>31524</v>
      </c>
      <c r="C6108" t="s">
        <v>3750</v>
      </c>
      <c r="D6108" t="s">
        <v>3563</v>
      </c>
      <c r="E6108" s="3" t="str">
        <f>IF(LEN(Base_Periodo1[[#This Row],[CLASS]])&gt;=7,LEFT(Base_Periodo1[[#This Row],[CLASS]],7),"")</f>
        <v>3.1.1.1</v>
      </c>
      <c r="F6108" s="3" t="e">
        <f>VLOOKUP(Base_Periodo1[[#This Row],[Aux]],Base_Contas_Balanco[#All],2,FALSE)</f>
        <v>#N/A</v>
      </c>
      <c r="G6108" s="1"/>
      <c r="H6108" s="225">
        <v>44569.50999999998</v>
      </c>
      <c r="I6108" s="225">
        <v>2124</v>
      </c>
      <c r="J6108" s="225">
        <v>734</v>
      </c>
      <c r="K6108" s="225">
        <v>45959.50999999998</v>
      </c>
      <c r="L61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-45959.51</v>
      </c>
      <c r="M6108" s="225">
        <f>ROUND(IF(AND(Base_Periodo1[[#This Row],[Tipo_Linha]]="-",Base_Periodo1[[#This Row],[TIPOSALDO]]="D"),Base_Periodo1[[#This Row],[SALDO_ATUAL]]*-1,Base_Periodo1[[#This Row],[SALDO_ATUAL]]),4)</f>
        <v>45959.51</v>
      </c>
      <c r="N6108" t="s">
        <v>396</v>
      </c>
      <c r="O6108" t="s">
        <v>397</v>
      </c>
      <c r="P6108" t="s">
        <v>397</v>
      </c>
      <c r="Q6108">
        <v>8</v>
      </c>
      <c r="R6108" s="282">
        <f>Base_Periodo1[[#This Row],[CREDITOS]]-Base_Periodo1[[#This Row],[DEBITOS]]</f>
        <v>-1390</v>
      </c>
      <c r="S6108" s="3" t="str">
        <f>IF(ISERROR(VLOOKUP(Base_Periodo1[[#This Row],[CONTA]],BaseContasDRE[#All],4,FALSE)),"Fora do DRE",VLOOKUP(Base_Periodo1[[#This Row],[CONTA]],BaseContasDRE[#All],4,FALSE))</f>
        <v>Fora do DRE</v>
      </c>
      <c r="T6108" s="3" t="str">
        <f>IF(ISERROR(VLOOKUP(Base_Periodo1[[#This Row],[CONTA]],BaseContasDRE[#All],5,FALSE)),"Fora do DRE",VLOOKUP(Base_Periodo1[[#This Row],[CONTA]],BaseContasDRE[#All],6,FALSE))</f>
        <v>Fora do DRE</v>
      </c>
      <c r="U6108" s="3" t="str">
        <f>IF(ISERROR(VLOOKUP(Base_Periodo1[[#This Row],[CONTA]],BaseContasDRE[#All],7,FALSE)),"Fora do DRE",VLOOKUP(Base_Periodo1[[#This Row],[CONTA]],BaseContasDRE[#All],7,FALSE))</f>
        <v>Fora do DRE</v>
      </c>
      <c r="V6108" s="3" t="str">
        <f>IF(Base_Periodo1[[#This Row],[Tipo_Linha]]="Fora do DRE","Fora do DRE","( "&amp;Base_Periodo1[[#This Row],[Tipo_Linha]]&amp;" ) "&amp;Base_Periodo1[[#This Row],[Filtro]])</f>
        <v>Fora do DRE</v>
      </c>
      <c r="W6108" s="3" t="str">
        <f>LEFT(Base_Periodo1[[#This Row],[CLASS]],3)</f>
        <v>3.1</v>
      </c>
    </row>
    <row r="6109" spans="1:23" hidden="1">
      <c r="A6109" s="3" t="str">
        <f t="shared" si="95"/>
        <v>Período 1</v>
      </c>
      <c r="B6109">
        <v>31525</v>
      </c>
      <c r="C6109" t="s">
        <v>3751</v>
      </c>
      <c r="D6109" t="s">
        <v>3564</v>
      </c>
      <c r="E6109" s="3" t="str">
        <f>IF(LEN(Base_Periodo1[[#This Row],[CLASS]])&gt;=7,LEFT(Base_Periodo1[[#This Row],[CLASS]],7),"")</f>
        <v>3.1.1.1</v>
      </c>
      <c r="F6109" s="3" t="e">
        <f>VLOOKUP(Base_Periodo1[[#This Row],[Aux]],Base_Contas_Balanco[#All],2,FALSE)</f>
        <v>#N/A</v>
      </c>
      <c r="G6109" s="1">
        <v>42886</v>
      </c>
      <c r="H6109" s="225">
        <v>44569.50999999998</v>
      </c>
      <c r="I6109" s="225">
        <v>2124</v>
      </c>
      <c r="J6109" s="225">
        <v>734</v>
      </c>
      <c r="K6109" s="225">
        <v>45959.50999999998</v>
      </c>
      <c r="L61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-45959.51</v>
      </c>
      <c r="M6109" s="225">
        <f>ROUND(IF(AND(Base_Periodo1[[#This Row],[Tipo_Linha]]="-",Base_Periodo1[[#This Row],[TIPOSALDO]]="D"),Base_Periodo1[[#This Row],[SALDO_ATUAL]]*-1,Base_Periodo1[[#This Row],[SALDO_ATUAL]]),4)</f>
        <v>-45959.51</v>
      </c>
      <c r="N6109" t="s">
        <v>116</v>
      </c>
      <c r="O6109" t="s">
        <v>397</v>
      </c>
      <c r="P6109" t="s">
        <v>397</v>
      </c>
      <c r="Q6109">
        <v>9</v>
      </c>
      <c r="R6109" s="282">
        <f>Base_Periodo1[[#This Row],[CREDITOS]]-Base_Periodo1[[#This Row],[DEBITOS]]</f>
        <v>-1390</v>
      </c>
      <c r="S6109" s="3" t="str">
        <f>IF(ISERROR(VLOOKUP(Base_Periodo1[[#This Row],[CONTA]],BaseContasDRE[#All],4,FALSE)),"Fora do DRE",VLOOKUP(Base_Periodo1[[#This Row],[CONTA]],BaseContasDRE[#All],4,FALSE))</f>
        <v>-</v>
      </c>
      <c r="T6109" s="3">
        <f>IF(ISERROR(VLOOKUP(Base_Periodo1[[#This Row],[CONTA]],BaseContasDRE[#All],5,FALSE)),"Fora do DRE",VLOOKUP(Base_Periodo1[[#This Row],[CONTA]],BaseContasDRE[#All],6,FALSE))</f>
        <v>2</v>
      </c>
      <c r="U6109" s="3" t="str">
        <f>IF(ISERROR(VLOOKUP(Base_Periodo1[[#This Row],[CONTA]],BaseContasDRE[#All],7,FALSE)),"Fora do DRE",VLOOKUP(Base_Periodo1[[#This Row],[CONTA]],BaseContasDRE[#All],7,FALSE))</f>
        <v>DEVOLUÇÃO DE SEMENTE PRODUZIDA</v>
      </c>
      <c r="V6109" s="3" t="str">
        <f>IF(Base_Periodo1[[#This Row],[Tipo_Linha]]="Fora do DRE","Fora do DRE","( "&amp;Base_Periodo1[[#This Row],[Tipo_Linha]]&amp;" ) "&amp;Base_Periodo1[[#This Row],[Filtro]])</f>
        <v>( - ) DEVOLUÇÃO DE SEMENTE PRODUZIDA</v>
      </c>
      <c r="W6109" s="3" t="str">
        <f>LEFT(Base_Periodo1[[#This Row],[CLASS]],3)</f>
        <v>3.1</v>
      </c>
    </row>
    <row r="6110" spans="1:23" hidden="1">
      <c r="A6110" s="3" t="str">
        <f t="shared" si="95"/>
        <v>Período 1</v>
      </c>
      <c r="B6110">
        <v>50109</v>
      </c>
      <c r="C6110" t="s">
        <v>4386</v>
      </c>
      <c r="D6110" t="s">
        <v>4387</v>
      </c>
      <c r="E6110" s="3" t="str">
        <f>IF(LEN(Base_Periodo1[[#This Row],[CLASS]])&gt;=7,LEFT(Base_Periodo1[[#This Row],[CLASS]],7),"")</f>
        <v>3.1.1.1</v>
      </c>
      <c r="F6110" s="3" t="e">
        <f>VLOOKUP(Base_Periodo1[[#This Row],[Aux]],Base_Contas_Balanco[#All],2,FALSE)</f>
        <v>#N/A</v>
      </c>
      <c r="G6110" s="1"/>
      <c r="H6110" s="225">
        <v>387.84000000000015</v>
      </c>
      <c r="I6110" s="225">
        <v>0</v>
      </c>
      <c r="J6110" s="225">
        <v>0</v>
      </c>
      <c r="K6110" s="225">
        <v>387.84000000000015</v>
      </c>
      <c r="L61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-387.84</v>
      </c>
      <c r="M6110" s="225">
        <f>ROUND(IF(AND(Base_Periodo1[[#This Row],[Tipo_Linha]]="-",Base_Periodo1[[#This Row],[TIPOSALDO]]="D"),Base_Periodo1[[#This Row],[SALDO_ATUAL]]*-1,Base_Periodo1[[#This Row],[SALDO_ATUAL]]),4)</f>
        <v>387.84</v>
      </c>
      <c r="N6110" t="s">
        <v>396</v>
      </c>
      <c r="O6110" t="s">
        <v>397</v>
      </c>
      <c r="P6110" t="s">
        <v>397</v>
      </c>
      <c r="Q6110">
        <v>8</v>
      </c>
      <c r="R6110" s="282">
        <f>Base_Periodo1[[#This Row],[CREDITOS]]-Base_Periodo1[[#This Row],[DEBITOS]]</f>
        <v>0</v>
      </c>
      <c r="S6110" s="3" t="str">
        <f>IF(ISERROR(VLOOKUP(Base_Periodo1[[#This Row],[CONTA]],BaseContasDRE[#All],4,FALSE)),"Fora do DRE",VLOOKUP(Base_Periodo1[[#This Row],[CONTA]],BaseContasDRE[#All],4,FALSE))</f>
        <v>Fora do DRE</v>
      </c>
      <c r="T6110" s="3" t="str">
        <f>IF(ISERROR(VLOOKUP(Base_Periodo1[[#This Row],[CONTA]],BaseContasDRE[#All],5,FALSE)),"Fora do DRE",VLOOKUP(Base_Periodo1[[#This Row],[CONTA]],BaseContasDRE[#All],6,FALSE))</f>
        <v>Fora do DRE</v>
      </c>
      <c r="U6110" s="3" t="str">
        <f>IF(ISERROR(VLOOKUP(Base_Periodo1[[#This Row],[CONTA]],BaseContasDRE[#All],7,FALSE)),"Fora do DRE",VLOOKUP(Base_Periodo1[[#This Row],[CONTA]],BaseContasDRE[#All],7,FALSE))</f>
        <v>Fora do DRE</v>
      </c>
      <c r="V6110" s="3" t="str">
        <f>IF(Base_Periodo1[[#This Row],[Tipo_Linha]]="Fora do DRE","Fora do DRE","( "&amp;Base_Periodo1[[#This Row],[Tipo_Linha]]&amp;" ) "&amp;Base_Periodo1[[#This Row],[Filtro]])</f>
        <v>Fora do DRE</v>
      </c>
      <c r="W6110" s="3" t="str">
        <f>LEFT(Base_Periodo1[[#This Row],[CLASS]],3)</f>
        <v>3.1</v>
      </c>
    </row>
    <row r="6111" spans="1:23" hidden="1">
      <c r="A6111" s="3" t="str">
        <f t="shared" si="95"/>
        <v>Período 1</v>
      </c>
      <c r="B6111">
        <v>50110</v>
      </c>
      <c r="C6111" t="s">
        <v>4388</v>
      </c>
      <c r="D6111" t="s">
        <v>3566</v>
      </c>
      <c r="E6111" s="3" t="str">
        <f>IF(LEN(Base_Periodo1[[#This Row],[CLASS]])&gt;=7,LEFT(Base_Periodo1[[#This Row],[CLASS]],7),"")</f>
        <v>3.1.1.1</v>
      </c>
      <c r="F6111" s="3" t="e">
        <f>VLOOKUP(Base_Periodo1[[#This Row],[Aux]],Base_Contas_Balanco[#All],2,FALSE)</f>
        <v>#N/A</v>
      </c>
      <c r="G6111" s="1">
        <v>42761</v>
      </c>
      <c r="H6111" s="225">
        <v>387.84000000000015</v>
      </c>
      <c r="I6111" s="225">
        <v>0</v>
      </c>
      <c r="J6111" s="225">
        <v>0</v>
      </c>
      <c r="K6111" s="225">
        <v>387.84000000000015</v>
      </c>
      <c r="L61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-387.84</v>
      </c>
      <c r="M6111" s="225">
        <f>ROUND(IF(AND(Base_Periodo1[[#This Row],[Tipo_Linha]]="-",Base_Periodo1[[#This Row],[TIPOSALDO]]="D"),Base_Periodo1[[#This Row],[SALDO_ATUAL]]*-1,Base_Periodo1[[#This Row],[SALDO_ATUAL]]),4)</f>
        <v>-387.84</v>
      </c>
      <c r="N6111" t="s">
        <v>116</v>
      </c>
      <c r="O6111" t="s">
        <v>397</v>
      </c>
      <c r="P6111" t="s">
        <v>397</v>
      </c>
      <c r="Q6111">
        <v>9</v>
      </c>
      <c r="R6111" s="282">
        <f>Base_Periodo1[[#This Row],[CREDITOS]]-Base_Periodo1[[#This Row],[DEBITOS]]</f>
        <v>0</v>
      </c>
      <c r="S6111" s="3" t="str">
        <f>IF(ISERROR(VLOOKUP(Base_Periodo1[[#This Row],[CONTA]],BaseContasDRE[#All],4,FALSE)),"Fora do DRE",VLOOKUP(Base_Periodo1[[#This Row],[CONTA]],BaseContasDRE[#All],4,FALSE))</f>
        <v>-</v>
      </c>
      <c r="T6111" s="3">
        <f>IF(ISERROR(VLOOKUP(Base_Periodo1[[#This Row],[CONTA]],BaseContasDRE[#All],5,FALSE)),"Fora do DRE",VLOOKUP(Base_Periodo1[[#This Row],[CONTA]],BaseContasDRE[#All],6,FALSE))</f>
        <v>2</v>
      </c>
      <c r="U6111" s="3" t="str">
        <f>IF(ISERROR(VLOOKUP(Base_Periodo1[[#This Row],[CONTA]],BaseContasDRE[#All],7,FALSE)),"Fora do DRE",VLOOKUP(Base_Periodo1[[#This Row],[CONTA]],BaseContasDRE[#All],7,FALSE))</f>
        <v>ICMS SOBRE INGRESSOS E RECEITAS</v>
      </c>
      <c r="V6111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111" s="3" t="str">
        <f>LEFT(Base_Periodo1[[#This Row],[CLASS]],3)</f>
        <v>3.1</v>
      </c>
    </row>
    <row r="6112" spans="1:23" hidden="1">
      <c r="A6112" s="3" t="str">
        <f t="shared" si="95"/>
        <v>Período 1</v>
      </c>
      <c r="B6112">
        <v>31526</v>
      </c>
      <c r="C6112" t="s">
        <v>3752</v>
      </c>
      <c r="D6112" t="s">
        <v>3567</v>
      </c>
      <c r="E6112" s="3" t="str">
        <f>IF(LEN(Base_Periodo1[[#This Row],[CLASS]])&gt;=7,LEFT(Base_Periodo1[[#This Row],[CLASS]],7),"")</f>
        <v>3.1.1.1</v>
      </c>
      <c r="F6112" s="3" t="e">
        <f>VLOOKUP(Base_Periodo1[[#This Row],[Aux]],Base_Contas_Balanco[#All],2,FALSE)</f>
        <v>#N/A</v>
      </c>
      <c r="G6112" s="1"/>
      <c r="H6112" s="225">
        <v>593223.74000000022</v>
      </c>
      <c r="I6112" s="225">
        <v>29034.25</v>
      </c>
      <c r="J6112" s="225">
        <v>29034.25</v>
      </c>
      <c r="K6112" s="225">
        <v>593223.74000000022</v>
      </c>
      <c r="L61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-593223.74</v>
      </c>
      <c r="M6112" s="225">
        <f>ROUND(IF(AND(Base_Periodo1[[#This Row],[Tipo_Linha]]="-",Base_Periodo1[[#This Row],[TIPOSALDO]]="D"),Base_Periodo1[[#This Row],[SALDO_ATUAL]]*-1,Base_Periodo1[[#This Row],[SALDO_ATUAL]]),4)</f>
        <v>593223.74</v>
      </c>
      <c r="N6112" t="s">
        <v>396</v>
      </c>
      <c r="O6112" t="s">
        <v>397</v>
      </c>
      <c r="P6112" t="s">
        <v>397</v>
      </c>
      <c r="Q6112">
        <v>8</v>
      </c>
      <c r="R6112" s="282">
        <f>Base_Periodo1[[#This Row],[CREDITOS]]-Base_Periodo1[[#This Row],[DEBITOS]]</f>
        <v>0</v>
      </c>
      <c r="S6112" s="3" t="str">
        <f>IF(ISERROR(VLOOKUP(Base_Periodo1[[#This Row],[CONTA]],BaseContasDRE[#All],4,FALSE)),"Fora do DRE",VLOOKUP(Base_Periodo1[[#This Row],[CONTA]],BaseContasDRE[#All],4,FALSE))</f>
        <v>Fora do DRE</v>
      </c>
      <c r="T6112" s="3" t="str">
        <f>IF(ISERROR(VLOOKUP(Base_Periodo1[[#This Row],[CONTA]],BaseContasDRE[#All],5,FALSE)),"Fora do DRE",VLOOKUP(Base_Periodo1[[#This Row],[CONTA]],BaseContasDRE[#All],6,FALSE))</f>
        <v>Fora do DRE</v>
      </c>
      <c r="U6112" s="3" t="str">
        <f>IF(ISERROR(VLOOKUP(Base_Periodo1[[#This Row],[CONTA]],BaseContasDRE[#All],7,FALSE)),"Fora do DRE",VLOOKUP(Base_Periodo1[[#This Row],[CONTA]],BaseContasDRE[#All],7,FALSE))</f>
        <v>Fora do DRE</v>
      </c>
      <c r="V6112" s="3" t="str">
        <f>IF(Base_Periodo1[[#This Row],[Tipo_Linha]]="Fora do DRE","Fora do DRE","( "&amp;Base_Periodo1[[#This Row],[Tipo_Linha]]&amp;" ) "&amp;Base_Periodo1[[#This Row],[Filtro]])</f>
        <v>Fora do DRE</v>
      </c>
      <c r="W6112" s="3" t="str">
        <f>LEFT(Base_Periodo1[[#This Row],[CLASS]],3)</f>
        <v>3.1</v>
      </c>
    </row>
    <row r="6113" spans="1:23" hidden="1">
      <c r="A6113" s="3" t="str">
        <f t="shared" si="95"/>
        <v>Período 1</v>
      </c>
      <c r="B6113">
        <v>31527</v>
      </c>
      <c r="C6113" t="s">
        <v>3753</v>
      </c>
      <c r="D6113" t="s">
        <v>3568</v>
      </c>
      <c r="E6113" s="3" t="str">
        <f>IF(LEN(Base_Periodo1[[#This Row],[CLASS]])&gt;=7,LEFT(Base_Periodo1[[#This Row],[CLASS]],7),"")</f>
        <v>3.1.1.1</v>
      </c>
      <c r="F6113" s="3" t="e">
        <f>VLOOKUP(Base_Periodo1[[#This Row],[Aux]],Base_Contas_Balanco[#All],2,FALSE)</f>
        <v>#N/A</v>
      </c>
      <c r="G6113" s="1">
        <v>42886</v>
      </c>
      <c r="H6113" s="225">
        <v>593223.74000000022</v>
      </c>
      <c r="I6113" s="225">
        <v>29034.25</v>
      </c>
      <c r="J6113" s="225">
        <v>29034.25</v>
      </c>
      <c r="K6113" s="225">
        <v>593223.74000000022</v>
      </c>
      <c r="L61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-593223.74</v>
      </c>
      <c r="M6113" s="225">
        <f>ROUND(IF(AND(Base_Periodo1[[#This Row],[Tipo_Linha]]="-",Base_Periodo1[[#This Row],[TIPOSALDO]]="D"),Base_Periodo1[[#This Row],[SALDO_ATUAL]]*-1,Base_Periodo1[[#This Row],[SALDO_ATUAL]]),4)</f>
        <v>-593223.74</v>
      </c>
      <c r="N6113" t="s">
        <v>116</v>
      </c>
      <c r="O6113" t="s">
        <v>397</v>
      </c>
      <c r="P6113" t="s">
        <v>397</v>
      </c>
      <c r="Q6113">
        <v>9</v>
      </c>
      <c r="R6113" s="282">
        <f>Base_Periodo1[[#This Row],[CREDITOS]]-Base_Periodo1[[#This Row],[DEBITOS]]</f>
        <v>0</v>
      </c>
      <c r="S6113" s="3" t="str">
        <f>IF(ISERROR(VLOOKUP(Base_Periodo1[[#This Row],[CONTA]],BaseContasDRE[#All],4,FALSE)),"Fora do DRE",VLOOKUP(Base_Periodo1[[#This Row],[CONTA]],BaseContasDRE[#All],4,FALSE))</f>
        <v>-</v>
      </c>
      <c r="T6113" s="3">
        <f>IF(ISERROR(VLOOKUP(Base_Periodo1[[#This Row],[CONTA]],BaseContasDRE[#All],5,FALSE)),"Fora do DRE",VLOOKUP(Base_Periodo1[[#This Row],[CONTA]],BaseContasDRE[#All],6,FALSE))</f>
        <v>3</v>
      </c>
      <c r="U6113" s="3" t="str">
        <f>IF(ISERROR(VLOOKUP(Base_Periodo1[[#This Row],[CONTA]],BaseContasDRE[#All],7,FALSE)),"Fora do DRE",VLOOKUP(Base_Periodo1[[#This Row],[CONTA]],BaseContasDRE[#All],7,FALSE))</f>
        <v>PRODUÇÃO DE SEMENTES</v>
      </c>
      <c r="V6113" s="3" t="str">
        <f>IF(Base_Periodo1[[#This Row],[Tipo_Linha]]="Fora do DRE","Fora do DRE","( "&amp;Base_Periodo1[[#This Row],[Tipo_Linha]]&amp;" ) "&amp;Base_Periodo1[[#This Row],[Filtro]])</f>
        <v>( - ) PRODUÇÃO DE SEMENTES</v>
      </c>
      <c r="W6113" s="3" t="str">
        <f>LEFT(Base_Periodo1[[#This Row],[CLASS]],3)</f>
        <v>3.1</v>
      </c>
    </row>
    <row r="6114" spans="1:23" hidden="1">
      <c r="A6114" s="3" t="str">
        <f t="shared" si="95"/>
        <v>Período 1</v>
      </c>
      <c r="B6114">
        <v>6096</v>
      </c>
      <c r="C6114" t="s">
        <v>3754</v>
      </c>
      <c r="D6114" t="s">
        <v>3755</v>
      </c>
      <c r="E6114" s="3" t="str">
        <f>IF(LEN(Base_Periodo1[[#This Row],[CLASS]])&gt;=7,LEFT(Base_Periodo1[[#This Row],[CLASS]],7),"")</f>
        <v>3.1.1.2</v>
      </c>
      <c r="F6114" s="3" t="e">
        <f>VLOOKUP(Base_Periodo1[[#This Row],[Aux]],Base_Contas_Balanco[#All],2,FALSE)</f>
        <v>#N/A</v>
      </c>
      <c r="G6114" s="1"/>
      <c r="H6114" s="225">
        <v>455765.26999999536</v>
      </c>
      <c r="I6114" s="225">
        <v>463326.88000000006</v>
      </c>
      <c r="J6114" s="225">
        <v>575052.41000000015</v>
      </c>
      <c r="K6114" s="225">
        <v>567490.79999999539</v>
      </c>
      <c r="L61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567490.80000000005</v>
      </c>
      <c r="M6114" s="225">
        <f>ROUND(IF(AND(Base_Periodo1[[#This Row],[Tipo_Linha]]="-",Base_Periodo1[[#This Row],[TIPOSALDO]]="D"),Base_Periodo1[[#This Row],[SALDO_ATUAL]]*-1,Base_Periodo1[[#This Row],[SALDO_ATUAL]]),4)</f>
        <v>567490.80000000005</v>
      </c>
      <c r="N6114" t="s">
        <v>396</v>
      </c>
      <c r="O6114" t="s">
        <v>459</v>
      </c>
      <c r="P6114" t="s">
        <v>459</v>
      </c>
      <c r="Q6114">
        <v>4</v>
      </c>
      <c r="R6114" s="282">
        <f>Base_Periodo1[[#This Row],[CREDITOS]]-Base_Periodo1[[#This Row],[DEBITOS]]</f>
        <v>111725.53000000009</v>
      </c>
      <c r="S6114" s="3" t="str">
        <f>IF(ISERROR(VLOOKUP(Base_Periodo1[[#This Row],[CONTA]],BaseContasDRE[#All],4,FALSE)),"Fora do DRE",VLOOKUP(Base_Periodo1[[#This Row],[CONTA]],BaseContasDRE[#All],4,FALSE))</f>
        <v>Fora do DRE</v>
      </c>
      <c r="T6114" s="3" t="str">
        <f>IF(ISERROR(VLOOKUP(Base_Periodo1[[#This Row],[CONTA]],BaseContasDRE[#All],5,FALSE)),"Fora do DRE",VLOOKUP(Base_Periodo1[[#This Row],[CONTA]],BaseContasDRE[#All],6,FALSE))</f>
        <v>Fora do DRE</v>
      </c>
      <c r="U6114" s="3" t="str">
        <f>IF(ISERROR(VLOOKUP(Base_Periodo1[[#This Row],[CONTA]],BaseContasDRE[#All],7,FALSE)),"Fora do DRE",VLOOKUP(Base_Periodo1[[#This Row],[CONTA]],BaseContasDRE[#All],7,FALSE))</f>
        <v>Fora do DRE</v>
      </c>
      <c r="V6114" s="3" t="str">
        <f>IF(Base_Periodo1[[#This Row],[Tipo_Linha]]="Fora do DRE","Fora do DRE","( "&amp;Base_Periodo1[[#This Row],[Tipo_Linha]]&amp;" ) "&amp;Base_Periodo1[[#This Row],[Filtro]])</f>
        <v>Fora do DRE</v>
      </c>
      <c r="W6114" s="3" t="str">
        <f>LEFT(Base_Periodo1[[#This Row],[CLASS]],3)</f>
        <v>3.1</v>
      </c>
    </row>
    <row r="6115" spans="1:23" hidden="1">
      <c r="A6115" s="3" t="str">
        <f t="shared" si="95"/>
        <v>Período 1</v>
      </c>
      <c r="B6115">
        <v>6097</v>
      </c>
      <c r="C6115" t="s">
        <v>3756</v>
      </c>
      <c r="D6115" t="s">
        <v>3757</v>
      </c>
      <c r="E6115" s="3" t="str">
        <f>IF(LEN(Base_Periodo1[[#This Row],[CLASS]])&gt;=7,LEFT(Base_Periodo1[[#This Row],[CLASS]],7),"")</f>
        <v>3.1.1.2</v>
      </c>
      <c r="F6115" s="3" t="e">
        <f>VLOOKUP(Base_Periodo1[[#This Row],[Aux]],Base_Contas_Balanco[#All],2,FALSE)</f>
        <v>#N/A</v>
      </c>
      <c r="G6115" s="1"/>
      <c r="H6115" s="225">
        <v>455765.26999999536</v>
      </c>
      <c r="I6115" s="225">
        <v>463326.88000000006</v>
      </c>
      <c r="J6115" s="225">
        <v>575052.41000000015</v>
      </c>
      <c r="K6115" s="225">
        <v>567490.79999999539</v>
      </c>
      <c r="L61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567490.80000000005</v>
      </c>
      <c r="M6115" s="225">
        <f>ROUND(IF(AND(Base_Periodo1[[#This Row],[Tipo_Linha]]="-",Base_Periodo1[[#This Row],[TIPOSALDO]]="D"),Base_Periodo1[[#This Row],[SALDO_ATUAL]]*-1,Base_Periodo1[[#This Row],[SALDO_ATUAL]]),4)</f>
        <v>567490.80000000005</v>
      </c>
      <c r="N6115" t="s">
        <v>396</v>
      </c>
      <c r="O6115" t="s">
        <v>459</v>
      </c>
      <c r="P6115" t="s">
        <v>459</v>
      </c>
      <c r="Q6115">
        <v>5</v>
      </c>
      <c r="R6115" s="282">
        <f>Base_Periodo1[[#This Row],[CREDITOS]]-Base_Periodo1[[#This Row],[DEBITOS]]</f>
        <v>111725.53000000009</v>
      </c>
      <c r="S6115" s="3" t="str">
        <f>IF(ISERROR(VLOOKUP(Base_Periodo1[[#This Row],[CONTA]],BaseContasDRE[#All],4,FALSE)),"Fora do DRE",VLOOKUP(Base_Periodo1[[#This Row],[CONTA]],BaseContasDRE[#All],4,FALSE))</f>
        <v>Fora do DRE</v>
      </c>
      <c r="T6115" s="3" t="str">
        <f>IF(ISERROR(VLOOKUP(Base_Periodo1[[#This Row],[CONTA]],BaseContasDRE[#All],5,FALSE)),"Fora do DRE",VLOOKUP(Base_Periodo1[[#This Row],[CONTA]],BaseContasDRE[#All],6,FALSE))</f>
        <v>Fora do DRE</v>
      </c>
      <c r="U6115" s="3" t="str">
        <f>IF(ISERROR(VLOOKUP(Base_Periodo1[[#This Row],[CONTA]],BaseContasDRE[#All],7,FALSE)),"Fora do DRE",VLOOKUP(Base_Periodo1[[#This Row],[CONTA]],BaseContasDRE[#All],7,FALSE))</f>
        <v>Fora do DRE</v>
      </c>
      <c r="V6115" s="3" t="str">
        <f>IF(Base_Periodo1[[#This Row],[Tipo_Linha]]="Fora do DRE","Fora do DRE","( "&amp;Base_Periodo1[[#This Row],[Tipo_Linha]]&amp;" ) "&amp;Base_Periodo1[[#This Row],[Filtro]])</f>
        <v>Fora do DRE</v>
      </c>
      <c r="W6115" s="3" t="str">
        <f>LEFT(Base_Periodo1[[#This Row],[CLASS]],3)</f>
        <v>3.1</v>
      </c>
    </row>
    <row r="6116" spans="1:23" hidden="1">
      <c r="A6116" s="3" t="str">
        <f t="shared" si="95"/>
        <v>Período 1</v>
      </c>
      <c r="B6116">
        <v>6098</v>
      </c>
      <c r="C6116" t="s">
        <v>3758</v>
      </c>
      <c r="D6116" t="s">
        <v>3757</v>
      </c>
      <c r="E6116" s="3" t="str">
        <f>IF(LEN(Base_Periodo1[[#This Row],[CLASS]])&gt;=7,LEFT(Base_Periodo1[[#This Row],[CLASS]],7),"")</f>
        <v>3.1.1.2</v>
      </c>
      <c r="F6116" s="3" t="e">
        <f>VLOOKUP(Base_Periodo1[[#This Row],[Aux]],Base_Contas_Balanco[#All],2,FALSE)</f>
        <v>#N/A</v>
      </c>
      <c r="G6116" s="1"/>
      <c r="H6116" s="225">
        <v>455765.26999999536</v>
      </c>
      <c r="I6116" s="225">
        <v>463326.88000000006</v>
      </c>
      <c r="J6116" s="225">
        <v>575052.41000000015</v>
      </c>
      <c r="K6116" s="225">
        <v>567490.79999999539</v>
      </c>
      <c r="L61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567490.80000000005</v>
      </c>
      <c r="M6116" s="225">
        <f>ROUND(IF(AND(Base_Periodo1[[#This Row],[Tipo_Linha]]="-",Base_Periodo1[[#This Row],[TIPOSALDO]]="D"),Base_Periodo1[[#This Row],[SALDO_ATUAL]]*-1,Base_Periodo1[[#This Row],[SALDO_ATUAL]]),4)</f>
        <v>567490.80000000005</v>
      </c>
      <c r="N6116" t="s">
        <v>396</v>
      </c>
      <c r="O6116" t="s">
        <v>459</v>
      </c>
      <c r="P6116" t="s">
        <v>459</v>
      </c>
      <c r="Q6116">
        <v>6</v>
      </c>
      <c r="R6116" s="282">
        <f>Base_Periodo1[[#This Row],[CREDITOS]]-Base_Periodo1[[#This Row],[DEBITOS]]</f>
        <v>111725.53000000009</v>
      </c>
      <c r="S6116" s="3" t="str">
        <f>IF(ISERROR(VLOOKUP(Base_Periodo1[[#This Row],[CONTA]],BaseContasDRE[#All],4,FALSE)),"Fora do DRE",VLOOKUP(Base_Periodo1[[#This Row],[CONTA]],BaseContasDRE[#All],4,FALSE))</f>
        <v>Fora do DRE</v>
      </c>
      <c r="T6116" s="3" t="str">
        <f>IF(ISERROR(VLOOKUP(Base_Periodo1[[#This Row],[CONTA]],BaseContasDRE[#All],5,FALSE)),"Fora do DRE",VLOOKUP(Base_Periodo1[[#This Row],[CONTA]],BaseContasDRE[#All],6,FALSE))</f>
        <v>Fora do DRE</v>
      </c>
      <c r="U6116" s="3" t="str">
        <f>IF(ISERROR(VLOOKUP(Base_Periodo1[[#This Row],[CONTA]],BaseContasDRE[#All],7,FALSE)),"Fora do DRE",VLOOKUP(Base_Periodo1[[#This Row],[CONTA]],BaseContasDRE[#All],7,FALSE))</f>
        <v>Fora do DRE</v>
      </c>
      <c r="V6116" s="3" t="str">
        <f>IF(Base_Periodo1[[#This Row],[Tipo_Linha]]="Fora do DRE","Fora do DRE","( "&amp;Base_Periodo1[[#This Row],[Tipo_Linha]]&amp;" ) "&amp;Base_Periodo1[[#This Row],[Filtro]])</f>
        <v>Fora do DRE</v>
      </c>
      <c r="W6116" s="3" t="str">
        <f>LEFT(Base_Periodo1[[#This Row],[CLASS]],3)</f>
        <v>3.1</v>
      </c>
    </row>
    <row r="6117" spans="1:23" hidden="1">
      <c r="A6117" s="3" t="str">
        <f t="shared" si="95"/>
        <v>Período 1</v>
      </c>
      <c r="B6117">
        <v>6107</v>
      </c>
      <c r="C6117" t="s">
        <v>3761</v>
      </c>
      <c r="D6117" t="s">
        <v>3762</v>
      </c>
      <c r="E6117" s="3" t="str">
        <f>IF(LEN(Base_Periodo1[[#This Row],[CLASS]])&gt;=7,LEFT(Base_Periodo1[[#This Row],[CLASS]],7),"")</f>
        <v>3.1.1.2</v>
      </c>
      <c r="F6117" s="3" t="e">
        <f>VLOOKUP(Base_Periodo1[[#This Row],[Aux]],Base_Contas_Balanco[#All],2,FALSE)</f>
        <v>#N/A</v>
      </c>
      <c r="G6117" s="1"/>
      <c r="H6117" s="225">
        <v>364037.71999998728</v>
      </c>
      <c r="I6117" s="225">
        <v>395769.76</v>
      </c>
      <c r="J6117" s="225">
        <v>450488.63000000018</v>
      </c>
      <c r="K6117" s="225">
        <v>418756.58999998745</v>
      </c>
      <c r="L61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418756.59</v>
      </c>
      <c r="M6117" s="225">
        <f>ROUND(IF(AND(Base_Periodo1[[#This Row],[Tipo_Linha]]="-",Base_Periodo1[[#This Row],[TIPOSALDO]]="D"),Base_Periodo1[[#This Row],[SALDO_ATUAL]]*-1,Base_Periodo1[[#This Row],[SALDO_ATUAL]]),4)</f>
        <v>418756.59</v>
      </c>
      <c r="N6117" t="s">
        <v>396</v>
      </c>
      <c r="O6117" t="s">
        <v>459</v>
      </c>
      <c r="P6117" t="s">
        <v>459</v>
      </c>
      <c r="Q6117">
        <v>7</v>
      </c>
      <c r="R6117" s="282">
        <f>Base_Periodo1[[#This Row],[CREDITOS]]-Base_Periodo1[[#This Row],[DEBITOS]]</f>
        <v>54718.87000000017</v>
      </c>
      <c r="S6117" s="3" t="str">
        <f>IF(ISERROR(VLOOKUP(Base_Periodo1[[#This Row],[CONTA]],BaseContasDRE[#All],4,FALSE)),"Fora do DRE",VLOOKUP(Base_Periodo1[[#This Row],[CONTA]],BaseContasDRE[#All],4,FALSE))</f>
        <v>Fora do DRE</v>
      </c>
      <c r="T6117" s="3" t="str">
        <f>IF(ISERROR(VLOOKUP(Base_Periodo1[[#This Row],[CONTA]],BaseContasDRE[#All],5,FALSE)),"Fora do DRE",VLOOKUP(Base_Periodo1[[#This Row],[CONTA]],BaseContasDRE[#All],6,FALSE))</f>
        <v>Fora do DRE</v>
      </c>
      <c r="U6117" s="3" t="str">
        <f>IF(ISERROR(VLOOKUP(Base_Periodo1[[#This Row],[CONTA]],BaseContasDRE[#All],7,FALSE)),"Fora do DRE",VLOOKUP(Base_Periodo1[[#This Row],[CONTA]],BaseContasDRE[#All],7,FALSE))</f>
        <v>Fora do DRE</v>
      </c>
      <c r="V6117" s="3" t="str">
        <f>IF(Base_Periodo1[[#This Row],[Tipo_Linha]]="Fora do DRE","Fora do DRE","( "&amp;Base_Periodo1[[#This Row],[Tipo_Linha]]&amp;" ) "&amp;Base_Periodo1[[#This Row],[Filtro]])</f>
        <v>Fora do DRE</v>
      </c>
      <c r="W6117" s="3" t="str">
        <f>LEFT(Base_Periodo1[[#This Row],[CLASS]],3)</f>
        <v>3.1</v>
      </c>
    </row>
    <row r="6118" spans="1:23" hidden="1">
      <c r="A6118" s="3" t="str">
        <f t="shared" si="95"/>
        <v>Período 1</v>
      </c>
      <c r="B6118">
        <v>6108</v>
      </c>
      <c r="C6118" t="s">
        <v>3763</v>
      </c>
      <c r="D6118" t="s">
        <v>3760</v>
      </c>
      <c r="E6118" s="3" t="str">
        <f>IF(LEN(Base_Periodo1[[#This Row],[CLASS]])&gt;=7,LEFT(Base_Periodo1[[#This Row],[CLASS]],7),"")</f>
        <v>3.1.1.2</v>
      </c>
      <c r="F6118" s="3" t="e">
        <f>VLOOKUP(Base_Periodo1[[#This Row],[Aux]],Base_Contas_Balanco[#All],2,FALSE)</f>
        <v>#N/A</v>
      </c>
      <c r="G6118" s="1"/>
      <c r="H6118" s="225">
        <v>1657092.9199999869</v>
      </c>
      <c r="I6118" s="225">
        <v>0</v>
      </c>
      <c r="J6118" s="225">
        <v>436035.52000000019</v>
      </c>
      <c r="K6118" s="225">
        <v>2093128.4399999871</v>
      </c>
      <c r="L61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2093128.44</v>
      </c>
      <c r="M6118" s="225">
        <f>ROUND(IF(AND(Base_Periodo1[[#This Row],[Tipo_Linha]]="-",Base_Periodo1[[#This Row],[TIPOSALDO]]="D"),Base_Periodo1[[#This Row],[SALDO_ATUAL]]*-1,Base_Periodo1[[#This Row],[SALDO_ATUAL]]),4)</f>
        <v>2093128.44</v>
      </c>
      <c r="N6118" t="s">
        <v>396</v>
      </c>
      <c r="O6118" t="s">
        <v>459</v>
      </c>
      <c r="P6118" t="s">
        <v>459</v>
      </c>
      <c r="Q6118">
        <v>8</v>
      </c>
      <c r="R6118" s="282">
        <f>Base_Periodo1[[#This Row],[CREDITOS]]-Base_Periodo1[[#This Row],[DEBITOS]]</f>
        <v>436035.52000000019</v>
      </c>
      <c r="S6118" s="3" t="str">
        <f>IF(ISERROR(VLOOKUP(Base_Periodo1[[#This Row],[CONTA]],BaseContasDRE[#All],4,FALSE)),"Fora do DRE",VLOOKUP(Base_Periodo1[[#This Row],[CONTA]],BaseContasDRE[#All],4,FALSE))</f>
        <v>Fora do DRE</v>
      </c>
      <c r="T6118" s="3" t="str">
        <f>IF(ISERROR(VLOOKUP(Base_Periodo1[[#This Row],[CONTA]],BaseContasDRE[#All],5,FALSE)),"Fora do DRE",VLOOKUP(Base_Periodo1[[#This Row],[CONTA]],BaseContasDRE[#All],6,FALSE))</f>
        <v>Fora do DRE</v>
      </c>
      <c r="U6118" s="3" t="str">
        <f>IF(ISERROR(VLOOKUP(Base_Periodo1[[#This Row],[CONTA]],BaseContasDRE[#All],7,FALSE)),"Fora do DRE",VLOOKUP(Base_Periodo1[[#This Row],[CONTA]],BaseContasDRE[#All],7,FALSE))</f>
        <v>Fora do DRE</v>
      </c>
      <c r="V6118" s="3" t="str">
        <f>IF(Base_Periodo1[[#This Row],[Tipo_Linha]]="Fora do DRE","Fora do DRE","( "&amp;Base_Periodo1[[#This Row],[Tipo_Linha]]&amp;" ) "&amp;Base_Periodo1[[#This Row],[Filtro]])</f>
        <v>Fora do DRE</v>
      </c>
      <c r="W6118" s="3" t="str">
        <f>LEFT(Base_Periodo1[[#This Row],[CLASS]],3)</f>
        <v>3.1</v>
      </c>
    </row>
    <row r="6119" spans="1:23" hidden="1">
      <c r="A6119" s="3" t="str">
        <f t="shared" si="95"/>
        <v>Período 1</v>
      </c>
      <c r="B6119">
        <v>6109</v>
      </c>
      <c r="C6119" t="s">
        <v>3764</v>
      </c>
      <c r="D6119" t="s">
        <v>3562</v>
      </c>
      <c r="E6119" s="3" t="str">
        <f>IF(LEN(Base_Periodo1[[#This Row],[CLASS]])&gt;=7,LEFT(Base_Periodo1[[#This Row],[CLASS]],7),"")</f>
        <v>3.1.1.2</v>
      </c>
      <c r="F6119" s="3" t="e">
        <f>VLOOKUP(Base_Periodo1[[#This Row],[Aux]],Base_Contas_Balanco[#All],2,FALSE)</f>
        <v>#N/A</v>
      </c>
      <c r="G6119" s="1">
        <v>42886</v>
      </c>
      <c r="H6119" s="225">
        <v>1657092.9199999869</v>
      </c>
      <c r="I6119" s="225">
        <v>0</v>
      </c>
      <c r="J6119" s="225">
        <v>436035.52000000019</v>
      </c>
      <c r="K6119" s="225">
        <v>2093128.4399999871</v>
      </c>
      <c r="L61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2093128.44</v>
      </c>
      <c r="M6119" s="225">
        <f>ROUND(IF(AND(Base_Periodo1[[#This Row],[Tipo_Linha]]="-",Base_Periodo1[[#This Row],[TIPOSALDO]]="D"),Base_Periodo1[[#This Row],[SALDO_ATUAL]]*-1,Base_Periodo1[[#This Row],[SALDO_ATUAL]]),4)</f>
        <v>2093128.44</v>
      </c>
      <c r="N6119" t="s">
        <v>116</v>
      </c>
      <c r="O6119" t="s">
        <v>459</v>
      </c>
      <c r="P6119" t="s">
        <v>459</v>
      </c>
      <c r="Q6119">
        <v>9</v>
      </c>
      <c r="R6119" s="282">
        <f>Base_Periodo1[[#This Row],[CREDITOS]]-Base_Periodo1[[#This Row],[DEBITOS]]</f>
        <v>436035.52000000019</v>
      </c>
      <c r="S6119" s="3" t="str">
        <f>IF(ISERROR(VLOOKUP(Base_Periodo1[[#This Row],[CONTA]],BaseContasDRE[#All],4,FALSE)),"Fora do DRE",VLOOKUP(Base_Periodo1[[#This Row],[CONTA]],BaseContasDRE[#All],4,FALSE))</f>
        <v>+</v>
      </c>
      <c r="T6119" s="3">
        <f>IF(ISERROR(VLOOKUP(Base_Periodo1[[#This Row],[CONTA]],BaseContasDRE[#All],5,FALSE)),"Fora do DRE",VLOOKUP(Base_Periodo1[[#This Row],[CONTA]],BaseContasDRE[#All],6,FALSE))</f>
        <v>1</v>
      </c>
      <c r="U6119" s="3" t="str">
        <f>IF(ISERROR(VLOOKUP(Base_Periodo1[[#This Row],[CONTA]],BaseContasDRE[#All],7,FALSE)),"Fora do DRE",VLOOKUP(Base_Periodo1[[#This Row],[CONTA]],BaseContasDRE[#All],7,FALSE))</f>
        <v>SERVIÇOS PRESTADOS</v>
      </c>
      <c r="V6119" s="3" t="str">
        <f>IF(Base_Periodo1[[#This Row],[Tipo_Linha]]="Fora do DRE","Fora do DRE","( "&amp;Base_Periodo1[[#This Row],[Tipo_Linha]]&amp;" ) "&amp;Base_Periodo1[[#This Row],[Filtro]])</f>
        <v>( + ) SERVIÇOS PRESTADOS</v>
      </c>
      <c r="W6119" s="3" t="str">
        <f>LEFT(Base_Periodo1[[#This Row],[CLASS]],3)</f>
        <v>3.1</v>
      </c>
    </row>
    <row r="6120" spans="1:23" hidden="1">
      <c r="A6120" s="3" t="str">
        <f t="shared" si="95"/>
        <v>Período 1</v>
      </c>
      <c r="B6120">
        <v>38419</v>
      </c>
      <c r="C6120" t="s">
        <v>6620</v>
      </c>
      <c r="D6120" t="s">
        <v>6621</v>
      </c>
      <c r="E6120" s="3" t="str">
        <f>IF(LEN(Base_Periodo1[[#This Row],[CLASS]])&gt;=7,LEFT(Base_Periodo1[[#This Row],[CLASS]],7),"")</f>
        <v>3.1.1.2</v>
      </c>
      <c r="F6120" s="3" t="e">
        <f>VLOOKUP(Base_Periodo1[[#This Row],[Aux]],Base_Contas_Balanco[#All],2,FALSE)</f>
        <v>#N/A</v>
      </c>
      <c r="G6120" s="1"/>
      <c r="H6120" s="225">
        <v>1097.5400000000045</v>
      </c>
      <c r="I6120" s="225">
        <v>0</v>
      </c>
      <c r="J6120" s="225">
        <v>0</v>
      </c>
      <c r="K6120" s="225">
        <v>1097.5400000000045</v>
      </c>
      <c r="L61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-1097.54</v>
      </c>
      <c r="M6120" s="225">
        <f>ROUND(IF(AND(Base_Periodo1[[#This Row],[Tipo_Linha]]="-",Base_Periodo1[[#This Row],[TIPOSALDO]]="D"),Base_Periodo1[[#This Row],[SALDO_ATUAL]]*-1,Base_Periodo1[[#This Row],[SALDO_ATUAL]]),4)</f>
        <v>1097.54</v>
      </c>
      <c r="N6120" t="s">
        <v>396</v>
      </c>
      <c r="O6120" t="s">
        <v>397</v>
      </c>
      <c r="P6120" t="s">
        <v>397</v>
      </c>
      <c r="Q6120">
        <v>8</v>
      </c>
      <c r="R6120" s="282">
        <f>Base_Periodo1[[#This Row],[CREDITOS]]-Base_Periodo1[[#This Row],[DEBITOS]]</f>
        <v>0</v>
      </c>
      <c r="S6120" s="3" t="str">
        <f>IF(ISERROR(VLOOKUP(Base_Periodo1[[#This Row],[CONTA]],BaseContasDRE[#All],4,FALSE)),"Fora do DRE",VLOOKUP(Base_Periodo1[[#This Row],[CONTA]],BaseContasDRE[#All],4,FALSE))</f>
        <v>Fora do DRE</v>
      </c>
      <c r="T6120" s="3" t="str">
        <f>IF(ISERROR(VLOOKUP(Base_Periodo1[[#This Row],[CONTA]],BaseContasDRE[#All],5,FALSE)),"Fora do DRE",VLOOKUP(Base_Periodo1[[#This Row],[CONTA]],BaseContasDRE[#All],6,FALSE))</f>
        <v>Fora do DRE</v>
      </c>
      <c r="U6120" s="3" t="str">
        <f>IF(ISERROR(VLOOKUP(Base_Periodo1[[#This Row],[CONTA]],BaseContasDRE[#All],7,FALSE)),"Fora do DRE",VLOOKUP(Base_Periodo1[[#This Row],[CONTA]],BaseContasDRE[#All],7,FALSE))</f>
        <v>Fora do DRE</v>
      </c>
      <c r="V6120" s="3" t="str">
        <f>IF(Base_Periodo1[[#This Row],[Tipo_Linha]]="Fora do DRE","Fora do DRE","( "&amp;Base_Periodo1[[#This Row],[Tipo_Linha]]&amp;" ) "&amp;Base_Periodo1[[#This Row],[Filtro]])</f>
        <v>Fora do DRE</v>
      </c>
      <c r="W6120" s="3" t="str">
        <f>LEFT(Base_Periodo1[[#This Row],[CLASS]],3)</f>
        <v>3.1</v>
      </c>
    </row>
    <row r="6121" spans="1:23" hidden="1">
      <c r="A6121" s="3" t="str">
        <f t="shared" si="95"/>
        <v>Período 1</v>
      </c>
      <c r="B6121">
        <v>38420</v>
      </c>
      <c r="C6121" t="s">
        <v>6622</v>
      </c>
      <c r="D6121" t="s">
        <v>6083</v>
      </c>
      <c r="E6121" s="3" t="str">
        <f>IF(LEN(Base_Periodo1[[#This Row],[CLASS]])&gt;=7,LEFT(Base_Periodo1[[#This Row],[CLASS]],7),"")</f>
        <v>3.1.1.2</v>
      </c>
      <c r="F6121" s="3" t="e">
        <f>VLOOKUP(Base_Periodo1[[#This Row],[Aux]],Base_Contas_Balanco[#All],2,FALSE)</f>
        <v>#N/A</v>
      </c>
      <c r="G6121" s="1">
        <v>42829</v>
      </c>
      <c r="H6121" s="225">
        <v>1097.5400000000045</v>
      </c>
      <c r="I6121" s="225">
        <v>0</v>
      </c>
      <c r="J6121" s="225">
        <v>0</v>
      </c>
      <c r="K6121" s="225">
        <v>1097.5400000000045</v>
      </c>
      <c r="L61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-1097.54</v>
      </c>
      <c r="M6121" s="225">
        <f>ROUND(IF(AND(Base_Periodo1[[#This Row],[Tipo_Linha]]="-",Base_Periodo1[[#This Row],[TIPOSALDO]]="D"),Base_Periodo1[[#This Row],[SALDO_ATUAL]]*-1,Base_Periodo1[[#This Row],[SALDO_ATUAL]]),4)</f>
        <v>-1097.54</v>
      </c>
      <c r="N6121" t="s">
        <v>116</v>
      </c>
      <c r="O6121" t="s">
        <v>397</v>
      </c>
      <c r="P6121" t="s">
        <v>397</v>
      </c>
      <c r="Q6121">
        <v>9</v>
      </c>
      <c r="R6121" s="282">
        <f>Base_Periodo1[[#This Row],[CREDITOS]]-Base_Periodo1[[#This Row],[DEBITOS]]</f>
        <v>0</v>
      </c>
      <c r="S6121" s="3" t="str">
        <f>IF(ISERROR(VLOOKUP(Base_Periodo1[[#This Row],[CONTA]],BaseContasDRE[#All],4,FALSE)),"Fora do DRE",VLOOKUP(Base_Periodo1[[#This Row],[CONTA]],BaseContasDRE[#All],4,FALSE))</f>
        <v>-</v>
      </c>
      <c r="T6121" s="3">
        <f>IF(ISERROR(VLOOKUP(Base_Periodo1[[#This Row],[CONTA]],BaseContasDRE[#All],5,FALSE)),"Fora do DRE",VLOOKUP(Base_Periodo1[[#This Row],[CONTA]],BaseContasDRE[#All],6,FALSE))</f>
        <v>2</v>
      </c>
      <c r="U6121" s="3" t="str">
        <f>IF(ISERROR(VLOOKUP(Base_Periodo1[[#This Row],[CONTA]],BaseContasDRE[#All],7,FALSE)),"Fora do DRE",VLOOKUP(Base_Periodo1[[#This Row],[CONTA]],BaseContasDRE[#All],7,FALSE))</f>
        <v>ANULACAO DE VALOR (SERVIÇO DE FRETE</v>
      </c>
      <c r="V6121" s="3" t="str">
        <f>IF(Base_Periodo1[[#This Row],[Tipo_Linha]]="Fora do DRE","Fora do DRE","( "&amp;Base_Periodo1[[#This Row],[Tipo_Linha]]&amp;" ) "&amp;Base_Periodo1[[#This Row],[Filtro]])</f>
        <v>( - ) ANULACAO DE VALOR (SERVIÇO DE FRETE</v>
      </c>
      <c r="W6121" s="3" t="str">
        <f>LEFT(Base_Periodo1[[#This Row],[CLASS]],3)</f>
        <v>3.1</v>
      </c>
    </row>
    <row r="6122" spans="1:23" hidden="1">
      <c r="A6122" s="3" t="str">
        <f t="shared" si="95"/>
        <v>Período 1</v>
      </c>
      <c r="B6122">
        <v>6110</v>
      </c>
      <c r="C6122" t="s">
        <v>3765</v>
      </c>
      <c r="D6122" t="s">
        <v>3565</v>
      </c>
      <c r="E6122" s="3" t="str">
        <f>IF(LEN(Base_Periodo1[[#This Row],[CLASS]])&gt;=7,LEFT(Base_Periodo1[[#This Row],[CLASS]],7),"")</f>
        <v>3.1.1.2</v>
      </c>
      <c r="F6122" s="3" t="e">
        <f>VLOOKUP(Base_Periodo1[[#This Row],[Aux]],Base_Contas_Balanco[#All],2,FALSE)</f>
        <v>#N/A</v>
      </c>
      <c r="G6122" s="1"/>
      <c r="H6122" s="225">
        <v>124362.99000000025</v>
      </c>
      <c r="I6122" s="225">
        <v>49586.899999999994</v>
      </c>
      <c r="J6122" s="225">
        <v>0</v>
      </c>
      <c r="K6122" s="225">
        <v>173949.89000000025</v>
      </c>
      <c r="L61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-173949.89</v>
      </c>
      <c r="M6122" s="225">
        <f>ROUND(IF(AND(Base_Periodo1[[#This Row],[Tipo_Linha]]="-",Base_Periodo1[[#This Row],[TIPOSALDO]]="D"),Base_Periodo1[[#This Row],[SALDO_ATUAL]]*-1,Base_Periodo1[[#This Row],[SALDO_ATUAL]]),4)</f>
        <v>173949.89</v>
      </c>
      <c r="N6122" t="s">
        <v>396</v>
      </c>
      <c r="O6122" t="s">
        <v>397</v>
      </c>
      <c r="P6122" t="s">
        <v>397</v>
      </c>
      <c r="Q6122">
        <v>8</v>
      </c>
      <c r="R6122" s="282">
        <f>Base_Periodo1[[#This Row],[CREDITOS]]-Base_Periodo1[[#This Row],[DEBITOS]]</f>
        <v>-49586.899999999994</v>
      </c>
      <c r="S6122" s="3" t="str">
        <f>IF(ISERROR(VLOOKUP(Base_Periodo1[[#This Row],[CONTA]],BaseContasDRE[#All],4,FALSE)),"Fora do DRE",VLOOKUP(Base_Periodo1[[#This Row],[CONTA]],BaseContasDRE[#All],4,FALSE))</f>
        <v>Fora do DRE</v>
      </c>
      <c r="T6122" s="3" t="str">
        <f>IF(ISERROR(VLOOKUP(Base_Periodo1[[#This Row],[CONTA]],BaseContasDRE[#All],5,FALSE)),"Fora do DRE",VLOOKUP(Base_Periodo1[[#This Row],[CONTA]],BaseContasDRE[#All],6,FALSE))</f>
        <v>Fora do DRE</v>
      </c>
      <c r="U6122" s="3" t="str">
        <f>IF(ISERROR(VLOOKUP(Base_Periodo1[[#This Row],[CONTA]],BaseContasDRE[#All],7,FALSE)),"Fora do DRE",VLOOKUP(Base_Periodo1[[#This Row],[CONTA]],BaseContasDRE[#All],7,FALSE))</f>
        <v>Fora do DRE</v>
      </c>
      <c r="V6122" s="3" t="str">
        <f>IF(Base_Periodo1[[#This Row],[Tipo_Linha]]="Fora do DRE","Fora do DRE","( "&amp;Base_Periodo1[[#This Row],[Tipo_Linha]]&amp;" ) "&amp;Base_Periodo1[[#This Row],[Filtro]])</f>
        <v>Fora do DRE</v>
      </c>
      <c r="W6122" s="3" t="str">
        <f>LEFT(Base_Periodo1[[#This Row],[CLASS]],3)</f>
        <v>3.1</v>
      </c>
    </row>
    <row r="6123" spans="1:23" hidden="1">
      <c r="A6123" s="3" t="str">
        <f t="shared" si="95"/>
        <v>Período 1</v>
      </c>
      <c r="B6123">
        <v>6111</v>
      </c>
      <c r="C6123" t="s">
        <v>3766</v>
      </c>
      <c r="D6123" t="s">
        <v>3566</v>
      </c>
      <c r="E6123" s="3" t="str">
        <f>IF(LEN(Base_Periodo1[[#This Row],[CLASS]])&gt;=7,LEFT(Base_Periodo1[[#This Row],[CLASS]],7),"")</f>
        <v>3.1.1.2</v>
      </c>
      <c r="F6123" s="3" t="e">
        <f>VLOOKUP(Base_Periodo1[[#This Row],[Aux]],Base_Contas_Balanco[#All],2,FALSE)</f>
        <v>#N/A</v>
      </c>
      <c r="G6123" s="1">
        <v>42885</v>
      </c>
      <c r="H6123" s="225">
        <v>86608.469999998983</v>
      </c>
      <c r="I6123" s="225">
        <v>12793.439999999993</v>
      </c>
      <c r="J6123" s="225">
        <v>0</v>
      </c>
      <c r="K6123" s="225">
        <v>99401.90999999897</v>
      </c>
      <c r="L61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-99401.91</v>
      </c>
      <c r="M6123" s="225">
        <f>ROUND(IF(AND(Base_Periodo1[[#This Row],[Tipo_Linha]]="-",Base_Periodo1[[#This Row],[TIPOSALDO]]="D"),Base_Periodo1[[#This Row],[SALDO_ATUAL]]*-1,Base_Periodo1[[#This Row],[SALDO_ATUAL]]),4)</f>
        <v>-99401.91</v>
      </c>
      <c r="N6123" t="s">
        <v>116</v>
      </c>
      <c r="O6123" t="s">
        <v>397</v>
      </c>
      <c r="P6123" t="s">
        <v>397</v>
      </c>
      <c r="Q6123">
        <v>9</v>
      </c>
      <c r="R6123" s="282">
        <f>Base_Periodo1[[#This Row],[CREDITOS]]-Base_Periodo1[[#This Row],[DEBITOS]]</f>
        <v>-12793.439999999993</v>
      </c>
      <c r="S6123" s="3" t="str">
        <f>IF(ISERROR(VLOOKUP(Base_Periodo1[[#This Row],[CONTA]],BaseContasDRE[#All],4,FALSE)),"Fora do DRE",VLOOKUP(Base_Periodo1[[#This Row],[CONTA]],BaseContasDRE[#All],4,FALSE))</f>
        <v>-</v>
      </c>
      <c r="T6123" s="3">
        <f>IF(ISERROR(VLOOKUP(Base_Periodo1[[#This Row],[CONTA]],BaseContasDRE[#All],5,FALSE)),"Fora do DRE",VLOOKUP(Base_Periodo1[[#This Row],[CONTA]],BaseContasDRE[#All],6,FALSE))</f>
        <v>2</v>
      </c>
      <c r="U6123" s="3" t="str">
        <f>IF(ISERROR(VLOOKUP(Base_Periodo1[[#This Row],[CONTA]],BaseContasDRE[#All],7,FALSE)),"Fora do DRE",VLOOKUP(Base_Periodo1[[#This Row],[CONTA]],BaseContasDRE[#All],7,FALSE))</f>
        <v>ICMS SOBRE INGRESSOS E RECEITAS</v>
      </c>
      <c r="V6123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123" s="3" t="str">
        <f>LEFT(Base_Periodo1[[#This Row],[CLASS]],3)</f>
        <v>3.1</v>
      </c>
    </row>
    <row r="6124" spans="1:23">
      <c r="A6124" s="3" t="str">
        <f t="shared" si="95"/>
        <v>Período 1</v>
      </c>
      <c r="B6124">
        <v>36504</v>
      </c>
      <c r="C6124" t="s">
        <v>3767</v>
      </c>
      <c r="D6124" t="s">
        <v>3768</v>
      </c>
      <c r="E6124" s="3" t="str">
        <f>IF(LEN(Base_Periodo1[[#This Row],[CLASS]])&gt;=7,LEFT(Base_Periodo1[[#This Row],[CLASS]],7),"")</f>
        <v>3.1.1.2</v>
      </c>
      <c r="F6124" s="3" t="e">
        <f>VLOOKUP(Base_Periodo1[[#This Row],[Aux]],Base_Contas_Balanco[#All],2,FALSE)</f>
        <v>#N/A</v>
      </c>
      <c r="G6124" s="1">
        <v>42886</v>
      </c>
      <c r="H6124" s="225">
        <v>6734.6400000012654</v>
      </c>
      <c r="I6124" s="225">
        <v>6563.1799999999967</v>
      </c>
      <c r="J6124" s="225">
        <v>0</v>
      </c>
      <c r="K6124" s="225">
        <v>13297.820000001262</v>
      </c>
      <c r="L61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-13297.82</v>
      </c>
      <c r="M6124" s="225">
        <f>ROUND(IF(AND(Base_Periodo1[[#This Row],[Tipo_Linha]]="-",Base_Periodo1[[#This Row],[TIPOSALDO]]="D"),Base_Periodo1[[#This Row],[SALDO_ATUAL]]*-1,Base_Periodo1[[#This Row],[SALDO_ATUAL]]),4)</f>
        <v>-13297.82</v>
      </c>
      <c r="N6124" t="s">
        <v>116</v>
      </c>
      <c r="O6124" t="s">
        <v>397</v>
      </c>
      <c r="P6124" t="s">
        <v>397</v>
      </c>
      <c r="Q6124">
        <v>9</v>
      </c>
      <c r="R6124" s="282">
        <f>Base_Periodo1[[#This Row],[CREDITOS]]-Base_Periodo1[[#This Row],[DEBITOS]]</f>
        <v>-6563.1799999999967</v>
      </c>
      <c r="S6124" s="3" t="str">
        <f>IF(ISERROR(VLOOKUP(Base_Periodo1[[#This Row],[CONTA]],BaseContasDRE[#All],4,FALSE)),"Fora do DRE",VLOOKUP(Base_Periodo1[[#This Row],[CONTA]],BaseContasDRE[#All],4,FALSE))</f>
        <v>-</v>
      </c>
      <c r="T6124" s="3">
        <f>IF(ISERROR(VLOOKUP(Base_Periodo1[[#This Row],[CONTA]],BaseContasDRE[#All],5,FALSE)),"Fora do DRE",VLOOKUP(Base_Periodo1[[#This Row],[CONTA]],BaseContasDRE[#All],6,FALSE))</f>
        <v>2</v>
      </c>
      <c r="U6124" s="3" t="str">
        <f>IF(ISERROR(VLOOKUP(Base_Periodo1[[#This Row],[CONTA]],BaseContasDRE[#All],7,FALSE)),"Fora do DRE",VLOOKUP(Base_Periodo1[[#This Row],[CONTA]],BaseContasDRE[#All],7,FALSE))</f>
        <v>IMPOSTOS SOBRE RECEITA</v>
      </c>
      <c r="V6124" s="3" t="str">
        <f>IF(Base_Periodo1[[#This Row],[Tipo_Linha]]="Fora do DRE","Fora do DRE","( "&amp;Base_Periodo1[[#This Row],[Tipo_Linha]]&amp;" ) "&amp;Base_Periodo1[[#This Row],[Filtro]])</f>
        <v>( - ) IMPOSTOS SOBRE RECEITA</v>
      </c>
      <c r="W6124" s="3" t="str">
        <f>LEFT(Base_Periodo1[[#This Row],[CLASS]],3)</f>
        <v>3.1</v>
      </c>
    </row>
    <row r="6125" spans="1:23">
      <c r="A6125" s="3" t="str">
        <f t="shared" si="95"/>
        <v>Período 1</v>
      </c>
      <c r="B6125">
        <v>36505</v>
      </c>
      <c r="C6125" t="s">
        <v>3769</v>
      </c>
      <c r="D6125" t="s">
        <v>3770</v>
      </c>
      <c r="E6125" s="3" t="str">
        <f>IF(LEN(Base_Periodo1[[#This Row],[CLASS]])&gt;=7,LEFT(Base_Periodo1[[#This Row],[CLASS]],7),"")</f>
        <v>3.1.1.2</v>
      </c>
      <c r="F6125" s="3" t="e">
        <f>VLOOKUP(Base_Periodo1[[#This Row],[Aux]],Base_Contas_Balanco[#All],2,FALSE)</f>
        <v>#N/A</v>
      </c>
      <c r="G6125" s="1">
        <v>42886</v>
      </c>
      <c r="H6125" s="225">
        <v>31019.880000000005</v>
      </c>
      <c r="I6125" s="225">
        <v>30230.280000000006</v>
      </c>
      <c r="J6125" s="225">
        <v>0</v>
      </c>
      <c r="K6125" s="225">
        <v>61250.160000000011</v>
      </c>
      <c r="L61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-61250.16</v>
      </c>
      <c r="M6125" s="225">
        <f>ROUND(IF(AND(Base_Periodo1[[#This Row],[Tipo_Linha]]="-",Base_Periodo1[[#This Row],[TIPOSALDO]]="D"),Base_Periodo1[[#This Row],[SALDO_ATUAL]]*-1,Base_Periodo1[[#This Row],[SALDO_ATUAL]]),4)</f>
        <v>-61250.16</v>
      </c>
      <c r="N6125" t="s">
        <v>116</v>
      </c>
      <c r="O6125" t="s">
        <v>397</v>
      </c>
      <c r="P6125" t="s">
        <v>397</v>
      </c>
      <c r="Q6125">
        <v>9</v>
      </c>
      <c r="R6125" s="282">
        <f>Base_Periodo1[[#This Row],[CREDITOS]]-Base_Periodo1[[#This Row],[DEBITOS]]</f>
        <v>-30230.280000000006</v>
      </c>
      <c r="S6125" s="3" t="str">
        <f>IF(ISERROR(VLOOKUP(Base_Periodo1[[#This Row],[CONTA]],BaseContasDRE[#All],4,FALSE)),"Fora do DRE",VLOOKUP(Base_Periodo1[[#This Row],[CONTA]],BaseContasDRE[#All],4,FALSE))</f>
        <v>-</v>
      </c>
      <c r="T6125" s="3">
        <f>IF(ISERROR(VLOOKUP(Base_Periodo1[[#This Row],[CONTA]],BaseContasDRE[#All],5,FALSE)),"Fora do DRE",VLOOKUP(Base_Periodo1[[#This Row],[CONTA]],BaseContasDRE[#All],6,FALSE))</f>
        <v>2</v>
      </c>
      <c r="U6125" s="3" t="str">
        <f>IF(ISERROR(VLOOKUP(Base_Periodo1[[#This Row],[CONTA]],BaseContasDRE[#All],7,FALSE)),"Fora do DRE",VLOOKUP(Base_Periodo1[[#This Row],[CONTA]],BaseContasDRE[#All],7,FALSE))</f>
        <v>IMPOSTOS SOBRE RECEITA</v>
      </c>
      <c r="V6125" s="3" t="str">
        <f>IF(Base_Periodo1[[#This Row],[Tipo_Linha]]="Fora do DRE","Fora do DRE","( "&amp;Base_Periodo1[[#This Row],[Tipo_Linha]]&amp;" ) "&amp;Base_Periodo1[[#This Row],[Filtro]])</f>
        <v>( - ) IMPOSTOS SOBRE RECEITA</v>
      </c>
      <c r="W6125" s="3" t="str">
        <f>LEFT(Base_Periodo1[[#This Row],[CLASS]],3)</f>
        <v>3.1</v>
      </c>
    </row>
    <row r="6126" spans="1:23" hidden="1">
      <c r="A6126" s="3" t="str">
        <f t="shared" si="95"/>
        <v>Período 1</v>
      </c>
      <c r="B6126">
        <v>32887</v>
      </c>
      <c r="C6126" t="s">
        <v>4389</v>
      </c>
      <c r="D6126" t="s">
        <v>4390</v>
      </c>
      <c r="E6126" s="3" t="str">
        <f>IF(LEN(Base_Periodo1[[#This Row],[CLASS]])&gt;=7,LEFT(Base_Periodo1[[#This Row],[CLASS]],7),"")</f>
        <v>3.1.1.2</v>
      </c>
      <c r="F6126" s="3" t="e">
        <f>VLOOKUP(Base_Periodo1[[#This Row],[Aux]],Base_Contas_Balanco[#All],2,FALSE)</f>
        <v>#N/A</v>
      </c>
      <c r="G6126" s="1"/>
      <c r="H6126" s="225">
        <v>503987.25999999931</v>
      </c>
      <c r="I6126" s="225">
        <v>167669.94</v>
      </c>
      <c r="J6126" s="225">
        <v>14453.11</v>
      </c>
      <c r="K6126" s="225">
        <v>657204.08999999927</v>
      </c>
      <c r="L61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-657204.09</v>
      </c>
      <c r="M6126" s="225">
        <f>ROUND(IF(AND(Base_Periodo1[[#This Row],[Tipo_Linha]]="-",Base_Periodo1[[#This Row],[TIPOSALDO]]="D"),Base_Periodo1[[#This Row],[SALDO_ATUAL]]*-1,Base_Periodo1[[#This Row],[SALDO_ATUAL]]),4)</f>
        <v>657204.09</v>
      </c>
      <c r="N6126" t="s">
        <v>396</v>
      </c>
      <c r="O6126" t="s">
        <v>397</v>
      </c>
      <c r="P6126" t="s">
        <v>397</v>
      </c>
      <c r="Q6126">
        <v>8</v>
      </c>
      <c r="R6126" s="282">
        <f>Base_Periodo1[[#This Row],[CREDITOS]]-Base_Periodo1[[#This Row],[DEBITOS]]</f>
        <v>-153216.83000000002</v>
      </c>
      <c r="S6126" s="3" t="str">
        <f>IF(ISERROR(VLOOKUP(Base_Periodo1[[#This Row],[CONTA]],BaseContasDRE[#All],4,FALSE)),"Fora do DRE",VLOOKUP(Base_Periodo1[[#This Row],[CONTA]],BaseContasDRE[#All],4,FALSE))</f>
        <v>Fora do DRE</v>
      </c>
      <c r="T6126" s="3" t="str">
        <f>IF(ISERROR(VLOOKUP(Base_Periodo1[[#This Row],[CONTA]],BaseContasDRE[#All],5,FALSE)),"Fora do DRE",VLOOKUP(Base_Periodo1[[#This Row],[CONTA]],BaseContasDRE[#All],6,FALSE))</f>
        <v>Fora do DRE</v>
      </c>
      <c r="U6126" s="3" t="str">
        <f>IF(ISERROR(VLOOKUP(Base_Periodo1[[#This Row],[CONTA]],BaseContasDRE[#All],7,FALSE)),"Fora do DRE",VLOOKUP(Base_Periodo1[[#This Row],[CONTA]],BaseContasDRE[#All],7,FALSE))</f>
        <v>Fora do DRE</v>
      </c>
      <c r="V6126" s="3" t="str">
        <f>IF(Base_Periodo1[[#This Row],[Tipo_Linha]]="Fora do DRE","Fora do DRE","( "&amp;Base_Periodo1[[#This Row],[Tipo_Linha]]&amp;" ) "&amp;Base_Periodo1[[#This Row],[Filtro]])</f>
        <v>Fora do DRE</v>
      </c>
      <c r="W6126" s="3" t="str">
        <f>LEFT(Base_Periodo1[[#This Row],[CLASS]],3)</f>
        <v>3.1</v>
      </c>
    </row>
    <row r="6127" spans="1:23" hidden="1">
      <c r="A6127" s="3" t="str">
        <f t="shared" si="95"/>
        <v>Período 1</v>
      </c>
      <c r="B6127">
        <v>32888</v>
      </c>
      <c r="C6127" t="s">
        <v>6047</v>
      </c>
      <c r="D6127" t="s">
        <v>4390</v>
      </c>
      <c r="E6127" s="3" t="str">
        <f>IF(LEN(Base_Periodo1[[#This Row],[CLASS]])&gt;=7,LEFT(Base_Periodo1[[#This Row],[CLASS]],7),"")</f>
        <v>3.1.1.2</v>
      </c>
      <c r="F6127" s="3" t="e">
        <f>VLOOKUP(Base_Periodo1[[#This Row],[Aux]],Base_Contas_Balanco[#All],2,FALSE)</f>
        <v>#N/A</v>
      </c>
      <c r="G6127" s="1">
        <v>42886</v>
      </c>
      <c r="H6127" s="225">
        <v>41308.359999999404</v>
      </c>
      <c r="I6127" s="225">
        <v>11419.61</v>
      </c>
      <c r="J6127" s="225">
        <v>0</v>
      </c>
      <c r="K6127" s="225">
        <v>52727.969999999405</v>
      </c>
      <c r="L61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-52727.97</v>
      </c>
      <c r="M6127" s="225">
        <f>ROUND(IF(AND(Base_Periodo1[[#This Row],[Tipo_Linha]]="-",Base_Periodo1[[#This Row],[TIPOSALDO]]="D"),Base_Periodo1[[#This Row],[SALDO_ATUAL]]*-1,Base_Periodo1[[#This Row],[SALDO_ATUAL]]),4)</f>
        <v>-52727.97</v>
      </c>
      <c r="N6127" t="s">
        <v>116</v>
      </c>
      <c r="O6127" t="s">
        <v>397</v>
      </c>
      <c r="P6127" t="s">
        <v>397</v>
      </c>
      <c r="Q6127">
        <v>9</v>
      </c>
      <c r="R6127" s="282">
        <f>Base_Periodo1[[#This Row],[CREDITOS]]-Base_Periodo1[[#This Row],[DEBITOS]]</f>
        <v>-11419.61</v>
      </c>
      <c r="S6127" s="3" t="str">
        <f>IF(ISERROR(VLOOKUP(Base_Periodo1[[#This Row],[CONTA]],BaseContasDRE[#All],4,FALSE)),"Fora do DRE",VLOOKUP(Base_Periodo1[[#This Row],[CONTA]],BaseContasDRE[#All],4,FALSE))</f>
        <v>-</v>
      </c>
      <c r="T6127" s="3">
        <f>IF(ISERROR(VLOOKUP(Base_Periodo1[[#This Row],[CONTA]],BaseContasDRE[#All],5,FALSE)),"Fora do DRE",VLOOKUP(Base_Periodo1[[#This Row],[CONTA]],BaseContasDRE[#All],6,FALSE))</f>
        <v>3</v>
      </c>
      <c r="U6127" s="3" t="str">
        <f>IF(ISERROR(VLOOKUP(Base_Periodo1[[#This Row],[CONTA]],BaseContasDRE[#All],7,FALSE)),"Fora do DRE",VLOOKUP(Base_Periodo1[[#This Row],[CONTA]],BaseContasDRE[#All],7,FALSE))</f>
        <v>SERVIÇOS PRESTADOS</v>
      </c>
      <c r="V6127" s="3" t="str">
        <f>IF(Base_Periodo1[[#This Row],[Tipo_Linha]]="Fora do DRE","Fora do DRE","( "&amp;Base_Periodo1[[#This Row],[Tipo_Linha]]&amp;" ) "&amp;Base_Periodo1[[#This Row],[Filtro]])</f>
        <v>( - ) SERVIÇOS PRESTADOS</v>
      </c>
      <c r="W6127" s="3" t="str">
        <f>LEFT(Base_Periodo1[[#This Row],[CLASS]],3)</f>
        <v>3.1</v>
      </c>
    </row>
    <row r="6128" spans="1:23" hidden="1">
      <c r="A6128" s="3" t="str">
        <f t="shared" si="95"/>
        <v>Período 1</v>
      </c>
      <c r="B6128">
        <v>50123</v>
      </c>
      <c r="C6128" t="s">
        <v>4391</v>
      </c>
      <c r="D6128" t="s">
        <v>4392</v>
      </c>
      <c r="E6128" s="3" t="str">
        <f>IF(LEN(Base_Periodo1[[#This Row],[CLASS]])&gt;=7,LEFT(Base_Periodo1[[#This Row],[CLASS]],7),"")</f>
        <v>3.1.1.2</v>
      </c>
      <c r="F6128" s="3" t="e">
        <f>VLOOKUP(Base_Periodo1[[#This Row],[Aux]],Base_Contas_Balanco[#All],2,FALSE)</f>
        <v>#N/A</v>
      </c>
      <c r="G6128" s="1">
        <v>42884</v>
      </c>
      <c r="H6128" s="225">
        <v>462678.89999999991</v>
      </c>
      <c r="I6128" s="225">
        <v>156250.32999999999</v>
      </c>
      <c r="J6128" s="225">
        <v>14453.11</v>
      </c>
      <c r="K6128" s="225">
        <v>604476.11999999988</v>
      </c>
      <c r="L61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-604476.12</v>
      </c>
      <c r="M6128" s="225">
        <f>ROUND(IF(AND(Base_Periodo1[[#This Row],[Tipo_Linha]]="-",Base_Periodo1[[#This Row],[TIPOSALDO]]="D"),Base_Periodo1[[#This Row],[SALDO_ATUAL]]*-1,Base_Periodo1[[#This Row],[SALDO_ATUAL]]),4)</f>
        <v>-604476.12</v>
      </c>
      <c r="N6128" t="s">
        <v>116</v>
      </c>
      <c r="O6128" t="s">
        <v>397</v>
      </c>
      <c r="P6128" t="s">
        <v>397</v>
      </c>
      <c r="Q6128">
        <v>9</v>
      </c>
      <c r="R6128" s="282">
        <f>Base_Periodo1[[#This Row],[CREDITOS]]-Base_Periodo1[[#This Row],[DEBITOS]]</f>
        <v>-141797.21999999997</v>
      </c>
      <c r="S6128" s="3" t="str">
        <f>IF(ISERROR(VLOOKUP(Base_Periodo1[[#This Row],[CONTA]],BaseContasDRE[#All],4,FALSE)),"Fora do DRE",VLOOKUP(Base_Periodo1[[#This Row],[CONTA]],BaseContasDRE[#All],4,FALSE))</f>
        <v>-</v>
      </c>
      <c r="T6128" s="3">
        <f>IF(ISERROR(VLOOKUP(Base_Periodo1[[#This Row],[CONTA]],BaseContasDRE[#All],5,FALSE)),"Fora do DRE",VLOOKUP(Base_Periodo1[[#This Row],[CONTA]],BaseContasDRE[#All],6,FALSE))</f>
        <v>3</v>
      </c>
      <c r="U6128" s="3" t="str">
        <f>IF(ISERROR(VLOOKUP(Base_Periodo1[[#This Row],[CONTA]],BaseContasDRE[#All],7,FALSE)),"Fora do DRE",VLOOKUP(Base_Periodo1[[#This Row],[CONTA]],BaseContasDRE[#All],7,FALSE))</f>
        <v>SERVIÇOS PRESTADOS</v>
      </c>
      <c r="V6128" s="3" t="str">
        <f>IF(Base_Periodo1[[#This Row],[Tipo_Linha]]="Fora do DRE","Fora do DRE","( "&amp;Base_Periodo1[[#This Row],[Tipo_Linha]]&amp;" ) "&amp;Base_Periodo1[[#This Row],[Filtro]])</f>
        <v>( - ) SERVIÇOS PRESTADOS</v>
      </c>
      <c r="W6128" s="3" t="str">
        <f>LEFT(Base_Periodo1[[#This Row],[CLASS]],3)</f>
        <v>3.1</v>
      </c>
    </row>
    <row r="6129" spans="1:23" hidden="1">
      <c r="A6129" s="3" t="str">
        <f t="shared" si="95"/>
        <v>Período 1</v>
      </c>
      <c r="B6129">
        <v>55978</v>
      </c>
      <c r="C6129" t="s">
        <v>5739</v>
      </c>
      <c r="D6129" t="s">
        <v>5740</v>
      </c>
      <c r="E6129" s="3" t="str">
        <f>IF(LEN(Base_Periodo1[[#This Row],[CLASS]])&gt;=7,LEFT(Base_Periodo1[[#This Row],[CLASS]],7),"")</f>
        <v>3.1.1.2</v>
      </c>
      <c r="F6129" s="3" t="e">
        <f>VLOOKUP(Base_Periodo1[[#This Row],[Aux]],Base_Contas_Balanco[#All],2,FALSE)</f>
        <v>#N/A</v>
      </c>
      <c r="G6129" s="1"/>
      <c r="H6129" s="225">
        <v>663607.41</v>
      </c>
      <c r="I6129" s="225">
        <v>178512.92</v>
      </c>
      <c r="J6129" s="225">
        <v>0</v>
      </c>
      <c r="K6129" s="225">
        <v>842120.33000000007</v>
      </c>
      <c r="L61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-842120.33</v>
      </c>
      <c r="M6129" s="225">
        <f>ROUND(IF(AND(Base_Periodo1[[#This Row],[Tipo_Linha]]="-",Base_Periodo1[[#This Row],[TIPOSALDO]]="D"),Base_Periodo1[[#This Row],[SALDO_ATUAL]]*-1,Base_Periodo1[[#This Row],[SALDO_ATUAL]]),4)</f>
        <v>842120.33</v>
      </c>
      <c r="N6129" t="s">
        <v>396</v>
      </c>
      <c r="O6129" t="s">
        <v>397</v>
      </c>
      <c r="P6129" t="s">
        <v>397</v>
      </c>
      <c r="Q6129">
        <v>8</v>
      </c>
      <c r="R6129" s="282">
        <f>Base_Periodo1[[#This Row],[CREDITOS]]-Base_Periodo1[[#This Row],[DEBITOS]]</f>
        <v>-178512.92</v>
      </c>
      <c r="S6129" s="3" t="str">
        <f>IF(ISERROR(VLOOKUP(Base_Periodo1[[#This Row],[CONTA]],BaseContasDRE[#All],4,FALSE)),"Fora do DRE",VLOOKUP(Base_Periodo1[[#This Row],[CONTA]],BaseContasDRE[#All],4,FALSE))</f>
        <v>Fora do DRE</v>
      </c>
      <c r="T6129" s="3" t="str">
        <f>IF(ISERROR(VLOOKUP(Base_Periodo1[[#This Row],[CONTA]],BaseContasDRE[#All],5,FALSE)),"Fora do DRE",VLOOKUP(Base_Periodo1[[#This Row],[CONTA]],BaseContasDRE[#All],6,FALSE))</f>
        <v>Fora do DRE</v>
      </c>
      <c r="U6129" s="3" t="str">
        <f>IF(ISERROR(VLOOKUP(Base_Periodo1[[#This Row],[CONTA]],BaseContasDRE[#All],7,FALSE)),"Fora do DRE",VLOOKUP(Base_Periodo1[[#This Row],[CONTA]],BaseContasDRE[#All],7,FALSE))</f>
        <v>Fora do DRE</v>
      </c>
      <c r="V6129" s="3" t="str">
        <f>IF(Base_Periodo1[[#This Row],[Tipo_Linha]]="Fora do DRE","Fora do DRE","( "&amp;Base_Periodo1[[#This Row],[Tipo_Linha]]&amp;" ) "&amp;Base_Periodo1[[#This Row],[Filtro]])</f>
        <v>Fora do DRE</v>
      </c>
      <c r="W6129" s="3" t="str">
        <f>LEFT(Base_Periodo1[[#This Row],[CLASS]],3)</f>
        <v>3.1</v>
      </c>
    </row>
    <row r="6130" spans="1:23" hidden="1">
      <c r="A6130" s="3" t="str">
        <f t="shared" si="95"/>
        <v>Período 1</v>
      </c>
      <c r="B6130">
        <v>55979</v>
      </c>
      <c r="C6130" t="s">
        <v>5741</v>
      </c>
      <c r="D6130" t="s">
        <v>5742</v>
      </c>
      <c r="E6130" s="3" t="str">
        <f>IF(LEN(Base_Periodo1[[#This Row],[CLASS]])&gt;=7,LEFT(Base_Periodo1[[#This Row],[CLASS]],7),"")</f>
        <v>3.1.1.2</v>
      </c>
      <c r="F6130" s="3" t="e">
        <f>VLOOKUP(Base_Periodo1[[#This Row],[Aux]],Base_Contas_Balanco[#All],2,FALSE)</f>
        <v>#N/A</v>
      </c>
      <c r="G6130" s="1">
        <v>42886</v>
      </c>
      <c r="H6130" s="225">
        <v>235362.49</v>
      </c>
      <c r="I6130" s="225">
        <v>71980.000000000015</v>
      </c>
      <c r="J6130" s="225">
        <v>0</v>
      </c>
      <c r="K6130" s="225">
        <v>307342.49</v>
      </c>
      <c r="L61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-307342.49</v>
      </c>
      <c r="M6130" s="225">
        <f>ROUND(IF(AND(Base_Periodo1[[#This Row],[Tipo_Linha]]="-",Base_Periodo1[[#This Row],[TIPOSALDO]]="D"),Base_Periodo1[[#This Row],[SALDO_ATUAL]]*-1,Base_Periodo1[[#This Row],[SALDO_ATUAL]]),4)</f>
        <v>-307342.49</v>
      </c>
      <c r="N6130" t="s">
        <v>116</v>
      </c>
      <c r="O6130" t="s">
        <v>397</v>
      </c>
      <c r="P6130" t="s">
        <v>397</v>
      </c>
      <c r="Q6130">
        <v>9</v>
      </c>
      <c r="R6130" s="282">
        <f>Base_Periodo1[[#This Row],[CREDITOS]]-Base_Periodo1[[#This Row],[DEBITOS]]</f>
        <v>-71980.000000000015</v>
      </c>
      <c r="S6130" s="3" t="str">
        <f>IF(ISERROR(VLOOKUP(Base_Periodo1[[#This Row],[CONTA]],BaseContasDRE[#All],4,FALSE)),"Fora do DRE",VLOOKUP(Base_Periodo1[[#This Row],[CONTA]],BaseContasDRE[#All],4,FALSE))</f>
        <v>-</v>
      </c>
      <c r="T6130" s="3">
        <f>IF(ISERROR(VLOOKUP(Base_Periodo1[[#This Row],[CONTA]],BaseContasDRE[#All],5,FALSE)),"Fora do DRE",VLOOKUP(Base_Periodo1[[#This Row],[CONTA]],BaseContasDRE[#All],6,FALSE))</f>
        <v>3</v>
      </c>
      <c r="U6130" s="3" t="str">
        <f>IF(ISERROR(VLOOKUP(Base_Periodo1[[#This Row],[CONTA]],BaseContasDRE[#All],7,FALSE)),"Fora do DRE",VLOOKUP(Base_Periodo1[[#This Row],[CONTA]],BaseContasDRE[#All],7,FALSE))</f>
        <v>SERVIÇOS PRESTADOS</v>
      </c>
      <c r="V6130" s="3" t="str">
        <f>IF(Base_Periodo1[[#This Row],[Tipo_Linha]]="Fora do DRE","Fora do DRE","( "&amp;Base_Periodo1[[#This Row],[Tipo_Linha]]&amp;" ) "&amp;Base_Periodo1[[#This Row],[Filtro]])</f>
        <v>( - ) SERVIÇOS PRESTADOS</v>
      </c>
      <c r="W6130" s="3" t="str">
        <f>LEFT(Base_Periodo1[[#This Row],[CLASS]],3)</f>
        <v>3.1</v>
      </c>
    </row>
    <row r="6131" spans="1:23" hidden="1">
      <c r="A6131" s="3" t="str">
        <f t="shared" si="95"/>
        <v>Período 1</v>
      </c>
      <c r="B6131">
        <v>56380</v>
      </c>
      <c r="C6131" t="s">
        <v>5743</v>
      </c>
      <c r="D6131" t="s">
        <v>5744</v>
      </c>
      <c r="E6131" s="3" t="str">
        <f>IF(LEN(Base_Periodo1[[#This Row],[CLASS]])&gt;=7,LEFT(Base_Periodo1[[#This Row],[CLASS]],7),"")</f>
        <v>3.1.1.2</v>
      </c>
      <c r="F6131" s="3" t="e">
        <f>VLOOKUP(Base_Periodo1[[#This Row],[Aux]],Base_Contas_Balanco[#All],2,FALSE)</f>
        <v>#N/A</v>
      </c>
      <c r="G6131" s="1">
        <v>42886</v>
      </c>
      <c r="H6131" s="225">
        <v>83390.880000000005</v>
      </c>
      <c r="I6131" s="225">
        <v>19133.749999999996</v>
      </c>
      <c r="J6131" s="225">
        <v>0</v>
      </c>
      <c r="K6131" s="225">
        <v>102524.63</v>
      </c>
      <c r="L61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-102524.63</v>
      </c>
      <c r="M6131" s="225">
        <f>ROUND(IF(AND(Base_Periodo1[[#This Row],[Tipo_Linha]]="-",Base_Periodo1[[#This Row],[TIPOSALDO]]="D"),Base_Periodo1[[#This Row],[SALDO_ATUAL]]*-1,Base_Periodo1[[#This Row],[SALDO_ATUAL]]),4)</f>
        <v>-102524.63</v>
      </c>
      <c r="N6131" t="s">
        <v>116</v>
      </c>
      <c r="O6131" t="s">
        <v>397</v>
      </c>
      <c r="P6131" t="s">
        <v>397</v>
      </c>
      <c r="Q6131">
        <v>9</v>
      </c>
      <c r="R6131" s="282">
        <f>Base_Periodo1[[#This Row],[CREDITOS]]-Base_Periodo1[[#This Row],[DEBITOS]]</f>
        <v>-19133.749999999996</v>
      </c>
      <c r="S6131" s="3" t="str">
        <f>IF(ISERROR(VLOOKUP(Base_Periodo1[[#This Row],[CONTA]],BaseContasDRE[#All],4,FALSE)),"Fora do DRE",VLOOKUP(Base_Periodo1[[#This Row],[CONTA]],BaseContasDRE[#All],4,FALSE))</f>
        <v>-</v>
      </c>
      <c r="T6131" s="3">
        <f>IF(ISERROR(VLOOKUP(Base_Periodo1[[#This Row],[CONTA]],BaseContasDRE[#All],5,FALSE)),"Fora do DRE",VLOOKUP(Base_Periodo1[[#This Row],[CONTA]],BaseContasDRE[#All],6,FALSE))</f>
        <v>3</v>
      </c>
      <c r="U6131" s="3" t="str">
        <f>IF(ISERROR(VLOOKUP(Base_Periodo1[[#This Row],[CONTA]],BaseContasDRE[#All],7,FALSE)),"Fora do DRE",VLOOKUP(Base_Periodo1[[#This Row],[CONTA]],BaseContasDRE[#All],7,FALSE))</f>
        <v>SERVIÇOS PRESTADOS</v>
      </c>
      <c r="V6131" s="3" t="str">
        <f>IF(Base_Periodo1[[#This Row],[Tipo_Linha]]="Fora do DRE","Fora do DRE","( "&amp;Base_Periodo1[[#This Row],[Tipo_Linha]]&amp;" ) "&amp;Base_Periodo1[[#This Row],[Filtro]])</f>
        <v>( - ) SERVIÇOS PRESTADOS</v>
      </c>
      <c r="W6131" s="3" t="str">
        <f>LEFT(Base_Periodo1[[#This Row],[CLASS]],3)</f>
        <v>3.1</v>
      </c>
    </row>
    <row r="6132" spans="1:23" hidden="1">
      <c r="A6132" s="3" t="str">
        <f t="shared" si="95"/>
        <v>Período 1</v>
      </c>
      <c r="B6132">
        <v>56383</v>
      </c>
      <c r="C6132" t="s">
        <v>5745</v>
      </c>
      <c r="D6132" t="s">
        <v>5746</v>
      </c>
      <c r="E6132" s="3" t="str">
        <f>IF(LEN(Base_Periodo1[[#This Row],[CLASS]])&gt;=7,LEFT(Base_Periodo1[[#This Row],[CLASS]],7),"")</f>
        <v>3.1.1.2</v>
      </c>
      <c r="F6132" s="3" t="e">
        <f>VLOOKUP(Base_Periodo1[[#This Row],[Aux]],Base_Contas_Balanco[#All],2,FALSE)</f>
        <v>#N/A</v>
      </c>
      <c r="G6132" s="1">
        <v>42766</v>
      </c>
      <c r="H6132" s="225">
        <v>6621.29</v>
      </c>
      <c r="I6132" s="225">
        <v>0</v>
      </c>
      <c r="J6132" s="225">
        <v>0</v>
      </c>
      <c r="K6132" s="225">
        <v>6621.29</v>
      </c>
      <c r="L61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-6621.29</v>
      </c>
      <c r="M6132" s="225">
        <f>ROUND(IF(AND(Base_Periodo1[[#This Row],[Tipo_Linha]]="-",Base_Periodo1[[#This Row],[TIPOSALDO]]="D"),Base_Periodo1[[#This Row],[SALDO_ATUAL]]*-1,Base_Periodo1[[#This Row],[SALDO_ATUAL]]),4)</f>
        <v>-6621.29</v>
      </c>
      <c r="N6132" t="s">
        <v>116</v>
      </c>
      <c r="O6132" t="s">
        <v>397</v>
      </c>
      <c r="P6132" t="s">
        <v>397</v>
      </c>
      <c r="Q6132">
        <v>9</v>
      </c>
      <c r="R6132" s="282">
        <f>Base_Periodo1[[#This Row],[CREDITOS]]-Base_Periodo1[[#This Row],[DEBITOS]]</f>
        <v>0</v>
      </c>
      <c r="S6132" s="3" t="str">
        <f>IF(ISERROR(VLOOKUP(Base_Periodo1[[#This Row],[CONTA]],BaseContasDRE[#All],4,FALSE)),"Fora do DRE",VLOOKUP(Base_Periodo1[[#This Row],[CONTA]],BaseContasDRE[#All],4,FALSE))</f>
        <v>-</v>
      </c>
      <c r="T6132" s="3">
        <f>IF(ISERROR(VLOOKUP(Base_Periodo1[[#This Row],[CONTA]],BaseContasDRE[#All],5,FALSE)),"Fora do DRE",VLOOKUP(Base_Periodo1[[#This Row],[CONTA]],BaseContasDRE[#All],6,FALSE))</f>
        <v>3</v>
      </c>
      <c r="U6132" s="3" t="str">
        <f>IF(ISERROR(VLOOKUP(Base_Periodo1[[#This Row],[CONTA]],BaseContasDRE[#All],7,FALSE)),"Fora do DRE",VLOOKUP(Base_Periodo1[[#This Row],[CONTA]],BaseContasDRE[#All],7,FALSE))</f>
        <v>SERVIÇOS PRESTADOS</v>
      </c>
      <c r="V6132" s="3" t="str">
        <f>IF(Base_Periodo1[[#This Row],[Tipo_Linha]]="Fora do DRE","Fora do DRE","( "&amp;Base_Periodo1[[#This Row],[Tipo_Linha]]&amp;" ) "&amp;Base_Periodo1[[#This Row],[Filtro]])</f>
        <v>( - ) SERVIÇOS PRESTADOS</v>
      </c>
      <c r="W6132" s="3" t="str">
        <f>LEFT(Base_Periodo1[[#This Row],[CLASS]],3)</f>
        <v>3.1</v>
      </c>
    </row>
    <row r="6133" spans="1:23" hidden="1">
      <c r="A6133" s="3" t="str">
        <f t="shared" si="95"/>
        <v>Período 1</v>
      </c>
      <c r="B6133">
        <v>56384</v>
      </c>
      <c r="C6133" t="s">
        <v>5747</v>
      </c>
      <c r="D6133" t="s">
        <v>5748</v>
      </c>
      <c r="E6133" s="3" t="str">
        <f>IF(LEN(Base_Periodo1[[#This Row],[CLASS]])&gt;=7,LEFT(Base_Periodo1[[#This Row],[CLASS]],7),"")</f>
        <v>3.1.1.2</v>
      </c>
      <c r="F6133" s="3" t="e">
        <f>VLOOKUP(Base_Periodo1[[#This Row],[Aux]],Base_Contas_Balanco[#All],2,FALSE)</f>
        <v>#N/A</v>
      </c>
      <c r="G6133" s="1">
        <v>42886</v>
      </c>
      <c r="H6133" s="225">
        <v>32861.950000000004</v>
      </c>
      <c r="I6133" s="225">
        <v>8805.8800000000028</v>
      </c>
      <c r="J6133" s="225">
        <v>0</v>
      </c>
      <c r="K6133" s="225">
        <v>41667.830000000009</v>
      </c>
      <c r="L61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-41667.83</v>
      </c>
      <c r="M6133" s="225">
        <f>ROUND(IF(AND(Base_Periodo1[[#This Row],[Tipo_Linha]]="-",Base_Periodo1[[#This Row],[TIPOSALDO]]="D"),Base_Periodo1[[#This Row],[SALDO_ATUAL]]*-1,Base_Periodo1[[#This Row],[SALDO_ATUAL]]),4)</f>
        <v>-41667.83</v>
      </c>
      <c r="N6133" t="s">
        <v>116</v>
      </c>
      <c r="O6133" t="s">
        <v>397</v>
      </c>
      <c r="P6133" t="s">
        <v>397</v>
      </c>
      <c r="Q6133">
        <v>9</v>
      </c>
      <c r="R6133" s="282">
        <f>Base_Periodo1[[#This Row],[CREDITOS]]-Base_Periodo1[[#This Row],[DEBITOS]]</f>
        <v>-8805.8800000000028</v>
      </c>
      <c r="S6133" s="3" t="str">
        <f>IF(ISERROR(VLOOKUP(Base_Periodo1[[#This Row],[CONTA]],BaseContasDRE[#All],4,FALSE)),"Fora do DRE",VLOOKUP(Base_Periodo1[[#This Row],[CONTA]],BaseContasDRE[#All],4,FALSE))</f>
        <v>-</v>
      </c>
      <c r="T6133" s="3">
        <f>IF(ISERROR(VLOOKUP(Base_Periodo1[[#This Row],[CONTA]],BaseContasDRE[#All],5,FALSE)),"Fora do DRE",VLOOKUP(Base_Periodo1[[#This Row],[CONTA]],BaseContasDRE[#All],6,FALSE))</f>
        <v>3</v>
      </c>
      <c r="U6133" s="3" t="str">
        <f>IF(ISERROR(VLOOKUP(Base_Periodo1[[#This Row],[CONTA]],BaseContasDRE[#All],7,FALSE)),"Fora do DRE",VLOOKUP(Base_Periodo1[[#This Row],[CONTA]],BaseContasDRE[#All],7,FALSE))</f>
        <v>SERVIÇOS PRESTADOS</v>
      </c>
      <c r="V6133" s="3" t="str">
        <f>IF(Base_Periodo1[[#This Row],[Tipo_Linha]]="Fora do DRE","Fora do DRE","( "&amp;Base_Periodo1[[#This Row],[Tipo_Linha]]&amp;" ) "&amp;Base_Periodo1[[#This Row],[Filtro]])</f>
        <v>( - ) SERVIÇOS PRESTADOS</v>
      </c>
      <c r="W6133" s="3" t="str">
        <f>LEFT(Base_Periodo1[[#This Row],[CLASS]],3)</f>
        <v>3.1</v>
      </c>
    </row>
    <row r="6134" spans="1:23" hidden="1">
      <c r="A6134" s="3" t="str">
        <f t="shared" si="95"/>
        <v>Período 1</v>
      </c>
      <c r="B6134">
        <v>56385</v>
      </c>
      <c r="C6134" t="s">
        <v>5749</v>
      </c>
      <c r="D6134" t="s">
        <v>5750</v>
      </c>
      <c r="E6134" s="3" t="str">
        <f>IF(LEN(Base_Periodo1[[#This Row],[CLASS]])&gt;=7,LEFT(Base_Periodo1[[#This Row],[CLASS]],7),"")</f>
        <v>3.1.1.2</v>
      </c>
      <c r="F6134" s="3" t="e">
        <f>VLOOKUP(Base_Periodo1[[#This Row],[Aux]],Base_Contas_Balanco[#All],2,FALSE)</f>
        <v>#N/A</v>
      </c>
      <c r="G6134" s="1">
        <v>42886</v>
      </c>
      <c r="H6134" s="225">
        <v>119016.46000000004</v>
      </c>
      <c r="I6134" s="225">
        <v>31116.14</v>
      </c>
      <c r="J6134" s="225">
        <v>0</v>
      </c>
      <c r="K6134" s="225">
        <v>150132.60000000003</v>
      </c>
      <c r="L61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-150132.6</v>
      </c>
      <c r="M6134" s="225">
        <f>ROUND(IF(AND(Base_Periodo1[[#This Row],[Tipo_Linha]]="-",Base_Periodo1[[#This Row],[TIPOSALDO]]="D"),Base_Periodo1[[#This Row],[SALDO_ATUAL]]*-1,Base_Periodo1[[#This Row],[SALDO_ATUAL]]),4)</f>
        <v>-150132.6</v>
      </c>
      <c r="N6134" t="s">
        <v>116</v>
      </c>
      <c r="O6134" t="s">
        <v>397</v>
      </c>
      <c r="P6134" t="s">
        <v>397</v>
      </c>
      <c r="Q6134">
        <v>9</v>
      </c>
      <c r="R6134" s="282">
        <f>Base_Periodo1[[#This Row],[CREDITOS]]-Base_Periodo1[[#This Row],[DEBITOS]]</f>
        <v>-31116.14</v>
      </c>
      <c r="S6134" s="3" t="str">
        <f>IF(ISERROR(VLOOKUP(Base_Periodo1[[#This Row],[CONTA]],BaseContasDRE[#All],4,FALSE)),"Fora do DRE",VLOOKUP(Base_Periodo1[[#This Row],[CONTA]],BaseContasDRE[#All],4,FALSE))</f>
        <v>-</v>
      </c>
      <c r="T6134" s="3">
        <f>IF(ISERROR(VLOOKUP(Base_Periodo1[[#This Row],[CONTA]],BaseContasDRE[#All],5,FALSE)),"Fora do DRE",VLOOKUP(Base_Periodo1[[#This Row],[CONTA]],BaseContasDRE[#All],6,FALSE))</f>
        <v>3</v>
      </c>
      <c r="U6134" s="3" t="str">
        <f>IF(ISERROR(VLOOKUP(Base_Periodo1[[#This Row],[CONTA]],BaseContasDRE[#All],7,FALSE)),"Fora do DRE",VLOOKUP(Base_Periodo1[[#This Row],[CONTA]],BaseContasDRE[#All],7,FALSE))</f>
        <v>SERVIÇOS PRESTADOS</v>
      </c>
      <c r="V6134" s="3" t="str">
        <f>IF(Base_Periodo1[[#This Row],[Tipo_Linha]]="Fora do DRE","Fora do DRE","( "&amp;Base_Periodo1[[#This Row],[Tipo_Linha]]&amp;" ) "&amp;Base_Periodo1[[#This Row],[Filtro]])</f>
        <v>( - ) SERVIÇOS PRESTADOS</v>
      </c>
      <c r="W6134" s="3" t="str">
        <f>LEFT(Base_Periodo1[[#This Row],[CLASS]],3)</f>
        <v>3.1</v>
      </c>
    </row>
    <row r="6135" spans="1:23" hidden="1">
      <c r="A6135" s="3" t="str">
        <f t="shared" si="95"/>
        <v>Período 1</v>
      </c>
      <c r="B6135">
        <v>56386</v>
      </c>
      <c r="C6135" t="s">
        <v>5751</v>
      </c>
      <c r="D6135" t="s">
        <v>5752</v>
      </c>
      <c r="E6135" s="3" t="str">
        <f>IF(LEN(Base_Periodo1[[#This Row],[CLASS]])&gt;=7,LEFT(Base_Periodo1[[#This Row],[CLASS]],7),"")</f>
        <v>3.1.1.2</v>
      </c>
      <c r="F6135" s="3" t="e">
        <f>VLOOKUP(Base_Periodo1[[#This Row],[Aux]],Base_Contas_Balanco[#All],2,FALSE)</f>
        <v>#N/A</v>
      </c>
      <c r="G6135" s="1">
        <v>42886</v>
      </c>
      <c r="H6135" s="225">
        <v>4252.0200000000004</v>
      </c>
      <c r="I6135" s="225">
        <v>1080.5</v>
      </c>
      <c r="J6135" s="225">
        <v>0</v>
      </c>
      <c r="K6135" s="225">
        <v>5332.52</v>
      </c>
      <c r="L61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-5332.52</v>
      </c>
      <c r="M6135" s="225">
        <f>ROUND(IF(AND(Base_Periodo1[[#This Row],[Tipo_Linha]]="-",Base_Periodo1[[#This Row],[TIPOSALDO]]="D"),Base_Periodo1[[#This Row],[SALDO_ATUAL]]*-1,Base_Periodo1[[#This Row],[SALDO_ATUAL]]),4)</f>
        <v>-5332.52</v>
      </c>
      <c r="N6135" t="s">
        <v>116</v>
      </c>
      <c r="O6135" t="s">
        <v>397</v>
      </c>
      <c r="P6135" t="s">
        <v>397</v>
      </c>
      <c r="Q6135">
        <v>9</v>
      </c>
      <c r="R6135" s="282">
        <f>Base_Periodo1[[#This Row],[CREDITOS]]-Base_Periodo1[[#This Row],[DEBITOS]]</f>
        <v>-1080.5</v>
      </c>
      <c r="S6135" s="3" t="str">
        <f>IF(ISERROR(VLOOKUP(Base_Periodo1[[#This Row],[CONTA]],BaseContasDRE[#All],4,FALSE)),"Fora do DRE",VLOOKUP(Base_Periodo1[[#This Row],[CONTA]],BaseContasDRE[#All],4,FALSE))</f>
        <v>-</v>
      </c>
      <c r="T6135" s="3">
        <f>IF(ISERROR(VLOOKUP(Base_Periodo1[[#This Row],[CONTA]],BaseContasDRE[#All],5,FALSE)),"Fora do DRE",VLOOKUP(Base_Periodo1[[#This Row],[CONTA]],BaseContasDRE[#All],6,FALSE))</f>
        <v>3</v>
      </c>
      <c r="U6135" s="3" t="str">
        <f>IF(ISERROR(VLOOKUP(Base_Periodo1[[#This Row],[CONTA]],BaseContasDRE[#All],7,FALSE)),"Fora do DRE",VLOOKUP(Base_Periodo1[[#This Row],[CONTA]],BaseContasDRE[#All],7,FALSE))</f>
        <v>SERVIÇOS PRESTADOS</v>
      </c>
      <c r="V6135" s="3" t="str">
        <f>IF(Base_Periodo1[[#This Row],[Tipo_Linha]]="Fora do DRE","Fora do DRE","( "&amp;Base_Periodo1[[#This Row],[Tipo_Linha]]&amp;" ) "&amp;Base_Periodo1[[#This Row],[Filtro]])</f>
        <v>( - ) SERVIÇOS PRESTADOS</v>
      </c>
      <c r="W6135" s="3" t="str">
        <f>LEFT(Base_Periodo1[[#This Row],[CLASS]],3)</f>
        <v>3.1</v>
      </c>
    </row>
    <row r="6136" spans="1:23" hidden="1">
      <c r="A6136" s="3" t="str">
        <f t="shared" si="95"/>
        <v>Período 1</v>
      </c>
      <c r="B6136">
        <v>56387</v>
      </c>
      <c r="C6136" t="s">
        <v>5753</v>
      </c>
      <c r="D6136" t="s">
        <v>5754</v>
      </c>
      <c r="E6136" s="3" t="str">
        <f>IF(LEN(Base_Periodo1[[#This Row],[CLASS]])&gt;=7,LEFT(Base_Periodo1[[#This Row],[CLASS]],7),"")</f>
        <v>3.1.1.2</v>
      </c>
      <c r="F6136" s="3" t="e">
        <f>VLOOKUP(Base_Periodo1[[#This Row],[Aux]],Base_Contas_Balanco[#All],2,FALSE)</f>
        <v>#N/A</v>
      </c>
      <c r="G6136" s="1">
        <v>42886</v>
      </c>
      <c r="H6136" s="225">
        <v>28017.260000000006</v>
      </c>
      <c r="I6136" s="225">
        <v>7480.46</v>
      </c>
      <c r="J6136" s="225">
        <v>0</v>
      </c>
      <c r="K6136" s="225">
        <v>35497.720000000008</v>
      </c>
      <c r="L61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-35497.72</v>
      </c>
      <c r="M6136" s="225">
        <f>ROUND(IF(AND(Base_Periodo1[[#This Row],[Tipo_Linha]]="-",Base_Periodo1[[#This Row],[TIPOSALDO]]="D"),Base_Periodo1[[#This Row],[SALDO_ATUAL]]*-1,Base_Periodo1[[#This Row],[SALDO_ATUAL]]),4)</f>
        <v>-35497.72</v>
      </c>
      <c r="N6136" t="s">
        <v>116</v>
      </c>
      <c r="O6136" t="s">
        <v>397</v>
      </c>
      <c r="P6136" t="s">
        <v>397</v>
      </c>
      <c r="Q6136">
        <v>9</v>
      </c>
      <c r="R6136" s="282">
        <f>Base_Periodo1[[#This Row],[CREDITOS]]-Base_Periodo1[[#This Row],[DEBITOS]]</f>
        <v>-7480.46</v>
      </c>
      <c r="S6136" s="3" t="str">
        <f>IF(ISERROR(VLOOKUP(Base_Periodo1[[#This Row],[CONTA]],BaseContasDRE[#All],4,FALSE)),"Fora do DRE",VLOOKUP(Base_Periodo1[[#This Row],[CONTA]],BaseContasDRE[#All],4,FALSE))</f>
        <v>-</v>
      </c>
      <c r="T6136" s="3">
        <f>IF(ISERROR(VLOOKUP(Base_Periodo1[[#This Row],[CONTA]],BaseContasDRE[#All],5,FALSE)),"Fora do DRE",VLOOKUP(Base_Periodo1[[#This Row],[CONTA]],BaseContasDRE[#All],6,FALSE))</f>
        <v>3</v>
      </c>
      <c r="U6136" s="3" t="str">
        <f>IF(ISERROR(VLOOKUP(Base_Periodo1[[#This Row],[CONTA]],BaseContasDRE[#All],7,FALSE)),"Fora do DRE",VLOOKUP(Base_Periodo1[[#This Row],[CONTA]],BaseContasDRE[#All],7,FALSE))</f>
        <v>SERVIÇOS PRESTADOS</v>
      </c>
      <c r="V6136" s="3" t="str">
        <f>IF(Base_Periodo1[[#This Row],[Tipo_Linha]]="Fora do DRE","Fora do DRE","( "&amp;Base_Periodo1[[#This Row],[Tipo_Linha]]&amp;" ) "&amp;Base_Periodo1[[#This Row],[Filtro]])</f>
        <v>( - ) SERVIÇOS PRESTADOS</v>
      </c>
      <c r="W6136" s="3" t="str">
        <f>LEFT(Base_Periodo1[[#This Row],[CLASS]],3)</f>
        <v>3.1</v>
      </c>
    </row>
    <row r="6137" spans="1:23" hidden="1">
      <c r="A6137" s="3" t="str">
        <f t="shared" si="95"/>
        <v>Período 1</v>
      </c>
      <c r="B6137">
        <v>56388</v>
      </c>
      <c r="C6137" t="s">
        <v>5755</v>
      </c>
      <c r="D6137" t="s">
        <v>5756</v>
      </c>
      <c r="E6137" s="3" t="str">
        <f>IF(LEN(Base_Periodo1[[#This Row],[CLASS]])&gt;=7,LEFT(Base_Periodo1[[#This Row],[CLASS]],7),"")</f>
        <v>3.1.1.2</v>
      </c>
      <c r="F6137" s="3" t="e">
        <f>VLOOKUP(Base_Periodo1[[#This Row],[Aux]],Base_Contas_Balanco[#All],2,FALSE)</f>
        <v>#N/A</v>
      </c>
      <c r="G6137" s="1">
        <v>42886</v>
      </c>
      <c r="H6137" s="225">
        <v>39655.069999999992</v>
      </c>
      <c r="I6137" s="225">
        <v>10326.19</v>
      </c>
      <c r="J6137" s="225">
        <v>0</v>
      </c>
      <c r="K6137" s="225">
        <v>49981.259999999995</v>
      </c>
      <c r="L61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-49981.26</v>
      </c>
      <c r="M6137" s="225">
        <f>ROUND(IF(AND(Base_Periodo1[[#This Row],[Tipo_Linha]]="-",Base_Periodo1[[#This Row],[TIPOSALDO]]="D"),Base_Periodo1[[#This Row],[SALDO_ATUAL]]*-1,Base_Periodo1[[#This Row],[SALDO_ATUAL]]),4)</f>
        <v>-49981.26</v>
      </c>
      <c r="N6137" t="s">
        <v>116</v>
      </c>
      <c r="O6137" t="s">
        <v>397</v>
      </c>
      <c r="P6137" t="s">
        <v>397</v>
      </c>
      <c r="Q6137">
        <v>9</v>
      </c>
      <c r="R6137" s="282">
        <f>Base_Periodo1[[#This Row],[CREDITOS]]-Base_Periodo1[[#This Row],[DEBITOS]]</f>
        <v>-10326.19</v>
      </c>
      <c r="S6137" s="3" t="str">
        <f>IF(ISERROR(VLOOKUP(Base_Periodo1[[#This Row],[CONTA]],BaseContasDRE[#All],4,FALSE)),"Fora do DRE",VLOOKUP(Base_Periodo1[[#This Row],[CONTA]],BaseContasDRE[#All],4,FALSE))</f>
        <v>-</v>
      </c>
      <c r="T6137" s="3">
        <f>IF(ISERROR(VLOOKUP(Base_Periodo1[[#This Row],[CONTA]],BaseContasDRE[#All],5,FALSE)),"Fora do DRE",VLOOKUP(Base_Periodo1[[#This Row],[CONTA]],BaseContasDRE[#All],6,FALSE))</f>
        <v>3</v>
      </c>
      <c r="U6137" s="3" t="str">
        <f>IF(ISERROR(VLOOKUP(Base_Periodo1[[#This Row],[CONTA]],BaseContasDRE[#All],7,FALSE)),"Fora do DRE",VLOOKUP(Base_Periodo1[[#This Row],[CONTA]],BaseContasDRE[#All],7,FALSE))</f>
        <v>SERVIÇOS PRESTADOS</v>
      </c>
      <c r="V6137" s="3" t="str">
        <f>IF(Base_Periodo1[[#This Row],[Tipo_Linha]]="Fora do DRE","Fora do DRE","( "&amp;Base_Periodo1[[#This Row],[Tipo_Linha]]&amp;" ) "&amp;Base_Periodo1[[#This Row],[Filtro]])</f>
        <v>( - ) SERVIÇOS PRESTADOS</v>
      </c>
      <c r="W6137" s="3" t="str">
        <f>LEFT(Base_Periodo1[[#This Row],[CLASS]],3)</f>
        <v>3.1</v>
      </c>
    </row>
    <row r="6138" spans="1:23" hidden="1">
      <c r="A6138" s="3" t="str">
        <f t="shared" si="95"/>
        <v>Período 1</v>
      </c>
      <c r="B6138">
        <v>56396</v>
      </c>
      <c r="C6138" t="s">
        <v>5757</v>
      </c>
      <c r="D6138" t="s">
        <v>5758</v>
      </c>
      <c r="E6138" s="3" t="str">
        <f>IF(LEN(Base_Periodo1[[#This Row],[CLASS]])&gt;=7,LEFT(Base_Periodo1[[#This Row],[CLASS]],7),"")</f>
        <v>3.1.1.2</v>
      </c>
      <c r="F6138" s="3" t="e">
        <f>VLOOKUP(Base_Periodo1[[#This Row],[Aux]],Base_Contas_Balanco[#All],2,FALSE)</f>
        <v>#N/A</v>
      </c>
      <c r="G6138" s="1">
        <v>42886</v>
      </c>
      <c r="H6138" s="225">
        <v>105964</v>
      </c>
      <c r="I6138" s="225">
        <v>28590</v>
      </c>
      <c r="J6138" s="225">
        <v>0</v>
      </c>
      <c r="K6138" s="225">
        <v>134554</v>
      </c>
      <c r="L61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-134554</v>
      </c>
      <c r="M6138" s="225">
        <f>ROUND(IF(AND(Base_Periodo1[[#This Row],[Tipo_Linha]]="-",Base_Periodo1[[#This Row],[TIPOSALDO]]="D"),Base_Periodo1[[#This Row],[SALDO_ATUAL]]*-1,Base_Periodo1[[#This Row],[SALDO_ATUAL]]),4)</f>
        <v>-134554</v>
      </c>
      <c r="N6138" t="s">
        <v>116</v>
      </c>
      <c r="O6138" t="s">
        <v>397</v>
      </c>
      <c r="P6138" t="s">
        <v>397</v>
      </c>
      <c r="Q6138">
        <v>9</v>
      </c>
      <c r="R6138" s="282">
        <f>Base_Periodo1[[#This Row],[CREDITOS]]-Base_Periodo1[[#This Row],[DEBITOS]]</f>
        <v>-28590</v>
      </c>
      <c r="S6138" s="3" t="str">
        <f>IF(ISERROR(VLOOKUP(Base_Periodo1[[#This Row],[CONTA]],BaseContasDRE[#All],4,FALSE)),"Fora do DRE",VLOOKUP(Base_Periodo1[[#This Row],[CONTA]],BaseContasDRE[#All],4,FALSE))</f>
        <v>-</v>
      </c>
      <c r="T6138" s="3">
        <f>IF(ISERROR(VLOOKUP(Base_Periodo1[[#This Row],[CONTA]],BaseContasDRE[#All],5,FALSE)),"Fora do DRE",VLOOKUP(Base_Periodo1[[#This Row],[CONTA]],BaseContasDRE[#All],6,FALSE))</f>
        <v>3</v>
      </c>
      <c r="U6138" s="3" t="str">
        <f>IF(ISERROR(VLOOKUP(Base_Periodo1[[#This Row],[CONTA]],BaseContasDRE[#All],7,FALSE)),"Fora do DRE",VLOOKUP(Base_Periodo1[[#This Row],[CONTA]],BaseContasDRE[#All],7,FALSE))</f>
        <v>SERVIÇOS PRESTADOS</v>
      </c>
      <c r="V6138" s="3" t="str">
        <f>IF(Base_Periodo1[[#This Row],[Tipo_Linha]]="Fora do DRE","Fora do DRE","( "&amp;Base_Periodo1[[#This Row],[Tipo_Linha]]&amp;" ) "&amp;Base_Periodo1[[#This Row],[Filtro]])</f>
        <v>( - ) SERVIÇOS PRESTADOS</v>
      </c>
      <c r="W6138" s="3" t="str">
        <f>LEFT(Base_Periodo1[[#This Row],[CLASS]],3)</f>
        <v>3.1</v>
      </c>
    </row>
    <row r="6139" spans="1:23" hidden="1">
      <c r="A6139" s="3" t="str">
        <f t="shared" si="95"/>
        <v>Período 1</v>
      </c>
      <c r="B6139">
        <v>56694</v>
      </c>
      <c r="C6139" t="s">
        <v>5759</v>
      </c>
      <c r="D6139" t="s">
        <v>5760</v>
      </c>
      <c r="E6139" s="3" t="str">
        <f>IF(LEN(Base_Periodo1[[#This Row],[CLASS]])&gt;=7,LEFT(Base_Periodo1[[#This Row],[CLASS]],7),"")</f>
        <v>3.1.1.2</v>
      </c>
      <c r="F6139" s="3" t="e">
        <f>VLOOKUP(Base_Periodo1[[#This Row],[Aux]],Base_Contas_Balanco[#All],2,FALSE)</f>
        <v>#N/A</v>
      </c>
      <c r="G6139" s="1">
        <v>42766</v>
      </c>
      <c r="H6139" s="225">
        <v>6927.89</v>
      </c>
      <c r="I6139" s="225">
        <v>0</v>
      </c>
      <c r="J6139" s="225">
        <v>0</v>
      </c>
      <c r="K6139" s="225">
        <v>6927.89</v>
      </c>
      <c r="L61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-6927.89</v>
      </c>
      <c r="M6139" s="225">
        <f>ROUND(IF(AND(Base_Periodo1[[#This Row],[Tipo_Linha]]="-",Base_Periodo1[[#This Row],[TIPOSALDO]]="D"),Base_Periodo1[[#This Row],[SALDO_ATUAL]]*-1,Base_Periodo1[[#This Row],[SALDO_ATUAL]]),4)</f>
        <v>-6927.89</v>
      </c>
      <c r="N6139" t="s">
        <v>116</v>
      </c>
      <c r="O6139" t="s">
        <v>397</v>
      </c>
      <c r="P6139" t="s">
        <v>397</v>
      </c>
      <c r="Q6139">
        <v>9</v>
      </c>
      <c r="R6139" s="282">
        <f>Base_Periodo1[[#This Row],[CREDITOS]]-Base_Periodo1[[#This Row],[DEBITOS]]</f>
        <v>0</v>
      </c>
      <c r="S6139" s="3" t="str">
        <f>IF(ISERROR(VLOOKUP(Base_Periodo1[[#This Row],[CONTA]],BaseContasDRE[#All],4,FALSE)),"Fora do DRE",VLOOKUP(Base_Periodo1[[#This Row],[CONTA]],BaseContasDRE[#All],4,FALSE))</f>
        <v>-</v>
      </c>
      <c r="T6139" s="3">
        <f>IF(ISERROR(VLOOKUP(Base_Periodo1[[#This Row],[CONTA]],BaseContasDRE[#All],5,FALSE)),"Fora do DRE",VLOOKUP(Base_Periodo1[[#This Row],[CONTA]],BaseContasDRE[#All],6,FALSE))</f>
        <v>3</v>
      </c>
      <c r="U6139" s="3" t="str">
        <f>IF(ISERROR(VLOOKUP(Base_Periodo1[[#This Row],[CONTA]],BaseContasDRE[#All],7,FALSE)),"Fora do DRE",VLOOKUP(Base_Periodo1[[#This Row],[CONTA]],BaseContasDRE[#All],7,FALSE))</f>
        <v>SERVIÇOS PRESTADOS</v>
      </c>
      <c r="V6139" s="3" t="str">
        <f>IF(Base_Periodo1[[#This Row],[Tipo_Linha]]="Fora do DRE","Fora do DRE","( "&amp;Base_Periodo1[[#This Row],[Tipo_Linha]]&amp;" ) "&amp;Base_Periodo1[[#This Row],[Filtro]])</f>
        <v>( - ) SERVIÇOS PRESTADOS</v>
      </c>
      <c r="W6139" s="3" t="str">
        <f>LEFT(Base_Periodo1[[#This Row],[CLASS]],3)</f>
        <v>3.1</v>
      </c>
    </row>
    <row r="6140" spans="1:23" hidden="1">
      <c r="A6140" s="3" t="str">
        <f t="shared" si="95"/>
        <v>Período 1</v>
      </c>
      <c r="B6140">
        <v>56697</v>
      </c>
      <c r="C6140" t="s">
        <v>5761</v>
      </c>
      <c r="D6140" t="s">
        <v>5762</v>
      </c>
      <c r="E6140" s="3" t="str">
        <f>IF(LEN(Base_Periodo1[[#This Row],[CLASS]])&gt;=7,LEFT(Base_Periodo1[[#This Row],[CLASS]],7),"")</f>
        <v>3.1.1.2</v>
      </c>
      <c r="F6140" s="3" t="e">
        <f>VLOOKUP(Base_Periodo1[[#This Row],[Aux]],Base_Contas_Balanco[#All],2,FALSE)</f>
        <v>#N/A</v>
      </c>
      <c r="G6140" s="1">
        <v>42825</v>
      </c>
      <c r="H6140" s="225">
        <v>1538.1</v>
      </c>
      <c r="I6140" s="225">
        <v>0</v>
      </c>
      <c r="J6140" s="225">
        <v>0</v>
      </c>
      <c r="K6140" s="225">
        <v>1538.1</v>
      </c>
      <c r="L61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-1538.1</v>
      </c>
      <c r="M6140" s="225">
        <f>ROUND(IF(AND(Base_Periodo1[[#This Row],[Tipo_Linha]]="-",Base_Periodo1[[#This Row],[TIPOSALDO]]="D"),Base_Periodo1[[#This Row],[SALDO_ATUAL]]*-1,Base_Periodo1[[#This Row],[SALDO_ATUAL]]),4)</f>
        <v>-1538.1</v>
      </c>
      <c r="N6140" t="s">
        <v>116</v>
      </c>
      <c r="O6140" t="s">
        <v>397</v>
      </c>
      <c r="P6140" t="s">
        <v>397</v>
      </c>
      <c r="Q6140">
        <v>9</v>
      </c>
      <c r="R6140" s="282">
        <f>Base_Periodo1[[#This Row],[CREDITOS]]-Base_Periodo1[[#This Row],[DEBITOS]]</f>
        <v>0</v>
      </c>
      <c r="S6140" s="3" t="str">
        <f>IF(ISERROR(VLOOKUP(Base_Periodo1[[#This Row],[CONTA]],BaseContasDRE[#All],4,FALSE)),"Fora do DRE",VLOOKUP(Base_Periodo1[[#This Row],[CONTA]],BaseContasDRE[#All],4,FALSE))</f>
        <v>-</v>
      </c>
      <c r="T6140" s="3">
        <f>IF(ISERROR(VLOOKUP(Base_Periodo1[[#This Row],[CONTA]],BaseContasDRE[#All],5,FALSE)),"Fora do DRE",VLOOKUP(Base_Periodo1[[#This Row],[CONTA]],BaseContasDRE[#All],6,FALSE))</f>
        <v>3</v>
      </c>
      <c r="U6140" s="3" t="str">
        <f>IF(ISERROR(VLOOKUP(Base_Periodo1[[#This Row],[CONTA]],BaseContasDRE[#All],7,FALSE)),"Fora do DRE",VLOOKUP(Base_Periodo1[[#This Row],[CONTA]],BaseContasDRE[#All],7,FALSE))</f>
        <v>SERVIÇOS PRESTADOS</v>
      </c>
      <c r="V6140" s="3" t="str">
        <f>IF(Base_Periodo1[[#This Row],[Tipo_Linha]]="Fora do DRE","Fora do DRE","( "&amp;Base_Periodo1[[#This Row],[Tipo_Linha]]&amp;" ) "&amp;Base_Periodo1[[#This Row],[Filtro]])</f>
        <v>( - ) SERVIÇOS PRESTADOS</v>
      </c>
      <c r="W6140" s="3" t="str">
        <f>LEFT(Base_Periodo1[[#This Row],[CLASS]],3)</f>
        <v>3.1</v>
      </c>
    </row>
    <row r="6141" spans="1:23" hidden="1">
      <c r="A6141" s="3" t="str">
        <f t="shared" si="95"/>
        <v>Período 1</v>
      </c>
      <c r="B6141">
        <v>6117</v>
      </c>
      <c r="C6141" t="s">
        <v>4492</v>
      </c>
      <c r="D6141" t="s">
        <v>3771</v>
      </c>
      <c r="E6141" s="3" t="str">
        <f>IF(LEN(Base_Periodo1[[#This Row],[CLASS]])&gt;=7,LEFT(Base_Periodo1[[#This Row],[CLASS]],7),"")</f>
        <v>3.1.1.2</v>
      </c>
      <c r="F6141" s="3" t="e">
        <f>VLOOKUP(Base_Periodo1[[#This Row],[Aux]],Base_Contas_Balanco[#All],2,FALSE)</f>
        <v>#N/A</v>
      </c>
      <c r="G6141" s="1"/>
      <c r="H6141" s="225">
        <v>175731.0000000046</v>
      </c>
      <c r="I6141" s="225">
        <v>2282.6200000000003</v>
      </c>
      <c r="J6141" s="225">
        <v>20290</v>
      </c>
      <c r="K6141" s="225">
        <v>193738.3800000046</v>
      </c>
      <c r="L61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193738.38</v>
      </c>
      <c r="M6141" s="225">
        <f>ROUND(IF(AND(Base_Periodo1[[#This Row],[Tipo_Linha]]="-",Base_Periodo1[[#This Row],[TIPOSALDO]]="D"),Base_Periodo1[[#This Row],[SALDO_ATUAL]]*-1,Base_Periodo1[[#This Row],[SALDO_ATUAL]]),4)</f>
        <v>193738.38</v>
      </c>
      <c r="N6141" t="s">
        <v>396</v>
      </c>
      <c r="O6141" t="s">
        <v>459</v>
      </c>
      <c r="P6141" t="s">
        <v>459</v>
      </c>
      <c r="Q6141">
        <v>7</v>
      </c>
      <c r="R6141" s="282">
        <f>Base_Periodo1[[#This Row],[CREDITOS]]-Base_Periodo1[[#This Row],[DEBITOS]]</f>
        <v>18007.38</v>
      </c>
      <c r="S6141" s="3" t="str">
        <f>IF(ISERROR(VLOOKUP(Base_Periodo1[[#This Row],[CONTA]],BaseContasDRE[#All],4,FALSE)),"Fora do DRE",VLOOKUP(Base_Periodo1[[#This Row],[CONTA]],BaseContasDRE[#All],4,FALSE))</f>
        <v>Fora do DRE</v>
      </c>
      <c r="T6141" s="3" t="str">
        <f>IF(ISERROR(VLOOKUP(Base_Periodo1[[#This Row],[CONTA]],BaseContasDRE[#All],5,FALSE)),"Fora do DRE",VLOOKUP(Base_Periodo1[[#This Row],[CONTA]],BaseContasDRE[#All],6,FALSE))</f>
        <v>Fora do DRE</v>
      </c>
      <c r="U6141" s="3" t="str">
        <f>IF(ISERROR(VLOOKUP(Base_Periodo1[[#This Row],[CONTA]],BaseContasDRE[#All],7,FALSE)),"Fora do DRE",VLOOKUP(Base_Periodo1[[#This Row],[CONTA]],BaseContasDRE[#All],7,FALSE))</f>
        <v>Fora do DRE</v>
      </c>
      <c r="V6141" s="3" t="str">
        <f>IF(Base_Periodo1[[#This Row],[Tipo_Linha]]="Fora do DRE","Fora do DRE","( "&amp;Base_Periodo1[[#This Row],[Tipo_Linha]]&amp;" ) "&amp;Base_Periodo1[[#This Row],[Filtro]])</f>
        <v>Fora do DRE</v>
      </c>
      <c r="W6141" s="3" t="str">
        <f>LEFT(Base_Periodo1[[#This Row],[CLASS]],3)</f>
        <v>3.1</v>
      </c>
    </row>
    <row r="6142" spans="1:23" hidden="1">
      <c r="A6142" s="3" t="str">
        <f t="shared" si="95"/>
        <v>Período 1</v>
      </c>
      <c r="B6142">
        <v>6118</v>
      </c>
      <c r="C6142" t="s">
        <v>4493</v>
      </c>
      <c r="D6142" t="s">
        <v>3760</v>
      </c>
      <c r="E6142" s="3" t="str">
        <f>IF(LEN(Base_Periodo1[[#This Row],[CLASS]])&gt;=7,LEFT(Base_Periodo1[[#This Row],[CLASS]],7),"")</f>
        <v>3.1.1.2</v>
      </c>
      <c r="F6142" s="3" t="e">
        <f>VLOOKUP(Base_Periodo1[[#This Row],[Aux]],Base_Contas_Balanco[#All],2,FALSE)</f>
        <v>#N/A</v>
      </c>
      <c r="G6142" s="1"/>
      <c r="H6142" s="225">
        <v>181234.53000000445</v>
      </c>
      <c r="I6142" s="225">
        <v>0</v>
      </c>
      <c r="J6142" s="225">
        <v>20290</v>
      </c>
      <c r="K6142" s="225">
        <v>201524.53000000445</v>
      </c>
      <c r="L61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201524.53</v>
      </c>
      <c r="M6142" s="225">
        <f>ROUND(IF(AND(Base_Periodo1[[#This Row],[Tipo_Linha]]="-",Base_Periodo1[[#This Row],[TIPOSALDO]]="D"),Base_Periodo1[[#This Row],[SALDO_ATUAL]]*-1,Base_Periodo1[[#This Row],[SALDO_ATUAL]]),4)</f>
        <v>201524.53</v>
      </c>
      <c r="N6142" t="s">
        <v>396</v>
      </c>
      <c r="O6142" t="s">
        <v>459</v>
      </c>
      <c r="P6142" t="s">
        <v>459</v>
      </c>
      <c r="Q6142">
        <v>8</v>
      </c>
      <c r="R6142" s="282">
        <f>Base_Periodo1[[#This Row],[CREDITOS]]-Base_Periodo1[[#This Row],[DEBITOS]]</f>
        <v>20290</v>
      </c>
      <c r="S6142" s="3" t="str">
        <f>IF(ISERROR(VLOOKUP(Base_Periodo1[[#This Row],[CONTA]],BaseContasDRE[#All],4,FALSE)),"Fora do DRE",VLOOKUP(Base_Periodo1[[#This Row],[CONTA]],BaseContasDRE[#All],4,FALSE))</f>
        <v>Fora do DRE</v>
      </c>
      <c r="T6142" s="3" t="str">
        <f>IF(ISERROR(VLOOKUP(Base_Periodo1[[#This Row],[CONTA]],BaseContasDRE[#All],5,FALSE)),"Fora do DRE",VLOOKUP(Base_Periodo1[[#This Row],[CONTA]],BaseContasDRE[#All],6,FALSE))</f>
        <v>Fora do DRE</v>
      </c>
      <c r="U6142" s="3" t="str">
        <f>IF(ISERROR(VLOOKUP(Base_Periodo1[[#This Row],[CONTA]],BaseContasDRE[#All],7,FALSE)),"Fora do DRE",VLOOKUP(Base_Periodo1[[#This Row],[CONTA]],BaseContasDRE[#All],7,FALSE))</f>
        <v>Fora do DRE</v>
      </c>
      <c r="V6142" s="3" t="str">
        <f>IF(Base_Periodo1[[#This Row],[Tipo_Linha]]="Fora do DRE","Fora do DRE","( "&amp;Base_Periodo1[[#This Row],[Tipo_Linha]]&amp;" ) "&amp;Base_Periodo1[[#This Row],[Filtro]])</f>
        <v>Fora do DRE</v>
      </c>
      <c r="W6142" s="3" t="str">
        <f>LEFT(Base_Periodo1[[#This Row],[CLASS]],3)</f>
        <v>3.1</v>
      </c>
    </row>
    <row r="6143" spans="1:23" hidden="1">
      <c r="A6143" s="3" t="str">
        <f t="shared" si="95"/>
        <v>Período 1</v>
      </c>
      <c r="B6143">
        <v>6119</v>
      </c>
      <c r="C6143" t="s">
        <v>4494</v>
      </c>
      <c r="D6143" t="s">
        <v>3562</v>
      </c>
      <c r="E6143" s="3" t="str">
        <f>IF(LEN(Base_Periodo1[[#This Row],[CLASS]])&gt;=7,LEFT(Base_Periodo1[[#This Row],[CLASS]],7),"")</f>
        <v>3.1.1.2</v>
      </c>
      <c r="F6143" s="3" t="e">
        <f>VLOOKUP(Base_Periodo1[[#This Row],[Aux]],Base_Contas_Balanco[#All],2,FALSE)</f>
        <v>#N/A</v>
      </c>
      <c r="G6143" s="1">
        <v>42885</v>
      </c>
      <c r="H6143" s="225">
        <v>181234.53000000445</v>
      </c>
      <c r="I6143" s="225">
        <v>0</v>
      </c>
      <c r="J6143" s="225">
        <v>20290</v>
      </c>
      <c r="K6143" s="225">
        <v>201524.53000000445</v>
      </c>
      <c r="L61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201524.53</v>
      </c>
      <c r="M6143" s="225">
        <f>ROUND(IF(AND(Base_Periodo1[[#This Row],[Tipo_Linha]]="-",Base_Periodo1[[#This Row],[TIPOSALDO]]="D"),Base_Periodo1[[#This Row],[SALDO_ATUAL]]*-1,Base_Periodo1[[#This Row],[SALDO_ATUAL]]),4)</f>
        <v>201524.53</v>
      </c>
      <c r="N6143" t="s">
        <v>116</v>
      </c>
      <c r="O6143" t="s">
        <v>459</v>
      </c>
      <c r="P6143" t="s">
        <v>459</v>
      </c>
      <c r="Q6143">
        <v>9</v>
      </c>
      <c r="R6143" s="282">
        <f>Base_Periodo1[[#This Row],[CREDITOS]]-Base_Periodo1[[#This Row],[DEBITOS]]</f>
        <v>20290</v>
      </c>
      <c r="S6143" s="3" t="str">
        <f>IF(ISERROR(VLOOKUP(Base_Periodo1[[#This Row],[CONTA]],BaseContasDRE[#All],4,FALSE)),"Fora do DRE",VLOOKUP(Base_Periodo1[[#This Row],[CONTA]],BaseContasDRE[#All],4,FALSE))</f>
        <v>+</v>
      </c>
      <c r="T6143" s="3">
        <f>IF(ISERROR(VLOOKUP(Base_Periodo1[[#This Row],[CONTA]],BaseContasDRE[#All],5,FALSE)),"Fora do DRE",VLOOKUP(Base_Periodo1[[#This Row],[CONTA]],BaseContasDRE[#All],6,FALSE))</f>
        <v>1</v>
      </c>
      <c r="U6143" s="3" t="str">
        <f>IF(ISERROR(VLOOKUP(Base_Periodo1[[#This Row],[CONTA]],BaseContasDRE[#All],7,FALSE)),"Fora do DRE",VLOOKUP(Base_Periodo1[[#This Row],[CONTA]],BaseContasDRE[#All],7,FALSE))</f>
        <v>SERVIÇOS PRESTADOS</v>
      </c>
      <c r="V6143" s="3" t="str">
        <f>IF(Base_Periodo1[[#This Row],[Tipo_Linha]]="Fora do DRE","Fora do DRE","( "&amp;Base_Periodo1[[#This Row],[Tipo_Linha]]&amp;" ) "&amp;Base_Periodo1[[#This Row],[Filtro]])</f>
        <v>( + ) SERVIÇOS PRESTADOS</v>
      </c>
      <c r="W6143" s="3" t="str">
        <f>LEFT(Base_Periodo1[[#This Row],[CLASS]],3)</f>
        <v>3.1</v>
      </c>
    </row>
    <row r="6144" spans="1:23" hidden="1">
      <c r="A6144" s="3" t="str">
        <f t="shared" si="95"/>
        <v>Período 1</v>
      </c>
      <c r="B6144">
        <v>6120</v>
      </c>
      <c r="C6144" t="s">
        <v>4495</v>
      </c>
      <c r="D6144" t="s">
        <v>3565</v>
      </c>
      <c r="E6144" s="3" t="str">
        <f>IF(LEN(Base_Periodo1[[#This Row],[CLASS]])&gt;=7,LEFT(Base_Periodo1[[#This Row],[CLASS]],7),"")</f>
        <v>3.1.1.2</v>
      </c>
      <c r="F6144" s="3" t="e">
        <f>VLOOKUP(Base_Periodo1[[#This Row],[Aux]],Base_Contas_Balanco[#All],2,FALSE)</f>
        <v>#N/A</v>
      </c>
      <c r="G6144" s="1"/>
      <c r="H6144" s="225">
        <v>5503.5299999998388</v>
      </c>
      <c r="I6144" s="225">
        <v>2282.6200000000003</v>
      </c>
      <c r="J6144" s="225">
        <v>0</v>
      </c>
      <c r="K6144" s="225">
        <v>7786.1499999998396</v>
      </c>
      <c r="L61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-7786.15</v>
      </c>
      <c r="M6144" s="225">
        <f>ROUND(IF(AND(Base_Periodo1[[#This Row],[Tipo_Linha]]="-",Base_Periodo1[[#This Row],[TIPOSALDO]]="D"),Base_Periodo1[[#This Row],[SALDO_ATUAL]]*-1,Base_Periodo1[[#This Row],[SALDO_ATUAL]]),4)</f>
        <v>7786.15</v>
      </c>
      <c r="N6144" t="s">
        <v>396</v>
      </c>
      <c r="O6144" t="s">
        <v>397</v>
      </c>
      <c r="P6144" t="s">
        <v>397</v>
      </c>
      <c r="Q6144">
        <v>8</v>
      </c>
      <c r="R6144" s="282">
        <f>Base_Periodo1[[#This Row],[CREDITOS]]-Base_Periodo1[[#This Row],[DEBITOS]]</f>
        <v>-2282.6200000000003</v>
      </c>
      <c r="S6144" s="3" t="str">
        <f>IF(ISERROR(VLOOKUP(Base_Periodo1[[#This Row],[CONTA]],BaseContasDRE[#All],4,FALSE)),"Fora do DRE",VLOOKUP(Base_Periodo1[[#This Row],[CONTA]],BaseContasDRE[#All],4,FALSE))</f>
        <v>Fora do DRE</v>
      </c>
      <c r="T6144" s="3" t="str">
        <f>IF(ISERROR(VLOOKUP(Base_Periodo1[[#This Row],[CONTA]],BaseContasDRE[#All],5,FALSE)),"Fora do DRE",VLOOKUP(Base_Periodo1[[#This Row],[CONTA]],BaseContasDRE[#All],6,FALSE))</f>
        <v>Fora do DRE</v>
      </c>
      <c r="U6144" s="3" t="str">
        <f>IF(ISERROR(VLOOKUP(Base_Periodo1[[#This Row],[CONTA]],BaseContasDRE[#All],7,FALSE)),"Fora do DRE",VLOOKUP(Base_Periodo1[[#This Row],[CONTA]],BaseContasDRE[#All],7,FALSE))</f>
        <v>Fora do DRE</v>
      </c>
      <c r="V6144" s="3" t="str">
        <f>IF(Base_Periodo1[[#This Row],[Tipo_Linha]]="Fora do DRE","Fora do DRE","( "&amp;Base_Periodo1[[#This Row],[Tipo_Linha]]&amp;" ) "&amp;Base_Periodo1[[#This Row],[Filtro]])</f>
        <v>Fora do DRE</v>
      </c>
      <c r="W6144" s="3" t="str">
        <f>LEFT(Base_Periodo1[[#This Row],[CLASS]],3)</f>
        <v>3.1</v>
      </c>
    </row>
    <row r="6145" spans="1:23" hidden="1">
      <c r="A6145" s="3" t="str">
        <f t="shared" si="95"/>
        <v>Período 1</v>
      </c>
      <c r="B6145">
        <v>6121</v>
      </c>
      <c r="C6145" t="s">
        <v>4496</v>
      </c>
      <c r="D6145" t="s">
        <v>3772</v>
      </c>
      <c r="E6145" s="3" t="str">
        <f>IF(LEN(Base_Periodo1[[#This Row],[CLASS]])&gt;=7,LEFT(Base_Periodo1[[#This Row],[CLASS]],7),"")</f>
        <v>3.1.1.2</v>
      </c>
      <c r="F6145" s="3" t="e">
        <f>VLOOKUP(Base_Periodo1[[#This Row],[Aux]],Base_Contas_Balanco[#All],2,FALSE)</f>
        <v>#N/A</v>
      </c>
      <c r="G6145" s="1">
        <v>42885</v>
      </c>
      <c r="H6145" s="225">
        <v>5503.5300000000134</v>
      </c>
      <c r="I6145" s="225">
        <v>405.8</v>
      </c>
      <c r="J6145" s="225">
        <v>0</v>
      </c>
      <c r="K6145" s="225">
        <v>5909.3300000000136</v>
      </c>
      <c r="L61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-5909.33</v>
      </c>
      <c r="M6145" s="225">
        <f>ROUND(IF(AND(Base_Periodo1[[#This Row],[Tipo_Linha]]="-",Base_Periodo1[[#This Row],[TIPOSALDO]]="D"),Base_Periodo1[[#This Row],[SALDO_ATUAL]]*-1,Base_Periodo1[[#This Row],[SALDO_ATUAL]]),4)</f>
        <v>-5909.33</v>
      </c>
      <c r="N6145" t="s">
        <v>116</v>
      </c>
      <c r="O6145" t="s">
        <v>397</v>
      </c>
      <c r="P6145" t="s">
        <v>397</v>
      </c>
      <c r="Q6145">
        <v>9</v>
      </c>
      <c r="R6145" s="282">
        <f>Base_Periodo1[[#This Row],[CREDITOS]]-Base_Periodo1[[#This Row],[DEBITOS]]</f>
        <v>-405.8</v>
      </c>
      <c r="S6145" s="3" t="str">
        <f>IF(ISERROR(VLOOKUP(Base_Periodo1[[#This Row],[CONTA]],BaseContasDRE[#All],4,FALSE)),"Fora do DRE",VLOOKUP(Base_Periodo1[[#This Row],[CONTA]],BaseContasDRE[#All],4,FALSE))</f>
        <v>-</v>
      </c>
      <c r="T6145" s="3">
        <f>IF(ISERROR(VLOOKUP(Base_Periodo1[[#This Row],[CONTA]],BaseContasDRE[#All],5,FALSE)),"Fora do DRE",VLOOKUP(Base_Periodo1[[#This Row],[CONTA]],BaseContasDRE[#All],6,FALSE))</f>
        <v>2</v>
      </c>
      <c r="U6145" s="3" t="str">
        <f>IF(ISERROR(VLOOKUP(Base_Periodo1[[#This Row],[CONTA]],BaseContasDRE[#All],7,FALSE)),"Fora do DRE",VLOOKUP(Base_Periodo1[[#This Row],[CONTA]],BaseContasDRE[#All],7,FALSE))</f>
        <v>IMPOSTOS SOBRE SERVIÇOS PRESTADOS</v>
      </c>
      <c r="V6145" s="3" t="str">
        <f>IF(Base_Periodo1[[#This Row],[Tipo_Linha]]="Fora do DRE","Fora do DRE","( "&amp;Base_Periodo1[[#This Row],[Tipo_Linha]]&amp;" ) "&amp;Base_Periodo1[[#This Row],[Filtro]])</f>
        <v>( - ) IMPOSTOS SOBRE SERVIÇOS PRESTADOS</v>
      </c>
      <c r="W6145" s="3" t="str">
        <f>LEFT(Base_Periodo1[[#This Row],[CLASS]],3)</f>
        <v>3.1</v>
      </c>
    </row>
    <row r="6146" spans="1:23">
      <c r="A6146" s="3" t="str">
        <f t="shared" si="95"/>
        <v>Período 1</v>
      </c>
      <c r="B6146">
        <v>36508</v>
      </c>
      <c r="C6146" t="s">
        <v>7191</v>
      </c>
      <c r="D6146" t="s">
        <v>3780</v>
      </c>
      <c r="E6146" s="3" t="str">
        <f>IF(LEN(Base_Periodo1[[#This Row],[CLASS]])&gt;=7,LEFT(Base_Periodo1[[#This Row],[CLASS]],7),"")</f>
        <v>3.1.1.2</v>
      </c>
      <c r="F6146" s="3" t="e">
        <f>VLOOKUP(Base_Periodo1[[#This Row],[Aux]],Base_Contas_Balanco[#All],2,FALSE)</f>
        <v>#N/A</v>
      </c>
      <c r="G6146" s="1">
        <v>42885</v>
      </c>
      <c r="I6146" s="225">
        <v>334.78000000000003</v>
      </c>
      <c r="J6146" s="225">
        <v>0</v>
      </c>
      <c r="K6146" s="225">
        <v>334.78000000005824</v>
      </c>
      <c r="L61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-334.78</v>
      </c>
      <c r="M6146" s="225">
        <f>ROUND(IF(AND(Base_Periodo1[[#This Row],[Tipo_Linha]]="-",Base_Periodo1[[#This Row],[TIPOSALDO]]="D"),Base_Periodo1[[#This Row],[SALDO_ATUAL]]*-1,Base_Periodo1[[#This Row],[SALDO_ATUAL]]),4)</f>
        <v>-334.78</v>
      </c>
      <c r="N6146" t="s">
        <v>116</v>
      </c>
      <c r="O6146" t="s">
        <v>436</v>
      </c>
      <c r="P6146" t="s">
        <v>397</v>
      </c>
      <c r="Q6146">
        <v>9</v>
      </c>
      <c r="R6146" s="282">
        <f>Base_Periodo1[[#This Row],[CREDITOS]]-Base_Periodo1[[#This Row],[DEBITOS]]</f>
        <v>-334.78000000000003</v>
      </c>
      <c r="S6146" s="3" t="str">
        <f>IF(ISERROR(VLOOKUP(Base_Periodo1[[#This Row],[CONTA]],BaseContasDRE[#All],4,FALSE)),"Fora do DRE",VLOOKUP(Base_Periodo1[[#This Row],[CONTA]],BaseContasDRE[#All],4,FALSE))</f>
        <v>-</v>
      </c>
      <c r="T6146" s="3">
        <f>IF(ISERROR(VLOOKUP(Base_Periodo1[[#This Row],[CONTA]],BaseContasDRE[#All],5,FALSE)),"Fora do DRE",VLOOKUP(Base_Periodo1[[#This Row],[CONTA]],BaseContasDRE[#All],6,FALSE))</f>
        <v>2</v>
      </c>
      <c r="U6146" s="3" t="str">
        <f>IF(ISERROR(VLOOKUP(Base_Periodo1[[#This Row],[CONTA]],BaseContasDRE[#All],7,FALSE)),"Fora do DRE",VLOOKUP(Base_Periodo1[[#This Row],[CONTA]],BaseContasDRE[#All],7,FALSE))</f>
        <v>IMPOSTOS SOBRE RECEITA</v>
      </c>
      <c r="V6146" s="3" t="str">
        <f>IF(Base_Periodo1[[#This Row],[Tipo_Linha]]="Fora do DRE","Fora do DRE","( "&amp;Base_Periodo1[[#This Row],[Tipo_Linha]]&amp;" ) "&amp;Base_Periodo1[[#This Row],[Filtro]])</f>
        <v>( - ) IMPOSTOS SOBRE RECEITA</v>
      </c>
      <c r="W6146" s="3" t="str">
        <f>LEFT(Base_Periodo1[[#This Row],[CLASS]],3)</f>
        <v>3.1</v>
      </c>
    </row>
    <row r="6147" spans="1:23">
      <c r="A6147" s="3" t="str">
        <f t="shared" si="95"/>
        <v>Período 1</v>
      </c>
      <c r="B6147">
        <v>36509</v>
      </c>
      <c r="C6147" t="s">
        <v>7192</v>
      </c>
      <c r="D6147" t="s">
        <v>3782</v>
      </c>
      <c r="E6147" s="3" t="str">
        <f>IF(LEN(Base_Periodo1[[#This Row],[CLASS]])&gt;=7,LEFT(Base_Periodo1[[#This Row],[CLASS]],7),"")</f>
        <v>3.1.1.2</v>
      </c>
      <c r="F6147" s="3" t="e">
        <f>VLOOKUP(Base_Periodo1[[#This Row],[Aux]],Base_Contas_Balanco[#All],2,FALSE)</f>
        <v>#N/A</v>
      </c>
      <c r="G6147" s="1">
        <v>42885</v>
      </c>
      <c r="I6147" s="225">
        <v>1542.0400000000002</v>
      </c>
      <c r="J6147" s="225">
        <v>0</v>
      </c>
      <c r="K6147" s="225">
        <v>1542.0399999997674</v>
      </c>
      <c r="L61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-1542.04</v>
      </c>
      <c r="M6147" s="225">
        <f>ROUND(IF(AND(Base_Periodo1[[#This Row],[Tipo_Linha]]="-",Base_Periodo1[[#This Row],[TIPOSALDO]]="D"),Base_Periodo1[[#This Row],[SALDO_ATUAL]]*-1,Base_Periodo1[[#This Row],[SALDO_ATUAL]]),4)</f>
        <v>-1542.04</v>
      </c>
      <c r="N6147" t="s">
        <v>116</v>
      </c>
      <c r="O6147" t="s">
        <v>436</v>
      </c>
      <c r="P6147" t="s">
        <v>397</v>
      </c>
      <c r="Q6147">
        <v>9</v>
      </c>
      <c r="R6147" s="282">
        <f>Base_Periodo1[[#This Row],[CREDITOS]]-Base_Periodo1[[#This Row],[DEBITOS]]</f>
        <v>-1542.0400000000002</v>
      </c>
      <c r="S6147" s="3" t="str">
        <f>IF(ISERROR(VLOOKUP(Base_Periodo1[[#This Row],[CONTA]],BaseContasDRE[#All],4,FALSE)),"Fora do DRE",VLOOKUP(Base_Periodo1[[#This Row],[CONTA]],BaseContasDRE[#All],4,FALSE))</f>
        <v>-</v>
      </c>
      <c r="T6147" s="3">
        <f>IF(ISERROR(VLOOKUP(Base_Periodo1[[#This Row],[CONTA]],BaseContasDRE[#All],5,FALSE)),"Fora do DRE",VLOOKUP(Base_Periodo1[[#This Row],[CONTA]],BaseContasDRE[#All],6,FALSE))</f>
        <v>2</v>
      </c>
      <c r="U6147" s="3" t="str">
        <f>IF(ISERROR(VLOOKUP(Base_Periodo1[[#This Row],[CONTA]],BaseContasDRE[#All],7,FALSE)),"Fora do DRE",VLOOKUP(Base_Periodo1[[#This Row],[CONTA]],BaseContasDRE[#All],7,FALSE))</f>
        <v>IMPOSTOS SOBRE RECEITA</v>
      </c>
      <c r="V6147" s="3" t="str">
        <f>IF(Base_Periodo1[[#This Row],[Tipo_Linha]]="Fora do DRE","Fora do DRE","( "&amp;Base_Periodo1[[#This Row],[Tipo_Linha]]&amp;" ) "&amp;Base_Periodo1[[#This Row],[Filtro]])</f>
        <v>( - ) IMPOSTOS SOBRE RECEITA</v>
      </c>
      <c r="W6147" s="3" t="str">
        <f>LEFT(Base_Periodo1[[#This Row],[CLASS]],3)</f>
        <v>3.1</v>
      </c>
    </row>
    <row r="6148" spans="1:23" hidden="1">
      <c r="A6148" s="3" t="str">
        <f t="shared" si="95"/>
        <v>Período 1</v>
      </c>
      <c r="B6148">
        <v>6122</v>
      </c>
      <c r="C6148" t="s">
        <v>3773</v>
      </c>
      <c r="D6148" t="s">
        <v>3774</v>
      </c>
      <c r="E6148" s="3" t="str">
        <f>IF(LEN(Base_Periodo1[[#This Row],[CLASS]])&gt;=7,LEFT(Base_Periodo1[[#This Row],[CLASS]],7),"")</f>
        <v>3.1.1.2</v>
      </c>
      <c r="F6148" s="3" t="e">
        <f>VLOOKUP(Base_Periodo1[[#This Row],[Aux]],Base_Contas_Balanco[#All],2,FALSE)</f>
        <v>#N/A</v>
      </c>
      <c r="G6148" s="1"/>
      <c r="H6148" s="225">
        <v>324760.99000000273</v>
      </c>
      <c r="I6148" s="225">
        <v>11662.150000000001</v>
      </c>
      <c r="J6148" s="225">
        <v>103663.5</v>
      </c>
      <c r="K6148" s="225">
        <v>416762.3400000027</v>
      </c>
      <c r="L61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416762.34</v>
      </c>
      <c r="M6148" s="225">
        <f>ROUND(IF(AND(Base_Periodo1[[#This Row],[Tipo_Linha]]="-",Base_Periodo1[[#This Row],[TIPOSALDO]]="D"),Base_Periodo1[[#This Row],[SALDO_ATUAL]]*-1,Base_Periodo1[[#This Row],[SALDO_ATUAL]]),4)</f>
        <v>416762.34</v>
      </c>
      <c r="N6148" t="s">
        <v>396</v>
      </c>
      <c r="O6148" t="s">
        <v>459</v>
      </c>
      <c r="P6148" t="s">
        <v>459</v>
      </c>
      <c r="Q6148">
        <v>7</v>
      </c>
      <c r="R6148" s="282">
        <f>Base_Periodo1[[#This Row],[CREDITOS]]-Base_Periodo1[[#This Row],[DEBITOS]]</f>
        <v>92001.35</v>
      </c>
      <c r="S6148" s="3" t="str">
        <f>IF(ISERROR(VLOOKUP(Base_Periodo1[[#This Row],[CONTA]],BaseContasDRE[#All],4,FALSE)),"Fora do DRE",VLOOKUP(Base_Periodo1[[#This Row],[CONTA]],BaseContasDRE[#All],4,FALSE))</f>
        <v>Fora do DRE</v>
      </c>
      <c r="T6148" s="3" t="str">
        <f>IF(ISERROR(VLOOKUP(Base_Periodo1[[#This Row],[CONTA]],BaseContasDRE[#All],5,FALSE)),"Fora do DRE",VLOOKUP(Base_Periodo1[[#This Row],[CONTA]],BaseContasDRE[#All],6,FALSE))</f>
        <v>Fora do DRE</v>
      </c>
      <c r="U6148" s="3" t="str">
        <f>IF(ISERROR(VLOOKUP(Base_Periodo1[[#This Row],[CONTA]],BaseContasDRE[#All],7,FALSE)),"Fora do DRE",VLOOKUP(Base_Periodo1[[#This Row],[CONTA]],BaseContasDRE[#All],7,FALSE))</f>
        <v>Fora do DRE</v>
      </c>
      <c r="V6148" s="3" t="str">
        <f>IF(Base_Periodo1[[#This Row],[Tipo_Linha]]="Fora do DRE","Fora do DRE","( "&amp;Base_Periodo1[[#This Row],[Tipo_Linha]]&amp;" ) "&amp;Base_Periodo1[[#This Row],[Filtro]])</f>
        <v>Fora do DRE</v>
      </c>
      <c r="W6148" s="3" t="str">
        <f>LEFT(Base_Periodo1[[#This Row],[CLASS]],3)</f>
        <v>3.1</v>
      </c>
    </row>
    <row r="6149" spans="1:23" hidden="1">
      <c r="A6149" s="3" t="str">
        <f t="shared" si="95"/>
        <v>Período 1</v>
      </c>
      <c r="B6149">
        <v>6123</v>
      </c>
      <c r="C6149" t="s">
        <v>3775</v>
      </c>
      <c r="D6149" t="s">
        <v>3760</v>
      </c>
      <c r="E6149" s="3" t="str">
        <f>IF(LEN(Base_Periodo1[[#This Row],[CLASS]])&gt;=7,LEFT(Base_Periodo1[[#This Row],[CLASS]],7),"")</f>
        <v>3.1.1.2</v>
      </c>
      <c r="F6149" s="3" t="e">
        <f>VLOOKUP(Base_Periodo1[[#This Row],[Aux]],Base_Contas_Balanco[#All],2,FALSE)</f>
        <v>#N/A</v>
      </c>
      <c r="G6149" s="1"/>
      <c r="H6149" s="225">
        <v>339342.75000000279</v>
      </c>
      <c r="I6149" s="225">
        <v>0</v>
      </c>
      <c r="J6149" s="225">
        <v>103663.5</v>
      </c>
      <c r="K6149" s="225">
        <v>443006.25000000279</v>
      </c>
      <c r="L61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443006.25</v>
      </c>
      <c r="M6149" s="225">
        <f>ROUND(IF(AND(Base_Periodo1[[#This Row],[Tipo_Linha]]="-",Base_Periodo1[[#This Row],[TIPOSALDO]]="D"),Base_Periodo1[[#This Row],[SALDO_ATUAL]]*-1,Base_Periodo1[[#This Row],[SALDO_ATUAL]]),4)</f>
        <v>443006.25</v>
      </c>
      <c r="N6149" t="s">
        <v>396</v>
      </c>
      <c r="O6149" t="s">
        <v>459</v>
      </c>
      <c r="P6149" t="s">
        <v>459</v>
      </c>
      <c r="Q6149">
        <v>8</v>
      </c>
      <c r="R6149" s="282">
        <f>Base_Periodo1[[#This Row],[CREDITOS]]-Base_Periodo1[[#This Row],[DEBITOS]]</f>
        <v>103663.5</v>
      </c>
      <c r="S6149" s="3" t="str">
        <f>IF(ISERROR(VLOOKUP(Base_Periodo1[[#This Row],[CONTA]],BaseContasDRE[#All],4,FALSE)),"Fora do DRE",VLOOKUP(Base_Periodo1[[#This Row],[CONTA]],BaseContasDRE[#All],4,FALSE))</f>
        <v>Fora do DRE</v>
      </c>
      <c r="T6149" s="3" t="str">
        <f>IF(ISERROR(VLOOKUP(Base_Periodo1[[#This Row],[CONTA]],BaseContasDRE[#All],5,FALSE)),"Fora do DRE",VLOOKUP(Base_Periodo1[[#This Row],[CONTA]],BaseContasDRE[#All],6,FALSE))</f>
        <v>Fora do DRE</v>
      </c>
      <c r="U6149" s="3" t="str">
        <f>IF(ISERROR(VLOOKUP(Base_Periodo1[[#This Row],[CONTA]],BaseContasDRE[#All],7,FALSE)),"Fora do DRE",VLOOKUP(Base_Periodo1[[#This Row],[CONTA]],BaseContasDRE[#All],7,FALSE))</f>
        <v>Fora do DRE</v>
      </c>
      <c r="V6149" s="3" t="str">
        <f>IF(Base_Periodo1[[#This Row],[Tipo_Linha]]="Fora do DRE","Fora do DRE","( "&amp;Base_Periodo1[[#This Row],[Tipo_Linha]]&amp;" ) "&amp;Base_Periodo1[[#This Row],[Filtro]])</f>
        <v>Fora do DRE</v>
      </c>
      <c r="W6149" s="3" t="str">
        <f>LEFT(Base_Periodo1[[#This Row],[CLASS]],3)</f>
        <v>3.1</v>
      </c>
    </row>
    <row r="6150" spans="1:23" hidden="1">
      <c r="A6150" s="3" t="str">
        <f t="shared" ref="A6150:A6213" si="96">"Período 1"</f>
        <v>Período 1</v>
      </c>
      <c r="B6150">
        <v>6124</v>
      </c>
      <c r="C6150" t="s">
        <v>3776</v>
      </c>
      <c r="D6150" t="s">
        <v>3562</v>
      </c>
      <c r="E6150" s="3" t="str">
        <f>IF(LEN(Base_Periodo1[[#This Row],[CLASS]])&gt;=7,LEFT(Base_Periodo1[[#This Row],[CLASS]],7),"")</f>
        <v>3.1.1.2</v>
      </c>
      <c r="F6150" s="3" t="e">
        <f>VLOOKUP(Base_Periodo1[[#This Row],[Aux]],Base_Contas_Balanco[#All],2,FALSE)</f>
        <v>#N/A</v>
      </c>
      <c r="G6150" s="1">
        <v>42886</v>
      </c>
      <c r="H6150" s="225">
        <v>339342.75000000279</v>
      </c>
      <c r="I6150" s="225">
        <v>0</v>
      </c>
      <c r="J6150" s="225">
        <v>103663.5</v>
      </c>
      <c r="K6150" s="225">
        <v>443006.25000000279</v>
      </c>
      <c r="L61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443006.25</v>
      </c>
      <c r="M6150" s="225">
        <f>ROUND(IF(AND(Base_Periodo1[[#This Row],[Tipo_Linha]]="-",Base_Periodo1[[#This Row],[TIPOSALDO]]="D"),Base_Periodo1[[#This Row],[SALDO_ATUAL]]*-1,Base_Periodo1[[#This Row],[SALDO_ATUAL]]),4)</f>
        <v>443006.25</v>
      </c>
      <c r="N6150" t="s">
        <v>116</v>
      </c>
      <c r="O6150" t="s">
        <v>459</v>
      </c>
      <c r="P6150" t="s">
        <v>459</v>
      </c>
      <c r="Q6150">
        <v>9</v>
      </c>
      <c r="R6150" s="282">
        <f>Base_Periodo1[[#This Row],[CREDITOS]]-Base_Periodo1[[#This Row],[DEBITOS]]</f>
        <v>103663.5</v>
      </c>
      <c r="S6150" s="3" t="str">
        <f>IF(ISERROR(VLOOKUP(Base_Periodo1[[#This Row],[CONTA]],BaseContasDRE[#All],4,FALSE)),"Fora do DRE",VLOOKUP(Base_Periodo1[[#This Row],[CONTA]],BaseContasDRE[#All],4,FALSE))</f>
        <v>+</v>
      </c>
      <c r="T6150" s="3">
        <f>IF(ISERROR(VLOOKUP(Base_Periodo1[[#This Row],[CONTA]],BaseContasDRE[#All],5,FALSE)),"Fora do DRE",VLOOKUP(Base_Periodo1[[#This Row],[CONTA]],BaseContasDRE[#All],6,FALSE))</f>
        <v>1</v>
      </c>
      <c r="U6150" s="3" t="str">
        <f>IF(ISERROR(VLOOKUP(Base_Periodo1[[#This Row],[CONTA]],BaseContasDRE[#All],7,FALSE)),"Fora do DRE",VLOOKUP(Base_Periodo1[[#This Row],[CONTA]],BaseContasDRE[#All],7,FALSE))</f>
        <v>SERVIÇOS PRESTADOS</v>
      </c>
      <c r="V6150" s="3" t="str">
        <f>IF(Base_Periodo1[[#This Row],[Tipo_Linha]]="Fora do DRE","Fora do DRE","( "&amp;Base_Periodo1[[#This Row],[Tipo_Linha]]&amp;" ) "&amp;Base_Periodo1[[#This Row],[Filtro]])</f>
        <v>( + ) SERVIÇOS PRESTADOS</v>
      </c>
      <c r="W6150" s="3" t="str">
        <f>LEFT(Base_Periodo1[[#This Row],[CLASS]],3)</f>
        <v>3.1</v>
      </c>
    </row>
    <row r="6151" spans="1:23" hidden="1">
      <c r="A6151" s="3" t="str">
        <f t="shared" si="96"/>
        <v>Período 1</v>
      </c>
      <c r="B6151">
        <v>6125</v>
      </c>
      <c r="C6151" t="s">
        <v>3777</v>
      </c>
      <c r="D6151" t="s">
        <v>3565</v>
      </c>
      <c r="E6151" s="3" t="str">
        <f>IF(LEN(Base_Periodo1[[#This Row],[CLASS]])&gt;=7,LEFT(Base_Periodo1[[#This Row],[CLASS]],7),"")</f>
        <v>3.1.1.2</v>
      </c>
      <c r="F6151" s="3" t="e">
        <f>VLOOKUP(Base_Periodo1[[#This Row],[Aux]],Base_Contas_Balanco[#All],2,FALSE)</f>
        <v>#N/A</v>
      </c>
      <c r="G6151" s="1"/>
      <c r="H6151" s="225">
        <v>14581.760000000068</v>
      </c>
      <c r="I6151" s="225">
        <v>11662.150000000001</v>
      </c>
      <c r="J6151" s="225">
        <v>0</v>
      </c>
      <c r="K6151" s="225">
        <v>26243.910000000069</v>
      </c>
      <c r="L61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-26243.91</v>
      </c>
      <c r="M6151" s="225">
        <f>ROUND(IF(AND(Base_Periodo1[[#This Row],[Tipo_Linha]]="-",Base_Periodo1[[#This Row],[TIPOSALDO]]="D"),Base_Periodo1[[#This Row],[SALDO_ATUAL]]*-1,Base_Periodo1[[#This Row],[SALDO_ATUAL]]),4)</f>
        <v>26243.91</v>
      </c>
      <c r="N6151" t="s">
        <v>396</v>
      </c>
      <c r="O6151" t="s">
        <v>397</v>
      </c>
      <c r="P6151" t="s">
        <v>397</v>
      </c>
      <c r="Q6151">
        <v>8</v>
      </c>
      <c r="R6151" s="282">
        <f>Base_Periodo1[[#This Row],[CREDITOS]]-Base_Periodo1[[#This Row],[DEBITOS]]</f>
        <v>-11662.150000000001</v>
      </c>
      <c r="S6151" s="3" t="str">
        <f>IF(ISERROR(VLOOKUP(Base_Periodo1[[#This Row],[CONTA]],BaseContasDRE[#All],4,FALSE)),"Fora do DRE",VLOOKUP(Base_Periodo1[[#This Row],[CONTA]],BaseContasDRE[#All],4,FALSE))</f>
        <v>Fora do DRE</v>
      </c>
      <c r="T6151" s="3" t="str">
        <f>IF(ISERROR(VLOOKUP(Base_Periodo1[[#This Row],[CONTA]],BaseContasDRE[#All],5,FALSE)),"Fora do DRE",VLOOKUP(Base_Periodo1[[#This Row],[CONTA]],BaseContasDRE[#All],6,FALSE))</f>
        <v>Fora do DRE</v>
      </c>
      <c r="U6151" s="3" t="str">
        <f>IF(ISERROR(VLOOKUP(Base_Periodo1[[#This Row],[CONTA]],BaseContasDRE[#All],7,FALSE)),"Fora do DRE",VLOOKUP(Base_Periodo1[[#This Row],[CONTA]],BaseContasDRE[#All],7,FALSE))</f>
        <v>Fora do DRE</v>
      </c>
      <c r="V6151" s="3" t="str">
        <f>IF(Base_Periodo1[[#This Row],[Tipo_Linha]]="Fora do DRE","Fora do DRE","( "&amp;Base_Periodo1[[#This Row],[Tipo_Linha]]&amp;" ) "&amp;Base_Periodo1[[#This Row],[Filtro]])</f>
        <v>Fora do DRE</v>
      </c>
      <c r="W6151" s="3" t="str">
        <f>LEFT(Base_Periodo1[[#This Row],[CLASS]],3)</f>
        <v>3.1</v>
      </c>
    </row>
    <row r="6152" spans="1:23" hidden="1">
      <c r="A6152" s="3" t="str">
        <f t="shared" si="96"/>
        <v>Período 1</v>
      </c>
      <c r="B6152">
        <v>6126</v>
      </c>
      <c r="C6152" t="s">
        <v>3778</v>
      </c>
      <c r="D6152" t="s">
        <v>3772</v>
      </c>
      <c r="E6152" s="3" t="str">
        <f>IF(LEN(Base_Periodo1[[#This Row],[CLASS]])&gt;=7,LEFT(Base_Periodo1[[#This Row],[CLASS]],7),"")</f>
        <v>3.1.1.2</v>
      </c>
      <c r="F6152" s="3" t="e">
        <f>VLOOKUP(Base_Periodo1[[#This Row],[Aux]],Base_Contas_Balanco[#All],2,FALSE)</f>
        <v>#N/A</v>
      </c>
      <c r="G6152" s="1">
        <v>42886</v>
      </c>
      <c r="H6152" s="225">
        <v>6786.8600000000006</v>
      </c>
      <c r="I6152" s="225">
        <v>2073.27</v>
      </c>
      <c r="J6152" s="225">
        <v>0</v>
      </c>
      <c r="K6152" s="225">
        <v>8860.130000000001</v>
      </c>
      <c r="L61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-8860.1299999999992</v>
      </c>
      <c r="M6152" s="225">
        <f>ROUND(IF(AND(Base_Periodo1[[#This Row],[Tipo_Linha]]="-",Base_Periodo1[[#This Row],[TIPOSALDO]]="D"),Base_Periodo1[[#This Row],[SALDO_ATUAL]]*-1,Base_Periodo1[[#This Row],[SALDO_ATUAL]]),4)</f>
        <v>-8860.1299999999992</v>
      </c>
      <c r="N6152" t="s">
        <v>116</v>
      </c>
      <c r="O6152" t="s">
        <v>397</v>
      </c>
      <c r="P6152" t="s">
        <v>397</v>
      </c>
      <c r="Q6152">
        <v>9</v>
      </c>
      <c r="R6152" s="282">
        <f>Base_Periodo1[[#This Row],[CREDITOS]]-Base_Periodo1[[#This Row],[DEBITOS]]</f>
        <v>-2073.27</v>
      </c>
      <c r="S6152" s="3" t="str">
        <f>IF(ISERROR(VLOOKUP(Base_Periodo1[[#This Row],[CONTA]],BaseContasDRE[#All],4,FALSE)),"Fora do DRE",VLOOKUP(Base_Periodo1[[#This Row],[CONTA]],BaseContasDRE[#All],4,FALSE))</f>
        <v>-</v>
      </c>
      <c r="T6152" s="3">
        <f>IF(ISERROR(VLOOKUP(Base_Periodo1[[#This Row],[CONTA]],BaseContasDRE[#All],5,FALSE)),"Fora do DRE",VLOOKUP(Base_Periodo1[[#This Row],[CONTA]],BaseContasDRE[#All],6,FALSE))</f>
        <v>2</v>
      </c>
      <c r="U6152" s="3" t="str">
        <f>IF(ISERROR(VLOOKUP(Base_Periodo1[[#This Row],[CONTA]],BaseContasDRE[#All],7,FALSE)),"Fora do DRE",VLOOKUP(Base_Periodo1[[#This Row],[CONTA]],BaseContasDRE[#All],7,FALSE))</f>
        <v>IMPOSTOS SOBRE SERVIÇOS PRESTADOS</v>
      </c>
      <c r="V6152" s="3" t="str">
        <f>IF(Base_Periodo1[[#This Row],[Tipo_Linha]]="Fora do DRE","Fora do DRE","( "&amp;Base_Periodo1[[#This Row],[Tipo_Linha]]&amp;" ) "&amp;Base_Periodo1[[#This Row],[Filtro]])</f>
        <v>( - ) IMPOSTOS SOBRE SERVIÇOS PRESTADOS</v>
      </c>
      <c r="W6152" s="3" t="str">
        <f>LEFT(Base_Periodo1[[#This Row],[CLASS]],3)</f>
        <v>3.1</v>
      </c>
    </row>
    <row r="6153" spans="1:23">
      <c r="A6153" s="3" t="str">
        <f t="shared" si="96"/>
        <v>Período 1</v>
      </c>
      <c r="B6153">
        <v>40626</v>
      </c>
      <c r="C6153" t="s">
        <v>3779</v>
      </c>
      <c r="D6153" t="s">
        <v>3780</v>
      </c>
      <c r="E6153" s="3" t="str">
        <f>IF(LEN(Base_Periodo1[[#This Row],[CLASS]])&gt;=7,LEFT(Base_Periodo1[[#This Row],[CLASS]],7),"")</f>
        <v>3.1.1.2</v>
      </c>
      <c r="F6153" s="3" t="e">
        <f>VLOOKUP(Base_Periodo1[[#This Row],[Aux]],Base_Contas_Balanco[#All],2,FALSE)</f>
        <v>#N/A</v>
      </c>
      <c r="G6153" s="1">
        <v>42886</v>
      </c>
      <c r="H6153" s="225">
        <v>1390.4400000000169</v>
      </c>
      <c r="I6153" s="225">
        <v>1710.45</v>
      </c>
      <c r="J6153" s="225">
        <v>0</v>
      </c>
      <c r="K6153" s="225">
        <v>3100.8900000000167</v>
      </c>
      <c r="L61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-3100.89</v>
      </c>
      <c r="M6153" s="225">
        <f>ROUND(IF(AND(Base_Periodo1[[#This Row],[Tipo_Linha]]="-",Base_Periodo1[[#This Row],[TIPOSALDO]]="D"),Base_Periodo1[[#This Row],[SALDO_ATUAL]]*-1,Base_Periodo1[[#This Row],[SALDO_ATUAL]]),4)</f>
        <v>-3100.89</v>
      </c>
      <c r="N6153" t="s">
        <v>116</v>
      </c>
      <c r="O6153" t="s">
        <v>397</v>
      </c>
      <c r="P6153" t="s">
        <v>397</v>
      </c>
      <c r="Q6153">
        <v>9</v>
      </c>
      <c r="R6153" s="282">
        <f>Base_Periodo1[[#This Row],[CREDITOS]]-Base_Periodo1[[#This Row],[DEBITOS]]</f>
        <v>-1710.45</v>
      </c>
      <c r="S6153" s="3" t="str">
        <f>IF(ISERROR(VLOOKUP(Base_Periodo1[[#This Row],[CONTA]],BaseContasDRE[#All],4,FALSE)),"Fora do DRE",VLOOKUP(Base_Periodo1[[#This Row],[CONTA]],BaseContasDRE[#All],4,FALSE))</f>
        <v>-</v>
      </c>
      <c r="T6153" s="3">
        <f>IF(ISERROR(VLOOKUP(Base_Periodo1[[#This Row],[CONTA]],BaseContasDRE[#All],5,FALSE)),"Fora do DRE",VLOOKUP(Base_Periodo1[[#This Row],[CONTA]],BaseContasDRE[#All],6,FALSE))</f>
        <v>2</v>
      </c>
      <c r="U6153" s="3" t="str">
        <f>IF(ISERROR(VLOOKUP(Base_Periodo1[[#This Row],[CONTA]],BaseContasDRE[#All],7,FALSE)),"Fora do DRE",VLOOKUP(Base_Periodo1[[#This Row],[CONTA]],BaseContasDRE[#All],7,FALSE))</f>
        <v>IMPOSTOS SOBRE RECEITA</v>
      </c>
      <c r="V6153" s="3" t="str">
        <f>IF(Base_Periodo1[[#This Row],[Tipo_Linha]]="Fora do DRE","Fora do DRE","( "&amp;Base_Periodo1[[#This Row],[Tipo_Linha]]&amp;" ) "&amp;Base_Periodo1[[#This Row],[Filtro]])</f>
        <v>( - ) IMPOSTOS SOBRE RECEITA</v>
      </c>
      <c r="W6153" s="3" t="str">
        <f>LEFT(Base_Periodo1[[#This Row],[CLASS]],3)</f>
        <v>3.1</v>
      </c>
    </row>
    <row r="6154" spans="1:23">
      <c r="A6154" s="3" t="str">
        <f t="shared" si="96"/>
        <v>Período 1</v>
      </c>
      <c r="B6154">
        <v>40627</v>
      </c>
      <c r="C6154" t="s">
        <v>3781</v>
      </c>
      <c r="D6154" t="s">
        <v>3782</v>
      </c>
      <c r="E6154" s="3" t="str">
        <f>IF(LEN(Base_Periodo1[[#This Row],[CLASS]])&gt;=7,LEFT(Base_Periodo1[[#This Row],[CLASS]],7),"")</f>
        <v>3.1.1.2</v>
      </c>
      <c r="F6154" s="3" t="e">
        <f>VLOOKUP(Base_Periodo1[[#This Row],[Aux]],Base_Contas_Balanco[#All],2,FALSE)</f>
        <v>#N/A</v>
      </c>
      <c r="G6154" s="1">
        <v>42886</v>
      </c>
      <c r="H6154" s="225">
        <v>6404.4600000000501</v>
      </c>
      <c r="I6154" s="225">
        <v>7878.43</v>
      </c>
      <c r="J6154" s="225">
        <v>0</v>
      </c>
      <c r="K6154" s="225">
        <v>14282.89000000005</v>
      </c>
      <c r="L61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-14282.89</v>
      </c>
      <c r="M6154" s="225">
        <f>ROUND(IF(AND(Base_Periodo1[[#This Row],[Tipo_Linha]]="-",Base_Periodo1[[#This Row],[TIPOSALDO]]="D"),Base_Periodo1[[#This Row],[SALDO_ATUAL]]*-1,Base_Periodo1[[#This Row],[SALDO_ATUAL]]),4)</f>
        <v>-14282.89</v>
      </c>
      <c r="N6154" t="s">
        <v>116</v>
      </c>
      <c r="O6154" t="s">
        <v>397</v>
      </c>
      <c r="P6154" t="s">
        <v>397</v>
      </c>
      <c r="Q6154">
        <v>9</v>
      </c>
      <c r="R6154" s="282">
        <f>Base_Periodo1[[#This Row],[CREDITOS]]-Base_Periodo1[[#This Row],[DEBITOS]]</f>
        <v>-7878.43</v>
      </c>
      <c r="S6154" s="3" t="str">
        <f>IF(ISERROR(VLOOKUP(Base_Periodo1[[#This Row],[CONTA]],BaseContasDRE[#All],4,FALSE)),"Fora do DRE",VLOOKUP(Base_Periodo1[[#This Row],[CONTA]],BaseContasDRE[#All],4,FALSE))</f>
        <v>-</v>
      </c>
      <c r="T6154" s="3">
        <f>IF(ISERROR(VLOOKUP(Base_Periodo1[[#This Row],[CONTA]],BaseContasDRE[#All],5,FALSE)),"Fora do DRE",VLOOKUP(Base_Periodo1[[#This Row],[CONTA]],BaseContasDRE[#All],6,FALSE))</f>
        <v>2</v>
      </c>
      <c r="U6154" s="3" t="str">
        <f>IF(ISERROR(VLOOKUP(Base_Periodo1[[#This Row],[CONTA]],BaseContasDRE[#All],7,FALSE)),"Fora do DRE",VLOOKUP(Base_Periodo1[[#This Row],[CONTA]],BaseContasDRE[#All],7,FALSE))</f>
        <v>IMPOSTOS SOBRE RECEITA</v>
      </c>
      <c r="V6154" s="3" t="str">
        <f>IF(Base_Periodo1[[#This Row],[Tipo_Linha]]="Fora do DRE","Fora do DRE","( "&amp;Base_Periodo1[[#This Row],[Tipo_Linha]]&amp;" ) "&amp;Base_Periodo1[[#This Row],[Filtro]])</f>
        <v>( - ) IMPOSTOS SOBRE RECEITA</v>
      </c>
      <c r="W6154" s="3" t="str">
        <f>LEFT(Base_Periodo1[[#This Row],[CLASS]],3)</f>
        <v>3.1</v>
      </c>
    </row>
    <row r="6155" spans="1:23" hidden="1">
      <c r="A6155" s="3" t="str">
        <f t="shared" si="96"/>
        <v>Período 1</v>
      </c>
      <c r="B6155">
        <v>32047</v>
      </c>
      <c r="C6155" t="s">
        <v>3783</v>
      </c>
      <c r="D6155" t="s">
        <v>3784</v>
      </c>
      <c r="E6155" s="3" t="str">
        <f>IF(LEN(Base_Periodo1[[#This Row],[CLASS]])&gt;=7,LEFT(Base_Periodo1[[#This Row],[CLASS]],7),"")</f>
        <v>3.1.1.2</v>
      </c>
      <c r="F6155" s="3" t="e">
        <f>VLOOKUP(Base_Periodo1[[#This Row],[Aux]],Base_Contas_Balanco[#All],2,FALSE)</f>
        <v>#N/A</v>
      </c>
      <c r="G6155" s="1"/>
      <c r="H6155" s="225">
        <v>408764.4399999993</v>
      </c>
      <c r="I6155" s="225">
        <v>53612.35</v>
      </c>
      <c r="J6155" s="225">
        <v>610.28</v>
      </c>
      <c r="K6155" s="225">
        <v>461766.50999999925</v>
      </c>
      <c r="L61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-461766.51</v>
      </c>
      <c r="M6155" s="225">
        <f>ROUND(IF(AND(Base_Periodo1[[#This Row],[Tipo_Linha]]="-",Base_Periodo1[[#This Row],[TIPOSALDO]]="D"),Base_Periodo1[[#This Row],[SALDO_ATUAL]]*-1,Base_Periodo1[[#This Row],[SALDO_ATUAL]]),4)</f>
        <v>461766.51</v>
      </c>
      <c r="N6155" t="s">
        <v>396</v>
      </c>
      <c r="O6155" t="s">
        <v>397</v>
      </c>
      <c r="P6155" t="s">
        <v>397</v>
      </c>
      <c r="Q6155">
        <v>7</v>
      </c>
      <c r="R6155" s="282">
        <f>Base_Periodo1[[#This Row],[CREDITOS]]-Base_Periodo1[[#This Row],[DEBITOS]]</f>
        <v>-53002.07</v>
      </c>
      <c r="S6155" s="3" t="str">
        <f>IF(ISERROR(VLOOKUP(Base_Periodo1[[#This Row],[CONTA]],BaseContasDRE[#All],4,FALSE)),"Fora do DRE",VLOOKUP(Base_Periodo1[[#This Row],[CONTA]],BaseContasDRE[#All],4,FALSE))</f>
        <v>Fora do DRE</v>
      </c>
      <c r="T6155" s="3" t="str">
        <f>IF(ISERROR(VLOOKUP(Base_Periodo1[[#This Row],[CONTA]],BaseContasDRE[#All],5,FALSE)),"Fora do DRE",VLOOKUP(Base_Periodo1[[#This Row],[CONTA]],BaseContasDRE[#All],6,FALSE))</f>
        <v>Fora do DRE</v>
      </c>
      <c r="U6155" s="3" t="str">
        <f>IF(ISERROR(VLOOKUP(Base_Periodo1[[#This Row],[CONTA]],BaseContasDRE[#All],7,FALSE)),"Fora do DRE",VLOOKUP(Base_Periodo1[[#This Row],[CONTA]],BaseContasDRE[#All],7,FALSE))</f>
        <v>Fora do DRE</v>
      </c>
      <c r="V6155" s="3" t="str">
        <f>IF(Base_Periodo1[[#This Row],[Tipo_Linha]]="Fora do DRE","Fora do DRE","( "&amp;Base_Periodo1[[#This Row],[Tipo_Linha]]&amp;" ) "&amp;Base_Periodo1[[#This Row],[Filtro]])</f>
        <v>Fora do DRE</v>
      </c>
      <c r="W6155" s="3" t="str">
        <f>LEFT(Base_Periodo1[[#This Row],[CLASS]],3)</f>
        <v>3.1</v>
      </c>
    </row>
    <row r="6156" spans="1:23" hidden="1">
      <c r="A6156" s="3" t="str">
        <f t="shared" si="96"/>
        <v>Período 1</v>
      </c>
      <c r="B6156">
        <v>32049</v>
      </c>
      <c r="C6156" t="s">
        <v>3785</v>
      </c>
      <c r="D6156" t="s">
        <v>3786</v>
      </c>
      <c r="E6156" s="3" t="str">
        <f>IF(LEN(Base_Periodo1[[#This Row],[CLASS]])&gt;=7,LEFT(Base_Periodo1[[#This Row],[CLASS]],7),"")</f>
        <v>3.1.1.2</v>
      </c>
      <c r="F6156" s="3" t="e">
        <f>VLOOKUP(Base_Periodo1[[#This Row],[Aux]],Base_Contas_Balanco[#All],2,FALSE)</f>
        <v>#N/A</v>
      </c>
      <c r="G6156" s="1"/>
      <c r="H6156" s="225">
        <v>43598.910000000498</v>
      </c>
      <c r="I6156" s="225">
        <v>0</v>
      </c>
      <c r="J6156" s="225">
        <v>610.28</v>
      </c>
      <c r="K6156" s="225">
        <v>44209.190000000497</v>
      </c>
      <c r="L61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44209.19</v>
      </c>
      <c r="M6156" s="225">
        <f>ROUND(IF(AND(Base_Periodo1[[#This Row],[Tipo_Linha]]="-",Base_Periodo1[[#This Row],[TIPOSALDO]]="D"),Base_Periodo1[[#This Row],[SALDO_ATUAL]]*-1,Base_Periodo1[[#This Row],[SALDO_ATUAL]]),4)</f>
        <v>44209.19</v>
      </c>
      <c r="N6156" t="s">
        <v>396</v>
      </c>
      <c r="O6156" t="s">
        <v>459</v>
      </c>
      <c r="P6156" t="s">
        <v>459</v>
      </c>
      <c r="Q6156">
        <v>8</v>
      </c>
      <c r="R6156" s="282">
        <f>Base_Periodo1[[#This Row],[CREDITOS]]-Base_Periodo1[[#This Row],[DEBITOS]]</f>
        <v>610.28</v>
      </c>
      <c r="S6156" s="3" t="str">
        <f>IF(ISERROR(VLOOKUP(Base_Periodo1[[#This Row],[CONTA]],BaseContasDRE[#All],4,FALSE)),"Fora do DRE",VLOOKUP(Base_Periodo1[[#This Row],[CONTA]],BaseContasDRE[#All],4,FALSE))</f>
        <v>Fora do DRE</v>
      </c>
      <c r="T6156" s="3" t="str">
        <f>IF(ISERROR(VLOOKUP(Base_Periodo1[[#This Row],[CONTA]],BaseContasDRE[#All],5,FALSE)),"Fora do DRE",VLOOKUP(Base_Periodo1[[#This Row],[CONTA]],BaseContasDRE[#All],6,FALSE))</f>
        <v>Fora do DRE</v>
      </c>
      <c r="U6156" s="3" t="str">
        <f>IF(ISERROR(VLOOKUP(Base_Periodo1[[#This Row],[CONTA]],BaseContasDRE[#All],7,FALSE)),"Fora do DRE",VLOOKUP(Base_Periodo1[[#This Row],[CONTA]],BaseContasDRE[#All],7,FALSE))</f>
        <v>Fora do DRE</v>
      </c>
      <c r="V6156" s="3" t="str">
        <f>IF(Base_Periodo1[[#This Row],[Tipo_Linha]]="Fora do DRE","Fora do DRE","( "&amp;Base_Periodo1[[#This Row],[Tipo_Linha]]&amp;" ) "&amp;Base_Periodo1[[#This Row],[Filtro]])</f>
        <v>Fora do DRE</v>
      </c>
      <c r="W6156" s="3" t="str">
        <f>LEFT(Base_Periodo1[[#This Row],[CLASS]],3)</f>
        <v>3.1</v>
      </c>
    </row>
    <row r="6157" spans="1:23" hidden="1">
      <c r="A6157" s="3" t="str">
        <f t="shared" si="96"/>
        <v>Período 1</v>
      </c>
      <c r="B6157">
        <v>32050</v>
      </c>
      <c r="C6157" t="s">
        <v>3787</v>
      </c>
      <c r="D6157" t="s">
        <v>3788</v>
      </c>
      <c r="E6157" s="3" t="str">
        <f>IF(LEN(Base_Periodo1[[#This Row],[CLASS]])&gt;=7,LEFT(Base_Periodo1[[#This Row],[CLASS]],7),"")</f>
        <v>3.1.1.2</v>
      </c>
      <c r="F6157" s="3" t="e">
        <f>VLOOKUP(Base_Periodo1[[#This Row],[Aux]],Base_Contas_Balanco[#All],2,FALSE)</f>
        <v>#N/A</v>
      </c>
      <c r="G6157" s="1">
        <v>42879</v>
      </c>
      <c r="H6157" s="225">
        <v>43598.910000000498</v>
      </c>
      <c r="I6157" s="225">
        <v>0</v>
      </c>
      <c r="J6157" s="225">
        <v>610.28</v>
      </c>
      <c r="K6157" s="225">
        <v>44209.190000000497</v>
      </c>
      <c r="L61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44209.19</v>
      </c>
      <c r="M6157" s="225">
        <f>ROUND(IF(AND(Base_Periodo1[[#This Row],[Tipo_Linha]]="-",Base_Periodo1[[#This Row],[TIPOSALDO]]="D"),Base_Periodo1[[#This Row],[SALDO_ATUAL]]*-1,Base_Periodo1[[#This Row],[SALDO_ATUAL]]),4)</f>
        <v>44209.19</v>
      </c>
      <c r="N6157" t="s">
        <v>116</v>
      </c>
      <c r="O6157" t="s">
        <v>459</v>
      </c>
      <c r="P6157" t="s">
        <v>459</v>
      </c>
      <c r="Q6157">
        <v>9</v>
      </c>
      <c r="R6157" s="282">
        <f>Base_Periodo1[[#This Row],[CREDITOS]]-Base_Periodo1[[#This Row],[DEBITOS]]</f>
        <v>610.28</v>
      </c>
      <c r="S6157" s="3" t="str">
        <f>IF(ISERROR(VLOOKUP(Base_Periodo1[[#This Row],[CONTA]],BaseContasDRE[#All],4,FALSE)),"Fora do DRE",VLOOKUP(Base_Periodo1[[#This Row],[CONTA]],BaseContasDRE[#All],4,FALSE))</f>
        <v>+</v>
      </c>
      <c r="T6157" s="3">
        <f>IF(ISERROR(VLOOKUP(Base_Periodo1[[#This Row],[CONTA]],BaseContasDRE[#All],5,FALSE)),"Fora do DRE",VLOOKUP(Base_Periodo1[[#This Row],[CONTA]],BaseContasDRE[#All],6,FALSE))</f>
        <v>1</v>
      </c>
      <c r="U6157" s="3" t="str">
        <f>IF(ISERROR(VLOOKUP(Base_Periodo1[[#This Row],[CONTA]],BaseContasDRE[#All],7,FALSE)),"Fora do DRE",VLOOKUP(Base_Periodo1[[#This Row],[CONTA]],BaseContasDRE[#All],7,FALSE))</f>
        <v>SERVIÇOS PRESTADOS</v>
      </c>
      <c r="V6157" s="3" t="str">
        <f>IF(Base_Periodo1[[#This Row],[Tipo_Linha]]="Fora do DRE","Fora do DRE","( "&amp;Base_Periodo1[[#This Row],[Tipo_Linha]]&amp;" ) "&amp;Base_Periodo1[[#This Row],[Filtro]])</f>
        <v>( + ) SERVIÇOS PRESTADOS</v>
      </c>
      <c r="W6157" s="3" t="str">
        <f>LEFT(Base_Periodo1[[#This Row],[CLASS]],3)</f>
        <v>3.1</v>
      </c>
    </row>
    <row r="6158" spans="1:23" hidden="1">
      <c r="A6158" s="3" t="str">
        <f t="shared" si="96"/>
        <v>Período 1</v>
      </c>
      <c r="B6158">
        <v>32051</v>
      </c>
      <c r="C6158" t="s">
        <v>3789</v>
      </c>
      <c r="D6158" t="s">
        <v>3565</v>
      </c>
      <c r="E6158" s="3" t="str">
        <f>IF(LEN(Base_Periodo1[[#This Row],[CLASS]])&gt;=7,LEFT(Base_Periodo1[[#This Row],[CLASS]],7),"")</f>
        <v>3.1.1.2</v>
      </c>
      <c r="F6158" s="3" t="e">
        <f>VLOOKUP(Base_Periodo1[[#This Row],[Aux]],Base_Contas_Balanco[#All],2,FALSE)</f>
        <v>#N/A</v>
      </c>
      <c r="G6158" s="1"/>
      <c r="H6158" s="225">
        <v>1570.0900000000074</v>
      </c>
      <c r="I6158" s="225">
        <v>68.64</v>
      </c>
      <c r="J6158" s="225">
        <v>0</v>
      </c>
      <c r="K6158" s="225">
        <v>1638.7300000000075</v>
      </c>
      <c r="L61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-1638.73</v>
      </c>
      <c r="M6158" s="225">
        <f>ROUND(IF(AND(Base_Periodo1[[#This Row],[Tipo_Linha]]="-",Base_Periodo1[[#This Row],[TIPOSALDO]]="D"),Base_Periodo1[[#This Row],[SALDO_ATUAL]]*-1,Base_Periodo1[[#This Row],[SALDO_ATUAL]]),4)</f>
        <v>1638.73</v>
      </c>
      <c r="N6158" t="s">
        <v>396</v>
      </c>
      <c r="O6158" t="s">
        <v>397</v>
      </c>
      <c r="P6158" t="s">
        <v>397</v>
      </c>
      <c r="Q6158">
        <v>8</v>
      </c>
      <c r="R6158" s="282">
        <f>Base_Periodo1[[#This Row],[CREDITOS]]-Base_Periodo1[[#This Row],[DEBITOS]]</f>
        <v>-68.64</v>
      </c>
      <c r="S6158" s="3" t="str">
        <f>IF(ISERROR(VLOOKUP(Base_Periodo1[[#This Row],[CONTA]],BaseContasDRE[#All],4,FALSE)),"Fora do DRE",VLOOKUP(Base_Periodo1[[#This Row],[CONTA]],BaseContasDRE[#All],4,FALSE))</f>
        <v>Fora do DRE</v>
      </c>
      <c r="T6158" s="3" t="str">
        <f>IF(ISERROR(VLOOKUP(Base_Periodo1[[#This Row],[CONTA]],BaseContasDRE[#All],5,FALSE)),"Fora do DRE",VLOOKUP(Base_Periodo1[[#This Row],[CONTA]],BaseContasDRE[#All],6,FALSE))</f>
        <v>Fora do DRE</v>
      </c>
      <c r="U6158" s="3" t="str">
        <f>IF(ISERROR(VLOOKUP(Base_Periodo1[[#This Row],[CONTA]],BaseContasDRE[#All],7,FALSE)),"Fora do DRE",VLOOKUP(Base_Periodo1[[#This Row],[CONTA]],BaseContasDRE[#All],7,FALSE))</f>
        <v>Fora do DRE</v>
      </c>
      <c r="V6158" s="3" t="str">
        <f>IF(Base_Periodo1[[#This Row],[Tipo_Linha]]="Fora do DRE","Fora do DRE","( "&amp;Base_Periodo1[[#This Row],[Tipo_Linha]]&amp;" ) "&amp;Base_Periodo1[[#This Row],[Filtro]])</f>
        <v>Fora do DRE</v>
      </c>
      <c r="W6158" s="3" t="str">
        <f>LEFT(Base_Periodo1[[#This Row],[CLASS]],3)</f>
        <v>3.1</v>
      </c>
    </row>
    <row r="6159" spans="1:23" hidden="1">
      <c r="A6159" s="3" t="str">
        <f t="shared" si="96"/>
        <v>Período 1</v>
      </c>
      <c r="B6159">
        <v>32052</v>
      </c>
      <c r="C6159" t="s">
        <v>3790</v>
      </c>
      <c r="D6159" t="s">
        <v>3772</v>
      </c>
      <c r="E6159" s="3" t="str">
        <f>IF(LEN(Base_Periodo1[[#This Row],[CLASS]])&gt;=7,LEFT(Base_Periodo1[[#This Row],[CLASS]],7),"")</f>
        <v>3.1.1.2</v>
      </c>
      <c r="F6159" s="3" t="e">
        <f>VLOOKUP(Base_Periodo1[[#This Row],[Aux]],Base_Contas_Balanco[#All],2,FALSE)</f>
        <v>#N/A</v>
      </c>
      <c r="G6159" s="1">
        <v>42879</v>
      </c>
      <c r="H6159" s="225">
        <v>1397.8599999999897</v>
      </c>
      <c r="I6159" s="225">
        <v>12.2</v>
      </c>
      <c r="J6159" s="225">
        <v>0</v>
      </c>
      <c r="K6159" s="225">
        <v>1410.0599999999897</v>
      </c>
      <c r="L61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-1410.06</v>
      </c>
      <c r="M6159" s="225">
        <f>ROUND(IF(AND(Base_Periodo1[[#This Row],[Tipo_Linha]]="-",Base_Periodo1[[#This Row],[TIPOSALDO]]="D"),Base_Periodo1[[#This Row],[SALDO_ATUAL]]*-1,Base_Periodo1[[#This Row],[SALDO_ATUAL]]),4)</f>
        <v>-1410.06</v>
      </c>
      <c r="N6159" t="s">
        <v>116</v>
      </c>
      <c r="O6159" t="s">
        <v>397</v>
      </c>
      <c r="P6159" t="s">
        <v>397</v>
      </c>
      <c r="Q6159">
        <v>9</v>
      </c>
      <c r="R6159" s="282">
        <f>Base_Periodo1[[#This Row],[CREDITOS]]-Base_Periodo1[[#This Row],[DEBITOS]]</f>
        <v>-12.2</v>
      </c>
      <c r="S6159" s="3" t="str">
        <f>IF(ISERROR(VLOOKUP(Base_Periodo1[[#This Row],[CONTA]],BaseContasDRE[#All],4,FALSE)),"Fora do DRE",VLOOKUP(Base_Periodo1[[#This Row],[CONTA]],BaseContasDRE[#All],4,FALSE))</f>
        <v>-</v>
      </c>
      <c r="T6159" s="3">
        <f>IF(ISERROR(VLOOKUP(Base_Periodo1[[#This Row],[CONTA]],BaseContasDRE[#All],5,FALSE)),"Fora do DRE",VLOOKUP(Base_Periodo1[[#This Row],[CONTA]],BaseContasDRE[#All],6,FALSE))</f>
        <v>2</v>
      </c>
      <c r="U6159" s="3" t="str">
        <f>IF(ISERROR(VLOOKUP(Base_Periodo1[[#This Row],[CONTA]],BaseContasDRE[#All],7,FALSE)),"Fora do DRE",VLOOKUP(Base_Periodo1[[#This Row],[CONTA]],BaseContasDRE[#All],7,FALSE))</f>
        <v>IMPOSTOS SOBRE SERVIÇOS PRESTADOS</v>
      </c>
      <c r="V6159" s="3" t="str">
        <f>IF(Base_Periodo1[[#This Row],[Tipo_Linha]]="Fora do DRE","Fora do DRE","( "&amp;Base_Periodo1[[#This Row],[Tipo_Linha]]&amp;" ) "&amp;Base_Periodo1[[#This Row],[Filtro]])</f>
        <v>( - ) IMPOSTOS SOBRE SERVIÇOS PRESTADOS</v>
      </c>
      <c r="W6159" s="3" t="str">
        <f>LEFT(Base_Periodo1[[#This Row],[CLASS]],3)</f>
        <v>3.1</v>
      </c>
    </row>
    <row r="6160" spans="1:23">
      <c r="A6160" s="3" t="str">
        <f t="shared" si="96"/>
        <v>Período 1</v>
      </c>
      <c r="B6160">
        <v>48155</v>
      </c>
      <c r="C6160" t="s">
        <v>4799</v>
      </c>
      <c r="D6160" t="s">
        <v>3780</v>
      </c>
      <c r="E6160" s="3" t="str">
        <f>IF(LEN(Base_Periodo1[[#This Row],[CLASS]])&gt;=7,LEFT(Base_Periodo1[[#This Row],[CLASS]],7),"")</f>
        <v>3.1.1.2</v>
      </c>
      <c r="F6160" s="3" t="e">
        <f>VLOOKUP(Base_Periodo1[[#This Row],[Aux]],Base_Contas_Balanco[#All],2,FALSE)</f>
        <v>#N/A</v>
      </c>
      <c r="G6160" s="1">
        <v>42879</v>
      </c>
      <c r="H6160" s="225">
        <v>30.729999999995925</v>
      </c>
      <c r="I6160" s="225">
        <v>10.06</v>
      </c>
      <c r="J6160" s="225">
        <v>0</v>
      </c>
      <c r="K6160" s="225">
        <v>40.789999999995928</v>
      </c>
      <c r="L61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-40.79</v>
      </c>
      <c r="M6160" s="225">
        <f>ROUND(IF(AND(Base_Periodo1[[#This Row],[Tipo_Linha]]="-",Base_Periodo1[[#This Row],[TIPOSALDO]]="D"),Base_Periodo1[[#This Row],[SALDO_ATUAL]]*-1,Base_Periodo1[[#This Row],[SALDO_ATUAL]]),4)</f>
        <v>-40.79</v>
      </c>
      <c r="N6160" t="s">
        <v>116</v>
      </c>
      <c r="O6160" t="s">
        <v>397</v>
      </c>
      <c r="P6160" t="s">
        <v>397</v>
      </c>
      <c r="Q6160">
        <v>9</v>
      </c>
      <c r="R6160" s="282">
        <f>Base_Periodo1[[#This Row],[CREDITOS]]-Base_Periodo1[[#This Row],[DEBITOS]]</f>
        <v>-10.06</v>
      </c>
      <c r="S6160" s="3" t="str">
        <f>IF(ISERROR(VLOOKUP(Base_Periodo1[[#This Row],[CONTA]],BaseContasDRE[#All],4,FALSE)),"Fora do DRE",VLOOKUP(Base_Periodo1[[#This Row],[CONTA]],BaseContasDRE[#All],4,FALSE))</f>
        <v>-</v>
      </c>
      <c r="T6160" s="3">
        <f>IF(ISERROR(VLOOKUP(Base_Periodo1[[#This Row],[CONTA]],BaseContasDRE[#All],5,FALSE)),"Fora do DRE",VLOOKUP(Base_Periodo1[[#This Row],[CONTA]],BaseContasDRE[#All],6,FALSE))</f>
        <v>2</v>
      </c>
      <c r="U6160" s="3" t="str">
        <f>IF(ISERROR(VLOOKUP(Base_Periodo1[[#This Row],[CONTA]],BaseContasDRE[#All],7,FALSE)),"Fora do DRE",VLOOKUP(Base_Periodo1[[#This Row],[CONTA]],BaseContasDRE[#All],7,FALSE))</f>
        <v>IMPOSTOS SOBRE RECEITA</v>
      </c>
      <c r="V6160" s="3" t="str">
        <f>IF(Base_Periodo1[[#This Row],[Tipo_Linha]]="Fora do DRE","Fora do DRE","( "&amp;Base_Periodo1[[#This Row],[Tipo_Linha]]&amp;" ) "&amp;Base_Periodo1[[#This Row],[Filtro]])</f>
        <v>( - ) IMPOSTOS SOBRE RECEITA</v>
      </c>
      <c r="W6160" s="3" t="str">
        <f>LEFT(Base_Periodo1[[#This Row],[CLASS]],3)</f>
        <v>3.1</v>
      </c>
    </row>
    <row r="6161" spans="1:23">
      <c r="A6161" s="3" t="str">
        <f t="shared" si="96"/>
        <v>Período 1</v>
      </c>
      <c r="B6161">
        <v>48156</v>
      </c>
      <c r="C6161" t="s">
        <v>4800</v>
      </c>
      <c r="D6161" t="s">
        <v>3782</v>
      </c>
      <c r="E6161" s="3" t="str">
        <f>IF(LEN(Base_Periodo1[[#This Row],[CLASS]])&gt;=7,LEFT(Base_Periodo1[[#This Row],[CLASS]],7),"")</f>
        <v>3.1.1.2</v>
      </c>
      <c r="F6161" s="3" t="e">
        <f>VLOOKUP(Base_Periodo1[[#This Row],[Aux]],Base_Contas_Balanco[#All],2,FALSE)</f>
        <v>#N/A</v>
      </c>
      <c r="G6161" s="1">
        <v>42879</v>
      </c>
      <c r="H6161" s="225">
        <v>141.50000000002183</v>
      </c>
      <c r="I6161" s="225">
        <v>46.38</v>
      </c>
      <c r="J6161" s="225">
        <v>0</v>
      </c>
      <c r="K6161" s="225">
        <v>187.88000000002182</v>
      </c>
      <c r="L61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-187.88</v>
      </c>
      <c r="M6161" s="225">
        <f>ROUND(IF(AND(Base_Periodo1[[#This Row],[Tipo_Linha]]="-",Base_Periodo1[[#This Row],[TIPOSALDO]]="D"),Base_Periodo1[[#This Row],[SALDO_ATUAL]]*-1,Base_Periodo1[[#This Row],[SALDO_ATUAL]]),4)</f>
        <v>-187.88</v>
      </c>
      <c r="N6161" t="s">
        <v>116</v>
      </c>
      <c r="O6161" t="s">
        <v>397</v>
      </c>
      <c r="P6161" t="s">
        <v>397</v>
      </c>
      <c r="Q6161">
        <v>9</v>
      </c>
      <c r="R6161" s="282">
        <f>Base_Periodo1[[#This Row],[CREDITOS]]-Base_Periodo1[[#This Row],[DEBITOS]]</f>
        <v>-46.38</v>
      </c>
      <c r="S6161" s="3" t="str">
        <f>IF(ISERROR(VLOOKUP(Base_Periodo1[[#This Row],[CONTA]],BaseContasDRE[#All],4,FALSE)),"Fora do DRE",VLOOKUP(Base_Periodo1[[#This Row],[CONTA]],BaseContasDRE[#All],4,FALSE))</f>
        <v>-</v>
      </c>
      <c r="T6161" s="3">
        <f>IF(ISERROR(VLOOKUP(Base_Periodo1[[#This Row],[CONTA]],BaseContasDRE[#All],5,FALSE)),"Fora do DRE",VLOOKUP(Base_Periodo1[[#This Row],[CONTA]],BaseContasDRE[#All],6,FALSE))</f>
        <v>2</v>
      </c>
      <c r="U6161" s="3" t="str">
        <f>IF(ISERROR(VLOOKUP(Base_Periodo1[[#This Row],[CONTA]],BaseContasDRE[#All],7,FALSE)),"Fora do DRE",VLOOKUP(Base_Periodo1[[#This Row],[CONTA]],BaseContasDRE[#All],7,FALSE))</f>
        <v>IMPOSTOS SOBRE RECEITA</v>
      </c>
      <c r="V6161" s="3" t="str">
        <f>IF(Base_Periodo1[[#This Row],[Tipo_Linha]]="Fora do DRE","Fora do DRE","( "&amp;Base_Periodo1[[#This Row],[Tipo_Linha]]&amp;" ) "&amp;Base_Periodo1[[#This Row],[Filtro]])</f>
        <v>( - ) IMPOSTOS SOBRE RECEITA</v>
      </c>
      <c r="W6161" s="3" t="str">
        <f>LEFT(Base_Periodo1[[#This Row],[CLASS]],3)</f>
        <v>3.1</v>
      </c>
    </row>
    <row r="6162" spans="1:23" hidden="1">
      <c r="A6162" s="3" t="str">
        <f t="shared" si="96"/>
        <v>Período 1</v>
      </c>
      <c r="B6162">
        <v>33869</v>
      </c>
      <c r="C6162" t="s">
        <v>4556</v>
      </c>
      <c r="D6162" t="s">
        <v>4557</v>
      </c>
      <c r="E6162" s="3" t="str">
        <f>IF(LEN(Base_Periodo1[[#This Row],[CLASS]])&gt;=7,LEFT(Base_Periodo1[[#This Row],[CLASS]],7),"")</f>
        <v>3.1.1.2</v>
      </c>
      <c r="F6162" s="3" t="e">
        <f>VLOOKUP(Base_Periodo1[[#This Row],[Aux]],Base_Contas_Balanco[#All],2,FALSE)</f>
        <v>#N/A</v>
      </c>
      <c r="G6162" s="1"/>
      <c r="H6162" s="225">
        <v>450793.25999999978</v>
      </c>
      <c r="I6162" s="225">
        <v>53543.71</v>
      </c>
      <c r="J6162" s="225">
        <v>0</v>
      </c>
      <c r="K6162" s="225">
        <v>504336.9699999998</v>
      </c>
      <c r="L61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-504336.97</v>
      </c>
      <c r="M6162" s="225">
        <f>ROUND(IF(AND(Base_Periodo1[[#This Row],[Tipo_Linha]]="-",Base_Periodo1[[#This Row],[TIPOSALDO]]="D"),Base_Periodo1[[#This Row],[SALDO_ATUAL]]*-1,Base_Periodo1[[#This Row],[SALDO_ATUAL]]),4)</f>
        <v>504336.97</v>
      </c>
      <c r="N6162" t="s">
        <v>396</v>
      </c>
      <c r="O6162" t="s">
        <v>397</v>
      </c>
      <c r="P6162" t="s">
        <v>397</v>
      </c>
      <c r="Q6162">
        <v>8</v>
      </c>
      <c r="R6162" s="282">
        <f>Base_Periodo1[[#This Row],[CREDITOS]]-Base_Periodo1[[#This Row],[DEBITOS]]</f>
        <v>-53543.71</v>
      </c>
      <c r="S6162" s="3" t="str">
        <f>IF(ISERROR(VLOOKUP(Base_Periodo1[[#This Row],[CONTA]],BaseContasDRE[#All],4,FALSE)),"Fora do DRE",VLOOKUP(Base_Periodo1[[#This Row],[CONTA]],BaseContasDRE[#All],4,FALSE))</f>
        <v>Fora do DRE</v>
      </c>
      <c r="T6162" s="3" t="str">
        <f>IF(ISERROR(VLOOKUP(Base_Periodo1[[#This Row],[CONTA]],BaseContasDRE[#All],5,FALSE)),"Fora do DRE",VLOOKUP(Base_Periodo1[[#This Row],[CONTA]],BaseContasDRE[#All],6,FALSE))</f>
        <v>Fora do DRE</v>
      </c>
      <c r="U6162" s="3" t="str">
        <f>IF(ISERROR(VLOOKUP(Base_Periodo1[[#This Row],[CONTA]],BaseContasDRE[#All],7,FALSE)),"Fora do DRE",VLOOKUP(Base_Periodo1[[#This Row],[CONTA]],BaseContasDRE[#All],7,FALSE))</f>
        <v>Fora do DRE</v>
      </c>
      <c r="V6162" s="3" t="str">
        <f>IF(Base_Periodo1[[#This Row],[Tipo_Linha]]="Fora do DRE","Fora do DRE","( "&amp;Base_Periodo1[[#This Row],[Tipo_Linha]]&amp;" ) "&amp;Base_Periodo1[[#This Row],[Filtro]])</f>
        <v>Fora do DRE</v>
      </c>
      <c r="W6162" s="3" t="str">
        <f>LEFT(Base_Periodo1[[#This Row],[CLASS]],3)</f>
        <v>3.1</v>
      </c>
    </row>
    <row r="6163" spans="1:23" hidden="1">
      <c r="A6163" s="3" t="str">
        <f t="shared" si="96"/>
        <v>Período 1</v>
      </c>
      <c r="B6163">
        <v>33870</v>
      </c>
      <c r="C6163" t="s">
        <v>4558</v>
      </c>
      <c r="D6163" t="s">
        <v>4559</v>
      </c>
      <c r="E6163" s="3" t="str">
        <f>IF(LEN(Base_Periodo1[[#This Row],[CLASS]])&gt;=7,LEFT(Base_Periodo1[[#This Row],[CLASS]],7),"")</f>
        <v>3.1.1.2</v>
      </c>
      <c r="F6163" s="3" t="e">
        <f>VLOOKUP(Base_Periodo1[[#This Row],[Aux]],Base_Contas_Balanco[#All],2,FALSE)</f>
        <v>#N/A</v>
      </c>
      <c r="G6163" s="1">
        <v>42886</v>
      </c>
      <c r="H6163" s="225">
        <v>450793.25999999978</v>
      </c>
      <c r="I6163" s="225">
        <v>53543.71</v>
      </c>
      <c r="J6163" s="225">
        <v>0</v>
      </c>
      <c r="K6163" s="225">
        <v>504336.9699999998</v>
      </c>
      <c r="L61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-504336.97</v>
      </c>
      <c r="M6163" s="225">
        <f>ROUND(IF(AND(Base_Periodo1[[#This Row],[Tipo_Linha]]="-",Base_Periodo1[[#This Row],[TIPOSALDO]]="D"),Base_Periodo1[[#This Row],[SALDO_ATUAL]]*-1,Base_Periodo1[[#This Row],[SALDO_ATUAL]]),4)</f>
        <v>-504336.97</v>
      </c>
      <c r="N6163" t="s">
        <v>116</v>
      </c>
      <c r="O6163" t="s">
        <v>397</v>
      </c>
      <c r="P6163" t="s">
        <v>397</v>
      </c>
      <c r="Q6163">
        <v>9</v>
      </c>
      <c r="R6163" s="282">
        <f>Base_Periodo1[[#This Row],[CREDITOS]]-Base_Periodo1[[#This Row],[DEBITOS]]</f>
        <v>-53543.71</v>
      </c>
      <c r="S6163" s="3" t="str">
        <f>IF(ISERROR(VLOOKUP(Base_Periodo1[[#This Row],[CONTA]],BaseContasDRE[#All],4,FALSE)),"Fora do DRE",VLOOKUP(Base_Periodo1[[#This Row],[CONTA]],BaseContasDRE[#All],4,FALSE))</f>
        <v>-</v>
      </c>
      <c r="T6163" s="3">
        <f>IF(ISERROR(VLOOKUP(Base_Periodo1[[#This Row],[CONTA]],BaseContasDRE[#All],5,FALSE)),"Fora do DRE",VLOOKUP(Base_Periodo1[[#This Row],[CONTA]],BaseContasDRE[#All],6,FALSE))</f>
        <v>3</v>
      </c>
      <c r="U6163" s="3" t="str">
        <f>IF(ISERROR(VLOOKUP(Base_Periodo1[[#This Row],[CONTA]],BaseContasDRE[#All],7,FALSE)),"Fora do DRE",VLOOKUP(Base_Periodo1[[#This Row],[CONTA]],BaseContasDRE[#All],7,FALSE))</f>
        <v>SERVIÇOS PRESTADOS</v>
      </c>
      <c r="V6163" s="3" t="str">
        <f>IF(Base_Periodo1[[#This Row],[Tipo_Linha]]="Fora do DRE","Fora do DRE","( "&amp;Base_Periodo1[[#This Row],[Tipo_Linha]]&amp;" ) "&amp;Base_Periodo1[[#This Row],[Filtro]])</f>
        <v>( - ) SERVIÇOS PRESTADOS</v>
      </c>
      <c r="W6163" s="3" t="str">
        <f>LEFT(Base_Periodo1[[#This Row],[CLASS]],3)</f>
        <v>3.1</v>
      </c>
    </row>
    <row r="6164" spans="1:23" hidden="1">
      <c r="A6164" s="3" t="str">
        <f t="shared" si="96"/>
        <v>Período 1</v>
      </c>
      <c r="B6164">
        <v>6127</v>
      </c>
      <c r="C6164" t="s">
        <v>3791</v>
      </c>
      <c r="D6164" t="s">
        <v>3792</v>
      </c>
      <c r="E6164" s="3" t="str">
        <f>IF(LEN(Base_Periodo1[[#This Row],[CLASS]])&gt;=7,LEFT(Base_Periodo1[[#This Row],[CLASS]],7),"")</f>
        <v>3.1.1.3</v>
      </c>
      <c r="F6164" s="3" t="e">
        <f>VLOOKUP(Base_Periodo1[[#This Row],[Aux]],Base_Contas_Balanco[#All],2,FALSE)</f>
        <v>#N/A</v>
      </c>
      <c r="G6164" s="1"/>
      <c r="H6164" s="225">
        <v>21333987.749999627</v>
      </c>
      <c r="I6164" s="225">
        <v>8249052.3599999985</v>
      </c>
      <c r="J6164" s="225">
        <v>3457161.5100000002</v>
      </c>
      <c r="K6164" s="225">
        <v>26125878.599999625</v>
      </c>
      <c r="L61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-26125878.600000001</v>
      </c>
      <c r="M6164" s="225">
        <f>ROUND(IF(AND(Base_Periodo1[[#This Row],[Tipo_Linha]]="-",Base_Periodo1[[#This Row],[TIPOSALDO]]="D"),Base_Periodo1[[#This Row],[SALDO_ATUAL]]*-1,Base_Periodo1[[#This Row],[SALDO_ATUAL]]),4)</f>
        <v>26125878.600000001</v>
      </c>
      <c r="N6164" t="s">
        <v>396</v>
      </c>
      <c r="O6164" t="s">
        <v>397</v>
      </c>
      <c r="P6164" t="s">
        <v>397</v>
      </c>
      <c r="Q6164">
        <v>4</v>
      </c>
      <c r="R6164" s="282">
        <f>Base_Periodo1[[#This Row],[CREDITOS]]-Base_Periodo1[[#This Row],[DEBITOS]]</f>
        <v>-4791890.8499999978</v>
      </c>
      <c r="S6164" s="3" t="str">
        <f>IF(ISERROR(VLOOKUP(Base_Periodo1[[#This Row],[CONTA]],BaseContasDRE[#All],4,FALSE)),"Fora do DRE",VLOOKUP(Base_Periodo1[[#This Row],[CONTA]],BaseContasDRE[#All],4,FALSE))</f>
        <v>Fora do DRE</v>
      </c>
      <c r="T6164" s="3" t="str">
        <f>IF(ISERROR(VLOOKUP(Base_Periodo1[[#This Row],[CONTA]],BaseContasDRE[#All],5,FALSE)),"Fora do DRE",VLOOKUP(Base_Periodo1[[#This Row],[CONTA]],BaseContasDRE[#All],6,FALSE))</f>
        <v>Fora do DRE</v>
      </c>
      <c r="U6164" s="3" t="str">
        <f>IF(ISERROR(VLOOKUP(Base_Periodo1[[#This Row],[CONTA]],BaseContasDRE[#All],7,FALSE)),"Fora do DRE",VLOOKUP(Base_Periodo1[[#This Row],[CONTA]],BaseContasDRE[#All],7,FALSE))</f>
        <v>Fora do DRE</v>
      </c>
      <c r="V6164" s="3" t="str">
        <f>IF(Base_Periodo1[[#This Row],[Tipo_Linha]]="Fora do DRE","Fora do DRE","( "&amp;Base_Periodo1[[#This Row],[Tipo_Linha]]&amp;" ) "&amp;Base_Periodo1[[#This Row],[Filtro]])</f>
        <v>Fora do DRE</v>
      </c>
      <c r="W6164" s="3" t="str">
        <f>LEFT(Base_Periodo1[[#This Row],[CLASS]],3)</f>
        <v>3.1</v>
      </c>
    </row>
    <row r="6165" spans="1:23" hidden="1">
      <c r="A6165" s="3" t="str">
        <f t="shared" si="96"/>
        <v>Período 1</v>
      </c>
      <c r="B6165">
        <v>6128</v>
      </c>
      <c r="C6165" t="s">
        <v>3793</v>
      </c>
      <c r="D6165" t="s">
        <v>3794</v>
      </c>
      <c r="E6165" s="3" t="str">
        <f>IF(LEN(Base_Periodo1[[#This Row],[CLASS]])&gt;=7,LEFT(Base_Periodo1[[#This Row],[CLASS]],7),"")</f>
        <v>3.1.1.3</v>
      </c>
      <c r="F6165" s="3" t="e">
        <f>VLOOKUP(Base_Periodo1[[#This Row],[Aux]],Base_Contas_Balanco[#All],2,FALSE)</f>
        <v>#N/A</v>
      </c>
      <c r="G6165" s="1"/>
      <c r="H6165" s="225">
        <v>21333987.749999627</v>
      </c>
      <c r="I6165" s="225">
        <v>8249052.3599999985</v>
      </c>
      <c r="J6165" s="225">
        <v>3457161.5100000002</v>
      </c>
      <c r="K6165" s="225">
        <v>26125878.599999625</v>
      </c>
      <c r="L61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-26125878.600000001</v>
      </c>
      <c r="M6165" s="225">
        <f>ROUND(IF(AND(Base_Periodo1[[#This Row],[Tipo_Linha]]="-",Base_Periodo1[[#This Row],[TIPOSALDO]]="D"),Base_Periodo1[[#This Row],[SALDO_ATUAL]]*-1,Base_Periodo1[[#This Row],[SALDO_ATUAL]]),4)</f>
        <v>26125878.600000001</v>
      </c>
      <c r="N6165" t="s">
        <v>396</v>
      </c>
      <c r="O6165" t="s">
        <v>397</v>
      </c>
      <c r="P6165" t="s">
        <v>397</v>
      </c>
      <c r="Q6165">
        <v>5</v>
      </c>
      <c r="R6165" s="282">
        <f>Base_Periodo1[[#This Row],[CREDITOS]]-Base_Periodo1[[#This Row],[DEBITOS]]</f>
        <v>-4791890.8499999978</v>
      </c>
      <c r="S6165" s="3" t="str">
        <f>IF(ISERROR(VLOOKUP(Base_Periodo1[[#This Row],[CONTA]],BaseContasDRE[#All],4,FALSE)),"Fora do DRE",VLOOKUP(Base_Periodo1[[#This Row],[CONTA]],BaseContasDRE[#All],4,FALSE))</f>
        <v>Fora do DRE</v>
      </c>
      <c r="T6165" s="3" t="str">
        <f>IF(ISERROR(VLOOKUP(Base_Periodo1[[#This Row],[CONTA]],BaseContasDRE[#All],5,FALSE)),"Fora do DRE",VLOOKUP(Base_Periodo1[[#This Row],[CONTA]],BaseContasDRE[#All],6,FALSE))</f>
        <v>Fora do DRE</v>
      </c>
      <c r="U6165" s="3" t="str">
        <f>IF(ISERROR(VLOOKUP(Base_Periodo1[[#This Row],[CONTA]],BaseContasDRE[#All],7,FALSE)),"Fora do DRE",VLOOKUP(Base_Periodo1[[#This Row],[CONTA]],BaseContasDRE[#All],7,FALSE))</f>
        <v>Fora do DRE</v>
      </c>
      <c r="V6165" s="3" t="str">
        <f>IF(Base_Periodo1[[#This Row],[Tipo_Linha]]="Fora do DRE","Fora do DRE","( "&amp;Base_Periodo1[[#This Row],[Tipo_Linha]]&amp;" ) "&amp;Base_Periodo1[[#This Row],[Filtro]])</f>
        <v>Fora do DRE</v>
      </c>
      <c r="W6165" s="3" t="str">
        <f>LEFT(Base_Periodo1[[#This Row],[CLASS]],3)</f>
        <v>3.1</v>
      </c>
    </row>
    <row r="6166" spans="1:23" hidden="1">
      <c r="A6166" s="3" t="str">
        <f t="shared" si="96"/>
        <v>Período 1</v>
      </c>
      <c r="B6166">
        <v>6129</v>
      </c>
      <c r="C6166" t="s">
        <v>3795</v>
      </c>
      <c r="D6166" t="s">
        <v>3796</v>
      </c>
      <c r="E6166" s="3" t="str">
        <f>IF(LEN(Base_Periodo1[[#This Row],[CLASS]])&gt;=7,LEFT(Base_Periodo1[[#This Row],[CLASS]],7),"")</f>
        <v>3.1.1.3</v>
      </c>
      <c r="F6166" s="3" t="e">
        <f>VLOOKUP(Base_Periodo1[[#This Row],[Aux]],Base_Contas_Balanco[#All],2,FALSE)</f>
        <v>#N/A</v>
      </c>
      <c r="G6166" s="1"/>
      <c r="H6166" s="225">
        <v>21333987.749999627</v>
      </c>
      <c r="I6166" s="225">
        <v>8249052.3599999985</v>
      </c>
      <c r="J6166" s="225">
        <v>3457161.5100000002</v>
      </c>
      <c r="K6166" s="225">
        <v>26125878.599999625</v>
      </c>
      <c r="L61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-26125878.600000001</v>
      </c>
      <c r="M6166" s="225">
        <f>ROUND(IF(AND(Base_Periodo1[[#This Row],[Tipo_Linha]]="-",Base_Periodo1[[#This Row],[TIPOSALDO]]="D"),Base_Periodo1[[#This Row],[SALDO_ATUAL]]*-1,Base_Periodo1[[#This Row],[SALDO_ATUAL]]),4)</f>
        <v>26125878.600000001</v>
      </c>
      <c r="N6166" t="s">
        <v>396</v>
      </c>
      <c r="O6166" t="s">
        <v>397</v>
      </c>
      <c r="P6166" t="s">
        <v>397</v>
      </c>
      <c r="Q6166">
        <v>6</v>
      </c>
      <c r="R6166" s="282">
        <f>Base_Periodo1[[#This Row],[CREDITOS]]-Base_Periodo1[[#This Row],[DEBITOS]]</f>
        <v>-4791890.8499999978</v>
      </c>
      <c r="S6166" s="3" t="str">
        <f>IF(ISERROR(VLOOKUP(Base_Periodo1[[#This Row],[CONTA]],BaseContasDRE[#All],4,FALSE)),"Fora do DRE",VLOOKUP(Base_Periodo1[[#This Row],[CONTA]],BaseContasDRE[#All],4,FALSE))</f>
        <v>Fora do DRE</v>
      </c>
      <c r="T6166" s="3" t="str">
        <f>IF(ISERROR(VLOOKUP(Base_Periodo1[[#This Row],[CONTA]],BaseContasDRE[#All],5,FALSE)),"Fora do DRE",VLOOKUP(Base_Periodo1[[#This Row],[CONTA]],BaseContasDRE[#All],6,FALSE))</f>
        <v>Fora do DRE</v>
      </c>
      <c r="U6166" s="3" t="str">
        <f>IF(ISERROR(VLOOKUP(Base_Periodo1[[#This Row],[CONTA]],BaseContasDRE[#All],7,FALSE)),"Fora do DRE",VLOOKUP(Base_Periodo1[[#This Row],[CONTA]],BaseContasDRE[#All],7,FALSE))</f>
        <v>Fora do DRE</v>
      </c>
      <c r="V6166" s="3" t="str">
        <f>IF(Base_Periodo1[[#This Row],[Tipo_Linha]]="Fora do DRE","Fora do DRE","( "&amp;Base_Periodo1[[#This Row],[Tipo_Linha]]&amp;" ) "&amp;Base_Periodo1[[#This Row],[Filtro]])</f>
        <v>Fora do DRE</v>
      </c>
      <c r="W6166" s="3" t="str">
        <f>LEFT(Base_Periodo1[[#This Row],[CLASS]],3)</f>
        <v>3.1</v>
      </c>
    </row>
    <row r="6167" spans="1:23" hidden="1">
      <c r="A6167" s="3" t="str">
        <f t="shared" si="96"/>
        <v>Período 1</v>
      </c>
      <c r="B6167">
        <v>6130</v>
      </c>
      <c r="C6167" t="s">
        <v>3797</v>
      </c>
      <c r="D6167" t="s">
        <v>3798</v>
      </c>
      <c r="E6167" s="3" t="str">
        <f>IF(LEN(Base_Periodo1[[#This Row],[CLASS]])&gt;=7,LEFT(Base_Periodo1[[#This Row],[CLASS]],7),"")</f>
        <v>3.1.1.3</v>
      </c>
      <c r="F6167" s="3" t="e">
        <f>VLOOKUP(Base_Periodo1[[#This Row],[Aux]],Base_Contas_Balanco[#All],2,FALSE)</f>
        <v>#N/A</v>
      </c>
      <c r="G6167" s="1"/>
      <c r="H6167" s="225">
        <v>21333987.749999627</v>
      </c>
      <c r="I6167" s="225">
        <v>8249052.3599999985</v>
      </c>
      <c r="J6167" s="225">
        <v>3457161.5100000002</v>
      </c>
      <c r="K6167" s="225">
        <v>26125878.599999625</v>
      </c>
      <c r="L61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-26125878.600000001</v>
      </c>
      <c r="M6167" s="225">
        <f>ROUND(IF(AND(Base_Periodo1[[#This Row],[Tipo_Linha]]="-",Base_Periodo1[[#This Row],[TIPOSALDO]]="D"),Base_Periodo1[[#This Row],[SALDO_ATUAL]]*-1,Base_Periodo1[[#This Row],[SALDO_ATUAL]]),4)</f>
        <v>26125878.600000001</v>
      </c>
      <c r="N6167" t="s">
        <v>396</v>
      </c>
      <c r="O6167" t="s">
        <v>397</v>
      </c>
      <c r="P6167" t="s">
        <v>397</v>
      </c>
      <c r="Q6167">
        <v>7</v>
      </c>
      <c r="R6167" s="282">
        <f>Base_Periodo1[[#This Row],[CREDITOS]]-Base_Periodo1[[#This Row],[DEBITOS]]</f>
        <v>-4791890.8499999978</v>
      </c>
      <c r="S6167" s="3" t="str">
        <f>IF(ISERROR(VLOOKUP(Base_Periodo1[[#This Row],[CONTA]],BaseContasDRE[#All],4,FALSE)),"Fora do DRE",VLOOKUP(Base_Periodo1[[#This Row],[CONTA]],BaseContasDRE[#All],4,FALSE))</f>
        <v>Fora do DRE</v>
      </c>
      <c r="T6167" s="3" t="str">
        <f>IF(ISERROR(VLOOKUP(Base_Periodo1[[#This Row],[CONTA]],BaseContasDRE[#All],5,FALSE)),"Fora do DRE",VLOOKUP(Base_Periodo1[[#This Row],[CONTA]],BaseContasDRE[#All],6,FALSE))</f>
        <v>Fora do DRE</v>
      </c>
      <c r="U6167" s="3" t="str">
        <f>IF(ISERROR(VLOOKUP(Base_Periodo1[[#This Row],[CONTA]],BaseContasDRE[#All],7,FALSE)),"Fora do DRE",VLOOKUP(Base_Periodo1[[#This Row],[CONTA]],BaseContasDRE[#All],7,FALSE))</f>
        <v>Fora do DRE</v>
      </c>
      <c r="V6167" s="3" t="str">
        <f>IF(Base_Periodo1[[#This Row],[Tipo_Linha]]="Fora do DRE","Fora do DRE","( "&amp;Base_Periodo1[[#This Row],[Tipo_Linha]]&amp;" ) "&amp;Base_Periodo1[[#This Row],[Filtro]])</f>
        <v>Fora do DRE</v>
      </c>
      <c r="W6167" s="3" t="str">
        <f>LEFT(Base_Periodo1[[#This Row],[CLASS]],3)</f>
        <v>3.1</v>
      </c>
    </row>
    <row r="6168" spans="1:23" hidden="1">
      <c r="A6168" s="3" t="str">
        <f t="shared" si="96"/>
        <v>Período 1</v>
      </c>
      <c r="B6168">
        <v>6131</v>
      </c>
      <c r="C6168" t="s">
        <v>3799</v>
      </c>
      <c r="D6168" t="s">
        <v>3800</v>
      </c>
      <c r="E6168" s="3" t="str">
        <f>IF(LEN(Base_Periodo1[[#This Row],[CLASS]])&gt;=7,LEFT(Base_Periodo1[[#This Row],[CLASS]],7),"")</f>
        <v>3.1.1.3</v>
      </c>
      <c r="F6168" s="3" t="e">
        <f>VLOOKUP(Base_Periodo1[[#This Row],[Aux]],Base_Contas_Balanco[#All],2,FALSE)</f>
        <v>#N/A</v>
      </c>
      <c r="G6168" s="1"/>
      <c r="H6168" s="225">
        <v>5407711.3600000385</v>
      </c>
      <c r="I6168" s="225">
        <v>1871584.8699999999</v>
      </c>
      <c r="J6168" s="225">
        <v>784798.76</v>
      </c>
      <c r="K6168" s="225">
        <v>6494497.4700000389</v>
      </c>
      <c r="L61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-6494497.4699999997</v>
      </c>
      <c r="M6168" s="225">
        <f>ROUND(IF(AND(Base_Periodo1[[#This Row],[Tipo_Linha]]="-",Base_Periodo1[[#This Row],[TIPOSALDO]]="D"),Base_Periodo1[[#This Row],[SALDO_ATUAL]]*-1,Base_Periodo1[[#This Row],[SALDO_ATUAL]]),4)</f>
        <v>6494497.4699999997</v>
      </c>
      <c r="N6168" t="s">
        <v>396</v>
      </c>
      <c r="O6168" t="s">
        <v>397</v>
      </c>
      <c r="P6168" t="s">
        <v>397</v>
      </c>
      <c r="Q6168">
        <v>8</v>
      </c>
      <c r="R6168" s="282">
        <f>Base_Periodo1[[#This Row],[CREDITOS]]-Base_Periodo1[[#This Row],[DEBITOS]]</f>
        <v>-1086786.1099999999</v>
      </c>
      <c r="S6168" s="3" t="str">
        <f>IF(ISERROR(VLOOKUP(Base_Periodo1[[#This Row],[CONTA]],BaseContasDRE[#All],4,FALSE)),"Fora do DRE",VLOOKUP(Base_Periodo1[[#This Row],[CONTA]],BaseContasDRE[#All],4,FALSE))</f>
        <v>Fora do DRE</v>
      </c>
      <c r="T6168" s="3" t="str">
        <f>IF(ISERROR(VLOOKUP(Base_Periodo1[[#This Row],[CONTA]],BaseContasDRE[#All],5,FALSE)),"Fora do DRE",VLOOKUP(Base_Periodo1[[#This Row],[CONTA]],BaseContasDRE[#All],6,FALSE))</f>
        <v>Fora do DRE</v>
      </c>
      <c r="U6168" s="3" t="str">
        <f>IF(ISERROR(VLOOKUP(Base_Periodo1[[#This Row],[CONTA]],BaseContasDRE[#All],7,FALSE)),"Fora do DRE",VLOOKUP(Base_Periodo1[[#This Row],[CONTA]],BaseContasDRE[#All],7,FALSE))</f>
        <v>Fora do DRE</v>
      </c>
      <c r="V6168" s="3" t="str">
        <f>IF(Base_Periodo1[[#This Row],[Tipo_Linha]]="Fora do DRE","Fora do DRE","( "&amp;Base_Periodo1[[#This Row],[Tipo_Linha]]&amp;" ) "&amp;Base_Periodo1[[#This Row],[Filtro]])</f>
        <v>Fora do DRE</v>
      </c>
      <c r="W6168" s="3" t="str">
        <f>LEFT(Base_Periodo1[[#This Row],[CLASS]],3)</f>
        <v>3.1</v>
      </c>
    </row>
    <row r="6169" spans="1:23" hidden="1">
      <c r="A6169" s="3" t="str">
        <f t="shared" si="96"/>
        <v>Período 1</v>
      </c>
      <c r="B6169">
        <v>6132</v>
      </c>
      <c r="C6169" t="s">
        <v>3801</v>
      </c>
      <c r="D6169" t="s">
        <v>3802</v>
      </c>
      <c r="E6169" s="3" t="str">
        <f>IF(LEN(Base_Periodo1[[#This Row],[CLASS]])&gt;=7,LEFT(Base_Periodo1[[#This Row],[CLASS]],7),"")</f>
        <v>3.1.1.3</v>
      </c>
      <c r="F6169" s="3" t="e">
        <f>VLOOKUP(Base_Periodo1[[#This Row],[Aux]],Base_Contas_Balanco[#All],2,FALSE)</f>
        <v>#N/A</v>
      </c>
      <c r="G6169" s="1">
        <v>42886</v>
      </c>
      <c r="H6169" s="225">
        <v>1984306.6500000097</v>
      </c>
      <c r="I6169" s="225">
        <v>515842.68000000017</v>
      </c>
      <c r="J6169" s="225">
        <v>643.26</v>
      </c>
      <c r="K6169" s="225">
        <v>2499506.0700000101</v>
      </c>
      <c r="L61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-2499506.0699999998</v>
      </c>
      <c r="M6169" s="225">
        <f>ROUND(IF(AND(Base_Periodo1[[#This Row],[Tipo_Linha]]="-",Base_Periodo1[[#This Row],[TIPOSALDO]]="D"),Base_Periodo1[[#This Row],[SALDO_ATUAL]]*-1,Base_Periodo1[[#This Row],[SALDO_ATUAL]]),4)</f>
        <v>-2499506.0699999998</v>
      </c>
      <c r="N6169" t="s">
        <v>116</v>
      </c>
      <c r="O6169" t="s">
        <v>397</v>
      </c>
      <c r="P6169" t="s">
        <v>397</v>
      </c>
      <c r="Q6169">
        <v>9</v>
      </c>
      <c r="R6169" s="282">
        <f>Base_Periodo1[[#This Row],[CREDITOS]]-Base_Periodo1[[#This Row],[DEBITOS]]</f>
        <v>-515199.42000000016</v>
      </c>
      <c r="S6169" s="3" t="str">
        <f>IF(ISERROR(VLOOKUP(Base_Periodo1[[#This Row],[CONTA]],BaseContasDRE[#All],4,FALSE)),"Fora do DRE",VLOOKUP(Base_Periodo1[[#This Row],[CONTA]],BaseContasDRE[#All],4,FALSE))</f>
        <v>-</v>
      </c>
      <c r="T6169" s="3">
        <f>IF(ISERROR(VLOOKUP(Base_Periodo1[[#This Row],[CONTA]],BaseContasDRE[#All],5,FALSE)),"Fora do DRE",VLOOKUP(Base_Periodo1[[#This Row],[CONTA]],BaseContasDRE[#All],6,FALSE))</f>
        <v>5</v>
      </c>
      <c r="U6169" s="3" t="str">
        <f>IF(ISERROR(VLOOKUP(Base_Periodo1[[#This Row],[CONTA]],BaseContasDRE[#All],7,FALSE)),"Fora do DRE",VLOOKUP(Base_Periodo1[[#This Row],[CONTA]],BaseContasDRE[#All],7,FALSE))</f>
        <v>DISPÊNDIOS E  DESPESAS C/ PESSOAL</v>
      </c>
      <c r="V6169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69" s="3" t="str">
        <f>LEFT(Base_Periodo1[[#This Row],[CLASS]],3)</f>
        <v>3.1</v>
      </c>
    </row>
    <row r="6170" spans="1:23" hidden="1">
      <c r="A6170" s="3" t="str">
        <f t="shared" si="96"/>
        <v>Período 1</v>
      </c>
      <c r="B6170">
        <v>6133</v>
      </c>
      <c r="C6170" t="s">
        <v>3803</v>
      </c>
      <c r="D6170" t="s">
        <v>3804</v>
      </c>
      <c r="E6170" s="3" t="str">
        <f>IF(LEN(Base_Periodo1[[#This Row],[CLASS]])&gt;=7,LEFT(Base_Periodo1[[#This Row],[CLASS]],7),"")</f>
        <v>3.1.1.3</v>
      </c>
      <c r="F6170" s="3" t="e">
        <f>VLOOKUP(Base_Periodo1[[#This Row],[Aux]],Base_Contas_Balanco[#All],2,FALSE)</f>
        <v>#N/A</v>
      </c>
      <c r="G6170" s="1">
        <v>42886</v>
      </c>
      <c r="H6170" s="225">
        <v>136821.22999999998</v>
      </c>
      <c r="I6170" s="225">
        <v>25252.020000000004</v>
      </c>
      <c r="J6170" s="225">
        <v>0</v>
      </c>
      <c r="K6170" s="225">
        <v>162073.25</v>
      </c>
      <c r="L61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-162073.25</v>
      </c>
      <c r="M6170" s="225">
        <f>ROUND(IF(AND(Base_Periodo1[[#This Row],[Tipo_Linha]]="-",Base_Periodo1[[#This Row],[TIPOSALDO]]="D"),Base_Periodo1[[#This Row],[SALDO_ATUAL]]*-1,Base_Periodo1[[#This Row],[SALDO_ATUAL]]),4)</f>
        <v>-162073.25</v>
      </c>
      <c r="N6170" t="s">
        <v>116</v>
      </c>
      <c r="O6170" t="s">
        <v>397</v>
      </c>
      <c r="P6170" t="s">
        <v>397</v>
      </c>
      <c r="Q6170">
        <v>9</v>
      </c>
      <c r="R6170" s="282">
        <f>Base_Periodo1[[#This Row],[CREDITOS]]-Base_Periodo1[[#This Row],[DEBITOS]]</f>
        <v>-25252.020000000004</v>
      </c>
      <c r="S6170" s="3" t="str">
        <f>IF(ISERROR(VLOOKUP(Base_Periodo1[[#This Row],[CONTA]],BaseContasDRE[#All],4,FALSE)),"Fora do DRE",VLOOKUP(Base_Periodo1[[#This Row],[CONTA]],BaseContasDRE[#All],4,FALSE))</f>
        <v>-</v>
      </c>
      <c r="T6170" s="3">
        <f>IF(ISERROR(VLOOKUP(Base_Periodo1[[#This Row],[CONTA]],BaseContasDRE[#All],5,FALSE)),"Fora do DRE",VLOOKUP(Base_Periodo1[[#This Row],[CONTA]],BaseContasDRE[#All],6,FALSE))</f>
        <v>5</v>
      </c>
      <c r="U6170" s="3" t="str">
        <f>IF(ISERROR(VLOOKUP(Base_Periodo1[[#This Row],[CONTA]],BaseContasDRE[#All],7,FALSE)),"Fora do DRE",VLOOKUP(Base_Periodo1[[#This Row],[CONTA]],BaseContasDRE[#All],7,FALSE))</f>
        <v>DISPÊNDIOS E  DESPESAS C/ PESSOAL</v>
      </c>
      <c r="V6170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70" s="3" t="str">
        <f>LEFT(Base_Periodo1[[#This Row],[CLASS]],3)</f>
        <v>3.1</v>
      </c>
    </row>
    <row r="6171" spans="1:23" hidden="1">
      <c r="A6171" s="3" t="str">
        <f t="shared" si="96"/>
        <v>Período 1</v>
      </c>
      <c r="B6171">
        <v>6134</v>
      </c>
      <c r="C6171" t="s">
        <v>3805</v>
      </c>
      <c r="D6171" t="s">
        <v>3806</v>
      </c>
      <c r="E6171" s="3" t="str">
        <f>IF(LEN(Base_Periodo1[[#This Row],[CLASS]])&gt;=7,LEFT(Base_Periodo1[[#This Row],[CLASS]],7),"")</f>
        <v>3.1.1.3</v>
      </c>
      <c r="F6171" s="3" t="e">
        <f>VLOOKUP(Base_Periodo1[[#This Row],[Aux]],Base_Contas_Balanco[#All],2,FALSE)</f>
        <v>#N/A</v>
      </c>
      <c r="G6171" s="1">
        <v>42886</v>
      </c>
      <c r="H6171" s="225">
        <v>178841.24000000232</v>
      </c>
      <c r="I6171" s="225">
        <v>40282.459999999992</v>
      </c>
      <c r="J6171" s="225">
        <v>0</v>
      </c>
      <c r="K6171" s="225">
        <v>219123.70000000231</v>
      </c>
      <c r="L61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-219123.7</v>
      </c>
      <c r="M6171" s="225">
        <f>ROUND(IF(AND(Base_Periodo1[[#This Row],[Tipo_Linha]]="-",Base_Periodo1[[#This Row],[TIPOSALDO]]="D"),Base_Periodo1[[#This Row],[SALDO_ATUAL]]*-1,Base_Periodo1[[#This Row],[SALDO_ATUAL]]),4)</f>
        <v>-219123.7</v>
      </c>
      <c r="N6171" t="s">
        <v>116</v>
      </c>
      <c r="O6171" t="s">
        <v>397</v>
      </c>
      <c r="P6171" t="s">
        <v>397</v>
      </c>
      <c r="Q6171">
        <v>9</v>
      </c>
      <c r="R6171" s="282">
        <f>Base_Periodo1[[#This Row],[CREDITOS]]-Base_Periodo1[[#This Row],[DEBITOS]]</f>
        <v>-40282.459999999992</v>
      </c>
      <c r="S6171" s="3" t="str">
        <f>IF(ISERROR(VLOOKUP(Base_Periodo1[[#This Row],[CONTA]],BaseContasDRE[#All],4,FALSE)),"Fora do DRE",VLOOKUP(Base_Periodo1[[#This Row],[CONTA]],BaseContasDRE[#All],4,FALSE))</f>
        <v>-</v>
      </c>
      <c r="T6171" s="3">
        <f>IF(ISERROR(VLOOKUP(Base_Periodo1[[#This Row],[CONTA]],BaseContasDRE[#All],5,FALSE)),"Fora do DRE",VLOOKUP(Base_Periodo1[[#This Row],[CONTA]],BaseContasDRE[#All],6,FALSE))</f>
        <v>5</v>
      </c>
      <c r="U6171" s="3" t="str">
        <f>IF(ISERROR(VLOOKUP(Base_Periodo1[[#This Row],[CONTA]],BaseContasDRE[#All],7,FALSE)),"Fora do DRE",VLOOKUP(Base_Periodo1[[#This Row],[CONTA]],BaseContasDRE[#All],7,FALSE))</f>
        <v>DISPÊNDIOS E  DESPESAS C/ PESSOAL</v>
      </c>
      <c r="V6171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71" s="3" t="str">
        <f>LEFT(Base_Periodo1[[#This Row],[CLASS]],3)</f>
        <v>3.1</v>
      </c>
    </row>
    <row r="6172" spans="1:23" hidden="1">
      <c r="A6172" s="3" t="str">
        <f t="shared" si="96"/>
        <v>Período 1</v>
      </c>
      <c r="B6172">
        <v>6135</v>
      </c>
      <c r="C6172" t="s">
        <v>3807</v>
      </c>
      <c r="D6172" t="s">
        <v>3808</v>
      </c>
      <c r="E6172" s="3" t="str">
        <f>IF(LEN(Base_Periodo1[[#This Row],[CLASS]])&gt;=7,LEFT(Base_Periodo1[[#This Row],[CLASS]],7),"")</f>
        <v>3.1.1.3</v>
      </c>
      <c r="F6172" s="3" t="e">
        <f>VLOOKUP(Base_Periodo1[[#This Row],[Aux]],Base_Contas_Balanco[#All],2,FALSE)</f>
        <v>#N/A</v>
      </c>
      <c r="G6172" s="1">
        <v>42886</v>
      </c>
      <c r="H6172" s="225">
        <v>39494.70000000007</v>
      </c>
      <c r="I6172" s="225">
        <v>3935.69</v>
      </c>
      <c r="J6172" s="225">
        <v>0</v>
      </c>
      <c r="K6172" s="225">
        <v>43430.390000000072</v>
      </c>
      <c r="L61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-43430.39</v>
      </c>
      <c r="M6172" s="225">
        <f>ROUND(IF(AND(Base_Periodo1[[#This Row],[Tipo_Linha]]="-",Base_Periodo1[[#This Row],[TIPOSALDO]]="D"),Base_Periodo1[[#This Row],[SALDO_ATUAL]]*-1,Base_Periodo1[[#This Row],[SALDO_ATUAL]]),4)</f>
        <v>-43430.39</v>
      </c>
      <c r="N6172" t="s">
        <v>116</v>
      </c>
      <c r="O6172" t="s">
        <v>397</v>
      </c>
      <c r="P6172" t="s">
        <v>397</v>
      </c>
      <c r="Q6172">
        <v>9</v>
      </c>
      <c r="R6172" s="282">
        <f>Base_Periodo1[[#This Row],[CREDITOS]]-Base_Periodo1[[#This Row],[DEBITOS]]</f>
        <v>-3935.69</v>
      </c>
      <c r="S6172" s="3" t="str">
        <f>IF(ISERROR(VLOOKUP(Base_Periodo1[[#This Row],[CONTA]],BaseContasDRE[#All],4,FALSE)),"Fora do DRE",VLOOKUP(Base_Periodo1[[#This Row],[CONTA]],BaseContasDRE[#All],4,FALSE))</f>
        <v>-</v>
      </c>
      <c r="T6172" s="3">
        <f>IF(ISERROR(VLOOKUP(Base_Periodo1[[#This Row],[CONTA]],BaseContasDRE[#All],5,FALSE)),"Fora do DRE",VLOOKUP(Base_Periodo1[[#This Row],[CONTA]],BaseContasDRE[#All],6,FALSE))</f>
        <v>5</v>
      </c>
      <c r="U6172" s="3" t="str">
        <f>IF(ISERROR(VLOOKUP(Base_Periodo1[[#This Row],[CONTA]],BaseContasDRE[#All],7,FALSE)),"Fora do DRE",VLOOKUP(Base_Periodo1[[#This Row],[CONTA]],BaseContasDRE[#All],7,FALSE))</f>
        <v>DISPÊNDIOS E  DESPESAS C/ PESSOAL</v>
      </c>
      <c r="V6172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72" s="3" t="str">
        <f>LEFT(Base_Periodo1[[#This Row],[CLASS]],3)</f>
        <v>3.1</v>
      </c>
    </row>
    <row r="6173" spans="1:23" hidden="1">
      <c r="A6173" s="3" t="str">
        <f t="shared" si="96"/>
        <v>Período 1</v>
      </c>
      <c r="B6173">
        <v>6136</v>
      </c>
      <c r="C6173" t="s">
        <v>3809</v>
      </c>
      <c r="D6173" t="s">
        <v>3810</v>
      </c>
      <c r="E6173" s="3" t="str">
        <f>IF(LEN(Base_Periodo1[[#This Row],[CLASS]])&gt;=7,LEFT(Base_Periodo1[[#This Row],[CLASS]],7),"")</f>
        <v>3.1.1.3</v>
      </c>
      <c r="F6173" s="3" t="e">
        <f>VLOOKUP(Base_Periodo1[[#This Row],[Aux]],Base_Contas_Balanco[#All],2,FALSE)</f>
        <v>#N/A</v>
      </c>
      <c r="G6173" s="1">
        <v>42886</v>
      </c>
      <c r="H6173" s="225">
        <v>223817.9599999995</v>
      </c>
      <c r="I6173" s="225">
        <v>58999.9</v>
      </c>
      <c r="J6173" s="225">
        <v>4377.75</v>
      </c>
      <c r="K6173" s="225">
        <v>278440.10999999952</v>
      </c>
      <c r="L61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-278440.11</v>
      </c>
      <c r="M6173" s="225">
        <f>ROUND(IF(AND(Base_Periodo1[[#This Row],[Tipo_Linha]]="-",Base_Periodo1[[#This Row],[TIPOSALDO]]="D"),Base_Periodo1[[#This Row],[SALDO_ATUAL]]*-1,Base_Periodo1[[#This Row],[SALDO_ATUAL]]),4)</f>
        <v>-278440.11</v>
      </c>
      <c r="N6173" t="s">
        <v>116</v>
      </c>
      <c r="O6173" t="s">
        <v>397</v>
      </c>
      <c r="P6173" t="s">
        <v>397</v>
      </c>
      <c r="Q6173">
        <v>9</v>
      </c>
      <c r="R6173" s="282">
        <f>Base_Periodo1[[#This Row],[CREDITOS]]-Base_Periodo1[[#This Row],[DEBITOS]]</f>
        <v>-54622.15</v>
      </c>
      <c r="S6173" s="3" t="str">
        <f>IF(ISERROR(VLOOKUP(Base_Periodo1[[#This Row],[CONTA]],BaseContasDRE[#All],4,FALSE)),"Fora do DRE",VLOOKUP(Base_Periodo1[[#This Row],[CONTA]],BaseContasDRE[#All],4,FALSE))</f>
        <v>-</v>
      </c>
      <c r="T6173" s="3">
        <f>IF(ISERROR(VLOOKUP(Base_Periodo1[[#This Row],[CONTA]],BaseContasDRE[#All],5,FALSE)),"Fora do DRE",VLOOKUP(Base_Periodo1[[#This Row],[CONTA]],BaseContasDRE[#All],6,FALSE))</f>
        <v>5</v>
      </c>
      <c r="U6173" s="3" t="str">
        <f>IF(ISERROR(VLOOKUP(Base_Periodo1[[#This Row],[CONTA]],BaseContasDRE[#All],7,FALSE)),"Fora do DRE",VLOOKUP(Base_Periodo1[[#This Row],[CONTA]],BaseContasDRE[#All],7,FALSE))</f>
        <v>DISPÊNDIOS E  DESPESAS C/ PESSOAL</v>
      </c>
      <c r="V6173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73" s="3" t="str">
        <f>LEFT(Base_Periodo1[[#This Row],[CLASS]],3)</f>
        <v>3.1</v>
      </c>
    </row>
    <row r="6174" spans="1:23" hidden="1">
      <c r="A6174" s="3" t="str">
        <f t="shared" si="96"/>
        <v>Período 1</v>
      </c>
      <c r="B6174">
        <v>6137</v>
      </c>
      <c r="C6174" t="s">
        <v>3811</v>
      </c>
      <c r="D6174" t="s">
        <v>3812</v>
      </c>
      <c r="E6174" s="3" t="str">
        <f>IF(LEN(Base_Periodo1[[#This Row],[CLASS]])&gt;=7,LEFT(Base_Periodo1[[#This Row],[CLASS]],7),"")</f>
        <v>3.1.1.3</v>
      </c>
      <c r="F6174" s="3" t="e">
        <f>VLOOKUP(Base_Periodo1[[#This Row],[Aux]],Base_Contas_Balanco[#All],2,FALSE)</f>
        <v>#N/A</v>
      </c>
      <c r="G6174" s="1">
        <v>42886</v>
      </c>
      <c r="H6174" s="225">
        <v>823811.04000000656</v>
      </c>
      <c r="I6174" s="225">
        <v>217119.94999999998</v>
      </c>
      <c r="J6174" s="225">
        <v>15760.19</v>
      </c>
      <c r="K6174" s="225">
        <v>1025170.8000000066</v>
      </c>
      <c r="L61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-1025170.8</v>
      </c>
      <c r="M6174" s="225">
        <f>ROUND(IF(AND(Base_Periodo1[[#This Row],[Tipo_Linha]]="-",Base_Periodo1[[#This Row],[TIPOSALDO]]="D"),Base_Periodo1[[#This Row],[SALDO_ATUAL]]*-1,Base_Periodo1[[#This Row],[SALDO_ATUAL]]),4)</f>
        <v>-1025170.8</v>
      </c>
      <c r="N6174" t="s">
        <v>116</v>
      </c>
      <c r="O6174" t="s">
        <v>397</v>
      </c>
      <c r="P6174" t="s">
        <v>397</v>
      </c>
      <c r="Q6174">
        <v>9</v>
      </c>
      <c r="R6174" s="282">
        <f>Base_Periodo1[[#This Row],[CREDITOS]]-Base_Periodo1[[#This Row],[DEBITOS]]</f>
        <v>-201359.75999999998</v>
      </c>
      <c r="S6174" s="3" t="str">
        <f>IF(ISERROR(VLOOKUP(Base_Periodo1[[#This Row],[CONTA]],BaseContasDRE[#All],4,FALSE)),"Fora do DRE",VLOOKUP(Base_Periodo1[[#This Row],[CONTA]],BaseContasDRE[#All],4,FALSE))</f>
        <v>-</v>
      </c>
      <c r="T6174" s="3">
        <f>IF(ISERROR(VLOOKUP(Base_Periodo1[[#This Row],[CONTA]],BaseContasDRE[#All],5,FALSE)),"Fora do DRE",VLOOKUP(Base_Periodo1[[#This Row],[CONTA]],BaseContasDRE[#All],6,FALSE))</f>
        <v>5</v>
      </c>
      <c r="U6174" s="3" t="str">
        <f>IF(ISERROR(VLOOKUP(Base_Periodo1[[#This Row],[CONTA]],BaseContasDRE[#All],7,FALSE)),"Fora do DRE",VLOOKUP(Base_Periodo1[[#This Row],[CONTA]],BaseContasDRE[#All],7,FALSE))</f>
        <v>DISPÊNDIOS E  DESPESAS C/ PESSOAL</v>
      </c>
      <c r="V6174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74" s="3" t="str">
        <f>LEFT(Base_Periodo1[[#This Row],[CLASS]],3)</f>
        <v>3.1</v>
      </c>
    </row>
    <row r="6175" spans="1:23" hidden="1">
      <c r="A6175" s="3" t="str">
        <f t="shared" si="96"/>
        <v>Período 1</v>
      </c>
      <c r="B6175">
        <v>6138</v>
      </c>
      <c r="C6175" t="s">
        <v>3813</v>
      </c>
      <c r="D6175" t="s">
        <v>3814</v>
      </c>
      <c r="E6175" s="3" t="str">
        <f>IF(LEN(Base_Periodo1[[#This Row],[CLASS]])&gt;=7,LEFT(Base_Periodo1[[#This Row],[CLASS]],7),"")</f>
        <v>3.1.1.3</v>
      </c>
      <c r="F6175" s="3" t="e">
        <f>VLOOKUP(Base_Periodo1[[#This Row],[Aux]],Base_Contas_Balanco[#All],2,FALSE)</f>
        <v>#N/A</v>
      </c>
      <c r="G6175" s="1">
        <v>42886</v>
      </c>
      <c r="H6175" s="225">
        <v>29084.349999999919</v>
      </c>
      <c r="I6175" s="225">
        <v>7696.0200000000013</v>
      </c>
      <c r="J6175" s="225">
        <v>547.23</v>
      </c>
      <c r="K6175" s="225">
        <v>36233.139999999919</v>
      </c>
      <c r="L61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-36233.14</v>
      </c>
      <c r="M6175" s="225">
        <f>ROUND(IF(AND(Base_Periodo1[[#This Row],[Tipo_Linha]]="-",Base_Periodo1[[#This Row],[TIPOSALDO]]="D"),Base_Periodo1[[#This Row],[SALDO_ATUAL]]*-1,Base_Periodo1[[#This Row],[SALDO_ATUAL]]),4)</f>
        <v>-36233.14</v>
      </c>
      <c r="N6175" t="s">
        <v>116</v>
      </c>
      <c r="O6175" t="s">
        <v>397</v>
      </c>
      <c r="P6175" t="s">
        <v>397</v>
      </c>
      <c r="Q6175">
        <v>9</v>
      </c>
      <c r="R6175" s="282">
        <f>Base_Periodo1[[#This Row],[CREDITOS]]-Base_Periodo1[[#This Row],[DEBITOS]]</f>
        <v>-7148.7900000000009</v>
      </c>
      <c r="S6175" s="3" t="str">
        <f>IF(ISERROR(VLOOKUP(Base_Periodo1[[#This Row],[CONTA]],BaseContasDRE[#All],4,FALSE)),"Fora do DRE",VLOOKUP(Base_Periodo1[[#This Row],[CONTA]],BaseContasDRE[#All],4,FALSE))</f>
        <v>-</v>
      </c>
      <c r="T6175" s="3">
        <f>IF(ISERROR(VLOOKUP(Base_Periodo1[[#This Row],[CONTA]],BaseContasDRE[#All],5,FALSE)),"Fora do DRE",VLOOKUP(Base_Periodo1[[#This Row],[CONTA]],BaseContasDRE[#All],6,FALSE))</f>
        <v>5</v>
      </c>
      <c r="U6175" s="3" t="str">
        <f>IF(ISERROR(VLOOKUP(Base_Periodo1[[#This Row],[CONTA]],BaseContasDRE[#All],7,FALSE)),"Fora do DRE",VLOOKUP(Base_Periodo1[[#This Row],[CONTA]],BaseContasDRE[#All],7,FALSE))</f>
        <v>DISPÊNDIOS E  DESPESAS C/ PESSOAL</v>
      </c>
      <c r="V6175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75" s="3" t="str">
        <f>LEFT(Base_Periodo1[[#This Row],[CLASS]],3)</f>
        <v>3.1</v>
      </c>
    </row>
    <row r="6176" spans="1:23" hidden="1">
      <c r="A6176" s="3" t="str">
        <f t="shared" si="96"/>
        <v>Período 1</v>
      </c>
      <c r="B6176">
        <v>6139</v>
      </c>
      <c r="C6176" t="s">
        <v>3815</v>
      </c>
      <c r="D6176" t="s">
        <v>3816</v>
      </c>
      <c r="E6176" s="3" t="str">
        <f>IF(LEN(Base_Periodo1[[#This Row],[CLASS]])&gt;=7,LEFT(Base_Periodo1[[#This Row],[CLASS]],7),"")</f>
        <v>3.1.1.3</v>
      </c>
      <c r="F6176" s="3" t="e">
        <f>VLOOKUP(Base_Periodo1[[#This Row],[Aux]],Base_Contas_Balanco[#All],2,FALSE)</f>
        <v>#N/A</v>
      </c>
      <c r="G6176" s="1">
        <v>42886</v>
      </c>
      <c r="H6176" s="225">
        <v>197262.71000000183</v>
      </c>
      <c r="I6176" s="225">
        <v>50121.74</v>
      </c>
      <c r="J6176" s="225">
        <v>0</v>
      </c>
      <c r="K6176" s="225">
        <v>247384.45000000182</v>
      </c>
      <c r="L61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-247384.45</v>
      </c>
      <c r="M6176" s="225">
        <f>ROUND(IF(AND(Base_Periodo1[[#This Row],[Tipo_Linha]]="-",Base_Periodo1[[#This Row],[TIPOSALDO]]="D"),Base_Periodo1[[#This Row],[SALDO_ATUAL]]*-1,Base_Periodo1[[#This Row],[SALDO_ATUAL]]),4)</f>
        <v>-247384.45</v>
      </c>
      <c r="N6176" t="s">
        <v>116</v>
      </c>
      <c r="O6176" t="s">
        <v>397</v>
      </c>
      <c r="P6176" t="s">
        <v>397</v>
      </c>
      <c r="Q6176">
        <v>9</v>
      </c>
      <c r="R6176" s="282">
        <f>Base_Periodo1[[#This Row],[CREDITOS]]-Base_Periodo1[[#This Row],[DEBITOS]]</f>
        <v>-50121.74</v>
      </c>
      <c r="S6176" s="3" t="str">
        <f>IF(ISERROR(VLOOKUP(Base_Periodo1[[#This Row],[CONTA]],BaseContasDRE[#All],4,FALSE)),"Fora do DRE",VLOOKUP(Base_Periodo1[[#This Row],[CONTA]],BaseContasDRE[#All],4,FALSE))</f>
        <v>-</v>
      </c>
      <c r="T6176" s="3">
        <f>IF(ISERROR(VLOOKUP(Base_Periodo1[[#This Row],[CONTA]],BaseContasDRE[#All],5,FALSE)),"Fora do DRE",VLOOKUP(Base_Periodo1[[#This Row],[CONTA]],BaseContasDRE[#All],6,FALSE))</f>
        <v>5</v>
      </c>
      <c r="U6176" s="3" t="str">
        <f>IF(ISERROR(VLOOKUP(Base_Periodo1[[#This Row],[CONTA]],BaseContasDRE[#All],7,FALSE)),"Fora do DRE",VLOOKUP(Base_Periodo1[[#This Row],[CONTA]],BaseContasDRE[#All],7,FALSE))</f>
        <v>DISPÊNDIOS E  DESPESAS C/ PESSOAL</v>
      </c>
      <c r="V6176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76" s="3" t="str">
        <f>LEFT(Base_Periodo1[[#This Row],[CLASS]],3)</f>
        <v>3.1</v>
      </c>
    </row>
    <row r="6177" spans="1:23" hidden="1">
      <c r="A6177" s="3" t="str">
        <f t="shared" si="96"/>
        <v>Período 1</v>
      </c>
      <c r="B6177">
        <v>6140</v>
      </c>
      <c r="C6177" t="s">
        <v>3817</v>
      </c>
      <c r="D6177" t="s">
        <v>3818</v>
      </c>
      <c r="E6177" s="3" t="str">
        <f>IF(LEN(Base_Periodo1[[#This Row],[CLASS]])&gt;=7,LEFT(Base_Periodo1[[#This Row],[CLASS]],7),"")</f>
        <v>3.1.1.3</v>
      </c>
      <c r="F6177" s="3" t="e">
        <f>VLOOKUP(Base_Periodo1[[#This Row],[Aux]],Base_Contas_Balanco[#All],2,FALSE)</f>
        <v>#N/A</v>
      </c>
      <c r="G6177" s="1">
        <v>42886</v>
      </c>
      <c r="H6177" s="225">
        <v>323828.96000000089</v>
      </c>
      <c r="I6177" s="225">
        <v>75493.51999999999</v>
      </c>
      <c r="J6177" s="225">
        <v>0</v>
      </c>
      <c r="K6177" s="225">
        <v>399322.48000000091</v>
      </c>
      <c r="L61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-399322.48</v>
      </c>
      <c r="M6177" s="225">
        <f>ROUND(IF(AND(Base_Periodo1[[#This Row],[Tipo_Linha]]="-",Base_Periodo1[[#This Row],[TIPOSALDO]]="D"),Base_Periodo1[[#This Row],[SALDO_ATUAL]]*-1,Base_Periodo1[[#This Row],[SALDO_ATUAL]]),4)</f>
        <v>-399322.48</v>
      </c>
      <c r="N6177" t="s">
        <v>116</v>
      </c>
      <c r="O6177" t="s">
        <v>397</v>
      </c>
      <c r="P6177" t="s">
        <v>397</v>
      </c>
      <c r="Q6177">
        <v>9</v>
      </c>
      <c r="R6177" s="282">
        <f>Base_Periodo1[[#This Row],[CREDITOS]]-Base_Periodo1[[#This Row],[DEBITOS]]</f>
        <v>-75493.51999999999</v>
      </c>
      <c r="S6177" s="3" t="str">
        <f>IF(ISERROR(VLOOKUP(Base_Periodo1[[#This Row],[CONTA]],BaseContasDRE[#All],4,FALSE)),"Fora do DRE",VLOOKUP(Base_Periodo1[[#This Row],[CONTA]],BaseContasDRE[#All],4,FALSE))</f>
        <v>-</v>
      </c>
      <c r="T6177" s="3">
        <f>IF(ISERROR(VLOOKUP(Base_Periodo1[[#This Row],[CONTA]],BaseContasDRE[#All],5,FALSE)),"Fora do DRE",VLOOKUP(Base_Periodo1[[#This Row],[CONTA]],BaseContasDRE[#All],6,FALSE))</f>
        <v>5</v>
      </c>
      <c r="U6177" s="3" t="str">
        <f>IF(ISERROR(VLOOKUP(Base_Periodo1[[#This Row],[CONTA]],BaseContasDRE[#All],7,FALSE)),"Fora do DRE",VLOOKUP(Base_Periodo1[[#This Row],[CONTA]],BaseContasDRE[#All],7,FALSE))</f>
        <v>DISPÊNDIOS E  DESPESAS C/ PESSOAL</v>
      </c>
      <c r="V6177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77" s="3" t="str">
        <f>LEFT(Base_Periodo1[[#This Row],[CLASS]],3)</f>
        <v>3.1</v>
      </c>
    </row>
    <row r="6178" spans="1:23" hidden="1">
      <c r="A6178" s="3" t="str">
        <f t="shared" si="96"/>
        <v>Período 1</v>
      </c>
      <c r="B6178">
        <v>6142</v>
      </c>
      <c r="C6178" t="s">
        <v>3819</v>
      </c>
      <c r="D6178" t="s">
        <v>3820</v>
      </c>
      <c r="E6178" s="3" t="str">
        <f>IF(LEN(Base_Periodo1[[#This Row],[CLASS]])&gt;=7,LEFT(Base_Periodo1[[#This Row],[CLASS]],7),"")</f>
        <v>3.1.1.3</v>
      </c>
      <c r="F6178" s="3" t="e">
        <f>VLOOKUP(Base_Periodo1[[#This Row],[Aux]],Base_Contas_Balanco[#All],2,FALSE)</f>
        <v>#N/A</v>
      </c>
      <c r="G6178" s="1">
        <v>42794</v>
      </c>
      <c r="H6178" s="225">
        <v>82720</v>
      </c>
      <c r="I6178" s="225">
        <v>0</v>
      </c>
      <c r="J6178" s="225">
        <v>0</v>
      </c>
      <c r="K6178" s="225">
        <v>82720</v>
      </c>
      <c r="L61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-82720</v>
      </c>
      <c r="M6178" s="225">
        <f>ROUND(IF(AND(Base_Periodo1[[#This Row],[Tipo_Linha]]="-",Base_Periodo1[[#This Row],[TIPOSALDO]]="D"),Base_Periodo1[[#This Row],[SALDO_ATUAL]]*-1,Base_Periodo1[[#This Row],[SALDO_ATUAL]]),4)</f>
        <v>-82720</v>
      </c>
      <c r="N6178" t="s">
        <v>116</v>
      </c>
      <c r="O6178" t="s">
        <v>397</v>
      </c>
      <c r="P6178" t="s">
        <v>397</v>
      </c>
      <c r="Q6178">
        <v>9</v>
      </c>
      <c r="R6178" s="282">
        <f>Base_Periodo1[[#This Row],[CREDITOS]]-Base_Periodo1[[#This Row],[DEBITOS]]</f>
        <v>0</v>
      </c>
      <c r="S6178" s="3" t="str">
        <f>IF(ISERROR(VLOOKUP(Base_Periodo1[[#This Row],[CONTA]],BaseContasDRE[#All],4,FALSE)),"Fora do DRE",VLOOKUP(Base_Periodo1[[#This Row],[CONTA]],BaseContasDRE[#All],4,FALSE))</f>
        <v>-</v>
      </c>
      <c r="T6178" s="3">
        <f>IF(ISERROR(VLOOKUP(Base_Periodo1[[#This Row],[CONTA]],BaseContasDRE[#All],5,FALSE)),"Fora do DRE",VLOOKUP(Base_Periodo1[[#This Row],[CONTA]],BaseContasDRE[#All],6,FALSE))</f>
        <v>5</v>
      </c>
      <c r="U6178" s="3" t="str">
        <f>IF(ISERROR(VLOOKUP(Base_Periodo1[[#This Row],[CONTA]],BaseContasDRE[#All],7,FALSE)),"Fora do DRE",VLOOKUP(Base_Periodo1[[#This Row],[CONTA]],BaseContasDRE[#All],7,FALSE))</f>
        <v>DISPÊNDIOS E  DESPESAS C/ PESSOAL</v>
      </c>
      <c r="V6178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78" s="3" t="str">
        <f>LEFT(Base_Periodo1[[#This Row],[CLASS]],3)</f>
        <v>3.1</v>
      </c>
    </row>
    <row r="6179" spans="1:23" hidden="1">
      <c r="A6179" s="3" t="str">
        <f t="shared" si="96"/>
        <v>Período 1</v>
      </c>
      <c r="B6179">
        <v>6145</v>
      </c>
      <c r="C6179" t="s">
        <v>3821</v>
      </c>
      <c r="D6179" t="s">
        <v>3822</v>
      </c>
      <c r="E6179" s="3" t="str">
        <f>IF(LEN(Base_Periodo1[[#This Row],[CLASS]])&gt;=7,LEFT(Base_Periodo1[[#This Row],[CLASS]],7),"")</f>
        <v>3.1.1.3</v>
      </c>
      <c r="F6179" s="3" t="e">
        <f>VLOOKUP(Base_Periodo1[[#This Row],[Aux]],Base_Contas_Balanco[#All],2,FALSE)</f>
        <v>#N/A</v>
      </c>
      <c r="G6179" s="1">
        <v>42881</v>
      </c>
      <c r="H6179" s="225">
        <v>1258234.8900000062</v>
      </c>
      <c r="I6179" s="225">
        <v>275220.31</v>
      </c>
      <c r="J6179" s="225">
        <v>0</v>
      </c>
      <c r="K6179" s="225">
        <v>1533455.2000000062</v>
      </c>
      <c r="L61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-1533455.2</v>
      </c>
      <c r="M6179" s="225">
        <f>ROUND(IF(AND(Base_Periodo1[[#This Row],[Tipo_Linha]]="-",Base_Periodo1[[#This Row],[TIPOSALDO]]="D"),Base_Periodo1[[#This Row],[SALDO_ATUAL]]*-1,Base_Periodo1[[#This Row],[SALDO_ATUAL]]),4)</f>
        <v>-1533455.2</v>
      </c>
      <c r="N6179" t="s">
        <v>116</v>
      </c>
      <c r="O6179" t="s">
        <v>397</v>
      </c>
      <c r="P6179" t="s">
        <v>397</v>
      </c>
      <c r="Q6179">
        <v>9</v>
      </c>
      <c r="R6179" s="282">
        <f>Base_Periodo1[[#This Row],[CREDITOS]]-Base_Periodo1[[#This Row],[DEBITOS]]</f>
        <v>-275220.31</v>
      </c>
      <c r="S6179" s="3" t="str">
        <f>IF(ISERROR(VLOOKUP(Base_Periodo1[[#This Row],[CONTA]],BaseContasDRE[#All],4,FALSE)),"Fora do DRE",VLOOKUP(Base_Periodo1[[#This Row],[CONTA]],BaseContasDRE[#All],4,FALSE))</f>
        <v>-</v>
      </c>
      <c r="T6179" s="3">
        <f>IF(ISERROR(VLOOKUP(Base_Periodo1[[#This Row],[CONTA]],BaseContasDRE[#All],5,FALSE)),"Fora do DRE",VLOOKUP(Base_Periodo1[[#This Row],[CONTA]],BaseContasDRE[#All],6,FALSE))</f>
        <v>5</v>
      </c>
      <c r="U6179" s="3" t="str">
        <f>IF(ISERROR(VLOOKUP(Base_Periodo1[[#This Row],[CONTA]],BaseContasDRE[#All],7,FALSE)),"Fora do DRE",VLOOKUP(Base_Periodo1[[#This Row],[CONTA]],BaseContasDRE[#All],7,FALSE))</f>
        <v>DISPÊNDIOS E  DESPESAS C/ PESSOAL</v>
      </c>
      <c r="V6179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79" s="3" t="str">
        <f>LEFT(Base_Periodo1[[#This Row],[CLASS]],3)</f>
        <v>3.1</v>
      </c>
    </row>
    <row r="6180" spans="1:23" hidden="1">
      <c r="A6180" s="3" t="str">
        <f t="shared" si="96"/>
        <v>Período 1</v>
      </c>
      <c r="B6180">
        <v>6147</v>
      </c>
      <c r="C6180" t="s">
        <v>3823</v>
      </c>
      <c r="D6180" t="s">
        <v>3824</v>
      </c>
      <c r="E6180" s="3" t="str">
        <f>IF(LEN(Base_Periodo1[[#This Row],[CLASS]])&gt;=7,LEFT(Base_Periodo1[[#This Row],[CLASS]],7),"")</f>
        <v>3.1.1.3</v>
      </c>
      <c r="F6180" s="3" t="e">
        <f>VLOOKUP(Base_Periodo1[[#This Row],[Aux]],Base_Contas_Balanco[#All],2,FALSE)</f>
        <v>#N/A</v>
      </c>
      <c r="G6180" s="1">
        <v>42886</v>
      </c>
      <c r="H6180" s="225">
        <v>7237.4999999998254</v>
      </c>
      <c r="I6180" s="225">
        <v>16184</v>
      </c>
      <c r="J6180" s="225">
        <v>0</v>
      </c>
      <c r="K6180" s="225">
        <v>23421.499999999825</v>
      </c>
      <c r="L61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-23421.5</v>
      </c>
      <c r="M6180" s="225">
        <f>ROUND(IF(AND(Base_Periodo1[[#This Row],[Tipo_Linha]]="-",Base_Periodo1[[#This Row],[TIPOSALDO]]="D"),Base_Periodo1[[#This Row],[SALDO_ATUAL]]*-1,Base_Periodo1[[#This Row],[SALDO_ATUAL]]),4)</f>
        <v>-23421.5</v>
      </c>
      <c r="N6180" t="s">
        <v>116</v>
      </c>
      <c r="O6180" t="s">
        <v>397</v>
      </c>
      <c r="P6180" t="s">
        <v>397</v>
      </c>
      <c r="Q6180">
        <v>9</v>
      </c>
      <c r="R6180" s="282">
        <f>Base_Periodo1[[#This Row],[CREDITOS]]-Base_Periodo1[[#This Row],[DEBITOS]]</f>
        <v>-16184</v>
      </c>
      <c r="S6180" s="3" t="str">
        <f>IF(ISERROR(VLOOKUP(Base_Periodo1[[#This Row],[CONTA]],BaseContasDRE[#All],4,FALSE)),"Fora do DRE",VLOOKUP(Base_Periodo1[[#This Row],[CONTA]],BaseContasDRE[#All],4,FALSE))</f>
        <v>-</v>
      </c>
      <c r="T6180" s="3">
        <f>IF(ISERROR(VLOOKUP(Base_Periodo1[[#This Row],[CONTA]],BaseContasDRE[#All],5,FALSE)),"Fora do DRE",VLOOKUP(Base_Periodo1[[#This Row],[CONTA]],BaseContasDRE[#All],6,FALSE))</f>
        <v>5</v>
      </c>
      <c r="U6180" s="3" t="str">
        <f>IF(ISERROR(VLOOKUP(Base_Periodo1[[#This Row],[CONTA]],BaseContasDRE[#All],7,FALSE)),"Fora do DRE",VLOOKUP(Base_Periodo1[[#This Row],[CONTA]],BaseContasDRE[#All],7,FALSE))</f>
        <v>DISPÊNDIOS E  DESPESAS C/ PESSOAL</v>
      </c>
      <c r="V6180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80" s="3" t="str">
        <f>LEFT(Base_Periodo1[[#This Row],[CLASS]],3)</f>
        <v>3.1</v>
      </c>
    </row>
    <row r="6181" spans="1:23" hidden="1">
      <c r="A6181" s="3" t="str">
        <f t="shared" si="96"/>
        <v>Período 1</v>
      </c>
      <c r="B6181">
        <v>6148</v>
      </c>
      <c r="C6181" t="s">
        <v>3825</v>
      </c>
      <c r="D6181" t="s">
        <v>3826</v>
      </c>
      <c r="E6181" s="3" t="str">
        <f>IF(LEN(Base_Periodo1[[#This Row],[CLASS]])&gt;=7,LEFT(Base_Periodo1[[#This Row],[CLASS]],7),"")</f>
        <v>3.1.1.3</v>
      </c>
      <c r="F6181" s="3" t="e">
        <f>VLOOKUP(Base_Periodo1[[#This Row],[Aux]],Base_Contas_Balanco[#All],2,FALSE)</f>
        <v>#N/A</v>
      </c>
      <c r="G6181" s="1">
        <v>42885</v>
      </c>
      <c r="H6181" s="225">
        <v>42461.420000000508</v>
      </c>
      <c r="I6181" s="225">
        <v>3829.06</v>
      </c>
      <c r="J6181" s="225">
        <v>0</v>
      </c>
      <c r="K6181" s="225">
        <v>46290.480000000505</v>
      </c>
      <c r="L61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-46290.48</v>
      </c>
      <c r="M6181" s="225">
        <f>ROUND(IF(AND(Base_Periodo1[[#This Row],[Tipo_Linha]]="-",Base_Periodo1[[#This Row],[TIPOSALDO]]="D"),Base_Periodo1[[#This Row],[SALDO_ATUAL]]*-1,Base_Periodo1[[#This Row],[SALDO_ATUAL]]),4)</f>
        <v>-46290.48</v>
      </c>
      <c r="N6181" t="s">
        <v>116</v>
      </c>
      <c r="O6181" t="s">
        <v>397</v>
      </c>
      <c r="P6181" t="s">
        <v>397</v>
      </c>
      <c r="Q6181">
        <v>9</v>
      </c>
      <c r="R6181" s="282">
        <f>Base_Periodo1[[#This Row],[CREDITOS]]-Base_Periodo1[[#This Row],[DEBITOS]]</f>
        <v>-3829.06</v>
      </c>
      <c r="S6181" s="3" t="str">
        <f>IF(ISERROR(VLOOKUP(Base_Periodo1[[#This Row],[CONTA]],BaseContasDRE[#All],4,FALSE)),"Fora do DRE",VLOOKUP(Base_Periodo1[[#This Row],[CONTA]],BaseContasDRE[#All],4,FALSE))</f>
        <v>-</v>
      </c>
      <c r="T6181" s="3">
        <f>IF(ISERROR(VLOOKUP(Base_Periodo1[[#This Row],[CONTA]],BaseContasDRE[#All],5,FALSE)),"Fora do DRE",VLOOKUP(Base_Periodo1[[#This Row],[CONTA]],BaseContasDRE[#All],6,FALSE))</f>
        <v>5</v>
      </c>
      <c r="U6181" s="3" t="str">
        <f>IF(ISERROR(VLOOKUP(Base_Periodo1[[#This Row],[CONTA]],BaseContasDRE[#All],7,FALSE)),"Fora do DRE",VLOOKUP(Base_Periodo1[[#This Row],[CONTA]],BaseContasDRE[#All],7,FALSE))</f>
        <v>DISPÊNDIOS E  DESPESAS C/ PESSOAL</v>
      </c>
      <c r="V6181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81" s="3" t="str">
        <f>LEFT(Base_Periodo1[[#This Row],[CLASS]],3)</f>
        <v>3.1</v>
      </c>
    </row>
    <row r="6182" spans="1:23" hidden="1">
      <c r="A6182" s="3" t="str">
        <f t="shared" si="96"/>
        <v>Período 1</v>
      </c>
      <c r="B6182">
        <v>6180</v>
      </c>
      <c r="C6182" t="s">
        <v>3827</v>
      </c>
      <c r="D6182" t="s">
        <v>4328</v>
      </c>
      <c r="E6182" s="3" t="str">
        <f>IF(LEN(Base_Periodo1[[#This Row],[CLASS]])&gt;=7,LEFT(Base_Periodo1[[#This Row],[CLASS]],7),"")</f>
        <v>3.1.1.3</v>
      </c>
      <c r="F6182" s="3" t="e">
        <f>VLOOKUP(Base_Periodo1[[#This Row],[Aux]],Base_Contas_Balanco[#All],2,FALSE)</f>
        <v>#N/A</v>
      </c>
      <c r="G6182" s="1">
        <v>42886</v>
      </c>
      <c r="H6182" s="225">
        <v>241594.6299999964</v>
      </c>
      <c r="I6182" s="225">
        <v>103930.4</v>
      </c>
      <c r="J6182" s="225">
        <v>50721.05</v>
      </c>
      <c r="K6182" s="225">
        <v>294803.97999999643</v>
      </c>
      <c r="L61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-294803.98</v>
      </c>
      <c r="M6182" s="225">
        <f>ROUND(IF(AND(Base_Periodo1[[#This Row],[Tipo_Linha]]="-",Base_Periodo1[[#This Row],[TIPOSALDO]]="D"),Base_Periodo1[[#This Row],[SALDO_ATUAL]]*-1,Base_Periodo1[[#This Row],[SALDO_ATUAL]]),4)</f>
        <v>-294803.98</v>
      </c>
      <c r="N6182" t="s">
        <v>116</v>
      </c>
      <c r="O6182" t="s">
        <v>397</v>
      </c>
      <c r="P6182" t="s">
        <v>397</v>
      </c>
      <c r="Q6182">
        <v>9</v>
      </c>
      <c r="R6182" s="282">
        <f>Base_Periodo1[[#This Row],[CREDITOS]]-Base_Periodo1[[#This Row],[DEBITOS]]</f>
        <v>-53209.349999999991</v>
      </c>
      <c r="S6182" s="3" t="str">
        <f>IF(ISERROR(VLOOKUP(Base_Periodo1[[#This Row],[CONTA]],BaseContasDRE[#All],4,FALSE)),"Fora do DRE",VLOOKUP(Base_Periodo1[[#This Row],[CONTA]],BaseContasDRE[#All],4,FALSE))</f>
        <v>-</v>
      </c>
      <c r="T6182" s="3">
        <f>IF(ISERROR(VLOOKUP(Base_Periodo1[[#This Row],[CONTA]],BaseContasDRE[#All],5,FALSE)),"Fora do DRE",VLOOKUP(Base_Periodo1[[#This Row],[CONTA]],BaseContasDRE[#All],6,FALSE))</f>
        <v>5</v>
      </c>
      <c r="U6182" s="3" t="str">
        <f>IF(ISERROR(VLOOKUP(Base_Periodo1[[#This Row],[CONTA]],BaseContasDRE[#All],7,FALSE)),"Fora do DRE",VLOOKUP(Base_Periodo1[[#This Row],[CONTA]],BaseContasDRE[#All],7,FALSE))</f>
        <v>DISPÊNDIOS E  DESPESAS C/ PESSOAL</v>
      </c>
      <c r="V6182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82" s="3" t="str">
        <f>LEFT(Base_Periodo1[[#This Row],[CLASS]],3)</f>
        <v>3.1</v>
      </c>
    </row>
    <row r="6183" spans="1:23" hidden="1">
      <c r="A6183" s="3" t="str">
        <f t="shared" si="96"/>
        <v>Período 1</v>
      </c>
      <c r="B6183">
        <v>31608</v>
      </c>
      <c r="C6183" t="s">
        <v>4497</v>
      </c>
      <c r="D6183" t="s">
        <v>4498</v>
      </c>
      <c r="E6183" s="3" t="str">
        <f>IF(LEN(Base_Periodo1[[#This Row],[CLASS]])&gt;=7,LEFT(Base_Periodo1[[#This Row],[CLASS]],7),"")</f>
        <v>3.1.1.3</v>
      </c>
      <c r="F6183" s="3" t="e">
        <f>VLOOKUP(Base_Periodo1[[#This Row],[Aux]],Base_Contas_Balanco[#All],2,FALSE)</f>
        <v>#N/A</v>
      </c>
      <c r="G6183" s="1">
        <v>42886</v>
      </c>
      <c r="H6183" s="225">
        <v>33511.369999999937</v>
      </c>
      <c r="I6183" s="225">
        <v>8296</v>
      </c>
      <c r="J6183" s="225">
        <v>5088</v>
      </c>
      <c r="K6183" s="225">
        <v>36719.369999999937</v>
      </c>
      <c r="L61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-36719.370000000003</v>
      </c>
      <c r="M6183" s="225">
        <f>ROUND(IF(AND(Base_Periodo1[[#This Row],[Tipo_Linha]]="-",Base_Periodo1[[#This Row],[TIPOSALDO]]="D"),Base_Periodo1[[#This Row],[SALDO_ATUAL]]*-1,Base_Periodo1[[#This Row],[SALDO_ATUAL]]),4)</f>
        <v>-36719.370000000003</v>
      </c>
      <c r="N6183" t="s">
        <v>116</v>
      </c>
      <c r="O6183" t="s">
        <v>397</v>
      </c>
      <c r="P6183" t="s">
        <v>397</v>
      </c>
      <c r="Q6183">
        <v>9</v>
      </c>
      <c r="R6183" s="282">
        <f>Base_Periodo1[[#This Row],[CREDITOS]]-Base_Periodo1[[#This Row],[DEBITOS]]</f>
        <v>-3208</v>
      </c>
      <c r="S6183" s="3" t="str">
        <f>IF(ISERROR(VLOOKUP(Base_Periodo1[[#This Row],[CONTA]],BaseContasDRE[#All],4,FALSE)),"Fora do DRE",VLOOKUP(Base_Periodo1[[#This Row],[CONTA]],BaseContasDRE[#All],4,FALSE))</f>
        <v>-</v>
      </c>
      <c r="T6183" s="3">
        <f>IF(ISERROR(VLOOKUP(Base_Periodo1[[#This Row],[CONTA]],BaseContasDRE[#All],5,FALSE)),"Fora do DRE",VLOOKUP(Base_Periodo1[[#This Row],[CONTA]],BaseContasDRE[#All],6,FALSE))</f>
        <v>5</v>
      </c>
      <c r="U6183" s="3" t="str">
        <f>IF(ISERROR(VLOOKUP(Base_Periodo1[[#This Row],[CONTA]],BaseContasDRE[#All],7,FALSE)),"Fora do DRE",VLOOKUP(Base_Periodo1[[#This Row],[CONTA]],BaseContasDRE[#All],7,FALSE))</f>
        <v>DISPÊNDIOS E  DESPESAS C/ PESSOAL</v>
      </c>
      <c r="V6183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83" s="3" t="str">
        <f>LEFT(Base_Periodo1[[#This Row],[CLASS]],3)</f>
        <v>3.1</v>
      </c>
    </row>
    <row r="6184" spans="1:23" hidden="1">
      <c r="A6184" s="3" t="str">
        <f t="shared" si="96"/>
        <v>Período 1</v>
      </c>
      <c r="B6184">
        <v>31609</v>
      </c>
      <c r="C6184" t="s">
        <v>3828</v>
      </c>
      <c r="D6184" t="s">
        <v>3829</v>
      </c>
      <c r="E6184" s="3" t="str">
        <f>IF(LEN(Base_Periodo1[[#This Row],[CLASS]])&gt;=7,LEFT(Base_Periodo1[[#This Row],[CLASS]],7),"")</f>
        <v>3.1.1.3</v>
      </c>
      <c r="F6184" s="3" t="e">
        <f>VLOOKUP(Base_Periodo1[[#This Row],[Aux]],Base_Contas_Balanco[#All],2,FALSE)</f>
        <v>#N/A</v>
      </c>
      <c r="G6184" s="1">
        <v>42880</v>
      </c>
      <c r="H6184" s="225">
        <v>16730.149999999674</v>
      </c>
      <c r="I6184" s="225">
        <v>5421.96</v>
      </c>
      <c r="J6184" s="225">
        <v>0</v>
      </c>
      <c r="K6184" s="225">
        <v>22152.109999999673</v>
      </c>
      <c r="L61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-22152.11</v>
      </c>
      <c r="M6184" s="225">
        <f>ROUND(IF(AND(Base_Periodo1[[#This Row],[Tipo_Linha]]="-",Base_Periodo1[[#This Row],[TIPOSALDO]]="D"),Base_Periodo1[[#This Row],[SALDO_ATUAL]]*-1,Base_Periodo1[[#This Row],[SALDO_ATUAL]]),4)</f>
        <v>-22152.11</v>
      </c>
      <c r="N6184" t="s">
        <v>116</v>
      </c>
      <c r="O6184" t="s">
        <v>397</v>
      </c>
      <c r="P6184" t="s">
        <v>397</v>
      </c>
      <c r="Q6184">
        <v>9</v>
      </c>
      <c r="R6184" s="282">
        <f>Base_Periodo1[[#This Row],[CREDITOS]]-Base_Periodo1[[#This Row],[DEBITOS]]</f>
        <v>-5421.96</v>
      </c>
      <c r="S6184" s="3" t="str">
        <f>IF(ISERROR(VLOOKUP(Base_Periodo1[[#This Row],[CONTA]],BaseContasDRE[#All],4,FALSE)),"Fora do DRE",VLOOKUP(Base_Periodo1[[#This Row],[CONTA]],BaseContasDRE[#All],4,FALSE))</f>
        <v>-</v>
      </c>
      <c r="T6184" s="3">
        <f>IF(ISERROR(VLOOKUP(Base_Periodo1[[#This Row],[CONTA]],BaseContasDRE[#All],5,FALSE)),"Fora do DRE",VLOOKUP(Base_Periodo1[[#This Row],[CONTA]],BaseContasDRE[#All],6,FALSE))</f>
        <v>5</v>
      </c>
      <c r="U6184" s="3" t="str">
        <f>IF(ISERROR(VLOOKUP(Base_Periodo1[[#This Row],[CONTA]],BaseContasDRE[#All],7,FALSE)),"Fora do DRE",VLOOKUP(Base_Periodo1[[#This Row],[CONTA]],BaseContasDRE[#All],7,FALSE))</f>
        <v>DISPÊNDIOS E  DESPESAS C/ PESSOAL</v>
      </c>
      <c r="V6184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84" s="3" t="str">
        <f>LEFT(Base_Periodo1[[#This Row],[CLASS]],3)</f>
        <v>3.1</v>
      </c>
    </row>
    <row r="6185" spans="1:23" hidden="1">
      <c r="A6185" s="3" t="str">
        <f t="shared" si="96"/>
        <v>Período 1</v>
      </c>
      <c r="B6185">
        <v>32660</v>
      </c>
      <c r="C6185" t="s">
        <v>3830</v>
      </c>
      <c r="D6185" t="s">
        <v>3831</v>
      </c>
      <c r="E6185" s="3" t="str">
        <f>IF(LEN(Base_Periodo1[[#This Row],[CLASS]])&gt;=7,LEFT(Base_Periodo1[[#This Row],[CLASS]],7),"")</f>
        <v>3.1.1.3</v>
      </c>
      <c r="F6185" s="3" t="e">
        <f>VLOOKUP(Base_Periodo1[[#This Row],[Aux]],Base_Contas_Balanco[#All],2,FALSE)</f>
        <v>#N/A</v>
      </c>
      <c r="G6185" s="1">
        <v>42886</v>
      </c>
      <c r="H6185" s="225">
        <v>75638.00999999998</v>
      </c>
      <c r="I6185" s="225">
        <v>9310</v>
      </c>
      <c r="J6185" s="225">
        <v>4778.6400000000003</v>
      </c>
      <c r="K6185" s="225">
        <v>80169.369999999981</v>
      </c>
      <c r="L61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-80169.37</v>
      </c>
      <c r="M6185" s="225">
        <f>ROUND(IF(AND(Base_Periodo1[[#This Row],[Tipo_Linha]]="-",Base_Periodo1[[#This Row],[TIPOSALDO]]="D"),Base_Periodo1[[#This Row],[SALDO_ATUAL]]*-1,Base_Periodo1[[#This Row],[SALDO_ATUAL]]),4)</f>
        <v>-80169.37</v>
      </c>
      <c r="N6185" t="s">
        <v>116</v>
      </c>
      <c r="O6185" t="s">
        <v>397</v>
      </c>
      <c r="P6185" t="s">
        <v>397</v>
      </c>
      <c r="Q6185">
        <v>9</v>
      </c>
      <c r="R6185" s="282">
        <f>Base_Periodo1[[#This Row],[CREDITOS]]-Base_Periodo1[[#This Row],[DEBITOS]]</f>
        <v>-4531.3599999999997</v>
      </c>
      <c r="S6185" s="3" t="str">
        <f>IF(ISERROR(VLOOKUP(Base_Periodo1[[#This Row],[CONTA]],BaseContasDRE[#All],4,FALSE)),"Fora do DRE",VLOOKUP(Base_Periodo1[[#This Row],[CONTA]],BaseContasDRE[#All],4,FALSE))</f>
        <v>-</v>
      </c>
      <c r="T6185" s="3">
        <f>IF(ISERROR(VLOOKUP(Base_Periodo1[[#This Row],[CONTA]],BaseContasDRE[#All],5,FALSE)),"Fora do DRE",VLOOKUP(Base_Periodo1[[#This Row],[CONTA]],BaseContasDRE[#All],6,FALSE))</f>
        <v>5</v>
      </c>
      <c r="U6185" s="3" t="str">
        <f>IF(ISERROR(VLOOKUP(Base_Periodo1[[#This Row],[CONTA]],BaseContasDRE[#All],7,FALSE)),"Fora do DRE",VLOOKUP(Base_Periodo1[[#This Row],[CONTA]],BaseContasDRE[#All],7,FALSE))</f>
        <v>DISPÊNDIOS E  DESPESAS C/ PESSOAL</v>
      </c>
      <c r="V6185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85" s="3" t="str">
        <f>LEFT(Base_Periodo1[[#This Row],[CLASS]],3)</f>
        <v>3.1</v>
      </c>
    </row>
    <row r="6186" spans="1:23" hidden="1">
      <c r="A6186" s="3" t="str">
        <f t="shared" si="96"/>
        <v>Período 1</v>
      </c>
      <c r="B6186">
        <v>56693</v>
      </c>
      <c r="C6186" t="s">
        <v>5763</v>
      </c>
      <c r="D6186" t="s">
        <v>5764</v>
      </c>
      <c r="E6186" s="3" t="str">
        <f>IF(LEN(Base_Periodo1[[#This Row],[CLASS]])&gt;=7,LEFT(Base_Periodo1[[#This Row],[CLASS]],7),"")</f>
        <v>3.1.1.3</v>
      </c>
      <c r="F6186" s="3" t="e">
        <f>VLOOKUP(Base_Periodo1[[#This Row],[Aux]],Base_Contas_Balanco[#All],2,FALSE)</f>
        <v>#N/A</v>
      </c>
      <c r="G6186" s="1">
        <v>42886</v>
      </c>
      <c r="H6186" s="225">
        <v>150303.88999999998</v>
      </c>
      <c r="I6186" s="225">
        <v>5189.26</v>
      </c>
      <c r="J6186" s="225">
        <v>0</v>
      </c>
      <c r="K6186" s="225">
        <v>155493.15</v>
      </c>
      <c r="L61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-155493.15</v>
      </c>
      <c r="M6186" s="225">
        <f>ROUND(IF(AND(Base_Periodo1[[#This Row],[Tipo_Linha]]="-",Base_Periodo1[[#This Row],[TIPOSALDO]]="D"),Base_Periodo1[[#This Row],[SALDO_ATUAL]]*-1,Base_Periodo1[[#This Row],[SALDO_ATUAL]]),4)</f>
        <v>-155493.15</v>
      </c>
      <c r="N6186" t="s">
        <v>116</v>
      </c>
      <c r="O6186" t="s">
        <v>397</v>
      </c>
      <c r="P6186" t="s">
        <v>397</v>
      </c>
      <c r="Q6186">
        <v>9</v>
      </c>
      <c r="R6186" s="282">
        <f>Base_Periodo1[[#This Row],[CREDITOS]]-Base_Periodo1[[#This Row],[DEBITOS]]</f>
        <v>-5189.26</v>
      </c>
      <c r="S6186" s="3" t="str">
        <f>IF(ISERROR(VLOOKUP(Base_Periodo1[[#This Row],[CONTA]],BaseContasDRE[#All],4,FALSE)),"Fora do DRE",VLOOKUP(Base_Periodo1[[#This Row],[CONTA]],BaseContasDRE[#All],4,FALSE))</f>
        <v>-</v>
      </c>
      <c r="T6186" s="3">
        <f>IF(ISERROR(VLOOKUP(Base_Periodo1[[#This Row],[CONTA]],BaseContasDRE[#All],5,FALSE)),"Fora do DRE",VLOOKUP(Base_Periodo1[[#This Row],[CONTA]],BaseContasDRE[#All],6,FALSE))</f>
        <v>5</v>
      </c>
      <c r="U6186" s="3" t="str">
        <f>IF(ISERROR(VLOOKUP(Base_Periodo1[[#This Row],[CONTA]],BaseContasDRE[#All],7,FALSE)),"Fora do DRE",VLOOKUP(Base_Periodo1[[#This Row],[CONTA]],BaseContasDRE[#All],7,FALSE))</f>
        <v>DISPÊNDIOS E  DESPESAS C/ PESSOAL</v>
      </c>
      <c r="V6186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86" s="3" t="str">
        <f>LEFT(Base_Periodo1[[#This Row],[CLASS]],3)</f>
        <v>3.1</v>
      </c>
    </row>
    <row r="6187" spans="1:23" hidden="1">
      <c r="A6187" s="3" t="str">
        <f t="shared" si="96"/>
        <v>Período 1</v>
      </c>
      <c r="B6187">
        <v>56696</v>
      </c>
      <c r="C6187" t="s">
        <v>5765</v>
      </c>
      <c r="D6187" t="s">
        <v>5766</v>
      </c>
      <c r="E6187" s="3" t="str">
        <f>IF(LEN(Base_Periodo1[[#This Row],[CLASS]])&gt;=7,LEFT(Base_Periodo1[[#This Row],[CLASS]],7),"")</f>
        <v>3.1.1.3</v>
      </c>
      <c r="F6187" s="3" t="e">
        <f>VLOOKUP(Base_Periodo1[[#This Row],[Aux]],Base_Contas_Balanco[#All],2,FALSE)</f>
        <v>#N/A</v>
      </c>
      <c r="G6187" s="1">
        <v>42886</v>
      </c>
      <c r="H6187" s="225">
        <v>8838.9199999999983</v>
      </c>
      <c r="I6187" s="225">
        <v>2631.64</v>
      </c>
      <c r="J6187" s="225">
        <v>0</v>
      </c>
      <c r="K6187" s="225">
        <v>11470.559999999998</v>
      </c>
      <c r="L61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-11470.56</v>
      </c>
      <c r="M6187" s="225">
        <f>ROUND(IF(AND(Base_Periodo1[[#This Row],[Tipo_Linha]]="-",Base_Periodo1[[#This Row],[TIPOSALDO]]="D"),Base_Periodo1[[#This Row],[SALDO_ATUAL]]*-1,Base_Periodo1[[#This Row],[SALDO_ATUAL]]),4)</f>
        <v>-11470.56</v>
      </c>
      <c r="N6187" t="s">
        <v>116</v>
      </c>
      <c r="O6187" t="s">
        <v>397</v>
      </c>
      <c r="P6187" t="s">
        <v>397</v>
      </c>
      <c r="Q6187">
        <v>9</v>
      </c>
      <c r="R6187" s="282">
        <f>Base_Periodo1[[#This Row],[CREDITOS]]-Base_Periodo1[[#This Row],[DEBITOS]]</f>
        <v>-2631.64</v>
      </c>
      <c r="S6187" s="3" t="str">
        <f>IF(ISERROR(VLOOKUP(Base_Periodo1[[#This Row],[CONTA]],BaseContasDRE[#All],4,FALSE)),"Fora do DRE",VLOOKUP(Base_Periodo1[[#This Row],[CONTA]],BaseContasDRE[#All],4,FALSE))</f>
        <v>-</v>
      </c>
      <c r="T6187" s="3">
        <f>IF(ISERROR(VLOOKUP(Base_Periodo1[[#This Row],[CONTA]],BaseContasDRE[#All],5,FALSE)),"Fora do DRE",VLOOKUP(Base_Periodo1[[#This Row],[CONTA]],BaseContasDRE[#All],6,FALSE))</f>
        <v>5</v>
      </c>
      <c r="U6187" s="3" t="str">
        <f>IF(ISERROR(VLOOKUP(Base_Periodo1[[#This Row],[CONTA]],BaseContasDRE[#All],7,FALSE)),"Fora do DRE",VLOOKUP(Base_Periodo1[[#This Row],[CONTA]],BaseContasDRE[#All],7,FALSE))</f>
        <v>DISPÊNDIOS E  DESPESAS C/ PESSOAL</v>
      </c>
      <c r="V6187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87" s="3" t="str">
        <f>LEFT(Base_Periodo1[[#This Row],[CLASS]],3)</f>
        <v>3.1</v>
      </c>
    </row>
    <row r="6188" spans="1:23" hidden="1">
      <c r="A6188" s="3" t="str">
        <f t="shared" si="96"/>
        <v>Período 1</v>
      </c>
      <c r="B6188">
        <v>6150</v>
      </c>
      <c r="C6188" t="s">
        <v>5809</v>
      </c>
      <c r="D6188" t="s">
        <v>5810</v>
      </c>
      <c r="E6188" s="3" t="str">
        <f>IF(LEN(Base_Periodo1[[#This Row],[CLASS]])&gt;=7,LEFT(Base_Periodo1[[#This Row],[CLASS]],7),"")</f>
        <v>3.1.1.3</v>
      </c>
      <c r="F6188" s="3" t="e">
        <f>VLOOKUP(Base_Periodo1[[#This Row],[Aux]],Base_Contas_Balanco[#All],2,FALSE)</f>
        <v>#N/A</v>
      </c>
      <c r="G6188" s="1">
        <v>42886</v>
      </c>
      <c r="H6188" s="225">
        <v>446828.25999998301</v>
      </c>
      <c r="I6188" s="225">
        <v>446828.26</v>
      </c>
      <c r="J6188" s="225">
        <v>702882.64</v>
      </c>
      <c r="K6188" s="225">
        <v>702882.63999998302</v>
      </c>
      <c r="L61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702882.64</v>
      </c>
      <c r="M6188" s="225">
        <f>ROUND(IF(AND(Base_Periodo1[[#This Row],[Tipo_Linha]]="-",Base_Periodo1[[#This Row],[TIPOSALDO]]="D"),Base_Periodo1[[#This Row],[SALDO_ATUAL]]*-1,Base_Periodo1[[#This Row],[SALDO_ATUAL]]),4)</f>
        <v>702882.64</v>
      </c>
      <c r="N6188" t="s">
        <v>116</v>
      </c>
      <c r="O6188" t="s">
        <v>459</v>
      </c>
      <c r="P6188" t="s">
        <v>459</v>
      </c>
      <c r="Q6188">
        <v>9</v>
      </c>
      <c r="R6188" s="282">
        <f>Base_Periodo1[[#This Row],[CREDITOS]]-Base_Periodo1[[#This Row],[DEBITOS]]</f>
        <v>256054.38</v>
      </c>
      <c r="S6188" s="3" t="str">
        <f>IF(ISERROR(VLOOKUP(Base_Periodo1[[#This Row],[CONTA]],BaseContasDRE[#All],4,FALSE)),"Fora do DRE",VLOOKUP(Base_Periodo1[[#This Row],[CONTA]],BaseContasDRE[#All],4,FALSE))</f>
        <v>-</v>
      </c>
      <c r="T6188" s="3">
        <f>IF(ISERROR(VLOOKUP(Base_Periodo1[[#This Row],[CONTA]],BaseContasDRE[#All],5,FALSE)),"Fora do DRE",VLOOKUP(Base_Periodo1[[#This Row],[CONTA]],BaseContasDRE[#All],6,FALSE))</f>
        <v>5</v>
      </c>
      <c r="U6188" s="3" t="str">
        <f>IF(ISERROR(VLOOKUP(Base_Periodo1[[#This Row],[CONTA]],BaseContasDRE[#All],7,FALSE)),"Fora do DRE",VLOOKUP(Base_Periodo1[[#This Row],[CONTA]],BaseContasDRE[#All],7,FALSE))</f>
        <v>DISPÊNDIOS E  DESPESAS C/ PESSOAL</v>
      </c>
      <c r="V6188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188" s="3" t="str">
        <f>LEFT(Base_Periodo1[[#This Row],[CLASS]],3)</f>
        <v>3.1</v>
      </c>
    </row>
    <row r="6189" spans="1:23" hidden="1">
      <c r="A6189" s="3" t="str">
        <f t="shared" si="96"/>
        <v>Período 1</v>
      </c>
      <c r="B6189">
        <v>6151</v>
      </c>
      <c r="C6189" t="s">
        <v>3832</v>
      </c>
      <c r="D6189" t="s">
        <v>4329</v>
      </c>
      <c r="E6189" s="3" t="str">
        <f>IF(LEN(Base_Periodo1[[#This Row],[CLASS]])&gt;=7,LEFT(Base_Periodo1[[#This Row],[CLASS]],7),"")</f>
        <v>3.1.1.3</v>
      </c>
      <c r="F6189" s="3" t="e">
        <f>VLOOKUP(Base_Periodo1[[#This Row],[Aux]],Base_Contas_Balanco[#All],2,FALSE)</f>
        <v>#N/A</v>
      </c>
      <c r="G6189" s="1"/>
      <c r="H6189" s="225">
        <v>7080174.4799999865</v>
      </c>
      <c r="I6189" s="225">
        <v>3070545.5500000012</v>
      </c>
      <c r="J6189" s="225">
        <v>1373162.75</v>
      </c>
      <c r="K6189" s="225">
        <v>8777557.2799999882</v>
      </c>
      <c r="L61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-8777557.2799999993</v>
      </c>
      <c r="M6189" s="225">
        <f>ROUND(IF(AND(Base_Periodo1[[#This Row],[Tipo_Linha]]="-",Base_Periodo1[[#This Row],[TIPOSALDO]]="D"),Base_Periodo1[[#This Row],[SALDO_ATUAL]]*-1,Base_Periodo1[[#This Row],[SALDO_ATUAL]]),4)</f>
        <v>8777557.2799999993</v>
      </c>
      <c r="N6189" t="s">
        <v>396</v>
      </c>
      <c r="O6189" t="s">
        <v>397</v>
      </c>
      <c r="P6189" t="s">
        <v>397</v>
      </c>
      <c r="Q6189">
        <v>8</v>
      </c>
      <c r="R6189" s="282">
        <f>Base_Periodo1[[#This Row],[CREDITOS]]-Base_Periodo1[[#This Row],[DEBITOS]]</f>
        <v>-1697382.8000000012</v>
      </c>
      <c r="S6189" s="3" t="str">
        <f>IF(ISERROR(VLOOKUP(Base_Periodo1[[#This Row],[CONTA]],BaseContasDRE[#All],4,FALSE)),"Fora do DRE",VLOOKUP(Base_Periodo1[[#This Row],[CONTA]],BaseContasDRE[#All],4,FALSE))</f>
        <v>Fora do DRE</v>
      </c>
      <c r="T6189" s="3" t="str">
        <f>IF(ISERROR(VLOOKUP(Base_Periodo1[[#This Row],[CONTA]],BaseContasDRE[#All],5,FALSE)),"Fora do DRE",VLOOKUP(Base_Periodo1[[#This Row],[CONTA]],BaseContasDRE[#All],6,FALSE))</f>
        <v>Fora do DRE</v>
      </c>
      <c r="U6189" s="3" t="str">
        <f>IF(ISERROR(VLOOKUP(Base_Periodo1[[#This Row],[CONTA]],BaseContasDRE[#All],7,FALSE)),"Fora do DRE",VLOOKUP(Base_Periodo1[[#This Row],[CONTA]],BaseContasDRE[#All],7,FALSE))</f>
        <v>Fora do DRE</v>
      </c>
      <c r="V6189" s="3" t="str">
        <f>IF(Base_Periodo1[[#This Row],[Tipo_Linha]]="Fora do DRE","Fora do DRE","( "&amp;Base_Periodo1[[#This Row],[Tipo_Linha]]&amp;" ) "&amp;Base_Periodo1[[#This Row],[Filtro]])</f>
        <v>Fora do DRE</v>
      </c>
      <c r="W6189" s="3" t="str">
        <f>LEFT(Base_Periodo1[[#This Row],[CLASS]],3)</f>
        <v>3.1</v>
      </c>
    </row>
    <row r="6190" spans="1:23" hidden="1">
      <c r="A6190" s="3" t="str">
        <f t="shared" si="96"/>
        <v>Período 1</v>
      </c>
      <c r="B6190">
        <v>6152</v>
      </c>
      <c r="C6190" t="s">
        <v>3833</v>
      </c>
      <c r="D6190" t="s">
        <v>3834</v>
      </c>
      <c r="E6190" s="3" t="str">
        <f>IF(LEN(Base_Periodo1[[#This Row],[CLASS]])&gt;=7,LEFT(Base_Periodo1[[#This Row],[CLASS]],7),"")</f>
        <v>3.1.1.3</v>
      </c>
      <c r="F6190" s="3" t="e">
        <f>VLOOKUP(Base_Periodo1[[#This Row],[Aux]],Base_Contas_Balanco[#All],2,FALSE)</f>
        <v>#N/A</v>
      </c>
      <c r="G6190" s="1">
        <v>42884</v>
      </c>
      <c r="H6190" s="225">
        <v>21671.899999999994</v>
      </c>
      <c r="I6190" s="225">
        <v>1833.54</v>
      </c>
      <c r="J6190" s="225">
        <v>0</v>
      </c>
      <c r="K6190" s="225">
        <v>23505.439999999995</v>
      </c>
      <c r="L61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-23505.439999999999</v>
      </c>
      <c r="M6190" s="225">
        <f>ROUND(IF(AND(Base_Periodo1[[#This Row],[Tipo_Linha]]="-",Base_Periodo1[[#This Row],[TIPOSALDO]]="D"),Base_Periodo1[[#This Row],[SALDO_ATUAL]]*-1,Base_Periodo1[[#This Row],[SALDO_ATUAL]]),4)</f>
        <v>-23505.439999999999</v>
      </c>
      <c r="N6190" t="s">
        <v>116</v>
      </c>
      <c r="O6190" t="s">
        <v>397</v>
      </c>
      <c r="P6190" t="s">
        <v>397</v>
      </c>
      <c r="Q6190">
        <v>9</v>
      </c>
      <c r="R6190" s="282">
        <f>Base_Periodo1[[#This Row],[CREDITOS]]-Base_Periodo1[[#This Row],[DEBITOS]]</f>
        <v>-1833.54</v>
      </c>
      <c r="S6190" s="3" t="str">
        <f>IF(ISERROR(VLOOKUP(Base_Periodo1[[#This Row],[CONTA]],BaseContasDRE[#All],4,FALSE)),"Fora do DRE",VLOOKUP(Base_Periodo1[[#This Row],[CONTA]],BaseContasDRE[#All],4,FALSE))</f>
        <v>-</v>
      </c>
      <c r="T6190" s="3">
        <f>IF(ISERROR(VLOOKUP(Base_Periodo1[[#This Row],[CONTA]],BaseContasDRE[#All],5,FALSE)),"Fora do DRE",VLOOKUP(Base_Periodo1[[#This Row],[CONTA]],BaseContasDRE[#All],6,FALSE))</f>
        <v>5</v>
      </c>
      <c r="U6190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190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190" s="3" t="str">
        <f>LEFT(Base_Periodo1[[#This Row],[CLASS]],3)</f>
        <v>3.1</v>
      </c>
    </row>
    <row r="6191" spans="1:23" hidden="1">
      <c r="A6191" s="3" t="str">
        <f t="shared" si="96"/>
        <v>Período 1</v>
      </c>
      <c r="B6191">
        <v>6153</v>
      </c>
      <c r="C6191" t="s">
        <v>3835</v>
      </c>
      <c r="D6191" t="s">
        <v>3836</v>
      </c>
      <c r="E6191" s="3" t="str">
        <f>IF(LEN(Base_Periodo1[[#This Row],[CLASS]])&gt;=7,LEFT(Base_Periodo1[[#This Row],[CLASS]],7),"")</f>
        <v>3.1.1.3</v>
      </c>
      <c r="F6191" s="3" t="e">
        <f>VLOOKUP(Base_Periodo1[[#This Row],[Aux]],Base_Contas_Balanco[#All],2,FALSE)</f>
        <v>#N/A</v>
      </c>
      <c r="G6191" s="1">
        <v>42886</v>
      </c>
      <c r="H6191" s="225">
        <v>474526.14999999851</v>
      </c>
      <c r="I6191" s="225">
        <v>296891.52999999997</v>
      </c>
      <c r="J6191" s="225">
        <v>124580.84</v>
      </c>
      <c r="K6191" s="225">
        <v>646836.83999999857</v>
      </c>
      <c r="L61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-646836.84</v>
      </c>
      <c r="M6191" s="225">
        <f>ROUND(IF(AND(Base_Periodo1[[#This Row],[Tipo_Linha]]="-",Base_Periodo1[[#This Row],[TIPOSALDO]]="D"),Base_Periodo1[[#This Row],[SALDO_ATUAL]]*-1,Base_Periodo1[[#This Row],[SALDO_ATUAL]]),4)</f>
        <v>-646836.84</v>
      </c>
      <c r="N6191" t="s">
        <v>116</v>
      </c>
      <c r="O6191" t="s">
        <v>397</v>
      </c>
      <c r="P6191" t="s">
        <v>397</v>
      </c>
      <c r="Q6191">
        <v>9</v>
      </c>
      <c r="R6191" s="282">
        <f>Base_Periodo1[[#This Row],[CREDITOS]]-Base_Periodo1[[#This Row],[DEBITOS]]</f>
        <v>-172310.68999999997</v>
      </c>
      <c r="S6191" s="3" t="str">
        <f>IF(ISERROR(VLOOKUP(Base_Periodo1[[#This Row],[CONTA]],BaseContasDRE[#All],4,FALSE)),"Fora do DRE",VLOOKUP(Base_Periodo1[[#This Row],[CONTA]],BaseContasDRE[#All],4,FALSE))</f>
        <v>-</v>
      </c>
      <c r="T6191" s="3">
        <f>IF(ISERROR(VLOOKUP(Base_Periodo1[[#This Row],[CONTA]],BaseContasDRE[#All],5,FALSE)),"Fora do DRE",VLOOKUP(Base_Periodo1[[#This Row],[CONTA]],BaseContasDRE[#All],6,FALSE))</f>
        <v>5</v>
      </c>
      <c r="U6191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191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191" s="3" t="str">
        <f>LEFT(Base_Periodo1[[#This Row],[CLASS]],3)</f>
        <v>3.1</v>
      </c>
    </row>
    <row r="6192" spans="1:23" hidden="1">
      <c r="A6192" s="3" t="str">
        <f t="shared" si="96"/>
        <v>Período 1</v>
      </c>
      <c r="B6192">
        <v>6154</v>
      </c>
      <c r="C6192" t="s">
        <v>3837</v>
      </c>
      <c r="D6192" t="s">
        <v>3838</v>
      </c>
      <c r="E6192" s="3" t="str">
        <f>IF(LEN(Base_Periodo1[[#This Row],[CLASS]])&gt;=7,LEFT(Base_Periodo1[[#This Row],[CLASS]],7),"")</f>
        <v>3.1.1.3</v>
      </c>
      <c r="F6192" s="3" t="e">
        <f>VLOOKUP(Base_Periodo1[[#This Row],[Aux]],Base_Contas_Balanco[#All],2,FALSE)</f>
        <v>#N/A</v>
      </c>
      <c r="G6192" s="1">
        <v>42881</v>
      </c>
      <c r="H6192" s="225">
        <v>36049.059999999707</v>
      </c>
      <c r="I6192" s="225">
        <v>11629.879999999996</v>
      </c>
      <c r="J6192" s="225">
        <v>0</v>
      </c>
      <c r="K6192" s="225">
        <v>47678.939999999704</v>
      </c>
      <c r="L61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-47678.94</v>
      </c>
      <c r="M6192" s="225">
        <f>ROUND(IF(AND(Base_Periodo1[[#This Row],[Tipo_Linha]]="-",Base_Periodo1[[#This Row],[TIPOSALDO]]="D"),Base_Periodo1[[#This Row],[SALDO_ATUAL]]*-1,Base_Periodo1[[#This Row],[SALDO_ATUAL]]),4)</f>
        <v>-47678.94</v>
      </c>
      <c r="N6192" t="s">
        <v>116</v>
      </c>
      <c r="O6192" t="s">
        <v>397</v>
      </c>
      <c r="P6192" t="s">
        <v>397</v>
      </c>
      <c r="Q6192">
        <v>9</v>
      </c>
      <c r="R6192" s="282">
        <f>Base_Periodo1[[#This Row],[CREDITOS]]-Base_Periodo1[[#This Row],[DEBITOS]]</f>
        <v>-11629.879999999996</v>
      </c>
      <c r="S6192" s="3" t="str">
        <f>IF(ISERROR(VLOOKUP(Base_Periodo1[[#This Row],[CONTA]],BaseContasDRE[#All],4,FALSE)),"Fora do DRE",VLOOKUP(Base_Periodo1[[#This Row],[CONTA]],BaseContasDRE[#All],4,FALSE))</f>
        <v>-</v>
      </c>
      <c r="T6192" s="3">
        <f>IF(ISERROR(VLOOKUP(Base_Periodo1[[#This Row],[CONTA]],BaseContasDRE[#All],5,FALSE)),"Fora do DRE",VLOOKUP(Base_Periodo1[[#This Row],[CONTA]],BaseContasDRE[#All],6,FALSE))</f>
        <v>5</v>
      </c>
      <c r="U6192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192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192" s="3" t="str">
        <f>LEFT(Base_Periodo1[[#This Row],[CLASS]],3)</f>
        <v>3.1</v>
      </c>
    </row>
    <row r="6193" spans="1:23" hidden="1">
      <c r="A6193" s="3" t="str">
        <f t="shared" si="96"/>
        <v>Período 1</v>
      </c>
      <c r="B6193">
        <v>6156</v>
      </c>
      <c r="C6193" t="s">
        <v>3839</v>
      </c>
      <c r="D6193" t="s">
        <v>3840</v>
      </c>
      <c r="E6193" s="3" t="str">
        <f>IF(LEN(Base_Periodo1[[#This Row],[CLASS]])&gt;=7,LEFT(Base_Periodo1[[#This Row],[CLASS]],7),"")</f>
        <v>3.1.1.3</v>
      </c>
      <c r="F6193" s="3" t="e">
        <f>VLOOKUP(Base_Periodo1[[#This Row],[Aux]],Base_Contas_Balanco[#All],2,FALSE)</f>
        <v>#N/A</v>
      </c>
      <c r="G6193" s="1">
        <v>42886</v>
      </c>
      <c r="H6193" s="225">
        <v>249793.97999997437</v>
      </c>
      <c r="I6193" s="225">
        <v>104931.58000000003</v>
      </c>
      <c r="J6193" s="225">
        <v>37491.26</v>
      </c>
      <c r="K6193" s="225">
        <v>317234.29999997438</v>
      </c>
      <c r="L61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-317234.3</v>
      </c>
      <c r="M6193" s="225">
        <f>ROUND(IF(AND(Base_Periodo1[[#This Row],[Tipo_Linha]]="-",Base_Periodo1[[#This Row],[TIPOSALDO]]="D"),Base_Periodo1[[#This Row],[SALDO_ATUAL]]*-1,Base_Periodo1[[#This Row],[SALDO_ATUAL]]),4)</f>
        <v>-317234.3</v>
      </c>
      <c r="N6193" t="s">
        <v>116</v>
      </c>
      <c r="O6193" t="s">
        <v>397</v>
      </c>
      <c r="P6193" t="s">
        <v>397</v>
      </c>
      <c r="Q6193">
        <v>9</v>
      </c>
      <c r="R6193" s="282">
        <f>Base_Periodo1[[#This Row],[CREDITOS]]-Base_Periodo1[[#This Row],[DEBITOS]]</f>
        <v>-67440.320000000036</v>
      </c>
      <c r="S6193" s="3" t="str">
        <f>IF(ISERROR(VLOOKUP(Base_Periodo1[[#This Row],[CONTA]],BaseContasDRE[#All],4,FALSE)),"Fora do DRE",VLOOKUP(Base_Periodo1[[#This Row],[CONTA]],BaseContasDRE[#All],4,FALSE))</f>
        <v>-</v>
      </c>
      <c r="T6193" s="3">
        <f>IF(ISERROR(VLOOKUP(Base_Periodo1[[#This Row],[CONTA]],BaseContasDRE[#All],5,FALSE)),"Fora do DRE",VLOOKUP(Base_Periodo1[[#This Row],[CONTA]],BaseContasDRE[#All],6,FALSE))</f>
        <v>5</v>
      </c>
      <c r="U6193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193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193" s="3" t="str">
        <f>LEFT(Base_Periodo1[[#This Row],[CLASS]],3)</f>
        <v>3.1</v>
      </c>
    </row>
    <row r="6194" spans="1:23" hidden="1">
      <c r="A6194" s="3" t="str">
        <f t="shared" si="96"/>
        <v>Período 1</v>
      </c>
      <c r="B6194">
        <v>6157</v>
      </c>
      <c r="C6194" t="s">
        <v>3841</v>
      </c>
      <c r="D6194" t="s">
        <v>4330</v>
      </c>
      <c r="E6194" s="3" t="str">
        <f>IF(LEN(Base_Periodo1[[#This Row],[CLASS]])&gt;=7,LEFT(Base_Periodo1[[#This Row],[CLASS]],7),"")</f>
        <v>3.1.1.3</v>
      </c>
      <c r="F6194" s="3" t="e">
        <f>VLOOKUP(Base_Periodo1[[#This Row],[Aux]],Base_Contas_Balanco[#All],2,FALSE)</f>
        <v>#N/A</v>
      </c>
      <c r="G6194" s="1">
        <v>42886</v>
      </c>
      <c r="H6194" s="225">
        <v>100331.50999998767</v>
      </c>
      <c r="I6194" s="225">
        <v>41151.37999999999</v>
      </c>
      <c r="J6194" s="225">
        <v>2515.3299999999995</v>
      </c>
      <c r="K6194" s="225">
        <v>138967.55999998769</v>
      </c>
      <c r="L61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-138967.56</v>
      </c>
      <c r="M6194" s="225">
        <f>ROUND(IF(AND(Base_Periodo1[[#This Row],[Tipo_Linha]]="-",Base_Periodo1[[#This Row],[TIPOSALDO]]="D"),Base_Periodo1[[#This Row],[SALDO_ATUAL]]*-1,Base_Periodo1[[#This Row],[SALDO_ATUAL]]),4)</f>
        <v>-138967.56</v>
      </c>
      <c r="N6194" t="s">
        <v>116</v>
      </c>
      <c r="O6194" t="s">
        <v>397</v>
      </c>
      <c r="P6194" t="s">
        <v>397</v>
      </c>
      <c r="Q6194">
        <v>9</v>
      </c>
      <c r="R6194" s="282">
        <f>Base_Periodo1[[#This Row],[CREDITOS]]-Base_Periodo1[[#This Row],[DEBITOS]]</f>
        <v>-38636.049999999988</v>
      </c>
      <c r="S6194" s="3" t="str">
        <f>IF(ISERROR(VLOOKUP(Base_Periodo1[[#This Row],[CONTA]],BaseContasDRE[#All],4,FALSE)),"Fora do DRE",VLOOKUP(Base_Periodo1[[#This Row],[CONTA]],BaseContasDRE[#All],4,FALSE))</f>
        <v>-</v>
      </c>
      <c r="T6194" s="3">
        <f>IF(ISERROR(VLOOKUP(Base_Periodo1[[#This Row],[CONTA]],BaseContasDRE[#All],5,FALSE)),"Fora do DRE",VLOOKUP(Base_Periodo1[[#This Row],[CONTA]],BaseContasDRE[#All],6,FALSE))</f>
        <v>5</v>
      </c>
      <c r="U6194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194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194" s="3" t="str">
        <f>LEFT(Base_Periodo1[[#This Row],[CLASS]],3)</f>
        <v>3.1</v>
      </c>
    </row>
    <row r="6195" spans="1:23" hidden="1">
      <c r="A6195" s="3" t="str">
        <f t="shared" si="96"/>
        <v>Período 1</v>
      </c>
      <c r="B6195">
        <v>6158</v>
      </c>
      <c r="C6195" t="s">
        <v>3842</v>
      </c>
      <c r="D6195" t="s">
        <v>3843</v>
      </c>
      <c r="E6195" s="3" t="str">
        <f>IF(LEN(Base_Periodo1[[#This Row],[CLASS]])&gt;=7,LEFT(Base_Periodo1[[#This Row],[CLASS]],7),"")</f>
        <v>3.1.1.3</v>
      </c>
      <c r="F6195" s="3" t="e">
        <f>VLOOKUP(Base_Periodo1[[#This Row],[Aux]],Base_Contas_Balanco[#All],2,FALSE)</f>
        <v>#N/A</v>
      </c>
      <c r="G6195" s="1">
        <v>42886</v>
      </c>
      <c r="H6195" s="225">
        <v>2430.2600000000093</v>
      </c>
      <c r="I6195" s="225">
        <v>135</v>
      </c>
      <c r="J6195" s="225">
        <v>0</v>
      </c>
      <c r="K6195" s="225">
        <v>2565.2600000000093</v>
      </c>
      <c r="L61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-2565.2600000000002</v>
      </c>
      <c r="M6195" s="225">
        <f>ROUND(IF(AND(Base_Periodo1[[#This Row],[Tipo_Linha]]="-",Base_Periodo1[[#This Row],[TIPOSALDO]]="D"),Base_Periodo1[[#This Row],[SALDO_ATUAL]]*-1,Base_Periodo1[[#This Row],[SALDO_ATUAL]]),4)</f>
        <v>-2565.2600000000002</v>
      </c>
      <c r="N6195" t="s">
        <v>116</v>
      </c>
      <c r="O6195" t="s">
        <v>397</v>
      </c>
      <c r="P6195" t="s">
        <v>397</v>
      </c>
      <c r="Q6195">
        <v>9</v>
      </c>
      <c r="R6195" s="282">
        <f>Base_Periodo1[[#This Row],[CREDITOS]]-Base_Periodo1[[#This Row],[DEBITOS]]</f>
        <v>-135</v>
      </c>
      <c r="S6195" s="3" t="str">
        <f>IF(ISERROR(VLOOKUP(Base_Periodo1[[#This Row],[CONTA]],BaseContasDRE[#All],4,FALSE)),"Fora do DRE",VLOOKUP(Base_Periodo1[[#This Row],[CONTA]],BaseContasDRE[#All],4,FALSE))</f>
        <v>-</v>
      </c>
      <c r="T6195" s="3">
        <f>IF(ISERROR(VLOOKUP(Base_Periodo1[[#This Row],[CONTA]],BaseContasDRE[#All],5,FALSE)),"Fora do DRE",VLOOKUP(Base_Periodo1[[#This Row],[CONTA]],BaseContasDRE[#All],6,FALSE))</f>
        <v>5</v>
      </c>
      <c r="U6195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195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195" s="3" t="str">
        <f>LEFT(Base_Periodo1[[#This Row],[CLASS]],3)</f>
        <v>3.1</v>
      </c>
    </row>
    <row r="6196" spans="1:23" hidden="1">
      <c r="A6196" s="3" t="str">
        <f t="shared" si="96"/>
        <v>Período 1</v>
      </c>
      <c r="B6196">
        <v>6159</v>
      </c>
      <c r="C6196" t="s">
        <v>3844</v>
      </c>
      <c r="D6196" t="s">
        <v>4331</v>
      </c>
      <c r="E6196" s="3" t="str">
        <f>IF(LEN(Base_Periodo1[[#This Row],[CLASS]])&gt;=7,LEFT(Base_Periodo1[[#This Row],[CLASS]],7),"")</f>
        <v>3.1.1.3</v>
      </c>
      <c r="F6196" s="3" t="e">
        <f>VLOOKUP(Base_Periodo1[[#This Row],[Aux]],Base_Contas_Balanco[#All],2,FALSE)</f>
        <v>#N/A</v>
      </c>
      <c r="G6196" s="1">
        <v>42864</v>
      </c>
      <c r="H6196" s="225">
        <v>200377.47999999986</v>
      </c>
      <c r="I6196" s="225">
        <v>1584.2</v>
      </c>
      <c r="J6196" s="225">
        <v>0</v>
      </c>
      <c r="K6196" s="225">
        <v>201961.67999999988</v>
      </c>
      <c r="L61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-201961.68</v>
      </c>
      <c r="M6196" s="225">
        <f>ROUND(IF(AND(Base_Periodo1[[#This Row],[Tipo_Linha]]="-",Base_Periodo1[[#This Row],[TIPOSALDO]]="D"),Base_Periodo1[[#This Row],[SALDO_ATUAL]]*-1,Base_Periodo1[[#This Row],[SALDO_ATUAL]]),4)</f>
        <v>-201961.68</v>
      </c>
      <c r="N6196" t="s">
        <v>116</v>
      </c>
      <c r="O6196" t="s">
        <v>397</v>
      </c>
      <c r="P6196" t="s">
        <v>397</v>
      </c>
      <c r="Q6196">
        <v>9</v>
      </c>
      <c r="R6196" s="282">
        <f>Base_Periodo1[[#This Row],[CREDITOS]]-Base_Periodo1[[#This Row],[DEBITOS]]</f>
        <v>-1584.2</v>
      </c>
      <c r="S6196" s="3" t="str">
        <f>IF(ISERROR(VLOOKUP(Base_Periodo1[[#This Row],[CONTA]],BaseContasDRE[#All],4,FALSE)),"Fora do DRE",VLOOKUP(Base_Periodo1[[#This Row],[CONTA]],BaseContasDRE[#All],4,FALSE))</f>
        <v>-</v>
      </c>
      <c r="T6196" s="3">
        <f>IF(ISERROR(VLOOKUP(Base_Periodo1[[#This Row],[CONTA]],BaseContasDRE[#All],5,FALSE)),"Fora do DRE",VLOOKUP(Base_Periodo1[[#This Row],[CONTA]],BaseContasDRE[#All],6,FALSE))</f>
        <v>5</v>
      </c>
      <c r="U6196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196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196" s="3" t="str">
        <f>LEFT(Base_Periodo1[[#This Row],[CLASS]],3)</f>
        <v>3.1</v>
      </c>
    </row>
    <row r="6197" spans="1:23" hidden="1">
      <c r="A6197" s="3" t="str">
        <f t="shared" si="96"/>
        <v>Período 1</v>
      </c>
      <c r="B6197">
        <v>6160</v>
      </c>
      <c r="C6197" t="s">
        <v>3845</v>
      </c>
      <c r="D6197" t="s">
        <v>4332</v>
      </c>
      <c r="E6197" s="3" t="str">
        <f>IF(LEN(Base_Periodo1[[#This Row],[CLASS]])&gt;=7,LEFT(Base_Periodo1[[#This Row],[CLASS]],7),"")</f>
        <v>3.1.1.3</v>
      </c>
      <c r="F6197" s="3" t="e">
        <f>VLOOKUP(Base_Periodo1[[#This Row],[Aux]],Base_Contas_Balanco[#All],2,FALSE)</f>
        <v>#N/A</v>
      </c>
      <c r="G6197" s="1">
        <v>42880</v>
      </c>
      <c r="H6197" s="225">
        <v>18495.600000000006</v>
      </c>
      <c r="I6197" s="225">
        <v>5900</v>
      </c>
      <c r="J6197" s="225">
        <v>0</v>
      </c>
      <c r="K6197" s="225">
        <v>24395.600000000006</v>
      </c>
      <c r="L61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-24395.599999999999</v>
      </c>
      <c r="M6197" s="225">
        <f>ROUND(IF(AND(Base_Periodo1[[#This Row],[Tipo_Linha]]="-",Base_Periodo1[[#This Row],[TIPOSALDO]]="D"),Base_Periodo1[[#This Row],[SALDO_ATUAL]]*-1,Base_Periodo1[[#This Row],[SALDO_ATUAL]]),4)</f>
        <v>-24395.599999999999</v>
      </c>
      <c r="N6197" t="s">
        <v>116</v>
      </c>
      <c r="O6197" t="s">
        <v>397</v>
      </c>
      <c r="P6197" t="s">
        <v>397</v>
      </c>
      <c r="Q6197">
        <v>9</v>
      </c>
      <c r="R6197" s="282">
        <f>Base_Periodo1[[#This Row],[CREDITOS]]-Base_Periodo1[[#This Row],[DEBITOS]]</f>
        <v>-5900</v>
      </c>
      <c r="S6197" s="3" t="str">
        <f>IF(ISERROR(VLOOKUP(Base_Periodo1[[#This Row],[CONTA]],BaseContasDRE[#All],4,FALSE)),"Fora do DRE",VLOOKUP(Base_Periodo1[[#This Row],[CONTA]],BaseContasDRE[#All],4,FALSE))</f>
        <v>-</v>
      </c>
      <c r="T6197" s="3">
        <f>IF(ISERROR(VLOOKUP(Base_Periodo1[[#This Row],[CONTA]],BaseContasDRE[#All],5,FALSE)),"Fora do DRE",VLOOKUP(Base_Periodo1[[#This Row],[CONTA]],BaseContasDRE[#All],6,FALSE))</f>
        <v>5</v>
      </c>
      <c r="U6197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197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197" s="3" t="str">
        <f>LEFT(Base_Periodo1[[#This Row],[CLASS]],3)</f>
        <v>3.1</v>
      </c>
    </row>
    <row r="6198" spans="1:23" hidden="1">
      <c r="A6198" s="3" t="str">
        <f t="shared" si="96"/>
        <v>Período 1</v>
      </c>
      <c r="B6198">
        <v>6161</v>
      </c>
      <c r="C6198" t="s">
        <v>3846</v>
      </c>
      <c r="D6198" t="s">
        <v>3847</v>
      </c>
      <c r="E6198" s="3" t="str">
        <f>IF(LEN(Base_Periodo1[[#This Row],[CLASS]])&gt;=7,LEFT(Base_Periodo1[[#This Row],[CLASS]],7),"")</f>
        <v>3.1.1.3</v>
      </c>
      <c r="F6198" s="3" t="e">
        <f>VLOOKUP(Base_Periodo1[[#This Row],[Aux]],Base_Contas_Balanco[#All],2,FALSE)</f>
        <v>#N/A</v>
      </c>
      <c r="G6198" s="1">
        <v>42860</v>
      </c>
      <c r="H6198" s="225">
        <v>102400</v>
      </c>
      <c r="I6198" s="225">
        <v>29000</v>
      </c>
      <c r="J6198" s="225">
        <v>0</v>
      </c>
      <c r="K6198" s="225">
        <v>131400</v>
      </c>
      <c r="L61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-131400</v>
      </c>
      <c r="M6198" s="225">
        <f>ROUND(IF(AND(Base_Periodo1[[#This Row],[Tipo_Linha]]="-",Base_Periodo1[[#This Row],[TIPOSALDO]]="D"),Base_Periodo1[[#This Row],[SALDO_ATUAL]]*-1,Base_Periodo1[[#This Row],[SALDO_ATUAL]]),4)</f>
        <v>-131400</v>
      </c>
      <c r="N6198" t="s">
        <v>116</v>
      </c>
      <c r="O6198" t="s">
        <v>397</v>
      </c>
      <c r="P6198" t="s">
        <v>397</v>
      </c>
      <c r="Q6198">
        <v>9</v>
      </c>
      <c r="R6198" s="282">
        <f>Base_Periodo1[[#This Row],[CREDITOS]]-Base_Periodo1[[#This Row],[DEBITOS]]</f>
        <v>-29000</v>
      </c>
      <c r="S6198" s="3" t="str">
        <f>IF(ISERROR(VLOOKUP(Base_Periodo1[[#This Row],[CONTA]],BaseContasDRE[#All],4,FALSE)),"Fora do DRE",VLOOKUP(Base_Periodo1[[#This Row],[CONTA]],BaseContasDRE[#All],4,FALSE))</f>
        <v>-</v>
      </c>
      <c r="T6198" s="3">
        <f>IF(ISERROR(VLOOKUP(Base_Periodo1[[#This Row],[CONTA]],BaseContasDRE[#All],5,FALSE)),"Fora do DRE",VLOOKUP(Base_Periodo1[[#This Row],[CONTA]],BaseContasDRE[#All],6,FALSE))</f>
        <v>5</v>
      </c>
      <c r="U6198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198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198" s="3" t="str">
        <f>LEFT(Base_Periodo1[[#This Row],[CLASS]],3)</f>
        <v>3.1</v>
      </c>
    </row>
    <row r="6199" spans="1:23" hidden="1">
      <c r="A6199" s="3" t="str">
        <f t="shared" si="96"/>
        <v>Período 1</v>
      </c>
      <c r="B6199">
        <v>6162</v>
      </c>
      <c r="C6199" t="s">
        <v>3848</v>
      </c>
      <c r="D6199" t="s">
        <v>3849</v>
      </c>
      <c r="E6199" s="3" t="str">
        <f>IF(LEN(Base_Periodo1[[#This Row],[CLASS]])&gt;=7,LEFT(Base_Periodo1[[#This Row],[CLASS]],7),"")</f>
        <v>3.1.1.3</v>
      </c>
      <c r="F6199" s="3" t="e">
        <f>VLOOKUP(Base_Periodo1[[#This Row],[Aux]],Base_Contas_Balanco[#All],2,FALSE)</f>
        <v>#N/A</v>
      </c>
      <c r="G6199" s="1">
        <v>42886</v>
      </c>
      <c r="H6199" s="225">
        <v>67160.360000000801</v>
      </c>
      <c r="I6199" s="225">
        <v>17748.920000000002</v>
      </c>
      <c r="J6199" s="225">
        <v>0</v>
      </c>
      <c r="K6199" s="225">
        <v>84909.280000000799</v>
      </c>
      <c r="L61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-84909.28</v>
      </c>
      <c r="M6199" s="225">
        <f>ROUND(IF(AND(Base_Periodo1[[#This Row],[Tipo_Linha]]="-",Base_Periodo1[[#This Row],[TIPOSALDO]]="D"),Base_Periodo1[[#This Row],[SALDO_ATUAL]]*-1,Base_Periodo1[[#This Row],[SALDO_ATUAL]]),4)</f>
        <v>-84909.28</v>
      </c>
      <c r="N6199" t="s">
        <v>116</v>
      </c>
      <c r="O6199" t="s">
        <v>397</v>
      </c>
      <c r="P6199" t="s">
        <v>397</v>
      </c>
      <c r="Q6199">
        <v>9</v>
      </c>
      <c r="R6199" s="282">
        <f>Base_Periodo1[[#This Row],[CREDITOS]]-Base_Periodo1[[#This Row],[DEBITOS]]</f>
        <v>-17748.920000000002</v>
      </c>
      <c r="S6199" s="3" t="str">
        <f>IF(ISERROR(VLOOKUP(Base_Periodo1[[#This Row],[CONTA]],BaseContasDRE[#All],4,FALSE)),"Fora do DRE",VLOOKUP(Base_Periodo1[[#This Row],[CONTA]],BaseContasDRE[#All],4,FALSE))</f>
        <v>-</v>
      </c>
      <c r="T6199" s="3">
        <f>IF(ISERROR(VLOOKUP(Base_Periodo1[[#This Row],[CONTA]],BaseContasDRE[#All],5,FALSE)),"Fora do DRE",VLOOKUP(Base_Periodo1[[#This Row],[CONTA]],BaseContasDRE[#All],6,FALSE))</f>
        <v>5</v>
      </c>
      <c r="U6199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199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199" s="3" t="str">
        <f>LEFT(Base_Periodo1[[#This Row],[CLASS]],3)</f>
        <v>3.1</v>
      </c>
    </row>
    <row r="6200" spans="1:23" hidden="1">
      <c r="A6200" s="3" t="str">
        <f t="shared" si="96"/>
        <v>Período 1</v>
      </c>
      <c r="B6200">
        <v>6163</v>
      </c>
      <c r="C6200" t="s">
        <v>3850</v>
      </c>
      <c r="D6200" t="s">
        <v>3851</v>
      </c>
      <c r="E6200" s="3" t="str">
        <f>IF(LEN(Base_Periodo1[[#This Row],[CLASS]])&gt;=7,LEFT(Base_Periodo1[[#This Row],[CLASS]],7),"")</f>
        <v>3.1.1.3</v>
      </c>
      <c r="F6200" s="3" t="e">
        <f>VLOOKUP(Base_Periodo1[[#This Row],[Aux]],Base_Contas_Balanco[#All],2,FALSE)</f>
        <v>#N/A</v>
      </c>
      <c r="G6200" s="1">
        <v>42886</v>
      </c>
      <c r="H6200" s="225">
        <v>254217.95999999344</v>
      </c>
      <c r="I6200" s="225">
        <v>141982.40999999997</v>
      </c>
      <c r="J6200" s="225">
        <v>68757.64</v>
      </c>
      <c r="K6200" s="225">
        <v>327442.7299999934</v>
      </c>
      <c r="L62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-327442.73</v>
      </c>
      <c r="M6200" s="225">
        <f>ROUND(IF(AND(Base_Periodo1[[#This Row],[Tipo_Linha]]="-",Base_Periodo1[[#This Row],[TIPOSALDO]]="D"),Base_Periodo1[[#This Row],[SALDO_ATUAL]]*-1,Base_Periodo1[[#This Row],[SALDO_ATUAL]]),4)</f>
        <v>-327442.73</v>
      </c>
      <c r="N6200" t="s">
        <v>116</v>
      </c>
      <c r="O6200" t="s">
        <v>397</v>
      </c>
      <c r="P6200" t="s">
        <v>397</v>
      </c>
      <c r="Q6200">
        <v>9</v>
      </c>
      <c r="R6200" s="282">
        <f>Base_Periodo1[[#This Row],[CREDITOS]]-Base_Periodo1[[#This Row],[DEBITOS]]</f>
        <v>-73224.769999999975</v>
      </c>
      <c r="S6200" s="3" t="str">
        <f>IF(ISERROR(VLOOKUP(Base_Periodo1[[#This Row],[CONTA]],BaseContasDRE[#All],4,FALSE)),"Fora do DRE",VLOOKUP(Base_Periodo1[[#This Row],[CONTA]],BaseContasDRE[#All],4,FALSE))</f>
        <v>-</v>
      </c>
      <c r="T6200" s="3">
        <f>IF(ISERROR(VLOOKUP(Base_Periodo1[[#This Row],[CONTA]],BaseContasDRE[#All],5,FALSE)),"Fora do DRE",VLOOKUP(Base_Periodo1[[#This Row],[CONTA]],BaseContasDRE[#All],6,FALSE))</f>
        <v>5</v>
      </c>
      <c r="U6200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00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00" s="3" t="str">
        <f>LEFT(Base_Periodo1[[#This Row],[CLASS]],3)</f>
        <v>3.1</v>
      </c>
    </row>
    <row r="6201" spans="1:23" hidden="1">
      <c r="A6201" s="3" t="str">
        <f t="shared" si="96"/>
        <v>Período 1</v>
      </c>
      <c r="B6201">
        <v>6164</v>
      </c>
      <c r="C6201" t="s">
        <v>3852</v>
      </c>
      <c r="D6201" t="s">
        <v>3853</v>
      </c>
      <c r="E6201" s="3" t="str">
        <f>IF(LEN(Base_Periodo1[[#This Row],[CLASS]])&gt;=7,LEFT(Base_Periodo1[[#This Row],[CLASS]],7),"")</f>
        <v>3.1.1.3</v>
      </c>
      <c r="F6201" s="3" t="e">
        <f>VLOOKUP(Base_Periodo1[[#This Row],[Aux]],Base_Contas_Balanco[#All],2,FALSE)</f>
        <v>#N/A</v>
      </c>
      <c r="G6201" s="1">
        <v>42884</v>
      </c>
      <c r="H6201" s="225">
        <v>9205.5100000000166</v>
      </c>
      <c r="I6201" s="225">
        <v>2116.21</v>
      </c>
      <c r="J6201" s="225">
        <v>0</v>
      </c>
      <c r="K6201" s="225">
        <v>11321.720000000016</v>
      </c>
      <c r="L62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-11321.72</v>
      </c>
      <c r="M6201" s="225">
        <f>ROUND(IF(AND(Base_Periodo1[[#This Row],[Tipo_Linha]]="-",Base_Periodo1[[#This Row],[TIPOSALDO]]="D"),Base_Periodo1[[#This Row],[SALDO_ATUAL]]*-1,Base_Periodo1[[#This Row],[SALDO_ATUAL]]),4)</f>
        <v>-11321.72</v>
      </c>
      <c r="N6201" t="s">
        <v>116</v>
      </c>
      <c r="O6201" t="s">
        <v>397</v>
      </c>
      <c r="P6201" t="s">
        <v>397</v>
      </c>
      <c r="Q6201">
        <v>9</v>
      </c>
      <c r="R6201" s="282">
        <f>Base_Periodo1[[#This Row],[CREDITOS]]-Base_Periodo1[[#This Row],[DEBITOS]]</f>
        <v>-2116.21</v>
      </c>
      <c r="S6201" s="3" t="str">
        <f>IF(ISERROR(VLOOKUP(Base_Periodo1[[#This Row],[CONTA]],BaseContasDRE[#All],4,FALSE)),"Fora do DRE",VLOOKUP(Base_Periodo1[[#This Row],[CONTA]],BaseContasDRE[#All],4,FALSE))</f>
        <v>-</v>
      </c>
      <c r="T6201" s="3">
        <f>IF(ISERROR(VLOOKUP(Base_Periodo1[[#This Row],[CONTA]],BaseContasDRE[#All],5,FALSE)),"Fora do DRE",VLOOKUP(Base_Periodo1[[#This Row],[CONTA]],BaseContasDRE[#All],6,FALSE))</f>
        <v>5</v>
      </c>
      <c r="U6201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01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01" s="3" t="str">
        <f>LEFT(Base_Periodo1[[#This Row],[CLASS]],3)</f>
        <v>3.1</v>
      </c>
    </row>
    <row r="6202" spans="1:23" hidden="1">
      <c r="A6202" s="3" t="str">
        <f t="shared" si="96"/>
        <v>Período 1</v>
      </c>
      <c r="B6202">
        <v>6165</v>
      </c>
      <c r="C6202" t="s">
        <v>3854</v>
      </c>
      <c r="D6202" t="s">
        <v>3855</v>
      </c>
      <c r="E6202" s="3" t="str">
        <f>IF(LEN(Base_Periodo1[[#This Row],[CLASS]])&gt;=7,LEFT(Base_Periodo1[[#This Row],[CLASS]],7),"")</f>
        <v>3.1.1.3</v>
      </c>
      <c r="F6202" s="3" t="e">
        <f>VLOOKUP(Base_Periodo1[[#This Row],[Aux]],Base_Contas_Balanco[#All],2,FALSE)</f>
        <v>#N/A</v>
      </c>
      <c r="G6202" s="1">
        <v>42886</v>
      </c>
      <c r="H6202" s="225">
        <v>43901.089999999967</v>
      </c>
      <c r="I6202" s="225">
        <v>3948.1499999999996</v>
      </c>
      <c r="J6202" s="225">
        <v>0</v>
      </c>
      <c r="K6202" s="225">
        <v>47849.239999999969</v>
      </c>
      <c r="L62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-47849.24</v>
      </c>
      <c r="M6202" s="225">
        <f>ROUND(IF(AND(Base_Periodo1[[#This Row],[Tipo_Linha]]="-",Base_Periodo1[[#This Row],[TIPOSALDO]]="D"),Base_Periodo1[[#This Row],[SALDO_ATUAL]]*-1,Base_Periodo1[[#This Row],[SALDO_ATUAL]]),4)</f>
        <v>-47849.24</v>
      </c>
      <c r="N6202" t="s">
        <v>116</v>
      </c>
      <c r="O6202" t="s">
        <v>397</v>
      </c>
      <c r="P6202" t="s">
        <v>397</v>
      </c>
      <c r="Q6202">
        <v>9</v>
      </c>
      <c r="R6202" s="282">
        <f>Base_Periodo1[[#This Row],[CREDITOS]]-Base_Periodo1[[#This Row],[DEBITOS]]</f>
        <v>-3948.1499999999996</v>
      </c>
      <c r="S6202" s="3" t="str">
        <f>IF(ISERROR(VLOOKUP(Base_Periodo1[[#This Row],[CONTA]],BaseContasDRE[#All],4,FALSE)),"Fora do DRE",VLOOKUP(Base_Periodo1[[#This Row],[CONTA]],BaseContasDRE[#All],4,FALSE))</f>
        <v>-</v>
      </c>
      <c r="T6202" s="3">
        <f>IF(ISERROR(VLOOKUP(Base_Periodo1[[#This Row],[CONTA]],BaseContasDRE[#All],5,FALSE)),"Fora do DRE",VLOOKUP(Base_Periodo1[[#This Row],[CONTA]],BaseContasDRE[#All],6,FALSE))</f>
        <v>5</v>
      </c>
      <c r="U6202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02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02" s="3" t="str">
        <f>LEFT(Base_Periodo1[[#This Row],[CLASS]],3)</f>
        <v>3.1</v>
      </c>
    </row>
    <row r="6203" spans="1:23" hidden="1">
      <c r="A6203" s="3" t="str">
        <f t="shared" si="96"/>
        <v>Período 1</v>
      </c>
      <c r="B6203">
        <v>6166</v>
      </c>
      <c r="C6203" t="s">
        <v>3856</v>
      </c>
      <c r="D6203" t="s">
        <v>3857</v>
      </c>
      <c r="E6203" s="3" t="str">
        <f>IF(LEN(Base_Periodo1[[#This Row],[CLASS]])&gt;=7,LEFT(Base_Periodo1[[#This Row],[CLASS]],7),"")</f>
        <v>3.1.1.3</v>
      </c>
      <c r="F6203" s="3" t="e">
        <f>VLOOKUP(Base_Periodo1[[#This Row],[Aux]],Base_Contas_Balanco[#All],2,FALSE)</f>
        <v>#N/A</v>
      </c>
      <c r="G6203" s="1">
        <v>42886</v>
      </c>
      <c r="H6203" s="225">
        <v>228803.459999996</v>
      </c>
      <c r="I6203" s="225">
        <v>62224.739999999983</v>
      </c>
      <c r="J6203" s="225">
        <v>160</v>
      </c>
      <c r="K6203" s="225">
        <v>290868.199999996</v>
      </c>
      <c r="L62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-290868.2</v>
      </c>
      <c r="M6203" s="225">
        <f>ROUND(IF(AND(Base_Periodo1[[#This Row],[Tipo_Linha]]="-",Base_Periodo1[[#This Row],[TIPOSALDO]]="D"),Base_Periodo1[[#This Row],[SALDO_ATUAL]]*-1,Base_Periodo1[[#This Row],[SALDO_ATUAL]]),4)</f>
        <v>-290868.2</v>
      </c>
      <c r="N6203" t="s">
        <v>116</v>
      </c>
      <c r="O6203" t="s">
        <v>397</v>
      </c>
      <c r="P6203" t="s">
        <v>397</v>
      </c>
      <c r="Q6203">
        <v>9</v>
      </c>
      <c r="R6203" s="282">
        <f>Base_Periodo1[[#This Row],[CREDITOS]]-Base_Periodo1[[#This Row],[DEBITOS]]</f>
        <v>-62064.739999999983</v>
      </c>
      <c r="S6203" s="3" t="str">
        <f>IF(ISERROR(VLOOKUP(Base_Periodo1[[#This Row],[CONTA]],BaseContasDRE[#All],4,FALSE)),"Fora do DRE",VLOOKUP(Base_Periodo1[[#This Row],[CONTA]],BaseContasDRE[#All],4,FALSE))</f>
        <v>-</v>
      </c>
      <c r="T6203" s="3">
        <f>IF(ISERROR(VLOOKUP(Base_Periodo1[[#This Row],[CONTA]],BaseContasDRE[#All],5,FALSE)),"Fora do DRE",VLOOKUP(Base_Periodo1[[#This Row],[CONTA]],BaseContasDRE[#All],6,FALSE))</f>
        <v>5</v>
      </c>
      <c r="U6203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03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03" s="3" t="str">
        <f>LEFT(Base_Periodo1[[#This Row],[CLASS]],3)</f>
        <v>3.1</v>
      </c>
    </row>
    <row r="6204" spans="1:23" hidden="1">
      <c r="A6204" s="3" t="str">
        <f t="shared" si="96"/>
        <v>Período 1</v>
      </c>
      <c r="B6204">
        <v>6168</v>
      </c>
      <c r="C6204" t="s">
        <v>3858</v>
      </c>
      <c r="D6204" t="s">
        <v>3859</v>
      </c>
      <c r="E6204" s="3" t="str">
        <f>IF(LEN(Base_Periodo1[[#This Row],[CLASS]])&gt;=7,LEFT(Base_Periodo1[[#This Row],[CLASS]],7),"")</f>
        <v>3.1.1.3</v>
      </c>
      <c r="F6204" s="3" t="e">
        <f>VLOOKUP(Base_Periodo1[[#This Row],[Aux]],Base_Contas_Balanco[#All],2,FALSE)</f>
        <v>#N/A</v>
      </c>
      <c r="G6204" s="1">
        <v>42886</v>
      </c>
      <c r="H6204" s="225">
        <v>146187.5</v>
      </c>
      <c r="I6204" s="225">
        <v>45450</v>
      </c>
      <c r="J6204" s="225">
        <v>1000</v>
      </c>
      <c r="K6204" s="225">
        <v>190637.5</v>
      </c>
      <c r="L62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-190637.5</v>
      </c>
      <c r="M6204" s="225">
        <f>ROUND(IF(AND(Base_Periodo1[[#This Row],[Tipo_Linha]]="-",Base_Periodo1[[#This Row],[TIPOSALDO]]="D"),Base_Periodo1[[#This Row],[SALDO_ATUAL]]*-1,Base_Periodo1[[#This Row],[SALDO_ATUAL]]),4)</f>
        <v>-190637.5</v>
      </c>
      <c r="N6204" t="s">
        <v>116</v>
      </c>
      <c r="O6204" t="s">
        <v>397</v>
      </c>
      <c r="P6204" t="s">
        <v>397</v>
      </c>
      <c r="Q6204">
        <v>9</v>
      </c>
      <c r="R6204" s="282">
        <f>Base_Periodo1[[#This Row],[CREDITOS]]-Base_Periodo1[[#This Row],[DEBITOS]]</f>
        <v>-44450</v>
      </c>
      <c r="S6204" s="3" t="str">
        <f>IF(ISERROR(VLOOKUP(Base_Periodo1[[#This Row],[CONTA]],BaseContasDRE[#All],4,FALSE)),"Fora do DRE",VLOOKUP(Base_Periodo1[[#This Row],[CONTA]],BaseContasDRE[#All],4,FALSE))</f>
        <v>-</v>
      </c>
      <c r="T6204" s="3">
        <f>IF(ISERROR(VLOOKUP(Base_Periodo1[[#This Row],[CONTA]],BaseContasDRE[#All],5,FALSE)),"Fora do DRE",VLOOKUP(Base_Periodo1[[#This Row],[CONTA]],BaseContasDRE[#All],6,FALSE))</f>
        <v>5</v>
      </c>
      <c r="U6204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04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04" s="3" t="str">
        <f>LEFT(Base_Periodo1[[#This Row],[CLASS]],3)</f>
        <v>3.1</v>
      </c>
    </row>
    <row r="6205" spans="1:23" hidden="1">
      <c r="A6205" s="3" t="str">
        <f t="shared" si="96"/>
        <v>Período 1</v>
      </c>
      <c r="B6205">
        <v>31547</v>
      </c>
      <c r="C6205" t="s">
        <v>3860</v>
      </c>
      <c r="D6205" t="s">
        <v>3861</v>
      </c>
      <c r="E6205" s="3" t="str">
        <f>IF(LEN(Base_Periodo1[[#This Row],[CLASS]])&gt;=7,LEFT(Base_Periodo1[[#This Row],[CLASS]],7),"")</f>
        <v>3.1.1.3</v>
      </c>
      <c r="F6205" s="3" t="e">
        <f>VLOOKUP(Base_Periodo1[[#This Row],[Aux]],Base_Contas_Balanco[#All],2,FALSE)</f>
        <v>#N/A</v>
      </c>
      <c r="G6205" s="1">
        <v>42857</v>
      </c>
      <c r="H6205" s="225">
        <v>2422437.4200000018</v>
      </c>
      <c r="I6205" s="225">
        <v>512837.72</v>
      </c>
      <c r="J6205" s="225">
        <v>0</v>
      </c>
      <c r="K6205" s="225">
        <v>2935275.1400000015</v>
      </c>
      <c r="L62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-2935275.14</v>
      </c>
      <c r="M6205" s="225">
        <f>ROUND(IF(AND(Base_Periodo1[[#This Row],[Tipo_Linha]]="-",Base_Periodo1[[#This Row],[TIPOSALDO]]="D"),Base_Periodo1[[#This Row],[SALDO_ATUAL]]*-1,Base_Periodo1[[#This Row],[SALDO_ATUAL]]),4)</f>
        <v>-2935275.14</v>
      </c>
      <c r="N6205" t="s">
        <v>116</v>
      </c>
      <c r="O6205" t="s">
        <v>397</v>
      </c>
      <c r="P6205" t="s">
        <v>397</v>
      </c>
      <c r="Q6205">
        <v>9</v>
      </c>
      <c r="R6205" s="282">
        <f>Base_Periodo1[[#This Row],[CREDITOS]]-Base_Periodo1[[#This Row],[DEBITOS]]</f>
        <v>-512837.72</v>
      </c>
      <c r="S6205" s="3" t="str">
        <f>IF(ISERROR(VLOOKUP(Base_Periodo1[[#This Row],[CONTA]],BaseContasDRE[#All],4,FALSE)),"Fora do DRE",VLOOKUP(Base_Periodo1[[#This Row],[CONTA]],BaseContasDRE[#All],4,FALSE))</f>
        <v>-</v>
      </c>
      <c r="T6205" s="3">
        <f>IF(ISERROR(VLOOKUP(Base_Periodo1[[#This Row],[CONTA]],BaseContasDRE[#All],5,FALSE)),"Fora do DRE",VLOOKUP(Base_Periodo1[[#This Row],[CONTA]],BaseContasDRE[#All],6,FALSE))</f>
        <v>5</v>
      </c>
      <c r="U6205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05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05" s="3" t="str">
        <f>LEFT(Base_Periodo1[[#This Row],[CLASS]],3)</f>
        <v>3.1</v>
      </c>
    </row>
    <row r="6206" spans="1:23" hidden="1">
      <c r="A6206" s="3" t="str">
        <f t="shared" si="96"/>
        <v>Período 1</v>
      </c>
      <c r="B6206">
        <v>6170</v>
      </c>
      <c r="C6206" t="s">
        <v>3862</v>
      </c>
      <c r="D6206" t="s">
        <v>3863</v>
      </c>
      <c r="E6206" s="3" t="str">
        <f>IF(LEN(Base_Periodo1[[#This Row],[CLASS]])&gt;=7,LEFT(Base_Periodo1[[#This Row],[CLASS]],7),"")</f>
        <v>3.1.1.3</v>
      </c>
      <c r="F6206" s="3" t="e">
        <f>VLOOKUP(Base_Periodo1[[#This Row],[Aux]],Base_Contas_Balanco[#All],2,FALSE)</f>
        <v>#N/A</v>
      </c>
      <c r="G6206" s="1">
        <v>42886</v>
      </c>
      <c r="H6206" s="225">
        <v>17405.690000000293</v>
      </c>
      <c r="I6206" s="225">
        <v>16066.32</v>
      </c>
      <c r="J6206" s="225">
        <v>0</v>
      </c>
      <c r="K6206" s="225">
        <v>33472.010000000293</v>
      </c>
      <c r="L62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-33472.01</v>
      </c>
      <c r="M6206" s="225">
        <f>ROUND(IF(AND(Base_Periodo1[[#This Row],[Tipo_Linha]]="-",Base_Periodo1[[#This Row],[TIPOSALDO]]="D"),Base_Periodo1[[#This Row],[SALDO_ATUAL]]*-1,Base_Periodo1[[#This Row],[SALDO_ATUAL]]),4)</f>
        <v>-33472.01</v>
      </c>
      <c r="N6206" t="s">
        <v>116</v>
      </c>
      <c r="O6206" t="s">
        <v>397</v>
      </c>
      <c r="P6206" t="s">
        <v>397</v>
      </c>
      <c r="Q6206">
        <v>9</v>
      </c>
      <c r="R6206" s="282">
        <f>Base_Periodo1[[#This Row],[CREDITOS]]-Base_Periodo1[[#This Row],[DEBITOS]]</f>
        <v>-16066.32</v>
      </c>
      <c r="S6206" s="3" t="str">
        <f>IF(ISERROR(VLOOKUP(Base_Periodo1[[#This Row],[CONTA]],BaseContasDRE[#All],4,FALSE)),"Fora do DRE",VLOOKUP(Base_Periodo1[[#This Row],[CONTA]],BaseContasDRE[#All],4,FALSE))</f>
        <v>-</v>
      </c>
      <c r="T6206" s="3">
        <f>IF(ISERROR(VLOOKUP(Base_Periodo1[[#This Row],[CONTA]],BaseContasDRE[#All],5,FALSE)),"Fora do DRE",VLOOKUP(Base_Periodo1[[#This Row],[CONTA]],BaseContasDRE[#All],6,FALSE))</f>
        <v>5</v>
      </c>
      <c r="U6206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06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06" s="3" t="str">
        <f>LEFT(Base_Periodo1[[#This Row],[CLASS]],3)</f>
        <v>3.1</v>
      </c>
    </row>
    <row r="6207" spans="1:23" hidden="1">
      <c r="A6207" s="3" t="str">
        <f t="shared" si="96"/>
        <v>Período 1</v>
      </c>
      <c r="B6207">
        <v>31548</v>
      </c>
      <c r="C6207" t="s">
        <v>3864</v>
      </c>
      <c r="D6207" t="s">
        <v>4333</v>
      </c>
      <c r="E6207" s="3" t="str">
        <f>IF(LEN(Base_Periodo1[[#This Row],[CLASS]])&gt;=7,LEFT(Base_Periodo1[[#This Row],[CLASS]],7),"")</f>
        <v>3.1.1.3</v>
      </c>
      <c r="F6207" s="3" t="e">
        <f>VLOOKUP(Base_Periodo1[[#This Row],[Aux]],Base_Contas_Balanco[#All],2,FALSE)</f>
        <v>#N/A</v>
      </c>
      <c r="G6207" s="1">
        <v>42879</v>
      </c>
      <c r="H6207" s="225">
        <v>25137.440000000031</v>
      </c>
      <c r="I6207" s="225">
        <v>2400.25</v>
      </c>
      <c r="J6207" s="225">
        <v>0</v>
      </c>
      <c r="K6207" s="225">
        <v>27537.690000000031</v>
      </c>
      <c r="L62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-27537.69</v>
      </c>
      <c r="M6207" s="225">
        <f>ROUND(IF(AND(Base_Periodo1[[#This Row],[Tipo_Linha]]="-",Base_Periodo1[[#This Row],[TIPOSALDO]]="D"),Base_Periodo1[[#This Row],[SALDO_ATUAL]]*-1,Base_Periodo1[[#This Row],[SALDO_ATUAL]]),4)</f>
        <v>-27537.69</v>
      </c>
      <c r="N6207" t="s">
        <v>116</v>
      </c>
      <c r="O6207" t="s">
        <v>397</v>
      </c>
      <c r="P6207" t="s">
        <v>397</v>
      </c>
      <c r="Q6207">
        <v>9</v>
      </c>
      <c r="R6207" s="282">
        <f>Base_Periodo1[[#This Row],[CREDITOS]]-Base_Periodo1[[#This Row],[DEBITOS]]</f>
        <v>-2400.25</v>
      </c>
      <c r="S6207" s="3" t="str">
        <f>IF(ISERROR(VLOOKUP(Base_Periodo1[[#This Row],[CONTA]],BaseContasDRE[#All],4,FALSE)),"Fora do DRE",VLOOKUP(Base_Periodo1[[#This Row],[CONTA]],BaseContasDRE[#All],4,FALSE))</f>
        <v>-</v>
      </c>
      <c r="T6207" s="3">
        <f>IF(ISERROR(VLOOKUP(Base_Periodo1[[#This Row],[CONTA]],BaseContasDRE[#All],5,FALSE)),"Fora do DRE",VLOOKUP(Base_Periodo1[[#This Row],[CONTA]],BaseContasDRE[#All],6,FALSE))</f>
        <v>5</v>
      </c>
      <c r="U6207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07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07" s="3" t="str">
        <f>LEFT(Base_Periodo1[[#This Row],[CLASS]],3)</f>
        <v>3.1</v>
      </c>
    </row>
    <row r="6208" spans="1:23" hidden="1">
      <c r="A6208" s="3" t="str">
        <f t="shared" si="96"/>
        <v>Período 1</v>
      </c>
      <c r="B6208">
        <v>6172</v>
      </c>
      <c r="C6208" t="s">
        <v>7193</v>
      </c>
      <c r="D6208" t="s">
        <v>7194</v>
      </c>
      <c r="E6208" s="3" t="str">
        <f>IF(LEN(Base_Periodo1[[#This Row],[CLASS]])&gt;=7,LEFT(Base_Periodo1[[#This Row],[CLASS]],7),"")</f>
        <v>3.1.1.3</v>
      </c>
      <c r="F6208" s="3" t="e">
        <f>VLOOKUP(Base_Periodo1[[#This Row],[Aux]],Base_Contas_Balanco[#All],2,FALSE)</f>
        <v>#N/A</v>
      </c>
      <c r="G6208" s="1">
        <v>42878</v>
      </c>
      <c r="I6208" s="225">
        <v>178242.99</v>
      </c>
      <c r="J6208" s="225">
        <v>0</v>
      </c>
      <c r="K6208" s="225">
        <v>178242.99</v>
      </c>
      <c r="L62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-178242.99</v>
      </c>
      <c r="M6208" s="225">
        <f>ROUND(IF(AND(Base_Periodo1[[#This Row],[Tipo_Linha]]="-",Base_Periodo1[[#This Row],[TIPOSALDO]]="D"),Base_Periodo1[[#This Row],[SALDO_ATUAL]]*-1,Base_Periodo1[[#This Row],[SALDO_ATUAL]]),4)</f>
        <v>-178242.99</v>
      </c>
      <c r="N6208" t="s">
        <v>116</v>
      </c>
      <c r="O6208" t="s">
        <v>436</v>
      </c>
      <c r="P6208" t="s">
        <v>397</v>
      </c>
      <c r="Q6208">
        <v>9</v>
      </c>
      <c r="R6208" s="282">
        <f>Base_Periodo1[[#This Row],[CREDITOS]]-Base_Periodo1[[#This Row],[DEBITOS]]</f>
        <v>-178242.99</v>
      </c>
      <c r="S6208" s="3" t="str">
        <f>IF(ISERROR(VLOOKUP(Base_Periodo1[[#This Row],[CONTA]],BaseContasDRE[#All],4,FALSE)),"Fora do DRE",VLOOKUP(Base_Periodo1[[#This Row],[CONTA]],BaseContasDRE[#All],4,FALSE))</f>
        <v>-</v>
      </c>
      <c r="T6208" s="3">
        <f>IF(ISERROR(VLOOKUP(Base_Periodo1[[#This Row],[CONTA]],BaseContasDRE[#All],5,FALSE)),"Fora do DRE",VLOOKUP(Base_Periodo1[[#This Row],[CONTA]],BaseContasDRE[#All],6,FALSE))</f>
        <v>5</v>
      </c>
      <c r="U6208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08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08" s="3" t="str">
        <f>LEFT(Base_Periodo1[[#This Row],[CLASS]],3)</f>
        <v>3.1</v>
      </c>
    </row>
    <row r="6209" spans="1:23" hidden="1">
      <c r="A6209" s="3" t="str">
        <f t="shared" si="96"/>
        <v>Período 1</v>
      </c>
      <c r="B6209">
        <v>6174</v>
      </c>
      <c r="C6209" t="s">
        <v>3865</v>
      </c>
      <c r="D6209" t="s">
        <v>3866</v>
      </c>
      <c r="E6209" s="3" t="str">
        <f>IF(LEN(Base_Periodo1[[#This Row],[CLASS]])&gt;=7,LEFT(Base_Periodo1[[#This Row],[CLASS]],7),"")</f>
        <v>3.1.1.3</v>
      </c>
      <c r="F6209" s="3" t="e">
        <f>VLOOKUP(Base_Periodo1[[#This Row],[Aux]],Base_Contas_Balanco[#All],2,FALSE)</f>
        <v>#N/A</v>
      </c>
      <c r="G6209" s="1">
        <v>42886</v>
      </c>
      <c r="H6209" s="225">
        <v>85038.670000000275</v>
      </c>
      <c r="I6209" s="225">
        <v>16658</v>
      </c>
      <c r="J6209" s="225">
        <v>0</v>
      </c>
      <c r="K6209" s="225">
        <v>101696.67000000027</v>
      </c>
      <c r="L62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-101696.67</v>
      </c>
      <c r="M6209" s="225">
        <f>ROUND(IF(AND(Base_Periodo1[[#This Row],[Tipo_Linha]]="-",Base_Periodo1[[#This Row],[TIPOSALDO]]="D"),Base_Periodo1[[#This Row],[SALDO_ATUAL]]*-1,Base_Periodo1[[#This Row],[SALDO_ATUAL]]),4)</f>
        <v>-101696.67</v>
      </c>
      <c r="N6209" t="s">
        <v>116</v>
      </c>
      <c r="O6209" t="s">
        <v>397</v>
      </c>
      <c r="P6209" t="s">
        <v>397</v>
      </c>
      <c r="Q6209">
        <v>9</v>
      </c>
      <c r="R6209" s="282">
        <f>Base_Periodo1[[#This Row],[CREDITOS]]-Base_Periodo1[[#This Row],[DEBITOS]]</f>
        <v>-16658</v>
      </c>
      <c r="S6209" s="3" t="str">
        <f>IF(ISERROR(VLOOKUP(Base_Periodo1[[#This Row],[CONTA]],BaseContasDRE[#All],4,FALSE)),"Fora do DRE",VLOOKUP(Base_Periodo1[[#This Row],[CONTA]],BaseContasDRE[#All],4,FALSE))</f>
        <v>-</v>
      </c>
      <c r="T6209" s="3">
        <f>IF(ISERROR(VLOOKUP(Base_Periodo1[[#This Row],[CONTA]],BaseContasDRE[#All],5,FALSE)),"Fora do DRE",VLOOKUP(Base_Periodo1[[#This Row],[CONTA]],BaseContasDRE[#All],6,FALSE))</f>
        <v>5</v>
      </c>
      <c r="U6209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09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09" s="3" t="str">
        <f>LEFT(Base_Periodo1[[#This Row],[CLASS]],3)</f>
        <v>3.1</v>
      </c>
    </row>
    <row r="6210" spans="1:23" hidden="1">
      <c r="A6210" s="3" t="str">
        <f t="shared" si="96"/>
        <v>Período 1</v>
      </c>
      <c r="B6210">
        <v>6175</v>
      </c>
      <c r="C6210" t="s">
        <v>4499</v>
      </c>
      <c r="D6210" t="s">
        <v>4500</v>
      </c>
      <c r="E6210" s="3" t="str">
        <f>IF(LEN(Base_Periodo1[[#This Row],[CLASS]])&gt;=7,LEFT(Base_Periodo1[[#This Row],[CLASS]],7),"")</f>
        <v>3.1.1.3</v>
      </c>
      <c r="F6210" s="3" t="e">
        <f>VLOOKUP(Base_Periodo1[[#This Row],[Aux]],Base_Contas_Balanco[#All],2,FALSE)</f>
        <v>#N/A</v>
      </c>
      <c r="G6210" s="1">
        <v>42886</v>
      </c>
      <c r="H6210" s="225">
        <v>19009.5</v>
      </c>
      <c r="I6210" s="225">
        <v>6040</v>
      </c>
      <c r="J6210" s="225">
        <v>0</v>
      </c>
      <c r="K6210" s="225">
        <v>25049.5</v>
      </c>
      <c r="L62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-25049.5</v>
      </c>
      <c r="M6210" s="225">
        <f>ROUND(IF(AND(Base_Periodo1[[#This Row],[Tipo_Linha]]="-",Base_Periodo1[[#This Row],[TIPOSALDO]]="D"),Base_Periodo1[[#This Row],[SALDO_ATUAL]]*-1,Base_Periodo1[[#This Row],[SALDO_ATUAL]]),4)</f>
        <v>-25049.5</v>
      </c>
      <c r="N6210" t="s">
        <v>116</v>
      </c>
      <c r="O6210" t="s">
        <v>397</v>
      </c>
      <c r="P6210" t="s">
        <v>397</v>
      </c>
      <c r="Q6210">
        <v>9</v>
      </c>
      <c r="R6210" s="282">
        <f>Base_Periodo1[[#This Row],[CREDITOS]]-Base_Periodo1[[#This Row],[DEBITOS]]</f>
        <v>-6040</v>
      </c>
      <c r="S6210" s="3" t="str">
        <f>IF(ISERROR(VLOOKUP(Base_Periodo1[[#This Row],[CONTA]],BaseContasDRE[#All],4,FALSE)),"Fora do DRE",VLOOKUP(Base_Periodo1[[#This Row],[CONTA]],BaseContasDRE[#All],4,FALSE))</f>
        <v>-</v>
      </c>
      <c r="T6210" s="3">
        <f>IF(ISERROR(VLOOKUP(Base_Periodo1[[#This Row],[CONTA]],BaseContasDRE[#All],5,FALSE)),"Fora do DRE",VLOOKUP(Base_Periodo1[[#This Row],[CONTA]],BaseContasDRE[#All],6,FALSE))</f>
        <v>5</v>
      </c>
      <c r="U6210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10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10" s="3" t="str">
        <f>LEFT(Base_Periodo1[[#This Row],[CLASS]],3)</f>
        <v>3.1</v>
      </c>
    </row>
    <row r="6211" spans="1:23" hidden="1">
      <c r="A6211" s="3" t="str">
        <f t="shared" si="96"/>
        <v>Período 1</v>
      </c>
      <c r="B6211">
        <v>31565</v>
      </c>
      <c r="C6211" t="s">
        <v>3867</v>
      </c>
      <c r="D6211" t="s">
        <v>3868</v>
      </c>
      <c r="E6211" s="3" t="str">
        <f>IF(LEN(Base_Periodo1[[#This Row],[CLASS]])&gt;=7,LEFT(Base_Periodo1[[#This Row],[CLASS]],7),"")</f>
        <v>3.1.1.3</v>
      </c>
      <c r="F6211" s="3" t="e">
        <f>VLOOKUP(Base_Periodo1[[#This Row],[Aux]],Base_Contas_Balanco[#All],2,FALSE)</f>
        <v>#N/A</v>
      </c>
      <c r="G6211" s="1">
        <v>42886</v>
      </c>
      <c r="H6211" s="225">
        <v>202755.47999999928</v>
      </c>
      <c r="I6211" s="225">
        <v>42207.81</v>
      </c>
      <c r="J6211" s="225">
        <v>0</v>
      </c>
      <c r="K6211" s="225">
        <v>244963.28999999928</v>
      </c>
      <c r="L62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-244963.29</v>
      </c>
      <c r="M6211" s="225">
        <f>ROUND(IF(AND(Base_Periodo1[[#This Row],[Tipo_Linha]]="-",Base_Periodo1[[#This Row],[TIPOSALDO]]="D"),Base_Periodo1[[#This Row],[SALDO_ATUAL]]*-1,Base_Periodo1[[#This Row],[SALDO_ATUAL]]),4)</f>
        <v>-244963.29</v>
      </c>
      <c r="N6211" t="s">
        <v>116</v>
      </c>
      <c r="O6211" t="s">
        <v>397</v>
      </c>
      <c r="P6211" t="s">
        <v>397</v>
      </c>
      <c r="Q6211">
        <v>9</v>
      </c>
      <c r="R6211" s="282">
        <f>Base_Periodo1[[#This Row],[CREDITOS]]-Base_Periodo1[[#This Row],[DEBITOS]]</f>
        <v>-42207.81</v>
      </c>
      <c r="S6211" s="3" t="str">
        <f>IF(ISERROR(VLOOKUP(Base_Periodo1[[#This Row],[CONTA]],BaseContasDRE[#All],4,FALSE)),"Fora do DRE",VLOOKUP(Base_Periodo1[[#This Row],[CONTA]],BaseContasDRE[#All],4,FALSE))</f>
        <v>-</v>
      </c>
      <c r="T6211" s="3">
        <f>IF(ISERROR(VLOOKUP(Base_Periodo1[[#This Row],[CONTA]],BaseContasDRE[#All],5,FALSE)),"Fora do DRE",VLOOKUP(Base_Periodo1[[#This Row],[CONTA]],BaseContasDRE[#All],6,FALSE))</f>
        <v>5</v>
      </c>
      <c r="U6211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11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11" s="3" t="str">
        <f>LEFT(Base_Periodo1[[#This Row],[CLASS]],3)</f>
        <v>3.1</v>
      </c>
    </row>
    <row r="6212" spans="1:23" hidden="1">
      <c r="A6212" s="3" t="str">
        <f t="shared" si="96"/>
        <v>Período 1</v>
      </c>
      <c r="B6212">
        <v>6177</v>
      </c>
      <c r="C6212" t="s">
        <v>3869</v>
      </c>
      <c r="D6212" t="s">
        <v>3870</v>
      </c>
      <c r="E6212" s="3" t="str">
        <f>IF(LEN(Base_Periodo1[[#This Row],[CLASS]])&gt;=7,LEFT(Base_Periodo1[[#This Row],[CLASS]],7),"")</f>
        <v>3.1.1.3</v>
      </c>
      <c r="F6212" s="3" t="e">
        <f>VLOOKUP(Base_Periodo1[[#This Row],[Aux]],Base_Contas_Balanco[#All],2,FALSE)</f>
        <v>#N/A</v>
      </c>
      <c r="G6212" s="1">
        <v>42886</v>
      </c>
      <c r="H6212" s="225">
        <v>1530596.3800001778</v>
      </c>
      <c r="I6212" s="225">
        <v>564678.99000000022</v>
      </c>
      <c r="J6212" s="225">
        <v>159831.22000000003</v>
      </c>
      <c r="K6212" s="225">
        <v>1935444.150000178</v>
      </c>
      <c r="L62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-1935444.15</v>
      </c>
      <c r="M6212" s="225">
        <f>ROUND(IF(AND(Base_Periodo1[[#This Row],[Tipo_Linha]]="-",Base_Periodo1[[#This Row],[TIPOSALDO]]="D"),Base_Periodo1[[#This Row],[SALDO_ATUAL]]*-1,Base_Periodo1[[#This Row],[SALDO_ATUAL]]),4)</f>
        <v>-1935444.15</v>
      </c>
      <c r="N6212" t="s">
        <v>116</v>
      </c>
      <c r="O6212" t="s">
        <v>397</v>
      </c>
      <c r="P6212" t="s">
        <v>397</v>
      </c>
      <c r="Q6212">
        <v>9</v>
      </c>
      <c r="R6212" s="282">
        <f>Base_Periodo1[[#This Row],[CREDITOS]]-Base_Periodo1[[#This Row],[DEBITOS]]</f>
        <v>-404847.77000000019</v>
      </c>
      <c r="S6212" s="3" t="str">
        <f>IF(ISERROR(VLOOKUP(Base_Periodo1[[#This Row],[CONTA]],BaseContasDRE[#All],4,FALSE)),"Fora do DRE",VLOOKUP(Base_Periodo1[[#This Row],[CONTA]],BaseContasDRE[#All],4,FALSE))</f>
        <v>-</v>
      </c>
      <c r="T6212" s="3">
        <f>IF(ISERROR(VLOOKUP(Base_Periodo1[[#This Row],[CONTA]],BaseContasDRE[#All],5,FALSE)),"Fora do DRE",VLOOKUP(Base_Periodo1[[#This Row],[CONTA]],BaseContasDRE[#All],6,FALSE))</f>
        <v>5</v>
      </c>
      <c r="U6212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12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12" s="3" t="str">
        <f>LEFT(Base_Periodo1[[#This Row],[CLASS]],3)</f>
        <v>3.1</v>
      </c>
    </row>
    <row r="6213" spans="1:23" hidden="1">
      <c r="A6213" s="3" t="str">
        <f t="shared" si="96"/>
        <v>Período 1</v>
      </c>
      <c r="B6213">
        <v>31728</v>
      </c>
      <c r="C6213" t="s">
        <v>3871</v>
      </c>
      <c r="D6213" t="s">
        <v>3872</v>
      </c>
      <c r="E6213" s="3" t="str">
        <f>IF(LEN(Base_Periodo1[[#This Row],[CLASS]])&gt;=7,LEFT(Base_Periodo1[[#This Row],[CLASS]],7),"")</f>
        <v>3.1.1.3</v>
      </c>
      <c r="F6213" s="3" t="e">
        <f>VLOOKUP(Base_Periodo1[[#This Row],[Aux]],Base_Contas_Balanco[#All],2,FALSE)</f>
        <v>#N/A</v>
      </c>
      <c r="G6213" s="1">
        <v>42886</v>
      </c>
      <c r="H6213" s="225">
        <v>102225.19000000018</v>
      </c>
      <c r="I6213" s="225">
        <v>21274.699999999997</v>
      </c>
      <c r="J6213" s="225">
        <v>6489.7100000000009</v>
      </c>
      <c r="K6213" s="225">
        <v>117010.18000000017</v>
      </c>
      <c r="L62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-117010.18</v>
      </c>
      <c r="M6213" s="225">
        <f>ROUND(IF(AND(Base_Periodo1[[#This Row],[Tipo_Linha]]="-",Base_Periodo1[[#This Row],[TIPOSALDO]]="D"),Base_Periodo1[[#This Row],[SALDO_ATUAL]]*-1,Base_Periodo1[[#This Row],[SALDO_ATUAL]]),4)</f>
        <v>-117010.18</v>
      </c>
      <c r="N6213" t="s">
        <v>116</v>
      </c>
      <c r="O6213" t="s">
        <v>397</v>
      </c>
      <c r="P6213" t="s">
        <v>397</v>
      </c>
      <c r="Q6213">
        <v>9</v>
      </c>
      <c r="R6213" s="282">
        <f>Base_Periodo1[[#This Row],[CREDITOS]]-Base_Periodo1[[#This Row],[DEBITOS]]</f>
        <v>-14784.989999999996</v>
      </c>
      <c r="S6213" s="3" t="str">
        <f>IF(ISERROR(VLOOKUP(Base_Periodo1[[#This Row],[CONTA]],BaseContasDRE[#All],4,FALSE)),"Fora do DRE",VLOOKUP(Base_Periodo1[[#This Row],[CONTA]],BaseContasDRE[#All],4,FALSE))</f>
        <v>-</v>
      </c>
      <c r="T6213" s="3">
        <f>IF(ISERROR(VLOOKUP(Base_Periodo1[[#This Row],[CONTA]],BaseContasDRE[#All],5,FALSE)),"Fora do DRE",VLOOKUP(Base_Periodo1[[#This Row],[CONTA]],BaseContasDRE[#All],6,FALSE))</f>
        <v>5</v>
      </c>
      <c r="U6213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13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13" s="3" t="str">
        <f>LEFT(Base_Periodo1[[#This Row],[CLASS]],3)</f>
        <v>3.1</v>
      </c>
    </row>
    <row r="6214" spans="1:23" hidden="1">
      <c r="A6214" s="3" t="str">
        <f t="shared" ref="A6214:A6277" si="97">"Período 1"</f>
        <v>Período 1</v>
      </c>
      <c r="B6214">
        <v>6179</v>
      </c>
      <c r="C6214" t="s">
        <v>3873</v>
      </c>
      <c r="D6214" t="s">
        <v>3874</v>
      </c>
      <c r="E6214" s="3" t="str">
        <f>IF(LEN(Base_Periodo1[[#This Row],[CLASS]])&gt;=7,LEFT(Base_Periodo1[[#This Row],[CLASS]],7),"")</f>
        <v>3.1.1.3</v>
      </c>
      <c r="F6214" s="3" t="e">
        <f>VLOOKUP(Base_Periodo1[[#This Row],[Aux]],Base_Contas_Balanco[#All],2,FALSE)</f>
        <v>#N/A</v>
      </c>
      <c r="G6214" s="1">
        <v>42866</v>
      </c>
      <c r="H6214" s="225">
        <v>5134.3500000000204</v>
      </c>
      <c r="I6214" s="225">
        <v>1109.07</v>
      </c>
      <c r="J6214" s="225">
        <v>0</v>
      </c>
      <c r="K6214" s="225">
        <v>6243.4200000000201</v>
      </c>
      <c r="L62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-6243.42</v>
      </c>
      <c r="M6214" s="225">
        <f>ROUND(IF(AND(Base_Periodo1[[#This Row],[Tipo_Linha]]="-",Base_Periodo1[[#This Row],[TIPOSALDO]]="D"),Base_Periodo1[[#This Row],[SALDO_ATUAL]]*-1,Base_Periodo1[[#This Row],[SALDO_ATUAL]]),4)</f>
        <v>-6243.42</v>
      </c>
      <c r="N6214" t="s">
        <v>116</v>
      </c>
      <c r="O6214" t="s">
        <v>397</v>
      </c>
      <c r="P6214" t="s">
        <v>397</v>
      </c>
      <c r="Q6214">
        <v>9</v>
      </c>
      <c r="R6214" s="282">
        <f>Base_Periodo1[[#This Row],[CREDITOS]]-Base_Periodo1[[#This Row],[DEBITOS]]</f>
        <v>-1109.07</v>
      </c>
      <c r="S6214" s="3" t="str">
        <f>IF(ISERROR(VLOOKUP(Base_Periodo1[[#This Row],[CONTA]],BaseContasDRE[#All],4,FALSE)),"Fora do DRE",VLOOKUP(Base_Periodo1[[#This Row],[CONTA]],BaseContasDRE[#All],4,FALSE))</f>
        <v>-</v>
      </c>
      <c r="T6214" s="3">
        <f>IF(ISERROR(VLOOKUP(Base_Periodo1[[#This Row],[CONTA]],BaseContasDRE[#All],5,FALSE)),"Fora do DRE",VLOOKUP(Base_Periodo1[[#This Row],[CONTA]],BaseContasDRE[#All],6,FALSE))</f>
        <v>5</v>
      </c>
      <c r="U6214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14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14" s="3" t="str">
        <f>LEFT(Base_Periodo1[[#This Row],[CLASS]],3)</f>
        <v>3.1</v>
      </c>
    </row>
    <row r="6215" spans="1:23" hidden="1">
      <c r="A6215" s="3" t="str">
        <f t="shared" si="97"/>
        <v>Período 1</v>
      </c>
      <c r="B6215">
        <v>6181</v>
      </c>
      <c r="C6215" t="s">
        <v>3875</v>
      </c>
      <c r="D6215" t="s">
        <v>3876</v>
      </c>
      <c r="E6215" s="3" t="str">
        <f>IF(LEN(Base_Periodo1[[#This Row],[CLASS]])&gt;=7,LEFT(Base_Periodo1[[#This Row],[CLASS]],7),"")</f>
        <v>3.1.1.3</v>
      </c>
      <c r="F6215" s="3" t="e">
        <f>VLOOKUP(Base_Periodo1[[#This Row],[Aux]],Base_Contas_Balanco[#All],2,FALSE)</f>
        <v>#N/A</v>
      </c>
      <c r="G6215" s="1">
        <v>42878</v>
      </c>
      <c r="H6215" s="225">
        <v>5191.4700000000084</v>
      </c>
      <c r="I6215" s="225">
        <v>632.79999999999995</v>
      </c>
      <c r="J6215" s="225">
        <v>0</v>
      </c>
      <c r="K6215" s="225">
        <v>5824.2700000000086</v>
      </c>
      <c r="L62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-5824.27</v>
      </c>
      <c r="M6215" s="225">
        <f>ROUND(IF(AND(Base_Periodo1[[#This Row],[Tipo_Linha]]="-",Base_Periodo1[[#This Row],[TIPOSALDO]]="D"),Base_Periodo1[[#This Row],[SALDO_ATUAL]]*-1,Base_Periodo1[[#This Row],[SALDO_ATUAL]]),4)</f>
        <v>-5824.27</v>
      </c>
      <c r="N6215" t="s">
        <v>116</v>
      </c>
      <c r="O6215" t="s">
        <v>397</v>
      </c>
      <c r="P6215" t="s">
        <v>397</v>
      </c>
      <c r="Q6215">
        <v>9</v>
      </c>
      <c r="R6215" s="282">
        <f>Base_Periodo1[[#This Row],[CREDITOS]]-Base_Periodo1[[#This Row],[DEBITOS]]</f>
        <v>-632.79999999999995</v>
      </c>
      <c r="S6215" s="3" t="str">
        <f>IF(ISERROR(VLOOKUP(Base_Periodo1[[#This Row],[CONTA]],BaseContasDRE[#All],4,FALSE)),"Fora do DRE",VLOOKUP(Base_Periodo1[[#This Row],[CONTA]],BaseContasDRE[#All],4,FALSE))</f>
        <v>-</v>
      </c>
      <c r="T6215" s="3">
        <f>IF(ISERROR(VLOOKUP(Base_Periodo1[[#This Row],[CONTA]],BaseContasDRE[#All],5,FALSE)),"Fora do DRE",VLOOKUP(Base_Periodo1[[#This Row],[CONTA]],BaseContasDRE[#All],6,FALSE))</f>
        <v>5</v>
      </c>
      <c r="U6215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15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15" s="3" t="str">
        <f>LEFT(Base_Periodo1[[#This Row],[CLASS]],3)</f>
        <v>3.1</v>
      </c>
    </row>
    <row r="6216" spans="1:23" hidden="1">
      <c r="A6216" s="3" t="str">
        <f t="shared" si="97"/>
        <v>Período 1</v>
      </c>
      <c r="B6216">
        <v>6184</v>
      </c>
      <c r="C6216" t="s">
        <v>6048</v>
      </c>
      <c r="D6216" t="s">
        <v>6049</v>
      </c>
      <c r="E6216" s="3" t="str">
        <f>IF(LEN(Base_Periodo1[[#This Row],[CLASS]])&gt;=7,LEFT(Base_Periodo1[[#This Row],[CLASS]],7),"")</f>
        <v>3.1.1.3</v>
      </c>
      <c r="F6216" s="3" t="e">
        <f>VLOOKUP(Base_Periodo1[[#This Row],[Aux]],Base_Contas_Balanco[#All],2,FALSE)</f>
        <v>#N/A</v>
      </c>
      <c r="G6216" s="1">
        <v>42873</v>
      </c>
      <c r="H6216" s="225">
        <v>600</v>
      </c>
      <c r="I6216" s="225">
        <v>15200</v>
      </c>
      <c r="J6216" s="225">
        <v>0</v>
      </c>
      <c r="K6216" s="225">
        <v>15800</v>
      </c>
      <c r="L62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-15800</v>
      </c>
      <c r="M6216" s="225">
        <f>ROUND(IF(AND(Base_Periodo1[[#This Row],[Tipo_Linha]]="-",Base_Periodo1[[#This Row],[TIPOSALDO]]="D"),Base_Periodo1[[#This Row],[SALDO_ATUAL]]*-1,Base_Periodo1[[#This Row],[SALDO_ATUAL]]),4)</f>
        <v>-15800</v>
      </c>
      <c r="N6216" t="s">
        <v>116</v>
      </c>
      <c r="O6216" t="s">
        <v>397</v>
      </c>
      <c r="P6216" t="s">
        <v>397</v>
      </c>
      <c r="Q6216">
        <v>9</v>
      </c>
      <c r="R6216" s="282">
        <f>Base_Periodo1[[#This Row],[CREDITOS]]-Base_Periodo1[[#This Row],[DEBITOS]]</f>
        <v>-15200</v>
      </c>
      <c r="S6216" s="3" t="str">
        <f>IF(ISERROR(VLOOKUP(Base_Periodo1[[#This Row],[CONTA]],BaseContasDRE[#All],4,FALSE)),"Fora do DRE",VLOOKUP(Base_Periodo1[[#This Row],[CONTA]],BaseContasDRE[#All],4,FALSE))</f>
        <v>-</v>
      </c>
      <c r="T6216" s="3">
        <f>IF(ISERROR(VLOOKUP(Base_Periodo1[[#This Row],[CONTA]],BaseContasDRE[#All],5,FALSE)),"Fora do DRE",VLOOKUP(Base_Periodo1[[#This Row],[CONTA]],BaseContasDRE[#All],6,FALSE))</f>
        <v>5</v>
      </c>
      <c r="U6216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16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16" s="3" t="str">
        <f>LEFT(Base_Periodo1[[#This Row],[CLASS]],3)</f>
        <v>3.1</v>
      </c>
    </row>
    <row r="6217" spans="1:23" hidden="1">
      <c r="A6217" s="3" t="str">
        <f t="shared" si="97"/>
        <v>Período 1</v>
      </c>
      <c r="B6217">
        <v>6185</v>
      </c>
      <c r="C6217" t="s">
        <v>6050</v>
      </c>
      <c r="D6217" t="s">
        <v>6051</v>
      </c>
      <c r="E6217" s="3" t="str">
        <f>IF(LEN(Base_Periodo1[[#This Row],[CLASS]])&gt;=7,LEFT(Base_Periodo1[[#This Row],[CLASS]],7),"")</f>
        <v>3.1.1.3</v>
      </c>
      <c r="F6217" s="3" t="e">
        <f>VLOOKUP(Base_Periodo1[[#This Row],[Aux]],Base_Contas_Balanco[#All],2,FALSE)</f>
        <v>#N/A</v>
      </c>
      <c r="G6217" s="1">
        <v>42853</v>
      </c>
      <c r="H6217" s="225">
        <v>13089.899999999965</v>
      </c>
      <c r="I6217" s="225">
        <v>0</v>
      </c>
      <c r="J6217" s="225">
        <v>0</v>
      </c>
      <c r="K6217" s="225">
        <v>13089.899999999965</v>
      </c>
      <c r="L62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-13089.9</v>
      </c>
      <c r="M6217" s="225">
        <f>ROUND(IF(AND(Base_Periodo1[[#This Row],[Tipo_Linha]]="-",Base_Periodo1[[#This Row],[TIPOSALDO]]="D"),Base_Periodo1[[#This Row],[SALDO_ATUAL]]*-1,Base_Periodo1[[#This Row],[SALDO_ATUAL]]),4)</f>
        <v>-13089.9</v>
      </c>
      <c r="N6217" t="s">
        <v>116</v>
      </c>
      <c r="O6217" t="s">
        <v>397</v>
      </c>
      <c r="P6217" t="s">
        <v>397</v>
      </c>
      <c r="Q6217">
        <v>9</v>
      </c>
      <c r="R6217" s="282">
        <f>Base_Periodo1[[#This Row],[CREDITOS]]-Base_Periodo1[[#This Row],[DEBITOS]]</f>
        <v>0</v>
      </c>
      <c r="S6217" s="3" t="str">
        <f>IF(ISERROR(VLOOKUP(Base_Periodo1[[#This Row],[CONTA]],BaseContasDRE[#All],4,FALSE)),"Fora do DRE",VLOOKUP(Base_Periodo1[[#This Row],[CONTA]],BaseContasDRE[#All],4,FALSE))</f>
        <v>-</v>
      </c>
      <c r="T6217" s="3">
        <f>IF(ISERROR(VLOOKUP(Base_Periodo1[[#This Row],[CONTA]],BaseContasDRE[#All],5,FALSE)),"Fora do DRE",VLOOKUP(Base_Periodo1[[#This Row],[CONTA]],BaseContasDRE[#All],6,FALSE))</f>
        <v>5</v>
      </c>
      <c r="U6217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17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17" s="3" t="str">
        <f>LEFT(Base_Periodo1[[#This Row],[CLASS]],3)</f>
        <v>3.1</v>
      </c>
    </row>
    <row r="6218" spans="1:23" hidden="1">
      <c r="A6218" s="3" t="str">
        <f t="shared" si="97"/>
        <v>Período 1</v>
      </c>
      <c r="B6218">
        <v>6186</v>
      </c>
      <c r="C6218" t="s">
        <v>3877</v>
      </c>
      <c r="D6218" t="s">
        <v>3878</v>
      </c>
      <c r="E6218" s="3" t="str">
        <f>IF(LEN(Base_Periodo1[[#This Row],[CLASS]])&gt;=7,LEFT(Base_Periodo1[[#This Row],[CLASS]],7),"")</f>
        <v>3.1.1.3</v>
      </c>
      <c r="F6218" s="3" t="e">
        <f>VLOOKUP(Base_Periodo1[[#This Row],[Aux]],Base_Contas_Balanco[#All],2,FALSE)</f>
        <v>#N/A</v>
      </c>
      <c r="G6218" s="1">
        <v>42886</v>
      </c>
      <c r="H6218" s="225">
        <v>5260.050000000163</v>
      </c>
      <c r="I6218" s="225">
        <v>1972.0700000000002</v>
      </c>
      <c r="J6218" s="225">
        <v>0</v>
      </c>
      <c r="K6218" s="225">
        <v>7232.1200000001627</v>
      </c>
      <c r="L62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-7232.12</v>
      </c>
      <c r="M6218" s="225">
        <f>ROUND(IF(AND(Base_Periodo1[[#This Row],[Tipo_Linha]]="-",Base_Periodo1[[#This Row],[TIPOSALDO]]="D"),Base_Periodo1[[#This Row],[SALDO_ATUAL]]*-1,Base_Periodo1[[#This Row],[SALDO_ATUAL]]),4)</f>
        <v>-7232.12</v>
      </c>
      <c r="N6218" t="s">
        <v>116</v>
      </c>
      <c r="O6218" t="s">
        <v>397</v>
      </c>
      <c r="P6218" t="s">
        <v>397</v>
      </c>
      <c r="Q6218">
        <v>9</v>
      </c>
      <c r="R6218" s="282">
        <f>Base_Periodo1[[#This Row],[CREDITOS]]-Base_Periodo1[[#This Row],[DEBITOS]]</f>
        <v>-1972.0700000000002</v>
      </c>
      <c r="S6218" s="3" t="str">
        <f>IF(ISERROR(VLOOKUP(Base_Periodo1[[#This Row],[CONTA]],BaseContasDRE[#All],4,FALSE)),"Fora do DRE",VLOOKUP(Base_Periodo1[[#This Row],[CONTA]],BaseContasDRE[#All],4,FALSE))</f>
        <v>-</v>
      </c>
      <c r="T6218" s="3">
        <f>IF(ISERROR(VLOOKUP(Base_Periodo1[[#This Row],[CONTA]],BaseContasDRE[#All],5,FALSE)),"Fora do DRE",VLOOKUP(Base_Periodo1[[#This Row],[CONTA]],BaseContasDRE[#All],6,FALSE))</f>
        <v>5</v>
      </c>
      <c r="U6218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18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18" s="3" t="str">
        <f>LEFT(Base_Periodo1[[#This Row],[CLASS]],3)</f>
        <v>3.1</v>
      </c>
    </row>
    <row r="6219" spans="1:23" hidden="1">
      <c r="A6219" s="3" t="str">
        <f t="shared" si="97"/>
        <v>Período 1</v>
      </c>
      <c r="B6219">
        <v>6190</v>
      </c>
      <c r="C6219" t="s">
        <v>3879</v>
      </c>
      <c r="D6219" t="s">
        <v>3880</v>
      </c>
      <c r="E6219" s="3" t="str">
        <f>IF(LEN(Base_Periodo1[[#This Row],[CLASS]])&gt;=7,LEFT(Base_Periodo1[[#This Row],[CLASS]],7),"")</f>
        <v>3.1.1.3</v>
      </c>
      <c r="F6219" s="3" t="e">
        <f>VLOOKUP(Base_Periodo1[[#This Row],[Aux]],Base_Contas_Balanco[#All],2,FALSE)</f>
        <v>#N/A</v>
      </c>
      <c r="G6219" s="1">
        <v>42880</v>
      </c>
      <c r="H6219" s="225">
        <v>3847.6400000003632</v>
      </c>
      <c r="I6219" s="225">
        <v>30606.660000000003</v>
      </c>
      <c r="J6219" s="225">
        <v>0</v>
      </c>
      <c r="K6219" s="225">
        <v>34454.300000000367</v>
      </c>
      <c r="L62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-34454.300000000003</v>
      </c>
      <c r="M6219" s="225">
        <f>ROUND(IF(AND(Base_Periodo1[[#This Row],[Tipo_Linha]]="-",Base_Periodo1[[#This Row],[TIPOSALDO]]="D"),Base_Periodo1[[#This Row],[SALDO_ATUAL]]*-1,Base_Periodo1[[#This Row],[SALDO_ATUAL]]),4)</f>
        <v>-34454.300000000003</v>
      </c>
      <c r="N6219" t="s">
        <v>116</v>
      </c>
      <c r="O6219" t="s">
        <v>397</v>
      </c>
      <c r="P6219" t="s">
        <v>397</v>
      </c>
      <c r="Q6219">
        <v>9</v>
      </c>
      <c r="R6219" s="282">
        <f>Base_Periodo1[[#This Row],[CREDITOS]]-Base_Periodo1[[#This Row],[DEBITOS]]</f>
        <v>-30606.660000000003</v>
      </c>
      <c r="S6219" s="3" t="str">
        <f>IF(ISERROR(VLOOKUP(Base_Periodo1[[#This Row],[CONTA]],BaseContasDRE[#All],4,FALSE)),"Fora do DRE",VLOOKUP(Base_Periodo1[[#This Row],[CONTA]],BaseContasDRE[#All],4,FALSE))</f>
        <v>-</v>
      </c>
      <c r="T6219" s="3">
        <f>IF(ISERROR(VLOOKUP(Base_Periodo1[[#This Row],[CONTA]],BaseContasDRE[#All],5,FALSE)),"Fora do DRE",VLOOKUP(Base_Periodo1[[#This Row],[CONTA]],BaseContasDRE[#All],6,FALSE))</f>
        <v>5</v>
      </c>
      <c r="U6219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19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19" s="3" t="str">
        <f>LEFT(Base_Periodo1[[#This Row],[CLASS]],3)</f>
        <v>3.1</v>
      </c>
    </row>
    <row r="6220" spans="1:23" hidden="1">
      <c r="A6220" s="3" t="str">
        <f t="shared" si="97"/>
        <v>Período 1</v>
      </c>
      <c r="B6220">
        <v>6191</v>
      </c>
      <c r="C6220" t="s">
        <v>3881</v>
      </c>
      <c r="D6220" t="s">
        <v>4806</v>
      </c>
      <c r="E6220" s="3" t="str">
        <f>IF(LEN(Base_Periodo1[[#This Row],[CLASS]])&gt;=7,LEFT(Base_Periodo1[[#This Row],[CLASS]],7),"")</f>
        <v>3.1.1.3</v>
      </c>
      <c r="F6220" s="3" t="e">
        <f>VLOOKUP(Base_Periodo1[[#This Row],[Aux]],Base_Contas_Balanco[#All],2,FALSE)</f>
        <v>#N/A</v>
      </c>
      <c r="G6220" s="1">
        <v>42884</v>
      </c>
      <c r="H6220" s="225">
        <v>1370.6899999995949</v>
      </c>
      <c r="I6220" s="225">
        <v>489.17999999999995</v>
      </c>
      <c r="J6220" s="225">
        <v>0</v>
      </c>
      <c r="K6220" s="225">
        <v>1859.8699999995947</v>
      </c>
      <c r="L62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-1859.87</v>
      </c>
      <c r="M6220" s="225">
        <f>ROUND(IF(AND(Base_Periodo1[[#This Row],[Tipo_Linha]]="-",Base_Periodo1[[#This Row],[TIPOSALDO]]="D"),Base_Periodo1[[#This Row],[SALDO_ATUAL]]*-1,Base_Periodo1[[#This Row],[SALDO_ATUAL]]),4)</f>
        <v>-1859.87</v>
      </c>
      <c r="N6220" t="s">
        <v>116</v>
      </c>
      <c r="O6220" t="s">
        <v>397</v>
      </c>
      <c r="P6220" t="s">
        <v>397</v>
      </c>
      <c r="Q6220">
        <v>9</v>
      </c>
      <c r="R6220" s="282">
        <f>Base_Periodo1[[#This Row],[CREDITOS]]-Base_Periodo1[[#This Row],[DEBITOS]]</f>
        <v>-489.17999999999995</v>
      </c>
      <c r="S6220" s="3" t="str">
        <f>IF(ISERROR(VLOOKUP(Base_Periodo1[[#This Row],[CONTA]],BaseContasDRE[#All],4,FALSE)),"Fora do DRE",VLOOKUP(Base_Periodo1[[#This Row],[CONTA]],BaseContasDRE[#All],4,FALSE))</f>
        <v>-</v>
      </c>
      <c r="T6220" s="3">
        <f>IF(ISERROR(VLOOKUP(Base_Periodo1[[#This Row],[CONTA]],BaseContasDRE[#All],5,FALSE)),"Fora do DRE",VLOOKUP(Base_Periodo1[[#This Row],[CONTA]],BaseContasDRE[#All],6,FALSE))</f>
        <v>5</v>
      </c>
      <c r="U6220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20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20" s="3" t="str">
        <f>LEFT(Base_Periodo1[[#This Row],[CLASS]],3)</f>
        <v>3.1</v>
      </c>
    </row>
    <row r="6221" spans="1:23" hidden="1">
      <c r="A6221" s="3" t="str">
        <f t="shared" si="97"/>
        <v>Período 1</v>
      </c>
      <c r="B6221">
        <v>6192</v>
      </c>
      <c r="C6221" t="s">
        <v>3882</v>
      </c>
      <c r="D6221" t="s">
        <v>3883</v>
      </c>
      <c r="E6221" s="3" t="str">
        <f>IF(LEN(Base_Periodo1[[#This Row],[CLASS]])&gt;=7,LEFT(Base_Periodo1[[#This Row],[CLASS]],7),"")</f>
        <v>3.1.1.3</v>
      </c>
      <c r="F6221" s="3" t="e">
        <f>VLOOKUP(Base_Periodo1[[#This Row],[Aux]],Base_Contas_Balanco[#All],2,FALSE)</f>
        <v>#N/A</v>
      </c>
      <c r="G6221" s="1">
        <v>42885</v>
      </c>
      <c r="H6221" s="225">
        <v>40586.370000000257</v>
      </c>
      <c r="I6221" s="225">
        <v>13287.449999999999</v>
      </c>
      <c r="J6221" s="225">
        <v>2392</v>
      </c>
      <c r="K6221" s="225">
        <v>51481.820000000254</v>
      </c>
      <c r="L62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-51481.82</v>
      </c>
      <c r="M6221" s="225">
        <f>ROUND(IF(AND(Base_Periodo1[[#This Row],[Tipo_Linha]]="-",Base_Periodo1[[#This Row],[TIPOSALDO]]="D"),Base_Periodo1[[#This Row],[SALDO_ATUAL]]*-1,Base_Periodo1[[#This Row],[SALDO_ATUAL]]),4)</f>
        <v>-51481.82</v>
      </c>
      <c r="N6221" t="s">
        <v>116</v>
      </c>
      <c r="O6221" t="s">
        <v>397</v>
      </c>
      <c r="P6221" t="s">
        <v>397</v>
      </c>
      <c r="Q6221">
        <v>9</v>
      </c>
      <c r="R6221" s="282">
        <f>Base_Periodo1[[#This Row],[CREDITOS]]-Base_Periodo1[[#This Row],[DEBITOS]]</f>
        <v>-10895.449999999999</v>
      </c>
      <c r="S6221" s="3" t="str">
        <f>IF(ISERROR(VLOOKUP(Base_Periodo1[[#This Row],[CONTA]],BaseContasDRE[#All],4,FALSE)),"Fora do DRE",VLOOKUP(Base_Periodo1[[#This Row],[CONTA]],BaseContasDRE[#All],4,FALSE))</f>
        <v>-</v>
      </c>
      <c r="T6221" s="3">
        <f>IF(ISERROR(VLOOKUP(Base_Periodo1[[#This Row],[CONTA]],BaseContasDRE[#All],5,FALSE)),"Fora do DRE",VLOOKUP(Base_Periodo1[[#This Row],[CONTA]],BaseContasDRE[#All],6,FALSE))</f>
        <v>5</v>
      </c>
      <c r="U6221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21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21" s="3" t="str">
        <f>LEFT(Base_Periodo1[[#This Row],[CLASS]],3)</f>
        <v>3.1</v>
      </c>
    </row>
    <row r="6222" spans="1:23" hidden="1">
      <c r="A6222" s="3" t="str">
        <f t="shared" si="97"/>
        <v>Período 1</v>
      </c>
      <c r="B6222">
        <v>6193</v>
      </c>
      <c r="C6222" t="s">
        <v>3884</v>
      </c>
      <c r="D6222" t="s">
        <v>3885</v>
      </c>
      <c r="E6222" s="3" t="str">
        <f>IF(LEN(Base_Periodo1[[#This Row],[CLASS]])&gt;=7,LEFT(Base_Periodo1[[#This Row],[CLASS]],7),"")</f>
        <v>3.1.1.3</v>
      </c>
      <c r="F6222" s="3" t="e">
        <f>VLOOKUP(Base_Periodo1[[#This Row],[Aux]],Base_Contas_Balanco[#All],2,FALSE)</f>
        <v>#N/A</v>
      </c>
      <c r="G6222" s="1">
        <v>42881</v>
      </c>
      <c r="H6222" s="225">
        <v>91333.179999998654</v>
      </c>
      <c r="I6222" s="225">
        <v>19719.719999999994</v>
      </c>
      <c r="J6222" s="225">
        <v>0</v>
      </c>
      <c r="K6222" s="225">
        <v>111052.89999999866</v>
      </c>
      <c r="L62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-111052.9</v>
      </c>
      <c r="M6222" s="225">
        <f>ROUND(IF(AND(Base_Periodo1[[#This Row],[Tipo_Linha]]="-",Base_Periodo1[[#This Row],[TIPOSALDO]]="D"),Base_Periodo1[[#This Row],[SALDO_ATUAL]]*-1,Base_Periodo1[[#This Row],[SALDO_ATUAL]]),4)</f>
        <v>-111052.9</v>
      </c>
      <c r="N6222" t="s">
        <v>116</v>
      </c>
      <c r="O6222" t="s">
        <v>397</v>
      </c>
      <c r="P6222" t="s">
        <v>397</v>
      </c>
      <c r="Q6222">
        <v>9</v>
      </c>
      <c r="R6222" s="282">
        <f>Base_Periodo1[[#This Row],[CREDITOS]]-Base_Periodo1[[#This Row],[DEBITOS]]</f>
        <v>-19719.719999999994</v>
      </c>
      <c r="S6222" s="3" t="str">
        <f>IF(ISERROR(VLOOKUP(Base_Periodo1[[#This Row],[CONTA]],BaseContasDRE[#All],4,FALSE)),"Fora do DRE",VLOOKUP(Base_Periodo1[[#This Row],[CONTA]],BaseContasDRE[#All],4,FALSE))</f>
        <v>-</v>
      </c>
      <c r="T6222" s="3">
        <f>IF(ISERROR(VLOOKUP(Base_Periodo1[[#This Row],[CONTA]],BaseContasDRE[#All],5,FALSE)),"Fora do DRE",VLOOKUP(Base_Periodo1[[#This Row],[CONTA]],BaseContasDRE[#All],6,FALSE))</f>
        <v>5</v>
      </c>
      <c r="U6222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22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22" s="3" t="str">
        <f>LEFT(Base_Periodo1[[#This Row],[CLASS]],3)</f>
        <v>3.1</v>
      </c>
    </row>
    <row r="6223" spans="1:23" hidden="1">
      <c r="A6223" s="3" t="str">
        <f t="shared" si="97"/>
        <v>Período 1</v>
      </c>
      <c r="B6223">
        <v>6195</v>
      </c>
      <c r="C6223" t="s">
        <v>3886</v>
      </c>
      <c r="D6223" t="s">
        <v>3887</v>
      </c>
      <c r="E6223" s="3" t="str">
        <f>IF(LEN(Base_Periodo1[[#This Row],[CLASS]])&gt;=7,LEFT(Base_Periodo1[[#This Row],[CLASS]],7),"")</f>
        <v>3.1.1.3</v>
      </c>
      <c r="F6223" s="3" t="e">
        <f>VLOOKUP(Base_Periodo1[[#This Row],[Aux]],Base_Contas_Balanco[#All],2,FALSE)</f>
        <v>#N/A</v>
      </c>
      <c r="G6223" s="1">
        <v>42880</v>
      </c>
      <c r="H6223" s="225">
        <v>78845.000000000233</v>
      </c>
      <c r="I6223" s="225">
        <v>17049</v>
      </c>
      <c r="J6223" s="225">
        <v>0</v>
      </c>
      <c r="K6223" s="225">
        <v>95894.000000000233</v>
      </c>
      <c r="L62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-95894</v>
      </c>
      <c r="M6223" s="225">
        <f>ROUND(IF(AND(Base_Periodo1[[#This Row],[Tipo_Linha]]="-",Base_Periodo1[[#This Row],[TIPOSALDO]]="D"),Base_Periodo1[[#This Row],[SALDO_ATUAL]]*-1,Base_Periodo1[[#This Row],[SALDO_ATUAL]]),4)</f>
        <v>-95894</v>
      </c>
      <c r="N6223" t="s">
        <v>116</v>
      </c>
      <c r="O6223" t="s">
        <v>397</v>
      </c>
      <c r="P6223" t="s">
        <v>397</v>
      </c>
      <c r="Q6223">
        <v>9</v>
      </c>
      <c r="R6223" s="282">
        <f>Base_Periodo1[[#This Row],[CREDITOS]]-Base_Periodo1[[#This Row],[DEBITOS]]</f>
        <v>-17049</v>
      </c>
      <c r="S6223" s="3" t="str">
        <f>IF(ISERROR(VLOOKUP(Base_Periodo1[[#This Row],[CONTA]],BaseContasDRE[#All],4,FALSE)),"Fora do DRE",VLOOKUP(Base_Periodo1[[#This Row],[CONTA]],BaseContasDRE[#All],4,FALSE))</f>
        <v>-</v>
      </c>
      <c r="T6223" s="3">
        <f>IF(ISERROR(VLOOKUP(Base_Periodo1[[#This Row],[CONTA]],BaseContasDRE[#All],5,FALSE)),"Fora do DRE",VLOOKUP(Base_Periodo1[[#This Row],[CONTA]],BaseContasDRE[#All],6,FALSE))</f>
        <v>5</v>
      </c>
      <c r="U6223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23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23" s="3" t="str">
        <f>LEFT(Base_Periodo1[[#This Row],[CLASS]],3)</f>
        <v>3.1</v>
      </c>
    </row>
    <row r="6224" spans="1:23" hidden="1">
      <c r="A6224" s="3" t="str">
        <f t="shared" si="97"/>
        <v>Período 1</v>
      </c>
      <c r="B6224">
        <v>6196</v>
      </c>
      <c r="C6224" t="s">
        <v>3888</v>
      </c>
      <c r="D6224" t="s">
        <v>3889</v>
      </c>
      <c r="E6224" s="3" t="str">
        <f>IF(LEN(Base_Periodo1[[#This Row],[CLASS]])&gt;=7,LEFT(Base_Periodo1[[#This Row],[CLASS]],7),"")</f>
        <v>3.1.1.3</v>
      </c>
      <c r="F6224" s="3" t="e">
        <f>VLOOKUP(Base_Periodo1[[#This Row],[Aux]],Base_Contas_Balanco[#All],2,FALSE)</f>
        <v>#N/A</v>
      </c>
      <c r="G6224" s="1">
        <v>42886</v>
      </c>
      <c r="H6224" s="225">
        <v>5457.2200000000012</v>
      </c>
      <c r="I6224" s="225">
        <v>3637.3500000000004</v>
      </c>
      <c r="J6224" s="225">
        <v>0</v>
      </c>
      <c r="K6224" s="225">
        <v>9094.5700000000015</v>
      </c>
      <c r="L62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-9094.57</v>
      </c>
      <c r="M6224" s="225">
        <f>ROUND(IF(AND(Base_Periodo1[[#This Row],[Tipo_Linha]]="-",Base_Periodo1[[#This Row],[TIPOSALDO]]="D"),Base_Periodo1[[#This Row],[SALDO_ATUAL]]*-1,Base_Periodo1[[#This Row],[SALDO_ATUAL]]),4)</f>
        <v>-9094.57</v>
      </c>
      <c r="N6224" t="s">
        <v>116</v>
      </c>
      <c r="O6224" t="s">
        <v>397</v>
      </c>
      <c r="P6224" t="s">
        <v>397</v>
      </c>
      <c r="Q6224">
        <v>9</v>
      </c>
      <c r="R6224" s="282">
        <f>Base_Periodo1[[#This Row],[CREDITOS]]-Base_Periodo1[[#This Row],[DEBITOS]]</f>
        <v>-3637.3500000000004</v>
      </c>
      <c r="S6224" s="3" t="str">
        <f>IF(ISERROR(VLOOKUP(Base_Periodo1[[#This Row],[CONTA]],BaseContasDRE[#All],4,FALSE)),"Fora do DRE",VLOOKUP(Base_Periodo1[[#This Row],[CONTA]],BaseContasDRE[#All],4,FALSE))</f>
        <v>-</v>
      </c>
      <c r="T6224" s="3">
        <f>IF(ISERROR(VLOOKUP(Base_Periodo1[[#This Row],[CONTA]],BaseContasDRE[#All],5,FALSE)),"Fora do DRE",VLOOKUP(Base_Periodo1[[#This Row],[CONTA]],BaseContasDRE[#All],6,FALSE))</f>
        <v>5</v>
      </c>
      <c r="U6224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24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24" s="3" t="str">
        <f>LEFT(Base_Periodo1[[#This Row],[CLASS]],3)</f>
        <v>3.1</v>
      </c>
    </row>
    <row r="6225" spans="1:23" hidden="1">
      <c r="A6225" s="3" t="str">
        <f t="shared" si="97"/>
        <v>Período 1</v>
      </c>
      <c r="B6225">
        <v>6197</v>
      </c>
      <c r="C6225" t="s">
        <v>3890</v>
      </c>
      <c r="D6225" t="s">
        <v>3891</v>
      </c>
      <c r="E6225" s="3" t="str">
        <f>IF(LEN(Base_Periodo1[[#This Row],[CLASS]])&gt;=7,LEFT(Base_Periodo1[[#This Row],[CLASS]],7),"")</f>
        <v>3.1.1.3</v>
      </c>
      <c r="F6225" s="3" t="e">
        <f>VLOOKUP(Base_Periodo1[[#This Row],[Aux]],Base_Contas_Balanco[#All],2,FALSE)</f>
        <v>#N/A</v>
      </c>
      <c r="G6225" s="1">
        <v>42886</v>
      </c>
      <c r="H6225" s="225">
        <v>15857.24000000034</v>
      </c>
      <c r="I6225" s="225">
        <v>6885.0999999999995</v>
      </c>
      <c r="J6225" s="225">
        <v>0</v>
      </c>
      <c r="K6225" s="225">
        <v>22742.340000000338</v>
      </c>
      <c r="L62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-22742.34</v>
      </c>
      <c r="M6225" s="225">
        <f>ROUND(IF(AND(Base_Periodo1[[#This Row],[Tipo_Linha]]="-",Base_Periodo1[[#This Row],[TIPOSALDO]]="D"),Base_Periodo1[[#This Row],[SALDO_ATUAL]]*-1,Base_Periodo1[[#This Row],[SALDO_ATUAL]]),4)</f>
        <v>-22742.34</v>
      </c>
      <c r="N6225" t="s">
        <v>116</v>
      </c>
      <c r="O6225" t="s">
        <v>397</v>
      </c>
      <c r="P6225" t="s">
        <v>397</v>
      </c>
      <c r="Q6225">
        <v>9</v>
      </c>
      <c r="R6225" s="282">
        <f>Base_Periodo1[[#This Row],[CREDITOS]]-Base_Periodo1[[#This Row],[DEBITOS]]</f>
        <v>-6885.0999999999995</v>
      </c>
      <c r="S6225" s="3" t="str">
        <f>IF(ISERROR(VLOOKUP(Base_Periodo1[[#This Row],[CONTA]],BaseContasDRE[#All],4,FALSE)),"Fora do DRE",VLOOKUP(Base_Periodo1[[#This Row],[CONTA]],BaseContasDRE[#All],4,FALSE))</f>
        <v>-</v>
      </c>
      <c r="T6225" s="3">
        <f>IF(ISERROR(VLOOKUP(Base_Periodo1[[#This Row],[CONTA]],BaseContasDRE[#All],5,FALSE)),"Fora do DRE",VLOOKUP(Base_Periodo1[[#This Row],[CONTA]],BaseContasDRE[#All],6,FALSE))</f>
        <v>5</v>
      </c>
      <c r="U6225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25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25" s="3" t="str">
        <f>LEFT(Base_Periodo1[[#This Row],[CLASS]],3)</f>
        <v>3.1</v>
      </c>
    </row>
    <row r="6226" spans="1:23" hidden="1">
      <c r="A6226" s="3" t="str">
        <f t="shared" si="97"/>
        <v>Período 1</v>
      </c>
      <c r="B6226">
        <v>6199</v>
      </c>
      <c r="C6226" t="s">
        <v>3892</v>
      </c>
      <c r="D6226" t="s">
        <v>4334</v>
      </c>
      <c r="E6226" s="3" t="str">
        <f>IF(LEN(Base_Periodo1[[#This Row],[CLASS]])&gt;=7,LEFT(Base_Periodo1[[#This Row],[CLASS]],7),"")</f>
        <v>3.1.1.3</v>
      </c>
      <c r="F6226" s="3" t="e">
        <f>VLOOKUP(Base_Periodo1[[#This Row],[Aux]],Base_Contas_Balanco[#All],2,FALSE)</f>
        <v>#N/A</v>
      </c>
      <c r="G6226" s="1">
        <v>42886</v>
      </c>
      <c r="H6226" s="225">
        <v>33593.599999999977</v>
      </c>
      <c r="I6226" s="225">
        <v>15558.649999999996</v>
      </c>
      <c r="J6226" s="225">
        <v>0</v>
      </c>
      <c r="K6226" s="225">
        <v>49152.249999999971</v>
      </c>
      <c r="L62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-49152.25</v>
      </c>
      <c r="M6226" s="225">
        <f>ROUND(IF(AND(Base_Periodo1[[#This Row],[Tipo_Linha]]="-",Base_Periodo1[[#This Row],[TIPOSALDO]]="D"),Base_Periodo1[[#This Row],[SALDO_ATUAL]]*-1,Base_Periodo1[[#This Row],[SALDO_ATUAL]]),4)</f>
        <v>-49152.25</v>
      </c>
      <c r="N6226" t="s">
        <v>116</v>
      </c>
      <c r="O6226" t="s">
        <v>397</v>
      </c>
      <c r="P6226" t="s">
        <v>397</v>
      </c>
      <c r="Q6226">
        <v>9</v>
      </c>
      <c r="R6226" s="282">
        <f>Base_Periodo1[[#This Row],[CREDITOS]]-Base_Periodo1[[#This Row],[DEBITOS]]</f>
        <v>-15558.649999999996</v>
      </c>
      <c r="S6226" s="3" t="str">
        <f>IF(ISERROR(VLOOKUP(Base_Periodo1[[#This Row],[CONTA]],BaseContasDRE[#All],4,FALSE)),"Fora do DRE",VLOOKUP(Base_Periodo1[[#This Row],[CONTA]],BaseContasDRE[#All],4,FALSE))</f>
        <v>-</v>
      </c>
      <c r="T6226" s="3">
        <f>IF(ISERROR(VLOOKUP(Base_Periodo1[[#This Row],[CONTA]],BaseContasDRE[#All],5,FALSE)),"Fora do DRE",VLOOKUP(Base_Periodo1[[#This Row],[CONTA]],BaseContasDRE[#All],6,FALSE))</f>
        <v>5</v>
      </c>
      <c r="U6226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26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26" s="3" t="str">
        <f>LEFT(Base_Periodo1[[#This Row],[CLASS]],3)</f>
        <v>3.1</v>
      </c>
    </row>
    <row r="6227" spans="1:23" hidden="1">
      <c r="A6227" s="3" t="str">
        <f t="shared" si="97"/>
        <v>Período 1</v>
      </c>
      <c r="B6227">
        <v>6201</v>
      </c>
      <c r="C6227" t="s">
        <v>6623</v>
      </c>
      <c r="D6227" t="s">
        <v>6624</v>
      </c>
      <c r="E6227" s="3" t="str">
        <f>IF(LEN(Base_Periodo1[[#This Row],[CLASS]])&gt;=7,LEFT(Base_Periodo1[[#This Row],[CLASS]],7),"")</f>
        <v>3.1.1.3</v>
      </c>
      <c r="F6227" s="3" t="e">
        <f>VLOOKUP(Base_Periodo1[[#This Row],[Aux]],Base_Contas_Balanco[#All],2,FALSE)</f>
        <v>#N/A</v>
      </c>
      <c r="G6227" s="1">
        <v>42886</v>
      </c>
      <c r="H6227" s="225">
        <v>246.5</v>
      </c>
      <c r="I6227" s="225">
        <v>433.37</v>
      </c>
      <c r="J6227" s="225">
        <v>0</v>
      </c>
      <c r="K6227" s="225">
        <v>679.87</v>
      </c>
      <c r="L62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-679.87</v>
      </c>
      <c r="M6227" s="225">
        <f>ROUND(IF(AND(Base_Periodo1[[#This Row],[Tipo_Linha]]="-",Base_Periodo1[[#This Row],[TIPOSALDO]]="D"),Base_Periodo1[[#This Row],[SALDO_ATUAL]]*-1,Base_Periodo1[[#This Row],[SALDO_ATUAL]]),4)</f>
        <v>-679.87</v>
      </c>
      <c r="N6227" t="s">
        <v>116</v>
      </c>
      <c r="O6227" t="s">
        <v>397</v>
      </c>
      <c r="P6227" t="s">
        <v>397</v>
      </c>
      <c r="Q6227">
        <v>9</v>
      </c>
      <c r="R6227" s="282">
        <f>Base_Periodo1[[#This Row],[CREDITOS]]-Base_Periodo1[[#This Row],[DEBITOS]]</f>
        <v>-433.37</v>
      </c>
      <c r="S6227" s="3" t="str">
        <f>IF(ISERROR(VLOOKUP(Base_Periodo1[[#This Row],[CONTA]],BaseContasDRE[#All],4,FALSE)),"Fora do DRE",VLOOKUP(Base_Periodo1[[#This Row],[CONTA]],BaseContasDRE[#All],4,FALSE))</f>
        <v>-</v>
      </c>
      <c r="T6227" s="3">
        <f>IF(ISERROR(VLOOKUP(Base_Periodo1[[#This Row],[CONTA]],BaseContasDRE[#All],5,FALSE)),"Fora do DRE",VLOOKUP(Base_Periodo1[[#This Row],[CONTA]],BaseContasDRE[#All],6,FALSE))</f>
        <v>5</v>
      </c>
      <c r="U6227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27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27" s="3" t="str">
        <f>LEFT(Base_Periodo1[[#This Row],[CLASS]],3)</f>
        <v>3.1</v>
      </c>
    </row>
    <row r="6228" spans="1:23" hidden="1">
      <c r="A6228" s="3" t="str">
        <f t="shared" si="97"/>
        <v>Período 1</v>
      </c>
      <c r="B6228">
        <v>23814</v>
      </c>
      <c r="C6228" t="s">
        <v>3893</v>
      </c>
      <c r="D6228" t="s">
        <v>3894</v>
      </c>
      <c r="E6228" s="3" t="str">
        <f>IF(LEN(Base_Periodo1[[#This Row],[CLASS]])&gt;=7,LEFT(Base_Periodo1[[#This Row],[CLASS]],7),"")</f>
        <v>3.1.1.3</v>
      </c>
      <c r="F6228" s="3" t="e">
        <f>VLOOKUP(Base_Periodo1[[#This Row],[Aux]],Base_Contas_Balanco[#All],2,FALSE)</f>
        <v>#N/A</v>
      </c>
      <c r="G6228" s="1">
        <v>42886</v>
      </c>
      <c r="H6228" s="225">
        <v>119832.56000000011</v>
      </c>
      <c r="I6228" s="225">
        <v>29958.14</v>
      </c>
      <c r="J6228" s="225">
        <v>0</v>
      </c>
      <c r="K6228" s="225">
        <v>149790.70000000013</v>
      </c>
      <c r="L62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-149790.70000000001</v>
      </c>
      <c r="M6228" s="225">
        <f>ROUND(IF(AND(Base_Periodo1[[#This Row],[Tipo_Linha]]="-",Base_Periodo1[[#This Row],[TIPOSALDO]]="D"),Base_Periodo1[[#This Row],[SALDO_ATUAL]]*-1,Base_Periodo1[[#This Row],[SALDO_ATUAL]]),4)</f>
        <v>-149790.70000000001</v>
      </c>
      <c r="N6228" t="s">
        <v>116</v>
      </c>
      <c r="O6228" t="s">
        <v>397</v>
      </c>
      <c r="P6228" t="s">
        <v>397</v>
      </c>
      <c r="Q6228">
        <v>9</v>
      </c>
      <c r="R6228" s="282">
        <f>Base_Periodo1[[#This Row],[CREDITOS]]-Base_Periodo1[[#This Row],[DEBITOS]]</f>
        <v>-29958.14</v>
      </c>
      <c r="S6228" s="3" t="str">
        <f>IF(ISERROR(VLOOKUP(Base_Periodo1[[#This Row],[CONTA]],BaseContasDRE[#All],4,FALSE)),"Fora do DRE",VLOOKUP(Base_Periodo1[[#This Row],[CONTA]],BaseContasDRE[#All],4,FALSE))</f>
        <v>-</v>
      </c>
      <c r="T6228" s="3">
        <f>IF(ISERROR(VLOOKUP(Base_Periodo1[[#This Row],[CONTA]],BaseContasDRE[#All],5,FALSE)),"Fora do DRE",VLOOKUP(Base_Periodo1[[#This Row],[CONTA]],BaseContasDRE[#All],6,FALSE))</f>
        <v>5</v>
      </c>
      <c r="U6228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28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28" s="3" t="str">
        <f>LEFT(Base_Periodo1[[#This Row],[CLASS]],3)</f>
        <v>3.1</v>
      </c>
    </row>
    <row r="6229" spans="1:23" hidden="1">
      <c r="A6229" s="3" t="str">
        <f t="shared" si="97"/>
        <v>Período 1</v>
      </c>
      <c r="B6229">
        <v>6202</v>
      </c>
      <c r="C6229" t="s">
        <v>3895</v>
      </c>
      <c r="D6229" t="s">
        <v>3896</v>
      </c>
      <c r="E6229" s="3" t="str">
        <f>IF(LEN(Base_Periodo1[[#This Row],[CLASS]])&gt;=7,LEFT(Base_Periodo1[[#This Row],[CLASS]],7),"")</f>
        <v>3.1.1.3</v>
      </c>
      <c r="F6229" s="3" t="e">
        <f>VLOOKUP(Base_Periodo1[[#This Row],[Aux]],Base_Contas_Balanco[#All],2,FALSE)</f>
        <v>#N/A</v>
      </c>
      <c r="G6229" s="1">
        <v>42886</v>
      </c>
      <c r="H6229" s="225">
        <v>22634.390000001644</v>
      </c>
      <c r="I6229" s="225">
        <v>6736.27</v>
      </c>
      <c r="J6229" s="225">
        <v>0</v>
      </c>
      <c r="K6229" s="225">
        <v>29370.660000001644</v>
      </c>
      <c r="L62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-29370.66</v>
      </c>
      <c r="M6229" s="225">
        <f>ROUND(IF(AND(Base_Periodo1[[#This Row],[Tipo_Linha]]="-",Base_Periodo1[[#This Row],[TIPOSALDO]]="D"),Base_Periodo1[[#This Row],[SALDO_ATUAL]]*-1,Base_Periodo1[[#This Row],[SALDO_ATUAL]]),4)</f>
        <v>-29370.66</v>
      </c>
      <c r="N6229" t="s">
        <v>116</v>
      </c>
      <c r="O6229" t="s">
        <v>397</v>
      </c>
      <c r="P6229" t="s">
        <v>397</v>
      </c>
      <c r="Q6229">
        <v>9</v>
      </c>
      <c r="R6229" s="282">
        <f>Base_Periodo1[[#This Row],[CREDITOS]]-Base_Periodo1[[#This Row],[DEBITOS]]</f>
        <v>-6736.27</v>
      </c>
      <c r="S6229" s="3" t="str">
        <f>IF(ISERROR(VLOOKUP(Base_Periodo1[[#This Row],[CONTA]],BaseContasDRE[#All],4,FALSE)),"Fora do DRE",VLOOKUP(Base_Periodo1[[#This Row],[CONTA]],BaseContasDRE[#All],4,FALSE))</f>
        <v>-</v>
      </c>
      <c r="T6229" s="3">
        <f>IF(ISERROR(VLOOKUP(Base_Periodo1[[#This Row],[CONTA]],BaseContasDRE[#All],5,FALSE)),"Fora do DRE",VLOOKUP(Base_Periodo1[[#This Row],[CONTA]],BaseContasDRE[#All],6,FALSE))</f>
        <v>5</v>
      </c>
      <c r="U6229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29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29" s="3" t="str">
        <f>LEFT(Base_Periodo1[[#This Row],[CLASS]],3)</f>
        <v>3.1</v>
      </c>
    </row>
    <row r="6230" spans="1:23" hidden="1">
      <c r="A6230" s="3" t="str">
        <f t="shared" si="97"/>
        <v>Período 1</v>
      </c>
      <c r="B6230">
        <v>6203</v>
      </c>
      <c r="C6230" t="s">
        <v>3897</v>
      </c>
      <c r="D6230" t="s">
        <v>3898</v>
      </c>
      <c r="E6230" s="3" t="str">
        <f>IF(LEN(Base_Periodo1[[#This Row],[CLASS]])&gt;=7,LEFT(Base_Periodo1[[#This Row],[CLASS]],7),"")</f>
        <v>3.1.1.3</v>
      </c>
      <c r="F6230" s="3" t="e">
        <f>VLOOKUP(Base_Periodo1[[#This Row],[Aux]],Base_Contas_Balanco[#All],2,FALSE)</f>
        <v>#N/A</v>
      </c>
      <c r="G6230" s="1">
        <v>42886</v>
      </c>
      <c r="H6230" s="225">
        <v>40073.360000000335</v>
      </c>
      <c r="I6230" s="225">
        <v>10119.869999999999</v>
      </c>
      <c r="J6230" s="225">
        <v>0</v>
      </c>
      <c r="K6230" s="225">
        <v>50193.230000000331</v>
      </c>
      <c r="L62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-50193.23</v>
      </c>
      <c r="M6230" s="225">
        <f>ROUND(IF(AND(Base_Periodo1[[#This Row],[Tipo_Linha]]="-",Base_Periodo1[[#This Row],[TIPOSALDO]]="D"),Base_Periodo1[[#This Row],[SALDO_ATUAL]]*-1,Base_Periodo1[[#This Row],[SALDO_ATUAL]]),4)</f>
        <v>-50193.23</v>
      </c>
      <c r="N6230" t="s">
        <v>116</v>
      </c>
      <c r="O6230" t="s">
        <v>397</v>
      </c>
      <c r="P6230" t="s">
        <v>397</v>
      </c>
      <c r="Q6230">
        <v>9</v>
      </c>
      <c r="R6230" s="282">
        <f>Base_Periodo1[[#This Row],[CREDITOS]]-Base_Periodo1[[#This Row],[DEBITOS]]</f>
        <v>-10119.869999999999</v>
      </c>
      <c r="S6230" s="3" t="str">
        <f>IF(ISERROR(VLOOKUP(Base_Periodo1[[#This Row],[CONTA]],BaseContasDRE[#All],4,FALSE)),"Fora do DRE",VLOOKUP(Base_Periodo1[[#This Row],[CONTA]],BaseContasDRE[#All],4,FALSE))</f>
        <v>-</v>
      </c>
      <c r="T6230" s="3">
        <f>IF(ISERROR(VLOOKUP(Base_Periodo1[[#This Row],[CONTA]],BaseContasDRE[#All],5,FALSE)),"Fora do DRE",VLOOKUP(Base_Periodo1[[#This Row],[CONTA]],BaseContasDRE[#All],6,FALSE))</f>
        <v>5</v>
      </c>
      <c r="U6230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30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30" s="3" t="str">
        <f>LEFT(Base_Periodo1[[#This Row],[CLASS]],3)</f>
        <v>3.1</v>
      </c>
    </row>
    <row r="6231" spans="1:23" hidden="1">
      <c r="A6231" s="3" t="str">
        <f t="shared" si="97"/>
        <v>Período 1</v>
      </c>
      <c r="B6231">
        <v>6204</v>
      </c>
      <c r="C6231" t="s">
        <v>6052</v>
      </c>
      <c r="D6231" t="s">
        <v>6053</v>
      </c>
      <c r="E6231" s="3" t="str">
        <f>IF(LEN(Base_Periodo1[[#This Row],[CLASS]])&gt;=7,LEFT(Base_Periodo1[[#This Row],[CLASS]],7),"")</f>
        <v>3.1.1.3</v>
      </c>
      <c r="F6231" s="3" t="e">
        <f>VLOOKUP(Base_Periodo1[[#This Row],[Aux]],Base_Contas_Balanco[#All],2,FALSE)</f>
        <v>#N/A</v>
      </c>
      <c r="G6231" s="1">
        <v>42877</v>
      </c>
      <c r="H6231" s="225">
        <v>32665.310000000012</v>
      </c>
      <c r="I6231" s="225">
        <v>2186.34</v>
      </c>
      <c r="J6231" s="225">
        <v>0</v>
      </c>
      <c r="K6231" s="225">
        <v>34851.650000000009</v>
      </c>
      <c r="L62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-34851.65</v>
      </c>
      <c r="M6231" s="225">
        <f>ROUND(IF(AND(Base_Periodo1[[#This Row],[Tipo_Linha]]="-",Base_Periodo1[[#This Row],[TIPOSALDO]]="D"),Base_Periodo1[[#This Row],[SALDO_ATUAL]]*-1,Base_Periodo1[[#This Row],[SALDO_ATUAL]]),4)</f>
        <v>-34851.65</v>
      </c>
      <c r="N6231" t="s">
        <v>116</v>
      </c>
      <c r="O6231" t="s">
        <v>397</v>
      </c>
      <c r="P6231" t="s">
        <v>397</v>
      </c>
      <c r="Q6231">
        <v>9</v>
      </c>
      <c r="R6231" s="282">
        <f>Base_Periodo1[[#This Row],[CREDITOS]]-Base_Periodo1[[#This Row],[DEBITOS]]</f>
        <v>-2186.34</v>
      </c>
      <c r="S6231" s="3" t="str">
        <f>IF(ISERROR(VLOOKUP(Base_Periodo1[[#This Row],[CONTA]],BaseContasDRE[#All],4,FALSE)),"Fora do DRE",VLOOKUP(Base_Periodo1[[#This Row],[CONTA]],BaseContasDRE[#All],4,FALSE))</f>
        <v>-</v>
      </c>
      <c r="T6231" s="3">
        <f>IF(ISERROR(VLOOKUP(Base_Periodo1[[#This Row],[CONTA]],BaseContasDRE[#All],5,FALSE)),"Fora do DRE",VLOOKUP(Base_Periodo1[[#This Row],[CONTA]],BaseContasDRE[#All],6,FALSE))</f>
        <v>5</v>
      </c>
      <c r="U6231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31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31" s="3" t="str">
        <f>LEFT(Base_Periodo1[[#This Row],[CLASS]],3)</f>
        <v>3.1</v>
      </c>
    </row>
    <row r="6232" spans="1:23" hidden="1">
      <c r="A6232" s="3" t="str">
        <f t="shared" si="97"/>
        <v>Período 1</v>
      </c>
      <c r="B6232">
        <v>6206</v>
      </c>
      <c r="C6232" t="s">
        <v>3899</v>
      </c>
      <c r="D6232" t="s">
        <v>3900</v>
      </c>
      <c r="E6232" s="3" t="str">
        <f>IF(LEN(Base_Periodo1[[#This Row],[CLASS]])&gt;=7,LEFT(Base_Periodo1[[#This Row],[CLASS]],7),"")</f>
        <v>3.1.1.3</v>
      </c>
      <c r="F6232" s="3" t="e">
        <f>VLOOKUP(Base_Periodo1[[#This Row],[Aux]],Base_Contas_Balanco[#All],2,FALSE)</f>
        <v>#N/A</v>
      </c>
      <c r="G6232" s="1">
        <v>42881</v>
      </c>
      <c r="H6232" s="225">
        <v>115126.2400000011</v>
      </c>
      <c r="I6232" s="225">
        <v>1118.33</v>
      </c>
      <c r="J6232" s="225">
        <v>0</v>
      </c>
      <c r="K6232" s="225">
        <v>116244.5700000011</v>
      </c>
      <c r="L62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-116244.57</v>
      </c>
      <c r="M6232" s="225">
        <f>ROUND(IF(AND(Base_Periodo1[[#This Row],[Tipo_Linha]]="-",Base_Periodo1[[#This Row],[TIPOSALDO]]="D"),Base_Periodo1[[#This Row],[SALDO_ATUAL]]*-1,Base_Periodo1[[#This Row],[SALDO_ATUAL]]),4)</f>
        <v>-116244.57</v>
      </c>
      <c r="N6232" t="s">
        <v>116</v>
      </c>
      <c r="O6232" t="s">
        <v>397</v>
      </c>
      <c r="P6232" t="s">
        <v>397</v>
      </c>
      <c r="Q6232">
        <v>9</v>
      </c>
      <c r="R6232" s="282">
        <f>Base_Periodo1[[#This Row],[CREDITOS]]-Base_Periodo1[[#This Row],[DEBITOS]]</f>
        <v>-1118.33</v>
      </c>
      <c r="S6232" s="3" t="str">
        <f>IF(ISERROR(VLOOKUP(Base_Periodo1[[#This Row],[CONTA]],BaseContasDRE[#All],4,FALSE)),"Fora do DRE",VLOOKUP(Base_Periodo1[[#This Row],[CONTA]],BaseContasDRE[#All],4,FALSE))</f>
        <v>-</v>
      </c>
      <c r="T6232" s="3">
        <f>IF(ISERROR(VLOOKUP(Base_Periodo1[[#This Row],[CONTA]],BaseContasDRE[#All],5,FALSE)),"Fora do DRE",VLOOKUP(Base_Periodo1[[#This Row],[CONTA]],BaseContasDRE[#All],6,FALSE))</f>
        <v>5</v>
      </c>
      <c r="U6232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32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32" s="3" t="str">
        <f>LEFT(Base_Periodo1[[#This Row],[CLASS]],3)</f>
        <v>3.1</v>
      </c>
    </row>
    <row r="6233" spans="1:23" hidden="1">
      <c r="A6233" s="3" t="str">
        <f t="shared" si="97"/>
        <v>Período 1</v>
      </c>
      <c r="B6233">
        <v>6209</v>
      </c>
      <c r="C6233" t="s">
        <v>3901</v>
      </c>
      <c r="D6233" t="s">
        <v>3902</v>
      </c>
      <c r="E6233" s="3" t="str">
        <f>IF(LEN(Base_Periodo1[[#This Row],[CLASS]])&gt;=7,LEFT(Base_Periodo1[[#This Row],[CLASS]],7),"")</f>
        <v>3.1.1.3</v>
      </c>
      <c r="F6233" s="3" t="e">
        <f>VLOOKUP(Base_Periodo1[[#This Row],[Aux]],Base_Contas_Balanco[#All],2,FALSE)</f>
        <v>#N/A</v>
      </c>
      <c r="G6233" s="1">
        <v>42885</v>
      </c>
      <c r="H6233" s="225">
        <v>8053.5000000001164</v>
      </c>
      <c r="I6233" s="225">
        <v>5369</v>
      </c>
      <c r="J6233" s="225">
        <v>0</v>
      </c>
      <c r="K6233" s="225">
        <v>13422.500000000116</v>
      </c>
      <c r="L62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-13422.5</v>
      </c>
      <c r="M6233" s="225">
        <f>ROUND(IF(AND(Base_Periodo1[[#This Row],[Tipo_Linha]]="-",Base_Periodo1[[#This Row],[TIPOSALDO]]="D"),Base_Periodo1[[#This Row],[SALDO_ATUAL]]*-1,Base_Periodo1[[#This Row],[SALDO_ATUAL]]),4)</f>
        <v>-13422.5</v>
      </c>
      <c r="N6233" t="s">
        <v>116</v>
      </c>
      <c r="O6233" t="s">
        <v>397</v>
      </c>
      <c r="P6233" t="s">
        <v>397</v>
      </c>
      <c r="Q6233">
        <v>9</v>
      </c>
      <c r="R6233" s="282">
        <f>Base_Periodo1[[#This Row],[CREDITOS]]-Base_Periodo1[[#This Row],[DEBITOS]]</f>
        <v>-5369</v>
      </c>
      <c r="S6233" s="3" t="str">
        <f>IF(ISERROR(VLOOKUP(Base_Periodo1[[#This Row],[CONTA]],BaseContasDRE[#All],4,FALSE)),"Fora do DRE",VLOOKUP(Base_Periodo1[[#This Row],[CONTA]],BaseContasDRE[#All],4,FALSE))</f>
        <v>-</v>
      </c>
      <c r="T6233" s="3">
        <f>IF(ISERROR(VLOOKUP(Base_Periodo1[[#This Row],[CONTA]],BaseContasDRE[#All],5,FALSE)),"Fora do DRE",VLOOKUP(Base_Periodo1[[#This Row],[CONTA]],BaseContasDRE[#All],6,FALSE))</f>
        <v>5</v>
      </c>
      <c r="U6233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33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33" s="3" t="str">
        <f>LEFT(Base_Periodo1[[#This Row],[CLASS]],3)</f>
        <v>3.1</v>
      </c>
    </row>
    <row r="6234" spans="1:23" hidden="1">
      <c r="A6234" s="3" t="str">
        <f t="shared" si="97"/>
        <v>Período 1</v>
      </c>
      <c r="B6234">
        <v>49751</v>
      </c>
      <c r="C6234" t="s">
        <v>4338</v>
      </c>
      <c r="D6234" t="s">
        <v>4335</v>
      </c>
      <c r="E6234" s="3" t="str">
        <f>IF(LEN(Base_Periodo1[[#This Row],[CLASS]])&gt;=7,LEFT(Base_Periodo1[[#This Row],[CLASS]],7),"")</f>
        <v>3.1.1.3</v>
      </c>
      <c r="F6234" s="3" t="e">
        <f>VLOOKUP(Base_Periodo1[[#This Row],[Aux]],Base_Contas_Balanco[#All],2,FALSE)</f>
        <v>#N/A</v>
      </c>
      <c r="G6234" s="1">
        <v>42886</v>
      </c>
      <c r="H6234" s="225">
        <v>611937.83000001009</v>
      </c>
      <c r="I6234" s="225">
        <v>150626</v>
      </c>
      <c r="J6234" s="225">
        <v>13578.869999999994</v>
      </c>
      <c r="K6234" s="225">
        <v>748984.96000001009</v>
      </c>
      <c r="L62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-748984.96</v>
      </c>
      <c r="M6234" s="225">
        <f>ROUND(IF(AND(Base_Periodo1[[#This Row],[Tipo_Linha]]="-",Base_Periodo1[[#This Row],[TIPOSALDO]]="D"),Base_Periodo1[[#This Row],[SALDO_ATUAL]]*-1,Base_Periodo1[[#This Row],[SALDO_ATUAL]]),4)</f>
        <v>-748984.96</v>
      </c>
      <c r="N6234" t="s">
        <v>116</v>
      </c>
      <c r="O6234" t="s">
        <v>397</v>
      </c>
      <c r="P6234" t="s">
        <v>397</v>
      </c>
      <c r="Q6234">
        <v>9</v>
      </c>
      <c r="R6234" s="282">
        <f>Base_Periodo1[[#This Row],[CREDITOS]]-Base_Periodo1[[#This Row],[DEBITOS]]</f>
        <v>-137047.13</v>
      </c>
      <c r="S6234" s="3" t="str">
        <f>IF(ISERROR(VLOOKUP(Base_Periodo1[[#This Row],[CONTA]],BaseContasDRE[#All],4,FALSE)),"Fora do DRE",VLOOKUP(Base_Periodo1[[#This Row],[CONTA]],BaseContasDRE[#All],4,FALSE))</f>
        <v>-</v>
      </c>
      <c r="T6234" s="3">
        <f>IF(ISERROR(VLOOKUP(Base_Periodo1[[#This Row],[CONTA]],BaseContasDRE[#All],5,FALSE)),"Fora do DRE",VLOOKUP(Base_Periodo1[[#This Row],[CONTA]],BaseContasDRE[#All],6,FALSE))</f>
        <v>5</v>
      </c>
      <c r="U6234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34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34" s="3" t="str">
        <f>LEFT(Base_Periodo1[[#This Row],[CLASS]],3)</f>
        <v>3.1</v>
      </c>
    </row>
    <row r="6235" spans="1:23" hidden="1">
      <c r="A6235" s="3" t="str">
        <f t="shared" si="97"/>
        <v>Período 1</v>
      </c>
      <c r="B6235">
        <v>49752</v>
      </c>
      <c r="C6235" t="s">
        <v>4393</v>
      </c>
      <c r="D6235" t="s">
        <v>4394</v>
      </c>
      <c r="E6235" s="3" t="str">
        <f>IF(LEN(Base_Periodo1[[#This Row],[CLASS]])&gt;=7,LEFT(Base_Periodo1[[#This Row],[CLASS]],7),"")</f>
        <v>3.1.1.3</v>
      </c>
      <c r="F6235" s="3" t="e">
        <f>VLOOKUP(Base_Periodo1[[#This Row],[Aux]],Base_Contas_Balanco[#All],2,FALSE)</f>
        <v>#N/A</v>
      </c>
      <c r="G6235" s="1">
        <v>42886</v>
      </c>
      <c r="H6235" s="225">
        <v>11026.800000000017</v>
      </c>
      <c r="I6235" s="225">
        <v>13679.989999999994</v>
      </c>
      <c r="J6235" s="225">
        <v>6393.58</v>
      </c>
      <c r="K6235" s="225">
        <v>18313.210000000014</v>
      </c>
      <c r="L62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-18313.21</v>
      </c>
      <c r="M6235" s="225">
        <f>ROUND(IF(AND(Base_Periodo1[[#This Row],[Tipo_Linha]]="-",Base_Periodo1[[#This Row],[TIPOSALDO]]="D"),Base_Periodo1[[#This Row],[SALDO_ATUAL]]*-1,Base_Periodo1[[#This Row],[SALDO_ATUAL]]),4)</f>
        <v>-18313.21</v>
      </c>
      <c r="N6235" t="s">
        <v>116</v>
      </c>
      <c r="O6235" t="s">
        <v>397</v>
      </c>
      <c r="P6235" t="s">
        <v>397</v>
      </c>
      <c r="Q6235">
        <v>9</v>
      </c>
      <c r="R6235" s="282">
        <f>Base_Periodo1[[#This Row],[CREDITOS]]-Base_Periodo1[[#This Row],[DEBITOS]]</f>
        <v>-7286.4099999999944</v>
      </c>
      <c r="S6235" s="3" t="str">
        <f>IF(ISERROR(VLOOKUP(Base_Periodo1[[#This Row],[CONTA]],BaseContasDRE[#All],4,FALSE)),"Fora do DRE",VLOOKUP(Base_Periodo1[[#This Row],[CONTA]],BaseContasDRE[#All],4,FALSE))</f>
        <v>-</v>
      </c>
      <c r="T6235" s="3">
        <f>IF(ISERROR(VLOOKUP(Base_Periodo1[[#This Row],[CONTA]],BaseContasDRE[#All],5,FALSE)),"Fora do DRE",VLOOKUP(Base_Periodo1[[#This Row],[CONTA]],BaseContasDRE[#All],6,FALSE))</f>
        <v>5</v>
      </c>
      <c r="U6235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35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35" s="3" t="str">
        <f>LEFT(Base_Periodo1[[#This Row],[CLASS]],3)</f>
        <v>3.1</v>
      </c>
    </row>
    <row r="6236" spans="1:23" hidden="1">
      <c r="A6236" s="3" t="str">
        <f t="shared" si="97"/>
        <v>Período 1</v>
      </c>
      <c r="B6236">
        <v>53462</v>
      </c>
      <c r="C6236" t="s">
        <v>4967</v>
      </c>
      <c r="D6236" t="s">
        <v>4968</v>
      </c>
      <c r="E6236" s="3" t="str">
        <f>IF(LEN(Base_Periodo1[[#This Row],[CLASS]])&gt;=7,LEFT(Base_Periodo1[[#This Row],[CLASS]],7),"")</f>
        <v>3.1.1.3</v>
      </c>
      <c r="F6236" s="3" t="e">
        <f>VLOOKUP(Base_Periodo1[[#This Row],[Aux]],Base_Contas_Balanco[#All],2,FALSE)</f>
        <v>#N/A</v>
      </c>
      <c r="G6236" s="1">
        <v>42886</v>
      </c>
      <c r="H6236" s="225">
        <v>43029.479999999967</v>
      </c>
      <c r="I6236" s="225">
        <v>12161.08</v>
      </c>
      <c r="J6236" s="225">
        <v>0</v>
      </c>
      <c r="K6236" s="225">
        <v>55190.559999999969</v>
      </c>
      <c r="L62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-55190.559999999998</v>
      </c>
      <c r="M6236" s="225">
        <f>ROUND(IF(AND(Base_Periodo1[[#This Row],[Tipo_Linha]]="-",Base_Periodo1[[#This Row],[TIPOSALDO]]="D"),Base_Periodo1[[#This Row],[SALDO_ATUAL]]*-1,Base_Periodo1[[#This Row],[SALDO_ATUAL]]),4)</f>
        <v>-55190.559999999998</v>
      </c>
      <c r="N6236" t="s">
        <v>116</v>
      </c>
      <c r="O6236" t="s">
        <v>397</v>
      </c>
      <c r="P6236" t="s">
        <v>397</v>
      </c>
      <c r="Q6236">
        <v>9</v>
      </c>
      <c r="R6236" s="282">
        <f>Base_Periodo1[[#This Row],[CREDITOS]]-Base_Periodo1[[#This Row],[DEBITOS]]</f>
        <v>-12161.08</v>
      </c>
      <c r="S6236" s="3" t="str">
        <f>IF(ISERROR(VLOOKUP(Base_Periodo1[[#This Row],[CONTA]],BaseContasDRE[#All],4,FALSE)),"Fora do DRE",VLOOKUP(Base_Periodo1[[#This Row],[CONTA]],BaseContasDRE[#All],4,FALSE))</f>
        <v>-</v>
      </c>
      <c r="T6236" s="3">
        <f>IF(ISERROR(VLOOKUP(Base_Periodo1[[#This Row],[CONTA]],BaseContasDRE[#All],5,FALSE)),"Fora do DRE",VLOOKUP(Base_Periodo1[[#This Row],[CONTA]],BaseContasDRE[#All],6,FALSE))</f>
        <v>5</v>
      </c>
      <c r="U6236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36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36" s="3" t="str">
        <f>LEFT(Base_Periodo1[[#This Row],[CLASS]],3)</f>
        <v>3.1</v>
      </c>
    </row>
    <row r="6237" spans="1:23" hidden="1">
      <c r="A6237" s="3" t="str">
        <f t="shared" si="97"/>
        <v>Período 1</v>
      </c>
      <c r="B6237">
        <v>54442</v>
      </c>
      <c r="C6237" t="s">
        <v>6054</v>
      </c>
      <c r="D6237" t="s">
        <v>6055</v>
      </c>
      <c r="E6237" s="3" t="str">
        <f>IF(LEN(Base_Periodo1[[#This Row],[CLASS]])&gt;=7,LEFT(Base_Periodo1[[#This Row],[CLASS]],7),"")</f>
        <v>3.1.1.3</v>
      </c>
      <c r="F6237" s="3" t="e">
        <f>VLOOKUP(Base_Periodo1[[#This Row],[Aux]],Base_Contas_Balanco[#All],2,FALSE)</f>
        <v>#N/A</v>
      </c>
      <c r="G6237" s="1">
        <v>42790</v>
      </c>
      <c r="H6237" s="225">
        <v>300</v>
      </c>
      <c r="I6237" s="225">
        <v>0</v>
      </c>
      <c r="J6237" s="225">
        <v>0</v>
      </c>
      <c r="K6237" s="225">
        <v>300</v>
      </c>
      <c r="L62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-300</v>
      </c>
      <c r="M6237" s="225">
        <f>ROUND(IF(AND(Base_Periodo1[[#This Row],[Tipo_Linha]]="-",Base_Periodo1[[#This Row],[TIPOSALDO]]="D"),Base_Periodo1[[#This Row],[SALDO_ATUAL]]*-1,Base_Periodo1[[#This Row],[SALDO_ATUAL]]),4)</f>
        <v>-300</v>
      </c>
      <c r="N6237" t="s">
        <v>116</v>
      </c>
      <c r="O6237" t="s">
        <v>397</v>
      </c>
      <c r="P6237" t="s">
        <v>397</v>
      </c>
      <c r="Q6237">
        <v>9</v>
      </c>
      <c r="R6237" s="282">
        <f>Base_Periodo1[[#This Row],[CREDITOS]]-Base_Periodo1[[#This Row],[DEBITOS]]</f>
        <v>0</v>
      </c>
      <c r="S6237" s="3" t="str">
        <f>IF(ISERROR(VLOOKUP(Base_Periodo1[[#This Row],[CONTA]],BaseContasDRE[#All],4,FALSE)),"Fora do DRE",VLOOKUP(Base_Periodo1[[#This Row],[CONTA]],BaseContasDRE[#All],4,FALSE))</f>
        <v>-</v>
      </c>
      <c r="T6237" s="3">
        <f>IF(ISERROR(VLOOKUP(Base_Periodo1[[#This Row],[CONTA]],BaseContasDRE[#All],5,FALSE)),"Fora do DRE",VLOOKUP(Base_Periodo1[[#This Row],[CONTA]],BaseContasDRE[#All],6,FALSE))</f>
        <v>5</v>
      </c>
      <c r="U6237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37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37" s="3" t="str">
        <f>LEFT(Base_Periodo1[[#This Row],[CLASS]],3)</f>
        <v>3.1</v>
      </c>
    </row>
    <row r="6238" spans="1:23" hidden="1">
      <c r="A6238" s="3" t="str">
        <f t="shared" si="97"/>
        <v>Período 1</v>
      </c>
      <c r="B6238">
        <v>6210</v>
      </c>
      <c r="C6238" t="s">
        <v>5811</v>
      </c>
      <c r="D6238" t="s">
        <v>5812</v>
      </c>
      <c r="E6238" s="3" t="str">
        <f>IF(LEN(Base_Periodo1[[#This Row],[CLASS]])&gt;=7,LEFT(Base_Periodo1[[#This Row],[CLASS]],7),"")</f>
        <v>3.1.1.3</v>
      </c>
      <c r="F6238" s="3" t="e">
        <f>VLOOKUP(Base_Periodo1[[#This Row],[Aux]],Base_Contas_Balanco[#All],2,FALSE)</f>
        <v>#N/A</v>
      </c>
      <c r="G6238" s="1">
        <v>42886</v>
      </c>
      <c r="H6238" s="225">
        <v>585075.79000000656</v>
      </c>
      <c r="I6238" s="225">
        <v>585075.79</v>
      </c>
      <c r="J6238" s="225">
        <v>949972.3</v>
      </c>
      <c r="K6238" s="225">
        <v>949972.30000000657</v>
      </c>
      <c r="L62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949972.3</v>
      </c>
      <c r="M6238" s="225">
        <f>ROUND(IF(AND(Base_Periodo1[[#This Row],[Tipo_Linha]]="-",Base_Periodo1[[#This Row],[TIPOSALDO]]="D"),Base_Periodo1[[#This Row],[SALDO_ATUAL]]*-1,Base_Periodo1[[#This Row],[SALDO_ATUAL]]),4)</f>
        <v>949972.3</v>
      </c>
      <c r="N6238" t="s">
        <v>116</v>
      </c>
      <c r="O6238" t="s">
        <v>459</v>
      </c>
      <c r="P6238" t="s">
        <v>459</v>
      </c>
      <c r="Q6238">
        <v>9</v>
      </c>
      <c r="R6238" s="282">
        <f>Base_Periodo1[[#This Row],[CREDITOS]]-Base_Periodo1[[#This Row],[DEBITOS]]</f>
        <v>364896.51</v>
      </c>
      <c r="S6238" s="3" t="str">
        <f>IF(ISERROR(VLOOKUP(Base_Periodo1[[#This Row],[CONTA]],BaseContasDRE[#All],4,FALSE)),"Fora do DRE",VLOOKUP(Base_Periodo1[[#This Row],[CONTA]],BaseContasDRE[#All],4,FALSE))</f>
        <v>-</v>
      </c>
      <c r="T6238" s="3">
        <f>IF(ISERROR(VLOOKUP(Base_Periodo1[[#This Row],[CONTA]],BaseContasDRE[#All],5,FALSE)),"Fora do DRE",VLOOKUP(Base_Periodo1[[#This Row],[CONTA]],BaseContasDRE[#All],6,FALSE))</f>
        <v>5</v>
      </c>
      <c r="U6238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238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238" s="3" t="str">
        <f>LEFT(Base_Periodo1[[#This Row],[CLASS]],3)</f>
        <v>3.1</v>
      </c>
    </row>
    <row r="6239" spans="1:23" hidden="1">
      <c r="A6239" s="3" t="str">
        <f t="shared" si="97"/>
        <v>Período 1</v>
      </c>
      <c r="B6239">
        <v>6211</v>
      </c>
      <c r="C6239" t="s">
        <v>3903</v>
      </c>
      <c r="D6239" t="s">
        <v>3904</v>
      </c>
      <c r="E6239" s="3" t="str">
        <f>IF(LEN(Base_Periodo1[[#This Row],[CLASS]])&gt;=7,LEFT(Base_Periodo1[[#This Row],[CLASS]],7),"")</f>
        <v>3.1.1.3</v>
      </c>
      <c r="F6239" s="3" t="e">
        <f>VLOOKUP(Base_Periodo1[[#This Row],[Aux]],Base_Contas_Balanco[#All],2,FALSE)</f>
        <v>#N/A</v>
      </c>
      <c r="G6239" s="1"/>
      <c r="H6239" s="225">
        <v>8035265.869999609</v>
      </c>
      <c r="I6239" s="225">
        <v>3140937.8499999978</v>
      </c>
      <c r="J6239" s="225">
        <v>1190621.5599999998</v>
      </c>
      <c r="K6239" s="225">
        <v>9985582.1599996071</v>
      </c>
      <c r="L62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-9985582.1600000001</v>
      </c>
      <c r="M6239" s="225">
        <f>ROUND(IF(AND(Base_Periodo1[[#This Row],[Tipo_Linha]]="-",Base_Periodo1[[#This Row],[TIPOSALDO]]="D"),Base_Periodo1[[#This Row],[SALDO_ATUAL]]*-1,Base_Periodo1[[#This Row],[SALDO_ATUAL]]),4)</f>
        <v>9985582.1600000001</v>
      </c>
      <c r="N6239" t="s">
        <v>396</v>
      </c>
      <c r="O6239" t="s">
        <v>397</v>
      </c>
      <c r="P6239" t="s">
        <v>397</v>
      </c>
      <c r="Q6239">
        <v>8</v>
      </c>
      <c r="R6239" s="282">
        <f>Base_Periodo1[[#This Row],[CREDITOS]]-Base_Periodo1[[#This Row],[DEBITOS]]</f>
        <v>-1950316.2899999979</v>
      </c>
      <c r="S6239" s="3" t="str">
        <f>IF(ISERROR(VLOOKUP(Base_Periodo1[[#This Row],[CONTA]],BaseContasDRE[#All],4,FALSE)),"Fora do DRE",VLOOKUP(Base_Periodo1[[#This Row],[CONTA]],BaseContasDRE[#All],4,FALSE))</f>
        <v>Fora do DRE</v>
      </c>
      <c r="T6239" s="3" t="str">
        <f>IF(ISERROR(VLOOKUP(Base_Periodo1[[#This Row],[CONTA]],BaseContasDRE[#All],5,FALSE)),"Fora do DRE",VLOOKUP(Base_Periodo1[[#This Row],[CONTA]],BaseContasDRE[#All],6,FALSE))</f>
        <v>Fora do DRE</v>
      </c>
      <c r="U6239" s="3" t="str">
        <f>IF(ISERROR(VLOOKUP(Base_Periodo1[[#This Row],[CONTA]],BaseContasDRE[#All],7,FALSE)),"Fora do DRE",VLOOKUP(Base_Periodo1[[#This Row],[CONTA]],BaseContasDRE[#All],7,FALSE))</f>
        <v>Fora do DRE</v>
      </c>
      <c r="V6239" s="3" t="str">
        <f>IF(Base_Periodo1[[#This Row],[Tipo_Linha]]="Fora do DRE","Fora do DRE","( "&amp;Base_Periodo1[[#This Row],[Tipo_Linha]]&amp;" ) "&amp;Base_Periodo1[[#This Row],[Filtro]])</f>
        <v>Fora do DRE</v>
      </c>
      <c r="W6239" s="3" t="str">
        <f>LEFT(Base_Periodo1[[#This Row],[CLASS]],3)</f>
        <v>3.1</v>
      </c>
    </row>
    <row r="6240" spans="1:23" hidden="1">
      <c r="A6240" s="3" t="str">
        <f t="shared" si="97"/>
        <v>Período 1</v>
      </c>
      <c r="B6240">
        <v>6212</v>
      </c>
      <c r="C6240" t="s">
        <v>3905</v>
      </c>
      <c r="D6240" t="s">
        <v>3906</v>
      </c>
      <c r="E6240" s="3" t="str">
        <f>IF(LEN(Base_Periodo1[[#This Row],[CLASS]])&gt;=7,LEFT(Base_Periodo1[[#This Row],[CLASS]],7),"")</f>
        <v>3.1.1.3</v>
      </c>
      <c r="F6240" s="3" t="e">
        <f>VLOOKUP(Base_Periodo1[[#This Row],[Aux]],Base_Contas_Balanco[#All],2,FALSE)</f>
        <v>#N/A</v>
      </c>
      <c r="G6240" s="1">
        <v>42857</v>
      </c>
      <c r="H6240" s="225">
        <v>947860.90999999922</v>
      </c>
      <c r="I6240" s="225">
        <v>208591.12</v>
      </c>
      <c r="J6240" s="225">
        <v>0</v>
      </c>
      <c r="K6240" s="225">
        <v>1156452.0299999993</v>
      </c>
      <c r="L62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-1156452.03</v>
      </c>
      <c r="M6240" s="225">
        <f>ROUND(IF(AND(Base_Periodo1[[#This Row],[Tipo_Linha]]="-",Base_Periodo1[[#This Row],[TIPOSALDO]]="D"),Base_Periodo1[[#This Row],[SALDO_ATUAL]]*-1,Base_Periodo1[[#This Row],[SALDO_ATUAL]]),4)</f>
        <v>-1156452.03</v>
      </c>
      <c r="N6240" t="s">
        <v>116</v>
      </c>
      <c r="O6240" t="s">
        <v>397</v>
      </c>
      <c r="P6240" t="s">
        <v>397</v>
      </c>
      <c r="Q6240">
        <v>9</v>
      </c>
      <c r="R6240" s="282">
        <f>Base_Periodo1[[#This Row],[CREDITOS]]-Base_Periodo1[[#This Row],[DEBITOS]]</f>
        <v>-208591.12</v>
      </c>
      <c r="S6240" s="3" t="str">
        <f>IF(ISERROR(VLOOKUP(Base_Periodo1[[#This Row],[CONTA]],BaseContasDRE[#All],4,FALSE)),"Fora do DRE",VLOOKUP(Base_Periodo1[[#This Row],[CONTA]],BaseContasDRE[#All],4,FALSE))</f>
        <v>-</v>
      </c>
      <c r="T6240" s="3">
        <f>IF(ISERROR(VLOOKUP(Base_Periodo1[[#This Row],[CONTA]],BaseContasDRE[#All],5,FALSE)),"Fora do DRE",VLOOKUP(Base_Periodo1[[#This Row],[CONTA]],BaseContasDRE[#All],6,FALSE))</f>
        <v>5</v>
      </c>
      <c r="U6240" s="3" t="str">
        <f>IF(ISERROR(VLOOKUP(Base_Periodo1[[#This Row],[CONTA]],BaseContasDRE[#All],7,FALSE)),"Fora do DRE",VLOOKUP(Base_Periodo1[[#This Row],[CONTA]],BaseContasDRE[#All],7,FALSE))</f>
        <v>DISPÊNDIOS E  DESPESAS C/ VENDAS</v>
      </c>
      <c r="V6240" s="3" t="str">
        <f>IF(Base_Periodo1[[#This Row],[Tipo_Linha]]="Fora do DRE","Fora do DRE","( "&amp;Base_Periodo1[[#This Row],[Tipo_Linha]]&amp;" ) "&amp;Base_Periodo1[[#This Row],[Filtro]])</f>
        <v>( - ) DISPÊNDIOS E  DESPESAS C/ VENDAS</v>
      </c>
      <c r="W6240" s="3" t="str">
        <f>LEFT(Base_Periodo1[[#This Row],[CLASS]],3)</f>
        <v>3.1</v>
      </c>
    </row>
    <row r="6241" spans="1:23" hidden="1">
      <c r="A6241" s="3" t="str">
        <f t="shared" si="97"/>
        <v>Período 1</v>
      </c>
      <c r="B6241">
        <v>6215</v>
      </c>
      <c r="C6241" t="s">
        <v>3907</v>
      </c>
      <c r="D6241" t="s">
        <v>3908</v>
      </c>
      <c r="E6241" s="3" t="str">
        <f>IF(LEN(Base_Periodo1[[#This Row],[CLASS]])&gt;=7,LEFT(Base_Periodo1[[#This Row],[CLASS]],7),"")</f>
        <v>3.1.1.3</v>
      </c>
      <c r="F6241" s="3" t="e">
        <f>VLOOKUP(Base_Periodo1[[#This Row],[Aux]],Base_Contas_Balanco[#All],2,FALSE)</f>
        <v>#N/A</v>
      </c>
      <c r="G6241" s="1">
        <v>42886</v>
      </c>
      <c r="H6241" s="225">
        <v>4880248.2499996349</v>
      </c>
      <c r="I6241" s="225">
        <v>607215.42000000004</v>
      </c>
      <c r="J6241" s="225">
        <v>96731.079999999958</v>
      </c>
      <c r="K6241" s="225">
        <v>5390732.5899996348</v>
      </c>
      <c r="L62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-5390732.5899999999</v>
      </c>
      <c r="M6241" s="225">
        <f>ROUND(IF(AND(Base_Periodo1[[#This Row],[Tipo_Linha]]="-",Base_Periodo1[[#This Row],[TIPOSALDO]]="D"),Base_Periodo1[[#This Row],[SALDO_ATUAL]]*-1,Base_Periodo1[[#This Row],[SALDO_ATUAL]]),4)</f>
        <v>-5390732.5899999999</v>
      </c>
      <c r="N6241" t="s">
        <v>116</v>
      </c>
      <c r="O6241" t="s">
        <v>397</v>
      </c>
      <c r="P6241" t="s">
        <v>397</v>
      </c>
      <c r="Q6241">
        <v>9</v>
      </c>
      <c r="R6241" s="282">
        <f>Base_Periodo1[[#This Row],[CREDITOS]]-Base_Periodo1[[#This Row],[DEBITOS]]</f>
        <v>-510484.34000000008</v>
      </c>
      <c r="S6241" s="3" t="str">
        <f>IF(ISERROR(VLOOKUP(Base_Periodo1[[#This Row],[CONTA]],BaseContasDRE[#All],4,FALSE)),"Fora do DRE",VLOOKUP(Base_Periodo1[[#This Row],[CONTA]],BaseContasDRE[#All],4,FALSE))</f>
        <v>-</v>
      </c>
      <c r="T6241" s="3">
        <f>IF(ISERROR(VLOOKUP(Base_Periodo1[[#This Row],[CONTA]],BaseContasDRE[#All],5,FALSE)),"Fora do DRE",VLOOKUP(Base_Periodo1[[#This Row],[CONTA]],BaseContasDRE[#All],6,FALSE))</f>
        <v>5</v>
      </c>
      <c r="U6241" s="3" t="str">
        <f>IF(ISERROR(VLOOKUP(Base_Periodo1[[#This Row],[CONTA]],BaseContasDRE[#All],7,FALSE)),"Fora do DRE",VLOOKUP(Base_Periodo1[[#This Row],[CONTA]],BaseContasDRE[#All],7,FALSE))</f>
        <v>DISPÊNDIOS E  DESPESAS C/ VENDAS</v>
      </c>
      <c r="V6241" s="3" t="str">
        <f>IF(Base_Periodo1[[#This Row],[Tipo_Linha]]="Fora do DRE","Fora do DRE","( "&amp;Base_Periodo1[[#This Row],[Tipo_Linha]]&amp;" ) "&amp;Base_Periodo1[[#This Row],[Filtro]])</f>
        <v>( - ) DISPÊNDIOS E  DESPESAS C/ VENDAS</v>
      </c>
      <c r="W6241" s="3" t="str">
        <f>LEFT(Base_Periodo1[[#This Row],[CLASS]],3)</f>
        <v>3.1</v>
      </c>
    </row>
    <row r="6242" spans="1:23" hidden="1">
      <c r="A6242" s="3" t="str">
        <f t="shared" si="97"/>
        <v>Período 1</v>
      </c>
      <c r="B6242">
        <v>6220</v>
      </c>
      <c r="C6242" t="s">
        <v>3909</v>
      </c>
      <c r="D6242" t="s">
        <v>5471</v>
      </c>
      <c r="E6242" s="3" t="str">
        <f>IF(LEN(Base_Periodo1[[#This Row],[CLASS]])&gt;=7,LEFT(Base_Periodo1[[#This Row],[CLASS]],7),"")</f>
        <v>3.1.1.3</v>
      </c>
      <c r="F6242" s="3" t="e">
        <f>VLOOKUP(Base_Periodo1[[#This Row],[Aux]],Base_Contas_Balanco[#All],2,FALSE)</f>
        <v>#N/A</v>
      </c>
      <c r="G6242" s="1">
        <v>42871</v>
      </c>
      <c r="H6242" s="225">
        <v>62081.000000000349</v>
      </c>
      <c r="I6242" s="225">
        <v>14881.090000000004</v>
      </c>
      <c r="J6242" s="225">
        <v>0</v>
      </c>
      <c r="K6242" s="225">
        <v>76962.090000000346</v>
      </c>
      <c r="L62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-76962.09</v>
      </c>
      <c r="M6242" s="225">
        <f>ROUND(IF(AND(Base_Periodo1[[#This Row],[Tipo_Linha]]="-",Base_Periodo1[[#This Row],[TIPOSALDO]]="D"),Base_Periodo1[[#This Row],[SALDO_ATUAL]]*-1,Base_Periodo1[[#This Row],[SALDO_ATUAL]]),4)</f>
        <v>-76962.09</v>
      </c>
      <c r="N6242" t="s">
        <v>116</v>
      </c>
      <c r="O6242" t="s">
        <v>397</v>
      </c>
      <c r="P6242" t="s">
        <v>397</v>
      </c>
      <c r="Q6242">
        <v>9</v>
      </c>
      <c r="R6242" s="282">
        <f>Base_Periodo1[[#This Row],[CREDITOS]]-Base_Periodo1[[#This Row],[DEBITOS]]</f>
        <v>-14881.090000000004</v>
      </c>
      <c r="S6242" s="3" t="str">
        <f>IF(ISERROR(VLOOKUP(Base_Periodo1[[#This Row],[CONTA]],BaseContasDRE[#All],4,FALSE)),"Fora do DRE",VLOOKUP(Base_Periodo1[[#This Row],[CONTA]],BaseContasDRE[#All],4,FALSE))</f>
        <v>-</v>
      </c>
      <c r="T6242" s="3">
        <f>IF(ISERROR(VLOOKUP(Base_Periodo1[[#This Row],[CONTA]],BaseContasDRE[#All],5,FALSE)),"Fora do DRE",VLOOKUP(Base_Periodo1[[#This Row],[CONTA]],BaseContasDRE[#All],6,FALSE))</f>
        <v>5</v>
      </c>
      <c r="U6242" s="3" t="str">
        <f>IF(ISERROR(VLOOKUP(Base_Periodo1[[#This Row],[CONTA]],BaseContasDRE[#All],7,FALSE)),"Fora do DRE",VLOOKUP(Base_Periodo1[[#This Row],[CONTA]],BaseContasDRE[#All],7,FALSE))</f>
        <v>DISPÊNDIOS E  DESPESAS C/ VENDAS</v>
      </c>
      <c r="V6242" s="3" t="str">
        <f>IF(Base_Periodo1[[#This Row],[Tipo_Linha]]="Fora do DRE","Fora do DRE","( "&amp;Base_Periodo1[[#This Row],[Tipo_Linha]]&amp;" ) "&amp;Base_Periodo1[[#This Row],[Filtro]])</f>
        <v>( - ) DISPÊNDIOS E  DESPESAS C/ VENDAS</v>
      </c>
      <c r="W6242" s="3" t="str">
        <f>LEFT(Base_Periodo1[[#This Row],[CLASS]],3)</f>
        <v>3.1</v>
      </c>
    </row>
    <row r="6243" spans="1:23" hidden="1">
      <c r="A6243" s="3" t="str">
        <f t="shared" si="97"/>
        <v>Período 1</v>
      </c>
      <c r="B6243">
        <v>6223</v>
      </c>
      <c r="C6243" t="s">
        <v>3910</v>
      </c>
      <c r="D6243" t="s">
        <v>5472</v>
      </c>
      <c r="E6243" s="3" t="str">
        <f>IF(LEN(Base_Periodo1[[#This Row],[CLASS]])&gt;=7,LEFT(Base_Periodo1[[#This Row],[CLASS]],7),"")</f>
        <v>3.1.1.3</v>
      </c>
      <c r="F6243" s="3" t="e">
        <f>VLOOKUP(Base_Periodo1[[#This Row],[Aux]],Base_Contas_Balanco[#All],2,FALSE)</f>
        <v>#N/A</v>
      </c>
      <c r="G6243" s="1">
        <v>42880</v>
      </c>
      <c r="H6243" s="225">
        <v>41894.899999999994</v>
      </c>
      <c r="I6243" s="225">
        <v>4220</v>
      </c>
      <c r="J6243" s="225">
        <v>0</v>
      </c>
      <c r="K6243" s="225">
        <v>46114.899999999994</v>
      </c>
      <c r="L62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-46114.9</v>
      </c>
      <c r="M6243" s="225">
        <f>ROUND(IF(AND(Base_Periodo1[[#This Row],[Tipo_Linha]]="-",Base_Periodo1[[#This Row],[TIPOSALDO]]="D"),Base_Periodo1[[#This Row],[SALDO_ATUAL]]*-1,Base_Periodo1[[#This Row],[SALDO_ATUAL]]),4)</f>
        <v>-46114.9</v>
      </c>
      <c r="N6243" t="s">
        <v>116</v>
      </c>
      <c r="O6243" t="s">
        <v>397</v>
      </c>
      <c r="P6243" t="s">
        <v>397</v>
      </c>
      <c r="Q6243">
        <v>9</v>
      </c>
      <c r="R6243" s="282">
        <f>Base_Periodo1[[#This Row],[CREDITOS]]-Base_Periodo1[[#This Row],[DEBITOS]]</f>
        <v>-4220</v>
      </c>
      <c r="S6243" s="3" t="str">
        <f>IF(ISERROR(VLOOKUP(Base_Periodo1[[#This Row],[CONTA]],BaseContasDRE[#All],4,FALSE)),"Fora do DRE",VLOOKUP(Base_Periodo1[[#This Row],[CONTA]],BaseContasDRE[#All],4,FALSE))</f>
        <v>-</v>
      </c>
      <c r="T6243" s="3">
        <f>IF(ISERROR(VLOOKUP(Base_Periodo1[[#This Row],[CONTA]],BaseContasDRE[#All],5,FALSE)),"Fora do DRE",VLOOKUP(Base_Periodo1[[#This Row],[CONTA]],BaseContasDRE[#All],6,FALSE))</f>
        <v>5</v>
      </c>
      <c r="U6243" s="3" t="str">
        <f>IF(ISERROR(VLOOKUP(Base_Periodo1[[#This Row],[CONTA]],BaseContasDRE[#All],7,FALSE)),"Fora do DRE",VLOOKUP(Base_Periodo1[[#This Row],[CONTA]],BaseContasDRE[#All],7,FALSE))</f>
        <v>DISPÊNDIOS E  DESPESAS C/ VENDAS</v>
      </c>
      <c r="V6243" s="3" t="str">
        <f>IF(Base_Periodo1[[#This Row],[Tipo_Linha]]="Fora do DRE","Fora do DRE","( "&amp;Base_Periodo1[[#This Row],[Tipo_Linha]]&amp;" ) "&amp;Base_Periodo1[[#This Row],[Filtro]])</f>
        <v>( - ) DISPÊNDIOS E  DESPESAS C/ VENDAS</v>
      </c>
      <c r="W6243" s="3" t="str">
        <f>LEFT(Base_Periodo1[[#This Row],[CLASS]],3)</f>
        <v>3.1</v>
      </c>
    </row>
    <row r="6244" spans="1:23" hidden="1">
      <c r="A6244" s="3" t="str">
        <f t="shared" si="97"/>
        <v>Período 1</v>
      </c>
      <c r="B6244">
        <v>6224</v>
      </c>
      <c r="C6244" t="s">
        <v>3911</v>
      </c>
      <c r="D6244" t="s">
        <v>3912</v>
      </c>
      <c r="E6244" s="3" t="str">
        <f>IF(LEN(Base_Periodo1[[#This Row],[CLASS]])&gt;=7,LEFT(Base_Periodo1[[#This Row],[CLASS]],7),"")</f>
        <v>3.1.1.3</v>
      </c>
      <c r="F6244" s="3" t="e">
        <f>VLOOKUP(Base_Periodo1[[#This Row],[Aux]],Base_Contas_Balanco[#All],2,FALSE)</f>
        <v>#N/A</v>
      </c>
      <c r="G6244" s="1">
        <v>42886</v>
      </c>
      <c r="H6244" s="225">
        <v>114778.24999999953</v>
      </c>
      <c r="I6244" s="225">
        <v>76569.429999999993</v>
      </c>
      <c r="J6244" s="225">
        <v>0</v>
      </c>
      <c r="K6244" s="225">
        <v>191347.67999999953</v>
      </c>
      <c r="L62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-191347.68</v>
      </c>
      <c r="M6244" s="225">
        <f>ROUND(IF(AND(Base_Periodo1[[#This Row],[Tipo_Linha]]="-",Base_Periodo1[[#This Row],[TIPOSALDO]]="D"),Base_Periodo1[[#This Row],[SALDO_ATUAL]]*-1,Base_Periodo1[[#This Row],[SALDO_ATUAL]]),4)</f>
        <v>-191347.68</v>
      </c>
      <c r="N6244" t="s">
        <v>116</v>
      </c>
      <c r="O6244" t="s">
        <v>397</v>
      </c>
      <c r="P6244" t="s">
        <v>397</v>
      </c>
      <c r="Q6244">
        <v>9</v>
      </c>
      <c r="R6244" s="282">
        <f>Base_Periodo1[[#This Row],[CREDITOS]]-Base_Periodo1[[#This Row],[DEBITOS]]</f>
        <v>-76569.429999999993</v>
      </c>
      <c r="S6244" s="3" t="str">
        <f>IF(ISERROR(VLOOKUP(Base_Periodo1[[#This Row],[CONTA]],BaseContasDRE[#All],4,FALSE)),"Fora do DRE",VLOOKUP(Base_Periodo1[[#This Row],[CONTA]],BaseContasDRE[#All],4,FALSE))</f>
        <v>-</v>
      </c>
      <c r="T6244" s="3">
        <f>IF(ISERROR(VLOOKUP(Base_Periodo1[[#This Row],[CONTA]],BaseContasDRE[#All],5,FALSE)),"Fora do DRE",VLOOKUP(Base_Periodo1[[#This Row],[CONTA]],BaseContasDRE[#All],6,FALSE))</f>
        <v>5</v>
      </c>
      <c r="U6244" s="3" t="str">
        <f>IF(ISERROR(VLOOKUP(Base_Periodo1[[#This Row],[CONTA]],BaseContasDRE[#All],7,FALSE)),"Fora do DRE",VLOOKUP(Base_Periodo1[[#This Row],[CONTA]],BaseContasDRE[#All],7,FALSE))</f>
        <v>DISPÊNDIOS E  DESPESAS C/ VENDAS</v>
      </c>
      <c r="V6244" s="3" t="str">
        <f>IF(Base_Periodo1[[#This Row],[Tipo_Linha]]="Fora do DRE","Fora do DRE","( "&amp;Base_Periodo1[[#This Row],[Tipo_Linha]]&amp;" ) "&amp;Base_Periodo1[[#This Row],[Filtro]])</f>
        <v>( - ) DISPÊNDIOS E  DESPESAS C/ VENDAS</v>
      </c>
      <c r="W6244" s="3" t="str">
        <f>LEFT(Base_Periodo1[[#This Row],[CLASS]],3)</f>
        <v>3.1</v>
      </c>
    </row>
    <row r="6245" spans="1:23" hidden="1">
      <c r="A6245" s="3" t="str">
        <f t="shared" si="97"/>
        <v>Período 1</v>
      </c>
      <c r="B6245">
        <v>40693</v>
      </c>
      <c r="C6245" t="s">
        <v>3913</v>
      </c>
      <c r="D6245" t="s">
        <v>2265</v>
      </c>
      <c r="E6245" s="3" t="str">
        <f>IF(LEN(Base_Periodo1[[#This Row],[CLASS]])&gt;=7,LEFT(Base_Periodo1[[#This Row],[CLASS]],7),"")</f>
        <v>3.1.1.3</v>
      </c>
      <c r="F6245" s="3" t="e">
        <f>VLOOKUP(Base_Periodo1[[#This Row],[Aux]],Base_Contas_Balanco[#All],2,FALSE)</f>
        <v>#N/A</v>
      </c>
      <c r="G6245" s="1">
        <v>42881</v>
      </c>
      <c r="H6245" s="225">
        <v>925133.01000000164</v>
      </c>
      <c r="I6245" s="225">
        <v>501111.11</v>
      </c>
      <c r="J6245" s="225">
        <v>0</v>
      </c>
      <c r="K6245" s="225">
        <v>1426244.1200000015</v>
      </c>
      <c r="L62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-1426244.12</v>
      </c>
      <c r="M6245" s="225">
        <f>ROUND(IF(AND(Base_Periodo1[[#This Row],[Tipo_Linha]]="-",Base_Periodo1[[#This Row],[TIPOSALDO]]="D"),Base_Periodo1[[#This Row],[SALDO_ATUAL]]*-1,Base_Periodo1[[#This Row],[SALDO_ATUAL]]),4)</f>
        <v>-1426244.12</v>
      </c>
      <c r="N6245" t="s">
        <v>116</v>
      </c>
      <c r="O6245" t="s">
        <v>397</v>
      </c>
      <c r="P6245" t="s">
        <v>397</v>
      </c>
      <c r="Q6245">
        <v>9</v>
      </c>
      <c r="R6245" s="282">
        <f>Base_Periodo1[[#This Row],[CREDITOS]]-Base_Periodo1[[#This Row],[DEBITOS]]</f>
        <v>-501111.11</v>
      </c>
      <c r="S6245" s="3" t="str">
        <f>IF(ISERROR(VLOOKUP(Base_Periodo1[[#This Row],[CONTA]],BaseContasDRE[#All],4,FALSE)),"Fora do DRE",VLOOKUP(Base_Periodo1[[#This Row],[CONTA]],BaseContasDRE[#All],4,FALSE))</f>
        <v>-</v>
      </c>
      <c r="T6245" s="3">
        <f>IF(ISERROR(VLOOKUP(Base_Periodo1[[#This Row],[CONTA]],BaseContasDRE[#All],5,FALSE)),"Fora do DRE",VLOOKUP(Base_Periodo1[[#This Row],[CONTA]],BaseContasDRE[#All],6,FALSE))</f>
        <v>5</v>
      </c>
      <c r="U6245" s="3" t="str">
        <f>IF(ISERROR(VLOOKUP(Base_Periodo1[[#This Row],[CONTA]],BaseContasDRE[#All],7,FALSE)),"Fora do DRE",VLOOKUP(Base_Periodo1[[#This Row],[CONTA]],BaseContasDRE[#All],7,FALSE))</f>
        <v>DISPÊNDIOS E  DESPESAS C/ VENDAS</v>
      </c>
      <c r="V6245" s="3" t="str">
        <f>IF(Base_Periodo1[[#This Row],[Tipo_Linha]]="Fora do DRE","Fora do DRE","( "&amp;Base_Periodo1[[#This Row],[Tipo_Linha]]&amp;" ) "&amp;Base_Periodo1[[#This Row],[Filtro]])</f>
        <v>( - ) DISPÊNDIOS E  DESPESAS C/ VENDAS</v>
      </c>
      <c r="W6245" s="3" t="str">
        <f>LEFT(Base_Periodo1[[#This Row],[CLASS]],3)</f>
        <v>3.1</v>
      </c>
    </row>
    <row r="6246" spans="1:23" hidden="1">
      <c r="A6246" s="3" t="str">
        <f t="shared" si="97"/>
        <v>Período 1</v>
      </c>
      <c r="B6246">
        <v>47479</v>
      </c>
      <c r="C6246" t="s">
        <v>3914</v>
      </c>
      <c r="D6246" t="s">
        <v>3915</v>
      </c>
      <c r="E6246" s="3" t="str">
        <f>IF(LEN(Base_Periodo1[[#This Row],[CLASS]])&gt;=7,LEFT(Base_Periodo1[[#This Row],[CLASS]],7),"")</f>
        <v>3.1.1.3</v>
      </c>
      <c r="F6246" s="3" t="e">
        <f>VLOOKUP(Base_Periodo1[[#This Row],[Aux]],Base_Contas_Balanco[#All],2,FALSE)</f>
        <v>#N/A</v>
      </c>
      <c r="G6246" s="1">
        <v>42886</v>
      </c>
      <c r="H6246" s="225">
        <v>1657652.3599999966</v>
      </c>
      <c r="I6246" s="225">
        <v>1017248.5399999983</v>
      </c>
      <c r="J6246" s="225">
        <v>13176.780000000002</v>
      </c>
      <c r="K6246" s="225">
        <v>2661724.119999995</v>
      </c>
      <c r="L62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-2661724.12</v>
      </c>
      <c r="M6246" s="225">
        <f>ROUND(IF(AND(Base_Periodo1[[#This Row],[Tipo_Linha]]="-",Base_Periodo1[[#This Row],[TIPOSALDO]]="D"),Base_Periodo1[[#This Row],[SALDO_ATUAL]]*-1,Base_Periodo1[[#This Row],[SALDO_ATUAL]]),4)</f>
        <v>-2661724.12</v>
      </c>
      <c r="N6246" t="s">
        <v>116</v>
      </c>
      <c r="O6246" t="s">
        <v>397</v>
      </c>
      <c r="P6246" t="s">
        <v>397</v>
      </c>
      <c r="Q6246">
        <v>9</v>
      </c>
      <c r="R6246" s="282">
        <f>Base_Periodo1[[#This Row],[CREDITOS]]-Base_Periodo1[[#This Row],[DEBITOS]]</f>
        <v>-1004071.7599999983</v>
      </c>
      <c r="S6246" s="3" t="str">
        <f>IF(ISERROR(VLOOKUP(Base_Periodo1[[#This Row],[CONTA]],BaseContasDRE[#All],4,FALSE)),"Fora do DRE",VLOOKUP(Base_Periodo1[[#This Row],[CONTA]],BaseContasDRE[#All],4,FALSE))</f>
        <v>-</v>
      </c>
      <c r="T6246" s="3">
        <f>IF(ISERROR(VLOOKUP(Base_Periodo1[[#This Row],[CONTA]],BaseContasDRE[#All],5,FALSE)),"Fora do DRE",VLOOKUP(Base_Periodo1[[#This Row],[CONTA]],BaseContasDRE[#All],6,FALSE))</f>
        <v>5</v>
      </c>
      <c r="U6246" s="3" t="str">
        <f>IF(ISERROR(VLOOKUP(Base_Periodo1[[#This Row],[CONTA]],BaseContasDRE[#All],7,FALSE)),"Fora do DRE",VLOOKUP(Base_Periodo1[[#This Row],[CONTA]],BaseContasDRE[#All],7,FALSE))</f>
        <v>DISPÊNDIOS E  DESPESAS C/ VENDAS</v>
      </c>
      <c r="V6246" s="3" t="str">
        <f>IF(Base_Periodo1[[#This Row],[Tipo_Linha]]="Fora do DRE","Fora do DRE","( "&amp;Base_Periodo1[[#This Row],[Tipo_Linha]]&amp;" ) "&amp;Base_Periodo1[[#This Row],[Filtro]])</f>
        <v>( - ) DISPÊNDIOS E  DESPESAS C/ VENDAS</v>
      </c>
      <c r="W6246" s="3" t="str">
        <f>LEFT(Base_Periodo1[[#This Row],[CLASS]],3)</f>
        <v>3.1</v>
      </c>
    </row>
    <row r="6247" spans="1:23" hidden="1">
      <c r="A6247" s="3" t="str">
        <f t="shared" si="97"/>
        <v>Período 1</v>
      </c>
      <c r="B6247">
        <v>49750</v>
      </c>
      <c r="C6247" t="s">
        <v>4395</v>
      </c>
      <c r="D6247" t="s">
        <v>4807</v>
      </c>
      <c r="E6247" s="3" t="str">
        <f>IF(LEN(Base_Periodo1[[#This Row],[CLASS]])&gt;=7,LEFT(Base_Periodo1[[#This Row],[CLASS]],7),"")</f>
        <v>3.1.1.3</v>
      </c>
      <c r="F6247" s="3" t="e">
        <f>VLOOKUP(Base_Periodo1[[#This Row],[Aux]],Base_Contas_Balanco[#All],2,FALSE)</f>
        <v>#N/A</v>
      </c>
      <c r="G6247" s="1">
        <v>42880</v>
      </c>
      <c r="H6247" s="225">
        <v>16395.819999999854</v>
      </c>
      <c r="I6247" s="225">
        <v>1707.9199999999998</v>
      </c>
      <c r="J6247" s="225">
        <v>0</v>
      </c>
      <c r="K6247" s="225">
        <v>18103.739999999852</v>
      </c>
      <c r="L62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-18103.740000000002</v>
      </c>
      <c r="M6247" s="225">
        <f>ROUND(IF(AND(Base_Periodo1[[#This Row],[Tipo_Linha]]="-",Base_Periodo1[[#This Row],[TIPOSALDO]]="D"),Base_Periodo1[[#This Row],[SALDO_ATUAL]]*-1,Base_Periodo1[[#This Row],[SALDO_ATUAL]]),4)</f>
        <v>-18103.740000000002</v>
      </c>
      <c r="N6247" t="s">
        <v>116</v>
      </c>
      <c r="O6247" t="s">
        <v>397</v>
      </c>
      <c r="P6247" t="s">
        <v>397</v>
      </c>
      <c r="Q6247">
        <v>9</v>
      </c>
      <c r="R6247" s="282">
        <f>Base_Periodo1[[#This Row],[CREDITOS]]-Base_Periodo1[[#This Row],[DEBITOS]]</f>
        <v>-1707.9199999999998</v>
      </c>
      <c r="S6247" s="3" t="str">
        <f>IF(ISERROR(VLOOKUP(Base_Periodo1[[#This Row],[CONTA]],BaseContasDRE[#All],4,FALSE)),"Fora do DRE",VLOOKUP(Base_Periodo1[[#This Row],[CONTA]],BaseContasDRE[#All],4,FALSE))</f>
        <v>-</v>
      </c>
      <c r="T6247" s="3">
        <f>IF(ISERROR(VLOOKUP(Base_Periodo1[[#This Row],[CONTA]],BaseContasDRE[#All],5,FALSE)),"Fora do DRE",VLOOKUP(Base_Periodo1[[#This Row],[CONTA]],BaseContasDRE[#All],6,FALSE))</f>
        <v>5</v>
      </c>
      <c r="U6247" s="3" t="str">
        <f>IF(ISERROR(VLOOKUP(Base_Periodo1[[#This Row],[CONTA]],BaseContasDRE[#All],7,FALSE)),"Fora do DRE",VLOOKUP(Base_Periodo1[[#This Row],[CONTA]],BaseContasDRE[#All],7,FALSE))</f>
        <v>DISPÊNDIOS E  DESPESAS C/ VENDAS</v>
      </c>
      <c r="V6247" s="3" t="str">
        <f>IF(Base_Periodo1[[#This Row],[Tipo_Linha]]="Fora do DRE","Fora do DRE","( "&amp;Base_Periodo1[[#This Row],[Tipo_Linha]]&amp;" ) "&amp;Base_Periodo1[[#This Row],[Filtro]])</f>
        <v>( - ) DISPÊNDIOS E  DESPESAS C/ VENDAS</v>
      </c>
      <c r="W6247" s="3" t="str">
        <f>LEFT(Base_Periodo1[[#This Row],[CLASS]],3)</f>
        <v>3.1</v>
      </c>
    </row>
    <row r="6248" spans="1:23" hidden="1">
      <c r="A6248" s="3" t="str">
        <f t="shared" si="97"/>
        <v>Período 1</v>
      </c>
      <c r="B6248">
        <v>49756</v>
      </c>
      <c r="C6248" t="s">
        <v>6110</v>
      </c>
      <c r="D6248" t="s">
        <v>4336</v>
      </c>
      <c r="E6248" s="3" t="str">
        <f>IF(LEN(Base_Periodo1[[#This Row],[CLASS]])&gt;=7,LEFT(Base_Periodo1[[#This Row],[CLASS]],7),"")</f>
        <v>3.1.1.3</v>
      </c>
      <c r="F6248" s="3" t="e">
        <f>VLOOKUP(Base_Periodo1[[#This Row],[Aux]],Base_Contas_Balanco[#All],2,FALSE)</f>
        <v>#N/A</v>
      </c>
      <c r="G6248" s="1">
        <v>42862</v>
      </c>
      <c r="H6248" s="225">
        <v>53178.520000000019</v>
      </c>
      <c r="I6248" s="225">
        <v>20131.939999999999</v>
      </c>
      <c r="J6248" s="225">
        <v>0</v>
      </c>
      <c r="K6248" s="225">
        <v>73310.460000000021</v>
      </c>
      <c r="L62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-73310.460000000006</v>
      </c>
      <c r="M6248" s="225">
        <f>ROUND(IF(AND(Base_Periodo1[[#This Row],[Tipo_Linha]]="-",Base_Periodo1[[#This Row],[TIPOSALDO]]="D"),Base_Periodo1[[#This Row],[SALDO_ATUAL]]*-1,Base_Periodo1[[#This Row],[SALDO_ATUAL]]),4)</f>
        <v>-73310.460000000006</v>
      </c>
      <c r="N6248" t="s">
        <v>116</v>
      </c>
      <c r="O6248" t="s">
        <v>397</v>
      </c>
      <c r="P6248" t="s">
        <v>397</v>
      </c>
      <c r="Q6248">
        <v>9</v>
      </c>
      <c r="R6248" s="282">
        <f>Base_Periodo1[[#This Row],[CREDITOS]]-Base_Periodo1[[#This Row],[DEBITOS]]</f>
        <v>-20131.939999999999</v>
      </c>
      <c r="S6248" s="3" t="str">
        <f>IF(ISERROR(VLOOKUP(Base_Periodo1[[#This Row],[CONTA]],BaseContasDRE[#All],4,FALSE)),"Fora do DRE",VLOOKUP(Base_Periodo1[[#This Row],[CONTA]],BaseContasDRE[#All],4,FALSE))</f>
        <v>-</v>
      </c>
      <c r="T6248" s="3">
        <f>IF(ISERROR(VLOOKUP(Base_Periodo1[[#This Row],[CONTA]],BaseContasDRE[#All],5,FALSE)),"Fora do DRE",VLOOKUP(Base_Periodo1[[#This Row],[CONTA]],BaseContasDRE[#All],6,FALSE))</f>
        <v>5</v>
      </c>
      <c r="U6248" s="3" t="str">
        <f>IF(ISERROR(VLOOKUP(Base_Periodo1[[#This Row],[CONTA]],BaseContasDRE[#All],7,FALSE)),"Fora do DRE",VLOOKUP(Base_Periodo1[[#This Row],[CONTA]],BaseContasDRE[#All],7,FALSE))</f>
        <v>DISPÊNDIOS E  DESPESAS C/ VENDAS</v>
      </c>
      <c r="V6248" s="3" t="str">
        <f>IF(Base_Periodo1[[#This Row],[Tipo_Linha]]="Fora do DRE","Fora do DRE","( "&amp;Base_Periodo1[[#This Row],[Tipo_Linha]]&amp;" ) "&amp;Base_Periodo1[[#This Row],[Filtro]])</f>
        <v>( - ) DISPÊNDIOS E  DESPESAS C/ VENDAS</v>
      </c>
      <c r="W6248" s="3" t="str">
        <f>LEFT(Base_Periodo1[[#This Row],[CLASS]],3)</f>
        <v>3.1</v>
      </c>
    </row>
    <row r="6249" spans="1:23" hidden="1">
      <c r="A6249" s="3" t="str">
        <f t="shared" si="97"/>
        <v>Período 1</v>
      </c>
      <c r="B6249">
        <v>59188</v>
      </c>
      <c r="C6249" t="s">
        <v>7195</v>
      </c>
      <c r="D6249" t="s">
        <v>7196</v>
      </c>
      <c r="E6249" s="3" t="str">
        <f>IF(LEN(Base_Periodo1[[#This Row],[CLASS]])&gt;=7,LEFT(Base_Periodo1[[#This Row],[CLASS]],7),"")</f>
        <v>3.1.1.3</v>
      </c>
      <c r="F6249" s="3" t="e">
        <f>VLOOKUP(Base_Periodo1[[#This Row],[Aux]],Base_Contas_Balanco[#All],2,FALSE)</f>
        <v>#N/A</v>
      </c>
      <c r="G6249" s="1">
        <v>42879</v>
      </c>
      <c r="I6249" s="225">
        <v>25304.13</v>
      </c>
      <c r="J6249" s="225">
        <v>0</v>
      </c>
      <c r="K6249" s="225">
        <v>25304.13</v>
      </c>
      <c r="L62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-25304.13</v>
      </c>
      <c r="M6249" s="225">
        <f>ROUND(IF(AND(Base_Periodo1[[#This Row],[Tipo_Linha]]="-",Base_Periodo1[[#This Row],[TIPOSALDO]]="D"),Base_Periodo1[[#This Row],[SALDO_ATUAL]]*-1,Base_Periodo1[[#This Row],[SALDO_ATUAL]]),4)</f>
        <v>-25304.13</v>
      </c>
      <c r="N6249" t="s">
        <v>116</v>
      </c>
      <c r="O6249" t="s">
        <v>436</v>
      </c>
      <c r="P6249" t="s">
        <v>397</v>
      </c>
      <c r="Q6249">
        <v>9</v>
      </c>
      <c r="R6249" s="282">
        <f>Base_Periodo1[[#This Row],[CREDITOS]]-Base_Periodo1[[#This Row],[DEBITOS]]</f>
        <v>-25304.13</v>
      </c>
      <c r="S6249" s="3" t="str">
        <f>IF(ISERROR(VLOOKUP(Base_Periodo1[[#This Row],[CONTA]],BaseContasDRE[#All],4,FALSE)),"Fora do DRE",VLOOKUP(Base_Periodo1[[#This Row],[CONTA]],BaseContasDRE[#All],4,FALSE))</f>
        <v>-</v>
      </c>
      <c r="T6249" s="3">
        <f>IF(ISERROR(VLOOKUP(Base_Periodo1[[#This Row],[CONTA]],BaseContasDRE[#All],5,FALSE)),"Fora do DRE",VLOOKUP(Base_Periodo1[[#This Row],[CONTA]],BaseContasDRE[#All],6,FALSE))</f>
        <v>5</v>
      </c>
      <c r="U6249" s="3" t="str">
        <f>IF(ISERROR(VLOOKUP(Base_Periodo1[[#This Row],[CONTA]],BaseContasDRE[#All],7,FALSE)),"Fora do DRE",VLOOKUP(Base_Periodo1[[#This Row],[CONTA]],BaseContasDRE[#All],7,FALSE))</f>
        <v>DISPÊNDIOS E  DESPESAS C/ VENDAS</v>
      </c>
      <c r="V6249" s="3" t="str">
        <f>IF(Base_Periodo1[[#This Row],[Tipo_Linha]]="Fora do DRE","Fora do DRE","( "&amp;Base_Periodo1[[#This Row],[Tipo_Linha]]&amp;" ) "&amp;Base_Periodo1[[#This Row],[Filtro]])</f>
        <v>( - ) DISPÊNDIOS E  DESPESAS C/ VENDAS</v>
      </c>
      <c r="W6249" s="3" t="str">
        <f>LEFT(Base_Periodo1[[#This Row],[CLASS]],3)</f>
        <v>3.1</v>
      </c>
    </row>
    <row r="6250" spans="1:23" hidden="1">
      <c r="A6250" s="3" t="str">
        <f t="shared" si="97"/>
        <v>Período 1</v>
      </c>
      <c r="B6250">
        <v>6226</v>
      </c>
      <c r="C6250" t="s">
        <v>5813</v>
      </c>
      <c r="D6250" t="s">
        <v>5812</v>
      </c>
      <c r="E6250" s="3" t="str">
        <f>IF(LEN(Base_Periodo1[[#This Row],[CLASS]])&gt;=7,LEFT(Base_Periodo1[[#This Row],[CLASS]],7),"")</f>
        <v>3.1.1.3</v>
      </c>
      <c r="F6250" s="3" t="e">
        <f>VLOOKUP(Base_Periodo1[[#This Row],[Aux]],Base_Contas_Balanco[#All],2,FALSE)</f>
        <v>#N/A</v>
      </c>
      <c r="G6250" s="1">
        <v>42886</v>
      </c>
      <c r="H6250" s="225">
        <v>663957.15000002086</v>
      </c>
      <c r="I6250" s="225">
        <v>663957.15</v>
      </c>
      <c r="J6250" s="225">
        <v>1080713.7</v>
      </c>
      <c r="K6250" s="225">
        <v>1080713.7000000207</v>
      </c>
      <c r="L62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1080713.7</v>
      </c>
      <c r="M6250" s="225">
        <f>ROUND(IF(AND(Base_Periodo1[[#This Row],[Tipo_Linha]]="-",Base_Periodo1[[#This Row],[TIPOSALDO]]="D"),Base_Periodo1[[#This Row],[SALDO_ATUAL]]*-1,Base_Periodo1[[#This Row],[SALDO_ATUAL]]),4)</f>
        <v>1080713.7</v>
      </c>
      <c r="N6250" t="s">
        <v>116</v>
      </c>
      <c r="O6250" t="s">
        <v>459</v>
      </c>
      <c r="P6250" t="s">
        <v>459</v>
      </c>
      <c r="Q6250">
        <v>9</v>
      </c>
      <c r="R6250" s="282">
        <f>Base_Periodo1[[#This Row],[CREDITOS]]-Base_Periodo1[[#This Row],[DEBITOS]]</f>
        <v>416756.54999999993</v>
      </c>
      <c r="S6250" s="3" t="str">
        <f>IF(ISERROR(VLOOKUP(Base_Periodo1[[#This Row],[CONTA]],BaseContasDRE[#All],4,FALSE)),"Fora do DRE",VLOOKUP(Base_Periodo1[[#This Row],[CONTA]],BaseContasDRE[#All],4,FALSE))</f>
        <v>-</v>
      </c>
      <c r="T6250" s="3">
        <f>IF(ISERROR(VLOOKUP(Base_Periodo1[[#This Row],[CONTA]],BaseContasDRE[#All],5,FALSE)),"Fora do DRE",VLOOKUP(Base_Periodo1[[#This Row],[CONTA]],BaseContasDRE[#All],6,FALSE))</f>
        <v>5</v>
      </c>
      <c r="U6250" s="3" t="str">
        <f>IF(ISERROR(VLOOKUP(Base_Periodo1[[#This Row],[CONTA]],BaseContasDRE[#All],7,FALSE)),"Fora do DRE",VLOOKUP(Base_Periodo1[[#This Row],[CONTA]],BaseContasDRE[#All],7,FALSE))</f>
        <v>DISPÊNDIOS E  DESPESAS C/ VENDAS</v>
      </c>
      <c r="V6250" s="3" t="str">
        <f>IF(Base_Periodo1[[#This Row],[Tipo_Linha]]="Fora do DRE","Fora do DRE","( "&amp;Base_Periodo1[[#This Row],[Tipo_Linha]]&amp;" ) "&amp;Base_Periodo1[[#This Row],[Filtro]])</f>
        <v>( - ) DISPÊNDIOS E  DESPESAS C/ VENDAS</v>
      </c>
      <c r="W6250" s="3" t="str">
        <f>LEFT(Base_Periodo1[[#This Row],[CLASS]],3)</f>
        <v>3.1</v>
      </c>
    </row>
    <row r="6251" spans="1:23" hidden="1">
      <c r="A6251" s="3" t="str">
        <f t="shared" si="97"/>
        <v>Período 1</v>
      </c>
      <c r="B6251">
        <v>6227</v>
      </c>
      <c r="C6251" t="s">
        <v>3916</v>
      </c>
      <c r="D6251" t="s">
        <v>3917</v>
      </c>
      <c r="E6251" s="3" t="str">
        <f>IF(LEN(Base_Periodo1[[#This Row],[CLASS]])&gt;=7,LEFT(Base_Periodo1[[#This Row],[CLASS]],7),"")</f>
        <v>3.1.1.3</v>
      </c>
      <c r="F6251" s="3" t="e">
        <f>VLOOKUP(Base_Periodo1[[#This Row],[Aux]],Base_Contas_Balanco[#All],2,FALSE)</f>
        <v>#N/A</v>
      </c>
      <c r="G6251" s="1"/>
      <c r="H6251" s="225">
        <v>142032.43000000043</v>
      </c>
      <c r="I6251" s="225">
        <v>59967.679999999993</v>
      </c>
      <c r="J6251" s="225">
        <v>20683.080000000002</v>
      </c>
      <c r="K6251" s="225">
        <v>181317.03000000044</v>
      </c>
      <c r="L62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-181317.03</v>
      </c>
      <c r="M6251" s="225">
        <f>ROUND(IF(AND(Base_Periodo1[[#This Row],[Tipo_Linha]]="-",Base_Periodo1[[#This Row],[TIPOSALDO]]="D"),Base_Periodo1[[#This Row],[SALDO_ATUAL]]*-1,Base_Periodo1[[#This Row],[SALDO_ATUAL]]),4)</f>
        <v>181317.03</v>
      </c>
      <c r="N6251" t="s">
        <v>396</v>
      </c>
      <c r="O6251" t="s">
        <v>397</v>
      </c>
      <c r="P6251" t="s">
        <v>397</v>
      </c>
      <c r="Q6251">
        <v>8</v>
      </c>
      <c r="R6251" s="282">
        <f>Base_Periodo1[[#This Row],[CREDITOS]]-Base_Periodo1[[#This Row],[DEBITOS]]</f>
        <v>-39284.599999999991</v>
      </c>
      <c r="S6251" s="3" t="str">
        <f>IF(ISERROR(VLOOKUP(Base_Periodo1[[#This Row],[CONTA]],BaseContasDRE[#All],4,FALSE)),"Fora do DRE",VLOOKUP(Base_Periodo1[[#This Row],[CONTA]],BaseContasDRE[#All],4,FALSE))</f>
        <v>Fora do DRE</v>
      </c>
      <c r="T6251" s="3" t="str">
        <f>IF(ISERROR(VLOOKUP(Base_Periodo1[[#This Row],[CONTA]],BaseContasDRE[#All],5,FALSE)),"Fora do DRE",VLOOKUP(Base_Periodo1[[#This Row],[CONTA]],BaseContasDRE[#All],6,FALSE))</f>
        <v>Fora do DRE</v>
      </c>
      <c r="U6251" s="3" t="str">
        <f>IF(ISERROR(VLOOKUP(Base_Periodo1[[#This Row],[CONTA]],BaseContasDRE[#All],7,FALSE)),"Fora do DRE",VLOOKUP(Base_Periodo1[[#This Row],[CONTA]],BaseContasDRE[#All],7,FALSE))</f>
        <v>Fora do DRE</v>
      </c>
      <c r="V6251" s="3" t="str">
        <f>IF(Base_Periodo1[[#This Row],[Tipo_Linha]]="Fora do DRE","Fora do DRE","( "&amp;Base_Periodo1[[#This Row],[Tipo_Linha]]&amp;" ) "&amp;Base_Periodo1[[#This Row],[Filtro]])</f>
        <v>Fora do DRE</v>
      </c>
      <c r="W6251" s="3" t="str">
        <f>LEFT(Base_Periodo1[[#This Row],[CLASS]],3)</f>
        <v>3.1</v>
      </c>
    </row>
    <row r="6252" spans="1:23" hidden="1">
      <c r="A6252" s="3" t="str">
        <f t="shared" si="97"/>
        <v>Período 1</v>
      </c>
      <c r="B6252">
        <v>6228</v>
      </c>
      <c r="C6252" t="s">
        <v>6625</v>
      </c>
      <c r="D6252" t="s">
        <v>3566</v>
      </c>
      <c r="E6252" s="3" t="str">
        <f>IF(LEN(Base_Periodo1[[#This Row],[CLASS]])&gt;=7,LEFT(Base_Periodo1[[#This Row],[CLASS]],7),"")</f>
        <v>3.1.1.3</v>
      </c>
      <c r="F6252" s="3" t="e">
        <f>VLOOKUP(Base_Periodo1[[#This Row],[Aux]],Base_Contas_Balanco[#All],2,FALSE)</f>
        <v>#N/A</v>
      </c>
      <c r="G6252" s="1">
        <v>42797</v>
      </c>
      <c r="H6252" s="225">
        <v>1398.9100000000035</v>
      </c>
      <c r="I6252" s="225">
        <v>0</v>
      </c>
      <c r="J6252" s="225">
        <v>0</v>
      </c>
      <c r="K6252" s="225">
        <v>1398.9100000000035</v>
      </c>
      <c r="L62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-1398.91</v>
      </c>
      <c r="M6252" s="225">
        <f>ROUND(IF(AND(Base_Periodo1[[#This Row],[Tipo_Linha]]="-",Base_Periodo1[[#This Row],[TIPOSALDO]]="D"),Base_Periodo1[[#This Row],[SALDO_ATUAL]]*-1,Base_Periodo1[[#This Row],[SALDO_ATUAL]]),4)</f>
        <v>-1398.91</v>
      </c>
      <c r="N6252" t="s">
        <v>116</v>
      </c>
      <c r="O6252" t="s">
        <v>397</v>
      </c>
      <c r="P6252" t="s">
        <v>397</v>
      </c>
      <c r="Q6252">
        <v>9</v>
      </c>
      <c r="R6252" s="282">
        <f>Base_Periodo1[[#This Row],[CREDITOS]]-Base_Periodo1[[#This Row],[DEBITOS]]</f>
        <v>0</v>
      </c>
      <c r="S6252" s="3" t="str">
        <f>IF(ISERROR(VLOOKUP(Base_Periodo1[[#This Row],[CONTA]],BaseContasDRE[#All],4,FALSE)),"Fora do DRE",VLOOKUP(Base_Periodo1[[#This Row],[CONTA]],BaseContasDRE[#All],4,FALSE))</f>
        <v>-</v>
      </c>
      <c r="T6252" s="3">
        <f>IF(ISERROR(VLOOKUP(Base_Periodo1[[#This Row],[CONTA]],BaseContasDRE[#All],5,FALSE)),"Fora do DRE",VLOOKUP(Base_Periodo1[[#This Row],[CONTA]],BaseContasDRE[#All],6,FALSE))</f>
        <v>5</v>
      </c>
      <c r="U6252" s="3" t="str">
        <f>IF(ISERROR(VLOOKUP(Base_Periodo1[[#This Row],[CONTA]],BaseContasDRE[#All],7,FALSE)),"Fora do DRE",VLOOKUP(Base_Periodo1[[#This Row],[CONTA]],BaseContasDRE[#All],7,FALSE))</f>
        <v>DISPÊNDIOS E  DESPESAS TRIBUTÁRIAS</v>
      </c>
      <c r="V6252" s="3" t="str">
        <f>IF(Base_Periodo1[[#This Row],[Tipo_Linha]]="Fora do DRE","Fora do DRE","( "&amp;Base_Periodo1[[#This Row],[Tipo_Linha]]&amp;" ) "&amp;Base_Periodo1[[#This Row],[Filtro]])</f>
        <v>( - ) DISPÊNDIOS E  DESPESAS TRIBUTÁRIAS</v>
      </c>
      <c r="W6252" s="3" t="str">
        <f>LEFT(Base_Periodo1[[#This Row],[CLASS]],3)</f>
        <v>3.1</v>
      </c>
    </row>
    <row r="6253" spans="1:23" hidden="1">
      <c r="A6253" s="3" t="str">
        <f t="shared" si="97"/>
        <v>Período 1</v>
      </c>
      <c r="B6253">
        <v>6229</v>
      </c>
      <c r="C6253" t="s">
        <v>6626</v>
      </c>
      <c r="D6253" t="s">
        <v>6627</v>
      </c>
      <c r="E6253" s="3" t="str">
        <f>IF(LEN(Base_Periodo1[[#This Row],[CLASS]])&gt;=7,LEFT(Base_Periodo1[[#This Row],[CLASS]],7),"")</f>
        <v>3.1.1.3</v>
      </c>
      <c r="F6253" s="3" t="e">
        <f>VLOOKUP(Base_Periodo1[[#This Row],[Aux]],Base_Contas_Balanco[#All],2,FALSE)</f>
        <v>#N/A</v>
      </c>
      <c r="G6253" s="1">
        <v>42828</v>
      </c>
      <c r="H6253" s="225">
        <v>53378.330000000075</v>
      </c>
      <c r="I6253" s="225">
        <v>0</v>
      </c>
      <c r="J6253" s="225">
        <v>0</v>
      </c>
      <c r="K6253" s="225">
        <v>53378.330000000075</v>
      </c>
      <c r="L62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-53378.33</v>
      </c>
      <c r="M6253" s="225">
        <f>ROUND(IF(AND(Base_Periodo1[[#This Row],[Tipo_Linha]]="-",Base_Periodo1[[#This Row],[TIPOSALDO]]="D"),Base_Periodo1[[#This Row],[SALDO_ATUAL]]*-1,Base_Periodo1[[#This Row],[SALDO_ATUAL]]),4)</f>
        <v>-53378.33</v>
      </c>
      <c r="N6253" t="s">
        <v>116</v>
      </c>
      <c r="O6253" t="s">
        <v>397</v>
      </c>
      <c r="P6253" t="s">
        <v>397</v>
      </c>
      <c r="Q6253">
        <v>9</v>
      </c>
      <c r="R6253" s="282">
        <f>Base_Periodo1[[#This Row],[CREDITOS]]-Base_Periodo1[[#This Row],[DEBITOS]]</f>
        <v>0</v>
      </c>
      <c r="S6253" s="3" t="str">
        <f>IF(ISERROR(VLOOKUP(Base_Periodo1[[#This Row],[CONTA]],BaseContasDRE[#All],4,FALSE)),"Fora do DRE",VLOOKUP(Base_Periodo1[[#This Row],[CONTA]],BaseContasDRE[#All],4,FALSE))</f>
        <v>-</v>
      </c>
      <c r="T6253" s="3">
        <f>IF(ISERROR(VLOOKUP(Base_Periodo1[[#This Row],[CONTA]],BaseContasDRE[#All],5,FALSE)),"Fora do DRE",VLOOKUP(Base_Periodo1[[#This Row],[CONTA]],BaseContasDRE[#All],6,FALSE))</f>
        <v>5</v>
      </c>
      <c r="U6253" s="3" t="str">
        <f>IF(ISERROR(VLOOKUP(Base_Periodo1[[#This Row],[CONTA]],BaseContasDRE[#All],7,FALSE)),"Fora do DRE",VLOOKUP(Base_Periodo1[[#This Row],[CONTA]],BaseContasDRE[#All],7,FALSE))</f>
        <v>DISPÊNDIOS E  DESPESAS TRIBUTÁRIAS</v>
      </c>
      <c r="V6253" s="3" t="str">
        <f>IF(Base_Periodo1[[#This Row],[Tipo_Linha]]="Fora do DRE","Fora do DRE","( "&amp;Base_Periodo1[[#This Row],[Tipo_Linha]]&amp;" ) "&amp;Base_Periodo1[[#This Row],[Filtro]])</f>
        <v>( - ) DISPÊNDIOS E  DESPESAS TRIBUTÁRIAS</v>
      </c>
      <c r="W6253" s="3" t="str">
        <f>LEFT(Base_Periodo1[[#This Row],[CLASS]],3)</f>
        <v>3.1</v>
      </c>
    </row>
    <row r="6254" spans="1:23" hidden="1">
      <c r="A6254" s="3" t="str">
        <f t="shared" si="97"/>
        <v>Período 1</v>
      </c>
      <c r="B6254">
        <v>6230</v>
      </c>
      <c r="C6254" t="s">
        <v>3918</v>
      </c>
      <c r="D6254" t="s">
        <v>3919</v>
      </c>
      <c r="E6254" s="3" t="str">
        <f>IF(LEN(Base_Periodo1[[#This Row],[CLASS]])&gt;=7,LEFT(Base_Periodo1[[#This Row],[CLASS]],7),"")</f>
        <v>3.1.1.3</v>
      </c>
      <c r="F6254" s="3" t="e">
        <f>VLOOKUP(Base_Periodo1[[#This Row],[Aux]],Base_Contas_Balanco[#All],2,FALSE)</f>
        <v>#N/A</v>
      </c>
      <c r="G6254" s="1">
        <v>42881</v>
      </c>
      <c r="H6254" s="225">
        <v>22536.979999999865</v>
      </c>
      <c r="I6254" s="225">
        <v>4662.88</v>
      </c>
      <c r="J6254" s="225">
        <v>1059.6099999999999</v>
      </c>
      <c r="K6254" s="225">
        <v>26140.249999999865</v>
      </c>
      <c r="L62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-26140.25</v>
      </c>
      <c r="M6254" s="225">
        <f>ROUND(IF(AND(Base_Periodo1[[#This Row],[Tipo_Linha]]="-",Base_Periodo1[[#This Row],[TIPOSALDO]]="D"),Base_Periodo1[[#This Row],[SALDO_ATUAL]]*-1,Base_Periodo1[[#This Row],[SALDO_ATUAL]]),4)</f>
        <v>-26140.25</v>
      </c>
      <c r="N6254" t="s">
        <v>116</v>
      </c>
      <c r="O6254" t="s">
        <v>397</v>
      </c>
      <c r="P6254" t="s">
        <v>397</v>
      </c>
      <c r="Q6254">
        <v>9</v>
      </c>
      <c r="R6254" s="282">
        <f>Base_Periodo1[[#This Row],[CREDITOS]]-Base_Periodo1[[#This Row],[DEBITOS]]</f>
        <v>-3603.2700000000004</v>
      </c>
      <c r="S6254" s="3" t="str">
        <f>IF(ISERROR(VLOOKUP(Base_Periodo1[[#This Row],[CONTA]],BaseContasDRE[#All],4,FALSE)),"Fora do DRE",VLOOKUP(Base_Periodo1[[#This Row],[CONTA]],BaseContasDRE[#All],4,FALSE))</f>
        <v>-</v>
      </c>
      <c r="T6254" s="3">
        <f>IF(ISERROR(VLOOKUP(Base_Periodo1[[#This Row],[CONTA]],BaseContasDRE[#All],5,FALSE)),"Fora do DRE",VLOOKUP(Base_Periodo1[[#This Row],[CONTA]],BaseContasDRE[#All],6,FALSE))</f>
        <v>5</v>
      </c>
      <c r="U6254" s="3" t="str">
        <f>IF(ISERROR(VLOOKUP(Base_Periodo1[[#This Row],[CONTA]],BaseContasDRE[#All],7,FALSE)),"Fora do DRE",VLOOKUP(Base_Periodo1[[#This Row],[CONTA]],BaseContasDRE[#All],7,FALSE))</f>
        <v>DISPÊNDIOS E  DESPESAS TRIBUTÁRIAS</v>
      </c>
      <c r="V6254" s="3" t="str">
        <f>IF(Base_Periodo1[[#This Row],[Tipo_Linha]]="Fora do DRE","Fora do DRE","( "&amp;Base_Periodo1[[#This Row],[Tipo_Linha]]&amp;" ) "&amp;Base_Periodo1[[#This Row],[Filtro]])</f>
        <v>( - ) DISPÊNDIOS E  DESPESAS TRIBUTÁRIAS</v>
      </c>
      <c r="W6254" s="3" t="str">
        <f>LEFT(Base_Periodo1[[#This Row],[CLASS]],3)</f>
        <v>3.1</v>
      </c>
    </row>
    <row r="6255" spans="1:23" hidden="1">
      <c r="A6255" s="3" t="str">
        <f t="shared" si="97"/>
        <v>Período 1</v>
      </c>
      <c r="B6255">
        <v>6233</v>
      </c>
      <c r="C6255" t="s">
        <v>3920</v>
      </c>
      <c r="D6255" t="s">
        <v>3921</v>
      </c>
      <c r="E6255" s="3" t="str">
        <f>IF(LEN(Base_Periodo1[[#This Row],[CLASS]])&gt;=7,LEFT(Base_Periodo1[[#This Row],[CLASS]],7),"")</f>
        <v>3.1.1.3</v>
      </c>
      <c r="F6255" s="3" t="e">
        <f>VLOOKUP(Base_Periodo1[[#This Row],[Aux]],Base_Contas_Balanco[#All],2,FALSE)</f>
        <v>#N/A</v>
      </c>
      <c r="G6255" s="1">
        <v>42884</v>
      </c>
      <c r="H6255" s="225">
        <v>18735.720000000671</v>
      </c>
      <c r="I6255" s="225">
        <v>29359.510000000002</v>
      </c>
      <c r="J6255" s="225">
        <v>0</v>
      </c>
      <c r="K6255" s="225">
        <v>48095.230000000673</v>
      </c>
      <c r="L62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-48095.23</v>
      </c>
      <c r="M6255" s="225">
        <f>ROUND(IF(AND(Base_Periodo1[[#This Row],[Tipo_Linha]]="-",Base_Periodo1[[#This Row],[TIPOSALDO]]="D"),Base_Periodo1[[#This Row],[SALDO_ATUAL]]*-1,Base_Periodo1[[#This Row],[SALDO_ATUAL]]),4)</f>
        <v>-48095.23</v>
      </c>
      <c r="N6255" t="s">
        <v>116</v>
      </c>
      <c r="O6255" t="s">
        <v>397</v>
      </c>
      <c r="P6255" t="s">
        <v>397</v>
      </c>
      <c r="Q6255">
        <v>9</v>
      </c>
      <c r="R6255" s="282">
        <f>Base_Periodo1[[#This Row],[CREDITOS]]-Base_Periodo1[[#This Row],[DEBITOS]]</f>
        <v>-29359.510000000002</v>
      </c>
      <c r="S6255" s="3" t="str">
        <f>IF(ISERROR(VLOOKUP(Base_Periodo1[[#This Row],[CONTA]],BaseContasDRE[#All],4,FALSE)),"Fora do DRE",VLOOKUP(Base_Periodo1[[#This Row],[CONTA]],BaseContasDRE[#All],4,FALSE))</f>
        <v>-</v>
      </c>
      <c r="T6255" s="3">
        <f>IF(ISERROR(VLOOKUP(Base_Periodo1[[#This Row],[CONTA]],BaseContasDRE[#All],5,FALSE)),"Fora do DRE",VLOOKUP(Base_Periodo1[[#This Row],[CONTA]],BaseContasDRE[#All],6,FALSE))</f>
        <v>5</v>
      </c>
      <c r="U6255" s="3" t="str">
        <f>IF(ISERROR(VLOOKUP(Base_Periodo1[[#This Row],[CONTA]],BaseContasDRE[#All],7,FALSE)),"Fora do DRE",VLOOKUP(Base_Periodo1[[#This Row],[CONTA]],BaseContasDRE[#All],7,FALSE))</f>
        <v>DISPÊNDIOS E  DESPESAS TRIBUTÁRIAS</v>
      </c>
      <c r="V6255" s="3" t="str">
        <f>IF(Base_Periodo1[[#This Row],[Tipo_Linha]]="Fora do DRE","Fora do DRE","( "&amp;Base_Periodo1[[#This Row],[Tipo_Linha]]&amp;" ) "&amp;Base_Periodo1[[#This Row],[Filtro]])</f>
        <v>( - ) DISPÊNDIOS E  DESPESAS TRIBUTÁRIAS</v>
      </c>
      <c r="W6255" s="3" t="str">
        <f>LEFT(Base_Periodo1[[#This Row],[CLASS]],3)</f>
        <v>3.1</v>
      </c>
    </row>
    <row r="6256" spans="1:23" hidden="1">
      <c r="A6256" s="3" t="str">
        <f t="shared" si="97"/>
        <v>Período 1</v>
      </c>
      <c r="B6256">
        <v>39695</v>
      </c>
      <c r="C6256" t="s">
        <v>3922</v>
      </c>
      <c r="D6256" t="s">
        <v>3923</v>
      </c>
      <c r="E6256" s="3" t="str">
        <f>IF(LEN(Base_Periodo1[[#This Row],[CLASS]])&gt;=7,LEFT(Base_Periodo1[[#This Row],[CLASS]],7),"")</f>
        <v>3.1.1.3</v>
      </c>
      <c r="F6256" s="3" t="e">
        <f>VLOOKUP(Base_Periodo1[[#This Row],[Aux]],Base_Contas_Balanco[#All],2,FALSE)</f>
        <v>#N/A</v>
      </c>
      <c r="G6256" s="1">
        <v>42886</v>
      </c>
      <c r="H6256" s="225">
        <v>57718.69</v>
      </c>
      <c r="I6256" s="225">
        <v>14209.09</v>
      </c>
      <c r="J6256" s="225">
        <v>0</v>
      </c>
      <c r="K6256" s="225">
        <v>71927.78</v>
      </c>
      <c r="L62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-71927.78</v>
      </c>
      <c r="M6256" s="225">
        <f>ROUND(IF(AND(Base_Periodo1[[#This Row],[Tipo_Linha]]="-",Base_Periodo1[[#This Row],[TIPOSALDO]]="D"),Base_Periodo1[[#This Row],[SALDO_ATUAL]]*-1,Base_Periodo1[[#This Row],[SALDO_ATUAL]]),4)</f>
        <v>-71927.78</v>
      </c>
      <c r="N6256" t="s">
        <v>116</v>
      </c>
      <c r="O6256" t="s">
        <v>397</v>
      </c>
      <c r="P6256" t="s">
        <v>397</v>
      </c>
      <c r="Q6256">
        <v>9</v>
      </c>
      <c r="R6256" s="282">
        <f>Base_Periodo1[[#This Row],[CREDITOS]]-Base_Periodo1[[#This Row],[DEBITOS]]</f>
        <v>-14209.09</v>
      </c>
      <c r="S6256" s="3" t="str">
        <f>IF(ISERROR(VLOOKUP(Base_Periodo1[[#This Row],[CONTA]],BaseContasDRE[#All],4,FALSE)),"Fora do DRE",VLOOKUP(Base_Periodo1[[#This Row],[CONTA]],BaseContasDRE[#All],4,FALSE))</f>
        <v>-</v>
      </c>
      <c r="T6256" s="3">
        <f>IF(ISERROR(VLOOKUP(Base_Periodo1[[#This Row],[CONTA]],BaseContasDRE[#All],5,FALSE)),"Fora do DRE",VLOOKUP(Base_Periodo1[[#This Row],[CONTA]],BaseContasDRE[#All],6,FALSE))</f>
        <v>5</v>
      </c>
      <c r="U6256" s="3" t="str">
        <f>IF(ISERROR(VLOOKUP(Base_Periodo1[[#This Row],[CONTA]],BaseContasDRE[#All],7,FALSE)),"Fora do DRE",VLOOKUP(Base_Periodo1[[#This Row],[CONTA]],BaseContasDRE[#All],7,FALSE))</f>
        <v>DISPÊNDIOS E  DESPESAS TRIBUTÁRIAS</v>
      </c>
      <c r="V6256" s="3" t="str">
        <f>IF(Base_Periodo1[[#This Row],[Tipo_Linha]]="Fora do DRE","Fora do DRE","( "&amp;Base_Periodo1[[#This Row],[Tipo_Linha]]&amp;" ) "&amp;Base_Periodo1[[#This Row],[Filtro]])</f>
        <v>( - ) DISPÊNDIOS E  DESPESAS TRIBUTÁRIAS</v>
      </c>
      <c r="W6256" s="3" t="str">
        <f>LEFT(Base_Periodo1[[#This Row],[CLASS]],3)</f>
        <v>3.1</v>
      </c>
    </row>
    <row r="6257" spans="1:23" hidden="1">
      <c r="A6257" s="3" t="str">
        <f t="shared" si="97"/>
        <v>Período 1</v>
      </c>
      <c r="B6257">
        <v>6234</v>
      </c>
      <c r="C6257" t="s">
        <v>5814</v>
      </c>
      <c r="D6257" t="s">
        <v>5812</v>
      </c>
      <c r="E6257" s="3" t="str">
        <f>IF(LEN(Base_Periodo1[[#This Row],[CLASS]])&gt;=7,LEFT(Base_Periodo1[[#This Row],[CLASS]],7),"")</f>
        <v>3.1.1.3</v>
      </c>
      <c r="F6257" s="3" t="e">
        <f>VLOOKUP(Base_Periodo1[[#This Row],[Aux]],Base_Contas_Balanco[#All],2,FALSE)</f>
        <v>#N/A</v>
      </c>
      <c r="G6257" s="1">
        <v>42886</v>
      </c>
      <c r="H6257" s="225">
        <v>11736.200000000186</v>
      </c>
      <c r="I6257" s="225">
        <v>11736.2</v>
      </c>
      <c r="J6257" s="225">
        <v>19623.47</v>
      </c>
      <c r="K6257" s="225">
        <v>19623.470000000187</v>
      </c>
      <c r="L62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19623.47</v>
      </c>
      <c r="M6257" s="225">
        <f>ROUND(IF(AND(Base_Periodo1[[#This Row],[Tipo_Linha]]="-",Base_Periodo1[[#This Row],[TIPOSALDO]]="D"),Base_Periodo1[[#This Row],[SALDO_ATUAL]]*-1,Base_Periodo1[[#This Row],[SALDO_ATUAL]]),4)</f>
        <v>19623.47</v>
      </c>
      <c r="N6257" t="s">
        <v>116</v>
      </c>
      <c r="O6257" t="s">
        <v>459</v>
      </c>
      <c r="P6257" t="s">
        <v>459</v>
      </c>
      <c r="Q6257">
        <v>9</v>
      </c>
      <c r="R6257" s="282">
        <f>Base_Periodo1[[#This Row],[CREDITOS]]-Base_Periodo1[[#This Row],[DEBITOS]]</f>
        <v>7887.27</v>
      </c>
      <c r="S6257" s="3" t="str">
        <f>IF(ISERROR(VLOOKUP(Base_Periodo1[[#This Row],[CONTA]],BaseContasDRE[#All],4,FALSE)),"Fora do DRE",VLOOKUP(Base_Periodo1[[#This Row],[CONTA]],BaseContasDRE[#All],4,FALSE))</f>
        <v>-</v>
      </c>
      <c r="T6257" s="3">
        <f>IF(ISERROR(VLOOKUP(Base_Periodo1[[#This Row],[CONTA]],BaseContasDRE[#All],5,FALSE)),"Fora do DRE",VLOOKUP(Base_Periodo1[[#This Row],[CONTA]],BaseContasDRE[#All],6,FALSE))</f>
        <v>5</v>
      </c>
      <c r="U6257" s="3" t="str">
        <f>IF(ISERROR(VLOOKUP(Base_Periodo1[[#This Row],[CONTA]],BaseContasDRE[#All],7,FALSE)),"Fora do DRE",VLOOKUP(Base_Periodo1[[#This Row],[CONTA]],BaseContasDRE[#All],7,FALSE))</f>
        <v>DISPÊNDIOS E  DESPESAS TRIBUTÁRIAS</v>
      </c>
      <c r="V6257" s="3" t="str">
        <f>IF(Base_Periodo1[[#This Row],[Tipo_Linha]]="Fora do DRE","Fora do DRE","( "&amp;Base_Periodo1[[#This Row],[Tipo_Linha]]&amp;" ) "&amp;Base_Periodo1[[#This Row],[Filtro]])</f>
        <v>( - ) DISPÊNDIOS E  DESPESAS TRIBUTÁRIAS</v>
      </c>
      <c r="W6257" s="3" t="str">
        <f>LEFT(Base_Periodo1[[#This Row],[CLASS]],3)</f>
        <v>3.1</v>
      </c>
    </row>
    <row r="6258" spans="1:23" hidden="1">
      <c r="A6258" s="3" t="str">
        <f t="shared" si="97"/>
        <v>Período 1</v>
      </c>
      <c r="B6258">
        <v>6235</v>
      </c>
      <c r="C6258" t="s">
        <v>3924</v>
      </c>
      <c r="D6258" t="s">
        <v>3925</v>
      </c>
      <c r="E6258" s="3" t="str">
        <f>IF(LEN(Base_Periodo1[[#This Row],[CLASS]])&gt;=7,LEFT(Base_Periodo1[[#This Row],[CLASS]],7),"")</f>
        <v>3.1.1.3</v>
      </c>
      <c r="F6258" s="3" t="e">
        <f>VLOOKUP(Base_Periodo1[[#This Row],[Aux]],Base_Contas_Balanco[#All],2,FALSE)</f>
        <v>#N/A</v>
      </c>
      <c r="G6258" s="1"/>
      <c r="H6258" s="225">
        <v>68193.920000000508</v>
      </c>
      <c r="I6258" s="225">
        <v>6751.56</v>
      </c>
      <c r="J6258" s="225">
        <v>27009.170000000002</v>
      </c>
      <c r="K6258" s="225">
        <v>47936.310000000507</v>
      </c>
      <c r="L62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-47936.31</v>
      </c>
      <c r="M6258" s="225">
        <f>ROUND(IF(AND(Base_Periodo1[[#This Row],[Tipo_Linha]]="-",Base_Periodo1[[#This Row],[TIPOSALDO]]="D"),Base_Periodo1[[#This Row],[SALDO_ATUAL]]*-1,Base_Periodo1[[#This Row],[SALDO_ATUAL]]),4)</f>
        <v>47936.31</v>
      </c>
      <c r="N6258" t="s">
        <v>396</v>
      </c>
      <c r="O6258" t="s">
        <v>397</v>
      </c>
      <c r="P6258" t="s">
        <v>397</v>
      </c>
      <c r="Q6258">
        <v>8</v>
      </c>
      <c r="R6258" s="282">
        <f>Base_Periodo1[[#This Row],[CREDITOS]]-Base_Periodo1[[#This Row],[DEBITOS]]</f>
        <v>20257.61</v>
      </c>
      <c r="S6258" s="3" t="str">
        <f>IF(ISERROR(VLOOKUP(Base_Periodo1[[#This Row],[CONTA]],BaseContasDRE[#All],4,FALSE)),"Fora do DRE",VLOOKUP(Base_Periodo1[[#This Row],[CONTA]],BaseContasDRE[#All],4,FALSE))</f>
        <v>Fora do DRE</v>
      </c>
      <c r="T6258" s="3" t="str">
        <f>IF(ISERROR(VLOOKUP(Base_Periodo1[[#This Row],[CONTA]],BaseContasDRE[#All],5,FALSE)),"Fora do DRE",VLOOKUP(Base_Periodo1[[#This Row],[CONTA]],BaseContasDRE[#All],6,FALSE))</f>
        <v>Fora do DRE</v>
      </c>
      <c r="U6258" s="3" t="str">
        <f>IF(ISERROR(VLOOKUP(Base_Periodo1[[#This Row],[CONTA]],BaseContasDRE[#All],7,FALSE)),"Fora do DRE",VLOOKUP(Base_Periodo1[[#This Row],[CONTA]],BaseContasDRE[#All],7,FALSE))</f>
        <v>Fora do DRE</v>
      </c>
      <c r="V6258" s="3" t="str">
        <f>IF(Base_Periodo1[[#This Row],[Tipo_Linha]]="Fora do DRE","Fora do DRE","( "&amp;Base_Periodo1[[#This Row],[Tipo_Linha]]&amp;" ) "&amp;Base_Periodo1[[#This Row],[Filtro]])</f>
        <v>Fora do DRE</v>
      </c>
      <c r="W6258" s="3" t="str">
        <f>LEFT(Base_Periodo1[[#This Row],[CLASS]],3)</f>
        <v>3.1</v>
      </c>
    </row>
    <row r="6259" spans="1:23" hidden="1">
      <c r="A6259" s="3" t="str">
        <f t="shared" si="97"/>
        <v>Período 1</v>
      </c>
      <c r="B6259">
        <v>6236</v>
      </c>
      <c r="C6259" t="s">
        <v>3926</v>
      </c>
      <c r="D6259" t="s">
        <v>4808</v>
      </c>
      <c r="E6259" s="3" t="str">
        <f>IF(LEN(Base_Periodo1[[#This Row],[CLASS]])&gt;=7,LEFT(Base_Periodo1[[#This Row],[CLASS]],7),"")</f>
        <v>3.1.1.3</v>
      </c>
      <c r="F6259" s="3" t="e">
        <f>VLOOKUP(Base_Periodo1[[#This Row],[Aux]],Base_Contas_Balanco[#All],2,FALSE)</f>
        <v>#N/A</v>
      </c>
      <c r="G6259" s="1">
        <v>42874</v>
      </c>
      <c r="H6259" s="225">
        <v>95106.420000000042</v>
      </c>
      <c r="I6259" s="225">
        <v>347.35</v>
      </c>
      <c r="J6259" s="225">
        <v>0</v>
      </c>
      <c r="K6259" s="225">
        <v>95453.770000000048</v>
      </c>
      <c r="L62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-95453.77</v>
      </c>
      <c r="M6259" s="225">
        <f>ROUND(IF(AND(Base_Periodo1[[#This Row],[Tipo_Linha]]="-",Base_Periodo1[[#This Row],[TIPOSALDO]]="D"),Base_Periodo1[[#This Row],[SALDO_ATUAL]]*-1,Base_Periodo1[[#This Row],[SALDO_ATUAL]]),4)</f>
        <v>-95453.77</v>
      </c>
      <c r="N6259" t="s">
        <v>116</v>
      </c>
      <c r="O6259" t="s">
        <v>397</v>
      </c>
      <c r="P6259" t="s">
        <v>397</v>
      </c>
      <c r="Q6259">
        <v>9</v>
      </c>
      <c r="R6259" s="282">
        <f>Base_Periodo1[[#This Row],[CREDITOS]]-Base_Periodo1[[#This Row],[DEBITOS]]</f>
        <v>-347.35</v>
      </c>
      <c r="S6259" s="3" t="str">
        <f>IF(ISERROR(VLOOKUP(Base_Periodo1[[#This Row],[CONTA]],BaseContasDRE[#All],4,FALSE)),"Fora do DRE",VLOOKUP(Base_Periodo1[[#This Row],[CONTA]],BaseContasDRE[#All],4,FALSE))</f>
        <v>-</v>
      </c>
      <c r="T6259" s="3">
        <f>IF(ISERROR(VLOOKUP(Base_Periodo1[[#This Row],[CONTA]],BaseContasDRE[#All],5,FALSE)),"Fora do DRE",VLOOKUP(Base_Periodo1[[#This Row],[CONTA]],BaseContasDRE[#All],6,FALSE))</f>
        <v>5</v>
      </c>
      <c r="U6259" s="3" t="str">
        <f>IF(ISERROR(VLOOKUP(Base_Periodo1[[#This Row],[CONTA]],BaseContasDRE[#All],7,FALSE)),"Fora do DRE",VLOOKUP(Base_Periodo1[[#This Row],[CONTA]],BaseContasDRE[#All],7,FALSE))</f>
        <v>DISPÊNDIOS E  DESPESAS TECNICAS</v>
      </c>
      <c r="V6259" s="3" t="str">
        <f>IF(Base_Periodo1[[#This Row],[Tipo_Linha]]="Fora do DRE","Fora do DRE","( "&amp;Base_Periodo1[[#This Row],[Tipo_Linha]]&amp;" ) "&amp;Base_Periodo1[[#This Row],[Filtro]])</f>
        <v>( - ) DISPÊNDIOS E  DESPESAS TECNICAS</v>
      </c>
      <c r="W6259" s="3" t="str">
        <f>LEFT(Base_Periodo1[[#This Row],[CLASS]],3)</f>
        <v>3.1</v>
      </c>
    </row>
    <row r="6260" spans="1:23" hidden="1">
      <c r="A6260" s="3" t="str">
        <f t="shared" si="97"/>
        <v>Período 1</v>
      </c>
      <c r="B6260">
        <v>28371</v>
      </c>
      <c r="C6260" t="s">
        <v>4337</v>
      </c>
      <c r="D6260" t="s">
        <v>4635</v>
      </c>
      <c r="E6260" s="3" t="str">
        <f>IF(LEN(Base_Periodo1[[#This Row],[CLASS]])&gt;=7,LEFT(Base_Periodo1[[#This Row],[CLASS]],7),"")</f>
        <v>3.1.1.3</v>
      </c>
      <c r="F6260" s="3" t="e">
        <f>VLOOKUP(Base_Periodo1[[#This Row],[Aux]],Base_Contas_Balanco[#All],2,FALSE)</f>
        <v>#N/A</v>
      </c>
      <c r="G6260" s="1">
        <v>42886</v>
      </c>
      <c r="H6260" s="225">
        <v>9108.7100000001956</v>
      </c>
      <c r="I6260" s="225">
        <v>769.31999999999994</v>
      </c>
      <c r="J6260" s="225">
        <v>9742.18</v>
      </c>
      <c r="K6260" s="225">
        <v>18081.570000000196</v>
      </c>
      <c r="L62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18081.57</v>
      </c>
      <c r="M6260" s="225">
        <f>ROUND(IF(AND(Base_Periodo1[[#This Row],[Tipo_Linha]]="-",Base_Periodo1[[#This Row],[TIPOSALDO]]="D"),Base_Periodo1[[#This Row],[SALDO_ATUAL]]*-1,Base_Periodo1[[#This Row],[SALDO_ATUAL]]),4)</f>
        <v>18081.57</v>
      </c>
      <c r="N6260" t="s">
        <v>116</v>
      </c>
      <c r="O6260" t="s">
        <v>459</v>
      </c>
      <c r="P6260" t="s">
        <v>459</v>
      </c>
      <c r="Q6260">
        <v>9</v>
      </c>
      <c r="R6260" s="282">
        <f>Base_Periodo1[[#This Row],[CREDITOS]]-Base_Periodo1[[#This Row],[DEBITOS]]</f>
        <v>8972.86</v>
      </c>
      <c r="S6260" s="3" t="str">
        <f>IF(ISERROR(VLOOKUP(Base_Periodo1[[#This Row],[CONTA]],BaseContasDRE[#All],4,FALSE)),"Fora do DRE",VLOOKUP(Base_Periodo1[[#This Row],[CONTA]],BaseContasDRE[#All],4,FALSE))</f>
        <v>-</v>
      </c>
      <c r="T6260" s="3">
        <f>IF(ISERROR(VLOOKUP(Base_Periodo1[[#This Row],[CONTA]],BaseContasDRE[#All],5,FALSE)),"Fora do DRE",VLOOKUP(Base_Periodo1[[#This Row],[CONTA]],BaseContasDRE[#All],6,FALSE))</f>
        <v>5</v>
      </c>
      <c r="U6260" s="3" t="str">
        <f>IF(ISERROR(VLOOKUP(Base_Periodo1[[#This Row],[CONTA]],BaseContasDRE[#All],7,FALSE)),"Fora do DRE",VLOOKUP(Base_Periodo1[[#This Row],[CONTA]],BaseContasDRE[#All],7,FALSE))</f>
        <v>DISPÊNDIOS E  DESPESAS TECNICAS</v>
      </c>
      <c r="V6260" s="3" t="str">
        <f>IF(Base_Periodo1[[#This Row],[Tipo_Linha]]="Fora do DRE","Fora do DRE","( "&amp;Base_Periodo1[[#This Row],[Tipo_Linha]]&amp;" ) "&amp;Base_Periodo1[[#This Row],[Filtro]])</f>
        <v>( - ) DISPÊNDIOS E  DESPESAS TECNICAS</v>
      </c>
      <c r="W6260" s="3" t="str">
        <f>LEFT(Base_Periodo1[[#This Row],[CLASS]],3)</f>
        <v>3.1</v>
      </c>
    </row>
    <row r="6261" spans="1:23" hidden="1">
      <c r="A6261" s="3" t="str">
        <f t="shared" si="97"/>
        <v>Período 1</v>
      </c>
      <c r="B6261">
        <v>38210</v>
      </c>
      <c r="C6261" t="s">
        <v>4501</v>
      </c>
      <c r="D6261" t="s">
        <v>4502</v>
      </c>
      <c r="E6261" s="3" t="str">
        <f>IF(LEN(Base_Periodo1[[#This Row],[CLASS]])&gt;=7,LEFT(Base_Periodo1[[#This Row],[CLASS]],7),"")</f>
        <v>3.1.1.3</v>
      </c>
      <c r="F6261" s="3" t="e">
        <f>VLOOKUP(Base_Periodo1[[#This Row],[Aux]],Base_Contas_Balanco[#All],2,FALSE)</f>
        <v>#N/A</v>
      </c>
      <c r="G6261" s="1">
        <v>42884</v>
      </c>
      <c r="H6261" s="225">
        <v>12168.899999999441</v>
      </c>
      <c r="I6261" s="225">
        <v>0</v>
      </c>
      <c r="J6261" s="225">
        <v>12078.970000000001</v>
      </c>
      <c r="K6261" s="225">
        <v>24247.869999999442</v>
      </c>
      <c r="L62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24247.87</v>
      </c>
      <c r="M6261" s="225">
        <f>ROUND(IF(AND(Base_Periodo1[[#This Row],[Tipo_Linha]]="-",Base_Periodo1[[#This Row],[TIPOSALDO]]="D"),Base_Periodo1[[#This Row],[SALDO_ATUAL]]*-1,Base_Periodo1[[#This Row],[SALDO_ATUAL]]),4)</f>
        <v>24247.87</v>
      </c>
      <c r="N6261" t="s">
        <v>116</v>
      </c>
      <c r="O6261" t="s">
        <v>459</v>
      </c>
      <c r="P6261" t="s">
        <v>459</v>
      </c>
      <c r="Q6261">
        <v>9</v>
      </c>
      <c r="R6261" s="282">
        <f>Base_Periodo1[[#This Row],[CREDITOS]]-Base_Periodo1[[#This Row],[DEBITOS]]</f>
        <v>12078.970000000001</v>
      </c>
      <c r="S6261" s="3" t="str">
        <f>IF(ISERROR(VLOOKUP(Base_Periodo1[[#This Row],[CONTA]],BaseContasDRE[#All],4,FALSE)),"Fora do DRE",VLOOKUP(Base_Periodo1[[#This Row],[CONTA]],BaseContasDRE[#All],4,FALSE))</f>
        <v>-</v>
      </c>
      <c r="T6261" s="3">
        <f>IF(ISERROR(VLOOKUP(Base_Periodo1[[#This Row],[CONTA]],BaseContasDRE[#All],5,FALSE)),"Fora do DRE",VLOOKUP(Base_Periodo1[[#This Row],[CONTA]],BaseContasDRE[#All],6,FALSE))</f>
        <v>5</v>
      </c>
      <c r="U6261" s="3" t="str">
        <f>IF(ISERROR(VLOOKUP(Base_Periodo1[[#This Row],[CONTA]],BaseContasDRE[#All],7,FALSE)),"Fora do DRE",VLOOKUP(Base_Periodo1[[#This Row],[CONTA]],BaseContasDRE[#All],7,FALSE))</f>
        <v>DISPÊNDIOS E  DESPESAS TECNICAS</v>
      </c>
      <c r="V6261" s="3" t="str">
        <f>IF(Base_Periodo1[[#This Row],[Tipo_Linha]]="Fora do DRE","Fora do DRE","( "&amp;Base_Periodo1[[#This Row],[Tipo_Linha]]&amp;" ) "&amp;Base_Periodo1[[#This Row],[Filtro]])</f>
        <v>( - ) DISPÊNDIOS E  DESPESAS TECNICAS</v>
      </c>
      <c r="W6261" s="3" t="str">
        <f>LEFT(Base_Periodo1[[#This Row],[CLASS]],3)</f>
        <v>3.1</v>
      </c>
    </row>
    <row r="6262" spans="1:23" hidden="1">
      <c r="A6262" s="3" t="str">
        <f t="shared" si="97"/>
        <v>Período 1</v>
      </c>
      <c r="B6262">
        <v>6239</v>
      </c>
      <c r="C6262" t="s">
        <v>5815</v>
      </c>
      <c r="D6262" t="s">
        <v>5812</v>
      </c>
      <c r="E6262" s="3" t="str">
        <f>IF(LEN(Base_Periodo1[[#This Row],[CLASS]])&gt;=7,LEFT(Base_Periodo1[[#This Row],[CLASS]],7),"")</f>
        <v>3.1.1.3</v>
      </c>
      <c r="F6262" s="3" t="e">
        <f>VLOOKUP(Base_Periodo1[[#This Row],[Aux]],Base_Contas_Balanco[#All],2,FALSE)</f>
        <v>#N/A</v>
      </c>
      <c r="G6262" s="1">
        <v>42886</v>
      </c>
      <c r="H6262" s="225">
        <v>5634.8899999998976</v>
      </c>
      <c r="I6262" s="225">
        <v>5634.89</v>
      </c>
      <c r="J6262" s="225">
        <v>5188.0200000000004</v>
      </c>
      <c r="K6262" s="225">
        <v>5188.0199999998977</v>
      </c>
      <c r="L62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5188.0200000000004</v>
      </c>
      <c r="M6262" s="225">
        <f>ROUND(IF(AND(Base_Periodo1[[#This Row],[Tipo_Linha]]="-",Base_Periodo1[[#This Row],[TIPOSALDO]]="D"),Base_Periodo1[[#This Row],[SALDO_ATUAL]]*-1,Base_Periodo1[[#This Row],[SALDO_ATUAL]]),4)</f>
        <v>5188.0200000000004</v>
      </c>
      <c r="N6262" t="s">
        <v>116</v>
      </c>
      <c r="O6262" t="s">
        <v>459</v>
      </c>
      <c r="P6262" t="s">
        <v>459</v>
      </c>
      <c r="Q6262">
        <v>9</v>
      </c>
      <c r="R6262" s="282">
        <f>Base_Periodo1[[#This Row],[CREDITOS]]-Base_Periodo1[[#This Row],[DEBITOS]]</f>
        <v>-446.86999999999989</v>
      </c>
      <c r="S6262" s="3" t="str">
        <f>IF(ISERROR(VLOOKUP(Base_Periodo1[[#This Row],[CONTA]],BaseContasDRE[#All],4,FALSE)),"Fora do DRE",VLOOKUP(Base_Periodo1[[#This Row],[CONTA]],BaseContasDRE[#All],4,FALSE))</f>
        <v>-</v>
      </c>
      <c r="T6262" s="3">
        <f>IF(ISERROR(VLOOKUP(Base_Periodo1[[#This Row],[CONTA]],BaseContasDRE[#All],5,FALSE)),"Fora do DRE",VLOOKUP(Base_Periodo1[[#This Row],[CONTA]],BaseContasDRE[#All],6,FALSE))</f>
        <v>5</v>
      </c>
      <c r="U6262" s="3" t="str">
        <f>IF(ISERROR(VLOOKUP(Base_Periodo1[[#This Row],[CONTA]],BaseContasDRE[#All],7,FALSE)),"Fora do DRE",VLOOKUP(Base_Periodo1[[#This Row],[CONTA]],BaseContasDRE[#All],7,FALSE))</f>
        <v>DISPÊNDIOS E  DESPESAS TECNICAS</v>
      </c>
      <c r="V6262" s="3" t="str">
        <f>IF(Base_Periodo1[[#This Row],[Tipo_Linha]]="Fora do DRE","Fora do DRE","( "&amp;Base_Periodo1[[#This Row],[Tipo_Linha]]&amp;" ) "&amp;Base_Periodo1[[#This Row],[Filtro]])</f>
        <v>( - ) DISPÊNDIOS E  DESPESAS TECNICAS</v>
      </c>
      <c r="W6262" s="3" t="str">
        <f>LEFT(Base_Periodo1[[#This Row],[CLASS]],3)</f>
        <v>3.1</v>
      </c>
    </row>
    <row r="6263" spans="1:23" hidden="1">
      <c r="A6263" s="3" t="str">
        <f t="shared" si="97"/>
        <v>Período 1</v>
      </c>
      <c r="B6263">
        <v>6240</v>
      </c>
      <c r="C6263" t="s">
        <v>3927</v>
      </c>
      <c r="D6263" t="s">
        <v>3928</v>
      </c>
      <c r="E6263" s="3" t="str">
        <f>IF(LEN(Base_Periodo1[[#This Row],[CLASS]])&gt;=7,LEFT(Base_Periodo1[[#This Row],[CLASS]],7),"")</f>
        <v>3.1.1.3</v>
      </c>
      <c r="F6263" s="3" t="e">
        <f>VLOOKUP(Base_Periodo1[[#This Row],[Aux]],Base_Contas_Balanco[#All],2,FALSE)</f>
        <v>#N/A</v>
      </c>
      <c r="G6263" s="1"/>
      <c r="H6263" s="225">
        <v>146466.89000000025</v>
      </c>
      <c r="I6263" s="225">
        <v>33665.550000000003</v>
      </c>
      <c r="J6263" s="225">
        <v>17732.32</v>
      </c>
      <c r="K6263" s="225">
        <v>162400.12000000023</v>
      </c>
      <c r="L62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-162400.12</v>
      </c>
      <c r="M6263" s="225">
        <f>ROUND(IF(AND(Base_Periodo1[[#This Row],[Tipo_Linha]]="-",Base_Periodo1[[#This Row],[TIPOSALDO]]="D"),Base_Periodo1[[#This Row],[SALDO_ATUAL]]*-1,Base_Periodo1[[#This Row],[SALDO_ATUAL]]),4)</f>
        <v>162400.12</v>
      </c>
      <c r="N6263" t="s">
        <v>396</v>
      </c>
      <c r="O6263" t="s">
        <v>397</v>
      </c>
      <c r="P6263" t="s">
        <v>397</v>
      </c>
      <c r="Q6263">
        <v>8</v>
      </c>
      <c r="R6263" s="282">
        <f>Base_Periodo1[[#This Row],[CREDITOS]]-Base_Periodo1[[#This Row],[DEBITOS]]</f>
        <v>-15933.230000000003</v>
      </c>
      <c r="S6263" s="3" t="str">
        <f>IF(ISERROR(VLOOKUP(Base_Periodo1[[#This Row],[CONTA]],BaseContasDRE[#All],4,FALSE)),"Fora do DRE",VLOOKUP(Base_Periodo1[[#This Row],[CONTA]],BaseContasDRE[#All],4,FALSE))</f>
        <v>Fora do DRE</v>
      </c>
      <c r="T6263" s="3" t="str">
        <f>IF(ISERROR(VLOOKUP(Base_Periodo1[[#This Row],[CONTA]],BaseContasDRE[#All],5,FALSE)),"Fora do DRE",VLOOKUP(Base_Periodo1[[#This Row],[CONTA]],BaseContasDRE[#All],6,FALSE))</f>
        <v>Fora do DRE</v>
      </c>
      <c r="U6263" s="3" t="str">
        <f>IF(ISERROR(VLOOKUP(Base_Periodo1[[#This Row],[CONTA]],BaseContasDRE[#All],7,FALSE)),"Fora do DRE",VLOOKUP(Base_Periodo1[[#This Row],[CONTA]],BaseContasDRE[#All],7,FALSE))</f>
        <v>Fora do DRE</v>
      </c>
      <c r="V6263" s="3" t="str">
        <f>IF(Base_Periodo1[[#This Row],[Tipo_Linha]]="Fora do DRE","Fora do DRE","( "&amp;Base_Periodo1[[#This Row],[Tipo_Linha]]&amp;" ) "&amp;Base_Periodo1[[#This Row],[Filtro]])</f>
        <v>Fora do DRE</v>
      </c>
      <c r="W6263" s="3" t="str">
        <f>LEFT(Base_Periodo1[[#This Row],[CLASS]],3)</f>
        <v>3.1</v>
      </c>
    </row>
    <row r="6264" spans="1:23" hidden="1">
      <c r="A6264" s="3" t="str">
        <f t="shared" si="97"/>
        <v>Período 1</v>
      </c>
      <c r="B6264">
        <v>6241</v>
      </c>
      <c r="C6264" t="s">
        <v>3929</v>
      </c>
      <c r="D6264" t="s">
        <v>3930</v>
      </c>
      <c r="E6264" s="3" t="str">
        <f>IF(LEN(Base_Periodo1[[#This Row],[CLASS]])&gt;=7,LEFT(Base_Periodo1[[#This Row],[CLASS]],7),"")</f>
        <v>3.1.1.3</v>
      </c>
      <c r="F6264" s="3" t="e">
        <f>VLOOKUP(Base_Periodo1[[#This Row],[Aux]],Base_Contas_Balanco[#All],2,FALSE)</f>
        <v>#N/A</v>
      </c>
      <c r="G6264" s="1">
        <v>42885</v>
      </c>
      <c r="H6264" s="225">
        <v>3748.7200000001467</v>
      </c>
      <c r="I6264" s="225">
        <v>157.93</v>
      </c>
      <c r="J6264" s="225">
        <v>156.18</v>
      </c>
      <c r="K6264" s="225">
        <v>3750.4700000001467</v>
      </c>
      <c r="L62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-3750.47</v>
      </c>
      <c r="M6264" s="225">
        <f>ROUND(IF(AND(Base_Periodo1[[#This Row],[Tipo_Linha]]="-",Base_Periodo1[[#This Row],[TIPOSALDO]]="D"),Base_Periodo1[[#This Row],[SALDO_ATUAL]]*-1,Base_Periodo1[[#This Row],[SALDO_ATUAL]]),4)</f>
        <v>-3750.47</v>
      </c>
      <c r="N6264" t="s">
        <v>116</v>
      </c>
      <c r="O6264" t="s">
        <v>397</v>
      </c>
      <c r="P6264" t="s">
        <v>397</v>
      </c>
      <c r="Q6264">
        <v>9</v>
      </c>
      <c r="R6264" s="282">
        <f>Base_Periodo1[[#This Row],[CREDITOS]]-Base_Periodo1[[#This Row],[DEBITOS]]</f>
        <v>-1.75</v>
      </c>
      <c r="S6264" s="3" t="str">
        <f>IF(ISERROR(VLOOKUP(Base_Periodo1[[#This Row],[CONTA]],BaseContasDRE[#All],4,FALSE)),"Fora do DRE",VLOOKUP(Base_Periodo1[[#This Row],[CONTA]],BaseContasDRE[#All],4,FALSE))</f>
        <v>-</v>
      </c>
      <c r="T6264" s="3">
        <f>IF(ISERROR(VLOOKUP(Base_Periodo1[[#This Row],[CONTA]],BaseContasDRE[#All],5,FALSE)),"Fora do DRE",VLOOKUP(Base_Periodo1[[#This Row],[CONTA]],BaseContasDRE[#All],6,FALSE))</f>
        <v>5</v>
      </c>
      <c r="U6264" s="3" t="str">
        <f>IF(ISERROR(VLOOKUP(Base_Periodo1[[#This Row],[CONTA]],BaseContasDRE[#All],7,FALSE)),"Fora do DRE",VLOOKUP(Base_Periodo1[[#This Row],[CONTA]],BaseContasDRE[#All],7,FALSE))</f>
        <v>DISPÊNDIOS E  DESPESAS INDEDUTÍVEIS</v>
      </c>
      <c r="V6264" s="3" t="str">
        <f>IF(Base_Periodo1[[#This Row],[Tipo_Linha]]="Fora do DRE","Fora do DRE","( "&amp;Base_Periodo1[[#This Row],[Tipo_Linha]]&amp;" ) "&amp;Base_Periodo1[[#This Row],[Filtro]])</f>
        <v>( - ) DISPÊNDIOS E  DESPESAS INDEDUTÍVEIS</v>
      </c>
      <c r="W6264" s="3" t="str">
        <f>LEFT(Base_Periodo1[[#This Row],[CLASS]],3)</f>
        <v>3.1</v>
      </c>
    </row>
    <row r="6265" spans="1:23" hidden="1">
      <c r="A6265" s="3" t="str">
        <f t="shared" si="97"/>
        <v>Período 1</v>
      </c>
      <c r="B6265">
        <v>6242</v>
      </c>
      <c r="C6265" t="s">
        <v>3931</v>
      </c>
      <c r="D6265" t="s">
        <v>3932</v>
      </c>
      <c r="E6265" s="3" t="str">
        <f>IF(LEN(Base_Periodo1[[#This Row],[CLASS]])&gt;=7,LEFT(Base_Periodo1[[#This Row],[CLASS]],7),"")</f>
        <v>3.1.1.3</v>
      </c>
      <c r="F6265" s="3" t="e">
        <f>VLOOKUP(Base_Periodo1[[#This Row],[Aux]],Base_Contas_Balanco[#All],2,FALSE)</f>
        <v>#N/A</v>
      </c>
      <c r="G6265" s="1">
        <v>42880</v>
      </c>
      <c r="H6265" s="225">
        <v>111730.90000000008</v>
      </c>
      <c r="I6265" s="225">
        <v>300</v>
      </c>
      <c r="J6265" s="225">
        <v>0</v>
      </c>
      <c r="K6265" s="225">
        <v>112030.90000000008</v>
      </c>
      <c r="L62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-112030.9</v>
      </c>
      <c r="M6265" s="225">
        <f>ROUND(IF(AND(Base_Periodo1[[#This Row],[Tipo_Linha]]="-",Base_Periodo1[[#This Row],[TIPOSALDO]]="D"),Base_Periodo1[[#This Row],[SALDO_ATUAL]]*-1,Base_Periodo1[[#This Row],[SALDO_ATUAL]]),4)</f>
        <v>-112030.9</v>
      </c>
      <c r="N6265" t="s">
        <v>116</v>
      </c>
      <c r="O6265" t="s">
        <v>397</v>
      </c>
      <c r="P6265" t="s">
        <v>397</v>
      </c>
      <c r="Q6265">
        <v>9</v>
      </c>
      <c r="R6265" s="282">
        <f>Base_Periodo1[[#This Row],[CREDITOS]]-Base_Periodo1[[#This Row],[DEBITOS]]</f>
        <v>-300</v>
      </c>
      <c r="S6265" s="3" t="str">
        <f>IF(ISERROR(VLOOKUP(Base_Periodo1[[#This Row],[CONTA]],BaseContasDRE[#All],4,FALSE)),"Fora do DRE",VLOOKUP(Base_Periodo1[[#This Row],[CONTA]],BaseContasDRE[#All],4,FALSE))</f>
        <v>-</v>
      </c>
      <c r="T6265" s="3">
        <f>IF(ISERROR(VLOOKUP(Base_Periodo1[[#This Row],[CONTA]],BaseContasDRE[#All],5,FALSE)),"Fora do DRE",VLOOKUP(Base_Periodo1[[#This Row],[CONTA]],BaseContasDRE[#All],6,FALSE))</f>
        <v>5</v>
      </c>
      <c r="U6265" s="3" t="str">
        <f>IF(ISERROR(VLOOKUP(Base_Periodo1[[#This Row],[CONTA]],BaseContasDRE[#All],7,FALSE)),"Fora do DRE",VLOOKUP(Base_Periodo1[[#This Row],[CONTA]],BaseContasDRE[#All],7,FALSE))</f>
        <v>DISPÊNDIOS E  DESPESAS INDEDUTÍVEIS</v>
      </c>
      <c r="V6265" s="3" t="str">
        <f>IF(Base_Periodo1[[#This Row],[Tipo_Linha]]="Fora do DRE","Fora do DRE","( "&amp;Base_Periodo1[[#This Row],[Tipo_Linha]]&amp;" ) "&amp;Base_Periodo1[[#This Row],[Filtro]])</f>
        <v>( - ) DISPÊNDIOS E  DESPESAS INDEDUTÍVEIS</v>
      </c>
      <c r="W6265" s="3" t="str">
        <f>LEFT(Base_Periodo1[[#This Row],[CLASS]],3)</f>
        <v>3.1</v>
      </c>
    </row>
    <row r="6266" spans="1:23" hidden="1">
      <c r="A6266" s="3" t="str">
        <f t="shared" si="97"/>
        <v>Período 1</v>
      </c>
      <c r="B6266">
        <v>56044</v>
      </c>
      <c r="C6266" t="s">
        <v>5767</v>
      </c>
      <c r="D6266" t="s">
        <v>7197</v>
      </c>
      <c r="E6266" s="3" t="str">
        <f>IF(LEN(Base_Periodo1[[#This Row],[CLASS]])&gt;=7,LEFT(Base_Periodo1[[#This Row],[CLASS]],7),"")</f>
        <v>3.1.1.3</v>
      </c>
      <c r="F6266" s="3" t="e">
        <f>VLOOKUP(Base_Periodo1[[#This Row],[Aux]],Base_Contas_Balanco[#All],2,FALSE)</f>
        <v>#N/A</v>
      </c>
      <c r="G6266" s="1">
        <v>42886</v>
      </c>
      <c r="H6266" s="225">
        <v>43089.89</v>
      </c>
      <c r="I6266" s="225">
        <v>21105</v>
      </c>
      <c r="J6266" s="225">
        <v>0</v>
      </c>
      <c r="K6266" s="225">
        <v>64194.89</v>
      </c>
      <c r="L62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-64194.89</v>
      </c>
      <c r="M6266" s="225">
        <f>ROUND(IF(AND(Base_Periodo1[[#This Row],[Tipo_Linha]]="-",Base_Periodo1[[#This Row],[TIPOSALDO]]="D"),Base_Periodo1[[#This Row],[SALDO_ATUAL]]*-1,Base_Periodo1[[#This Row],[SALDO_ATUAL]]),4)</f>
        <v>-64194.89</v>
      </c>
      <c r="N6266" t="s">
        <v>116</v>
      </c>
      <c r="O6266" t="s">
        <v>397</v>
      </c>
      <c r="P6266" t="s">
        <v>397</v>
      </c>
      <c r="Q6266">
        <v>9</v>
      </c>
      <c r="R6266" s="282">
        <f>Base_Periodo1[[#This Row],[CREDITOS]]-Base_Periodo1[[#This Row],[DEBITOS]]</f>
        <v>-21105</v>
      </c>
      <c r="S6266" s="3" t="str">
        <f>IF(ISERROR(VLOOKUP(Base_Periodo1[[#This Row],[CONTA]],BaseContasDRE[#All],4,FALSE)),"Fora do DRE",VLOOKUP(Base_Periodo1[[#This Row],[CONTA]],BaseContasDRE[#All],4,FALSE))</f>
        <v>-</v>
      </c>
      <c r="T6266" s="3">
        <f>IF(ISERROR(VLOOKUP(Base_Periodo1[[#This Row],[CONTA]],BaseContasDRE[#All],5,FALSE)),"Fora do DRE",VLOOKUP(Base_Periodo1[[#This Row],[CONTA]],BaseContasDRE[#All],6,FALSE))</f>
        <v>5</v>
      </c>
      <c r="U6266" s="3" t="str">
        <f>IF(ISERROR(VLOOKUP(Base_Periodo1[[#This Row],[CONTA]],BaseContasDRE[#All],7,FALSE)),"Fora do DRE",VLOOKUP(Base_Periodo1[[#This Row],[CONTA]],BaseContasDRE[#All],7,FALSE))</f>
        <v>DISPÊNDIOS E  DESPESAS INDEDUTÍVEIS</v>
      </c>
      <c r="V6266" s="3" t="str">
        <f>IF(Base_Periodo1[[#This Row],[Tipo_Linha]]="Fora do DRE","Fora do DRE","( "&amp;Base_Periodo1[[#This Row],[Tipo_Linha]]&amp;" ) "&amp;Base_Periodo1[[#This Row],[Filtro]])</f>
        <v>( - ) DISPÊNDIOS E  DESPESAS INDEDUTÍVEIS</v>
      </c>
      <c r="W6266" s="3" t="str">
        <f>LEFT(Base_Periodo1[[#This Row],[CLASS]],3)</f>
        <v>3.1</v>
      </c>
    </row>
    <row r="6267" spans="1:23" hidden="1">
      <c r="A6267" s="3" t="str">
        <f t="shared" si="97"/>
        <v>Período 1</v>
      </c>
      <c r="B6267">
        <v>6243</v>
      </c>
      <c r="C6267" t="s">
        <v>5816</v>
      </c>
      <c r="D6267" t="s">
        <v>5812</v>
      </c>
      <c r="E6267" s="3" t="str">
        <f>IF(LEN(Base_Periodo1[[#This Row],[CLASS]])&gt;=7,LEFT(Base_Periodo1[[#This Row],[CLASS]],7),"")</f>
        <v>3.1.1.3</v>
      </c>
      <c r="F6267" s="3" t="e">
        <f>VLOOKUP(Base_Periodo1[[#This Row],[Aux]],Base_Contas_Balanco[#All],2,FALSE)</f>
        <v>#N/A</v>
      </c>
      <c r="G6267" s="1">
        <v>42886</v>
      </c>
      <c r="H6267" s="225">
        <v>12102.619999999995</v>
      </c>
      <c r="I6267" s="225">
        <v>12102.62</v>
      </c>
      <c r="J6267" s="225">
        <v>17576.14</v>
      </c>
      <c r="K6267" s="225">
        <v>17576.139999999992</v>
      </c>
      <c r="L62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17576.14</v>
      </c>
      <c r="M6267" s="225">
        <f>ROUND(IF(AND(Base_Periodo1[[#This Row],[Tipo_Linha]]="-",Base_Periodo1[[#This Row],[TIPOSALDO]]="D"),Base_Periodo1[[#This Row],[SALDO_ATUAL]]*-1,Base_Periodo1[[#This Row],[SALDO_ATUAL]]),4)</f>
        <v>17576.14</v>
      </c>
      <c r="N6267" t="s">
        <v>116</v>
      </c>
      <c r="O6267" t="s">
        <v>459</v>
      </c>
      <c r="P6267" t="s">
        <v>459</v>
      </c>
      <c r="Q6267">
        <v>9</v>
      </c>
      <c r="R6267" s="282">
        <f>Base_Periodo1[[#This Row],[CREDITOS]]-Base_Periodo1[[#This Row],[DEBITOS]]</f>
        <v>5473.5199999999986</v>
      </c>
      <c r="S6267" s="3" t="str">
        <f>IF(ISERROR(VLOOKUP(Base_Periodo1[[#This Row],[CONTA]],BaseContasDRE[#All],4,FALSE)),"Fora do DRE",VLOOKUP(Base_Periodo1[[#This Row],[CONTA]],BaseContasDRE[#All],4,FALSE))</f>
        <v>-</v>
      </c>
      <c r="T6267" s="3">
        <f>IF(ISERROR(VLOOKUP(Base_Periodo1[[#This Row],[CONTA]],BaseContasDRE[#All],5,FALSE)),"Fora do DRE",VLOOKUP(Base_Periodo1[[#This Row],[CONTA]],BaseContasDRE[#All],6,FALSE))</f>
        <v>5</v>
      </c>
      <c r="U6267" s="3" t="str">
        <f>IF(ISERROR(VLOOKUP(Base_Periodo1[[#This Row],[CONTA]],BaseContasDRE[#All],7,FALSE)),"Fora do DRE",VLOOKUP(Base_Periodo1[[#This Row],[CONTA]],BaseContasDRE[#All],7,FALSE))</f>
        <v>DISPÊNDIOS E  DESPESAS INDEDUTÍVEIS</v>
      </c>
      <c r="V6267" s="3" t="str">
        <f>IF(Base_Periodo1[[#This Row],[Tipo_Linha]]="Fora do DRE","Fora do DRE","( "&amp;Base_Periodo1[[#This Row],[Tipo_Linha]]&amp;" ) "&amp;Base_Periodo1[[#This Row],[Filtro]])</f>
        <v>( - ) DISPÊNDIOS E  DESPESAS INDEDUTÍVEIS</v>
      </c>
      <c r="W6267" s="3" t="str">
        <f>LEFT(Base_Periodo1[[#This Row],[CLASS]],3)</f>
        <v>3.1</v>
      </c>
    </row>
    <row r="6268" spans="1:23" hidden="1">
      <c r="A6268" s="3" t="str">
        <f t="shared" si="97"/>
        <v>Período 1</v>
      </c>
      <c r="B6268">
        <v>6244</v>
      </c>
      <c r="C6268" t="s">
        <v>3933</v>
      </c>
      <c r="D6268" t="s">
        <v>3934</v>
      </c>
      <c r="E6268" s="3" t="str">
        <f>IF(LEN(Base_Periodo1[[#This Row],[CLASS]])&gt;=7,LEFT(Base_Periodo1[[#This Row],[CLASS]],7),"")</f>
        <v>3.1.1.3</v>
      </c>
      <c r="F6268" s="3" t="e">
        <f>VLOOKUP(Base_Periodo1[[#This Row],[Aux]],Base_Contas_Balanco[#All],2,FALSE)</f>
        <v>#N/A</v>
      </c>
      <c r="G6268" s="1"/>
      <c r="H6268" s="225">
        <v>454142.79999999894</v>
      </c>
      <c r="I6268" s="225">
        <v>65599.299999999988</v>
      </c>
      <c r="J6268" s="225">
        <v>43153.87000000001</v>
      </c>
      <c r="K6268" s="225">
        <v>476588.22999999893</v>
      </c>
      <c r="L62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-476588.23</v>
      </c>
      <c r="M6268" s="225">
        <f>ROUND(IF(AND(Base_Periodo1[[#This Row],[Tipo_Linha]]="-",Base_Periodo1[[#This Row],[TIPOSALDO]]="D"),Base_Periodo1[[#This Row],[SALDO_ATUAL]]*-1,Base_Periodo1[[#This Row],[SALDO_ATUAL]]),4)</f>
        <v>476588.23</v>
      </c>
      <c r="N6268" t="s">
        <v>396</v>
      </c>
      <c r="O6268" t="s">
        <v>397</v>
      </c>
      <c r="P6268" t="s">
        <v>397</v>
      </c>
      <c r="Q6268">
        <v>8</v>
      </c>
      <c r="R6268" s="282">
        <f>Base_Periodo1[[#This Row],[CREDITOS]]-Base_Periodo1[[#This Row],[DEBITOS]]</f>
        <v>-22445.429999999978</v>
      </c>
      <c r="S6268" s="3" t="str">
        <f>IF(ISERROR(VLOOKUP(Base_Periodo1[[#This Row],[CONTA]],BaseContasDRE[#All],4,FALSE)),"Fora do DRE",VLOOKUP(Base_Periodo1[[#This Row],[CONTA]],BaseContasDRE[#All],4,FALSE))</f>
        <v>Fora do DRE</v>
      </c>
      <c r="T6268" s="3" t="str">
        <f>IF(ISERROR(VLOOKUP(Base_Periodo1[[#This Row],[CONTA]],BaseContasDRE[#All],5,FALSE)),"Fora do DRE",VLOOKUP(Base_Periodo1[[#This Row],[CONTA]],BaseContasDRE[#All],6,FALSE))</f>
        <v>Fora do DRE</v>
      </c>
      <c r="U6268" s="3" t="str">
        <f>IF(ISERROR(VLOOKUP(Base_Periodo1[[#This Row],[CONTA]],BaseContasDRE[#All],7,FALSE)),"Fora do DRE",VLOOKUP(Base_Periodo1[[#This Row],[CONTA]],BaseContasDRE[#All],7,FALSE))</f>
        <v>Fora do DRE</v>
      </c>
      <c r="V6268" s="3" t="str">
        <f>IF(Base_Periodo1[[#This Row],[Tipo_Linha]]="Fora do DRE","Fora do DRE","( "&amp;Base_Periodo1[[#This Row],[Tipo_Linha]]&amp;" ) "&amp;Base_Periodo1[[#This Row],[Filtro]])</f>
        <v>Fora do DRE</v>
      </c>
      <c r="W6268" s="3" t="str">
        <f>LEFT(Base_Periodo1[[#This Row],[CLASS]],3)</f>
        <v>3.1</v>
      </c>
    </row>
    <row r="6269" spans="1:23" hidden="1">
      <c r="A6269" s="3" t="str">
        <f t="shared" si="97"/>
        <v>Período 1</v>
      </c>
      <c r="B6269">
        <v>6245</v>
      </c>
      <c r="C6269" t="s">
        <v>3935</v>
      </c>
      <c r="D6269" t="s">
        <v>3936</v>
      </c>
      <c r="E6269" s="3" t="str">
        <f>IF(LEN(Base_Periodo1[[#This Row],[CLASS]])&gt;=7,LEFT(Base_Periodo1[[#This Row],[CLASS]],7),"")</f>
        <v>3.1.1.3</v>
      </c>
      <c r="F6269" s="3" t="e">
        <f>VLOOKUP(Base_Periodo1[[#This Row],[Aux]],Base_Contas_Balanco[#All],2,FALSE)</f>
        <v>#N/A</v>
      </c>
      <c r="G6269" s="1">
        <v>42884</v>
      </c>
      <c r="H6269" s="225">
        <v>1308.9800000000141</v>
      </c>
      <c r="I6269" s="225">
        <v>381.32</v>
      </c>
      <c r="J6269" s="225">
        <v>0</v>
      </c>
      <c r="K6269" s="225">
        <v>1690.3000000000141</v>
      </c>
      <c r="L62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-1690.3</v>
      </c>
      <c r="M6269" s="225">
        <f>ROUND(IF(AND(Base_Periodo1[[#This Row],[Tipo_Linha]]="-",Base_Periodo1[[#This Row],[TIPOSALDO]]="D"),Base_Periodo1[[#This Row],[SALDO_ATUAL]]*-1,Base_Periodo1[[#This Row],[SALDO_ATUAL]]),4)</f>
        <v>-1690.3</v>
      </c>
      <c r="N6269" t="s">
        <v>116</v>
      </c>
      <c r="O6269" t="s">
        <v>397</v>
      </c>
      <c r="P6269" t="s">
        <v>397</v>
      </c>
      <c r="Q6269">
        <v>9</v>
      </c>
      <c r="R6269" s="282">
        <f>Base_Periodo1[[#This Row],[CREDITOS]]-Base_Periodo1[[#This Row],[DEBITOS]]</f>
        <v>-381.32</v>
      </c>
      <c r="S6269" s="3" t="str">
        <f>IF(ISERROR(VLOOKUP(Base_Periodo1[[#This Row],[CONTA]],BaseContasDRE[#All],4,FALSE)),"Fora do DRE",VLOOKUP(Base_Periodo1[[#This Row],[CONTA]],BaseContasDRE[#All],4,FALSE))</f>
        <v>-</v>
      </c>
      <c r="T6269" s="3">
        <f>IF(ISERROR(VLOOKUP(Base_Periodo1[[#This Row],[CONTA]],BaseContasDRE[#All],5,FALSE)),"Fora do DRE",VLOOKUP(Base_Periodo1[[#This Row],[CONTA]],BaseContasDRE[#All],6,FALSE))</f>
        <v>5</v>
      </c>
      <c r="U6269" s="3" t="str">
        <f>IF(ISERROR(VLOOKUP(Base_Periodo1[[#This Row],[CONTA]],BaseContasDRE[#All],7,FALSE)),"Fora do DRE",VLOOKUP(Base_Periodo1[[#This Row],[CONTA]],BaseContasDRE[#All],7,FALSE))</f>
        <v>DISPÊNDIOS E  DESPESAS C/ RATES</v>
      </c>
      <c r="V6269" s="3" t="str">
        <f>IF(Base_Periodo1[[#This Row],[Tipo_Linha]]="Fora do DRE","Fora do DRE","( "&amp;Base_Periodo1[[#This Row],[Tipo_Linha]]&amp;" ) "&amp;Base_Periodo1[[#This Row],[Filtro]])</f>
        <v>( - ) DISPÊNDIOS E  DESPESAS C/ RATES</v>
      </c>
      <c r="W6269" s="3" t="str">
        <f>LEFT(Base_Periodo1[[#This Row],[CLASS]],3)</f>
        <v>3.1</v>
      </c>
    </row>
    <row r="6270" spans="1:23" hidden="1">
      <c r="A6270" s="3" t="str">
        <f t="shared" si="97"/>
        <v>Período 1</v>
      </c>
      <c r="B6270">
        <v>6246</v>
      </c>
      <c r="C6270" t="s">
        <v>4636</v>
      </c>
      <c r="D6270" t="s">
        <v>4637</v>
      </c>
      <c r="E6270" s="3" t="str">
        <f>IF(LEN(Base_Periodo1[[#This Row],[CLASS]])&gt;=7,LEFT(Base_Periodo1[[#This Row],[CLASS]],7),"")</f>
        <v>3.1.1.3</v>
      </c>
      <c r="F6270" s="3" t="e">
        <f>VLOOKUP(Base_Periodo1[[#This Row],[Aux]],Base_Contas_Balanco[#All],2,FALSE)</f>
        <v>#N/A</v>
      </c>
      <c r="G6270" s="1">
        <v>42886</v>
      </c>
      <c r="H6270" s="225">
        <v>1491.480000000025</v>
      </c>
      <c r="I6270" s="225">
        <v>3500</v>
      </c>
      <c r="J6270" s="225">
        <v>2889.35</v>
      </c>
      <c r="K6270" s="225">
        <v>2102.1300000000251</v>
      </c>
      <c r="L62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-2102.13</v>
      </c>
      <c r="M6270" s="225">
        <f>ROUND(IF(AND(Base_Periodo1[[#This Row],[Tipo_Linha]]="-",Base_Periodo1[[#This Row],[TIPOSALDO]]="D"),Base_Periodo1[[#This Row],[SALDO_ATUAL]]*-1,Base_Periodo1[[#This Row],[SALDO_ATUAL]]),4)</f>
        <v>-2102.13</v>
      </c>
      <c r="N6270" t="s">
        <v>116</v>
      </c>
      <c r="O6270" t="s">
        <v>397</v>
      </c>
      <c r="P6270" t="s">
        <v>397</v>
      </c>
      <c r="Q6270">
        <v>9</v>
      </c>
      <c r="R6270" s="282">
        <f>Base_Periodo1[[#This Row],[CREDITOS]]-Base_Periodo1[[#This Row],[DEBITOS]]</f>
        <v>-610.65000000000009</v>
      </c>
      <c r="S6270" s="3" t="str">
        <f>IF(ISERROR(VLOOKUP(Base_Periodo1[[#This Row],[CONTA]],BaseContasDRE[#All],4,FALSE)),"Fora do DRE",VLOOKUP(Base_Periodo1[[#This Row],[CONTA]],BaseContasDRE[#All],4,FALSE))</f>
        <v>-</v>
      </c>
      <c r="T6270" s="3">
        <f>IF(ISERROR(VLOOKUP(Base_Periodo1[[#This Row],[CONTA]],BaseContasDRE[#All],5,FALSE)),"Fora do DRE",VLOOKUP(Base_Periodo1[[#This Row],[CONTA]],BaseContasDRE[#All],6,FALSE))</f>
        <v>5</v>
      </c>
      <c r="U6270" s="3" t="str">
        <f>IF(ISERROR(VLOOKUP(Base_Periodo1[[#This Row],[CONTA]],BaseContasDRE[#All],7,FALSE)),"Fora do DRE",VLOOKUP(Base_Periodo1[[#This Row],[CONTA]],BaseContasDRE[#All],7,FALSE))</f>
        <v>DISPÊNDIOS E  DESPESAS C/ RATES</v>
      </c>
      <c r="V6270" s="3" t="str">
        <f>IF(Base_Periodo1[[#This Row],[Tipo_Linha]]="Fora do DRE","Fora do DRE","( "&amp;Base_Periodo1[[#This Row],[Tipo_Linha]]&amp;" ) "&amp;Base_Periodo1[[#This Row],[Filtro]])</f>
        <v>( - ) DISPÊNDIOS E  DESPESAS C/ RATES</v>
      </c>
      <c r="W6270" s="3" t="str">
        <f>LEFT(Base_Periodo1[[#This Row],[CLASS]],3)</f>
        <v>3.1</v>
      </c>
    </row>
    <row r="6271" spans="1:23" hidden="1">
      <c r="A6271" s="3" t="str">
        <f t="shared" si="97"/>
        <v>Período 1</v>
      </c>
      <c r="B6271">
        <v>6248</v>
      </c>
      <c r="C6271" t="s">
        <v>3937</v>
      </c>
      <c r="D6271" t="s">
        <v>3938</v>
      </c>
      <c r="E6271" s="3" t="str">
        <f>IF(LEN(Base_Periodo1[[#This Row],[CLASS]])&gt;=7,LEFT(Base_Periodo1[[#This Row],[CLASS]],7),"")</f>
        <v>3.1.1.3</v>
      </c>
      <c r="F6271" s="3" t="e">
        <f>VLOOKUP(Base_Periodo1[[#This Row],[Aux]],Base_Contas_Balanco[#All],2,FALSE)</f>
        <v>#N/A</v>
      </c>
      <c r="G6271" s="1">
        <v>42886</v>
      </c>
      <c r="H6271" s="225">
        <v>62301.999999999767</v>
      </c>
      <c r="I6271" s="225">
        <v>23050.510000000002</v>
      </c>
      <c r="J6271" s="225">
        <v>4941</v>
      </c>
      <c r="K6271" s="225">
        <v>80411.509999999776</v>
      </c>
      <c r="L62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-80411.509999999995</v>
      </c>
      <c r="M6271" s="225">
        <f>ROUND(IF(AND(Base_Periodo1[[#This Row],[Tipo_Linha]]="-",Base_Periodo1[[#This Row],[TIPOSALDO]]="D"),Base_Periodo1[[#This Row],[SALDO_ATUAL]]*-1,Base_Periodo1[[#This Row],[SALDO_ATUAL]]),4)</f>
        <v>-80411.509999999995</v>
      </c>
      <c r="N6271" t="s">
        <v>116</v>
      </c>
      <c r="O6271" t="s">
        <v>397</v>
      </c>
      <c r="P6271" t="s">
        <v>397</v>
      </c>
      <c r="Q6271">
        <v>9</v>
      </c>
      <c r="R6271" s="282">
        <f>Base_Periodo1[[#This Row],[CREDITOS]]-Base_Periodo1[[#This Row],[DEBITOS]]</f>
        <v>-18109.510000000002</v>
      </c>
      <c r="S6271" s="3" t="str">
        <f>IF(ISERROR(VLOOKUP(Base_Periodo1[[#This Row],[CONTA]],BaseContasDRE[#All],4,FALSE)),"Fora do DRE",VLOOKUP(Base_Periodo1[[#This Row],[CONTA]],BaseContasDRE[#All],4,FALSE))</f>
        <v>-</v>
      </c>
      <c r="T6271" s="3">
        <f>IF(ISERROR(VLOOKUP(Base_Periodo1[[#This Row],[CONTA]],BaseContasDRE[#All],5,FALSE)),"Fora do DRE",VLOOKUP(Base_Periodo1[[#This Row],[CONTA]],BaseContasDRE[#All],6,FALSE))</f>
        <v>5</v>
      </c>
      <c r="U6271" s="3" t="str">
        <f>IF(ISERROR(VLOOKUP(Base_Periodo1[[#This Row],[CONTA]],BaseContasDRE[#All],7,FALSE)),"Fora do DRE",VLOOKUP(Base_Periodo1[[#This Row],[CONTA]],BaseContasDRE[#All],7,FALSE))</f>
        <v>DISPÊNDIOS E  DESPESAS C/ RATES</v>
      </c>
      <c r="V6271" s="3" t="str">
        <f>IF(Base_Periodo1[[#This Row],[Tipo_Linha]]="Fora do DRE","Fora do DRE","( "&amp;Base_Periodo1[[#This Row],[Tipo_Linha]]&amp;" ) "&amp;Base_Periodo1[[#This Row],[Filtro]])</f>
        <v>( - ) DISPÊNDIOS E  DESPESAS C/ RATES</v>
      </c>
      <c r="W6271" s="3" t="str">
        <f>LEFT(Base_Periodo1[[#This Row],[CLASS]],3)</f>
        <v>3.1</v>
      </c>
    </row>
    <row r="6272" spans="1:23" hidden="1">
      <c r="A6272" s="3" t="str">
        <f t="shared" si="97"/>
        <v>Período 1</v>
      </c>
      <c r="B6272">
        <v>23214</v>
      </c>
      <c r="C6272" t="s">
        <v>6628</v>
      </c>
      <c r="D6272" t="s">
        <v>6629</v>
      </c>
      <c r="E6272" s="3" t="str">
        <f>IF(LEN(Base_Periodo1[[#This Row],[CLASS]])&gt;=7,LEFT(Base_Periodo1[[#This Row],[CLASS]],7),"")</f>
        <v>3.1.1.3</v>
      </c>
      <c r="F6272" s="3" t="e">
        <f>VLOOKUP(Base_Periodo1[[#This Row],[Aux]],Base_Contas_Balanco[#All],2,FALSE)</f>
        <v>#N/A</v>
      </c>
      <c r="G6272" s="1">
        <v>42881</v>
      </c>
      <c r="H6272" s="225">
        <v>17229.5</v>
      </c>
      <c r="I6272" s="225">
        <v>1800</v>
      </c>
      <c r="J6272" s="225">
        <v>0</v>
      </c>
      <c r="K6272" s="225">
        <v>19029.5</v>
      </c>
      <c r="L62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-19029.5</v>
      </c>
      <c r="M6272" s="225">
        <f>ROUND(IF(AND(Base_Periodo1[[#This Row],[Tipo_Linha]]="-",Base_Periodo1[[#This Row],[TIPOSALDO]]="D"),Base_Periodo1[[#This Row],[SALDO_ATUAL]]*-1,Base_Periodo1[[#This Row],[SALDO_ATUAL]]),4)</f>
        <v>-19029.5</v>
      </c>
      <c r="N6272" t="s">
        <v>116</v>
      </c>
      <c r="O6272" t="s">
        <v>397</v>
      </c>
      <c r="P6272" t="s">
        <v>397</v>
      </c>
      <c r="Q6272">
        <v>9</v>
      </c>
      <c r="R6272" s="282">
        <f>Base_Periodo1[[#This Row],[CREDITOS]]-Base_Periodo1[[#This Row],[DEBITOS]]</f>
        <v>-1800</v>
      </c>
      <c r="S6272" s="3" t="str">
        <f>IF(ISERROR(VLOOKUP(Base_Periodo1[[#This Row],[CONTA]],BaseContasDRE[#All],4,FALSE)),"Fora do DRE",VLOOKUP(Base_Periodo1[[#This Row],[CONTA]],BaseContasDRE[#All],4,FALSE))</f>
        <v>-</v>
      </c>
      <c r="T6272" s="3">
        <f>IF(ISERROR(VLOOKUP(Base_Periodo1[[#This Row],[CONTA]],BaseContasDRE[#All],5,FALSE)),"Fora do DRE",VLOOKUP(Base_Periodo1[[#This Row],[CONTA]],BaseContasDRE[#All],6,FALSE))</f>
        <v>5</v>
      </c>
      <c r="U6272" s="3" t="str">
        <f>IF(ISERROR(VLOOKUP(Base_Periodo1[[#This Row],[CONTA]],BaseContasDRE[#All],7,FALSE)),"Fora do DRE",VLOOKUP(Base_Periodo1[[#This Row],[CONTA]],BaseContasDRE[#All],7,FALSE))</f>
        <v>DISPÊNDIOS E  DESPESAS C/ RATES</v>
      </c>
      <c r="V6272" s="3" t="str">
        <f>IF(Base_Periodo1[[#This Row],[Tipo_Linha]]="Fora do DRE","Fora do DRE","( "&amp;Base_Periodo1[[#This Row],[Tipo_Linha]]&amp;" ) "&amp;Base_Periodo1[[#This Row],[Filtro]])</f>
        <v>( - ) DISPÊNDIOS E  DESPESAS C/ RATES</v>
      </c>
      <c r="W6272" s="3" t="str">
        <f>LEFT(Base_Periodo1[[#This Row],[CLASS]],3)</f>
        <v>3.1</v>
      </c>
    </row>
    <row r="6273" spans="1:23" hidden="1">
      <c r="A6273" s="3" t="str">
        <f t="shared" si="97"/>
        <v>Período 1</v>
      </c>
      <c r="B6273">
        <v>6249</v>
      </c>
      <c r="C6273" t="s">
        <v>3939</v>
      </c>
      <c r="D6273" t="s">
        <v>4809</v>
      </c>
      <c r="E6273" s="3" t="str">
        <f>IF(LEN(Base_Periodo1[[#This Row],[CLASS]])&gt;=7,LEFT(Base_Periodo1[[#This Row],[CLASS]],7),"")</f>
        <v>3.1.1.3</v>
      </c>
      <c r="F6273" s="3" t="e">
        <f>VLOOKUP(Base_Periodo1[[#This Row],[Aux]],Base_Contas_Balanco[#All],2,FALSE)</f>
        <v>#N/A</v>
      </c>
      <c r="G6273" s="1">
        <v>42886</v>
      </c>
      <c r="H6273" s="225">
        <v>188590.34000000032</v>
      </c>
      <c r="I6273" s="225">
        <v>36867.469999999994</v>
      </c>
      <c r="J6273" s="225">
        <v>2093.65</v>
      </c>
      <c r="K6273" s="225">
        <v>223364.16000000032</v>
      </c>
      <c r="L62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-223364.16</v>
      </c>
      <c r="M6273" s="225">
        <f>ROUND(IF(AND(Base_Periodo1[[#This Row],[Tipo_Linha]]="-",Base_Periodo1[[#This Row],[TIPOSALDO]]="D"),Base_Periodo1[[#This Row],[SALDO_ATUAL]]*-1,Base_Periodo1[[#This Row],[SALDO_ATUAL]]),4)</f>
        <v>-223364.16</v>
      </c>
      <c r="N6273" t="s">
        <v>116</v>
      </c>
      <c r="O6273" t="s">
        <v>397</v>
      </c>
      <c r="P6273" t="s">
        <v>397</v>
      </c>
      <c r="Q6273">
        <v>9</v>
      </c>
      <c r="R6273" s="282">
        <f>Base_Periodo1[[#This Row],[CREDITOS]]-Base_Periodo1[[#This Row],[DEBITOS]]</f>
        <v>-34773.819999999992</v>
      </c>
      <c r="S6273" s="3" t="str">
        <f>IF(ISERROR(VLOOKUP(Base_Periodo1[[#This Row],[CONTA]],BaseContasDRE[#All],4,FALSE)),"Fora do DRE",VLOOKUP(Base_Periodo1[[#This Row],[CONTA]],BaseContasDRE[#All],4,FALSE))</f>
        <v>-</v>
      </c>
      <c r="T6273" s="3">
        <f>IF(ISERROR(VLOOKUP(Base_Periodo1[[#This Row],[CONTA]],BaseContasDRE[#All],5,FALSE)),"Fora do DRE",VLOOKUP(Base_Periodo1[[#This Row],[CONTA]],BaseContasDRE[#All],6,FALSE))</f>
        <v>5</v>
      </c>
      <c r="U6273" s="3" t="str">
        <f>IF(ISERROR(VLOOKUP(Base_Periodo1[[#This Row],[CONTA]],BaseContasDRE[#All],7,FALSE)),"Fora do DRE",VLOOKUP(Base_Periodo1[[#This Row],[CONTA]],BaseContasDRE[#All],7,FALSE))</f>
        <v>DISPÊNDIOS E  DESPESAS C/ RATES</v>
      </c>
      <c r="V6273" s="3" t="str">
        <f>IF(Base_Periodo1[[#This Row],[Tipo_Linha]]="Fora do DRE","Fora do DRE","( "&amp;Base_Periodo1[[#This Row],[Tipo_Linha]]&amp;" ) "&amp;Base_Periodo1[[#This Row],[Filtro]])</f>
        <v>( - ) DISPÊNDIOS E  DESPESAS C/ RATES</v>
      </c>
      <c r="W6273" s="3" t="str">
        <f>LEFT(Base_Periodo1[[#This Row],[CLASS]],3)</f>
        <v>3.1</v>
      </c>
    </row>
    <row r="6274" spans="1:23" hidden="1">
      <c r="A6274" s="3" t="str">
        <f t="shared" si="97"/>
        <v>Período 1</v>
      </c>
      <c r="B6274">
        <v>49755</v>
      </c>
      <c r="C6274" t="s">
        <v>4396</v>
      </c>
      <c r="D6274" t="s">
        <v>4397</v>
      </c>
      <c r="E6274" s="3" t="str">
        <f>IF(LEN(Base_Periodo1[[#This Row],[CLASS]])&gt;=7,LEFT(Base_Periodo1[[#This Row],[CLASS]],7),"")</f>
        <v>3.1.1.3</v>
      </c>
      <c r="F6274" s="3" t="e">
        <f>VLOOKUP(Base_Periodo1[[#This Row],[Aux]],Base_Contas_Balanco[#All],2,FALSE)</f>
        <v>#N/A</v>
      </c>
      <c r="G6274" s="1">
        <v>42886</v>
      </c>
      <c r="H6274" s="225">
        <v>183220.49999999953</v>
      </c>
      <c r="I6274" s="225">
        <v>0</v>
      </c>
      <c r="J6274" s="225">
        <v>33229.87000000001</v>
      </c>
      <c r="K6274" s="225">
        <v>149990.62999999954</v>
      </c>
      <c r="L62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-149990.63</v>
      </c>
      <c r="M6274" s="225">
        <f>ROUND(IF(AND(Base_Periodo1[[#This Row],[Tipo_Linha]]="-",Base_Periodo1[[#This Row],[TIPOSALDO]]="D"),Base_Periodo1[[#This Row],[SALDO_ATUAL]]*-1,Base_Periodo1[[#This Row],[SALDO_ATUAL]]),4)</f>
        <v>-149990.63</v>
      </c>
      <c r="N6274" t="s">
        <v>116</v>
      </c>
      <c r="O6274" t="s">
        <v>397</v>
      </c>
      <c r="P6274" t="s">
        <v>397</v>
      </c>
      <c r="Q6274">
        <v>9</v>
      </c>
      <c r="R6274" s="282">
        <f>Base_Periodo1[[#This Row],[CREDITOS]]-Base_Periodo1[[#This Row],[DEBITOS]]</f>
        <v>33229.87000000001</v>
      </c>
      <c r="S6274" s="3" t="str">
        <f>IF(ISERROR(VLOOKUP(Base_Periodo1[[#This Row],[CONTA]],BaseContasDRE[#All],4,FALSE)),"Fora do DRE",VLOOKUP(Base_Periodo1[[#This Row],[CONTA]],BaseContasDRE[#All],4,FALSE))</f>
        <v>-</v>
      </c>
      <c r="T6274" s="3">
        <f>IF(ISERROR(VLOOKUP(Base_Periodo1[[#This Row],[CONTA]],BaseContasDRE[#All],5,FALSE)),"Fora do DRE",VLOOKUP(Base_Periodo1[[#This Row],[CONTA]],BaseContasDRE[#All],6,FALSE))</f>
        <v>5</v>
      </c>
      <c r="U6274" s="3" t="str">
        <f>IF(ISERROR(VLOOKUP(Base_Periodo1[[#This Row],[CONTA]],BaseContasDRE[#All],7,FALSE)),"Fora do DRE",VLOOKUP(Base_Periodo1[[#This Row],[CONTA]],BaseContasDRE[#All],7,FALSE))</f>
        <v>DISPÊNDIOS E  DESPESAS C/ RATES</v>
      </c>
      <c r="V6274" s="3" t="str">
        <f>IF(Base_Periodo1[[#This Row],[Tipo_Linha]]="Fora do DRE","Fora do DRE","( "&amp;Base_Periodo1[[#This Row],[Tipo_Linha]]&amp;" ) "&amp;Base_Periodo1[[#This Row],[Filtro]])</f>
        <v>( - ) DISPÊNDIOS E  DESPESAS C/ RATES</v>
      </c>
      <c r="W6274" s="3" t="str">
        <f>LEFT(Base_Periodo1[[#This Row],[CLASS]],3)</f>
        <v>3.1</v>
      </c>
    </row>
    <row r="6275" spans="1:23" hidden="1">
      <c r="A6275" s="3" t="str">
        <f t="shared" si="97"/>
        <v>Período 1</v>
      </c>
      <c r="B6275">
        <v>6251</v>
      </c>
      <c r="C6275" t="s">
        <v>3940</v>
      </c>
      <c r="D6275" t="s">
        <v>3941</v>
      </c>
      <c r="E6275" s="3" t="str">
        <f>IF(LEN(Base_Periodo1[[#This Row],[CLASS]])&gt;=7,LEFT(Base_Periodo1[[#This Row],[CLASS]],7),"")</f>
        <v>3.1.1.5</v>
      </c>
      <c r="F6275" s="3" t="e">
        <f>VLOOKUP(Base_Periodo1[[#This Row],[Aux]],Base_Contas_Balanco[#All],2,FALSE)</f>
        <v>#N/A</v>
      </c>
      <c r="G6275" s="1"/>
      <c r="H6275" s="225">
        <v>5873793.7000001688</v>
      </c>
      <c r="I6275" s="225">
        <v>2742264.7800000003</v>
      </c>
      <c r="J6275" s="225">
        <v>1685617.9100000004</v>
      </c>
      <c r="K6275" s="225">
        <v>6930440.5700001679</v>
      </c>
      <c r="L62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-6930440.5700000003</v>
      </c>
      <c r="M6275" s="225">
        <f>ROUND(IF(AND(Base_Periodo1[[#This Row],[Tipo_Linha]]="-",Base_Periodo1[[#This Row],[TIPOSALDO]]="D"),Base_Periodo1[[#This Row],[SALDO_ATUAL]]*-1,Base_Periodo1[[#This Row],[SALDO_ATUAL]]),4)</f>
        <v>6930440.5700000003</v>
      </c>
      <c r="N6275" t="s">
        <v>396</v>
      </c>
      <c r="O6275" t="s">
        <v>397</v>
      </c>
      <c r="P6275" t="s">
        <v>397</v>
      </c>
      <c r="Q6275">
        <v>4</v>
      </c>
      <c r="R6275" s="282">
        <f>Base_Periodo1[[#This Row],[CREDITOS]]-Base_Periodo1[[#This Row],[DEBITOS]]</f>
        <v>-1056646.8699999999</v>
      </c>
      <c r="S6275" s="3" t="str">
        <f>IF(ISERROR(VLOOKUP(Base_Periodo1[[#This Row],[CONTA]],BaseContasDRE[#All],4,FALSE)),"Fora do DRE",VLOOKUP(Base_Periodo1[[#This Row],[CONTA]],BaseContasDRE[#All],4,FALSE))</f>
        <v>Fora do DRE</v>
      </c>
      <c r="T6275" s="3" t="str">
        <f>IF(ISERROR(VLOOKUP(Base_Periodo1[[#This Row],[CONTA]],BaseContasDRE[#All],5,FALSE)),"Fora do DRE",VLOOKUP(Base_Periodo1[[#This Row],[CONTA]],BaseContasDRE[#All],6,FALSE))</f>
        <v>Fora do DRE</v>
      </c>
      <c r="U6275" s="3" t="str">
        <f>IF(ISERROR(VLOOKUP(Base_Periodo1[[#This Row],[CONTA]],BaseContasDRE[#All],7,FALSE)),"Fora do DRE",VLOOKUP(Base_Periodo1[[#This Row],[CONTA]],BaseContasDRE[#All],7,FALSE))</f>
        <v>Fora do DRE</v>
      </c>
      <c r="V6275" s="3" t="str">
        <f>IF(Base_Periodo1[[#This Row],[Tipo_Linha]]="Fora do DRE","Fora do DRE","( "&amp;Base_Periodo1[[#This Row],[Tipo_Linha]]&amp;" ) "&amp;Base_Periodo1[[#This Row],[Filtro]])</f>
        <v>Fora do DRE</v>
      </c>
      <c r="W6275" s="3" t="str">
        <f>LEFT(Base_Periodo1[[#This Row],[CLASS]],3)</f>
        <v>3.1</v>
      </c>
    </row>
    <row r="6276" spans="1:23" hidden="1">
      <c r="A6276" s="3" t="str">
        <f t="shared" si="97"/>
        <v>Período 1</v>
      </c>
      <c r="B6276">
        <v>6252</v>
      </c>
      <c r="C6276" t="s">
        <v>3942</v>
      </c>
      <c r="D6276" t="s">
        <v>3943</v>
      </c>
      <c r="E6276" s="3" t="str">
        <f>IF(LEN(Base_Periodo1[[#This Row],[CLASS]])&gt;=7,LEFT(Base_Periodo1[[#This Row],[CLASS]],7),"")</f>
        <v>3.1.1.5</v>
      </c>
      <c r="F6276" s="3" t="e">
        <f>VLOOKUP(Base_Periodo1[[#This Row],[Aux]],Base_Contas_Balanco[#All],2,FALSE)</f>
        <v>#N/A</v>
      </c>
      <c r="G6276" s="1"/>
      <c r="H6276" s="225">
        <v>7104771.5300000235</v>
      </c>
      <c r="I6276" s="225">
        <v>2549693.3400000003</v>
      </c>
      <c r="J6276" s="225">
        <v>944702.04999999993</v>
      </c>
      <c r="K6276" s="225">
        <v>8709762.8200000226</v>
      </c>
      <c r="L62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-8709762.8200000003</v>
      </c>
      <c r="M6276" s="225">
        <f>ROUND(IF(AND(Base_Periodo1[[#This Row],[Tipo_Linha]]="-",Base_Periodo1[[#This Row],[TIPOSALDO]]="D"),Base_Periodo1[[#This Row],[SALDO_ATUAL]]*-1,Base_Periodo1[[#This Row],[SALDO_ATUAL]]),4)</f>
        <v>8709762.8200000003</v>
      </c>
      <c r="N6276" t="s">
        <v>396</v>
      </c>
      <c r="O6276" t="s">
        <v>397</v>
      </c>
      <c r="P6276" t="s">
        <v>397</v>
      </c>
      <c r="Q6276">
        <v>5</v>
      </c>
      <c r="R6276" s="282">
        <f>Base_Periodo1[[#This Row],[CREDITOS]]-Base_Periodo1[[#This Row],[DEBITOS]]</f>
        <v>-1604991.2900000005</v>
      </c>
      <c r="S6276" s="3" t="str">
        <f>IF(ISERROR(VLOOKUP(Base_Periodo1[[#This Row],[CONTA]],BaseContasDRE[#All],4,FALSE)),"Fora do DRE",VLOOKUP(Base_Periodo1[[#This Row],[CONTA]],BaseContasDRE[#All],4,FALSE))</f>
        <v>Fora do DRE</v>
      </c>
      <c r="T6276" s="3" t="str">
        <f>IF(ISERROR(VLOOKUP(Base_Periodo1[[#This Row],[CONTA]],BaseContasDRE[#All],5,FALSE)),"Fora do DRE",VLOOKUP(Base_Periodo1[[#This Row],[CONTA]],BaseContasDRE[#All],6,FALSE))</f>
        <v>Fora do DRE</v>
      </c>
      <c r="U6276" s="3" t="str">
        <f>IF(ISERROR(VLOOKUP(Base_Periodo1[[#This Row],[CONTA]],BaseContasDRE[#All],7,FALSE)),"Fora do DRE",VLOOKUP(Base_Periodo1[[#This Row],[CONTA]],BaseContasDRE[#All],7,FALSE))</f>
        <v>Fora do DRE</v>
      </c>
      <c r="V6276" s="3" t="str">
        <f>IF(Base_Periodo1[[#This Row],[Tipo_Linha]]="Fora do DRE","Fora do DRE","( "&amp;Base_Periodo1[[#This Row],[Tipo_Linha]]&amp;" ) "&amp;Base_Periodo1[[#This Row],[Filtro]])</f>
        <v>Fora do DRE</v>
      </c>
      <c r="W6276" s="3" t="str">
        <f>LEFT(Base_Periodo1[[#This Row],[CLASS]],3)</f>
        <v>3.1</v>
      </c>
    </row>
    <row r="6277" spans="1:23" hidden="1">
      <c r="A6277" s="3" t="str">
        <f t="shared" si="97"/>
        <v>Período 1</v>
      </c>
      <c r="B6277">
        <v>6253</v>
      </c>
      <c r="C6277" t="s">
        <v>3944</v>
      </c>
      <c r="D6277" t="s">
        <v>3943</v>
      </c>
      <c r="E6277" s="3" t="str">
        <f>IF(LEN(Base_Periodo1[[#This Row],[CLASS]])&gt;=7,LEFT(Base_Periodo1[[#This Row],[CLASS]],7),"")</f>
        <v>3.1.1.5</v>
      </c>
      <c r="F6277" s="3" t="e">
        <f>VLOOKUP(Base_Periodo1[[#This Row],[Aux]],Base_Contas_Balanco[#All],2,FALSE)</f>
        <v>#N/A</v>
      </c>
      <c r="G6277" s="1">
        <v>42886</v>
      </c>
      <c r="H6277" s="225">
        <v>140820.84000004921</v>
      </c>
      <c r="I6277" s="225">
        <v>137126.00000000012</v>
      </c>
      <c r="J6277" s="225">
        <v>794.52</v>
      </c>
      <c r="K6277" s="225">
        <v>277152.32000004931</v>
      </c>
      <c r="L62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-277152.32</v>
      </c>
      <c r="M6277" s="225">
        <f>ROUND(IF(AND(Base_Periodo1[[#This Row],[Tipo_Linha]]="-",Base_Periodo1[[#This Row],[TIPOSALDO]]="D"),Base_Periodo1[[#This Row],[SALDO_ATUAL]]*-1,Base_Periodo1[[#This Row],[SALDO_ATUAL]]),4)</f>
        <v>-277152.32</v>
      </c>
      <c r="N6277" t="s">
        <v>116</v>
      </c>
      <c r="O6277" t="s">
        <v>397</v>
      </c>
      <c r="P6277" t="s">
        <v>397</v>
      </c>
      <c r="Q6277">
        <v>6</v>
      </c>
      <c r="R6277" s="282">
        <f>Base_Periodo1[[#This Row],[CREDITOS]]-Base_Periodo1[[#This Row],[DEBITOS]]</f>
        <v>-136331.48000000013</v>
      </c>
      <c r="S6277" s="3" t="str">
        <f>IF(ISERROR(VLOOKUP(Base_Periodo1[[#This Row],[CONTA]],BaseContasDRE[#All],4,FALSE)),"Fora do DRE",VLOOKUP(Base_Periodo1[[#This Row],[CONTA]],BaseContasDRE[#All],4,FALSE))</f>
        <v>-</v>
      </c>
      <c r="T6277" s="3">
        <f>IF(ISERROR(VLOOKUP(Base_Periodo1[[#This Row],[CONTA]],BaseContasDRE[#All],5,FALSE)),"Fora do DRE",VLOOKUP(Base_Periodo1[[#This Row],[CONTA]],BaseContasDRE[#All],6,FALSE))</f>
        <v>6</v>
      </c>
      <c r="U6277" s="3" t="str">
        <f>IF(ISERROR(VLOOKUP(Base_Periodo1[[#This Row],[CONTA]],BaseContasDRE[#All],7,FALSE)),"Fora do DRE",VLOOKUP(Base_Periodo1[[#This Row],[CONTA]],BaseContasDRE[#All],7,FALSE))</f>
        <v>DISPÊNDIOS E  DESPESAS FINANCEIRAS</v>
      </c>
      <c r="V6277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277" s="3" t="str">
        <f>LEFT(Base_Periodo1[[#This Row],[CLASS]],3)</f>
        <v>3.1</v>
      </c>
    </row>
    <row r="6278" spans="1:23" hidden="1">
      <c r="A6278" s="3" t="str">
        <f t="shared" ref="A6278:A6341" si="98">"Período 1"</f>
        <v>Período 1</v>
      </c>
      <c r="B6278">
        <v>6254</v>
      </c>
      <c r="C6278" t="s">
        <v>3945</v>
      </c>
      <c r="D6278" t="s">
        <v>3946</v>
      </c>
      <c r="E6278" s="3" t="str">
        <f>IF(LEN(Base_Periodo1[[#This Row],[CLASS]])&gt;=7,LEFT(Base_Periodo1[[#This Row],[CLASS]],7),"")</f>
        <v>3.1.1.5</v>
      </c>
      <c r="F6278" s="3" t="e">
        <f>VLOOKUP(Base_Periodo1[[#This Row],[Aux]],Base_Contas_Balanco[#All],2,FALSE)</f>
        <v>#N/A</v>
      </c>
      <c r="G6278" s="1">
        <v>42884</v>
      </c>
      <c r="H6278" s="225">
        <v>34862.209999999497</v>
      </c>
      <c r="I6278" s="225">
        <v>6639.4100000000017</v>
      </c>
      <c r="J6278" s="225">
        <v>0</v>
      </c>
      <c r="K6278" s="225">
        <v>41501.619999999501</v>
      </c>
      <c r="L62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-41501.620000000003</v>
      </c>
      <c r="M6278" s="225">
        <f>ROUND(IF(AND(Base_Periodo1[[#This Row],[Tipo_Linha]]="-",Base_Periodo1[[#This Row],[TIPOSALDO]]="D"),Base_Periodo1[[#This Row],[SALDO_ATUAL]]*-1,Base_Periodo1[[#This Row],[SALDO_ATUAL]]),4)</f>
        <v>-41501.620000000003</v>
      </c>
      <c r="N6278" t="s">
        <v>116</v>
      </c>
      <c r="O6278" t="s">
        <v>397</v>
      </c>
      <c r="P6278" t="s">
        <v>397</v>
      </c>
      <c r="Q6278">
        <v>6</v>
      </c>
      <c r="R6278" s="282">
        <f>Base_Periodo1[[#This Row],[CREDITOS]]-Base_Periodo1[[#This Row],[DEBITOS]]</f>
        <v>-6639.4100000000017</v>
      </c>
      <c r="S6278" s="3" t="str">
        <f>IF(ISERROR(VLOOKUP(Base_Periodo1[[#This Row],[CONTA]],BaseContasDRE[#All],4,FALSE)),"Fora do DRE",VLOOKUP(Base_Periodo1[[#This Row],[CONTA]],BaseContasDRE[#All],4,FALSE))</f>
        <v>-</v>
      </c>
      <c r="T6278" s="3">
        <f>IF(ISERROR(VLOOKUP(Base_Periodo1[[#This Row],[CONTA]],BaseContasDRE[#All],5,FALSE)),"Fora do DRE",VLOOKUP(Base_Periodo1[[#This Row],[CONTA]],BaseContasDRE[#All],6,FALSE))</f>
        <v>6</v>
      </c>
      <c r="U6278" s="3" t="str">
        <f>IF(ISERROR(VLOOKUP(Base_Periodo1[[#This Row],[CONTA]],BaseContasDRE[#All],7,FALSE)),"Fora do DRE",VLOOKUP(Base_Periodo1[[#This Row],[CONTA]],BaseContasDRE[#All],7,FALSE))</f>
        <v>DISPÊNDIOS E  DESPESAS FINANCEIRAS</v>
      </c>
      <c r="V6278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278" s="3" t="str">
        <f>LEFT(Base_Periodo1[[#This Row],[CLASS]],3)</f>
        <v>3.1</v>
      </c>
    </row>
    <row r="6279" spans="1:23" hidden="1">
      <c r="A6279" s="3" t="str">
        <f t="shared" si="98"/>
        <v>Período 1</v>
      </c>
      <c r="B6279">
        <v>6256</v>
      </c>
      <c r="C6279" t="s">
        <v>3947</v>
      </c>
      <c r="D6279" t="s">
        <v>3948</v>
      </c>
      <c r="E6279" s="3" t="str">
        <f>IF(LEN(Base_Periodo1[[#This Row],[CLASS]])&gt;=7,LEFT(Base_Periodo1[[#This Row],[CLASS]],7),"")</f>
        <v>3.1.1.5</v>
      </c>
      <c r="F6279" s="3" t="e">
        <f>VLOOKUP(Base_Periodo1[[#This Row],[Aux]],Base_Contas_Balanco[#All],2,FALSE)</f>
        <v>#N/A</v>
      </c>
      <c r="G6279" s="1">
        <v>42886</v>
      </c>
      <c r="H6279" s="225">
        <v>5672075.94000002</v>
      </c>
      <c r="I6279" s="225">
        <v>1348205.35</v>
      </c>
      <c r="J6279" s="225">
        <v>0</v>
      </c>
      <c r="K6279" s="225">
        <v>7020281.2900000196</v>
      </c>
      <c r="L62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-7020281.29</v>
      </c>
      <c r="M6279" s="225">
        <f>ROUND(IF(AND(Base_Periodo1[[#This Row],[Tipo_Linha]]="-",Base_Periodo1[[#This Row],[TIPOSALDO]]="D"),Base_Periodo1[[#This Row],[SALDO_ATUAL]]*-1,Base_Periodo1[[#This Row],[SALDO_ATUAL]]),4)</f>
        <v>-7020281.29</v>
      </c>
      <c r="N6279" t="s">
        <v>116</v>
      </c>
      <c r="O6279" t="s">
        <v>397</v>
      </c>
      <c r="P6279" t="s">
        <v>397</v>
      </c>
      <c r="Q6279">
        <v>6</v>
      </c>
      <c r="R6279" s="282">
        <f>Base_Periodo1[[#This Row],[CREDITOS]]-Base_Periodo1[[#This Row],[DEBITOS]]</f>
        <v>-1348205.35</v>
      </c>
      <c r="S6279" s="3" t="str">
        <f>IF(ISERROR(VLOOKUP(Base_Periodo1[[#This Row],[CONTA]],BaseContasDRE[#All],4,FALSE)),"Fora do DRE",VLOOKUP(Base_Periodo1[[#This Row],[CONTA]],BaseContasDRE[#All],4,FALSE))</f>
        <v>-</v>
      </c>
      <c r="T6279" s="3">
        <f>IF(ISERROR(VLOOKUP(Base_Periodo1[[#This Row],[CONTA]],BaseContasDRE[#All],5,FALSE)),"Fora do DRE",VLOOKUP(Base_Periodo1[[#This Row],[CONTA]],BaseContasDRE[#All],6,FALSE))</f>
        <v>6</v>
      </c>
      <c r="U6279" s="3" t="str">
        <f>IF(ISERROR(VLOOKUP(Base_Periodo1[[#This Row],[CONTA]],BaseContasDRE[#All],7,FALSE)),"Fora do DRE",VLOOKUP(Base_Periodo1[[#This Row],[CONTA]],BaseContasDRE[#All],7,FALSE))</f>
        <v>DISPÊNDIOS E  DESPESAS FINANCEIRAS</v>
      </c>
      <c r="V6279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279" s="3" t="str">
        <f>LEFT(Base_Periodo1[[#This Row],[CLASS]],3)</f>
        <v>3.1</v>
      </c>
    </row>
    <row r="6280" spans="1:23" hidden="1">
      <c r="A6280" s="3" t="str">
        <f t="shared" si="98"/>
        <v>Período 1</v>
      </c>
      <c r="B6280">
        <v>6257</v>
      </c>
      <c r="C6280" t="s">
        <v>3949</v>
      </c>
      <c r="D6280" t="s">
        <v>3950</v>
      </c>
      <c r="E6280" s="3" t="str">
        <f>IF(LEN(Base_Periodo1[[#This Row],[CLASS]])&gt;=7,LEFT(Base_Periodo1[[#This Row],[CLASS]],7),"")</f>
        <v>3.1.1.5</v>
      </c>
      <c r="F6280" s="3" t="e">
        <f>VLOOKUP(Base_Periodo1[[#This Row],[Aux]],Base_Contas_Balanco[#All],2,FALSE)</f>
        <v>#N/A</v>
      </c>
      <c r="G6280" s="1">
        <v>42886</v>
      </c>
      <c r="H6280" s="225">
        <v>214241.76999997394</v>
      </c>
      <c r="I6280" s="225">
        <v>41852.979999999945</v>
      </c>
      <c r="J6280" s="225">
        <v>0</v>
      </c>
      <c r="K6280" s="225">
        <v>256094.74999997389</v>
      </c>
      <c r="L62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-256094.75</v>
      </c>
      <c r="M6280" s="225">
        <f>ROUND(IF(AND(Base_Periodo1[[#This Row],[Tipo_Linha]]="-",Base_Periodo1[[#This Row],[TIPOSALDO]]="D"),Base_Periodo1[[#This Row],[SALDO_ATUAL]]*-1,Base_Periodo1[[#This Row],[SALDO_ATUAL]]),4)</f>
        <v>-256094.75</v>
      </c>
      <c r="N6280" t="s">
        <v>116</v>
      </c>
      <c r="O6280" t="s">
        <v>397</v>
      </c>
      <c r="P6280" t="s">
        <v>397</v>
      </c>
      <c r="Q6280">
        <v>6</v>
      </c>
      <c r="R6280" s="282">
        <f>Base_Periodo1[[#This Row],[CREDITOS]]-Base_Periodo1[[#This Row],[DEBITOS]]</f>
        <v>-41852.979999999945</v>
      </c>
      <c r="S6280" s="3" t="str">
        <f>IF(ISERROR(VLOOKUP(Base_Periodo1[[#This Row],[CONTA]],BaseContasDRE[#All],4,FALSE)),"Fora do DRE",VLOOKUP(Base_Periodo1[[#This Row],[CONTA]],BaseContasDRE[#All],4,FALSE))</f>
        <v>-</v>
      </c>
      <c r="T6280" s="3">
        <f>IF(ISERROR(VLOOKUP(Base_Periodo1[[#This Row],[CONTA]],BaseContasDRE[#All],5,FALSE)),"Fora do DRE",VLOOKUP(Base_Periodo1[[#This Row],[CONTA]],BaseContasDRE[#All],6,FALSE))</f>
        <v>6</v>
      </c>
      <c r="U6280" s="3" t="str">
        <f>IF(ISERROR(VLOOKUP(Base_Periodo1[[#This Row],[CONTA]],BaseContasDRE[#All],7,FALSE)),"Fora do DRE",VLOOKUP(Base_Periodo1[[#This Row],[CONTA]],BaseContasDRE[#All],7,FALSE))</f>
        <v>DISPÊNDIOS E  DESPESAS FINANCEIRAS</v>
      </c>
      <c r="V6280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280" s="3" t="str">
        <f>LEFT(Base_Periodo1[[#This Row],[CLASS]],3)</f>
        <v>3.1</v>
      </c>
    </row>
    <row r="6281" spans="1:23" hidden="1">
      <c r="A6281" s="3" t="str">
        <f t="shared" si="98"/>
        <v>Período 1</v>
      </c>
      <c r="B6281">
        <v>6258</v>
      </c>
      <c r="C6281" t="s">
        <v>3951</v>
      </c>
      <c r="D6281" t="s">
        <v>3952</v>
      </c>
      <c r="E6281" s="3" t="str">
        <f>IF(LEN(Base_Periodo1[[#This Row],[CLASS]])&gt;=7,LEFT(Base_Periodo1[[#This Row],[CLASS]],7),"")</f>
        <v>3.1.1.5</v>
      </c>
      <c r="F6281" s="3" t="e">
        <f>VLOOKUP(Base_Periodo1[[#This Row],[Aux]],Base_Contas_Balanco[#All],2,FALSE)</f>
        <v>#N/A</v>
      </c>
      <c r="G6281" s="1">
        <v>42885</v>
      </c>
      <c r="H6281" s="225">
        <v>240574.02999999793</v>
      </c>
      <c r="I6281" s="225">
        <v>34081.370000000003</v>
      </c>
      <c r="J6281" s="225">
        <v>0</v>
      </c>
      <c r="K6281" s="225">
        <v>274655.39999999793</v>
      </c>
      <c r="L62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-274655.40000000002</v>
      </c>
      <c r="M6281" s="225">
        <f>ROUND(IF(AND(Base_Periodo1[[#This Row],[Tipo_Linha]]="-",Base_Periodo1[[#This Row],[TIPOSALDO]]="D"),Base_Periodo1[[#This Row],[SALDO_ATUAL]]*-1,Base_Periodo1[[#This Row],[SALDO_ATUAL]]),4)</f>
        <v>-274655.40000000002</v>
      </c>
      <c r="N6281" t="s">
        <v>116</v>
      </c>
      <c r="O6281" t="s">
        <v>397</v>
      </c>
      <c r="P6281" t="s">
        <v>397</v>
      </c>
      <c r="Q6281">
        <v>6</v>
      </c>
      <c r="R6281" s="282">
        <f>Base_Periodo1[[#This Row],[CREDITOS]]-Base_Periodo1[[#This Row],[DEBITOS]]</f>
        <v>-34081.370000000003</v>
      </c>
      <c r="S6281" s="3" t="str">
        <f>IF(ISERROR(VLOOKUP(Base_Periodo1[[#This Row],[CONTA]],BaseContasDRE[#All],4,FALSE)),"Fora do DRE",VLOOKUP(Base_Periodo1[[#This Row],[CONTA]],BaseContasDRE[#All],4,FALSE))</f>
        <v>-</v>
      </c>
      <c r="T6281" s="3">
        <f>IF(ISERROR(VLOOKUP(Base_Periodo1[[#This Row],[CONTA]],BaseContasDRE[#All],5,FALSE)),"Fora do DRE",VLOOKUP(Base_Periodo1[[#This Row],[CONTA]],BaseContasDRE[#All],6,FALSE))</f>
        <v>6</v>
      </c>
      <c r="U6281" s="3" t="str">
        <f>IF(ISERROR(VLOOKUP(Base_Periodo1[[#This Row],[CONTA]],BaseContasDRE[#All],7,FALSE)),"Fora do DRE",VLOOKUP(Base_Periodo1[[#This Row],[CONTA]],BaseContasDRE[#All],7,FALSE))</f>
        <v>DISPÊNDIOS E  DESPESAS FINANCEIRAS</v>
      </c>
      <c r="V6281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281" s="3" t="str">
        <f>LEFT(Base_Periodo1[[#This Row],[CLASS]],3)</f>
        <v>3.1</v>
      </c>
    </row>
    <row r="6282" spans="1:23" hidden="1">
      <c r="A6282" s="3" t="str">
        <f t="shared" si="98"/>
        <v>Período 1</v>
      </c>
      <c r="B6282">
        <v>6262</v>
      </c>
      <c r="C6282" t="s">
        <v>3953</v>
      </c>
      <c r="D6282" t="s">
        <v>3954</v>
      </c>
      <c r="E6282" s="3" t="str">
        <f>IF(LEN(Base_Periodo1[[#This Row],[CLASS]])&gt;=7,LEFT(Base_Periodo1[[#This Row],[CLASS]],7),"")</f>
        <v>3.1.1.5</v>
      </c>
      <c r="F6282" s="3" t="e">
        <f>VLOOKUP(Base_Periodo1[[#This Row],[Aux]],Base_Contas_Balanco[#All],2,FALSE)</f>
        <v>#N/A</v>
      </c>
      <c r="G6282" s="1">
        <v>42886</v>
      </c>
      <c r="H6282" s="225">
        <v>39532.619999999297</v>
      </c>
      <c r="I6282" s="225">
        <v>43019.689999999995</v>
      </c>
      <c r="J6282" s="225">
        <v>1272.45</v>
      </c>
      <c r="K6282" s="225">
        <v>81279.859999999302</v>
      </c>
      <c r="L62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-81279.86</v>
      </c>
      <c r="M6282" s="225">
        <f>ROUND(IF(AND(Base_Periodo1[[#This Row],[Tipo_Linha]]="-",Base_Periodo1[[#This Row],[TIPOSALDO]]="D"),Base_Periodo1[[#This Row],[SALDO_ATUAL]]*-1,Base_Periodo1[[#This Row],[SALDO_ATUAL]]),4)</f>
        <v>-81279.86</v>
      </c>
      <c r="N6282" t="s">
        <v>116</v>
      </c>
      <c r="O6282" t="s">
        <v>397</v>
      </c>
      <c r="P6282" t="s">
        <v>397</v>
      </c>
      <c r="Q6282">
        <v>6</v>
      </c>
      <c r="R6282" s="282">
        <f>Base_Periodo1[[#This Row],[CREDITOS]]-Base_Periodo1[[#This Row],[DEBITOS]]</f>
        <v>-41747.24</v>
      </c>
      <c r="S6282" s="3" t="str">
        <f>IF(ISERROR(VLOOKUP(Base_Periodo1[[#This Row],[CONTA]],BaseContasDRE[#All],4,FALSE)),"Fora do DRE",VLOOKUP(Base_Periodo1[[#This Row],[CONTA]],BaseContasDRE[#All],4,FALSE))</f>
        <v>-</v>
      </c>
      <c r="T6282" s="3">
        <f>IF(ISERROR(VLOOKUP(Base_Periodo1[[#This Row],[CONTA]],BaseContasDRE[#All],5,FALSE)),"Fora do DRE",VLOOKUP(Base_Periodo1[[#This Row],[CONTA]],BaseContasDRE[#All],6,FALSE))</f>
        <v>6</v>
      </c>
      <c r="U6282" s="3" t="str">
        <f>IF(ISERROR(VLOOKUP(Base_Periodo1[[#This Row],[CONTA]],BaseContasDRE[#All],7,FALSE)),"Fora do DRE",VLOOKUP(Base_Periodo1[[#This Row],[CONTA]],BaseContasDRE[#All],7,FALSE))</f>
        <v>DISPÊNDIOS E  DESPESAS FINANCEIRAS</v>
      </c>
      <c r="V6282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282" s="3" t="str">
        <f>LEFT(Base_Periodo1[[#This Row],[CLASS]],3)</f>
        <v>3.1</v>
      </c>
    </row>
    <row r="6283" spans="1:23" hidden="1">
      <c r="A6283" s="3" t="str">
        <f t="shared" si="98"/>
        <v>Período 1</v>
      </c>
      <c r="B6283">
        <v>11039</v>
      </c>
      <c r="C6283" t="s">
        <v>3955</v>
      </c>
      <c r="D6283" t="s">
        <v>3956</v>
      </c>
      <c r="E6283" s="3" t="str">
        <f>IF(LEN(Base_Periodo1[[#This Row],[CLASS]])&gt;=7,LEFT(Base_Periodo1[[#This Row],[CLASS]],7),"")</f>
        <v>3.1.1.5</v>
      </c>
      <c r="F6283" s="3" t="e">
        <f>VLOOKUP(Base_Periodo1[[#This Row],[Aux]],Base_Contas_Balanco[#All],2,FALSE)</f>
        <v>#N/A</v>
      </c>
      <c r="G6283" s="1">
        <v>42886</v>
      </c>
      <c r="H6283" s="225">
        <v>1322803.0699999826</v>
      </c>
      <c r="I6283" s="225">
        <v>353375.50000000017</v>
      </c>
      <c r="J6283" s="225">
        <v>0</v>
      </c>
      <c r="K6283" s="225">
        <v>1676178.5699999828</v>
      </c>
      <c r="L62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-1676178.57</v>
      </c>
      <c r="M6283" s="225">
        <f>ROUND(IF(AND(Base_Periodo1[[#This Row],[Tipo_Linha]]="-",Base_Periodo1[[#This Row],[TIPOSALDO]]="D"),Base_Periodo1[[#This Row],[SALDO_ATUAL]]*-1,Base_Periodo1[[#This Row],[SALDO_ATUAL]]),4)</f>
        <v>-1676178.57</v>
      </c>
      <c r="N6283" t="s">
        <v>116</v>
      </c>
      <c r="O6283" t="s">
        <v>397</v>
      </c>
      <c r="P6283" t="s">
        <v>397</v>
      </c>
      <c r="Q6283">
        <v>6</v>
      </c>
      <c r="R6283" s="282">
        <f>Base_Periodo1[[#This Row],[CREDITOS]]-Base_Periodo1[[#This Row],[DEBITOS]]</f>
        <v>-353375.50000000017</v>
      </c>
      <c r="S6283" s="3" t="str">
        <f>IF(ISERROR(VLOOKUP(Base_Periodo1[[#This Row],[CONTA]],BaseContasDRE[#All],4,FALSE)),"Fora do DRE",VLOOKUP(Base_Periodo1[[#This Row],[CONTA]],BaseContasDRE[#All],4,FALSE))</f>
        <v>-</v>
      </c>
      <c r="T6283" s="3">
        <f>IF(ISERROR(VLOOKUP(Base_Periodo1[[#This Row],[CONTA]],BaseContasDRE[#All],5,FALSE)),"Fora do DRE",VLOOKUP(Base_Periodo1[[#This Row],[CONTA]],BaseContasDRE[#All],6,FALSE))</f>
        <v>6</v>
      </c>
      <c r="U6283" s="3" t="str">
        <f>IF(ISERROR(VLOOKUP(Base_Periodo1[[#This Row],[CONTA]],BaseContasDRE[#All],7,FALSE)),"Fora do DRE",VLOOKUP(Base_Periodo1[[#This Row],[CONTA]],BaseContasDRE[#All],7,FALSE))</f>
        <v>DISPÊNDIOS E  DESPESAS FINANCEIRAS</v>
      </c>
      <c r="V6283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283" s="3" t="str">
        <f>LEFT(Base_Periodo1[[#This Row],[CLASS]],3)</f>
        <v>3.1</v>
      </c>
    </row>
    <row r="6284" spans="1:23" hidden="1">
      <c r="A6284" s="3" t="str">
        <f t="shared" si="98"/>
        <v>Período 1</v>
      </c>
      <c r="B6284">
        <v>57651</v>
      </c>
      <c r="C6284" t="s">
        <v>6630</v>
      </c>
      <c r="D6284" t="s">
        <v>6631</v>
      </c>
      <c r="E6284" s="3" t="str">
        <f>IF(LEN(Base_Periodo1[[#This Row],[CLASS]])&gt;=7,LEFT(Base_Periodo1[[#This Row],[CLASS]],7),"")</f>
        <v>3.1.1.5</v>
      </c>
      <c r="F6284" s="3" t="e">
        <f>VLOOKUP(Base_Periodo1[[#This Row],[Aux]],Base_Contas_Balanco[#All],2,FALSE)</f>
        <v>#N/A</v>
      </c>
      <c r="G6284" s="1">
        <v>42886</v>
      </c>
      <c r="H6284" s="225">
        <v>20303.950000000004</v>
      </c>
      <c r="I6284" s="225">
        <v>4950.1399999999994</v>
      </c>
      <c r="J6284" s="225">
        <v>0</v>
      </c>
      <c r="K6284" s="225">
        <v>25254.090000000004</v>
      </c>
      <c r="L62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-25254.09</v>
      </c>
      <c r="M6284" s="225">
        <f>ROUND(IF(AND(Base_Periodo1[[#This Row],[Tipo_Linha]]="-",Base_Periodo1[[#This Row],[TIPOSALDO]]="D"),Base_Periodo1[[#This Row],[SALDO_ATUAL]]*-1,Base_Periodo1[[#This Row],[SALDO_ATUAL]]),4)</f>
        <v>-25254.09</v>
      </c>
      <c r="N6284" t="s">
        <v>116</v>
      </c>
      <c r="O6284" t="s">
        <v>397</v>
      </c>
      <c r="P6284" t="s">
        <v>397</v>
      </c>
      <c r="Q6284">
        <v>6</v>
      </c>
      <c r="R6284" s="282">
        <f>Base_Periodo1[[#This Row],[CREDITOS]]-Base_Periodo1[[#This Row],[DEBITOS]]</f>
        <v>-4950.1399999999994</v>
      </c>
      <c r="S6284" s="3" t="str">
        <f>IF(ISERROR(VLOOKUP(Base_Periodo1[[#This Row],[CONTA]],BaseContasDRE[#All],4,FALSE)),"Fora do DRE",VLOOKUP(Base_Periodo1[[#This Row],[CONTA]],BaseContasDRE[#All],4,FALSE))</f>
        <v>-</v>
      </c>
      <c r="T6284" s="3">
        <f>IF(ISERROR(VLOOKUP(Base_Periodo1[[#This Row],[CONTA]],BaseContasDRE[#All],5,FALSE)),"Fora do DRE",VLOOKUP(Base_Periodo1[[#This Row],[CONTA]],BaseContasDRE[#All],6,FALSE))</f>
        <v>6</v>
      </c>
      <c r="U6284" s="3" t="str">
        <f>IF(ISERROR(VLOOKUP(Base_Periodo1[[#This Row],[CONTA]],BaseContasDRE[#All],7,FALSE)),"Fora do DRE",VLOOKUP(Base_Periodo1[[#This Row],[CONTA]],BaseContasDRE[#All],7,FALSE))</f>
        <v>DISPÊNDIOS E  DESPESAS FINANCEIRAS</v>
      </c>
      <c r="V6284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284" s="3" t="str">
        <f>LEFT(Base_Periodo1[[#This Row],[CLASS]],3)</f>
        <v>3.1</v>
      </c>
    </row>
    <row r="6285" spans="1:23" hidden="1">
      <c r="A6285" s="3" t="str">
        <f t="shared" si="98"/>
        <v>Período 1</v>
      </c>
      <c r="B6285">
        <v>6264</v>
      </c>
      <c r="C6285" t="s">
        <v>5817</v>
      </c>
      <c r="D6285" t="s">
        <v>5812</v>
      </c>
      <c r="E6285" s="3" t="str">
        <f>IF(LEN(Base_Periodo1[[#This Row],[CLASS]])&gt;=7,LEFT(Base_Periodo1[[#This Row],[CLASS]],7),"")</f>
        <v>3.1.1.5</v>
      </c>
      <c r="F6285" s="3" t="e">
        <f>VLOOKUP(Base_Periodo1[[#This Row],[Aux]],Base_Contas_Balanco[#All],2,FALSE)</f>
        <v>#N/A</v>
      </c>
      <c r="G6285" s="1">
        <v>42886</v>
      </c>
      <c r="H6285" s="225">
        <v>580442.89999999851</v>
      </c>
      <c r="I6285" s="225">
        <v>580442.9</v>
      </c>
      <c r="J6285" s="225">
        <v>942635.08</v>
      </c>
      <c r="K6285" s="225">
        <v>942635.07999999844</v>
      </c>
      <c r="L62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942635.08</v>
      </c>
      <c r="M6285" s="225">
        <f>ROUND(IF(AND(Base_Periodo1[[#This Row],[Tipo_Linha]]="-",Base_Periodo1[[#This Row],[TIPOSALDO]]="D"),Base_Periodo1[[#This Row],[SALDO_ATUAL]]*-1,Base_Periodo1[[#This Row],[SALDO_ATUAL]]),4)</f>
        <v>942635.08</v>
      </c>
      <c r="N6285" t="s">
        <v>116</v>
      </c>
      <c r="O6285" t="s">
        <v>459</v>
      </c>
      <c r="P6285" t="s">
        <v>459</v>
      </c>
      <c r="Q6285">
        <v>6</v>
      </c>
      <c r="R6285" s="282">
        <f>Base_Periodo1[[#This Row],[CREDITOS]]-Base_Periodo1[[#This Row],[DEBITOS]]</f>
        <v>362192.17999999993</v>
      </c>
      <c r="S6285" s="3" t="str">
        <f>IF(ISERROR(VLOOKUP(Base_Periodo1[[#This Row],[CONTA]],BaseContasDRE[#All],4,FALSE)),"Fora do DRE",VLOOKUP(Base_Periodo1[[#This Row],[CONTA]],BaseContasDRE[#All],4,FALSE))</f>
        <v>-</v>
      </c>
      <c r="T6285" s="3">
        <f>IF(ISERROR(VLOOKUP(Base_Periodo1[[#This Row],[CONTA]],BaseContasDRE[#All],5,FALSE)),"Fora do DRE",VLOOKUP(Base_Periodo1[[#This Row],[CONTA]],BaseContasDRE[#All],6,FALSE))</f>
        <v>6</v>
      </c>
      <c r="U6285" s="3" t="str">
        <f>IF(ISERROR(VLOOKUP(Base_Periodo1[[#This Row],[CONTA]],BaseContasDRE[#All],7,FALSE)),"Fora do DRE",VLOOKUP(Base_Periodo1[[#This Row],[CONTA]],BaseContasDRE[#All],7,FALSE))</f>
        <v>DISPÊNDIOS E  DESPESAS FINANCEIRAS</v>
      </c>
      <c r="V6285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285" s="3" t="str">
        <f>LEFT(Base_Periodo1[[#This Row],[CLASS]],3)</f>
        <v>3.1</v>
      </c>
    </row>
    <row r="6286" spans="1:23" hidden="1">
      <c r="A6286" s="3" t="str">
        <f t="shared" si="98"/>
        <v>Período 1</v>
      </c>
      <c r="B6286">
        <v>6265</v>
      </c>
      <c r="C6286" t="s">
        <v>3957</v>
      </c>
      <c r="D6286" t="s">
        <v>3958</v>
      </c>
      <c r="E6286" s="3" t="str">
        <f>IF(LEN(Base_Periodo1[[#This Row],[CLASS]])&gt;=7,LEFT(Base_Periodo1[[#This Row],[CLASS]],7),"")</f>
        <v>3.1.1.5</v>
      </c>
      <c r="F6286" s="3" t="e">
        <f>VLOOKUP(Base_Periodo1[[#This Row],[Aux]],Base_Contas_Balanco[#All],2,FALSE)</f>
        <v>#N/A</v>
      </c>
      <c r="G6286" s="1"/>
      <c r="H6286" s="225">
        <v>1230977.8299998548</v>
      </c>
      <c r="I6286" s="225">
        <v>192571.44</v>
      </c>
      <c r="J6286" s="225">
        <v>740915.86000000034</v>
      </c>
      <c r="K6286" s="225">
        <v>1779322.2499998552</v>
      </c>
      <c r="L62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1779322.25</v>
      </c>
      <c r="M6286" s="225">
        <f>ROUND(IF(AND(Base_Periodo1[[#This Row],[Tipo_Linha]]="-",Base_Periodo1[[#This Row],[TIPOSALDO]]="D"),Base_Periodo1[[#This Row],[SALDO_ATUAL]]*-1,Base_Periodo1[[#This Row],[SALDO_ATUAL]]),4)</f>
        <v>1779322.25</v>
      </c>
      <c r="N6286" t="s">
        <v>396</v>
      </c>
      <c r="O6286" t="s">
        <v>459</v>
      </c>
      <c r="P6286" t="s">
        <v>459</v>
      </c>
      <c r="Q6286">
        <v>5</v>
      </c>
      <c r="R6286" s="282">
        <f>Base_Periodo1[[#This Row],[CREDITOS]]-Base_Periodo1[[#This Row],[DEBITOS]]</f>
        <v>548344.42000000039</v>
      </c>
      <c r="S6286" s="3" t="str">
        <f>IF(ISERROR(VLOOKUP(Base_Periodo1[[#This Row],[CONTA]],BaseContasDRE[#All],4,FALSE)),"Fora do DRE",VLOOKUP(Base_Periodo1[[#This Row],[CONTA]],BaseContasDRE[#All],4,FALSE))</f>
        <v>Fora do DRE</v>
      </c>
      <c r="T6286" s="3" t="str">
        <f>IF(ISERROR(VLOOKUP(Base_Periodo1[[#This Row],[CONTA]],BaseContasDRE[#All],5,FALSE)),"Fora do DRE",VLOOKUP(Base_Periodo1[[#This Row],[CONTA]],BaseContasDRE[#All],6,FALSE))</f>
        <v>Fora do DRE</v>
      </c>
      <c r="U6286" s="3" t="str">
        <f>IF(ISERROR(VLOOKUP(Base_Periodo1[[#This Row],[CONTA]],BaseContasDRE[#All],7,FALSE)),"Fora do DRE",VLOOKUP(Base_Periodo1[[#This Row],[CONTA]],BaseContasDRE[#All],7,FALSE))</f>
        <v>Fora do DRE</v>
      </c>
      <c r="V6286" s="3" t="str">
        <f>IF(Base_Periodo1[[#This Row],[Tipo_Linha]]="Fora do DRE","Fora do DRE","( "&amp;Base_Periodo1[[#This Row],[Tipo_Linha]]&amp;" ) "&amp;Base_Periodo1[[#This Row],[Filtro]])</f>
        <v>Fora do DRE</v>
      </c>
      <c r="W6286" s="3" t="str">
        <f>LEFT(Base_Periodo1[[#This Row],[CLASS]],3)</f>
        <v>3.1</v>
      </c>
    </row>
    <row r="6287" spans="1:23" hidden="1">
      <c r="A6287" s="3" t="str">
        <f t="shared" si="98"/>
        <v>Período 1</v>
      </c>
      <c r="B6287">
        <v>6266</v>
      </c>
      <c r="C6287" t="s">
        <v>3959</v>
      </c>
      <c r="D6287" t="s">
        <v>3960</v>
      </c>
      <c r="E6287" s="3" t="str">
        <f>IF(LEN(Base_Periodo1[[#This Row],[CLASS]])&gt;=7,LEFT(Base_Periodo1[[#This Row],[CLASS]],7),"")</f>
        <v>3.1.1.5</v>
      </c>
      <c r="F6287" s="3" t="e">
        <f>VLOOKUP(Base_Periodo1[[#This Row],[Aux]],Base_Contas_Balanco[#All],2,FALSE)</f>
        <v>#N/A</v>
      </c>
      <c r="G6287" s="1">
        <v>42886</v>
      </c>
      <c r="H6287" s="225">
        <v>654274.48999988474</v>
      </c>
      <c r="I6287" s="225">
        <v>0</v>
      </c>
      <c r="J6287" s="225">
        <v>559291.90000000037</v>
      </c>
      <c r="K6287" s="225">
        <v>1213566.3899998851</v>
      </c>
      <c r="L62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1213566.3899999999</v>
      </c>
      <c r="M6287" s="225">
        <f>ROUND(IF(AND(Base_Periodo1[[#This Row],[Tipo_Linha]]="-",Base_Periodo1[[#This Row],[TIPOSALDO]]="D"),Base_Periodo1[[#This Row],[SALDO_ATUAL]]*-1,Base_Periodo1[[#This Row],[SALDO_ATUAL]]),4)</f>
        <v>1213566.3899999999</v>
      </c>
      <c r="N6287" t="s">
        <v>116</v>
      </c>
      <c r="O6287" t="s">
        <v>459</v>
      </c>
      <c r="P6287" t="s">
        <v>459</v>
      </c>
      <c r="Q6287">
        <v>6</v>
      </c>
      <c r="R6287" s="282">
        <f>Base_Periodo1[[#This Row],[CREDITOS]]-Base_Periodo1[[#This Row],[DEBITOS]]</f>
        <v>559291.90000000037</v>
      </c>
      <c r="S6287" s="3" t="str">
        <f>IF(ISERROR(VLOOKUP(Base_Periodo1[[#This Row],[CONTA]],BaseContasDRE[#All],4,FALSE)),"Fora do DRE",VLOOKUP(Base_Periodo1[[#This Row],[CONTA]],BaseContasDRE[#All],4,FALSE))</f>
        <v>+</v>
      </c>
      <c r="T6287" s="3">
        <f>IF(ISERROR(VLOOKUP(Base_Periodo1[[#This Row],[CONTA]],BaseContasDRE[#All],5,FALSE)),"Fora do DRE",VLOOKUP(Base_Periodo1[[#This Row],[CONTA]],BaseContasDRE[#All],6,FALSE))</f>
        <v>6</v>
      </c>
      <c r="U6287" s="3" t="str">
        <f>IF(ISERROR(VLOOKUP(Base_Periodo1[[#This Row],[CONTA]],BaseContasDRE[#All],7,FALSE)),"Fora do DRE",VLOOKUP(Base_Periodo1[[#This Row],[CONTA]],BaseContasDRE[#All],7,FALSE))</f>
        <v>INGRESSOS E RECEITAS FINANCEIRAS</v>
      </c>
      <c r="V6287" s="3" t="str">
        <f>IF(Base_Periodo1[[#This Row],[Tipo_Linha]]="Fora do DRE","Fora do DRE","( "&amp;Base_Periodo1[[#This Row],[Tipo_Linha]]&amp;" ) "&amp;Base_Periodo1[[#This Row],[Filtro]])</f>
        <v>( + ) INGRESSOS E RECEITAS FINANCEIRAS</v>
      </c>
      <c r="W6287" s="3" t="str">
        <f>LEFT(Base_Periodo1[[#This Row],[CLASS]],3)</f>
        <v>3.1</v>
      </c>
    </row>
    <row r="6288" spans="1:23" hidden="1">
      <c r="A6288" s="3" t="str">
        <f t="shared" si="98"/>
        <v>Período 1</v>
      </c>
      <c r="B6288">
        <v>6267</v>
      </c>
      <c r="C6288" t="s">
        <v>3961</v>
      </c>
      <c r="D6288" t="s">
        <v>3962</v>
      </c>
      <c r="E6288" s="3" t="str">
        <f>IF(LEN(Base_Periodo1[[#This Row],[CLASS]])&gt;=7,LEFT(Base_Periodo1[[#This Row],[CLASS]],7),"")</f>
        <v>3.1.1.5</v>
      </c>
      <c r="F6288" s="3" t="e">
        <f>VLOOKUP(Base_Periodo1[[#This Row],[Aux]],Base_Contas_Balanco[#All],2,FALSE)</f>
        <v>#N/A</v>
      </c>
      <c r="G6288" s="1">
        <v>42880</v>
      </c>
      <c r="H6288" s="225">
        <v>678419.51999996603</v>
      </c>
      <c r="I6288" s="225">
        <v>0</v>
      </c>
      <c r="J6288" s="225">
        <v>79907.78</v>
      </c>
      <c r="K6288" s="225">
        <v>758327.29999996605</v>
      </c>
      <c r="L62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758327.3</v>
      </c>
      <c r="M6288" s="225">
        <f>ROUND(IF(AND(Base_Periodo1[[#This Row],[Tipo_Linha]]="-",Base_Periodo1[[#This Row],[TIPOSALDO]]="D"),Base_Periodo1[[#This Row],[SALDO_ATUAL]]*-1,Base_Periodo1[[#This Row],[SALDO_ATUAL]]),4)</f>
        <v>758327.3</v>
      </c>
      <c r="N6288" t="s">
        <v>116</v>
      </c>
      <c r="O6288" t="s">
        <v>459</v>
      </c>
      <c r="P6288" t="s">
        <v>459</v>
      </c>
      <c r="Q6288">
        <v>6</v>
      </c>
      <c r="R6288" s="282">
        <f>Base_Periodo1[[#This Row],[CREDITOS]]-Base_Periodo1[[#This Row],[DEBITOS]]</f>
        <v>79907.78</v>
      </c>
      <c r="S6288" s="3" t="str">
        <f>IF(ISERROR(VLOOKUP(Base_Periodo1[[#This Row],[CONTA]],BaseContasDRE[#All],4,FALSE)),"Fora do DRE",VLOOKUP(Base_Periodo1[[#This Row],[CONTA]],BaseContasDRE[#All],4,FALSE))</f>
        <v>+</v>
      </c>
      <c r="T6288" s="3">
        <f>IF(ISERROR(VLOOKUP(Base_Periodo1[[#This Row],[CONTA]],BaseContasDRE[#All],5,FALSE)),"Fora do DRE",VLOOKUP(Base_Periodo1[[#This Row],[CONTA]],BaseContasDRE[#All],6,FALSE))</f>
        <v>6</v>
      </c>
      <c r="U6288" s="3" t="str">
        <f>IF(ISERROR(VLOOKUP(Base_Periodo1[[#This Row],[CONTA]],BaseContasDRE[#All],7,FALSE)),"Fora do DRE",VLOOKUP(Base_Periodo1[[#This Row],[CONTA]],BaseContasDRE[#All],7,FALSE))</f>
        <v>INGRESSOS E RECEITAS FINANCEIRAS</v>
      </c>
      <c r="V6288" s="3" t="str">
        <f>IF(Base_Periodo1[[#This Row],[Tipo_Linha]]="Fora do DRE","Fora do DRE","( "&amp;Base_Periodo1[[#This Row],[Tipo_Linha]]&amp;" ) "&amp;Base_Periodo1[[#This Row],[Filtro]])</f>
        <v>( + ) INGRESSOS E RECEITAS FINANCEIRAS</v>
      </c>
      <c r="W6288" s="3" t="str">
        <f>LEFT(Base_Periodo1[[#This Row],[CLASS]],3)</f>
        <v>3.1</v>
      </c>
    </row>
    <row r="6289" spans="1:23" hidden="1">
      <c r="A6289" s="3" t="str">
        <f t="shared" si="98"/>
        <v>Período 1</v>
      </c>
      <c r="B6289">
        <v>6271</v>
      </c>
      <c r="C6289" t="s">
        <v>5818</v>
      </c>
      <c r="D6289" t="s">
        <v>5812</v>
      </c>
      <c r="E6289" s="3" t="str">
        <f>IF(LEN(Base_Periodo1[[#This Row],[CLASS]])&gt;=7,LEFT(Base_Periodo1[[#This Row],[CLASS]],7),"")</f>
        <v>3.1.1.5</v>
      </c>
      <c r="F6289" s="3" t="e">
        <f>VLOOKUP(Base_Periodo1[[#This Row],[Aux]],Base_Contas_Balanco[#All],2,FALSE)</f>
        <v>#N/A</v>
      </c>
      <c r="G6289" s="1">
        <v>42886</v>
      </c>
      <c r="H6289" s="225">
        <v>101716.17999999598</v>
      </c>
      <c r="I6289" s="225">
        <v>192571.44</v>
      </c>
      <c r="J6289" s="225">
        <v>101716.18</v>
      </c>
      <c r="K6289" s="225">
        <v>192571.43999999599</v>
      </c>
      <c r="L62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-192571.44</v>
      </c>
      <c r="M6289" s="225">
        <f>ROUND(IF(AND(Base_Periodo1[[#This Row],[Tipo_Linha]]="-",Base_Periodo1[[#This Row],[TIPOSALDO]]="D"),Base_Periodo1[[#This Row],[SALDO_ATUAL]]*-1,Base_Periodo1[[#This Row],[SALDO_ATUAL]]),4)</f>
        <v>192571.44</v>
      </c>
      <c r="N6289" t="s">
        <v>116</v>
      </c>
      <c r="O6289" t="s">
        <v>397</v>
      </c>
      <c r="P6289" t="s">
        <v>397</v>
      </c>
      <c r="Q6289">
        <v>6</v>
      </c>
      <c r="R6289" s="282">
        <f>Base_Periodo1[[#This Row],[CREDITOS]]-Base_Periodo1[[#This Row],[DEBITOS]]</f>
        <v>-90855.260000000009</v>
      </c>
      <c r="S6289" s="3" t="str">
        <f>IF(ISERROR(VLOOKUP(Base_Periodo1[[#This Row],[CONTA]],BaseContasDRE[#All],4,FALSE)),"Fora do DRE",VLOOKUP(Base_Periodo1[[#This Row],[CONTA]],BaseContasDRE[#All],4,FALSE))</f>
        <v>+</v>
      </c>
      <c r="T6289" s="3">
        <f>IF(ISERROR(VLOOKUP(Base_Periodo1[[#This Row],[CONTA]],BaseContasDRE[#All],5,FALSE)),"Fora do DRE",VLOOKUP(Base_Periodo1[[#This Row],[CONTA]],BaseContasDRE[#All],6,FALSE))</f>
        <v>6</v>
      </c>
      <c r="U6289" s="3" t="str">
        <f>IF(ISERROR(VLOOKUP(Base_Periodo1[[#This Row],[CONTA]],BaseContasDRE[#All],7,FALSE)),"Fora do DRE",VLOOKUP(Base_Periodo1[[#This Row],[CONTA]],BaseContasDRE[#All],7,FALSE))</f>
        <v>INGRESSOS E RECEITAS FINANCEIRAS</v>
      </c>
      <c r="V6289" s="3" t="str">
        <f>IF(Base_Periodo1[[#This Row],[Tipo_Linha]]="Fora do DRE","Fora do DRE","( "&amp;Base_Periodo1[[#This Row],[Tipo_Linha]]&amp;" ) "&amp;Base_Periodo1[[#This Row],[Filtro]])</f>
        <v>( + ) INGRESSOS E RECEITAS FINANCEIRAS</v>
      </c>
      <c r="W6289" s="3" t="str">
        <f>LEFT(Base_Periodo1[[#This Row],[CLASS]],3)</f>
        <v>3.1</v>
      </c>
    </row>
    <row r="6290" spans="1:23" hidden="1">
      <c r="A6290" s="3" t="str">
        <f t="shared" si="98"/>
        <v>Período 1</v>
      </c>
      <c r="B6290">
        <v>6272</v>
      </c>
      <c r="C6290" t="s">
        <v>3963</v>
      </c>
      <c r="D6290" t="s">
        <v>3591</v>
      </c>
      <c r="E6290" s="3" t="str">
        <f>IF(LEN(Base_Periodo1[[#This Row],[CLASS]])&gt;=7,LEFT(Base_Periodo1[[#This Row],[CLASS]],7),"")</f>
        <v>3.1.1.6</v>
      </c>
      <c r="F6290" s="3" t="e">
        <f>VLOOKUP(Base_Periodo1[[#This Row],[Aux]],Base_Contas_Balanco[#All],2,FALSE)</f>
        <v>#N/A</v>
      </c>
      <c r="G6290" s="1"/>
      <c r="H6290" s="225">
        <v>131797.59999999468</v>
      </c>
      <c r="I6290" s="225">
        <v>344818.85000000003</v>
      </c>
      <c r="J6290" s="225">
        <v>3338940.74</v>
      </c>
      <c r="K6290" s="225">
        <v>3125919.4899999946</v>
      </c>
      <c r="L62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3125919.49</v>
      </c>
      <c r="M6290" s="225">
        <f>ROUND(IF(AND(Base_Periodo1[[#This Row],[Tipo_Linha]]="-",Base_Periodo1[[#This Row],[TIPOSALDO]]="D"),Base_Periodo1[[#This Row],[SALDO_ATUAL]]*-1,Base_Periodo1[[#This Row],[SALDO_ATUAL]]),4)</f>
        <v>3125919.49</v>
      </c>
      <c r="N6290" t="s">
        <v>396</v>
      </c>
      <c r="O6290" t="s">
        <v>459</v>
      </c>
      <c r="P6290" t="s">
        <v>459</v>
      </c>
      <c r="Q6290">
        <v>4</v>
      </c>
      <c r="R6290" s="282">
        <f>Base_Periodo1[[#This Row],[CREDITOS]]-Base_Periodo1[[#This Row],[DEBITOS]]</f>
        <v>2994121.89</v>
      </c>
      <c r="S6290" s="3" t="str">
        <f>IF(ISERROR(VLOOKUP(Base_Periodo1[[#This Row],[CONTA]],BaseContasDRE[#All],4,FALSE)),"Fora do DRE",VLOOKUP(Base_Periodo1[[#This Row],[CONTA]],BaseContasDRE[#All],4,FALSE))</f>
        <v>Fora do DRE</v>
      </c>
      <c r="T6290" s="3" t="str">
        <f>IF(ISERROR(VLOOKUP(Base_Periodo1[[#This Row],[CONTA]],BaseContasDRE[#All],5,FALSE)),"Fora do DRE",VLOOKUP(Base_Periodo1[[#This Row],[CONTA]],BaseContasDRE[#All],6,FALSE))</f>
        <v>Fora do DRE</v>
      </c>
      <c r="U6290" s="3" t="str">
        <f>IF(ISERROR(VLOOKUP(Base_Periodo1[[#This Row],[CONTA]],BaseContasDRE[#All],7,FALSE)),"Fora do DRE",VLOOKUP(Base_Periodo1[[#This Row],[CONTA]],BaseContasDRE[#All],7,FALSE))</f>
        <v>Fora do DRE</v>
      </c>
      <c r="V6290" s="3" t="str">
        <f>IF(Base_Periodo1[[#This Row],[Tipo_Linha]]="Fora do DRE","Fora do DRE","( "&amp;Base_Periodo1[[#This Row],[Tipo_Linha]]&amp;" ) "&amp;Base_Periodo1[[#This Row],[Filtro]])</f>
        <v>Fora do DRE</v>
      </c>
      <c r="W6290" s="3" t="str">
        <f>LEFT(Base_Periodo1[[#This Row],[CLASS]],3)</f>
        <v>3.1</v>
      </c>
    </row>
    <row r="6291" spans="1:23" hidden="1">
      <c r="A6291" s="3" t="str">
        <f t="shared" si="98"/>
        <v>Período 1</v>
      </c>
      <c r="B6291">
        <v>6273</v>
      </c>
      <c r="C6291" t="s">
        <v>3964</v>
      </c>
      <c r="D6291" t="s">
        <v>3965</v>
      </c>
      <c r="E6291" s="3" t="str">
        <f>IF(LEN(Base_Periodo1[[#This Row],[CLASS]])&gt;=7,LEFT(Base_Periodo1[[#This Row],[CLASS]],7),"")</f>
        <v>3.1.1.6</v>
      </c>
      <c r="F6291" s="3" t="e">
        <f>VLOOKUP(Base_Periodo1[[#This Row],[Aux]],Base_Contas_Balanco[#All],2,FALSE)</f>
        <v>#N/A</v>
      </c>
      <c r="G6291" s="1"/>
      <c r="H6291" s="225">
        <v>166352.42999998986</v>
      </c>
      <c r="I6291" s="225">
        <v>341963.57</v>
      </c>
      <c r="J6291" s="225">
        <v>3335287.3400000003</v>
      </c>
      <c r="K6291" s="225">
        <v>3159676.1999999899</v>
      </c>
      <c r="L62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3159676.2</v>
      </c>
      <c r="M6291" s="225">
        <f>ROUND(IF(AND(Base_Periodo1[[#This Row],[Tipo_Linha]]="-",Base_Periodo1[[#This Row],[TIPOSALDO]]="D"),Base_Periodo1[[#This Row],[SALDO_ATUAL]]*-1,Base_Periodo1[[#This Row],[SALDO_ATUAL]]),4)</f>
        <v>3159676.2</v>
      </c>
      <c r="N6291" t="s">
        <v>396</v>
      </c>
      <c r="O6291" t="s">
        <v>459</v>
      </c>
      <c r="P6291" t="s">
        <v>459</v>
      </c>
      <c r="Q6291">
        <v>5</v>
      </c>
      <c r="R6291" s="282">
        <f>Base_Periodo1[[#This Row],[CREDITOS]]-Base_Periodo1[[#This Row],[DEBITOS]]</f>
        <v>2993323.7700000005</v>
      </c>
      <c r="S6291" s="3" t="str">
        <f>IF(ISERROR(VLOOKUP(Base_Periodo1[[#This Row],[CONTA]],BaseContasDRE[#All],4,FALSE)),"Fora do DRE",VLOOKUP(Base_Periodo1[[#This Row],[CONTA]],BaseContasDRE[#All],4,FALSE))</f>
        <v>Fora do DRE</v>
      </c>
      <c r="T6291" s="3" t="str">
        <f>IF(ISERROR(VLOOKUP(Base_Periodo1[[#This Row],[CONTA]],BaseContasDRE[#All],5,FALSE)),"Fora do DRE",VLOOKUP(Base_Periodo1[[#This Row],[CONTA]],BaseContasDRE[#All],6,FALSE))</f>
        <v>Fora do DRE</v>
      </c>
      <c r="U6291" s="3" t="str">
        <f>IF(ISERROR(VLOOKUP(Base_Periodo1[[#This Row],[CONTA]],BaseContasDRE[#All],7,FALSE)),"Fora do DRE",VLOOKUP(Base_Periodo1[[#This Row],[CONTA]],BaseContasDRE[#All],7,FALSE))</f>
        <v>Fora do DRE</v>
      </c>
      <c r="V6291" s="3" t="str">
        <f>IF(Base_Periodo1[[#This Row],[Tipo_Linha]]="Fora do DRE","Fora do DRE","( "&amp;Base_Periodo1[[#This Row],[Tipo_Linha]]&amp;" ) "&amp;Base_Periodo1[[#This Row],[Filtro]])</f>
        <v>Fora do DRE</v>
      </c>
      <c r="W6291" s="3" t="str">
        <f>LEFT(Base_Periodo1[[#This Row],[CLASS]],3)</f>
        <v>3.1</v>
      </c>
    </row>
    <row r="6292" spans="1:23" hidden="1">
      <c r="A6292" s="3" t="str">
        <f t="shared" si="98"/>
        <v>Período 1</v>
      </c>
      <c r="B6292">
        <v>6275</v>
      </c>
      <c r="C6292" t="s">
        <v>6632</v>
      </c>
      <c r="D6292" t="s">
        <v>6633</v>
      </c>
      <c r="E6292" s="3" t="str">
        <f>IF(LEN(Base_Periodo1[[#This Row],[CLASS]])&gt;=7,LEFT(Base_Periodo1[[#This Row],[CLASS]],7),"")</f>
        <v>3.1.1.6</v>
      </c>
      <c r="F6292" s="3" t="e">
        <f>VLOOKUP(Base_Periodo1[[#This Row],[Aux]],Base_Contas_Balanco[#All],2,FALSE)</f>
        <v>#N/A</v>
      </c>
      <c r="G6292" s="1">
        <v>42877</v>
      </c>
      <c r="H6292" s="225">
        <v>20916.160000000149</v>
      </c>
      <c r="I6292" s="225">
        <v>0</v>
      </c>
      <c r="J6292" s="225">
        <v>3311532.31</v>
      </c>
      <c r="K6292" s="225">
        <v>3332448.47</v>
      </c>
      <c r="L62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3332448.47</v>
      </c>
      <c r="M6292" s="225">
        <f>ROUND(IF(AND(Base_Periodo1[[#This Row],[Tipo_Linha]]="-",Base_Periodo1[[#This Row],[TIPOSALDO]]="D"),Base_Periodo1[[#This Row],[SALDO_ATUAL]]*-1,Base_Periodo1[[#This Row],[SALDO_ATUAL]]),4)</f>
        <v>3332448.47</v>
      </c>
      <c r="N6292" t="s">
        <v>116</v>
      </c>
      <c r="O6292" t="s">
        <v>459</v>
      </c>
      <c r="P6292" t="s">
        <v>459</v>
      </c>
      <c r="Q6292">
        <v>6</v>
      </c>
      <c r="R6292" s="282">
        <f>Base_Periodo1[[#This Row],[CREDITOS]]-Base_Periodo1[[#This Row],[DEBITOS]]</f>
        <v>3311532.31</v>
      </c>
      <c r="S6292" s="3" t="str">
        <f>IF(ISERROR(VLOOKUP(Base_Periodo1[[#This Row],[CONTA]],BaseContasDRE[#All],4,FALSE)),"Fora do DRE",VLOOKUP(Base_Periodo1[[#This Row],[CONTA]],BaseContasDRE[#All],4,FALSE))</f>
        <v>+</v>
      </c>
      <c r="T6292" s="3">
        <f>IF(ISERROR(VLOOKUP(Base_Periodo1[[#This Row],[CONTA]],BaseContasDRE[#All],5,FALSE)),"Fora do DRE",VLOOKUP(Base_Periodo1[[#This Row],[CONTA]],BaseContasDRE[#All],6,FALSE))</f>
        <v>7</v>
      </c>
      <c r="U6292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292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292" s="3" t="str">
        <f>LEFT(Base_Periodo1[[#This Row],[CLASS]],3)</f>
        <v>3.1</v>
      </c>
    </row>
    <row r="6293" spans="1:23" hidden="1">
      <c r="A6293" s="3" t="str">
        <f t="shared" si="98"/>
        <v>Período 1</v>
      </c>
      <c r="B6293">
        <v>6290</v>
      </c>
      <c r="C6293" t="s">
        <v>3966</v>
      </c>
      <c r="D6293" t="s">
        <v>3967</v>
      </c>
      <c r="E6293" s="3" t="str">
        <f>IF(LEN(Base_Periodo1[[#This Row],[CLASS]])&gt;=7,LEFT(Base_Periodo1[[#This Row],[CLASS]],7),"")</f>
        <v>3.1.1.6</v>
      </c>
      <c r="F6293" s="3" t="e">
        <f>VLOOKUP(Base_Periodo1[[#This Row],[Aux]],Base_Contas_Balanco[#All],2,FALSE)</f>
        <v>#N/A</v>
      </c>
      <c r="G6293" s="1">
        <v>42844</v>
      </c>
      <c r="H6293" s="225">
        <v>126863</v>
      </c>
      <c r="I6293" s="225">
        <v>0</v>
      </c>
      <c r="J6293" s="225">
        <v>0</v>
      </c>
      <c r="K6293" s="225">
        <v>126863</v>
      </c>
      <c r="L62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126863</v>
      </c>
      <c r="M6293" s="225">
        <f>ROUND(IF(AND(Base_Periodo1[[#This Row],[Tipo_Linha]]="-",Base_Periodo1[[#This Row],[TIPOSALDO]]="D"),Base_Periodo1[[#This Row],[SALDO_ATUAL]]*-1,Base_Periodo1[[#This Row],[SALDO_ATUAL]]),4)</f>
        <v>126863</v>
      </c>
      <c r="N6293" t="s">
        <v>116</v>
      </c>
      <c r="O6293" t="s">
        <v>459</v>
      </c>
      <c r="P6293" t="s">
        <v>459</v>
      </c>
      <c r="Q6293">
        <v>6</v>
      </c>
      <c r="R6293" s="282">
        <f>Base_Periodo1[[#This Row],[CREDITOS]]-Base_Periodo1[[#This Row],[DEBITOS]]</f>
        <v>0</v>
      </c>
      <c r="S6293" s="3" t="str">
        <f>IF(ISERROR(VLOOKUP(Base_Periodo1[[#This Row],[CONTA]],BaseContasDRE[#All],4,FALSE)),"Fora do DRE",VLOOKUP(Base_Periodo1[[#This Row],[CONTA]],BaseContasDRE[#All],4,FALSE))</f>
        <v>+</v>
      </c>
      <c r="T6293" s="3">
        <f>IF(ISERROR(VLOOKUP(Base_Periodo1[[#This Row],[CONTA]],BaseContasDRE[#All],5,FALSE)),"Fora do DRE",VLOOKUP(Base_Periodo1[[#This Row],[CONTA]],BaseContasDRE[#All],6,FALSE))</f>
        <v>7</v>
      </c>
      <c r="U6293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293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293" s="3" t="str">
        <f>LEFT(Base_Periodo1[[#This Row],[CLASS]],3)</f>
        <v>3.1</v>
      </c>
    </row>
    <row r="6294" spans="1:23" hidden="1">
      <c r="A6294" s="3" t="str">
        <f t="shared" si="98"/>
        <v>Período 1</v>
      </c>
      <c r="B6294">
        <v>6295</v>
      </c>
      <c r="C6294" t="s">
        <v>3968</v>
      </c>
      <c r="D6294" t="s">
        <v>3969</v>
      </c>
      <c r="E6294" s="3" t="str">
        <f>IF(LEN(Base_Periodo1[[#This Row],[CLASS]])&gt;=7,LEFT(Base_Periodo1[[#This Row],[CLASS]],7),"")</f>
        <v>3.1.1.6</v>
      </c>
      <c r="F6294" s="3" t="e">
        <f>VLOOKUP(Base_Periodo1[[#This Row],[Aux]],Base_Contas_Balanco[#All],2,FALSE)</f>
        <v>#N/A</v>
      </c>
      <c r="G6294" s="1">
        <v>42766</v>
      </c>
      <c r="H6294" s="225">
        <v>1499.9999999930151</v>
      </c>
      <c r="I6294" s="225">
        <v>0</v>
      </c>
      <c r="J6294" s="225">
        <v>0</v>
      </c>
      <c r="K6294" s="225">
        <v>1499.9999999930151</v>
      </c>
      <c r="L62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1500</v>
      </c>
      <c r="M6294" s="225">
        <f>ROUND(IF(AND(Base_Periodo1[[#This Row],[Tipo_Linha]]="-",Base_Periodo1[[#This Row],[TIPOSALDO]]="D"),Base_Periodo1[[#This Row],[SALDO_ATUAL]]*-1,Base_Periodo1[[#This Row],[SALDO_ATUAL]]),4)</f>
        <v>1500</v>
      </c>
      <c r="N6294" t="s">
        <v>116</v>
      </c>
      <c r="O6294" t="s">
        <v>459</v>
      </c>
      <c r="P6294" t="s">
        <v>459</v>
      </c>
      <c r="Q6294">
        <v>6</v>
      </c>
      <c r="R6294" s="282">
        <f>Base_Periodo1[[#This Row],[CREDITOS]]-Base_Periodo1[[#This Row],[DEBITOS]]</f>
        <v>0</v>
      </c>
      <c r="S6294" s="3" t="str">
        <f>IF(ISERROR(VLOOKUP(Base_Periodo1[[#This Row],[CONTA]],BaseContasDRE[#All],4,FALSE)),"Fora do DRE",VLOOKUP(Base_Periodo1[[#This Row],[CONTA]],BaseContasDRE[#All],4,FALSE))</f>
        <v>+</v>
      </c>
      <c r="T6294" s="3">
        <f>IF(ISERROR(VLOOKUP(Base_Periodo1[[#This Row],[CONTA]],BaseContasDRE[#All],5,FALSE)),"Fora do DRE",VLOOKUP(Base_Periodo1[[#This Row],[CONTA]],BaseContasDRE[#All],6,FALSE))</f>
        <v>7</v>
      </c>
      <c r="U6294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294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294" s="3" t="str">
        <f>LEFT(Base_Periodo1[[#This Row],[CLASS]],3)</f>
        <v>3.1</v>
      </c>
    </row>
    <row r="6295" spans="1:23" hidden="1">
      <c r="A6295" s="3" t="str">
        <f t="shared" si="98"/>
        <v>Período 1</v>
      </c>
      <c r="B6295">
        <v>31643</v>
      </c>
      <c r="C6295" t="s">
        <v>3970</v>
      </c>
      <c r="D6295" t="s">
        <v>3971</v>
      </c>
      <c r="E6295" s="3" t="str">
        <f>IF(LEN(Base_Periodo1[[#This Row],[CLASS]])&gt;=7,LEFT(Base_Periodo1[[#This Row],[CLASS]],7),"")</f>
        <v>3.1.1.6</v>
      </c>
      <c r="F6295" s="3" t="e">
        <f>VLOOKUP(Base_Periodo1[[#This Row],[Aux]],Base_Contas_Balanco[#All],2,FALSE)</f>
        <v>#N/A</v>
      </c>
      <c r="G6295" s="1">
        <v>42872</v>
      </c>
      <c r="H6295" s="225">
        <v>7711.4899999999907</v>
      </c>
      <c r="I6295" s="225">
        <v>0</v>
      </c>
      <c r="J6295" s="225">
        <v>6438.66</v>
      </c>
      <c r="K6295" s="225">
        <v>14150.149999999991</v>
      </c>
      <c r="L62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14150.15</v>
      </c>
      <c r="M6295" s="225">
        <f>ROUND(IF(AND(Base_Periodo1[[#This Row],[Tipo_Linha]]="-",Base_Periodo1[[#This Row],[TIPOSALDO]]="D"),Base_Periodo1[[#This Row],[SALDO_ATUAL]]*-1,Base_Periodo1[[#This Row],[SALDO_ATUAL]]),4)</f>
        <v>14150.15</v>
      </c>
      <c r="N6295" t="s">
        <v>116</v>
      </c>
      <c r="O6295" t="s">
        <v>459</v>
      </c>
      <c r="P6295" t="s">
        <v>459</v>
      </c>
      <c r="Q6295">
        <v>6</v>
      </c>
      <c r="R6295" s="282">
        <f>Base_Periodo1[[#This Row],[CREDITOS]]-Base_Periodo1[[#This Row],[DEBITOS]]</f>
        <v>6438.66</v>
      </c>
      <c r="S6295" s="3" t="str">
        <f>IF(ISERROR(VLOOKUP(Base_Periodo1[[#This Row],[CONTA]],BaseContasDRE[#All],4,FALSE)),"Fora do DRE",VLOOKUP(Base_Periodo1[[#This Row],[CONTA]],BaseContasDRE[#All],4,FALSE))</f>
        <v>+</v>
      </c>
      <c r="T6295" s="3">
        <f>IF(ISERROR(VLOOKUP(Base_Periodo1[[#This Row],[CONTA]],BaseContasDRE[#All],5,FALSE)),"Fora do DRE",VLOOKUP(Base_Periodo1[[#This Row],[CONTA]],BaseContasDRE[#All],6,FALSE))</f>
        <v>7</v>
      </c>
      <c r="U6295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295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295" s="3" t="str">
        <f>LEFT(Base_Periodo1[[#This Row],[CLASS]],3)</f>
        <v>3.1</v>
      </c>
    </row>
    <row r="6296" spans="1:23" hidden="1">
      <c r="A6296" s="3" t="str">
        <f t="shared" si="98"/>
        <v>Período 1</v>
      </c>
      <c r="B6296">
        <v>36788</v>
      </c>
      <c r="C6296" t="s">
        <v>4503</v>
      </c>
      <c r="D6296" t="s">
        <v>3972</v>
      </c>
      <c r="E6296" s="3" t="str">
        <f>IF(LEN(Base_Periodo1[[#This Row],[CLASS]])&gt;=7,LEFT(Base_Periodo1[[#This Row],[CLASS]],7),"")</f>
        <v>3.1.1.6</v>
      </c>
      <c r="F6296" s="3" t="e">
        <f>VLOOKUP(Base_Periodo1[[#This Row],[Aux]],Base_Contas_Balanco[#All],2,FALSE)</f>
        <v>#N/A</v>
      </c>
      <c r="G6296" s="1">
        <v>42878</v>
      </c>
      <c r="H6296" s="225">
        <v>23107.549999999981</v>
      </c>
      <c r="I6296" s="225">
        <v>0</v>
      </c>
      <c r="J6296" s="225">
        <v>3570.6</v>
      </c>
      <c r="K6296" s="225">
        <v>26678.14999999998</v>
      </c>
      <c r="L62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26678.15</v>
      </c>
      <c r="M6296" s="225">
        <f>ROUND(IF(AND(Base_Periodo1[[#This Row],[Tipo_Linha]]="-",Base_Periodo1[[#This Row],[TIPOSALDO]]="D"),Base_Periodo1[[#This Row],[SALDO_ATUAL]]*-1,Base_Periodo1[[#This Row],[SALDO_ATUAL]]),4)</f>
        <v>26678.15</v>
      </c>
      <c r="N6296" t="s">
        <v>116</v>
      </c>
      <c r="O6296" t="s">
        <v>459</v>
      </c>
      <c r="P6296" t="s">
        <v>459</v>
      </c>
      <c r="Q6296">
        <v>6</v>
      </c>
      <c r="R6296" s="282">
        <f>Base_Periodo1[[#This Row],[CREDITOS]]-Base_Periodo1[[#This Row],[DEBITOS]]</f>
        <v>3570.6</v>
      </c>
      <c r="S6296" s="3" t="str">
        <f>IF(ISERROR(VLOOKUP(Base_Periodo1[[#This Row],[CONTA]],BaseContasDRE[#All],4,FALSE)),"Fora do DRE",VLOOKUP(Base_Periodo1[[#This Row],[CONTA]],BaseContasDRE[#All],4,FALSE))</f>
        <v>+</v>
      </c>
      <c r="T6296" s="3">
        <f>IF(ISERROR(VLOOKUP(Base_Periodo1[[#This Row],[CONTA]],BaseContasDRE[#All],5,FALSE)),"Fora do DRE",VLOOKUP(Base_Periodo1[[#This Row],[CONTA]],BaseContasDRE[#All],6,FALSE))</f>
        <v>7</v>
      </c>
      <c r="U6296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296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296" s="3" t="str">
        <f>LEFT(Base_Periodo1[[#This Row],[CLASS]],3)</f>
        <v>3.1</v>
      </c>
    </row>
    <row r="6297" spans="1:23" hidden="1">
      <c r="A6297" s="3" t="str">
        <f t="shared" si="98"/>
        <v>Período 1</v>
      </c>
      <c r="B6297">
        <v>6305</v>
      </c>
      <c r="C6297" t="s">
        <v>5819</v>
      </c>
      <c r="D6297" t="s">
        <v>5812</v>
      </c>
      <c r="E6297" s="3" t="str">
        <f>IF(LEN(Base_Periodo1[[#This Row],[CLASS]])&gt;=7,LEFT(Base_Periodo1[[#This Row],[CLASS]],7),"")</f>
        <v>3.1.1.6</v>
      </c>
      <c r="F6297" s="3" t="e">
        <f>VLOOKUP(Base_Periodo1[[#This Row],[Aux]],Base_Contas_Balanco[#All],2,FALSE)</f>
        <v>#N/A</v>
      </c>
      <c r="G6297" s="1">
        <v>42886</v>
      </c>
      <c r="H6297" s="225">
        <v>13745.770000003278</v>
      </c>
      <c r="I6297" s="225">
        <v>341963.57</v>
      </c>
      <c r="J6297" s="225">
        <v>13745.77</v>
      </c>
      <c r="K6297" s="225">
        <v>341963.57000000327</v>
      </c>
      <c r="L62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-341963.57</v>
      </c>
      <c r="M6297" s="225">
        <f>ROUND(IF(AND(Base_Periodo1[[#This Row],[Tipo_Linha]]="-",Base_Periodo1[[#This Row],[TIPOSALDO]]="D"),Base_Periodo1[[#This Row],[SALDO_ATUAL]]*-1,Base_Periodo1[[#This Row],[SALDO_ATUAL]]),4)</f>
        <v>341963.57</v>
      </c>
      <c r="N6297" t="s">
        <v>116</v>
      </c>
      <c r="O6297" t="s">
        <v>397</v>
      </c>
      <c r="P6297" t="s">
        <v>397</v>
      </c>
      <c r="Q6297">
        <v>6</v>
      </c>
      <c r="R6297" s="282">
        <f>Base_Periodo1[[#This Row],[CREDITOS]]-Base_Periodo1[[#This Row],[DEBITOS]]</f>
        <v>-328217.8</v>
      </c>
      <c r="S6297" s="3" t="str">
        <f>IF(ISERROR(VLOOKUP(Base_Periodo1[[#This Row],[CONTA]],BaseContasDRE[#All],4,FALSE)),"Fora do DRE",VLOOKUP(Base_Periodo1[[#This Row],[CONTA]],BaseContasDRE[#All],4,FALSE))</f>
        <v>+</v>
      </c>
      <c r="T6297" s="3">
        <f>IF(ISERROR(VLOOKUP(Base_Periodo1[[#This Row],[CONTA]],BaseContasDRE[#All],5,FALSE)),"Fora do DRE",VLOOKUP(Base_Periodo1[[#This Row],[CONTA]],BaseContasDRE[#All],6,FALSE))</f>
        <v>7</v>
      </c>
      <c r="U6297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297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297" s="3" t="str">
        <f>LEFT(Base_Periodo1[[#This Row],[CLASS]],3)</f>
        <v>3.1</v>
      </c>
    </row>
    <row r="6298" spans="1:23" hidden="1">
      <c r="A6298" s="3" t="str">
        <f t="shared" si="98"/>
        <v>Período 1</v>
      </c>
      <c r="B6298">
        <v>6298</v>
      </c>
      <c r="C6298" t="s">
        <v>3973</v>
      </c>
      <c r="D6298" t="s">
        <v>3974</v>
      </c>
      <c r="E6298" s="3" t="str">
        <f>IF(LEN(Base_Periodo1[[#This Row],[CLASS]])&gt;=7,LEFT(Base_Periodo1[[#This Row],[CLASS]],7),"")</f>
        <v>3.1.1.6</v>
      </c>
      <c r="F6298" s="3" t="e">
        <f>VLOOKUP(Base_Periodo1[[#This Row],[Aux]],Base_Contas_Balanco[#All],2,FALSE)</f>
        <v>#N/A</v>
      </c>
      <c r="G6298" s="1"/>
      <c r="H6298" s="225">
        <v>34554.829999995185</v>
      </c>
      <c r="I6298" s="225">
        <v>2855.28</v>
      </c>
      <c r="J6298" s="225">
        <v>3653.4</v>
      </c>
      <c r="K6298" s="225">
        <v>33756.709999995182</v>
      </c>
      <c r="L62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-33756.71</v>
      </c>
      <c r="M6298" s="225">
        <f>ROUND(IF(AND(Base_Periodo1[[#This Row],[Tipo_Linha]]="-",Base_Periodo1[[#This Row],[TIPOSALDO]]="D"),Base_Periodo1[[#This Row],[SALDO_ATUAL]]*-1,Base_Periodo1[[#This Row],[SALDO_ATUAL]]),4)</f>
        <v>33756.71</v>
      </c>
      <c r="N6298" t="s">
        <v>396</v>
      </c>
      <c r="O6298" t="s">
        <v>397</v>
      </c>
      <c r="P6298" t="s">
        <v>397</v>
      </c>
      <c r="Q6298">
        <v>5</v>
      </c>
      <c r="R6298" s="282">
        <f>Base_Periodo1[[#This Row],[CREDITOS]]-Base_Periodo1[[#This Row],[DEBITOS]]</f>
        <v>798.11999999999989</v>
      </c>
      <c r="S6298" s="3" t="str">
        <f>IF(ISERROR(VLOOKUP(Base_Periodo1[[#This Row],[CONTA]],BaseContasDRE[#All],4,FALSE)),"Fora do DRE",VLOOKUP(Base_Periodo1[[#This Row],[CONTA]],BaseContasDRE[#All],4,FALSE))</f>
        <v>Fora do DRE</v>
      </c>
      <c r="T6298" s="3" t="str">
        <f>IF(ISERROR(VLOOKUP(Base_Periodo1[[#This Row],[CONTA]],BaseContasDRE[#All],5,FALSE)),"Fora do DRE",VLOOKUP(Base_Periodo1[[#This Row],[CONTA]],BaseContasDRE[#All],6,FALSE))</f>
        <v>Fora do DRE</v>
      </c>
      <c r="U6298" s="3" t="str">
        <f>IF(ISERROR(VLOOKUP(Base_Periodo1[[#This Row],[CONTA]],BaseContasDRE[#All],7,FALSE)),"Fora do DRE",VLOOKUP(Base_Periodo1[[#This Row],[CONTA]],BaseContasDRE[#All],7,FALSE))</f>
        <v>Fora do DRE</v>
      </c>
      <c r="V6298" s="3" t="str">
        <f>IF(Base_Periodo1[[#This Row],[Tipo_Linha]]="Fora do DRE","Fora do DRE","( "&amp;Base_Periodo1[[#This Row],[Tipo_Linha]]&amp;" ) "&amp;Base_Periodo1[[#This Row],[Filtro]])</f>
        <v>Fora do DRE</v>
      </c>
      <c r="W6298" s="3" t="str">
        <f>LEFT(Base_Periodo1[[#This Row],[CLASS]],3)</f>
        <v>3.1</v>
      </c>
    </row>
    <row r="6299" spans="1:23" hidden="1">
      <c r="A6299" s="3" t="str">
        <f t="shared" si="98"/>
        <v>Período 1</v>
      </c>
      <c r="B6299">
        <v>50133</v>
      </c>
      <c r="C6299" t="s">
        <v>4398</v>
      </c>
      <c r="D6299" t="s">
        <v>4399</v>
      </c>
      <c r="E6299" s="3" t="str">
        <f>IF(LEN(Base_Periodo1[[#This Row],[CLASS]])&gt;=7,LEFT(Base_Periodo1[[#This Row],[CLASS]],7),"")</f>
        <v>3.1.1.6</v>
      </c>
      <c r="F6299" s="3" t="e">
        <f>VLOOKUP(Base_Periodo1[[#This Row],[Aux]],Base_Contas_Balanco[#All],2,FALSE)</f>
        <v>#N/A</v>
      </c>
      <c r="G6299" s="1">
        <v>42753</v>
      </c>
      <c r="H6299" s="225">
        <v>37410.109999999928</v>
      </c>
      <c r="I6299" s="225">
        <v>0</v>
      </c>
      <c r="J6299" s="225">
        <v>0</v>
      </c>
      <c r="K6299" s="225">
        <v>37410.109999999928</v>
      </c>
      <c r="L62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-37410.11</v>
      </c>
      <c r="M6299" s="225">
        <f>ROUND(IF(AND(Base_Periodo1[[#This Row],[Tipo_Linha]]="-",Base_Periodo1[[#This Row],[TIPOSALDO]]="D"),Base_Periodo1[[#This Row],[SALDO_ATUAL]]*-1,Base_Periodo1[[#This Row],[SALDO_ATUAL]]),4)</f>
        <v>-37410.11</v>
      </c>
      <c r="N6299" t="s">
        <v>116</v>
      </c>
      <c r="O6299" t="s">
        <v>397</v>
      </c>
      <c r="P6299" t="s">
        <v>397</v>
      </c>
      <c r="Q6299">
        <v>6</v>
      </c>
      <c r="R6299" s="282">
        <f>Base_Periodo1[[#This Row],[CREDITOS]]-Base_Periodo1[[#This Row],[DEBITOS]]</f>
        <v>0</v>
      </c>
      <c r="S6299" s="3" t="str">
        <f>IF(ISERROR(VLOOKUP(Base_Periodo1[[#This Row],[CONTA]],BaseContasDRE[#All],4,FALSE)),"Fora do DRE",VLOOKUP(Base_Periodo1[[#This Row],[CONTA]],BaseContasDRE[#All],4,FALSE))</f>
        <v>-</v>
      </c>
      <c r="T6299" s="3">
        <f>IF(ISERROR(VLOOKUP(Base_Periodo1[[#This Row],[CONTA]],BaseContasDRE[#All],5,FALSE)),"Fora do DRE",VLOOKUP(Base_Periodo1[[#This Row],[CONTA]],BaseContasDRE[#All],6,FALSE))</f>
        <v>7</v>
      </c>
      <c r="U6299" s="3" t="str">
        <f>IF(ISERROR(VLOOKUP(Base_Periodo1[[#This Row],[CONTA]],BaseContasDRE[#All],7,FALSE)),"Fora do DRE",VLOOKUP(Base_Periodo1[[#This Row],[CONTA]],BaseContasDRE[#All],7,FALSE))</f>
        <v>OUTROS DISPÊNDIOS E  DESPESAS OPERACIONAIS</v>
      </c>
      <c r="V6299" s="3" t="str">
        <f>IF(Base_Periodo1[[#This Row],[Tipo_Linha]]="Fora do DRE","Fora do DRE","( "&amp;Base_Periodo1[[#This Row],[Tipo_Linha]]&amp;" ) "&amp;Base_Periodo1[[#This Row],[Filtro]])</f>
        <v>( - ) OUTROS DISPÊNDIOS E  DESPESAS OPERACIONAIS</v>
      </c>
      <c r="W6299" s="3" t="str">
        <f>LEFT(Base_Periodo1[[#This Row],[CLASS]],3)</f>
        <v>3.1</v>
      </c>
    </row>
    <row r="6300" spans="1:23" hidden="1">
      <c r="A6300" s="3" t="str">
        <f t="shared" si="98"/>
        <v>Período 1</v>
      </c>
      <c r="B6300">
        <v>6276</v>
      </c>
      <c r="C6300" t="s">
        <v>5820</v>
      </c>
      <c r="D6300" t="s">
        <v>5812</v>
      </c>
      <c r="E6300" s="3" t="str">
        <f>IF(LEN(Base_Periodo1[[#This Row],[CLASS]])&gt;=7,LEFT(Base_Periodo1[[#This Row],[CLASS]],7),"")</f>
        <v>3.1.1.6</v>
      </c>
      <c r="F6300" s="3" t="e">
        <f>VLOOKUP(Base_Periodo1[[#This Row],[Aux]],Base_Contas_Balanco[#All],2,FALSE)</f>
        <v>#N/A</v>
      </c>
      <c r="G6300" s="1">
        <v>42886</v>
      </c>
      <c r="H6300" s="225">
        <v>2855.2800000011921</v>
      </c>
      <c r="I6300" s="225">
        <v>2855.28</v>
      </c>
      <c r="J6300" s="225">
        <v>3653.4</v>
      </c>
      <c r="K6300" s="225">
        <v>3653.400000001192</v>
      </c>
      <c r="L63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3653.4</v>
      </c>
      <c r="M6300" s="225">
        <f>ROUND(IF(AND(Base_Periodo1[[#This Row],[Tipo_Linha]]="-",Base_Periodo1[[#This Row],[TIPOSALDO]]="D"),Base_Periodo1[[#This Row],[SALDO_ATUAL]]*-1,Base_Periodo1[[#This Row],[SALDO_ATUAL]]),4)</f>
        <v>3653.4</v>
      </c>
      <c r="N6300" t="s">
        <v>116</v>
      </c>
      <c r="O6300" t="s">
        <v>459</v>
      </c>
      <c r="P6300" t="s">
        <v>459</v>
      </c>
      <c r="Q6300">
        <v>6</v>
      </c>
      <c r="R6300" s="282">
        <f>Base_Periodo1[[#This Row],[CREDITOS]]-Base_Periodo1[[#This Row],[DEBITOS]]</f>
        <v>798.11999999999989</v>
      </c>
      <c r="S6300" s="3" t="str">
        <f>IF(ISERROR(VLOOKUP(Base_Periodo1[[#This Row],[CONTA]],BaseContasDRE[#All],4,FALSE)),"Fora do DRE",VLOOKUP(Base_Periodo1[[#This Row],[CONTA]],BaseContasDRE[#All],4,FALSE))</f>
        <v>-</v>
      </c>
      <c r="T6300" s="3">
        <f>IF(ISERROR(VLOOKUP(Base_Periodo1[[#This Row],[CONTA]],BaseContasDRE[#All],5,FALSE)),"Fora do DRE",VLOOKUP(Base_Periodo1[[#This Row],[CONTA]],BaseContasDRE[#All],6,FALSE))</f>
        <v>7</v>
      </c>
      <c r="U6300" s="3" t="str">
        <f>IF(ISERROR(VLOOKUP(Base_Periodo1[[#This Row],[CONTA]],BaseContasDRE[#All],7,FALSE)),"Fora do DRE",VLOOKUP(Base_Periodo1[[#This Row],[CONTA]],BaseContasDRE[#All],7,FALSE))</f>
        <v>OUTROS DISPÊNDIOS E  DESPESAS OPERACIONAIS</v>
      </c>
      <c r="V6300" s="3" t="str">
        <f>IF(Base_Periodo1[[#This Row],[Tipo_Linha]]="Fora do DRE","Fora do DRE","( "&amp;Base_Periodo1[[#This Row],[Tipo_Linha]]&amp;" ) "&amp;Base_Periodo1[[#This Row],[Filtro]])</f>
        <v>( - ) OUTROS DISPÊNDIOS E  DESPESAS OPERACIONAIS</v>
      </c>
      <c r="W6300" s="3" t="str">
        <f>LEFT(Base_Periodo1[[#This Row],[CLASS]],3)</f>
        <v>3.1</v>
      </c>
    </row>
    <row r="6301" spans="1:23" hidden="1">
      <c r="A6301" s="3" t="str">
        <f t="shared" si="98"/>
        <v>Período 1</v>
      </c>
      <c r="B6301">
        <v>23129</v>
      </c>
      <c r="C6301" t="s">
        <v>6056</v>
      </c>
      <c r="D6301" t="s">
        <v>3591</v>
      </c>
      <c r="E6301" s="3" t="str">
        <f>IF(LEN(Base_Periodo1[[#This Row],[CLASS]])&gt;=7,LEFT(Base_Periodo1[[#This Row],[CLASS]],7),"")</f>
        <v/>
      </c>
      <c r="F6301" s="3" t="e">
        <f>VLOOKUP(Base_Periodo1[[#This Row],[Aux]],Base_Contas_Balanco[#All],2,FALSE)</f>
        <v>#N/A</v>
      </c>
      <c r="G6301" s="1"/>
      <c r="H6301" s="225">
        <v>28292.650000000012</v>
      </c>
      <c r="I6301" s="225">
        <v>0</v>
      </c>
      <c r="J6301" s="225">
        <v>0</v>
      </c>
      <c r="K6301" s="225">
        <v>28292.650000000012</v>
      </c>
      <c r="L63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28292.65</v>
      </c>
      <c r="M6301" s="225">
        <f>ROUND(IF(AND(Base_Periodo1[[#This Row],[Tipo_Linha]]="-",Base_Periodo1[[#This Row],[TIPOSALDO]]="D"),Base_Periodo1[[#This Row],[SALDO_ATUAL]]*-1,Base_Periodo1[[#This Row],[SALDO_ATUAL]]),4)</f>
        <v>28292.65</v>
      </c>
      <c r="N6301" t="s">
        <v>396</v>
      </c>
      <c r="O6301" t="s">
        <v>459</v>
      </c>
      <c r="P6301" t="s">
        <v>459</v>
      </c>
      <c r="Q6301">
        <v>3</v>
      </c>
      <c r="R6301" s="282">
        <f>Base_Periodo1[[#This Row],[CREDITOS]]-Base_Periodo1[[#This Row],[DEBITOS]]</f>
        <v>0</v>
      </c>
      <c r="S6301" s="3" t="str">
        <f>IF(ISERROR(VLOOKUP(Base_Periodo1[[#This Row],[CONTA]],BaseContasDRE[#All],4,FALSE)),"Fora do DRE",VLOOKUP(Base_Periodo1[[#This Row],[CONTA]],BaseContasDRE[#All],4,FALSE))</f>
        <v>Fora do DRE</v>
      </c>
      <c r="T6301" s="3" t="str">
        <f>IF(ISERROR(VLOOKUP(Base_Periodo1[[#This Row],[CONTA]],BaseContasDRE[#All],5,FALSE)),"Fora do DRE",VLOOKUP(Base_Periodo1[[#This Row],[CONTA]],BaseContasDRE[#All],6,FALSE))</f>
        <v>Fora do DRE</v>
      </c>
      <c r="U6301" s="3" t="str">
        <f>IF(ISERROR(VLOOKUP(Base_Periodo1[[#This Row],[CONTA]],BaseContasDRE[#All],7,FALSE)),"Fora do DRE",VLOOKUP(Base_Periodo1[[#This Row],[CONTA]],BaseContasDRE[#All],7,FALSE))</f>
        <v>Fora do DRE</v>
      </c>
      <c r="V6301" s="3" t="str">
        <f>IF(Base_Periodo1[[#This Row],[Tipo_Linha]]="Fora do DRE","Fora do DRE","( "&amp;Base_Periodo1[[#This Row],[Tipo_Linha]]&amp;" ) "&amp;Base_Periodo1[[#This Row],[Filtro]])</f>
        <v>Fora do DRE</v>
      </c>
      <c r="W6301" s="3" t="str">
        <f>LEFT(Base_Periodo1[[#This Row],[CLASS]],3)</f>
        <v>3.1</v>
      </c>
    </row>
    <row r="6302" spans="1:23" hidden="1">
      <c r="A6302" s="3" t="str">
        <f t="shared" si="98"/>
        <v>Período 1</v>
      </c>
      <c r="B6302">
        <v>6288</v>
      </c>
      <c r="C6302" t="s">
        <v>6057</v>
      </c>
      <c r="D6302" t="s">
        <v>3591</v>
      </c>
      <c r="E6302" s="3" t="str">
        <f>IF(LEN(Base_Periodo1[[#This Row],[CLASS]])&gt;=7,LEFT(Base_Periodo1[[#This Row],[CLASS]],7),"")</f>
        <v>3.1.2.1</v>
      </c>
      <c r="F6302" s="3" t="e">
        <f>VLOOKUP(Base_Periodo1[[#This Row],[Aux]],Base_Contas_Balanco[#All],2,FALSE)</f>
        <v>#N/A</v>
      </c>
      <c r="G6302" s="1"/>
      <c r="H6302" s="225">
        <v>28292.649999999998</v>
      </c>
      <c r="I6302" s="225">
        <v>0</v>
      </c>
      <c r="J6302" s="225">
        <v>0</v>
      </c>
      <c r="K6302" s="225">
        <v>28292.649999999998</v>
      </c>
      <c r="L63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28292.65</v>
      </c>
      <c r="M6302" s="225">
        <f>ROUND(IF(AND(Base_Periodo1[[#This Row],[Tipo_Linha]]="-",Base_Periodo1[[#This Row],[TIPOSALDO]]="D"),Base_Periodo1[[#This Row],[SALDO_ATUAL]]*-1,Base_Periodo1[[#This Row],[SALDO_ATUAL]]),4)</f>
        <v>28292.65</v>
      </c>
      <c r="N6302" t="s">
        <v>396</v>
      </c>
      <c r="O6302" t="s">
        <v>459</v>
      </c>
      <c r="P6302" t="s">
        <v>459</v>
      </c>
      <c r="Q6302">
        <v>4</v>
      </c>
      <c r="R6302" s="282">
        <f>Base_Periodo1[[#This Row],[CREDITOS]]-Base_Periodo1[[#This Row],[DEBITOS]]</f>
        <v>0</v>
      </c>
      <c r="S6302" s="3" t="str">
        <f>IF(ISERROR(VLOOKUP(Base_Periodo1[[#This Row],[CONTA]],BaseContasDRE[#All],4,FALSE)),"Fora do DRE",VLOOKUP(Base_Periodo1[[#This Row],[CONTA]],BaseContasDRE[#All],4,FALSE))</f>
        <v>Fora do DRE</v>
      </c>
      <c r="T6302" s="3" t="str">
        <f>IF(ISERROR(VLOOKUP(Base_Periodo1[[#This Row],[CONTA]],BaseContasDRE[#All],5,FALSE)),"Fora do DRE",VLOOKUP(Base_Periodo1[[#This Row],[CONTA]],BaseContasDRE[#All],6,FALSE))</f>
        <v>Fora do DRE</v>
      </c>
      <c r="U6302" s="3" t="str">
        <f>IF(ISERROR(VLOOKUP(Base_Periodo1[[#This Row],[CONTA]],BaseContasDRE[#All],7,FALSE)),"Fora do DRE",VLOOKUP(Base_Periodo1[[#This Row],[CONTA]],BaseContasDRE[#All],7,FALSE))</f>
        <v>Fora do DRE</v>
      </c>
      <c r="V6302" s="3" t="str">
        <f>IF(Base_Periodo1[[#This Row],[Tipo_Linha]]="Fora do DRE","Fora do DRE","( "&amp;Base_Periodo1[[#This Row],[Tipo_Linha]]&amp;" ) "&amp;Base_Periodo1[[#This Row],[Filtro]])</f>
        <v>Fora do DRE</v>
      </c>
      <c r="W6302" s="3" t="str">
        <f>LEFT(Base_Periodo1[[#This Row],[CLASS]],3)</f>
        <v>3.1</v>
      </c>
    </row>
    <row r="6303" spans="1:23" hidden="1">
      <c r="A6303" s="3" t="str">
        <f t="shared" si="98"/>
        <v>Período 1</v>
      </c>
      <c r="B6303">
        <v>6293</v>
      </c>
      <c r="C6303" t="s">
        <v>6058</v>
      </c>
      <c r="D6303" t="s">
        <v>3971</v>
      </c>
      <c r="E6303" s="3" t="str">
        <f>IF(LEN(Base_Periodo1[[#This Row],[CLASS]])&gt;=7,LEFT(Base_Periodo1[[#This Row],[CLASS]],7),"")</f>
        <v>3.1.2.1</v>
      </c>
      <c r="F6303" s="3" t="e">
        <f>VLOOKUP(Base_Periodo1[[#This Row],[Aux]],Base_Contas_Balanco[#All],2,FALSE)</f>
        <v>#N/A</v>
      </c>
      <c r="G6303" s="1"/>
      <c r="H6303" s="225">
        <v>28292.649999999998</v>
      </c>
      <c r="I6303" s="225">
        <v>0</v>
      </c>
      <c r="J6303" s="225">
        <v>0</v>
      </c>
      <c r="K6303" s="225">
        <v>28292.649999999998</v>
      </c>
      <c r="L63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28292.65</v>
      </c>
      <c r="M6303" s="225">
        <f>ROUND(IF(AND(Base_Periodo1[[#This Row],[Tipo_Linha]]="-",Base_Periodo1[[#This Row],[TIPOSALDO]]="D"),Base_Periodo1[[#This Row],[SALDO_ATUAL]]*-1,Base_Periodo1[[#This Row],[SALDO_ATUAL]]),4)</f>
        <v>28292.65</v>
      </c>
      <c r="N6303" t="s">
        <v>396</v>
      </c>
      <c r="O6303" t="s">
        <v>459</v>
      </c>
      <c r="P6303" t="s">
        <v>459</v>
      </c>
      <c r="Q6303">
        <v>5</v>
      </c>
      <c r="R6303" s="282">
        <f>Base_Periodo1[[#This Row],[CREDITOS]]-Base_Periodo1[[#This Row],[DEBITOS]]</f>
        <v>0</v>
      </c>
      <c r="S6303" s="3" t="str">
        <f>IF(ISERROR(VLOOKUP(Base_Periodo1[[#This Row],[CONTA]],BaseContasDRE[#All],4,FALSE)),"Fora do DRE",VLOOKUP(Base_Periodo1[[#This Row],[CONTA]],BaseContasDRE[#All],4,FALSE))</f>
        <v>Fora do DRE</v>
      </c>
      <c r="T6303" s="3" t="str">
        <f>IF(ISERROR(VLOOKUP(Base_Periodo1[[#This Row],[CONTA]],BaseContasDRE[#All],5,FALSE)),"Fora do DRE",VLOOKUP(Base_Periodo1[[#This Row],[CONTA]],BaseContasDRE[#All],6,FALSE))</f>
        <v>Fora do DRE</v>
      </c>
      <c r="U6303" s="3" t="str">
        <f>IF(ISERROR(VLOOKUP(Base_Periodo1[[#This Row],[CONTA]],BaseContasDRE[#All],7,FALSE)),"Fora do DRE",VLOOKUP(Base_Periodo1[[#This Row],[CONTA]],BaseContasDRE[#All],7,FALSE))</f>
        <v>Fora do DRE</v>
      </c>
      <c r="V6303" s="3" t="str">
        <f>IF(Base_Periodo1[[#This Row],[Tipo_Linha]]="Fora do DRE","Fora do DRE","( "&amp;Base_Periodo1[[#This Row],[Tipo_Linha]]&amp;" ) "&amp;Base_Periodo1[[#This Row],[Filtro]])</f>
        <v>Fora do DRE</v>
      </c>
      <c r="W6303" s="3" t="str">
        <f>LEFT(Base_Periodo1[[#This Row],[CLASS]],3)</f>
        <v>3.1</v>
      </c>
    </row>
    <row r="6304" spans="1:23" hidden="1">
      <c r="A6304" s="3" t="str">
        <f t="shared" si="98"/>
        <v>Período 1</v>
      </c>
      <c r="B6304">
        <v>6294</v>
      </c>
      <c r="C6304" t="s">
        <v>6059</v>
      </c>
      <c r="D6304" t="s">
        <v>6060</v>
      </c>
      <c r="E6304" s="3" t="str">
        <f>IF(LEN(Base_Periodo1[[#This Row],[CLASS]])&gt;=7,LEFT(Base_Periodo1[[#This Row],[CLASS]],7),"")</f>
        <v>3.1.2.1</v>
      </c>
      <c r="F6304" s="3" t="e">
        <f>VLOOKUP(Base_Periodo1[[#This Row],[Aux]],Base_Contas_Balanco[#All],2,FALSE)</f>
        <v>#N/A</v>
      </c>
      <c r="G6304" s="1">
        <v>42837</v>
      </c>
      <c r="H6304" s="225">
        <v>28292.649999999998</v>
      </c>
      <c r="I6304" s="225">
        <v>0</v>
      </c>
      <c r="J6304" s="225">
        <v>0</v>
      </c>
      <c r="K6304" s="225">
        <v>28292.649999999998</v>
      </c>
      <c r="L63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28292.65</v>
      </c>
      <c r="M6304" s="225">
        <f>ROUND(IF(AND(Base_Periodo1[[#This Row],[Tipo_Linha]]="-",Base_Periodo1[[#This Row],[TIPOSALDO]]="D"),Base_Periodo1[[#This Row],[SALDO_ATUAL]]*-1,Base_Periodo1[[#This Row],[SALDO_ATUAL]]),4)</f>
        <v>28292.65</v>
      </c>
      <c r="N6304" t="s">
        <v>116</v>
      </c>
      <c r="O6304" t="s">
        <v>459</v>
      </c>
      <c r="P6304" t="s">
        <v>459</v>
      </c>
      <c r="Q6304">
        <v>6</v>
      </c>
      <c r="R6304" s="282">
        <f>Base_Periodo1[[#This Row],[CREDITOS]]-Base_Periodo1[[#This Row],[DEBITOS]]</f>
        <v>0</v>
      </c>
      <c r="S6304" s="3" t="str">
        <f>IF(ISERROR(VLOOKUP(Base_Periodo1[[#This Row],[CONTA]],BaseContasDRE[#All],4,FALSE)),"Fora do DRE",VLOOKUP(Base_Periodo1[[#This Row],[CONTA]],BaseContasDRE[#All],4,FALSE))</f>
        <v>+</v>
      </c>
      <c r="T6304" s="3">
        <f>IF(ISERROR(VLOOKUP(Base_Periodo1[[#This Row],[CONTA]],BaseContasDRE[#All],5,FALSE)),"Fora do DRE",VLOOKUP(Base_Periodo1[[#This Row],[CONTA]],BaseContasDRE[#All],6,FALSE))</f>
        <v>7</v>
      </c>
      <c r="U6304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304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304" s="3" t="str">
        <f>LEFT(Base_Periodo1[[#This Row],[CLASS]],3)</f>
        <v>3.1</v>
      </c>
    </row>
    <row r="6305" spans="1:23" hidden="1">
      <c r="A6305" s="3" t="str">
        <f t="shared" si="98"/>
        <v>Período 1</v>
      </c>
      <c r="B6305">
        <v>6310</v>
      </c>
      <c r="C6305" t="s">
        <v>3975</v>
      </c>
      <c r="D6305" t="s">
        <v>3976</v>
      </c>
      <c r="E6305" s="3" t="str">
        <f>IF(LEN(Base_Periodo1[[#This Row],[CLASS]])&gt;=7,LEFT(Base_Periodo1[[#This Row],[CLASS]],7),"")</f>
        <v/>
      </c>
      <c r="F6305" s="3" t="e">
        <f>VLOOKUP(Base_Periodo1[[#This Row],[Aux]],Base_Contas_Balanco[#All],2,FALSE)</f>
        <v>#N/A</v>
      </c>
      <c r="G6305" s="1"/>
      <c r="H6305" s="225">
        <v>722396.91000092006</v>
      </c>
      <c r="I6305" s="225">
        <v>395777328.46999991</v>
      </c>
      <c r="J6305" s="225">
        <v>396047314.26999986</v>
      </c>
      <c r="K6305" s="225">
        <v>992382.71000087261</v>
      </c>
      <c r="L63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992382.71</v>
      </c>
      <c r="M6305" s="225">
        <f>ROUND(IF(AND(Base_Periodo1[[#This Row],[Tipo_Linha]]="-",Base_Periodo1[[#This Row],[TIPOSALDO]]="D"),Base_Periodo1[[#This Row],[SALDO_ATUAL]]*-1,Base_Periodo1[[#This Row],[SALDO_ATUAL]]),4)</f>
        <v>992382.71</v>
      </c>
      <c r="N6305" t="s">
        <v>396</v>
      </c>
      <c r="O6305" t="s">
        <v>459</v>
      </c>
      <c r="P6305" t="s">
        <v>459</v>
      </c>
      <c r="Q6305">
        <v>2</v>
      </c>
      <c r="R6305" s="282">
        <f>Base_Periodo1[[#This Row],[CREDITOS]]-Base_Periodo1[[#This Row],[DEBITOS]]</f>
        <v>269985.79999995232</v>
      </c>
      <c r="S6305" s="3" t="str">
        <f>IF(ISERROR(VLOOKUP(Base_Periodo1[[#This Row],[CONTA]],BaseContasDRE[#All],4,FALSE)),"Fora do DRE",VLOOKUP(Base_Periodo1[[#This Row],[CONTA]],BaseContasDRE[#All],4,FALSE))</f>
        <v>Fora do DRE</v>
      </c>
      <c r="T6305" s="3" t="str">
        <f>IF(ISERROR(VLOOKUP(Base_Periodo1[[#This Row],[CONTA]],BaseContasDRE[#All],5,FALSE)),"Fora do DRE",VLOOKUP(Base_Periodo1[[#This Row],[CONTA]],BaseContasDRE[#All],6,FALSE))</f>
        <v>Fora do DRE</v>
      </c>
      <c r="U6305" s="3" t="str">
        <f>IF(ISERROR(VLOOKUP(Base_Periodo1[[#This Row],[CONTA]],BaseContasDRE[#All],7,FALSE)),"Fora do DRE",VLOOKUP(Base_Periodo1[[#This Row],[CONTA]],BaseContasDRE[#All],7,FALSE))</f>
        <v>Fora do DRE</v>
      </c>
      <c r="V6305" s="3" t="str">
        <f>IF(Base_Periodo1[[#This Row],[Tipo_Linha]]="Fora do DRE","Fora do DRE","( "&amp;Base_Periodo1[[#This Row],[Tipo_Linha]]&amp;" ) "&amp;Base_Periodo1[[#This Row],[Filtro]])</f>
        <v>Fora do DRE</v>
      </c>
      <c r="W6305" s="3" t="str">
        <f>LEFT(Base_Periodo1[[#This Row],[CLASS]],3)</f>
        <v>3.2</v>
      </c>
    </row>
    <row r="6306" spans="1:23" hidden="1">
      <c r="A6306" s="3" t="str">
        <f t="shared" si="98"/>
        <v>Período 1</v>
      </c>
      <c r="B6306">
        <v>6311</v>
      </c>
      <c r="C6306" t="s">
        <v>3977</v>
      </c>
      <c r="D6306" t="s">
        <v>3978</v>
      </c>
      <c r="E6306" s="3" t="str">
        <f>IF(LEN(Base_Periodo1[[#This Row],[CLASS]])&gt;=7,LEFT(Base_Periodo1[[#This Row],[CLASS]],7),"")</f>
        <v/>
      </c>
      <c r="F6306" s="3" t="e">
        <f>VLOOKUP(Base_Periodo1[[#This Row],[Aux]],Base_Contas_Balanco[#All],2,FALSE)</f>
        <v>#N/A</v>
      </c>
      <c r="G6306" s="1"/>
      <c r="H6306" s="225">
        <v>1103638.4500009217</v>
      </c>
      <c r="I6306" s="225">
        <v>395653439.68999988</v>
      </c>
      <c r="J6306" s="225">
        <v>396047314.26999986</v>
      </c>
      <c r="K6306" s="225">
        <v>1497513.0300009251</v>
      </c>
      <c r="L63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1497513.03</v>
      </c>
      <c r="M6306" s="225">
        <f>ROUND(IF(AND(Base_Periodo1[[#This Row],[Tipo_Linha]]="-",Base_Periodo1[[#This Row],[TIPOSALDO]]="D"),Base_Periodo1[[#This Row],[SALDO_ATUAL]]*-1,Base_Periodo1[[#This Row],[SALDO_ATUAL]]),4)</f>
        <v>1497513.03</v>
      </c>
      <c r="N6306" t="s">
        <v>396</v>
      </c>
      <c r="O6306" t="s">
        <v>459</v>
      </c>
      <c r="P6306" t="s">
        <v>459</v>
      </c>
      <c r="Q6306">
        <v>3</v>
      </c>
      <c r="R6306" s="282">
        <f>Base_Periodo1[[#This Row],[CREDITOS]]-Base_Periodo1[[#This Row],[DEBITOS]]</f>
        <v>393874.57999998331</v>
      </c>
      <c r="S6306" s="3" t="str">
        <f>IF(ISERROR(VLOOKUP(Base_Periodo1[[#This Row],[CONTA]],BaseContasDRE[#All],4,FALSE)),"Fora do DRE",VLOOKUP(Base_Periodo1[[#This Row],[CONTA]],BaseContasDRE[#All],4,FALSE))</f>
        <v>Fora do DRE</v>
      </c>
      <c r="T6306" s="3" t="str">
        <f>IF(ISERROR(VLOOKUP(Base_Periodo1[[#This Row],[CONTA]],BaseContasDRE[#All],5,FALSE)),"Fora do DRE",VLOOKUP(Base_Periodo1[[#This Row],[CONTA]],BaseContasDRE[#All],6,FALSE))</f>
        <v>Fora do DRE</v>
      </c>
      <c r="U6306" s="3" t="str">
        <f>IF(ISERROR(VLOOKUP(Base_Periodo1[[#This Row],[CONTA]],BaseContasDRE[#All],7,FALSE)),"Fora do DRE",VLOOKUP(Base_Periodo1[[#This Row],[CONTA]],BaseContasDRE[#All],7,FALSE))</f>
        <v>Fora do DRE</v>
      </c>
      <c r="V6306" s="3" t="str">
        <f>IF(Base_Periodo1[[#This Row],[Tipo_Linha]]="Fora do DRE","Fora do DRE","( "&amp;Base_Periodo1[[#This Row],[Tipo_Linha]]&amp;" ) "&amp;Base_Periodo1[[#This Row],[Filtro]])</f>
        <v>Fora do DRE</v>
      </c>
      <c r="W6306" s="3" t="str">
        <f>LEFT(Base_Periodo1[[#This Row],[CLASS]],3)</f>
        <v>3.2</v>
      </c>
    </row>
    <row r="6307" spans="1:23" hidden="1">
      <c r="A6307" s="3" t="str">
        <f t="shared" si="98"/>
        <v>Período 1</v>
      </c>
      <c r="B6307">
        <v>6312</v>
      </c>
      <c r="C6307" t="s">
        <v>3979</v>
      </c>
      <c r="D6307" t="s">
        <v>3980</v>
      </c>
      <c r="E6307" s="3" t="str">
        <f>IF(LEN(Base_Periodo1[[#This Row],[CLASS]])&gt;=7,LEFT(Base_Periodo1[[#This Row],[CLASS]],7),"")</f>
        <v>3.2.1.1</v>
      </c>
      <c r="F6307" s="3" t="e">
        <f>VLOOKUP(Base_Periodo1[[#This Row],[Aux]],Base_Contas_Balanco[#All],2,FALSE)</f>
        <v>#N/A</v>
      </c>
      <c r="G6307" s="1"/>
      <c r="H6307" s="225">
        <v>1607267.8000009325</v>
      </c>
      <c r="I6307" s="225">
        <v>391726133.05999988</v>
      </c>
      <c r="J6307" s="225">
        <v>392578609.21999997</v>
      </c>
      <c r="K6307" s="225">
        <v>2459743.9600009918</v>
      </c>
      <c r="L63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2459743.96</v>
      </c>
      <c r="M6307" s="225">
        <f>ROUND(IF(AND(Base_Periodo1[[#This Row],[Tipo_Linha]]="-",Base_Periodo1[[#This Row],[TIPOSALDO]]="D"),Base_Periodo1[[#This Row],[SALDO_ATUAL]]*-1,Base_Periodo1[[#This Row],[SALDO_ATUAL]]),4)</f>
        <v>2459743.96</v>
      </c>
      <c r="N6307" t="s">
        <v>396</v>
      </c>
      <c r="O6307" t="s">
        <v>459</v>
      </c>
      <c r="P6307" t="s">
        <v>459</v>
      </c>
      <c r="Q6307">
        <v>4</v>
      </c>
      <c r="R6307" s="282">
        <f>Base_Periodo1[[#This Row],[CREDITOS]]-Base_Periodo1[[#This Row],[DEBITOS]]</f>
        <v>852476.16000008583</v>
      </c>
      <c r="S6307" s="3" t="str">
        <f>IF(ISERROR(VLOOKUP(Base_Periodo1[[#This Row],[CONTA]],BaseContasDRE[#All],4,FALSE)),"Fora do DRE",VLOOKUP(Base_Periodo1[[#This Row],[CONTA]],BaseContasDRE[#All],4,FALSE))</f>
        <v>Fora do DRE</v>
      </c>
      <c r="T6307" s="3" t="str">
        <f>IF(ISERROR(VLOOKUP(Base_Periodo1[[#This Row],[CONTA]],BaseContasDRE[#All],5,FALSE)),"Fora do DRE",VLOOKUP(Base_Periodo1[[#This Row],[CONTA]],BaseContasDRE[#All],6,FALSE))</f>
        <v>Fora do DRE</v>
      </c>
      <c r="U6307" s="3" t="str">
        <f>IF(ISERROR(VLOOKUP(Base_Periodo1[[#This Row],[CONTA]],BaseContasDRE[#All],7,FALSE)),"Fora do DRE",VLOOKUP(Base_Periodo1[[#This Row],[CONTA]],BaseContasDRE[#All],7,FALSE))</f>
        <v>Fora do DRE</v>
      </c>
      <c r="V6307" s="3" t="str">
        <f>IF(Base_Periodo1[[#This Row],[Tipo_Linha]]="Fora do DRE","Fora do DRE","( "&amp;Base_Periodo1[[#This Row],[Tipo_Linha]]&amp;" ) "&amp;Base_Periodo1[[#This Row],[Filtro]])</f>
        <v>Fora do DRE</v>
      </c>
      <c r="W6307" s="3" t="str">
        <f>LEFT(Base_Periodo1[[#This Row],[CLASS]],3)</f>
        <v>3.2</v>
      </c>
    </row>
    <row r="6308" spans="1:23" hidden="1">
      <c r="A6308" s="3" t="str">
        <f t="shared" si="98"/>
        <v>Período 1</v>
      </c>
      <c r="B6308">
        <v>6313</v>
      </c>
      <c r="C6308" t="s">
        <v>3981</v>
      </c>
      <c r="D6308" t="s">
        <v>1048</v>
      </c>
      <c r="E6308" s="3" t="str">
        <f>IF(LEN(Base_Periodo1[[#This Row],[CLASS]])&gt;=7,LEFT(Base_Periodo1[[#This Row],[CLASS]],7),"")</f>
        <v>3.2.1.1</v>
      </c>
      <c r="F6308" s="3" t="e">
        <f>VLOOKUP(Base_Periodo1[[#This Row],[Aux]],Base_Contas_Balanco[#All],2,FALSE)</f>
        <v>#N/A</v>
      </c>
      <c r="G6308" s="1"/>
      <c r="H6308" s="225">
        <v>1033607.8600009364</v>
      </c>
      <c r="I6308" s="225">
        <v>378167534.98000002</v>
      </c>
      <c r="J6308" s="225">
        <v>378849372.1400001</v>
      </c>
      <c r="K6308" s="225">
        <v>1715445.0200009942</v>
      </c>
      <c r="L63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1715445.02</v>
      </c>
      <c r="M6308" s="225">
        <f>ROUND(IF(AND(Base_Periodo1[[#This Row],[Tipo_Linha]]="-",Base_Periodo1[[#This Row],[TIPOSALDO]]="D"),Base_Periodo1[[#This Row],[SALDO_ATUAL]]*-1,Base_Periodo1[[#This Row],[SALDO_ATUAL]]),4)</f>
        <v>1715445.02</v>
      </c>
      <c r="N6308" t="s">
        <v>396</v>
      </c>
      <c r="O6308" t="s">
        <v>459</v>
      </c>
      <c r="P6308" t="s">
        <v>459</v>
      </c>
      <c r="Q6308">
        <v>5</v>
      </c>
      <c r="R6308" s="282">
        <f>Base_Periodo1[[#This Row],[CREDITOS]]-Base_Periodo1[[#This Row],[DEBITOS]]</f>
        <v>681837.16000008583</v>
      </c>
      <c r="S6308" s="3" t="str">
        <f>IF(ISERROR(VLOOKUP(Base_Periodo1[[#This Row],[CONTA]],BaseContasDRE[#All],4,FALSE)),"Fora do DRE",VLOOKUP(Base_Periodo1[[#This Row],[CONTA]],BaseContasDRE[#All],4,FALSE))</f>
        <v>Fora do DRE</v>
      </c>
      <c r="T6308" s="3" t="str">
        <f>IF(ISERROR(VLOOKUP(Base_Periodo1[[#This Row],[CONTA]],BaseContasDRE[#All],5,FALSE)),"Fora do DRE",VLOOKUP(Base_Periodo1[[#This Row],[CONTA]],BaseContasDRE[#All],6,FALSE))</f>
        <v>Fora do DRE</v>
      </c>
      <c r="U6308" s="3" t="str">
        <f>IF(ISERROR(VLOOKUP(Base_Periodo1[[#This Row],[CONTA]],BaseContasDRE[#All],7,FALSE)),"Fora do DRE",VLOOKUP(Base_Periodo1[[#This Row],[CONTA]],BaseContasDRE[#All],7,FALSE))</f>
        <v>Fora do DRE</v>
      </c>
      <c r="V6308" s="3" t="str">
        <f>IF(Base_Periodo1[[#This Row],[Tipo_Linha]]="Fora do DRE","Fora do DRE","( "&amp;Base_Periodo1[[#This Row],[Tipo_Linha]]&amp;" ) "&amp;Base_Periodo1[[#This Row],[Filtro]])</f>
        <v>Fora do DRE</v>
      </c>
      <c r="W6308" s="3" t="str">
        <f>LEFT(Base_Periodo1[[#This Row],[CLASS]],3)</f>
        <v>3.2</v>
      </c>
    </row>
    <row r="6309" spans="1:23" hidden="1">
      <c r="A6309" s="3" t="str">
        <f t="shared" si="98"/>
        <v>Período 1</v>
      </c>
      <c r="B6309">
        <v>6314</v>
      </c>
      <c r="C6309" t="s">
        <v>3982</v>
      </c>
      <c r="D6309" t="s">
        <v>1050</v>
      </c>
      <c r="E6309" s="3" t="str">
        <f>IF(LEN(Base_Periodo1[[#This Row],[CLASS]])&gt;=7,LEFT(Base_Periodo1[[#This Row],[CLASS]],7),"")</f>
        <v>3.2.1.1</v>
      </c>
      <c r="F6309" s="3" t="e">
        <f>VLOOKUP(Base_Periodo1[[#This Row],[Aux]],Base_Contas_Balanco[#All],2,FALSE)</f>
        <v>#N/A</v>
      </c>
      <c r="G6309" s="1"/>
      <c r="H6309" s="225">
        <v>1033607.8600009364</v>
      </c>
      <c r="I6309" s="225">
        <v>378167534.98000002</v>
      </c>
      <c r="J6309" s="225">
        <v>378849372.1400001</v>
      </c>
      <c r="K6309" s="225">
        <v>1715445.0200009942</v>
      </c>
      <c r="L63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1715445.02</v>
      </c>
      <c r="M6309" s="225">
        <f>ROUND(IF(AND(Base_Periodo1[[#This Row],[Tipo_Linha]]="-",Base_Periodo1[[#This Row],[TIPOSALDO]]="D"),Base_Periodo1[[#This Row],[SALDO_ATUAL]]*-1,Base_Periodo1[[#This Row],[SALDO_ATUAL]]),4)</f>
        <v>1715445.02</v>
      </c>
      <c r="N6309" t="s">
        <v>396</v>
      </c>
      <c r="O6309" t="s">
        <v>459</v>
      </c>
      <c r="P6309" t="s">
        <v>459</v>
      </c>
      <c r="Q6309">
        <v>6</v>
      </c>
      <c r="R6309" s="282">
        <f>Base_Periodo1[[#This Row],[CREDITOS]]-Base_Periodo1[[#This Row],[DEBITOS]]</f>
        <v>681837.16000008583</v>
      </c>
      <c r="S6309" s="3" t="str">
        <f>IF(ISERROR(VLOOKUP(Base_Periodo1[[#This Row],[CONTA]],BaseContasDRE[#All],4,FALSE)),"Fora do DRE",VLOOKUP(Base_Periodo1[[#This Row],[CONTA]],BaseContasDRE[#All],4,FALSE))</f>
        <v>Fora do DRE</v>
      </c>
      <c r="T6309" s="3" t="str">
        <f>IF(ISERROR(VLOOKUP(Base_Periodo1[[#This Row],[CONTA]],BaseContasDRE[#All],5,FALSE)),"Fora do DRE",VLOOKUP(Base_Periodo1[[#This Row],[CONTA]],BaseContasDRE[#All],6,FALSE))</f>
        <v>Fora do DRE</v>
      </c>
      <c r="U6309" s="3" t="str">
        <f>IF(ISERROR(VLOOKUP(Base_Periodo1[[#This Row],[CONTA]],BaseContasDRE[#All],7,FALSE)),"Fora do DRE",VLOOKUP(Base_Periodo1[[#This Row],[CONTA]],BaseContasDRE[#All],7,FALSE))</f>
        <v>Fora do DRE</v>
      </c>
      <c r="V6309" s="3" t="str">
        <f>IF(Base_Periodo1[[#This Row],[Tipo_Linha]]="Fora do DRE","Fora do DRE","( "&amp;Base_Periodo1[[#This Row],[Tipo_Linha]]&amp;" ) "&amp;Base_Periodo1[[#This Row],[Filtro]])</f>
        <v>Fora do DRE</v>
      </c>
      <c r="W6309" s="3" t="str">
        <f>LEFT(Base_Periodo1[[#This Row],[CLASS]],3)</f>
        <v>3.2</v>
      </c>
    </row>
    <row r="6310" spans="1:23" hidden="1">
      <c r="A6310" s="3" t="str">
        <f t="shared" si="98"/>
        <v>Período 1</v>
      </c>
      <c r="B6310">
        <v>6315</v>
      </c>
      <c r="C6310" t="s">
        <v>3983</v>
      </c>
      <c r="D6310" t="s">
        <v>1052</v>
      </c>
      <c r="E6310" s="3" t="str">
        <f>IF(LEN(Base_Periodo1[[#This Row],[CLASS]])&gt;=7,LEFT(Base_Periodo1[[#This Row],[CLASS]],7),"")</f>
        <v>3.2.1.1</v>
      </c>
      <c r="F6310" s="3" t="e">
        <f>VLOOKUP(Base_Periodo1[[#This Row],[Aux]],Base_Contas_Balanco[#All],2,FALSE)</f>
        <v>#N/A</v>
      </c>
      <c r="G6310" s="1"/>
      <c r="H6310" s="225">
        <v>499233.96000013407</v>
      </c>
      <c r="I6310" s="225">
        <v>226905713.05000001</v>
      </c>
      <c r="J6310" s="225">
        <v>227280677.48000002</v>
      </c>
      <c r="K6310" s="225">
        <v>874198.39000013471</v>
      </c>
      <c r="L63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874198.39</v>
      </c>
      <c r="M6310" s="225">
        <f>ROUND(IF(AND(Base_Periodo1[[#This Row],[Tipo_Linha]]="-",Base_Periodo1[[#This Row],[TIPOSALDO]]="D"),Base_Periodo1[[#This Row],[SALDO_ATUAL]]*-1,Base_Periodo1[[#This Row],[SALDO_ATUAL]]),4)</f>
        <v>874198.39</v>
      </c>
      <c r="N6310" t="s">
        <v>396</v>
      </c>
      <c r="O6310" t="s">
        <v>459</v>
      </c>
      <c r="P6310" t="s">
        <v>459</v>
      </c>
      <c r="Q6310">
        <v>7</v>
      </c>
      <c r="R6310" s="282">
        <f>Base_Periodo1[[#This Row],[CREDITOS]]-Base_Periodo1[[#This Row],[DEBITOS]]</f>
        <v>374964.43000000715</v>
      </c>
      <c r="S6310" s="3" t="str">
        <f>IF(ISERROR(VLOOKUP(Base_Periodo1[[#This Row],[CONTA]],BaseContasDRE[#All],4,FALSE)),"Fora do DRE",VLOOKUP(Base_Periodo1[[#This Row],[CONTA]],BaseContasDRE[#All],4,FALSE))</f>
        <v>Fora do DRE</v>
      </c>
      <c r="T6310" s="3" t="str">
        <f>IF(ISERROR(VLOOKUP(Base_Periodo1[[#This Row],[CONTA]],BaseContasDRE[#All],5,FALSE)),"Fora do DRE",VLOOKUP(Base_Periodo1[[#This Row],[CONTA]],BaseContasDRE[#All],6,FALSE))</f>
        <v>Fora do DRE</v>
      </c>
      <c r="U6310" s="3" t="str">
        <f>IF(ISERROR(VLOOKUP(Base_Periodo1[[#This Row],[CONTA]],BaseContasDRE[#All],7,FALSE)),"Fora do DRE",VLOOKUP(Base_Periodo1[[#This Row],[CONTA]],BaseContasDRE[#All],7,FALSE))</f>
        <v>Fora do DRE</v>
      </c>
      <c r="V6310" s="3" t="str">
        <f>IF(Base_Periodo1[[#This Row],[Tipo_Linha]]="Fora do DRE","Fora do DRE","( "&amp;Base_Periodo1[[#This Row],[Tipo_Linha]]&amp;" ) "&amp;Base_Periodo1[[#This Row],[Filtro]])</f>
        <v>Fora do DRE</v>
      </c>
      <c r="W6310" s="3" t="str">
        <f>LEFT(Base_Periodo1[[#This Row],[CLASS]],3)</f>
        <v>3.2</v>
      </c>
    </row>
    <row r="6311" spans="1:23" hidden="1">
      <c r="A6311" s="3" t="str">
        <f t="shared" si="98"/>
        <v>Período 1</v>
      </c>
      <c r="B6311">
        <v>6316</v>
      </c>
      <c r="C6311" t="s">
        <v>3984</v>
      </c>
      <c r="D6311" t="s">
        <v>3985</v>
      </c>
      <c r="E6311" s="3" t="str">
        <f>IF(LEN(Base_Periodo1[[#This Row],[CLASS]])&gt;=7,LEFT(Base_Periodo1[[#This Row],[CLASS]],7),"")</f>
        <v>3.2.1.1</v>
      </c>
      <c r="F6311" s="3" t="e">
        <f>VLOOKUP(Base_Periodo1[[#This Row],[Aux]],Base_Contas_Balanco[#All],2,FALSE)</f>
        <v>#N/A</v>
      </c>
      <c r="G6311" s="1"/>
      <c r="H6311" s="225">
        <v>307807.02999925613</v>
      </c>
      <c r="I6311" s="225">
        <v>3865412.63</v>
      </c>
      <c r="J6311" s="225">
        <v>4038604.68</v>
      </c>
      <c r="K6311" s="225">
        <v>480999.07999925641</v>
      </c>
      <c r="L63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480999.08</v>
      </c>
      <c r="M6311" s="225">
        <f>ROUND(IF(AND(Base_Periodo1[[#This Row],[Tipo_Linha]]="-",Base_Periodo1[[#This Row],[TIPOSALDO]]="D"),Base_Periodo1[[#This Row],[SALDO_ATUAL]]*-1,Base_Periodo1[[#This Row],[SALDO_ATUAL]]),4)</f>
        <v>480999.08</v>
      </c>
      <c r="N6311" t="s">
        <v>396</v>
      </c>
      <c r="O6311" t="s">
        <v>459</v>
      </c>
      <c r="P6311" t="s">
        <v>459</v>
      </c>
      <c r="Q6311">
        <v>8</v>
      </c>
      <c r="R6311" s="282">
        <f>Base_Periodo1[[#This Row],[CREDITOS]]-Base_Periodo1[[#This Row],[DEBITOS]]</f>
        <v>173192.05000000028</v>
      </c>
      <c r="S6311" s="3" t="str">
        <f>IF(ISERROR(VLOOKUP(Base_Periodo1[[#This Row],[CONTA]],BaseContasDRE[#All],4,FALSE)),"Fora do DRE",VLOOKUP(Base_Periodo1[[#This Row],[CONTA]],BaseContasDRE[#All],4,FALSE))</f>
        <v>Fora do DRE</v>
      </c>
      <c r="T6311" s="3" t="str">
        <f>IF(ISERROR(VLOOKUP(Base_Periodo1[[#This Row],[CONTA]],BaseContasDRE[#All],5,FALSE)),"Fora do DRE",VLOOKUP(Base_Periodo1[[#This Row],[CONTA]],BaseContasDRE[#All],6,FALSE))</f>
        <v>Fora do DRE</v>
      </c>
      <c r="U6311" s="3" t="str">
        <f>IF(ISERROR(VLOOKUP(Base_Periodo1[[#This Row],[CONTA]],BaseContasDRE[#All],7,FALSE)),"Fora do DRE",VLOOKUP(Base_Periodo1[[#This Row],[CONTA]],BaseContasDRE[#All],7,FALSE))</f>
        <v>Fora do DRE</v>
      </c>
      <c r="V6311" s="3" t="str">
        <f>IF(Base_Periodo1[[#This Row],[Tipo_Linha]]="Fora do DRE","Fora do DRE","( "&amp;Base_Periodo1[[#This Row],[Tipo_Linha]]&amp;" ) "&amp;Base_Periodo1[[#This Row],[Filtro]])</f>
        <v>Fora do DRE</v>
      </c>
      <c r="W6311" s="3" t="str">
        <f>LEFT(Base_Periodo1[[#This Row],[CLASS]],3)</f>
        <v>3.2</v>
      </c>
    </row>
    <row r="6312" spans="1:23" hidden="1">
      <c r="A6312" s="3" t="str">
        <f t="shared" si="98"/>
        <v>Período 1</v>
      </c>
      <c r="B6312">
        <v>6317</v>
      </c>
      <c r="C6312" t="s">
        <v>3986</v>
      </c>
      <c r="D6312" t="s">
        <v>3987</v>
      </c>
      <c r="E6312" s="3" t="str">
        <f>IF(LEN(Base_Periodo1[[#This Row],[CLASS]])&gt;=7,LEFT(Base_Periodo1[[#This Row],[CLASS]],7),"")</f>
        <v>3.2.1.1</v>
      </c>
      <c r="F6312" s="3" t="e">
        <f>VLOOKUP(Base_Periodo1[[#This Row],[Aux]],Base_Contas_Balanco[#All],2,FALSE)</f>
        <v>#N/A</v>
      </c>
      <c r="G6312" s="1">
        <v>42886</v>
      </c>
      <c r="H6312" s="225">
        <v>307807.02999925613</v>
      </c>
      <c r="I6312" s="225">
        <v>3865412.63</v>
      </c>
      <c r="J6312" s="225">
        <v>4038604.68</v>
      </c>
      <c r="K6312" s="225">
        <v>480999.07999925641</v>
      </c>
      <c r="L63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480999.08</v>
      </c>
      <c r="M6312" s="225">
        <f>ROUND(IF(AND(Base_Periodo1[[#This Row],[Tipo_Linha]]="-",Base_Periodo1[[#This Row],[TIPOSALDO]]="D"),Base_Periodo1[[#This Row],[SALDO_ATUAL]]*-1,Base_Periodo1[[#This Row],[SALDO_ATUAL]]),4)</f>
        <v>480999.08</v>
      </c>
      <c r="N6312" t="s">
        <v>116</v>
      </c>
      <c r="O6312" t="s">
        <v>459</v>
      </c>
      <c r="P6312" t="s">
        <v>459</v>
      </c>
      <c r="Q6312">
        <v>9</v>
      </c>
      <c r="R6312" s="282">
        <f>Base_Periodo1[[#This Row],[CREDITOS]]-Base_Periodo1[[#This Row],[DEBITOS]]</f>
        <v>173192.05000000028</v>
      </c>
      <c r="S6312" s="3" t="str">
        <f>IF(ISERROR(VLOOKUP(Base_Periodo1[[#This Row],[CONTA]],BaseContasDRE[#All],4,FALSE)),"Fora do DRE",VLOOKUP(Base_Periodo1[[#This Row],[CONTA]],BaseContasDRE[#All],4,FALSE))</f>
        <v>+</v>
      </c>
      <c r="T6312" s="3">
        <f>IF(ISERROR(VLOOKUP(Base_Periodo1[[#This Row],[CONTA]],BaseContasDRE[#All],5,FALSE)),"Fora do DRE",VLOOKUP(Base_Periodo1[[#This Row],[CONTA]],BaseContasDRE[#All],6,FALSE))</f>
        <v>1</v>
      </c>
      <c r="U6312" s="3" t="str">
        <f>IF(ISERROR(VLOOKUP(Base_Periodo1[[#This Row],[CONTA]],BaseContasDRE[#All],7,FALSE)),"Fora do DRE",VLOOKUP(Base_Periodo1[[#This Row],[CONTA]],BaseContasDRE[#All],7,FALSE))</f>
        <v>PRODUTOS AGRICOLAS</v>
      </c>
      <c r="V6312" s="3" t="str">
        <f>IF(Base_Periodo1[[#This Row],[Tipo_Linha]]="Fora do DRE","Fora do DRE","( "&amp;Base_Periodo1[[#This Row],[Tipo_Linha]]&amp;" ) "&amp;Base_Periodo1[[#This Row],[Filtro]])</f>
        <v>( + ) PRODUTOS AGRICOLAS</v>
      </c>
      <c r="W6312" s="3" t="str">
        <f>LEFT(Base_Periodo1[[#This Row],[CLASS]],3)</f>
        <v>3.2</v>
      </c>
    </row>
    <row r="6313" spans="1:23" hidden="1">
      <c r="A6313" s="3" t="str">
        <f t="shared" si="98"/>
        <v>Período 1</v>
      </c>
      <c r="B6313">
        <v>6318</v>
      </c>
      <c r="C6313" t="s">
        <v>3988</v>
      </c>
      <c r="D6313" t="s">
        <v>3989</v>
      </c>
      <c r="E6313" s="3" t="str">
        <f>IF(LEN(Base_Periodo1[[#This Row],[CLASS]])&gt;=7,LEFT(Base_Periodo1[[#This Row],[CLASS]],7),"")</f>
        <v>3.2.1.1</v>
      </c>
      <c r="F6313" s="3" t="e">
        <f>VLOOKUP(Base_Periodo1[[#This Row],[Aux]],Base_Contas_Balanco[#All],2,FALSE)</f>
        <v>#N/A</v>
      </c>
      <c r="G6313" s="1"/>
      <c r="H6313" s="225">
        <v>6029182.3600034714</v>
      </c>
      <c r="I6313" s="225">
        <v>86932273.780000001</v>
      </c>
      <c r="J6313" s="225">
        <v>91720654.230000019</v>
      </c>
      <c r="K6313" s="225">
        <v>10817562.810003489</v>
      </c>
      <c r="L63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10817562.810000001</v>
      </c>
      <c r="M6313" s="225">
        <f>ROUND(IF(AND(Base_Periodo1[[#This Row],[Tipo_Linha]]="-",Base_Periodo1[[#This Row],[TIPOSALDO]]="D"),Base_Periodo1[[#This Row],[SALDO_ATUAL]]*-1,Base_Periodo1[[#This Row],[SALDO_ATUAL]]),4)</f>
        <v>10817562.810000001</v>
      </c>
      <c r="N6313" t="s">
        <v>396</v>
      </c>
      <c r="O6313" t="s">
        <v>459</v>
      </c>
      <c r="P6313" t="s">
        <v>459</v>
      </c>
      <c r="Q6313">
        <v>8</v>
      </c>
      <c r="R6313" s="282">
        <f>Base_Periodo1[[#This Row],[CREDITOS]]-Base_Periodo1[[#This Row],[DEBITOS]]</f>
        <v>4788380.4500000179</v>
      </c>
      <c r="S6313" s="3" t="str">
        <f>IF(ISERROR(VLOOKUP(Base_Periodo1[[#This Row],[CONTA]],BaseContasDRE[#All],4,FALSE)),"Fora do DRE",VLOOKUP(Base_Periodo1[[#This Row],[CONTA]],BaseContasDRE[#All],4,FALSE))</f>
        <v>Fora do DRE</v>
      </c>
      <c r="T6313" s="3" t="str">
        <f>IF(ISERROR(VLOOKUP(Base_Periodo1[[#This Row],[CONTA]],BaseContasDRE[#All],5,FALSE)),"Fora do DRE",VLOOKUP(Base_Periodo1[[#This Row],[CONTA]],BaseContasDRE[#All],6,FALSE))</f>
        <v>Fora do DRE</v>
      </c>
      <c r="U6313" s="3" t="str">
        <f>IF(ISERROR(VLOOKUP(Base_Periodo1[[#This Row],[CONTA]],BaseContasDRE[#All],7,FALSE)),"Fora do DRE",VLOOKUP(Base_Periodo1[[#This Row],[CONTA]],BaseContasDRE[#All],7,FALSE))</f>
        <v>Fora do DRE</v>
      </c>
      <c r="V6313" s="3" t="str">
        <f>IF(Base_Periodo1[[#This Row],[Tipo_Linha]]="Fora do DRE","Fora do DRE","( "&amp;Base_Periodo1[[#This Row],[Tipo_Linha]]&amp;" ) "&amp;Base_Periodo1[[#This Row],[Filtro]])</f>
        <v>Fora do DRE</v>
      </c>
      <c r="W6313" s="3" t="str">
        <f>LEFT(Base_Periodo1[[#This Row],[CLASS]],3)</f>
        <v>3.2</v>
      </c>
    </row>
    <row r="6314" spans="1:23" hidden="1">
      <c r="A6314" s="3" t="str">
        <f t="shared" si="98"/>
        <v>Período 1</v>
      </c>
      <c r="B6314">
        <v>6319</v>
      </c>
      <c r="C6314" t="s">
        <v>3990</v>
      </c>
      <c r="D6314" t="s">
        <v>3987</v>
      </c>
      <c r="E6314" s="3" t="str">
        <f>IF(LEN(Base_Periodo1[[#This Row],[CLASS]])&gt;=7,LEFT(Base_Periodo1[[#This Row],[CLASS]],7),"")</f>
        <v>3.2.1.1</v>
      </c>
      <c r="F6314" s="3" t="e">
        <f>VLOOKUP(Base_Periodo1[[#This Row],[Aux]],Base_Contas_Balanco[#All],2,FALSE)</f>
        <v>#N/A</v>
      </c>
      <c r="G6314" s="1">
        <v>42886</v>
      </c>
      <c r="H6314" s="225">
        <v>6029182.3600034714</v>
      </c>
      <c r="I6314" s="225">
        <v>86932273.780000001</v>
      </c>
      <c r="J6314" s="225">
        <v>91720654.230000019</v>
      </c>
      <c r="K6314" s="225">
        <v>10817562.810003489</v>
      </c>
      <c r="L63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10817562.810000001</v>
      </c>
      <c r="M6314" s="225">
        <f>ROUND(IF(AND(Base_Periodo1[[#This Row],[Tipo_Linha]]="-",Base_Periodo1[[#This Row],[TIPOSALDO]]="D"),Base_Periodo1[[#This Row],[SALDO_ATUAL]]*-1,Base_Periodo1[[#This Row],[SALDO_ATUAL]]),4)</f>
        <v>10817562.810000001</v>
      </c>
      <c r="N6314" t="s">
        <v>116</v>
      </c>
      <c r="O6314" t="s">
        <v>459</v>
      </c>
      <c r="P6314" t="s">
        <v>459</v>
      </c>
      <c r="Q6314">
        <v>9</v>
      </c>
      <c r="R6314" s="282">
        <f>Base_Periodo1[[#This Row],[CREDITOS]]-Base_Periodo1[[#This Row],[DEBITOS]]</f>
        <v>4788380.4500000179</v>
      </c>
      <c r="S6314" s="3" t="str">
        <f>IF(ISERROR(VLOOKUP(Base_Periodo1[[#This Row],[CONTA]],BaseContasDRE[#All],4,FALSE)),"Fora do DRE",VLOOKUP(Base_Periodo1[[#This Row],[CONTA]],BaseContasDRE[#All],4,FALSE))</f>
        <v>+</v>
      </c>
      <c r="T6314" s="3">
        <f>IF(ISERROR(VLOOKUP(Base_Periodo1[[#This Row],[CONTA]],BaseContasDRE[#All],5,FALSE)),"Fora do DRE",VLOOKUP(Base_Periodo1[[#This Row],[CONTA]],BaseContasDRE[#All],6,FALSE))</f>
        <v>1</v>
      </c>
      <c r="U6314" s="3" t="str">
        <f>IF(ISERROR(VLOOKUP(Base_Periodo1[[#This Row],[CONTA]],BaseContasDRE[#All],7,FALSE)),"Fora do DRE",VLOOKUP(Base_Periodo1[[#This Row],[CONTA]],BaseContasDRE[#All],7,FALSE))</f>
        <v>PRODUTOS AGRICOLAS</v>
      </c>
      <c r="V6314" s="3" t="str">
        <f>IF(Base_Periodo1[[#This Row],[Tipo_Linha]]="Fora do DRE","Fora do DRE","( "&amp;Base_Periodo1[[#This Row],[Tipo_Linha]]&amp;" ) "&amp;Base_Periodo1[[#This Row],[Filtro]])</f>
        <v>( + ) PRODUTOS AGRICOLAS</v>
      </c>
      <c r="W6314" s="3" t="str">
        <f>LEFT(Base_Periodo1[[#This Row],[CLASS]],3)</f>
        <v>3.2</v>
      </c>
    </row>
    <row r="6315" spans="1:23" hidden="1">
      <c r="A6315" s="3" t="str">
        <f t="shared" si="98"/>
        <v>Período 1</v>
      </c>
      <c r="B6315">
        <v>6322</v>
      </c>
      <c r="C6315" t="s">
        <v>6061</v>
      </c>
      <c r="D6315" t="s">
        <v>3991</v>
      </c>
      <c r="E6315" s="3" t="str">
        <f>IF(LEN(Base_Periodo1[[#This Row],[CLASS]])&gt;=7,LEFT(Base_Periodo1[[#This Row],[CLASS]],7),"")</f>
        <v>3.2.1.1</v>
      </c>
      <c r="F6315" s="3" t="e">
        <f>VLOOKUP(Base_Periodo1[[#This Row],[Aux]],Base_Contas_Balanco[#All],2,FALSE)</f>
        <v>#N/A</v>
      </c>
      <c r="G6315" s="1"/>
      <c r="H6315" s="225">
        <v>6444.6500000003725</v>
      </c>
      <c r="I6315" s="225">
        <v>130030.57999999999</v>
      </c>
      <c r="J6315" s="225">
        <v>121372.09</v>
      </c>
      <c r="K6315" s="225">
        <v>15103.140000000363</v>
      </c>
      <c r="L63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-15103.14</v>
      </c>
      <c r="M6315" s="225">
        <f>ROUND(IF(AND(Base_Periodo1[[#This Row],[Tipo_Linha]]="-",Base_Periodo1[[#This Row],[TIPOSALDO]]="D"),Base_Periodo1[[#This Row],[SALDO_ATUAL]]*-1,Base_Periodo1[[#This Row],[SALDO_ATUAL]]),4)</f>
        <v>15103.14</v>
      </c>
      <c r="N6315" t="s">
        <v>396</v>
      </c>
      <c r="O6315" t="s">
        <v>397</v>
      </c>
      <c r="P6315" t="s">
        <v>397</v>
      </c>
      <c r="Q6315">
        <v>8</v>
      </c>
      <c r="R6315" s="282">
        <f>Base_Periodo1[[#This Row],[CREDITOS]]-Base_Periodo1[[#This Row],[DEBITOS]]</f>
        <v>-8658.4899999999907</v>
      </c>
      <c r="S6315" s="3" t="str">
        <f>IF(ISERROR(VLOOKUP(Base_Periodo1[[#This Row],[CONTA]],BaseContasDRE[#All],4,FALSE)),"Fora do DRE",VLOOKUP(Base_Periodo1[[#This Row],[CONTA]],BaseContasDRE[#All],4,FALSE))</f>
        <v>Fora do DRE</v>
      </c>
      <c r="T6315" s="3" t="str">
        <f>IF(ISERROR(VLOOKUP(Base_Periodo1[[#This Row],[CONTA]],BaseContasDRE[#All],5,FALSE)),"Fora do DRE",VLOOKUP(Base_Periodo1[[#This Row],[CONTA]],BaseContasDRE[#All],6,FALSE))</f>
        <v>Fora do DRE</v>
      </c>
      <c r="U6315" s="3" t="str">
        <f>IF(ISERROR(VLOOKUP(Base_Periodo1[[#This Row],[CONTA]],BaseContasDRE[#All],7,FALSE)),"Fora do DRE",VLOOKUP(Base_Periodo1[[#This Row],[CONTA]],BaseContasDRE[#All],7,FALSE))</f>
        <v>Fora do DRE</v>
      </c>
      <c r="V6315" s="3" t="str">
        <f>IF(Base_Periodo1[[#This Row],[Tipo_Linha]]="Fora do DRE","Fora do DRE","( "&amp;Base_Periodo1[[#This Row],[Tipo_Linha]]&amp;" ) "&amp;Base_Periodo1[[#This Row],[Filtro]])</f>
        <v>Fora do DRE</v>
      </c>
      <c r="W6315" s="3" t="str">
        <f>LEFT(Base_Periodo1[[#This Row],[CLASS]],3)</f>
        <v>3.2</v>
      </c>
    </row>
    <row r="6316" spans="1:23" hidden="1">
      <c r="A6316" s="3" t="str">
        <f t="shared" si="98"/>
        <v>Período 1</v>
      </c>
      <c r="B6316">
        <v>6323</v>
      </c>
      <c r="C6316" t="s">
        <v>6062</v>
      </c>
      <c r="D6316" t="s">
        <v>3992</v>
      </c>
      <c r="E6316" s="3" t="str">
        <f>IF(LEN(Base_Periodo1[[#This Row],[CLASS]])&gt;=7,LEFT(Base_Periodo1[[#This Row],[CLASS]],7),"")</f>
        <v>3.2.1.1</v>
      </c>
      <c r="F6316" s="3" t="e">
        <f>VLOOKUP(Base_Periodo1[[#This Row],[Aux]],Base_Contas_Balanco[#All],2,FALSE)</f>
        <v>#N/A</v>
      </c>
      <c r="G6316" s="1">
        <v>42886</v>
      </c>
      <c r="H6316" s="225">
        <v>6444.6500000003725</v>
      </c>
      <c r="I6316" s="225">
        <v>130030.57999999999</v>
      </c>
      <c r="J6316" s="225">
        <v>121372.09</v>
      </c>
      <c r="K6316" s="225">
        <v>15103.140000000363</v>
      </c>
      <c r="L63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-15103.14</v>
      </c>
      <c r="M6316" s="225">
        <f>ROUND(IF(AND(Base_Periodo1[[#This Row],[Tipo_Linha]]="-",Base_Periodo1[[#This Row],[TIPOSALDO]]="D"),Base_Periodo1[[#This Row],[SALDO_ATUAL]]*-1,Base_Periodo1[[#This Row],[SALDO_ATUAL]]),4)</f>
        <v>-15103.14</v>
      </c>
      <c r="N6316" t="s">
        <v>116</v>
      </c>
      <c r="O6316" t="s">
        <v>397</v>
      </c>
      <c r="P6316" t="s">
        <v>397</v>
      </c>
      <c r="Q6316">
        <v>9</v>
      </c>
      <c r="R6316" s="282">
        <f>Base_Periodo1[[#This Row],[CREDITOS]]-Base_Periodo1[[#This Row],[DEBITOS]]</f>
        <v>-8658.4899999999907</v>
      </c>
      <c r="S6316" s="3" t="str">
        <f>IF(ISERROR(VLOOKUP(Base_Periodo1[[#This Row],[CONTA]],BaseContasDRE[#All],4,FALSE)),"Fora do DRE",VLOOKUP(Base_Periodo1[[#This Row],[CONTA]],BaseContasDRE[#All],4,FALSE))</f>
        <v>-</v>
      </c>
      <c r="T6316" s="3">
        <f>IF(ISERROR(VLOOKUP(Base_Periodo1[[#This Row],[CONTA]],BaseContasDRE[#All],5,FALSE)),"Fora do DRE",VLOOKUP(Base_Periodo1[[#This Row],[CONTA]],BaseContasDRE[#All],6,FALSE))</f>
        <v>2</v>
      </c>
      <c r="U6316" s="3" t="str">
        <f>IF(ISERROR(VLOOKUP(Base_Periodo1[[#This Row],[CONTA]],BaseContasDRE[#All],7,FALSE)),"Fora do DRE",VLOOKUP(Base_Periodo1[[#This Row],[CONTA]],BaseContasDRE[#All],7,FALSE))</f>
        <v>DEVOLUÇÃO DE PRODUTOS AGRICOLAS</v>
      </c>
      <c r="V6316" s="3" t="str">
        <f>IF(Base_Periodo1[[#This Row],[Tipo_Linha]]="Fora do DRE","Fora do DRE","( "&amp;Base_Periodo1[[#This Row],[Tipo_Linha]]&amp;" ) "&amp;Base_Periodo1[[#This Row],[Filtro]])</f>
        <v>( - ) DEVOLUÇÃO DE PRODUTOS AGRICOLAS</v>
      </c>
      <c r="W6316" s="3" t="str">
        <f>LEFT(Base_Periodo1[[#This Row],[CLASS]],3)</f>
        <v>3.2</v>
      </c>
    </row>
    <row r="6317" spans="1:23" hidden="1">
      <c r="A6317" s="3" t="str">
        <f t="shared" si="98"/>
        <v>Período 1</v>
      </c>
      <c r="B6317">
        <v>6328</v>
      </c>
      <c r="C6317" t="s">
        <v>3994</v>
      </c>
      <c r="D6317" t="s">
        <v>3995</v>
      </c>
      <c r="E6317" s="3" t="str">
        <f>IF(LEN(Base_Periodo1[[#This Row],[CLASS]])&gt;=7,LEFT(Base_Periodo1[[#This Row],[CLASS]],7),"")</f>
        <v>3.2.1.1</v>
      </c>
      <c r="F6317" s="3" t="e">
        <f>VLOOKUP(Base_Periodo1[[#This Row],[Aux]],Base_Contas_Balanco[#All],2,FALSE)</f>
        <v>#N/A</v>
      </c>
      <c r="G6317" s="1"/>
      <c r="H6317" s="225">
        <v>5831310.780002594</v>
      </c>
      <c r="I6317" s="225">
        <v>135977996.06</v>
      </c>
      <c r="J6317" s="225">
        <v>131400046.48</v>
      </c>
      <c r="K6317" s="225">
        <v>10409260.360002592</v>
      </c>
      <c r="L63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-10409260.359999999</v>
      </c>
      <c r="M6317" s="225">
        <f>ROUND(IF(AND(Base_Periodo1[[#This Row],[Tipo_Linha]]="-",Base_Periodo1[[#This Row],[TIPOSALDO]]="D"),Base_Periodo1[[#This Row],[SALDO_ATUAL]]*-1,Base_Periodo1[[#This Row],[SALDO_ATUAL]]),4)</f>
        <v>10409260.359999999</v>
      </c>
      <c r="N6317" t="s">
        <v>396</v>
      </c>
      <c r="O6317" t="s">
        <v>397</v>
      </c>
      <c r="P6317" t="s">
        <v>397</v>
      </c>
      <c r="Q6317">
        <v>8</v>
      </c>
      <c r="R6317" s="282">
        <f>Base_Periodo1[[#This Row],[CREDITOS]]-Base_Periodo1[[#This Row],[DEBITOS]]</f>
        <v>-4577949.5799999982</v>
      </c>
      <c r="S6317" s="3" t="str">
        <f>IF(ISERROR(VLOOKUP(Base_Periodo1[[#This Row],[CONTA]],BaseContasDRE[#All],4,FALSE)),"Fora do DRE",VLOOKUP(Base_Periodo1[[#This Row],[CONTA]],BaseContasDRE[#All],4,FALSE))</f>
        <v>Fora do DRE</v>
      </c>
      <c r="T6317" s="3" t="str">
        <f>IF(ISERROR(VLOOKUP(Base_Periodo1[[#This Row],[CONTA]],BaseContasDRE[#All],5,FALSE)),"Fora do DRE",VLOOKUP(Base_Periodo1[[#This Row],[CONTA]],BaseContasDRE[#All],6,FALSE))</f>
        <v>Fora do DRE</v>
      </c>
      <c r="U6317" s="3" t="str">
        <f>IF(ISERROR(VLOOKUP(Base_Periodo1[[#This Row],[CONTA]],BaseContasDRE[#All],7,FALSE)),"Fora do DRE",VLOOKUP(Base_Periodo1[[#This Row],[CONTA]],BaseContasDRE[#All],7,FALSE))</f>
        <v>Fora do DRE</v>
      </c>
      <c r="V6317" s="3" t="str">
        <f>IF(Base_Periodo1[[#This Row],[Tipo_Linha]]="Fora do DRE","Fora do DRE","( "&amp;Base_Periodo1[[#This Row],[Tipo_Linha]]&amp;" ) "&amp;Base_Periodo1[[#This Row],[Filtro]])</f>
        <v>Fora do DRE</v>
      </c>
      <c r="W6317" s="3" t="str">
        <f>LEFT(Base_Periodo1[[#This Row],[CLASS]],3)</f>
        <v>3.2</v>
      </c>
    </row>
    <row r="6318" spans="1:23" hidden="1">
      <c r="A6318" s="3" t="str">
        <f t="shared" si="98"/>
        <v>Período 1</v>
      </c>
      <c r="B6318">
        <v>6329</v>
      </c>
      <c r="C6318" t="s">
        <v>3996</v>
      </c>
      <c r="D6318" t="s">
        <v>3997</v>
      </c>
      <c r="E6318" s="3" t="str">
        <f>IF(LEN(Base_Periodo1[[#This Row],[CLASS]])&gt;=7,LEFT(Base_Periodo1[[#This Row],[CLASS]],7),"")</f>
        <v>3.2.1.1</v>
      </c>
      <c r="F6318" s="3" t="e">
        <f>VLOOKUP(Base_Periodo1[[#This Row],[Aux]],Base_Contas_Balanco[#All],2,FALSE)</f>
        <v>#N/A</v>
      </c>
      <c r="G6318" s="1">
        <v>42886</v>
      </c>
      <c r="H6318" s="225">
        <v>5831310.780002594</v>
      </c>
      <c r="I6318" s="225">
        <v>135977996.06</v>
      </c>
      <c r="J6318" s="225">
        <v>131400046.48</v>
      </c>
      <c r="K6318" s="225">
        <v>10409260.360002592</v>
      </c>
      <c r="L63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-10409260.359999999</v>
      </c>
      <c r="M6318" s="225">
        <f>ROUND(IF(AND(Base_Periodo1[[#This Row],[Tipo_Linha]]="-",Base_Periodo1[[#This Row],[TIPOSALDO]]="D"),Base_Periodo1[[#This Row],[SALDO_ATUAL]]*-1,Base_Periodo1[[#This Row],[SALDO_ATUAL]]),4)</f>
        <v>-10409260.359999999</v>
      </c>
      <c r="N6318" t="s">
        <v>116</v>
      </c>
      <c r="O6318" t="s">
        <v>397</v>
      </c>
      <c r="P6318" t="s">
        <v>397</v>
      </c>
      <c r="Q6318">
        <v>9</v>
      </c>
      <c r="R6318" s="282">
        <f>Base_Periodo1[[#This Row],[CREDITOS]]-Base_Periodo1[[#This Row],[DEBITOS]]</f>
        <v>-4577949.5799999982</v>
      </c>
      <c r="S6318" s="3" t="str">
        <f>IF(ISERROR(VLOOKUP(Base_Periodo1[[#This Row],[CONTA]],BaseContasDRE[#All],4,FALSE)),"Fora do DRE",VLOOKUP(Base_Periodo1[[#This Row],[CONTA]],BaseContasDRE[#All],4,FALSE))</f>
        <v>-</v>
      </c>
      <c r="T6318" s="3">
        <f>IF(ISERROR(VLOOKUP(Base_Periodo1[[#This Row],[CONTA]],BaseContasDRE[#All],5,FALSE)),"Fora do DRE",VLOOKUP(Base_Periodo1[[#This Row],[CONTA]],BaseContasDRE[#All],6,FALSE))</f>
        <v>3</v>
      </c>
      <c r="U6318" s="3" t="str">
        <f>IF(ISERROR(VLOOKUP(Base_Periodo1[[#This Row],[CONTA]],BaseContasDRE[#All],7,FALSE)),"Fora do DRE",VLOOKUP(Base_Periodo1[[#This Row],[CONTA]],BaseContasDRE[#All],7,FALSE))</f>
        <v>PRODUTOS AGRICOLAS</v>
      </c>
      <c r="V6318" s="3" t="str">
        <f>IF(Base_Periodo1[[#This Row],[Tipo_Linha]]="Fora do DRE","Fora do DRE","( "&amp;Base_Periodo1[[#This Row],[Tipo_Linha]]&amp;" ) "&amp;Base_Periodo1[[#This Row],[Filtro]])</f>
        <v>( - ) PRODUTOS AGRICOLAS</v>
      </c>
      <c r="W6318" s="3" t="str">
        <f>LEFT(Base_Periodo1[[#This Row],[CLASS]],3)</f>
        <v>3.2</v>
      </c>
    </row>
    <row r="6319" spans="1:23" hidden="1">
      <c r="A6319" s="3" t="str">
        <f t="shared" si="98"/>
        <v>Período 1</v>
      </c>
      <c r="B6319">
        <v>6332</v>
      </c>
      <c r="C6319" t="s">
        <v>3998</v>
      </c>
      <c r="D6319" t="s">
        <v>1076</v>
      </c>
      <c r="E6319" s="3" t="str">
        <f>IF(LEN(Base_Periodo1[[#This Row],[CLASS]])&gt;=7,LEFT(Base_Periodo1[[#This Row],[CLASS]],7),"")</f>
        <v>3.2.1.1</v>
      </c>
      <c r="F6319" s="3" t="e">
        <f>VLOOKUP(Base_Periodo1[[#This Row],[Aux]],Base_Contas_Balanco[#All],2,FALSE)</f>
        <v>#N/A</v>
      </c>
      <c r="G6319" s="1"/>
      <c r="H6319" s="225">
        <v>276192.51000239467</v>
      </c>
      <c r="I6319" s="225">
        <v>94262447.370000005</v>
      </c>
      <c r="J6319" s="225">
        <v>94447767.530000001</v>
      </c>
      <c r="K6319" s="225">
        <v>461512.67000238597</v>
      </c>
      <c r="L63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461512.67</v>
      </c>
      <c r="M6319" s="225">
        <f>ROUND(IF(AND(Base_Periodo1[[#This Row],[Tipo_Linha]]="-",Base_Periodo1[[#This Row],[TIPOSALDO]]="D"),Base_Periodo1[[#This Row],[SALDO_ATUAL]]*-1,Base_Periodo1[[#This Row],[SALDO_ATUAL]]),4)</f>
        <v>461512.67</v>
      </c>
      <c r="N6319" t="s">
        <v>396</v>
      </c>
      <c r="O6319" t="s">
        <v>459</v>
      </c>
      <c r="P6319" t="s">
        <v>459</v>
      </c>
      <c r="Q6319">
        <v>7</v>
      </c>
      <c r="R6319" s="282">
        <f>Base_Periodo1[[#This Row],[CREDITOS]]-Base_Periodo1[[#This Row],[DEBITOS]]</f>
        <v>185320.15999999642</v>
      </c>
      <c r="S6319" s="3" t="str">
        <f>IF(ISERROR(VLOOKUP(Base_Periodo1[[#This Row],[CONTA]],BaseContasDRE[#All],4,FALSE)),"Fora do DRE",VLOOKUP(Base_Periodo1[[#This Row],[CONTA]],BaseContasDRE[#All],4,FALSE))</f>
        <v>Fora do DRE</v>
      </c>
      <c r="T6319" s="3" t="str">
        <f>IF(ISERROR(VLOOKUP(Base_Periodo1[[#This Row],[CONTA]],BaseContasDRE[#All],5,FALSE)),"Fora do DRE",VLOOKUP(Base_Periodo1[[#This Row],[CONTA]],BaseContasDRE[#All],6,FALSE))</f>
        <v>Fora do DRE</v>
      </c>
      <c r="U6319" s="3" t="str">
        <f>IF(ISERROR(VLOOKUP(Base_Periodo1[[#This Row],[CONTA]],BaseContasDRE[#All],7,FALSE)),"Fora do DRE",VLOOKUP(Base_Periodo1[[#This Row],[CONTA]],BaseContasDRE[#All],7,FALSE))</f>
        <v>Fora do DRE</v>
      </c>
      <c r="V6319" s="3" t="str">
        <f>IF(Base_Periodo1[[#This Row],[Tipo_Linha]]="Fora do DRE","Fora do DRE","( "&amp;Base_Periodo1[[#This Row],[Tipo_Linha]]&amp;" ) "&amp;Base_Periodo1[[#This Row],[Filtro]])</f>
        <v>Fora do DRE</v>
      </c>
      <c r="W6319" s="3" t="str">
        <f>LEFT(Base_Periodo1[[#This Row],[CLASS]],3)</f>
        <v>3.2</v>
      </c>
    </row>
    <row r="6320" spans="1:23" hidden="1">
      <c r="A6320" s="3" t="str">
        <f t="shared" si="98"/>
        <v>Período 1</v>
      </c>
      <c r="B6320">
        <v>6333</v>
      </c>
      <c r="C6320" t="s">
        <v>3999</v>
      </c>
      <c r="D6320" t="s">
        <v>3985</v>
      </c>
      <c r="E6320" s="3" t="str">
        <f>IF(LEN(Base_Periodo1[[#This Row],[CLASS]])&gt;=7,LEFT(Base_Periodo1[[#This Row],[CLASS]],7),"")</f>
        <v>3.2.1.1</v>
      </c>
      <c r="F6320" s="3" t="e">
        <f>VLOOKUP(Base_Periodo1[[#This Row],[Aux]],Base_Contas_Balanco[#All],2,FALSE)</f>
        <v>#N/A</v>
      </c>
      <c r="G6320" s="1"/>
      <c r="H6320" s="225">
        <v>2449291.7800023556</v>
      </c>
      <c r="I6320" s="225">
        <v>44391641.469999999</v>
      </c>
      <c r="J6320" s="225">
        <v>46115869.609999999</v>
      </c>
      <c r="K6320" s="225">
        <v>4173519.9200023562</v>
      </c>
      <c r="L63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4173519.92</v>
      </c>
      <c r="M6320" s="225">
        <f>ROUND(IF(AND(Base_Periodo1[[#This Row],[Tipo_Linha]]="-",Base_Periodo1[[#This Row],[TIPOSALDO]]="D"),Base_Periodo1[[#This Row],[SALDO_ATUAL]]*-1,Base_Periodo1[[#This Row],[SALDO_ATUAL]]),4)</f>
        <v>4173519.92</v>
      </c>
      <c r="N6320" t="s">
        <v>396</v>
      </c>
      <c r="O6320" t="s">
        <v>459</v>
      </c>
      <c r="P6320" t="s">
        <v>459</v>
      </c>
      <c r="Q6320">
        <v>8</v>
      </c>
      <c r="R6320" s="282">
        <f>Base_Periodo1[[#This Row],[CREDITOS]]-Base_Periodo1[[#This Row],[DEBITOS]]</f>
        <v>1724228.1400000006</v>
      </c>
      <c r="S6320" s="3" t="str">
        <f>IF(ISERROR(VLOOKUP(Base_Periodo1[[#This Row],[CONTA]],BaseContasDRE[#All],4,FALSE)),"Fora do DRE",VLOOKUP(Base_Periodo1[[#This Row],[CONTA]],BaseContasDRE[#All],4,FALSE))</f>
        <v>Fora do DRE</v>
      </c>
      <c r="T6320" s="3" t="str">
        <f>IF(ISERROR(VLOOKUP(Base_Periodo1[[#This Row],[CONTA]],BaseContasDRE[#All],5,FALSE)),"Fora do DRE",VLOOKUP(Base_Periodo1[[#This Row],[CONTA]],BaseContasDRE[#All],6,FALSE))</f>
        <v>Fora do DRE</v>
      </c>
      <c r="U6320" s="3" t="str">
        <f>IF(ISERROR(VLOOKUP(Base_Periodo1[[#This Row],[CONTA]],BaseContasDRE[#All],7,FALSE)),"Fora do DRE",VLOOKUP(Base_Periodo1[[#This Row],[CONTA]],BaseContasDRE[#All],7,FALSE))</f>
        <v>Fora do DRE</v>
      </c>
      <c r="V6320" s="3" t="str">
        <f>IF(Base_Periodo1[[#This Row],[Tipo_Linha]]="Fora do DRE","Fora do DRE","( "&amp;Base_Periodo1[[#This Row],[Tipo_Linha]]&amp;" ) "&amp;Base_Periodo1[[#This Row],[Filtro]])</f>
        <v>Fora do DRE</v>
      </c>
      <c r="W6320" s="3" t="str">
        <f>LEFT(Base_Periodo1[[#This Row],[CLASS]],3)</f>
        <v>3.2</v>
      </c>
    </row>
    <row r="6321" spans="1:23" hidden="1">
      <c r="A6321" s="3" t="str">
        <f t="shared" si="98"/>
        <v>Período 1</v>
      </c>
      <c r="B6321">
        <v>6334</v>
      </c>
      <c r="C6321" t="s">
        <v>4000</v>
      </c>
      <c r="D6321" t="s">
        <v>3987</v>
      </c>
      <c r="E6321" s="3" t="str">
        <f>IF(LEN(Base_Periodo1[[#This Row],[CLASS]])&gt;=7,LEFT(Base_Periodo1[[#This Row],[CLASS]],7),"")</f>
        <v>3.2.1.1</v>
      </c>
      <c r="F6321" s="3" t="e">
        <f>VLOOKUP(Base_Periodo1[[#This Row],[Aux]],Base_Contas_Balanco[#All],2,FALSE)</f>
        <v>#N/A</v>
      </c>
      <c r="G6321" s="1">
        <v>42886</v>
      </c>
      <c r="H6321" s="225">
        <v>2449291.7800023556</v>
      </c>
      <c r="I6321" s="225">
        <v>44391641.469999999</v>
      </c>
      <c r="J6321" s="225">
        <v>46115869.609999999</v>
      </c>
      <c r="K6321" s="225">
        <v>4173519.9200023562</v>
      </c>
      <c r="L63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4173519.92</v>
      </c>
      <c r="M6321" s="225">
        <f>ROUND(IF(AND(Base_Periodo1[[#This Row],[Tipo_Linha]]="-",Base_Periodo1[[#This Row],[TIPOSALDO]]="D"),Base_Periodo1[[#This Row],[SALDO_ATUAL]]*-1,Base_Periodo1[[#This Row],[SALDO_ATUAL]]),4)</f>
        <v>4173519.92</v>
      </c>
      <c r="N6321" t="s">
        <v>116</v>
      </c>
      <c r="O6321" t="s">
        <v>459</v>
      </c>
      <c r="P6321" t="s">
        <v>459</v>
      </c>
      <c r="Q6321">
        <v>9</v>
      </c>
      <c r="R6321" s="282">
        <f>Base_Periodo1[[#This Row],[CREDITOS]]-Base_Periodo1[[#This Row],[DEBITOS]]</f>
        <v>1724228.1400000006</v>
      </c>
      <c r="S6321" s="3" t="str">
        <f>IF(ISERROR(VLOOKUP(Base_Periodo1[[#This Row],[CONTA]],BaseContasDRE[#All],4,FALSE)),"Fora do DRE",VLOOKUP(Base_Periodo1[[#This Row],[CONTA]],BaseContasDRE[#All],4,FALSE))</f>
        <v>+</v>
      </c>
      <c r="T6321" s="3">
        <f>IF(ISERROR(VLOOKUP(Base_Periodo1[[#This Row],[CONTA]],BaseContasDRE[#All],5,FALSE)),"Fora do DRE",VLOOKUP(Base_Periodo1[[#This Row],[CONTA]],BaseContasDRE[#All],6,FALSE))</f>
        <v>1</v>
      </c>
      <c r="U6321" s="3" t="str">
        <f>IF(ISERROR(VLOOKUP(Base_Periodo1[[#This Row],[CONTA]],BaseContasDRE[#All],7,FALSE)),"Fora do DRE",VLOOKUP(Base_Periodo1[[#This Row],[CONTA]],BaseContasDRE[#All],7,FALSE))</f>
        <v>PRODUTOS AGRICOLAS</v>
      </c>
      <c r="V6321" s="3" t="str">
        <f>IF(Base_Periodo1[[#This Row],[Tipo_Linha]]="Fora do DRE","Fora do DRE","( "&amp;Base_Periodo1[[#This Row],[Tipo_Linha]]&amp;" ) "&amp;Base_Periodo1[[#This Row],[Filtro]])</f>
        <v>( + ) PRODUTOS AGRICOLAS</v>
      </c>
      <c r="W6321" s="3" t="str">
        <f>LEFT(Base_Periodo1[[#This Row],[CLASS]],3)</f>
        <v>3.2</v>
      </c>
    </row>
    <row r="6322" spans="1:23" hidden="1">
      <c r="A6322" s="3" t="str">
        <f t="shared" si="98"/>
        <v>Período 1</v>
      </c>
      <c r="B6322">
        <v>6338</v>
      </c>
      <c r="C6322" t="s">
        <v>6634</v>
      </c>
      <c r="D6322" t="s">
        <v>3991</v>
      </c>
      <c r="E6322" s="3" t="str">
        <f>IF(LEN(Base_Periodo1[[#This Row],[CLASS]])&gt;=7,LEFT(Base_Periodo1[[#This Row],[CLASS]],7),"")</f>
        <v>3.2.1.1</v>
      </c>
      <c r="F6322" s="3" t="e">
        <f>VLOOKUP(Base_Periodo1[[#This Row],[Aux]],Base_Contas_Balanco[#All],2,FALSE)</f>
        <v>#N/A</v>
      </c>
      <c r="G6322" s="1"/>
      <c r="H6322" s="225">
        <v>486.97999999905005</v>
      </c>
      <c r="I6322" s="225">
        <v>36861.180000000008</v>
      </c>
      <c r="J6322" s="225">
        <v>37641.54</v>
      </c>
      <c r="K6322" s="225">
        <v>293.38000000094326</v>
      </c>
      <c r="L63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293.38</v>
      </c>
      <c r="M6322" s="225">
        <f>ROUND(IF(AND(Base_Periodo1[[#This Row],[Tipo_Linha]]="-",Base_Periodo1[[#This Row],[TIPOSALDO]]="D"),Base_Periodo1[[#This Row],[SALDO_ATUAL]]*-1,Base_Periodo1[[#This Row],[SALDO_ATUAL]]),4)</f>
        <v>293.38</v>
      </c>
      <c r="N6322" t="s">
        <v>396</v>
      </c>
      <c r="O6322" t="s">
        <v>397</v>
      </c>
      <c r="P6322" t="s">
        <v>459</v>
      </c>
      <c r="Q6322">
        <v>8</v>
      </c>
      <c r="R6322" s="282">
        <f>Base_Periodo1[[#This Row],[CREDITOS]]-Base_Periodo1[[#This Row],[DEBITOS]]</f>
        <v>780.35999999999331</v>
      </c>
      <c r="S6322" s="3" t="str">
        <f>IF(ISERROR(VLOOKUP(Base_Periodo1[[#This Row],[CONTA]],BaseContasDRE[#All],4,FALSE)),"Fora do DRE",VLOOKUP(Base_Periodo1[[#This Row],[CONTA]],BaseContasDRE[#All],4,FALSE))</f>
        <v>Fora do DRE</v>
      </c>
      <c r="T6322" s="3" t="str">
        <f>IF(ISERROR(VLOOKUP(Base_Periodo1[[#This Row],[CONTA]],BaseContasDRE[#All],5,FALSE)),"Fora do DRE",VLOOKUP(Base_Periodo1[[#This Row],[CONTA]],BaseContasDRE[#All],6,FALSE))</f>
        <v>Fora do DRE</v>
      </c>
      <c r="U6322" s="3" t="str">
        <f>IF(ISERROR(VLOOKUP(Base_Periodo1[[#This Row],[CONTA]],BaseContasDRE[#All],7,FALSE)),"Fora do DRE",VLOOKUP(Base_Periodo1[[#This Row],[CONTA]],BaseContasDRE[#All],7,FALSE))</f>
        <v>Fora do DRE</v>
      </c>
      <c r="V6322" s="3" t="str">
        <f>IF(Base_Periodo1[[#This Row],[Tipo_Linha]]="Fora do DRE","Fora do DRE","( "&amp;Base_Periodo1[[#This Row],[Tipo_Linha]]&amp;" ) "&amp;Base_Periodo1[[#This Row],[Filtro]])</f>
        <v>Fora do DRE</v>
      </c>
      <c r="W6322" s="3" t="str">
        <f>LEFT(Base_Periodo1[[#This Row],[CLASS]],3)</f>
        <v>3.2</v>
      </c>
    </row>
    <row r="6323" spans="1:23" hidden="1">
      <c r="A6323" s="3" t="str">
        <f t="shared" si="98"/>
        <v>Período 1</v>
      </c>
      <c r="B6323">
        <v>6339</v>
      </c>
      <c r="C6323" t="s">
        <v>6635</v>
      </c>
      <c r="D6323" t="s">
        <v>3992</v>
      </c>
      <c r="E6323" s="3" t="str">
        <f>IF(LEN(Base_Periodo1[[#This Row],[CLASS]])&gt;=7,LEFT(Base_Periodo1[[#This Row],[CLASS]],7),"")</f>
        <v>3.2.1.1</v>
      </c>
      <c r="F6323" s="3" t="e">
        <f>VLOOKUP(Base_Periodo1[[#This Row],[Aux]],Base_Contas_Balanco[#All],2,FALSE)</f>
        <v>#N/A</v>
      </c>
      <c r="G6323" s="1">
        <v>42886</v>
      </c>
      <c r="H6323" s="225">
        <v>486.97999999905005</v>
      </c>
      <c r="I6323" s="225">
        <v>36861.180000000008</v>
      </c>
      <c r="J6323" s="225">
        <v>37641.54</v>
      </c>
      <c r="K6323" s="225">
        <v>293.38000000094326</v>
      </c>
      <c r="L63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293.38</v>
      </c>
      <c r="M6323" s="225">
        <f>ROUND(IF(AND(Base_Periodo1[[#This Row],[Tipo_Linha]]="-",Base_Periodo1[[#This Row],[TIPOSALDO]]="D"),Base_Periodo1[[#This Row],[SALDO_ATUAL]]*-1,Base_Periodo1[[#This Row],[SALDO_ATUAL]]),4)</f>
        <v>293.38</v>
      </c>
      <c r="N6323" t="s">
        <v>116</v>
      </c>
      <c r="O6323" t="s">
        <v>397</v>
      </c>
      <c r="P6323" t="s">
        <v>459</v>
      </c>
      <c r="Q6323">
        <v>9</v>
      </c>
      <c r="R6323" s="282">
        <f>Base_Periodo1[[#This Row],[CREDITOS]]-Base_Periodo1[[#This Row],[DEBITOS]]</f>
        <v>780.35999999999331</v>
      </c>
      <c r="S6323" s="3" t="str">
        <f>IF(ISERROR(VLOOKUP(Base_Periodo1[[#This Row],[CONTA]],BaseContasDRE[#All],4,FALSE)),"Fora do DRE",VLOOKUP(Base_Periodo1[[#This Row],[CONTA]],BaseContasDRE[#All],4,FALSE))</f>
        <v>-</v>
      </c>
      <c r="T6323" s="3">
        <f>IF(ISERROR(VLOOKUP(Base_Periodo1[[#This Row],[CONTA]],BaseContasDRE[#All],5,FALSE)),"Fora do DRE",VLOOKUP(Base_Periodo1[[#This Row],[CONTA]],BaseContasDRE[#All],6,FALSE))</f>
        <v>2</v>
      </c>
      <c r="U6323" s="3" t="str">
        <f>IF(ISERROR(VLOOKUP(Base_Periodo1[[#This Row],[CONTA]],BaseContasDRE[#All],7,FALSE)),"Fora do DRE",VLOOKUP(Base_Periodo1[[#This Row],[CONTA]],BaseContasDRE[#All],7,FALSE))</f>
        <v>DEVOLUÇÃO DE PRODUTOS AGRICOLAS</v>
      </c>
      <c r="V6323" s="3" t="str">
        <f>IF(Base_Periodo1[[#This Row],[Tipo_Linha]]="Fora do DRE","Fora do DRE","( "&amp;Base_Periodo1[[#This Row],[Tipo_Linha]]&amp;" ) "&amp;Base_Periodo1[[#This Row],[Filtro]])</f>
        <v>( - ) DEVOLUÇÃO DE PRODUTOS AGRICOLAS</v>
      </c>
      <c r="W6323" s="3" t="str">
        <f>LEFT(Base_Periodo1[[#This Row],[CLASS]],3)</f>
        <v>3.2</v>
      </c>
    </row>
    <row r="6324" spans="1:23" hidden="1">
      <c r="A6324" s="3" t="str">
        <f t="shared" si="98"/>
        <v>Período 1</v>
      </c>
      <c r="B6324">
        <v>6340</v>
      </c>
      <c r="C6324" t="s">
        <v>4504</v>
      </c>
      <c r="D6324" t="s">
        <v>3993</v>
      </c>
      <c r="E6324" s="3" t="str">
        <f>IF(LEN(Base_Periodo1[[#This Row],[CLASS]])&gt;=7,LEFT(Base_Periodo1[[#This Row],[CLASS]],7),"")</f>
        <v>3.2.1.1</v>
      </c>
      <c r="F6324" s="3" t="e">
        <f>VLOOKUP(Base_Periodo1[[#This Row],[Aux]],Base_Contas_Balanco[#All],2,FALSE)</f>
        <v>#N/A</v>
      </c>
      <c r="G6324" s="1"/>
      <c r="H6324" s="225">
        <v>51132.650000020862</v>
      </c>
      <c r="I6324" s="225">
        <v>1167508.9699999995</v>
      </c>
      <c r="J6324" s="225">
        <v>1114003.8599999999</v>
      </c>
      <c r="K6324" s="225">
        <v>104637.7600000205</v>
      </c>
      <c r="L63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-104637.75999999999</v>
      </c>
      <c r="M6324" s="225">
        <f>ROUND(IF(AND(Base_Periodo1[[#This Row],[Tipo_Linha]]="-",Base_Periodo1[[#This Row],[TIPOSALDO]]="D"),Base_Periodo1[[#This Row],[SALDO_ATUAL]]*-1,Base_Periodo1[[#This Row],[SALDO_ATUAL]]),4)</f>
        <v>104637.75999999999</v>
      </c>
      <c r="N6324" t="s">
        <v>396</v>
      </c>
      <c r="O6324" t="s">
        <v>397</v>
      </c>
      <c r="P6324" t="s">
        <v>397</v>
      </c>
      <c r="Q6324">
        <v>8</v>
      </c>
      <c r="R6324" s="282">
        <f>Base_Periodo1[[#This Row],[CREDITOS]]-Base_Periodo1[[#This Row],[DEBITOS]]</f>
        <v>-53505.109999999637</v>
      </c>
      <c r="S6324" s="3" t="str">
        <f>IF(ISERROR(VLOOKUP(Base_Periodo1[[#This Row],[CONTA]],BaseContasDRE[#All],4,FALSE)),"Fora do DRE",VLOOKUP(Base_Periodo1[[#This Row],[CONTA]],BaseContasDRE[#All],4,FALSE))</f>
        <v>Fora do DRE</v>
      </c>
      <c r="T6324" s="3" t="str">
        <f>IF(ISERROR(VLOOKUP(Base_Periodo1[[#This Row],[CONTA]],BaseContasDRE[#All],5,FALSE)),"Fora do DRE",VLOOKUP(Base_Periodo1[[#This Row],[CONTA]],BaseContasDRE[#All],6,FALSE))</f>
        <v>Fora do DRE</v>
      </c>
      <c r="U6324" s="3" t="str">
        <f>IF(ISERROR(VLOOKUP(Base_Periodo1[[#This Row],[CONTA]],BaseContasDRE[#All],7,FALSE)),"Fora do DRE",VLOOKUP(Base_Periodo1[[#This Row],[CONTA]],BaseContasDRE[#All],7,FALSE))</f>
        <v>Fora do DRE</v>
      </c>
      <c r="V6324" s="3" t="str">
        <f>IF(Base_Periodo1[[#This Row],[Tipo_Linha]]="Fora do DRE","Fora do DRE","( "&amp;Base_Periodo1[[#This Row],[Tipo_Linha]]&amp;" ) "&amp;Base_Periodo1[[#This Row],[Filtro]])</f>
        <v>Fora do DRE</v>
      </c>
      <c r="W6324" s="3" t="str">
        <f>LEFT(Base_Periodo1[[#This Row],[CLASS]],3)</f>
        <v>3.2</v>
      </c>
    </row>
    <row r="6325" spans="1:23" hidden="1">
      <c r="A6325" s="3" t="str">
        <f t="shared" si="98"/>
        <v>Período 1</v>
      </c>
      <c r="B6325">
        <v>6341</v>
      </c>
      <c r="C6325" t="s">
        <v>4505</v>
      </c>
      <c r="D6325" t="s">
        <v>3566</v>
      </c>
      <c r="E6325" s="3" t="str">
        <f>IF(LEN(Base_Periodo1[[#This Row],[CLASS]])&gt;=7,LEFT(Base_Periodo1[[#This Row],[CLASS]],7),"")</f>
        <v>3.2.1.1</v>
      </c>
      <c r="F6325" s="3" t="e">
        <f>VLOOKUP(Base_Periodo1[[#This Row],[Aux]],Base_Contas_Balanco[#All],2,FALSE)</f>
        <v>#N/A</v>
      </c>
      <c r="G6325" s="1">
        <v>42886</v>
      </c>
      <c r="H6325" s="225">
        <v>51132.650000020862</v>
      </c>
      <c r="I6325" s="225">
        <v>1167508.9699999995</v>
      </c>
      <c r="J6325" s="225">
        <v>1114003.8599999999</v>
      </c>
      <c r="K6325" s="225">
        <v>104637.7600000205</v>
      </c>
      <c r="L63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-104637.75999999999</v>
      </c>
      <c r="M6325" s="225">
        <f>ROUND(IF(AND(Base_Periodo1[[#This Row],[Tipo_Linha]]="-",Base_Periodo1[[#This Row],[TIPOSALDO]]="D"),Base_Periodo1[[#This Row],[SALDO_ATUAL]]*-1,Base_Periodo1[[#This Row],[SALDO_ATUAL]]),4)</f>
        <v>-104637.75999999999</v>
      </c>
      <c r="N6325" t="s">
        <v>116</v>
      </c>
      <c r="O6325" t="s">
        <v>397</v>
      </c>
      <c r="P6325" t="s">
        <v>397</v>
      </c>
      <c r="Q6325">
        <v>9</v>
      </c>
      <c r="R6325" s="282">
        <f>Base_Periodo1[[#This Row],[CREDITOS]]-Base_Periodo1[[#This Row],[DEBITOS]]</f>
        <v>-53505.109999999637</v>
      </c>
      <c r="S6325" s="3" t="str">
        <f>IF(ISERROR(VLOOKUP(Base_Periodo1[[#This Row],[CONTA]],BaseContasDRE[#All],4,FALSE)),"Fora do DRE",VLOOKUP(Base_Periodo1[[#This Row],[CONTA]],BaseContasDRE[#All],4,FALSE))</f>
        <v>-</v>
      </c>
      <c r="T6325" s="3">
        <f>IF(ISERROR(VLOOKUP(Base_Periodo1[[#This Row],[CONTA]],BaseContasDRE[#All],5,FALSE)),"Fora do DRE",VLOOKUP(Base_Periodo1[[#This Row],[CONTA]],BaseContasDRE[#All],6,FALSE))</f>
        <v>2</v>
      </c>
      <c r="U6325" s="3" t="str">
        <f>IF(ISERROR(VLOOKUP(Base_Periodo1[[#This Row],[CONTA]],BaseContasDRE[#All],7,FALSE)),"Fora do DRE",VLOOKUP(Base_Periodo1[[#This Row],[CONTA]],BaseContasDRE[#All],7,FALSE))</f>
        <v>ICMS SOBRE INGRESSOS E RECEITAS</v>
      </c>
      <c r="V6325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325" s="3" t="str">
        <f>LEFT(Base_Periodo1[[#This Row],[CLASS]],3)</f>
        <v>3.2</v>
      </c>
    </row>
    <row r="6326" spans="1:23" hidden="1">
      <c r="A6326" s="3" t="str">
        <f t="shared" si="98"/>
        <v>Período 1</v>
      </c>
      <c r="B6326">
        <v>6343</v>
      </c>
      <c r="C6326" t="s">
        <v>4002</v>
      </c>
      <c r="D6326" t="s">
        <v>3995</v>
      </c>
      <c r="E6326" s="3" t="str">
        <f>IF(LEN(Base_Periodo1[[#This Row],[CLASS]])&gt;=7,LEFT(Base_Periodo1[[#This Row],[CLASS]],7),"")</f>
        <v>3.2.1.1</v>
      </c>
      <c r="F6326" s="3" t="e">
        <f>VLOOKUP(Base_Periodo1[[#This Row],[Aux]],Base_Contas_Balanco[#All],2,FALSE)</f>
        <v>#N/A</v>
      </c>
      <c r="G6326" s="1"/>
      <c r="H6326" s="225">
        <v>2121479.6399998665</v>
      </c>
      <c r="I6326" s="225">
        <v>48666435.75</v>
      </c>
      <c r="J6326" s="225">
        <v>47180252.520000003</v>
      </c>
      <c r="K6326" s="225">
        <v>3607662.8699998632</v>
      </c>
      <c r="L63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-3607662.87</v>
      </c>
      <c r="M6326" s="225">
        <f>ROUND(IF(AND(Base_Periodo1[[#This Row],[Tipo_Linha]]="-",Base_Periodo1[[#This Row],[TIPOSALDO]]="D"),Base_Periodo1[[#This Row],[SALDO_ATUAL]]*-1,Base_Periodo1[[#This Row],[SALDO_ATUAL]]),4)</f>
        <v>3607662.87</v>
      </c>
      <c r="N6326" t="s">
        <v>396</v>
      </c>
      <c r="O6326" t="s">
        <v>397</v>
      </c>
      <c r="P6326" t="s">
        <v>397</v>
      </c>
      <c r="Q6326">
        <v>8</v>
      </c>
      <c r="R6326" s="282">
        <f>Base_Periodo1[[#This Row],[CREDITOS]]-Base_Periodo1[[#This Row],[DEBITOS]]</f>
        <v>-1486183.2299999967</v>
      </c>
      <c r="S6326" s="3" t="str">
        <f>IF(ISERROR(VLOOKUP(Base_Periodo1[[#This Row],[CONTA]],BaseContasDRE[#All],4,FALSE)),"Fora do DRE",VLOOKUP(Base_Periodo1[[#This Row],[CONTA]],BaseContasDRE[#All],4,FALSE))</f>
        <v>Fora do DRE</v>
      </c>
      <c r="T6326" s="3" t="str">
        <f>IF(ISERROR(VLOOKUP(Base_Periodo1[[#This Row],[CONTA]],BaseContasDRE[#All],5,FALSE)),"Fora do DRE",VLOOKUP(Base_Periodo1[[#This Row],[CONTA]],BaseContasDRE[#All],6,FALSE))</f>
        <v>Fora do DRE</v>
      </c>
      <c r="U6326" s="3" t="str">
        <f>IF(ISERROR(VLOOKUP(Base_Periodo1[[#This Row],[CONTA]],BaseContasDRE[#All],7,FALSE)),"Fora do DRE",VLOOKUP(Base_Periodo1[[#This Row],[CONTA]],BaseContasDRE[#All],7,FALSE))</f>
        <v>Fora do DRE</v>
      </c>
      <c r="V6326" s="3" t="str">
        <f>IF(Base_Periodo1[[#This Row],[Tipo_Linha]]="Fora do DRE","Fora do DRE","( "&amp;Base_Periodo1[[#This Row],[Tipo_Linha]]&amp;" ) "&amp;Base_Periodo1[[#This Row],[Filtro]])</f>
        <v>Fora do DRE</v>
      </c>
      <c r="W6326" s="3" t="str">
        <f>LEFT(Base_Periodo1[[#This Row],[CLASS]],3)</f>
        <v>3.2</v>
      </c>
    </row>
    <row r="6327" spans="1:23" hidden="1">
      <c r="A6327" s="3" t="str">
        <f t="shared" si="98"/>
        <v>Período 1</v>
      </c>
      <c r="B6327">
        <v>6344</v>
      </c>
      <c r="C6327" t="s">
        <v>4003</v>
      </c>
      <c r="D6327" t="s">
        <v>3997</v>
      </c>
      <c r="E6327" s="3" t="str">
        <f>IF(LEN(Base_Periodo1[[#This Row],[CLASS]])&gt;=7,LEFT(Base_Periodo1[[#This Row],[CLASS]],7),"")</f>
        <v>3.2.1.1</v>
      </c>
      <c r="F6327" s="3" t="e">
        <f>VLOOKUP(Base_Periodo1[[#This Row],[Aux]],Base_Contas_Balanco[#All],2,FALSE)</f>
        <v>#N/A</v>
      </c>
      <c r="G6327" s="1">
        <v>42886</v>
      </c>
      <c r="H6327" s="225">
        <v>2121479.6399998665</v>
      </c>
      <c r="I6327" s="225">
        <v>48666435.75</v>
      </c>
      <c r="J6327" s="225">
        <v>47180252.520000003</v>
      </c>
      <c r="K6327" s="225">
        <v>3607662.8699998632</v>
      </c>
      <c r="L63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-3607662.87</v>
      </c>
      <c r="M6327" s="225">
        <f>ROUND(IF(AND(Base_Periodo1[[#This Row],[Tipo_Linha]]="-",Base_Periodo1[[#This Row],[TIPOSALDO]]="D"),Base_Periodo1[[#This Row],[SALDO_ATUAL]]*-1,Base_Periodo1[[#This Row],[SALDO_ATUAL]]),4)</f>
        <v>-3607662.87</v>
      </c>
      <c r="N6327" t="s">
        <v>116</v>
      </c>
      <c r="O6327" t="s">
        <v>397</v>
      </c>
      <c r="P6327" t="s">
        <v>397</v>
      </c>
      <c r="Q6327">
        <v>9</v>
      </c>
      <c r="R6327" s="282">
        <f>Base_Periodo1[[#This Row],[CREDITOS]]-Base_Periodo1[[#This Row],[DEBITOS]]</f>
        <v>-1486183.2299999967</v>
      </c>
      <c r="S6327" s="3" t="str">
        <f>IF(ISERROR(VLOOKUP(Base_Periodo1[[#This Row],[CONTA]],BaseContasDRE[#All],4,FALSE)),"Fora do DRE",VLOOKUP(Base_Periodo1[[#This Row],[CONTA]],BaseContasDRE[#All],4,FALSE))</f>
        <v>-</v>
      </c>
      <c r="T6327" s="3">
        <f>IF(ISERROR(VLOOKUP(Base_Periodo1[[#This Row],[CONTA]],BaseContasDRE[#All],5,FALSE)),"Fora do DRE",VLOOKUP(Base_Periodo1[[#This Row],[CONTA]],BaseContasDRE[#All],6,FALSE))</f>
        <v>3</v>
      </c>
      <c r="U6327" s="3" t="str">
        <f>IF(ISERROR(VLOOKUP(Base_Periodo1[[#This Row],[CONTA]],BaseContasDRE[#All],7,FALSE)),"Fora do DRE",VLOOKUP(Base_Periodo1[[#This Row],[CONTA]],BaseContasDRE[#All],7,FALSE))</f>
        <v>PRODUTOS AGRICOLAS</v>
      </c>
      <c r="V6327" s="3" t="str">
        <f>IF(Base_Periodo1[[#This Row],[Tipo_Linha]]="Fora do DRE","Fora do DRE","( "&amp;Base_Periodo1[[#This Row],[Tipo_Linha]]&amp;" ) "&amp;Base_Periodo1[[#This Row],[Filtro]])</f>
        <v>( - ) PRODUTOS AGRICOLAS</v>
      </c>
      <c r="W6327" s="3" t="str">
        <f>LEFT(Base_Periodo1[[#This Row],[CLASS]],3)</f>
        <v>3.2</v>
      </c>
    </row>
    <row r="6328" spans="1:23" hidden="1">
      <c r="A6328" s="3" t="str">
        <f t="shared" si="98"/>
        <v>Período 1</v>
      </c>
      <c r="B6328">
        <v>6347</v>
      </c>
      <c r="C6328" t="s">
        <v>4004</v>
      </c>
      <c r="D6328" t="s">
        <v>1088</v>
      </c>
      <c r="E6328" s="3" t="str">
        <f>IF(LEN(Base_Periodo1[[#This Row],[CLASS]])&gt;=7,LEFT(Base_Periodo1[[#This Row],[CLASS]],7),"")</f>
        <v>3.2.1.1</v>
      </c>
      <c r="F6328" s="3" t="e">
        <f>VLOOKUP(Base_Periodo1[[#This Row],[Aux]],Base_Contas_Balanco[#All],2,FALSE)</f>
        <v>#N/A</v>
      </c>
      <c r="G6328" s="1"/>
      <c r="H6328" s="225">
        <v>337268.97999823932</v>
      </c>
      <c r="I6328" s="225">
        <v>34443060.979999997</v>
      </c>
      <c r="J6328" s="225">
        <v>34530878.170000002</v>
      </c>
      <c r="K6328" s="225">
        <v>425086.16999824345</v>
      </c>
      <c r="L63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425086.17</v>
      </c>
      <c r="M6328" s="225">
        <f>ROUND(IF(AND(Base_Periodo1[[#This Row],[Tipo_Linha]]="-",Base_Periodo1[[#This Row],[TIPOSALDO]]="D"),Base_Periodo1[[#This Row],[SALDO_ATUAL]]*-1,Base_Periodo1[[#This Row],[SALDO_ATUAL]]),4)</f>
        <v>425086.17</v>
      </c>
      <c r="N6328" t="s">
        <v>396</v>
      </c>
      <c r="O6328" t="s">
        <v>459</v>
      </c>
      <c r="P6328" t="s">
        <v>459</v>
      </c>
      <c r="Q6328">
        <v>7</v>
      </c>
      <c r="R6328" s="282">
        <f>Base_Periodo1[[#This Row],[CREDITOS]]-Base_Periodo1[[#This Row],[DEBITOS]]</f>
        <v>87817.190000005066</v>
      </c>
      <c r="S6328" s="3" t="str">
        <f>IF(ISERROR(VLOOKUP(Base_Periodo1[[#This Row],[CONTA]],BaseContasDRE[#All],4,FALSE)),"Fora do DRE",VLOOKUP(Base_Periodo1[[#This Row],[CONTA]],BaseContasDRE[#All],4,FALSE))</f>
        <v>Fora do DRE</v>
      </c>
      <c r="T6328" s="3" t="str">
        <f>IF(ISERROR(VLOOKUP(Base_Periodo1[[#This Row],[CONTA]],BaseContasDRE[#All],5,FALSE)),"Fora do DRE",VLOOKUP(Base_Periodo1[[#This Row],[CONTA]],BaseContasDRE[#All],6,FALSE))</f>
        <v>Fora do DRE</v>
      </c>
      <c r="U6328" s="3" t="str">
        <f>IF(ISERROR(VLOOKUP(Base_Periodo1[[#This Row],[CONTA]],BaseContasDRE[#All],7,FALSE)),"Fora do DRE",VLOOKUP(Base_Periodo1[[#This Row],[CONTA]],BaseContasDRE[#All],7,FALSE))</f>
        <v>Fora do DRE</v>
      </c>
      <c r="V6328" s="3" t="str">
        <f>IF(Base_Periodo1[[#This Row],[Tipo_Linha]]="Fora do DRE","Fora do DRE","( "&amp;Base_Periodo1[[#This Row],[Tipo_Linha]]&amp;" ) "&amp;Base_Periodo1[[#This Row],[Filtro]])</f>
        <v>Fora do DRE</v>
      </c>
      <c r="W6328" s="3" t="str">
        <f>LEFT(Base_Periodo1[[#This Row],[CLASS]],3)</f>
        <v>3.2</v>
      </c>
    </row>
    <row r="6329" spans="1:23" hidden="1">
      <c r="A6329" s="3" t="str">
        <f t="shared" si="98"/>
        <v>Período 1</v>
      </c>
      <c r="B6329">
        <v>6348</v>
      </c>
      <c r="C6329" t="s">
        <v>4005</v>
      </c>
      <c r="D6329" t="s">
        <v>3985</v>
      </c>
      <c r="E6329" s="3" t="str">
        <f>IF(LEN(Base_Periodo1[[#This Row],[CLASS]])&gt;=7,LEFT(Base_Periodo1[[#This Row],[CLASS]],7),"")</f>
        <v>3.2.1.1</v>
      </c>
      <c r="F6329" s="3" t="e">
        <f>VLOOKUP(Base_Periodo1[[#This Row],[Aux]],Base_Contas_Balanco[#All],2,FALSE)</f>
        <v>#N/A</v>
      </c>
      <c r="G6329" s="1"/>
      <c r="H6329" s="225">
        <v>2971576.3699986935</v>
      </c>
      <c r="I6329" s="225">
        <v>17723262.719999999</v>
      </c>
      <c r="J6329" s="225">
        <v>17654049.800000001</v>
      </c>
      <c r="K6329" s="225">
        <v>2902363.4499986954</v>
      </c>
      <c r="L63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2902363.45</v>
      </c>
      <c r="M6329" s="225">
        <f>ROUND(IF(AND(Base_Periodo1[[#This Row],[Tipo_Linha]]="-",Base_Periodo1[[#This Row],[TIPOSALDO]]="D"),Base_Periodo1[[#This Row],[SALDO_ATUAL]]*-1,Base_Periodo1[[#This Row],[SALDO_ATUAL]]),4)</f>
        <v>2902363.45</v>
      </c>
      <c r="N6329" t="s">
        <v>396</v>
      </c>
      <c r="O6329" t="s">
        <v>459</v>
      </c>
      <c r="P6329" t="s">
        <v>459</v>
      </c>
      <c r="Q6329">
        <v>8</v>
      </c>
      <c r="R6329" s="282">
        <f>Base_Periodo1[[#This Row],[CREDITOS]]-Base_Periodo1[[#This Row],[DEBITOS]]</f>
        <v>-69212.919999998063</v>
      </c>
      <c r="S6329" s="3" t="str">
        <f>IF(ISERROR(VLOOKUP(Base_Periodo1[[#This Row],[CONTA]],BaseContasDRE[#All],4,FALSE)),"Fora do DRE",VLOOKUP(Base_Periodo1[[#This Row],[CONTA]],BaseContasDRE[#All],4,FALSE))</f>
        <v>Fora do DRE</v>
      </c>
      <c r="T6329" s="3" t="str">
        <f>IF(ISERROR(VLOOKUP(Base_Periodo1[[#This Row],[CONTA]],BaseContasDRE[#All],5,FALSE)),"Fora do DRE",VLOOKUP(Base_Periodo1[[#This Row],[CONTA]],BaseContasDRE[#All],6,FALSE))</f>
        <v>Fora do DRE</v>
      </c>
      <c r="U6329" s="3" t="str">
        <f>IF(ISERROR(VLOOKUP(Base_Periodo1[[#This Row],[CONTA]],BaseContasDRE[#All],7,FALSE)),"Fora do DRE",VLOOKUP(Base_Periodo1[[#This Row],[CONTA]],BaseContasDRE[#All],7,FALSE))</f>
        <v>Fora do DRE</v>
      </c>
      <c r="V6329" s="3" t="str">
        <f>IF(Base_Periodo1[[#This Row],[Tipo_Linha]]="Fora do DRE","Fora do DRE","( "&amp;Base_Periodo1[[#This Row],[Tipo_Linha]]&amp;" ) "&amp;Base_Periodo1[[#This Row],[Filtro]])</f>
        <v>Fora do DRE</v>
      </c>
      <c r="W6329" s="3" t="str">
        <f>LEFT(Base_Periodo1[[#This Row],[CLASS]],3)</f>
        <v>3.2</v>
      </c>
    </row>
    <row r="6330" spans="1:23" hidden="1">
      <c r="A6330" s="3" t="str">
        <f t="shared" si="98"/>
        <v>Período 1</v>
      </c>
      <c r="B6330">
        <v>6349</v>
      </c>
      <c r="C6330" t="s">
        <v>4006</v>
      </c>
      <c r="D6330" t="s">
        <v>3987</v>
      </c>
      <c r="E6330" s="3" t="str">
        <f>IF(LEN(Base_Periodo1[[#This Row],[CLASS]])&gt;=7,LEFT(Base_Periodo1[[#This Row],[CLASS]],7),"")</f>
        <v>3.2.1.1</v>
      </c>
      <c r="F6330" s="3" t="e">
        <f>VLOOKUP(Base_Periodo1[[#This Row],[Aux]],Base_Contas_Balanco[#All],2,FALSE)</f>
        <v>#N/A</v>
      </c>
      <c r="G6330" s="1">
        <v>42886</v>
      </c>
      <c r="H6330" s="225">
        <v>2971576.3699986935</v>
      </c>
      <c r="I6330" s="225">
        <v>17723262.719999999</v>
      </c>
      <c r="J6330" s="225">
        <v>17654049.800000001</v>
      </c>
      <c r="K6330" s="225">
        <v>2902363.4499986954</v>
      </c>
      <c r="L63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2902363.45</v>
      </c>
      <c r="M6330" s="225">
        <f>ROUND(IF(AND(Base_Periodo1[[#This Row],[Tipo_Linha]]="-",Base_Periodo1[[#This Row],[TIPOSALDO]]="D"),Base_Periodo1[[#This Row],[SALDO_ATUAL]]*-1,Base_Periodo1[[#This Row],[SALDO_ATUAL]]),4)</f>
        <v>2902363.45</v>
      </c>
      <c r="N6330" t="s">
        <v>116</v>
      </c>
      <c r="O6330" t="s">
        <v>459</v>
      </c>
      <c r="P6330" t="s">
        <v>459</v>
      </c>
      <c r="Q6330">
        <v>9</v>
      </c>
      <c r="R6330" s="282">
        <f>Base_Periodo1[[#This Row],[CREDITOS]]-Base_Periodo1[[#This Row],[DEBITOS]]</f>
        <v>-69212.919999998063</v>
      </c>
      <c r="S6330" s="3" t="str">
        <f>IF(ISERROR(VLOOKUP(Base_Periodo1[[#This Row],[CONTA]],BaseContasDRE[#All],4,FALSE)),"Fora do DRE",VLOOKUP(Base_Periodo1[[#This Row],[CONTA]],BaseContasDRE[#All],4,FALSE))</f>
        <v>+</v>
      </c>
      <c r="T6330" s="3">
        <f>IF(ISERROR(VLOOKUP(Base_Periodo1[[#This Row],[CONTA]],BaseContasDRE[#All],5,FALSE)),"Fora do DRE",VLOOKUP(Base_Periodo1[[#This Row],[CONTA]],BaseContasDRE[#All],6,FALSE))</f>
        <v>1</v>
      </c>
      <c r="U6330" s="3" t="str">
        <f>IF(ISERROR(VLOOKUP(Base_Periodo1[[#This Row],[CONTA]],BaseContasDRE[#All],7,FALSE)),"Fora do DRE",VLOOKUP(Base_Periodo1[[#This Row],[CONTA]],BaseContasDRE[#All],7,FALSE))</f>
        <v>PRODUTOS AGRICOLAS</v>
      </c>
      <c r="V6330" s="3" t="str">
        <f>IF(Base_Periodo1[[#This Row],[Tipo_Linha]]="Fora do DRE","Fora do DRE","( "&amp;Base_Periodo1[[#This Row],[Tipo_Linha]]&amp;" ) "&amp;Base_Periodo1[[#This Row],[Filtro]])</f>
        <v>( + ) PRODUTOS AGRICOLAS</v>
      </c>
      <c r="W6330" s="3" t="str">
        <f>LEFT(Base_Periodo1[[#This Row],[CLASS]],3)</f>
        <v>3.2</v>
      </c>
    </row>
    <row r="6331" spans="1:23" hidden="1">
      <c r="A6331" s="3" t="str">
        <f t="shared" si="98"/>
        <v>Período 1</v>
      </c>
      <c r="B6331">
        <v>6352</v>
      </c>
      <c r="C6331" t="s">
        <v>6636</v>
      </c>
      <c r="D6331" t="s">
        <v>3991</v>
      </c>
      <c r="E6331" s="3" t="str">
        <f>IF(LEN(Base_Periodo1[[#This Row],[CLASS]])&gt;=7,LEFT(Base_Periodo1[[#This Row],[CLASS]],7),"")</f>
        <v>3.2.1.1</v>
      </c>
      <c r="F6331" s="3" t="e">
        <f>VLOOKUP(Base_Periodo1[[#This Row],[Aux]],Base_Contas_Balanco[#All],2,FALSE)</f>
        <v>#N/A</v>
      </c>
      <c r="G6331" s="1"/>
      <c r="H6331" s="225">
        <v>3208.2600000007078</v>
      </c>
      <c r="I6331" s="225">
        <v>17514.580000000002</v>
      </c>
      <c r="J6331" s="225">
        <v>17806.8</v>
      </c>
      <c r="K6331" s="225">
        <v>2916.0400000007103</v>
      </c>
      <c r="L63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-2916.04</v>
      </c>
      <c r="M6331" s="225">
        <f>ROUND(IF(AND(Base_Periodo1[[#This Row],[Tipo_Linha]]="-",Base_Periodo1[[#This Row],[TIPOSALDO]]="D"),Base_Periodo1[[#This Row],[SALDO_ATUAL]]*-1,Base_Periodo1[[#This Row],[SALDO_ATUAL]]),4)</f>
        <v>2916.04</v>
      </c>
      <c r="N6331" t="s">
        <v>396</v>
      </c>
      <c r="O6331" t="s">
        <v>397</v>
      </c>
      <c r="P6331" t="s">
        <v>397</v>
      </c>
      <c r="Q6331">
        <v>8</v>
      </c>
      <c r="R6331" s="282">
        <f>Base_Periodo1[[#This Row],[CREDITOS]]-Base_Periodo1[[#This Row],[DEBITOS]]</f>
        <v>292.21999999999753</v>
      </c>
      <c r="S6331" s="3" t="str">
        <f>IF(ISERROR(VLOOKUP(Base_Periodo1[[#This Row],[CONTA]],BaseContasDRE[#All],4,FALSE)),"Fora do DRE",VLOOKUP(Base_Periodo1[[#This Row],[CONTA]],BaseContasDRE[#All],4,FALSE))</f>
        <v>Fora do DRE</v>
      </c>
      <c r="T6331" s="3" t="str">
        <f>IF(ISERROR(VLOOKUP(Base_Periodo1[[#This Row],[CONTA]],BaseContasDRE[#All],5,FALSE)),"Fora do DRE",VLOOKUP(Base_Periodo1[[#This Row],[CONTA]],BaseContasDRE[#All],6,FALSE))</f>
        <v>Fora do DRE</v>
      </c>
      <c r="U6331" s="3" t="str">
        <f>IF(ISERROR(VLOOKUP(Base_Periodo1[[#This Row],[CONTA]],BaseContasDRE[#All],7,FALSE)),"Fora do DRE",VLOOKUP(Base_Periodo1[[#This Row],[CONTA]],BaseContasDRE[#All],7,FALSE))</f>
        <v>Fora do DRE</v>
      </c>
      <c r="V6331" s="3" t="str">
        <f>IF(Base_Periodo1[[#This Row],[Tipo_Linha]]="Fora do DRE","Fora do DRE","( "&amp;Base_Periodo1[[#This Row],[Tipo_Linha]]&amp;" ) "&amp;Base_Periodo1[[#This Row],[Filtro]])</f>
        <v>Fora do DRE</v>
      </c>
      <c r="W6331" s="3" t="str">
        <f>LEFT(Base_Periodo1[[#This Row],[CLASS]],3)</f>
        <v>3.2</v>
      </c>
    </row>
    <row r="6332" spans="1:23" hidden="1">
      <c r="A6332" s="3" t="str">
        <f t="shared" si="98"/>
        <v>Período 1</v>
      </c>
      <c r="B6332">
        <v>6353</v>
      </c>
      <c r="C6332" t="s">
        <v>6637</v>
      </c>
      <c r="D6332" t="s">
        <v>3992</v>
      </c>
      <c r="E6332" s="3" t="str">
        <f>IF(LEN(Base_Periodo1[[#This Row],[CLASS]])&gt;=7,LEFT(Base_Periodo1[[#This Row],[CLASS]],7),"")</f>
        <v>3.2.1.1</v>
      </c>
      <c r="F6332" s="3" t="e">
        <f>VLOOKUP(Base_Periodo1[[#This Row],[Aux]],Base_Contas_Balanco[#All],2,FALSE)</f>
        <v>#N/A</v>
      </c>
      <c r="G6332" s="1">
        <v>42886</v>
      </c>
      <c r="H6332" s="225">
        <v>3208.2600000007078</v>
      </c>
      <c r="I6332" s="225">
        <v>17514.580000000002</v>
      </c>
      <c r="J6332" s="225">
        <v>17806.8</v>
      </c>
      <c r="K6332" s="225">
        <v>2916.0400000007103</v>
      </c>
      <c r="L63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-2916.04</v>
      </c>
      <c r="M6332" s="225">
        <f>ROUND(IF(AND(Base_Periodo1[[#This Row],[Tipo_Linha]]="-",Base_Periodo1[[#This Row],[TIPOSALDO]]="D"),Base_Periodo1[[#This Row],[SALDO_ATUAL]]*-1,Base_Periodo1[[#This Row],[SALDO_ATUAL]]),4)</f>
        <v>-2916.04</v>
      </c>
      <c r="N6332" t="s">
        <v>116</v>
      </c>
      <c r="O6332" t="s">
        <v>397</v>
      </c>
      <c r="P6332" t="s">
        <v>397</v>
      </c>
      <c r="Q6332">
        <v>9</v>
      </c>
      <c r="R6332" s="282">
        <f>Base_Periodo1[[#This Row],[CREDITOS]]-Base_Periodo1[[#This Row],[DEBITOS]]</f>
        <v>292.21999999999753</v>
      </c>
      <c r="S6332" s="3" t="str">
        <f>IF(ISERROR(VLOOKUP(Base_Periodo1[[#This Row],[CONTA]],BaseContasDRE[#All],4,FALSE)),"Fora do DRE",VLOOKUP(Base_Periodo1[[#This Row],[CONTA]],BaseContasDRE[#All],4,FALSE))</f>
        <v>-</v>
      </c>
      <c r="T6332" s="3">
        <f>IF(ISERROR(VLOOKUP(Base_Periodo1[[#This Row],[CONTA]],BaseContasDRE[#All],5,FALSE)),"Fora do DRE",VLOOKUP(Base_Periodo1[[#This Row],[CONTA]],BaseContasDRE[#All],6,FALSE))</f>
        <v>2</v>
      </c>
      <c r="U6332" s="3" t="str">
        <f>IF(ISERROR(VLOOKUP(Base_Periodo1[[#This Row],[CONTA]],BaseContasDRE[#All],7,FALSE)),"Fora do DRE",VLOOKUP(Base_Periodo1[[#This Row],[CONTA]],BaseContasDRE[#All],7,FALSE))</f>
        <v>DEVOLUÇÃO DE PRODUTOS AGRICOLAS</v>
      </c>
      <c r="V6332" s="3" t="str">
        <f>IF(Base_Periodo1[[#This Row],[Tipo_Linha]]="Fora do DRE","Fora do DRE","( "&amp;Base_Periodo1[[#This Row],[Tipo_Linha]]&amp;" ) "&amp;Base_Periodo1[[#This Row],[Filtro]])</f>
        <v>( - ) DEVOLUÇÃO DE PRODUTOS AGRICOLAS</v>
      </c>
      <c r="W6332" s="3" t="str">
        <f>LEFT(Base_Periodo1[[#This Row],[CLASS]],3)</f>
        <v>3.2</v>
      </c>
    </row>
    <row r="6333" spans="1:23" hidden="1">
      <c r="A6333" s="3" t="str">
        <f t="shared" si="98"/>
        <v>Período 1</v>
      </c>
      <c r="B6333">
        <v>6354</v>
      </c>
      <c r="C6333" t="s">
        <v>4007</v>
      </c>
      <c r="D6333" t="s">
        <v>3993</v>
      </c>
      <c r="E6333" s="3" t="str">
        <f>IF(LEN(Base_Periodo1[[#This Row],[CLASS]])&gt;=7,LEFT(Base_Periodo1[[#This Row],[CLASS]],7),"")</f>
        <v>3.2.1.1</v>
      </c>
      <c r="F6333" s="3" t="e">
        <f>VLOOKUP(Base_Periodo1[[#This Row],[Aux]],Base_Contas_Balanco[#All],2,FALSE)</f>
        <v>#N/A</v>
      </c>
      <c r="G6333" s="1"/>
      <c r="H6333" s="225">
        <v>110215.01000004634</v>
      </c>
      <c r="I6333" s="225">
        <v>607640.82999999996</v>
      </c>
      <c r="J6333" s="225">
        <v>616841.76</v>
      </c>
      <c r="K6333" s="225">
        <v>101014.08000004629</v>
      </c>
      <c r="L63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-101014.08</v>
      </c>
      <c r="M6333" s="225">
        <f>ROUND(IF(AND(Base_Periodo1[[#This Row],[Tipo_Linha]]="-",Base_Periodo1[[#This Row],[TIPOSALDO]]="D"),Base_Periodo1[[#This Row],[SALDO_ATUAL]]*-1,Base_Periodo1[[#This Row],[SALDO_ATUAL]]),4)</f>
        <v>101014.08</v>
      </c>
      <c r="N6333" t="s">
        <v>396</v>
      </c>
      <c r="O6333" t="s">
        <v>397</v>
      </c>
      <c r="P6333" t="s">
        <v>397</v>
      </c>
      <c r="Q6333">
        <v>8</v>
      </c>
      <c r="R6333" s="282">
        <f>Base_Periodo1[[#This Row],[CREDITOS]]-Base_Periodo1[[#This Row],[DEBITOS]]</f>
        <v>9200.9300000000512</v>
      </c>
      <c r="S6333" s="3" t="str">
        <f>IF(ISERROR(VLOOKUP(Base_Periodo1[[#This Row],[CONTA]],BaseContasDRE[#All],4,FALSE)),"Fora do DRE",VLOOKUP(Base_Periodo1[[#This Row],[CONTA]],BaseContasDRE[#All],4,FALSE))</f>
        <v>Fora do DRE</v>
      </c>
      <c r="T6333" s="3" t="str">
        <f>IF(ISERROR(VLOOKUP(Base_Periodo1[[#This Row],[CONTA]],BaseContasDRE[#All],5,FALSE)),"Fora do DRE",VLOOKUP(Base_Periodo1[[#This Row],[CONTA]],BaseContasDRE[#All],6,FALSE))</f>
        <v>Fora do DRE</v>
      </c>
      <c r="U6333" s="3" t="str">
        <f>IF(ISERROR(VLOOKUP(Base_Periodo1[[#This Row],[CONTA]],BaseContasDRE[#All],7,FALSE)),"Fora do DRE",VLOOKUP(Base_Periodo1[[#This Row],[CONTA]],BaseContasDRE[#All],7,FALSE))</f>
        <v>Fora do DRE</v>
      </c>
      <c r="V6333" s="3" t="str">
        <f>IF(Base_Periodo1[[#This Row],[Tipo_Linha]]="Fora do DRE","Fora do DRE","( "&amp;Base_Periodo1[[#This Row],[Tipo_Linha]]&amp;" ) "&amp;Base_Periodo1[[#This Row],[Filtro]])</f>
        <v>Fora do DRE</v>
      </c>
      <c r="W6333" s="3" t="str">
        <f>LEFT(Base_Periodo1[[#This Row],[CLASS]],3)</f>
        <v>3.2</v>
      </c>
    </row>
    <row r="6334" spans="1:23" hidden="1">
      <c r="A6334" s="3" t="str">
        <f t="shared" si="98"/>
        <v>Período 1</v>
      </c>
      <c r="B6334">
        <v>6355</v>
      </c>
      <c r="C6334" t="s">
        <v>4008</v>
      </c>
      <c r="D6334" t="s">
        <v>3566</v>
      </c>
      <c r="E6334" s="3" t="str">
        <f>IF(LEN(Base_Periodo1[[#This Row],[CLASS]])&gt;=7,LEFT(Base_Periodo1[[#This Row],[CLASS]],7),"")</f>
        <v>3.2.1.1</v>
      </c>
      <c r="F6334" s="3" t="e">
        <f>VLOOKUP(Base_Periodo1[[#This Row],[Aux]],Base_Contas_Balanco[#All],2,FALSE)</f>
        <v>#N/A</v>
      </c>
      <c r="G6334" s="1">
        <v>42886</v>
      </c>
      <c r="H6334" s="225">
        <v>110215.01000004634</v>
      </c>
      <c r="I6334" s="225">
        <v>607640.82999999996</v>
      </c>
      <c r="J6334" s="225">
        <v>616841.76</v>
      </c>
      <c r="K6334" s="225">
        <v>101014.08000004629</v>
      </c>
      <c r="L63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-101014.08</v>
      </c>
      <c r="M6334" s="225">
        <f>ROUND(IF(AND(Base_Periodo1[[#This Row],[Tipo_Linha]]="-",Base_Periodo1[[#This Row],[TIPOSALDO]]="D"),Base_Periodo1[[#This Row],[SALDO_ATUAL]]*-1,Base_Periodo1[[#This Row],[SALDO_ATUAL]]),4)</f>
        <v>-101014.08</v>
      </c>
      <c r="N6334" t="s">
        <v>116</v>
      </c>
      <c r="O6334" t="s">
        <v>397</v>
      </c>
      <c r="P6334" t="s">
        <v>397</v>
      </c>
      <c r="Q6334">
        <v>9</v>
      </c>
      <c r="R6334" s="282">
        <f>Base_Periodo1[[#This Row],[CREDITOS]]-Base_Periodo1[[#This Row],[DEBITOS]]</f>
        <v>9200.9300000000512</v>
      </c>
      <c r="S6334" s="3" t="str">
        <f>IF(ISERROR(VLOOKUP(Base_Periodo1[[#This Row],[CONTA]],BaseContasDRE[#All],4,FALSE)),"Fora do DRE",VLOOKUP(Base_Periodo1[[#This Row],[CONTA]],BaseContasDRE[#All],4,FALSE))</f>
        <v>-</v>
      </c>
      <c r="T6334" s="3">
        <f>IF(ISERROR(VLOOKUP(Base_Periodo1[[#This Row],[CONTA]],BaseContasDRE[#All],5,FALSE)),"Fora do DRE",VLOOKUP(Base_Periodo1[[#This Row],[CONTA]],BaseContasDRE[#All],6,FALSE))</f>
        <v>2</v>
      </c>
      <c r="U6334" s="3" t="str">
        <f>IF(ISERROR(VLOOKUP(Base_Periodo1[[#This Row],[CONTA]],BaseContasDRE[#All],7,FALSE)),"Fora do DRE",VLOOKUP(Base_Periodo1[[#This Row],[CONTA]],BaseContasDRE[#All],7,FALSE))</f>
        <v>ICMS SOBRE INGRESSOS E RECEITAS</v>
      </c>
      <c r="V6334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334" s="3" t="str">
        <f>LEFT(Base_Periodo1[[#This Row],[CLASS]],3)</f>
        <v>3.2</v>
      </c>
    </row>
    <row r="6335" spans="1:23" hidden="1">
      <c r="A6335" s="3" t="str">
        <f t="shared" si="98"/>
        <v>Período 1</v>
      </c>
      <c r="B6335">
        <v>6356</v>
      </c>
      <c r="C6335" t="s">
        <v>4009</v>
      </c>
      <c r="D6335" t="s">
        <v>3995</v>
      </c>
      <c r="E6335" s="3" t="str">
        <f>IF(LEN(Base_Periodo1[[#This Row],[CLASS]])&gt;=7,LEFT(Base_Periodo1[[#This Row],[CLASS]],7),"")</f>
        <v>3.2.1.1</v>
      </c>
      <c r="F6335" s="3" t="e">
        <f>VLOOKUP(Base_Periodo1[[#This Row],[Aux]],Base_Contas_Balanco[#All],2,FALSE)</f>
        <v>#N/A</v>
      </c>
      <c r="G6335" s="1"/>
      <c r="H6335" s="225">
        <v>2520884.1200004816</v>
      </c>
      <c r="I6335" s="225">
        <v>16094642.85</v>
      </c>
      <c r="J6335" s="225">
        <v>16242179.810000001</v>
      </c>
      <c r="K6335" s="225">
        <v>2373347.1600004826</v>
      </c>
      <c r="L63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-2373347.16</v>
      </c>
      <c r="M6335" s="225">
        <f>ROUND(IF(AND(Base_Periodo1[[#This Row],[Tipo_Linha]]="-",Base_Periodo1[[#This Row],[TIPOSALDO]]="D"),Base_Periodo1[[#This Row],[SALDO_ATUAL]]*-1,Base_Periodo1[[#This Row],[SALDO_ATUAL]]),4)</f>
        <v>2373347.16</v>
      </c>
      <c r="N6335" t="s">
        <v>396</v>
      </c>
      <c r="O6335" t="s">
        <v>397</v>
      </c>
      <c r="P6335" t="s">
        <v>397</v>
      </c>
      <c r="Q6335">
        <v>8</v>
      </c>
      <c r="R6335" s="282">
        <f>Base_Periodo1[[#This Row],[CREDITOS]]-Base_Periodo1[[#This Row],[DEBITOS]]</f>
        <v>147536.96000000089</v>
      </c>
      <c r="S6335" s="3" t="str">
        <f>IF(ISERROR(VLOOKUP(Base_Periodo1[[#This Row],[CONTA]],BaseContasDRE[#All],4,FALSE)),"Fora do DRE",VLOOKUP(Base_Periodo1[[#This Row],[CONTA]],BaseContasDRE[#All],4,FALSE))</f>
        <v>Fora do DRE</v>
      </c>
      <c r="T6335" s="3" t="str">
        <f>IF(ISERROR(VLOOKUP(Base_Periodo1[[#This Row],[CONTA]],BaseContasDRE[#All],5,FALSE)),"Fora do DRE",VLOOKUP(Base_Periodo1[[#This Row],[CONTA]],BaseContasDRE[#All],6,FALSE))</f>
        <v>Fora do DRE</v>
      </c>
      <c r="U6335" s="3" t="str">
        <f>IF(ISERROR(VLOOKUP(Base_Periodo1[[#This Row],[CONTA]],BaseContasDRE[#All],7,FALSE)),"Fora do DRE",VLOOKUP(Base_Periodo1[[#This Row],[CONTA]],BaseContasDRE[#All],7,FALSE))</f>
        <v>Fora do DRE</v>
      </c>
      <c r="V6335" s="3" t="str">
        <f>IF(Base_Periodo1[[#This Row],[Tipo_Linha]]="Fora do DRE","Fora do DRE","( "&amp;Base_Periodo1[[#This Row],[Tipo_Linha]]&amp;" ) "&amp;Base_Periodo1[[#This Row],[Filtro]])</f>
        <v>Fora do DRE</v>
      </c>
      <c r="W6335" s="3" t="str">
        <f>LEFT(Base_Periodo1[[#This Row],[CLASS]],3)</f>
        <v>3.2</v>
      </c>
    </row>
    <row r="6336" spans="1:23" hidden="1">
      <c r="A6336" s="3" t="str">
        <f t="shared" si="98"/>
        <v>Período 1</v>
      </c>
      <c r="B6336">
        <v>6357</v>
      </c>
      <c r="C6336" t="s">
        <v>4010</v>
      </c>
      <c r="D6336" t="s">
        <v>3997</v>
      </c>
      <c r="E6336" s="3" t="str">
        <f>IF(LEN(Base_Periodo1[[#This Row],[CLASS]])&gt;=7,LEFT(Base_Periodo1[[#This Row],[CLASS]],7),"")</f>
        <v>3.2.1.1</v>
      </c>
      <c r="F6336" s="3" t="e">
        <f>VLOOKUP(Base_Periodo1[[#This Row],[Aux]],Base_Contas_Balanco[#All],2,FALSE)</f>
        <v>#N/A</v>
      </c>
      <c r="G6336" s="1">
        <v>42886</v>
      </c>
      <c r="H6336" s="225">
        <v>2520884.1200004816</v>
      </c>
      <c r="I6336" s="225">
        <v>16094642.85</v>
      </c>
      <c r="J6336" s="225">
        <v>16242179.810000001</v>
      </c>
      <c r="K6336" s="225">
        <v>2373347.1600004826</v>
      </c>
      <c r="L63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-2373347.16</v>
      </c>
      <c r="M6336" s="225">
        <f>ROUND(IF(AND(Base_Periodo1[[#This Row],[Tipo_Linha]]="-",Base_Periodo1[[#This Row],[TIPOSALDO]]="D"),Base_Periodo1[[#This Row],[SALDO_ATUAL]]*-1,Base_Periodo1[[#This Row],[SALDO_ATUAL]]),4)</f>
        <v>-2373347.16</v>
      </c>
      <c r="N6336" t="s">
        <v>116</v>
      </c>
      <c r="O6336" t="s">
        <v>397</v>
      </c>
      <c r="P6336" t="s">
        <v>397</v>
      </c>
      <c r="Q6336">
        <v>9</v>
      </c>
      <c r="R6336" s="282">
        <f>Base_Periodo1[[#This Row],[CREDITOS]]-Base_Periodo1[[#This Row],[DEBITOS]]</f>
        <v>147536.96000000089</v>
      </c>
      <c r="S6336" s="3" t="str">
        <f>IF(ISERROR(VLOOKUP(Base_Periodo1[[#This Row],[CONTA]],BaseContasDRE[#All],4,FALSE)),"Fora do DRE",VLOOKUP(Base_Periodo1[[#This Row],[CONTA]],BaseContasDRE[#All],4,FALSE))</f>
        <v>-</v>
      </c>
      <c r="T6336" s="3">
        <f>IF(ISERROR(VLOOKUP(Base_Periodo1[[#This Row],[CONTA]],BaseContasDRE[#All],5,FALSE)),"Fora do DRE",VLOOKUP(Base_Periodo1[[#This Row],[CONTA]],BaseContasDRE[#All],6,FALSE))</f>
        <v>3</v>
      </c>
      <c r="U6336" s="3" t="str">
        <f>IF(ISERROR(VLOOKUP(Base_Periodo1[[#This Row],[CONTA]],BaseContasDRE[#All],7,FALSE)),"Fora do DRE",VLOOKUP(Base_Periodo1[[#This Row],[CONTA]],BaseContasDRE[#All],7,FALSE))</f>
        <v>PRODUTOS AGRICOLAS</v>
      </c>
      <c r="V6336" s="3" t="str">
        <f>IF(Base_Periodo1[[#This Row],[Tipo_Linha]]="Fora do DRE","Fora do DRE","( "&amp;Base_Periodo1[[#This Row],[Tipo_Linha]]&amp;" ) "&amp;Base_Periodo1[[#This Row],[Filtro]])</f>
        <v>( - ) PRODUTOS AGRICOLAS</v>
      </c>
      <c r="W6336" s="3" t="str">
        <f>LEFT(Base_Periodo1[[#This Row],[CLASS]],3)</f>
        <v>3.2</v>
      </c>
    </row>
    <row r="6337" spans="1:23" hidden="1">
      <c r="A6337" s="3" t="str">
        <f t="shared" si="98"/>
        <v>Período 1</v>
      </c>
      <c r="B6337">
        <v>6382</v>
      </c>
      <c r="C6337" t="s">
        <v>4011</v>
      </c>
      <c r="D6337" t="s">
        <v>1102</v>
      </c>
      <c r="E6337" s="3" t="str">
        <f>IF(LEN(Base_Periodo1[[#This Row],[CLASS]])&gt;=7,LEFT(Base_Periodo1[[#This Row],[CLASS]],7),"")</f>
        <v>3.2.1.1</v>
      </c>
      <c r="F6337" s="3" t="e">
        <f>VLOOKUP(Base_Periodo1[[#This Row],[Aux]],Base_Contas_Balanco[#All],2,FALSE)</f>
        <v>#N/A</v>
      </c>
      <c r="G6337" s="1"/>
      <c r="H6337" s="225">
        <v>43008.379999829456</v>
      </c>
      <c r="I6337" s="225">
        <v>22534681.600000001</v>
      </c>
      <c r="J6337" s="225">
        <v>22552367.73</v>
      </c>
      <c r="K6337" s="225">
        <v>25322.249999832362</v>
      </c>
      <c r="L63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-25322.25</v>
      </c>
      <c r="M6337" s="225">
        <f>ROUND(IF(AND(Base_Periodo1[[#This Row],[Tipo_Linha]]="-",Base_Periodo1[[#This Row],[TIPOSALDO]]="D"),Base_Periodo1[[#This Row],[SALDO_ATUAL]]*-1,Base_Periodo1[[#This Row],[SALDO_ATUAL]]),4)</f>
        <v>25322.25</v>
      </c>
      <c r="N6337" t="s">
        <v>396</v>
      </c>
      <c r="O6337" t="s">
        <v>397</v>
      </c>
      <c r="P6337" t="s">
        <v>397</v>
      </c>
      <c r="Q6337">
        <v>7</v>
      </c>
      <c r="R6337" s="282">
        <f>Base_Periodo1[[#This Row],[CREDITOS]]-Base_Periodo1[[#This Row],[DEBITOS]]</f>
        <v>17686.129999998957</v>
      </c>
      <c r="S6337" s="3" t="str">
        <f>IF(ISERROR(VLOOKUP(Base_Periodo1[[#This Row],[CONTA]],BaseContasDRE[#All],4,FALSE)),"Fora do DRE",VLOOKUP(Base_Periodo1[[#This Row],[CONTA]],BaseContasDRE[#All],4,FALSE))</f>
        <v>Fora do DRE</v>
      </c>
      <c r="T6337" s="3" t="str">
        <f>IF(ISERROR(VLOOKUP(Base_Periodo1[[#This Row],[CONTA]],BaseContasDRE[#All],5,FALSE)),"Fora do DRE",VLOOKUP(Base_Periodo1[[#This Row],[CONTA]],BaseContasDRE[#All],6,FALSE))</f>
        <v>Fora do DRE</v>
      </c>
      <c r="U6337" s="3" t="str">
        <f>IF(ISERROR(VLOOKUP(Base_Periodo1[[#This Row],[CONTA]],BaseContasDRE[#All],7,FALSE)),"Fora do DRE",VLOOKUP(Base_Periodo1[[#This Row],[CONTA]],BaseContasDRE[#All],7,FALSE))</f>
        <v>Fora do DRE</v>
      </c>
      <c r="V6337" s="3" t="str">
        <f>IF(Base_Periodo1[[#This Row],[Tipo_Linha]]="Fora do DRE","Fora do DRE","( "&amp;Base_Periodo1[[#This Row],[Tipo_Linha]]&amp;" ) "&amp;Base_Periodo1[[#This Row],[Filtro]])</f>
        <v>Fora do DRE</v>
      </c>
      <c r="W6337" s="3" t="str">
        <f>LEFT(Base_Periodo1[[#This Row],[CLASS]],3)</f>
        <v>3.2</v>
      </c>
    </row>
    <row r="6338" spans="1:23" hidden="1">
      <c r="A6338" s="3" t="str">
        <f t="shared" si="98"/>
        <v>Período 1</v>
      </c>
      <c r="B6338">
        <v>6383</v>
      </c>
      <c r="C6338" t="s">
        <v>4012</v>
      </c>
      <c r="D6338" t="s">
        <v>3985</v>
      </c>
      <c r="E6338" s="3" t="str">
        <f>IF(LEN(Base_Periodo1[[#This Row],[CLASS]])&gt;=7,LEFT(Base_Periodo1[[#This Row],[CLASS]],7),"")</f>
        <v>3.2.1.1</v>
      </c>
      <c r="F6338" s="3" t="e">
        <f>VLOOKUP(Base_Periodo1[[#This Row],[Aux]],Base_Contas_Balanco[#All],2,FALSE)</f>
        <v>#N/A</v>
      </c>
      <c r="G6338" s="1"/>
      <c r="H6338" s="225">
        <v>586893.59999990463</v>
      </c>
      <c r="I6338" s="225">
        <v>10771758.57</v>
      </c>
      <c r="J6338" s="225">
        <v>10874554.42</v>
      </c>
      <c r="K6338" s="225">
        <v>689689.44999990426</v>
      </c>
      <c r="L63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689689.45</v>
      </c>
      <c r="M6338" s="225">
        <f>ROUND(IF(AND(Base_Periodo1[[#This Row],[Tipo_Linha]]="-",Base_Periodo1[[#This Row],[TIPOSALDO]]="D"),Base_Periodo1[[#This Row],[SALDO_ATUAL]]*-1,Base_Periodo1[[#This Row],[SALDO_ATUAL]]),4)</f>
        <v>689689.45</v>
      </c>
      <c r="N6338" t="s">
        <v>396</v>
      </c>
      <c r="O6338" t="s">
        <v>459</v>
      </c>
      <c r="P6338" t="s">
        <v>459</v>
      </c>
      <c r="Q6338">
        <v>8</v>
      </c>
      <c r="R6338" s="282">
        <f>Base_Periodo1[[#This Row],[CREDITOS]]-Base_Periodo1[[#This Row],[DEBITOS]]</f>
        <v>102795.84999999963</v>
      </c>
      <c r="S6338" s="3" t="str">
        <f>IF(ISERROR(VLOOKUP(Base_Periodo1[[#This Row],[CONTA]],BaseContasDRE[#All],4,FALSE)),"Fora do DRE",VLOOKUP(Base_Periodo1[[#This Row],[CONTA]],BaseContasDRE[#All],4,FALSE))</f>
        <v>Fora do DRE</v>
      </c>
      <c r="T6338" s="3" t="str">
        <f>IF(ISERROR(VLOOKUP(Base_Periodo1[[#This Row],[CONTA]],BaseContasDRE[#All],5,FALSE)),"Fora do DRE",VLOOKUP(Base_Periodo1[[#This Row],[CONTA]],BaseContasDRE[#All],6,FALSE))</f>
        <v>Fora do DRE</v>
      </c>
      <c r="U6338" s="3" t="str">
        <f>IF(ISERROR(VLOOKUP(Base_Periodo1[[#This Row],[CONTA]],BaseContasDRE[#All],7,FALSE)),"Fora do DRE",VLOOKUP(Base_Periodo1[[#This Row],[CONTA]],BaseContasDRE[#All],7,FALSE))</f>
        <v>Fora do DRE</v>
      </c>
      <c r="V6338" s="3" t="str">
        <f>IF(Base_Periodo1[[#This Row],[Tipo_Linha]]="Fora do DRE","Fora do DRE","( "&amp;Base_Periodo1[[#This Row],[Tipo_Linha]]&amp;" ) "&amp;Base_Periodo1[[#This Row],[Filtro]])</f>
        <v>Fora do DRE</v>
      </c>
      <c r="W6338" s="3" t="str">
        <f>LEFT(Base_Periodo1[[#This Row],[CLASS]],3)</f>
        <v>3.2</v>
      </c>
    </row>
    <row r="6339" spans="1:23" hidden="1">
      <c r="A6339" s="3" t="str">
        <f t="shared" si="98"/>
        <v>Período 1</v>
      </c>
      <c r="B6339">
        <v>9129</v>
      </c>
      <c r="C6339" t="s">
        <v>4013</v>
      </c>
      <c r="D6339" t="s">
        <v>4001</v>
      </c>
      <c r="E6339" s="3" t="str">
        <f>IF(LEN(Base_Periodo1[[#This Row],[CLASS]])&gt;=7,LEFT(Base_Periodo1[[#This Row],[CLASS]],7),"")</f>
        <v>3.2.1.1</v>
      </c>
      <c r="F6339" s="3" t="e">
        <f>VLOOKUP(Base_Periodo1[[#This Row],[Aux]],Base_Contas_Balanco[#All],2,FALSE)</f>
        <v>#N/A</v>
      </c>
      <c r="G6339" s="1">
        <v>42886</v>
      </c>
      <c r="H6339" s="225">
        <v>586893.59999990463</v>
      </c>
      <c r="I6339" s="225">
        <v>10771758.57</v>
      </c>
      <c r="J6339" s="225">
        <v>10874554.42</v>
      </c>
      <c r="K6339" s="225">
        <v>689689.44999990426</v>
      </c>
      <c r="L63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689689.45</v>
      </c>
      <c r="M6339" s="225">
        <f>ROUND(IF(AND(Base_Periodo1[[#This Row],[Tipo_Linha]]="-",Base_Periodo1[[#This Row],[TIPOSALDO]]="D"),Base_Periodo1[[#This Row],[SALDO_ATUAL]]*-1,Base_Periodo1[[#This Row],[SALDO_ATUAL]]),4)</f>
        <v>689689.45</v>
      </c>
      <c r="N6339" t="s">
        <v>116</v>
      </c>
      <c r="O6339" t="s">
        <v>459</v>
      </c>
      <c r="P6339" t="s">
        <v>459</v>
      </c>
      <c r="Q6339">
        <v>9</v>
      </c>
      <c r="R6339" s="282">
        <f>Base_Periodo1[[#This Row],[CREDITOS]]-Base_Periodo1[[#This Row],[DEBITOS]]</f>
        <v>102795.84999999963</v>
      </c>
      <c r="S6339" s="3" t="str">
        <f>IF(ISERROR(VLOOKUP(Base_Periodo1[[#This Row],[CONTA]],BaseContasDRE[#All],4,FALSE)),"Fora do DRE",VLOOKUP(Base_Periodo1[[#This Row],[CONTA]],BaseContasDRE[#All],4,FALSE))</f>
        <v>+</v>
      </c>
      <c r="T6339" s="3">
        <f>IF(ISERROR(VLOOKUP(Base_Periodo1[[#This Row],[CONTA]],BaseContasDRE[#All],5,FALSE)),"Fora do DRE",VLOOKUP(Base_Periodo1[[#This Row],[CONTA]],BaseContasDRE[#All],6,FALSE))</f>
        <v>1</v>
      </c>
      <c r="U6339" s="3" t="str">
        <f>IF(ISERROR(VLOOKUP(Base_Periodo1[[#This Row],[CONTA]],BaseContasDRE[#All],7,FALSE)),"Fora do DRE",VLOOKUP(Base_Periodo1[[#This Row],[CONTA]],BaseContasDRE[#All],7,FALSE))</f>
        <v>PRODUTOS AGRICOLAS</v>
      </c>
      <c r="V6339" s="3" t="str">
        <f>IF(Base_Periodo1[[#This Row],[Tipo_Linha]]="Fora do DRE","Fora do DRE","( "&amp;Base_Periodo1[[#This Row],[Tipo_Linha]]&amp;" ) "&amp;Base_Periodo1[[#This Row],[Filtro]])</f>
        <v>( + ) PRODUTOS AGRICOLAS</v>
      </c>
      <c r="W6339" s="3" t="str">
        <f>LEFT(Base_Periodo1[[#This Row],[CLASS]],3)</f>
        <v>3.2</v>
      </c>
    </row>
    <row r="6340" spans="1:23" hidden="1">
      <c r="A6340" s="3" t="str">
        <f t="shared" si="98"/>
        <v>Período 1</v>
      </c>
      <c r="B6340">
        <v>6384</v>
      </c>
      <c r="C6340" t="s">
        <v>4014</v>
      </c>
      <c r="D6340" t="s">
        <v>3993</v>
      </c>
      <c r="E6340" s="3" t="str">
        <f>IF(LEN(Base_Periodo1[[#This Row],[CLASS]])&gt;=7,LEFT(Base_Periodo1[[#This Row],[CLASS]],7),"")</f>
        <v>3.2.1.1</v>
      </c>
      <c r="F6340" s="3" t="e">
        <f>VLOOKUP(Base_Periodo1[[#This Row],[Aux]],Base_Contas_Balanco[#All],2,FALSE)</f>
        <v>#N/A</v>
      </c>
      <c r="G6340" s="1"/>
      <c r="H6340" s="225">
        <v>4407.7099999915808</v>
      </c>
      <c r="I6340" s="225">
        <v>462149.49</v>
      </c>
      <c r="J6340" s="225">
        <v>461084.65</v>
      </c>
      <c r="K6340" s="225">
        <v>5472.5499999915482</v>
      </c>
      <c r="L63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-5472.55</v>
      </c>
      <c r="M6340" s="225">
        <f>ROUND(IF(AND(Base_Periodo1[[#This Row],[Tipo_Linha]]="-",Base_Periodo1[[#This Row],[TIPOSALDO]]="D"),Base_Periodo1[[#This Row],[SALDO_ATUAL]]*-1,Base_Periodo1[[#This Row],[SALDO_ATUAL]]),4)</f>
        <v>5472.55</v>
      </c>
      <c r="N6340" t="s">
        <v>396</v>
      </c>
      <c r="O6340" t="s">
        <v>397</v>
      </c>
      <c r="P6340" t="s">
        <v>397</v>
      </c>
      <c r="Q6340">
        <v>8</v>
      </c>
      <c r="R6340" s="282">
        <f>Base_Periodo1[[#This Row],[CREDITOS]]-Base_Periodo1[[#This Row],[DEBITOS]]</f>
        <v>-1064.8399999999674</v>
      </c>
      <c r="S6340" s="3" t="str">
        <f>IF(ISERROR(VLOOKUP(Base_Periodo1[[#This Row],[CONTA]],BaseContasDRE[#All],4,FALSE)),"Fora do DRE",VLOOKUP(Base_Periodo1[[#This Row],[CONTA]],BaseContasDRE[#All],4,FALSE))</f>
        <v>Fora do DRE</v>
      </c>
      <c r="T6340" s="3" t="str">
        <f>IF(ISERROR(VLOOKUP(Base_Periodo1[[#This Row],[CONTA]],BaseContasDRE[#All],5,FALSE)),"Fora do DRE",VLOOKUP(Base_Periodo1[[#This Row],[CONTA]],BaseContasDRE[#All],6,FALSE))</f>
        <v>Fora do DRE</v>
      </c>
      <c r="U6340" s="3" t="str">
        <f>IF(ISERROR(VLOOKUP(Base_Periodo1[[#This Row],[CONTA]],BaseContasDRE[#All],7,FALSE)),"Fora do DRE",VLOOKUP(Base_Periodo1[[#This Row],[CONTA]],BaseContasDRE[#All],7,FALSE))</f>
        <v>Fora do DRE</v>
      </c>
      <c r="V6340" s="3" t="str">
        <f>IF(Base_Periodo1[[#This Row],[Tipo_Linha]]="Fora do DRE","Fora do DRE","( "&amp;Base_Periodo1[[#This Row],[Tipo_Linha]]&amp;" ) "&amp;Base_Periodo1[[#This Row],[Filtro]])</f>
        <v>Fora do DRE</v>
      </c>
      <c r="W6340" s="3" t="str">
        <f>LEFT(Base_Periodo1[[#This Row],[CLASS]],3)</f>
        <v>3.2</v>
      </c>
    </row>
    <row r="6341" spans="1:23" hidden="1">
      <c r="A6341" s="3" t="str">
        <f t="shared" si="98"/>
        <v>Período 1</v>
      </c>
      <c r="B6341">
        <v>6385</v>
      </c>
      <c r="C6341" t="s">
        <v>4015</v>
      </c>
      <c r="D6341" t="s">
        <v>3566</v>
      </c>
      <c r="E6341" s="3" t="str">
        <f>IF(LEN(Base_Periodo1[[#This Row],[CLASS]])&gt;=7,LEFT(Base_Periodo1[[#This Row],[CLASS]],7),"")</f>
        <v>3.2.1.1</v>
      </c>
      <c r="F6341" s="3" t="e">
        <f>VLOOKUP(Base_Periodo1[[#This Row],[Aux]],Base_Contas_Balanco[#All],2,FALSE)</f>
        <v>#N/A</v>
      </c>
      <c r="G6341" s="1">
        <v>42886</v>
      </c>
      <c r="H6341" s="225">
        <v>4407.7099999915808</v>
      </c>
      <c r="I6341" s="225">
        <v>462149.49</v>
      </c>
      <c r="J6341" s="225">
        <v>461084.65</v>
      </c>
      <c r="K6341" s="225">
        <v>5472.5499999915482</v>
      </c>
      <c r="L63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-5472.55</v>
      </c>
      <c r="M6341" s="225">
        <f>ROUND(IF(AND(Base_Periodo1[[#This Row],[Tipo_Linha]]="-",Base_Periodo1[[#This Row],[TIPOSALDO]]="D"),Base_Periodo1[[#This Row],[SALDO_ATUAL]]*-1,Base_Periodo1[[#This Row],[SALDO_ATUAL]]),4)</f>
        <v>-5472.55</v>
      </c>
      <c r="N6341" t="s">
        <v>116</v>
      </c>
      <c r="O6341" t="s">
        <v>397</v>
      </c>
      <c r="P6341" t="s">
        <v>397</v>
      </c>
      <c r="Q6341">
        <v>9</v>
      </c>
      <c r="R6341" s="282">
        <f>Base_Periodo1[[#This Row],[CREDITOS]]-Base_Periodo1[[#This Row],[DEBITOS]]</f>
        <v>-1064.8399999999674</v>
      </c>
      <c r="S6341" s="3" t="str">
        <f>IF(ISERROR(VLOOKUP(Base_Periodo1[[#This Row],[CONTA]],BaseContasDRE[#All],4,FALSE)),"Fora do DRE",VLOOKUP(Base_Periodo1[[#This Row],[CONTA]],BaseContasDRE[#All],4,FALSE))</f>
        <v>-</v>
      </c>
      <c r="T6341" s="3">
        <f>IF(ISERROR(VLOOKUP(Base_Periodo1[[#This Row],[CONTA]],BaseContasDRE[#All],5,FALSE)),"Fora do DRE",VLOOKUP(Base_Periodo1[[#This Row],[CONTA]],BaseContasDRE[#All],6,FALSE))</f>
        <v>2</v>
      </c>
      <c r="U6341" s="3" t="str">
        <f>IF(ISERROR(VLOOKUP(Base_Periodo1[[#This Row],[CONTA]],BaseContasDRE[#All],7,FALSE)),"Fora do DRE",VLOOKUP(Base_Periodo1[[#This Row],[CONTA]],BaseContasDRE[#All],7,FALSE))</f>
        <v>ICMS SOBRE INGRESSOS E RECEITAS</v>
      </c>
      <c r="V6341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341" s="3" t="str">
        <f>LEFT(Base_Periodo1[[#This Row],[CLASS]],3)</f>
        <v>3.2</v>
      </c>
    </row>
    <row r="6342" spans="1:23" hidden="1">
      <c r="A6342" s="3" t="str">
        <f t="shared" ref="A6342:A6405" si="99">"Período 1"</f>
        <v>Período 1</v>
      </c>
      <c r="B6342">
        <v>6386</v>
      </c>
      <c r="C6342" t="s">
        <v>4016</v>
      </c>
      <c r="D6342" t="s">
        <v>3995</v>
      </c>
      <c r="E6342" s="3" t="str">
        <f>IF(LEN(Base_Periodo1[[#This Row],[CLASS]])&gt;=7,LEFT(Base_Periodo1[[#This Row],[CLASS]],7),"")</f>
        <v>3.2.1.1</v>
      </c>
      <c r="F6342" s="3" t="e">
        <f>VLOOKUP(Base_Periodo1[[#This Row],[Aux]],Base_Contas_Balanco[#All],2,FALSE)</f>
        <v>#N/A</v>
      </c>
      <c r="G6342" s="1"/>
      <c r="H6342" s="225">
        <v>625494.26999974251</v>
      </c>
      <c r="I6342" s="225">
        <v>11300773.540000001</v>
      </c>
      <c r="J6342" s="225">
        <v>11216728.66</v>
      </c>
      <c r="K6342" s="225">
        <v>709539.14999974333</v>
      </c>
      <c r="L63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-709539.15</v>
      </c>
      <c r="M6342" s="225">
        <f>ROUND(IF(AND(Base_Periodo1[[#This Row],[Tipo_Linha]]="-",Base_Periodo1[[#This Row],[TIPOSALDO]]="D"),Base_Periodo1[[#This Row],[SALDO_ATUAL]]*-1,Base_Periodo1[[#This Row],[SALDO_ATUAL]]),4)</f>
        <v>709539.15</v>
      </c>
      <c r="N6342" t="s">
        <v>396</v>
      </c>
      <c r="O6342" t="s">
        <v>397</v>
      </c>
      <c r="P6342" t="s">
        <v>397</v>
      </c>
      <c r="Q6342">
        <v>8</v>
      </c>
      <c r="R6342" s="282">
        <f>Base_Periodo1[[#This Row],[CREDITOS]]-Base_Periodo1[[#This Row],[DEBITOS]]</f>
        <v>-84044.88000000082</v>
      </c>
      <c r="S6342" s="3" t="str">
        <f>IF(ISERROR(VLOOKUP(Base_Periodo1[[#This Row],[CONTA]],BaseContasDRE[#All],4,FALSE)),"Fora do DRE",VLOOKUP(Base_Periodo1[[#This Row],[CONTA]],BaseContasDRE[#All],4,FALSE))</f>
        <v>Fora do DRE</v>
      </c>
      <c r="T6342" s="3" t="str">
        <f>IF(ISERROR(VLOOKUP(Base_Periodo1[[#This Row],[CONTA]],BaseContasDRE[#All],5,FALSE)),"Fora do DRE",VLOOKUP(Base_Periodo1[[#This Row],[CONTA]],BaseContasDRE[#All],6,FALSE))</f>
        <v>Fora do DRE</v>
      </c>
      <c r="U6342" s="3" t="str">
        <f>IF(ISERROR(VLOOKUP(Base_Periodo1[[#This Row],[CONTA]],BaseContasDRE[#All],7,FALSE)),"Fora do DRE",VLOOKUP(Base_Periodo1[[#This Row],[CONTA]],BaseContasDRE[#All],7,FALSE))</f>
        <v>Fora do DRE</v>
      </c>
      <c r="V6342" s="3" t="str">
        <f>IF(Base_Periodo1[[#This Row],[Tipo_Linha]]="Fora do DRE","Fora do DRE","( "&amp;Base_Periodo1[[#This Row],[Tipo_Linha]]&amp;" ) "&amp;Base_Periodo1[[#This Row],[Filtro]])</f>
        <v>Fora do DRE</v>
      </c>
      <c r="W6342" s="3" t="str">
        <f>LEFT(Base_Periodo1[[#This Row],[CLASS]],3)</f>
        <v>3.2</v>
      </c>
    </row>
    <row r="6343" spans="1:23" hidden="1">
      <c r="A6343" s="3" t="str">
        <f t="shared" si="99"/>
        <v>Período 1</v>
      </c>
      <c r="B6343">
        <v>6387</v>
      </c>
      <c r="C6343" t="s">
        <v>4017</v>
      </c>
      <c r="D6343" t="s">
        <v>3997</v>
      </c>
      <c r="E6343" s="3" t="str">
        <f>IF(LEN(Base_Periodo1[[#This Row],[CLASS]])&gt;=7,LEFT(Base_Periodo1[[#This Row],[CLASS]],7),"")</f>
        <v>3.2.1.1</v>
      </c>
      <c r="F6343" s="3" t="e">
        <f>VLOOKUP(Base_Periodo1[[#This Row],[Aux]],Base_Contas_Balanco[#All],2,FALSE)</f>
        <v>#N/A</v>
      </c>
      <c r="G6343" s="1">
        <v>42886</v>
      </c>
      <c r="H6343" s="225">
        <v>625494.26999974251</v>
      </c>
      <c r="I6343" s="225">
        <v>11300773.540000001</v>
      </c>
      <c r="J6343" s="225">
        <v>11216728.66</v>
      </c>
      <c r="K6343" s="225">
        <v>709539.14999974333</v>
      </c>
      <c r="L63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-709539.15</v>
      </c>
      <c r="M6343" s="225">
        <f>ROUND(IF(AND(Base_Periodo1[[#This Row],[Tipo_Linha]]="-",Base_Periodo1[[#This Row],[TIPOSALDO]]="D"),Base_Periodo1[[#This Row],[SALDO_ATUAL]]*-1,Base_Periodo1[[#This Row],[SALDO_ATUAL]]),4)</f>
        <v>-709539.15</v>
      </c>
      <c r="N6343" t="s">
        <v>116</v>
      </c>
      <c r="O6343" t="s">
        <v>397</v>
      </c>
      <c r="P6343" t="s">
        <v>397</v>
      </c>
      <c r="Q6343">
        <v>9</v>
      </c>
      <c r="R6343" s="282">
        <f>Base_Periodo1[[#This Row],[CREDITOS]]-Base_Periodo1[[#This Row],[DEBITOS]]</f>
        <v>-84044.88000000082</v>
      </c>
      <c r="S6343" s="3" t="str">
        <f>IF(ISERROR(VLOOKUP(Base_Periodo1[[#This Row],[CONTA]],BaseContasDRE[#All],4,FALSE)),"Fora do DRE",VLOOKUP(Base_Periodo1[[#This Row],[CONTA]],BaseContasDRE[#All],4,FALSE))</f>
        <v>-</v>
      </c>
      <c r="T6343" s="3">
        <f>IF(ISERROR(VLOOKUP(Base_Periodo1[[#This Row],[CONTA]],BaseContasDRE[#All],5,FALSE)),"Fora do DRE",VLOOKUP(Base_Periodo1[[#This Row],[CONTA]],BaseContasDRE[#All],6,FALSE))</f>
        <v>3</v>
      </c>
      <c r="U6343" s="3" t="str">
        <f>IF(ISERROR(VLOOKUP(Base_Periodo1[[#This Row],[CONTA]],BaseContasDRE[#All],7,FALSE)),"Fora do DRE",VLOOKUP(Base_Periodo1[[#This Row],[CONTA]],BaseContasDRE[#All],7,FALSE))</f>
        <v>PRODUTOS AGRICOLAS</v>
      </c>
      <c r="V6343" s="3" t="str">
        <f>IF(Base_Periodo1[[#This Row],[Tipo_Linha]]="Fora do DRE","Fora do DRE","( "&amp;Base_Periodo1[[#This Row],[Tipo_Linha]]&amp;" ) "&amp;Base_Periodo1[[#This Row],[Filtro]])</f>
        <v>( - ) PRODUTOS AGRICOLAS</v>
      </c>
      <c r="W6343" s="3" t="str">
        <f>LEFT(Base_Periodo1[[#This Row],[CLASS]],3)</f>
        <v>3.2</v>
      </c>
    </row>
    <row r="6344" spans="1:23" hidden="1">
      <c r="A6344" s="3" t="str">
        <f t="shared" si="99"/>
        <v>Período 1</v>
      </c>
      <c r="B6344">
        <v>52609</v>
      </c>
      <c r="C6344" t="s">
        <v>4894</v>
      </c>
      <c r="D6344" t="s">
        <v>4649</v>
      </c>
      <c r="E6344" s="3" t="str">
        <f>IF(LEN(Base_Periodo1[[#This Row],[CLASS]])&gt;=7,LEFT(Base_Periodo1[[#This Row],[CLASS]],7),"")</f>
        <v>3.2.1.1</v>
      </c>
      <c r="F6344" s="3" t="e">
        <f>VLOOKUP(Base_Periodo1[[#This Row],[Aux]],Base_Contas_Balanco[#All],2,FALSE)</f>
        <v>#N/A</v>
      </c>
      <c r="G6344" s="1"/>
      <c r="H6344" s="225">
        <v>36079.209999999992</v>
      </c>
      <c r="I6344" s="225">
        <v>21631.980000000003</v>
      </c>
      <c r="J6344" s="225">
        <v>37681.23000000001</v>
      </c>
      <c r="K6344" s="225">
        <v>20029.959999999985</v>
      </c>
      <c r="L63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-20029.96</v>
      </c>
      <c r="M6344" s="225">
        <f>ROUND(IF(AND(Base_Periodo1[[#This Row],[Tipo_Linha]]="-",Base_Periodo1[[#This Row],[TIPOSALDO]]="D"),Base_Periodo1[[#This Row],[SALDO_ATUAL]]*-1,Base_Periodo1[[#This Row],[SALDO_ATUAL]]),4)</f>
        <v>20029.96</v>
      </c>
      <c r="N6344" t="s">
        <v>396</v>
      </c>
      <c r="O6344" t="s">
        <v>397</v>
      </c>
      <c r="P6344" t="s">
        <v>397</v>
      </c>
      <c r="Q6344">
        <v>7</v>
      </c>
      <c r="R6344" s="282">
        <f>Base_Periodo1[[#This Row],[CREDITOS]]-Base_Periodo1[[#This Row],[DEBITOS]]</f>
        <v>16049.250000000007</v>
      </c>
      <c r="S6344" s="3" t="str">
        <f>IF(ISERROR(VLOOKUP(Base_Periodo1[[#This Row],[CONTA]],BaseContasDRE[#All],4,FALSE)),"Fora do DRE",VLOOKUP(Base_Periodo1[[#This Row],[CONTA]],BaseContasDRE[#All],4,FALSE))</f>
        <v>Fora do DRE</v>
      </c>
      <c r="T6344" s="3" t="str">
        <f>IF(ISERROR(VLOOKUP(Base_Periodo1[[#This Row],[CONTA]],BaseContasDRE[#All],5,FALSE)),"Fora do DRE",VLOOKUP(Base_Periodo1[[#This Row],[CONTA]],BaseContasDRE[#All],6,FALSE))</f>
        <v>Fora do DRE</v>
      </c>
      <c r="U6344" s="3" t="str">
        <f>IF(ISERROR(VLOOKUP(Base_Periodo1[[#This Row],[CONTA]],BaseContasDRE[#All],7,FALSE)),"Fora do DRE",VLOOKUP(Base_Periodo1[[#This Row],[CONTA]],BaseContasDRE[#All],7,FALSE))</f>
        <v>Fora do DRE</v>
      </c>
      <c r="V6344" s="3" t="str">
        <f>IF(Base_Periodo1[[#This Row],[Tipo_Linha]]="Fora do DRE","Fora do DRE","( "&amp;Base_Periodo1[[#This Row],[Tipo_Linha]]&amp;" ) "&amp;Base_Periodo1[[#This Row],[Filtro]])</f>
        <v>Fora do DRE</v>
      </c>
      <c r="W6344" s="3" t="str">
        <f>LEFT(Base_Periodo1[[#This Row],[CLASS]],3)</f>
        <v>3.2</v>
      </c>
    </row>
    <row r="6345" spans="1:23" hidden="1">
      <c r="A6345" s="3" t="str">
        <f t="shared" si="99"/>
        <v>Período 1</v>
      </c>
      <c r="B6345">
        <v>52610</v>
      </c>
      <c r="C6345" t="s">
        <v>5473</v>
      </c>
      <c r="D6345" t="s">
        <v>4001</v>
      </c>
      <c r="E6345" s="3" t="str">
        <f>IF(LEN(Base_Periodo1[[#This Row],[CLASS]])&gt;=7,LEFT(Base_Periodo1[[#This Row],[CLASS]],7),"")</f>
        <v>3.2.1.1</v>
      </c>
      <c r="F6345" s="3" t="e">
        <f>VLOOKUP(Base_Periodo1[[#This Row],[Aux]],Base_Contas_Balanco[#All],2,FALSE)</f>
        <v>#N/A</v>
      </c>
      <c r="G6345" s="1"/>
      <c r="H6345" s="225">
        <v>131727.49</v>
      </c>
      <c r="I6345" s="225">
        <v>0</v>
      </c>
      <c r="J6345" s="225">
        <v>37681.23000000001</v>
      </c>
      <c r="K6345" s="225">
        <v>169408.72</v>
      </c>
      <c r="L63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169408.72</v>
      </c>
      <c r="M6345" s="225">
        <f>ROUND(IF(AND(Base_Periodo1[[#This Row],[Tipo_Linha]]="-",Base_Periodo1[[#This Row],[TIPOSALDO]]="D"),Base_Periodo1[[#This Row],[SALDO_ATUAL]]*-1,Base_Periodo1[[#This Row],[SALDO_ATUAL]]),4)</f>
        <v>169408.72</v>
      </c>
      <c r="N6345" t="s">
        <v>396</v>
      </c>
      <c r="O6345" t="s">
        <v>459</v>
      </c>
      <c r="P6345" t="s">
        <v>459</v>
      </c>
      <c r="Q6345">
        <v>8</v>
      </c>
      <c r="R6345" s="282">
        <f>Base_Periodo1[[#This Row],[CREDITOS]]-Base_Periodo1[[#This Row],[DEBITOS]]</f>
        <v>37681.23000000001</v>
      </c>
      <c r="S6345" s="3" t="str">
        <f>IF(ISERROR(VLOOKUP(Base_Periodo1[[#This Row],[CONTA]],BaseContasDRE[#All],4,FALSE)),"Fora do DRE",VLOOKUP(Base_Periodo1[[#This Row],[CONTA]],BaseContasDRE[#All],4,FALSE))</f>
        <v>Fora do DRE</v>
      </c>
      <c r="T6345" s="3" t="str">
        <f>IF(ISERROR(VLOOKUP(Base_Periodo1[[#This Row],[CONTA]],BaseContasDRE[#All],5,FALSE)),"Fora do DRE",VLOOKUP(Base_Periodo1[[#This Row],[CONTA]],BaseContasDRE[#All],6,FALSE))</f>
        <v>Fora do DRE</v>
      </c>
      <c r="U6345" s="3" t="str">
        <f>IF(ISERROR(VLOOKUP(Base_Periodo1[[#This Row],[CONTA]],BaseContasDRE[#All],7,FALSE)),"Fora do DRE",VLOOKUP(Base_Periodo1[[#This Row],[CONTA]],BaseContasDRE[#All],7,FALSE))</f>
        <v>Fora do DRE</v>
      </c>
      <c r="V6345" s="3" t="str">
        <f>IF(Base_Periodo1[[#This Row],[Tipo_Linha]]="Fora do DRE","Fora do DRE","( "&amp;Base_Periodo1[[#This Row],[Tipo_Linha]]&amp;" ) "&amp;Base_Periodo1[[#This Row],[Filtro]])</f>
        <v>Fora do DRE</v>
      </c>
      <c r="W6345" s="3" t="str">
        <f>LEFT(Base_Periodo1[[#This Row],[CLASS]],3)</f>
        <v>3.2</v>
      </c>
    </row>
    <row r="6346" spans="1:23" hidden="1">
      <c r="A6346" s="3" t="str">
        <f t="shared" si="99"/>
        <v>Período 1</v>
      </c>
      <c r="B6346">
        <v>52611</v>
      </c>
      <c r="C6346" t="s">
        <v>5474</v>
      </c>
      <c r="D6346" t="s">
        <v>4001</v>
      </c>
      <c r="E6346" s="3" t="str">
        <f>IF(LEN(Base_Periodo1[[#This Row],[CLASS]])&gt;=7,LEFT(Base_Periodo1[[#This Row],[CLASS]],7),"")</f>
        <v>3.2.1.1</v>
      </c>
      <c r="F6346" s="3" t="e">
        <f>VLOOKUP(Base_Periodo1[[#This Row],[Aux]],Base_Contas_Balanco[#All],2,FALSE)</f>
        <v>#N/A</v>
      </c>
      <c r="G6346" s="1">
        <v>42885</v>
      </c>
      <c r="H6346" s="225">
        <v>131727.49</v>
      </c>
      <c r="I6346" s="225">
        <v>0</v>
      </c>
      <c r="J6346" s="225">
        <v>37681.23000000001</v>
      </c>
      <c r="K6346" s="225">
        <v>169408.72</v>
      </c>
      <c r="L63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169408.72</v>
      </c>
      <c r="M6346" s="225">
        <f>ROUND(IF(AND(Base_Periodo1[[#This Row],[Tipo_Linha]]="-",Base_Periodo1[[#This Row],[TIPOSALDO]]="D"),Base_Periodo1[[#This Row],[SALDO_ATUAL]]*-1,Base_Periodo1[[#This Row],[SALDO_ATUAL]]),4)</f>
        <v>169408.72</v>
      </c>
      <c r="N6346" t="s">
        <v>116</v>
      </c>
      <c r="O6346" t="s">
        <v>459</v>
      </c>
      <c r="P6346" t="s">
        <v>459</v>
      </c>
      <c r="Q6346">
        <v>9</v>
      </c>
      <c r="R6346" s="282">
        <f>Base_Periodo1[[#This Row],[CREDITOS]]-Base_Periodo1[[#This Row],[DEBITOS]]</f>
        <v>37681.23000000001</v>
      </c>
      <c r="S6346" s="3" t="str">
        <f>IF(ISERROR(VLOOKUP(Base_Periodo1[[#This Row],[CONTA]],BaseContasDRE[#All],4,FALSE)),"Fora do DRE",VLOOKUP(Base_Periodo1[[#This Row],[CONTA]],BaseContasDRE[#All],4,FALSE))</f>
        <v>+</v>
      </c>
      <c r="T6346" s="3">
        <f>IF(ISERROR(VLOOKUP(Base_Periodo1[[#This Row],[CONTA]],BaseContasDRE[#All],5,FALSE)),"Fora do DRE",VLOOKUP(Base_Periodo1[[#This Row],[CONTA]],BaseContasDRE[#All],6,FALSE))</f>
        <v>1</v>
      </c>
      <c r="U6346" s="3" t="str">
        <f>IF(ISERROR(VLOOKUP(Base_Periodo1[[#This Row],[CONTA]],BaseContasDRE[#All],7,FALSE)),"Fora do DRE",VLOOKUP(Base_Periodo1[[#This Row],[CONTA]],BaseContasDRE[#All],7,FALSE))</f>
        <v>PRODUTOS AGRICOLAS</v>
      </c>
      <c r="V6346" s="3" t="str">
        <f>IF(Base_Periodo1[[#This Row],[Tipo_Linha]]="Fora do DRE","Fora do DRE","( "&amp;Base_Periodo1[[#This Row],[Tipo_Linha]]&amp;" ) "&amp;Base_Periodo1[[#This Row],[Filtro]])</f>
        <v>( + ) PRODUTOS AGRICOLAS</v>
      </c>
      <c r="W6346" s="3" t="str">
        <f>LEFT(Base_Periodo1[[#This Row],[CLASS]],3)</f>
        <v>3.2</v>
      </c>
    </row>
    <row r="6347" spans="1:23" hidden="1">
      <c r="A6347" s="3" t="str">
        <f t="shared" si="99"/>
        <v>Período 1</v>
      </c>
      <c r="B6347">
        <v>52612</v>
      </c>
      <c r="C6347" t="s">
        <v>4969</v>
      </c>
      <c r="D6347" t="s">
        <v>4970</v>
      </c>
      <c r="E6347" s="3" t="str">
        <f>IF(LEN(Base_Periodo1[[#This Row],[CLASS]])&gt;=7,LEFT(Base_Periodo1[[#This Row],[CLASS]],7),"")</f>
        <v>3.2.1.1</v>
      </c>
      <c r="F6347" s="3" t="e">
        <f>VLOOKUP(Base_Periodo1[[#This Row],[Aux]],Base_Contas_Balanco[#All],2,FALSE)</f>
        <v>#N/A</v>
      </c>
      <c r="G6347" s="1"/>
      <c r="H6347" s="225">
        <v>11078.58</v>
      </c>
      <c r="I6347" s="225">
        <v>2890.49</v>
      </c>
      <c r="J6347" s="225">
        <v>0</v>
      </c>
      <c r="K6347" s="225">
        <v>13969.07</v>
      </c>
      <c r="L63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-13969.07</v>
      </c>
      <c r="M6347" s="225">
        <f>ROUND(IF(AND(Base_Periodo1[[#This Row],[Tipo_Linha]]="-",Base_Periodo1[[#This Row],[TIPOSALDO]]="D"),Base_Periodo1[[#This Row],[SALDO_ATUAL]]*-1,Base_Periodo1[[#This Row],[SALDO_ATUAL]]),4)</f>
        <v>13969.07</v>
      </c>
      <c r="N6347" t="s">
        <v>396</v>
      </c>
      <c r="O6347" t="s">
        <v>397</v>
      </c>
      <c r="P6347" t="s">
        <v>397</v>
      </c>
      <c r="Q6347">
        <v>8</v>
      </c>
      <c r="R6347" s="282">
        <f>Base_Periodo1[[#This Row],[CREDITOS]]-Base_Periodo1[[#This Row],[DEBITOS]]</f>
        <v>-2890.49</v>
      </c>
      <c r="S6347" s="3" t="str">
        <f>IF(ISERROR(VLOOKUP(Base_Periodo1[[#This Row],[CONTA]],BaseContasDRE[#All],4,FALSE)),"Fora do DRE",VLOOKUP(Base_Periodo1[[#This Row],[CONTA]],BaseContasDRE[#All],4,FALSE))</f>
        <v>Fora do DRE</v>
      </c>
      <c r="T6347" s="3" t="str">
        <f>IF(ISERROR(VLOOKUP(Base_Periodo1[[#This Row],[CONTA]],BaseContasDRE[#All],5,FALSE)),"Fora do DRE",VLOOKUP(Base_Periodo1[[#This Row],[CONTA]],BaseContasDRE[#All],6,FALSE))</f>
        <v>Fora do DRE</v>
      </c>
      <c r="U6347" s="3" t="str">
        <f>IF(ISERROR(VLOOKUP(Base_Periodo1[[#This Row],[CONTA]],BaseContasDRE[#All],7,FALSE)),"Fora do DRE",VLOOKUP(Base_Periodo1[[#This Row],[CONTA]],BaseContasDRE[#All],7,FALSE))</f>
        <v>Fora do DRE</v>
      </c>
      <c r="V6347" s="3" t="str">
        <f>IF(Base_Periodo1[[#This Row],[Tipo_Linha]]="Fora do DRE","Fora do DRE","( "&amp;Base_Periodo1[[#This Row],[Tipo_Linha]]&amp;" ) "&amp;Base_Periodo1[[#This Row],[Filtro]])</f>
        <v>Fora do DRE</v>
      </c>
      <c r="W6347" s="3" t="str">
        <f>LEFT(Base_Periodo1[[#This Row],[CLASS]],3)</f>
        <v>3.2</v>
      </c>
    </row>
    <row r="6348" spans="1:23" hidden="1">
      <c r="A6348" s="3" t="str">
        <f t="shared" si="99"/>
        <v>Período 1</v>
      </c>
      <c r="B6348">
        <v>52613</v>
      </c>
      <c r="C6348" t="s">
        <v>4971</v>
      </c>
      <c r="D6348" t="s">
        <v>3566</v>
      </c>
      <c r="E6348" s="3" t="str">
        <f>IF(LEN(Base_Periodo1[[#This Row],[CLASS]])&gt;=7,LEFT(Base_Periodo1[[#This Row],[CLASS]],7),"")</f>
        <v>3.2.1.1</v>
      </c>
      <c r="F6348" s="3" t="e">
        <f>VLOOKUP(Base_Periodo1[[#This Row],[Aux]],Base_Contas_Balanco[#All],2,FALSE)</f>
        <v>#N/A</v>
      </c>
      <c r="G6348" s="1">
        <v>42882</v>
      </c>
      <c r="H6348" s="225">
        <v>11078.58</v>
      </c>
      <c r="I6348" s="225">
        <v>2890.49</v>
      </c>
      <c r="J6348" s="225">
        <v>0</v>
      </c>
      <c r="K6348" s="225">
        <v>13969.07</v>
      </c>
      <c r="L63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-13969.07</v>
      </c>
      <c r="M6348" s="225">
        <f>ROUND(IF(AND(Base_Periodo1[[#This Row],[Tipo_Linha]]="-",Base_Periodo1[[#This Row],[TIPOSALDO]]="D"),Base_Periodo1[[#This Row],[SALDO_ATUAL]]*-1,Base_Periodo1[[#This Row],[SALDO_ATUAL]]),4)</f>
        <v>-13969.07</v>
      </c>
      <c r="N6348" t="s">
        <v>116</v>
      </c>
      <c r="O6348" t="s">
        <v>397</v>
      </c>
      <c r="P6348" t="s">
        <v>397</v>
      </c>
      <c r="Q6348">
        <v>9</v>
      </c>
      <c r="R6348" s="282">
        <f>Base_Periodo1[[#This Row],[CREDITOS]]-Base_Periodo1[[#This Row],[DEBITOS]]</f>
        <v>-2890.49</v>
      </c>
      <c r="S6348" s="3" t="str">
        <f>IF(ISERROR(VLOOKUP(Base_Periodo1[[#This Row],[CONTA]],BaseContasDRE[#All],4,FALSE)),"Fora do DRE",VLOOKUP(Base_Periodo1[[#This Row],[CONTA]],BaseContasDRE[#All],4,FALSE))</f>
        <v>-</v>
      </c>
      <c r="T6348" s="3">
        <f>IF(ISERROR(VLOOKUP(Base_Periodo1[[#This Row],[CONTA]],BaseContasDRE[#All],5,FALSE)),"Fora do DRE",VLOOKUP(Base_Periodo1[[#This Row],[CONTA]],BaseContasDRE[#All],6,FALSE))</f>
        <v>2</v>
      </c>
      <c r="U6348" s="3" t="str">
        <f>IF(ISERROR(VLOOKUP(Base_Periodo1[[#This Row],[CONTA]],BaseContasDRE[#All],7,FALSE)),"Fora do DRE",VLOOKUP(Base_Periodo1[[#This Row],[CONTA]],BaseContasDRE[#All],7,FALSE))</f>
        <v>ICMS SOBRE INGRESSOS E RECEITAS</v>
      </c>
      <c r="V6348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348" s="3" t="str">
        <f>LEFT(Base_Periodo1[[#This Row],[CLASS]],3)</f>
        <v>3.2</v>
      </c>
    </row>
    <row r="6349" spans="1:23" hidden="1">
      <c r="A6349" s="3" t="str">
        <f t="shared" si="99"/>
        <v>Período 1</v>
      </c>
      <c r="B6349">
        <v>52614</v>
      </c>
      <c r="C6349" t="s">
        <v>4895</v>
      </c>
      <c r="D6349" t="s">
        <v>4522</v>
      </c>
      <c r="E6349" s="3" t="str">
        <f>IF(LEN(Base_Periodo1[[#This Row],[CLASS]])&gt;=7,LEFT(Base_Periodo1[[#This Row],[CLASS]],7),"")</f>
        <v>3.2.1.1</v>
      </c>
      <c r="F6349" s="3" t="e">
        <f>VLOOKUP(Base_Periodo1[[#This Row],[Aux]],Base_Contas_Balanco[#All],2,FALSE)</f>
        <v>#N/A</v>
      </c>
      <c r="G6349" s="1"/>
      <c r="H6349" s="225">
        <v>156728.12</v>
      </c>
      <c r="I6349" s="225">
        <v>18741.490000000002</v>
      </c>
      <c r="J6349" s="225">
        <v>0</v>
      </c>
      <c r="K6349" s="225">
        <v>175469.61</v>
      </c>
      <c r="L63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-175469.61</v>
      </c>
      <c r="M6349" s="225">
        <f>ROUND(IF(AND(Base_Periodo1[[#This Row],[Tipo_Linha]]="-",Base_Periodo1[[#This Row],[TIPOSALDO]]="D"),Base_Periodo1[[#This Row],[SALDO_ATUAL]]*-1,Base_Periodo1[[#This Row],[SALDO_ATUAL]]),4)</f>
        <v>175469.61</v>
      </c>
      <c r="N6349" t="s">
        <v>396</v>
      </c>
      <c r="O6349" t="s">
        <v>397</v>
      </c>
      <c r="P6349" t="s">
        <v>397</v>
      </c>
      <c r="Q6349">
        <v>8</v>
      </c>
      <c r="R6349" s="282">
        <f>Base_Periodo1[[#This Row],[CREDITOS]]-Base_Periodo1[[#This Row],[DEBITOS]]</f>
        <v>-18741.490000000002</v>
      </c>
      <c r="S6349" s="3" t="str">
        <f>IF(ISERROR(VLOOKUP(Base_Periodo1[[#This Row],[CONTA]],BaseContasDRE[#All],4,FALSE)),"Fora do DRE",VLOOKUP(Base_Periodo1[[#This Row],[CONTA]],BaseContasDRE[#All],4,FALSE))</f>
        <v>Fora do DRE</v>
      </c>
      <c r="T6349" s="3" t="str">
        <f>IF(ISERROR(VLOOKUP(Base_Periodo1[[#This Row],[CONTA]],BaseContasDRE[#All],5,FALSE)),"Fora do DRE",VLOOKUP(Base_Periodo1[[#This Row],[CONTA]],BaseContasDRE[#All],6,FALSE))</f>
        <v>Fora do DRE</v>
      </c>
      <c r="U6349" s="3" t="str">
        <f>IF(ISERROR(VLOOKUP(Base_Periodo1[[#This Row],[CONTA]],BaseContasDRE[#All],7,FALSE)),"Fora do DRE",VLOOKUP(Base_Periodo1[[#This Row],[CONTA]],BaseContasDRE[#All],7,FALSE))</f>
        <v>Fora do DRE</v>
      </c>
      <c r="V6349" s="3" t="str">
        <f>IF(Base_Periodo1[[#This Row],[Tipo_Linha]]="Fora do DRE","Fora do DRE","( "&amp;Base_Periodo1[[#This Row],[Tipo_Linha]]&amp;" ) "&amp;Base_Periodo1[[#This Row],[Filtro]])</f>
        <v>Fora do DRE</v>
      </c>
      <c r="W6349" s="3" t="str">
        <f>LEFT(Base_Periodo1[[#This Row],[CLASS]],3)</f>
        <v>3.2</v>
      </c>
    </row>
    <row r="6350" spans="1:23" hidden="1">
      <c r="A6350" s="3" t="str">
        <f t="shared" si="99"/>
        <v>Período 1</v>
      </c>
      <c r="B6350">
        <v>52615</v>
      </c>
      <c r="C6350" t="s">
        <v>5618</v>
      </c>
      <c r="D6350" t="s">
        <v>5619</v>
      </c>
      <c r="E6350" s="3" t="str">
        <f>IF(LEN(Base_Periodo1[[#This Row],[CLASS]])&gt;=7,LEFT(Base_Periodo1[[#This Row],[CLASS]],7),"")</f>
        <v>3.2.1.1</v>
      </c>
      <c r="F6350" s="3" t="e">
        <f>VLOOKUP(Base_Periodo1[[#This Row],[Aux]],Base_Contas_Balanco[#All],2,FALSE)</f>
        <v>#N/A</v>
      </c>
      <c r="G6350" s="1">
        <v>42886</v>
      </c>
      <c r="H6350" s="225">
        <v>156728.12</v>
      </c>
      <c r="I6350" s="225">
        <v>18741.490000000002</v>
      </c>
      <c r="J6350" s="225">
        <v>0</v>
      </c>
      <c r="K6350" s="225">
        <v>175469.61</v>
      </c>
      <c r="L63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-175469.61</v>
      </c>
      <c r="M6350" s="225">
        <f>ROUND(IF(AND(Base_Periodo1[[#This Row],[Tipo_Linha]]="-",Base_Periodo1[[#This Row],[TIPOSALDO]]="D"),Base_Periodo1[[#This Row],[SALDO_ATUAL]]*-1,Base_Periodo1[[#This Row],[SALDO_ATUAL]]),4)</f>
        <v>-175469.61</v>
      </c>
      <c r="N6350" t="s">
        <v>116</v>
      </c>
      <c r="O6350" t="s">
        <v>397</v>
      </c>
      <c r="P6350" t="s">
        <v>397</v>
      </c>
      <c r="Q6350">
        <v>9</v>
      </c>
      <c r="R6350" s="282">
        <f>Base_Periodo1[[#This Row],[CREDITOS]]-Base_Periodo1[[#This Row],[DEBITOS]]</f>
        <v>-18741.490000000002</v>
      </c>
      <c r="S6350" s="3" t="str">
        <f>IF(ISERROR(VLOOKUP(Base_Periodo1[[#This Row],[CONTA]],BaseContasDRE[#All],4,FALSE)),"Fora do DRE",VLOOKUP(Base_Periodo1[[#This Row],[CONTA]],BaseContasDRE[#All],4,FALSE))</f>
        <v>-</v>
      </c>
      <c r="T6350" s="3">
        <f>IF(ISERROR(VLOOKUP(Base_Periodo1[[#This Row],[CONTA]],BaseContasDRE[#All],5,FALSE)),"Fora do DRE",VLOOKUP(Base_Periodo1[[#This Row],[CONTA]],BaseContasDRE[#All],6,FALSE))</f>
        <v>3</v>
      </c>
      <c r="U6350" s="3" t="str">
        <f>IF(ISERROR(VLOOKUP(Base_Periodo1[[#This Row],[CONTA]],BaseContasDRE[#All],7,FALSE)),"Fora do DRE",VLOOKUP(Base_Periodo1[[#This Row],[CONTA]],BaseContasDRE[#All],7,FALSE))</f>
        <v>PRODUTOS AGRICOLAS</v>
      </c>
      <c r="V6350" s="3" t="str">
        <f>IF(Base_Periodo1[[#This Row],[Tipo_Linha]]="Fora do DRE","Fora do DRE","( "&amp;Base_Periodo1[[#This Row],[Tipo_Linha]]&amp;" ) "&amp;Base_Periodo1[[#This Row],[Filtro]])</f>
        <v>( - ) PRODUTOS AGRICOLAS</v>
      </c>
      <c r="W6350" s="3" t="str">
        <f>LEFT(Base_Periodo1[[#This Row],[CLASS]],3)</f>
        <v>3.2</v>
      </c>
    </row>
    <row r="6351" spans="1:23" hidden="1">
      <c r="A6351" s="3" t="str">
        <f t="shared" si="99"/>
        <v>Período 1</v>
      </c>
      <c r="B6351">
        <v>6409</v>
      </c>
      <c r="C6351" t="s">
        <v>4018</v>
      </c>
      <c r="D6351" t="s">
        <v>1152</v>
      </c>
      <c r="E6351" s="3" t="str">
        <f>IF(LEN(Base_Periodo1[[#This Row],[CLASS]])&gt;=7,LEFT(Base_Periodo1[[#This Row],[CLASS]],7),"")</f>
        <v>3.2.1.1</v>
      </c>
      <c r="F6351" s="3" t="e">
        <f>VLOOKUP(Base_Periodo1[[#This Row],[Aux]],Base_Contas_Balanco[#All],2,FALSE)</f>
        <v>#N/A</v>
      </c>
      <c r="G6351" s="1"/>
      <c r="H6351" s="225">
        <v>589181.66999995639</v>
      </c>
      <c r="I6351" s="225">
        <v>617754.59</v>
      </c>
      <c r="J6351" s="225">
        <v>789336.79999999993</v>
      </c>
      <c r="K6351" s="225">
        <v>760763.87999995635</v>
      </c>
      <c r="L63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760763.88</v>
      </c>
      <c r="M6351" s="225">
        <f>ROUND(IF(AND(Base_Periodo1[[#This Row],[Tipo_Linha]]="-",Base_Periodo1[[#This Row],[TIPOSALDO]]="D"),Base_Periodo1[[#This Row],[SALDO_ATUAL]]*-1,Base_Periodo1[[#This Row],[SALDO_ATUAL]]),4)</f>
        <v>760763.88</v>
      </c>
      <c r="N6351" t="s">
        <v>396</v>
      </c>
      <c r="O6351" t="s">
        <v>459</v>
      </c>
      <c r="P6351" t="s">
        <v>459</v>
      </c>
      <c r="Q6351">
        <v>5</v>
      </c>
      <c r="R6351" s="282">
        <f>Base_Periodo1[[#This Row],[CREDITOS]]-Base_Periodo1[[#This Row],[DEBITOS]]</f>
        <v>171582.20999999996</v>
      </c>
      <c r="S6351" s="3" t="str">
        <f>IF(ISERROR(VLOOKUP(Base_Periodo1[[#This Row],[CONTA]],BaseContasDRE[#All],4,FALSE)),"Fora do DRE",VLOOKUP(Base_Periodo1[[#This Row],[CONTA]],BaseContasDRE[#All],4,FALSE))</f>
        <v>Fora do DRE</v>
      </c>
      <c r="T6351" s="3" t="str">
        <f>IF(ISERROR(VLOOKUP(Base_Periodo1[[#This Row],[CONTA]],BaseContasDRE[#All],5,FALSE)),"Fora do DRE",VLOOKUP(Base_Periodo1[[#This Row],[CONTA]],BaseContasDRE[#All],6,FALSE))</f>
        <v>Fora do DRE</v>
      </c>
      <c r="U6351" s="3" t="str">
        <f>IF(ISERROR(VLOOKUP(Base_Periodo1[[#This Row],[CONTA]],BaseContasDRE[#All],7,FALSE)),"Fora do DRE",VLOOKUP(Base_Periodo1[[#This Row],[CONTA]],BaseContasDRE[#All],7,FALSE))</f>
        <v>Fora do DRE</v>
      </c>
      <c r="V6351" s="3" t="str">
        <f>IF(Base_Periodo1[[#This Row],[Tipo_Linha]]="Fora do DRE","Fora do DRE","( "&amp;Base_Periodo1[[#This Row],[Tipo_Linha]]&amp;" ) "&amp;Base_Periodo1[[#This Row],[Filtro]])</f>
        <v>Fora do DRE</v>
      </c>
      <c r="W6351" s="3" t="str">
        <f>LEFT(Base_Periodo1[[#This Row],[CLASS]],3)</f>
        <v>3.2</v>
      </c>
    </row>
    <row r="6352" spans="1:23" hidden="1">
      <c r="A6352" s="3" t="str">
        <f t="shared" si="99"/>
        <v>Período 1</v>
      </c>
      <c r="B6352">
        <v>6410</v>
      </c>
      <c r="C6352" t="s">
        <v>4019</v>
      </c>
      <c r="D6352" t="s">
        <v>1154</v>
      </c>
      <c r="E6352" s="3" t="str">
        <f>IF(LEN(Base_Periodo1[[#This Row],[CLASS]])&gt;=7,LEFT(Base_Periodo1[[#This Row],[CLASS]],7),"")</f>
        <v>3.2.1.1</v>
      </c>
      <c r="F6352" s="3" t="e">
        <f>VLOOKUP(Base_Periodo1[[#This Row],[Aux]],Base_Contas_Balanco[#All],2,FALSE)</f>
        <v>#N/A</v>
      </c>
      <c r="G6352" s="1"/>
      <c r="H6352" s="225">
        <v>286717.49999997928</v>
      </c>
      <c r="I6352" s="225">
        <v>217265.41000000003</v>
      </c>
      <c r="J6352" s="225">
        <v>295921.74</v>
      </c>
      <c r="K6352" s="225">
        <v>365373.82999997924</v>
      </c>
      <c r="L63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365373.83</v>
      </c>
      <c r="M6352" s="225">
        <f>ROUND(IF(AND(Base_Periodo1[[#This Row],[Tipo_Linha]]="-",Base_Periodo1[[#This Row],[TIPOSALDO]]="D"),Base_Periodo1[[#This Row],[SALDO_ATUAL]]*-1,Base_Periodo1[[#This Row],[SALDO_ATUAL]]),4)</f>
        <v>365373.83</v>
      </c>
      <c r="N6352" t="s">
        <v>396</v>
      </c>
      <c r="O6352" t="s">
        <v>459</v>
      </c>
      <c r="P6352" t="s">
        <v>459</v>
      </c>
      <c r="Q6352">
        <v>6</v>
      </c>
      <c r="R6352" s="282">
        <f>Base_Periodo1[[#This Row],[CREDITOS]]-Base_Periodo1[[#This Row],[DEBITOS]]</f>
        <v>78656.329999999958</v>
      </c>
      <c r="S6352" s="3" t="str">
        <f>IF(ISERROR(VLOOKUP(Base_Periodo1[[#This Row],[CONTA]],BaseContasDRE[#All],4,FALSE)),"Fora do DRE",VLOOKUP(Base_Periodo1[[#This Row],[CONTA]],BaseContasDRE[#All],4,FALSE))</f>
        <v>Fora do DRE</v>
      </c>
      <c r="T6352" s="3" t="str">
        <f>IF(ISERROR(VLOOKUP(Base_Periodo1[[#This Row],[CONTA]],BaseContasDRE[#All],5,FALSE)),"Fora do DRE",VLOOKUP(Base_Periodo1[[#This Row],[CONTA]],BaseContasDRE[#All],6,FALSE))</f>
        <v>Fora do DRE</v>
      </c>
      <c r="U6352" s="3" t="str">
        <f>IF(ISERROR(VLOOKUP(Base_Periodo1[[#This Row],[CONTA]],BaseContasDRE[#All],7,FALSE)),"Fora do DRE",VLOOKUP(Base_Periodo1[[#This Row],[CONTA]],BaseContasDRE[#All],7,FALSE))</f>
        <v>Fora do DRE</v>
      </c>
      <c r="V6352" s="3" t="str">
        <f>IF(Base_Periodo1[[#This Row],[Tipo_Linha]]="Fora do DRE","Fora do DRE","( "&amp;Base_Periodo1[[#This Row],[Tipo_Linha]]&amp;" ) "&amp;Base_Periodo1[[#This Row],[Filtro]])</f>
        <v>Fora do DRE</v>
      </c>
      <c r="W6352" s="3" t="str">
        <f>LEFT(Base_Periodo1[[#This Row],[CLASS]],3)</f>
        <v>3.2</v>
      </c>
    </row>
    <row r="6353" spans="1:23" hidden="1">
      <c r="A6353" s="3" t="str">
        <f t="shared" si="99"/>
        <v>Período 1</v>
      </c>
      <c r="B6353">
        <v>6411</v>
      </c>
      <c r="C6353" t="s">
        <v>4020</v>
      </c>
      <c r="D6353" t="s">
        <v>1156</v>
      </c>
      <c r="E6353" s="3" t="str">
        <f>IF(LEN(Base_Periodo1[[#This Row],[CLASS]])&gt;=7,LEFT(Base_Periodo1[[#This Row],[CLASS]],7),"")</f>
        <v>3.2.1.1</v>
      </c>
      <c r="F6353" s="3" t="e">
        <f>VLOOKUP(Base_Periodo1[[#This Row],[Aux]],Base_Contas_Balanco[#All],2,FALSE)</f>
        <v>#N/A</v>
      </c>
      <c r="G6353" s="1"/>
      <c r="H6353" s="225">
        <v>70771.099999999948</v>
      </c>
      <c r="I6353" s="225">
        <v>83641.38</v>
      </c>
      <c r="J6353" s="225">
        <v>97409.2</v>
      </c>
      <c r="K6353" s="225">
        <v>84538.91999999994</v>
      </c>
      <c r="L63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84538.92</v>
      </c>
      <c r="M6353" s="225">
        <f>ROUND(IF(AND(Base_Periodo1[[#This Row],[Tipo_Linha]]="-",Base_Periodo1[[#This Row],[TIPOSALDO]]="D"),Base_Periodo1[[#This Row],[SALDO_ATUAL]]*-1,Base_Periodo1[[#This Row],[SALDO_ATUAL]]),4)</f>
        <v>84538.92</v>
      </c>
      <c r="N6353" t="s">
        <v>396</v>
      </c>
      <c r="O6353" t="s">
        <v>459</v>
      </c>
      <c r="P6353" t="s">
        <v>459</v>
      </c>
      <c r="Q6353">
        <v>7</v>
      </c>
      <c r="R6353" s="282">
        <f>Base_Periodo1[[#This Row],[CREDITOS]]-Base_Periodo1[[#This Row],[DEBITOS]]</f>
        <v>13767.819999999992</v>
      </c>
      <c r="S6353" s="3" t="str">
        <f>IF(ISERROR(VLOOKUP(Base_Periodo1[[#This Row],[CONTA]],BaseContasDRE[#All],4,FALSE)),"Fora do DRE",VLOOKUP(Base_Periodo1[[#This Row],[CONTA]],BaseContasDRE[#All],4,FALSE))</f>
        <v>Fora do DRE</v>
      </c>
      <c r="T6353" s="3" t="str">
        <f>IF(ISERROR(VLOOKUP(Base_Periodo1[[#This Row],[CONTA]],BaseContasDRE[#All],5,FALSE)),"Fora do DRE",VLOOKUP(Base_Periodo1[[#This Row],[CONTA]],BaseContasDRE[#All],6,FALSE))</f>
        <v>Fora do DRE</v>
      </c>
      <c r="U6353" s="3" t="str">
        <f>IF(ISERROR(VLOOKUP(Base_Periodo1[[#This Row],[CONTA]],BaseContasDRE[#All],7,FALSE)),"Fora do DRE",VLOOKUP(Base_Periodo1[[#This Row],[CONTA]],BaseContasDRE[#All],7,FALSE))</f>
        <v>Fora do DRE</v>
      </c>
      <c r="V6353" s="3" t="str">
        <f>IF(Base_Periodo1[[#This Row],[Tipo_Linha]]="Fora do DRE","Fora do DRE","( "&amp;Base_Periodo1[[#This Row],[Tipo_Linha]]&amp;" ) "&amp;Base_Periodo1[[#This Row],[Filtro]])</f>
        <v>Fora do DRE</v>
      </c>
      <c r="W6353" s="3" t="str">
        <f>LEFT(Base_Periodo1[[#This Row],[CLASS]],3)</f>
        <v>3.2</v>
      </c>
    </row>
    <row r="6354" spans="1:23" hidden="1">
      <c r="A6354" s="3" t="str">
        <f t="shared" si="99"/>
        <v>Período 1</v>
      </c>
      <c r="B6354">
        <v>6412</v>
      </c>
      <c r="C6354" t="s">
        <v>4021</v>
      </c>
      <c r="D6354" t="s">
        <v>4022</v>
      </c>
      <c r="E6354" s="3" t="str">
        <f>IF(LEN(Base_Periodo1[[#This Row],[CLASS]])&gt;=7,LEFT(Base_Periodo1[[#This Row],[CLASS]],7),"")</f>
        <v>3.2.1.1</v>
      </c>
      <c r="F6354" s="3" t="e">
        <f>VLOOKUP(Base_Periodo1[[#This Row],[Aux]],Base_Contas_Balanco[#All],2,FALSE)</f>
        <v>#N/A</v>
      </c>
      <c r="G6354" s="1"/>
      <c r="H6354" s="225">
        <v>396853.70000000112</v>
      </c>
      <c r="I6354" s="225">
        <v>0</v>
      </c>
      <c r="J6354" s="225">
        <v>97409.2</v>
      </c>
      <c r="K6354" s="225">
        <v>494262.90000000113</v>
      </c>
      <c r="L63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494262.9</v>
      </c>
      <c r="M6354" s="225">
        <f>ROUND(IF(AND(Base_Periodo1[[#This Row],[Tipo_Linha]]="-",Base_Periodo1[[#This Row],[TIPOSALDO]]="D"),Base_Periodo1[[#This Row],[SALDO_ATUAL]]*-1,Base_Periodo1[[#This Row],[SALDO_ATUAL]]),4)</f>
        <v>494262.9</v>
      </c>
      <c r="N6354" t="s">
        <v>396</v>
      </c>
      <c r="O6354" t="s">
        <v>459</v>
      </c>
      <c r="P6354" t="s">
        <v>459</v>
      </c>
      <c r="Q6354">
        <v>8</v>
      </c>
      <c r="R6354" s="282">
        <f>Base_Periodo1[[#This Row],[CREDITOS]]-Base_Periodo1[[#This Row],[DEBITOS]]</f>
        <v>97409.2</v>
      </c>
      <c r="S6354" s="3" t="str">
        <f>IF(ISERROR(VLOOKUP(Base_Periodo1[[#This Row],[CONTA]],BaseContasDRE[#All],4,FALSE)),"Fora do DRE",VLOOKUP(Base_Periodo1[[#This Row],[CONTA]],BaseContasDRE[#All],4,FALSE))</f>
        <v>Fora do DRE</v>
      </c>
      <c r="T6354" s="3" t="str">
        <f>IF(ISERROR(VLOOKUP(Base_Periodo1[[#This Row],[CONTA]],BaseContasDRE[#All],5,FALSE)),"Fora do DRE",VLOOKUP(Base_Periodo1[[#This Row],[CONTA]],BaseContasDRE[#All],6,FALSE))</f>
        <v>Fora do DRE</v>
      </c>
      <c r="U6354" s="3" t="str">
        <f>IF(ISERROR(VLOOKUP(Base_Periodo1[[#This Row],[CONTA]],BaseContasDRE[#All],7,FALSE)),"Fora do DRE",VLOOKUP(Base_Periodo1[[#This Row],[CONTA]],BaseContasDRE[#All],7,FALSE))</f>
        <v>Fora do DRE</v>
      </c>
      <c r="V6354" s="3" t="str">
        <f>IF(Base_Periodo1[[#This Row],[Tipo_Linha]]="Fora do DRE","Fora do DRE","( "&amp;Base_Periodo1[[#This Row],[Tipo_Linha]]&amp;" ) "&amp;Base_Periodo1[[#This Row],[Filtro]])</f>
        <v>Fora do DRE</v>
      </c>
      <c r="W6354" s="3" t="str">
        <f>LEFT(Base_Periodo1[[#This Row],[CLASS]],3)</f>
        <v>3.2</v>
      </c>
    </row>
    <row r="6355" spans="1:23" hidden="1">
      <c r="A6355" s="3" t="str">
        <f t="shared" si="99"/>
        <v>Período 1</v>
      </c>
      <c r="B6355">
        <v>6413</v>
      </c>
      <c r="C6355" t="s">
        <v>4023</v>
      </c>
      <c r="D6355" t="s">
        <v>3987</v>
      </c>
      <c r="E6355" s="3" t="str">
        <f>IF(LEN(Base_Periodo1[[#This Row],[CLASS]])&gt;=7,LEFT(Base_Periodo1[[#This Row],[CLASS]],7),"")</f>
        <v>3.2.1.1</v>
      </c>
      <c r="F6355" s="3" t="e">
        <f>VLOOKUP(Base_Periodo1[[#This Row],[Aux]],Base_Contas_Balanco[#All],2,FALSE)</f>
        <v>#N/A</v>
      </c>
      <c r="G6355" s="1">
        <v>42880</v>
      </c>
      <c r="H6355" s="225">
        <v>396853.70000000112</v>
      </c>
      <c r="I6355" s="225">
        <v>0</v>
      </c>
      <c r="J6355" s="225">
        <v>97409.2</v>
      </c>
      <c r="K6355" s="225">
        <v>494262.90000000113</v>
      </c>
      <c r="L63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494262.9</v>
      </c>
      <c r="M6355" s="225">
        <f>ROUND(IF(AND(Base_Periodo1[[#This Row],[Tipo_Linha]]="-",Base_Periodo1[[#This Row],[TIPOSALDO]]="D"),Base_Periodo1[[#This Row],[SALDO_ATUAL]]*-1,Base_Periodo1[[#This Row],[SALDO_ATUAL]]),4)</f>
        <v>494262.9</v>
      </c>
      <c r="N6355" t="s">
        <v>116</v>
      </c>
      <c r="O6355" t="s">
        <v>459</v>
      </c>
      <c r="P6355" t="s">
        <v>459</v>
      </c>
      <c r="Q6355">
        <v>9</v>
      </c>
      <c r="R6355" s="282">
        <f>Base_Periodo1[[#This Row],[CREDITOS]]-Base_Periodo1[[#This Row],[DEBITOS]]</f>
        <v>97409.2</v>
      </c>
      <c r="S6355" s="3" t="str">
        <f>IF(ISERROR(VLOOKUP(Base_Periodo1[[#This Row],[CONTA]],BaseContasDRE[#All],4,FALSE)),"Fora do DRE",VLOOKUP(Base_Periodo1[[#This Row],[CONTA]],BaseContasDRE[#All],4,FALSE))</f>
        <v>+</v>
      </c>
      <c r="T6355" s="3">
        <f>IF(ISERROR(VLOOKUP(Base_Periodo1[[#This Row],[CONTA]],BaseContasDRE[#All],5,FALSE)),"Fora do DRE",VLOOKUP(Base_Periodo1[[#This Row],[CONTA]],BaseContasDRE[#All],6,FALSE))</f>
        <v>1</v>
      </c>
      <c r="U6355" s="3" t="str">
        <f>IF(ISERROR(VLOOKUP(Base_Periodo1[[#This Row],[CONTA]],BaseContasDRE[#All],7,FALSE)),"Fora do DRE",VLOOKUP(Base_Periodo1[[#This Row],[CONTA]],BaseContasDRE[#All],7,FALSE))</f>
        <v>INSUMOS AGROPECUARIOS</v>
      </c>
      <c r="V6355" s="3" t="str">
        <f>IF(Base_Periodo1[[#This Row],[Tipo_Linha]]="Fora do DRE","Fora do DRE","( "&amp;Base_Periodo1[[#This Row],[Tipo_Linha]]&amp;" ) "&amp;Base_Periodo1[[#This Row],[Filtro]])</f>
        <v>( + ) INSUMOS AGROPECUARIOS</v>
      </c>
      <c r="W6355" s="3" t="str">
        <f>LEFT(Base_Periodo1[[#This Row],[CLASS]],3)</f>
        <v>3.2</v>
      </c>
    </row>
    <row r="6356" spans="1:23" hidden="1">
      <c r="A6356" s="3" t="str">
        <f t="shared" si="99"/>
        <v>Período 1</v>
      </c>
      <c r="B6356">
        <v>6416</v>
      </c>
      <c r="C6356" t="s">
        <v>6101</v>
      </c>
      <c r="D6356" t="s">
        <v>291</v>
      </c>
      <c r="E6356" s="3" t="str">
        <f>IF(LEN(Base_Periodo1[[#This Row],[CLASS]])&gt;=7,LEFT(Base_Periodo1[[#This Row],[CLASS]],7),"")</f>
        <v>3.2.1.1</v>
      </c>
      <c r="F6356" s="3" t="e">
        <f>VLOOKUP(Base_Periodo1[[#This Row],[Aux]],Base_Contas_Balanco[#All],2,FALSE)</f>
        <v>#N/A</v>
      </c>
      <c r="G6356" s="1"/>
      <c r="H6356" s="225">
        <v>39861.599999999999</v>
      </c>
      <c r="I6356" s="225">
        <v>0</v>
      </c>
      <c r="J6356" s="225">
        <v>0</v>
      </c>
      <c r="K6356" s="225">
        <v>39861.599999999999</v>
      </c>
      <c r="L63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39861.599999999999</v>
      </c>
      <c r="M6356" s="225">
        <f>ROUND(IF(AND(Base_Periodo1[[#This Row],[Tipo_Linha]]="-",Base_Periodo1[[#This Row],[TIPOSALDO]]="D"),Base_Periodo1[[#This Row],[SALDO_ATUAL]]*-1,Base_Periodo1[[#This Row],[SALDO_ATUAL]]),4)</f>
        <v>39861.599999999999</v>
      </c>
      <c r="N6356" t="s">
        <v>396</v>
      </c>
      <c r="O6356" t="s">
        <v>459</v>
      </c>
      <c r="P6356" t="s">
        <v>459</v>
      </c>
      <c r="Q6356">
        <v>8</v>
      </c>
      <c r="R6356" s="282">
        <f>Base_Periodo1[[#This Row],[CREDITOS]]-Base_Periodo1[[#This Row],[DEBITOS]]</f>
        <v>0</v>
      </c>
      <c r="S6356" s="3" t="str">
        <f>IF(ISERROR(VLOOKUP(Base_Periodo1[[#This Row],[CONTA]],BaseContasDRE[#All],4,FALSE)),"Fora do DRE",VLOOKUP(Base_Periodo1[[#This Row],[CONTA]],BaseContasDRE[#All],4,FALSE))</f>
        <v>Fora do DRE</v>
      </c>
      <c r="T6356" s="3" t="str">
        <f>IF(ISERROR(VLOOKUP(Base_Periodo1[[#This Row],[CONTA]],BaseContasDRE[#All],5,FALSE)),"Fora do DRE",VLOOKUP(Base_Periodo1[[#This Row],[CONTA]],BaseContasDRE[#All],6,FALSE))</f>
        <v>Fora do DRE</v>
      </c>
      <c r="U6356" s="3" t="str">
        <f>IF(ISERROR(VLOOKUP(Base_Periodo1[[#This Row],[CONTA]],BaseContasDRE[#All],7,FALSE)),"Fora do DRE",VLOOKUP(Base_Periodo1[[#This Row],[CONTA]],BaseContasDRE[#All],7,FALSE))</f>
        <v>Fora do DRE</v>
      </c>
      <c r="V6356" s="3" t="str">
        <f>IF(Base_Periodo1[[#This Row],[Tipo_Linha]]="Fora do DRE","Fora do DRE","( "&amp;Base_Periodo1[[#This Row],[Tipo_Linha]]&amp;" ) "&amp;Base_Periodo1[[#This Row],[Filtro]])</f>
        <v>Fora do DRE</v>
      </c>
      <c r="W6356" s="3" t="str">
        <f>LEFT(Base_Periodo1[[#This Row],[CLASS]],3)</f>
        <v>3.2</v>
      </c>
    </row>
    <row r="6357" spans="1:23" hidden="1">
      <c r="A6357" s="3" t="str">
        <f t="shared" si="99"/>
        <v>Período 1</v>
      </c>
      <c r="B6357">
        <v>6417</v>
      </c>
      <c r="C6357" t="s">
        <v>6102</v>
      </c>
      <c r="D6357" t="s">
        <v>3592</v>
      </c>
      <c r="E6357" s="3" t="str">
        <f>IF(LEN(Base_Periodo1[[#This Row],[CLASS]])&gt;=7,LEFT(Base_Periodo1[[#This Row],[CLASS]],7),"")</f>
        <v>3.2.1.1</v>
      </c>
      <c r="F6357" s="3" t="e">
        <f>VLOOKUP(Base_Periodo1[[#This Row],[Aux]],Base_Contas_Balanco[#All],2,FALSE)</f>
        <v>#N/A</v>
      </c>
      <c r="G6357" s="1"/>
      <c r="H6357" s="225">
        <v>39861.599999999999</v>
      </c>
      <c r="I6357" s="225">
        <v>0</v>
      </c>
      <c r="J6357" s="225">
        <v>0</v>
      </c>
      <c r="K6357" s="225">
        <v>39861.599999999999</v>
      </c>
      <c r="L63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39861.599999999999</v>
      </c>
      <c r="M6357" s="225">
        <f>ROUND(IF(AND(Base_Periodo1[[#This Row],[Tipo_Linha]]="-",Base_Periodo1[[#This Row],[TIPOSALDO]]="D"),Base_Periodo1[[#This Row],[SALDO_ATUAL]]*-1,Base_Periodo1[[#This Row],[SALDO_ATUAL]]),4)</f>
        <v>39861.599999999999</v>
      </c>
      <c r="N6357" t="s">
        <v>116</v>
      </c>
      <c r="O6357" t="s">
        <v>459</v>
      </c>
      <c r="P6357" t="s">
        <v>459</v>
      </c>
      <c r="Q6357">
        <v>9</v>
      </c>
      <c r="R6357" s="282">
        <f>Base_Periodo1[[#This Row],[CREDITOS]]-Base_Periodo1[[#This Row],[DEBITOS]]</f>
        <v>0</v>
      </c>
      <c r="S6357" s="3" t="str">
        <f>IF(ISERROR(VLOOKUP(Base_Periodo1[[#This Row],[CONTA]],BaseContasDRE[#All],4,FALSE)),"Fora do DRE",VLOOKUP(Base_Periodo1[[#This Row],[CONTA]],BaseContasDRE[#All],4,FALSE))</f>
        <v>+</v>
      </c>
      <c r="T6357" s="3">
        <f>IF(ISERROR(VLOOKUP(Base_Periodo1[[#This Row],[CONTA]],BaseContasDRE[#All],5,FALSE)),"Fora do DRE",VLOOKUP(Base_Periodo1[[#This Row],[CONTA]],BaseContasDRE[#All],6,FALSE))</f>
        <v>1</v>
      </c>
      <c r="U6357" s="3" t="str">
        <f>IF(ISERROR(VLOOKUP(Base_Periodo1[[#This Row],[CONTA]],BaseContasDRE[#All],7,FALSE)),"Fora do DRE",VLOOKUP(Base_Periodo1[[#This Row],[CONTA]],BaseContasDRE[#All],7,FALSE))</f>
        <v>BONIFICAÇÕES RECEBIDAS</v>
      </c>
      <c r="V6357" s="3" t="str">
        <f>IF(Base_Periodo1[[#This Row],[Tipo_Linha]]="Fora do DRE","Fora do DRE","( "&amp;Base_Periodo1[[#This Row],[Tipo_Linha]]&amp;" ) "&amp;Base_Periodo1[[#This Row],[Filtro]])</f>
        <v>( + ) BONIFICAÇÕES RECEBIDAS</v>
      </c>
      <c r="W6357" s="3" t="str">
        <f>LEFT(Base_Periodo1[[#This Row],[CLASS]],3)</f>
        <v>3.2</v>
      </c>
    </row>
    <row r="6358" spans="1:23" hidden="1">
      <c r="A6358" s="3" t="str">
        <f t="shared" si="99"/>
        <v>Período 1</v>
      </c>
      <c r="B6358">
        <v>6419</v>
      </c>
      <c r="C6358" t="s">
        <v>4024</v>
      </c>
      <c r="D6358" t="s">
        <v>3991</v>
      </c>
      <c r="E6358" s="3" t="str">
        <f>IF(LEN(Base_Periodo1[[#This Row],[CLASS]])&gt;=7,LEFT(Base_Periodo1[[#This Row],[CLASS]],7),"")</f>
        <v>3.2.1.1</v>
      </c>
      <c r="F6358" s="3" t="e">
        <f>VLOOKUP(Base_Periodo1[[#This Row],[Aux]],Base_Contas_Balanco[#All],2,FALSE)</f>
        <v>#N/A</v>
      </c>
      <c r="G6358" s="1"/>
      <c r="H6358" s="225">
        <v>53000.000000000058</v>
      </c>
      <c r="I6358" s="225">
        <v>0</v>
      </c>
      <c r="J6358" s="225">
        <v>0</v>
      </c>
      <c r="K6358" s="225">
        <v>53000.000000000058</v>
      </c>
      <c r="L63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-53000</v>
      </c>
      <c r="M6358" s="225">
        <f>ROUND(IF(AND(Base_Periodo1[[#This Row],[Tipo_Linha]]="-",Base_Periodo1[[#This Row],[TIPOSALDO]]="D"),Base_Periodo1[[#This Row],[SALDO_ATUAL]]*-1,Base_Periodo1[[#This Row],[SALDO_ATUAL]]),4)</f>
        <v>53000</v>
      </c>
      <c r="N6358" t="s">
        <v>396</v>
      </c>
      <c r="O6358" t="s">
        <v>397</v>
      </c>
      <c r="P6358" t="s">
        <v>397</v>
      </c>
      <c r="Q6358">
        <v>8</v>
      </c>
      <c r="R6358" s="282">
        <f>Base_Periodo1[[#This Row],[CREDITOS]]-Base_Periodo1[[#This Row],[DEBITOS]]</f>
        <v>0</v>
      </c>
      <c r="S6358" s="3" t="str">
        <f>IF(ISERROR(VLOOKUP(Base_Periodo1[[#This Row],[CONTA]],BaseContasDRE[#All],4,FALSE)),"Fora do DRE",VLOOKUP(Base_Periodo1[[#This Row],[CONTA]],BaseContasDRE[#All],4,FALSE))</f>
        <v>Fora do DRE</v>
      </c>
      <c r="T6358" s="3" t="str">
        <f>IF(ISERROR(VLOOKUP(Base_Periodo1[[#This Row],[CONTA]],BaseContasDRE[#All],5,FALSE)),"Fora do DRE",VLOOKUP(Base_Periodo1[[#This Row],[CONTA]],BaseContasDRE[#All],6,FALSE))</f>
        <v>Fora do DRE</v>
      </c>
      <c r="U6358" s="3" t="str">
        <f>IF(ISERROR(VLOOKUP(Base_Periodo1[[#This Row],[CONTA]],BaseContasDRE[#All],7,FALSE)),"Fora do DRE",VLOOKUP(Base_Periodo1[[#This Row],[CONTA]],BaseContasDRE[#All],7,FALSE))</f>
        <v>Fora do DRE</v>
      </c>
      <c r="V6358" s="3" t="str">
        <f>IF(Base_Periodo1[[#This Row],[Tipo_Linha]]="Fora do DRE","Fora do DRE","( "&amp;Base_Periodo1[[#This Row],[Tipo_Linha]]&amp;" ) "&amp;Base_Periodo1[[#This Row],[Filtro]])</f>
        <v>Fora do DRE</v>
      </c>
      <c r="W6358" s="3" t="str">
        <f>LEFT(Base_Periodo1[[#This Row],[CLASS]],3)</f>
        <v>3.2</v>
      </c>
    </row>
    <row r="6359" spans="1:23" hidden="1">
      <c r="A6359" s="3" t="str">
        <f t="shared" si="99"/>
        <v>Período 1</v>
      </c>
      <c r="B6359">
        <v>6420</v>
      </c>
      <c r="C6359" t="s">
        <v>4025</v>
      </c>
      <c r="D6359" t="s">
        <v>3992</v>
      </c>
      <c r="E6359" s="3" t="str">
        <f>IF(LEN(Base_Periodo1[[#This Row],[CLASS]])&gt;=7,LEFT(Base_Periodo1[[#This Row],[CLASS]],7),"")</f>
        <v>3.2.1.1</v>
      </c>
      <c r="F6359" s="3" t="e">
        <f>VLOOKUP(Base_Periodo1[[#This Row],[Aux]],Base_Contas_Balanco[#All],2,FALSE)</f>
        <v>#N/A</v>
      </c>
      <c r="G6359" s="1">
        <v>42828</v>
      </c>
      <c r="H6359" s="225">
        <v>53000.000000000058</v>
      </c>
      <c r="I6359" s="225">
        <v>0</v>
      </c>
      <c r="J6359" s="225">
        <v>0</v>
      </c>
      <c r="K6359" s="225">
        <v>53000.000000000058</v>
      </c>
      <c r="L63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-53000</v>
      </c>
      <c r="M6359" s="225">
        <f>ROUND(IF(AND(Base_Periodo1[[#This Row],[Tipo_Linha]]="-",Base_Periodo1[[#This Row],[TIPOSALDO]]="D"),Base_Periodo1[[#This Row],[SALDO_ATUAL]]*-1,Base_Periodo1[[#This Row],[SALDO_ATUAL]]),4)</f>
        <v>-53000</v>
      </c>
      <c r="N6359" t="s">
        <v>116</v>
      </c>
      <c r="O6359" t="s">
        <v>397</v>
      </c>
      <c r="P6359" t="s">
        <v>397</v>
      </c>
      <c r="Q6359">
        <v>9</v>
      </c>
      <c r="R6359" s="282">
        <f>Base_Periodo1[[#This Row],[CREDITOS]]-Base_Periodo1[[#This Row],[DEBITOS]]</f>
        <v>0</v>
      </c>
      <c r="S6359" s="3" t="str">
        <f>IF(ISERROR(VLOOKUP(Base_Periodo1[[#This Row],[CONTA]],BaseContasDRE[#All],4,FALSE)),"Fora do DRE",VLOOKUP(Base_Periodo1[[#This Row],[CONTA]],BaseContasDRE[#All],4,FALSE))</f>
        <v>-</v>
      </c>
      <c r="T6359" s="3">
        <f>IF(ISERROR(VLOOKUP(Base_Periodo1[[#This Row],[CONTA]],BaseContasDRE[#All],5,FALSE)),"Fora do DRE",VLOOKUP(Base_Periodo1[[#This Row],[CONTA]],BaseContasDRE[#All],6,FALSE))</f>
        <v>2</v>
      </c>
      <c r="U6359" s="3" t="str">
        <f>IF(ISERROR(VLOOKUP(Base_Periodo1[[#This Row],[CONTA]],BaseContasDRE[#All],7,FALSE)),"Fora do DRE",VLOOKUP(Base_Periodo1[[#This Row],[CONTA]],BaseContasDRE[#All],7,FALSE))</f>
        <v>DEVOLUÇÃO DE INSUMOS AGROPECUARIOS</v>
      </c>
      <c r="V6359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6359" s="3" t="str">
        <f>LEFT(Base_Periodo1[[#This Row],[CLASS]],3)</f>
        <v>3.2</v>
      </c>
    </row>
    <row r="6360" spans="1:23" hidden="1">
      <c r="A6360" s="3" t="str">
        <f t="shared" si="99"/>
        <v>Período 1</v>
      </c>
      <c r="B6360">
        <v>6425</v>
      </c>
      <c r="C6360" t="s">
        <v>4026</v>
      </c>
      <c r="D6360" t="s">
        <v>3995</v>
      </c>
      <c r="E6360" s="3" t="str">
        <f>IF(LEN(Base_Periodo1[[#This Row],[CLASS]])&gt;=7,LEFT(Base_Periodo1[[#This Row],[CLASS]],7),"")</f>
        <v>3.2.1.1</v>
      </c>
      <c r="F6360" s="3" t="e">
        <f>VLOOKUP(Base_Periodo1[[#This Row],[Aux]],Base_Contas_Balanco[#All],2,FALSE)</f>
        <v>#N/A</v>
      </c>
      <c r="G6360" s="1"/>
      <c r="H6360" s="225">
        <v>312944.20000000112</v>
      </c>
      <c r="I6360" s="225">
        <v>83641.38</v>
      </c>
      <c r="J6360" s="225">
        <v>0</v>
      </c>
      <c r="K6360" s="225">
        <v>396585.58000000112</v>
      </c>
      <c r="L63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-396585.58</v>
      </c>
      <c r="M6360" s="225">
        <f>ROUND(IF(AND(Base_Periodo1[[#This Row],[Tipo_Linha]]="-",Base_Periodo1[[#This Row],[TIPOSALDO]]="D"),Base_Periodo1[[#This Row],[SALDO_ATUAL]]*-1,Base_Periodo1[[#This Row],[SALDO_ATUAL]]),4)</f>
        <v>396585.58</v>
      </c>
      <c r="N6360" t="s">
        <v>396</v>
      </c>
      <c r="O6360" t="s">
        <v>397</v>
      </c>
      <c r="P6360" t="s">
        <v>397</v>
      </c>
      <c r="Q6360">
        <v>8</v>
      </c>
      <c r="R6360" s="282">
        <f>Base_Periodo1[[#This Row],[CREDITOS]]-Base_Periodo1[[#This Row],[DEBITOS]]</f>
        <v>-83641.38</v>
      </c>
      <c r="S6360" s="3" t="str">
        <f>IF(ISERROR(VLOOKUP(Base_Periodo1[[#This Row],[CONTA]],BaseContasDRE[#All],4,FALSE)),"Fora do DRE",VLOOKUP(Base_Periodo1[[#This Row],[CONTA]],BaseContasDRE[#All],4,FALSE))</f>
        <v>Fora do DRE</v>
      </c>
      <c r="T6360" s="3" t="str">
        <f>IF(ISERROR(VLOOKUP(Base_Periodo1[[#This Row],[CONTA]],BaseContasDRE[#All],5,FALSE)),"Fora do DRE",VLOOKUP(Base_Periodo1[[#This Row],[CONTA]],BaseContasDRE[#All],6,FALSE))</f>
        <v>Fora do DRE</v>
      </c>
      <c r="U6360" s="3" t="str">
        <f>IF(ISERROR(VLOOKUP(Base_Periodo1[[#This Row],[CONTA]],BaseContasDRE[#All],7,FALSE)),"Fora do DRE",VLOOKUP(Base_Periodo1[[#This Row],[CONTA]],BaseContasDRE[#All],7,FALSE))</f>
        <v>Fora do DRE</v>
      </c>
      <c r="V6360" s="3" t="str">
        <f>IF(Base_Periodo1[[#This Row],[Tipo_Linha]]="Fora do DRE","Fora do DRE","( "&amp;Base_Periodo1[[#This Row],[Tipo_Linha]]&amp;" ) "&amp;Base_Periodo1[[#This Row],[Filtro]])</f>
        <v>Fora do DRE</v>
      </c>
      <c r="W6360" s="3" t="str">
        <f>LEFT(Base_Periodo1[[#This Row],[CLASS]],3)</f>
        <v>3.2</v>
      </c>
    </row>
    <row r="6361" spans="1:23" hidden="1">
      <c r="A6361" s="3" t="str">
        <f t="shared" si="99"/>
        <v>Período 1</v>
      </c>
      <c r="B6361">
        <v>6426</v>
      </c>
      <c r="C6361" t="s">
        <v>4027</v>
      </c>
      <c r="D6361" t="s">
        <v>3997</v>
      </c>
      <c r="E6361" s="3" t="str">
        <f>IF(LEN(Base_Periodo1[[#This Row],[CLASS]])&gt;=7,LEFT(Base_Periodo1[[#This Row],[CLASS]],7),"")</f>
        <v>3.2.1.1</v>
      </c>
      <c r="F6361" s="3" t="e">
        <f>VLOOKUP(Base_Periodo1[[#This Row],[Aux]],Base_Contas_Balanco[#All],2,FALSE)</f>
        <v>#N/A</v>
      </c>
      <c r="G6361" s="1">
        <v>42886</v>
      </c>
      <c r="H6361" s="225">
        <v>312944.20000000112</v>
      </c>
      <c r="I6361" s="225">
        <v>83641.38</v>
      </c>
      <c r="J6361" s="225">
        <v>0</v>
      </c>
      <c r="K6361" s="225">
        <v>396585.58000000112</v>
      </c>
      <c r="L63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-396585.58</v>
      </c>
      <c r="M6361" s="225">
        <f>ROUND(IF(AND(Base_Periodo1[[#This Row],[Tipo_Linha]]="-",Base_Periodo1[[#This Row],[TIPOSALDO]]="D"),Base_Periodo1[[#This Row],[SALDO_ATUAL]]*-1,Base_Periodo1[[#This Row],[SALDO_ATUAL]]),4)</f>
        <v>-396585.58</v>
      </c>
      <c r="N6361" t="s">
        <v>116</v>
      </c>
      <c r="O6361" t="s">
        <v>397</v>
      </c>
      <c r="P6361" t="s">
        <v>397</v>
      </c>
      <c r="Q6361">
        <v>9</v>
      </c>
      <c r="R6361" s="282">
        <f>Base_Periodo1[[#This Row],[CREDITOS]]-Base_Periodo1[[#This Row],[DEBITOS]]</f>
        <v>-83641.38</v>
      </c>
      <c r="S6361" s="3" t="str">
        <f>IF(ISERROR(VLOOKUP(Base_Periodo1[[#This Row],[CONTA]],BaseContasDRE[#All],4,FALSE)),"Fora do DRE",VLOOKUP(Base_Periodo1[[#This Row],[CONTA]],BaseContasDRE[#All],4,FALSE))</f>
        <v>-</v>
      </c>
      <c r="T6361" s="3">
        <f>IF(ISERROR(VLOOKUP(Base_Periodo1[[#This Row],[CONTA]],BaseContasDRE[#All],5,FALSE)),"Fora do DRE",VLOOKUP(Base_Periodo1[[#This Row],[CONTA]],BaseContasDRE[#All],6,FALSE))</f>
        <v>3</v>
      </c>
      <c r="U6361" s="3" t="str">
        <f>IF(ISERROR(VLOOKUP(Base_Periodo1[[#This Row],[CONTA]],BaseContasDRE[#All],7,FALSE)),"Fora do DRE",VLOOKUP(Base_Periodo1[[#This Row],[CONTA]],BaseContasDRE[#All],7,FALSE))</f>
        <v>INSUMOS AGROPECUARIOS</v>
      </c>
      <c r="V6361" s="3" t="str">
        <f>IF(Base_Periodo1[[#This Row],[Tipo_Linha]]="Fora do DRE","Fora do DRE","( "&amp;Base_Periodo1[[#This Row],[Tipo_Linha]]&amp;" ) "&amp;Base_Periodo1[[#This Row],[Filtro]])</f>
        <v>( - ) INSUMOS AGROPECUARIOS</v>
      </c>
      <c r="W6361" s="3" t="str">
        <f>LEFT(Base_Periodo1[[#This Row],[CLASS]],3)</f>
        <v>3.2</v>
      </c>
    </row>
    <row r="6362" spans="1:23" hidden="1">
      <c r="A6362" s="3" t="str">
        <f t="shared" si="99"/>
        <v>Período 1</v>
      </c>
      <c r="B6362">
        <v>6431</v>
      </c>
      <c r="C6362" t="s">
        <v>4028</v>
      </c>
      <c r="D6362" t="s">
        <v>1178</v>
      </c>
      <c r="E6362" s="3" t="str">
        <f>IF(LEN(Base_Periodo1[[#This Row],[CLASS]])&gt;=7,LEFT(Base_Periodo1[[#This Row],[CLASS]],7),"")</f>
        <v>3.2.1.1</v>
      </c>
      <c r="F6362" s="3" t="e">
        <f>VLOOKUP(Base_Periodo1[[#This Row],[Aux]],Base_Contas_Balanco[#All],2,FALSE)</f>
        <v>#N/A</v>
      </c>
      <c r="G6362" s="1"/>
      <c r="H6362" s="225">
        <v>46478.579999999303</v>
      </c>
      <c r="I6362" s="225">
        <v>4010.65</v>
      </c>
      <c r="J6362" s="225">
        <v>5331.8099999999995</v>
      </c>
      <c r="K6362" s="225">
        <v>47799.739999999299</v>
      </c>
      <c r="L63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47799.74</v>
      </c>
      <c r="M6362" s="225">
        <f>ROUND(IF(AND(Base_Periodo1[[#This Row],[Tipo_Linha]]="-",Base_Periodo1[[#This Row],[TIPOSALDO]]="D"),Base_Periodo1[[#This Row],[SALDO_ATUAL]]*-1,Base_Periodo1[[#This Row],[SALDO_ATUAL]]),4)</f>
        <v>47799.74</v>
      </c>
      <c r="N6362" t="s">
        <v>396</v>
      </c>
      <c r="O6362" t="s">
        <v>459</v>
      </c>
      <c r="P6362" t="s">
        <v>459</v>
      </c>
      <c r="Q6362">
        <v>7</v>
      </c>
      <c r="R6362" s="282">
        <f>Base_Periodo1[[#This Row],[CREDITOS]]-Base_Periodo1[[#This Row],[DEBITOS]]</f>
        <v>1321.1599999999994</v>
      </c>
      <c r="S6362" s="3" t="str">
        <f>IF(ISERROR(VLOOKUP(Base_Periodo1[[#This Row],[CONTA]],BaseContasDRE[#All],4,FALSE)),"Fora do DRE",VLOOKUP(Base_Periodo1[[#This Row],[CONTA]],BaseContasDRE[#All],4,FALSE))</f>
        <v>Fora do DRE</v>
      </c>
      <c r="T6362" s="3" t="str">
        <f>IF(ISERROR(VLOOKUP(Base_Periodo1[[#This Row],[CONTA]],BaseContasDRE[#All],5,FALSE)),"Fora do DRE",VLOOKUP(Base_Periodo1[[#This Row],[CONTA]],BaseContasDRE[#All],6,FALSE))</f>
        <v>Fora do DRE</v>
      </c>
      <c r="U6362" s="3" t="str">
        <f>IF(ISERROR(VLOOKUP(Base_Periodo1[[#This Row],[CONTA]],BaseContasDRE[#All],7,FALSE)),"Fora do DRE",VLOOKUP(Base_Periodo1[[#This Row],[CONTA]],BaseContasDRE[#All],7,FALSE))</f>
        <v>Fora do DRE</v>
      </c>
      <c r="V6362" s="3" t="str">
        <f>IF(Base_Periodo1[[#This Row],[Tipo_Linha]]="Fora do DRE","Fora do DRE","( "&amp;Base_Periodo1[[#This Row],[Tipo_Linha]]&amp;" ) "&amp;Base_Periodo1[[#This Row],[Filtro]])</f>
        <v>Fora do DRE</v>
      </c>
      <c r="W6362" s="3" t="str">
        <f>LEFT(Base_Periodo1[[#This Row],[CLASS]],3)</f>
        <v>3.2</v>
      </c>
    </row>
    <row r="6363" spans="1:23" hidden="1">
      <c r="A6363" s="3" t="str">
        <f t="shared" si="99"/>
        <v>Período 1</v>
      </c>
      <c r="B6363">
        <v>6432</v>
      </c>
      <c r="C6363" t="s">
        <v>4029</v>
      </c>
      <c r="D6363" t="s">
        <v>4022</v>
      </c>
      <c r="E6363" s="3" t="str">
        <f>IF(LEN(Base_Periodo1[[#This Row],[CLASS]])&gt;=7,LEFT(Base_Periodo1[[#This Row],[CLASS]],7),"")</f>
        <v>3.2.1.1</v>
      </c>
      <c r="F6363" s="3" t="e">
        <f>VLOOKUP(Base_Periodo1[[#This Row],[Aux]],Base_Contas_Balanco[#All],2,FALSE)</f>
        <v>#N/A</v>
      </c>
      <c r="G6363" s="1"/>
      <c r="H6363" s="225">
        <v>233153.71999999788</v>
      </c>
      <c r="I6363" s="225">
        <v>0</v>
      </c>
      <c r="J6363" s="225">
        <v>3794.6</v>
      </c>
      <c r="K6363" s="225">
        <v>236948.31999999788</v>
      </c>
      <c r="L63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236948.32</v>
      </c>
      <c r="M6363" s="225">
        <f>ROUND(IF(AND(Base_Periodo1[[#This Row],[Tipo_Linha]]="-",Base_Periodo1[[#This Row],[TIPOSALDO]]="D"),Base_Periodo1[[#This Row],[SALDO_ATUAL]]*-1,Base_Periodo1[[#This Row],[SALDO_ATUAL]]),4)</f>
        <v>236948.32</v>
      </c>
      <c r="N6363" t="s">
        <v>396</v>
      </c>
      <c r="O6363" t="s">
        <v>459</v>
      </c>
      <c r="P6363" t="s">
        <v>459</v>
      </c>
      <c r="Q6363">
        <v>8</v>
      </c>
      <c r="R6363" s="282">
        <f>Base_Periodo1[[#This Row],[CREDITOS]]-Base_Periodo1[[#This Row],[DEBITOS]]</f>
        <v>3794.6</v>
      </c>
      <c r="S6363" s="3" t="str">
        <f>IF(ISERROR(VLOOKUP(Base_Periodo1[[#This Row],[CONTA]],BaseContasDRE[#All],4,FALSE)),"Fora do DRE",VLOOKUP(Base_Periodo1[[#This Row],[CONTA]],BaseContasDRE[#All],4,FALSE))</f>
        <v>Fora do DRE</v>
      </c>
      <c r="T6363" s="3" t="str">
        <f>IF(ISERROR(VLOOKUP(Base_Periodo1[[#This Row],[CONTA]],BaseContasDRE[#All],5,FALSE)),"Fora do DRE",VLOOKUP(Base_Periodo1[[#This Row],[CONTA]],BaseContasDRE[#All],6,FALSE))</f>
        <v>Fora do DRE</v>
      </c>
      <c r="U6363" s="3" t="str">
        <f>IF(ISERROR(VLOOKUP(Base_Periodo1[[#This Row],[CONTA]],BaseContasDRE[#All],7,FALSE)),"Fora do DRE",VLOOKUP(Base_Periodo1[[#This Row],[CONTA]],BaseContasDRE[#All],7,FALSE))</f>
        <v>Fora do DRE</v>
      </c>
      <c r="V6363" s="3" t="str">
        <f>IF(Base_Periodo1[[#This Row],[Tipo_Linha]]="Fora do DRE","Fora do DRE","( "&amp;Base_Periodo1[[#This Row],[Tipo_Linha]]&amp;" ) "&amp;Base_Periodo1[[#This Row],[Filtro]])</f>
        <v>Fora do DRE</v>
      </c>
      <c r="W6363" s="3" t="str">
        <f>LEFT(Base_Periodo1[[#This Row],[CLASS]],3)</f>
        <v>3.2</v>
      </c>
    </row>
    <row r="6364" spans="1:23" hidden="1">
      <c r="A6364" s="3" t="str">
        <f t="shared" si="99"/>
        <v>Período 1</v>
      </c>
      <c r="B6364">
        <v>6433</v>
      </c>
      <c r="C6364" t="s">
        <v>4030</v>
      </c>
      <c r="D6364" t="s">
        <v>3987</v>
      </c>
      <c r="E6364" s="3" t="str">
        <f>IF(LEN(Base_Periodo1[[#This Row],[CLASS]])&gt;=7,LEFT(Base_Periodo1[[#This Row],[CLASS]],7),"")</f>
        <v>3.2.1.1</v>
      </c>
      <c r="F6364" s="3" t="e">
        <f>VLOOKUP(Base_Periodo1[[#This Row],[Aux]],Base_Contas_Balanco[#All],2,FALSE)</f>
        <v>#N/A</v>
      </c>
      <c r="G6364" s="1">
        <v>42872</v>
      </c>
      <c r="H6364" s="225">
        <v>233153.71999999788</v>
      </c>
      <c r="I6364" s="225">
        <v>0</v>
      </c>
      <c r="J6364" s="225">
        <v>3794.6</v>
      </c>
      <c r="K6364" s="225">
        <v>236948.31999999788</v>
      </c>
      <c r="L63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236948.32</v>
      </c>
      <c r="M6364" s="225">
        <f>ROUND(IF(AND(Base_Periodo1[[#This Row],[Tipo_Linha]]="-",Base_Periodo1[[#This Row],[TIPOSALDO]]="D"),Base_Periodo1[[#This Row],[SALDO_ATUAL]]*-1,Base_Periodo1[[#This Row],[SALDO_ATUAL]]),4)</f>
        <v>236948.32</v>
      </c>
      <c r="N6364" t="s">
        <v>116</v>
      </c>
      <c r="O6364" t="s">
        <v>459</v>
      </c>
      <c r="P6364" t="s">
        <v>459</v>
      </c>
      <c r="Q6364">
        <v>9</v>
      </c>
      <c r="R6364" s="282">
        <f>Base_Periodo1[[#This Row],[CREDITOS]]-Base_Periodo1[[#This Row],[DEBITOS]]</f>
        <v>3794.6</v>
      </c>
      <c r="S6364" s="3" t="str">
        <f>IF(ISERROR(VLOOKUP(Base_Periodo1[[#This Row],[CONTA]],BaseContasDRE[#All],4,FALSE)),"Fora do DRE",VLOOKUP(Base_Periodo1[[#This Row],[CONTA]],BaseContasDRE[#All],4,FALSE))</f>
        <v>+</v>
      </c>
      <c r="T6364" s="3">
        <f>IF(ISERROR(VLOOKUP(Base_Periodo1[[#This Row],[CONTA]],BaseContasDRE[#All],5,FALSE)),"Fora do DRE",VLOOKUP(Base_Periodo1[[#This Row],[CONTA]],BaseContasDRE[#All],6,FALSE))</f>
        <v>1</v>
      </c>
      <c r="U6364" s="3" t="str">
        <f>IF(ISERROR(VLOOKUP(Base_Periodo1[[#This Row],[CONTA]],BaseContasDRE[#All],7,FALSE)),"Fora do DRE",VLOOKUP(Base_Periodo1[[#This Row],[CONTA]],BaseContasDRE[#All],7,FALSE))</f>
        <v>INSUMOS AGROPECUARIOS</v>
      </c>
      <c r="V6364" s="3" t="str">
        <f>IF(Base_Periodo1[[#This Row],[Tipo_Linha]]="Fora do DRE","Fora do DRE","( "&amp;Base_Periodo1[[#This Row],[Tipo_Linha]]&amp;" ) "&amp;Base_Periodo1[[#This Row],[Filtro]])</f>
        <v>( + ) INSUMOS AGROPECUARIOS</v>
      </c>
      <c r="W6364" s="3" t="str">
        <f>LEFT(Base_Periodo1[[#This Row],[CLASS]],3)</f>
        <v>3.2</v>
      </c>
    </row>
    <row r="6365" spans="1:23" hidden="1">
      <c r="A6365" s="3" t="str">
        <f t="shared" si="99"/>
        <v>Período 1</v>
      </c>
      <c r="B6365">
        <v>6434</v>
      </c>
      <c r="C6365" t="s">
        <v>7198</v>
      </c>
      <c r="D6365" t="s">
        <v>3989</v>
      </c>
      <c r="E6365" s="3" t="str">
        <f>IF(LEN(Base_Periodo1[[#This Row],[CLASS]])&gt;=7,LEFT(Base_Periodo1[[#This Row],[CLASS]],7),"")</f>
        <v>3.2.1.1</v>
      </c>
      <c r="F6365" s="3" t="e">
        <f>VLOOKUP(Base_Periodo1[[#This Row],[Aux]],Base_Contas_Balanco[#All],2,FALSE)</f>
        <v>#N/A</v>
      </c>
      <c r="G6365" s="1"/>
      <c r="I6365" s="225">
        <v>1218</v>
      </c>
      <c r="J6365" s="225">
        <v>0</v>
      </c>
      <c r="K6365" s="225">
        <v>1218</v>
      </c>
      <c r="L63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-1218</v>
      </c>
      <c r="M6365" s="225">
        <f>ROUND(IF(AND(Base_Periodo1[[#This Row],[Tipo_Linha]]="-",Base_Periodo1[[#This Row],[TIPOSALDO]]="D"),Base_Periodo1[[#This Row],[SALDO_ATUAL]]*-1,Base_Periodo1[[#This Row],[SALDO_ATUAL]]),4)</f>
        <v>1218</v>
      </c>
      <c r="N6365" t="s">
        <v>396</v>
      </c>
      <c r="O6365" t="s">
        <v>436</v>
      </c>
      <c r="P6365" t="s">
        <v>397</v>
      </c>
      <c r="Q6365">
        <v>8</v>
      </c>
      <c r="R6365" s="282">
        <f>Base_Periodo1[[#This Row],[CREDITOS]]-Base_Periodo1[[#This Row],[DEBITOS]]</f>
        <v>-1218</v>
      </c>
      <c r="S6365" s="3" t="str">
        <f>IF(ISERROR(VLOOKUP(Base_Periodo1[[#This Row],[CONTA]],BaseContasDRE[#All],4,FALSE)),"Fora do DRE",VLOOKUP(Base_Periodo1[[#This Row],[CONTA]],BaseContasDRE[#All],4,FALSE))</f>
        <v>Fora do DRE</v>
      </c>
      <c r="T6365" s="3" t="str">
        <f>IF(ISERROR(VLOOKUP(Base_Periodo1[[#This Row],[CONTA]],BaseContasDRE[#All],5,FALSE)),"Fora do DRE",VLOOKUP(Base_Periodo1[[#This Row],[CONTA]],BaseContasDRE[#All],6,FALSE))</f>
        <v>Fora do DRE</v>
      </c>
      <c r="U6365" s="3" t="str">
        <f>IF(ISERROR(VLOOKUP(Base_Periodo1[[#This Row],[CONTA]],BaseContasDRE[#All],7,FALSE)),"Fora do DRE",VLOOKUP(Base_Periodo1[[#This Row],[CONTA]],BaseContasDRE[#All],7,FALSE))</f>
        <v>Fora do DRE</v>
      </c>
      <c r="V6365" s="3" t="str">
        <f>IF(Base_Periodo1[[#This Row],[Tipo_Linha]]="Fora do DRE","Fora do DRE","( "&amp;Base_Periodo1[[#This Row],[Tipo_Linha]]&amp;" ) "&amp;Base_Periodo1[[#This Row],[Filtro]])</f>
        <v>Fora do DRE</v>
      </c>
      <c r="W6365" s="3" t="str">
        <f>LEFT(Base_Periodo1[[#This Row],[CLASS]],3)</f>
        <v>3.2</v>
      </c>
    </row>
    <row r="6366" spans="1:23" hidden="1">
      <c r="A6366" s="3" t="str">
        <f t="shared" si="99"/>
        <v>Período 1</v>
      </c>
      <c r="B6366">
        <v>6435</v>
      </c>
      <c r="C6366" t="s">
        <v>7199</v>
      </c>
      <c r="D6366" t="s">
        <v>3987</v>
      </c>
      <c r="E6366" s="3" t="str">
        <f>IF(LEN(Base_Periodo1[[#This Row],[CLASS]])&gt;=7,LEFT(Base_Periodo1[[#This Row],[CLASS]],7),"")</f>
        <v>3.2.1.1</v>
      </c>
      <c r="F6366" s="3" t="e">
        <f>VLOOKUP(Base_Periodo1[[#This Row],[Aux]],Base_Contas_Balanco[#All],2,FALSE)</f>
        <v>#N/A</v>
      </c>
      <c r="G6366" s="1">
        <v>42872</v>
      </c>
      <c r="I6366" s="225">
        <v>1218</v>
      </c>
      <c r="J6366" s="225">
        <v>0</v>
      </c>
      <c r="K6366" s="225">
        <v>1218</v>
      </c>
      <c r="L63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-1218</v>
      </c>
      <c r="M6366" s="225">
        <f>ROUND(IF(AND(Base_Periodo1[[#This Row],[Tipo_Linha]]="-",Base_Periodo1[[#This Row],[TIPOSALDO]]="D"),Base_Periodo1[[#This Row],[SALDO_ATUAL]]*-1,Base_Periodo1[[#This Row],[SALDO_ATUAL]]),4)</f>
        <v>1218</v>
      </c>
      <c r="N6366" t="s">
        <v>116</v>
      </c>
      <c r="O6366" t="s">
        <v>436</v>
      </c>
      <c r="P6366" t="s">
        <v>397</v>
      </c>
      <c r="Q6366">
        <v>9</v>
      </c>
      <c r="R6366" s="282">
        <f>Base_Periodo1[[#This Row],[CREDITOS]]-Base_Periodo1[[#This Row],[DEBITOS]]</f>
        <v>-1218</v>
      </c>
      <c r="S6366" s="3" t="str">
        <f>IF(ISERROR(VLOOKUP(Base_Periodo1[[#This Row],[CONTA]],BaseContasDRE[#All],4,FALSE)),"Fora do DRE",VLOOKUP(Base_Periodo1[[#This Row],[CONTA]],BaseContasDRE[#All],4,FALSE))</f>
        <v>+</v>
      </c>
      <c r="T6366" s="3">
        <f>IF(ISERROR(VLOOKUP(Base_Periodo1[[#This Row],[CONTA]],BaseContasDRE[#All],5,FALSE)),"Fora do DRE",VLOOKUP(Base_Periodo1[[#This Row],[CONTA]],BaseContasDRE[#All],6,FALSE))</f>
        <v>1</v>
      </c>
      <c r="U6366" s="3" t="str">
        <f>IF(ISERROR(VLOOKUP(Base_Periodo1[[#This Row],[CONTA]],BaseContasDRE[#All],7,FALSE)),"Fora do DRE",VLOOKUP(Base_Periodo1[[#This Row],[CONTA]],BaseContasDRE[#All],7,FALSE))</f>
        <v>INSUMOS AGROPECUARIOS</v>
      </c>
      <c r="V6366" s="3" t="str">
        <f>IF(Base_Periodo1[[#This Row],[Tipo_Linha]]="Fora do DRE","Fora do DRE","( "&amp;Base_Periodo1[[#This Row],[Tipo_Linha]]&amp;" ) "&amp;Base_Periodo1[[#This Row],[Filtro]])</f>
        <v>( + ) INSUMOS AGROPECUARIOS</v>
      </c>
      <c r="W6366" s="3" t="str">
        <f>LEFT(Base_Periodo1[[#This Row],[CLASS]],3)</f>
        <v>3.2</v>
      </c>
    </row>
    <row r="6367" spans="1:23" hidden="1">
      <c r="A6367" s="3" t="str">
        <f t="shared" si="99"/>
        <v>Período 1</v>
      </c>
      <c r="B6367">
        <v>6439</v>
      </c>
      <c r="C6367" t="s">
        <v>4031</v>
      </c>
      <c r="D6367" t="s">
        <v>3991</v>
      </c>
      <c r="E6367" s="3" t="str">
        <f>IF(LEN(Base_Periodo1[[#This Row],[CLASS]])&gt;=7,LEFT(Base_Periodo1[[#This Row],[CLASS]],7),"")</f>
        <v>3.2.1.1</v>
      </c>
      <c r="F6367" s="3" t="e">
        <f>VLOOKUP(Base_Periodo1[[#This Row],[Aux]],Base_Contas_Balanco[#All],2,FALSE)</f>
        <v>#N/A</v>
      </c>
      <c r="G6367" s="1"/>
      <c r="H6367" s="225">
        <v>4620.6999999999534</v>
      </c>
      <c r="I6367" s="225">
        <v>1218</v>
      </c>
      <c r="J6367" s="225">
        <v>1218</v>
      </c>
      <c r="K6367" s="225">
        <v>4620.6999999999534</v>
      </c>
      <c r="L63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-4620.7</v>
      </c>
      <c r="M6367" s="225">
        <f>ROUND(IF(AND(Base_Periodo1[[#This Row],[Tipo_Linha]]="-",Base_Periodo1[[#This Row],[TIPOSALDO]]="D"),Base_Periodo1[[#This Row],[SALDO_ATUAL]]*-1,Base_Periodo1[[#This Row],[SALDO_ATUAL]]),4)</f>
        <v>4620.7</v>
      </c>
      <c r="N6367" t="s">
        <v>396</v>
      </c>
      <c r="O6367" t="s">
        <v>397</v>
      </c>
      <c r="P6367" t="s">
        <v>397</v>
      </c>
      <c r="Q6367">
        <v>8</v>
      </c>
      <c r="R6367" s="282">
        <f>Base_Periodo1[[#This Row],[CREDITOS]]-Base_Periodo1[[#This Row],[DEBITOS]]</f>
        <v>0</v>
      </c>
      <c r="S6367" s="3" t="str">
        <f>IF(ISERROR(VLOOKUP(Base_Periodo1[[#This Row],[CONTA]],BaseContasDRE[#All],4,FALSE)),"Fora do DRE",VLOOKUP(Base_Periodo1[[#This Row],[CONTA]],BaseContasDRE[#All],4,FALSE))</f>
        <v>Fora do DRE</v>
      </c>
      <c r="T6367" s="3" t="str">
        <f>IF(ISERROR(VLOOKUP(Base_Periodo1[[#This Row],[CONTA]],BaseContasDRE[#All],5,FALSE)),"Fora do DRE",VLOOKUP(Base_Periodo1[[#This Row],[CONTA]],BaseContasDRE[#All],6,FALSE))</f>
        <v>Fora do DRE</v>
      </c>
      <c r="U6367" s="3" t="str">
        <f>IF(ISERROR(VLOOKUP(Base_Periodo1[[#This Row],[CONTA]],BaseContasDRE[#All],7,FALSE)),"Fora do DRE",VLOOKUP(Base_Periodo1[[#This Row],[CONTA]],BaseContasDRE[#All],7,FALSE))</f>
        <v>Fora do DRE</v>
      </c>
      <c r="V6367" s="3" t="str">
        <f>IF(Base_Periodo1[[#This Row],[Tipo_Linha]]="Fora do DRE","Fora do DRE","( "&amp;Base_Periodo1[[#This Row],[Tipo_Linha]]&amp;" ) "&amp;Base_Periodo1[[#This Row],[Filtro]])</f>
        <v>Fora do DRE</v>
      </c>
      <c r="W6367" s="3" t="str">
        <f>LEFT(Base_Periodo1[[#This Row],[CLASS]],3)</f>
        <v>3.2</v>
      </c>
    </row>
    <row r="6368" spans="1:23" hidden="1">
      <c r="A6368" s="3" t="str">
        <f t="shared" si="99"/>
        <v>Período 1</v>
      </c>
      <c r="B6368">
        <v>6440</v>
      </c>
      <c r="C6368" t="s">
        <v>4032</v>
      </c>
      <c r="D6368" t="s">
        <v>3992</v>
      </c>
      <c r="E6368" s="3" t="str">
        <f>IF(LEN(Base_Periodo1[[#This Row],[CLASS]])&gt;=7,LEFT(Base_Periodo1[[#This Row],[CLASS]],7),"")</f>
        <v>3.2.1.1</v>
      </c>
      <c r="F6368" s="3" t="e">
        <f>VLOOKUP(Base_Periodo1[[#This Row],[Aux]],Base_Contas_Balanco[#All],2,FALSE)</f>
        <v>#N/A</v>
      </c>
      <c r="G6368" s="1">
        <v>42872</v>
      </c>
      <c r="H6368" s="225">
        <v>4620.6999999999534</v>
      </c>
      <c r="I6368" s="225">
        <v>1218</v>
      </c>
      <c r="J6368" s="225">
        <v>1218</v>
      </c>
      <c r="K6368" s="225">
        <v>4620.6999999999534</v>
      </c>
      <c r="L63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-4620.7</v>
      </c>
      <c r="M6368" s="225">
        <f>ROUND(IF(AND(Base_Periodo1[[#This Row],[Tipo_Linha]]="-",Base_Periodo1[[#This Row],[TIPOSALDO]]="D"),Base_Periodo1[[#This Row],[SALDO_ATUAL]]*-1,Base_Periodo1[[#This Row],[SALDO_ATUAL]]),4)</f>
        <v>-4620.7</v>
      </c>
      <c r="N6368" t="s">
        <v>116</v>
      </c>
      <c r="O6368" t="s">
        <v>397</v>
      </c>
      <c r="P6368" t="s">
        <v>397</v>
      </c>
      <c r="Q6368">
        <v>9</v>
      </c>
      <c r="R6368" s="282">
        <f>Base_Periodo1[[#This Row],[CREDITOS]]-Base_Periodo1[[#This Row],[DEBITOS]]</f>
        <v>0</v>
      </c>
      <c r="S6368" s="3" t="str">
        <f>IF(ISERROR(VLOOKUP(Base_Periodo1[[#This Row],[CONTA]],BaseContasDRE[#All],4,FALSE)),"Fora do DRE",VLOOKUP(Base_Periodo1[[#This Row],[CONTA]],BaseContasDRE[#All],4,FALSE))</f>
        <v>-</v>
      </c>
      <c r="T6368" s="3">
        <f>IF(ISERROR(VLOOKUP(Base_Periodo1[[#This Row],[CONTA]],BaseContasDRE[#All],5,FALSE)),"Fora do DRE",VLOOKUP(Base_Periodo1[[#This Row],[CONTA]],BaseContasDRE[#All],6,FALSE))</f>
        <v>2</v>
      </c>
      <c r="U6368" s="3" t="str">
        <f>IF(ISERROR(VLOOKUP(Base_Periodo1[[#This Row],[CONTA]],BaseContasDRE[#All],7,FALSE)),"Fora do DRE",VLOOKUP(Base_Periodo1[[#This Row],[CONTA]],BaseContasDRE[#All],7,FALSE))</f>
        <v>DEVOLUÇÃO DE INSUMOS AGROPECUARIOS</v>
      </c>
      <c r="V6368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6368" s="3" t="str">
        <f>LEFT(Base_Periodo1[[#This Row],[CLASS]],3)</f>
        <v>3.2</v>
      </c>
    </row>
    <row r="6369" spans="1:23" hidden="1">
      <c r="A6369" s="3" t="str">
        <f t="shared" si="99"/>
        <v>Período 1</v>
      </c>
      <c r="B6369">
        <v>6441</v>
      </c>
      <c r="C6369" t="s">
        <v>4506</v>
      </c>
      <c r="D6369" t="s">
        <v>3993</v>
      </c>
      <c r="E6369" s="3" t="str">
        <f>IF(LEN(Base_Periodo1[[#This Row],[CLASS]])&gt;=7,LEFT(Base_Periodo1[[#This Row],[CLASS]],7),"")</f>
        <v>3.2.1.1</v>
      </c>
      <c r="F6369" s="3" t="e">
        <f>VLOOKUP(Base_Periodo1[[#This Row],[Aux]],Base_Contas_Balanco[#All],2,FALSE)</f>
        <v>#N/A</v>
      </c>
      <c r="G6369" s="1"/>
      <c r="H6369" s="225">
        <v>244.66999999999462</v>
      </c>
      <c r="I6369" s="225">
        <v>0</v>
      </c>
      <c r="J6369" s="225">
        <v>0</v>
      </c>
      <c r="K6369" s="225">
        <v>244.66999999999462</v>
      </c>
      <c r="L63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-244.67</v>
      </c>
      <c r="M6369" s="225">
        <f>ROUND(IF(AND(Base_Periodo1[[#This Row],[Tipo_Linha]]="-",Base_Periodo1[[#This Row],[TIPOSALDO]]="D"),Base_Periodo1[[#This Row],[SALDO_ATUAL]]*-1,Base_Periodo1[[#This Row],[SALDO_ATUAL]]),4)</f>
        <v>244.67</v>
      </c>
      <c r="N6369" t="s">
        <v>396</v>
      </c>
      <c r="O6369" t="s">
        <v>397</v>
      </c>
      <c r="P6369" t="s">
        <v>397</v>
      </c>
      <c r="Q6369">
        <v>8</v>
      </c>
      <c r="R6369" s="282">
        <f>Base_Periodo1[[#This Row],[CREDITOS]]-Base_Periodo1[[#This Row],[DEBITOS]]</f>
        <v>0</v>
      </c>
      <c r="S6369" s="3" t="str">
        <f>IF(ISERROR(VLOOKUP(Base_Periodo1[[#This Row],[CONTA]],BaseContasDRE[#All],4,FALSE)),"Fora do DRE",VLOOKUP(Base_Periodo1[[#This Row],[CONTA]],BaseContasDRE[#All],4,FALSE))</f>
        <v>Fora do DRE</v>
      </c>
      <c r="T6369" s="3" t="str">
        <f>IF(ISERROR(VLOOKUP(Base_Periodo1[[#This Row],[CONTA]],BaseContasDRE[#All],5,FALSE)),"Fora do DRE",VLOOKUP(Base_Periodo1[[#This Row],[CONTA]],BaseContasDRE[#All],6,FALSE))</f>
        <v>Fora do DRE</v>
      </c>
      <c r="U6369" s="3" t="str">
        <f>IF(ISERROR(VLOOKUP(Base_Periodo1[[#This Row],[CONTA]],BaseContasDRE[#All],7,FALSE)),"Fora do DRE",VLOOKUP(Base_Periodo1[[#This Row],[CONTA]],BaseContasDRE[#All],7,FALSE))</f>
        <v>Fora do DRE</v>
      </c>
      <c r="V6369" s="3" t="str">
        <f>IF(Base_Periodo1[[#This Row],[Tipo_Linha]]="Fora do DRE","Fora do DRE","( "&amp;Base_Periodo1[[#This Row],[Tipo_Linha]]&amp;" ) "&amp;Base_Periodo1[[#This Row],[Filtro]])</f>
        <v>Fora do DRE</v>
      </c>
      <c r="W6369" s="3" t="str">
        <f>LEFT(Base_Periodo1[[#This Row],[CLASS]],3)</f>
        <v>3.2</v>
      </c>
    </row>
    <row r="6370" spans="1:23" hidden="1">
      <c r="A6370" s="3" t="str">
        <f t="shared" si="99"/>
        <v>Período 1</v>
      </c>
      <c r="B6370">
        <v>6442</v>
      </c>
      <c r="C6370" t="s">
        <v>4507</v>
      </c>
      <c r="D6370" t="s">
        <v>3566</v>
      </c>
      <c r="E6370" s="3" t="str">
        <f>IF(LEN(Base_Periodo1[[#This Row],[CLASS]])&gt;=7,LEFT(Base_Periodo1[[#This Row],[CLASS]],7),"")</f>
        <v>3.2.1.1</v>
      </c>
      <c r="F6370" s="3" t="e">
        <f>VLOOKUP(Base_Periodo1[[#This Row],[Aux]],Base_Contas_Balanco[#All],2,FALSE)</f>
        <v>#N/A</v>
      </c>
      <c r="G6370" s="1">
        <v>42815</v>
      </c>
      <c r="H6370" s="225">
        <v>244.66999999999462</v>
      </c>
      <c r="I6370" s="225">
        <v>0</v>
      </c>
      <c r="J6370" s="225">
        <v>0</v>
      </c>
      <c r="K6370" s="225">
        <v>244.66999999999462</v>
      </c>
      <c r="L63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-244.67</v>
      </c>
      <c r="M6370" s="225">
        <f>ROUND(IF(AND(Base_Periodo1[[#This Row],[Tipo_Linha]]="-",Base_Periodo1[[#This Row],[TIPOSALDO]]="D"),Base_Periodo1[[#This Row],[SALDO_ATUAL]]*-1,Base_Periodo1[[#This Row],[SALDO_ATUAL]]),4)</f>
        <v>-244.67</v>
      </c>
      <c r="N6370" t="s">
        <v>116</v>
      </c>
      <c r="O6370" t="s">
        <v>397</v>
      </c>
      <c r="P6370" t="s">
        <v>397</v>
      </c>
      <c r="Q6370">
        <v>9</v>
      </c>
      <c r="R6370" s="282">
        <f>Base_Periodo1[[#This Row],[CREDITOS]]-Base_Periodo1[[#This Row],[DEBITOS]]</f>
        <v>0</v>
      </c>
      <c r="S6370" s="3" t="str">
        <f>IF(ISERROR(VLOOKUP(Base_Periodo1[[#This Row],[CONTA]],BaseContasDRE[#All],4,FALSE)),"Fora do DRE",VLOOKUP(Base_Periodo1[[#This Row],[CONTA]],BaseContasDRE[#All],4,FALSE))</f>
        <v>-</v>
      </c>
      <c r="T6370" s="3">
        <f>IF(ISERROR(VLOOKUP(Base_Periodo1[[#This Row],[CONTA]],BaseContasDRE[#All],5,FALSE)),"Fora do DRE",VLOOKUP(Base_Periodo1[[#This Row],[CONTA]],BaseContasDRE[#All],6,FALSE))</f>
        <v>2</v>
      </c>
      <c r="U6370" s="3" t="str">
        <f>IF(ISERROR(VLOOKUP(Base_Periodo1[[#This Row],[CONTA]],BaseContasDRE[#All],7,FALSE)),"Fora do DRE",VLOOKUP(Base_Periodo1[[#This Row],[CONTA]],BaseContasDRE[#All],7,FALSE))</f>
        <v>ICMS SOBRE INGRESSOS E RECEITAS</v>
      </c>
      <c r="V6370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370" s="3" t="str">
        <f>LEFT(Base_Periodo1[[#This Row],[CLASS]],3)</f>
        <v>3.2</v>
      </c>
    </row>
    <row r="6371" spans="1:23" hidden="1">
      <c r="A6371" s="3" t="str">
        <f t="shared" si="99"/>
        <v>Período 1</v>
      </c>
      <c r="B6371">
        <v>6443</v>
      </c>
      <c r="C6371" t="s">
        <v>4033</v>
      </c>
      <c r="D6371" t="s">
        <v>3995</v>
      </c>
      <c r="E6371" s="3" t="str">
        <f>IF(LEN(Base_Periodo1[[#This Row],[CLASS]])&gt;=7,LEFT(Base_Periodo1[[#This Row],[CLASS]],7),"")</f>
        <v>3.2.1.1</v>
      </c>
      <c r="F6371" s="3" t="e">
        <f>VLOOKUP(Base_Periodo1[[#This Row],[Aux]],Base_Contas_Balanco[#All],2,FALSE)</f>
        <v>#N/A</v>
      </c>
      <c r="G6371" s="1"/>
      <c r="H6371" s="225">
        <v>181809.76999999862</v>
      </c>
      <c r="I6371" s="225">
        <v>1574.65</v>
      </c>
      <c r="J6371" s="225">
        <v>319.20999999999998</v>
      </c>
      <c r="K6371" s="225">
        <v>183065.20999999862</v>
      </c>
      <c r="L63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-183065.21</v>
      </c>
      <c r="M6371" s="225">
        <f>ROUND(IF(AND(Base_Periodo1[[#This Row],[Tipo_Linha]]="-",Base_Periodo1[[#This Row],[TIPOSALDO]]="D"),Base_Periodo1[[#This Row],[SALDO_ATUAL]]*-1,Base_Periodo1[[#This Row],[SALDO_ATUAL]]),4)</f>
        <v>183065.21</v>
      </c>
      <c r="N6371" t="s">
        <v>396</v>
      </c>
      <c r="O6371" t="s">
        <v>397</v>
      </c>
      <c r="P6371" t="s">
        <v>397</v>
      </c>
      <c r="Q6371">
        <v>8</v>
      </c>
      <c r="R6371" s="282">
        <f>Base_Periodo1[[#This Row],[CREDITOS]]-Base_Periodo1[[#This Row],[DEBITOS]]</f>
        <v>-1255.44</v>
      </c>
      <c r="S6371" s="3" t="str">
        <f>IF(ISERROR(VLOOKUP(Base_Periodo1[[#This Row],[CONTA]],BaseContasDRE[#All],4,FALSE)),"Fora do DRE",VLOOKUP(Base_Periodo1[[#This Row],[CONTA]],BaseContasDRE[#All],4,FALSE))</f>
        <v>Fora do DRE</v>
      </c>
      <c r="T6371" s="3" t="str">
        <f>IF(ISERROR(VLOOKUP(Base_Periodo1[[#This Row],[CONTA]],BaseContasDRE[#All],5,FALSE)),"Fora do DRE",VLOOKUP(Base_Periodo1[[#This Row],[CONTA]],BaseContasDRE[#All],6,FALSE))</f>
        <v>Fora do DRE</v>
      </c>
      <c r="U6371" s="3" t="str">
        <f>IF(ISERROR(VLOOKUP(Base_Periodo1[[#This Row],[CONTA]],BaseContasDRE[#All],7,FALSE)),"Fora do DRE",VLOOKUP(Base_Periodo1[[#This Row],[CONTA]],BaseContasDRE[#All],7,FALSE))</f>
        <v>Fora do DRE</v>
      </c>
      <c r="V6371" s="3" t="str">
        <f>IF(Base_Periodo1[[#This Row],[Tipo_Linha]]="Fora do DRE","Fora do DRE","( "&amp;Base_Periodo1[[#This Row],[Tipo_Linha]]&amp;" ) "&amp;Base_Periodo1[[#This Row],[Filtro]])</f>
        <v>Fora do DRE</v>
      </c>
      <c r="W6371" s="3" t="str">
        <f>LEFT(Base_Periodo1[[#This Row],[CLASS]],3)</f>
        <v>3.2</v>
      </c>
    </row>
    <row r="6372" spans="1:23" hidden="1">
      <c r="A6372" s="3" t="str">
        <f t="shared" si="99"/>
        <v>Período 1</v>
      </c>
      <c r="B6372">
        <v>6444</v>
      </c>
      <c r="C6372" t="s">
        <v>4034</v>
      </c>
      <c r="D6372" t="s">
        <v>3997</v>
      </c>
      <c r="E6372" s="3" t="str">
        <f>IF(LEN(Base_Periodo1[[#This Row],[CLASS]])&gt;=7,LEFT(Base_Periodo1[[#This Row],[CLASS]],7),"")</f>
        <v>3.2.1.1</v>
      </c>
      <c r="F6372" s="3" t="e">
        <f>VLOOKUP(Base_Periodo1[[#This Row],[Aux]],Base_Contas_Balanco[#All],2,FALSE)</f>
        <v>#N/A</v>
      </c>
      <c r="G6372" s="1">
        <v>42886</v>
      </c>
      <c r="H6372" s="225">
        <v>181809.76999999862</v>
      </c>
      <c r="I6372" s="225">
        <v>1574.65</v>
      </c>
      <c r="J6372" s="225">
        <v>319.20999999999998</v>
      </c>
      <c r="K6372" s="225">
        <v>183065.20999999862</v>
      </c>
      <c r="L63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-183065.21</v>
      </c>
      <c r="M6372" s="225">
        <f>ROUND(IF(AND(Base_Periodo1[[#This Row],[Tipo_Linha]]="-",Base_Periodo1[[#This Row],[TIPOSALDO]]="D"),Base_Periodo1[[#This Row],[SALDO_ATUAL]]*-1,Base_Periodo1[[#This Row],[SALDO_ATUAL]]),4)</f>
        <v>-183065.21</v>
      </c>
      <c r="N6372" t="s">
        <v>116</v>
      </c>
      <c r="O6372" t="s">
        <v>397</v>
      </c>
      <c r="P6372" t="s">
        <v>397</v>
      </c>
      <c r="Q6372">
        <v>9</v>
      </c>
      <c r="R6372" s="282">
        <f>Base_Periodo1[[#This Row],[CREDITOS]]-Base_Periodo1[[#This Row],[DEBITOS]]</f>
        <v>-1255.44</v>
      </c>
      <c r="S6372" s="3" t="str">
        <f>IF(ISERROR(VLOOKUP(Base_Periodo1[[#This Row],[CONTA]],BaseContasDRE[#All],4,FALSE)),"Fora do DRE",VLOOKUP(Base_Periodo1[[#This Row],[CONTA]],BaseContasDRE[#All],4,FALSE))</f>
        <v>-</v>
      </c>
      <c r="T6372" s="3">
        <f>IF(ISERROR(VLOOKUP(Base_Periodo1[[#This Row],[CONTA]],BaseContasDRE[#All],5,FALSE)),"Fora do DRE",VLOOKUP(Base_Periodo1[[#This Row],[CONTA]],BaseContasDRE[#All],6,FALSE))</f>
        <v>3</v>
      </c>
      <c r="U6372" s="3" t="str">
        <f>IF(ISERROR(VLOOKUP(Base_Periodo1[[#This Row],[CONTA]],BaseContasDRE[#All],7,FALSE)),"Fora do DRE",VLOOKUP(Base_Periodo1[[#This Row],[CONTA]],BaseContasDRE[#All],7,FALSE))</f>
        <v>INSUMOS AGROPECUARIOS</v>
      </c>
      <c r="V6372" s="3" t="str">
        <f>IF(Base_Periodo1[[#This Row],[Tipo_Linha]]="Fora do DRE","Fora do DRE","( "&amp;Base_Periodo1[[#This Row],[Tipo_Linha]]&amp;" ) "&amp;Base_Periodo1[[#This Row],[Filtro]])</f>
        <v>( - ) INSUMOS AGROPECUARIOS</v>
      </c>
      <c r="W6372" s="3" t="str">
        <f>LEFT(Base_Periodo1[[#This Row],[CLASS]],3)</f>
        <v>3.2</v>
      </c>
    </row>
    <row r="6373" spans="1:23" hidden="1">
      <c r="A6373" s="3" t="str">
        <f t="shared" si="99"/>
        <v>Período 1</v>
      </c>
      <c r="B6373">
        <v>6447</v>
      </c>
      <c r="C6373" t="s">
        <v>4035</v>
      </c>
      <c r="D6373" t="s">
        <v>1194</v>
      </c>
      <c r="E6373" s="3" t="str">
        <f>IF(LEN(Base_Periodo1[[#This Row],[CLASS]])&gt;=7,LEFT(Base_Periodo1[[#This Row],[CLASS]],7),"")</f>
        <v>3.2.1.1</v>
      </c>
      <c r="F6373" s="3" t="e">
        <f>VLOOKUP(Base_Periodo1[[#This Row],[Aux]],Base_Contas_Balanco[#All],2,FALSE)</f>
        <v>#N/A</v>
      </c>
      <c r="G6373" s="1"/>
      <c r="H6373" s="225">
        <v>165287.74999997971</v>
      </c>
      <c r="I6373" s="225">
        <v>128663.11</v>
      </c>
      <c r="J6373" s="225">
        <v>190433.83</v>
      </c>
      <c r="K6373" s="225">
        <v>227058.46999997972</v>
      </c>
      <c r="L63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227058.47</v>
      </c>
      <c r="M6373" s="225">
        <f>ROUND(IF(AND(Base_Periodo1[[#This Row],[Tipo_Linha]]="-",Base_Periodo1[[#This Row],[TIPOSALDO]]="D"),Base_Periodo1[[#This Row],[SALDO_ATUAL]]*-1,Base_Periodo1[[#This Row],[SALDO_ATUAL]]),4)</f>
        <v>227058.47</v>
      </c>
      <c r="N6373" t="s">
        <v>396</v>
      </c>
      <c r="O6373" t="s">
        <v>459</v>
      </c>
      <c r="P6373" t="s">
        <v>459</v>
      </c>
      <c r="Q6373">
        <v>7</v>
      </c>
      <c r="R6373" s="282">
        <f>Base_Periodo1[[#This Row],[CREDITOS]]-Base_Periodo1[[#This Row],[DEBITOS]]</f>
        <v>61770.719999999987</v>
      </c>
      <c r="S6373" s="3" t="str">
        <f>IF(ISERROR(VLOOKUP(Base_Periodo1[[#This Row],[CONTA]],BaseContasDRE[#All],4,FALSE)),"Fora do DRE",VLOOKUP(Base_Periodo1[[#This Row],[CONTA]],BaseContasDRE[#All],4,FALSE))</f>
        <v>Fora do DRE</v>
      </c>
      <c r="T6373" s="3" t="str">
        <f>IF(ISERROR(VLOOKUP(Base_Periodo1[[#This Row],[CONTA]],BaseContasDRE[#All],5,FALSE)),"Fora do DRE",VLOOKUP(Base_Periodo1[[#This Row],[CONTA]],BaseContasDRE[#All],6,FALSE))</f>
        <v>Fora do DRE</v>
      </c>
      <c r="U6373" s="3" t="str">
        <f>IF(ISERROR(VLOOKUP(Base_Periodo1[[#This Row],[CONTA]],BaseContasDRE[#All],7,FALSE)),"Fora do DRE",VLOOKUP(Base_Periodo1[[#This Row],[CONTA]],BaseContasDRE[#All],7,FALSE))</f>
        <v>Fora do DRE</v>
      </c>
      <c r="V6373" s="3" t="str">
        <f>IF(Base_Periodo1[[#This Row],[Tipo_Linha]]="Fora do DRE","Fora do DRE","( "&amp;Base_Periodo1[[#This Row],[Tipo_Linha]]&amp;" ) "&amp;Base_Periodo1[[#This Row],[Filtro]])</f>
        <v>Fora do DRE</v>
      </c>
      <c r="W6373" s="3" t="str">
        <f>LEFT(Base_Periodo1[[#This Row],[CLASS]],3)</f>
        <v>3.2</v>
      </c>
    </row>
    <row r="6374" spans="1:23" hidden="1">
      <c r="A6374" s="3" t="str">
        <f t="shared" si="99"/>
        <v>Período 1</v>
      </c>
      <c r="B6374">
        <v>6448</v>
      </c>
      <c r="C6374" t="s">
        <v>4036</v>
      </c>
      <c r="D6374" t="s">
        <v>4022</v>
      </c>
      <c r="E6374" s="3" t="str">
        <f>IF(LEN(Base_Periodo1[[#This Row],[CLASS]])&gt;=7,LEFT(Base_Periodo1[[#This Row],[CLASS]],7),"")</f>
        <v>3.2.1.1</v>
      </c>
      <c r="F6374" s="3" t="e">
        <f>VLOOKUP(Base_Periodo1[[#This Row],[Aux]],Base_Contas_Balanco[#All],2,FALSE)</f>
        <v>#N/A</v>
      </c>
      <c r="G6374" s="1"/>
      <c r="H6374" s="225">
        <v>787426.67999998294</v>
      </c>
      <c r="I6374" s="225">
        <v>476</v>
      </c>
      <c r="J6374" s="225">
        <v>189957.83</v>
      </c>
      <c r="K6374" s="225">
        <v>976908.5099999829</v>
      </c>
      <c r="L63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976908.51</v>
      </c>
      <c r="M6374" s="225">
        <f>ROUND(IF(AND(Base_Periodo1[[#This Row],[Tipo_Linha]]="-",Base_Periodo1[[#This Row],[TIPOSALDO]]="D"),Base_Periodo1[[#This Row],[SALDO_ATUAL]]*-1,Base_Periodo1[[#This Row],[SALDO_ATUAL]]),4)</f>
        <v>976908.51</v>
      </c>
      <c r="N6374" t="s">
        <v>396</v>
      </c>
      <c r="O6374" t="s">
        <v>459</v>
      </c>
      <c r="P6374" t="s">
        <v>459</v>
      </c>
      <c r="Q6374">
        <v>8</v>
      </c>
      <c r="R6374" s="282">
        <f>Base_Periodo1[[#This Row],[CREDITOS]]-Base_Periodo1[[#This Row],[DEBITOS]]</f>
        <v>189481.83</v>
      </c>
      <c r="S6374" s="3" t="str">
        <f>IF(ISERROR(VLOOKUP(Base_Periodo1[[#This Row],[CONTA]],BaseContasDRE[#All],4,FALSE)),"Fora do DRE",VLOOKUP(Base_Periodo1[[#This Row],[CONTA]],BaseContasDRE[#All],4,FALSE))</f>
        <v>Fora do DRE</v>
      </c>
      <c r="T6374" s="3" t="str">
        <f>IF(ISERROR(VLOOKUP(Base_Periodo1[[#This Row],[CONTA]],BaseContasDRE[#All],5,FALSE)),"Fora do DRE",VLOOKUP(Base_Periodo1[[#This Row],[CONTA]],BaseContasDRE[#All],6,FALSE))</f>
        <v>Fora do DRE</v>
      </c>
      <c r="U6374" s="3" t="str">
        <f>IF(ISERROR(VLOOKUP(Base_Periodo1[[#This Row],[CONTA]],BaseContasDRE[#All],7,FALSE)),"Fora do DRE",VLOOKUP(Base_Periodo1[[#This Row],[CONTA]],BaseContasDRE[#All],7,FALSE))</f>
        <v>Fora do DRE</v>
      </c>
      <c r="V6374" s="3" t="str">
        <f>IF(Base_Periodo1[[#This Row],[Tipo_Linha]]="Fora do DRE","Fora do DRE","( "&amp;Base_Periodo1[[#This Row],[Tipo_Linha]]&amp;" ) "&amp;Base_Periodo1[[#This Row],[Filtro]])</f>
        <v>Fora do DRE</v>
      </c>
      <c r="W6374" s="3" t="str">
        <f>LEFT(Base_Periodo1[[#This Row],[CLASS]],3)</f>
        <v>3.2</v>
      </c>
    </row>
    <row r="6375" spans="1:23" hidden="1">
      <c r="A6375" s="3" t="str">
        <f t="shared" si="99"/>
        <v>Período 1</v>
      </c>
      <c r="B6375">
        <v>6449</v>
      </c>
      <c r="C6375" t="s">
        <v>4037</v>
      </c>
      <c r="D6375" t="s">
        <v>3987</v>
      </c>
      <c r="E6375" s="3" t="str">
        <f>IF(LEN(Base_Periodo1[[#This Row],[CLASS]])&gt;=7,LEFT(Base_Periodo1[[#This Row],[CLASS]],7),"")</f>
        <v>3.2.1.1</v>
      </c>
      <c r="F6375" s="3" t="e">
        <f>VLOOKUP(Base_Periodo1[[#This Row],[Aux]],Base_Contas_Balanco[#All],2,FALSE)</f>
        <v>#N/A</v>
      </c>
      <c r="G6375" s="1">
        <v>42881</v>
      </c>
      <c r="H6375" s="225">
        <v>787426.67999998294</v>
      </c>
      <c r="I6375" s="225">
        <v>476</v>
      </c>
      <c r="J6375" s="225">
        <v>189957.83</v>
      </c>
      <c r="K6375" s="225">
        <v>976908.5099999829</v>
      </c>
      <c r="L63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976908.51</v>
      </c>
      <c r="M6375" s="225">
        <f>ROUND(IF(AND(Base_Periodo1[[#This Row],[Tipo_Linha]]="-",Base_Periodo1[[#This Row],[TIPOSALDO]]="D"),Base_Periodo1[[#This Row],[SALDO_ATUAL]]*-1,Base_Periodo1[[#This Row],[SALDO_ATUAL]]),4)</f>
        <v>976908.51</v>
      </c>
      <c r="N6375" t="s">
        <v>116</v>
      </c>
      <c r="O6375" t="s">
        <v>459</v>
      </c>
      <c r="P6375" t="s">
        <v>459</v>
      </c>
      <c r="Q6375">
        <v>9</v>
      </c>
      <c r="R6375" s="282">
        <f>Base_Periodo1[[#This Row],[CREDITOS]]-Base_Periodo1[[#This Row],[DEBITOS]]</f>
        <v>189481.83</v>
      </c>
      <c r="S6375" s="3" t="str">
        <f>IF(ISERROR(VLOOKUP(Base_Periodo1[[#This Row],[CONTA]],BaseContasDRE[#All],4,FALSE)),"Fora do DRE",VLOOKUP(Base_Periodo1[[#This Row],[CONTA]],BaseContasDRE[#All],4,FALSE))</f>
        <v>+</v>
      </c>
      <c r="T6375" s="3">
        <f>IF(ISERROR(VLOOKUP(Base_Periodo1[[#This Row],[CONTA]],BaseContasDRE[#All],5,FALSE)),"Fora do DRE",VLOOKUP(Base_Periodo1[[#This Row],[CONTA]],BaseContasDRE[#All],6,FALSE))</f>
        <v>1</v>
      </c>
      <c r="U6375" s="3" t="str">
        <f>IF(ISERROR(VLOOKUP(Base_Periodo1[[#This Row],[CONTA]],BaseContasDRE[#All],7,FALSE)),"Fora do DRE",VLOOKUP(Base_Periodo1[[#This Row],[CONTA]],BaseContasDRE[#All],7,FALSE))</f>
        <v>INSUMOS AGROPECUARIOS</v>
      </c>
      <c r="V6375" s="3" t="str">
        <f>IF(Base_Periodo1[[#This Row],[Tipo_Linha]]="Fora do DRE","Fora do DRE","( "&amp;Base_Periodo1[[#This Row],[Tipo_Linha]]&amp;" ) "&amp;Base_Periodo1[[#This Row],[Filtro]])</f>
        <v>( + ) INSUMOS AGROPECUARIOS</v>
      </c>
      <c r="W6375" s="3" t="str">
        <f>LEFT(Base_Periodo1[[#This Row],[CLASS]],3)</f>
        <v>3.2</v>
      </c>
    </row>
    <row r="6376" spans="1:23" hidden="1">
      <c r="A6376" s="3" t="str">
        <f t="shared" si="99"/>
        <v>Período 1</v>
      </c>
      <c r="B6376">
        <v>6454</v>
      </c>
      <c r="C6376" t="s">
        <v>4713</v>
      </c>
      <c r="D6376" t="s">
        <v>3991</v>
      </c>
      <c r="E6376" s="3" t="str">
        <f>IF(LEN(Base_Periodo1[[#This Row],[CLASS]])&gt;=7,LEFT(Base_Periodo1[[#This Row],[CLASS]],7),"")</f>
        <v>3.2.1.1</v>
      </c>
      <c r="F6376" s="3" t="e">
        <f>VLOOKUP(Base_Periodo1[[#This Row],[Aux]],Base_Contas_Balanco[#All],2,FALSE)</f>
        <v>#N/A</v>
      </c>
      <c r="G6376" s="1"/>
      <c r="H6376" s="225">
        <v>52694.09999999986</v>
      </c>
      <c r="I6376" s="225">
        <v>476</v>
      </c>
      <c r="J6376" s="225">
        <v>476</v>
      </c>
      <c r="K6376" s="225">
        <v>52694.09999999986</v>
      </c>
      <c r="L63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-52694.1</v>
      </c>
      <c r="M6376" s="225">
        <f>ROUND(IF(AND(Base_Periodo1[[#This Row],[Tipo_Linha]]="-",Base_Periodo1[[#This Row],[TIPOSALDO]]="D"),Base_Periodo1[[#This Row],[SALDO_ATUAL]]*-1,Base_Periodo1[[#This Row],[SALDO_ATUAL]]),4)</f>
        <v>52694.1</v>
      </c>
      <c r="N6376" t="s">
        <v>396</v>
      </c>
      <c r="O6376" t="s">
        <v>397</v>
      </c>
      <c r="P6376" t="s">
        <v>397</v>
      </c>
      <c r="Q6376">
        <v>8</v>
      </c>
      <c r="R6376" s="282">
        <f>Base_Periodo1[[#This Row],[CREDITOS]]-Base_Periodo1[[#This Row],[DEBITOS]]</f>
        <v>0</v>
      </c>
      <c r="S6376" s="3" t="str">
        <f>IF(ISERROR(VLOOKUP(Base_Periodo1[[#This Row],[CONTA]],BaseContasDRE[#All],4,FALSE)),"Fora do DRE",VLOOKUP(Base_Periodo1[[#This Row],[CONTA]],BaseContasDRE[#All],4,FALSE))</f>
        <v>Fora do DRE</v>
      </c>
      <c r="T6376" s="3" t="str">
        <f>IF(ISERROR(VLOOKUP(Base_Periodo1[[#This Row],[CONTA]],BaseContasDRE[#All],5,FALSE)),"Fora do DRE",VLOOKUP(Base_Periodo1[[#This Row],[CONTA]],BaseContasDRE[#All],6,FALSE))</f>
        <v>Fora do DRE</v>
      </c>
      <c r="U6376" s="3" t="str">
        <f>IF(ISERROR(VLOOKUP(Base_Periodo1[[#This Row],[CONTA]],BaseContasDRE[#All],7,FALSE)),"Fora do DRE",VLOOKUP(Base_Periodo1[[#This Row],[CONTA]],BaseContasDRE[#All],7,FALSE))</f>
        <v>Fora do DRE</v>
      </c>
      <c r="V6376" s="3" t="str">
        <f>IF(Base_Periodo1[[#This Row],[Tipo_Linha]]="Fora do DRE","Fora do DRE","( "&amp;Base_Periodo1[[#This Row],[Tipo_Linha]]&amp;" ) "&amp;Base_Periodo1[[#This Row],[Filtro]])</f>
        <v>Fora do DRE</v>
      </c>
      <c r="W6376" s="3" t="str">
        <f>LEFT(Base_Periodo1[[#This Row],[CLASS]],3)</f>
        <v>3.2</v>
      </c>
    </row>
    <row r="6377" spans="1:23" hidden="1">
      <c r="A6377" s="3" t="str">
        <f t="shared" si="99"/>
        <v>Período 1</v>
      </c>
      <c r="B6377">
        <v>6455</v>
      </c>
      <c r="C6377" t="s">
        <v>4714</v>
      </c>
      <c r="D6377" t="s">
        <v>3992</v>
      </c>
      <c r="E6377" s="3" t="str">
        <f>IF(LEN(Base_Periodo1[[#This Row],[CLASS]])&gt;=7,LEFT(Base_Periodo1[[#This Row],[CLASS]],7),"")</f>
        <v>3.2.1.1</v>
      </c>
      <c r="F6377" s="3" t="e">
        <f>VLOOKUP(Base_Periodo1[[#This Row],[Aux]],Base_Contas_Balanco[#All],2,FALSE)</f>
        <v>#N/A</v>
      </c>
      <c r="G6377" s="1">
        <v>42872</v>
      </c>
      <c r="H6377" s="225">
        <v>52694.09999999986</v>
      </c>
      <c r="I6377" s="225">
        <v>476</v>
      </c>
      <c r="J6377" s="225">
        <v>476</v>
      </c>
      <c r="K6377" s="225">
        <v>52694.09999999986</v>
      </c>
      <c r="L63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-52694.1</v>
      </c>
      <c r="M6377" s="225">
        <f>ROUND(IF(AND(Base_Periodo1[[#This Row],[Tipo_Linha]]="-",Base_Periodo1[[#This Row],[TIPOSALDO]]="D"),Base_Periodo1[[#This Row],[SALDO_ATUAL]]*-1,Base_Periodo1[[#This Row],[SALDO_ATUAL]]),4)</f>
        <v>-52694.1</v>
      </c>
      <c r="N6377" t="s">
        <v>116</v>
      </c>
      <c r="O6377" t="s">
        <v>397</v>
      </c>
      <c r="P6377" t="s">
        <v>397</v>
      </c>
      <c r="Q6377">
        <v>9</v>
      </c>
      <c r="R6377" s="282">
        <f>Base_Periodo1[[#This Row],[CREDITOS]]-Base_Periodo1[[#This Row],[DEBITOS]]</f>
        <v>0</v>
      </c>
      <c r="S6377" s="3" t="str">
        <f>IF(ISERROR(VLOOKUP(Base_Periodo1[[#This Row],[CONTA]],BaseContasDRE[#All],4,FALSE)),"Fora do DRE",VLOOKUP(Base_Periodo1[[#This Row],[CONTA]],BaseContasDRE[#All],4,FALSE))</f>
        <v>-</v>
      </c>
      <c r="T6377" s="3">
        <f>IF(ISERROR(VLOOKUP(Base_Periodo1[[#This Row],[CONTA]],BaseContasDRE[#All],5,FALSE)),"Fora do DRE",VLOOKUP(Base_Periodo1[[#This Row],[CONTA]],BaseContasDRE[#All],6,FALSE))</f>
        <v>2</v>
      </c>
      <c r="U6377" s="3" t="str">
        <f>IF(ISERROR(VLOOKUP(Base_Periodo1[[#This Row],[CONTA]],BaseContasDRE[#All],7,FALSE)),"Fora do DRE",VLOOKUP(Base_Periodo1[[#This Row],[CONTA]],BaseContasDRE[#All],7,FALSE))</f>
        <v>DEVOLUÇÃO DE INSUMOS AGROPECUARIOS</v>
      </c>
      <c r="V6377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6377" s="3" t="str">
        <f>LEFT(Base_Periodo1[[#This Row],[CLASS]],3)</f>
        <v>3.2</v>
      </c>
    </row>
    <row r="6378" spans="1:23" hidden="1">
      <c r="A6378" s="3" t="str">
        <f t="shared" si="99"/>
        <v>Período 1</v>
      </c>
      <c r="B6378">
        <v>6456</v>
      </c>
      <c r="C6378" t="s">
        <v>4508</v>
      </c>
      <c r="D6378" t="s">
        <v>3993</v>
      </c>
      <c r="E6378" s="3" t="str">
        <f>IF(LEN(Base_Periodo1[[#This Row],[CLASS]])&gt;=7,LEFT(Base_Periodo1[[#This Row],[CLASS]],7),"")</f>
        <v>3.2.1.1</v>
      </c>
      <c r="F6378" s="3" t="e">
        <f>VLOOKUP(Base_Periodo1[[#This Row],[Aux]],Base_Contas_Balanco[#All],2,FALSE)</f>
        <v>#N/A</v>
      </c>
      <c r="G6378" s="1"/>
      <c r="H6378" s="225">
        <v>21.480000000006839</v>
      </c>
      <c r="I6378" s="225">
        <v>0</v>
      </c>
      <c r="J6378" s="225">
        <v>0</v>
      </c>
      <c r="K6378" s="225">
        <v>21.480000000006839</v>
      </c>
      <c r="L63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-21.48</v>
      </c>
      <c r="M6378" s="225">
        <f>ROUND(IF(AND(Base_Periodo1[[#This Row],[Tipo_Linha]]="-",Base_Periodo1[[#This Row],[TIPOSALDO]]="D"),Base_Periodo1[[#This Row],[SALDO_ATUAL]]*-1,Base_Periodo1[[#This Row],[SALDO_ATUAL]]),4)</f>
        <v>21.48</v>
      </c>
      <c r="N6378" t="s">
        <v>396</v>
      </c>
      <c r="O6378" t="s">
        <v>397</v>
      </c>
      <c r="P6378" t="s">
        <v>397</v>
      </c>
      <c r="Q6378">
        <v>8</v>
      </c>
      <c r="R6378" s="282">
        <f>Base_Periodo1[[#This Row],[CREDITOS]]-Base_Periodo1[[#This Row],[DEBITOS]]</f>
        <v>0</v>
      </c>
      <c r="S6378" s="3" t="str">
        <f>IF(ISERROR(VLOOKUP(Base_Periodo1[[#This Row],[CONTA]],BaseContasDRE[#All],4,FALSE)),"Fora do DRE",VLOOKUP(Base_Periodo1[[#This Row],[CONTA]],BaseContasDRE[#All],4,FALSE))</f>
        <v>Fora do DRE</v>
      </c>
      <c r="T6378" s="3" t="str">
        <f>IF(ISERROR(VLOOKUP(Base_Periodo1[[#This Row],[CONTA]],BaseContasDRE[#All],5,FALSE)),"Fora do DRE",VLOOKUP(Base_Periodo1[[#This Row],[CONTA]],BaseContasDRE[#All],6,FALSE))</f>
        <v>Fora do DRE</v>
      </c>
      <c r="U6378" s="3" t="str">
        <f>IF(ISERROR(VLOOKUP(Base_Periodo1[[#This Row],[CONTA]],BaseContasDRE[#All],7,FALSE)),"Fora do DRE",VLOOKUP(Base_Periodo1[[#This Row],[CONTA]],BaseContasDRE[#All],7,FALSE))</f>
        <v>Fora do DRE</v>
      </c>
      <c r="V6378" s="3" t="str">
        <f>IF(Base_Periodo1[[#This Row],[Tipo_Linha]]="Fora do DRE","Fora do DRE","( "&amp;Base_Periodo1[[#This Row],[Tipo_Linha]]&amp;" ) "&amp;Base_Periodo1[[#This Row],[Filtro]])</f>
        <v>Fora do DRE</v>
      </c>
      <c r="W6378" s="3" t="str">
        <f>LEFT(Base_Periodo1[[#This Row],[CLASS]],3)</f>
        <v>3.2</v>
      </c>
    </row>
    <row r="6379" spans="1:23" hidden="1">
      <c r="A6379" s="3" t="str">
        <f t="shared" si="99"/>
        <v>Período 1</v>
      </c>
      <c r="B6379">
        <v>6457</v>
      </c>
      <c r="C6379" t="s">
        <v>4509</v>
      </c>
      <c r="D6379" t="s">
        <v>3566</v>
      </c>
      <c r="E6379" s="3" t="str">
        <f>IF(LEN(Base_Periodo1[[#This Row],[CLASS]])&gt;=7,LEFT(Base_Periodo1[[#This Row],[CLASS]],7),"")</f>
        <v>3.2.1.1</v>
      </c>
      <c r="F6379" s="3" t="e">
        <f>VLOOKUP(Base_Periodo1[[#This Row],[Aux]],Base_Contas_Balanco[#All],2,FALSE)</f>
        <v>#N/A</v>
      </c>
      <c r="G6379" s="1">
        <v>42815</v>
      </c>
      <c r="H6379" s="225">
        <v>21.480000000006839</v>
      </c>
      <c r="I6379" s="225">
        <v>0</v>
      </c>
      <c r="J6379" s="225">
        <v>0</v>
      </c>
      <c r="K6379" s="225">
        <v>21.480000000006839</v>
      </c>
      <c r="L63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-21.48</v>
      </c>
      <c r="M6379" s="225">
        <f>ROUND(IF(AND(Base_Periodo1[[#This Row],[Tipo_Linha]]="-",Base_Periodo1[[#This Row],[TIPOSALDO]]="D"),Base_Periodo1[[#This Row],[SALDO_ATUAL]]*-1,Base_Periodo1[[#This Row],[SALDO_ATUAL]]),4)</f>
        <v>-21.48</v>
      </c>
      <c r="N6379" t="s">
        <v>116</v>
      </c>
      <c r="O6379" t="s">
        <v>397</v>
      </c>
      <c r="P6379" t="s">
        <v>397</v>
      </c>
      <c r="Q6379">
        <v>9</v>
      </c>
      <c r="R6379" s="282">
        <f>Base_Periodo1[[#This Row],[CREDITOS]]-Base_Periodo1[[#This Row],[DEBITOS]]</f>
        <v>0</v>
      </c>
      <c r="S6379" s="3" t="str">
        <f>IF(ISERROR(VLOOKUP(Base_Periodo1[[#This Row],[CONTA]],BaseContasDRE[#All],4,FALSE)),"Fora do DRE",VLOOKUP(Base_Periodo1[[#This Row],[CONTA]],BaseContasDRE[#All],4,FALSE))</f>
        <v>-</v>
      </c>
      <c r="T6379" s="3">
        <f>IF(ISERROR(VLOOKUP(Base_Periodo1[[#This Row],[CONTA]],BaseContasDRE[#All],5,FALSE)),"Fora do DRE",VLOOKUP(Base_Periodo1[[#This Row],[CONTA]],BaseContasDRE[#All],6,FALSE))</f>
        <v>2</v>
      </c>
      <c r="U6379" s="3" t="str">
        <f>IF(ISERROR(VLOOKUP(Base_Periodo1[[#This Row],[CONTA]],BaseContasDRE[#All],7,FALSE)),"Fora do DRE",VLOOKUP(Base_Periodo1[[#This Row],[CONTA]],BaseContasDRE[#All],7,FALSE))</f>
        <v>ICMS SOBRE INGRESSOS E RECEITAS</v>
      </c>
      <c r="V6379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379" s="3" t="str">
        <f>LEFT(Base_Periodo1[[#This Row],[CLASS]],3)</f>
        <v>3.2</v>
      </c>
    </row>
    <row r="6380" spans="1:23" hidden="1">
      <c r="A6380" s="3" t="str">
        <f t="shared" si="99"/>
        <v>Período 1</v>
      </c>
      <c r="B6380">
        <v>6458</v>
      </c>
      <c r="C6380" t="s">
        <v>4038</v>
      </c>
      <c r="D6380" t="s">
        <v>3995</v>
      </c>
      <c r="E6380" s="3" t="str">
        <f>IF(LEN(Base_Periodo1[[#This Row],[CLASS]])&gt;=7,LEFT(Base_Periodo1[[#This Row],[CLASS]],7),"")</f>
        <v>3.2.1.1</v>
      </c>
      <c r="F6380" s="3" t="e">
        <f>VLOOKUP(Base_Periodo1[[#This Row],[Aux]],Base_Contas_Balanco[#All],2,FALSE)</f>
        <v>#N/A</v>
      </c>
      <c r="G6380" s="1"/>
      <c r="H6380" s="225">
        <v>569423.35000000335</v>
      </c>
      <c r="I6380" s="225">
        <v>127711.11</v>
      </c>
      <c r="J6380" s="225">
        <v>0</v>
      </c>
      <c r="K6380" s="225">
        <v>697134.46000000334</v>
      </c>
      <c r="L63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-697134.46</v>
      </c>
      <c r="M6380" s="225">
        <f>ROUND(IF(AND(Base_Periodo1[[#This Row],[Tipo_Linha]]="-",Base_Periodo1[[#This Row],[TIPOSALDO]]="D"),Base_Periodo1[[#This Row],[SALDO_ATUAL]]*-1,Base_Periodo1[[#This Row],[SALDO_ATUAL]]),4)</f>
        <v>697134.46</v>
      </c>
      <c r="N6380" t="s">
        <v>396</v>
      </c>
      <c r="O6380" t="s">
        <v>397</v>
      </c>
      <c r="P6380" t="s">
        <v>397</v>
      </c>
      <c r="Q6380">
        <v>8</v>
      </c>
      <c r="R6380" s="282">
        <f>Base_Periodo1[[#This Row],[CREDITOS]]-Base_Periodo1[[#This Row],[DEBITOS]]</f>
        <v>-127711.11</v>
      </c>
      <c r="S6380" s="3" t="str">
        <f>IF(ISERROR(VLOOKUP(Base_Periodo1[[#This Row],[CONTA]],BaseContasDRE[#All],4,FALSE)),"Fora do DRE",VLOOKUP(Base_Periodo1[[#This Row],[CONTA]],BaseContasDRE[#All],4,FALSE))</f>
        <v>Fora do DRE</v>
      </c>
      <c r="T6380" s="3" t="str">
        <f>IF(ISERROR(VLOOKUP(Base_Periodo1[[#This Row],[CONTA]],BaseContasDRE[#All],5,FALSE)),"Fora do DRE",VLOOKUP(Base_Periodo1[[#This Row],[CONTA]],BaseContasDRE[#All],6,FALSE))</f>
        <v>Fora do DRE</v>
      </c>
      <c r="U6380" s="3" t="str">
        <f>IF(ISERROR(VLOOKUP(Base_Periodo1[[#This Row],[CONTA]],BaseContasDRE[#All],7,FALSE)),"Fora do DRE",VLOOKUP(Base_Periodo1[[#This Row],[CONTA]],BaseContasDRE[#All],7,FALSE))</f>
        <v>Fora do DRE</v>
      </c>
      <c r="V6380" s="3" t="str">
        <f>IF(Base_Periodo1[[#This Row],[Tipo_Linha]]="Fora do DRE","Fora do DRE","( "&amp;Base_Periodo1[[#This Row],[Tipo_Linha]]&amp;" ) "&amp;Base_Periodo1[[#This Row],[Filtro]])</f>
        <v>Fora do DRE</v>
      </c>
      <c r="W6380" s="3" t="str">
        <f>LEFT(Base_Periodo1[[#This Row],[CLASS]],3)</f>
        <v>3.2</v>
      </c>
    </row>
    <row r="6381" spans="1:23" hidden="1">
      <c r="A6381" s="3" t="str">
        <f t="shared" si="99"/>
        <v>Período 1</v>
      </c>
      <c r="B6381">
        <v>6459</v>
      </c>
      <c r="C6381" t="s">
        <v>4039</v>
      </c>
      <c r="D6381" t="s">
        <v>3997</v>
      </c>
      <c r="E6381" s="3" t="str">
        <f>IF(LEN(Base_Periodo1[[#This Row],[CLASS]])&gt;=7,LEFT(Base_Periodo1[[#This Row],[CLASS]],7),"")</f>
        <v>3.2.1.1</v>
      </c>
      <c r="F6381" s="3" t="e">
        <f>VLOOKUP(Base_Periodo1[[#This Row],[Aux]],Base_Contas_Balanco[#All],2,FALSE)</f>
        <v>#N/A</v>
      </c>
      <c r="G6381" s="1">
        <v>42886</v>
      </c>
      <c r="H6381" s="225">
        <v>569423.35000000335</v>
      </c>
      <c r="I6381" s="225">
        <v>127711.11</v>
      </c>
      <c r="J6381" s="225">
        <v>0</v>
      </c>
      <c r="K6381" s="225">
        <v>697134.46000000334</v>
      </c>
      <c r="L63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-697134.46</v>
      </c>
      <c r="M6381" s="225">
        <f>ROUND(IF(AND(Base_Periodo1[[#This Row],[Tipo_Linha]]="-",Base_Periodo1[[#This Row],[TIPOSALDO]]="D"),Base_Periodo1[[#This Row],[SALDO_ATUAL]]*-1,Base_Periodo1[[#This Row],[SALDO_ATUAL]]),4)</f>
        <v>-697134.46</v>
      </c>
      <c r="N6381" t="s">
        <v>116</v>
      </c>
      <c r="O6381" t="s">
        <v>397</v>
      </c>
      <c r="P6381" t="s">
        <v>397</v>
      </c>
      <c r="Q6381">
        <v>9</v>
      </c>
      <c r="R6381" s="282">
        <f>Base_Periodo1[[#This Row],[CREDITOS]]-Base_Periodo1[[#This Row],[DEBITOS]]</f>
        <v>-127711.11</v>
      </c>
      <c r="S6381" s="3" t="str">
        <f>IF(ISERROR(VLOOKUP(Base_Periodo1[[#This Row],[CONTA]],BaseContasDRE[#All],4,FALSE)),"Fora do DRE",VLOOKUP(Base_Periodo1[[#This Row],[CONTA]],BaseContasDRE[#All],4,FALSE))</f>
        <v>-</v>
      </c>
      <c r="T6381" s="3">
        <f>IF(ISERROR(VLOOKUP(Base_Periodo1[[#This Row],[CONTA]],BaseContasDRE[#All],5,FALSE)),"Fora do DRE",VLOOKUP(Base_Periodo1[[#This Row],[CONTA]],BaseContasDRE[#All],6,FALSE))</f>
        <v>3</v>
      </c>
      <c r="U6381" s="3" t="str">
        <f>IF(ISERROR(VLOOKUP(Base_Periodo1[[#This Row],[CONTA]],BaseContasDRE[#All],7,FALSE)),"Fora do DRE",VLOOKUP(Base_Periodo1[[#This Row],[CONTA]],BaseContasDRE[#All],7,FALSE))</f>
        <v>INSUMOS AGROPECUARIOS</v>
      </c>
      <c r="V6381" s="3" t="str">
        <f>IF(Base_Periodo1[[#This Row],[Tipo_Linha]]="Fora do DRE","Fora do DRE","( "&amp;Base_Periodo1[[#This Row],[Tipo_Linha]]&amp;" ) "&amp;Base_Periodo1[[#This Row],[Filtro]])</f>
        <v>( - ) INSUMOS AGROPECUARIOS</v>
      </c>
      <c r="W6381" s="3" t="str">
        <f>LEFT(Base_Periodo1[[#This Row],[CLASS]],3)</f>
        <v>3.2</v>
      </c>
    </row>
    <row r="6382" spans="1:23" hidden="1">
      <c r="A6382" s="3" t="str">
        <f t="shared" si="99"/>
        <v>Período 1</v>
      </c>
      <c r="B6382">
        <v>6460</v>
      </c>
      <c r="C6382" t="s">
        <v>4510</v>
      </c>
      <c r="D6382" t="s">
        <v>1210</v>
      </c>
      <c r="E6382" s="3" t="str">
        <f>IF(LEN(Base_Periodo1[[#This Row],[CLASS]])&gt;=7,LEFT(Base_Periodo1[[#This Row],[CLASS]],7),"")</f>
        <v>3.2.1.1</v>
      </c>
      <c r="F6382" s="3" t="e">
        <f>VLOOKUP(Base_Periodo1[[#This Row],[Aux]],Base_Contas_Balanco[#All],2,FALSE)</f>
        <v>#N/A</v>
      </c>
      <c r="G6382" s="1"/>
      <c r="H6382" s="225">
        <v>909.36999999999534</v>
      </c>
      <c r="I6382" s="225">
        <v>210.95</v>
      </c>
      <c r="J6382" s="225">
        <v>311.45</v>
      </c>
      <c r="K6382" s="225">
        <v>1009.8699999999953</v>
      </c>
      <c r="L63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1009.87</v>
      </c>
      <c r="M6382" s="225">
        <f>ROUND(IF(AND(Base_Periodo1[[#This Row],[Tipo_Linha]]="-",Base_Periodo1[[#This Row],[TIPOSALDO]]="D"),Base_Periodo1[[#This Row],[SALDO_ATUAL]]*-1,Base_Periodo1[[#This Row],[SALDO_ATUAL]]),4)</f>
        <v>1009.87</v>
      </c>
      <c r="N6382" t="s">
        <v>396</v>
      </c>
      <c r="O6382" t="s">
        <v>459</v>
      </c>
      <c r="P6382" t="s">
        <v>459</v>
      </c>
      <c r="Q6382">
        <v>7</v>
      </c>
      <c r="R6382" s="282">
        <f>Base_Periodo1[[#This Row],[CREDITOS]]-Base_Periodo1[[#This Row],[DEBITOS]]</f>
        <v>100.5</v>
      </c>
      <c r="S6382" s="3" t="str">
        <f>IF(ISERROR(VLOOKUP(Base_Periodo1[[#This Row],[CONTA]],BaseContasDRE[#All],4,FALSE)),"Fora do DRE",VLOOKUP(Base_Periodo1[[#This Row],[CONTA]],BaseContasDRE[#All],4,FALSE))</f>
        <v>Fora do DRE</v>
      </c>
      <c r="T6382" s="3" t="str">
        <f>IF(ISERROR(VLOOKUP(Base_Periodo1[[#This Row],[CONTA]],BaseContasDRE[#All],5,FALSE)),"Fora do DRE",VLOOKUP(Base_Periodo1[[#This Row],[CONTA]],BaseContasDRE[#All],6,FALSE))</f>
        <v>Fora do DRE</v>
      </c>
      <c r="U6382" s="3" t="str">
        <f>IF(ISERROR(VLOOKUP(Base_Periodo1[[#This Row],[CONTA]],BaseContasDRE[#All],7,FALSE)),"Fora do DRE",VLOOKUP(Base_Periodo1[[#This Row],[CONTA]],BaseContasDRE[#All],7,FALSE))</f>
        <v>Fora do DRE</v>
      </c>
      <c r="V6382" s="3" t="str">
        <f>IF(Base_Periodo1[[#This Row],[Tipo_Linha]]="Fora do DRE","Fora do DRE","( "&amp;Base_Periodo1[[#This Row],[Tipo_Linha]]&amp;" ) "&amp;Base_Periodo1[[#This Row],[Filtro]])</f>
        <v>Fora do DRE</v>
      </c>
      <c r="W6382" s="3" t="str">
        <f>LEFT(Base_Periodo1[[#This Row],[CLASS]],3)</f>
        <v>3.2</v>
      </c>
    </row>
    <row r="6383" spans="1:23" hidden="1">
      <c r="A6383" s="3" t="str">
        <f t="shared" si="99"/>
        <v>Período 1</v>
      </c>
      <c r="B6383">
        <v>6461</v>
      </c>
      <c r="C6383" t="s">
        <v>4511</v>
      </c>
      <c r="D6383" t="s">
        <v>4022</v>
      </c>
      <c r="E6383" s="3" t="str">
        <f>IF(LEN(Base_Periodo1[[#This Row],[CLASS]])&gt;=7,LEFT(Base_Periodo1[[#This Row],[CLASS]],7),"")</f>
        <v>3.2.1.1</v>
      </c>
      <c r="F6383" s="3" t="e">
        <f>VLOOKUP(Base_Periodo1[[#This Row],[Aux]],Base_Contas_Balanco[#All],2,FALSE)</f>
        <v>#N/A</v>
      </c>
      <c r="G6383" s="1"/>
      <c r="H6383" s="225">
        <v>3695.5</v>
      </c>
      <c r="I6383" s="225">
        <v>0</v>
      </c>
      <c r="J6383" s="225">
        <v>311.45</v>
      </c>
      <c r="K6383" s="225">
        <v>4006.95</v>
      </c>
      <c r="L63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4006.95</v>
      </c>
      <c r="M6383" s="225">
        <f>ROUND(IF(AND(Base_Periodo1[[#This Row],[Tipo_Linha]]="-",Base_Periodo1[[#This Row],[TIPOSALDO]]="D"),Base_Periodo1[[#This Row],[SALDO_ATUAL]]*-1,Base_Periodo1[[#This Row],[SALDO_ATUAL]]),4)</f>
        <v>4006.95</v>
      </c>
      <c r="N6383" t="s">
        <v>396</v>
      </c>
      <c r="O6383" t="s">
        <v>459</v>
      </c>
      <c r="P6383" t="s">
        <v>459</v>
      </c>
      <c r="Q6383">
        <v>8</v>
      </c>
      <c r="R6383" s="282">
        <f>Base_Periodo1[[#This Row],[CREDITOS]]-Base_Periodo1[[#This Row],[DEBITOS]]</f>
        <v>311.45</v>
      </c>
      <c r="S6383" s="3" t="str">
        <f>IF(ISERROR(VLOOKUP(Base_Periodo1[[#This Row],[CONTA]],BaseContasDRE[#All],4,FALSE)),"Fora do DRE",VLOOKUP(Base_Periodo1[[#This Row],[CONTA]],BaseContasDRE[#All],4,FALSE))</f>
        <v>Fora do DRE</v>
      </c>
      <c r="T6383" s="3" t="str">
        <f>IF(ISERROR(VLOOKUP(Base_Periodo1[[#This Row],[CONTA]],BaseContasDRE[#All],5,FALSE)),"Fora do DRE",VLOOKUP(Base_Periodo1[[#This Row],[CONTA]],BaseContasDRE[#All],6,FALSE))</f>
        <v>Fora do DRE</v>
      </c>
      <c r="U6383" s="3" t="str">
        <f>IF(ISERROR(VLOOKUP(Base_Periodo1[[#This Row],[CONTA]],BaseContasDRE[#All],7,FALSE)),"Fora do DRE",VLOOKUP(Base_Periodo1[[#This Row],[CONTA]],BaseContasDRE[#All],7,FALSE))</f>
        <v>Fora do DRE</v>
      </c>
      <c r="V6383" s="3" t="str">
        <f>IF(Base_Periodo1[[#This Row],[Tipo_Linha]]="Fora do DRE","Fora do DRE","( "&amp;Base_Periodo1[[#This Row],[Tipo_Linha]]&amp;" ) "&amp;Base_Periodo1[[#This Row],[Filtro]])</f>
        <v>Fora do DRE</v>
      </c>
      <c r="W6383" s="3" t="str">
        <f>LEFT(Base_Periodo1[[#This Row],[CLASS]],3)</f>
        <v>3.2</v>
      </c>
    </row>
    <row r="6384" spans="1:23" hidden="1">
      <c r="A6384" s="3" t="str">
        <f t="shared" si="99"/>
        <v>Período 1</v>
      </c>
      <c r="B6384">
        <v>6462</v>
      </c>
      <c r="C6384" t="s">
        <v>4512</v>
      </c>
      <c r="D6384" t="s">
        <v>3987</v>
      </c>
      <c r="E6384" s="3" t="str">
        <f>IF(LEN(Base_Periodo1[[#This Row],[CLASS]])&gt;=7,LEFT(Base_Periodo1[[#This Row],[CLASS]],7),"")</f>
        <v>3.2.1.1</v>
      </c>
      <c r="F6384" s="3" t="e">
        <f>VLOOKUP(Base_Periodo1[[#This Row],[Aux]],Base_Contas_Balanco[#All],2,FALSE)</f>
        <v>#N/A</v>
      </c>
      <c r="G6384" s="1">
        <v>42877</v>
      </c>
      <c r="H6384" s="225">
        <v>3695.5</v>
      </c>
      <c r="I6384" s="225">
        <v>0</v>
      </c>
      <c r="J6384" s="225">
        <v>311.45</v>
      </c>
      <c r="K6384" s="225">
        <v>4006.95</v>
      </c>
      <c r="L63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4006.95</v>
      </c>
      <c r="M6384" s="225">
        <f>ROUND(IF(AND(Base_Periodo1[[#This Row],[Tipo_Linha]]="-",Base_Periodo1[[#This Row],[TIPOSALDO]]="D"),Base_Periodo1[[#This Row],[SALDO_ATUAL]]*-1,Base_Periodo1[[#This Row],[SALDO_ATUAL]]),4)</f>
        <v>4006.95</v>
      </c>
      <c r="N6384" t="s">
        <v>116</v>
      </c>
      <c r="O6384" t="s">
        <v>459</v>
      </c>
      <c r="P6384" t="s">
        <v>459</v>
      </c>
      <c r="Q6384">
        <v>9</v>
      </c>
      <c r="R6384" s="282">
        <f>Base_Periodo1[[#This Row],[CREDITOS]]-Base_Periodo1[[#This Row],[DEBITOS]]</f>
        <v>311.45</v>
      </c>
      <c r="S6384" s="3" t="str">
        <f>IF(ISERROR(VLOOKUP(Base_Periodo1[[#This Row],[CONTA]],BaseContasDRE[#All],4,FALSE)),"Fora do DRE",VLOOKUP(Base_Periodo1[[#This Row],[CONTA]],BaseContasDRE[#All],4,FALSE))</f>
        <v>+</v>
      </c>
      <c r="T6384" s="3">
        <f>IF(ISERROR(VLOOKUP(Base_Periodo1[[#This Row],[CONTA]],BaseContasDRE[#All],5,FALSE)),"Fora do DRE",VLOOKUP(Base_Periodo1[[#This Row],[CONTA]],BaseContasDRE[#All],6,FALSE))</f>
        <v>1</v>
      </c>
      <c r="U6384" s="3" t="str">
        <f>IF(ISERROR(VLOOKUP(Base_Periodo1[[#This Row],[CONTA]],BaseContasDRE[#All],7,FALSE)),"Fora do DRE",VLOOKUP(Base_Periodo1[[#This Row],[CONTA]],BaseContasDRE[#All],7,FALSE))</f>
        <v>INSUMOS AGROPECUARIOS</v>
      </c>
      <c r="V6384" s="3" t="str">
        <f>IF(Base_Periodo1[[#This Row],[Tipo_Linha]]="Fora do DRE","Fora do DRE","( "&amp;Base_Periodo1[[#This Row],[Tipo_Linha]]&amp;" ) "&amp;Base_Periodo1[[#This Row],[Filtro]])</f>
        <v>( + ) INSUMOS AGROPECUARIOS</v>
      </c>
      <c r="W6384" s="3" t="str">
        <f>LEFT(Base_Periodo1[[#This Row],[CLASS]],3)</f>
        <v>3.2</v>
      </c>
    </row>
    <row r="6385" spans="1:23" hidden="1">
      <c r="A6385" s="3" t="str">
        <f t="shared" si="99"/>
        <v>Período 1</v>
      </c>
      <c r="B6385">
        <v>6469</v>
      </c>
      <c r="C6385" t="s">
        <v>4513</v>
      </c>
      <c r="D6385" t="s">
        <v>3995</v>
      </c>
      <c r="E6385" s="3" t="str">
        <f>IF(LEN(Base_Periodo1[[#This Row],[CLASS]])&gt;=7,LEFT(Base_Periodo1[[#This Row],[CLASS]],7),"")</f>
        <v>3.2.1.1</v>
      </c>
      <c r="F6385" s="3" t="e">
        <f>VLOOKUP(Base_Periodo1[[#This Row],[Aux]],Base_Contas_Balanco[#All],2,FALSE)</f>
        <v>#N/A</v>
      </c>
      <c r="G6385" s="1"/>
      <c r="H6385" s="225">
        <v>2786.1300000000047</v>
      </c>
      <c r="I6385" s="225">
        <v>210.95</v>
      </c>
      <c r="J6385" s="225">
        <v>0</v>
      </c>
      <c r="K6385" s="225">
        <v>2997.0800000000045</v>
      </c>
      <c r="L63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-2997.08</v>
      </c>
      <c r="M6385" s="225">
        <f>ROUND(IF(AND(Base_Periodo1[[#This Row],[Tipo_Linha]]="-",Base_Periodo1[[#This Row],[TIPOSALDO]]="D"),Base_Periodo1[[#This Row],[SALDO_ATUAL]]*-1,Base_Periodo1[[#This Row],[SALDO_ATUAL]]),4)</f>
        <v>2997.08</v>
      </c>
      <c r="N6385" t="s">
        <v>396</v>
      </c>
      <c r="O6385" t="s">
        <v>397</v>
      </c>
      <c r="P6385" t="s">
        <v>397</v>
      </c>
      <c r="Q6385">
        <v>8</v>
      </c>
      <c r="R6385" s="282">
        <f>Base_Periodo1[[#This Row],[CREDITOS]]-Base_Periodo1[[#This Row],[DEBITOS]]</f>
        <v>-210.95</v>
      </c>
      <c r="S6385" s="3" t="str">
        <f>IF(ISERROR(VLOOKUP(Base_Periodo1[[#This Row],[CONTA]],BaseContasDRE[#All],4,FALSE)),"Fora do DRE",VLOOKUP(Base_Periodo1[[#This Row],[CONTA]],BaseContasDRE[#All],4,FALSE))</f>
        <v>Fora do DRE</v>
      </c>
      <c r="T6385" s="3" t="str">
        <f>IF(ISERROR(VLOOKUP(Base_Periodo1[[#This Row],[CONTA]],BaseContasDRE[#All],5,FALSE)),"Fora do DRE",VLOOKUP(Base_Periodo1[[#This Row],[CONTA]],BaseContasDRE[#All],6,FALSE))</f>
        <v>Fora do DRE</v>
      </c>
      <c r="U6385" s="3" t="str">
        <f>IF(ISERROR(VLOOKUP(Base_Periodo1[[#This Row],[CONTA]],BaseContasDRE[#All],7,FALSE)),"Fora do DRE",VLOOKUP(Base_Periodo1[[#This Row],[CONTA]],BaseContasDRE[#All],7,FALSE))</f>
        <v>Fora do DRE</v>
      </c>
      <c r="V6385" s="3" t="str">
        <f>IF(Base_Periodo1[[#This Row],[Tipo_Linha]]="Fora do DRE","Fora do DRE","( "&amp;Base_Periodo1[[#This Row],[Tipo_Linha]]&amp;" ) "&amp;Base_Periodo1[[#This Row],[Filtro]])</f>
        <v>Fora do DRE</v>
      </c>
      <c r="W6385" s="3" t="str">
        <f>LEFT(Base_Periodo1[[#This Row],[CLASS]],3)</f>
        <v>3.2</v>
      </c>
    </row>
    <row r="6386" spans="1:23" hidden="1">
      <c r="A6386" s="3" t="str">
        <f t="shared" si="99"/>
        <v>Período 1</v>
      </c>
      <c r="B6386">
        <v>6470</v>
      </c>
      <c r="C6386" t="s">
        <v>4514</v>
      </c>
      <c r="D6386" t="s">
        <v>3997</v>
      </c>
      <c r="E6386" s="3" t="str">
        <f>IF(LEN(Base_Periodo1[[#This Row],[CLASS]])&gt;=7,LEFT(Base_Periodo1[[#This Row],[CLASS]],7),"")</f>
        <v>3.2.1.1</v>
      </c>
      <c r="F6386" s="3" t="e">
        <f>VLOOKUP(Base_Periodo1[[#This Row],[Aux]],Base_Contas_Balanco[#All],2,FALSE)</f>
        <v>#N/A</v>
      </c>
      <c r="G6386" s="1">
        <v>42886</v>
      </c>
      <c r="H6386" s="225">
        <v>2786.1300000000047</v>
      </c>
      <c r="I6386" s="225">
        <v>210.95</v>
      </c>
      <c r="J6386" s="225">
        <v>0</v>
      </c>
      <c r="K6386" s="225">
        <v>2997.0800000000045</v>
      </c>
      <c r="L63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-2997.08</v>
      </c>
      <c r="M6386" s="225">
        <f>ROUND(IF(AND(Base_Periodo1[[#This Row],[Tipo_Linha]]="-",Base_Periodo1[[#This Row],[TIPOSALDO]]="D"),Base_Periodo1[[#This Row],[SALDO_ATUAL]]*-1,Base_Periodo1[[#This Row],[SALDO_ATUAL]]),4)</f>
        <v>-2997.08</v>
      </c>
      <c r="N6386" t="s">
        <v>116</v>
      </c>
      <c r="O6386" t="s">
        <v>397</v>
      </c>
      <c r="P6386" t="s">
        <v>397</v>
      </c>
      <c r="Q6386">
        <v>9</v>
      </c>
      <c r="R6386" s="282">
        <f>Base_Periodo1[[#This Row],[CREDITOS]]-Base_Periodo1[[#This Row],[DEBITOS]]</f>
        <v>-210.95</v>
      </c>
      <c r="S6386" s="3" t="str">
        <f>IF(ISERROR(VLOOKUP(Base_Periodo1[[#This Row],[CONTA]],BaseContasDRE[#All],4,FALSE)),"Fora do DRE",VLOOKUP(Base_Periodo1[[#This Row],[CONTA]],BaseContasDRE[#All],4,FALSE))</f>
        <v>-</v>
      </c>
      <c r="T6386" s="3">
        <f>IF(ISERROR(VLOOKUP(Base_Periodo1[[#This Row],[CONTA]],BaseContasDRE[#All],5,FALSE)),"Fora do DRE",VLOOKUP(Base_Periodo1[[#This Row],[CONTA]],BaseContasDRE[#All],6,FALSE))</f>
        <v>3</v>
      </c>
      <c r="U6386" s="3" t="str">
        <f>IF(ISERROR(VLOOKUP(Base_Periodo1[[#This Row],[CONTA]],BaseContasDRE[#All],7,FALSE)),"Fora do DRE",VLOOKUP(Base_Periodo1[[#This Row],[CONTA]],BaseContasDRE[#All],7,FALSE))</f>
        <v>INSUMOS AGROPECUARIOS</v>
      </c>
      <c r="V6386" s="3" t="str">
        <f>IF(Base_Periodo1[[#This Row],[Tipo_Linha]]="Fora do DRE","Fora do DRE","( "&amp;Base_Periodo1[[#This Row],[Tipo_Linha]]&amp;" ) "&amp;Base_Periodo1[[#This Row],[Filtro]])</f>
        <v>( - ) INSUMOS AGROPECUARIOS</v>
      </c>
      <c r="W6386" s="3" t="str">
        <f>LEFT(Base_Periodo1[[#This Row],[CLASS]],3)</f>
        <v>3.2</v>
      </c>
    </row>
    <row r="6387" spans="1:23" hidden="1">
      <c r="A6387" s="3" t="str">
        <f t="shared" si="99"/>
        <v>Período 1</v>
      </c>
      <c r="B6387">
        <v>6478</v>
      </c>
      <c r="C6387" t="s">
        <v>4040</v>
      </c>
      <c r="D6387" t="s">
        <v>1224</v>
      </c>
      <c r="E6387" s="3" t="str">
        <f>IF(LEN(Base_Periodo1[[#This Row],[CLASS]])&gt;=7,LEFT(Base_Periodo1[[#This Row],[CLASS]],7),"")</f>
        <v>3.2.1.1</v>
      </c>
      <c r="F6387" s="3" t="e">
        <f>VLOOKUP(Base_Periodo1[[#This Row],[Aux]],Base_Contas_Balanco[#All],2,FALSE)</f>
        <v>#N/A</v>
      </c>
      <c r="G6387" s="1"/>
      <c r="H6387" s="225">
        <v>3575.1300000002957</v>
      </c>
      <c r="I6387" s="225">
        <v>739.32</v>
      </c>
      <c r="J6387" s="225">
        <v>2435.4499999999998</v>
      </c>
      <c r="K6387" s="225">
        <v>5271.2600000002949</v>
      </c>
      <c r="L63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5271.26</v>
      </c>
      <c r="M6387" s="225">
        <f>ROUND(IF(AND(Base_Periodo1[[#This Row],[Tipo_Linha]]="-",Base_Periodo1[[#This Row],[TIPOSALDO]]="D"),Base_Periodo1[[#This Row],[SALDO_ATUAL]]*-1,Base_Periodo1[[#This Row],[SALDO_ATUAL]]),4)</f>
        <v>5271.26</v>
      </c>
      <c r="N6387" t="s">
        <v>396</v>
      </c>
      <c r="O6387" t="s">
        <v>459</v>
      </c>
      <c r="P6387" t="s">
        <v>459</v>
      </c>
      <c r="Q6387">
        <v>7</v>
      </c>
      <c r="R6387" s="282">
        <f>Base_Periodo1[[#This Row],[CREDITOS]]-Base_Periodo1[[#This Row],[DEBITOS]]</f>
        <v>1696.1299999999997</v>
      </c>
      <c r="S6387" s="3" t="str">
        <f>IF(ISERROR(VLOOKUP(Base_Periodo1[[#This Row],[CONTA]],BaseContasDRE[#All],4,FALSE)),"Fora do DRE",VLOOKUP(Base_Periodo1[[#This Row],[CONTA]],BaseContasDRE[#All],4,FALSE))</f>
        <v>Fora do DRE</v>
      </c>
      <c r="T6387" s="3" t="str">
        <f>IF(ISERROR(VLOOKUP(Base_Periodo1[[#This Row],[CONTA]],BaseContasDRE[#All],5,FALSE)),"Fora do DRE",VLOOKUP(Base_Periodo1[[#This Row],[CONTA]],BaseContasDRE[#All],6,FALSE))</f>
        <v>Fora do DRE</v>
      </c>
      <c r="U6387" s="3" t="str">
        <f>IF(ISERROR(VLOOKUP(Base_Periodo1[[#This Row],[CONTA]],BaseContasDRE[#All],7,FALSE)),"Fora do DRE",VLOOKUP(Base_Periodo1[[#This Row],[CONTA]],BaseContasDRE[#All],7,FALSE))</f>
        <v>Fora do DRE</v>
      </c>
      <c r="V6387" s="3" t="str">
        <f>IF(Base_Periodo1[[#This Row],[Tipo_Linha]]="Fora do DRE","Fora do DRE","( "&amp;Base_Periodo1[[#This Row],[Tipo_Linha]]&amp;" ) "&amp;Base_Periodo1[[#This Row],[Filtro]])</f>
        <v>Fora do DRE</v>
      </c>
      <c r="W6387" s="3" t="str">
        <f>LEFT(Base_Periodo1[[#This Row],[CLASS]],3)</f>
        <v>3.2</v>
      </c>
    </row>
    <row r="6388" spans="1:23" hidden="1">
      <c r="A6388" s="3" t="str">
        <f t="shared" si="99"/>
        <v>Período 1</v>
      </c>
      <c r="B6388">
        <v>6479</v>
      </c>
      <c r="C6388" t="s">
        <v>4041</v>
      </c>
      <c r="D6388" t="s">
        <v>4022</v>
      </c>
      <c r="E6388" s="3" t="str">
        <f>IF(LEN(Base_Periodo1[[#This Row],[CLASS]])&gt;=7,LEFT(Base_Periodo1[[#This Row],[CLASS]],7),"")</f>
        <v>3.2.1.1</v>
      </c>
      <c r="F6388" s="3" t="e">
        <f>VLOOKUP(Base_Periodo1[[#This Row],[Aux]],Base_Contas_Balanco[#All],2,FALSE)</f>
        <v>#N/A</v>
      </c>
      <c r="G6388" s="1"/>
      <c r="H6388" s="225">
        <v>19278.090000000375</v>
      </c>
      <c r="I6388" s="225">
        <v>0</v>
      </c>
      <c r="J6388" s="225">
        <v>2435.4499999999998</v>
      </c>
      <c r="K6388" s="225">
        <v>21713.540000000376</v>
      </c>
      <c r="L63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21713.54</v>
      </c>
      <c r="M6388" s="225">
        <f>ROUND(IF(AND(Base_Periodo1[[#This Row],[Tipo_Linha]]="-",Base_Periodo1[[#This Row],[TIPOSALDO]]="D"),Base_Periodo1[[#This Row],[SALDO_ATUAL]]*-1,Base_Periodo1[[#This Row],[SALDO_ATUAL]]),4)</f>
        <v>21713.54</v>
      </c>
      <c r="N6388" t="s">
        <v>396</v>
      </c>
      <c r="O6388" t="s">
        <v>459</v>
      </c>
      <c r="P6388" t="s">
        <v>459</v>
      </c>
      <c r="Q6388">
        <v>8</v>
      </c>
      <c r="R6388" s="282">
        <f>Base_Periodo1[[#This Row],[CREDITOS]]-Base_Periodo1[[#This Row],[DEBITOS]]</f>
        <v>2435.4499999999998</v>
      </c>
      <c r="S6388" s="3" t="str">
        <f>IF(ISERROR(VLOOKUP(Base_Periodo1[[#This Row],[CONTA]],BaseContasDRE[#All],4,FALSE)),"Fora do DRE",VLOOKUP(Base_Periodo1[[#This Row],[CONTA]],BaseContasDRE[#All],4,FALSE))</f>
        <v>Fora do DRE</v>
      </c>
      <c r="T6388" s="3" t="str">
        <f>IF(ISERROR(VLOOKUP(Base_Periodo1[[#This Row],[CONTA]],BaseContasDRE[#All],5,FALSE)),"Fora do DRE",VLOOKUP(Base_Periodo1[[#This Row],[CONTA]],BaseContasDRE[#All],6,FALSE))</f>
        <v>Fora do DRE</v>
      </c>
      <c r="U6388" s="3" t="str">
        <f>IF(ISERROR(VLOOKUP(Base_Periodo1[[#This Row],[CONTA]],BaseContasDRE[#All],7,FALSE)),"Fora do DRE",VLOOKUP(Base_Periodo1[[#This Row],[CONTA]],BaseContasDRE[#All],7,FALSE))</f>
        <v>Fora do DRE</v>
      </c>
      <c r="V6388" s="3" t="str">
        <f>IF(Base_Periodo1[[#This Row],[Tipo_Linha]]="Fora do DRE","Fora do DRE","( "&amp;Base_Periodo1[[#This Row],[Tipo_Linha]]&amp;" ) "&amp;Base_Periodo1[[#This Row],[Filtro]])</f>
        <v>Fora do DRE</v>
      </c>
      <c r="W6388" s="3" t="str">
        <f>LEFT(Base_Periodo1[[#This Row],[CLASS]],3)</f>
        <v>3.2</v>
      </c>
    </row>
    <row r="6389" spans="1:23" hidden="1">
      <c r="A6389" s="3" t="str">
        <f t="shared" si="99"/>
        <v>Período 1</v>
      </c>
      <c r="B6389">
        <v>6480</v>
      </c>
      <c r="C6389" t="s">
        <v>4042</v>
      </c>
      <c r="D6389" t="s">
        <v>3987</v>
      </c>
      <c r="E6389" s="3" t="str">
        <f>IF(LEN(Base_Periodo1[[#This Row],[CLASS]])&gt;=7,LEFT(Base_Periodo1[[#This Row],[CLASS]],7),"")</f>
        <v>3.2.1.1</v>
      </c>
      <c r="F6389" s="3" t="e">
        <f>VLOOKUP(Base_Periodo1[[#This Row],[Aux]],Base_Contas_Balanco[#All],2,FALSE)</f>
        <v>#N/A</v>
      </c>
      <c r="G6389" s="1">
        <v>42880</v>
      </c>
      <c r="H6389" s="225">
        <v>19278.090000000375</v>
      </c>
      <c r="I6389" s="225">
        <v>0</v>
      </c>
      <c r="J6389" s="225">
        <v>2435.4499999999998</v>
      </c>
      <c r="K6389" s="225">
        <v>21713.540000000376</v>
      </c>
      <c r="L63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21713.54</v>
      </c>
      <c r="M6389" s="225">
        <f>ROUND(IF(AND(Base_Periodo1[[#This Row],[Tipo_Linha]]="-",Base_Periodo1[[#This Row],[TIPOSALDO]]="D"),Base_Periodo1[[#This Row],[SALDO_ATUAL]]*-1,Base_Periodo1[[#This Row],[SALDO_ATUAL]]),4)</f>
        <v>21713.54</v>
      </c>
      <c r="N6389" t="s">
        <v>116</v>
      </c>
      <c r="O6389" t="s">
        <v>459</v>
      </c>
      <c r="P6389" t="s">
        <v>459</v>
      </c>
      <c r="Q6389">
        <v>9</v>
      </c>
      <c r="R6389" s="282">
        <f>Base_Periodo1[[#This Row],[CREDITOS]]-Base_Periodo1[[#This Row],[DEBITOS]]</f>
        <v>2435.4499999999998</v>
      </c>
      <c r="S6389" s="3" t="str">
        <f>IF(ISERROR(VLOOKUP(Base_Periodo1[[#This Row],[CONTA]],BaseContasDRE[#All],4,FALSE)),"Fora do DRE",VLOOKUP(Base_Periodo1[[#This Row],[CONTA]],BaseContasDRE[#All],4,FALSE))</f>
        <v>+</v>
      </c>
      <c r="T6389" s="3">
        <f>IF(ISERROR(VLOOKUP(Base_Periodo1[[#This Row],[CONTA]],BaseContasDRE[#All],5,FALSE)),"Fora do DRE",VLOOKUP(Base_Periodo1[[#This Row],[CONTA]],BaseContasDRE[#All],6,FALSE))</f>
        <v>1</v>
      </c>
      <c r="U6389" s="3" t="str">
        <f>IF(ISERROR(VLOOKUP(Base_Periodo1[[#This Row],[CONTA]],BaseContasDRE[#All],7,FALSE)),"Fora do DRE",VLOOKUP(Base_Periodo1[[#This Row],[CONTA]],BaseContasDRE[#All],7,FALSE))</f>
        <v>INSUMOS AGROPECUARIOS</v>
      </c>
      <c r="V6389" s="3" t="str">
        <f>IF(Base_Periodo1[[#This Row],[Tipo_Linha]]="Fora do DRE","Fora do DRE","( "&amp;Base_Periodo1[[#This Row],[Tipo_Linha]]&amp;" ) "&amp;Base_Periodo1[[#This Row],[Filtro]])</f>
        <v>( + ) INSUMOS AGROPECUARIOS</v>
      </c>
      <c r="W6389" s="3" t="str">
        <f>LEFT(Base_Periodo1[[#This Row],[CLASS]],3)</f>
        <v>3.2</v>
      </c>
    </row>
    <row r="6390" spans="1:23" hidden="1">
      <c r="A6390" s="3" t="str">
        <f t="shared" si="99"/>
        <v>Período 1</v>
      </c>
      <c r="B6390">
        <v>6486</v>
      </c>
      <c r="C6390" t="s">
        <v>4715</v>
      </c>
      <c r="D6390" t="s">
        <v>3991</v>
      </c>
      <c r="E6390" s="3" t="str">
        <f>IF(LEN(Base_Periodo1[[#This Row],[CLASS]])&gt;=7,LEFT(Base_Periodo1[[#This Row],[CLASS]],7),"")</f>
        <v>3.2.1.1</v>
      </c>
      <c r="F6390" s="3" t="e">
        <f>VLOOKUP(Base_Periodo1[[#This Row],[Aux]],Base_Contas_Balanco[#All],2,FALSE)</f>
        <v>#N/A</v>
      </c>
      <c r="G6390" s="1"/>
      <c r="H6390" s="225">
        <v>463</v>
      </c>
      <c r="I6390" s="225">
        <v>0</v>
      </c>
      <c r="J6390" s="225">
        <v>0</v>
      </c>
      <c r="K6390" s="225">
        <v>463</v>
      </c>
      <c r="L63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-463</v>
      </c>
      <c r="M6390" s="225">
        <f>ROUND(IF(AND(Base_Periodo1[[#This Row],[Tipo_Linha]]="-",Base_Periodo1[[#This Row],[TIPOSALDO]]="D"),Base_Periodo1[[#This Row],[SALDO_ATUAL]]*-1,Base_Periodo1[[#This Row],[SALDO_ATUAL]]),4)</f>
        <v>463</v>
      </c>
      <c r="N6390" t="s">
        <v>396</v>
      </c>
      <c r="O6390" t="s">
        <v>397</v>
      </c>
      <c r="P6390" t="s">
        <v>397</v>
      </c>
      <c r="Q6390">
        <v>8</v>
      </c>
      <c r="R6390" s="282">
        <f>Base_Periodo1[[#This Row],[CREDITOS]]-Base_Periodo1[[#This Row],[DEBITOS]]</f>
        <v>0</v>
      </c>
      <c r="S6390" s="3" t="str">
        <f>IF(ISERROR(VLOOKUP(Base_Periodo1[[#This Row],[CONTA]],BaseContasDRE[#All],4,FALSE)),"Fora do DRE",VLOOKUP(Base_Periodo1[[#This Row],[CONTA]],BaseContasDRE[#All],4,FALSE))</f>
        <v>Fora do DRE</v>
      </c>
      <c r="T6390" s="3" t="str">
        <f>IF(ISERROR(VLOOKUP(Base_Periodo1[[#This Row],[CONTA]],BaseContasDRE[#All],5,FALSE)),"Fora do DRE",VLOOKUP(Base_Periodo1[[#This Row],[CONTA]],BaseContasDRE[#All],6,FALSE))</f>
        <v>Fora do DRE</v>
      </c>
      <c r="U6390" s="3" t="str">
        <f>IF(ISERROR(VLOOKUP(Base_Periodo1[[#This Row],[CONTA]],BaseContasDRE[#All],7,FALSE)),"Fora do DRE",VLOOKUP(Base_Periodo1[[#This Row],[CONTA]],BaseContasDRE[#All],7,FALSE))</f>
        <v>Fora do DRE</v>
      </c>
      <c r="V6390" s="3" t="str">
        <f>IF(Base_Periodo1[[#This Row],[Tipo_Linha]]="Fora do DRE","Fora do DRE","( "&amp;Base_Periodo1[[#This Row],[Tipo_Linha]]&amp;" ) "&amp;Base_Periodo1[[#This Row],[Filtro]])</f>
        <v>Fora do DRE</v>
      </c>
      <c r="W6390" s="3" t="str">
        <f>LEFT(Base_Periodo1[[#This Row],[CLASS]],3)</f>
        <v>3.2</v>
      </c>
    </row>
    <row r="6391" spans="1:23" hidden="1">
      <c r="A6391" s="3" t="str">
        <f t="shared" si="99"/>
        <v>Período 1</v>
      </c>
      <c r="B6391">
        <v>6487</v>
      </c>
      <c r="C6391" t="s">
        <v>4716</v>
      </c>
      <c r="D6391" t="s">
        <v>3992</v>
      </c>
      <c r="E6391" s="3" t="str">
        <f>IF(LEN(Base_Periodo1[[#This Row],[CLASS]])&gt;=7,LEFT(Base_Periodo1[[#This Row],[CLASS]],7),"")</f>
        <v>3.2.1.1</v>
      </c>
      <c r="F6391" s="3" t="e">
        <f>VLOOKUP(Base_Periodo1[[#This Row],[Aux]],Base_Contas_Balanco[#All],2,FALSE)</f>
        <v>#N/A</v>
      </c>
      <c r="G6391" s="1">
        <v>42762</v>
      </c>
      <c r="H6391" s="225">
        <v>463</v>
      </c>
      <c r="I6391" s="225">
        <v>0</v>
      </c>
      <c r="J6391" s="225">
        <v>0</v>
      </c>
      <c r="K6391" s="225">
        <v>463</v>
      </c>
      <c r="L63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-463</v>
      </c>
      <c r="M6391" s="225">
        <f>ROUND(IF(AND(Base_Periodo1[[#This Row],[Tipo_Linha]]="-",Base_Periodo1[[#This Row],[TIPOSALDO]]="D"),Base_Periodo1[[#This Row],[SALDO_ATUAL]]*-1,Base_Periodo1[[#This Row],[SALDO_ATUAL]]),4)</f>
        <v>-463</v>
      </c>
      <c r="N6391" t="s">
        <v>116</v>
      </c>
      <c r="O6391" t="s">
        <v>397</v>
      </c>
      <c r="P6391" t="s">
        <v>397</v>
      </c>
      <c r="Q6391">
        <v>9</v>
      </c>
      <c r="R6391" s="282">
        <f>Base_Periodo1[[#This Row],[CREDITOS]]-Base_Periodo1[[#This Row],[DEBITOS]]</f>
        <v>0</v>
      </c>
      <c r="S6391" s="3" t="str">
        <f>IF(ISERROR(VLOOKUP(Base_Periodo1[[#This Row],[CONTA]],BaseContasDRE[#All],4,FALSE)),"Fora do DRE",VLOOKUP(Base_Periodo1[[#This Row],[CONTA]],BaseContasDRE[#All],4,FALSE))</f>
        <v>-</v>
      </c>
      <c r="T6391" s="3">
        <f>IF(ISERROR(VLOOKUP(Base_Periodo1[[#This Row],[CONTA]],BaseContasDRE[#All],5,FALSE)),"Fora do DRE",VLOOKUP(Base_Periodo1[[#This Row],[CONTA]],BaseContasDRE[#All],6,FALSE))</f>
        <v>2</v>
      </c>
      <c r="U6391" s="3" t="str">
        <f>IF(ISERROR(VLOOKUP(Base_Periodo1[[#This Row],[CONTA]],BaseContasDRE[#All],7,FALSE)),"Fora do DRE",VLOOKUP(Base_Periodo1[[#This Row],[CONTA]],BaseContasDRE[#All],7,FALSE))</f>
        <v>DEVOLUÇÃO DE INSUMOS AGROPECUARIOS</v>
      </c>
      <c r="V6391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6391" s="3" t="str">
        <f>LEFT(Base_Periodo1[[#This Row],[CLASS]],3)</f>
        <v>3.2</v>
      </c>
    </row>
    <row r="6392" spans="1:23" hidden="1">
      <c r="A6392" s="3" t="str">
        <f t="shared" si="99"/>
        <v>Período 1</v>
      </c>
      <c r="B6392">
        <v>6490</v>
      </c>
      <c r="C6392" t="s">
        <v>4043</v>
      </c>
      <c r="D6392" t="s">
        <v>3995</v>
      </c>
      <c r="E6392" s="3" t="str">
        <f>IF(LEN(Base_Periodo1[[#This Row],[CLASS]])&gt;=7,LEFT(Base_Periodo1[[#This Row],[CLASS]],7),"")</f>
        <v>3.2.1.1</v>
      </c>
      <c r="F6392" s="3" t="e">
        <f>VLOOKUP(Base_Periodo1[[#This Row],[Aux]],Base_Contas_Balanco[#All],2,FALSE)</f>
        <v>#N/A</v>
      </c>
      <c r="G6392" s="1"/>
      <c r="H6392" s="225">
        <v>15239.960000000079</v>
      </c>
      <c r="I6392" s="225">
        <v>739.32</v>
      </c>
      <c r="J6392" s="225">
        <v>0</v>
      </c>
      <c r="K6392" s="225">
        <v>15979.280000000079</v>
      </c>
      <c r="L63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-15979.28</v>
      </c>
      <c r="M6392" s="225">
        <f>ROUND(IF(AND(Base_Periodo1[[#This Row],[Tipo_Linha]]="-",Base_Periodo1[[#This Row],[TIPOSALDO]]="D"),Base_Periodo1[[#This Row],[SALDO_ATUAL]]*-1,Base_Periodo1[[#This Row],[SALDO_ATUAL]]),4)</f>
        <v>15979.28</v>
      </c>
      <c r="N6392" t="s">
        <v>396</v>
      </c>
      <c r="O6392" t="s">
        <v>397</v>
      </c>
      <c r="P6392" t="s">
        <v>397</v>
      </c>
      <c r="Q6392">
        <v>8</v>
      </c>
      <c r="R6392" s="282">
        <f>Base_Periodo1[[#This Row],[CREDITOS]]-Base_Periodo1[[#This Row],[DEBITOS]]</f>
        <v>-739.32</v>
      </c>
      <c r="S6392" s="3" t="str">
        <f>IF(ISERROR(VLOOKUP(Base_Periodo1[[#This Row],[CONTA]],BaseContasDRE[#All],4,FALSE)),"Fora do DRE",VLOOKUP(Base_Periodo1[[#This Row],[CONTA]],BaseContasDRE[#All],4,FALSE))</f>
        <v>Fora do DRE</v>
      </c>
      <c r="T6392" s="3" t="str">
        <f>IF(ISERROR(VLOOKUP(Base_Periodo1[[#This Row],[CONTA]],BaseContasDRE[#All],5,FALSE)),"Fora do DRE",VLOOKUP(Base_Periodo1[[#This Row],[CONTA]],BaseContasDRE[#All],6,FALSE))</f>
        <v>Fora do DRE</v>
      </c>
      <c r="U6392" s="3" t="str">
        <f>IF(ISERROR(VLOOKUP(Base_Periodo1[[#This Row],[CONTA]],BaseContasDRE[#All],7,FALSE)),"Fora do DRE",VLOOKUP(Base_Periodo1[[#This Row],[CONTA]],BaseContasDRE[#All],7,FALSE))</f>
        <v>Fora do DRE</v>
      </c>
      <c r="V6392" s="3" t="str">
        <f>IF(Base_Periodo1[[#This Row],[Tipo_Linha]]="Fora do DRE","Fora do DRE","( "&amp;Base_Periodo1[[#This Row],[Tipo_Linha]]&amp;" ) "&amp;Base_Periodo1[[#This Row],[Filtro]])</f>
        <v>Fora do DRE</v>
      </c>
      <c r="W6392" s="3" t="str">
        <f>LEFT(Base_Periodo1[[#This Row],[CLASS]],3)</f>
        <v>3.2</v>
      </c>
    </row>
    <row r="6393" spans="1:23" hidden="1">
      <c r="A6393" s="3" t="str">
        <f t="shared" si="99"/>
        <v>Período 1</v>
      </c>
      <c r="B6393">
        <v>6491</v>
      </c>
      <c r="C6393" t="s">
        <v>4044</v>
      </c>
      <c r="D6393" t="s">
        <v>3997</v>
      </c>
      <c r="E6393" s="3" t="str">
        <f>IF(LEN(Base_Periodo1[[#This Row],[CLASS]])&gt;=7,LEFT(Base_Periodo1[[#This Row],[CLASS]],7),"")</f>
        <v>3.2.1.1</v>
      </c>
      <c r="F6393" s="3" t="e">
        <f>VLOOKUP(Base_Periodo1[[#This Row],[Aux]],Base_Contas_Balanco[#All],2,FALSE)</f>
        <v>#N/A</v>
      </c>
      <c r="G6393" s="1">
        <v>42886</v>
      </c>
      <c r="H6393" s="225">
        <v>15239.960000000079</v>
      </c>
      <c r="I6393" s="225">
        <v>739.32</v>
      </c>
      <c r="J6393" s="225">
        <v>0</v>
      </c>
      <c r="K6393" s="225">
        <v>15979.280000000079</v>
      </c>
      <c r="L63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-15979.28</v>
      </c>
      <c r="M6393" s="225">
        <f>ROUND(IF(AND(Base_Periodo1[[#This Row],[Tipo_Linha]]="-",Base_Periodo1[[#This Row],[TIPOSALDO]]="D"),Base_Periodo1[[#This Row],[SALDO_ATUAL]]*-1,Base_Periodo1[[#This Row],[SALDO_ATUAL]]),4)</f>
        <v>-15979.28</v>
      </c>
      <c r="N6393" t="s">
        <v>116</v>
      </c>
      <c r="O6393" t="s">
        <v>397</v>
      </c>
      <c r="P6393" t="s">
        <v>397</v>
      </c>
      <c r="Q6393">
        <v>9</v>
      </c>
      <c r="R6393" s="282">
        <f>Base_Periodo1[[#This Row],[CREDITOS]]-Base_Periodo1[[#This Row],[DEBITOS]]</f>
        <v>-739.32</v>
      </c>
      <c r="S6393" s="3" t="str">
        <f>IF(ISERROR(VLOOKUP(Base_Periodo1[[#This Row],[CONTA]],BaseContasDRE[#All],4,FALSE)),"Fora do DRE",VLOOKUP(Base_Periodo1[[#This Row],[CONTA]],BaseContasDRE[#All],4,FALSE))</f>
        <v>-</v>
      </c>
      <c r="T6393" s="3">
        <f>IF(ISERROR(VLOOKUP(Base_Periodo1[[#This Row],[CONTA]],BaseContasDRE[#All],5,FALSE)),"Fora do DRE",VLOOKUP(Base_Periodo1[[#This Row],[CONTA]],BaseContasDRE[#All],6,FALSE))</f>
        <v>3</v>
      </c>
      <c r="U6393" s="3" t="str">
        <f>IF(ISERROR(VLOOKUP(Base_Periodo1[[#This Row],[CONTA]],BaseContasDRE[#All],7,FALSE)),"Fora do DRE",VLOOKUP(Base_Periodo1[[#This Row],[CONTA]],BaseContasDRE[#All],7,FALSE))</f>
        <v>INSUMOS AGROPECUARIOS</v>
      </c>
      <c r="V6393" s="3" t="str">
        <f>IF(Base_Periodo1[[#This Row],[Tipo_Linha]]="Fora do DRE","Fora do DRE","( "&amp;Base_Periodo1[[#This Row],[Tipo_Linha]]&amp;" ) "&amp;Base_Periodo1[[#This Row],[Filtro]])</f>
        <v>( - ) INSUMOS AGROPECUARIOS</v>
      </c>
      <c r="W6393" s="3" t="str">
        <f>LEFT(Base_Periodo1[[#This Row],[CLASS]],3)</f>
        <v>3.2</v>
      </c>
    </row>
    <row r="6394" spans="1:23" hidden="1">
      <c r="A6394" s="3" t="str">
        <f t="shared" si="99"/>
        <v>Período 1</v>
      </c>
      <c r="B6394">
        <v>6494</v>
      </c>
      <c r="C6394" t="s">
        <v>6063</v>
      </c>
      <c r="D6394" t="s">
        <v>6064</v>
      </c>
      <c r="E6394" s="3" t="str">
        <f>IF(LEN(Base_Periodo1[[#This Row],[CLASS]])&gt;=7,LEFT(Base_Periodo1[[#This Row],[CLASS]],7),"")</f>
        <v>3.2.1.1</v>
      </c>
      <c r="F6394" s="3" t="e">
        <f>VLOOKUP(Base_Periodo1[[#This Row],[Aux]],Base_Contas_Balanco[#All],2,FALSE)</f>
        <v>#N/A</v>
      </c>
      <c r="G6394" s="1"/>
      <c r="H6394" s="225">
        <v>304.4299999999912</v>
      </c>
      <c r="I6394" s="225">
        <v>0</v>
      </c>
      <c r="J6394" s="225">
        <v>0</v>
      </c>
      <c r="K6394" s="225">
        <v>304.4299999999912</v>
      </c>
      <c r="L63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-304.43</v>
      </c>
      <c r="M6394" s="225">
        <f>ROUND(IF(AND(Base_Periodo1[[#This Row],[Tipo_Linha]]="-",Base_Periodo1[[#This Row],[TIPOSALDO]]="D"),Base_Periodo1[[#This Row],[SALDO_ATUAL]]*-1,Base_Periodo1[[#This Row],[SALDO_ATUAL]]),4)</f>
        <v>304.43</v>
      </c>
      <c r="N6394" t="s">
        <v>396</v>
      </c>
      <c r="O6394" t="s">
        <v>397</v>
      </c>
      <c r="P6394" t="s">
        <v>397</v>
      </c>
      <c r="Q6394">
        <v>7</v>
      </c>
      <c r="R6394" s="282">
        <f>Base_Periodo1[[#This Row],[CREDITOS]]-Base_Periodo1[[#This Row],[DEBITOS]]</f>
        <v>0</v>
      </c>
      <c r="S6394" s="3" t="str">
        <f>IF(ISERROR(VLOOKUP(Base_Periodo1[[#This Row],[CONTA]],BaseContasDRE[#All],4,FALSE)),"Fora do DRE",VLOOKUP(Base_Periodo1[[#This Row],[CONTA]],BaseContasDRE[#All],4,FALSE))</f>
        <v>Fora do DRE</v>
      </c>
      <c r="T6394" s="3" t="str">
        <f>IF(ISERROR(VLOOKUP(Base_Periodo1[[#This Row],[CONTA]],BaseContasDRE[#All],5,FALSE)),"Fora do DRE",VLOOKUP(Base_Periodo1[[#This Row],[CONTA]],BaseContasDRE[#All],6,FALSE))</f>
        <v>Fora do DRE</v>
      </c>
      <c r="U6394" s="3" t="str">
        <f>IF(ISERROR(VLOOKUP(Base_Periodo1[[#This Row],[CONTA]],BaseContasDRE[#All],7,FALSE)),"Fora do DRE",VLOOKUP(Base_Periodo1[[#This Row],[CONTA]],BaseContasDRE[#All],7,FALSE))</f>
        <v>Fora do DRE</v>
      </c>
      <c r="V6394" s="3" t="str">
        <f>IF(Base_Periodo1[[#This Row],[Tipo_Linha]]="Fora do DRE","Fora do DRE","( "&amp;Base_Periodo1[[#This Row],[Tipo_Linha]]&amp;" ) "&amp;Base_Periodo1[[#This Row],[Filtro]])</f>
        <v>Fora do DRE</v>
      </c>
      <c r="W6394" s="3" t="str">
        <f>LEFT(Base_Periodo1[[#This Row],[CLASS]],3)</f>
        <v>3.2</v>
      </c>
    </row>
    <row r="6395" spans="1:23" hidden="1">
      <c r="A6395" s="3" t="str">
        <f t="shared" si="99"/>
        <v>Período 1</v>
      </c>
      <c r="B6395">
        <v>6497</v>
      </c>
      <c r="C6395" t="s">
        <v>6065</v>
      </c>
      <c r="D6395" t="s">
        <v>3995</v>
      </c>
      <c r="E6395" s="3" t="str">
        <f>IF(LEN(Base_Periodo1[[#This Row],[CLASS]])&gt;=7,LEFT(Base_Periodo1[[#This Row],[CLASS]],7),"")</f>
        <v>3.2.1.1</v>
      </c>
      <c r="F6395" s="3" t="e">
        <f>VLOOKUP(Base_Periodo1[[#This Row],[Aux]],Base_Contas_Balanco[#All],2,FALSE)</f>
        <v>#N/A</v>
      </c>
      <c r="G6395" s="1"/>
      <c r="H6395" s="225">
        <v>304.42999999999302</v>
      </c>
      <c r="I6395" s="225">
        <v>0</v>
      </c>
      <c r="J6395" s="225">
        <v>0</v>
      </c>
      <c r="K6395" s="225">
        <v>304.42999999999302</v>
      </c>
      <c r="L63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-304.43</v>
      </c>
      <c r="M6395" s="225">
        <f>ROUND(IF(AND(Base_Periodo1[[#This Row],[Tipo_Linha]]="-",Base_Periodo1[[#This Row],[TIPOSALDO]]="D"),Base_Periodo1[[#This Row],[SALDO_ATUAL]]*-1,Base_Periodo1[[#This Row],[SALDO_ATUAL]]),4)</f>
        <v>304.43</v>
      </c>
      <c r="N6395" t="s">
        <v>396</v>
      </c>
      <c r="O6395" t="s">
        <v>397</v>
      </c>
      <c r="P6395" t="s">
        <v>397</v>
      </c>
      <c r="Q6395">
        <v>8</v>
      </c>
      <c r="R6395" s="282">
        <f>Base_Periodo1[[#This Row],[CREDITOS]]-Base_Periodo1[[#This Row],[DEBITOS]]</f>
        <v>0</v>
      </c>
      <c r="S6395" s="3" t="str">
        <f>IF(ISERROR(VLOOKUP(Base_Periodo1[[#This Row],[CONTA]],BaseContasDRE[#All],4,FALSE)),"Fora do DRE",VLOOKUP(Base_Periodo1[[#This Row],[CONTA]],BaseContasDRE[#All],4,FALSE))</f>
        <v>Fora do DRE</v>
      </c>
      <c r="T6395" s="3" t="str">
        <f>IF(ISERROR(VLOOKUP(Base_Periodo1[[#This Row],[CONTA]],BaseContasDRE[#All],5,FALSE)),"Fora do DRE",VLOOKUP(Base_Periodo1[[#This Row],[CONTA]],BaseContasDRE[#All],6,FALSE))</f>
        <v>Fora do DRE</v>
      </c>
      <c r="U6395" s="3" t="str">
        <f>IF(ISERROR(VLOOKUP(Base_Periodo1[[#This Row],[CONTA]],BaseContasDRE[#All],7,FALSE)),"Fora do DRE",VLOOKUP(Base_Periodo1[[#This Row],[CONTA]],BaseContasDRE[#All],7,FALSE))</f>
        <v>Fora do DRE</v>
      </c>
      <c r="V6395" s="3" t="str">
        <f>IF(Base_Periodo1[[#This Row],[Tipo_Linha]]="Fora do DRE","Fora do DRE","( "&amp;Base_Periodo1[[#This Row],[Tipo_Linha]]&amp;" ) "&amp;Base_Periodo1[[#This Row],[Filtro]])</f>
        <v>Fora do DRE</v>
      </c>
      <c r="W6395" s="3" t="str">
        <f>LEFT(Base_Periodo1[[#This Row],[CLASS]],3)</f>
        <v>3.2</v>
      </c>
    </row>
    <row r="6396" spans="1:23" hidden="1">
      <c r="A6396" s="3" t="str">
        <f t="shared" si="99"/>
        <v>Período 1</v>
      </c>
      <c r="B6396">
        <v>6498</v>
      </c>
      <c r="C6396" t="s">
        <v>6066</v>
      </c>
      <c r="D6396" t="s">
        <v>3997</v>
      </c>
      <c r="E6396" s="3" t="str">
        <f>IF(LEN(Base_Periodo1[[#This Row],[CLASS]])&gt;=7,LEFT(Base_Periodo1[[#This Row],[CLASS]],7),"")</f>
        <v>3.2.1.1</v>
      </c>
      <c r="F6396" s="3" t="e">
        <f>VLOOKUP(Base_Periodo1[[#This Row],[Aux]],Base_Contas_Balanco[#All],2,FALSE)</f>
        <v>#N/A</v>
      </c>
      <c r="G6396" s="1">
        <v>42886</v>
      </c>
      <c r="H6396" s="225">
        <v>304.42999999999302</v>
      </c>
      <c r="I6396" s="225">
        <v>0</v>
      </c>
      <c r="J6396" s="225">
        <v>0</v>
      </c>
      <c r="K6396" s="225">
        <v>304.42999999999302</v>
      </c>
      <c r="L63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-304.43</v>
      </c>
      <c r="M6396" s="225">
        <f>ROUND(IF(AND(Base_Periodo1[[#This Row],[Tipo_Linha]]="-",Base_Periodo1[[#This Row],[TIPOSALDO]]="D"),Base_Periodo1[[#This Row],[SALDO_ATUAL]]*-1,Base_Periodo1[[#This Row],[SALDO_ATUAL]]),4)</f>
        <v>-304.43</v>
      </c>
      <c r="N6396" t="s">
        <v>116</v>
      </c>
      <c r="O6396" t="s">
        <v>397</v>
      </c>
      <c r="P6396" t="s">
        <v>397</v>
      </c>
      <c r="Q6396">
        <v>9</v>
      </c>
      <c r="R6396" s="282">
        <f>Base_Periodo1[[#This Row],[CREDITOS]]-Base_Periodo1[[#This Row],[DEBITOS]]</f>
        <v>0</v>
      </c>
      <c r="S6396" s="3" t="str">
        <f>IF(ISERROR(VLOOKUP(Base_Periodo1[[#This Row],[CONTA]],BaseContasDRE[#All],4,FALSE)),"Fora do DRE",VLOOKUP(Base_Periodo1[[#This Row],[CONTA]],BaseContasDRE[#All],4,FALSE))</f>
        <v>-</v>
      </c>
      <c r="T6396" s="3">
        <f>IF(ISERROR(VLOOKUP(Base_Periodo1[[#This Row],[CONTA]],BaseContasDRE[#All],5,FALSE)),"Fora do DRE",VLOOKUP(Base_Periodo1[[#This Row],[CONTA]],BaseContasDRE[#All],6,FALSE))</f>
        <v>3</v>
      </c>
      <c r="U6396" s="3" t="str">
        <f>IF(ISERROR(VLOOKUP(Base_Periodo1[[#This Row],[CONTA]],BaseContasDRE[#All],7,FALSE)),"Fora do DRE",VLOOKUP(Base_Periodo1[[#This Row],[CONTA]],BaseContasDRE[#All],7,FALSE))</f>
        <v>INSUMOS AGROPECUARIOS</v>
      </c>
      <c r="V6396" s="3" t="str">
        <f>IF(Base_Periodo1[[#This Row],[Tipo_Linha]]="Fora do DRE","Fora do DRE","( "&amp;Base_Periodo1[[#This Row],[Tipo_Linha]]&amp;" ) "&amp;Base_Periodo1[[#This Row],[Filtro]])</f>
        <v>( - ) INSUMOS AGROPECUARIOS</v>
      </c>
      <c r="W6396" s="3" t="str">
        <f>LEFT(Base_Periodo1[[#This Row],[CLASS]],3)</f>
        <v>3.2</v>
      </c>
    </row>
    <row r="6397" spans="1:23" hidden="1">
      <c r="A6397" s="3" t="str">
        <f t="shared" si="99"/>
        <v>Período 1</v>
      </c>
      <c r="B6397">
        <v>6499</v>
      </c>
      <c r="C6397" t="s">
        <v>4045</v>
      </c>
      <c r="D6397" t="s">
        <v>1244</v>
      </c>
      <c r="E6397" s="3" t="str">
        <f>IF(LEN(Base_Periodo1[[#This Row],[CLASS]])&gt;=7,LEFT(Base_Periodo1[[#This Row],[CLASS]],7),"")</f>
        <v>3.2.1.1</v>
      </c>
      <c r="F6397" s="3" t="e">
        <f>VLOOKUP(Base_Periodo1[[#This Row],[Aux]],Base_Contas_Balanco[#All],2,FALSE)</f>
        <v>#N/A</v>
      </c>
      <c r="G6397" s="1"/>
      <c r="H6397" s="225">
        <v>30557.00000000505</v>
      </c>
      <c r="I6397" s="225">
        <v>173422.46000000002</v>
      </c>
      <c r="J6397" s="225">
        <v>175867.43999999997</v>
      </c>
      <c r="K6397" s="225">
        <v>28112.020000005112</v>
      </c>
      <c r="L63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-28112.02</v>
      </c>
      <c r="M6397" s="225">
        <f>ROUND(IF(AND(Base_Periodo1[[#This Row],[Tipo_Linha]]="-",Base_Periodo1[[#This Row],[TIPOSALDO]]="D"),Base_Periodo1[[#This Row],[SALDO_ATUAL]]*-1,Base_Periodo1[[#This Row],[SALDO_ATUAL]]),4)</f>
        <v>28112.02</v>
      </c>
      <c r="N6397" t="s">
        <v>396</v>
      </c>
      <c r="O6397" t="s">
        <v>397</v>
      </c>
      <c r="P6397" t="s">
        <v>397</v>
      </c>
      <c r="Q6397">
        <v>6</v>
      </c>
      <c r="R6397" s="282">
        <f>Base_Periodo1[[#This Row],[CREDITOS]]-Base_Periodo1[[#This Row],[DEBITOS]]</f>
        <v>2444.9799999999523</v>
      </c>
      <c r="S6397" s="3" t="str">
        <f>IF(ISERROR(VLOOKUP(Base_Periodo1[[#This Row],[CONTA]],BaseContasDRE[#All],4,FALSE)),"Fora do DRE",VLOOKUP(Base_Periodo1[[#This Row],[CONTA]],BaseContasDRE[#All],4,FALSE))</f>
        <v>Fora do DRE</v>
      </c>
      <c r="T6397" s="3" t="str">
        <f>IF(ISERROR(VLOOKUP(Base_Periodo1[[#This Row],[CONTA]],BaseContasDRE[#All],5,FALSE)),"Fora do DRE",VLOOKUP(Base_Periodo1[[#This Row],[CONTA]],BaseContasDRE[#All],6,FALSE))</f>
        <v>Fora do DRE</v>
      </c>
      <c r="U6397" s="3" t="str">
        <f>IF(ISERROR(VLOOKUP(Base_Periodo1[[#This Row],[CONTA]],BaseContasDRE[#All],7,FALSE)),"Fora do DRE",VLOOKUP(Base_Periodo1[[#This Row],[CONTA]],BaseContasDRE[#All],7,FALSE))</f>
        <v>Fora do DRE</v>
      </c>
      <c r="V6397" s="3" t="str">
        <f>IF(Base_Periodo1[[#This Row],[Tipo_Linha]]="Fora do DRE","Fora do DRE","( "&amp;Base_Periodo1[[#This Row],[Tipo_Linha]]&amp;" ) "&amp;Base_Periodo1[[#This Row],[Filtro]])</f>
        <v>Fora do DRE</v>
      </c>
      <c r="W6397" s="3" t="str">
        <f>LEFT(Base_Periodo1[[#This Row],[CLASS]],3)</f>
        <v>3.2</v>
      </c>
    </row>
    <row r="6398" spans="1:23" hidden="1">
      <c r="A6398" s="3" t="str">
        <f t="shared" si="99"/>
        <v>Período 1</v>
      </c>
      <c r="B6398">
        <v>6500</v>
      </c>
      <c r="C6398" t="s">
        <v>4046</v>
      </c>
      <c r="D6398" t="s">
        <v>1245</v>
      </c>
      <c r="E6398" s="3" t="str">
        <f>IF(LEN(Base_Periodo1[[#This Row],[CLASS]])&gt;=7,LEFT(Base_Periodo1[[#This Row],[CLASS]],7),"")</f>
        <v>3.2.1.1</v>
      </c>
      <c r="F6398" s="3" t="e">
        <f>VLOOKUP(Base_Periodo1[[#This Row],[Aux]],Base_Contas_Balanco[#All],2,FALSE)</f>
        <v>#N/A</v>
      </c>
      <c r="G6398" s="1"/>
      <c r="H6398" s="225">
        <v>77687.180000003777</v>
      </c>
      <c r="I6398" s="225">
        <v>0</v>
      </c>
      <c r="J6398" s="225">
        <v>0</v>
      </c>
      <c r="K6398" s="225">
        <v>77687.180000003777</v>
      </c>
      <c r="L63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-77687.179999999993</v>
      </c>
      <c r="M6398" s="225">
        <f>ROUND(IF(AND(Base_Periodo1[[#This Row],[Tipo_Linha]]="-",Base_Periodo1[[#This Row],[TIPOSALDO]]="D"),Base_Periodo1[[#This Row],[SALDO_ATUAL]]*-1,Base_Periodo1[[#This Row],[SALDO_ATUAL]]),4)</f>
        <v>77687.179999999993</v>
      </c>
      <c r="N6398" t="s">
        <v>396</v>
      </c>
      <c r="O6398" t="s">
        <v>397</v>
      </c>
      <c r="P6398" t="s">
        <v>397</v>
      </c>
      <c r="Q6398">
        <v>7</v>
      </c>
      <c r="R6398" s="282">
        <f>Base_Periodo1[[#This Row],[CREDITOS]]-Base_Periodo1[[#This Row],[DEBITOS]]</f>
        <v>0</v>
      </c>
      <c r="S6398" s="3" t="str">
        <f>IF(ISERROR(VLOOKUP(Base_Periodo1[[#This Row],[CONTA]],BaseContasDRE[#All],4,FALSE)),"Fora do DRE",VLOOKUP(Base_Periodo1[[#This Row],[CONTA]],BaseContasDRE[#All],4,FALSE))</f>
        <v>Fora do DRE</v>
      </c>
      <c r="T6398" s="3" t="str">
        <f>IF(ISERROR(VLOOKUP(Base_Periodo1[[#This Row],[CONTA]],BaseContasDRE[#All],5,FALSE)),"Fora do DRE",VLOOKUP(Base_Periodo1[[#This Row],[CONTA]],BaseContasDRE[#All],6,FALSE))</f>
        <v>Fora do DRE</v>
      </c>
      <c r="U6398" s="3" t="str">
        <f>IF(ISERROR(VLOOKUP(Base_Periodo1[[#This Row],[CONTA]],BaseContasDRE[#All],7,FALSE)),"Fora do DRE",VLOOKUP(Base_Periodo1[[#This Row],[CONTA]],BaseContasDRE[#All],7,FALSE))</f>
        <v>Fora do DRE</v>
      </c>
      <c r="V6398" s="3" t="str">
        <f>IF(Base_Periodo1[[#This Row],[Tipo_Linha]]="Fora do DRE","Fora do DRE","( "&amp;Base_Periodo1[[#This Row],[Tipo_Linha]]&amp;" ) "&amp;Base_Periodo1[[#This Row],[Filtro]])</f>
        <v>Fora do DRE</v>
      </c>
      <c r="W6398" s="3" t="str">
        <f>LEFT(Base_Periodo1[[#This Row],[CLASS]],3)</f>
        <v>3.2</v>
      </c>
    </row>
    <row r="6399" spans="1:23" hidden="1">
      <c r="A6399" s="3" t="str">
        <f t="shared" si="99"/>
        <v>Período 1</v>
      </c>
      <c r="B6399">
        <v>6501</v>
      </c>
      <c r="C6399" t="s">
        <v>4047</v>
      </c>
      <c r="D6399" t="s">
        <v>3985</v>
      </c>
      <c r="E6399" s="3" t="str">
        <f>IF(LEN(Base_Periodo1[[#This Row],[CLASS]])&gt;=7,LEFT(Base_Periodo1[[#This Row],[CLASS]],7),"")</f>
        <v>3.2.1.1</v>
      </c>
      <c r="F6399" s="3" t="e">
        <f>VLOOKUP(Base_Periodo1[[#This Row],[Aux]],Base_Contas_Balanco[#All],2,FALSE)</f>
        <v>#N/A</v>
      </c>
      <c r="G6399" s="1"/>
      <c r="H6399" s="225">
        <v>72961.979999996722</v>
      </c>
      <c r="I6399" s="225">
        <v>0</v>
      </c>
      <c r="J6399" s="225">
        <v>0</v>
      </c>
      <c r="K6399" s="225">
        <v>72961.979999996722</v>
      </c>
      <c r="L63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72961.98</v>
      </c>
      <c r="M6399" s="225">
        <f>ROUND(IF(AND(Base_Periodo1[[#This Row],[Tipo_Linha]]="-",Base_Periodo1[[#This Row],[TIPOSALDO]]="D"),Base_Periodo1[[#This Row],[SALDO_ATUAL]]*-1,Base_Periodo1[[#This Row],[SALDO_ATUAL]]),4)</f>
        <v>72961.98</v>
      </c>
      <c r="N6399" t="s">
        <v>396</v>
      </c>
      <c r="O6399" t="s">
        <v>459</v>
      </c>
      <c r="P6399" t="s">
        <v>459</v>
      </c>
      <c r="Q6399">
        <v>8</v>
      </c>
      <c r="R6399" s="282">
        <f>Base_Periodo1[[#This Row],[CREDITOS]]-Base_Periodo1[[#This Row],[DEBITOS]]</f>
        <v>0</v>
      </c>
      <c r="S6399" s="3" t="str">
        <f>IF(ISERROR(VLOOKUP(Base_Periodo1[[#This Row],[CONTA]],BaseContasDRE[#All],4,FALSE)),"Fora do DRE",VLOOKUP(Base_Periodo1[[#This Row],[CONTA]],BaseContasDRE[#All],4,FALSE))</f>
        <v>Fora do DRE</v>
      </c>
      <c r="T6399" s="3" t="str">
        <f>IF(ISERROR(VLOOKUP(Base_Periodo1[[#This Row],[CONTA]],BaseContasDRE[#All],5,FALSE)),"Fora do DRE",VLOOKUP(Base_Periodo1[[#This Row],[CONTA]],BaseContasDRE[#All],6,FALSE))</f>
        <v>Fora do DRE</v>
      </c>
      <c r="U6399" s="3" t="str">
        <f>IF(ISERROR(VLOOKUP(Base_Periodo1[[#This Row],[CONTA]],BaseContasDRE[#All],7,FALSE)),"Fora do DRE",VLOOKUP(Base_Periodo1[[#This Row],[CONTA]],BaseContasDRE[#All],7,FALSE))</f>
        <v>Fora do DRE</v>
      </c>
      <c r="V6399" s="3" t="str">
        <f>IF(Base_Periodo1[[#This Row],[Tipo_Linha]]="Fora do DRE","Fora do DRE","( "&amp;Base_Periodo1[[#This Row],[Tipo_Linha]]&amp;" ) "&amp;Base_Periodo1[[#This Row],[Filtro]])</f>
        <v>Fora do DRE</v>
      </c>
      <c r="W6399" s="3" t="str">
        <f>LEFT(Base_Periodo1[[#This Row],[CLASS]],3)</f>
        <v>3.2</v>
      </c>
    </row>
    <row r="6400" spans="1:23" hidden="1">
      <c r="A6400" s="3" t="str">
        <f t="shared" si="99"/>
        <v>Período 1</v>
      </c>
      <c r="B6400">
        <v>6502</v>
      </c>
      <c r="C6400" t="s">
        <v>4048</v>
      </c>
      <c r="D6400" t="s">
        <v>3987</v>
      </c>
      <c r="E6400" s="3" t="str">
        <f>IF(LEN(Base_Periodo1[[#This Row],[CLASS]])&gt;=7,LEFT(Base_Periodo1[[#This Row],[CLASS]],7),"")</f>
        <v>3.2.1.1</v>
      </c>
      <c r="F6400" s="3" t="e">
        <f>VLOOKUP(Base_Periodo1[[#This Row],[Aux]],Base_Contas_Balanco[#All],2,FALSE)</f>
        <v>#N/A</v>
      </c>
      <c r="G6400" s="1">
        <v>42780</v>
      </c>
      <c r="H6400" s="225">
        <v>72961.979999996722</v>
      </c>
      <c r="I6400" s="225">
        <v>0</v>
      </c>
      <c r="J6400" s="225">
        <v>0</v>
      </c>
      <c r="K6400" s="225">
        <v>72961.979999996722</v>
      </c>
      <c r="L64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72961.98</v>
      </c>
      <c r="M6400" s="225">
        <f>ROUND(IF(AND(Base_Periodo1[[#This Row],[Tipo_Linha]]="-",Base_Periodo1[[#This Row],[TIPOSALDO]]="D"),Base_Periodo1[[#This Row],[SALDO_ATUAL]]*-1,Base_Periodo1[[#This Row],[SALDO_ATUAL]]),4)</f>
        <v>72961.98</v>
      </c>
      <c r="N6400" t="s">
        <v>116</v>
      </c>
      <c r="O6400" t="s">
        <v>459</v>
      </c>
      <c r="P6400" t="s">
        <v>459</v>
      </c>
      <c r="Q6400">
        <v>9</v>
      </c>
      <c r="R6400" s="282">
        <f>Base_Periodo1[[#This Row],[CREDITOS]]-Base_Periodo1[[#This Row],[DEBITOS]]</f>
        <v>0</v>
      </c>
      <c r="S6400" s="3" t="str">
        <f>IF(ISERROR(VLOOKUP(Base_Periodo1[[#This Row],[CONTA]],BaseContasDRE[#All],4,FALSE)),"Fora do DRE",VLOOKUP(Base_Periodo1[[#This Row],[CONTA]],BaseContasDRE[#All],4,FALSE))</f>
        <v>+</v>
      </c>
      <c r="T6400" s="3">
        <f>IF(ISERROR(VLOOKUP(Base_Periodo1[[#This Row],[CONTA]],BaseContasDRE[#All],5,FALSE)),"Fora do DRE",VLOOKUP(Base_Periodo1[[#This Row],[CONTA]],BaseContasDRE[#All],6,FALSE))</f>
        <v>1</v>
      </c>
      <c r="U6400" s="3" t="str">
        <f>IF(ISERROR(VLOOKUP(Base_Periodo1[[#This Row],[CONTA]],BaseContasDRE[#All],7,FALSE)),"Fora do DRE",VLOOKUP(Base_Periodo1[[#This Row],[CONTA]],BaseContasDRE[#All],7,FALSE))</f>
        <v>INSUMOS AGROPECUARIOS</v>
      </c>
      <c r="V6400" s="3" t="str">
        <f>IF(Base_Periodo1[[#This Row],[Tipo_Linha]]="Fora do DRE","Fora do DRE","( "&amp;Base_Periodo1[[#This Row],[Tipo_Linha]]&amp;" ) "&amp;Base_Periodo1[[#This Row],[Filtro]])</f>
        <v>( + ) INSUMOS AGROPECUARIOS</v>
      </c>
      <c r="W6400" s="3" t="str">
        <f>LEFT(Base_Periodo1[[#This Row],[CLASS]],3)</f>
        <v>3.2</v>
      </c>
    </row>
    <row r="6401" spans="1:23" hidden="1">
      <c r="A6401" s="3" t="str">
        <f t="shared" si="99"/>
        <v>Período 1</v>
      </c>
      <c r="B6401">
        <v>6506</v>
      </c>
      <c r="C6401" t="s">
        <v>6638</v>
      </c>
      <c r="D6401" t="s">
        <v>3991</v>
      </c>
      <c r="E6401" s="3" t="str">
        <f>IF(LEN(Base_Periodo1[[#This Row],[CLASS]])&gt;=7,LEFT(Base_Periodo1[[#This Row],[CLASS]],7),"")</f>
        <v>3.2.1.1</v>
      </c>
      <c r="F6401" s="3" t="e">
        <f>VLOOKUP(Base_Periodo1[[#This Row],[Aux]],Base_Contas_Balanco[#All],2,FALSE)</f>
        <v>#N/A</v>
      </c>
      <c r="G6401" s="1"/>
      <c r="H6401" s="225">
        <v>14086.350000000006</v>
      </c>
      <c r="I6401" s="225">
        <v>0</v>
      </c>
      <c r="J6401" s="225">
        <v>0</v>
      </c>
      <c r="K6401" s="225">
        <v>14086.350000000006</v>
      </c>
      <c r="L64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-14086.35</v>
      </c>
      <c r="M6401" s="225">
        <f>ROUND(IF(AND(Base_Periodo1[[#This Row],[Tipo_Linha]]="-",Base_Periodo1[[#This Row],[TIPOSALDO]]="D"),Base_Periodo1[[#This Row],[SALDO_ATUAL]]*-1,Base_Periodo1[[#This Row],[SALDO_ATUAL]]),4)</f>
        <v>14086.35</v>
      </c>
      <c r="N6401" t="s">
        <v>396</v>
      </c>
      <c r="O6401" t="s">
        <v>397</v>
      </c>
      <c r="P6401" t="s">
        <v>397</v>
      </c>
      <c r="Q6401">
        <v>8</v>
      </c>
      <c r="R6401" s="282">
        <f>Base_Periodo1[[#This Row],[CREDITOS]]-Base_Periodo1[[#This Row],[DEBITOS]]</f>
        <v>0</v>
      </c>
      <c r="S6401" s="3" t="str">
        <f>IF(ISERROR(VLOOKUP(Base_Periodo1[[#This Row],[CONTA]],BaseContasDRE[#All],4,FALSE)),"Fora do DRE",VLOOKUP(Base_Periodo1[[#This Row],[CONTA]],BaseContasDRE[#All],4,FALSE))</f>
        <v>Fora do DRE</v>
      </c>
      <c r="T6401" s="3" t="str">
        <f>IF(ISERROR(VLOOKUP(Base_Periodo1[[#This Row],[CONTA]],BaseContasDRE[#All],5,FALSE)),"Fora do DRE",VLOOKUP(Base_Periodo1[[#This Row],[CONTA]],BaseContasDRE[#All],6,FALSE))</f>
        <v>Fora do DRE</v>
      </c>
      <c r="U6401" s="3" t="str">
        <f>IF(ISERROR(VLOOKUP(Base_Periodo1[[#This Row],[CONTA]],BaseContasDRE[#All],7,FALSE)),"Fora do DRE",VLOOKUP(Base_Periodo1[[#This Row],[CONTA]],BaseContasDRE[#All],7,FALSE))</f>
        <v>Fora do DRE</v>
      </c>
      <c r="V6401" s="3" t="str">
        <f>IF(Base_Periodo1[[#This Row],[Tipo_Linha]]="Fora do DRE","Fora do DRE","( "&amp;Base_Periodo1[[#This Row],[Tipo_Linha]]&amp;" ) "&amp;Base_Periodo1[[#This Row],[Filtro]])</f>
        <v>Fora do DRE</v>
      </c>
      <c r="W6401" s="3" t="str">
        <f>LEFT(Base_Periodo1[[#This Row],[CLASS]],3)</f>
        <v>3.2</v>
      </c>
    </row>
    <row r="6402" spans="1:23" hidden="1">
      <c r="A6402" s="3" t="str">
        <f t="shared" si="99"/>
        <v>Período 1</v>
      </c>
      <c r="B6402">
        <v>6507</v>
      </c>
      <c r="C6402" t="s">
        <v>6639</v>
      </c>
      <c r="D6402" t="s">
        <v>3992</v>
      </c>
      <c r="E6402" s="3" t="str">
        <f>IF(LEN(Base_Periodo1[[#This Row],[CLASS]])&gt;=7,LEFT(Base_Periodo1[[#This Row],[CLASS]],7),"")</f>
        <v>3.2.1.1</v>
      </c>
      <c r="F6402" s="3" t="e">
        <f>VLOOKUP(Base_Periodo1[[#This Row],[Aux]],Base_Contas_Balanco[#All],2,FALSE)</f>
        <v>#N/A</v>
      </c>
      <c r="G6402" s="1">
        <v>42825</v>
      </c>
      <c r="H6402" s="225">
        <v>14086.350000000006</v>
      </c>
      <c r="I6402" s="225">
        <v>0</v>
      </c>
      <c r="J6402" s="225">
        <v>0</v>
      </c>
      <c r="K6402" s="225">
        <v>14086.350000000006</v>
      </c>
      <c r="L64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-14086.35</v>
      </c>
      <c r="M6402" s="225">
        <f>ROUND(IF(AND(Base_Periodo1[[#This Row],[Tipo_Linha]]="-",Base_Periodo1[[#This Row],[TIPOSALDO]]="D"),Base_Periodo1[[#This Row],[SALDO_ATUAL]]*-1,Base_Periodo1[[#This Row],[SALDO_ATUAL]]),4)</f>
        <v>-14086.35</v>
      </c>
      <c r="N6402" t="s">
        <v>116</v>
      </c>
      <c r="O6402" t="s">
        <v>397</v>
      </c>
      <c r="P6402" t="s">
        <v>397</v>
      </c>
      <c r="Q6402">
        <v>9</v>
      </c>
      <c r="R6402" s="282">
        <f>Base_Periodo1[[#This Row],[CREDITOS]]-Base_Periodo1[[#This Row],[DEBITOS]]</f>
        <v>0</v>
      </c>
      <c r="S6402" s="3" t="str">
        <f>IF(ISERROR(VLOOKUP(Base_Periodo1[[#This Row],[CONTA]],BaseContasDRE[#All],4,FALSE)),"Fora do DRE",VLOOKUP(Base_Periodo1[[#This Row],[CONTA]],BaseContasDRE[#All],4,FALSE))</f>
        <v>-</v>
      </c>
      <c r="T6402" s="3">
        <f>IF(ISERROR(VLOOKUP(Base_Periodo1[[#This Row],[CONTA]],BaseContasDRE[#All],5,FALSE)),"Fora do DRE",VLOOKUP(Base_Periodo1[[#This Row],[CONTA]],BaseContasDRE[#All],6,FALSE))</f>
        <v>2</v>
      </c>
      <c r="U6402" s="3" t="str">
        <f>IF(ISERROR(VLOOKUP(Base_Periodo1[[#This Row],[CONTA]],BaseContasDRE[#All],7,FALSE)),"Fora do DRE",VLOOKUP(Base_Periodo1[[#This Row],[CONTA]],BaseContasDRE[#All],7,FALSE))</f>
        <v>DEVOLUÇÃO DE INSUMOS AGROPECUARIOS</v>
      </c>
      <c r="V6402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6402" s="3" t="str">
        <f>LEFT(Base_Periodo1[[#This Row],[CLASS]],3)</f>
        <v>3.2</v>
      </c>
    </row>
    <row r="6403" spans="1:23" hidden="1">
      <c r="A6403" s="3" t="str">
        <f t="shared" si="99"/>
        <v>Período 1</v>
      </c>
      <c r="B6403">
        <v>6508</v>
      </c>
      <c r="C6403" t="s">
        <v>5369</v>
      </c>
      <c r="D6403" t="s">
        <v>3993</v>
      </c>
      <c r="E6403" s="3" t="str">
        <f>IF(LEN(Base_Periodo1[[#This Row],[CLASS]])&gt;=7,LEFT(Base_Periodo1[[#This Row],[CLASS]],7),"")</f>
        <v>3.2.1.1</v>
      </c>
      <c r="F6403" s="3" t="e">
        <f>VLOOKUP(Base_Periodo1[[#This Row],[Aux]],Base_Contas_Balanco[#All],2,FALSE)</f>
        <v>#N/A</v>
      </c>
      <c r="G6403" s="1"/>
      <c r="H6403" s="225">
        <v>547.29000000000087</v>
      </c>
      <c r="I6403" s="225">
        <v>0</v>
      </c>
      <c r="J6403" s="225">
        <v>0</v>
      </c>
      <c r="K6403" s="225">
        <v>547.29000000000087</v>
      </c>
      <c r="L64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-547.29</v>
      </c>
      <c r="M6403" s="225">
        <f>ROUND(IF(AND(Base_Periodo1[[#This Row],[Tipo_Linha]]="-",Base_Periodo1[[#This Row],[TIPOSALDO]]="D"),Base_Periodo1[[#This Row],[SALDO_ATUAL]]*-1,Base_Periodo1[[#This Row],[SALDO_ATUAL]]),4)</f>
        <v>547.29</v>
      </c>
      <c r="N6403" t="s">
        <v>396</v>
      </c>
      <c r="O6403" t="s">
        <v>397</v>
      </c>
      <c r="P6403" t="s">
        <v>397</v>
      </c>
      <c r="Q6403">
        <v>8</v>
      </c>
      <c r="R6403" s="282">
        <f>Base_Periodo1[[#This Row],[CREDITOS]]-Base_Periodo1[[#This Row],[DEBITOS]]</f>
        <v>0</v>
      </c>
      <c r="S6403" s="3" t="str">
        <f>IF(ISERROR(VLOOKUP(Base_Periodo1[[#This Row],[CONTA]],BaseContasDRE[#All],4,FALSE)),"Fora do DRE",VLOOKUP(Base_Periodo1[[#This Row],[CONTA]],BaseContasDRE[#All],4,FALSE))</f>
        <v>Fora do DRE</v>
      </c>
      <c r="T6403" s="3" t="str">
        <f>IF(ISERROR(VLOOKUP(Base_Periodo1[[#This Row],[CONTA]],BaseContasDRE[#All],5,FALSE)),"Fora do DRE",VLOOKUP(Base_Periodo1[[#This Row],[CONTA]],BaseContasDRE[#All],6,FALSE))</f>
        <v>Fora do DRE</v>
      </c>
      <c r="U6403" s="3" t="str">
        <f>IF(ISERROR(VLOOKUP(Base_Periodo1[[#This Row],[CONTA]],BaseContasDRE[#All],7,FALSE)),"Fora do DRE",VLOOKUP(Base_Periodo1[[#This Row],[CONTA]],BaseContasDRE[#All],7,FALSE))</f>
        <v>Fora do DRE</v>
      </c>
      <c r="V6403" s="3" t="str">
        <f>IF(Base_Periodo1[[#This Row],[Tipo_Linha]]="Fora do DRE","Fora do DRE","( "&amp;Base_Periodo1[[#This Row],[Tipo_Linha]]&amp;" ) "&amp;Base_Periodo1[[#This Row],[Filtro]])</f>
        <v>Fora do DRE</v>
      </c>
      <c r="W6403" s="3" t="str">
        <f>LEFT(Base_Periodo1[[#This Row],[CLASS]],3)</f>
        <v>3.2</v>
      </c>
    </row>
    <row r="6404" spans="1:23" hidden="1">
      <c r="A6404" s="3" t="str">
        <f t="shared" si="99"/>
        <v>Período 1</v>
      </c>
      <c r="B6404">
        <v>6509</v>
      </c>
      <c r="C6404" t="s">
        <v>5370</v>
      </c>
      <c r="D6404" t="s">
        <v>3566</v>
      </c>
      <c r="E6404" s="3" t="str">
        <f>IF(LEN(Base_Periodo1[[#This Row],[CLASS]])&gt;=7,LEFT(Base_Periodo1[[#This Row],[CLASS]],7),"")</f>
        <v>3.2.1.1</v>
      </c>
      <c r="F6404" s="3" t="e">
        <f>VLOOKUP(Base_Periodo1[[#This Row],[Aux]],Base_Contas_Balanco[#All],2,FALSE)</f>
        <v>#N/A</v>
      </c>
      <c r="G6404" s="1">
        <v>42815</v>
      </c>
      <c r="H6404" s="225">
        <v>547.29000000000087</v>
      </c>
      <c r="I6404" s="225">
        <v>0</v>
      </c>
      <c r="J6404" s="225">
        <v>0</v>
      </c>
      <c r="K6404" s="225">
        <v>547.29000000000087</v>
      </c>
      <c r="L64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-547.29</v>
      </c>
      <c r="M6404" s="225">
        <f>ROUND(IF(AND(Base_Periodo1[[#This Row],[Tipo_Linha]]="-",Base_Periodo1[[#This Row],[TIPOSALDO]]="D"),Base_Periodo1[[#This Row],[SALDO_ATUAL]]*-1,Base_Periodo1[[#This Row],[SALDO_ATUAL]]),4)</f>
        <v>-547.29</v>
      </c>
      <c r="N6404" t="s">
        <v>116</v>
      </c>
      <c r="O6404" t="s">
        <v>397</v>
      </c>
      <c r="P6404" t="s">
        <v>397</v>
      </c>
      <c r="Q6404">
        <v>9</v>
      </c>
      <c r="R6404" s="282">
        <f>Base_Periodo1[[#This Row],[CREDITOS]]-Base_Periodo1[[#This Row],[DEBITOS]]</f>
        <v>0</v>
      </c>
      <c r="S6404" s="3" t="str">
        <f>IF(ISERROR(VLOOKUP(Base_Periodo1[[#This Row],[CONTA]],BaseContasDRE[#All],4,FALSE)),"Fora do DRE",VLOOKUP(Base_Periodo1[[#This Row],[CONTA]],BaseContasDRE[#All],4,FALSE))</f>
        <v>-</v>
      </c>
      <c r="T6404" s="3">
        <f>IF(ISERROR(VLOOKUP(Base_Periodo1[[#This Row],[CONTA]],BaseContasDRE[#All],5,FALSE)),"Fora do DRE",VLOOKUP(Base_Periodo1[[#This Row],[CONTA]],BaseContasDRE[#All],6,FALSE))</f>
        <v>2</v>
      </c>
      <c r="U6404" s="3" t="str">
        <f>IF(ISERROR(VLOOKUP(Base_Periodo1[[#This Row],[CONTA]],BaseContasDRE[#All],7,FALSE)),"Fora do DRE",VLOOKUP(Base_Periodo1[[#This Row],[CONTA]],BaseContasDRE[#All],7,FALSE))</f>
        <v>ICMS SOBRE INGRESSOS E RECEITAS</v>
      </c>
      <c r="V6404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404" s="3" t="str">
        <f>LEFT(Base_Periodo1[[#This Row],[CLASS]],3)</f>
        <v>3.2</v>
      </c>
    </row>
    <row r="6405" spans="1:23" hidden="1">
      <c r="A6405" s="3" t="str">
        <f t="shared" si="99"/>
        <v>Período 1</v>
      </c>
      <c r="B6405">
        <v>6510</v>
      </c>
      <c r="C6405" t="s">
        <v>4049</v>
      </c>
      <c r="D6405" t="s">
        <v>3995</v>
      </c>
      <c r="E6405" s="3" t="str">
        <f>IF(LEN(Base_Periodo1[[#This Row],[CLASS]])&gt;=7,LEFT(Base_Periodo1[[#This Row],[CLASS]],7),"")</f>
        <v>3.2.1.1</v>
      </c>
      <c r="F6405" s="3" t="e">
        <f>VLOOKUP(Base_Periodo1[[#This Row],[Aux]],Base_Contas_Balanco[#All],2,FALSE)</f>
        <v>#N/A</v>
      </c>
      <c r="G6405" s="1"/>
      <c r="H6405" s="225">
        <v>136015.52000000048</v>
      </c>
      <c r="I6405" s="225">
        <v>0</v>
      </c>
      <c r="J6405" s="225">
        <v>0</v>
      </c>
      <c r="K6405" s="225">
        <v>136015.52000000048</v>
      </c>
      <c r="L64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-136015.51999999999</v>
      </c>
      <c r="M6405" s="225">
        <f>ROUND(IF(AND(Base_Periodo1[[#This Row],[Tipo_Linha]]="-",Base_Periodo1[[#This Row],[TIPOSALDO]]="D"),Base_Periodo1[[#This Row],[SALDO_ATUAL]]*-1,Base_Periodo1[[#This Row],[SALDO_ATUAL]]),4)</f>
        <v>136015.51999999999</v>
      </c>
      <c r="N6405" t="s">
        <v>396</v>
      </c>
      <c r="O6405" t="s">
        <v>397</v>
      </c>
      <c r="P6405" t="s">
        <v>397</v>
      </c>
      <c r="Q6405">
        <v>8</v>
      </c>
      <c r="R6405" s="282">
        <f>Base_Periodo1[[#This Row],[CREDITOS]]-Base_Periodo1[[#This Row],[DEBITOS]]</f>
        <v>0</v>
      </c>
      <c r="S6405" s="3" t="str">
        <f>IF(ISERROR(VLOOKUP(Base_Periodo1[[#This Row],[CONTA]],BaseContasDRE[#All],4,FALSE)),"Fora do DRE",VLOOKUP(Base_Periodo1[[#This Row],[CONTA]],BaseContasDRE[#All],4,FALSE))</f>
        <v>Fora do DRE</v>
      </c>
      <c r="T6405" s="3" t="str">
        <f>IF(ISERROR(VLOOKUP(Base_Periodo1[[#This Row],[CONTA]],BaseContasDRE[#All],5,FALSE)),"Fora do DRE",VLOOKUP(Base_Periodo1[[#This Row],[CONTA]],BaseContasDRE[#All],6,FALSE))</f>
        <v>Fora do DRE</v>
      </c>
      <c r="U6405" s="3" t="str">
        <f>IF(ISERROR(VLOOKUP(Base_Periodo1[[#This Row],[CONTA]],BaseContasDRE[#All],7,FALSE)),"Fora do DRE",VLOOKUP(Base_Periodo1[[#This Row],[CONTA]],BaseContasDRE[#All],7,FALSE))</f>
        <v>Fora do DRE</v>
      </c>
      <c r="V6405" s="3" t="str">
        <f>IF(Base_Periodo1[[#This Row],[Tipo_Linha]]="Fora do DRE","Fora do DRE","( "&amp;Base_Periodo1[[#This Row],[Tipo_Linha]]&amp;" ) "&amp;Base_Periodo1[[#This Row],[Filtro]])</f>
        <v>Fora do DRE</v>
      </c>
      <c r="W6405" s="3" t="str">
        <f>LEFT(Base_Periodo1[[#This Row],[CLASS]],3)</f>
        <v>3.2</v>
      </c>
    </row>
    <row r="6406" spans="1:23" hidden="1">
      <c r="A6406" s="3" t="str">
        <f t="shared" ref="A6406:A6469" si="100">"Período 1"</f>
        <v>Período 1</v>
      </c>
      <c r="B6406">
        <v>6511</v>
      </c>
      <c r="C6406" t="s">
        <v>4050</v>
      </c>
      <c r="D6406" t="s">
        <v>3997</v>
      </c>
      <c r="E6406" s="3" t="str">
        <f>IF(LEN(Base_Periodo1[[#This Row],[CLASS]])&gt;=7,LEFT(Base_Periodo1[[#This Row],[CLASS]],7),"")</f>
        <v>3.2.1.1</v>
      </c>
      <c r="F6406" s="3" t="e">
        <f>VLOOKUP(Base_Periodo1[[#This Row],[Aux]],Base_Contas_Balanco[#All],2,FALSE)</f>
        <v>#N/A</v>
      </c>
      <c r="G6406" s="1">
        <v>42855</v>
      </c>
      <c r="H6406" s="225">
        <v>136015.52000000048</v>
      </c>
      <c r="I6406" s="225">
        <v>0</v>
      </c>
      <c r="J6406" s="225">
        <v>0</v>
      </c>
      <c r="K6406" s="225">
        <v>136015.52000000048</v>
      </c>
      <c r="L64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-136015.51999999999</v>
      </c>
      <c r="M6406" s="225">
        <f>ROUND(IF(AND(Base_Periodo1[[#This Row],[Tipo_Linha]]="-",Base_Periodo1[[#This Row],[TIPOSALDO]]="D"),Base_Periodo1[[#This Row],[SALDO_ATUAL]]*-1,Base_Periodo1[[#This Row],[SALDO_ATUAL]]),4)</f>
        <v>-136015.51999999999</v>
      </c>
      <c r="N6406" t="s">
        <v>116</v>
      </c>
      <c r="O6406" t="s">
        <v>397</v>
      </c>
      <c r="P6406" t="s">
        <v>397</v>
      </c>
      <c r="Q6406">
        <v>9</v>
      </c>
      <c r="R6406" s="282">
        <f>Base_Periodo1[[#This Row],[CREDITOS]]-Base_Periodo1[[#This Row],[DEBITOS]]</f>
        <v>0</v>
      </c>
      <c r="S6406" s="3" t="str">
        <f>IF(ISERROR(VLOOKUP(Base_Periodo1[[#This Row],[CONTA]],BaseContasDRE[#All],4,FALSE)),"Fora do DRE",VLOOKUP(Base_Periodo1[[#This Row],[CONTA]],BaseContasDRE[#All],4,FALSE))</f>
        <v>-</v>
      </c>
      <c r="T6406" s="3">
        <f>IF(ISERROR(VLOOKUP(Base_Periodo1[[#This Row],[CONTA]],BaseContasDRE[#All],5,FALSE)),"Fora do DRE",VLOOKUP(Base_Periodo1[[#This Row],[CONTA]],BaseContasDRE[#All],6,FALSE))</f>
        <v>3</v>
      </c>
      <c r="U6406" s="3" t="str">
        <f>IF(ISERROR(VLOOKUP(Base_Periodo1[[#This Row],[CONTA]],BaseContasDRE[#All],7,FALSE)),"Fora do DRE",VLOOKUP(Base_Periodo1[[#This Row],[CONTA]],BaseContasDRE[#All],7,FALSE))</f>
        <v>INSUMOS AGROPECUARIOS</v>
      </c>
      <c r="V6406" s="3" t="str">
        <f>IF(Base_Periodo1[[#This Row],[Tipo_Linha]]="Fora do DRE","Fora do DRE","( "&amp;Base_Periodo1[[#This Row],[Tipo_Linha]]&amp;" ) "&amp;Base_Periodo1[[#This Row],[Filtro]])</f>
        <v>( - ) INSUMOS AGROPECUARIOS</v>
      </c>
      <c r="W6406" s="3" t="str">
        <f>LEFT(Base_Periodo1[[#This Row],[CLASS]],3)</f>
        <v>3.2</v>
      </c>
    </row>
    <row r="6407" spans="1:23" hidden="1">
      <c r="A6407" s="3" t="str">
        <f t="shared" si="100"/>
        <v>Período 1</v>
      </c>
      <c r="B6407">
        <v>6512</v>
      </c>
      <c r="C6407" t="s">
        <v>4051</v>
      </c>
      <c r="D6407" t="s">
        <v>1258</v>
      </c>
      <c r="E6407" s="3" t="str">
        <f>IF(LEN(Base_Periodo1[[#This Row],[CLASS]])&gt;=7,LEFT(Base_Periodo1[[#This Row],[CLASS]],7),"")</f>
        <v>3.2.1.1</v>
      </c>
      <c r="F6407" s="3" t="e">
        <f>VLOOKUP(Base_Periodo1[[#This Row],[Aux]],Base_Contas_Balanco[#All],2,FALSE)</f>
        <v>#N/A</v>
      </c>
      <c r="G6407" s="1"/>
      <c r="H6407" s="225">
        <v>59657.76999999964</v>
      </c>
      <c r="I6407" s="225">
        <v>0</v>
      </c>
      <c r="J6407" s="225">
        <v>0</v>
      </c>
      <c r="K6407" s="225">
        <v>59657.76999999964</v>
      </c>
      <c r="L64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59657.77</v>
      </c>
      <c r="M6407" s="225">
        <f>ROUND(IF(AND(Base_Periodo1[[#This Row],[Tipo_Linha]]="-",Base_Periodo1[[#This Row],[TIPOSALDO]]="D"),Base_Periodo1[[#This Row],[SALDO_ATUAL]]*-1,Base_Periodo1[[#This Row],[SALDO_ATUAL]]),4)</f>
        <v>59657.77</v>
      </c>
      <c r="N6407" t="s">
        <v>396</v>
      </c>
      <c r="O6407" t="s">
        <v>459</v>
      </c>
      <c r="P6407" t="s">
        <v>459</v>
      </c>
      <c r="Q6407">
        <v>7</v>
      </c>
      <c r="R6407" s="282">
        <f>Base_Periodo1[[#This Row],[CREDITOS]]-Base_Periodo1[[#This Row],[DEBITOS]]</f>
        <v>0</v>
      </c>
      <c r="S6407" s="3" t="str">
        <f>IF(ISERROR(VLOOKUP(Base_Periodo1[[#This Row],[CONTA]],BaseContasDRE[#All],4,FALSE)),"Fora do DRE",VLOOKUP(Base_Periodo1[[#This Row],[CONTA]],BaseContasDRE[#All],4,FALSE))</f>
        <v>Fora do DRE</v>
      </c>
      <c r="T6407" s="3" t="str">
        <f>IF(ISERROR(VLOOKUP(Base_Periodo1[[#This Row],[CONTA]],BaseContasDRE[#All],5,FALSE)),"Fora do DRE",VLOOKUP(Base_Periodo1[[#This Row],[CONTA]],BaseContasDRE[#All],6,FALSE))</f>
        <v>Fora do DRE</v>
      </c>
      <c r="U6407" s="3" t="str">
        <f>IF(ISERROR(VLOOKUP(Base_Periodo1[[#This Row],[CONTA]],BaseContasDRE[#All],7,FALSE)),"Fora do DRE",VLOOKUP(Base_Periodo1[[#This Row],[CONTA]],BaseContasDRE[#All],7,FALSE))</f>
        <v>Fora do DRE</v>
      </c>
      <c r="V6407" s="3" t="str">
        <f>IF(Base_Periodo1[[#This Row],[Tipo_Linha]]="Fora do DRE","Fora do DRE","( "&amp;Base_Periodo1[[#This Row],[Tipo_Linha]]&amp;" ) "&amp;Base_Periodo1[[#This Row],[Filtro]])</f>
        <v>Fora do DRE</v>
      </c>
      <c r="W6407" s="3" t="str">
        <f>LEFT(Base_Periodo1[[#This Row],[CLASS]],3)</f>
        <v>3.2</v>
      </c>
    </row>
    <row r="6408" spans="1:23" hidden="1">
      <c r="A6408" s="3" t="str">
        <f t="shared" si="100"/>
        <v>Período 1</v>
      </c>
      <c r="B6408">
        <v>6513</v>
      </c>
      <c r="C6408" t="s">
        <v>4052</v>
      </c>
      <c r="D6408" t="s">
        <v>4022</v>
      </c>
      <c r="E6408" s="3" t="str">
        <f>IF(LEN(Base_Periodo1[[#This Row],[CLASS]])&gt;=7,LEFT(Base_Periodo1[[#This Row],[CLASS]],7),"")</f>
        <v>3.2.1.1</v>
      </c>
      <c r="F6408" s="3" t="e">
        <f>VLOOKUP(Base_Periodo1[[#This Row],[Aux]],Base_Contas_Balanco[#All],2,FALSE)</f>
        <v>#N/A</v>
      </c>
      <c r="G6408" s="1"/>
      <c r="H6408" s="225">
        <v>209443.14999999851</v>
      </c>
      <c r="I6408" s="225">
        <v>0</v>
      </c>
      <c r="J6408" s="225">
        <v>0</v>
      </c>
      <c r="K6408" s="225">
        <v>209443.14999999851</v>
      </c>
      <c r="L64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209443.15</v>
      </c>
      <c r="M6408" s="225">
        <f>ROUND(IF(AND(Base_Periodo1[[#This Row],[Tipo_Linha]]="-",Base_Periodo1[[#This Row],[TIPOSALDO]]="D"),Base_Periodo1[[#This Row],[SALDO_ATUAL]]*-1,Base_Periodo1[[#This Row],[SALDO_ATUAL]]),4)</f>
        <v>209443.15</v>
      </c>
      <c r="N6408" t="s">
        <v>396</v>
      </c>
      <c r="O6408" t="s">
        <v>459</v>
      </c>
      <c r="P6408" t="s">
        <v>459</v>
      </c>
      <c r="Q6408">
        <v>8</v>
      </c>
      <c r="R6408" s="282">
        <f>Base_Periodo1[[#This Row],[CREDITOS]]-Base_Periodo1[[#This Row],[DEBITOS]]</f>
        <v>0</v>
      </c>
      <c r="S6408" s="3" t="str">
        <f>IF(ISERROR(VLOOKUP(Base_Periodo1[[#This Row],[CONTA]],BaseContasDRE[#All],4,FALSE)),"Fora do DRE",VLOOKUP(Base_Periodo1[[#This Row],[CONTA]],BaseContasDRE[#All],4,FALSE))</f>
        <v>Fora do DRE</v>
      </c>
      <c r="T6408" s="3" t="str">
        <f>IF(ISERROR(VLOOKUP(Base_Periodo1[[#This Row],[CONTA]],BaseContasDRE[#All],5,FALSE)),"Fora do DRE",VLOOKUP(Base_Periodo1[[#This Row],[CONTA]],BaseContasDRE[#All],6,FALSE))</f>
        <v>Fora do DRE</v>
      </c>
      <c r="U6408" s="3" t="str">
        <f>IF(ISERROR(VLOOKUP(Base_Periodo1[[#This Row],[CONTA]],BaseContasDRE[#All],7,FALSE)),"Fora do DRE",VLOOKUP(Base_Periodo1[[#This Row],[CONTA]],BaseContasDRE[#All],7,FALSE))</f>
        <v>Fora do DRE</v>
      </c>
      <c r="V6408" s="3" t="str">
        <f>IF(Base_Periodo1[[#This Row],[Tipo_Linha]]="Fora do DRE","Fora do DRE","( "&amp;Base_Periodo1[[#This Row],[Tipo_Linha]]&amp;" ) "&amp;Base_Periodo1[[#This Row],[Filtro]])</f>
        <v>Fora do DRE</v>
      </c>
      <c r="W6408" s="3" t="str">
        <f>LEFT(Base_Periodo1[[#This Row],[CLASS]],3)</f>
        <v>3.2</v>
      </c>
    </row>
    <row r="6409" spans="1:23" hidden="1">
      <c r="A6409" s="3" t="str">
        <f t="shared" si="100"/>
        <v>Período 1</v>
      </c>
      <c r="B6409">
        <v>6514</v>
      </c>
      <c r="C6409" t="s">
        <v>4053</v>
      </c>
      <c r="D6409" t="s">
        <v>3987</v>
      </c>
      <c r="E6409" s="3" t="str">
        <f>IF(LEN(Base_Periodo1[[#This Row],[CLASS]])&gt;=7,LEFT(Base_Periodo1[[#This Row],[CLASS]],7),"")</f>
        <v>3.2.1.1</v>
      </c>
      <c r="F6409" s="3" t="e">
        <f>VLOOKUP(Base_Periodo1[[#This Row],[Aux]],Base_Contas_Balanco[#All],2,FALSE)</f>
        <v>#N/A</v>
      </c>
      <c r="G6409" s="1">
        <v>42797</v>
      </c>
      <c r="H6409" s="225">
        <v>209443.14999999851</v>
      </c>
      <c r="I6409" s="225">
        <v>0</v>
      </c>
      <c r="J6409" s="225">
        <v>0</v>
      </c>
      <c r="K6409" s="225">
        <v>209443.14999999851</v>
      </c>
      <c r="L64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209443.15</v>
      </c>
      <c r="M6409" s="225">
        <f>ROUND(IF(AND(Base_Periodo1[[#This Row],[Tipo_Linha]]="-",Base_Periodo1[[#This Row],[TIPOSALDO]]="D"),Base_Periodo1[[#This Row],[SALDO_ATUAL]]*-1,Base_Periodo1[[#This Row],[SALDO_ATUAL]]),4)</f>
        <v>209443.15</v>
      </c>
      <c r="N6409" t="s">
        <v>116</v>
      </c>
      <c r="O6409" t="s">
        <v>459</v>
      </c>
      <c r="P6409" t="s">
        <v>459</v>
      </c>
      <c r="Q6409">
        <v>9</v>
      </c>
      <c r="R6409" s="282">
        <f>Base_Periodo1[[#This Row],[CREDITOS]]-Base_Periodo1[[#This Row],[DEBITOS]]</f>
        <v>0</v>
      </c>
      <c r="S6409" s="3" t="str">
        <f>IF(ISERROR(VLOOKUP(Base_Periodo1[[#This Row],[CONTA]],BaseContasDRE[#All],4,FALSE)),"Fora do DRE",VLOOKUP(Base_Periodo1[[#This Row],[CONTA]],BaseContasDRE[#All],4,FALSE))</f>
        <v>+</v>
      </c>
      <c r="T6409" s="3">
        <f>IF(ISERROR(VLOOKUP(Base_Periodo1[[#This Row],[CONTA]],BaseContasDRE[#All],5,FALSE)),"Fora do DRE",VLOOKUP(Base_Periodo1[[#This Row],[CONTA]],BaseContasDRE[#All],6,FALSE))</f>
        <v>1</v>
      </c>
      <c r="U6409" s="3" t="str">
        <f>IF(ISERROR(VLOOKUP(Base_Periodo1[[#This Row],[CONTA]],BaseContasDRE[#All],7,FALSE)),"Fora do DRE",VLOOKUP(Base_Periodo1[[#This Row],[CONTA]],BaseContasDRE[#All],7,FALSE))</f>
        <v>INSUMOS AGROPECUARIOS</v>
      </c>
      <c r="V6409" s="3" t="str">
        <f>IF(Base_Periodo1[[#This Row],[Tipo_Linha]]="Fora do DRE","Fora do DRE","( "&amp;Base_Periodo1[[#This Row],[Tipo_Linha]]&amp;" ) "&amp;Base_Periodo1[[#This Row],[Filtro]])</f>
        <v>( + ) INSUMOS AGROPECUARIOS</v>
      </c>
      <c r="W6409" s="3" t="str">
        <f>LEFT(Base_Periodo1[[#This Row],[CLASS]],3)</f>
        <v>3.2</v>
      </c>
    </row>
    <row r="6410" spans="1:23" hidden="1">
      <c r="A6410" s="3" t="str">
        <f t="shared" si="100"/>
        <v>Período 1</v>
      </c>
      <c r="B6410">
        <v>6523</v>
      </c>
      <c r="C6410" t="s">
        <v>4054</v>
      </c>
      <c r="D6410" t="s">
        <v>3995</v>
      </c>
      <c r="E6410" s="3" t="str">
        <f>IF(LEN(Base_Periodo1[[#This Row],[CLASS]])&gt;=7,LEFT(Base_Periodo1[[#This Row],[CLASS]],7),"")</f>
        <v>3.2.1.1</v>
      </c>
      <c r="F6410" s="3" t="e">
        <f>VLOOKUP(Base_Periodo1[[#This Row],[Aux]],Base_Contas_Balanco[#All],2,FALSE)</f>
        <v>#N/A</v>
      </c>
      <c r="G6410" s="1"/>
      <c r="H6410" s="225">
        <v>149785.37999999896</v>
      </c>
      <c r="I6410" s="225">
        <v>0</v>
      </c>
      <c r="J6410" s="225">
        <v>0</v>
      </c>
      <c r="K6410" s="225">
        <v>149785.37999999896</v>
      </c>
      <c r="L64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-149785.38</v>
      </c>
      <c r="M6410" s="225">
        <f>ROUND(IF(AND(Base_Periodo1[[#This Row],[Tipo_Linha]]="-",Base_Periodo1[[#This Row],[TIPOSALDO]]="D"),Base_Periodo1[[#This Row],[SALDO_ATUAL]]*-1,Base_Periodo1[[#This Row],[SALDO_ATUAL]]),4)</f>
        <v>149785.38</v>
      </c>
      <c r="N6410" t="s">
        <v>396</v>
      </c>
      <c r="O6410" t="s">
        <v>397</v>
      </c>
      <c r="P6410" t="s">
        <v>397</v>
      </c>
      <c r="Q6410">
        <v>8</v>
      </c>
      <c r="R6410" s="282">
        <f>Base_Periodo1[[#This Row],[CREDITOS]]-Base_Periodo1[[#This Row],[DEBITOS]]</f>
        <v>0</v>
      </c>
      <c r="S6410" s="3" t="str">
        <f>IF(ISERROR(VLOOKUP(Base_Periodo1[[#This Row],[CONTA]],BaseContasDRE[#All],4,FALSE)),"Fora do DRE",VLOOKUP(Base_Periodo1[[#This Row],[CONTA]],BaseContasDRE[#All],4,FALSE))</f>
        <v>Fora do DRE</v>
      </c>
      <c r="T6410" s="3" t="str">
        <f>IF(ISERROR(VLOOKUP(Base_Periodo1[[#This Row],[CONTA]],BaseContasDRE[#All],5,FALSE)),"Fora do DRE",VLOOKUP(Base_Periodo1[[#This Row],[CONTA]],BaseContasDRE[#All],6,FALSE))</f>
        <v>Fora do DRE</v>
      </c>
      <c r="U6410" s="3" t="str">
        <f>IF(ISERROR(VLOOKUP(Base_Periodo1[[#This Row],[CONTA]],BaseContasDRE[#All],7,FALSE)),"Fora do DRE",VLOOKUP(Base_Periodo1[[#This Row],[CONTA]],BaseContasDRE[#All],7,FALSE))</f>
        <v>Fora do DRE</v>
      </c>
      <c r="V6410" s="3" t="str">
        <f>IF(Base_Periodo1[[#This Row],[Tipo_Linha]]="Fora do DRE","Fora do DRE","( "&amp;Base_Periodo1[[#This Row],[Tipo_Linha]]&amp;" ) "&amp;Base_Periodo1[[#This Row],[Filtro]])</f>
        <v>Fora do DRE</v>
      </c>
      <c r="W6410" s="3" t="str">
        <f>LEFT(Base_Periodo1[[#This Row],[CLASS]],3)</f>
        <v>3.2</v>
      </c>
    </row>
    <row r="6411" spans="1:23" hidden="1">
      <c r="A6411" s="3" t="str">
        <f t="shared" si="100"/>
        <v>Período 1</v>
      </c>
      <c r="B6411">
        <v>6524</v>
      </c>
      <c r="C6411" t="s">
        <v>4055</v>
      </c>
      <c r="D6411" t="s">
        <v>3997</v>
      </c>
      <c r="E6411" s="3" t="str">
        <f>IF(LEN(Base_Periodo1[[#This Row],[CLASS]])&gt;=7,LEFT(Base_Periodo1[[#This Row],[CLASS]],7),"")</f>
        <v>3.2.1.1</v>
      </c>
      <c r="F6411" s="3" t="e">
        <f>VLOOKUP(Base_Periodo1[[#This Row],[Aux]],Base_Contas_Balanco[#All],2,FALSE)</f>
        <v>#N/A</v>
      </c>
      <c r="G6411" s="1">
        <v>42825</v>
      </c>
      <c r="H6411" s="225">
        <v>149785.37999999896</v>
      </c>
      <c r="I6411" s="225">
        <v>0</v>
      </c>
      <c r="J6411" s="225">
        <v>0</v>
      </c>
      <c r="K6411" s="225">
        <v>149785.37999999896</v>
      </c>
      <c r="L64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-149785.38</v>
      </c>
      <c r="M6411" s="225">
        <f>ROUND(IF(AND(Base_Periodo1[[#This Row],[Tipo_Linha]]="-",Base_Periodo1[[#This Row],[TIPOSALDO]]="D"),Base_Periodo1[[#This Row],[SALDO_ATUAL]]*-1,Base_Periodo1[[#This Row],[SALDO_ATUAL]]),4)</f>
        <v>-149785.38</v>
      </c>
      <c r="N6411" t="s">
        <v>116</v>
      </c>
      <c r="O6411" t="s">
        <v>397</v>
      </c>
      <c r="P6411" t="s">
        <v>397</v>
      </c>
      <c r="Q6411">
        <v>9</v>
      </c>
      <c r="R6411" s="282">
        <f>Base_Periodo1[[#This Row],[CREDITOS]]-Base_Periodo1[[#This Row],[DEBITOS]]</f>
        <v>0</v>
      </c>
      <c r="S6411" s="3" t="str">
        <f>IF(ISERROR(VLOOKUP(Base_Periodo1[[#This Row],[CONTA]],BaseContasDRE[#All],4,FALSE)),"Fora do DRE",VLOOKUP(Base_Periodo1[[#This Row],[CONTA]],BaseContasDRE[#All],4,FALSE))</f>
        <v>-</v>
      </c>
      <c r="T6411" s="3">
        <f>IF(ISERROR(VLOOKUP(Base_Periodo1[[#This Row],[CONTA]],BaseContasDRE[#All],5,FALSE)),"Fora do DRE",VLOOKUP(Base_Periodo1[[#This Row],[CONTA]],BaseContasDRE[#All],6,FALSE))</f>
        <v>3</v>
      </c>
      <c r="U6411" s="3" t="str">
        <f>IF(ISERROR(VLOOKUP(Base_Periodo1[[#This Row],[CONTA]],BaseContasDRE[#All],7,FALSE)),"Fora do DRE",VLOOKUP(Base_Periodo1[[#This Row],[CONTA]],BaseContasDRE[#All],7,FALSE))</f>
        <v>INSUMOS AGROPECUARIOS</v>
      </c>
      <c r="V6411" s="3" t="str">
        <f>IF(Base_Periodo1[[#This Row],[Tipo_Linha]]="Fora do DRE","Fora do DRE","( "&amp;Base_Periodo1[[#This Row],[Tipo_Linha]]&amp;" ) "&amp;Base_Periodo1[[#This Row],[Filtro]])</f>
        <v>( - ) INSUMOS AGROPECUARIOS</v>
      </c>
      <c r="W6411" s="3" t="str">
        <f>LEFT(Base_Periodo1[[#This Row],[CLASS]],3)</f>
        <v>3.2</v>
      </c>
    </row>
    <row r="6412" spans="1:23" hidden="1">
      <c r="A6412" s="3" t="str">
        <f t="shared" si="100"/>
        <v>Período 1</v>
      </c>
      <c r="B6412">
        <v>6525</v>
      </c>
      <c r="C6412" t="s">
        <v>6640</v>
      </c>
      <c r="D6412" t="s">
        <v>1272</v>
      </c>
      <c r="E6412" s="3" t="str">
        <f>IF(LEN(Base_Periodo1[[#This Row],[CLASS]])&gt;=7,LEFT(Base_Periodo1[[#This Row],[CLASS]],7),"")</f>
        <v>3.2.1.1</v>
      </c>
      <c r="F6412" s="3" t="e">
        <f>VLOOKUP(Base_Periodo1[[#This Row],[Aux]],Base_Contas_Balanco[#All],2,FALSE)</f>
        <v>#N/A</v>
      </c>
      <c r="G6412" s="1"/>
      <c r="H6412" s="225">
        <v>2192.5600000009108</v>
      </c>
      <c r="I6412" s="225">
        <v>165486.08000000002</v>
      </c>
      <c r="J6412" s="225">
        <v>171087.93999999997</v>
      </c>
      <c r="K6412" s="225">
        <v>3409.299999999057</v>
      </c>
      <c r="L64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3409.3</v>
      </c>
      <c r="M6412" s="225">
        <f>ROUND(IF(AND(Base_Periodo1[[#This Row],[Tipo_Linha]]="-",Base_Periodo1[[#This Row],[TIPOSALDO]]="D"),Base_Periodo1[[#This Row],[SALDO_ATUAL]]*-1,Base_Periodo1[[#This Row],[SALDO_ATUAL]]),4)</f>
        <v>3409.3</v>
      </c>
      <c r="N6412" t="s">
        <v>396</v>
      </c>
      <c r="O6412" t="s">
        <v>397</v>
      </c>
      <c r="P6412" t="s">
        <v>459</v>
      </c>
      <c r="Q6412">
        <v>7</v>
      </c>
      <c r="R6412" s="282">
        <f>Base_Periodo1[[#This Row],[CREDITOS]]-Base_Periodo1[[#This Row],[DEBITOS]]</f>
        <v>5601.8599999999569</v>
      </c>
      <c r="S6412" s="3" t="str">
        <f>IF(ISERROR(VLOOKUP(Base_Periodo1[[#This Row],[CONTA]],BaseContasDRE[#All],4,FALSE)),"Fora do DRE",VLOOKUP(Base_Periodo1[[#This Row],[CONTA]],BaseContasDRE[#All],4,FALSE))</f>
        <v>Fora do DRE</v>
      </c>
      <c r="T6412" s="3" t="str">
        <f>IF(ISERROR(VLOOKUP(Base_Periodo1[[#This Row],[CONTA]],BaseContasDRE[#All],5,FALSE)),"Fora do DRE",VLOOKUP(Base_Periodo1[[#This Row],[CONTA]],BaseContasDRE[#All],6,FALSE))</f>
        <v>Fora do DRE</v>
      </c>
      <c r="U6412" s="3" t="str">
        <f>IF(ISERROR(VLOOKUP(Base_Periodo1[[#This Row],[CONTA]],BaseContasDRE[#All],7,FALSE)),"Fora do DRE",VLOOKUP(Base_Periodo1[[#This Row],[CONTA]],BaseContasDRE[#All],7,FALSE))</f>
        <v>Fora do DRE</v>
      </c>
      <c r="V6412" s="3" t="str">
        <f>IF(Base_Periodo1[[#This Row],[Tipo_Linha]]="Fora do DRE","Fora do DRE","( "&amp;Base_Periodo1[[#This Row],[Tipo_Linha]]&amp;" ) "&amp;Base_Periodo1[[#This Row],[Filtro]])</f>
        <v>Fora do DRE</v>
      </c>
      <c r="W6412" s="3" t="str">
        <f>LEFT(Base_Periodo1[[#This Row],[CLASS]],3)</f>
        <v>3.2</v>
      </c>
    </row>
    <row r="6413" spans="1:23" hidden="1">
      <c r="A6413" s="3" t="str">
        <f t="shared" si="100"/>
        <v>Período 1</v>
      </c>
      <c r="B6413">
        <v>6526</v>
      </c>
      <c r="C6413" t="s">
        <v>6641</v>
      </c>
      <c r="D6413" t="s">
        <v>4022</v>
      </c>
      <c r="E6413" s="3" t="str">
        <f>IF(LEN(Base_Periodo1[[#This Row],[CLASS]])&gt;=7,LEFT(Base_Periodo1[[#This Row],[CLASS]],7),"")</f>
        <v>3.2.1.1</v>
      </c>
      <c r="F6413" s="3" t="e">
        <f>VLOOKUP(Base_Periodo1[[#This Row],[Aux]],Base_Contas_Balanco[#All],2,FALSE)</f>
        <v>#N/A</v>
      </c>
      <c r="G6413" s="1"/>
      <c r="H6413" s="225">
        <v>176888.79000000004</v>
      </c>
      <c r="I6413" s="225">
        <v>10419.599999999999</v>
      </c>
      <c r="J6413" s="225">
        <v>160312.33999999997</v>
      </c>
      <c r="K6413" s="225">
        <v>326781.53000000003</v>
      </c>
      <c r="L64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326781.53000000003</v>
      </c>
      <c r="M6413" s="225">
        <f>ROUND(IF(AND(Base_Periodo1[[#This Row],[Tipo_Linha]]="-",Base_Periodo1[[#This Row],[TIPOSALDO]]="D"),Base_Periodo1[[#This Row],[SALDO_ATUAL]]*-1,Base_Periodo1[[#This Row],[SALDO_ATUAL]]),4)</f>
        <v>326781.53000000003</v>
      </c>
      <c r="N6413" t="s">
        <v>396</v>
      </c>
      <c r="O6413" t="s">
        <v>459</v>
      </c>
      <c r="P6413" t="s">
        <v>459</v>
      </c>
      <c r="Q6413">
        <v>8</v>
      </c>
      <c r="R6413" s="282">
        <f>Base_Periodo1[[#This Row],[CREDITOS]]-Base_Periodo1[[#This Row],[DEBITOS]]</f>
        <v>149892.73999999996</v>
      </c>
      <c r="S6413" s="3" t="str">
        <f>IF(ISERROR(VLOOKUP(Base_Periodo1[[#This Row],[CONTA]],BaseContasDRE[#All],4,FALSE)),"Fora do DRE",VLOOKUP(Base_Periodo1[[#This Row],[CONTA]],BaseContasDRE[#All],4,FALSE))</f>
        <v>Fora do DRE</v>
      </c>
      <c r="T6413" s="3" t="str">
        <f>IF(ISERROR(VLOOKUP(Base_Periodo1[[#This Row],[CONTA]],BaseContasDRE[#All],5,FALSE)),"Fora do DRE",VLOOKUP(Base_Periodo1[[#This Row],[CONTA]],BaseContasDRE[#All],6,FALSE))</f>
        <v>Fora do DRE</v>
      </c>
      <c r="U6413" s="3" t="str">
        <f>IF(ISERROR(VLOOKUP(Base_Periodo1[[#This Row],[CONTA]],BaseContasDRE[#All],7,FALSE)),"Fora do DRE",VLOOKUP(Base_Periodo1[[#This Row],[CONTA]],BaseContasDRE[#All],7,FALSE))</f>
        <v>Fora do DRE</v>
      </c>
      <c r="V6413" s="3" t="str">
        <f>IF(Base_Periodo1[[#This Row],[Tipo_Linha]]="Fora do DRE","Fora do DRE","( "&amp;Base_Periodo1[[#This Row],[Tipo_Linha]]&amp;" ) "&amp;Base_Periodo1[[#This Row],[Filtro]])</f>
        <v>Fora do DRE</v>
      </c>
      <c r="W6413" s="3" t="str">
        <f>LEFT(Base_Periodo1[[#This Row],[CLASS]],3)</f>
        <v>3.2</v>
      </c>
    </row>
    <row r="6414" spans="1:23" hidden="1">
      <c r="A6414" s="3" t="str">
        <f t="shared" si="100"/>
        <v>Período 1</v>
      </c>
      <c r="B6414">
        <v>6527</v>
      </c>
      <c r="C6414" t="s">
        <v>6642</v>
      </c>
      <c r="D6414" t="s">
        <v>3987</v>
      </c>
      <c r="E6414" s="3" t="str">
        <f>IF(LEN(Base_Periodo1[[#This Row],[CLASS]])&gt;=7,LEFT(Base_Periodo1[[#This Row],[CLASS]],7),"")</f>
        <v>3.2.1.1</v>
      </c>
      <c r="F6414" s="3" t="e">
        <f>VLOOKUP(Base_Periodo1[[#This Row],[Aux]],Base_Contas_Balanco[#All],2,FALSE)</f>
        <v>#N/A</v>
      </c>
      <c r="G6414" s="1">
        <v>42885</v>
      </c>
      <c r="H6414" s="225">
        <v>176888.79000000004</v>
      </c>
      <c r="I6414" s="225">
        <v>10419.599999999999</v>
      </c>
      <c r="J6414" s="225">
        <v>160312.33999999997</v>
      </c>
      <c r="K6414" s="225">
        <v>326781.53000000003</v>
      </c>
      <c r="L64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326781.53000000003</v>
      </c>
      <c r="M6414" s="225">
        <f>ROUND(IF(AND(Base_Periodo1[[#This Row],[Tipo_Linha]]="-",Base_Periodo1[[#This Row],[TIPOSALDO]]="D"),Base_Periodo1[[#This Row],[SALDO_ATUAL]]*-1,Base_Periodo1[[#This Row],[SALDO_ATUAL]]),4)</f>
        <v>326781.53000000003</v>
      </c>
      <c r="N6414" t="s">
        <v>116</v>
      </c>
      <c r="O6414" t="s">
        <v>459</v>
      </c>
      <c r="P6414" t="s">
        <v>459</v>
      </c>
      <c r="Q6414">
        <v>9</v>
      </c>
      <c r="R6414" s="282">
        <f>Base_Periodo1[[#This Row],[CREDITOS]]-Base_Periodo1[[#This Row],[DEBITOS]]</f>
        <v>149892.73999999996</v>
      </c>
      <c r="S6414" s="3" t="str">
        <f>IF(ISERROR(VLOOKUP(Base_Periodo1[[#This Row],[CONTA]],BaseContasDRE[#All],4,FALSE)),"Fora do DRE",VLOOKUP(Base_Periodo1[[#This Row],[CONTA]],BaseContasDRE[#All],4,FALSE))</f>
        <v>+</v>
      </c>
      <c r="T6414" s="3">
        <f>IF(ISERROR(VLOOKUP(Base_Periodo1[[#This Row],[CONTA]],BaseContasDRE[#All],5,FALSE)),"Fora do DRE",VLOOKUP(Base_Periodo1[[#This Row],[CONTA]],BaseContasDRE[#All],6,FALSE))</f>
        <v>1</v>
      </c>
      <c r="U6414" s="3" t="str">
        <f>IF(ISERROR(VLOOKUP(Base_Periodo1[[#This Row],[CONTA]],BaseContasDRE[#All],7,FALSE)),"Fora do DRE",VLOOKUP(Base_Periodo1[[#This Row],[CONTA]],BaseContasDRE[#All],7,FALSE))</f>
        <v>INSUMOS AGROPECUARIOS</v>
      </c>
      <c r="V6414" s="3" t="str">
        <f>IF(Base_Periodo1[[#This Row],[Tipo_Linha]]="Fora do DRE","Fora do DRE","( "&amp;Base_Periodo1[[#This Row],[Tipo_Linha]]&amp;" ) "&amp;Base_Periodo1[[#This Row],[Filtro]])</f>
        <v>( + ) INSUMOS AGROPECUARIOS</v>
      </c>
      <c r="W6414" s="3" t="str">
        <f>LEFT(Base_Periodo1[[#This Row],[CLASS]],3)</f>
        <v>3.2</v>
      </c>
    </row>
    <row r="6415" spans="1:23" hidden="1">
      <c r="A6415" s="3" t="str">
        <f t="shared" si="100"/>
        <v>Período 1</v>
      </c>
      <c r="B6415">
        <v>14014</v>
      </c>
      <c r="C6415" t="s">
        <v>7200</v>
      </c>
      <c r="D6415" t="s">
        <v>291</v>
      </c>
      <c r="E6415" s="3" t="str">
        <f>IF(LEN(Base_Periodo1[[#This Row],[CLASS]])&gt;=7,LEFT(Base_Periodo1[[#This Row],[CLASS]],7),"")</f>
        <v>3.2.1.1</v>
      </c>
      <c r="F6415" s="3" t="e">
        <f>VLOOKUP(Base_Periodo1[[#This Row],[Aux]],Base_Contas_Balanco[#All],2,FALSE)</f>
        <v>#N/A</v>
      </c>
      <c r="G6415" s="1"/>
      <c r="I6415" s="225">
        <v>0</v>
      </c>
      <c r="J6415" s="225">
        <v>356</v>
      </c>
      <c r="K6415" s="225">
        <v>356</v>
      </c>
      <c r="L64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356</v>
      </c>
      <c r="M6415" s="225">
        <f>ROUND(IF(AND(Base_Periodo1[[#This Row],[Tipo_Linha]]="-",Base_Periodo1[[#This Row],[TIPOSALDO]]="D"),Base_Periodo1[[#This Row],[SALDO_ATUAL]]*-1,Base_Periodo1[[#This Row],[SALDO_ATUAL]]),4)</f>
        <v>356</v>
      </c>
      <c r="N6415" t="s">
        <v>396</v>
      </c>
      <c r="O6415" t="s">
        <v>436</v>
      </c>
      <c r="P6415" t="s">
        <v>459</v>
      </c>
      <c r="Q6415">
        <v>8</v>
      </c>
      <c r="R6415" s="282">
        <f>Base_Periodo1[[#This Row],[CREDITOS]]-Base_Periodo1[[#This Row],[DEBITOS]]</f>
        <v>356</v>
      </c>
      <c r="S6415" s="3" t="str">
        <f>IF(ISERROR(VLOOKUP(Base_Periodo1[[#This Row],[CONTA]],BaseContasDRE[#All],4,FALSE)),"Fora do DRE",VLOOKUP(Base_Periodo1[[#This Row],[CONTA]],BaseContasDRE[#All],4,FALSE))</f>
        <v>Fora do DRE</v>
      </c>
      <c r="T6415" s="3" t="str">
        <f>IF(ISERROR(VLOOKUP(Base_Periodo1[[#This Row],[CONTA]],BaseContasDRE[#All],5,FALSE)),"Fora do DRE",VLOOKUP(Base_Periodo1[[#This Row],[CONTA]],BaseContasDRE[#All],6,FALSE))</f>
        <v>Fora do DRE</v>
      </c>
      <c r="U6415" s="3" t="str">
        <f>IF(ISERROR(VLOOKUP(Base_Periodo1[[#This Row],[CONTA]],BaseContasDRE[#All],7,FALSE)),"Fora do DRE",VLOOKUP(Base_Periodo1[[#This Row],[CONTA]],BaseContasDRE[#All],7,FALSE))</f>
        <v>Fora do DRE</v>
      </c>
      <c r="V6415" s="3" t="str">
        <f>IF(Base_Periodo1[[#This Row],[Tipo_Linha]]="Fora do DRE","Fora do DRE","( "&amp;Base_Periodo1[[#This Row],[Tipo_Linha]]&amp;" ) "&amp;Base_Periodo1[[#This Row],[Filtro]])</f>
        <v>Fora do DRE</v>
      </c>
      <c r="W6415" s="3" t="str">
        <f>LEFT(Base_Periodo1[[#This Row],[CLASS]],3)</f>
        <v>3.2</v>
      </c>
    </row>
    <row r="6416" spans="1:23" hidden="1">
      <c r="A6416" s="3" t="str">
        <f t="shared" si="100"/>
        <v>Período 1</v>
      </c>
      <c r="B6416">
        <v>14010</v>
      </c>
      <c r="C6416" t="s">
        <v>7201</v>
      </c>
      <c r="D6416" t="s">
        <v>6800</v>
      </c>
      <c r="E6416" s="3" t="str">
        <f>IF(LEN(Base_Periodo1[[#This Row],[CLASS]])&gt;=7,LEFT(Base_Periodo1[[#This Row],[CLASS]],7),"")</f>
        <v>3.2.1.1</v>
      </c>
      <c r="F6416" s="3" t="e">
        <f>VLOOKUP(Base_Periodo1[[#This Row],[Aux]],Base_Contas_Balanco[#All],2,FALSE)</f>
        <v>#N/A</v>
      </c>
      <c r="G6416" s="1">
        <v>42867</v>
      </c>
      <c r="I6416" s="225">
        <v>0</v>
      </c>
      <c r="J6416" s="225">
        <v>356</v>
      </c>
      <c r="K6416" s="225">
        <v>356</v>
      </c>
      <c r="L64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356</v>
      </c>
      <c r="M6416" s="225">
        <f>ROUND(IF(AND(Base_Periodo1[[#This Row],[Tipo_Linha]]="-",Base_Periodo1[[#This Row],[TIPOSALDO]]="D"),Base_Periodo1[[#This Row],[SALDO_ATUAL]]*-1,Base_Periodo1[[#This Row],[SALDO_ATUAL]]),4)</f>
        <v>356</v>
      </c>
      <c r="N6416" t="s">
        <v>116</v>
      </c>
      <c r="O6416" t="s">
        <v>436</v>
      </c>
      <c r="P6416" t="s">
        <v>459</v>
      </c>
      <c r="Q6416">
        <v>9</v>
      </c>
      <c r="R6416" s="282">
        <f>Base_Periodo1[[#This Row],[CREDITOS]]-Base_Periodo1[[#This Row],[DEBITOS]]</f>
        <v>356</v>
      </c>
      <c r="S6416" s="3" t="str">
        <f>IF(ISERROR(VLOOKUP(Base_Periodo1[[#This Row],[CONTA]],BaseContasDRE[#All],4,FALSE)),"Fora do DRE",VLOOKUP(Base_Periodo1[[#This Row],[CONTA]],BaseContasDRE[#All],4,FALSE))</f>
        <v>+</v>
      </c>
      <c r="T6416" s="3">
        <f>IF(ISERROR(VLOOKUP(Base_Periodo1[[#This Row],[CONTA]],BaseContasDRE[#All],5,FALSE)),"Fora do DRE",VLOOKUP(Base_Periodo1[[#This Row],[CONTA]],BaseContasDRE[#All],6,FALSE))</f>
        <v>1</v>
      </c>
      <c r="U6416" s="3" t="str">
        <f>IF(ISERROR(VLOOKUP(Base_Periodo1[[#This Row],[CONTA]],BaseContasDRE[#All],7,FALSE)),"Fora do DRE",VLOOKUP(Base_Periodo1[[#This Row],[CONTA]],BaseContasDRE[#All],7,FALSE))</f>
        <v>BONIFICAÇÕES RECEBIDAS</v>
      </c>
      <c r="V6416" s="3" t="str">
        <f>IF(Base_Periodo1[[#This Row],[Tipo_Linha]]="Fora do DRE","Fora do DRE","( "&amp;Base_Periodo1[[#This Row],[Tipo_Linha]]&amp;" ) "&amp;Base_Periodo1[[#This Row],[Filtro]])</f>
        <v>( + ) BONIFICAÇÕES RECEBIDAS</v>
      </c>
      <c r="W6416" s="3" t="str">
        <f>LEFT(Base_Periodo1[[#This Row],[CLASS]],3)</f>
        <v>3.2</v>
      </c>
    </row>
    <row r="6417" spans="1:23" hidden="1">
      <c r="A6417" s="3" t="str">
        <f t="shared" si="100"/>
        <v>Período 1</v>
      </c>
      <c r="B6417">
        <v>6528</v>
      </c>
      <c r="C6417" t="s">
        <v>7202</v>
      </c>
      <c r="D6417" t="s">
        <v>3991</v>
      </c>
      <c r="E6417" s="3" t="str">
        <f>IF(LEN(Base_Periodo1[[#This Row],[CLASS]])&gt;=7,LEFT(Base_Periodo1[[#This Row],[CLASS]],7),"")</f>
        <v>3.2.1.1</v>
      </c>
      <c r="F6417" s="3" t="e">
        <f>VLOOKUP(Base_Periodo1[[#This Row],[Aux]],Base_Contas_Balanco[#All],2,FALSE)</f>
        <v>#N/A</v>
      </c>
      <c r="G6417" s="1"/>
      <c r="I6417" s="225">
        <v>10419.599999999999</v>
      </c>
      <c r="J6417" s="225">
        <v>10419.599999999999</v>
      </c>
      <c r="K6417" s="225">
        <v>0</v>
      </c>
      <c r="L64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417" s="225">
        <f>ROUND(IF(AND(Base_Periodo1[[#This Row],[Tipo_Linha]]="-",Base_Periodo1[[#This Row],[TIPOSALDO]]="D"),Base_Periodo1[[#This Row],[SALDO_ATUAL]]*-1,Base_Periodo1[[#This Row],[SALDO_ATUAL]]),4)</f>
        <v>0</v>
      </c>
      <c r="N6417" t="s">
        <v>396</v>
      </c>
      <c r="O6417" t="s">
        <v>436</v>
      </c>
      <c r="P6417" t="s">
        <v>436</v>
      </c>
      <c r="Q6417">
        <v>8</v>
      </c>
      <c r="R6417" s="282">
        <f>Base_Periodo1[[#This Row],[CREDITOS]]-Base_Periodo1[[#This Row],[DEBITOS]]</f>
        <v>0</v>
      </c>
      <c r="S6417" s="3" t="str">
        <f>IF(ISERROR(VLOOKUP(Base_Periodo1[[#This Row],[CONTA]],BaseContasDRE[#All],4,FALSE)),"Fora do DRE",VLOOKUP(Base_Periodo1[[#This Row],[CONTA]],BaseContasDRE[#All],4,FALSE))</f>
        <v>Fora do DRE</v>
      </c>
      <c r="T6417" s="3" t="str">
        <f>IF(ISERROR(VLOOKUP(Base_Periodo1[[#This Row],[CONTA]],BaseContasDRE[#All],5,FALSE)),"Fora do DRE",VLOOKUP(Base_Periodo1[[#This Row],[CONTA]],BaseContasDRE[#All],6,FALSE))</f>
        <v>Fora do DRE</v>
      </c>
      <c r="U6417" s="3" t="str">
        <f>IF(ISERROR(VLOOKUP(Base_Periodo1[[#This Row],[CONTA]],BaseContasDRE[#All],7,FALSE)),"Fora do DRE",VLOOKUP(Base_Periodo1[[#This Row],[CONTA]],BaseContasDRE[#All],7,FALSE))</f>
        <v>Fora do DRE</v>
      </c>
      <c r="V6417" s="3" t="str">
        <f>IF(Base_Periodo1[[#This Row],[Tipo_Linha]]="Fora do DRE","Fora do DRE","( "&amp;Base_Periodo1[[#This Row],[Tipo_Linha]]&amp;" ) "&amp;Base_Periodo1[[#This Row],[Filtro]])</f>
        <v>Fora do DRE</v>
      </c>
      <c r="W6417" s="3" t="str">
        <f>LEFT(Base_Periodo1[[#This Row],[CLASS]],3)</f>
        <v>3.2</v>
      </c>
    </row>
    <row r="6418" spans="1:23" hidden="1">
      <c r="A6418" s="3" t="str">
        <f t="shared" si="100"/>
        <v>Período 1</v>
      </c>
      <c r="B6418">
        <v>6529</v>
      </c>
      <c r="C6418" t="s">
        <v>7203</v>
      </c>
      <c r="D6418" t="s">
        <v>3992</v>
      </c>
      <c r="E6418" s="3" t="str">
        <f>IF(LEN(Base_Periodo1[[#This Row],[CLASS]])&gt;=7,LEFT(Base_Periodo1[[#This Row],[CLASS]],7),"")</f>
        <v>3.2.1.1</v>
      </c>
      <c r="F6418" s="3" t="e">
        <f>VLOOKUP(Base_Periodo1[[#This Row],[Aux]],Base_Contas_Balanco[#All],2,FALSE)</f>
        <v>#N/A</v>
      </c>
      <c r="G6418" s="1">
        <v>42880</v>
      </c>
      <c r="I6418" s="225">
        <v>10419.599999999999</v>
      </c>
      <c r="J6418" s="225">
        <v>10419.599999999999</v>
      </c>
      <c r="K6418" s="225">
        <v>0</v>
      </c>
      <c r="L64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418" s="225">
        <f>ROUND(IF(AND(Base_Periodo1[[#This Row],[Tipo_Linha]]="-",Base_Periodo1[[#This Row],[TIPOSALDO]]="D"),Base_Periodo1[[#This Row],[SALDO_ATUAL]]*-1,Base_Periodo1[[#This Row],[SALDO_ATUAL]]),4)</f>
        <v>0</v>
      </c>
      <c r="N6418" t="s">
        <v>116</v>
      </c>
      <c r="O6418" t="s">
        <v>436</v>
      </c>
      <c r="P6418" t="s">
        <v>436</v>
      </c>
      <c r="Q6418">
        <v>9</v>
      </c>
      <c r="R6418" s="282">
        <f>Base_Periodo1[[#This Row],[CREDITOS]]-Base_Periodo1[[#This Row],[DEBITOS]]</f>
        <v>0</v>
      </c>
      <c r="S6418" s="3" t="str">
        <f>IF(ISERROR(VLOOKUP(Base_Periodo1[[#This Row],[CONTA]],BaseContasDRE[#All],4,FALSE)),"Fora do DRE",VLOOKUP(Base_Periodo1[[#This Row],[CONTA]],BaseContasDRE[#All],4,FALSE))</f>
        <v>-</v>
      </c>
      <c r="T6418" s="3">
        <f>IF(ISERROR(VLOOKUP(Base_Periodo1[[#This Row],[CONTA]],BaseContasDRE[#All],5,FALSE)),"Fora do DRE",VLOOKUP(Base_Periodo1[[#This Row],[CONTA]],BaseContasDRE[#All],6,FALSE))</f>
        <v>2</v>
      </c>
      <c r="U6418" s="3" t="str">
        <f>IF(ISERROR(VLOOKUP(Base_Periodo1[[#This Row],[CONTA]],BaseContasDRE[#All],7,FALSE)),"Fora do DRE",VLOOKUP(Base_Periodo1[[#This Row],[CONTA]],BaseContasDRE[#All],7,FALSE))</f>
        <v>DEVOLUÇÃO DE INSUMOS AGROPECUARIOS</v>
      </c>
      <c r="V6418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6418" s="3" t="str">
        <f>LEFT(Base_Periodo1[[#This Row],[CLASS]],3)</f>
        <v>3.2</v>
      </c>
    </row>
    <row r="6419" spans="1:23" hidden="1">
      <c r="A6419" s="3" t="str">
        <f t="shared" si="100"/>
        <v>Período 1</v>
      </c>
      <c r="B6419">
        <v>6530</v>
      </c>
      <c r="C6419" t="s">
        <v>6643</v>
      </c>
      <c r="D6419" t="s">
        <v>3993</v>
      </c>
      <c r="E6419" s="3" t="str">
        <f>IF(LEN(Base_Periodo1[[#This Row],[CLASS]])&gt;=7,LEFT(Base_Periodo1[[#This Row],[CLASS]],7),"")</f>
        <v>3.2.1.1</v>
      </c>
      <c r="F6419" s="3" t="e">
        <f>VLOOKUP(Base_Periodo1[[#This Row],[Aux]],Base_Contas_Balanco[#All],2,FALSE)</f>
        <v>#N/A</v>
      </c>
      <c r="G6419" s="1"/>
      <c r="H6419" s="225">
        <v>451.57999999999811</v>
      </c>
      <c r="I6419" s="225">
        <v>0</v>
      </c>
      <c r="J6419" s="225">
        <v>0</v>
      </c>
      <c r="K6419" s="225">
        <v>451.57999999999811</v>
      </c>
      <c r="L64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-451.58</v>
      </c>
      <c r="M6419" s="225">
        <f>ROUND(IF(AND(Base_Periodo1[[#This Row],[Tipo_Linha]]="-",Base_Periodo1[[#This Row],[TIPOSALDO]]="D"),Base_Periodo1[[#This Row],[SALDO_ATUAL]]*-1,Base_Periodo1[[#This Row],[SALDO_ATUAL]]),4)</f>
        <v>451.58</v>
      </c>
      <c r="N6419" t="s">
        <v>396</v>
      </c>
      <c r="O6419" t="s">
        <v>397</v>
      </c>
      <c r="P6419" t="s">
        <v>397</v>
      </c>
      <c r="Q6419">
        <v>8</v>
      </c>
      <c r="R6419" s="282">
        <f>Base_Periodo1[[#This Row],[CREDITOS]]-Base_Periodo1[[#This Row],[DEBITOS]]</f>
        <v>0</v>
      </c>
      <c r="S6419" s="3" t="str">
        <f>IF(ISERROR(VLOOKUP(Base_Periodo1[[#This Row],[CONTA]],BaseContasDRE[#All],4,FALSE)),"Fora do DRE",VLOOKUP(Base_Periodo1[[#This Row],[CONTA]],BaseContasDRE[#All],4,FALSE))</f>
        <v>Fora do DRE</v>
      </c>
      <c r="T6419" s="3" t="str">
        <f>IF(ISERROR(VLOOKUP(Base_Periodo1[[#This Row],[CONTA]],BaseContasDRE[#All],5,FALSE)),"Fora do DRE",VLOOKUP(Base_Periodo1[[#This Row],[CONTA]],BaseContasDRE[#All],6,FALSE))</f>
        <v>Fora do DRE</v>
      </c>
      <c r="U6419" s="3" t="str">
        <f>IF(ISERROR(VLOOKUP(Base_Periodo1[[#This Row],[CONTA]],BaseContasDRE[#All],7,FALSE)),"Fora do DRE",VLOOKUP(Base_Periodo1[[#This Row],[CONTA]],BaseContasDRE[#All],7,FALSE))</f>
        <v>Fora do DRE</v>
      </c>
      <c r="V6419" s="3" t="str">
        <f>IF(Base_Periodo1[[#This Row],[Tipo_Linha]]="Fora do DRE","Fora do DRE","( "&amp;Base_Periodo1[[#This Row],[Tipo_Linha]]&amp;" ) "&amp;Base_Periodo1[[#This Row],[Filtro]])</f>
        <v>Fora do DRE</v>
      </c>
      <c r="W6419" s="3" t="str">
        <f>LEFT(Base_Periodo1[[#This Row],[CLASS]],3)</f>
        <v>3.2</v>
      </c>
    </row>
    <row r="6420" spans="1:23" hidden="1">
      <c r="A6420" s="3" t="str">
        <f t="shared" si="100"/>
        <v>Período 1</v>
      </c>
      <c r="B6420">
        <v>6531</v>
      </c>
      <c r="C6420" t="s">
        <v>6644</v>
      </c>
      <c r="D6420" t="s">
        <v>3566</v>
      </c>
      <c r="E6420" s="3" t="str">
        <f>IF(LEN(Base_Periodo1[[#This Row],[CLASS]])&gt;=7,LEFT(Base_Periodo1[[#This Row],[CLASS]],7),"")</f>
        <v>3.2.1.1</v>
      </c>
      <c r="F6420" s="3" t="e">
        <f>VLOOKUP(Base_Periodo1[[#This Row],[Aux]],Base_Contas_Balanco[#All],2,FALSE)</f>
        <v>#N/A</v>
      </c>
      <c r="G6420" s="1">
        <v>42821</v>
      </c>
      <c r="H6420" s="225">
        <v>451.57999999999811</v>
      </c>
      <c r="I6420" s="225">
        <v>0</v>
      </c>
      <c r="J6420" s="225">
        <v>0</v>
      </c>
      <c r="K6420" s="225">
        <v>451.57999999999811</v>
      </c>
      <c r="L64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-451.58</v>
      </c>
      <c r="M6420" s="225">
        <f>ROUND(IF(AND(Base_Periodo1[[#This Row],[Tipo_Linha]]="-",Base_Periodo1[[#This Row],[TIPOSALDO]]="D"),Base_Periodo1[[#This Row],[SALDO_ATUAL]]*-1,Base_Periodo1[[#This Row],[SALDO_ATUAL]]),4)</f>
        <v>-451.58</v>
      </c>
      <c r="N6420" t="s">
        <v>116</v>
      </c>
      <c r="O6420" t="s">
        <v>397</v>
      </c>
      <c r="P6420" t="s">
        <v>397</v>
      </c>
      <c r="Q6420">
        <v>9</v>
      </c>
      <c r="R6420" s="282">
        <f>Base_Periodo1[[#This Row],[CREDITOS]]-Base_Periodo1[[#This Row],[DEBITOS]]</f>
        <v>0</v>
      </c>
      <c r="S6420" s="3" t="str">
        <f>IF(ISERROR(VLOOKUP(Base_Periodo1[[#This Row],[CONTA]],BaseContasDRE[#All],4,FALSE)),"Fora do DRE",VLOOKUP(Base_Periodo1[[#This Row],[CONTA]],BaseContasDRE[#All],4,FALSE))</f>
        <v>-</v>
      </c>
      <c r="T6420" s="3">
        <f>IF(ISERROR(VLOOKUP(Base_Periodo1[[#This Row],[CONTA]],BaseContasDRE[#All],5,FALSE)),"Fora do DRE",VLOOKUP(Base_Periodo1[[#This Row],[CONTA]],BaseContasDRE[#All],6,FALSE))</f>
        <v>2</v>
      </c>
      <c r="U6420" s="3" t="str">
        <f>IF(ISERROR(VLOOKUP(Base_Periodo1[[#This Row],[CONTA]],BaseContasDRE[#All],7,FALSE)),"Fora do DRE",VLOOKUP(Base_Periodo1[[#This Row],[CONTA]],BaseContasDRE[#All],7,FALSE))</f>
        <v>ICMS SOBRE INGRESSOS E RECEITAS</v>
      </c>
      <c r="V6420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420" s="3" t="str">
        <f>LEFT(Base_Periodo1[[#This Row],[CLASS]],3)</f>
        <v>3.2</v>
      </c>
    </row>
    <row r="6421" spans="1:23" hidden="1">
      <c r="A6421" s="3" t="str">
        <f t="shared" si="100"/>
        <v>Período 1</v>
      </c>
      <c r="B6421">
        <v>6532</v>
      </c>
      <c r="C6421" t="s">
        <v>6645</v>
      </c>
      <c r="D6421" t="s">
        <v>3995</v>
      </c>
      <c r="E6421" s="3" t="str">
        <f>IF(LEN(Base_Periodo1[[#This Row],[CLASS]])&gt;=7,LEFT(Base_Periodo1[[#This Row],[CLASS]],7),"")</f>
        <v>3.2.1.1</v>
      </c>
      <c r="F6421" s="3" t="e">
        <f>VLOOKUP(Base_Periodo1[[#This Row],[Aux]],Base_Contas_Balanco[#All],2,FALSE)</f>
        <v>#N/A</v>
      </c>
      <c r="G6421" s="1"/>
      <c r="H6421" s="225">
        <v>178629.77000000095</v>
      </c>
      <c r="I6421" s="225">
        <v>144646.88</v>
      </c>
      <c r="J6421" s="225">
        <v>0</v>
      </c>
      <c r="K6421" s="225">
        <v>323276.65000000095</v>
      </c>
      <c r="L64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-323276.65000000002</v>
      </c>
      <c r="M6421" s="225">
        <f>ROUND(IF(AND(Base_Periodo1[[#This Row],[Tipo_Linha]]="-",Base_Periodo1[[#This Row],[TIPOSALDO]]="D"),Base_Periodo1[[#This Row],[SALDO_ATUAL]]*-1,Base_Periodo1[[#This Row],[SALDO_ATUAL]]),4)</f>
        <v>323276.65000000002</v>
      </c>
      <c r="N6421" t="s">
        <v>396</v>
      </c>
      <c r="O6421" t="s">
        <v>397</v>
      </c>
      <c r="P6421" t="s">
        <v>397</v>
      </c>
      <c r="Q6421">
        <v>8</v>
      </c>
      <c r="R6421" s="282">
        <f>Base_Periodo1[[#This Row],[CREDITOS]]-Base_Periodo1[[#This Row],[DEBITOS]]</f>
        <v>-144646.88</v>
      </c>
      <c r="S6421" s="3" t="str">
        <f>IF(ISERROR(VLOOKUP(Base_Periodo1[[#This Row],[CONTA]],BaseContasDRE[#All],4,FALSE)),"Fora do DRE",VLOOKUP(Base_Periodo1[[#This Row],[CONTA]],BaseContasDRE[#All],4,FALSE))</f>
        <v>Fora do DRE</v>
      </c>
      <c r="T6421" s="3" t="str">
        <f>IF(ISERROR(VLOOKUP(Base_Periodo1[[#This Row],[CONTA]],BaseContasDRE[#All],5,FALSE)),"Fora do DRE",VLOOKUP(Base_Periodo1[[#This Row],[CONTA]],BaseContasDRE[#All],6,FALSE))</f>
        <v>Fora do DRE</v>
      </c>
      <c r="U6421" s="3" t="str">
        <f>IF(ISERROR(VLOOKUP(Base_Periodo1[[#This Row],[CONTA]],BaseContasDRE[#All],7,FALSE)),"Fora do DRE",VLOOKUP(Base_Periodo1[[#This Row],[CONTA]],BaseContasDRE[#All],7,FALSE))</f>
        <v>Fora do DRE</v>
      </c>
      <c r="V6421" s="3" t="str">
        <f>IF(Base_Periodo1[[#This Row],[Tipo_Linha]]="Fora do DRE","Fora do DRE","( "&amp;Base_Periodo1[[#This Row],[Tipo_Linha]]&amp;" ) "&amp;Base_Periodo1[[#This Row],[Filtro]])</f>
        <v>Fora do DRE</v>
      </c>
      <c r="W6421" s="3" t="str">
        <f>LEFT(Base_Periodo1[[#This Row],[CLASS]],3)</f>
        <v>3.2</v>
      </c>
    </row>
    <row r="6422" spans="1:23" hidden="1">
      <c r="A6422" s="3" t="str">
        <f t="shared" si="100"/>
        <v>Período 1</v>
      </c>
      <c r="B6422">
        <v>6533</v>
      </c>
      <c r="C6422" t="s">
        <v>6646</v>
      </c>
      <c r="D6422" t="s">
        <v>3997</v>
      </c>
      <c r="E6422" s="3" t="str">
        <f>IF(LEN(Base_Periodo1[[#This Row],[CLASS]])&gt;=7,LEFT(Base_Periodo1[[#This Row],[CLASS]],7),"")</f>
        <v>3.2.1.1</v>
      </c>
      <c r="F6422" s="3" t="e">
        <f>VLOOKUP(Base_Periodo1[[#This Row],[Aux]],Base_Contas_Balanco[#All],2,FALSE)</f>
        <v>#N/A</v>
      </c>
      <c r="G6422" s="1">
        <v>42886</v>
      </c>
      <c r="H6422" s="225">
        <v>178629.77000000095</v>
      </c>
      <c r="I6422" s="225">
        <v>144646.88</v>
      </c>
      <c r="J6422" s="225">
        <v>0</v>
      </c>
      <c r="K6422" s="225">
        <v>323276.65000000095</v>
      </c>
      <c r="L64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-323276.65000000002</v>
      </c>
      <c r="M6422" s="225">
        <f>ROUND(IF(AND(Base_Periodo1[[#This Row],[Tipo_Linha]]="-",Base_Periodo1[[#This Row],[TIPOSALDO]]="D"),Base_Periodo1[[#This Row],[SALDO_ATUAL]]*-1,Base_Periodo1[[#This Row],[SALDO_ATUAL]]),4)</f>
        <v>-323276.65000000002</v>
      </c>
      <c r="N6422" t="s">
        <v>116</v>
      </c>
      <c r="O6422" t="s">
        <v>397</v>
      </c>
      <c r="P6422" t="s">
        <v>397</v>
      </c>
      <c r="Q6422">
        <v>9</v>
      </c>
      <c r="R6422" s="282">
        <f>Base_Periodo1[[#This Row],[CREDITOS]]-Base_Periodo1[[#This Row],[DEBITOS]]</f>
        <v>-144646.88</v>
      </c>
      <c r="S6422" s="3" t="str">
        <f>IF(ISERROR(VLOOKUP(Base_Periodo1[[#This Row],[CONTA]],BaseContasDRE[#All],4,FALSE)),"Fora do DRE",VLOOKUP(Base_Periodo1[[#This Row],[CONTA]],BaseContasDRE[#All],4,FALSE))</f>
        <v>-</v>
      </c>
      <c r="T6422" s="3">
        <f>IF(ISERROR(VLOOKUP(Base_Periodo1[[#This Row],[CONTA]],BaseContasDRE[#All],5,FALSE)),"Fora do DRE",VLOOKUP(Base_Periodo1[[#This Row],[CONTA]],BaseContasDRE[#All],6,FALSE))</f>
        <v>3</v>
      </c>
      <c r="U6422" s="3" t="str">
        <f>IF(ISERROR(VLOOKUP(Base_Periodo1[[#This Row],[CONTA]],BaseContasDRE[#All],7,FALSE)),"Fora do DRE",VLOOKUP(Base_Periodo1[[#This Row],[CONTA]],BaseContasDRE[#All],7,FALSE))</f>
        <v>INSUMOS AGROPECUARIOS</v>
      </c>
      <c r="V6422" s="3" t="str">
        <f>IF(Base_Periodo1[[#This Row],[Tipo_Linha]]="Fora do DRE","Fora do DRE","( "&amp;Base_Periodo1[[#This Row],[Tipo_Linha]]&amp;" ) "&amp;Base_Periodo1[[#This Row],[Filtro]])</f>
        <v>( - ) INSUMOS AGROPECUARIOS</v>
      </c>
      <c r="W6422" s="3" t="str">
        <f>LEFT(Base_Periodo1[[#This Row],[CLASS]],3)</f>
        <v>3.2</v>
      </c>
    </row>
    <row r="6423" spans="1:23" hidden="1">
      <c r="A6423" s="3" t="str">
        <f t="shared" si="100"/>
        <v>Período 1</v>
      </c>
      <c r="B6423">
        <v>6534</v>
      </c>
      <c r="C6423" t="s">
        <v>6647</v>
      </c>
      <c r="D6423" t="s">
        <v>1273</v>
      </c>
      <c r="E6423" s="3" t="str">
        <f>IF(LEN(Base_Periodo1[[#This Row],[CLASS]])&gt;=7,LEFT(Base_Periodo1[[#This Row],[CLASS]],7),"")</f>
        <v>3.2.1.1</v>
      </c>
      <c r="F6423" s="3" t="e">
        <f>VLOOKUP(Base_Periodo1[[#This Row],[Aux]],Base_Contas_Balanco[#All],2,FALSE)</f>
        <v>#N/A</v>
      </c>
      <c r="G6423" s="1"/>
      <c r="H6423" s="225">
        <v>191.3300000000163</v>
      </c>
      <c r="I6423" s="225">
        <v>707.85</v>
      </c>
      <c r="J6423" s="225">
        <v>0</v>
      </c>
      <c r="K6423" s="225">
        <v>899.18000000001632</v>
      </c>
      <c r="L64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-899.18</v>
      </c>
      <c r="M6423" s="225">
        <f>ROUND(IF(AND(Base_Periodo1[[#This Row],[Tipo_Linha]]="-",Base_Periodo1[[#This Row],[TIPOSALDO]]="D"),Base_Periodo1[[#This Row],[SALDO_ATUAL]]*-1,Base_Periodo1[[#This Row],[SALDO_ATUAL]]),4)</f>
        <v>899.18</v>
      </c>
      <c r="N6423" t="s">
        <v>396</v>
      </c>
      <c r="O6423" t="s">
        <v>397</v>
      </c>
      <c r="P6423" t="s">
        <v>397</v>
      </c>
      <c r="Q6423">
        <v>7</v>
      </c>
      <c r="R6423" s="282">
        <f>Base_Periodo1[[#This Row],[CREDITOS]]-Base_Periodo1[[#This Row],[DEBITOS]]</f>
        <v>-707.85</v>
      </c>
      <c r="S6423" s="3" t="str">
        <f>IF(ISERROR(VLOOKUP(Base_Periodo1[[#This Row],[CONTA]],BaseContasDRE[#All],4,FALSE)),"Fora do DRE",VLOOKUP(Base_Periodo1[[#This Row],[CONTA]],BaseContasDRE[#All],4,FALSE))</f>
        <v>Fora do DRE</v>
      </c>
      <c r="T6423" s="3" t="str">
        <f>IF(ISERROR(VLOOKUP(Base_Periodo1[[#This Row],[CONTA]],BaseContasDRE[#All],5,FALSE)),"Fora do DRE",VLOOKUP(Base_Periodo1[[#This Row],[CONTA]],BaseContasDRE[#All],6,FALSE))</f>
        <v>Fora do DRE</v>
      </c>
      <c r="U6423" s="3" t="str">
        <f>IF(ISERROR(VLOOKUP(Base_Periodo1[[#This Row],[CONTA]],BaseContasDRE[#All],7,FALSE)),"Fora do DRE",VLOOKUP(Base_Periodo1[[#This Row],[CONTA]],BaseContasDRE[#All],7,FALSE))</f>
        <v>Fora do DRE</v>
      </c>
      <c r="V6423" s="3" t="str">
        <f>IF(Base_Periodo1[[#This Row],[Tipo_Linha]]="Fora do DRE","Fora do DRE","( "&amp;Base_Periodo1[[#This Row],[Tipo_Linha]]&amp;" ) "&amp;Base_Periodo1[[#This Row],[Filtro]])</f>
        <v>Fora do DRE</v>
      </c>
      <c r="W6423" s="3" t="str">
        <f>LEFT(Base_Periodo1[[#This Row],[CLASS]],3)</f>
        <v>3.2</v>
      </c>
    </row>
    <row r="6424" spans="1:23" hidden="1">
      <c r="A6424" s="3" t="str">
        <f t="shared" si="100"/>
        <v>Período 1</v>
      </c>
      <c r="B6424">
        <v>6540</v>
      </c>
      <c r="C6424" t="s">
        <v>6648</v>
      </c>
      <c r="D6424" t="s">
        <v>3995</v>
      </c>
      <c r="E6424" s="3" t="str">
        <f>IF(LEN(Base_Periodo1[[#This Row],[CLASS]])&gt;=7,LEFT(Base_Periodo1[[#This Row],[CLASS]],7),"")</f>
        <v>3.2.1.1</v>
      </c>
      <c r="F6424" s="3" t="e">
        <f>VLOOKUP(Base_Periodo1[[#This Row],[Aux]],Base_Contas_Balanco[#All],2,FALSE)</f>
        <v>#N/A</v>
      </c>
      <c r="G6424" s="1"/>
      <c r="H6424" s="225">
        <v>191.3300000000163</v>
      </c>
      <c r="I6424" s="225">
        <v>707.85</v>
      </c>
      <c r="J6424" s="225">
        <v>0</v>
      </c>
      <c r="K6424" s="225">
        <v>899.18000000001632</v>
      </c>
      <c r="L64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-899.18</v>
      </c>
      <c r="M6424" s="225">
        <f>ROUND(IF(AND(Base_Periodo1[[#This Row],[Tipo_Linha]]="-",Base_Periodo1[[#This Row],[TIPOSALDO]]="D"),Base_Periodo1[[#This Row],[SALDO_ATUAL]]*-1,Base_Periodo1[[#This Row],[SALDO_ATUAL]]),4)</f>
        <v>899.18</v>
      </c>
      <c r="N6424" t="s">
        <v>396</v>
      </c>
      <c r="O6424" t="s">
        <v>397</v>
      </c>
      <c r="P6424" t="s">
        <v>397</v>
      </c>
      <c r="Q6424">
        <v>8</v>
      </c>
      <c r="R6424" s="282">
        <f>Base_Periodo1[[#This Row],[CREDITOS]]-Base_Periodo1[[#This Row],[DEBITOS]]</f>
        <v>-707.85</v>
      </c>
      <c r="S6424" s="3" t="str">
        <f>IF(ISERROR(VLOOKUP(Base_Periodo1[[#This Row],[CONTA]],BaseContasDRE[#All],4,FALSE)),"Fora do DRE",VLOOKUP(Base_Periodo1[[#This Row],[CONTA]],BaseContasDRE[#All],4,FALSE))</f>
        <v>Fora do DRE</v>
      </c>
      <c r="T6424" s="3" t="str">
        <f>IF(ISERROR(VLOOKUP(Base_Periodo1[[#This Row],[CONTA]],BaseContasDRE[#All],5,FALSE)),"Fora do DRE",VLOOKUP(Base_Periodo1[[#This Row],[CONTA]],BaseContasDRE[#All],6,FALSE))</f>
        <v>Fora do DRE</v>
      </c>
      <c r="U6424" s="3" t="str">
        <f>IF(ISERROR(VLOOKUP(Base_Periodo1[[#This Row],[CONTA]],BaseContasDRE[#All],7,FALSE)),"Fora do DRE",VLOOKUP(Base_Periodo1[[#This Row],[CONTA]],BaseContasDRE[#All],7,FALSE))</f>
        <v>Fora do DRE</v>
      </c>
      <c r="V6424" s="3" t="str">
        <f>IF(Base_Periodo1[[#This Row],[Tipo_Linha]]="Fora do DRE","Fora do DRE","( "&amp;Base_Periodo1[[#This Row],[Tipo_Linha]]&amp;" ) "&amp;Base_Periodo1[[#This Row],[Filtro]])</f>
        <v>Fora do DRE</v>
      </c>
      <c r="W6424" s="3" t="str">
        <f>LEFT(Base_Periodo1[[#This Row],[CLASS]],3)</f>
        <v>3.2</v>
      </c>
    </row>
    <row r="6425" spans="1:23" hidden="1">
      <c r="A6425" s="3" t="str">
        <f t="shared" si="100"/>
        <v>Período 1</v>
      </c>
      <c r="B6425">
        <v>6541</v>
      </c>
      <c r="C6425" t="s">
        <v>6649</v>
      </c>
      <c r="D6425" t="s">
        <v>3997</v>
      </c>
      <c r="E6425" s="3" t="str">
        <f>IF(LEN(Base_Periodo1[[#This Row],[CLASS]])&gt;=7,LEFT(Base_Periodo1[[#This Row],[CLASS]],7),"")</f>
        <v>3.2.1.1</v>
      </c>
      <c r="F6425" s="3" t="e">
        <f>VLOOKUP(Base_Periodo1[[#This Row],[Aux]],Base_Contas_Balanco[#All],2,FALSE)</f>
        <v>#N/A</v>
      </c>
      <c r="G6425" s="1">
        <v>42886</v>
      </c>
      <c r="H6425" s="225">
        <v>191.3300000000163</v>
      </c>
      <c r="I6425" s="225">
        <v>707.85</v>
      </c>
      <c r="J6425" s="225">
        <v>0</v>
      </c>
      <c r="K6425" s="225">
        <v>899.18000000001632</v>
      </c>
      <c r="L64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-899.18</v>
      </c>
      <c r="M6425" s="225">
        <f>ROUND(IF(AND(Base_Periodo1[[#This Row],[Tipo_Linha]]="-",Base_Periodo1[[#This Row],[TIPOSALDO]]="D"),Base_Periodo1[[#This Row],[SALDO_ATUAL]]*-1,Base_Periodo1[[#This Row],[SALDO_ATUAL]]),4)</f>
        <v>-899.18</v>
      </c>
      <c r="N6425" t="s">
        <v>116</v>
      </c>
      <c r="O6425" t="s">
        <v>397</v>
      </c>
      <c r="P6425" t="s">
        <v>397</v>
      </c>
      <c r="Q6425">
        <v>9</v>
      </c>
      <c r="R6425" s="282">
        <f>Base_Periodo1[[#This Row],[CREDITOS]]-Base_Periodo1[[#This Row],[DEBITOS]]</f>
        <v>-707.85</v>
      </c>
      <c r="S6425" s="3" t="str">
        <f>IF(ISERROR(VLOOKUP(Base_Periodo1[[#This Row],[CONTA]],BaseContasDRE[#All],4,FALSE)),"Fora do DRE",VLOOKUP(Base_Periodo1[[#This Row],[CONTA]],BaseContasDRE[#All],4,FALSE))</f>
        <v>-</v>
      </c>
      <c r="T6425" s="3">
        <f>IF(ISERROR(VLOOKUP(Base_Periodo1[[#This Row],[CONTA]],BaseContasDRE[#All],5,FALSE)),"Fora do DRE",VLOOKUP(Base_Periodo1[[#This Row],[CONTA]],BaseContasDRE[#All],6,FALSE))</f>
        <v>3</v>
      </c>
      <c r="U6425" s="3" t="str">
        <f>IF(ISERROR(VLOOKUP(Base_Periodo1[[#This Row],[CONTA]],BaseContasDRE[#All],7,FALSE)),"Fora do DRE",VLOOKUP(Base_Periodo1[[#This Row],[CONTA]],BaseContasDRE[#All],7,FALSE))</f>
        <v>INSUMOS AGROPECUARIOS</v>
      </c>
      <c r="V6425" s="3" t="str">
        <f>IF(Base_Periodo1[[#This Row],[Tipo_Linha]]="Fora do DRE","Fora do DRE","( "&amp;Base_Periodo1[[#This Row],[Tipo_Linha]]&amp;" ) "&amp;Base_Periodo1[[#This Row],[Filtro]])</f>
        <v>( - ) INSUMOS AGROPECUARIOS</v>
      </c>
      <c r="W6425" s="3" t="str">
        <f>LEFT(Base_Periodo1[[#This Row],[CLASS]],3)</f>
        <v>3.2</v>
      </c>
    </row>
    <row r="6426" spans="1:23" hidden="1">
      <c r="A6426" s="3" t="str">
        <f t="shared" si="100"/>
        <v>Período 1</v>
      </c>
      <c r="B6426">
        <v>6547</v>
      </c>
      <c r="C6426" t="s">
        <v>6650</v>
      </c>
      <c r="D6426" t="s">
        <v>1280</v>
      </c>
      <c r="E6426" s="3" t="str">
        <f>IF(LEN(Base_Periodo1[[#This Row],[CLASS]])&gt;=7,LEFT(Base_Periodo1[[#This Row],[CLASS]],7),"")</f>
        <v>3.2.1.1</v>
      </c>
      <c r="F6426" s="3" t="e">
        <f>VLOOKUP(Base_Periodo1[[#This Row],[Aux]],Base_Contas_Balanco[#All],2,FALSE)</f>
        <v>#N/A</v>
      </c>
      <c r="G6426" s="1"/>
      <c r="H6426" s="225">
        <v>11138.359999999993</v>
      </c>
      <c r="I6426" s="225">
        <v>6750</v>
      </c>
      <c r="J6426" s="225">
        <v>4779.5</v>
      </c>
      <c r="K6426" s="225">
        <v>13108.859999999993</v>
      </c>
      <c r="L64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-13108.86</v>
      </c>
      <c r="M6426" s="225">
        <f>ROUND(IF(AND(Base_Periodo1[[#This Row],[Tipo_Linha]]="-",Base_Periodo1[[#This Row],[TIPOSALDO]]="D"),Base_Periodo1[[#This Row],[SALDO_ATUAL]]*-1,Base_Periodo1[[#This Row],[SALDO_ATUAL]]),4)</f>
        <v>13108.86</v>
      </c>
      <c r="N6426" t="s">
        <v>396</v>
      </c>
      <c r="O6426" t="s">
        <v>397</v>
      </c>
      <c r="P6426" t="s">
        <v>397</v>
      </c>
      <c r="Q6426">
        <v>7</v>
      </c>
      <c r="R6426" s="282">
        <f>Base_Periodo1[[#This Row],[CREDITOS]]-Base_Periodo1[[#This Row],[DEBITOS]]</f>
        <v>-1970.5</v>
      </c>
      <c r="S6426" s="3" t="str">
        <f>IF(ISERROR(VLOOKUP(Base_Periodo1[[#This Row],[CONTA]],BaseContasDRE[#All],4,FALSE)),"Fora do DRE",VLOOKUP(Base_Periodo1[[#This Row],[CONTA]],BaseContasDRE[#All],4,FALSE))</f>
        <v>Fora do DRE</v>
      </c>
      <c r="T6426" s="3" t="str">
        <f>IF(ISERROR(VLOOKUP(Base_Periodo1[[#This Row],[CONTA]],BaseContasDRE[#All],5,FALSE)),"Fora do DRE",VLOOKUP(Base_Periodo1[[#This Row],[CONTA]],BaseContasDRE[#All],6,FALSE))</f>
        <v>Fora do DRE</v>
      </c>
      <c r="U6426" s="3" t="str">
        <f>IF(ISERROR(VLOOKUP(Base_Periodo1[[#This Row],[CONTA]],BaseContasDRE[#All],7,FALSE)),"Fora do DRE",VLOOKUP(Base_Periodo1[[#This Row],[CONTA]],BaseContasDRE[#All],7,FALSE))</f>
        <v>Fora do DRE</v>
      </c>
      <c r="V6426" s="3" t="str">
        <f>IF(Base_Periodo1[[#This Row],[Tipo_Linha]]="Fora do DRE","Fora do DRE","( "&amp;Base_Periodo1[[#This Row],[Tipo_Linha]]&amp;" ) "&amp;Base_Periodo1[[#This Row],[Filtro]])</f>
        <v>Fora do DRE</v>
      </c>
      <c r="W6426" s="3" t="str">
        <f>LEFT(Base_Periodo1[[#This Row],[CLASS]],3)</f>
        <v>3.2</v>
      </c>
    </row>
    <row r="6427" spans="1:23" hidden="1">
      <c r="A6427" s="3" t="str">
        <f t="shared" si="100"/>
        <v>Período 1</v>
      </c>
      <c r="B6427">
        <v>6548</v>
      </c>
      <c r="C6427" t="s">
        <v>6651</v>
      </c>
      <c r="D6427" t="s">
        <v>3985</v>
      </c>
      <c r="E6427" s="3" t="str">
        <f>IF(LEN(Base_Periodo1[[#This Row],[CLASS]])&gt;=7,LEFT(Base_Periodo1[[#This Row],[CLASS]],7),"")</f>
        <v>3.2.1.1</v>
      </c>
      <c r="F6427" s="3" t="e">
        <f>VLOOKUP(Base_Periodo1[[#This Row],[Aux]],Base_Contas_Balanco[#All],2,FALSE)</f>
        <v>#N/A</v>
      </c>
      <c r="G6427" s="1"/>
      <c r="H6427" s="225">
        <v>3742.260000000002</v>
      </c>
      <c r="I6427" s="225">
        <v>0</v>
      </c>
      <c r="J6427" s="225">
        <v>0</v>
      </c>
      <c r="K6427" s="225">
        <v>3742.260000000002</v>
      </c>
      <c r="L64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3742.26</v>
      </c>
      <c r="M6427" s="225">
        <f>ROUND(IF(AND(Base_Periodo1[[#This Row],[Tipo_Linha]]="-",Base_Periodo1[[#This Row],[TIPOSALDO]]="D"),Base_Periodo1[[#This Row],[SALDO_ATUAL]]*-1,Base_Periodo1[[#This Row],[SALDO_ATUAL]]),4)</f>
        <v>3742.26</v>
      </c>
      <c r="N6427" t="s">
        <v>396</v>
      </c>
      <c r="O6427" t="s">
        <v>459</v>
      </c>
      <c r="P6427" t="s">
        <v>459</v>
      </c>
      <c r="Q6427">
        <v>8</v>
      </c>
      <c r="R6427" s="282">
        <f>Base_Periodo1[[#This Row],[CREDITOS]]-Base_Periodo1[[#This Row],[DEBITOS]]</f>
        <v>0</v>
      </c>
      <c r="S6427" s="3" t="str">
        <f>IF(ISERROR(VLOOKUP(Base_Periodo1[[#This Row],[CONTA]],BaseContasDRE[#All],4,FALSE)),"Fora do DRE",VLOOKUP(Base_Periodo1[[#This Row],[CONTA]],BaseContasDRE[#All],4,FALSE))</f>
        <v>Fora do DRE</v>
      </c>
      <c r="T6427" s="3" t="str">
        <f>IF(ISERROR(VLOOKUP(Base_Periodo1[[#This Row],[CONTA]],BaseContasDRE[#All],5,FALSE)),"Fora do DRE",VLOOKUP(Base_Periodo1[[#This Row],[CONTA]],BaseContasDRE[#All],6,FALSE))</f>
        <v>Fora do DRE</v>
      </c>
      <c r="U6427" s="3" t="str">
        <f>IF(ISERROR(VLOOKUP(Base_Periodo1[[#This Row],[CONTA]],BaseContasDRE[#All],7,FALSE)),"Fora do DRE",VLOOKUP(Base_Periodo1[[#This Row],[CONTA]],BaseContasDRE[#All],7,FALSE))</f>
        <v>Fora do DRE</v>
      </c>
      <c r="V6427" s="3" t="str">
        <f>IF(Base_Periodo1[[#This Row],[Tipo_Linha]]="Fora do DRE","Fora do DRE","( "&amp;Base_Periodo1[[#This Row],[Tipo_Linha]]&amp;" ) "&amp;Base_Periodo1[[#This Row],[Filtro]])</f>
        <v>Fora do DRE</v>
      </c>
      <c r="W6427" s="3" t="str">
        <f>LEFT(Base_Periodo1[[#This Row],[CLASS]],3)</f>
        <v>3.2</v>
      </c>
    </row>
    <row r="6428" spans="1:23" hidden="1">
      <c r="A6428" s="3" t="str">
        <f t="shared" si="100"/>
        <v>Período 1</v>
      </c>
      <c r="B6428">
        <v>6549</v>
      </c>
      <c r="C6428" t="s">
        <v>6652</v>
      </c>
      <c r="D6428" t="s">
        <v>3987</v>
      </c>
      <c r="E6428" s="3" t="str">
        <f>IF(LEN(Base_Periodo1[[#This Row],[CLASS]])&gt;=7,LEFT(Base_Periodo1[[#This Row],[CLASS]],7),"")</f>
        <v>3.2.1.1</v>
      </c>
      <c r="F6428" s="3" t="e">
        <f>VLOOKUP(Base_Periodo1[[#This Row],[Aux]],Base_Contas_Balanco[#All],2,FALSE)</f>
        <v>#N/A</v>
      </c>
      <c r="G6428" s="1">
        <v>42845</v>
      </c>
      <c r="H6428" s="225">
        <v>3742.260000000002</v>
      </c>
      <c r="I6428" s="225">
        <v>0</v>
      </c>
      <c r="J6428" s="225">
        <v>0</v>
      </c>
      <c r="K6428" s="225">
        <v>3742.260000000002</v>
      </c>
      <c r="L64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3742.26</v>
      </c>
      <c r="M6428" s="225">
        <f>ROUND(IF(AND(Base_Periodo1[[#This Row],[Tipo_Linha]]="-",Base_Periodo1[[#This Row],[TIPOSALDO]]="D"),Base_Periodo1[[#This Row],[SALDO_ATUAL]]*-1,Base_Periodo1[[#This Row],[SALDO_ATUAL]]),4)</f>
        <v>3742.26</v>
      </c>
      <c r="N6428" t="s">
        <v>116</v>
      </c>
      <c r="O6428" t="s">
        <v>459</v>
      </c>
      <c r="P6428" t="s">
        <v>459</v>
      </c>
      <c r="Q6428">
        <v>9</v>
      </c>
      <c r="R6428" s="282">
        <f>Base_Periodo1[[#This Row],[CREDITOS]]-Base_Periodo1[[#This Row],[DEBITOS]]</f>
        <v>0</v>
      </c>
      <c r="S6428" s="3" t="str">
        <f>IF(ISERROR(VLOOKUP(Base_Periodo1[[#This Row],[CONTA]],BaseContasDRE[#All],4,FALSE)),"Fora do DRE",VLOOKUP(Base_Periodo1[[#This Row],[CONTA]],BaseContasDRE[#All],4,FALSE))</f>
        <v>+</v>
      </c>
      <c r="T6428" s="3">
        <f>IF(ISERROR(VLOOKUP(Base_Periodo1[[#This Row],[CONTA]],BaseContasDRE[#All],5,FALSE)),"Fora do DRE",VLOOKUP(Base_Periodo1[[#This Row],[CONTA]],BaseContasDRE[#All],6,FALSE))</f>
        <v>1</v>
      </c>
      <c r="U6428" s="3" t="str">
        <f>IF(ISERROR(VLOOKUP(Base_Periodo1[[#This Row],[CONTA]],BaseContasDRE[#All],7,FALSE)),"Fora do DRE",VLOOKUP(Base_Periodo1[[#This Row],[CONTA]],BaseContasDRE[#All],7,FALSE))</f>
        <v>INSUMOS AGROPECUARIOS</v>
      </c>
      <c r="V6428" s="3" t="str">
        <f>IF(Base_Periodo1[[#This Row],[Tipo_Linha]]="Fora do DRE","Fora do DRE","( "&amp;Base_Periodo1[[#This Row],[Tipo_Linha]]&amp;" ) "&amp;Base_Periodo1[[#This Row],[Filtro]])</f>
        <v>( + ) INSUMOS AGROPECUARIOS</v>
      </c>
      <c r="W6428" s="3" t="str">
        <f>LEFT(Base_Periodo1[[#This Row],[CLASS]],3)</f>
        <v>3.2</v>
      </c>
    </row>
    <row r="6429" spans="1:23" hidden="1">
      <c r="A6429" s="3" t="str">
        <f t="shared" si="100"/>
        <v>Período 1</v>
      </c>
      <c r="B6429">
        <v>58344</v>
      </c>
      <c r="C6429" t="s">
        <v>6653</v>
      </c>
      <c r="D6429" t="s">
        <v>3991</v>
      </c>
      <c r="E6429" s="3" t="str">
        <f>IF(LEN(Base_Periodo1[[#This Row],[CLASS]])&gt;=7,LEFT(Base_Periodo1[[#This Row],[CLASS]],7),"")</f>
        <v>3.2.1.1</v>
      </c>
      <c r="F6429" s="3" t="e">
        <f>VLOOKUP(Base_Periodo1[[#This Row],[Aux]],Base_Contas_Balanco[#All],2,FALSE)</f>
        <v>#N/A</v>
      </c>
      <c r="G6429" s="1"/>
      <c r="H6429" s="225">
        <v>4050</v>
      </c>
      <c r="I6429" s="225">
        <v>6750</v>
      </c>
      <c r="J6429" s="225">
        <v>0</v>
      </c>
      <c r="K6429" s="225">
        <v>10800</v>
      </c>
      <c r="L64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-10800</v>
      </c>
      <c r="M6429" s="225">
        <f>ROUND(IF(AND(Base_Periodo1[[#This Row],[Tipo_Linha]]="-",Base_Periodo1[[#This Row],[TIPOSALDO]]="D"),Base_Periodo1[[#This Row],[SALDO_ATUAL]]*-1,Base_Periodo1[[#This Row],[SALDO_ATUAL]]),4)</f>
        <v>10800</v>
      </c>
      <c r="N6429" t="s">
        <v>396</v>
      </c>
      <c r="O6429" t="s">
        <v>397</v>
      </c>
      <c r="P6429" t="s">
        <v>397</v>
      </c>
      <c r="Q6429">
        <v>8</v>
      </c>
      <c r="R6429" s="282">
        <f>Base_Periodo1[[#This Row],[CREDITOS]]-Base_Periodo1[[#This Row],[DEBITOS]]</f>
        <v>-6750</v>
      </c>
      <c r="S6429" s="3" t="str">
        <f>IF(ISERROR(VLOOKUP(Base_Periodo1[[#This Row],[CONTA]],BaseContasDRE[#All],4,FALSE)),"Fora do DRE",VLOOKUP(Base_Periodo1[[#This Row],[CONTA]],BaseContasDRE[#All],4,FALSE))</f>
        <v>Fora do DRE</v>
      </c>
      <c r="T6429" s="3" t="str">
        <f>IF(ISERROR(VLOOKUP(Base_Periodo1[[#This Row],[CONTA]],BaseContasDRE[#All],5,FALSE)),"Fora do DRE",VLOOKUP(Base_Periodo1[[#This Row],[CONTA]],BaseContasDRE[#All],6,FALSE))</f>
        <v>Fora do DRE</v>
      </c>
      <c r="U6429" s="3" t="str">
        <f>IF(ISERROR(VLOOKUP(Base_Periodo1[[#This Row],[CONTA]],BaseContasDRE[#All],7,FALSE)),"Fora do DRE",VLOOKUP(Base_Periodo1[[#This Row],[CONTA]],BaseContasDRE[#All],7,FALSE))</f>
        <v>Fora do DRE</v>
      </c>
      <c r="V6429" s="3" t="str">
        <f>IF(Base_Periodo1[[#This Row],[Tipo_Linha]]="Fora do DRE","Fora do DRE","( "&amp;Base_Periodo1[[#This Row],[Tipo_Linha]]&amp;" ) "&amp;Base_Periodo1[[#This Row],[Filtro]])</f>
        <v>Fora do DRE</v>
      </c>
      <c r="W6429" s="3" t="str">
        <f>LEFT(Base_Periodo1[[#This Row],[CLASS]],3)</f>
        <v>3.2</v>
      </c>
    </row>
    <row r="6430" spans="1:23" hidden="1">
      <c r="A6430" s="3" t="str">
        <f t="shared" si="100"/>
        <v>Período 1</v>
      </c>
      <c r="B6430">
        <v>58345</v>
      </c>
      <c r="C6430" t="s">
        <v>6654</v>
      </c>
      <c r="D6430" t="s">
        <v>3992</v>
      </c>
      <c r="E6430" s="3" t="str">
        <f>IF(LEN(Base_Periodo1[[#This Row],[CLASS]])&gt;=7,LEFT(Base_Periodo1[[#This Row],[CLASS]],7),"")</f>
        <v>3.2.1.1</v>
      </c>
      <c r="F6430" s="3" t="e">
        <f>VLOOKUP(Base_Periodo1[[#This Row],[Aux]],Base_Contas_Balanco[#All],2,FALSE)</f>
        <v>#N/A</v>
      </c>
      <c r="G6430" s="1">
        <v>42863</v>
      </c>
      <c r="H6430" s="225">
        <v>4050</v>
      </c>
      <c r="I6430" s="225">
        <v>6750</v>
      </c>
      <c r="J6430" s="225">
        <v>0</v>
      </c>
      <c r="K6430" s="225">
        <v>10800</v>
      </c>
      <c r="L64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-10800</v>
      </c>
      <c r="M6430" s="225">
        <f>ROUND(IF(AND(Base_Periodo1[[#This Row],[Tipo_Linha]]="-",Base_Periodo1[[#This Row],[TIPOSALDO]]="D"),Base_Periodo1[[#This Row],[SALDO_ATUAL]]*-1,Base_Periodo1[[#This Row],[SALDO_ATUAL]]),4)</f>
        <v>-10800</v>
      </c>
      <c r="N6430" t="s">
        <v>116</v>
      </c>
      <c r="O6430" t="s">
        <v>397</v>
      </c>
      <c r="P6430" t="s">
        <v>397</v>
      </c>
      <c r="Q6430">
        <v>9</v>
      </c>
      <c r="R6430" s="282">
        <f>Base_Periodo1[[#This Row],[CREDITOS]]-Base_Periodo1[[#This Row],[DEBITOS]]</f>
        <v>-6750</v>
      </c>
      <c r="S6430" s="3" t="str">
        <f>IF(ISERROR(VLOOKUP(Base_Periodo1[[#This Row],[CONTA]],BaseContasDRE[#All],4,FALSE)),"Fora do DRE",VLOOKUP(Base_Periodo1[[#This Row],[CONTA]],BaseContasDRE[#All],4,FALSE))</f>
        <v>-</v>
      </c>
      <c r="T6430" s="3">
        <f>IF(ISERROR(VLOOKUP(Base_Periodo1[[#This Row],[CONTA]],BaseContasDRE[#All],5,FALSE)),"Fora do DRE",VLOOKUP(Base_Periodo1[[#This Row],[CONTA]],BaseContasDRE[#All],6,FALSE))</f>
        <v>2</v>
      </c>
      <c r="U6430" s="3" t="str">
        <f>IF(ISERROR(VLOOKUP(Base_Periodo1[[#This Row],[CONTA]],BaseContasDRE[#All],7,FALSE)),"Fora do DRE",VLOOKUP(Base_Periodo1[[#This Row],[CONTA]],BaseContasDRE[#All],7,FALSE))</f>
        <v>DEVOLUÇÃO DE INSUMOS AGROPECUARIOS</v>
      </c>
      <c r="V6430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6430" s="3" t="str">
        <f>LEFT(Base_Periodo1[[#This Row],[CLASS]],3)</f>
        <v>3.2</v>
      </c>
    </row>
    <row r="6431" spans="1:23" hidden="1">
      <c r="A6431" s="3" t="str">
        <f t="shared" si="100"/>
        <v>Período 1</v>
      </c>
      <c r="B6431">
        <v>6550</v>
      </c>
      <c r="C6431" t="s">
        <v>6655</v>
      </c>
      <c r="D6431" t="s">
        <v>3995</v>
      </c>
      <c r="E6431" s="3" t="str">
        <f>IF(LEN(Base_Periodo1[[#This Row],[CLASS]])&gt;=7,LEFT(Base_Periodo1[[#This Row],[CLASS]],7),"")</f>
        <v>3.2.1.1</v>
      </c>
      <c r="F6431" s="3" t="e">
        <f>VLOOKUP(Base_Periodo1[[#This Row],[Aux]],Base_Contas_Balanco[#All],2,FALSE)</f>
        <v>#N/A</v>
      </c>
      <c r="G6431" s="1"/>
      <c r="H6431" s="225">
        <v>10830.619999999995</v>
      </c>
      <c r="I6431" s="225">
        <v>0</v>
      </c>
      <c r="J6431" s="225">
        <v>4779.5</v>
      </c>
      <c r="K6431" s="225">
        <v>6051.1199999999953</v>
      </c>
      <c r="L64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-6051.12</v>
      </c>
      <c r="M6431" s="225">
        <f>ROUND(IF(AND(Base_Periodo1[[#This Row],[Tipo_Linha]]="-",Base_Periodo1[[#This Row],[TIPOSALDO]]="D"),Base_Periodo1[[#This Row],[SALDO_ATUAL]]*-1,Base_Periodo1[[#This Row],[SALDO_ATUAL]]),4)</f>
        <v>6051.12</v>
      </c>
      <c r="N6431" t="s">
        <v>396</v>
      </c>
      <c r="O6431" t="s">
        <v>397</v>
      </c>
      <c r="P6431" t="s">
        <v>397</v>
      </c>
      <c r="Q6431">
        <v>8</v>
      </c>
      <c r="R6431" s="282">
        <f>Base_Periodo1[[#This Row],[CREDITOS]]-Base_Periodo1[[#This Row],[DEBITOS]]</f>
        <v>4779.5</v>
      </c>
      <c r="S6431" s="3" t="str">
        <f>IF(ISERROR(VLOOKUP(Base_Periodo1[[#This Row],[CONTA]],BaseContasDRE[#All],4,FALSE)),"Fora do DRE",VLOOKUP(Base_Periodo1[[#This Row],[CONTA]],BaseContasDRE[#All],4,FALSE))</f>
        <v>Fora do DRE</v>
      </c>
      <c r="T6431" s="3" t="str">
        <f>IF(ISERROR(VLOOKUP(Base_Periodo1[[#This Row],[CONTA]],BaseContasDRE[#All],5,FALSE)),"Fora do DRE",VLOOKUP(Base_Periodo1[[#This Row],[CONTA]],BaseContasDRE[#All],6,FALSE))</f>
        <v>Fora do DRE</v>
      </c>
      <c r="U6431" s="3" t="str">
        <f>IF(ISERROR(VLOOKUP(Base_Periodo1[[#This Row],[CONTA]],BaseContasDRE[#All],7,FALSE)),"Fora do DRE",VLOOKUP(Base_Periodo1[[#This Row],[CONTA]],BaseContasDRE[#All],7,FALSE))</f>
        <v>Fora do DRE</v>
      </c>
      <c r="V6431" s="3" t="str">
        <f>IF(Base_Periodo1[[#This Row],[Tipo_Linha]]="Fora do DRE","Fora do DRE","( "&amp;Base_Periodo1[[#This Row],[Tipo_Linha]]&amp;" ) "&amp;Base_Periodo1[[#This Row],[Filtro]])</f>
        <v>Fora do DRE</v>
      </c>
      <c r="W6431" s="3" t="str">
        <f>LEFT(Base_Periodo1[[#This Row],[CLASS]],3)</f>
        <v>3.2</v>
      </c>
    </row>
    <row r="6432" spans="1:23" hidden="1">
      <c r="A6432" s="3" t="str">
        <f t="shared" si="100"/>
        <v>Período 1</v>
      </c>
      <c r="B6432">
        <v>6551</v>
      </c>
      <c r="C6432" t="s">
        <v>6656</v>
      </c>
      <c r="D6432" t="s">
        <v>3997</v>
      </c>
      <c r="E6432" s="3" t="str">
        <f>IF(LEN(Base_Periodo1[[#This Row],[CLASS]])&gt;=7,LEFT(Base_Periodo1[[#This Row],[CLASS]],7),"")</f>
        <v>3.2.1.1</v>
      </c>
      <c r="F6432" s="3" t="e">
        <f>VLOOKUP(Base_Periodo1[[#This Row],[Aux]],Base_Contas_Balanco[#All],2,FALSE)</f>
        <v>#N/A</v>
      </c>
      <c r="G6432" s="1">
        <v>42856</v>
      </c>
      <c r="H6432" s="225">
        <v>10830.619999999995</v>
      </c>
      <c r="I6432" s="225">
        <v>0</v>
      </c>
      <c r="J6432" s="225">
        <v>4779.5</v>
      </c>
      <c r="K6432" s="225">
        <v>6051.1199999999953</v>
      </c>
      <c r="L64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-6051.12</v>
      </c>
      <c r="M6432" s="225">
        <f>ROUND(IF(AND(Base_Periodo1[[#This Row],[Tipo_Linha]]="-",Base_Periodo1[[#This Row],[TIPOSALDO]]="D"),Base_Periodo1[[#This Row],[SALDO_ATUAL]]*-1,Base_Periodo1[[#This Row],[SALDO_ATUAL]]),4)</f>
        <v>-6051.12</v>
      </c>
      <c r="N6432" t="s">
        <v>116</v>
      </c>
      <c r="O6432" t="s">
        <v>397</v>
      </c>
      <c r="P6432" t="s">
        <v>397</v>
      </c>
      <c r="Q6432">
        <v>9</v>
      </c>
      <c r="R6432" s="282">
        <f>Base_Periodo1[[#This Row],[CREDITOS]]-Base_Periodo1[[#This Row],[DEBITOS]]</f>
        <v>4779.5</v>
      </c>
      <c r="S6432" s="3" t="str">
        <f>IF(ISERROR(VLOOKUP(Base_Periodo1[[#This Row],[CONTA]],BaseContasDRE[#All],4,FALSE)),"Fora do DRE",VLOOKUP(Base_Periodo1[[#This Row],[CONTA]],BaseContasDRE[#All],4,FALSE))</f>
        <v>-</v>
      </c>
      <c r="T6432" s="3">
        <f>IF(ISERROR(VLOOKUP(Base_Periodo1[[#This Row],[CONTA]],BaseContasDRE[#All],5,FALSE)),"Fora do DRE",VLOOKUP(Base_Periodo1[[#This Row],[CONTA]],BaseContasDRE[#All],6,FALSE))</f>
        <v>3</v>
      </c>
      <c r="U6432" s="3" t="str">
        <f>IF(ISERROR(VLOOKUP(Base_Periodo1[[#This Row],[CONTA]],BaseContasDRE[#All],7,FALSE)),"Fora do DRE",VLOOKUP(Base_Periodo1[[#This Row],[CONTA]],BaseContasDRE[#All],7,FALSE))</f>
        <v>INSUMOS AGROPECUARIOS</v>
      </c>
      <c r="V6432" s="3" t="str">
        <f>IF(Base_Periodo1[[#This Row],[Tipo_Linha]]="Fora do DRE","Fora do DRE","( "&amp;Base_Periodo1[[#This Row],[Tipo_Linha]]&amp;" ) "&amp;Base_Periodo1[[#This Row],[Filtro]])</f>
        <v>( - ) INSUMOS AGROPECUARIOS</v>
      </c>
      <c r="W6432" s="3" t="str">
        <f>LEFT(Base_Periodo1[[#This Row],[CLASS]],3)</f>
        <v>3.2</v>
      </c>
    </row>
    <row r="6433" spans="1:23" hidden="1">
      <c r="A6433" s="3" t="str">
        <f t="shared" si="100"/>
        <v>Período 1</v>
      </c>
      <c r="B6433">
        <v>6552</v>
      </c>
      <c r="C6433" t="s">
        <v>6657</v>
      </c>
      <c r="D6433" t="s">
        <v>1282</v>
      </c>
      <c r="E6433" s="3" t="str">
        <f>IF(LEN(Base_Periodo1[[#This Row],[CLASS]])&gt;=7,LEFT(Base_Periodo1[[#This Row],[CLASS]],7),"")</f>
        <v>3.2.1.1</v>
      </c>
      <c r="F6433" s="3" t="e">
        <f>VLOOKUP(Base_Periodo1[[#This Row],[Aux]],Base_Contas_Balanco[#All],2,FALSE)</f>
        <v>#N/A</v>
      </c>
      <c r="G6433" s="1"/>
      <c r="H6433" s="225">
        <v>24.129999999997381</v>
      </c>
      <c r="I6433" s="225">
        <v>478.53</v>
      </c>
      <c r="J6433" s="225">
        <v>0</v>
      </c>
      <c r="K6433" s="225">
        <v>502.65999999999735</v>
      </c>
      <c r="L64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-502.66</v>
      </c>
      <c r="M6433" s="225">
        <f>ROUND(IF(AND(Base_Periodo1[[#This Row],[Tipo_Linha]]="-",Base_Periodo1[[#This Row],[TIPOSALDO]]="D"),Base_Periodo1[[#This Row],[SALDO_ATUAL]]*-1,Base_Periodo1[[#This Row],[SALDO_ATUAL]]),4)</f>
        <v>502.66</v>
      </c>
      <c r="N6433" t="s">
        <v>396</v>
      </c>
      <c r="O6433" t="s">
        <v>397</v>
      </c>
      <c r="P6433" t="s">
        <v>397</v>
      </c>
      <c r="Q6433">
        <v>7</v>
      </c>
      <c r="R6433" s="282">
        <f>Base_Periodo1[[#This Row],[CREDITOS]]-Base_Periodo1[[#This Row],[DEBITOS]]</f>
        <v>-478.53</v>
      </c>
      <c r="S6433" s="3" t="str">
        <f>IF(ISERROR(VLOOKUP(Base_Periodo1[[#This Row],[CONTA]],BaseContasDRE[#All],4,FALSE)),"Fora do DRE",VLOOKUP(Base_Periodo1[[#This Row],[CONTA]],BaseContasDRE[#All],4,FALSE))</f>
        <v>Fora do DRE</v>
      </c>
      <c r="T6433" s="3" t="str">
        <f>IF(ISERROR(VLOOKUP(Base_Periodo1[[#This Row],[CONTA]],BaseContasDRE[#All],5,FALSE)),"Fora do DRE",VLOOKUP(Base_Periodo1[[#This Row],[CONTA]],BaseContasDRE[#All],6,FALSE))</f>
        <v>Fora do DRE</v>
      </c>
      <c r="U6433" s="3" t="str">
        <f>IF(ISERROR(VLOOKUP(Base_Periodo1[[#This Row],[CONTA]],BaseContasDRE[#All],7,FALSE)),"Fora do DRE",VLOOKUP(Base_Periodo1[[#This Row],[CONTA]],BaseContasDRE[#All],7,FALSE))</f>
        <v>Fora do DRE</v>
      </c>
      <c r="V6433" s="3" t="str">
        <f>IF(Base_Periodo1[[#This Row],[Tipo_Linha]]="Fora do DRE","Fora do DRE","( "&amp;Base_Periodo1[[#This Row],[Tipo_Linha]]&amp;" ) "&amp;Base_Periodo1[[#This Row],[Filtro]])</f>
        <v>Fora do DRE</v>
      </c>
      <c r="W6433" s="3" t="str">
        <f>LEFT(Base_Periodo1[[#This Row],[CLASS]],3)</f>
        <v>3.2</v>
      </c>
    </row>
    <row r="6434" spans="1:23" hidden="1">
      <c r="A6434" s="3" t="str">
        <f t="shared" si="100"/>
        <v>Período 1</v>
      </c>
      <c r="B6434">
        <v>6555</v>
      </c>
      <c r="C6434" t="s">
        <v>6658</v>
      </c>
      <c r="D6434" t="s">
        <v>3995</v>
      </c>
      <c r="E6434" s="3" t="str">
        <f>IF(LEN(Base_Periodo1[[#This Row],[CLASS]])&gt;=7,LEFT(Base_Periodo1[[#This Row],[CLASS]],7),"")</f>
        <v>3.2.1.1</v>
      </c>
      <c r="F6434" s="3" t="e">
        <f>VLOOKUP(Base_Periodo1[[#This Row],[Aux]],Base_Contas_Balanco[#All],2,FALSE)</f>
        <v>#N/A</v>
      </c>
      <c r="G6434" s="1"/>
      <c r="H6434" s="225">
        <v>24.130000000001019</v>
      </c>
      <c r="I6434" s="225">
        <v>478.53</v>
      </c>
      <c r="J6434" s="225">
        <v>0</v>
      </c>
      <c r="K6434" s="225">
        <v>502.66000000000099</v>
      </c>
      <c r="L64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-502.66</v>
      </c>
      <c r="M6434" s="225">
        <f>ROUND(IF(AND(Base_Periodo1[[#This Row],[Tipo_Linha]]="-",Base_Periodo1[[#This Row],[TIPOSALDO]]="D"),Base_Periodo1[[#This Row],[SALDO_ATUAL]]*-1,Base_Periodo1[[#This Row],[SALDO_ATUAL]]),4)</f>
        <v>502.66</v>
      </c>
      <c r="N6434" t="s">
        <v>396</v>
      </c>
      <c r="O6434" t="s">
        <v>397</v>
      </c>
      <c r="P6434" t="s">
        <v>397</v>
      </c>
      <c r="Q6434">
        <v>8</v>
      </c>
      <c r="R6434" s="282">
        <f>Base_Periodo1[[#This Row],[CREDITOS]]-Base_Periodo1[[#This Row],[DEBITOS]]</f>
        <v>-478.53</v>
      </c>
      <c r="S6434" s="3" t="str">
        <f>IF(ISERROR(VLOOKUP(Base_Periodo1[[#This Row],[CONTA]],BaseContasDRE[#All],4,FALSE)),"Fora do DRE",VLOOKUP(Base_Periodo1[[#This Row],[CONTA]],BaseContasDRE[#All],4,FALSE))</f>
        <v>Fora do DRE</v>
      </c>
      <c r="T6434" s="3" t="str">
        <f>IF(ISERROR(VLOOKUP(Base_Periodo1[[#This Row],[CONTA]],BaseContasDRE[#All],5,FALSE)),"Fora do DRE",VLOOKUP(Base_Periodo1[[#This Row],[CONTA]],BaseContasDRE[#All],6,FALSE))</f>
        <v>Fora do DRE</v>
      </c>
      <c r="U6434" s="3" t="str">
        <f>IF(ISERROR(VLOOKUP(Base_Periodo1[[#This Row],[CONTA]],BaseContasDRE[#All],7,FALSE)),"Fora do DRE",VLOOKUP(Base_Periodo1[[#This Row],[CONTA]],BaseContasDRE[#All],7,FALSE))</f>
        <v>Fora do DRE</v>
      </c>
      <c r="V6434" s="3" t="str">
        <f>IF(Base_Periodo1[[#This Row],[Tipo_Linha]]="Fora do DRE","Fora do DRE","( "&amp;Base_Periodo1[[#This Row],[Tipo_Linha]]&amp;" ) "&amp;Base_Periodo1[[#This Row],[Filtro]])</f>
        <v>Fora do DRE</v>
      </c>
      <c r="W6434" s="3" t="str">
        <f>LEFT(Base_Periodo1[[#This Row],[CLASS]],3)</f>
        <v>3.2</v>
      </c>
    </row>
    <row r="6435" spans="1:23" hidden="1">
      <c r="A6435" s="3" t="str">
        <f t="shared" si="100"/>
        <v>Período 1</v>
      </c>
      <c r="B6435">
        <v>6556</v>
      </c>
      <c r="C6435" t="s">
        <v>6659</v>
      </c>
      <c r="D6435" t="s">
        <v>3997</v>
      </c>
      <c r="E6435" s="3" t="str">
        <f>IF(LEN(Base_Periodo1[[#This Row],[CLASS]])&gt;=7,LEFT(Base_Periodo1[[#This Row],[CLASS]],7),"")</f>
        <v>3.2.1.1</v>
      </c>
      <c r="F6435" s="3" t="e">
        <f>VLOOKUP(Base_Periodo1[[#This Row],[Aux]],Base_Contas_Balanco[#All],2,FALSE)</f>
        <v>#N/A</v>
      </c>
      <c r="G6435" s="1">
        <v>42886</v>
      </c>
      <c r="H6435" s="225">
        <v>24.130000000001019</v>
      </c>
      <c r="I6435" s="225">
        <v>478.53</v>
      </c>
      <c r="J6435" s="225">
        <v>0</v>
      </c>
      <c r="K6435" s="225">
        <v>502.66000000000099</v>
      </c>
      <c r="L64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-502.66</v>
      </c>
      <c r="M6435" s="225">
        <f>ROUND(IF(AND(Base_Periodo1[[#This Row],[Tipo_Linha]]="-",Base_Periodo1[[#This Row],[TIPOSALDO]]="D"),Base_Periodo1[[#This Row],[SALDO_ATUAL]]*-1,Base_Periodo1[[#This Row],[SALDO_ATUAL]]),4)</f>
        <v>-502.66</v>
      </c>
      <c r="N6435" t="s">
        <v>116</v>
      </c>
      <c r="O6435" t="s">
        <v>397</v>
      </c>
      <c r="P6435" t="s">
        <v>397</v>
      </c>
      <c r="Q6435">
        <v>9</v>
      </c>
      <c r="R6435" s="282">
        <f>Base_Periodo1[[#This Row],[CREDITOS]]-Base_Periodo1[[#This Row],[DEBITOS]]</f>
        <v>-478.53</v>
      </c>
      <c r="S6435" s="3" t="str">
        <f>IF(ISERROR(VLOOKUP(Base_Periodo1[[#This Row],[CONTA]],BaseContasDRE[#All],4,FALSE)),"Fora do DRE",VLOOKUP(Base_Periodo1[[#This Row],[CONTA]],BaseContasDRE[#All],4,FALSE))</f>
        <v>-</v>
      </c>
      <c r="T6435" s="3">
        <f>IF(ISERROR(VLOOKUP(Base_Periodo1[[#This Row],[CONTA]],BaseContasDRE[#All],5,FALSE)),"Fora do DRE",VLOOKUP(Base_Periodo1[[#This Row],[CONTA]],BaseContasDRE[#All],6,FALSE))</f>
        <v>3</v>
      </c>
      <c r="U6435" s="3" t="str">
        <f>IF(ISERROR(VLOOKUP(Base_Periodo1[[#This Row],[CONTA]],BaseContasDRE[#All],7,FALSE)),"Fora do DRE",VLOOKUP(Base_Periodo1[[#This Row],[CONTA]],BaseContasDRE[#All],7,FALSE))</f>
        <v>INSUMOS AGROPECUARIOS</v>
      </c>
      <c r="V6435" s="3" t="str">
        <f>IF(Base_Periodo1[[#This Row],[Tipo_Linha]]="Fora do DRE","Fora do DRE","( "&amp;Base_Periodo1[[#This Row],[Tipo_Linha]]&amp;" ) "&amp;Base_Periodo1[[#This Row],[Filtro]])</f>
        <v>( - ) INSUMOS AGROPECUARIOS</v>
      </c>
      <c r="W6435" s="3" t="str">
        <f>LEFT(Base_Periodo1[[#This Row],[CLASS]],3)</f>
        <v>3.2</v>
      </c>
    </row>
    <row r="6436" spans="1:23" hidden="1">
      <c r="A6436" s="3" t="str">
        <f t="shared" si="100"/>
        <v>Período 1</v>
      </c>
      <c r="B6436">
        <v>6565</v>
      </c>
      <c r="C6436" t="s">
        <v>4056</v>
      </c>
      <c r="D6436" t="s">
        <v>1292</v>
      </c>
      <c r="E6436" s="3" t="str">
        <f>IF(LEN(Base_Periodo1[[#This Row],[CLASS]])&gt;=7,LEFT(Base_Periodo1[[#This Row],[CLASS]],7),"")</f>
        <v>3.2.1.1</v>
      </c>
      <c r="F6436" s="3" t="e">
        <f>VLOOKUP(Base_Periodo1[[#This Row],[Aux]],Base_Contas_Balanco[#All],2,FALSE)</f>
        <v>#N/A</v>
      </c>
      <c r="G6436" s="1"/>
      <c r="H6436" s="225">
        <v>1018.7899999999991</v>
      </c>
      <c r="I6436" s="225">
        <v>0</v>
      </c>
      <c r="J6436" s="225">
        <v>0</v>
      </c>
      <c r="K6436" s="225">
        <v>1018.7899999999991</v>
      </c>
      <c r="L64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1018.79</v>
      </c>
      <c r="M6436" s="225">
        <f>ROUND(IF(AND(Base_Periodo1[[#This Row],[Tipo_Linha]]="-",Base_Periodo1[[#This Row],[TIPOSALDO]]="D"),Base_Periodo1[[#This Row],[SALDO_ATUAL]]*-1,Base_Periodo1[[#This Row],[SALDO_ATUAL]]),4)</f>
        <v>1018.79</v>
      </c>
      <c r="N6436" t="s">
        <v>396</v>
      </c>
      <c r="O6436" t="s">
        <v>459</v>
      </c>
      <c r="P6436" t="s">
        <v>459</v>
      </c>
      <c r="Q6436">
        <v>7</v>
      </c>
      <c r="R6436" s="282">
        <f>Base_Periodo1[[#This Row],[CREDITOS]]-Base_Periodo1[[#This Row],[DEBITOS]]</f>
        <v>0</v>
      </c>
      <c r="S6436" s="3" t="str">
        <f>IF(ISERROR(VLOOKUP(Base_Periodo1[[#This Row],[CONTA]],BaseContasDRE[#All],4,FALSE)),"Fora do DRE",VLOOKUP(Base_Periodo1[[#This Row],[CONTA]],BaseContasDRE[#All],4,FALSE))</f>
        <v>Fora do DRE</v>
      </c>
      <c r="T6436" s="3" t="str">
        <f>IF(ISERROR(VLOOKUP(Base_Periodo1[[#This Row],[CONTA]],BaseContasDRE[#All],5,FALSE)),"Fora do DRE",VLOOKUP(Base_Periodo1[[#This Row],[CONTA]],BaseContasDRE[#All],6,FALSE))</f>
        <v>Fora do DRE</v>
      </c>
      <c r="U6436" s="3" t="str">
        <f>IF(ISERROR(VLOOKUP(Base_Periodo1[[#This Row],[CONTA]],BaseContasDRE[#All],7,FALSE)),"Fora do DRE",VLOOKUP(Base_Periodo1[[#This Row],[CONTA]],BaseContasDRE[#All],7,FALSE))</f>
        <v>Fora do DRE</v>
      </c>
      <c r="V6436" s="3" t="str">
        <f>IF(Base_Periodo1[[#This Row],[Tipo_Linha]]="Fora do DRE","Fora do DRE","( "&amp;Base_Periodo1[[#This Row],[Tipo_Linha]]&amp;" ) "&amp;Base_Periodo1[[#This Row],[Filtro]])</f>
        <v>Fora do DRE</v>
      </c>
      <c r="W6436" s="3" t="str">
        <f>LEFT(Base_Periodo1[[#This Row],[CLASS]],3)</f>
        <v>3.2</v>
      </c>
    </row>
    <row r="6437" spans="1:23" hidden="1">
      <c r="A6437" s="3" t="str">
        <f t="shared" si="100"/>
        <v>Período 1</v>
      </c>
      <c r="B6437">
        <v>6566</v>
      </c>
      <c r="C6437" t="s">
        <v>4057</v>
      </c>
      <c r="D6437" t="s">
        <v>3985</v>
      </c>
      <c r="E6437" s="3" t="str">
        <f>IF(LEN(Base_Periodo1[[#This Row],[CLASS]])&gt;=7,LEFT(Base_Periodo1[[#This Row],[CLASS]],7),"")</f>
        <v>3.2.1.1</v>
      </c>
      <c r="F6437" s="3" t="e">
        <f>VLOOKUP(Base_Periodo1[[#This Row],[Aux]],Base_Contas_Balanco[#All],2,FALSE)</f>
        <v>#N/A</v>
      </c>
      <c r="G6437" s="1"/>
      <c r="H6437" s="225">
        <v>7660</v>
      </c>
      <c r="I6437" s="225">
        <v>0</v>
      </c>
      <c r="J6437" s="225">
        <v>0</v>
      </c>
      <c r="K6437" s="225">
        <v>7660</v>
      </c>
      <c r="L64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7660</v>
      </c>
      <c r="M6437" s="225">
        <f>ROUND(IF(AND(Base_Periodo1[[#This Row],[Tipo_Linha]]="-",Base_Periodo1[[#This Row],[TIPOSALDO]]="D"),Base_Periodo1[[#This Row],[SALDO_ATUAL]]*-1,Base_Periodo1[[#This Row],[SALDO_ATUAL]]),4)</f>
        <v>7660</v>
      </c>
      <c r="N6437" t="s">
        <v>396</v>
      </c>
      <c r="O6437" t="s">
        <v>459</v>
      </c>
      <c r="P6437" t="s">
        <v>459</v>
      </c>
      <c r="Q6437">
        <v>8</v>
      </c>
      <c r="R6437" s="282">
        <f>Base_Periodo1[[#This Row],[CREDITOS]]-Base_Periodo1[[#This Row],[DEBITOS]]</f>
        <v>0</v>
      </c>
      <c r="S6437" s="3" t="str">
        <f>IF(ISERROR(VLOOKUP(Base_Periodo1[[#This Row],[CONTA]],BaseContasDRE[#All],4,FALSE)),"Fora do DRE",VLOOKUP(Base_Periodo1[[#This Row],[CONTA]],BaseContasDRE[#All],4,FALSE))</f>
        <v>Fora do DRE</v>
      </c>
      <c r="T6437" s="3" t="str">
        <f>IF(ISERROR(VLOOKUP(Base_Periodo1[[#This Row],[CONTA]],BaseContasDRE[#All],5,FALSE)),"Fora do DRE",VLOOKUP(Base_Periodo1[[#This Row],[CONTA]],BaseContasDRE[#All],6,FALSE))</f>
        <v>Fora do DRE</v>
      </c>
      <c r="U6437" s="3" t="str">
        <f>IF(ISERROR(VLOOKUP(Base_Periodo1[[#This Row],[CONTA]],BaseContasDRE[#All],7,FALSE)),"Fora do DRE",VLOOKUP(Base_Periodo1[[#This Row],[CONTA]],BaseContasDRE[#All],7,FALSE))</f>
        <v>Fora do DRE</v>
      </c>
      <c r="V6437" s="3" t="str">
        <f>IF(Base_Periodo1[[#This Row],[Tipo_Linha]]="Fora do DRE","Fora do DRE","( "&amp;Base_Periodo1[[#This Row],[Tipo_Linha]]&amp;" ) "&amp;Base_Periodo1[[#This Row],[Filtro]])</f>
        <v>Fora do DRE</v>
      </c>
      <c r="W6437" s="3" t="str">
        <f>LEFT(Base_Periodo1[[#This Row],[CLASS]],3)</f>
        <v>3.2</v>
      </c>
    </row>
    <row r="6438" spans="1:23" hidden="1">
      <c r="A6438" s="3" t="str">
        <f t="shared" si="100"/>
        <v>Período 1</v>
      </c>
      <c r="B6438">
        <v>36298</v>
      </c>
      <c r="C6438" t="s">
        <v>4058</v>
      </c>
      <c r="D6438" t="s">
        <v>4059</v>
      </c>
      <c r="E6438" s="3" t="str">
        <f>IF(LEN(Base_Periodo1[[#This Row],[CLASS]])&gt;=7,LEFT(Base_Periodo1[[#This Row],[CLASS]],7),"")</f>
        <v>3.2.1.1</v>
      </c>
      <c r="F6438" s="3" t="e">
        <f>VLOOKUP(Base_Periodo1[[#This Row],[Aux]],Base_Contas_Balanco[#All],2,FALSE)</f>
        <v>#N/A</v>
      </c>
      <c r="G6438" s="1">
        <v>42825</v>
      </c>
      <c r="H6438" s="225">
        <v>7660</v>
      </c>
      <c r="I6438" s="225">
        <v>0</v>
      </c>
      <c r="J6438" s="225">
        <v>0</v>
      </c>
      <c r="K6438" s="225">
        <v>7660</v>
      </c>
      <c r="L64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7660</v>
      </c>
      <c r="M6438" s="225">
        <f>ROUND(IF(AND(Base_Periodo1[[#This Row],[Tipo_Linha]]="-",Base_Periodo1[[#This Row],[TIPOSALDO]]="D"),Base_Periodo1[[#This Row],[SALDO_ATUAL]]*-1,Base_Periodo1[[#This Row],[SALDO_ATUAL]]),4)</f>
        <v>7660</v>
      </c>
      <c r="N6438" t="s">
        <v>116</v>
      </c>
      <c r="O6438" t="s">
        <v>459</v>
      </c>
      <c r="P6438" t="s">
        <v>459</v>
      </c>
      <c r="Q6438">
        <v>9</v>
      </c>
      <c r="R6438" s="282">
        <f>Base_Periodo1[[#This Row],[CREDITOS]]-Base_Periodo1[[#This Row],[DEBITOS]]</f>
        <v>0</v>
      </c>
      <c r="S6438" s="3" t="str">
        <f>IF(ISERROR(VLOOKUP(Base_Periodo1[[#This Row],[CONTA]],BaseContasDRE[#All],4,FALSE)),"Fora do DRE",VLOOKUP(Base_Periodo1[[#This Row],[CONTA]],BaseContasDRE[#All],4,FALSE))</f>
        <v>+</v>
      </c>
      <c r="T6438" s="3">
        <f>IF(ISERROR(VLOOKUP(Base_Periodo1[[#This Row],[CONTA]],BaseContasDRE[#All],5,FALSE)),"Fora do DRE",VLOOKUP(Base_Periodo1[[#This Row],[CONTA]],BaseContasDRE[#All],6,FALSE))</f>
        <v>1</v>
      </c>
      <c r="U6438" s="3" t="str">
        <f>IF(ISERROR(VLOOKUP(Base_Periodo1[[#This Row],[CONTA]],BaseContasDRE[#All],7,FALSE)),"Fora do DRE",VLOOKUP(Base_Periodo1[[#This Row],[CONTA]],BaseContasDRE[#All],7,FALSE))</f>
        <v>INSUMOS AGROPECUARIOS</v>
      </c>
      <c r="V6438" s="3" t="str">
        <f>IF(Base_Periodo1[[#This Row],[Tipo_Linha]]="Fora do DRE","Fora do DRE","( "&amp;Base_Periodo1[[#This Row],[Tipo_Linha]]&amp;" ) "&amp;Base_Periodo1[[#This Row],[Filtro]])</f>
        <v>( + ) INSUMOS AGROPECUARIOS</v>
      </c>
      <c r="W6438" s="3" t="str">
        <f>LEFT(Base_Periodo1[[#This Row],[CLASS]],3)</f>
        <v>3.2</v>
      </c>
    </row>
    <row r="6439" spans="1:23" hidden="1">
      <c r="A6439" s="3" t="str">
        <f t="shared" si="100"/>
        <v>Período 1</v>
      </c>
      <c r="B6439">
        <v>6567</v>
      </c>
      <c r="C6439" t="s">
        <v>4060</v>
      </c>
      <c r="D6439" t="s">
        <v>3995</v>
      </c>
      <c r="E6439" s="3" t="str">
        <f>IF(LEN(Base_Periodo1[[#This Row],[CLASS]])&gt;=7,LEFT(Base_Periodo1[[#This Row],[CLASS]],7),"")</f>
        <v>3.2.1.1</v>
      </c>
      <c r="F6439" s="3" t="e">
        <f>VLOOKUP(Base_Periodo1[[#This Row],[Aux]],Base_Contas_Balanco[#All],2,FALSE)</f>
        <v>#N/A</v>
      </c>
      <c r="G6439" s="1"/>
      <c r="H6439" s="225">
        <v>6641.2100000000009</v>
      </c>
      <c r="I6439" s="225">
        <v>0</v>
      </c>
      <c r="J6439" s="225">
        <v>0</v>
      </c>
      <c r="K6439" s="225">
        <v>6641.2100000000009</v>
      </c>
      <c r="L64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-6641.21</v>
      </c>
      <c r="M6439" s="225">
        <f>ROUND(IF(AND(Base_Periodo1[[#This Row],[Tipo_Linha]]="-",Base_Periodo1[[#This Row],[TIPOSALDO]]="D"),Base_Periodo1[[#This Row],[SALDO_ATUAL]]*-1,Base_Periodo1[[#This Row],[SALDO_ATUAL]]),4)</f>
        <v>6641.21</v>
      </c>
      <c r="N6439" t="s">
        <v>396</v>
      </c>
      <c r="O6439" t="s">
        <v>397</v>
      </c>
      <c r="P6439" t="s">
        <v>397</v>
      </c>
      <c r="Q6439">
        <v>8</v>
      </c>
      <c r="R6439" s="282">
        <f>Base_Periodo1[[#This Row],[CREDITOS]]-Base_Periodo1[[#This Row],[DEBITOS]]</f>
        <v>0</v>
      </c>
      <c r="S6439" s="3" t="str">
        <f>IF(ISERROR(VLOOKUP(Base_Periodo1[[#This Row],[CONTA]],BaseContasDRE[#All],4,FALSE)),"Fora do DRE",VLOOKUP(Base_Periodo1[[#This Row],[CONTA]],BaseContasDRE[#All],4,FALSE))</f>
        <v>Fora do DRE</v>
      </c>
      <c r="T6439" s="3" t="str">
        <f>IF(ISERROR(VLOOKUP(Base_Periodo1[[#This Row],[CONTA]],BaseContasDRE[#All],5,FALSE)),"Fora do DRE",VLOOKUP(Base_Periodo1[[#This Row],[CONTA]],BaseContasDRE[#All],6,FALSE))</f>
        <v>Fora do DRE</v>
      </c>
      <c r="U6439" s="3" t="str">
        <f>IF(ISERROR(VLOOKUP(Base_Periodo1[[#This Row],[CONTA]],BaseContasDRE[#All],7,FALSE)),"Fora do DRE",VLOOKUP(Base_Periodo1[[#This Row],[CONTA]],BaseContasDRE[#All],7,FALSE))</f>
        <v>Fora do DRE</v>
      </c>
      <c r="V6439" s="3" t="str">
        <f>IF(Base_Periodo1[[#This Row],[Tipo_Linha]]="Fora do DRE","Fora do DRE","( "&amp;Base_Periodo1[[#This Row],[Tipo_Linha]]&amp;" ) "&amp;Base_Periodo1[[#This Row],[Filtro]])</f>
        <v>Fora do DRE</v>
      </c>
      <c r="W6439" s="3" t="str">
        <f>LEFT(Base_Periodo1[[#This Row],[CLASS]],3)</f>
        <v>3.2</v>
      </c>
    </row>
    <row r="6440" spans="1:23" hidden="1">
      <c r="A6440" s="3" t="str">
        <f t="shared" si="100"/>
        <v>Período 1</v>
      </c>
      <c r="B6440">
        <v>6568</v>
      </c>
      <c r="C6440" t="s">
        <v>4061</v>
      </c>
      <c r="D6440" t="s">
        <v>3997</v>
      </c>
      <c r="E6440" s="3" t="str">
        <f>IF(LEN(Base_Periodo1[[#This Row],[CLASS]])&gt;=7,LEFT(Base_Periodo1[[#This Row],[CLASS]],7),"")</f>
        <v>3.2.1.1</v>
      </c>
      <c r="F6440" s="3" t="e">
        <f>VLOOKUP(Base_Periodo1[[#This Row],[Aux]],Base_Contas_Balanco[#All],2,FALSE)</f>
        <v>#N/A</v>
      </c>
      <c r="G6440" s="1">
        <v>42886</v>
      </c>
      <c r="H6440" s="225">
        <v>6641.2100000000009</v>
      </c>
      <c r="I6440" s="225">
        <v>0</v>
      </c>
      <c r="J6440" s="225">
        <v>0</v>
      </c>
      <c r="K6440" s="225">
        <v>6641.2100000000009</v>
      </c>
      <c r="L64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-6641.21</v>
      </c>
      <c r="M6440" s="225">
        <f>ROUND(IF(AND(Base_Periodo1[[#This Row],[Tipo_Linha]]="-",Base_Periodo1[[#This Row],[TIPOSALDO]]="D"),Base_Periodo1[[#This Row],[SALDO_ATUAL]]*-1,Base_Periodo1[[#This Row],[SALDO_ATUAL]]),4)</f>
        <v>-6641.21</v>
      </c>
      <c r="N6440" t="s">
        <v>116</v>
      </c>
      <c r="O6440" t="s">
        <v>397</v>
      </c>
      <c r="P6440" t="s">
        <v>397</v>
      </c>
      <c r="Q6440">
        <v>9</v>
      </c>
      <c r="R6440" s="282">
        <f>Base_Periodo1[[#This Row],[CREDITOS]]-Base_Periodo1[[#This Row],[DEBITOS]]</f>
        <v>0</v>
      </c>
      <c r="S6440" s="3" t="str">
        <f>IF(ISERROR(VLOOKUP(Base_Periodo1[[#This Row],[CONTA]],BaseContasDRE[#All],4,FALSE)),"Fora do DRE",VLOOKUP(Base_Periodo1[[#This Row],[CONTA]],BaseContasDRE[#All],4,FALSE))</f>
        <v>-</v>
      </c>
      <c r="T6440" s="3">
        <f>IF(ISERROR(VLOOKUP(Base_Periodo1[[#This Row],[CONTA]],BaseContasDRE[#All],5,FALSE)),"Fora do DRE",VLOOKUP(Base_Periodo1[[#This Row],[CONTA]],BaseContasDRE[#All],6,FALSE))</f>
        <v>3</v>
      </c>
      <c r="U6440" s="3" t="str">
        <f>IF(ISERROR(VLOOKUP(Base_Periodo1[[#This Row],[CONTA]],BaseContasDRE[#All],7,FALSE)),"Fora do DRE",VLOOKUP(Base_Periodo1[[#This Row],[CONTA]],BaseContasDRE[#All],7,FALSE))</f>
        <v>INSUMOS AGROPECUARIOS</v>
      </c>
      <c r="V6440" s="3" t="str">
        <f>IF(Base_Periodo1[[#This Row],[Tipo_Linha]]="Fora do DRE","Fora do DRE","( "&amp;Base_Periodo1[[#This Row],[Tipo_Linha]]&amp;" ) "&amp;Base_Periodo1[[#This Row],[Filtro]])</f>
        <v>( - ) INSUMOS AGROPECUARIOS</v>
      </c>
      <c r="W6440" s="3" t="str">
        <f>LEFT(Base_Periodo1[[#This Row],[CLASS]],3)</f>
        <v>3.2</v>
      </c>
    </row>
    <row r="6441" spans="1:23" hidden="1">
      <c r="A6441" s="3" t="str">
        <f t="shared" si="100"/>
        <v>Período 1</v>
      </c>
      <c r="B6441">
        <v>6569</v>
      </c>
      <c r="C6441" t="s">
        <v>4062</v>
      </c>
      <c r="D6441" t="s">
        <v>1303</v>
      </c>
      <c r="E6441" s="3" t="str">
        <f>IF(LEN(Base_Periodo1[[#This Row],[CLASS]])&gt;=7,LEFT(Base_Periodo1[[#This Row],[CLASS]],7),"")</f>
        <v>3.2.1.1</v>
      </c>
      <c r="F6441" s="3" t="e">
        <f>VLOOKUP(Base_Periodo1[[#This Row],[Aux]],Base_Contas_Balanco[#All],2,FALSE)</f>
        <v>#N/A</v>
      </c>
      <c r="G6441" s="1"/>
      <c r="H6441" s="225">
        <v>333021.16999998223</v>
      </c>
      <c r="I6441" s="225">
        <v>227066.72000000003</v>
      </c>
      <c r="J6441" s="225">
        <v>317547.62000000005</v>
      </c>
      <c r="K6441" s="225">
        <v>423502.06999998225</v>
      </c>
      <c r="L64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423502.07</v>
      </c>
      <c r="M6441" s="225">
        <f>ROUND(IF(AND(Base_Periodo1[[#This Row],[Tipo_Linha]]="-",Base_Periodo1[[#This Row],[TIPOSALDO]]="D"),Base_Periodo1[[#This Row],[SALDO_ATUAL]]*-1,Base_Periodo1[[#This Row],[SALDO_ATUAL]]),4)</f>
        <v>423502.07</v>
      </c>
      <c r="N6441" t="s">
        <v>396</v>
      </c>
      <c r="O6441" t="s">
        <v>459</v>
      </c>
      <c r="P6441" t="s">
        <v>459</v>
      </c>
      <c r="Q6441">
        <v>6</v>
      </c>
      <c r="R6441" s="282">
        <f>Base_Periodo1[[#This Row],[CREDITOS]]-Base_Periodo1[[#This Row],[DEBITOS]]</f>
        <v>90480.900000000023</v>
      </c>
      <c r="S6441" s="3" t="str">
        <f>IF(ISERROR(VLOOKUP(Base_Periodo1[[#This Row],[CONTA]],BaseContasDRE[#All],4,FALSE)),"Fora do DRE",VLOOKUP(Base_Periodo1[[#This Row],[CONTA]],BaseContasDRE[#All],4,FALSE))</f>
        <v>Fora do DRE</v>
      </c>
      <c r="T6441" s="3" t="str">
        <f>IF(ISERROR(VLOOKUP(Base_Periodo1[[#This Row],[CONTA]],BaseContasDRE[#All],5,FALSE)),"Fora do DRE",VLOOKUP(Base_Periodo1[[#This Row],[CONTA]],BaseContasDRE[#All],6,FALSE))</f>
        <v>Fora do DRE</v>
      </c>
      <c r="U6441" s="3" t="str">
        <f>IF(ISERROR(VLOOKUP(Base_Periodo1[[#This Row],[CONTA]],BaseContasDRE[#All],7,FALSE)),"Fora do DRE",VLOOKUP(Base_Periodo1[[#This Row],[CONTA]],BaseContasDRE[#All],7,FALSE))</f>
        <v>Fora do DRE</v>
      </c>
      <c r="V6441" s="3" t="str">
        <f>IF(Base_Periodo1[[#This Row],[Tipo_Linha]]="Fora do DRE","Fora do DRE","( "&amp;Base_Periodo1[[#This Row],[Tipo_Linha]]&amp;" ) "&amp;Base_Periodo1[[#This Row],[Filtro]])</f>
        <v>Fora do DRE</v>
      </c>
      <c r="W6441" s="3" t="str">
        <f>LEFT(Base_Periodo1[[#This Row],[CLASS]],3)</f>
        <v>3.2</v>
      </c>
    </row>
    <row r="6442" spans="1:23" hidden="1">
      <c r="A6442" s="3" t="str">
        <f t="shared" si="100"/>
        <v>Período 1</v>
      </c>
      <c r="B6442">
        <v>6570</v>
      </c>
      <c r="C6442" t="s">
        <v>4063</v>
      </c>
      <c r="D6442" t="s">
        <v>1305</v>
      </c>
      <c r="E6442" s="3" t="str">
        <f>IF(LEN(Base_Periodo1[[#This Row],[CLASS]])&gt;=7,LEFT(Base_Periodo1[[#This Row],[CLASS]],7),"")</f>
        <v>3.2.1.1</v>
      </c>
      <c r="F6442" s="3" t="e">
        <f>VLOOKUP(Base_Periodo1[[#This Row],[Aux]],Base_Contas_Balanco[#All],2,FALSE)</f>
        <v>#N/A</v>
      </c>
      <c r="G6442" s="1"/>
      <c r="H6442" s="225">
        <v>102083.78999998044</v>
      </c>
      <c r="I6442" s="225">
        <v>101603.65</v>
      </c>
      <c r="J6442" s="225">
        <v>118067.62</v>
      </c>
      <c r="K6442" s="225">
        <v>118547.75999998044</v>
      </c>
      <c r="L64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118547.76</v>
      </c>
      <c r="M6442" s="225">
        <f>ROUND(IF(AND(Base_Periodo1[[#This Row],[Tipo_Linha]]="-",Base_Periodo1[[#This Row],[TIPOSALDO]]="D"),Base_Periodo1[[#This Row],[SALDO_ATUAL]]*-1,Base_Periodo1[[#This Row],[SALDO_ATUAL]]),4)</f>
        <v>118547.76</v>
      </c>
      <c r="N6442" t="s">
        <v>396</v>
      </c>
      <c r="O6442" t="s">
        <v>459</v>
      </c>
      <c r="P6442" t="s">
        <v>459</v>
      </c>
      <c r="Q6442">
        <v>7</v>
      </c>
      <c r="R6442" s="282">
        <f>Base_Periodo1[[#This Row],[CREDITOS]]-Base_Periodo1[[#This Row],[DEBITOS]]</f>
        <v>16463.97</v>
      </c>
      <c r="S6442" s="3" t="str">
        <f>IF(ISERROR(VLOOKUP(Base_Periodo1[[#This Row],[CONTA]],BaseContasDRE[#All],4,FALSE)),"Fora do DRE",VLOOKUP(Base_Periodo1[[#This Row],[CONTA]],BaseContasDRE[#All],4,FALSE))</f>
        <v>Fora do DRE</v>
      </c>
      <c r="T6442" s="3" t="str">
        <f>IF(ISERROR(VLOOKUP(Base_Periodo1[[#This Row],[CONTA]],BaseContasDRE[#All],5,FALSE)),"Fora do DRE",VLOOKUP(Base_Periodo1[[#This Row],[CONTA]],BaseContasDRE[#All],6,FALSE))</f>
        <v>Fora do DRE</v>
      </c>
      <c r="U6442" s="3" t="str">
        <f>IF(ISERROR(VLOOKUP(Base_Periodo1[[#This Row],[CONTA]],BaseContasDRE[#All],7,FALSE)),"Fora do DRE",VLOOKUP(Base_Periodo1[[#This Row],[CONTA]],BaseContasDRE[#All],7,FALSE))</f>
        <v>Fora do DRE</v>
      </c>
      <c r="V6442" s="3" t="str">
        <f>IF(Base_Periodo1[[#This Row],[Tipo_Linha]]="Fora do DRE","Fora do DRE","( "&amp;Base_Periodo1[[#This Row],[Tipo_Linha]]&amp;" ) "&amp;Base_Periodo1[[#This Row],[Filtro]])</f>
        <v>Fora do DRE</v>
      </c>
      <c r="W6442" s="3" t="str">
        <f>LEFT(Base_Periodo1[[#This Row],[CLASS]],3)</f>
        <v>3.2</v>
      </c>
    </row>
    <row r="6443" spans="1:23" hidden="1">
      <c r="A6443" s="3" t="str">
        <f t="shared" si="100"/>
        <v>Período 1</v>
      </c>
      <c r="B6443">
        <v>6571</v>
      </c>
      <c r="C6443" t="s">
        <v>4064</v>
      </c>
      <c r="D6443" t="s">
        <v>4022</v>
      </c>
      <c r="E6443" s="3" t="str">
        <f>IF(LEN(Base_Periodo1[[#This Row],[CLASS]])&gt;=7,LEFT(Base_Periodo1[[#This Row],[CLASS]],7),"")</f>
        <v>3.2.1.1</v>
      </c>
      <c r="F6443" s="3" t="e">
        <f>VLOOKUP(Base_Periodo1[[#This Row],[Aux]],Base_Contas_Balanco[#All],2,FALSE)</f>
        <v>#N/A</v>
      </c>
      <c r="G6443" s="1"/>
      <c r="H6443" s="225">
        <v>527047.00999998301</v>
      </c>
      <c r="I6443" s="225">
        <v>0</v>
      </c>
      <c r="J6443" s="225">
        <v>118067.62</v>
      </c>
      <c r="K6443" s="225">
        <v>645114.62999998301</v>
      </c>
      <c r="L64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645114.63</v>
      </c>
      <c r="M6443" s="225">
        <f>ROUND(IF(AND(Base_Periodo1[[#This Row],[Tipo_Linha]]="-",Base_Periodo1[[#This Row],[TIPOSALDO]]="D"),Base_Periodo1[[#This Row],[SALDO_ATUAL]]*-1,Base_Periodo1[[#This Row],[SALDO_ATUAL]]),4)</f>
        <v>645114.63</v>
      </c>
      <c r="N6443" t="s">
        <v>396</v>
      </c>
      <c r="O6443" t="s">
        <v>459</v>
      </c>
      <c r="P6443" t="s">
        <v>459</v>
      </c>
      <c r="Q6443">
        <v>8</v>
      </c>
      <c r="R6443" s="282">
        <f>Base_Periodo1[[#This Row],[CREDITOS]]-Base_Periodo1[[#This Row],[DEBITOS]]</f>
        <v>118067.62</v>
      </c>
      <c r="S6443" s="3" t="str">
        <f>IF(ISERROR(VLOOKUP(Base_Periodo1[[#This Row],[CONTA]],BaseContasDRE[#All],4,FALSE)),"Fora do DRE",VLOOKUP(Base_Periodo1[[#This Row],[CONTA]],BaseContasDRE[#All],4,FALSE))</f>
        <v>Fora do DRE</v>
      </c>
      <c r="T6443" s="3" t="str">
        <f>IF(ISERROR(VLOOKUP(Base_Periodo1[[#This Row],[CONTA]],BaseContasDRE[#All],5,FALSE)),"Fora do DRE",VLOOKUP(Base_Periodo1[[#This Row],[CONTA]],BaseContasDRE[#All],6,FALSE))</f>
        <v>Fora do DRE</v>
      </c>
      <c r="U6443" s="3" t="str">
        <f>IF(ISERROR(VLOOKUP(Base_Periodo1[[#This Row],[CONTA]],BaseContasDRE[#All],7,FALSE)),"Fora do DRE",VLOOKUP(Base_Periodo1[[#This Row],[CONTA]],BaseContasDRE[#All],7,FALSE))</f>
        <v>Fora do DRE</v>
      </c>
      <c r="V6443" s="3" t="str">
        <f>IF(Base_Periodo1[[#This Row],[Tipo_Linha]]="Fora do DRE","Fora do DRE","( "&amp;Base_Periodo1[[#This Row],[Tipo_Linha]]&amp;" ) "&amp;Base_Periodo1[[#This Row],[Filtro]])</f>
        <v>Fora do DRE</v>
      </c>
      <c r="W6443" s="3" t="str">
        <f>LEFT(Base_Periodo1[[#This Row],[CLASS]],3)</f>
        <v>3.2</v>
      </c>
    </row>
    <row r="6444" spans="1:23" hidden="1">
      <c r="A6444" s="3" t="str">
        <f t="shared" si="100"/>
        <v>Período 1</v>
      </c>
      <c r="B6444">
        <v>6572</v>
      </c>
      <c r="C6444" t="s">
        <v>4065</v>
      </c>
      <c r="D6444" t="s">
        <v>3987</v>
      </c>
      <c r="E6444" s="3" t="str">
        <f>IF(LEN(Base_Periodo1[[#This Row],[CLASS]])&gt;=7,LEFT(Base_Periodo1[[#This Row],[CLASS]],7),"")</f>
        <v>3.2.1.1</v>
      </c>
      <c r="F6444" s="3" t="e">
        <f>VLOOKUP(Base_Periodo1[[#This Row],[Aux]],Base_Contas_Balanco[#All],2,FALSE)</f>
        <v>#N/A</v>
      </c>
      <c r="G6444" s="1">
        <v>42879</v>
      </c>
      <c r="H6444" s="225">
        <v>527047.00999998301</v>
      </c>
      <c r="I6444" s="225">
        <v>0</v>
      </c>
      <c r="J6444" s="225">
        <v>118067.62</v>
      </c>
      <c r="K6444" s="225">
        <v>645114.62999998301</v>
      </c>
      <c r="L64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645114.63</v>
      </c>
      <c r="M6444" s="225">
        <f>ROUND(IF(AND(Base_Periodo1[[#This Row],[Tipo_Linha]]="-",Base_Periodo1[[#This Row],[TIPOSALDO]]="D"),Base_Periodo1[[#This Row],[SALDO_ATUAL]]*-1,Base_Periodo1[[#This Row],[SALDO_ATUAL]]),4)</f>
        <v>645114.63</v>
      </c>
      <c r="N6444" t="s">
        <v>116</v>
      </c>
      <c r="O6444" t="s">
        <v>459</v>
      </c>
      <c r="P6444" t="s">
        <v>459</v>
      </c>
      <c r="Q6444">
        <v>9</v>
      </c>
      <c r="R6444" s="282">
        <f>Base_Periodo1[[#This Row],[CREDITOS]]-Base_Periodo1[[#This Row],[DEBITOS]]</f>
        <v>118067.62</v>
      </c>
      <c r="S6444" s="3" t="str">
        <f>IF(ISERROR(VLOOKUP(Base_Periodo1[[#This Row],[CONTA]],BaseContasDRE[#All],4,FALSE)),"Fora do DRE",VLOOKUP(Base_Periodo1[[#This Row],[CONTA]],BaseContasDRE[#All],4,FALSE))</f>
        <v>+</v>
      </c>
      <c r="T6444" s="3">
        <f>IF(ISERROR(VLOOKUP(Base_Periodo1[[#This Row],[CONTA]],BaseContasDRE[#All],5,FALSE)),"Fora do DRE",VLOOKUP(Base_Periodo1[[#This Row],[CONTA]],BaseContasDRE[#All],6,FALSE))</f>
        <v>1</v>
      </c>
      <c r="U6444" s="3" t="str">
        <f>IF(ISERROR(VLOOKUP(Base_Periodo1[[#This Row],[CONTA]],BaseContasDRE[#All],7,FALSE)),"Fora do DRE",VLOOKUP(Base_Periodo1[[#This Row],[CONTA]],BaseContasDRE[#All],7,FALSE))</f>
        <v>INSUMOS AGROPECUARIOS</v>
      </c>
      <c r="V6444" s="3" t="str">
        <f>IF(Base_Periodo1[[#This Row],[Tipo_Linha]]="Fora do DRE","Fora do DRE","( "&amp;Base_Periodo1[[#This Row],[Tipo_Linha]]&amp;" ) "&amp;Base_Periodo1[[#This Row],[Filtro]])</f>
        <v>( + ) INSUMOS AGROPECUARIOS</v>
      </c>
      <c r="W6444" s="3" t="str">
        <f>LEFT(Base_Periodo1[[#This Row],[CLASS]],3)</f>
        <v>3.2</v>
      </c>
    </row>
    <row r="6445" spans="1:23" hidden="1">
      <c r="A6445" s="3" t="str">
        <f t="shared" si="100"/>
        <v>Período 1</v>
      </c>
      <c r="B6445">
        <v>6577</v>
      </c>
      <c r="C6445" t="s">
        <v>6067</v>
      </c>
      <c r="D6445" t="s">
        <v>3991</v>
      </c>
      <c r="E6445" s="3" t="str">
        <f>IF(LEN(Base_Periodo1[[#This Row],[CLASS]])&gt;=7,LEFT(Base_Periodo1[[#This Row],[CLASS]],7),"")</f>
        <v>3.2.1.1</v>
      </c>
      <c r="F6445" s="3" t="e">
        <f>VLOOKUP(Base_Periodo1[[#This Row],[Aux]],Base_Contas_Balanco[#All],2,FALSE)</f>
        <v>#N/A</v>
      </c>
      <c r="G6445" s="1"/>
      <c r="H6445" s="225">
        <v>4196.0000000000582</v>
      </c>
      <c r="I6445" s="225">
        <v>0</v>
      </c>
      <c r="J6445" s="225">
        <v>0</v>
      </c>
      <c r="K6445" s="225">
        <v>4196.0000000000582</v>
      </c>
      <c r="L64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-4196</v>
      </c>
      <c r="M6445" s="225">
        <f>ROUND(IF(AND(Base_Periodo1[[#This Row],[Tipo_Linha]]="-",Base_Periodo1[[#This Row],[TIPOSALDO]]="D"),Base_Periodo1[[#This Row],[SALDO_ATUAL]]*-1,Base_Periodo1[[#This Row],[SALDO_ATUAL]]),4)</f>
        <v>4196</v>
      </c>
      <c r="N6445" t="s">
        <v>396</v>
      </c>
      <c r="O6445" t="s">
        <v>397</v>
      </c>
      <c r="P6445" t="s">
        <v>397</v>
      </c>
      <c r="Q6445">
        <v>8</v>
      </c>
      <c r="R6445" s="282">
        <f>Base_Periodo1[[#This Row],[CREDITOS]]-Base_Periodo1[[#This Row],[DEBITOS]]</f>
        <v>0</v>
      </c>
      <c r="S6445" s="3" t="str">
        <f>IF(ISERROR(VLOOKUP(Base_Periodo1[[#This Row],[CONTA]],BaseContasDRE[#All],4,FALSE)),"Fora do DRE",VLOOKUP(Base_Periodo1[[#This Row],[CONTA]],BaseContasDRE[#All],4,FALSE))</f>
        <v>Fora do DRE</v>
      </c>
      <c r="T6445" s="3" t="str">
        <f>IF(ISERROR(VLOOKUP(Base_Periodo1[[#This Row],[CONTA]],BaseContasDRE[#All],5,FALSE)),"Fora do DRE",VLOOKUP(Base_Periodo1[[#This Row],[CONTA]],BaseContasDRE[#All],6,FALSE))</f>
        <v>Fora do DRE</v>
      </c>
      <c r="U6445" s="3" t="str">
        <f>IF(ISERROR(VLOOKUP(Base_Periodo1[[#This Row],[CONTA]],BaseContasDRE[#All],7,FALSE)),"Fora do DRE",VLOOKUP(Base_Periodo1[[#This Row],[CONTA]],BaseContasDRE[#All],7,FALSE))</f>
        <v>Fora do DRE</v>
      </c>
      <c r="V6445" s="3" t="str">
        <f>IF(Base_Periodo1[[#This Row],[Tipo_Linha]]="Fora do DRE","Fora do DRE","( "&amp;Base_Periodo1[[#This Row],[Tipo_Linha]]&amp;" ) "&amp;Base_Periodo1[[#This Row],[Filtro]])</f>
        <v>Fora do DRE</v>
      </c>
      <c r="W6445" s="3" t="str">
        <f>LEFT(Base_Periodo1[[#This Row],[CLASS]],3)</f>
        <v>3.2</v>
      </c>
    </row>
    <row r="6446" spans="1:23" hidden="1">
      <c r="A6446" s="3" t="str">
        <f t="shared" si="100"/>
        <v>Período 1</v>
      </c>
      <c r="B6446">
        <v>6578</v>
      </c>
      <c r="C6446" t="s">
        <v>6068</v>
      </c>
      <c r="D6446" t="s">
        <v>3992</v>
      </c>
      <c r="E6446" s="3" t="str">
        <f>IF(LEN(Base_Periodo1[[#This Row],[CLASS]])&gt;=7,LEFT(Base_Periodo1[[#This Row],[CLASS]],7),"")</f>
        <v>3.2.1.1</v>
      </c>
      <c r="F6446" s="3" t="e">
        <f>VLOOKUP(Base_Periodo1[[#This Row],[Aux]],Base_Contas_Balanco[#All],2,FALSE)</f>
        <v>#N/A</v>
      </c>
      <c r="G6446" s="1">
        <v>42800</v>
      </c>
      <c r="H6446" s="225">
        <v>4196.0000000000582</v>
      </c>
      <c r="I6446" s="225">
        <v>0</v>
      </c>
      <c r="J6446" s="225">
        <v>0</v>
      </c>
      <c r="K6446" s="225">
        <v>4196.0000000000582</v>
      </c>
      <c r="L64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-4196</v>
      </c>
      <c r="M6446" s="225">
        <f>ROUND(IF(AND(Base_Periodo1[[#This Row],[Tipo_Linha]]="-",Base_Periodo1[[#This Row],[TIPOSALDO]]="D"),Base_Periodo1[[#This Row],[SALDO_ATUAL]]*-1,Base_Periodo1[[#This Row],[SALDO_ATUAL]]),4)</f>
        <v>-4196</v>
      </c>
      <c r="N6446" t="s">
        <v>116</v>
      </c>
      <c r="O6446" t="s">
        <v>397</v>
      </c>
      <c r="P6446" t="s">
        <v>397</v>
      </c>
      <c r="Q6446">
        <v>9</v>
      </c>
      <c r="R6446" s="282">
        <f>Base_Periodo1[[#This Row],[CREDITOS]]-Base_Periodo1[[#This Row],[DEBITOS]]</f>
        <v>0</v>
      </c>
      <c r="S6446" s="3" t="str">
        <f>IF(ISERROR(VLOOKUP(Base_Periodo1[[#This Row],[CONTA]],BaseContasDRE[#All],4,FALSE)),"Fora do DRE",VLOOKUP(Base_Periodo1[[#This Row],[CONTA]],BaseContasDRE[#All],4,FALSE))</f>
        <v>-</v>
      </c>
      <c r="T6446" s="3">
        <f>IF(ISERROR(VLOOKUP(Base_Periodo1[[#This Row],[CONTA]],BaseContasDRE[#All],5,FALSE)),"Fora do DRE",VLOOKUP(Base_Periodo1[[#This Row],[CONTA]],BaseContasDRE[#All],6,FALSE))</f>
        <v>2</v>
      </c>
      <c r="U6446" s="3" t="str">
        <f>IF(ISERROR(VLOOKUP(Base_Periodo1[[#This Row],[CONTA]],BaseContasDRE[#All],7,FALSE)),"Fora do DRE",VLOOKUP(Base_Periodo1[[#This Row],[CONTA]],BaseContasDRE[#All],7,FALSE))</f>
        <v>DEVOLUÇÃO DE INSUMOS AGROPECUARIOS</v>
      </c>
      <c r="V6446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6446" s="3" t="str">
        <f>LEFT(Base_Periodo1[[#This Row],[CLASS]],3)</f>
        <v>3.2</v>
      </c>
    </row>
    <row r="6447" spans="1:23" hidden="1">
      <c r="A6447" s="3" t="str">
        <f t="shared" si="100"/>
        <v>Período 1</v>
      </c>
      <c r="B6447">
        <v>6581</v>
      </c>
      <c r="C6447" t="s">
        <v>4066</v>
      </c>
      <c r="D6447" t="s">
        <v>3995</v>
      </c>
      <c r="E6447" s="3" t="str">
        <f>IF(LEN(Base_Periodo1[[#This Row],[CLASS]])&gt;=7,LEFT(Base_Periodo1[[#This Row],[CLASS]],7),"")</f>
        <v>3.2.1.1</v>
      </c>
      <c r="F6447" s="3" t="e">
        <f>VLOOKUP(Base_Periodo1[[#This Row],[Aux]],Base_Contas_Balanco[#All],2,FALSE)</f>
        <v>#N/A</v>
      </c>
      <c r="G6447" s="1"/>
      <c r="H6447" s="225">
        <v>420767.22000000253</v>
      </c>
      <c r="I6447" s="225">
        <v>101603.65</v>
      </c>
      <c r="J6447" s="225">
        <v>0</v>
      </c>
      <c r="K6447" s="225">
        <v>522370.87000000256</v>
      </c>
      <c r="L64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-522370.87</v>
      </c>
      <c r="M6447" s="225">
        <f>ROUND(IF(AND(Base_Periodo1[[#This Row],[Tipo_Linha]]="-",Base_Periodo1[[#This Row],[TIPOSALDO]]="D"),Base_Periodo1[[#This Row],[SALDO_ATUAL]]*-1,Base_Periodo1[[#This Row],[SALDO_ATUAL]]),4)</f>
        <v>522370.87</v>
      </c>
      <c r="N6447" t="s">
        <v>396</v>
      </c>
      <c r="O6447" t="s">
        <v>397</v>
      </c>
      <c r="P6447" t="s">
        <v>397</v>
      </c>
      <c r="Q6447">
        <v>8</v>
      </c>
      <c r="R6447" s="282">
        <f>Base_Periodo1[[#This Row],[CREDITOS]]-Base_Periodo1[[#This Row],[DEBITOS]]</f>
        <v>-101603.65</v>
      </c>
      <c r="S6447" s="3" t="str">
        <f>IF(ISERROR(VLOOKUP(Base_Periodo1[[#This Row],[CONTA]],BaseContasDRE[#All],4,FALSE)),"Fora do DRE",VLOOKUP(Base_Periodo1[[#This Row],[CONTA]],BaseContasDRE[#All],4,FALSE))</f>
        <v>Fora do DRE</v>
      </c>
      <c r="T6447" s="3" t="str">
        <f>IF(ISERROR(VLOOKUP(Base_Periodo1[[#This Row],[CONTA]],BaseContasDRE[#All],5,FALSE)),"Fora do DRE",VLOOKUP(Base_Periodo1[[#This Row],[CONTA]],BaseContasDRE[#All],6,FALSE))</f>
        <v>Fora do DRE</v>
      </c>
      <c r="U6447" s="3" t="str">
        <f>IF(ISERROR(VLOOKUP(Base_Periodo1[[#This Row],[CONTA]],BaseContasDRE[#All],7,FALSE)),"Fora do DRE",VLOOKUP(Base_Periodo1[[#This Row],[CONTA]],BaseContasDRE[#All],7,FALSE))</f>
        <v>Fora do DRE</v>
      </c>
      <c r="V6447" s="3" t="str">
        <f>IF(Base_Periodo1[[#This Row],[Tipo_Linha]]="Fora do DRE","Fora do DRE","( "&amp;Base_Periodo1[[#This Row],[Tipo_Linha]]&amp;" ) "&amp;Base_Periodo1[[#This Row],[Filtro]])</f>
        <v>Fora do DRE</v>
      </c>
      <c r="W6447" s="3" t="str">
        <f>LEFT(Base_Periodo1[[#This Row],[CLASS]],3)</f>
        <v>3.2</v>
      </c>
    </row>
    <row r="6448" spans="1:23" hidden="1">
      <c r="A6448" s="3" t="str">
        <f t="shared" si="100"/>
        <v>Período 1</v>
      </c>
      <c r="B6448">
        <v>6582</v>
      </c>
      <c r="C6448" t="s">
        <v>4067</v>
      </c>
      <c r="D6448" t="s">
        <v>3997</v>
      </c>
      <c r="E6448" s="3" t="str">
        <f>IF(LEN(Base_Periodo1[[#This Row],[CLASS]])&gt;=7,LEFT(Base_Periodo1[[#This Row],[CLASS]],7),"")</f>
        <v>3.2.1.1</v>
      </c>
      <c r="F6448" s="3" t="e">
        <f>VLOOKUP(Base_Periodo1[[#This Row],[Aux]],Base_Contas_Balanco[#All],2,FALSE)</f>
        <v>#N/A</v>
      </c>
      <c r="G6448" s="1">
        <v>42886</v>
      </c>
      <c r="H6448" s="225">
        <v>420767.22000000253</v>
      </c>
      <c r="I6448" s="225">
        <v>101603.65</v>
      </c>
      <c r="J6448" s="225">
        <v>0</v>
      </c>
      <c r="K6448" s="225">
        <v>522370.87000000256</v>
      </c>
      <c r="L64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-522370.87</v>
      </c>
      <c r="M6448" s="225">
        <f>ROUND(IF(AND(Base_Periodo1[[#This Row],[Tipo_Linha]]="-",Base_Periodo1[[#This Row],[TIPOSALDO]]="D"),Base_Periodo1[[#This Row],[SALDO_ATUAL]]*-1,Base_Periodo1[[#This Row],[SALDO_ATUAL]]),4)</f>
        <v>-522370.87</v>
      </c>
      <c r="N6448" t="s">
        <v>116</v>
      </c>
      <c r="O6448" t="s">
        <v>397</v>
      </c>
      <c r="P6448" t="s">
        <v>397</v>
      </c>
      <c r="Q6448">
        <v>9</v>
      </c>
      <c r="R6448" s="282">
        <f>Base_Periodo1[[#This Row],[CREDITOS]]-Base_Periodo1[[#This Row],[DEBITOS]]</f>
        <v>-101603.65</v>
      </c>
      <c r="S6448" s="3" t="str">
        <f>IF(ISERROR(VLOOKUP(Base_Periodo1[[#This Row],[CONTA]],BaseContasDRE[#All],4,FALSE)),"Fora do DRE",VLOOKUP(Base_Periodo1[[#This Row],[CONTA]],BaseContasDRE[#All],4,FALSE))</f>
        <v>-</v>
      </c>
      <c r="T6448" s="3">
        <f>IF(ISERROR(VLOOKUP(Base_Periodo1[[#This Row],[CONTA]],BaseContasDRE[#All],5,FALSE)),"Fora do DRE",VLOOKUP(Base_Periodo1[[#This Row],[CONTA]],BaseContasDRE[#All],6,FALSE))</f>
        <v>3</v>
      </c>
      <c r="U6448" s="3" t="str">
        <f>IF(ISERROR(VLOOKUP(Base_Periodo1[[#This Row],[CONTA]],BaseContasDRE[#All],7,FALSE)),"Fora do DRE",VLOOKUP(Base_Periodo1[[#This Row],[CONTA]],BaseContasDRE[#All],7,FALSE))</f>
        <v>INSUMOS AGROPECUARIOS</v>
      </c>
      <c r="V6448" s="3" t="str">
        <f>IF(Base_Periodo1[[#This Row],[Tipo_Linha]]="Fora do DRE","Fora do DRE","( "&amp;Base_Periodo1[[#This Row],[Tipo_Linha]]&amp;" ) "&amp;Base_Periodo1[[#This Row],[Filtro]])</f>
        <v>( - ) INSUMOS AGROPECUARIOS</v>
      </c>
      <c r="W6448" s="3" t="str">
        <f>LEFT(Base_Periodo1[[#This Row],[CLASS]],3)</f>
        <v>3.2</v>
      </c>
    </row>
    <row r="6449" spans="1:23" hidden="1">
      <c r="A6449" s="3" t="str">
        <f t="shared" si="100"/>
        <v>Período 1</v>
      </c>
      <c r="B6449">
        <v>6584</v>
      </c>
      <c r="C6449" t="s">
        <v>4068</v>
      </c>
      <c r="D6449" t="s">
        <v>1321</v>
      </c>
      <c r="E6449" s="3" t="str">
        <f>IF(LEN(Base_Periodo1[[#This Row],[CLASS]])&gt;=7,LEFT(Base_Periodo1[[#This Row],[CLASS]],7),"")</f>
        <v>3.2.1.1</v>
      </c>
      <c r="F6449" s="3" t="e">
        <f>VLOOKUP(Base_Periodo1[[#This Row],[Aux]],Base_Contas_Balanco[#All],2,FALSE)</f>
        <v>#N/A</v>
      </c>
      <c r="G6449" s="1"/>
      <c r="H6449" s="225">
        <v>19459.019999999</v>
      </c>
      <c r="I6449" s="225">
        <v>0</v>
      </c>
      <c r="J6449" s="225">
        <v>0</v>
      </c>
      <c r="K6449" s="225">
        <v>19459.019999999</v>
      </c>
      <c r="L64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19459.02</v>
      </c>
      <c r="M6449" s="225">
        <f>ROUND(IF(AND(Base_Periodo1[[#This Row],[Tipo_Linha]]="-",Base_Periodo1[[#This Row],[TIPOSALDO]]="D"),Base_Periodo1[[#This Row],[SALDO_ATUAL]]*-1,Base_Periodo1[[#This Row],[SALDO_ATUAL]]),4)</f>
        <v>19459.02</v>
      </c>
      <c r="N6449" t="s">
        <v>396</v>
      </c>
      <c r="O6449" t="s">
        <v>459</v>
      </c>
      <c r="P6449" t="s">
        <v>459</v>
      </c>
      <c r="Q6449">
        <v>7</v>
      </c>
      <c r="R6449" s="282">
        <f>Base_Periodo1[[#This Row],[CREDITOS]]-Base_Periodo1[[#This Row],[DEBITOS]]</f>
        <v>0</v>
      </c>
      <c r="S6449" s="3" t="str">
        <f>IF(ISERROR(VLOOKUP(Base_Periodo1[[#This Row],[CONTA]],BaseContasDRE[#All],4,FALSE)),"Fora do DRE",VLOOKUP(Base_Periodo1[[#This Row],[CONTA]],BaseContasDRE[#All],4,FALSE))</f>
        <v>Fora do DRE</v>
      </c>
      <c r="T6449" s="3" t="str">
        <f>IF(ISERROR(VLOOKUP(Base_Periodo1[[#This Row],[CONTA]],BaseContasDRE[#All],5,FALSE)),"Fora do DRE",VLOOKUP(Base_Periodo1[[#This Row],[CONTA]],BaseContasDRE[#All],6,FALSE))</f>
        <v>Fora do DRE</v>
      </c>
      <c r="U6449" s="3" t="str">
        <f>IF(ISERROR(VLOOKUP(Base_Periodo1[[#This Row],[CONTA]],BaseContasDRE[#All],7,FALSE)),"Fora do DRE",VLOOKUP(Base_Periodo1[[#This Row],[CONTA]],BaseContasDRE[#All],7,FALSE))</f>
        <v>Fora do DRE</v>
      </c>
      <c r="V6449" s="3" t="str">
        <f>IF(Base_Periodo1[[#This Row],[Tipo_Linha]]="Fora do DRE","Fora do DRE","( "&amp;Base_Periodo1[[#This Row],[Tipo_Linha]]&amp;" ) "&amp;Base_Periodo1[[#This Row],[Filtro]])</f>
        <v>Fora do DRE</v>
      </c>
      <c r="W6449" s="3" t="str">
        <f>LEFT(Base_Periodo1[[#This Row],[CLASS]],3)</f>
        <v>3.2</v>
      </c>
    </row>
    <row r="6450" spans="1:23" hidden="1">
      <c r="A6450" s="3" t="str">
        <f t="shared" si="100"/>
        <v>Período 1</v>
      </c>
      <c r="B6450">
        <v>6585</v>
      </c>
      <c r="C6450" t="s">
        <v>4069</v>
      </c>
      <c r="D6450" t="s">
        <v>4022</v>
      </c>
      <c r="E6450" s="3" t="str">
        <f>IF(LEN(Base_Periodo1[[#This Row],[CLASS]])&gt;=7,LEFT(Base_Periodo1[[#This Row],[CLASS]],7),"")</f>
        <v>3.2.1.1</v>
      </c>
      <c r="F6450" s="3" t="e">
        <f>VLOOKUP(Base_Periodo1[[#This Row],[Aux]],Base_Contas_Balanco[#All],2,FALSE)</f>
        <v>#N/A</v>
      </c>
      <c r="G6450" s="1"/>
      <c r="H6450" s="225">
        <v>119071.75999999885</v>
      </c>
      <c r="I6450" s="225">
        <v>0</v>
      </c>
      <c r="J6450" s="225">
        <v>0</v>
      </c>
      <c r="K6450" s="225">
        <v>119071.75999999885</v>
      </c>
      <c r="L64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119071.76</v>
      </c>
      <c r="M6450" s="225">
        <f>ROUND(IF(AND(Base_Periodo1[[#This Row],[Tipo_Linha]]="-",Base_Periodo1[[#This Row],[TIPOSALDO]]="D"),Base_Periodo1[[#This Row],[SALDO_ATUAL]]*-1,Base_Periodo1[[#This Row],[SALDO_ATUAL]]),4)</f>
        <v>119071.76</v>
      </c>
      <c r="N6450" t="s">
        <v>396</v>
      </c>
      <c r="O6450" t="s">
        <v>459</v>
      </c>
      <c r="P6450" t="s">
        <v>459</v>
      </c>
      <c r="Q6450">
        <v>8</v>
      </c>
      <c r="R6450" s="282">
        <f>Base_Periodo1[[#This Row],[CREDITOS]]-Base_Periodo1[[#This Row],[DEBITOS]]</f>
        <v>0</v>
      </c>
      <c r="S6450" s="3" t="str">
        <f>IF(ISERROR(VLOOKUP(Base_Periodo1[[#This Row],[CONTA]],BaseContasDRE[#All],4,FALSE)),"Fora do DRE",VLOOKUP(Base_Periodo1[[#This Row],[CONTA]],BaseContasDRE[#All],4,FALSE))</f>
        <v>Fora do DRE</v>
      </c>
      <c r="T6450" s="3" t="str">
        <f>IF(ISERROR(VLOOKUP(Base_Periodo1[[#This Row],[CONTA]],BaseContasDRE[#All],5,FALSE)),"Fora do DRE",VLOOKUP(Base_Periodo1[[#This Row],[CONTA]],BaseContasDRE[#All],6,FALSE))</f>
        <v>Fora do DRE</v>
      </c>
      <c r="U6450" s="3" t="str">
        <f>IF(ISERROR(VLOOKUP(Base_Periodo1[[#This Row],[CONTA]],BaseContasDRE[#All],7,FALSE)),"Fora do DRE",VLOOKUP(Base_Periodo1[[#This Row],[CONTA]],BaseContasDRE[#All],7,FALSE))</f>
        <v>Fora do DRE</v>
      </c>
      <c r="V6450" s="3" t="str">
        <f>IF(Base_Periodo1[[#This Row],[Tipo_Linha]]="Fora do DRE","Fora do DRE","( "&amp;Base_Periodo1[[#This Row],[Tipo_Linha]]&amp;" ) "&amp;Base_Periodo1[[#This Row],[Filtro]])</f>
        <v>Fora do DRE</v>
      </c>
      <c r="W6450" s="3" t="str">
        <f>LEFT(Base_Periodo1[[#This Row],[CLASS]],3)</f>
        <v>3.2</v>
      </c>
    </row>
    <row r="6451" spans="1:23" hidden="1">
      <c r="A6451" s="3" t="str">
        <f t="shared" si="100"/>
        <v>Período 1</v>
      </c>
      <c r="B6451">
        <v>6586</v>
      </c>
      <c r="C6451" t="s">
        <v>4070</v>
      </c>
      <c r="D6451" t="s">
        <v>3987</v>
      </c>
      <c r="E6451" s="3" t="str">
        <f>IF(LEN(Base_Periodo1[[#This Row],[CLASS]])&gt;=7,LEFT(Base_Periodo1[[#This Row],[CLASS]],7),"")</f>
        <v>3.2.1.1</v>
      </c>
      <c r="F6451" s="3" t="e">
        <f>VLOOKUP(Base_Periodo1[[#This Row],[Aux]],Base_Contas_Balanco[#All],2,FALSE)</f>
        <v>#N/A</v>
      </c>
      <c r="G6451" s="1">
        <v>42829</v>
      </c>
      <c r="H6451" s="225">
        <v>119071.75999999885</v>
      </c>
      <c r="I6451" s="225">
        <v>0</v>
      </c>
      <c r="J6451" s="225">
        <v>0</v>
      </c>
      <c r="K6451" s="225">
        <v>119071.75999999885</v>
      </c>
      <c r="L64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119071.76</v>
      </c>
      <c r="M6451" s="225">
        <f>ROUND(IF(AND(Base_Periodo1[[#This Row],[Tipo_Linha]]="-",Base_Periodo1[[#This Row],[TIPOSALDO]]="D"),Base_Periodo1[[#This Row],[SALDO_ATUAL]]*-1,Base_Periodo1[[#This Row],[SALDO_ATUAL]]),4)</f>
        <v>119071.76</v>
      </c>
      <c r="N6451" t="s">
        <v>116</v>
      </c>
      <c r="O6451" t="s">
        <v>459</v>
      </c>
      <c r="P6451" t="s">
        <v>459</v>
      </c>
      <c r="Q6451">
        <v>9</v>
      </c>
      <c r="R6451" s="282">
        <f>Base_Periodo1[[#This Row],[CREDITOS]]-Base_Periodo1[[#This Row],[DEBITOS]]</f>
        <v>0</v>
      </c>
      <c r="S6451" s="3" t="str">
        <f>IF(ISERROR(VLOOKUP(Base_Periodo1[[#This Row],[CONTA]],BaseContasDRE[#All],4,FALSE)),"Fora do DRE",VLOOKUP(Base_Periodo1[[#This Row],[CONTA]],BaseContasDRE[#All],4,FALSE))</f>
        <v>+</v>
      </c>
      <c r="T6451" s="3">
        <f>IF(ISERROR(VLOOKUP(Base_Periodo1[[#This Row],[CONTA]],BaseContasDRE[#All],5,FALSE)),"Fora do DRE",VLOOKUP(Base_Periodo1[[#This Row],[CONTA]],BaseContasDRE[#All],6,FALSE))</f>
        <v>1</v>
      </c>
      <c r="U6451" s="3" t="str">
        <f>IF(ISERROR(VLOOKUP(Base_Periodo1[[#This Row],[CONTA]],BaseContasDRE[#All],7,FALSE)),"Fora do DRE",VLOOKUP(Base_Periodo1[[#This Row],[CONTA]],BaseContasDRE[#All],7,FALSE))</f>
        <v>INSUMOS AGROPECUARIOS</v>
      </c>
      <c r="V6451" s="3" t="str">
        <f>IF(Base_Periodo1[[#This Row],[Tipo_Linha]]="Fora do DRE","Fora do DRE","( "&amp;Base_Periodo1[[#This Row],[Tipo_Linha]]&amp;" ) "&amp;Base_Periodo1[[#This Row],[Filtro]])</f>
        <v>( + ) INSUMOS AGROPECUARIOS</v>
      </c>
      <c r="W6451" s="3" t="str">
        <f>LEFT(Base_Periodo1[[#This Row],[CLASS]],3)</f>
        <v>3.2</v>
      </c>
    </row>
    <row r="6452" spans="1:23" hidden="1">
      <c r="A6452" s="3" t="str">
        <f t="shared" si="100"/>
        <v>Período 1</v>
      </c>
      <c r="B6452">
        <v>6589</v>
      </c>
      <c r="C6452" t="s">
        <v>6069</v>
      </c>
      <c r="D6452" t="s">
        <v>3991</v>
      </c>
      <c r="E6452" s="3" t="str">
        <f>IF(LEN(Base_Periodo1[[#This Row],[CLASS]])&gt;=7,LEFT(Base_Periodo1[[#This Row],[CLASS]],7),"")</f>
        <v>3.2.1.1</v>
      </c>
      <c r="F6452" s="3" t="e">
        <f>VLOOKUP(Base_Periodo1[[#This Row],[Aux]],Base_Contas_Balanco[#All],2,FALSE)</f>
        <v>#N/A</v>
      </c>
      <c r="G6452" s="1"/>
      <c r="H6452" s="225">
        <v>11313.399999999994</v>
      </c>
      <c r="I6452" s="225">
        <v>0</v>
      </c>
      <c r="J6452" s="225">
        <v>0</v>
      </c>
      <c r="K6452" s="225">
        <v>11313.399999999994</v>
      </c>
      <c r="L64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-11313.4</v>
      </c>
      <c r="M6452" s="225">
        <f>ROUND(IF(AND(Base_Periodo1[[#This Row],[Tipo_Linha]]="-",Base_Periodo1[[#This Row],[TIPOSALDO]]="D"),Base_Periodo1[[#This Row],[SALDO_ATUAL]]*-1,Base_Periodo1[[#This Row],[SALDO_ATUAL]]),4)</f>
        <v>11313.4</v>
      </c>
      <c r="N6452" t="s">
        <v>396</v>
      </c>
      <c r="O6452" t="s">
        <v>397</v>
      </c>
      <c r="P6452" t="s">
        <v>397</v>
      </c>
      <c r="Q6452">
        <v>8</v>
      </c>
      <c r="R6452" s="282">
        <f>Base_Periodo1[[#This Row],[CREDITOS]]-Base_Periodo1[[#This Row],[DEBITOS]]</f>
        <v>0</v>
      </c>
      <c r="S6452" s="3" t="str">
        <f>IF(ISERROR(VLOOKUP(Base_Periodo1[[#This Row],[CONTA]],BaseContasDRE[#All],4,FALSE)),"Fora do DRE",VLOOKUP(Base_Periodo1[[#This Row],[CONTA]],BaseContasDRE[#All],4,FALSE))</f>
        <v>Fora do DRE</v>
      </c>
      <c r="T6452" s="3" t="str">
        <f>IF(ISERROR(VLOOKUP(Base_Periodo1[[#This Row],[CONTA]],BaseContasDRE[#All],5,FALSE)),"Fora do DRE",VLOOKUP(Base_Periodo1[[#This Row],[CONTA]],BaseContasDRE[#All],6,FALSE))</f>
        <v>Fora do DRE</v>
      </c>
      <c r="U6452" s="3" t="str">
        <f>IF(ISERROR(VLOOKUP(Base_Periodo1[[#This Row],[CONTA]],BaseContasDRE[#All],7,FALSE)),"Fora do DRE",VLOOKUP(Base_Periodo1[[#This Row],[CONTA]],BaseContasDRE[#All],7,FALSE))</f>
        <v>Fora do DRE</v>
      </c>
      <c r="V6452" s="3" t="str">
        <f>IF(Base_Periodo1[[#This Row],[Tipo_Linha]]="Fora do DRE","Fora do DRE","( "&amp;Base_Periodo1[[#This Row],[Tipo_Linha]]&amp;" ) "&amp;Base_Periodo1[[#This Row],[Filtro]])</f>
        <v>Fora do DRE</v>
      </c>
      <c r="W6452" s="3" t="str">
        <f>LEFT(Base_Periodo1[[#This Row],[CLASS]],3)</f>
        <v>3.2</v>
      </c>
    </row>
    <row r="6453" spans="1:23" hidden="1">
      <c r="A6453" s="3" t="str">
        <f t="shared" si="100"/>
        <v>Período 1</v>
      </c>
      <c r="B6453">
        <v>6590</v>
      </c>
      <c r="C6453" t="s">
        <v>6070</v>
      </c>
      <c r="D6453" t="s">
        <v>3992</v>
      </c>
      <c r="E6453" s="3" t="str">
        <f>IF(LEN(Base_Periodo1[[#This Row],[CLASS]])&gt;=7,LEFT(Base_Periodo1[[#This Row],[CLASS]],7),"")</f>
        <v>3.2.1.1</v>
      </c>
      <c r="F6453" s="3" t="e">
        <f>VLOOKUP(Base_Periodo1[[#This Row],[Aux]],Base_Contas_Balanco[#All],2,FALSE)</f>
        <v>#N/A</v>
      </c>
      <c r="G6453" s="1">
        <v>42837</v>
      </c>
      <c r="H6453" s="225">
        <v>11313.399999999994</v>
      </c>
      <c r="I6453" s="225">
        <v>0</v>
      </c>
      <c r="J6453" s="225">
        <v>0</v>
      </c>
      <c r="K6453" s="225">
        <v>11313.399999999994</v>
      </c>
      <c r="L64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-11313.4</v>
      </c>
      <c r="M6453" s="225">
        <f>ROUND(IF(AND(Base_Periodo1[[#This Row],[Tipo_Linha]]="-",Base_Periodo1[[#This Row],[TIPOSALDO]]="D"),Base_Periodo1[[#This Row],[SALDO_ATUAL]]*-1,Base_Periodo1[[#This Row],[SALDO_ATUAL]]),4)</f>
        <v>-11313.4</v>
      </c>
      <c r="N6453" t="s">
        <v>116</v>
      </c>
      <c r="O6453" t="s">
        <v>397</v>
      </c>
      <c r="P6453" t="s">
        <v>397</v>
      </c>
      <c r="Q6453">
        <v>9</v>
      </c>
      <c r="R6453" s="282">
        <f>Base_Periodo1[[#This Row],[CREDITOS]]-Base_Periodo1[[#This Row],[DEBITOS]]</f>
        <v>0</v>
      </c>
      <c r="S6453" s="3" t="str">
        <f>IF(ISERROR(VLOOKUP(Base_Periodo1[[#This Row],[CONTA]],BaseContasDRE[#All],4,FALSE)),"Fora do DRE",VLOOKUP(Base_Periodo1[[#This Row],[CONTA]],BaseContasDRE[#All],4,FALSE))</f>
        <v>-</v>
      </c>
      <c r="T6453" s="3">
        <f>IF(ISERROR(VLOOKUP(Base_Periodo1[[#This Row],[CONTA]],BaseContasDRE[#All],5,FALSE)),"Fora do DRE",VLOOKUP(Base_Periodo1[[#This Row],[CONTA]],BaseContasDRE[#All],6,FALSE))</f>
        <v>2</v>
      </c>
      <c r="U6453" s="3" t="str">
        <f>IF(ISERROR(VLOOKUP(Base_Periodo1[[#This Row],[CONTA]],BaseContasDRE[#All],7,FALSE)),"Fora do DRE",VLOOKUP(Base_Periodo1[[#This Row],[CONTA]],BaseContasDRE[#All],7,FALSE))</f>
        <v>DEVOLUÇÃO DE INSUMOS AGROPECUARIOS</v>
      </c>
      <c r="V6453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6453" s="3" t="str">
        <f>LEFT(Base_Periodo1[[#This Row],[CLASS]],3)</f>
        <v>3.2</v>
      </c>
    </row>
    <row r="6454" spans="1:23" hidden="1">
      <c r="A6454" s="3" t="str">
        <f t="shared" si="100"/>
        <v>Período 1</v>
      </c>
      <c r="B6454">
        <v>6593</v>
      </c>
      <c r="C6454" t="s">
        <v>4071</v>
      </c>
      <c r="D6454" t="s">
        <v>3995</v>
      </c>
      <c r="E6454" s="3" t="str">
        <f>IF(LEN(Base_Periodo1[[#This Row],[CLASS]])&gt;=7,LEFT(Base_Periodo1[[#This Row],[CLASS]],7),"")</f>
        <v>3.2.1.1</v>
      </c>
      <c r="F6454" s="3" t="e">
        <f>VLOOKUP(Base_Periodo1[[#This Row],[Aux]],Base_Contas_Balanco[#All],2,FALSE)</f>
        <v>#N/A</v>
      </c>
      <c r="G6454" s="1"/>
      <c r="H6454" s="225">
        <v>88299.339999999851</v>
      </c>
      <c r="I6454" s="225">
        <v>0</v>
      </c>
      <c r="J6454" s="225">
        <v>0</v>
      </c>
      <c r="K6454" s="225">
        <v>88299.339999999851</v>
      </c>
      <c r="L64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-88299.34</v>
      </c>
      <c r="M6454" s="225">
        <f>ROUND(IF(AND(Base_Periodo1[[#This Row],[Tipo_Linha]]="-",Base_Periodo1[[#This Row],[TIPOSALDO]]="D"),Base_Periodo1[[#This Row],[SALDO_ATUAL]]*-1,Base_Periodo1[[#This Row],[SALDO_ATUAL]]),4)</f>
        <v>88299.34</v>
      </c>
      <c r="N6454" t="s">
        <v>396</v>
      </c>
      <c r="O6454" t="s">
        <v>397</v>
      </c>
      <c r="P6454" t="s">
        <v>397</v>
      </c>
      <c r="Q6454">
        <v>8</v>
      </c>
      <c r="R6454" s="282">
        <f>Base_Periodo1[[#This Row],[CREDITOS]]-Base_Periodo1[[#This Row],[DEBITOS]]</f>
        <v>0</v>
      </c>
      <c r="S6454" s="3" t="str">
        <f>IF(ISERROR(VLOOKUP(Base_Periodo1[[#This Row],[CONTA]],BaseContasDRE[#All],4,FALSE)),"Fora do DRE",VLOOKUP(Base_Periodo1[[#This Row],[CONTA]],BaseContasDRE[#All],4,FALSE))</f>
        <v>Fora do DRE</v>
      </c>
      <c r="T6454" s="3" t="str">
        <f>IF(ISERROR(VLOOKUP(Base_Periodo1[[#This Row],[CONTA]],BaseContasDRE[#All],5,FALSE)),"Fora do DRE",VLOOKUP(Base_Periodo1[[#This Row],[CONTA]],BaseContasDRE[#All],6,FALSE))</f>
        <v>Fora do DRE</v>
      </c>
      <c r="U6454" s="3" t="str">
        <f>IF(ISERROR(VLOOKUP(Base_Periodo1[[#This Row],[CONTA]],BaseContasDRE[#All],7,FALSE)),"Fora do DRE",VLOOKUP(Base_Periodo1[[#This Row],[CONTA]],BaseContasDRE[#All],7,FALSE))</f>
        <v>Fora do DRE</v>
      </c>
      <c r="V6454" s="3" t="str">
        <f>IF(Base_Periodo1[[#This Row],[Tipo_Linha]]="Fora do DRE","Fora do DRE","( "&amp;Base_Periodo1[[#This Row],[Tipo_Linha]]&amp;" ) "&amp;Base_Periodo1[[#This Row],[Filtro]])</f>
        <v>Fora do DRE</v>
      </c>
      <c r="W6454" s="3" t="str">
        <f>LEFT(Base_Periodo1[[#This Row],[CLASS]],3)</f>
        <v>3.2</v>
      </c>
    </row>
    <row r="6455" spans="1:23" hidden="1">
      <c r="A6455" s="3" t="str">
        <f t="shared" si="100"/>
        <v>Período 1</v>
      </c>
      <c r="B6455">
        <v>6594</v>
      </c>
      <c r="C6455" t="s">
        <v>4072</v>
      </c>
      <c r="D6455" t="s">
        <v>3997</v>
      </c>
      <c r="E6455" s="3" t="str">
        <f>IF(LEN(Base_Periodo1[[#This Row],[CLASS]])&gt;=7,LEFT(Base_Periodo1[[#This Row],[CLASS]],7),"")</f>
        <v>3.2.1.1</v>
      </c>
      <c r="F6455" s="3" t="e">
        <f>VLOOKUP(Base_Periodo1[[#This Row],[Aux]],Base_Contas_Balanco[#All],2,FALSE)</f>
        <v>#N/A</v>
      </c>
      <c r="G6455" s="1">
        <v>42886</v>
      </c>
      <c r="H6455" s="225">
        <v>88299.339999999851</v>
      </c>
      <c r="I6455" s="225">
        <v>0</v>
      </c>
      <c r="J6455" s="225">
        <v>0</v>
      </c>
      <c r="K6455" s="225">
        <v>88299.339999999851</v>
      </c>
      <c r="L64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-88299.34</v>
      </c>
      <c r="M6455" s="225">
        <f>ROUND(IF(AND(Base_Periodo1[[#This Row],[Tipo_Linha]]="-",Base_Periodo1[[#This Row],[TIPOSALDO]]="D"),Base_Periodo1[[#This Row],[SALDO_ATUAL]]*-1,Base_Periodo1[[#This Row],[SALDO_ATUAL]]),4)</f>
        <v>-88299.34</v>
      </c>
      <c r="N6455" t="s">
        <v>116</v>
      </c>
      <c r="O6455" t="s">
        <v>397</v>
      </c>
      <c r="P6455" t="s">
        <v>397</v>
      </c>
      <c r="Q6455">
        <v>9</v>
      </c>
      <c r="R6455" s="282">
        <f>Base_Periodo1[[#This Row],[CREDITOS]]-Base_Periodo1[[#This Row],[DEBITOS]]</f>
        <v>0</v>
      </c>
      <c r="S6455" s="3" t="str">
        <f>IF(ISERROR(VLOOKUP(Base_Periodo1[[#This Row],[CONTA]],BaseContasDRE[#All],4,FALSE)),"Fora do DRE",VLOOKUP(Base_Periodo1[[#This Row],[CONTA]],BaseContasDRE[#All],4,FALSE))</f>
        <v>-</v>
      </c>
      <c r="T6455" s="3">
        <f>IF(ISERROR(VLOOKUP(Base_Periodo1[[#This Row],[CONTA]],BaseContasDRE[#All],5,FALSE)),"Fora do DRE",VLOOKUP(Base_Periodo1[[#This Row],[CONTA]],BaseContasDRE[#All],6,FALSE))</f>
        <v>3</v>
      </c>
      <c r="U6455" s="3" t="str">
        <f>IF(ISERROR(VLOOKUP(Base_Periodo1[[#This Row],[CONTA]],BaseContasDRE[#All],7,FALSE)),"Fora do DRE",VLOOKUP(Base_Periodo1[[#This Row],[CONTA]],BaseContasDRE[#All],7,FALSE))</f>
        <v>INSUMOS AGROPECUARIOS</v>
      </c>
      <c r="V6455" s="3" t="str">
        <f>IF(Base_Periodo1[[#This Row],[Tipo_Linha]]="Fora do DRE","Fora do DRE","( "&amp;Base_Periodo1[[#This Row],[Tipo_Linha]]&amp;" ) "&amp;Base_Periodo1[[#This Row],[Filtro]])</f>
        <v>( - ) INSUMOS AGROPECUARIOS</v>
      </c>
      <c r="W6455" s="3" t="str">
        <f>LEFT(Base_Periodo1[[#This Row],[CLASS]],3)</f>
        <v>3.2</v>
      </c>
    </row>
    <row r="6456" spans="1:23" hidden="1">
      <c r="A6456" s="3" t="str">
        <f t="shared" si="100"/>
        <v>Período 1</v>
      </c>
      <c r="B6456">
        <v>6606</v>
      </c>
      <c r="C6456" t="s">
        <v>4073</v>
      </c>
      <c r="D6456" t="s">
        <v>3672</v>
      </c>
      <c r="E6456" s="3" t="str">
        <f>IF(LEN(Base_Periodo1[[#This Row],[CLASS]])&gt;=7,LEFT(Base_Periodo1[[#This Row],[CLASS]],7),"")</f>
        <v>3.2.1.1</v>
      </c>
      <c r="F6456" s="3" t="e">
        <f>VLOOKUP(Base_Periodo1[[#This Row],[Aux]],Base_Contas_Balanco[#All],2,FALSE)</f>
        <v>#N/A</v>
      </c>
      <c r="G6456" s="1"/>
      <c r="H6456" s="225">
        <v>367.34000000054948</v>
      </c>
      <c r="I6456" s="225">
        <v>124339.67</v>
      </c>
      <c r="J6456" s="225">
        <v>163090.40000000002</v>
      </c>
      <c r="K6456" s="225">
        <v>39118.070000000575</v>
      </c>
      <c r="L64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39118.07</v>
      </c>
      <c r="M6456" s="225">
        <f>ROUND(IF(AND(Base_Periodo1[[#This Row],[Tipo_Linha]]="-",Base_Periodo1[[#This Row],[TIPOSALDO]]="D"),Base_Periodo1[[#This Row],[SALDO_ATUAL]]*-1,Base_Periodo1[[#This Row],[SALDO_ATUAL]]),4)</f>
        <v>39118.07</v>
      </c>
      <c r="N6456" t="s">
        <v>396</v>
      </c>
      <c r="O6456" t="s">
        <v>459</v>
      </c>
      <c r="P6456" t="s">
        <v>459</v>
      </c>
      <c r="Q6456">
        <v>7</v>
      </c>
      <c r="R6456" s="282">
        <f>Base_Periodo1[[#This Row],[CREDITOS]]-Base_Periodo1[[#This Row],[DEBITOS]]</f>
        <v>38750.730000000025</v>
      </c>
      <c r="S6456" s="3" t="str">
        <f>IF(ISERROR(VLOOKUP(Base_Periodo1[[#This Row],[CONTA]],BaseContasDRE[#All],4,FALSE)),"Fora do DRE",VLOOKUP(Base_Periodo1[[#This Row],[CONTA]],BaseContasDRE[#All],4,FALSE))</f>
        <v>Fora do DRE</v>
      </c>
      <c r="T6456" s="3" t="str">
        <f>IF(ISERROR(VLOOKUP(Base_Periodo1[[#This Row],[CONTA]],BaseContasDRE[#All],5,FALSE)),"Fora do DRE",VLOOKUP(Base_Periodo1[[#This Row],[CONTA]],BaseContasDRE[#All],6,FALSE))</f>
        <v>Fora do DRE</v>
      </c>
      <c r="U6456" s="3" t="str">
        <f>IF(ISERROR(VLOOKUP(Base_Periodo1[[#This Row],[CONTA]],BaseContasDRE[#All],7,FALSE)),"Fora do DRE",VLOOKUP(Base_Periodo1[[#This Row],[CONTA]],BaseContasDRE[#All],7,FALSE))</f>
        <v>Fora do DRE</v>
      </c>
      <c r="V6456" s="3" t="str">
        <f>IF(Base_Periodo1[[#This Row],[Tipo_Linha]]="Fora do DRE","Fora do DRE","( "&amp;Base_Periodo1[[#This Row],[Tipo_Linha]]&amp;" ) "&amp;Base_Periodo1[[#This Row],[Filtro]])</f>
        <v>Fora do DRE</v>
      </c>
      <c r="W6456" s="3" t="str">
        <f>LEFT(Base_Periodo1[[#This Row],[CLASS]],3)</f>
        <v>3.2</v>
      </c>
    </row>
    <row r="6457" spans="1:23" hidden="1">
      <c r="A6457" s="3" t="str">
        <f t="shared" si="100"/>
        <v>Período 1</v>
      </c>
      <c r="B6457">
        <v>6607</v>
      </c>
      <c r="C6457" t="s">
        <v>4074</v>
      </c>
      <c r="D6457" t="s">
        <v>4022</v>
      </c>
      <c r="E6457" s="3" t="str">
        <f>IF(LEN(Base_Periodo1[[#This Row],[CLASS]])&gt;=7,LEFT(Base_Periodo1[[#This Row],[CLASS]],7),"")</f>
        <v>3.2.1.1</v>
      </c>
      <c r="F6457" s="3" t="e">
        <f>VLOOKUP(Base_Periodo1[[#This Row],[Aux]],Base_Contas_Balanco[#All],2,FALSE)</f>
        <v>#N/A</v>
      </c>
      <c r="G6457" s="1"/>
      <c r="H6457" s="225">
        <v>1177.4700000006706</v>
      </c>
      <c r="I6457" s="225">
        <v>0</v>
      </c>
      <c r="J6457" s="225">
        <v>163090.40000000002</v>
      </c>
      <c r="K6457" s="225">
        <v>164267.87000000069</v>
      </c>
      <c r="L64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164267.87</v>
      </c>
      <c r="M6457" s="225">
        <f>ROUND(IF(AND(Base_Periodo1[[#This Row],[Tipo_Linha]]="-",Base_Periodo1[[#This Row],[TIPOSALDO]]="D"),Base_Periodo1[[#This Row],[SALDO_ATUAL]]*-1,Base_Periodo1[[#This Row],[SALDO_ATUAL]]),4)</f>
        <v>164267.87</v>
      </c>
      <c r="N6457" t="s">
        <v>396</v>
      </c>
      <c r="O6457" t="s">
        <v>459</v>
      </c>
      <c r="P6457" t="s">
        <v>459</v>
      </c>
      <c r="Q6457">
        <v>8</v>
      </c>
      <c r="R6457" s="282">
        <f>Base_Periodo1[[#This Row],[CREDITOS]]-Base_Periodo1[[#This Row],[DEBITOS]]</f>
        <v>163090.40000000002</v>
      </c>
      <c r="S6457" s="3" t="str">
        <f>IF(ISERROR(VLOOKUP(Base_Periodo1[[#This Row],[CONTA]],BaseContasDRE[#All],4,FALSE)),"Fora do DRE",VLOOKUP(Base_Periodo1[[#This Row],[CONTA]],BaseContasDRE[#All],4,FALSE))</f>
        <v>Fora do DRE</v>
      </c>
      <c r="T6457" s="3" t="str">
        <f>IF(ISERROR(VLOOKUP(Base_Periodo1[[#This Row],[CONTA]],BaseContasDRE[#All],5,FALSE)),"Fora do DRE",VLOOKUP(Base_Periodo1[[#This Row],[CONTA]],BaseContasDRE[#All],6,FALSE))</f>
        <v>Fora do DRE</v>
      </c>
      <c r="U6457" s="3" t="str">
        <f>IF(ISERROR(VLOOKUP(Base_Periodo1[[#This Row],[CONTA]],BaseContasDRE[#All],7,FALSE)),"Fora do DRE",VLOOKUP(Base_Periodo1[[#This Row],[CONTA]],BaseContasDRE[#All],7,FALSE))</f>
        <v>Fora do DRE</v>
      </c>
      <c r="V6457" s="3" t="str">
        <f>IF(Base_Periodo1[[#This Row],[Tipo_Linha]]="Fora do DRE","Fora do DRE","( "&amp;Base_Periodo1[[#This Row],[Tipo_Linha]]&amp;" ) "&amp;Base_Periodo1[[#This Row],[Filtro]])</f>
        <v>Fora do DRE</v>
      </c>
      <c r="W6457" s="3" t="str">
        <f>LEFT(Base_Periodo1[[#This Row],[CLASS]],3)</f>
        <v>3.2</v>
      </c>
    </row>
    <row r="6458" spans="1:23" hidden="1">
      <c r="A6458" s="3" t="str">
        <f t="shared" si="100"/>
        <v>Período 1</v>
      </c>
      <c r="B6458">
        <v>6608</v>
      </c>
      <c r="C6458" t="s">
        <v>4075</v>
      </c>
      <c r="D6458" t="s">
        <v>3987</v>
      </c>
      <c r="E6458" s="3" t="str">
        <f>IF(LEN(Base_Periodo1[[#This Row],[CLASS]])&gt;=7,LEFT(Base_Periodo1[[#This Row],[CLASS]],7),"")</f>
        <v>3.2.1.1</v>
      </c>
      <c r="F6458" s="3" t="e">
        <f>VLOOKUP(Base_Periodo1[[#This Row],[Aux]],Base_Contas_Balanco[#All],2,FALSE)</f>
        <v>#N/A</v>
      </c>
      <c r="G6458" s="1">
        <v>42859</v>
      </c>
      <c r="H6458" s="225">
        <v>1177.4700000006706</v>
      </c>
      <c r="I6458" s="225">
        <v>0</v>
      </c>
      <c r="J6458" s="225">
        <v>163090.40000000002</v>
      </c>
      <c r="K6458" s="225">
        <v>164267.87000000069</v>
      </c>
      <c r="L64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164267.87</v>
      </c>
      <c r="M6458" s="225">
        <f>ROUND(IF(AND(Base_Periodo1[[#This Row],[Tipo_Linha]]="-",Base_Periodo1[[#This Row],[TIPOSALDO]]="D"),Base_Periodo1[[#This Row],[SALDO_ATUAL]]*-1,Base_Periodo1[[#This Row],[SALDO_ATUAL]]),4)</f>
        <v>164267.87</v>
      </c>
      <c r="N6458" t="s">
        <v>116</v>
      </c>
      <c r="O6458" t="s">
        <v>459</v>
      </c>
      <c r="P6458" t="s">
        <v>459</v>
      </c>
      <c r="Q6458">
        <v>9</v>
      </c>
      <c r="R6458" s="282">
        <f>Base_Periodo1[[#This Row],[CREDITOS]]-Base_Periodo1[[#This Row],[DEBITOS]]</f>
        <v>163090.40000000002</v>
      </c>
      <c r="S6458" s="3" t="str">
        <f>IF(ISERROR(VLOOKUP(Base_Periodo1[[#This Row],[CONTA]],BaseContasDRE[#All],4,FALSE)),"Fora do DRE",VLOOKUP(Base_Periodo1[[#This Row],[CONTA]],BaseContasDRE[#All],4,FALSE))</f>
        <v>+</v>
      </c>
      <c r="T6458" s="3">
        <f>IF(ISERROR(VLOOKUP(Base_Periodo1[[#This Row],[CONTA]],BaseContasDRE[#All],5,FALSE)),"Fora do DRE",VLOOKUP(Base_Periodo1[[#This Row],[CONTA]],BaseContasDRE[#All],6,FALSE))</f>
        <v>1</v>
      </c>
      <c r="U6458" s="3" t="str">
        <f>IF(ISERROR(VLOOKUP(Base_Periodo1[[#This Row],[CONTA]],BaseContasDRE[#All],7,FALSE)),"Fora do DRE",VLOOKUP(Base_Periodo1[[#This Row],[CONTA]],BaseContasDRE[#All],7,FALSE))</f>
        <v>INSUMOS AGROPECUARIOS</v>
      </c>
      <c r="V6458" s="3" t="str">
        <f>IF(Base_Periodo1[[#This Row],[Tipo_Linha]]="Fora do DRE","Fora do DRE","( "&amp;Base_Periodo1[[#This Row],[Tipo_Linha]]&amp;" ) "&amp;Base_Periodo1[[#This Row],[Filtro]])</f>
        <v>( + ) INSUMOS AGROPECUARIOS</v>
      </c>
      <c r="W6458" s="3" t="str">
        <f>LEFT(Base_Periodo1[[#This Row],[CLASS]],3)</f>
        <v>3.2</v>
      </c>
    </row>
    <row r="6459" spans="1:23" hidden="1">
      <c r="A6459" s="3" t="str">
        <f t="shared" si="100"/>
        <v>Período 1</v>
      </c>
      <c r="B6459">
        <v>6615</v>
      </c>
      <c r="C6459" t="s">
        <v>4076</v>
      </c>
      <c r="D6459" t="s">
        <v>3995</v>
      </c>
      <c r="E6459" s="3" t="str">
        <f>IF(LEN(Base_Periodo1[[#This Row],[CLASS]])&gt;=7,LEFT(Base_Periodo1[[#This Row],[CLASS]],7),"")</f>
        <v>3.2.1.1</v>
      </c>
      <c r="F6459" s="3" t="e">
        <f>VLOOKUP(Base_Periodo1[[#This Row],[Aux]],Base_Contas_Balanco[#All],2,FALSE)</f>
        <v>#N/A</v>
      </c>
      <c r="G6459" s="1"/>
      <c r="H6459" s="225">
        <v>810.13000000012107</v>
      </c>
      <c r="I6459" s="225">
        <v>124339.67</v>
      </c>
      <c r="J6459" s="225">
        <v>0</v>
      </c>
      <c r="K6459" s="225">
        <v>125149.80000000012</v>
      </c>
      <c r="L64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-125149.8</v>
      </c>
      <c r="M6459" s="225">
        <f>ROUND(IF(AND(Base_Periodo1[[#This Row],[Tipo_Linha]]="-",Base_Periodo1[[#This Row],[TIPOSALDO]]="D"),Base_Periodo1[[#This Row],[SALDO_ATUAL]]*-1,Base_Periodo1[[#This Row],[SALDO_ATUAL]]),4)</f>
        <v>125149.8</v>
      </c>
      <c r="N6459" t="s">
        <v>396</v>
      </c>
      <c r="O6459" t="s">
        <v>397</v>
      </c>
      <c r="P6459" t="s">
        <v>397</v>
      </c>
      <c r="Q6459">
        <v>8</v>
      </c>
      <c r="R6459" s="282">
        <f>Base_Periodo1[[#This Row],[CREDITOS]]-Base_Periodo1[[#This Row],[DEBITOS]]</f>
        <v>-124339.67</v>
      </c>
      <c r="S6459" s="3" t="str">
        <f>IF(ISERROR(VLOOKUP(Base_Periodo1[[#This Row],[CONTA]],BaseContasDRE[#All],4,FALSE)),"Fora do DRE",VLOOKUP(Base_Periodo1[[#This Row],[CONTA]],BaseContasDRE[#All],4,FALSE))</f>
        <v>Fora do DRE</v>
      </c>
      <c r="T6459" s="3" t="str">
        <f>IF(ISERROR(VLOOKUP(Base_Periodo1[[#This Row],[CONTA]],BaseContasDRE[#All],5,FALSE)),"Fora do DRE",VLOOKUP(Base_Periodo1[[#This Row],[CONTA]],BaseContasDRE[#All],6,FALSE))</f>
        <v>Fora do DRE</v>
      </c>
      <c r="U6459" s="3" t="str">
        <f>IF(ISERROR(VLOOKUP(Base_Periodo1[[#This Row],[CONTA]],BaseContasDRE[#All],7,FALSE)),"Fora do DRE",VLOOKUP(Base_Periodo1[[#This Row],[CONTA]],BaseContasDRE[#All],7,FALSE))</f>
        <v>Fora do DRE</v>
      </c>
      <c r="V6459" s="3" t="str">
        <f>IF(Base_Periodo1[[#This Row],[Tipo_Linha]]="Fora do DRE","Fora do DRE","( "&amp;Base_Periodo1[[#This Row],[Tipo_Linha]]&amp;" ) "&amp;Base_Periodo1[[#This Row],[Filtro]])</f>
        <v>Fora do DRE</v>
      </c>
      <c r="W6459" s="3" t="str">
        <f>LEFT(Base_Periodo1[[#This Row],[CLASS]],3)</f>
        <v>3.2</v>
      </c>
    </row>
    <row r="6460" spans="1:23" hidden="1">
      <c r="A6460" s="3" t="str">
        <f t="shared" si="100"/>
        <v>Período 1</v>
      </c>
      <c r="B6460">
        <v>6616</v>
      </c>
      <c r="C6460" t="s">
        <v>4077</v>
      </c>
      <c r="D6460" t="s">
        <v>3997</v>
      </c>
      <c r="E6460" s="3" t="str">
        <f>IF(LEN(Base_Periodo1[[#This Row],[CLASS]])&gt;=7,LEFT(Base_Periodo1[[#This Row],[CLASS]],7),"")</f>
        <v>3.2.1.1</v>
      </c>
      <c r="F6460" s="3" t="e">
        <f>VLOOKUP(Base_Periodo1[[#This Row],[Aux]],Base_Contas_Balanco[#All],2,FALSE)</f>
        <v>#N/A</v>
      </c>
      <c r="G6460" s="1">
        <v>42886</v>
      </c>
      <c r="H6460" s="225">
        <v>810.13000000012107</v>
      </c>
      <c r="I6460" s="225">
        <v>124339.67</v>
      </c>
      <c r="J6460" s="225">
        <v>0</v>
      </c>
      <c r="K6460" s="225">
        <v>125149.80000000012</v>
      </c>
      <c r="L64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-125149.8</v>
      </c>
      <c r="M6460" s="225">
        <f>ROUND(IF(AND(Base_Periodo1[[#This Row],[Tipo_Linha]]="-",Base_Periodo1[[#This Row],[TIPOSALDO]]="D"),Base_Periodo1[[#This Row],[SALDO_ATUAL]]*-1,Base_Periodo1[[#This Row],[SALDO_ATUAL]]),4)</f>
        <v>-125149.8</v>
      </c>
      <c r="N6460" t="s">
        <v>116</v>
      </c>
      <c r="O6460" t="s">
        <v>397</v>
      </c>
      <c r="P6460" t="s">
        <v>397</v>
      </c>
      <c r="Q6460">
        <v>9</v>
      </c>
      <c r="R6460" s="282">
        <f>Base_Periodo1[[#This Row],[CREDITOS]]-Base_Periodo1[[#This Row],[DEBITOS]]</f>
        <v>-124339.67</v>
      </c>
      <c r="S6460" s="3" t="str">
        <f>IF(ISERROR(VLOOKUP(Base_Periodo1[[#This Row],[CONTA]],BaseContasDRE[#All],4,FALSE)),"Fora do DRE",VLOOKUP(Base_Periodo1[[#This Row],[CONTA]],BaseContasDRE[#All],4,FALSE))</f>
        <v>-</v>
      </c>
      <c r="T6460" s="3">
        <f>IF(ISERROR(VLOOKUP(Base_Periodo1[[#This Row],[CONTA]],BaseContasDRE[#All],5,FALSE)),"Fora do DRE",VLOOKUP(Base_Periodo1[[#This Row],[CONTA]],BaseContasDRE[#All],6,FALSE))</f>
        <v>3</v>
      </c>
      <c r="U6460" s="3" t="str">
        <f>IF(ISERROR(VLOOKUP(Base_Periodo1[[#This Row],[CONTA]],BaseContasDRE[#All],7,FALSE)),"Fora do DRE",VLOOKUP(Base_Periodo1[[#This Row],[CONTA]],BaseContasDRE[#All],7,FALSE))</f>
        <v>INSUMOS AGROPECUARIOS</v>
      </c>
      <c r="V6460" s="3" t="str">
        <f>IF(Base_Periodo1[[#This Row],[Tipo_Linha]]="Fora do DRE","Fora do DRE","( "&amp;Base_Periodo1[[#This Row],[Tipo_Linha]]&amp;" ) "&amp;Base_Periodo1[[#This Row],[Filtro]])</f>
        <v>( - ) INSUMOS AGROPECUARIOS</v>
      </c>
      <c r="W6460" s="3" t="str">
        <f>LEFT(Base_Periodo1[[#This Row],[CLASS]],3)</f>
        <v>3.2</v>
      </c>
    </row>
    <row r="6461" spans="1:23" hidden="1">
      <c r="A6461" s="3" t="str">
        <f t="shared" si="100"/>
        <v>Período 1</v>
      </c>
      <c r="B6461">
        <v>6653</v>
      </c>
      <c r="C6461" t="s">
        <v>6660</v>
      </c>
      <c r="D6461" t="s">
        <v>1354</v>
      </c>
      <c r="E6461" s="3" t="str">
        <f>IF(LEN(Base_Periodo1[[#This Row],[CLASS]])&gt;=7,LEFT(Base_Periodo1[[#This Row],[CLASS]],7),"")</f>
        <v>3.2.1.1</v>
      </c>
      <c r="F6461" s="3" t="e">
        <f>VLOOKUP(Base_Periodo1[[#This Row],[Aux]],Base_Contas_Balanco[#All],2,FALSE)</f>
        <v>#N/A</v>
      </c>
      <c r="G6461" s="1"/>
      <c r="H6461" s="225">
        <v>84.370000000140863</v>
      </c>
      <c r="I6461" s="225">
        <v>0</v>
      </c>
      <c r="J6461" s="225">
        <v>0</v>
      </c>
      <c r="K6461" s="225">
        <v>84.370000000140863</v>
      </c>
      <c r="L64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84.37</v>
      </c>
      <c r="M6461" s="225">
        <f>ROUND(IF(AND(Base_Periodo1[[#This Row],[Tipo_Linha]]="-",Base_Periodo1[[#This Row],[TIPOSALDO]]="D"),Base_Periodo1[[#This Row],[SALDO_ATUAL]]*-1,Base_Periodo1[[#This Row],[SALDO_ATUAL]]),4)</f>
        <v>84.37</v>
      </c>
      <c r="N6461" t="s">
        <v>396</v>
      </c>
      <c r="O6461" t="s">
        <v>459</v>
      </c>
      <c r="P6461" t="s">
        <v>459</v>
      </c>
      <c r="Q6461">
        <v>7</v>
      </c>
      <c r="R6461" s="282">
        <f>Base_Periodo1[[#This Row],[CREDITOS]]-Base_Periodo1[[#This Row],[DEBITOS]]</f>
        <v>0</v>
      </c>
      <c r="S6461" s="3" t="str">
        <f>IF(ISERROR(VLOOKUP(Base_Periodo1[[#This Row],[CONTA]],BaseContasDRE[#All],4,FALSE)),"Fora do DRE",VLOOKUP(Base_Periodo1[[#This Row],[CONTA]],BaseContasDRE[#All],4,FALSE))</f>
        <v>Fora do DRE</v>
      </c>
      <c r="T6461" s="3" t="str">
        <f>IF(ISERROR(VLOOKUP(Base_Periodo1[[#This Row],[CONTA]],BaseContasDRE[#All],5,FALSE)),"Fora do DRE",VLOOKUP(Base_Periodo1[[#This Row],[CONTA]],BaseContasDRE[#All],6,FALSE))</f>
        <v>Fora do DRE</v>
      </c>
      <c r="U6461" s="3" t="str">
        <f>IF(ISERROR(VLOOKUP(Base_Periodo1[[#This Row],[CONTA]],BaseContasDRE[#All],7,FALSE)),"Fora do DRE",VLOOKUP(Base_Periodo1[[#This Row],[CONTA]],BaseContasDRE[#All],7,FALSE))</f>
        <v>Fora do DRE</v>
      </c>
      <c r="V6461" s="3" t="str">
        <f>IF(Base_Periodo1[[#This Row],[Tipo_Linha]]="Fora do DRE","Fora do DRE","( "&amp;Base_Periodo1[[#This Row],[Tipo_Linha]]&amp;" ) "&amp;Base_Periodo1[[#This Row],[Filtro]])</f>
        <v>Fora do DRE</v>
      </c>
      <c r="W6461" s="3" t="str">
        <f>LEFT(Base_Periodo1[[#This Row],[CLASS]],3)</f>
        <v>3.2</v>
      </c>
    </row>
    <row r="6462" spans="1:23" hidden="1">
      <c r="A6462" s="3" t="str">
        <f t="shared" si="100"/>
        <v>Período 1</v>
      </c>
      <c r="B6462">
        <v>6654</v>
      </c>
      <c r="C6462" t="s">
        <v>6661</v>
      </c>
      <c r="D6462" t="s">
        <v>4022</v>
      </c>
      <c r="E6462" s="3" t="str">
        <f>IF(LEN(Base_Periodo1[[#This Row],[CLASS]])&gt;=7,LEFT(Base_Periodo1[[#This Row],[CLASS]],7),"")</f>
        <v>3.2.1.1</v>
      </c>
      <c r="F6462" s="3" t="e">
        <f>VLOOKUP(Base_Periodo1[[#This Row],[Aux]],Base_Contas_Balanco[#All],2,FALSE)</f>
        <v>#N/A</v>
      </c>
      <c r="G6462" s="1"/>
      <c r="H6462" s="225">
        <v>1253.2000000001863</v>
      </c>
      <c r="I6462" s="225">
        <v>0</v>
      </c>
      <c r="J6462" s="225">
        <v>0</v>
      </c>
      <c r="K6462" s="225">
        <v>1253.2000000001863</v>
      </c>
      <c r="L64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1253.2</v>
      </c>
      <c r="M6462" s="225">
        <f>ROUND(IF(AND(Base_Periodo1[[#This Row],[Tipo_Linha]]="-",Base_Periodo1[[#This Row],[TIPOSALDO]]="D"),Base_Periodo1[[#This Row],[SALDO_ATUAL]]*-1,Base_Periodo1[[#This Row],[SALDO_ATUAL]]),4)</f>
        <v>1253.2</v>
      </c>
      <c r="N6462" t="s">
        <v>396</v>
      </c>
      <c r="O6462" t="s">
        <v>459</v>
      </c>
      <c r="P6462" t="s">
        <v>459</v>
      </c>
      <c r="Q6462">
        <v>8</v>
      </c>
      <c r="R6462" s="282">
        <f>Base_Periodo1[[#This Row],[CREDITOS]]-Base_Periodo1[[#This Row],[DEBITOS]]</f>
        <v>0</v>
      </c>
      <c r="S6462" s="3" t="str">
        <f>IF(ISERROR(VLOOKUP(Base_Periodo1[[#This Row],[CONTA]],BaseContasDRE[#All],4,FALSE)),"Fora do DRE",VLOOKUP(Base_Periodo1[[#This Row],[CONTA]],BaseContasDRE[#All],4,FALSE))</f>
        <v>Fora do DRE</v>
      </c>
      <c r="T6462" s="3" t="str">
        <f>IF(ISERROR(VLOOKUP(Base_Periodo1[[#This Row],[CONTA]],BaseContasDRE[#All],5,FALSE)),"Fora do DRE",VLOOKUP(Base_Periodo1[[#This Row],[CONTA]],BaseContasDRE[#All],6,FALSE))</f>
        <v>Fora do DRE</v>
      </c>
      <c r="U6462" s="3" t="str">
        <f>IF(ISERROR(VLOOKUP(Base_Periodo1[[#This Row],[CONTA]],BaseContasDRE[#All],7,FALSE)),"Fora do DRE",VLOOKUP(Base_Periodo1[[#This Row],[CONTA]],BaseContasDRE[#All],7,FALSE))</f>
        <v>Fora do DRE</v>
      </c>
      <c r="V6462" s="3" t="str">
        <f>IF(Base_Periodo1[[#This Row],[Tipo_Linha]]="Fora do DRE","Fora do DRE","( "&amp;Base_Periodo1[[#This Row],[Tipo_Linha]]&amp;" ) "&amp;Base_Periodo1[[#This Row],[Filtro]])</f>
        <v>Fora do DRE</v>
      </c>
      <c r="W6462" s="3" t="str">
        <f>LEFT(Base_Periodo1[[#This Row],[CLASS]],3)</f>
        <v>3.2</v>
      </c>
    </row>
    <row r="6463" spans="1:23" hidden="1">
      <c r="A6463" s="3" t="str">
        <f t="shared" si="100"/>
        <v>Período 1</v>
      </c>
      <c r="B6463">
        <v>6655</v>
      </c>
      <c r="C6463" t="s">
        <v>6662</v>
      </c>
      <c r="D6463" t="s">
        <v>3987</v>
      </c>
      <c r="E6463" s="3" t="str">
        <f>IF(LEN(Base_Periodo1[[#This Row],[CLASS]])&gt;=7,LEFT(Base_Periodo1[[#This Row],[CLASS]],7),"")</f>
        <v>3.2.1.1</v>
      </c>
      <c r="F6463" s="3" t="e">
        <f>VLOOKUP(Base_Periodo1[[#This Row],[Aux]],Base_Contas_Balanco[#All],2,FALSE)</f>
        <v>#N/A</v>
      </c>
      <c r="G6463" s="1">
        <v>42809</v>
      </c>
      <c r="H6463" s="225">
        <v>1253.2000000001863</v>
      </c>
      <c r="I6463" s="225">
        <v>0</v>
      </c>
      <c r="J6463" s="225">
        <v>0</v>
      </c>
      <c r="K6463" s="225">
        <v>1253.2000000001863</v>
      </c>
      <c r="L64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1253.2</v>
      </c>
      <c r="M6463" s="225">
        <f>ROUND(IF(AND(Base_Periodo1[[#This Row],[Tipo_Linha]]="-",Base_Periodo1[[#This Row],[TIPOSALDO]]="D"),Base_Periodo1[[#This Row],[SALDO_ATUAL]]*-1,Base_Periodo1[[#This Row],[SALDO_ATUAL]]),4)</f>
        <v>1253.2</v>
      </c>
      <c r="N6463" t="s">
        <v>116</v>
      </c>
      <c r="O6463" t="s">
        <v>459</v>
      </c>
      <c r="P6463" t="s">
        <v>459</v>
      </c>
      <c r="Q6463">
        <v>9</v>
      </c>
      <c r="R6463" s="282">
        <f>Base_Periodo1[[#This Row],[CREDITOS]]-Base_Periodo1[[#This Row],[DEBITOS]]</f>
        <v>0</v>
      </c>
      <c r="S6463" s="3" t="str">
        <f>IF(ISERROR(VLOOKUP(Base_Periodo1[[#This Row],[CONTA]],BaseContasDRE[#All],4,FALSE)),"Fora do DRE",VLOOKUP(Base_Periodo1[[#This Row],[CONTA]],BaseContasDRE[#All],4,FALSE))</f>
        <v>+</v>
      </c>
      <c r="T6463" s="3">
        <f>IF(ISERROR(VLOOKUP(Base_Periodo1[[#This Row],[CONTA]],BaseContasDRE[#All],5,FALSE)),"Fora do DRE",VLOOKUP(Base_Periodo1[[#This Row],[CONTA]],BaseContasDRE[#All],6,FALSE))</f>
        <v>1</v>
      </c>
      <c r="U6463" s="3" t="str">
        <f>IF(ISERROR(VLOOKUP(Base_Periodo1[[#This Row],[CONTA]],BaseContasDRE[#All],7,FALSE)),"Fora do DRE",VLOOKUP(Base_Periodo1[[#This Row],[CONTA]],BaseContasDRE[#All],7,FALSE))</f>
        <v>INSUMOS AGROPECUARIOS</v>
      </c>
      <c r="V6463" s="3" t="str">
        <f>IF(Base_Periodo1[[#This Row],[Tipo_Linha]]="Fora do DRE","Fora do DRE","( "&amp;Base_Periodo1[[#This Row],[Tipo_Linha]]&amp;" ) "&amp;Base_Periodo1[[#This Row],[Filtro]])</f>
        <v>( + ) INSUMOS AGROPECUARIOS</v>
      </c>
      <c r="W6463" s="3" t="str">
        <f>LEFT(Base_Periodo1[[#This Row],[CLASS]],3)</f>
        <v>3.2</v>
      </c>
    </row>
    <row r="6464" spans="1:23" hidden="1">
      <c r="A6464" s="3" t="str">
        <f t="shared" si="100"/>
        <v>Período 1</v>
      </c>
      <c r="B6464">
        <v>6660</v>
      </c>
      <c r="C6464" t="s">
        <v>6663</v>
      </c>
      <c r="D6464" t="s">
        <v>3995</v>
      </c>
      <c r="E6464" s="3" t="str">
        <f>IF(LEN(Base_Periodo1[[#This Row],[CLASS]])&gt;=7,LEFT(Base_Periodo1[[#This Row],[CLASS]],7),"")</f>
        <v>3.2.1.1</v>
      </c>
      <c r="F6464" s="3" t="e">
        <f>VLOOKUP(Base_Periodo1[[#This Row],[Aux]],Base_Contas_Balanco[#All],2,FALSE)</f>
        <v>#N/A</v>
      </c>
      <c r="G6464" s="1"/>
      <c r="H6464" s="225">
        <v>1168.8300000000454</v>
      </c>
      <c r="I6464" s="225">
        <v>0</v>
      </c>
      <c r="J6464" s="225">
        <v>0</v>
      </c>
      <c r="K6464" s="225">
        <v>1168.8300000000454</v>
      </c>
      <c r="L64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-1168.83</v>
      </c>
      <c r="M6464" s="225">
        <f>ROUND(IF(AND(Base_Periodo1[[#This Row],[Tipo_Linha]]="-",Base_Periodo1[[#This Row],[TIPOSALDO]]="D"),Base_Periodo1[[#This Row],[SALDO_ATUAL]]*-1,Base_Periodo1[[#This Row],[SALDO_ATUAL]]),4)</f>
        <v>1168.83</v>
      </c>
      <c r="N6464" t="s">
        <v>396</v>
      </c>
      <c r="O6464" t="s">
        <v>397</v>
      </c>
      <c r="P6464" t="s">
        <v>397</v>
      </c>
      <c r="Q6464">
        <v>8</v>
      </c>
      <c r="R6464" s="282">
        <f>Base_Periodo1[[#This Row],[CREDITOS]]-Base_Periodo1[[#This Row],[DEBITOS]]</f>
        <v>0</v>
      </c>
      <c r="S6464" s="3" t="str">
        <f>IF(ISERROR(VLOOKUP(Base_Periodo1[[#This Row],[CONTA]],BaseContasDRE[#All],4,FALSE)),"Fora do DRE",VLOOKUP(Base_Periodo1[[#This Row],[CONTA]],BaseContasDRE[#All],4,FALSE))</f>
        <v>Fora do DRE</v>
      </c>
      <c r="T6464" s="3" t="str">
        <f>IF(ISERROR(VLOOKUP(Base_Periodo1[[#This Row],[CONTA]],BaseContasDRE[#All],5,FALSE)),"Fora do DRE",VLOOKUP(Base_Periodo1[[#This Row],[CONTA]],BaseContasDRE[#All],6,FALSE))</f>
        <v>Fora do DRE</v>
      </c>
      <c r="U6464" s="3" t="str">
        <f>IF(ISERROR(VLOOKUP(Base_Periodo1[[#This Row],[CONTA]],BaseContasDRE[#All],7,FALSE)),"Fora do DRE",VLOOKUP(Base_Periodo1[[#This Row],[CONTA]],BaseContasDRE[#All],7,FALSE))</f>
        <v>Fora do DRE</v>
      </c>
      <c r="V6464" s="3" t="str">
        <f>IF(Base_Periodo1[[#This Row],[Tipo_Linha]]="Fora do DRE","Fora do DRE","( "&amp;Base_Periodo1[[#This Row],[Tipo_Linha]]&amp;" ) "&amp;Base_Periodo1[[#This Row],[Filtro]])</f>
        <v>Fora do DRE</v>
      </c>
      <c r="W6464" s="3" t="str">
        <f>LEFT(Base_Periodo1[[#This Row],[CLASS]],3)</f>
        <v>3.2</v>
      </c>
    </row>
    <row r="6465" spans="1:23" hidden="1">
      <c r="A6465" s="3" t="str">
        <f t="shared" si="100"/>
        <v>Período 1</v>
      </c>
      <c r="B6465">
        <v>6661</v>
      </c>
      <c r="C6465" t="s">
        <v>6664</v>
      </c>
      <c r="D6465" t="s">
        <v>3997</v>
      </c>
      <c r="E6465" s="3" t="str">
        <f>IF(LEN(Base_Periodo1[[#This Row],[CLASS]])&gt;=7,LEFT(Base_Periodo1[[#This Row],[CLASS]],7),"")</f>
        <v>3.2.1.1</v>
      </c>
      <c r="F6465" s="3" t="e">
        <f>VLOOKUP(Base_Periodo1[[#This Row],[Aux]],Base_Contas_Balanco[#All],2,FALSE)</f>
        <v>#N/A</v>
      </c>
      <c r="G6465" s="1">
        <v>42886</v>
      </c>
      <c r="H6465" s="225">
        <v>1168.8300000000454</v>
      </c>
      <c r="I6465" s="225">
        <v>0</v>
      </c>
      <c r="J6465" s="225">
        <v>0</v>
      </c>
      <c r="K6465" s="225">
        <v>1168.8300000000454</v>
      </c>
      <c r="L64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-1168.83</v>
      </c>
      <c r="M6465" s="225">
        <f>ROUND(IF(AND(Base_Periodo1[[#This Row],[Tipo_Linha]]="-",Base_Periodo1[[#This Row],[TIPOSALDO]]="D"),Base_Periodo1[[#This Row],[SALDO_ATUAL]]*-1,Base_Periodo1[[#This Row],[SALDO_ATUAL]]),4)</f>
        <v>-1168.83</v>
      </c>
      <c r="N6465" t="s">
        <v>116</v>
      </c>
      <c r="O6465" t="s">
        <v>397</v>
      </c>
      <c r="P6465" t="s">
        <v>397</v>
      </c>
      <c r="Q6465">
        <v>9</v>
      </c>
      <c r="R6465" s="282">
        <f>Base_Periodo1[[#This Row],[CREDITOS]]-Base_Periodo1[[#This Row],[DEBITOS]]</f>
        <v>0</v>
      </c>
      <c r="S6465" s="3" t="str">
        <f>IF(ISERROR(VLOOKUP(Base_Periodo1[[#This Row],[CONTA]],BaseContasDRE[#All],4,FALSE)),"Fora do DRE",VLOOKUP(Base_Periodo1[[#This Row],[CONTA]],BaseContasDRE[#All],4,FALSE))</f>
        <v>-</v>
      </c>
      <c r="T6465" s="3">
        <f>IF(ISERROR(VLOOKUP(Base_Periodo1[[#This Row],[CONTA]],BaseContasDRE[#All],5,FALSE)),"Fora do DRE",VLOOKUP(Base_Periodo1[[#This Row],[CONTA]],BaseContasDRE[#All],6,FALSE))</f>
        <v>3</v>
      </c>
      <c r="U6465" s="3" t="str">
        <f>IF(ISERROR(VLOOKUP(Base_Periodo1[[#This Row],[CONTA]],BaseContasDRE[#All],7,FALSE)),"Fora do DRE",VLOOKUP(Base_Periodo1[[#This Row],[CONTA]],BaseContasDRE[#All],7,FALSE))</f>
        <v>INSUMOS AGROPECUARIOS</v>
      </c>
      <c r="V6465" s="3" t="str">
        <f>IF(Base_Periodo1[[#This Row],[Tipo_Linha]]="Fora do DRE","Fora do DRE","( "&amp;Base_Periodo1[[#This Row],[Tipo_Linha]]&amp;" ) "&amp;Base_Periodo1[[#This Row],[Filtro]])</f>
        <v>( - ) INSUMOS AGROPECUARIOS</v>
      </c>
      <c r="W6465" s="3" t="str">
        <f>LEFT(Base_Periodo1[[#This Row],[CLASS]],3)</f>
        <v>3.2</v>
      </c>
    </row>
    <row r="6466" spans="1:23" hidden="1">
      <c r="A6466" s="3" t="str">
        <f t="shared" si="100"/>
        <v>Período 1</v>
      </c>
      <c r="B6466">
        <v>6662</v>
      </c>
      <c r="C6466" t="s">
        <v>4078</v>
      </c>
      <c r="D6466" t="s">
        <v>3548</v>
      </c>
      <c r="E6466" s="3" t="str">
        <f>IF(LEN(Base_Periodo1[[#This Row],[CLASS]])&gt;=7,LEFT(Base_Periodo1[[#This Row],[CLASS]],7),"")</f>
        <v>3.2.1.1</v>
      </c>
      <c r="F6466" s="3" t="e">
        <f>VLOOKUP(Base_Periodo1[[#This Row],[Aux]],Base_Contas_Balanco[#All],2,FALSE)</f>
        <v>#N/A</v>
      </c>
      <c r="G6466" s="1"/>
      <c r="H6466" s="225">
        <v>211026.65000000264</v>
      </c>
      <c r="I6466" s="225">
        <v>1123.4000000000001</v>
      </c>
      <c r="J6466" s="225">
        <v>36389.599999999999</v>
      </c>
      <c r="K6466" s="225">
        <v>246292.85000000265</v>
      </c>
      <c r="L64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246292.85</v>
      </c>
      <c r="M6466" s="225">
        <f>ROUND(IF(AND(Base_Periodo1[[#This Row],[Tipo_Linha]]="-",Base_Periodo1[[#This Row],[TIPOSALDO]]="D"),Base_Periodo1[[#This Row],[SALDO_ATUAL]]*-1,Base_Periodo1[[#This Row],[SALDO_ATUAL]]),4)</f>
        <v>246292.85</v>
      </c>
      <c r="N6466" t="s">
        <v>396</v>
      </c>
      <c r="O6466" t="s">
        <v>459</v>
      </c>
      <c r="P6466" t="s">
        <v>459</v>
      </c>
      <c r="Q6466">
        <v>7</v>
      </c>
      <c r="R6466" s="282">
        <f>Base_Periodo1[[#This Row],[CREDITOS]]-Base_Periodo1[[#This Row],[DEBITOS]]</f>
        <v>35266.199999999997</v>
      </c>
      <c r="S6466" s="3" t="str">
        <f>IF(ISERROR(VLOOKUP(Base_Periodo1[[#This Row],[CONTA]],BaseContasDRE[#All],4,FALSE)),"Fora do DRE",VLOOKUP(Base_Periodo1[[#This Row],[CONTA]],BaseContasDRE[#All],4,FALSE))</f>
        <v>Fora do DRE</v>
      </c>
      <c r="T6466" s="3" t="str">
        <f>IF(ISERROR(VLOOKUP(Base_Periodo1[[#This Row],[CONTA]],BaseContasDRE[#All],5,FALSE)),"Fora do DRE",VLOOKUP(Base_Periodo1[[#This Row],[CONTA]],BaseContasDRE[#All],6,FALSE))</f>
        <v>Fora do DRE</v>
      </c>
      <c r="U6466" s="3" t="str">
        <f>IF(ISERROR(VLOOKUP(Base_Periodo1[[#This Row],[CONTA]],BaseContasDRE[#All],7,FALSE)),"Fora do DRE",VLOOKUP(Base_Periodo1[[#This Row],[CONTA]],BaseContasDRE[#All],7,FALSE))</f>
        <v>Fora do DRE</v>
      </c>
      <c r="V6466" s="3" t="str">
        <f>IF(Base_Periodo1[[#This Row],[Tipo_Linha]]="Fora do DRE","Fora do DRE","( "&amp;Base_Periodo1[[#This Row],[Tipo_Linha]]&amp;" ) "&amp;Base_Periodo1[[#This Row],[Filtro]])</f>
        <v>Fora do DRE</v>
      </c>
      <c r="W6466" s="3" t="str">
        <f>LEFT(Base_Periodo1[[#This Row],[CLASS]],3)</f>
        <v>3.2</v>
      </c>
    </row>
    <row r="6467" spans="1:23" hidden="1">
      <c r="A6467" s="3" t="str">
        <f t="shared" si="100"/>
        <v>Período 1</v>
      </c>
      <c r="B6467">
        <v>6663</v>
      </c>
      <c r="C6467" t="s">
        <v>4079</v>
      </c>
      <c r="D6467" t="s">
        <v>4022</v>
      </c>
      <c r="E6467" s="3" t="str">
        <f>IF(LEN(Base_Periodo1[[#This Row],[CLASS]])&gt;=7,LEFT(Base_Periodo1[[#This Row],[CLASS]],7),"")</f>
        <v>3.2.1.1</v>
      </c>
      <c r="F6467" s="3" t="e">
        <f>VLOOKUP(Base_Periodo1[[#This Row],[Aux]],Base_Contas_Balanco[#All],2,FALSE)</f>
        <v>#N/A</v>
      </c>
      <c r="G6467" s="1"/>
      <c r="H6467" s="225">
        <v>196063.44000000274</v>
      </c>
      <c r="I6467" s="225">
        <v>466.2</v>
      </c>
      <c r="J6467" s="225">
        <v>644.20000000000005</v>
      </c>
      <c r="K6467" s="225">
        <v>196241.44000000274</v>
      </c>
      <c r="L64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196241.44</v>
      </c>
      <c r="M6467" s="225">
        <f>ROUND(IF(AND(Base_Periodo1[[#This Row],[Tipo_Linha]]="-",Base_Periodo1[[#This Row],[TIPOSALDO]]="D"),Base_Periodo1[[#This Row],[SALDO_ATUAL]]*-1,Base_Periodo1[[#This Row],[SALDO_ATUAL]]),4)</f>
        <v>196241.44</v>
      </c>
      <c r="N6467" t="s">
        <v>396</v>
      </c>
      <c r="O6467" t="s">
        <v>459</v>
      </c>
      <c r="P6467" t="s">
        <v>459</v>
      </c>
      <c r="Q6467">
        <v>8</v>
      </c>
      <c r="R6467" s="282">
        <f>Base_Periodo1[[#This Row],[CREDITOS]]-Base_Periodo1[[#This Row],[DEBITOS]]</f>
        <v>178.00000000000006</v>
      </c>
      <c r="S6467" s="3" t="str">
        <f>IF(ISERROR(VLOOKUP(Base_Periodo1[[#This Row],[CONTA]],BaseContasDRE[#All],4,FALSE)),"Fora do DRE",VLOOKUP(Base_Periodo1[[#This Row],[CONTA]],BaseContasDRE[#All],4,FALSE))</f>
        <v>Fora do DRE</v>
      </c>
      <c r="T6467" s="3" t="str">
        <f>IF(ISERROR(VLOOKUP(Base_Periodo1[[#This Row],[CONTA]],BaseContasDRE[#All],5,FALSE)),"Fora do DRE",VLOOKUP(Base_Periodo1[[#This Row],[CONTA]],BaseContasDRE[#All],6,FALSE))</f>
        <v>Fora do DRE</v>
      </c>
      <c r="U6467" s="3" t="str">
        <f>IF(ISERROR(VLOOKUP(Base_Periodo1[[#This Row],[CONTA]],BaseContasDRE[#All],7,FALSE)),"Fora do DRE",VLOOKUP(Base_Periodo1[[#This Row],[CONTA]],BaseContasDRE[#All],7,FALSE))</f>
        <v>Fora do DRE</v>
      </c>
      <c r="V6467" s="3" t="str">
        <f>IF(Base_Periodo1[[#This Row],[Tipo_Linha]]="Fora do DRE","Fora do DRE","( "&amp;Base_Periodo1[[#This Row],[Tipo_Linha]]&amp;" ) "&amp;Base_Periodo1[[#This Row],[Filtro]])</f>
        <v>Fora do DRE</v>
      </c>
      <c r="W6467" s="3" t="str">
        <f>LEFT(Base_Periodo1[[#This Row],[CLASS]],3)</f>
        <v>3.2</v>
      </c>
    </row>
    <row r="6468" spans="1:23" hidden="1">
      <c r="A6468" s="3" t="str">
        <f t="shared" si="100"/>
        <v>Período 1</v>
      </c>
      <c r="B6468">
        <v>6664</v>
      </c>
      <c r="C6468" t="s">
        <v>4080</v>
      </c>
      <c r="D6468" t="s">
        <v>3987</v>
      </c>
      <c r="E6468" s="3" t="str">
        <f>IF(LEN(Base_Periodo1[[#This Row],[CLASS]])&gt;=7,LEFT(Base_Periodo1[[#This Row],[CLASS]],7),"")</f>
        <v>3.2.1.1</v>
      </c>
      <c r="F6468" s="3" t="e">
        <f>VLOOKUP(Base_Periodo1[[#This Row],[Aux]],Base_Contas_Balanco[#All],2,FALSE)</f>
        <v>#N/A</v>
      </c>
      <c r="G6468" s="1">
        <v>42872</v>
      </c>
      <c r="H6468" s="225">
        <v>196063.44000000274</v>
      </c>
      <c r="I6468" s="225">
        <v>466.2</v>
      </c>
      <c r="J6468" s="225">
        <v>644.20000000000005</v>
      </c>
      <c r="K6468" s="225">
        <v>196241.44000000274</v>
      </c>
      <c r="L64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196241.44</v>
      </c>
      <c r="M6468" s="225">
        <f>ROUND(IF(AND(Base_Periodo1[[#This Row],[Tipo_Linha]]="-",Base_Periodo1[[#This Row],[TIPOSALDO]]="D"),Base_Periodo1[[#This Row],[SALDO_ATUAL]]*-1,Base_Periodo1[[#This Row],[SALDO_ATUAL]]),4)</f>
        <v>196241.44</v>
      </c>
      <c r="N6468" t="s">
        <v>116</v>
      </c>
      <c r="O6468" t="s">
        <v>459</v>
      </c>
      <c r="P6468" t="s">
        <v>459</v>
      </c>
      <c r="Q6468">
        <v>9</v>
      </c>
      <c r="R6468" s="282">
        <f>Base_Periodo1[[#This Row],[CREDITOS]]-Base_Periodo1[[#This Row],[DEBITOS]]</f>
        <v>178.00000000000006</v>
      </c>
      <c r="S6468" s="3" t="str">
        <f>IF(ISERROR(VLOOKUP(Base_Periodo1[[#This Row],[CONTA]],BaseContasDRE[#All],4,FALSE)),"Fora do DRE",VLOOKUP(Base_Periodo1[[#This Row],[CONTA]],BaseContasDRE[#All],4,FALSE))</f>
        <v>+</v>
      </c>
      <c r="T6468" s="3">
        <f>IF(ISERROR(VLOOKUP(Base_Periodo1[[#This Row],[CONTA]],BaseContasDRE[#All],5,FALSE)),"Fora do DRE",VLOOKUP(Base_Periodo1[[#This Row],[CONTA]],BaseContasDRE[#All],6,FALSE))</f>
        <v>1</v>
      </c>
      <c r="U6468" s="3" t="str">
        <f>IF(ISERROR(VLOOKUP(Base_Periodo1[[#This Row],[CONTA]],BaseContasDRE[#All],7,FALSE)),"Fora do DRE",VLOOKUP(Base_Periodo1[[#This Row],[CONTA]],BaseContasDRE[#All],7,FALSE))</f>
        <v>INSUMOS AGROPECUARIOS</v>
      </c>
      <c r="V6468" s="3" t="str">
        <f>IF(Base_Periodo1[[#This Row],[Tipo_Linha]]="Fora do DRE","Fora do DRE","( "&amp;Base_Periodo1[[#This Row],[Tipo_Linha]]&amp;" ) "&amp;Base_Periodo1[[#This Row],[Filtro]])</f>
        <v>( + ) INSUMOS AGROPECUARIOS</v>
      </c>
      <c r="W6468" s="3" t="str">
        <f>LEFT(Base_Periodo1[[#This Row],[CLASS]],3)</f>
        <v>3.2</v>
      </c>
    </row>
    <row r="6469" spans="1:23" hidden="1">
      <c r="A6469" s="3" t="str">
        <f t="shared" si="100"/>
        <v>Período 1</v>
      </c>
      <c r="B6469">
        <v>57162</v>
      </c>
      <c r="C6469" t="s">
        <v>6665</v>
      </c>
      <c r="D6469" t="s">
        <v>3591</v>
      </c>
      <c r="E6469" s="3" t="str">
        <f>IF(LEN(Base_Periodo1[[#This Row],[CLASS]])&gt;=7,LEFT(Base_Periodo1[[#This Row],[CLASS]],7),"")</f>
        <v>3.2.1.1</v>
      </c>
      <c r="F6469" s="3" t="e">
        <f>VLOOKUP(Base_Periodo1[[#This Row],[Aux]],Base_Contas_Balanco[#All],2,FALSE)</f>
        <v>#N/A</v>
      </c>
      <c r="G6469" s="1"/>
      <c r="H6469" s="225">
        <v>117127.5</v>
      </c>
      <c r="I6469" s="225">
        <v>0</v>
      </c>
      <c r="J6469" s="225">
        <v>35279.199999999997</v>
      </c>
      <c r="K6469" s="225">
        <v>152406.70000000001</v>
      </c>
      <c r="L64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152406.70000000001</v>
      </c>
      <c r="M6469" s="225">
        <f>ROUND(IF(AND(Base_Periodo1[[#This Row],[Tipo_Linha]]="-",Base_Periodo1[[#This Row],[TIPOSALDO]]="D"),Base_Periodo1[[#This Row],[SALDO_ATUAL]]*-1,Base_Periodo1[[#This Row],[SALDO_ATUAL]]),4)</f>
        <v>152406.70000000001</v>
      </c>
      <c r="N6469" t="s">
        <v>396</v>
      </c>
      <c r="O6469" t="s">
        <v>459</v>
      </c>
      <c r="P6469" t="s">
        <v>459</v>
      </c>
      <c r="Q6469">
        <v>8</v>
      </c>
      <c r="R6469" s="282">
        <f>Base_Periodo1[[#This Row],[CREDITOS]]-Base_Periodo1[[#This Row],[DEBITOS]]</f>
        <v>35279.199999999997</v>
      </c>
      <c r="S6469" s="3" t="str">
        <f>IF(ISERROR(VLOOKUP(Base_Periodo1[[#This Row],[CONTA]],BaseContasDRE[#All],4,FALSE)),"Fora do DRE",VLOOKUP(Base_Periodo1[[#This Row],[CONTA]],BaseContasDRE[#All],4,FALSE))</f>
        <v>Fora do DRE</v>
      </c>
      <c r="T6469" s="3" t="str">
        <f>IF(ISERROR(VLOOKUP(Base_Periodo1[[#This Row],[CONTA]],BaseContasDRE[#All],5,FALSE)),"Fora do DRE",VLOOKUP(Base_Periodo1[[#This Row],[CONTA]],BaseContasDRE[#All],6,FALSE))</f>
        <v>Fora do DRE</v>
      </c>
      <c r="U6469" s="3" t="str">
        <f>IF(ISERROR(VLOOKUP(Base_Periodo1[[#This Row],[CONTA]],BaseContasDRE[#All],7,FALSE)),"Fora do DRE",VLOOKUP(Base_Periodo1[[#This Row],[CONTA]],BaseContasDRE[#All],7,FALSE))</f>
        <v>Fora do DRE</v>
      </c>
      <c r="V6469" s="3" t="str">
        <f>IF(Base_Periodo1[[#This Row],[Tipo_Linha]]="Fora do DRE","Fora do DRE","( "&amp;Base_Periodo1[[#This Row],[Tipo_Linha]]&amp;" ) "&amp;Base_Periodo1[[#This Row],[Filtro]])</f>
        <v>Fora do DRE</v>
      </c>
      <c r="W6469" s="3" t="str">
        <f>LEFT(Base_Periodo1[[#This Row],[CLASS]],3)</f>
        <v>3.2</v>
      </c>
    </row>
    <row r="6470" spans="1:23" hidden="1">
      <c r="A6470" s="3" t="str">
        <f t="shared" ref="A6470:A6533" si="101">"Período 1"</f>
        <v>Período 1</v>
      </c>
      <c r="B6470">
        <v>57163</v>
      </c>
      <c r="C6470" t="s">
        <v>6666</v>
      </c>
      <c r="D6470" t="s">
        <v>6667</v>
      </c>
      <c r="E6470" s="3" t="str">
        <f>IF(LEN(Base_Periodo1[[#This Row],[CLASS]])&gt;=7,LEFT(Base_Periodo1[[#This Row],[CLASS]],7),"")</f>
        <v>3.2.1.1</v>
      </c>
      <c r="F6470" s="3" t="e">
        <f>VLOOKUP(Base_Periodo1[[#This Row],[Aux]],Base_Contas_Balanco[#All],2,FALSE)</f>
        <v>#N/A</v>
      </c>
      <c r="G6470" s="1"/>
      <c r="H6470" s="225">
        <v>117127.5</v>
      </c>
      <c r="I6470" s="225">
        <v>0</v>
      </c>
      <c r="J6470" s="225">
        <v>35279.199999999997</v>
      </c>
      <c r="K6470" s="225">
        <v>152406.70000000001</v>
      </c>
      <c r="L64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152406.70000000001</v>
      </c>
      <c r="M6470" s="225">
        <f>ROUND(IF(AND(Base_Periodo1[[#This Row],[Tipo_Linha]]="-",Base_Periodo1[[#This Row],[TIPOSALDO]]="D"),Base_Periodo1[[#This Row],[SALDO_ATUAL]]*-1,Base_Periodo1[[#This Row],[SALDO_ATUAL]]),4)</f>
        <v>152406.70000000001</v>
      </c>
      <c r="N6470" t="s">
        <v>116</v>
      </c>
      <c r="O6470" t="s">
        <v>459</v>
      </c>
      <c r="P6470" t="s">
        <v>459</v>
      </c>
      <c r="Q6470">
        <v>9</v>
      </c>
      <c r="R6470" s="282">
        <f>Base_Periodo1[[#This Row],[CREDITOS]]-Base_Periodo1[[#This Row],[DEBITOS]]</f>
        <v>35279.199999999997</v>
      </c>
      <c r="S6470" s="3" t="str">
        <f>IF(ISERROR(VLOOKUP(Base_Periodo1[[#This Row],[CONTA]],BaseContasDRE[#All],4,FALSE)),"Fora do DRE",VLOOKUP(Base_Periodo1[[#This Row],[CONTA]],BaseContasDRE[#All],4,FALSE))</f>
        <v>+</v>
      </c>
      <c r="T6470" s="3">
        <f>IF(ISERROR(VLOOKUP(Base_Periodo1[[#This Row],[CONTA]],BaseContasDRE[#All],5,FALSE)),"Fora do DRE",VLOOKUP(Base_Periodo1[[#This Row],[CONTA]],BaseContasDRE[#All],6,FALSE))</f>
        <v>1</v>
      </c>
      <c r="U6470" s="3" t="str">
        <f>IF(ISERROR(VLOOKUP(Base_Periodo1[[#This Row],[CONTA]],BaseContasDRE[#All],7,FALSE)),"Fora do DRE",VLOOKUP(Base_Periodo1[[#This Row],[CONTA]],BaseContasDRE[#All],7,FALSE))</f>
        <v>BONIFICAÇÕES RECEBIDAS</v>
      </c>
      <c r="V6470" s="3" t="str">
        <f>IF(Base_Periodo1[[#This Row],[Tipo_Linha]]="Fora do DRE","Fora do DRE","( "&amp;Base_Periodo1[[#This Row],[Tipo_Linha]]&amp;" ) "&amp;Base_Periodo1[[#This Row],[Filtro]])</f>
        <v>( + ) BONIFICAÇÕES RECEBIDAS</v>
      </c>
      <c r="W6470" s="3" t="str">
        <f>LEFT(Base_Periodo1[[#This Row],[CLASS]],3)</f>
        <v>3.2</v>
      </c>
    </row>
    <row r="6471" spans="1:23" hidden="1">
      <c r="A6471" s="3" t="str">
        <f t="shared" si="101"/>
        <v>Período 1</v>
      </c>
      <c r="B6471">
        <v>6666</v>
      </c>
      <c r="C6471" t="s">
        <v>4638</v>
      </c>
      <c r="D6471" t="s">
        <v>3991</v>
      </c>
      <c r="E6471" s="3" t="str">
        <f>IF(LEN(Base_Periodo1[[#This Row],[CLASS]])&gt;=7,LEFT(Base_Periodo1[[#This Row],[CLASS]],7),"")</f>
        <v>3.2.1.1</v>
      </c>
      <c r="F6471" s="3" t="e">
        <f>VLOOKUP(Base_Periodo1[[#This Row],[Aux]],Base_Contas_Balanco[#All],2,FALSE)</f>
        <v>#N/A</v>
      </c>
      <c r="G6471" s="1"/>
      <c r="H6471" s="225">
        <v>2125.2700000000186</v>
      </c>
      <c r="I6471" s="225">
        <v>657.2</v>
      </c>
      <c r="J6471" s="225">
        <v>466.2</v>
      </c>
      <c r="K6471" s="225">
        <v>2316.2700000000186</v>
      </c>
      <c r="L64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-2316.27</v>
      </c>
      <c r="M6471" s="225">
        <f>ROUND(IF(AND(Base_Periodo1[[#This Row],[Tipo_Linha]]="-",Base_Periodo1[[#This Row],[TIPOSALDO]]="D"),Base_Periodo1[[#This Row],[SALDO_ATUAL]]*-1,Base_Periodo1[[#This Row],[SALDO_ATUAL]]),4)</f>
        <v>2316.27</v>
      </c>
      <c r="N6471" t="s">
        <v>396</v>
      </c>
      <c r="O6471" t="s">
        <v>397</v>
      </c>
      <c r="P6471" t="s">
        <v>397</v>
      </c>
      <c r="Q6471">
        <v>8</v>
      </c>
      <c r="R6471" s="282">
        <f>Base_Periodo1[[#This Row],[CREDITOS]]-Base_Periodo1[[#This Row],[DEBITOS]]</f>
        <v>-191.00000000000006</v>
      </c>
      <c r="S6471" s="3" t="str">
        <f>IF(ISERROR(VLOOKUP(Base_Periodo1[[#This Row],[CONTA]],BaseContasDRE[#All],4,FALSE)),"Fora do DRE",VLOOKUP(Base_Periodo1[[#This Row],[CONTA]],BaseContasDRE[#All],4,FALSE))</f>
        <v>Fora do DRE</v>
      </c>
      <c r="T6471" s="3" t="str">
        <f>IF(ISERROR(VLOOKUP(Base_Periodo1[[#This Row],[CONTA]],BaseContasDRE[#All],5,FALSE)),"Fora do DRE",VLOOKUP(Base_Periodo1[[#This Row],[CONTA]],BaseContasDRE[#All],6,FALSE))</f>
        <v>Fora do DRE</v>
      </c>
      <c r="U6471" s="3" t="str">
        <f>IF(ISERROR(VLOOKUP(Base_Periodo1[[#This Row],[CONTA]],BaseContasDRE[#All],7,FALSE)),"Fora do DRE",VLOOKUP(Base_Periodo1[[#This Row],[CONTA]],BaseContasDRE[#All],7,FALSE))</f>
        <v>Fora do DRE</v>
      </c>
      <c r="V6471" s="3" t="str">
        <f>IF(Base_Periodo1[[#This Row],[Tipo_Linha]]="Fora do DRE","Fora do DRE","( "&amp;Base_Periodo1[[#This Row],[Tipo_Linha]]&amp;" ) "&amp;Base_Periodo1[[#This Row],[Filtro]])</f>
        <v>Fora do DRE</v>
      </c>
      <c r="W6471" s="3" t="str">
        <f>LEFT(Base_Periodo1[[#This Row],[CLASS]],3)</f>
        <v>3.2</v>
      </c>
    </row>
    <row r="6472" spans="1:23" hidden="1">
      <c r="A6472" s="3" t="str">
        <f t="shared" si="101"/>
        <v>Período 1</v>
      </c>
      <c r="B6472">
        <v>6667</v>
      </c>
      <c r="C6472" t="s">
        <v>4639</v>
      </c>
      <c r="D6472" t="s">
        <v>3992</v>
      </c>
      <c r="E6472" s="3" t="str">
        <f>IF(LEN(Base_Periodo1[[#This Row],[CLASS]])&gt;=7,LEFT(Base_Periodo1[[#This Row],[CLASS]],7),"")</f>
        <v>3.2.1.1</v>
      </c>
      <c r="F6472" s="3" t="e">
        <f>VLOOKUP(Base_Periodo1[[#This Row],[Aux]],Base_Contas_Balanco[#All],2,FALSE)</f>
        <v>#N/A</v>
      </c>
      <c r="G6472" s="1">
        <v>42872</v>
      </c>
      <c r="H6472" s="225">
        <v>2125.2700000000186</v>
      </c>
      <c r="I6472" s="225">
        <v>657.2</v>
      </c>
      <c r="J6472" s="225">
        <v>466.2</v>
      </c>
      <c r="K6472" s="225">
        <v>2316.2700000000186</v>
      </c>
      <c r="L64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-2316.27</v>
      </c>
      <c r="M6472" s="225">
        <f>ROUND(IF(AND(Base_Periodo1[[#This Row],[Tipo_Linha]]="-",Base_Periodo1[[#This Row],[TIPOSALDO]]="D"),Base_Periodo1[[#This Row],[SALDO_ATUAL]]*-1,Base_Periodo1[[#This Row],[SALDO_ATUAL]]),4)</f>
        <v>-2316.27</v>
      </c>
      <c r="N6472" t="s">
        <v>116</v>
      </c>
      <c r="O6472" t="s">
        <v>397</v>
      </c>
      <c r="P6472" t="s">
        <v>397</v>
      </c>
      <c r="Q6472">
        <v>9</v>
      </c>
      <c r="R6472" s="282">
        <f>Base_Periodo1[[#This Row],[CREDITOS]]-Base_Periodo1[[#This Row],[DEBITOS]]</f>
        <v>-191.00000000000006</v>
      </c>
      <c r="S6472" s="3" t="str">
        <f>IF(ISERROR(VLOOKUP(Base_Periodo1[[#This Row],[CONTA]],BaseContasDRE[#All],4,FALSE)),"Fora do DRE",VLOOKUP(Base_Periodo1[[#This Row],[CONTA]],BaseContasDRE[#All],4,FALSE))</f>
        <v>-</v>
      </c>
      <c r="T6472" s="3">
        <f>IF(ISERROR(VLOOKUP(Base_Periodo1[[#This Row],[CONTA]],BaseContasDRE[#All],5,FALSE)),"Fora do DRE",VLOOKUP(Base_Periodo1[[#This Row],[CONTA]],BaseContasDRE[#All],6,FALSE))</f>
        <v>2</v>
      </c>
      <c r="U6472" s="3" t="str">
        <f>IF(ISERROR(VLOOKUP(Base_Periodo1[[#This Row],[CONTA]],BaseContasDRE[#All],7,FALSE)),"Fora do DRE",VLOOKUP(Base_Periodo1[[#This Row],[CONTA]],BaseContasDRE[#All],7,FALSE))</f>
        <v>DEVOLUÇÃO DE INSUMOS AGROPECUARIOS</v>
      </c>
      <c r="V6472" s="3" t="str">
        <f>IF(Base_Periodo1[[#This Row],[Tipo_Linha]]="Fora do DRE","Fora do DRE","( "&amp;Base_Periodo1[[#This Row],[Tipo_Linha]]&amp;" ) "&amp;Base_Periodo1[[#This Row],[Filtro]])</f>
        <v>( - ) DEVOLUÇÃO DE INSUMOS AGROPECUARIOS</v>
      </c>
      <c r="W6472" s="3" t="str">
        <f>LEFT(Base_Periodo1[[#This Row],[CLASS]],3)</f>
        <v>3.2</v>
      </c>
    </row>
    <row r="6473" spans="1:23" hidden="1">
      <c r="A6473" s="3" t="str">
        <f t="shared" si="101"/>
        <v>Período 1</v>
      </c>
      <c r="B6473">
        <v>6668</v>
      </c>
      <c r="C6473" t="s">
        <v>4515</v>
      </c>
      <c r="D6473" t="s">
        <v>3993</v>
      </c>
      <c r="E6473" s="3" t="str">
        <f>IF(LEN(Base_Periodo1[[#This Row],[CLASS]])&gt;=7,LEFT(Base_Periodo1[[#This Row],[CLASS]],7),"")</f>
        <v>3.2.1.1</v>
      </c>
      <c r="F6473" s="3" t="e">
        <f>VLOOKUP(Base_Periodo1[[#This Row],[Aux]],Base_Contas_Balanco[#All],2,FALSE)</f>
        <v>#N/A</v>
      </c>
      <c r="G6473" s="1"/>
      <c r="H6473" s="225">
        <v>23.910000000001446</v>
      </c>
      <c r="I6473" s="225">
        <v>0</v>
      </c>
      <c r="J6473" s="225">
        <v>0</v>
      </c>
      <c r="K6473" s="225">
        <v>23.910000000001446</v>
      </c>
      <c r="L64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-23.91</v>
      </c>
      <c r="M6473" s="225">
        <f>ROUND(IF(AND(Base_Periodo1[[#This Row],[Tipo_Linha]]="-",Base_Periodo1[[#This Row],[TIPOSALDO]]="D"),Base_Periodo1[[#This Row],[SALDO_ATUAL]]*-1,Base_Periodo1[[#This Row],[SALDO_ATUAL]]),4)</f>
        <v>23.91</v>
      </c>
      <c r="N6473" t="s">
        <v>396</v>
      </c>
      <c r="O6473" t="s">
        <v>397</v>
      </c>
      <c r="P6473" t="s">
        <v>397</v>
      </c>
      <c r="Q6473">
        <v>8</v>
      </c>
      <c r="R6473" s="282">
        <f>Base_Periodo1[[#This Row],[CREDITOS]]-Base_Periodo1[[#This Row],[DEBITOS]]</f>
        <v>0</v>
      </c>
      <c r="S6473" s="3" t="str">
        <f>IF(ISERROR(VLOOKUP(Base_Periodo1[[#This Row],[CONTA]],BaseContasDRE[#All],4,FALSE)),"Fora do DRE",VLOOKUP(Base_Periodo1[[#This Row],[CONTA]],BaseContasDRE[#All],4,FALSE))</f>
        <v>Fora do DRE</v>
      </c>
      <c r="T6473" s="3" t="str">
        <f>IF(ISERROR(VLOOKUP(Base_Periodo1[[#This Row],[CONTA]],BaseContasDRE[#All],5,FALSE)),"Fora do DRE",VLOOKUP(Base_Periodo1[[#This Row],[CONTA]],BaseContasDRE[#All],6,FALSE))</f>
        <v>Fora do DRE</v>
      </c>
      <c r="U6473" s="3" t="str">
        <f>IF(ISERROR(VLOOKUP(Base_Periodo1[[#This Row],[CONTA]],BaseContasDRE[#All],7,FALSE)),"Fora do DRE",VLOOKUP(Base_Periodo1[[#This Row],[CONTA]],BaseContasDRE[#All],7,FALSE))</f>
        <v>Fora do DRE</v>
      </c>
      <c r="V6473" s="3" t="str">
        <f>IF(Base_Periodo1[[#This Row],[Tipo_Linha]]="Fora do DRE","Fora do DRE","( "&amp;Base_Periodo1[[#This Row],[Tipo_Linha]]&amp;" ) "&amp;Base_Periodo1[[#This Row],[Filtro]])</f>
        <v>Fora do DRE</v>
      </c>
      <c r="W6473" s="3" t="str">
        <f>LEFT(Base_Periodo1[[#This Row],[CLASS]],3)</f>
        <v>3.2</v>
      </c>
    </row>
    <row r="6474" spans="1:23" hidden="1">
      <c r="A6474" s="3" t="str">
        <f t="shared" si="101"/>
        <v>Período 1</v>
      </c>
      <c r="B6474">
        <v>6669</v>
      </c>
      <c r="C6474" t="s">
        <v>4516</v>
      </c>
      <c r="D6474" t="s">
        <v>3566</v>
      </c>
      <c r="E6474" s="3" t="str">
        <f>IF(LEN(Base_Periodo1[[#This Row],[CLASS]])&gt;=7,LEFT(Base_Periodo1[[#This Row],[CLASS]],7),"")</f>
        <v>3.2.1.1</v>
      </c>
      <c r="F6474" s="3" t="e">
        <f>VLOOKUP(Base_Periodo1[[#This Row],[Aux]],Base_Contas_Balanco[#All],2,FALSE)</f>
        <v>#N/A</v>
      </c>
      <c r="G6474" s="1">
        <v>42815</v>
      </c>
      <c r="H6474" s="225">
        <v>23.909999999999627</v>
      </c>
      <c r="I6474" s="225">
        <v>0</v>
      </c>
      <c r="J6474" s="225">
        <v>0</v>
      </c>
      <c r="K6474" s="225">
        <v>23.909999999999627</v>
      </c>
      <c r="L64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-23.91</v>
      </c>
      <c r="M6474" s="225">
        <f>ROUND(IF(AND(Base_Periodo1[[#This Row],[Tipo_Linha]]="-",Base_Periodo1[[#This Row],[TIPOSALDO]]="D"),Base_Periodo1[[#This Row],[SALDO_ATUAL]]*-1,Base_Periodo1[[#This Row],[SALDO_ATUAL]]),4)</f>
        <v>-23.91</v>
      </c>
      <c r="N6474" t="s">
        <v>116</v>
      </c>
      <c r="O6474" t="s">
        <v>397</v>
      </c>
      <c r="P6474" t="s">
        <v>397</v>
      </c>
      <c r="Q6474">
        <v>9</v>
      </c>
      <c r="R6474" s="282">
        <f>Base_Periodo1[[#This Row],[CREDITOS]]-Base_Periodo1[[#This Row],[DEBITOS]]</f>
        <v>0</v>
      </c>
      <c r="S6474" s="3" t="str">
        <f>IF(ISERROR(VLOOKUP(Base_Periodo1[[#This Row],[CONTA]],BaseContasDRE[#All],4,FALSE)),"Fora do DRE",VLOOKUP(Base_Periodo1[[#This Row],[CONTA]],BaseContasDRE[#All],4,FALSE))</f>
        <v>-</v>
      </c>
      <c r="T6474" s="3">
        <f>IF(ISERROR(VLOOKUP(Base_Periodo1[[#This Row],[CONTA]],BaseContasDRE[#All],5,FALSE)),"Fora do DRE",VLOOKUP(Base_Periodo1[[#This Row],[CONTA]],BaseContasDRE[#All],6,FALSE))</f>
        <v>2</v>
      </c>
      <c r="U6474" s="3" t="str">
        <f>IF(ISERROR(VLOOKUP(Base_Periodo1[[#This Row],[CONTA]],BaseContasDRE[#All],7,FALSE)),"Fora do DRE",VLOOKUP(Base_Periodo1[[#This Row],[CONTA]],BaseContasDRE[#All],7,FALSE))</f>
        <v>ICMS SOBRE INGRESSOS E RECEITAS</v>
      </c>
      <c r="V6474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474" s="3" t="str">
        <f>LEFT(Base_Periodo1[[#This Row],[CLASS]],3)</f>
        <v>3.2</v>
      </c>
    </row>
    <row r="6475" spans="1:23" hidden="1">
      <c r="A6475" s="3" t="str">
        <f t="shared" si="101"/>
        <v>Período 1</v>
      </c>
      <c r="B6475">
        <v>6670</v>
      </c>
      <c r="C6475" t="s">
        <v>4081</v>
      </c>
      <c r="D6475" t="s">
        <v>3995</v>
      </c>
      <c r="E6475" s="3" t="str">
        <f>IF(LEN(Base_Periodo1[[#This Row],[CLASS]])&gt;=7,LEFT(Base_Periodo1[[#This Row],[CLASS]],7),"")</f>
        <v>3.2.1.1</v>
      </c>
      <c r="F6475" s="3" t="e">
        <f>VLOOKUP(Base_Periodo1[[#This Row],[Aux]],Base_Contas_Balanco[#All],2,FALSE)</f>
        <v>#N/A</v>
      </c>
      <c r="G6475" s="1"/>
      <c r="H6475" s="225">
        <v>100015.1100000001</v>
      </c>
      <c r="I6475" s="225">
        <v>0</v>
      </c>
      <c r="J6475" s="225">
        <v>0</v>
      </c>
      <c r="K6475" s="225">
        <v>100015.1100000001</v>
      </c>
      <c r="L64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-100015.11</v>
      </c>
      <c r="M6475" s="225">
        <f>ROUND(IF(AND(Base_Periodo1[[#This Row],[Tipo_Linha]]="-",Base_Periodo1[[#This Row],[TIPOSALDO]]="D"),Base_Periodo1[[#This Row],[SALDO_ATUAL]]*-1,Base_Periodo1[[#This Row],[SALDO_ATUAL]]),4)</f>
        <v>100015.11</v>
      </c>
      <c r="N6475" t="s">
        <v>396</v>
      </c>
      <c r="O6475" t="s">
        <v>397</v>
      </c>
      <c r="P6475" t="s">
        <v>397</v>
      </c>
      <c r="Q6475">
        <v>8</v>
      </c>
      <c r="R6475" s="282">
        <f>Base_Periodo1[[#This Row],[CREDITOS]]-Base_Periodo1[[#This Row],[DEBITOS]]</f>
        <v>0</v>
      </c>
      <c r="S6475" s="3" t="str">
        <f>IF(ISERROR(VLOOKUP(Base_Periodo1[[#This Row],[CONTA]],BaseContasDRE[#All],4,FALSE)),"Fora do DRE",VLOOKUP(Base_Periodo1[[#This Row],[CONTA]],BaseContasDRE[#All],4,FALSE))</f>
        <v>Fora do DRE</v>
      </c>
      <c r="T6475" s="3" t="str">
        <f>IF(ISERROR(VLOOKUP(Base_Periodo1[[#This Row],[CONTA]],BaseContasDRE[#All],5,FALSE)),"Fora do DRE",VLOOKUP(Base_Periodo1[[#This Row],[CONTA]],BaseContasDRE[#All],6,FALSE))</f>
        <v>Fora do DRE</v>
      </c>
      <c r="U6475" s="3" t="str">
        <f>IF(ISERROR(VLOOKUP(Base_Periodo1[[#This Row],[CONTA]],BaseContasDRE[#All],7,FALSE)),"Fora do DRE",VLOOKUP(Base_Periodo1[[#This Row],[CONTA]],BaseContasDRE[#All],7,FALSE))</f>
        <v>Fora do DRE</v>
      </c>
      <c r="V6475" s="3" t="str">
        <f>IF(Base_Periodo1[[#This Row],[Tipo_Linha]]="Fora do DRE","Fora do DRE","( "&amp;Base_Periodo1[[#This Row],[Tipo_Linha]]&amp;" ) "&amp;Base_Periodo1[[#This Row],[Filtro]])</f>
        <v>Fora do DRE</v>
      </c>
      <c r="W6475" s="3" t="str">
        <f>LEFT(Base_Periodo1[[#This Row],[CLASS]],3)</f>
        <v>3.2</v>
      </c>
    </row>
    <row r="6476" spans="1:23" hidden="1">
      <c r="A6476" s="3" t="str">
        <f t="shared" si="101"/>
        <v>Período 1</v>
      </c>
      <c r="B6476">
        <v>6671</v>
      </c>
      <c r="C6476" t="s">
        <v>4082</v>
      </c>
      <c r="D6476" t="s">
        <v>3997</v>
      </c>
      <c r="E6476" s="3" t="str">
        <f>IF(LEN(Base_Periodo1[[#This Row],[CLASS]])&gt;=7,LEFT(Base_Periodo1[[#This Row],[CLASS]],7),"")</f>
        <v>3.2.1.1</v>
      </c>
      <c r="F6476" s="3" t="e">
        <f>VLOOKUP(Base_Periodo1[[#This Row],[Aux]],Base_Contas_Balanco[#All],2,FALSE)</f>
        <v>#N/A</v>
      </c>
      <c r="G6476" s="1">
        <v>42855</v>
      </c>
      <c r="H6476" s="225">
        <v>100015.1100000001</v>
      </c>
      <c r="I6476" s="225">
        <v>0</v>
      </c>
      <c r="J6476" s="225">
        <v>0</v>
      </c>
      <c r="K6476" s="225">
        <v>100015.1100000001</v>
      </c>
      <c r="L64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-100015.11</v>
      </c>
      <c r="M6476" s="225">
        <f>ROUND(IF(AND(Base_Periodo1[[#This Row],[Tipo_Linha]]="-",Base_Periodo1[[#This Row],[TIPOSALDO]]="D"),Base_Periodo1[[#This Row],[SALDO_ATUAL]]*-1,Base_Periodo1[[#This Row],[SALDO_ATUAL]]),4)</f>
        <v>-100015.11</v>
      </c>
      <c r="N6476" t="s">
        <v>116</v>
      </c>
      <c r="O6476" t="s">
        <v>397</v>
      </c>
      <c r="P6476" t="s">
        <v>397</v>
      </c>
      <c r="Q6476">
        <v>9</v>
      </c>
      <c r="R6476" s="282">
        <f>Base_Periodo1[[#This Row],[CREDITOS]]-Base_Periodo1[[#This Row],[DEBITOS]]</f>
        <v>0</v>
      </c>
      <c r="S6476" s="3" t="str">
        <f>IF(ISERROR(VLOOKUP(Base_Periodo1[[#This Row],[CONTA]],BaseContasDRE[#All],4,FALSE)),"Fora do DRE",VLOOKUP(Base_Periodo1[[#This Row],[CONTA]],BaseContasDRE[#All],4,FALSE))</f>
        <v>-</v>
      </c>
      <c r="T6476" s="3">
        <f>IF(ISERROR(VLOOKUP(Base_Periodo1[[#This Row],[CONTA]],BaseContasDRE[#All],5,FALSE)),"Fora do DRE",VLOOKUP(Base_Periodo1[[#This Row],[CONTA]],BaseContasDRE[#All],6,FALSE))</f>
        <v>3</v>
      </c>
      <c r="U6476" s="3" t="str">
        <f>IF(ISERROR(VLOOKUP(Base_Periodo1[[#This Row],[CONTA]],BaseContasDRE[#All],7,FALSE)),"Fora do DRE",VLOOKUP(Base_Periodo1[[#This Row],[CONTA]],BaseContasDRE[#All],7,FALSE))</f>
        <v>INSUMOS AGROPECUARIOS</v>
      </c>
      <c r="V6476" s="3" t="str">
        <f>IF(Base_Periodo1[[#This Row],[Tipo_Linha]]="Fora do DRE","Fora do DRE","( "&amp;Base_Periodo1[[#This Row],[Tipo_Linha]]&amp;" ) "&amp;Base_Periodo1[[#This Row],[Filtro]])</f>
        <v>( - ) INSUMOS AGROPECUARIOS</v>
      </c>
      <c r="W6476" s="3" t="str">
        <f>LEFT(Base_Periodo1[[#This Row],[CLASS]],3)</f>
        <v>3.2</v>
      </c>
    </row>
    <row r="6477" spans="1:23" hidden="1">
      <c r="A6477" s="3" t="str">
        <f t="shared" si="101"/>
        <v>Período 1</v>
      </c>
      <c r="B6477">
        <v>6706</v>
      </c>
      <c r="C6477" t="s">
        <v>4083</v>
      </c>
      <c r="D6477" t="s">
        <v>1381</v>
      </c>
      <c r="E6477" s="3" t="str">
        <f>IF(LEN(Base_Periodo1[[#This Row],[CLASS]])&gt;=7,LEFT(Base_Periodo1[[#This Row],[CLASS]],7),"")</f>
        <v>3.2.1.1</v>
      </c>
      <c r="F6477" s="3" t="e">
        <f>VLOOKUP(Base_Periodo1[[#This Row],[Aux]],Base_Contas_Balanco[#All],2,FALSE)</f>
        <v>#N/A</v>
      </c>
      <c r="G6477" s="1"/>
      <c r="H6477" s="225">
        <v>16573.449999999906</v>
      </c>
      <c r="I6477" s="225">
        <v>3433.16</v>
      </c>
      <c r="J6477" s="225">
        <v>5364</v>
      </c>
      <c r="K6477" s="225">
        <v>14642.609999999906</v>
      </c>
      <c r="L64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-14642.61</v>
      </c>
      <c r="M6477" s="225">
        <f>ROUND(IF(AND(Base_Periodo1[[#This Row],[Tipo_Linha]]="-",Base_Periodo1[[#This Row],[TIPOSALDO]]="D"),Base_Periodo1[[#This Row],[SALDO_ATUAL]]*-1,Base_Periodo1[[#This Row],[SALDO_ATUAL]]),4)</f>
        <v>14642.61</v>
      </c>
      <c r="N6477" t="s">
        <v>396</v>
      </c>
      <c r="O6477" t="s">
        <v>397</v>
      </c>
      <c r="P6477" t="s">
        <v>397</v>
      </c>
      <c r="Q6477">
        <v>5</v>
      </c>
      <c r="R6477" s="282">
        <f>Base_Periodo1[[#This Row],[CREDITOS]]-Base_Periodo1[[#This Row],[DEBITOS]]</f>
        <v>1930.8400000000001</v>
      </c>
      <c r="S6477" s="3" t="str">
        <f>IF(ISERROR(VLOOKUP(Base_Periodo1[[#This Row],[CONTA]],BaseContasDRE[#All],4,FALSE)),"Fora do DRE",VLOOKUP(Base_Periodo1[[#This Row],[CONTA]],BaseContasDRE[#All],4,FALSE))</f>
        <v>Fora do DRE</v>
      </c>
      <c r="T6477" s="3" t="str">
        <f>IF(ISERROR(VLOOKUP(Base_Periodo1[[#This Row],[CONTA]],BaseContasDRE[#All],5,FALSE)),"Fora do DRE",VLOOKUP(Base_Periodo1[[#This Row],[CONTA]],BaseContasDRE[#All],6,FALSE))</f>
        <v>Fora do DRE</v>
      </c>
      <c r="U6477" s="3" t="str">
        <f>IF(ISERROR(VLOOKUP(Base_Periodo1[[#This Row],[CONTA]],BaseContasDRE[#All],7,FALSE)),"Fora do DRE",VLOOKUP(Base_Periodo1[[#This Row],[CONTA]],BaseContasDRE[#All],7,FALSE))</f>
        <v>Fora do DRE</v>
      </c>
      <c r="V6477" s="3" t="str">
        <f>IF(Base_Periodo1[[#This Row],[Tipo_Linha]]="Fora do DRE","Fora do DRE","( "&amp;Base_Periodo1[[#This Row],[Tipo_Linha]]&amp;" ) "&amp;Base_Periodo1[[#This Row],[Filtro]])</f>
        <v>Fora do DRE</v>
      </c>
      <c r="W6477" s="3" t="str">
        <f>LEFT(Base_Periodo1[[#This Row],[CLASS]],3)</f>
        <v>3.2</v>
      </c>
    </row>
    <row r="6478" spans="1:23" hidden="1">
      <c r="A6478" s="3" t="str">
        <f t="shared" si="101"/>
        <v>Período 1</v>
      </c>
      <c r="B6478">
        <v>6707</v>
      </c>
      <c r="C6478" t="s">
        <v>4084</v>
      </c>
      <c r="D6478" t="s">
        <v>1383</v>
      </c>
      <c r="E6478" s="3" t="str">
        <f>IF(LEN(Base_Periodo1[[#This Row],[CLASS]])&gt;=7,LEFT(Base_Periodo1[[#This Row],[CLASS]],7),"")</f>
        <v>3.2.1.1</v>
      </c>
      <c r="F6478" s="3" t="e">
        <f>VLOOKUP(Base_Periodo1[[#This Row],[Aux]],Base_Contas_Balanco[#All],2,FALSE)</f>
        <v>#N/A</v>
      </c>
      <c r="G6478" s="1"/>
      <c r="H6478" s="225">
        <v>16573.449999999906</v>
      </c>
      <c r="I6478" s="225">
        <v>3433.16</v>
      </c>
      <c r="J6478" s="225">
        <v>5364</v>
      </c>
      <c r="K6478" s="225">
        <v>14642.609999999906</v>
      </c>
      <c r="L64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-14642.61</v>
      </c>
      <c r="M6478" s="225">
        <f>ROUND(IF(AND(Base_Periodo1[[#This Row],[Tipo_Linha]]="-",Base_Periodo1[[#This Row],[TIPOSALDO]]="D"),Base_Periodo1[[#This Row],[SALDO_ATUAL]]*-1,Base_Periodo1[[#This Row],[SALDO_ATUAL]]),4)</f>
        <v>14642.61</v>
      </c>
      <c r="N6478" t="s">
        <v>396</v>
      </c>
      <c r="O6478" t="s">
        <v>397</v>
      </c>
      <c r="P6478" t="s">
        <v>397</v>
      </c>
      <c r="Q6478">
        <v>6</v>
      </c>
      <c r="R6478" s="282">
        <f>Base_Periodo1[[#This Row],[CREDITOS]]-Base_Periodo1[[#This Row],[DEBITOS]]</f>
        <v>1930.8400000000001</v>
      </c>
      <c r="S6478" s="3" t="str">
        <f>IF(ISERROR(VLOOKUP(Base_Periodo1[[#This Row],[CONTA]],BaseContasDRE[#All],4,FALSE)),"Fora do DRE",VLOOKUP(Base_Periodo1[[#This Row],[CONTA]],BaseContasDRE[#All],4,FALSE))</f>
        <v>Fora do DRE</v>
      </c>
      <c r="T6478" s="3" t="str">
        <f>IF(ISERROR(VLOOKUP(Base_Periodo1[[#This Row],[CONTA]],BaseContasDRE[#All],5,FALSE)),"Fora do DRE",VLOOKUP(Base_Periodo1[[#This Row],[CONTA]],BaseContasDRE[#All],6,FALSE))</f>
        <v>Fora do DRE</v>
      </c>
      <c r="U6478" s="3" t="str">
        <f>IF(ISERROR(VLOOKUP(Base_Periodo1[[#This Row],[CONTA]],BaseContasDRE[#All],7,FALSE)),"Fora do DRE",VLOOKUP(Base_Periodo1[[#This Row],[CONTA]],BaseContasDRE[#All],7,FALSE))</f>
        <v>Fora do DRE</v>
      </c>
      <c r="V6478" s="3" t="str">
        <f>IF(Base_Periodo1[[#This Row],[Tipo_Linha]]="Fora do DRE","Fora do DRE","( "&amp;Base_Periodo1[[#This Row],[Tipo_Linha]]&amp;" ) "&amp;Base_Periodo1[[#This Row],[Filtro]])</f>
        <v>Fora do DRE</v>
      </c>
      <c r="W6478" s="3" t="str">
        <f>LEFT(Base_Periodo1[[#This Row],[CLASS]],3)</f>
        <v>3.2</v>
      </c>
    </row>
    <row r="6479" spans="1:23" hidden="1">
      <c r="A6479" s="3" t="str">
        <f t="shared" si="101"/>
        <v>Período 1</v>
      </c>
      <c r="B6479">
        <v>6723</v>
      </c>
      <c r="C6479" t="s">
        <v>4085</v>
      </c>
      <c r="D6479" t="s">
        <v>1389</v>
      </c>
      <c r="E6479" s="3" t="str">
        <f>IF(LEN(Base_Periodo1[[#This Row],[CLASS]])&gt;=7,LEFT(Base_Periodo1[[#This Row],[CLASS]],7),"")</f>
        <v>3.2.1.1</v>
      </c>
      <c r="F6479" s="3" t="e">
        <f>VLOOKUP(Base_Periodo1[[#This Row],[Aux]],Base_Contas_Balanco[#All],2,FALSE)</f>
        <v>#N/A</v>
      </c>
      <c r="G6479" s="1"/>
      <c r="H6479" s="225">
        <v>14.090000000000714</v>
      </c>
      <c r="I6479" s="225">
        <v>0</v>
      </c>
      <c r="J6479" s="225">
        <v>0</v>
      </c>
      <c r="K6479" s="225">
        <v>14.090000000000714</v>
      </c>
      <c r="L64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14.09</v>
      </c>
      <c r="M6479" s="225">
        <f>ROUND(IF(AND(Base_Periodo1[[#This Row],[Tipo_Linha]]="-",Base_Periodo1[[#This Row],[TIPOSALDO]]="D"),Base_Periodo1[[#This Row],[SALDO_ATUAL]]*-1,Base_Periodo1[[#This Row],[SALDO_ATUAL]]),4)</f>
        <v>14.09</v>
      </c>
      <c r="N6479" t="s">
        <v>396</v>
      </c>
      <c r="O6479" t="s">
        <v>459</v>
      </c>
      <c r="P6479" t="s">
        <v>459</v>
      </c>
      <c r="Q6479">
        <v>7</v>
      </c>
      <c r="R6479" s="282">
        <f>Base_Periodo1[[#This Row],[CREDITOS]]-Base_Periodo1[[#This Row],[DEBITOS]]</f>
        <v>0</v>
      </c>
      <c r="S6479" s="3" t="str">
        <f>IF(ISERROR(VLOOKUP(Base_Periodo1[[#This Row],[CONTA]],BaseContasDRE[#All],4,FALSE)),"Fora do DRE",VLOOKUP(Base_Periodo1[[#This Row],[CONTA]],BaseContasDRE[#All],4,FALSE))</f>
        <v>Fora do DRE</v>
      </c>
      <c r="T6479" s="3" t="str">
        <f>IF(ISERROR(VLOOKUP(Base_Periodo1[[#This Row],[CONTA]],BaseContasDRE[#All],5,FALSE)),"Fora do DRE",VLOOKUP(Base_Periodo1[[#This Row],[CONTA]],BaseContasDRE[#All],6,FALSE))</f>
        <v>Fora do DRE</v>
      </c>
      <c r="U6479" s="3" t="str">
        <f>IF(ISERROR(VLOOKUP(Base_Periodo1[[#This Row],[CONTA]],BaseContasDRE[#All],7,FALSE)),"Fora do DRE",VLOOKUP(Base_Periodo1[[#This Row],[CONTA]],BaseContasDRE[#All],7,FALSE))</f>
        <v>Fora do DRE</v>
      </c>
      <c r="V6479" s="3" t="str">
        <f>IF(Base_Periodo1[[#This Row],[Tipo_Linha]]="Fora do DRE","Fora do DRE","( "&amp;Base_Periodo1[[#This Row],[Tipo_Linha]]&amp;" ) "&amp;Base_Periodo1[[#This Row],[Filtro]])</f>
        <v>Fora do DRE</v>
      </c>
      <c r="W6479" s="3" t="str">
        <f>LEFT(Base_Periodo1[[#This Row],[CLASS]],3)</f>
        <v>3.2</v>
      </c>
    </row>
    <row r="6480" spans="1:23" hidden="1">
      <c r="A6480" s="3" t="str">
        <f t="shared" si="101"/>
        <v>Período 1</v>
      </c>
      <c r="B6480">
        <v>6724</v>
      </c>
      <c r="C6480" t="s">
        <v>6071</v>
      </c>
      <c r="D6480" t="s">
        <v>3985</v>
      </c>
      <c r="E6480" s="3" t="str">
        <f>IF(LEN(Base_Periodo1[[#This Row],[CLASS]])&gt;=7,LEFT(Base_Periodo1[[#This Row],[CLASS]],7),"")</f>
        <v>3.2.1.1</v>
      </c>
      <c r="F6480" s="3" t="e">
        <f>VLOOKUP(Base_Periodo1[[#This Row],[Aux]],Base_Contas_Balanco[#All],2,FALSE)</f>
        <v>#N/A</v>
      </c>
      <c r="G6480" s="1"/>
      <c r="H6480" s="225">
        <v>60.000000000000909</v>
      </c>
      <c r="I6480" s="225">
        <v>0</v>
      </c>
      <c r="J6480" s="225">
        <v>0</v>
      </c>
      <c r="K6480" s="225">
        <v>60.000000000000909</v>
      </c>
      <c r="L64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</v>
      </c>
      <c r="M6480" s="225">
        <f>ROUND(IF(AND(Base_Periodo1[[#This Row],[Tipo_Linha]]="-",Base_Periodo1[[#This Row],[TIPOSALDO]]="D"),Base_Periodo1[[#This Row],[SALDO_ATUAL]]*-1,Base_Periodo1[[#This Row],[SALDO_ATUAL]]),4)</f>
        <v>60</v>
      </c>
      <c r="N6480" t="s">
        <v>396</v>
      </c>
      <c r="O6480" t="s">
        <v>459</v>
      </c>
      <c r="P6480" t="s">
        <v>459</v>
      </c>
      <c r="Q6480">
        <v>8</v>
      </c>
      <c r="R6480" s="282">
        <f>Base_Periodo1[[#This Row],[CREDITOS]]-Base_Periodo1[[#This Row],[DEBITOS]]</f>
        <v>0</v>
      </c>
      <c r="S6480" s="3" t="str">
        <f>IF(ISERROR(VLOOKUP(Base_Periodo1[[#This Row],[CONTA]],BaseContasDRE[#All],4,FALSE)),"Fora do DRE",VLOOKUP(Base_Periodo1[[#This Row],[CONTA]],BaseContasDRE[#All],4,FALSE))</f>
        <v>Fora do DRE</v>
      </c>
      <c r="T6480" s="3" t="str">
        <f>IF(ISERROR(VLOOKUP(Base_Periodo1[[#This Row],[CONTA]],BaseContasDRE[#All],5,FALSE)),"Fora do DRE",VLOOKUP(Base_Periodo1[[#This Row],[CONTA]],BaseContasDRE[#All],6,FALSE))</f>
        <v>Fora do DRE</v>
      </c>
      <c r="U6480" s="3" t="str">
        <f>IF(ISERROR(VLOOKUP(Base_Periodo1[[#This Row],[CONTA]],BaseContasDRE[#All],7,FALSE)),"Fora do DRE",VLOOKUP(Base_Periodo1[[#This Row],[CONTA]],BaseContasDRE[#All],7,FALSE))</f>
        <v>Fora do DRE</v>
      </c>
      <c r="V6480" s="3" t="str">
        <f>IF(Base_Periodo1[[#This Row],[Tipo_Linha]]="Fora do DRE","Fora do DRE","( "&amp;Base_Periodo1[[#This Row],[Tipo_Linha]]&amp;" ) "&amp;Base_Periodo1[[#This Row],[Filtro]])</f>
        <v>Fora do DRE</v>
      </c>
      <c r="W6480" s="3" t="str">
        <f>LEFT(Base_Periodo1[[#This Row],[CLASS]],3)</f>
        <v>3.2</v>
      </c>
    </row>
    <row r="6481" spans="1:23" hidden="1">
      <c r="A6481" s="3" t="str">
        <f t="shared" si="101"/>
        <v>Período 1</v>
      </c>
      <c r="B6481">
        <v>6725</v>
      </c>
      <c r="C6481" t="s">
        <v>6072</v>
      </c>
      <c r="D6481" t="s">
        <v>3987</v>
      </c>
      <c r="E6481" s="3" t="str">
        <f>IF(LEN(Base_Periodo1[[#This Row],[CLASS]])&gt;=7,LEFT(Base_Periodo1[[#This Row],[CLASS]],7),"")</f>
        <v>3.2.1.1</v>
      </c>
      <c r="F6481" s="3" t="e">
        <f>VLOOKUP(Base_Periodo1[[#This Row],[Aux]],Base_Contas_Balanco[#All],2,FALSE)</f>
        <v>#N/A</v>
      </c>
      <c r="G6481" s="1">
        <v>42796</v>
      </c>
      <c r="H6481" s="225">
        <v>60.000000000000909</v>
      </c>
      <c r="I6481" s="225">
        <v>0</v>
      </c>
      <c r="J6481" s="225">
        <v>0</v>
      </c>
      <c r="K6481" s="225">
        <v>60.000000000000909</v>
      </c>
      <c r="L648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60</v>
      </c>
      <c r="M6481" s="225">
        <f>ROUND(IF(AND(Base_Periodo1[[#This Row],[Tipo_Linha]]="-",Base_Periodo1[[#This Row],[TIPOSALDO]]="D"),Base_Periodo1[[#This Row],[SALDO_ATUAL]]*-1,Base_Periodo1[[#This Row],[SALDO_ATUAL]]),4)</f>
        <v>60</v>
      </c>
      <c r="N6481" t="s">
        <v>116</v>
      </c>
      <c r="O6481" t="s">
        <v>459</v>
      </c>
      <c r="P6481" t="s">
        <v>459</v>
      </c>
      <c r="Q6481">
        <v>9</v>
      </c>
      <c r="R6481" s="282">
        <f>Base_Periodo1[[#This Row],[CREDITOS]]-Base_Periodo1[[#This Row],[DEBITOS]]</f>
        <v>0</v>
      </c>
      <c r="S6481" s="3" t="str">
        <f>IF(ISERROR(VLOOKUP(Base_Periodo1[[#This Row],[CONTA]],BaseContasDRE[#All],4,FALSE)),"Fora do DRE",VLOOKUP(Base_Periodo1[[#This Row],[CONTA]],BaseContasDRE[#All],4,FALSE))</f>
        <v>+</v>
      </c>
      <c r="T6481" s="3">
        <f>IF(ISERROR(VLOOKUP(Base_Periodo1[[#This Row],[CONTA]],BaseContasDRE[#All],5,FALSE)),"Fora do DRE",VLOOKUP(Base_Periodo1[[#This Row],[CONTA]],BaseContasDRE[#All],6,FALSE))</f>
        <v>1</v>
      </c>
      <c r="U6481" s="3" t="str">
        <f>IF(ISERROR(VLOOKUP(Base_Periodo1[[#This Row],[CONTA]],BaseContasDRE[#All],7,FALSE)),"Fora do DRE",VLOOKUP(Base_Periodo1[[#This Row],[CONTA]],BaseContasDRE[#All],7,FALSE))</f>
        <v>INSUMOS AGROPECUARIOS</v>
      </c>
      <c r="V6481" s="3" t="str">
        <f>IF(Base_Periodo1[[#This Row],[Tipo_Linha]]="Fora do DRE","Fora do DRE","( "&amp;Base_Periodo1[[#This Row],[Tipo_Linha]]&amp;" ) "&amp;Base_Periodo1[[#This Row],[Filtro]])</f>
        <v>( + ) INSUMOS AGROPECUARIOS</v>
      </c>
      <c r="W6481" s="3" t="str">
        <f>LEFT(Base_Periodo1[[#This Row],[CLASS]],3)</f>
        <v>3.2</v>
      </c>
    </row>
    <row r="6482" spans="1:23" hidden="1">
      <c r="A6482" s="3" t="str">
        <f t="shared" si="101"/>
        <v>Período 1</v>
      </c>
      <c r="B6482">
        <v>6728</v>
      </c>
      <c r="C6482" t="s">
        <v>4086</v>
      </c>
      <c r="D6482" t="s">
        <v>3993</v>
      </c>
      <c r="E6482" s="3" t="str">
        <f>IF(LEN(Base_Periodo1[[#This Row],[CLASS]])&gt;=7,LEFT(Base_Periodo1[[#This Row],[CLASS]],7),"")</f>
        <v>3.2.1.1</v>
      </c>
      <c r="F6482" s="3" t="e">
        <f>VLOOKUP(Base_Periodo1[[#This Row],[Aux]],Base_Contas_Balanco[#All],2,FALSE)</f>
        <v>#N/A</v>
      </c>
      <c r="G6482" s="1"/>
      <c r="H6482" s="225">
        <v>16.160000000000196</v>
      </c>
      <c r="I6482" s="225">
        <v>0</v>
      </c>
      <c r="J6482" s="225">
        <v>0</v>
      </c>
      <c r="K6482" s="225">
        <v>16.160000000000196</v>
      </c>
      <c r="L648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-16.16</v>
      </c>
      <c r="M6482" s="225">
        <f>ROUND(IF(AND(Base_Periodo1[[#This Row],[Tipo_Linha]]="-",Base_Periodo1[[#This Row],[TIPOSALDO]]="D"),Base_Periodo1[[#This Row],[SALDO_ATUAL]]*-1,Base_Periodo1[[#This Row],[SALDO_ATUAL]]),4)</f>
        <v>16.16</v>
      </c>
      <c r="N6482" t="s">
        <v>396</v>
      </c>
      <c r="O6482" t="s">
        <v>397</v>
      </c>
      <c r="P6482" t="s">
        <v>397</v>
      </c>
      <c r="Q6482">
        <v>8</v>
      </c>
      <c r="R6482" s="282">
        <f>Base_Periodo1[[#This Row],[CREDITOS]]-Base_Periodo1[[#This Row],[DEBITOS]]</f>
        <v>0</v>
      </c>
      <c r="S6482" s="3" t="str">
        <f>IF(ISERROR(VLOOKUP(Base_Periodo1[[#This Row],[CONTA]],BaseContasDRE[#All],4,FALSE)),"Fora do DRE",VLOOKUP(Base_Periodo1[[#This Row],[CONTA]],BaseContasDRE[#All],4,FALSE))</f>
        <v>Fora do DRE</v>
      </c>
      <c r="T6482" s="3" t="str">
        <f>IF(ISERROR(VLOOKUP(Base_Periodo1[[#This Row],[CONTA]],BaseContasDRE[#All],5,FALSE)),"Fora do DRE",VLOOKUP(Base_Periodo1[[#This Row],[CONTA]],BaseContasDRE[#All],6,FALSE))</f>
        <v>Fora do DRE</v>
      </c>
      <c r="U6482" s="3" t="str">
        <f>IF(ISERROR(VLOOKUP(Base_Periodo1[[#This Row],[CONTA]],BaseContasDRE[#All],7,FALSE)),"Fora do DRE",VLOOKUP(Base_Periodo1[[#This Row],[CONTA]],BaseContasDRE[#All],7,FALSE))</f>
        <v>Fora do DRE</v>
      </c>
      <c r="V6482" s="3" t="str">
        <f>IF(Base_Periodo1[[#This Row],[Tipo_Linha]]="Fora do DRE","Fora do DRE","( "&amp;Base_Periodo1[[#This Row],[Tipo_Linha]]&amp;" ) "&amp;Base_Periodo1[[#This Row],[Filtro]])</f>
        <v>Fora do DRE</v>
      </c>
      <c r="W6482" s="3" t="str">
        <f>LEFT(Base_Periodo1[[#This Row],[CLASS]],3)</f>
        <v>3.2</v>
      </c>
    </row>
    <row r="6483" spans="1:23" hidden="1">
      <c r="A6483" s="3" t="str">
        <f t="shared" si="101"/>
        <v>Período 1</v>
      </c>
      <c r="B6483">
        <v>6729</v>
      </c>
      <c r="C6483" t="s">
        <v>4087</v>
      </c>
      <c r="D6483" t="s">
        <v>3566</v>
      </c>
      <c r="E6483" s="3" t="str">
        <f>IF(LEN(Base_Periodo1[[#This Row],[CLASS]])&gt;=7,LEFT(Base_Periodo1[[#This Row],[CLASS]],7),"")</f>
        <v>3.2.1.1</v>
      </c>
      <c r="F6483" s="3" t="e">
        <f>VLOOKUP(Base_Periodo1[[#This Row],[Aux]],Base_Contas_Balanco[#All],2,FALSE)</f>
        <v>#N/A</v>
      </c>
      <c r="G6483" s="1">
        <v>42796</v>
      </c>
      <c r="H6483" s="225">
        <v>16.160000000000196</v>
      </c>
      <c r="I6483" s="225">
        <v>0</v>
      </c>
      <c r="J6483" s="225">
        <v>0</v>
      </c>
      <c r="K6483" s="225">
        <v>16.160000000000196</v>
      </c>
      <c r="L648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-16.16</v>
      </c>
      <c r="M6483" s="225">
        <f>ROUND(IF(AND(Base_Periodo1[[#This Row],[Tipo_Linha]]="-",Base_Periodo1[[#This Row],[TIPOSALDO]]="D"),Base_Periodo1[[#This Row],[SALDO_ATUAL]]*-1,Base_Periodo1[[#This Row],[SALDO_ATUAL]]),4)</f>
        <v>-16.16</v>
      </c>
      <c r="N6483" t="s">
        <v>116</v>
      </c>
      <c r="O6483" t="s">
        <v>397</v>
      </c>
      <c r="P6483" t="s">
        <v>397</v>
      </c>
      <c r="Q6483">
        <v>9</v>
      </c>
      <c r="R6483" s="282">
        <f>Base_Periodo1[[#This Row],[CREDITOS]]-Base_Periodo1[[#This Row],[DEBITOS]]</f>
        <v>0</v>
      </c>
      <c r="S6483" s="3" t="str">
        <f>IF(ISERROR(VLOOKUP(Base_Periodo1[[#This Row],[CONTA]],BaseContasDRE[#All],4,FALSE)),"Fora do DRE",VLOOKUP(Base_Periodo1[[#This Row],[CONTA]],BaseContasDRE[#All],4,FALSE))</f>
        <v>-</v>
      </c>
      <c r="T6483" s="3">
        <f>IF(ISERROR(VLOOKUP(Base_Periodo1[[#This Row],[CONTA]],BaseContasDRE[#All],5,FALSE)),"Fora do DRE",VLOOKUP(Base_Periodo1[[#This Row],[CONTA]],BaseContasDRE[#All],6,FALSE))</f>
        <v>2</v>
      </c>
      <c r="U6483" s="3" t="str">
        <f>IF(ISERROR(VLOOKUP(Base_Periodo1[[#This Row],[CONTA]],BaseContasDRE[#All],7,FALSE)),"Fora do DRE",VLOOKUP(Base_Periodo1[[#This Row],[CONTA]],BaseContasDRE[#All],7,FALSE))</f>
        <v>ICMS SOBRE INGRESSOS E RECEITAS</v>
      </c>
      <c r="V6483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483" s="3" t="str">
        <f>LEFT(Base_Periodo1[[#This Row],[CLASS]],3)</f>
        <v>3.2</v>
      </c>
    </row>
    <row r="6484" spans="1:23" hidden="1">
      <c r="A6484" s="3" t="str">
        <f t="shared" si="101"/>
        <v>Período 1</v>
      </c>
      <c r="B6484">
        <v>6730</v>
      </c>
      <c r="C6484" t="s">
        <v>5768</v>
      </c>
      <c r="D6484" t="s">
        <v>3995</v>
      </c>
      <c r="E6484" s="3" t="str">
        <f>IF(LEN(Base_Periodo1[[#This Row],[CLASS]])&gt;=7,LEFT(Base_Periodo1[[#This Row],[CLASS]],7),"")</f>
        <v>3.2.1.1</v>
      </c>
      <c r="F6484" s="3" t="e">
        <f>VLOOKUP(Base_Periodo1[[#This Row],[Aux]],Base_Contas_Balanco[#All],2,FALSE)</f>
        <v>#N/A</v>
      </c>
      <c r="G6484" s="1"/>
      <c r="H6484" s="225">
        <v>29.75</v>
      </c>
      <c r="I6484" s="225">
        <v>0</v>
      </c>
      <c r="J6484" s="225">
        <v>0</v>
      </c>
      <c r="K6484" s="225">
        <v>29.75</v>
      </c>
      <c r="L648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-29.75</v>
      </c>
      <c r="M6484" s="225">
        <f>ROUND(IF(AND(Base_Periodo1[[#This Row],[Tipo_Linha]]="-",Base_Periodo1[[#This Row],[TIPOSALDO]]="D"),Base_Periodo1[[#This Row],[SALDO_ATUAL]]*-1,Base_Periodo1[[#This Row],[SALDO_ATUAL]]),4)</f>
        <v>29.75</v>
      </c>
      <c r="N6484" t="s">
        <v>396</v>
      </c>
      <c r="O6484" t="s">
        <v>397</v>
      </c>
      <c r="P6484" t="s">
        <v>397</v>
      </c>
      <c r="Q6484">
        <v>8</v>
      </c>
      <c r="R6484" s="282">
        <f>Base_Periodo1[[#This Row],[CREDITOS]]-Base_Periodo1[[#This Row],[DEBITOS]]</f>
        <v>0</v>
      </c>
      <c r="S6484" s="3" t="str">
        <f>IF(ISERROR(VLOOKUP(Base_Periodo1[[#This Row],[CONTA]],BaseContasDRE[#All],4,FALSE)),"Fora do DRE",VLOOKUP(Base_Periodo1[[#This Row],[CONTA]],BaseContasDRE[#All],4,FALSE))</f>
        <v>Fora do DRE</v>
      </c>
      <c r="T6484" s="3" t="str">
        <f>IF(ISERROR(VLOOKUP(Base_Periodo1[[#This Row],[CONTA]],BaseContasDRE[#All],5,FALSE)),"Fora do DRE",VLOOKUP(Base_Periodo1[[#This Row],[CONTA]],BaseContasDRE[#All],6,FALSE))</f>
        <v>Fora do DRE</v>
      </c>
      <c r="U6484" s="3" t="str">
        <f>IF(ISERROR(VLOOKUP(Base_Periodo1[[#This Row],[CONTA]],BaseContasDRE[#All],7,FALSE)),"Fora do DRE",VLOOKUP(Base_Periodo1[[#This Row],[CONTA]],BaseContasDRE[#All],7,FALSE))</f>
        <v>Fora do DRE</v>
      </c>
      <c r="V6484" s="3" t="str">
        <f>IF(Base_Periodo1[[#This Row],[Tipo_Linha]]="Fora do DRE","Fora do DRE","( "&amp;Base_Periodo1[[#This Row],[Tipo_Linha]]&amp;" ) "&amp;Base_Periodo1[[#This Row],[Filtro]])</f>
        <v>Fora do DRE</v>
      </c>
      <c r="W6484" s="3" t="str">
        <f>LEFT(Base_Periodo1[[#This Row],[CLASS]],3)</f>
        <v>3.2</v>
      </c>
    </row>
    <row r="6485" spans="1:23" hidden="1">
      <c r="A6485" s="3" t="str">
        <f t="shared" si="101"/>
        <v>Período 1</v>
      </c>
      <c r="B6485">
        <v>6731</v>
      </c>
      <c r="C6485" t="s">
        <v>5769</v>
      </c>
      <c r="D6485" t="s">
        <v>3997</v>
      </c>
      <c r="E6485" s="3" t="str">
        <f>IF(LEN(Base_Periodo1[[#This Row],[CLASS]])&gt;=7,LEFT(Base_Periodo1[[#This Row],[CLASS]],7),"")</f>
        <v>3.2.1.1</v>
      </c>
      <c r="F6485" s="3" t="e">
        <f>VLOOKUP(Base_Periodo1[[#This Row],[Aux]],Base_Contas_Balanco[#All],2,FALSE)</f>
        <v>#N/A</v>
      </c>
      <c r="G6485" s="1">
        <v>42754</v>
      </c>
      <c r="H6485" s="225">
        <v>29.75</v>
      </c>
      <c r="I6485" s="225">
        <v>0</v>
      </c>
      <c r="J6485" s="225">
        <v>0</v>
      </c>
      <c r="K6485" s="225">
        <v>29.75</v>
      </c>
      <c r="L648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-29.75</v>
      </c>
      <c r="M6485" s="225">
        <f>ROUND(IF(AND(Base_Periodo1[[#This Row],[Tipo_Linha]]="-",Base_Periodo1[[#This Row],[TIPOSALDO]]="D"),Base_Periodo1[[#This Row],[SALDO_ATUAL]]*-1,Base_Periodo1[[#This Row],[SALDO_ATUAL]]),4)</f>
        <v>-29.75</v>
      </c>
      <c r="N6485" t="s">
        <v>116</v>
      </c>
      <c r="O6485" t="s">
        <v>397</v>
      </c>
      <c r="P6485" t="s">
        <v>397</v>
      </c>
      <c r="Q6485">
        <v>9</v>
      </c>
      <c r="R6485" s="282">
        <f>Base_Periodo1[[#This Row],[CREDITOS]]-Base_Periodo1[[#This Row],[DEBITOS]]</f>
        <v>0</v>
      </c>
      <c r="S6485" s="3" t="str">
        <f>IF(ISERROR(VLOOKUP(Base_Periodo1[[#This Row],[CONTA]],BaseContasDRE[#All],4,FALSE)),"Fora do DRE",VLOOKUP(Base_Periodo1[[#This Row],[CONTA]],BaseContasDRE[#All],4,FALSE))</f>
        <v>-</v>
      </c>
      <c r="T6485" s="3">
        <f>IF(ISERROR(VLOOKUP(Base_Periodo1[[#This Row],[CONTA]],BaseContasDRE[#All],5,FALSE)),"Fora do DRE",VLOOKUP(Base_Periodo1[[#This Row],[CONTA]],BaseContasDRE[#All],6,FALSE))</f>
        <v>3</v>
      </c>
      <c r="U6485" s="3" t="str">
        <f>IF(ISERROR(VLOOKUP(Base_Periodo1[[#This Row],[CONTA]],BaseContasDRE[#All],7,FALSE)),"Fora do DRE",VLOOKUP(Base_Periodo1[[#This Row],[CONTA]],BaseContasDRE[#All],7,FALSE))</f>
        <v>INSUMOS AGROPECUARIOS</v>
      </c>
      <c r="V6485" s="3" t="str">
        <f>IF(Base_Periodo1[[#This Row],[Tipo_Linha]]="Fora do DRE","Fora do DRE","( "&amp;Base_Periodo1[[#This Row],[Tipo_Linha]]&amp;" ) "&amp;Base_Periodo1[[#This Row],[Filtro]])</f>
        <v>( - ) INSUMOS AGROPECUARIOS</v>
      </c>
      <c r="W6485" s="3" t="str">
        <f>LEFT(Base_Periodo1[[#This Row],[CLASS]],3)</f>
        <v>3.2</v>
      </c>
    </row>
    <row r="6486" spans="1:23" hidden="1">
      <c r="A6486" s="3" t="str">
        <f t="shared" si="101"/>
        <v>Período 1</v>
      </c>
      <c r="B6486">
        <v>6732</v>
      </c>
      <c r="C6486" t="s">
        <v>6073</v>
      </c>
      <c r="D6486" t="s">
        <v>1399</v>
      </c>
      <c r="E6486" s="3" t="str">
        <f>IF(LEN(Base_Periodo1[[#This Row],[CLASS]])&gt;=7,LEFT(Base_Periodo1[[#This Row],[CLASS]],7),"")</f>
        <v>3.2.1.1</v>
      </c>
      <c r="F6486" s="3" t="e">
        <f>VLOOKUP(Base_Periodo1[[#This Row],[Aux]],Base_Contas_Balanco[#All],2,FALSE)</f>
        <v>#N/A</v>
      </c>
      <c r="G6486" s="1"/>
      <c r="H6486" s="225">
        <v>48.420000000007349</v>
      </c>
      <c r="I6486" s="225">
        <v>0</v>
      </c>
      <c r="J6486" s="225">
        <v>0</v>
      </c>
      <c r="K6486" s="225">
        <v>48.420000000007349</v>
      </c>
      <c r="L648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-48.42</v>
      </c>
      <c r="M6486" s="225">
        <f>ROUND(IF(AND(Base_Periodo1[[#This Row],[Tipo_Linha]]="-",Base_Periodo1[[#This Row],[TIPOSALDO]]="D"),Base_Periodo1[[#This Row],[SALDO_ATUAL]]*-1,Base_Periodo1[[#This Row],[SALDO_ATUAL]]),4)</f>
        <v>48.42</v>
      </c>
      <c r="N6486" t="s">
        <v>396</v>
      </c>
      <c r="O6486" t="s">
        <v>397</v>
      </c>
      <c r="P6486" t="s">
        <v>397</v>
      </c>
      <c r="Q6486">
        <v>7</v>
      </c>
      <c r="R6486" s="282">
        <f>Base_Periodo1[[#This Row],[CREDITOS]]-Base_Periodo1[[#This Row],[DEBITOS]]</f>
        <v>0</v>
      </c>
      <c r="S6486" s="3" t="str">
        <f>IF(ISERROR(VLOOKUP(Base_Periodo1[[#This Row],[CONTA]],BaseContasDRE[#All],4,FALSE)),"Fora do DRE",VLOOKUP(Base_Periodo1[[#This Row],[CONTA]],BaseContasDRE[#All],4,FALSE))</f>
        <v>Fora do DRE</v>
      </c>
      <c r="T6486" s="3" t="str">
        <f>IF(ISERROR(VLOOKUP(Base_Periodo1[[#This Row],[CONTA]],BaseContasDRE[#All],5,FALSE)),"Fora do DRE",VLOOKUP(Base_Periodo1[[#This Row],[CONTA]],BaseContasDRE[#All],6,FALSE))</f>
        <v>Fora do DRE</v>
      </c>
      <c r="U6486" s="3" t="str">
        <f>IF(ISERROR(VLOOKUP(Base_Periodo1[[#This Row],[CONTA]],BaseContasDRE[#All],7,FALSE)),"Fora do DRE",VLOOKUP(Base_Periodo1[[#This Row],[CONTA]],BaseContasDRE[#All],7,FALSE))</f>
        <v>Fora do DRE</v>
      </c>
      <c r="V6486" s="3" t="str">
        <f>IF(Base_Periodo1[[#This Row],[Tipo_Linha]]="Fora do DRE","Fora do DRE","( "&amp;Base_Periodo1[[#This Row],[Tipo_Linha]]&amp;" ) "&amp;Base_Periodo1[[#This Row],[Filtro]])</f>
        <v>Fora do DRE</v>
      </c>
      <c r="W6486" s="3" t="str">
        <f>LEFT(Base_Periodo1[[#This Row],[CLASS]],3)</f>
        <v>3.2</v>
      </c>
    </row>
    <row r="6487" spans="1:23" hidden="1">
      <c r="A6487" s="3" t="str">
        <f t="shared" si="101"/>
        <v>Período 1</v>
      </c>
      <c r="B6487">
        <v>6737</v>
      </c>
      <c r="C6487" t="s">
        <v>6074</v>
      </c>
      <c r="D6487" t="s">
        <v>3995</v>
      </c>
      <c r="E6487" s="3" t="str">
        <f>IF(LEN(Base_Periodo1[[#This Row],[CLASS]])&gt;=7,LEFT(Base_Periodo1[[#This Row],[CLASS]],7),"")</f>
        <v>3.2.1.1</v>
      </c>
      <c r="F6487" s="3" t="e">
        <f>VLOOKUP(Base_Periodo1[[#This Row],[Aux]],Base_Contas_Balanco[#All],2,FALSE)</f>
        <v>#N/A</v>
      </c>
      <c r="G6487" s="1"/>
      <c r="H6487" s="225">
        <v>48.420000000009168</v>
      </c>
      <c r="I6487" s="225">
        <v>0</v>
      </c>
      <c r="J6487" s="225">
        <v>0</v>
      </c>
      <c r="K6487" s="225">
        <v>48.420000000009168</v>
      </c>
      <c r="L648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-48.42</v>
      </c>
      <c r="M6487" s="225">
        <f>ROUND(IF(AND(Base_Periodo1[[#This Row],[Tipo_Linha]]="-",Base_Periodo1[[#This Row],[TIPOSALDO]]="D"),Base_Periodo1[[#This Row],[SALDO_ATUAL]]*-1,Base_Periodo1[[#This Row],[SALDO_ATUAL]]),4)</f>
        <v>48.42</v>
      </c>
      <c r="N6487" t="s">
        <v>396</v>
      </c>
      <c r="O6487" t="s">
        <v>397</v>
      </c>
      <c r="P6487" t="s">
        <v>397</v>
      </c>
      <c r="Q6487">
        <v>8</v>
      </c>
      <c r="R6487" s="282">
        <f>Base_Periodo1[[#This Row],[CREDITOS]]-Base_Periodo1[[#This Row],[DEBITOS]]</f>
        <v>0</v>
      </c>
      <c r="S6487" s="3" t="str">
        <f>IF(ISERROR(VLOOKUP(Base_Periodo1[[#This Row],[CONTA]],BaseContasDRE[#All],4,FALSE)),"Fora do DRE",VLOOKUP(Base_Periodo1[[#This Row],[CONTA]],BaseContasDRE[#All],4,FALSE))</f>
        <v>Fora do DRE</v>
      </c>
      <c r="T6487" s="3" t="str">
        <f>IF(ISERROR(VLOOKUP(Base_Periodo1[[#This Row],[CONTA]],BaseContasDRE[#All],5,FALSE)),"Fora do DRE",VLOOKUP(Base_Periodo1[[#This Row],[CONTA]],BaseContasDRE[#All],6,FALSE))</f>
        <v>Fora do DRE</v>
      </c>
      <c r="U6487" s="3" t="str">
        <f>IF(ISERROR(VLOOKUP(Base_Periodo1[[#This Row],[CONTA]],BaseContasDRE[#All],7,FALSE)),"Fora do DRE",VLOOKUP(Base_Periodo1[[#This Row],[CONTA]],BaseContasDRE[#All],7,FALSE))</f>
        <v>Fora do DRE</v>
      </c>
      <c r="V6487" s="3" t="str">
        <f>IF(Base_Periodo1[[#This Row],[Tipo_Linha]]="Fora do DRE","Fora do DRE","( "&amp;Base_Periodo1[[#This Row],[Tipo_Linha]]&amp;" ) "&amp;Base_Periodo1[[#This Row],[Filtro]])</f>
        <v>Fora do DRE</v>
      </c>
      <c r="W6487" s="3" t="str">
        <f>LEFT(Base_Periodo1[[#This Row],[CLASS]],3)</f>
        <v>3.2</v>
      </c>
    </row>
    <row r="6488" spans="1:23" hidden="1">
      <c r="A6488" s="3" t="str">
        <f t="shared" si="101"/>
        <v>Período 1</v>
      </c>
      <c r="B6488">
        <v>6738</v>
      </c>
      <c r="C6488" t="s">
        <v>6075</v>
      </c>
      <c r="D6488" t="s">
        <v>3997</v>
      </c>
      <c r="E6488" s="3" t="str">
        <f>IF(LEN(Base_Periodo1[[#This Row],[CLASS]])&gt;=7,LEFT(Base_Periodo1[[#This Row],[CLASS]],7),"")</f>
        <v>3.2.1.1</v>
      </c>
      <c r="F6488" s="3" t="e">
        <f>VLOOKUP(Base_Periodo1[[#This Row],[Aux]],Base_Contas_Balanco[#All],2,FALSE)</f>
        <v>#N/A</v>
      </c>
      <c r="G6488" s="1">
        <v>42886</v>
      </c>
      <c r="H6488" s="225">
        <v>48.420000000009168</v>
      </c>
      <c r="I6488" s="225">
        <v>0</v>
      </c>
      <c r="J6488" s="225">
        <v>0</v>
      </c>
      <c r="K6488" s="225">
        <v>48.420000000009168</v>
      </c>
      <c r="L648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-48.42</v>
      </c>
      <c r="M6488" s="225">
        <f>ROUND(IF(AND(Base_Periodo1[[#This Row],[Tipo_Linha]]="-",Base_Periodo1[[#This Row],[TIPOSALDO]]="D"),Base_Periodo1[[#This Row],[SALDO_ATUAL]]*-1,Base_Periodo1[[#This Row],[SALDO_ATUAL]]),4)</f>
        <v>-48.42</v>
      </c>
      <c r="N6488" t="s">
        <v>116</v>
      </c>
      <c r="O6488" t="s">
        <v>397</v>
      </c>
      <c r="P6488" t="s">
        <v>397</v>
      </c>
      <c r="Q6488">
        <v>9</v>
      </c>
      <c r="R6488" s="282">
        <f>Base_Periodo1[[#This Row],[CREDITOS]]-Base_Periodo1[[#This Row],[DEBITOS]]</f>
        <v>0</v>
      </c>
      <c r="S6488" s="3" t="str">
        <f>IF(ISERROR(VLOOKUP(Base_Periodo1[[#This Row],[CONTA]],BaseContasDRE[#All],4,FALSE)),"Fora do DRE",VLOOKUP(Base_Periodo1[[#This Row],[CONTA]],BaseContasDRE[#All],4,FALSE))</f>
        <v>-</v>
      </c>
      <c r="T6488" s="3">
        <f>IF(ISERROR(VLOOKUP(Base_Periodo1[[#This Row],[CONTA]],BaseContasDRE[#All],5,FALSE)),"Fora do DRE",VLOOKUP(Base_Periodo1[[#This Row],[CONTA]],BaseContasDRE[#All],6,FALSE))</f>
        <v>3</v>
      </c>
      <c r="U6488" s="3" t="str">
        <f>IF(ISERROR(VLOOKUP(Base_Periodo1[[#This Row],[CONTA]],BaseContasDRE[#All],7,FALSE)),"Fora do DRE",VLOOKUP(Base_Periodo1[[#This Row],[CONTA]],BaseContasDRE[#All],7,FALSE))</f>
        <v>INSUMOS AGROPECUARIOS</v>
      </c>
      <c r="V6488" s="3" t="str">
        <f>IF(Base_Periodo1[[#This Row],[Tipo_Linha]]="Fora do DRE","Fora do DRE","( "&amp;Base_Periodo1[[#This Row],[Tipo_Linha]]&amp;" ) "&amp;Base_Periodo1[[#This Row],[Filtro]])</f>
        <v>( - ) INSUMOS AGROPECUARIOS</v>
      </c>
      <c r="W6488" s="3" t="str">
        <f>LEFT(Base_Periodo1[[#This Row],[CLASS]],3)</f>
        <v>3.2</v>
      </c>
    </row>
    <row r="6489" spans="1:23" hidden="1">
      <c r="A6489" s="3" t="str">
        <f t="shared" si="101"/>
        <v>Período 1</v>
      </c>
      <c r="B6489">
        <v>6739</v>
      </c>
      <c r="C6489" t="s">
        <v>4088</v>
      </c>
      <c r="D6489" t="s">
        <v>4089</v>
      </c>
      <c r="E6489" s="3" t="str">
        <f>IF(LEN(Base_Periodo1[[#This Row],[CLASS]])&gt;=7,LEFT(Base_Periodo1[[#This Row],[CLASS]],7),"")</f>
        <v>3.2.1.1</v>
      </c>
      <c r="F6489" s="3" t="e">
        <f>VLOOKUP(Base_Periodo1[[#This Row],[Aux]],Base_Contas_Balanco[#All],2,FALSE)</f>
        <v>#N/A</v>
      </c>
      <c r="G6489" s="1"/>
      <c r="H6489" s="225">
        <v>16521.459999999963</v>
      </c>
      <c r="I6489" s="225">
        <v>450.03</v>
      </c>
      <c r="J6489" s="225">
        <v>0</v>
      </c>
      <c r="K6489" s="225">
        <v>16971.489999999962</v>
      </c>
      <c r="L648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-16971.490000000002</v>
      </c>
      <c r="M6489" s="225">
        <f>ROUND(IF(AND(Base_Periodo1[[#This Row],[Tipo_Linha]]="-",Base_Periodo1[[#This Row],[TIPOSALDO]]="D"),Base_Periodo1[[#This Row],[SALDO_ATUAL]]*-1,Base_Periodo1[[#This Row],[SALDO_ATUAL]]),4)</f>
        <v>16971.490000000002</v>
      </c>
      <c r="N6489" t="s">
        <v>396</v>
      </c>
      <c r="O6489" t="s">
        <v>397</v>
      </c>
      <c r="P6489" t="s">
        <v>397</v>
      </c>
      <c r="Q6489">
        <v>7</v>
      </c>
      <c r="R6489" s="282">
        <f>Base_Periodo1[[#This Row],[CREDITOS]]-Base_Periodo1[[#This Row],[DEBITOS]]</f>
        <v>-450.03</v>
      </c>
      <c r="S6489" s="3" t="str">
        <f>IF(ISERROR(VLOOKUP(Base_Periodo1[[#This Row],[CONTA]],BaseContasDRE[#All],4,FALSE)),"Fora do DRE",VLOOKUP(Base_Periodo1[[#This Row],[CONTA]],BaseContasDRE[#All],4,FALSE))</f>
        <v>Fora do DRE</v>
      </c>
      <c r="T6489" s="3" t="str">
        <f>IF(ISERROR(VLOOKUP(Base_Periodo1[[#This Row],[CONTA]],BaseContasDRE[#All],5,FALSE)),"Fora do DRE",VLOOKUP(Base_Periodo1[[#This Row],[CONTA]],BaseContasDRE[#All],6,FALSE))</f>
        <v>Fora do DRE</v>
      </c>
      <c r="U6489" s="3" t="str">
        <f>IF(ISERROR(VLOOKUP(Base_Periodo1[[#This Row],[CONTA]],BaseContasDRE[#All],7,FALSE)),"Fora do DRE",VLOOKUP(Base_Periodo1[[#This Row],[CONTA]],BaseContasDRE[#All],7,FALSE))</f>
        <v>Fora do DRE</v>
      </c>
      <c r="V6489" s="3" t="str">
        <f>IF(Base_Periodo1[[#This Row],[Tipo_Linha]]="Fora do DRE","Fora do DRE","( "&amp;Base_Periodo1[[#This Row],[Tipo_Linha]]&amp;" ) "&amp;Base_Periodo1[[#This Row],[Filtro]])</f>
        <v>Fora do DRE</v>
      </c>
      <c r="W6489" s="3" t="str">
        <f>LEFT(Base_Periodo1[[#This Row],[CLASS]],3)</f>
        <v>3.2</v>
      </c>
    </row>
    <row r="6490" spans="1:23" hidden="1">
      <c r="A6490" s="3" t="str">
        <f t="shared" si="101"/>
        <v>Período 1</v>
      </c>
      <c r="B6490">
        <v>6746</v>
      </c>
      <c r="C6490" t="s">
        <v>4090</v>
      </c>
      <c r="D6490" t="s">
        <v>3995</v>
      </c>
      <c r="E6490" s="3" t="str">
        <f>IF(LEN(Base_Periodo1[[#This Row],[CLASS]])&gt;=7,LEFT(Base_Periodo1[[#This Row],[CLASS]],7),"")</f>
        <v>3.2.1.1</v>
      </c>
      <c r="F6490" s="3" t="e">
        <f>VLOOKUP(Base_Periodo1[[#This Row],[Aux]],Base_Contas_Balanco[#All],2,FALSE)</f>
        <v>#N/A</v>
      </c>
      <c r="G6490" s="1"/>
      <c r="H6490" s="225">
        <v>16521.459999999963</v>
      </c>
      <c r="I6490" s="225">
        <v>450.03</v>
      </c>
      <c r="J6490" s="225">
        <v>0</v>
      </c>
      <c r="K6490" s="225">
        <v>16971.489999999962</v>
      </c>
      <c r="L649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-16971.490000000002</v>
      </c>
      <c r="M6490" s="225">
        <f>ROUND(IF(AND(Base_Periodo1[[#This Row],[Tipo_Linha]]="-",Base_Periodo1[[#This Row],[TIPOSALDO]]="D"),Base_Periodo1[[#This Row],[SALDO_ATUAL]]*-1,Base_Periodo1[[#This Row],[SALDO_ATUAL]]),4)</f>
        <v>16971.490000000002</v>
      </c>
      <c r="N6490" t="s">
        <v>396</v>
      </c>
      <c r="O6490" t="s">
        <v>397</v>
      </c>
      <c r="P6490" t="s">
        <v>397</v>
      </c>
      <c r="Q6490">
        <v>8</v>
      </c>
      <c r="R6490" s="282">
        <f>Base_Periodo1[[#This Row],[CREDITOS]]-Base_Periodo1[[#This Row],[DEBITOS]]</f>
        <v>-450.03</v>
      </c>
      <c r="S6490" s="3" t="str">
        <f>IF(ISERROR(VLOOKUP(Base_Periodo1[[#This Row],[CONTA]],BaseContasDRE[#All],4,FALSE)),"Fora do DRE",VLOOKUP(Base_Periodo1[[#This Row],[CONTA]],BaseContasDRE[#All],4,FALSE))</f>
        <v>Fora do DRE</v>
      </c>
      <c r="T6490" s="3" t="str">
        <f>IF(ISERROR(VLOOKUP(Base_Periodo1[[#This Row],[CONTA]],BaseContasDRE[#All],5,FALSE)),"Fora do DRE",VLOOKUP(Base_Periodo1[[#This Row],[CONTA]],BaseContasDRE[#All],6,FALSE))</f>
        <v>Fora do DRE</v>
      </c>
      <c r="U6490" s="3" t="str">
        <f>IF(ISERROR(VLOOKUP(Base_Periodo1[[#This Row],[CONTA]],BaseContasDRE[#All],7,FALSE)),"Fora do DRE",VLOOKUP(Base_Periodo1[[#This Row],[CONTA]],BaseContasDRE[#All],7,FALSE))</f>
        <v>Fora do DRE</v>
      </c>
      <c r="V6490" s="3" t="str">
        <f>IF(Base_Periodo1[[#This Row],[Tipo_Linha]]="Fora do DRE","Fora do DRE","( "&amp;Base_Periodo1[[#This Row],[Tipo_Linha]]&amp;" ) "&amp;Base_Periodo1[[#This Row],[Filtro]])</f>
        <v>Fora do DRE</v>
      </c>
      <c r="W6490" s="3" t="str">
        <f>LEFT(Base_Periodo1[[#This Row],[CLASS]],3)</f>
        <v>3.2</v>
      </c>
    </row>
    <row r="6491" spans="1:23" hidden="1">
      <c r="A6491" s="3" t="str">
        <f t="shared" si="101"/>
        <v>Período 1</v>
      </c>
      <c r="B6491">
        <v>6747</v>
      </c>
      <c r="C6491" t="s">
        <v>4091</v>
      </c>
      <c r="D6491" t="s">
        <v>3997</v>
      </c>
      <c r="E6491" s="3" t="str">
        <f>IF(LEN(Base_Periodo1[[#This Row],[CLASS]])&gt;=7,LEFT(Base_Periodo1[[#This Row],[CLASS]],7),"")</f>
        <v>3.2.1.1</v>
      </c>
      <c r="F6491" s="3" t="e">
        <f>VLOOKUP(Base_Periodo1[[#This Row],[Aux]],Base_Contas_Balanco[#All],2,FALSE)</f>
        <v>#N/A</v>
      </c>
      <c r="G6491" s="1">
        <v>42886</v>
      </c>
      <c r="H6491" s="225">
        <v>16521.459999999963</v>
      </c>
      <c r="I6491" s="225">
        <v>450.03</v>
      </c>
      <c r="J6491" s="225">
        <v>0</v>
      </c>
      <c r="K6491" s="225">
        <v>16971.489999999962</v>
      </c>
      <c r="L649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-16971.490000000002</v>
      </c>
      <c r="M6491" s="225">
        <f>ROUND(IF(AND(Base_Periodo1[[#This Row],[Tipo_Linha]]="-",Base_Periodo1[[#This Row],[TIPOSALDO]]="D"),Base_Periodo1[[#This Row],[SALDO_ATUAL]]*-1,Base_Periodo1[[#This Row],[SALDO_ATUAL]]),4)</f>
        <v>-16971.490000000002</v>
      </c>
      <c r="N6491" t="s">
        <v>116</v>
      </c>
      <c r="O6491" t="s">
        <v>397</v>
      </c>
      <c r="P6491" t="s">
        <v>397</v>
      </c>
      <c r="Q6491">
        <v>9</v>
      </c>
      <c r="R6491" s="282">
        <f>Base_Periodo1[[#This Row],[CREDITOS]]-Base_Periodo1[[#This Row],[DEBITOS]]</f>
        <v>-450.03</v>
      </c>
      <c r="S6491" s="3" t="str">
        <f>IF(ISERROR(VLOOKUP(Base_Periodo1[[#This Row],[CONTA]],BaseContasDRE[#All],4,FALSE)),"Fora do DRE",VLOOKUP(Base_Periodo1[[#This Row],[CONTA]],BaseContasDRE[#All],4,FALSE))</f>
        <v>-</v>
      </c>
      <c r="T6491" s="3">
        <f>IF(ISERROR(VLOOKUP(Base_Periodo1[[#This Row],[CONTA]],BaseContasDRE[#All],5,FALSE)),"Fora do DRE",VLOOKUP(Base_Periodo1[[#This Row],[CONTA]],BaseContasDRE[#All],6,FALSE))</f>
        <v>3</v>
      </c>
      <c r="U6491" s="3" t="str">
        <f>IF(ISERROR(VLOOKUP(Base_Periodo1[[#This Row],[CONTA]],BaseContasDRE[#All],7,FALSE)),"Fora do DRE",VLOOKUP(Base_Periodo1[[#This Row],[CONTA]],BaseContasDRE[#All],7,FALSE))</f>
        <v>INSUMOS AGROPECUARIOS</v>
      </c>
      <c r="V6491" s="3" t="str">
        <f>IF(Base_Periodo1[[#This Row],[Tipo_Linha]]="Fora do DRE","Fora do DRE","( "&amp;Base_Periodo1[[#This Row],[Tipo_Linha]]&amp;" ) "&amp;Base_Periodo1[[#This Row],[Filtro]])</f>
        <v>( - ) INSUMOS AGROPECUARIOS</v>
      </c>
      <c r="W6491" s="3" t="str">
        <f>LEFT(Base_Periodo1[[#This Row],[CLASS]],3)</f>
        <v>3.2</v>
      </c>
    </row>
    <row r="6492" spans="1:23" hidden="1">
      <c r="A6492" s="3" t="str">
        <f t="shared" si="101"/>
        <v>Período 1</v>
      </c>
      <c r="B6492">
        <v>6748</v>
      </c>
      <c r="C6492" t="s">
        <v>7204</v>
      </c>
      <c r="D6492" t="s">
        <v>1411</v>
      </c>
      <c r="E6492" s="3" t="str">
        <f>IF(LEN(Base_Periodo1[[#This Row],[CLASS]])&gt;=7,LEFT(Base_Periodo1[[#This Row],[CLASS]],7),"")</f>
        <v>3.2.1.1</v>
      </c>
      <c r="F6492" s="3" t="e">
        <f>VLOOKUP(Base_Periodo1[[#This Row],[Aux]],Base_Contas_Balanco[#All],2,FALSE)</f>
        <v>#N/A</v>
      </c>
      <c r="G6492" s="1"/>
      <c r="I6492" s="225">
        <v>322.79000000000002</v>
      </c>
      <c r="J6492" s="225">
        <v>354</v>
      </c>
      <c r="K6492" s="225">
        <v>31.210000000003618</v>
      </c>
      <c r="L649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31.21</v>
      </c>
      <c r="M6492" s="225">
        <f>ROUND(IF(AND(Base_Periodo1[[#This Row],[Tipo_Linha]]="-",Base_Periodo1[[#This Row],[TIPOSALDO]]="D"),Base_Periodo1[[#This Row],[SALDO_ATUAL]]*-1,Base_Periodo1[[#This Row],[SALDO_ATUAL]]),4)</f>
        <v>31.21</v>
      </c>
      <c r="N6492" t="s">
        <v>396</v>
      </c>
      <c r="O6492" t="s">
        <v>436</v>
      </c>
      <c r="P6492" t="s">
        <v>459</v>
      </c>
      <c r="Q6492">
        <v>7</v>
      </c>
      <c r="R6492" s="282">
        <f>Base_Periodo1[[#This Row],[CREDITOS]]-Base_Periodo1[[#This Row],[DEBITOS]]</f>
        <v>31.20999999999998</v>
      </c>
      <c r="S6492" s="3" t="str">
        <f>IF(ISERROR(VLOOKUP(Base_Periodo1[[#This Row],[CONTA]],BaseContasDRE[#All],4,FALSE)),"Fora do DRE",VLOOKUP(Base_Periodo1[[#This Row],[CONTA]],BaseContasDRE[#All],4,FALSE))</f>
        <v>Fora do DRE</v>
      </c>
      <c r="T6492" s="3" t="str">
        <f>IF(ISERROR(VLOOKUP(Base_Periodo1[[#This Row],[CONTA]],BaseContasDRE[#All],5,FALSE)),"Fora do DRE",VLOOKUP(Base_Periodo1[[#This Row],[CONTA]],BaseContasDRE[#All],6,FALSE))</f>
        <v>Fora do DRE</v>
      </c>
      <c r="U6492" s="3" t="str">
        <f>IF(ISERROR(VLOOKUP(Base_Periodo1[[#This Row],[CONTA]],BaseContasDRE[#All],7,FALSE)),"Fora do DRE",VLOOKUP(Base_Periodo1[[#This Row],[CONTA]],BaseContasDRE[#All],7,FALSE))</f>
        <v>Fora do DRE</v>
      </c>
      <c r="V6492" s="3" t="str">
        <f>IF(Base_Periodo1[[#This Row],[Tipo_Linha]]="Fora do DRE","Fora do DRE","( "&amp;Base_Periodo1[[#This Row],[Tipo_Linha]]&amp;" ) "&amp;Base_Periodo1[[#This Row],[Filtro]])</f>
        <v>Fora do DRE</v>
      </c>
      <c r="W6492" s="3" t="str">
        <f>LEFT(Base_Periodo1[[#This Row],[CLASS]],3)</f>
        <v>3.2</v>
      </c>
    </row>
    <row r="6493" spans="1:23" hidden="1">
      <c r="A6493" s="3" t="str">
        <f t="shared" si="101"/>
        <v>Período 1</v>
      </c>
      <c r="B6493">
        <v>9318</v>
      </c>
      <c r="C6493" t="s">
        <v>7205</v>
      </c>
      <c r="D6493" t="s">
        <v>4001</v>
      </c>
      <c r="E6493" s="3" t="str">
        <f>IF(LEN(Base_Periodo1[[#This Row],[CLASS]])&gt;=7,LEFT(Base_Periodo1[[#This Row],[CLASS]],7),"")</f>
        <v>3.2.1.1</v>
      </c>
      <c r="F6493" s="3" t="e">
        <f>VLOOKUP(Base_Periodo1[[#This Row],[Aux]],Base_Contas_Balanco[#All],2,FALSE)</f>
        <v>#N/A</v>
      </c>
      <c r="G6493" s="1"/>
      <c r="I6493" s="225">
        <v>0</v>
      </c>
      <c r="J6493" s="225">
        <v>354</v>
      </c>
      <c r="K6493" s="225">
        <v>354</v>
      </c>
      <c r="L649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354</v>
      </c>
      <c r="M6493" s="225">
        <f>ROUND(IF(AND(Base_Periodo1[[#This Row],[Tipo_Linha]]="-",Base_Periodo1[[#This Row],[TIPOSALDO]]="D"),Base_Periodo1[[#This Row],[SALDO_ATUAL]]*-1,Base_Periodo1[[#This Row],[SALDO_ATUAL]]),4)</f>
        <v>354</v>
      </c>
      <c r="N6493" t="s">
        <v>396</v>
      </c>
      <c r="O6493" t="s">
        <v>436</v>
      </c>
      <c r="P6493" t="s">
        <v>459</v>
      </c>
      <c r="Q6493">
        <v>8</v>
      </c>
      <c r="R6493" s="282">
        <f>Base_Periodo1[[#This Row],[CREDITOS]]-Base_Periodo1[[#This Row],[DEBITOS]]</f>
        <v>354</v>
      </c>
      <c r="S6493" s="3" t="str">
        <f>IF(ISERROR(VLOOKUP(Base_Periodo1[[#This Row],[CONTA]],BaseContasDRE[#All],4,FALSE)),"Fora do DRE",VLOOKUP(Base_Periodo1[[#This Row],[CONTA]],BaseContasDRE[#All],4,FALSE))</f>
        <v>Fora do DRE</v>
      </c>
      <c r="T6493" s="3" t="str">
        <f>IF(ISERROR(VLOOKUP(Base_Periodo1[[#This Row],[CONTA]],BaseContasDRE[#All],5,FALSE)),"Fora do DRE",VLOOKUP(Base_Periodo1[[#This Row],[CONTA]],BaseContasDRE[#All],6,FALSE))</f>
        <v>Fora do DRE</v>
      </c>
      <c r="U6493" s="3" t="str">
        <f>IF(ISERROR(VLOOKUP(Base_Periodo1[[#This Row],[CONTA]],BaseContasDRE[#All],7,FALSE)),"Fora do DRE",VLOOKUP(Base_Periodo1[[#This Row],[CONTA]],BaseContasDRE[#All],7,FALSE))</f>
        <v>Fora do DRE</v>
      </c>
      <c r="V6493" s="3" t="str">
        <f>IF(Base_Periodo1[[#This Row],[Tipo_Linha]]="Fora do DRE","Fora do DRE","( "&amp;Base_Periodo1[[#This Row],[Tipo_Linha]]&amp;" ) "&amp;Base_Periodo1[[#This Row],[Filtro]])</f>
        <v>Fora do DRE</v>
      </c>
      <c r="W6493" s="3" t="str">
        <f>LEFT(Base_Periodo1[[#This Row],[CLASS]],3)</f>
        <v>3.2</v>
      </c>
    </row>
    <row r="6494" spans="1:23" hidden="1">
      <c r="A6494" s="3" t="str">
        <f t="shared" si="101"/>
        <v>Período 1</v>
      </c>
      <c r="B6494">
        <v>9319</v>
      </c>
      <c r="C6494" t="s">
        <v>7206</v>
      </c>
      <c r="D6494" t="s">
        <v>4001</v>
      </c>
      <c r="E6494" s="3" t="str">
        <f>IF(LEN(Base_Periodo1[[#This Row],[CLASS]])&gt;=7,LEFT(Base_Periodo1[[#This Row],[CLASS]],7),"")</f>
        <v>3.2.1.1</v>
      </c>
      <c r="F6494" s="3" t="e">
        <f>VLOOKUP(Base_Periodo1[[#This Row],[Aux]],Base_Contas_Balanco[#All],2,FALSE)</f>
        <v>#N/A</v>
      </c>
      <c r="G6494" s="1">
        <v>42870</v>
      </c>
      <c r="I6494" s="225">
        <v>0</v>
      </c>
      <c r="J6494" s="225">
        <v>354</v>
      </c>
      <c r="K6494" s="225">
        <v>354</v>
      </c>
      <c r="L649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354</v>
      </c>
      <c r="M6494" s="225">
        <f>ROUND(IF(AND(Base_Periodo1[[#This Row],[Tipo_Linha]]="-",Base_Periodo1[[#This Row],[TIPOSALDO]]="D"),Base_Periodo1[[#This Row],[SALDO_ATUAL]]*-1,Base_Periodo1[[#This Row],[SALDO_ATUAL]]),4)</f>
        <v>354</v>
      </c>
      <c r="N6494" t="s">
        <v>116</v>
      </c>
      <c r="O6494" t="s">
        <v>436</v>
      </c>
      <c r="P6494" t="s">
        <v>459</v>
      </c>
      <c r="Q6494">
        <v>9</v>
      </c>
      <c r="R6494" s="282">
        <f>Base_Periodo1[[#This Row],[CREDITOS]]-Base_Periodo1[[#This Row],[DEBITOS]]</f>
        <v>354</v>
      </c>
      <c r="S6494" s="3" t="str">
        <f>IF(ISERROR(VLOOKUP(Base_Periodo1[[#This Row],[CONTA]],BaseContasDRE[#All],4,FALSE)),"Fora do DRE",VLOOKUP(Base_Periodo1[[#This Row],[CONTA]],BaseContasDRE[#All],4,FALSE))</f>
        <v>+</v>
      </c>
      <c r="T6494" s="3">
        <f>IF(ISERROR(VLOOKUP(Base_Periodo1[[#This Row],[CONTA]],BaseContasDRE[#All],5,FALSE)),"Fora do DRE",VLOOKUP(Base_Periodo1[[#This Row],[CONTA]],BaseContasDRE[#All],6,FALSE))</f>
        <v>1</v>
      </c>
      <c r="U6494" s="3" t="str">
        <f>IF(ISERROR(VLOOKUP(Base_Periodo1[[#This Row],[CONTA]],BaseContasDRE[#All],7,FALSE)),"Fora do DRE",VLOOKUP(Base_Periodo1[[#This Row],[CONTA]],BaseContasDRE[#All],7,FALSE))</f>
        <v>INSUMOS AGROPECUARIOS</v>
      </c>
      <c r="V6494" s="3" t="str">
        <f>IF(Base_Periodo1[[#This Row],[Tipo_Linha]]="Fora do DRE","Fora do DRE","( "&amp;Base_Periodo1[[#This Row],[Tipo_Linha]]&amp;" ) "&amp;Base_Periodo1[[#This Row],[Filtro]])</f>
        <v>( + ) INSUMOS AGROPECUARIOS</v>
      </c>
      <c r="W6494" s="3" t="str">
        <f>LEFT(Base_Periodo1[[#This Row],[CLASS]],3)</f>
        <v>3.2</v>
      </c>
    </row>
    <row r="6495" spans="1:23" hidden="1">
      <c r="A6495" s="3" t="str">
        <f t="shared" si="101"/>
        <v>Período 1</v>
      </c>
      <c r="B6495">
        <v>6749</v>
      </c>
      <c r="C6495" t="s">
        <v>7207</v>
      </c>
      <c r="D6495" t="s">
        <v>3995</v>
      </c>
      <c r="E6495" s="3" t="str">
        <f>IF(LEN(Base_Periodo1[[#This Row],[CLASS]])&gt;=7,LEFT(Base_Periodo1[[#This Row],[CLASS]],7),"")</f>
        <v>3.2.1.1</v>
      </c>
      <c r="F6495" s="3" t="e">
        <f>VLOOKUP(Base_Periodo1[[#This Row],[Aux]],Base_Contas_Balanco[#All],2,FALSE)</f>
        <v>#N/A</v>
      </c>
      <c r="G6495" s="1"/>
      <c r="I6495" s="225">
        <v>322.79000000000002</v>
      </c>
      <c r="J6495" s="225">
        <v>0</v>
      </c>
      <c r="K6495" s="225">
        <v>322.78999999999638</v>
      </c>
      <c r="L649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-322.79000000000002</v>
      </c>
      <c r="M6495" s="225">
        <f>ROUND(IF(AND(Base_Periodo1[[#This Row],[Tipo_Linha]]="-",Base_Periodo1[[#This Row],[TIPOSALDO]]="D"),Base_Periodo1[[#This Row],[SALDO_ATUAL]]*-1,Base_Periodo1[[#This Row],[SALDO_ATUAL]]),4)</f>
        <v>322.79000000000002</v>
      </c>
      <c r="N6495" t="s">
        <v>396</v>
      </c>
      <c r="O6495" t="s">
        <v>436</v>
      </c>
      <c r="P6495" t="s">
        <v>397</v>
      </c>
      <c r="Q6495">
        <v>8</v>
      </c>
      <c r="R6495" s="282">
        <f>Base_Periodo1[[#This Row],[CREDITOS]]-Base_Periodo1[[#This Row],[DEBITOS]]</f>
        <v>-322.79000000000002</v>
      </c>
      <c r="S6495" s="3" t="str">
        <f>IF(ISERROR(VLOOKUP(Base_Periodo1[[#This Row],[CONTA]],BaseContasDRE[#All],4,FALSE)),"Fora do DRE",VLOOKUP(Base_Periodo1[[#This Row],[CONTA]],BaseContasDRE[#All],4,FALSE))</f>
        <v>Fora do DRE</v>
      </c>
      <c r="T6495" s="3" t="str">
        <f>IF(ISERROR(VLOOKUP(Base_Periodo1[[#This Row],[CONTA]],BaseContasDRE[#All],5,FALSE)),"Fora do DRE",VLOOKUP(Base_Periodo1[[#This Row],[CONTA]],BaseContasDRE[#All],6,FALSE))</f>
        <v>Fora do DRE</v>
      </c>
      <c r="U6495" s="3" t="str">
        <f>IF(ISERROR(VLOOKUP(Base_Periodo1[[#This Row],[CONTA]],BaseContasDRE[#All],7,FALSE)),"Fora do DRE",VLOOKUP(Base_Periodo1[[#This Row],[CONTA]],BaseContasDRE[#All],7,FALSE))</f>
        <v>Fora do DRE</v>
      </c>
      <c r="V6495" s="3" t="str">
        <f>IF(Base_Periodo1[[#This Row],[Tipo_Linha]]="Fora do DRE","Fora do DRE","( "&amp;Base_Periodo1[[#This Row],[Tipo_Linha]]&amp;" ) "&amp;Base_Periodo1[[#This Row],[Filtro]])</f>
        <v>Fora do DRE</v>
      </c>
      <c r="W6495" s="3" t="str">
        <f>LEFT(Base_Periodo1[[#This Row],[CLASS]],3)</f>
        <v>3.2</v>
      </c>
    </row>
    <row r="6496" spans="1:23" hidden="1">
      <c r="A6496" s="3" t="str">
        <f t="shared" si="101"/>
        <v>Período 1</v>
      </c>
      <c r="B6496">
        <v>6750</v>
      </c>
      <c r="C6496" t="s">
        <v>7208</v>
      </c>
      <c r="D6496" t="s">
        <v>3997</v>
      </c>
      <c r="E6496" s="3" t="str">
        <f>IF(LEN(Base_Periodo1[[#This Row],[CLASS]])&gt;=7,LEFT(Base_Periodo1[[#This Row],[CLASS]],7),"")</f>
        <v>3.2.1.1</v>
      </c>
      <c r="F6496" s="3" t="e">
        <f>VLOOKUP(Base_Periodo1[[#This Row],[Aux]],Base_Contas_Balanco[#All],2,FALSE)</f>
        <v>#N/A</v>
      </c>
      <c r="G6496" s="1">
        <v>42886</v>
      </c>
      <c r="I6496" s="225">
        <v>322.79000000000002</v>
      </c>
      <c r="J6496" s="225">
        <v>0</v>
      </c>
      <c r="K6496" s="225">
        <v>322.78999999999638</v>
      </c>
      <c r="L649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-322.79000000000002</v>
      </c>
      <c r="M6496" s="225">
        <f>ROUND(IF(AND(Base_Periodo1[[#This Row],[Tipo_Linha]]="-",Base_Periodo1[[#This Row],[TIPOSALDO]]="D"),Base_Periodo1[[#This Row],[SALDO_ATUAL]]*-1,Base_Periodo1[[#This Row],[SALDO_ATUAL]]),4)</f>
        <v>-322.79000000000002</v>
      </c>
      <c r="N6496" t="s">
        <v>116</v>
      </c>
      <c r="O6496" t="s">
        <v>436</v>
      </c>
      <c r="P6496" t="s">
        <v>397</v>
      </c>
      <c r="Q6496">
        <v>9</v>
      </c>
      <c r="R6496" s="282">
        <f>Base_Periodo1[[#This Row],[CREDITOS]]-Base_Periodo1[[#This Row],[DEBITOS]]</f>
        <v>-322.79000000000002</v>
      </c>
      <c r="S6496" s="3" t="str">
        <f>IF(ISERROR(VLOOKUP(Base_Periodo1[[#This Row],[CONTA]],BaseContasDRE[#All],4,FALSE)),"Fora do DRE",VLOOKUP(Base_Periodo1[[#This Row],[CONTA]],BaseContasDRE[#All],4,FALSE))</f>
        <v>-</v>
      </c>
      <c r="T6496" s="3">
        <f>IF(ISERROR(VLOOKUP(Base_Periodo1[[#This Row],[CONTA]],BaseContasDRE[#All],5,FALSE)),"Fora do DRE",VLOOKUP(Base_Periodo1[[#This Row],[CONTA]],BaseContasDRE[#All],6,FALSE))</f>
        <v>3</v>
      </c>
      <c r="U6496" s="3" t="str">
        <f>IF(ISERROR(VLOOKUP(Base_Periodo1[[#This Row],[CONTA]],BaseContasDRE[#All],7,FALSE)),"Fora do DRE",VLOOKUP(Base_Periodo1[[#This Row],[CONTA]],BaseContasDRE[#All],7,FALSE))</f>
        <v>INSUMOS AGROPECUARIOS</v>
      </c>
      <c r="V6496" s="3" t="str">
        <f>IF(Base_Periodo1[[#This Row],[Tipo_Linha]]="Fora do DRE","Fora do DRE","( "&amp;Base_Periodo1[[#This Row],[Tipo_Linha]]&amp;" ) "&amp;Base_Periodo1[[#This Row],[Filtro]])</f>
        <v>( - ) INSUMOS AGROPECUARIOS</v>
      </c>
      <c r="W6496" s="3" t="str">
        <f>LEFT(Base_Periodo1[[#This Row],[CLASS]],3)</f>
        <v>3.2</v>
      </c>
    </row>
    <row r="6497" spans="1:23" hidden="1">
      <c r="A6497" s="3" t="str">
        <f t="shared" si="101"/>
        <v>Período 1</v>
      </c>
      <c r="B6497">
        <v>6784</v>
      </c>
      <c r="C6497" t="s">
        <v>4896</v>
      </c>
      <c r="D6497" t="s">
        <v>4897</v>
      </c>
      <c r="E6497" s="3" t="str">
        <f>IF(LEN(Base_Periodo1[[#This Row],[CLASS]])&gt;=7,LEFT(Base_Periodo1[[#This Row],[CLASS]],7),"")</f>
        <v>3.2.1.1</v>
      </c>
      <c r="F6497" s="3" t="e">
        <f>VLOOKUP(Base_Periodo1[[#This Row],[Aux]],Base_Contas_Balanco[#All],2,FALSE)</f>
        <v>#N/A</v>
      </c>
      <c r="G6497" s="1"/>
      <c r="H6497" s="225">
        <v>17.660000000000764</v>
      </c>
      <c r="I6497" s="225">
        <v>63.72</v>
      </c>
      <c r="J6497" s="225">
        <v>0</v>
      </c>
      <c r="K6497" s="225">
        <v>81.380000000000763</v>
      </c>
      <c r="L649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-81.38</v>
      </c>
      <c r="M6497" s="225">
        <f>ROUND(IF(AND(Base_Periodo1[[#This Row],[Tipo_Linha]]="-",Base_Periodo1[[#This Row],[TIPOSALDO]]="D"),Base_Periodo1[[#This Row],[SALDO_ATUAL]]*-1,Base_Periodo1[[#This Row],[SALDO_ATUAL]]),4)</f>
        <v>81.38</v>
      </c>
      <c r="N6497" t="s">
        <v>396</v>
      </c>
      <c r="O6497" t="s">
        <v>397</v>
      </c>
      <c r="P6497" t="s">
        <v>397</v>
      </c>
      <c r="Q6497">
        <v>7</v>
      </c>
      <c r="R6497" s="282">
        <f>Base_Periodo1[[#This Row],[CREDITOS]]-Base_Periodo1[[#This Row],[DEBITOS]]</f>
        <v>-63.72</v>
      </c>
      <c r="S6497" s="3" t="str">
        <f>IF(ISERROR(VLOOKUP(Base_Periodo1[[#This Row],[CONTA]],BaseContasDRE[#All],4,FALSE)),"Fora do DRE",VLOOKUP(Base_Periodo1[[#This Row],[CONTA]],BaseContasDRE[#All],4,FALSE))</f>
        <v>Fora do DRE</v>
      </c>
      <c r="T6497" s="3" t="str">
        <f>IF(ISERROR(VLOOKUP(Base_Periodo1[[#This Row],[CONTA]],BaseContasDRE[#All],5,FALSE)),"Fora do DRE",VLOOKUP(Base_Periodo1[[#This Row],[CONTA]],BaseContasDRE[#All],6,FALSE))</f>
        <v>Fora do DRE</v>
      </c>
      <c r="U6497" s="3" t="str">
        <f>IF(ISERROR(VLOOKUP(Base_Periodo1[[#This Row],[CONTA]],BaseContasDRE[#All],7,FALSE)),"Fora do DRE",VLOOKUP(Base_Periodo1[[#This Row],[CONTA]],BaseContasDRE[#All],7,FALSE))</f>
        <v>Fora do DRE</v>
      </c>
      <c r="V6497" s="3" t="str">
        <f>IF(Base_Periodo1[[#This Row],[Tipo_Linha]]="Fora do DRE","Fora do DRE","( "&amp;Base_Periodo1[[#This Row],[Tipo_Linha]]&amp;" ) "&amp;Base_Periodo1[[#This Row],[Filtro]])</f>
        <v>Fora do DRE</v>
      </c>
      <c r="W6497" s="3" t="str">
        <f>LEFT(Base_Periodo1[[#This Row],[CLASS]],3)</f>
        <v>3.2</v>
      </c>
    </row>
    <row r="6498" spans="1:23" hidden="1">
      <c r="A6498" s="3" t="str">
        <f t="shared" si="101"/>
        <v>Período 1</v>
      </c>
      <c r="B6498">
        <v>6753</v>
      </c>
      <c r="C6498" t="s">
        <v>7209</v>
      </c>
      <c r="D6498" t="s">
        <v>3993</v>
      </c>
      <c r="E6498" s="3" t="str">
        <f>IF(LEN(Base_Periodo1[[#This Row],[CLASS]])&gt;=7,LEFT(Base_Periodo1[[#This Row],[CLASS]],7),"")</f>
        <v>3.2.1.1</v>
      </c>
      <c r="F6498" s="3" t="e">
        <f>VLOOKUP(Base_Periodo1[[#This Row],[Aux]],Base_Contas_Balanco[#All],2,FALSE)</f>
        <v>#N/A</v>
      </c>
      <c r="G6498" s="1"/>
      <c r="I6498" s="225">
        <v>63.72</v>
      </c>
      <c r="J6498" s="225">
        <v>0</v>
      </c>
      <c r="K6498" s="225">
        <v>63.720000000000908</v>
      </c>
      <c r="L649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-63.72</v>
      </c>
      <c r="M6498" s="225">
        <f>ROUND(IF(AND(Base_Periodo1[[#This Row],[Tipo_Linha]]="-",Base_Periodo1[[#This Row],[TIPOSALDO]]="D"),Base_Periodo1[[#This Row],[SALDO_ATUAL]]*-1,Base_Periodo1[[#This Row],[SALDO_ATUAL]]),4)</f>
        <v>63.72</v>
      </c>
      <c r="N6498" t="s">
        <v>396</v>
      </c>
      <c r="O6498" t="s">
        <v>436</v>
      </c>
      <c r="P6498" t="s">
        <v>397</v>
      </c>
      <c r="Q6498">
        <v>8</v>
      </c>
      <c r="R6498" s="282">
        <f>Base_Periodo1[[#This Row],[CREDITOS]]-Base_Periodo1[[#This Row],[DEBITOS]]</f>
        <v>-63.72</v>
      </c>
      <c r="S6498" s="3" t="str">
        <f>IF(ISERROR(VLOOKUP(Base_Periodo1[[#This Row],[CONTA]],BaseContasDRE[#All],4,FALSE)),"Fora do DRE",VLOOKUP(Base_Periodo1[[#This Row],[CONTA]],BaseContasDRE[#All],4,FALSE))</f>
        <v>Fora do DRE</v>
      </c>
      <c r="T6498" s="3" t="str">
        <f>IF(ISERROR(VLOOKUP(Base_Periodo1[[#This Row],[CONTA]],BaseContasDRE[#All],5,FALSE)),"Fora do DRE",VLOOKUP(Base_Periodo1[[#This Row],[CONTA]],BaseContasDRE[#All],6,FALSE))</f>
        <v>Fora do DRE</v>
      </c>
      <c r="U6498" s="3" t="str">
        <f>IF(ISERROR(VLOOKUP(Base_Periodo1[[#This Row],[CONTA]],BaseContasDRE[#All],7,FALSE)),"Fora do DRE",VLOOKUP(Base_Periodo1[[#This Row],[CONTA]],BaseContasDRE[#All],7,FALSE))</f>
        <v>Fora do DRE</v>
      </c>
      <c r="V6498" s="3" t="str">
        <f>IF(Base_Periodo1[[#This Row],[Tipo_Linha]]="Fora do DRE","Fora do DRE","( "&amp;Base_Periodo1[[#This Row],[Tipo_Linha]]&amp;" ) "&amp;Base_Periodo1[[#This Row],[Filtro]])</f>
        <v>Fora do DRE</v>
      </c>
      <c r="W6498" s="3" t="str">
        <f>LEFT(Base_Periodo1[[#This Row],[CLASS]],3)</f>
        <v>3.2</v>
      </c>
    </row>
    <row r="6499" spans="1:23" hidden="1">
      <c r="A6499" s="3" t="str">
        <f t="shared" si="101"/>
        <v>Período 1</v>
      </c>
      <c r="B6499">
        <v>6754</v>
      </c>
      <c r="C6499" t="s">
        <v>7210</v>
      </c>
      <c r="D6499" t="s">
        <v>3566</v>
      </c>
      <c r="E6499" s="3" t="str">
        <f>IF(LEN(Base_Periodo1[[#This Row],[CLASS]])&gt;=7,LEFT(Base_Periodo1[[#This Row],[CLASS]],7),"")</f>
        <v>3.2.1.1</v>
      </c>
      <c r="F6499" s="3" t="e">
        <f>VLOOKUP(Base_Periodo1[[#This Row],[Aux]],Base_Contas_Balanco[#All],2,FALSE)</f>
        <v>#N/A</v>
      </c>
      <c r="G6499" s="1">
        <v>42870</v>
      </c>
      <c r="I6499" s="225">
        <v>63.72</v>
      </c>
      <c r="J6499" s="225">
        <v>0</v>
      </c>
      <c r="K6499" s="225">
        <v>63.720000000000908</v>
      </c>
      <c r="L649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-63.72</v>
      </c>
      <c r="M6499" s="225">
        <f>ROUND(IF(AND(Base_Periodo1[[#This Row],[Tipo_Linha]]="-",Base_Periodo1[[#This Row],[TIPOSALDO]]="D"),Base_Periodo1[[#This Row],[SALDO_ATUAL]]*-1,Base_Periodo1[[#This Row],[SALDO_ATUAL]]),4)</f>
        <v>-63.72</v>
      </c>
      <c r="N6499" t="s">
        <v>116</v>
      </c>
      <c r="O6499" t="s">
        <v>436</v>
      </c>
      <c r="P6499" t="s">
        <v>397</v>
      </c>
      <c r="Q6499">
        <v>9</v>
      </c>
      <c r="R6499" s="282">
        <f>Base_Periodo1[[#This Row],[CREDITOS]]-Base_Periodo1[[#This Row],[DEBITOS]]</f>
        <v>-63.72</v>
      </c>
      <c r="S6499" s="3" t="str">
        <f>IF(ISERROR(VLOOKUP(Base_Periodo1[[#This Row],[CONTA]],BaseContasDRE[#All],4,FALSE)),"Fora do DRE",VLOOKUP(Base_Periodo1[[#This Row],[CONTA]],BaseContasDRE[#All],4,FALSE))</f>
        <v>-</v>
      </c>
      <c r="T6499" s="3">
        <f>IF(ISERROR(VLOOKUP(Base_Periodo1[[#This Row],[CONTA]],BaseContasDRE[#All],5,FALSE)),"Fora do DRE",VLOOKUP(Base_Periodo1[[#This Row],[CONTA]],BaseContasDRE[#All],6,FALSE))</f>
        <v>2</v>
      </c>
      <c r="U6499" s="3" t="str">
        <f>IF(ISERROR(VLOOKUP(Base_Periodo1[[#This Row],[CONTA]],BaseContasDRE[#All],7,FALSE)),"Fora do DRE",VLOOKUP(Base_Periodo1[[#This Row],[CONTA]],BaseContasDRE[#All],7,FALSE))</f>
        <v>ICMS SOBRE INGRESSOS E RECEITAS</v>
      </c>
      <c r="V6499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499" s="3" t="str">
        <f>LEFT(Base_Periodo1[[#This Row],[CLASS]],3)</f>
        <v>3.2</v>
      </c>
    </row>
    <row r="6500" spans="1:23" hidden="1">
      <c r="A6500" s="3" t="str">
        <f t="shared" si="101"/>
        <v>Período 1</v>
      </c>
      <c r="B6500">
        <v>6755</v>
      </c>
      <c r="C6500" t="s">
        <v>5770</v>
      </c>
      <c r="D6500" t="s">
        <v>3995</v>
      </c>
      <c r="E6500" s="3" t="str">
        <f>IF(LEN(Base_Periodo1[[#This Row],[CLASS]])&gt;=7,LEFT(Base_Periodo1[[#This Row],[CLASS]],7),"")</f>
        <v>3.2.1.1</v>
      </c>
      <c r="F6500" s="3" t="e">
        <f>VLOOKUP(Base_Periodo1[[#This Row],[Aux]],Base_Contas_Balanco[#All],2,FALSE)</f>
        <v>#N/A</v>
      </c>
      <c r="G6500" s="1"/>
      <c r="H6500" s="225">
        <v>17.659999999999854</v>
      </c>
      <c r="I6500" s="225">
        <v>0</v>
      </c>
      <c r="J6500" s="225">
        <v>0</v>
      </c>
      <c r="K6500" s="225">
        <v>17.659999999999854</v>
      </c>
      <c r="L650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-17.66</v>
      </c>
      <c r="M6500" s="225">
        <f>ROUND(IF(AND(Base_Periodo1[[#This Row],[Tipo_Linha]]="-",Base_Periodo1[[#This Row],[TIPOSALDO]]="D"),Base_Periodo1[[#This Row],[SALDO_ATUAL]]*-1,Base_Periodo1[[#This Row],[SALDO_ATUAL]]),4)</f>
        <v>17.66</v>
      </c>
      <c r="N6500" t="s">
        <v>396</v>
      </c>
      <c r="O6500" t="s">
        <v>397</v>
      </c>
      <c r="P6500" t="s">
        <v>397</v>
      </c>
      <c r="Q6500">
        <v>8</v>
      </c>
      <c r="R6500" s="282">
        <f>Base_Periodo1[[#This Row],[CREDITOS]]-Base_Periodo1[[#This Row],[DEBITOS]]</f>
        <v>0</v>
      </c>
      <c r="S6500" s="3" t="str">
        <f>IF(ISERROR(VLOOKUP(Base_Periodo1[[#This Row],[CONTA]],BaseContasDRE[#All],4,FALSE)),"Fora do DRE",VLOOKUP(Base_Periodo1[[#This Row],[CONTA]],BaseContasDRE[#All],4,FALSE))</f>
        <v>Fora do DRE</v>
      </c>
      <c r="T6500" s="3" t="str">
        <f>IF(ISERROR(VLOOKUP(Base_Periodo1[[#This Row],[CONTA]],BaseContasDRE[#All],5,FALSE)),"Fora do DRE",VLOOKUP(Base_Periodo1[[#This Row],[CONTA]],BaseContasDRE[#All],6,FALSE))</f>
        <v>Fora do DRE</v>
      </c>
      <c r="U6500" s="3" t="str">
        <f>IF(ISERROR(VLOOKUP(Base_Periodo1[[#This Row],[CONTA]],BaseContasDRE[#All],7,FALSE)),"Fora do DRE",VLOOKUP(Base_Periodo1[[#This Row],[CONTA]],BaseContasDRE[#All],7,FALSE))</f>
        <v>Fora do DRE</v>
      </c>
      <c r="V6500" s="3" t="str">
        <f>IF(Base_Periodo1[[#This Row],[Tipo_Linha]]="Fora do DRE","Fora do DRE","( "&amp;Base_Periodo1[[#This Row],[Tipo_Linha]]&amp;" ) "&amp;Base_Periodo1[[#This Row],[Filtro]])</f>
        <v>Fora do DRE</v>
      </c>
      <c r="W6500" s="3" t="str">
        <f>LEFT(Base_Periodo1[[#This Row],[CLASS]],3)</f>
        <v>3.2</v>
      </c>
    </row>
    <row r="6501" spans="1:23" hidden="1">
      <c r="A6501" s="3" t="str">
        <f t="shared" si="101"/>
        <v>Período 1</v>
      </c>
      <c r="B6501">
        <v>6756</v>
      </c>
      <c r="C6501" t="s">
        <v>5771</v>
      </c>
      <c r="D6501" t="s">
        <v>3997</v>
      </c>
      <c r="E6501" s="3" t="str">
        <f>IF(LEN(Base_Periodo1[[#This Row],[CLASS]])&gt;=7,LEFT(Base_Periodo1[[#This Row],[CLASS]],7),"")</f>
        <v>3.2.1.1</v>
      </c>
      <c r="F6501" s="3" t="e">
        <f>VLOOKUP(Base_Periodo1[[#This Row],[Aux]],Base_Contas_Balanco[#All],2,FALSE)</f>
        <v>#N/A</v>
      </c>
      <c r="G6501" s="1">
        <v>42766</v>
      </c>
      <c r="H6501" s="225">
        <v>17.659999999999854</v>
      </c>
      <c r="I6501" s="225">
        <v>0</v>
      </c>
      <c r="J6501" s="225">
        <v>0</v>
      </c>
      <c r="K6501" s="225">
        <v>17.659999999999854</v>
      </c>
      <c r="L650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-17.66</v>
      </c>
      <c r="M6501" s="225">
        <f>ROUND(IF(AND(Base_Periodo1[[#This Row],[Tipo_Linha]]="-",Base_Periodo1[[#This Row],[TIPOSALDO]]="D"),Base_Periodo1[[#This Row],[SALDO_ATUAL]]*-1,Base_Periodo1[[#This Row],[SALDO_ATUAL]]),4)</f>
        <v>-17.66</v>
      </c>
      <c r="N6501" t="s">
        <v>116</v>
      </c>
      <c r="O6501" t="s">
        <v>397</v>
      </c>
      <c r="P6501" t="s">
        <v>397</v>
      </c>
      <c r="Q6501">
        <v>9</v>
      </c>
      <c r="R6501" s="282">
        <f>Base_Periodo1[[#This Row],[CREDITOS]]-Base_Periodo1[[#This Row],[DEBITOS]]</f>
        <v>0</v>
      </c>
      <c r="S6501" s="3" t="str">
        <f>IF(ISERROR(VLOOKUP(Base_Periodo1[[#This Row],[CONTA]],BaseContasDRE[#All],4,FALSE)),"Fora do DRE",VLOOKUP(Base_Periodo1[[#This Row],[CONTA]],BaseContasDRE[#All],4,FALSE))</f>
        <v>-</v>
      </c>
      <c r="T6501" s="3">
        <f>IF(ISERROR(VLOOKUP(Base_Periodo1[[#This Row],[CONTA]],BaseContasDRE[#All],5,FALSE)),"Fora do DRE",VLOOKUP(Base_Periodo1[[#This Row],[CONTA]],BaseContasDRE[#All],6,FALSE))</f>
        <v>3</v>
      </c>
      <c r="U6501" s="3" t="str">
        <f>IF(ISERROR(VLOOKUP(Base_Periodo1[[#This Row],[CONTA]],BaseContasDRE[#All],7,FALSE)),"Fora do DRE",VLOOKUP(Base_Periodo1[[#This Row],[CONTA]],BaseContasDRE[#All],7,FALSE))</f>
        <v>INSUMOS AGROPECUARIOS</v>
      </c>
      <c r="V6501" s="3" t="str">
        <f>IF(Base_Periodo1[[#This Row],[Tipo_Linha]]="Fora do DRE","Fora do DRE","( "&amp;Base_Periodo1[[#This Row],[Tipo_Linha]]&amp;" ) "&amp;Base_Periodo1[[#This Row],[Filtro]])</f>
        <v>( - ) INSUMOS AGROPECUARIOS</v>
      </c>
      <c r="W6501" s="3" t="str">
        <f>LEFT(Base_Periodo1[[#This Row],[CLASS]],3)</f>
        <v>3.2</v>
      </c>
    </row>
    <row r="6502" spans="1:23" hidden="1">
      <c r="A6502" s="3" t="str">
        <f t="shared" si="101"/>
        <v>Período 1</v>
      </c>
      <c r="B6502">
        <v>33417</v>
      </c>
      <c r="C6502" t="s">
        <v>7211</v>
      </c>
      <c r="D6502" t="s">
        <v>1428</v>
      </c>
      <c r="E6502" s="3" t="str">
        <f>IF(LEN(Base_Periodo1[[#This Row],[CLASS]])&gt;=7,LEFT(Base_Periodo1[[#This Row],[CLASS]],7),"")</f>
        <v>3.2.1.1</v>
      </c>
      <c r="F6502" s="3" t="e">
        <f>VLOOKUP(Base_Periodo1[[#This Row],[Aux]],Base_Contas_Balanco[#All],2,FALSE)</f>
        <v>#N/A</v>
      </c>
      <c r="G6502" s="1"/>
      <c r="I6502" s="225">
        <v>2596.62</v>
      </c>
      <c r="J6502" s="225">
        <v>5010</v>
      </c>
      <c r="K6502" s="225">
        <v>2413.38</v>
      </c>
      <c r="L650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2413.38</v>
      </c>
      <c r="M6502" s="225">
        <f>ROUND(IF(AND(Base_Periodo1[[#This Row],[Tipo_Linha]]="-",Base_Periodo1[[#This Row],[TIPOSALDO]]="D"),Base_Periodo1[[#This Row],[SALDO_ATUAL]]*-1,Base_Periodo1[[#This Row],[SALDO_ATUAL]]),4)</f>
        <v>2413.38</v>
      </c>
      <c r="N6502" t="s">
        <v>396</v>
      </c>
      <c r="O6502" t="s">
        <v>436</v>
      </c>
      <c r="P6502" t="s">
        <v>459</v>
      </c>
      <c r="Q6502">
        <v>7</v>
      </c>
      <c r="R6502" s="282">
        <f>Base_Periodo1[[#This Row],[CREDITOS]]-Base_Periodo1[[#This Row],[DEBITOS]]</f>
        <v>2413.38</v>
      </c>
      <c r="S6502" s="3" t="str">
        <f>IF(ISERROR(VLOOKUP(Base_Periodo1[[#This Row],[CONTA]],BaseContasDRE[#All],4,FALSE)),"Fora do DRE",VLOOKUP(Base_Periodo1[[#This Row],[CONTA]],BaseContasDRE[#All],4,FALSE))</f>
        <v>Fora do DRE</v>
      </c>
      <c r="T6502" s="3" t="str">
        <f>IF(ISERROR(VLOOKUP(Base_Periodo1[[#This Row],[CONTA]],BaseContasDRE[#All],5,FALSE)),"Fora do DRE",VLOOKUP(Base_Periodo1[[#This Row],[CONTA]],BaseContasDRE[#All],6,FALSE))</f>
        <v>Fora do DRE</v>
      </c>
      <c r="U6502" s="3" t="str">
        <f>IF(ISERROR(VLOOKUP(Base_Periodo1[[#This Row],[CONTA]],BaseContasDRE[#All],7,FALSE)),"Fora do DRE",VLOOKUP(Base_Periodo1[[#This Row],[CONTA]],BaseContasDRE[#All],7,FALSE))</f>
        <v>Fora do DRE</v>
      </c>
      <c r="V6502" s="3" t="str">
        <f>IF(Base_Periodo1[[#This Row],[Tipo_Linha]]="Fora do DRE","Fora do DRE","( "&amp;Base_Periodo1[[#This Row],[Tipo_Linha]]&amp;" ) "&amp;Base_Periodo1[[#This Row],[Filtro]])</f>
        <v>Fora do DRE</v>
      </c>
      <c r="W6502" s="3" t="str">
        <f>LEFT(Base_Periodo1[[#This Row],[CLASS]],3)</f>
        <v>3.2</v>
      </c>
    </row>
    <row r="6503" spans="1:23" hidden="1">
      <c r="A6503" s="3" t="str">
        <f t="shared" si="101"/>
        <v>Período 1</v>
      </c>
      <c r="B6503">
        <v>33418</v>
      </c>
      <c r="C6503" t="s">
        <v>7212</v>
      </c>
      <c r="D6503" t="s">
        <v>4059</v>
      </c>
      <c r="E6503" s="3" t="str">
        <f>IF(LEN(Base_Periodo1[[#This Row],[CLASS]])&gt;=7,LEFT(Base_Periodo1[[#This Row],[CLASS]],7),"")</f>
        <v>3.2.1.1</v>
      </c>
      <c r="F6503" s="3" t="e">
        <f>VLOOKUP(Base_Periodo1[[#This Row],[Aux]],Base_Contas_Balanco[#All],2,FALSE)</f>
        <v>#N/A</v>
      </c>
      <c r="G6503" s="1"/>
      <c r="I6503" s="225">
        <v>0</v>
      </c>
      <c r="J6503" s="225">
        <v>5010</v>
      </c>
      <c r="K6503" s="225">
        <v>5010</v>
      </c>
      <c r="L650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5010</v>
      </c>
      <c r="M6503" s="225">
        <f>ROUND(IF(AND(Base_Periodo1[[#This Row],[Tipo_Linha]]="-",Base_Periodo1[[#This Row],[TIPOSALDO]]="D"),Base_Periodo1[[#This Row],[SALDO_ATUAL]]*-1,Base_Periodo1[[#This Row],[SALDO_ATUAL]]),4)</f>
        <v>5010</v>
      </c>
      <c r="N6503" t="s">
        <v>396</v>
      </c>
      <c r="O6503" t="s">
        <v>436</v>
      </c>
      <c r="P6503" t="s">
        <v>459</v>
      </c>
      <c r="Q6503">
        <v>8</v>
      </c>
      <c r="R6503" s="282">
        <f>Base_Periodo1[[#This Row],[CREDITOS]]-Base_Periodo1[[#This Row],[DEBITOS]]</f>
        <v>5010</v>
      </c>
      <c r="S6503" s="3" t="str">
        <f>IF(ISERROR(VLOOKUP(Base_Periodo1[[#This Row],[CONTA]],BaseContasDRE[#All],4,FALSE)),"Fora do DRE",VLOOKUP(Base_Periodo1[[#This Row],[CONTA]],BaseContasDRE[#All],4,FALSE))</f>
        <v>Fora do DRE</v>
      </c>
      <c r="T6503" s="3" t="str">
        <f>IF(ISERROR(VLOOKUP(Base_Periodo1[[#This Row],[CONTA]],BaseContasDRE[#All],5,FALSE)),"Fora do DRE",VLOOKUP(Base_Periodo1[[#This Row],[CONTA]],BaseContasDRE[#All],6,FALSE))</f>
        <v>Fora do DRE</v>
      </c>
      <c r="U6503" s="3" t="str">
        <f>IF(ISERROR(VLOOKUP(Base_Periodo1[[#This Row],[CONTA]],BaseContasDRE[#All],7,FALSE)),"Fora do DRE",VLOOKUP(Base_Periodo1[[#This Row],[CONTA]],BaseContasDRE[#All],7,FALSE))</f>
        <v>Fora do DRE</v>
      </c>
      <c r="V6503" s="3" t="str">
        <f>IF(Base_Periodo1[[#This Row],[Tipo_Linha]]="Fora do DRE","Fora do DRE","( "&amp;Base_Periodo1[[#This Row],[Tipo_Linha]]&amp;" ) "&amp;Base_Periodo1[[#This Row],[Filtro]])</f>
        <v>Fora do DRE</v>
      </c>
      <c r="W6503" s="3" t="str">
        <f>LEFT(Base_Periodo1[[#This Row],[CLASS]],3)</f>
        <v>3.2</v>
      </c>
    </row>
    <row r="6504" spans="1:23" hidden="1">
      <c r="A6504" s="3" t="str">
        <f t="shared" si="101"/>
        <v>Período 1</v>
      </c>
      <c r="B6504">
        <v>33419</v>
      </c>
      <c r="C6504" t="s">
        <v>7213</v>
      </c>
      <c r="D6504" t="s">
        <v>3987</v>
      </c>
      <c r="E6504" s="3" t="str">
        <f>IF(LEN(Base_Periodo1[[#This Row],[CLASS]])&gt;=7,LEFT(Base_Periodo1[[#This Row],[CLASS]],7),"")</f>
        <v>3.2.1.1</v>
      </c>
      <c r="F6504" s="3" t="e">
        <f>VLOOKUP(Base_Periodo1[[#This Row],[Aux]],Base_Contas_Balanco[#All],2,FALSE)</f>
        <v>#N/A</v>
      </c>
      <c r="G6504" s="1">
        <v>42881</v>
      </c>
      <c r="I6504" s="225">
        <v>0</v>
      </c>
      <c r="J6504" s="225">
        <v>5010</v>
      </c>
      <c r="K6504" s="225">
        <v>5010</v>
      </c>
      <c r="L650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5010</v>
      </c>
      <c r="M6504" s="225">
        <f>ROUND(IF(AND(Base_Periodo1[[#This Row],[Tipo_Linha]]="-",Base_Periodo1[[#This Row],[TIPOSALDO]]="D"),Base_Periodo1[[#This Row],[SALDO_ATUAL]]*-1,Base_Periodo1[[#This Row],[SALDO_ATUAL]]),4)</f>
        <v>5010</v>
      </c>
      <c r="N6504" t="s">
        <v>116</v>
      </c>
      <c r="O6504" t="s">
        <v>436</v>
      </c>
      <c r="P6504" t="s">
        <v>459</v>
      </c>
      <c r="Q6504">
        <v>9</v>
      </c>
      <c r="R6504" s="282">
        <f>Base_Periodo1[[#This Row],[CREDITOS]]-Base_Periodo1[[#This Row],[DEBITOS]]</f>
        <v>5010</v>
      </c>
      <c r="S6504" s="3" t="str">
        <f>IF(ISERROR(VLOOKUP(Base_Periodo1[[#This Row],[CONTA]],BaseContasDRE[#All],4,FALSE)),"Fora do DRE",VLOOKUP(Base_Periodo1[[#This Row],[CONTA]],BaseContasDRE[#All],4,FALSE))</f>
        <v>+</v>
      </c>
      <c r="T6504" s="3">
        <f>IF(ISERROR(VLOOKUP(Base_Periodo1[[#This Row],[CONTA]],BaseContasDRE[#All],5,FALSE)),"Fora do DRE",VLOOKUP(Base_Periodo1[[#This Row],[CONTA]],BaseContasDRE[#All],6,FALSE))</f>
        <v>1</v>
      </c>
      <c r="U6504" s="3" t="str">
        <f>IF(ISERROR(VLOOKUP(Base_Periodo1[[#This Row],[CONTA]],BaseContasDRE[#All],7,FALSE)),"Fora do DRE",VLOOKUP(Base_Periodo1[[#This Row],[CONTA]],BaseContasDRE[#All],7,FALSE))</f>
        <v>INSUMOS AGROPECUARIOS</v>
      </c>
      <c r="V6504" s="3" t="str">
        <f>IF(Base_Periodo1[[#This Row],[Tipo_Linha]]="Fora do DRE","Fora do DRE","( "&amp;Base_Periodo1[[#This Row],[Tipo_Linha]]&amp;" ) "&amp;Base_Periodo1[[#This Row],[Filtro]])</f>
        <v>( + ) INSUMOS AGROPECUARIOS</v>
      </c>
      <c r="W6504" s="3" t="str">
        <f>LEFT(Base_Periodo1[[#This Row],[CLASS]],3)</f>
        <v>3.2</v>
      </c>
    </row>
    <row r="6505" spans="1:23" hidden="1">
      <c r="A6505" s="3" t="str">
        <f t="shared" si="101"/>
        <v>Período 1</v>
      </c>
      <c r="B6505">
        <v>33422</v>
      </c>
      <c r="C6505" t="s">
        <v>7214</v>
      </c>
      <c r="D6505" t="s">
        <v>3993</v>
      </c>
      <c r="E6505" s="3" t="str">
        <f>IF(LEN(Base_Periodo1[[#This Row],[CLASS]])&gt;=7,LEFT(Base_Periodo1[[#This Row],[CLASS]],7),"")</f>
        <v>3.2.1.1</v>
      </c>
      <c r="F6505" s="3" t="e">
        <f>VLOOKUP(Base_Periodo1[[#This Row],[Aux]],Base_Contas_Balanco[#All],2,FALSE)</f>
        <v>#N/A</v>
      </c>
      <c r="G6505" s="1"/>
      <c r="I6505" s="225">
        <v>901.8</v>
      </c>
      <c r="J6505" s="225">
        <v>0</v>
      </c>
      <c r="K6505" s="225">
        <v>901.80000000000018</v>
      </c>
      <c r="L650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-901.8</v>
      </c>
      <c r="M6505" s="225">
        <f>ROUND(IF(AND(Base_Periodo1[[#This Row],[Tipo_Linha]]="-",Base_Periodo1[[#This Row],[TIPOSALDO]]="D"),Base_Periodo1[[#This Row],[SALDO_ATUAL]]*-1,Base_Periodo1[[#This Row],[SALDO_ATUAL]]),4)</f>
        <v>901.8</v>
      </c>
      <c r="N6505" t="s">
        <v>396</v>
      </c>
      <c r="O6505" t="s">
        <v>436</v>
      </c>
      <c r="P6505" t="s">
        <v>397</v>
      </c>
      <c r="Q6505">
        <v>8</v>
      </c>
      <c r="R6505" s="282">
        <f>Base_Periodo1[[#This Row],[CREDITOS]]-Base_Periodo1[[#This Row],[DEBITOS]]</f>
        <v>-901.8</v>
      </c>
      <c r="S6505" s="3" t="str">
        <f>IF(ISERROR(VLOOKUP(Base_Periodo1[[#This Row],[CONTA]],BaseContasDRE[#All],4,FALSE)),"Fora do DRE",VLOOKUP(Base_Periodo1[[#This Row],[CONTA]],BaseContasDRE[#All],4,FALSE))</f>
        <v>Fora do DRE</v>
      </c>
      <c r="T6505" s="3" t="str">
        <f>IF(ISERROR(VLOOKUP(Base_Periodo1[[#This Row],[CONTA]],BaseContasDRE[#All],5,FALSE)),"Fora do DRE",VLOOKUP(Base_Periodo1[[#This Row],[CONTA]],BaseContasDRE[#All],6,FALSE))</f>
        <v>Fora do DRE</v>
      </c>
      <c r="U6505" s="3" t="str">
        <f>IF(ISERROR(VLOOKUP(Base_Periodo1[[#This Row],[CONTA]],BaseContasDRE[#All],7,FALSE)),"Fora do DRE",VLOOKUP(Base_Periodo1[[#This Row],[CONTA]],BaseContasDRE[#All],7,FALSE))</f>
        <v>Fora do DRE</v>
      </c>
      <c r="V6505" s="3" t="str">
        <f>IF(Base_Periodo1[[#This Row],[Tipo_Linha]]="Fora do DRE","Fora do DRE","( "&amp;Base_Periodo1[[#This Row],[Tipo_Linha]]&amp;" ) "&amp;Base_Periodo1[[#This Row],[Filtro]])</f>
        <v>Fora do DRE</v>
      </c>
      <c r="W6505" s="3" t="str">
        <f>LEFT(Base_Periodo1[[#This Row],[CLASS]],3)</f>
        <v>3.2</v>
      </c>
    </row>
    <row r="6506" spans="1:23" hidden="1">
      <c r="A6506" s="3" t="str">
        <f t="shared" si="101"/>
        <v>Período 1</v>
      </c>
      <c r="B6506">
        <v>33423</v>
      </c>
      <c r="C6506" t="s">
        <v>7215</v>
      </c>
      <c r="D6506" t="s">
        <v>3566</v>
      </c>
      <c r="E6506" s="3" t="str">
        <f>IF(LEN(Base_Periodo1[[#This Row],[CLASS]])&gt;=7,LEFT(Base_Periodo1[[#This Row],[CLASS]],7),"")</f>
        <v>3.2.1.1</v>
      </c>
      <c r="F6506" s="3" t="e">
        <f>VLOOKUP(Base_Periodo1[[#This Row],[Aux]],Base_Contas_Balanco[#All],2,FALSE)</f>
        <v>#N/A</v>
      </c>
      <c r="G6506" s="1">
        <v>42881</v>
      </c>
      <c r="I6506" s="225">
        <v>901.8</v>
      </c>
      <c r="J6506" s="225">
        <v>0</v>
      </c>
      <c r="K6506" s="225">
        <v>901.80000000000018</v>
      </c>
      <c r="L650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-901.8</v>
      </c>
      <c r="M6506" s="225">
        <f>ROUND(IF(AND(Base_Periodo1[[#This Row],[Tipo_Linha]]="-",Base_Periodo1[[#This Row],[TIPOSALDO]]="D"),Base_Periodo1[[#This Row],[SALDO_ATUAL]]*-1,Base_Periodo1[[#This Row],[SALDO_ATUAL]]),4)</f>
        <v>-901.8</v>
      </c>
      <c r="N6506" t="s">
        <v>116</v>
      </c>
      <c r="O6506" t="s">
        <v>436</v>
      </c>
      <c r="P6506" t="s">
        <v>397</v>
      </c>
      <c r="Q6506">
        <v>9</v>
      </c>
      <c r="R6506" s="282">
        <f>Base_Periodo1[[#This Row],[CREDITOS]]-Base_Periodo1[[#This Row],[DEBITOS]]</f>
        <v>-901.8</v>
      </c>
      <c r="S6506" s="3" t="str">
        <f>IF(ISERROR(VLOOKUP(Base_Periodo1[[#This Row],[CONTA]],BaseContasDRE[#All],4,FALSE)),"Fora do DRE",VLOOKUP(Base_Periodo1[[#This Row],[CONTA]],BaseContasDRE[#All],4,FALSE))</f>
        <v>-</v>
      </c>
      <c r="T6506" s="3">
        <f>IF(ISERROR(VLOOKUP(Base_Periodo1[[#This Row],[CONTA]],BaseContasDRE[#All],5,FALSE)),"Fora do DRE",VLOOKUP(Base_Periodo1[[#This Row],[CONTA]],BaseContasDRE[#All],6,FALSE))</f>
        <v>2</v>
      </c>
      <c r="U6506" s="3" t="str">
        <f>IF(ISERROR(VLOOKUP(Base_Periodo1[[#This Row],[CONTA]],BaseContasDRE[#All],7,FALSE)),"Fora do DRE",VLOOKUP(Base_Periodo1[[#This Row],[CONTA]],BaseContasDRE[#All],7,FALSE))</f>
        <v>ICMS SOBRE INGRESSOS E RECEITAS</v>
      </c>
      <c r="V6506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506" s="3" t="str">
        <f>LEFT(Base_Periodo1[[#This Row],[CLASS]],3)</f>
        <v>3.2</v>
      </c>
    </row>
    <row r="6507" spans="1:23" hidden="1">
      <c r="A6507" s="3" t="str">
        <f t="shared" si="101"/>
        <v>Período 1</v>
      </c>
      <c r="B6507">
        <v>33420</v>
      </c>
      <c r="C6507" t="s">
        <v>7216</v>
      </c>
      <c r="D6507" t="s">
        <v>3995</v>
      </c>
      <c r="E6507" s="3" t="str">
        <f>IF(LEN(Base_Periodo1[[#This Row],[CLASS]])&gt;=7,LEFT(Base_Periodo1[[#This Row],[CLASS]],7),"")</f>
        <v>3.2.1.1</v>
      </c>
      <c r="F6507" s="3" t="e">
        <f>VLOOKUP(Base_Periodo1[[#This Row],[Aux]],Base_Contas_Balanco[#All],2,FALSE)</f>
        <v>#N/A</v>
      </c>
      <c r="G6507" s="1"/>
      <c r="I6507" s="225">
        <v>1694.82</v>
      </c>
      <c r="J6507" s="225">
        <v>0</v>
      </c>
      <c r="K6507" s="225">
        <v>1694.82</v>
      </c>
      <c r="L650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-1694.82</v>
      </c>
      <c r="M6507" s="225">
        <f>ROUND(IF(AND(Base_Periodo1[[#This Row],[Tipo_Linha]]="-",Base_Periodo1[[#This Row],[TIPOSALDO]]="D"),Base_Periodo1[[#This Row],[SALDO_ATUAL]]*-1,Base_Periodo1[[#This Row],[SALDO_ATUAL]]),4)</f>
        <v>1694.82</v>
      </c>
      <c r="N6507" t="s">
        <v>396</v>
      </c>
      <c r="O6507" t="s">
        <v>436</v>
      </c>
      <c r="P6507" t="s">
        <v>397</v>
      </c>
      <c r="Q6507">
        <v>8</v>
      </c>
      <c r="R6507" s="282">
        <f>Base_Periodo1[[#This Row],[CREDITOS]]-Base_Periodo1[[#This Row],[DEBITOS]]</f>
        <v>-1694.82</v>
      </c>
      <c r="S6507" s="3" t="str">
        <f>IF(ISERROR(VLOOKUP(Base_Periodo1[[#This Row],[CONTA]],BaseContasDRE[#All],4,FALSE)),"Fora do DRE",VLOOKUP(Base_Periodo1[[#This Row],[CONTA]],BaseContasDRE[#All],4,FALSE))</f>
        <v>Fora do DRE</v>
      </c>
      <c r="T6507" s="3" t="str">
        <f>IF(ISERROR(VLOOKUP(Base_Periodo1[[#This Row],[CONTA]],BaseContasDRE[#All],5,FALSE)),"Fora do DRE",VLOOKUP(Base_Periodo1[[#This Row],[CONTA]],BaseContasDRE[#All],6,FALSE))</f>
        <v>Fora do DRE</v>
      </c>
      <c r="U6507" s="3" t="str">
        <f>IF(ISERROR(VLOOKUP(Base_Periodo1[[#This Row],[CONTA]],BaseContasDRE[#All],7,FALSE)),"Fora do DRE",VLOOKUP(Base_Periodo1[[#This Row],[CONTA]],BaseContasDRE[#All],7,FALSE))</f>
        <v>Fora do DRE</v>
      </c>
      <c r="V6507" s="3" t="str">
        <f>IF(Base_Periodo1[[#This Row],[Tipo_Linha]]="Fora do DRE","Fora do DRE","( "&amp;Base_Periodo1[[#This Row],[Tipo_Linha]]&amp;" ) "&amp;Base_Periodo1[[#This Row],[Filtro]])</f>
        <v>Fora do DRE</v>
      </c>
      <c r="W6507" s="3" t="str">
        <f>LEFT(Base_Periodo1[[#This Row],[CLASS]],3)</f>
        <v>3.2</v>
      </c>
    </row>
    <row r="6508" spans="1:23" hidden="1">
      <c r="A6508" s="3" t="str">
        <f t="shared" si="101"/>
        <v>Período 1</v>
      </c>
      <c r="B6508">
        <v>33421</v>
      </c>
      <c r="C6508" t="s">
        <v>7217</v>
      </c>
      <c r="D6508" t="s">
        <v>3997</v>
      </c>
      <c r="E6508" s="3" t="str">
        <f>IF(LEN(Base_Periodo1[[#This Row],[CLASS]])&gt;=7,LEFT(Base_Periodo1[[#This Row],[CLASS]],7),"")</f>
        <v>3.2.1.1</v>
      </c>
      <c r="F6508" s="3" t="e">
        <f>VLOOKUP(Base_Periodo1[[#This Row],[Aux]],Base_Contas_Balanco[#All],2,FALSE)</f>
        <v>#N/A</v>
      </c>
      <c r="G6508" s="1">
        <v>42886</v>
      </c>
      <c r="I6508" s="225">
        <v>1694.82</v>
      </c>
      <c r="J6508" s="225">
        <v>0</v>
      </c>
      <c r="K6508" s="225">
        <v>1694.82</v>
      </c>
      <c r="L650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-1694.82</v>
      </c>
      <c r="M6508" s="225">
        <f>ROUND(IF(AND(Base_Periodo1[[#This Row],[Tipo_Linha]]="-",Base_Periodo1[[#This Row],[TIPOSALDO]]="D"),Base_Periodo1[[#This Row],[SALDO_ATUAL]]*-1,Base_Periodo1[[#This Row],[SALDO_ATUAL]]),4)</f>
        <v>-1694.82</v>
      </c>
      <c r="N6508" t="s">
        <v>116</v>
      </c>
      <c r="O6508" t="s">
        <v>436</v>
      </c>
      <c r="P6508" t="s">
        <v>397</v>
      </c>
      <c r="Q6508">
        <v>9</v>
      </c>
      <c r="R6508" s="282">
        <f>Base_Periodo1[[#This Row],[CREDITOS]]-Base_Periodo1[[#This Row],[DEBITOS]]</f>
        <v>-1694.82</v>
      </c>
      <c r="S6508" s="3" t="str">
        <f>IF(ISERROR(VLOOKUP(Base_Periodo1[[#This Row],[CONTA]],BaseContasDRE[#All],4,FALSE)),"Fora do DRE",VLOOKUP(Base_Periodo1[[#This Row],[CONTA]],BaseContasDRE[#All],4,FALSE))</f>
        <v>-</v>
      </c>
      <c r="T6508" s="3">
        <f>IF(ISERROR(VLOOKUP(Base_Periodo1[[#This Row],[CONTA]],BaseContasDRE[#All],5,FALSE)),"Fora do DRE",VLOOKUP(Base_Periodo1[[#This Row],[CONTA]],BaseContasDRE[#All],6,FALSE))</f>
        <v>3</v>
      </c>
      <c r="U6508" s="3" t="str">
        <f>IF(ISERROR(VLOOKUP(Base_Periodo1[[#This Row],[CONTA]],BaseContasDRE[#All],7,FALSE)),"Fora do DRE",VLOOKUP(Base_Periodo1[[#This Row],[CONTA]],BaseContasDRE[#All],7,FALSE))</f>
        <v>INSUMOS AGROPECUARIOS</v>
      </c>
      <c r="V6508" s="3" t="str">
        <f>IF(Base_Periodo1[[#This Row],[Tipo_Linha]]="Fora do DRE","Fora do DRE","( "&amp;Base_Periodo1[[#This Row],[Tipo_Linha]]&amp;" ) "&amp;Base_Periodo1[[#This Row],[Filtro]])</f>
        <v>( - ) INSUMOS AGROPECUARIOS</v>
      </c>
      <c r="W6508" s="3" t="str">
        <f>LEFT(Base_Periodo1[[#This Row],[CLASS]],3)</f>
        <v>3.2</v>
      </c>
    </row>
    <row r="6509" spans="1:23" hidden="1">
      <c r="A6509" s="3" t="str">
        <f t="shared" si="101"/>
        <v>Período 1</v>
      </c>
      <c r="B6509">
        <v>31979</v>
      </c>
      <c r="C6509" t="s">
        <v>4092</v>
      </c>
      <c r="D6509" t="s">
        <v>3721</v>
      </c>
      <c r="E6509" s="3" t="str">
        <f>IF(LEN(Base_Periodo1[[#This Row],[CLASS]])&gt;=7,LEFT(Base_Periodo1[[#This Row],[CLASS]],7),"")</f>
        <v>3.2.1.1</v>
      </c>
      <c r="F6509" s="3" t="e">
        <f>VLOOKUP(Base_Periodo1[[#This Row],[Aux]],Base_Contas_Balanco[#All],2,FALSE)</f>
        <v>#N/A</v>
      </c>
      <c r="G6509" s="1"/>
      <c r="H6509" s="225">
        <v>1051.7200000394223</v>
      </c>
      <c r="I6509" s="225">
        <v>12937410.329999993</v>
      </c>
      <c r="J6509" s="225">
        <v>12934536.280000001</v>
      </c>
      <c r="K6509" s="225">
        <v>1822.3299999516457</v>
      </c>
      <c r="L650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-1822.33</v>
      </c>
      <c r="M6509" s="225">
        <f>ROUND(IF(AND(Base_Periodo1[[#This Row],[Tipo_Linha]]="-",Base_Periodo1[[#This Row],[TIPOSALDO]]="D"),Base_Periodo1[[#This Row],[SALDO_ATUAL]]*-1,Base_Periodo1[[#This Row],[SALDO_ATUAL]]),4)</f>
        <v>1822.33</v>
      </c>
      <c r="N6509" t="s">
        <v>396</v>
      </c>
      <c r="O6509" t="s">
        <v>459</v>
      </c>
      <c r="P6509" t="s">
        <v>397</v>
      </c>
      <c r="Q6509">
        <v>5</v>
      </c>
      <c r="R6509" s="282">
        <f>Base_Periodo1[[#This Row],[CREDITOS]]-Base_Periodo1[[#This Row],[DEBITOS]]</f>
        <v>-2874.0499999914318</v>
      </c>
      <c r="S6509" s="3" t="str">
        <f>IF(ISERROR(VLOOKUP(Base_Periodo1[[#This Row],[CONTA]],BaseContasDRE[#All],4,FALSE)),"Fora do DRE",VLOOKUP(Base_Periodo1[[#This Row],[CONTA]],BaseContasDRE[#All],4,FALSE))</f>
        <v>Fora do DRE</v>
      </c>
      <c r="T6509" s="3" t="str">
        <f>IF(ISERROR(VLOOKUP(Base_Periodo1[[#This Row],[CONTA]],BaseContasDRE[#All],5,FALSE)),"Fora do DRE",VLOOKUP(Base_Periodo1[[#This Row],[CONTA]],BaseContasDRE[#All],6,FALSE))</f>
        <v>Fora do DRE</v>
      </c>
      <c r="U6509" s="3" t="str">
        <f>IF(ISERROR(VLOOKUP(Base_Periodo1[[#This Row],[CONTA]],BaseContasDRE[#All],7,FALSE)),"Fora do DRE",VLOOKUP(Base_Periodo1[[#This Row],[CONTA]],BaseContasDRE[#All],7,FALSE))</f>
        <v>Fora do DRE</v>
      </c>
      <c r="V6509" s="3" t="str">
        <f>IF(Base_Periodo1[[#This Row],[Tipo_Linha]]="Fora do DRE","Fora do DRE","( "&amp;Base_Periodo1[[#This Row],[Tipo_Linha]]&amp;" ) "&amp;Base_Periodo1[[#This Row],[Filtro]])</f>
        <v>Fora do DRE</v>
      </c>
      <c r="W6509" s="3" t="str">
        <f>LEFT(Base_Periodo1[[#This Row],[CLASS]],3)</f>
        <v>3.2</v>
      </c>
    </row>
    <row r="6510" spans="1:23" hidden="1">
      <c r="A6510" s="3" t="str">
        <f t="shared" si="101"/>
        <v>Período 1</v>
      </c>
      <c r="B6510">
        <v>31980</v>
      </c>
      <c r="C6510" t="s">
        <v>4093</v>
      </c>
      <c r="D6510" t="s">
        <v>1479</v>
      </c>
      <c r="E6510" s="3" t="str">
        <f>IF(LEN(Base_Periodo1[[#This Row],[CLASS]])&gt;=7,LEFT(Base_Periodo1[[#This Row],[CLASS]],7),"")</f>
        <v>3.2.1.1</v>
      </c>
      <c r="F6510" s="3" t="e">
        <f>VLOOKUP(Base_Periodo1[[#This Row],[Aux]],Base_Contas_Balanco[#All],2,FALSE)</f>
        <v>#N/A</v>
      </c>
      <c r="G6510" s="1"/>
      <c r="H6510" s="225">
        <v>13091.480000000127</v>
      </c>
      <c r="I6510" s="225">
        <v>10733113.589999996</v>
      </c>
      <c r="J6510" s="225">
        <v>10736200.619999999</v>
      </c>
      <c r="K6510" s="225">
        <v>10004.449999997392</v>
      </c>
      <c r="L651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-10004.450000000001</v>
      </c>
      <c r="M6510" s="225">
        <f>ROUND(IF(AND(Base_Periodo1[[#This Row],[Tipo_Linha]]="-",Base_Periodo1[[#This Row],[TIPOSALDO]]="D"),Base_Periodo1[[#This Row],[SALDO_ATUAL]]*-1,Base_Periodo1[[#This Row],[SALDO_ATUAL]]),4)</f>
        <v>10004.450000000001</v>
      </c>
      <c r="N6510" t="s">
        <v>396</v>
      </c>
      <c r="O6510" t="s">
        <v>397</v>
      </c>
      <c r="P6510" t="s">
        <v>397</v>
      </c>
      <c r="Q6510">
        <v>6</v>
      </c>
      <c r="R6510" s="282">
        <f>Base_Periodo1[[#This Row],[CREDITOS]]-Base_Periodo1[[#This Row],[DEBITOS]]</f>
        <v>3087.0300000030547</v>
      </c>
      <c r="S6510" s="3" t="str">
        <f>IF(ISERROR(VLOOKUP(Base_Periodo1[[#This Row],[CONTA]],BaseContasDRE[#All],4,FALSE)),"Fora do DRE",VLOOKUP(Base_Periodo1[[#This Row],[CONTA]],BaseContasDRE[#All],4,FALSE))</f>
        <v>Fora do DRE</v>
      </c>
      <c r="T6510" s="3" t="str">
        <f>IF(ISERROR(VLOOKUP(Base_Periodo1[[#This Row],[CONTA]],BaseContasDRE[#All],5,FALSE)),"Fora do DRE",VLOOKUP(Base_Periodo1[[#This Row],[CONTA]],BaseContasDRE[#All],6,FALSE))</f>
        <v>Fora do DRE</v>
      </c>
      <c r="U6510" s="3" t="str">
        <f>IF(ISERROR(VLOOKUP(Base_Periodo1[[#This Row],[CONTA]],BaseContasDRE[#All],7,FALSE)),"Fora do DRE",VLOOKUP(Base_Periodo1[[#This Row],[CONTA]],BaseContasDRE[#All],7,FALSE))</f>
        <v>Fora do DRE</v>
      </c>
      <c r="V6510" s="3" t="str">
        <f>IF(Base_Periodo1[[#This Row],[Tipo_Linha]]="Fora do DRE","Fora do DRE","( "&amp;Base_Periodo1[[#This Row],[Tipo_Linha]]&amp;" ) "&amp;Base_Periodo1[[#This Row],[Filtro]])</f>
        <v>Fora do DRE</v>
      </c>
      <c r="W6510" s="3" t="str">
        <f>LEFT(Base_Periodo1[[#This Row],[CLASS]],3)</f>
        <v>3.2</v>
      </c>
    </row>
    <row r="6511" spans="1:23" hidden="1">
      <c r="A6511" s="3" t="str">
        <f t="shared" si="101"/>
        <v>Período 1</v>
      </c>
      <c r="B6511">
        <v>34331</v>
      </c>
      <c r="C6511" t="s">
        <v>4094</v>
      </c>
      <c r="D6511" t="s">
        <v>3725</v>
      </c>
      <c r="E6511" s="3" t="str">
        <f>IF(LEN(Base_Periodo1[[#This Row],[CLASS]])&gt;=7,LEFT(Base_Periodo1[[#This Row],[CLASS]],7),"")</f>
        <v>3.2.1.1</v>
      </c>
      <c r="F6511" s="3" t="e">
        <f>VLOOKUP(Base_Periodo1[[#This Row],[Aux]],Base_Contas_Balanco[#All],2,FALSE)</f>
        <v>#N/A</v>
      </c>
      <c r="G6511" s="1"/>
      <c r="I6511" s="225">
        <v>2210570.59</v>
      </c>
      <c r="J6511" s="225">
        <v>2211940.5900000003</v>
      </c>
      <c r="K6511" s="225">
        <v>1370.000000030268</v>
      </c>
      <c r="L651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1370</v>
      </c>
      <c r="M6511" s="225">
        <f>ROUND(IF(AND(Base_Periodo1[[#This Row],[Tipo_Linha]]="-",Base_Periodo1[[#This Row],[TIPOSALDO]]="D"),Base_Periodo1[[#This Row],[SALDO_ATUAL]]*-1,Base_Periodo1[[#This Row],[SALDO_ATUAL]]),4)</f>
        <v>1370</v>
      </c>
      <c r="N6511" t="s">
        <v>396</v>
      </c>
      <c r="O6511" t="s">
        <v>436</v>
      </c>
      <c r="P6511" t="s">
        <v>459</v>
      </c>
      <c r="Q6511">
        <v>7</v>
      </c>
      <c r="R6511" s="282">
        <f>Base_Periodo1[[#This Row],[CREDITOS]]-Base_Periodo1[[#This Row],[DEBITOS]]</f>
        <v>1370.0000000004657</v>
      </c>
      <c r="S6511" s="3" t="str">
        <f>IF(ISERROR(VLOOKUP(Base_Periodo1[[#This Row],[CONTA]],BaseContasDRE[#All],4,FALSE)),"Fora do DRE",VLOOKUP(Base_Periodo1[[#This Row],[CONTA]],BaseContasDRE[#All],4,FALSE))</f>
        <v>Fora do DRE</v>
      </c>
      <c r="T6511" s="3" t="str">
        <f>IF(ISERROR(VLOOKUP(Base_Periodo1[[#This Row],[CONTA]],BaseContasDRE[#All],5,FALSE)),"Fora do DRE",VLOOKUP(Base_Periodo1[[#This Row],[CONTA]],BaseContasDRE[#All],6,FALSE))</f>
        <v>Fora do DRE</v>
      </c>
      <c r="U6511" s="3" t="str">
        <f>IF(ISERROR(VLOOKUP(Base_Periodo1[[#This Row],[CONTA]],BaseContasDRE[#All],7,FALSE)),"Fora do DRE",VLOOKUP(Base_Periodo1[[#This Row],[CONTA]],BaseContasDRE[#All],7,FALSE))</f>
        <v>Fora do DRE</v>
      </c>
      <c r="V6511" s="3" t="str">
        <f>IF(Base_Periodo1[[#This Row],[Tipo_Linha]]="Fora do DRE","Fora do DRE","( "&amp;Base_Periodo1[[#This Row],[Tipo_Linha]]&amp;" ) "&amp;Base_Periodo1[[#This Row],[Filtro]])</f>
        <v>Fora do DRE</v>
      </c>
      <c r="W6511" s="3" t="str">
        <f>LEFT(Base_Periodo1[[#This Row],[CLASS]],3)</f>
        <v>3.2</v>
      </c>
    </row>
    <row r="6512" spans="1:23" hidden="1">
      <c r="A6512" s="3" t="str">
        <f t="shared" si="101"/>
        <v>Período 1</v>
      </c>
      <c r="B6512">
        <v>34332</v>
      </c>
      <c r="C6512" t="s">
        <v>4095</v>
      </c>
      <c r="D6512" t="s">
        <v>4096</v>
      </c>
      <c r="E6512" s="3" t="str">
        <f>IF(LEN(Base_Periodo1[[#This Row],[CLASS]])&gt;=7,LEFT(Base_Periodo1[[#This Row],[CLASS]],7),"")</f>
        <v>3.2.1.1</v>
      </c>
      <c r="F6512" s="3" t="e">
        <f>VLOOKUP(Base_Periodo1[[#This Row],[Aux]],Base_Contas_Balanco[#All],2,FALSE)</f>
        <v>#N/A</v>
      </c>
      <c r="G6512" s="1"/>
      <c r="I6512" s="225">
        <v>1234543.3</v>
      </c>
      <c r="J6512" s="225">
        <v>1240960.5</v>
      </c>
      <c r="K6512" s="225">
        <v>6417.2000000297558</v>
      </c>
      <c r="L651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6417.2</v>
      </c>
      <c r="M6512" s="225">
        <f>ROUND(IF(AND(Base_Periodo1[[#This Row],[Tipo_Linha]]="-",Base_Periodo1[[#This Row],[TIPOSALDO]]="D"),Base_Periodo1[[#This Row],[SALDO_ATUAL]]*-1,Base_Periodo1[[#This Row],[SALDO_ATUAL]]),4)</f>
        <v>6417.2</v>
      </c>
      <c r="N6512" t="s">
        <v>396</v>
      </c>
      <c r="O6512" t="s">
        <v>436</v>
      </c>
      <c r="P6512" t="s">
        <v>459</v>
      </c>
      <c r="Q6512">
        <v>8</v>
      </c>
      <c r="R6512" s="282">
        <f>Base_Periodo1[[#This Row],[CREDITOS]]-Base_Periodo1[[#This Row],[DEBITOS]]</f>
        <v>6417.1999999999534</v>
      </c>
      <c r="S6512" s="3" t="str">
        <f>IF(ISERROR(VLOOKUP(Base_Periodo1[[#This Row],[CONTA]],BaseContasDRE[#All],4,FALSE)),"Fora do DRE",VLOOKUP(Base_Periodo1[[#This Row],[CONTA]],BaseContasDRE[#All],4,FALSE))</f>
        <v>Fora do DRE</v>
      </c>
      <c r="T6512" s="3" t="str">
        <f>IF(ISERROR(VLOOKUP(Base_Periodo1[[#This Row],[CONTA]],BaseContasDRE[#All],5,FALSE)),"Fora do DRE",VLOOKUP(Base_Periodo1[[#This Row],[CONTA]],BaseContasDRE[#All],6,FALSE))</f>
        <v>Fora do DRE</v>
      </c>
      <c r="U6512" s="3" t="str">
        <f>IF(ISERROR(VLOOKUP(Base_Periodo1[[#This Row],[CONTA]],BaseContasDRE[#All],7,FALSE)),"Fora do DRE",VLOOKUP(Base_Periodo1[[#This Row],[CONTA]],BaseContasDRE[#All],7,FALSE))</f>
        <v>Fora do DRE</v>
      </c>
      <c r="V6512" s="3" t="str">
        <f>IF(Base_Periodo1[[#This Row],[Tipo_Linha]]="Fora do DRE","Fora do DRE","( "&amp;Base_Periodo1[[#This Row],[Tipo_Linha]]&amp;" ) "&amp;Base_Periodo1[[#This Row],[Filtro]])</f>
        <v>Fora do DRE</v>
      </c>
      <c r="W6512" s="3" t="str">
        <f>LEFT(Base_Periodo1[[#This Row],[CLASS]],3)</f>
        <v>3.2</v>
      </c>
    </row>
    <row r="6513" spans="1:23" hidden="1">
      <c r="A6513" s="3" t="str">
        <f t="shared" si="101"/>
        <v>Período 1</v>
      </c>
      <c r="B6513">
        <v>34333</v>
      </c>
      <c r="C6513" t="s">
        <v>4097</v>
      </c>
      <c r="D6513" t="s">
        <v>4096</v>
      </c>
      <c r="E6513" s="3" t="str">
        <f>IF(LEN(Base_Periodo1[[#This Row],[CLASS]])&gt;=7,LEFT(Base_Periodo1[[#This Row],[CLASS]],7),"")</f>
        <v>3.2.1.1</v>
      </c>
      <c r="F6513" s="3" t="e">
        <f>VLOOKUP(Base_Periodo1[[#This Row],[Aux]],Base_Contas_Balanco[#All],2,FALSE)</f>
        <v>#N/A</v>
      </c>
      <c r="G6513" s="1">
        <v>42886</v>
      </c>
      <c r="I6513" s="225">
        <v>1234543.3</v>
      </c>
      <c r="J6513" s="225">
        <v>1240960.5</v>
      </c>
      <c r="K6513" s="225">
        <v>6417.2000000297558</v>
      </c>
      <c r="L651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6417.2</v>
      </c>
      <c r="M6513" s="225">
        <f>ROUND(IF(AND(Base_Periodo1[[#This Row],[Tipo_Linha]]="-",Base_Periodo1[[#This Row],[TIPOSALDO]]="D"),Base_Periodo1[[#This Row],[SALDO_ATUAL]]*-1,Base_Periodo1[[#This Row],[SALDO_ATUAL]]),4)</f>
        <v>6417.2</v>
      </c>
      <c r="N6513" t="s">
        <v>116</v>
      </c>
      <c r="O6513" t="s">
        <v>436</v>
      </c>
      <c r="P6513" t="s">
        <v>459</v>
      </c>
      <c r="Q6513">
        <v>9</v>
      </c>
      <c r="R6513" s="282">
        <f>Base_Periodo1[[#This Row],[CREDITOS]]-Base_Periodo1[[#This Row],[DEBITOS]]</f>
        <v>6417.1999999999534</v>
      </c>
      <c r="S6513" s="3" t="str">
        <f>IF(ISERROR(VLOOKUP(Base_Periodo1[[#This Row],[CONTA]],BaseContasDRE[#All],4,FALSE)),"Fora do DRE",VLOOKUP(Base_Periodo1[[#This Row],[CONTA]],BaseContasDRE[#All],4,FALSE))</f>
        <v>+</v>
      </c>
      <c r="T6513" s="3">
        <f>IF(ISERROR(VLOOKUP(Base_Periodo1[[#This Row],[CONTA]],BaseContasDRE[#All],5,FALSE)),"Fora do DRE",VLOOKUP(Base_Periodo1[[#This Row],[CONTA]],BaseContasDRE[#All],6,FALSE))</f>
        <v>1</v>
      </c>
      <c r="U6513" s="3" t="str">
        <f>IF(ISERROR(VLOOKUP(Base_Periodo1[[#This Row],[CONTA]],BaseContasDRE[#All],7,FALSE)),"Fora do DRE",VLOOKUP(Base_Periodo1[[#This Row],[CONTA]],BaseContasDRE[#All],7,FALSE))</f>
        <v>SEMENTES PRODUZIDAS</v>
      </c>
      <c r="V6513" s="3" t="str">
        <f>IF(Base_Periodo1[[#This Row],[Tipo_Linha]]="Fora do DRE","Fora do DRE","( "&amp;Base_Periodo1[[#This Row],[Tipo_Linha]]&amp;" ) "&amp;Base_Periodo1[[#This Row],[Filtro]])</f>
        <v>( + ) SEMENTES PRODUZIDAS</v>
      </c>
      <c r="W6513" s="3" t="str">
        <f>LEFT(Base_Periodo1[[#This Row],[CLASS]],3)</f>
        <v>3.2</v>
      </c>
    </row>
    <row r="6514" spans="1:23" hidden="1">
      <c r="A6514" s="3" t="str">
        <f t="shared" si="101"/>
        <v>Período 1</v>
      </c>
      <c r="B6514">
        <v>35192</v>
      </c>
      <c r="C6514" t="s">
        <v>4098</v>
      </c>
      <c r="D6514" t="s">
        <v>4099</v>
      </c>
      <c r="E6514" s="3" t="str">
        <f>IF(LEN(Base_Periodo1[[#This Row],[CLASS]])&gt;=7,LEFT(Base_Periodo1[[#This Row],[CLASS]],7),"")</f>
        <v>3.2.1.1</v>
      </c>
      <c r="F6514" s="3" t="e">
        <f>VLOOKUP(Base_Periodo1[[#This Row],[Aux]],Base_Contas_Balanco[#All],2,FALSE)</f>
        <v>#N/A</v>
      </c>
      <c r="G6514" s="1"/>
      <c r="I6514" s="225">
        <v>195717.4</v>
      </c>
      <c r="J6514" s="225">
        <v>194705.31</v>
      </c>
      <c r="K6514" s="225">
        <v>1012.0899999999965</v>
      </c>
      <c r="L651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-1012.09</v>
      </c>
      <c r="M6514" s="225">
        <f>ROUND(IF(AND(Base_Periodo1[[#This Row],[Tipo_Linha]]="-",Base_Periodo1[[#This Row],[TIPOSALDO]]="D"),Base_Periodo1[[#This Row],[SALDO_ATUAL]]*-1,Base_Periodo1[[#This Row],[SALDO_ATUAL]]),4)</f>
        <v>1012.09</v>
      </c>
      <c r="N6514" t="s">
        <v>396</v>
      </c>
      <c r="O6514" t="s">
        <v>436</v>
      </c>
      <c r="P6514" t="s">
        <v>397</v>
      </c>
      <c r="Q6514">
        <v>8</v>
      </c>
      <c r="R6514" s="282">
        <f>Base_Periodo1[[#This Row],[CREDITOS]]-Base_Periodo1[[#This Row],[DEBITOS]]</f>
        <v>-1012.0899999999965</v>
      </c>
      <c r="S6514" s="3" t="str">
        <f>IF(ISERROR(VLOOKUP(Base_Periodo1[[#This Row],[CONTA]],BaseContasDRE[#All],4,FALSE)),"Fora do DRE",VLOOKUP(Base_Periodo1[[#This Row],[CONTA]],BaseContasDRE[#All],4,FALSE))</f>
        <v>Fora do DRE</v>
      </c>
      <c r="T6514" s="3" t="str">
        <f>IF(ISERROR(VLOOKUP(Base_Periodo1[[#This Row],[CONTA]],BaseContasDRE[#All],5,FALSE)),"Fora do DRE",VLOOKUP(Base_Periodo1[[#This Row],[CONTA]],BaseContasDRE[#All],6,FALSE))</f>
        <v>Fora do DRE</v>
      </c>
      <c r="U6514" s="3" t="str">
        <f>IF(ISERROR(VLOOKUP(Base_Periodo1[[#This Row],[CONTA]],BaseContasDRE[#All],7,FALSE)),"Fora do DRE",VLOOKUP(Base_Periodo1[[#This Row],[CONTA]],BaseContasDRE[#All],7,FALSE))</f>
        <v>Fora do DRE</v>
      </c>
      <c r="V6514" s="3" t="str">
        <f>IF(Base_Periodo1[[#This Row],[Tipo_Linha]]="Fora do DRE","Fora do DRE","( "&amp;Base_Periodo1[[#This Row],[Tipo_Linha]]&amp;" ) "&amp;Base_Periodo1[[#This Row],[Filtro]])</f>
        <v>Fora do DRE</v>
      </c>
      <c r="W6514" s="3" t="str">
        <f>LEFT(Base_Periodo1[[#This Row],[CLASS]],3)</f>
        <v>3.2</v>
      </c>
    </row>
    <row r="6515" spans="1:23" hidden="1">
      <c r="A6515" s="3" t="str">
        <f t="shared" si="101"/>
        <v>Período 1</v>
      </c>
      <c r="B6515">
        <v>35193</v>
      </c>
      <c r="C6515" t="s">
        <v>4100</v>
      </c>
      <c r="D6515" t="s">
        <v>4400</v>
      </c>
      <c r="E6515" s="3" t="str">
        <f>IF(LEN(Base_Periodo1[[#This Row],[CLASS]])&gt;=7,LEFT(Base_Periodo1[[#This Row],[CLASS]],7),"")</f>
        <v>3.2.1.1</v>
      </c>
      <c r="F6515" s="3" t="e">
        <f>VLOOKUP(Base_Periodo1[[#This Row],[Aux]],Base_Contas_Balanco[#All],2,FALSE)</f>
        <v>#N/A</v>
      </c>
      <c r="G6515" s="1">
        <v>42886</v>
      </c>
      <c r="I6515" s="225">
        <v>195717.4</v>
      </c>
      <c r="J6515" s="225">
        <v>194705.31</v>
      </c>
      <c r="K6515" s="225">
        <v>1012.0899999999965</v>
      </c>
      <c r="L651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-1012.09</v>
      </c>
      <c r="M6515" s="225">
        <f>ROUND(IF(AND(Base_Periodo1[[#This Row],[Tipo_Linha]]="-",Base_Periodo1[[#This Row],[TIPOSALDO]]="D"),Base_Periodo1[[#This Row],[SALDO_ATUAL]]*-1,Base_Periodo1[[#This Row],[SALDO_ATUAL]]),4)</f>
        <v>-1012.09</v>
      </c>
      <c r="N6515" t="s">
        <v>116</v>
      </c>
      <c r="O6515" t="s">
        <v>436</v>
      </c>
      <c r="P6515" t="s">
        <v>397</v>
      </c>
      <c r="Q6515">
        <v>9</v>
      </c>
      <c r="R6515" s="282">
        <f>Base_Periodo1[[#This Row],[CREDITOS]]-Base_Periodo1[[#This Row],[DEBITOS]]</f>
        <v>-1012.0899999999965</v>
      </c>
      <c r="S6515" s="3" t="str">
        <f>IF(ISERROR(VLOOKUP(Base_Periodo1[[#This Row],[CONTA]],BaseContasDRE[#All],4,FALSE)),"Fora do DRE",VLOOKUP(Base_Periodo1[[#This Row],[CONTA]],BaseContasDRE[#All],4,FALSE))</f>
        <v>-</v>
      </c>
      <c r="T6515" s="3">
        <f>IF(ISERROR(VLOOKUP(Base_Periodo1[[#This Row],[CONTA]],BaseContasDRE[#All],5,FALSE)),"Fora do DRE",VLOOKUP(Base_Periodo1[[#This Row],[CONTA]],BaseContasDRE[#All],6,FALSE))</f>
        <v>2</v>
      </c>
      <c r="U6515" s="3" t="str">
        <f>IF(ISERROR(VLOOKUP(Base_Periodo1[[#This Row],[CONTA]],BaseContasDRE[#All],7,FALSE)),"Fora do DRE",VLOOKUP(Base_Periodo1[[#This Row],[CONTA]],BaseContasDRE[#All],7,FALSE))</f>
        <v>DEVOLUÇÃO DE SEMENTE PRODUZIDA</v>
      </c>
      <c r="V6515" s="3" t="str">
        <f>IF(Base_Periodo1[[#This Row],[Tipo_Linha]]="Fora do DRE","Fora do DRE","( "&amp;Base_Periodo1[[#This Row],[Tipo_Linha]]&amp;" ) "&amp;Base_Periodo1[[#This Row],[Filtro]])</f>
        <v>( - ) DEVOLUÇÃO DE SEMENTE PRODUZIDA</v>
      </c>
      <c r="W6515" s="3" t="str">
        <f>LEFT(Base_Periodo1[[#This Row],[CLASS]],3)</f>
        <v>3.2</v>
      </c>
    </row>
    <row r="6516" spans="1:23" hidden="1">
      <c r="A6516" s="3" t="str">
        <f t="shared" si="101"/>
        <v>Período 1</v>
      </c>
      <c r="B6516">
        <v>34334</v>
      </c>
      <c r="C6516" t="s">
        <v>5116</v>
      </c>
      <c r="D6516" t="s">
        <v>5117</v>
      </c>
      <c r="E6516" s="3" t="str">
        <f>IF(LEN(Base_Periodo1[[#This Row],[CLASS]])&gt;=7,LEFT(Base_Periodo1[[#This Row],[CLASS]],7),"")</f>
        <v>3.2.1.1</v>
      </c>
      <c r="F6516" s="3" t="e">
        <f>VLOOKUP(Base_Periodo1[[#This Row],[Aux]],Base_Contas_Balanco[#All],2,FALSE)</f>
        <v>#N/A</v>
      </c>
      <c r="G6516" s="1"/>
      <c r="I6516" s="225">
        <v>1329.5</v>
      </c>
      <c r="J6516" s="225">
        <v>1322.62</v>
      </c>
      <c r="K6516" s="225">
        <v>6.8800000002329398</v>
      </c>
      <c r="L651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-6.88</v>
      </c>
      <c r="M6516" s="225">
        <f>ROUND(IF(AND(Base_Periodo1[[#This Row],[Tipo_Linha]]="-",Base_Periodo1[[#This Row],[TIPOSALDO]]="D"),Base_Periodo1[[#This Row],[SALDO_ATUAL]]*-1,Base_Periodo1[[#This Row],[SALDO_ATUAL]]),4)</f>
        <v>6.88</v>
      </c>
      <c r="N6516" t="s">
        <v>396</v>
      </c>
      <c r="O6516" t="s">
        <v>436</v>
      </c>
      <c r="P6516" t="s">
        <v>397</v>
      </c>
      <c r="Q6516">
        <v>8</v>
      </c>
      <c r="R6516" s="282">
        <f>Base_Periodo1[[#This Row],[CREDITOS]]-Base_Periodo1[[#This Row],[DEBITOS]]</f>
        <v>-6.8800000000001091</v>
      </c>
      <c r="S6516" s="3" t="str">
        <f>IF(ISERROR(VLOOKUP(Base_Periodo1[[#This Row],[CONTA]],BaseContasDRE[#All],4,FALSE)),"Fora do DRE",VLOOKUP(Base_Periodo1[[#This Row],[CONTA]],BaseContasDRE[#All],4,FALSE))</f>
        <v>Fora do DRE</v>
      </c>
      <c r="T6516" s="3" t="str">
        <f>IF(ISERROR(VLOOKUP(Base_Periodo1[[#This Row],[CONTA]],BaseContasDRE[#All],5,FALSE)),"Fora do DRE",VLOOKUP(Base_Periodo1[[#This Row],[CONTA]],BaseContasDRE[#All],6,FALSE))</f>
        <v>Fora do DRE</v>
      </c>
      <c r="U6516" s="3" t="str">
        <f>IF(ISERROR(VLOOKUP(Base_Periodo1[[#This Row],[CONTA]],BaseContasDRE[#All],7,FALSE)),"Fora do DRE",VLOOKUP(Base_Periodo1[[#This Row],[CONTA]],BaseContasDRE[#All],7,FALSE))</f>
        <v>Fora do DRE</v>
      </c>
      <c r="V6516" s="3" t="str">
        <f>IF(Base_Periodo1[[#This Row],[Tipo_Linha]]="Fora do DRE","Fora do DRE","( "&amp;Base_Periodo1[[#This Row],[Tipo_Linha]]&amp;" ) "&amp;Base_Periodo1[[#This Row],[Filtro]])</f>
        <v>Fora do DRE</v>
      </c>
      <c r="W6516" s="3" t="str">
        <f>LEFT(Base_Periodo1[[#This Row],[CLASS]],3)</f>
        <v>3.2</v>
      </c>
    </row>
    <row r="6517" spans="1:23" hidden="1">
      <c r="A6517" s="3" t="str">
        <f t="shared" si="101"/>
        <v>Período 1</v>
      </c>
      <c r="B6517">
        <v>34335</v>
      </c>
      <c r="C6517" t="s">
        <v>5118</v>
      </c>
      <c r="D6517" t="s">
        <v>3566</v>
      </c>
      <c r="E6517" s="3" t="str">
        <f>IF(LEN(Base_Periodo1[[#This Row],[CLASS]])&gt;=7,LEFT(Base_Periodo1[[#This Row],[CLASS]],7),"")</f>
        <v>3.2.1.1</v>
      </c>
      <c r="F6517" s="3" t="e">
        <f>VLOOKUP(Base_Periodo1[[#This Row],[Aux]],Base_Contas_Balanco[#All],2,FALSE)</f>
        <v>#N/A</v>
      </c>
      <c r="G6517" s="1">
        <v>42886</v>
      </c>
      <c r="I6517" s="225">
        <v>1329.5</v>
      </c>
      <c r="J6517" s="225">
        <v>1322.62</v>
      </c>
      <c r="K6517" s="225">
        <v>6.8800000002329398</v>
      </c>
      <c r="L651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-6.88</v>
      </c>
      <c r="M6517" s="225">
        <f>ROUND(IF(AND(Base_Periodo1[[#This Row],[Tipo_Linha]]="-",Base_Periodo1[[#This Row],[TIPOSALDO]]="D"),Base_Periodo1[[#This Row],[SALDO_ATUAL]]*-1,Base_Periodo1[[#This Row],[SALDO_ATUAL]]),4)</f>
        <v>-6.88</v>
      </c>
      <c r="N6517" t="s">
        <v>116</v>
      </c>
      <c r="O6517" t="s">
        <v>436</v>
      </c>
      <c r="P6517" t="s">
        <v>397</v>
      </c>
      <c r="Q6517">
        <v>9</v>
      </c>
      <c r="R6517" s="282">
        <f>Base_Periodo1[[#This Row],[CREDITOS]]-Base_Periodo1[[#This Row],[DEBITOS]]</f>
        <v>-6.8800000000001091</v>
      </c>
      <c r="S6517" s="3" t="str">
        <f>IF(ISERROR(VLOOKUP(Base_Periodo1[[#This Row],[CONTA]],BaseContasDRE[#All],4,FALSE)),"Fora do DRE",VLOOKUP(Base_Periodo1[[#This Row],[CONTA]],BaseContasDRE[#All],4,FALSE))</f>
        <v>-</v>
      </c>
      <c r="T6517" s="3">
        <f>IF(ISERROR(VLOOKUP(Base_Periodo1[[#This Row],[CONTA]],BaseContasDRE[#All],5,FALSE)),"Fora do DRE",VLOOKUP(Base_Periodo1[[#This Row],[CONTA]],BaseContasDRE[#All],6,FALSE))</f>
        <v>2</v>
      </c>
      <c r="U6517" s="3" t="str">
        <f>IF(ISERROR(VLOOKUP(Base_Periodo1[[#This Row],[CONTA]],BaseContasDRE[#All],7,FALSE)),"Fora do DRE",VLOOKUP(Base_Periodo1[[#This Row],[CONTA]],BaseContasDRE[#All],7,FALSE))</f>
        <v>ICMS SOBRE INGRESSOS E RECEITAS</v>
      </c>
      <c r="V6517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517" s="3" t="str">
        <f>LEFT(Base_Periodo1[[#This Row],[CLASS]],3)</f>
        <v>3.2</v>
      </c>
    </row>
    <row r="6518" spans="1:23" hidden="1">
      <c r="A6518" s="3" t="str">
        <f t="shared" si="101"/>
        <v>Período 1</v>
      </c>
      <c r="B6518">
        <v>34336</v>
      </c>
      <c r="C6518" t="s">
        <v>4416</v>
      </c>
      <c r="D6518" t="s">
        <v>3568</v>
      </c>
      <c r="E6518" s="3" t="str">
        <f>IF(LEN(Base_Periodo1[[#This Row],[CLASS]])&gt;=7,LEFT(Base_Periodo1[[#This Row],[CLASS]],7),"")</f>
        <v>3.2.1.1</v>
      </c>
      <c r="F6518" s="3" t="e">
        <f>VLOOKUP(Base_Periodo1[[#This Row],[Aux]],Base_Contas_Balanco[#All],2,FALSE)</f>
        <v>#N/A</v>
      </c>
      <c r="G6518" s="1"/>
      <c r="I6518" s="225">
        <v>778980.39</v>
      </c>
      <c r="J6518" s="225">
        <v>774952.16</v>
      </c>
      <c r="K6518" s="225">
        <v>4028.2299999999814</v>
      </c>
      <c r="L651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-4028.23</v>
      </c>
      <c r="M6518" s="225">
        <f>ROUND(IF(AND(Base_Periodo1[[#This Row],[Tipo_Linha]]="-",Base_Periodo1[[#This Row],[TIPOSALDO]]="D"),Base_Periodo1[[#This Row],[SALDO_ATUAL]]*-1,Base_Periodo1[[#This Row],[SALDO_ATUAL]]),4)</f>
        <v>4028.23</v>
      </c>
      <c r="N6518" t="s">
        <v>396</v>
      </c>
      <c r="O6518" t="s">
        <v>436</v>
      </c>
      <c r="P6518" t="s">
        <v>397</v>
      </c>
      <c r="Q6518">
        <v>8</v>
      </c>
      <c r="R6518" s="282">
        <f>Base_Periodo1[[#This Row],[CREDITOS]]-Base_Periodo1[[#This Row],[DEBITOS]]</f>
        <v>-4028.2299999999814</v>
      </c>
      <c r="S6518" s="3" t="str">
        <f>IF(ISERROR(VLOOKUP(Base_Periodo1[[#This Row],[CONTA]],BaseContasDRE[#All],4,FALSE)),"Fora do DRE",VLOOKUP(Base_Periodo1[[#This Row],[CONTA]],BaseContasDRE[#All],4,FALSE))</f>
        <v>Fora do DRE</v>
      </c>
      <c r="T6518" s="3" t="str">
        <f>IF(ISERROR(VLOOKUP(Base_Periodo1[[#This Row],[CONTA]],BaseContasDRE[#All],5,FALSE)),"Fora do DRE",VLOOKUP(Base_Periodo1[[#This Row],[CONTA]],BaseContasDRE[#All],6,FALSE))</f>
        <v>Fora do DRE</v>
      </c>
      <c r="U6518" s="3" t="str">
        <f>IF(ISERROR(VLOOKUP(Base_Periodo1[[#This Row],[CONTA]],BaseContasDRE[#All],7,FALSE)),"Fora do DRE",VLOOKUP(Base_Periodo1[[#This Row],[CONTA]],BaseContasDRE[#All],7,FALSE))</f>
        <v>Fora do DRE</v>
      </c>
      <c r="V6518" s="3" t="str">
        <f>IF(Base_Periodo1[[#This Row],[Tipo_Linha]]="Fora do DRE","Fora do DRE","( "&amp;Base_Periodo1[[#This Row],[Tipo_Linha]]&amp;" ) "&amp;Base_Periodo1[[#This Row],[Filtro]])</f>
        <v>Fora do DRE</v>
      </c>
      <c r="W6518" s="3" t="str">
        <f>LEFT(Base_Periodo1[[#This Row],[CLASS]],3)</f>
        <v>3.2</v>
      </c>
    </row>
    <row r="6519" spans="1:23" hidden="1">
      <c r="A6519" s="3" t="str">
        <f t="shared" si="101"/>
        <v>Período 1</v>
      </c>
      <c r="B6519">
        <v>34337</v>
      </c>
      <c r="C6519" t="s">
        <v>4417</v>
      </c>
      <c r="D6519" t="s">
        <v>3568</v>
      </c>
      <c r="E6519" s="3" t="str">
        <f>IF(LEN(Base_Periodo1[[#This Row],[CLASS]])&gt;=7,LEFT(Base_Periodo1[[#This Row],[CLASS]],7),"")</f>
        <v>3.2.1.1</v>
      </c>
      <c r="F6519" s="3" t="e">
        <f>VLOOKUP(Base_Periodo1[[#This Row],[Aux]],Base_Contas_Balanco[#All],2,FALSE)</f>
        <v>#N/A</v>
      </c>
      <c r="G6519" s="1">
        <v>42886</v>
      </c>
      <c r="I6519" s="225">
        <v>778980.39</v>
      </c>
      <c r="J6519" s="225">
        <v>774952.16</v>
      </c>
      <c r="K6519" s="225">
        <v>4028.2299999999814</v>
      </c>
      <c r="L651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-4028.23</v>
      </c>
      <c r="M6519" s="225">
        <f>ROUND(IF(AND(Base_Periodo1[[#This Row],[Tipo_Linha]]="-",Base_Periodo1[[#This Row],[TIPOSALDO]]="D"),Base_Periodo1[[#This Row],[SALDO_ATUAL]]*-1,Base_Periodo1[[#This Row],[SALDO_ATUAL]]),4)</f>
        <v>-4028.23</v>
      </c>
      <c r="N6519" t="s">
        <v>116</v>
      </c>
      <c r="O6519" t="s">
        <v>436</v>
      </c>
      <c r="P6519" t="s">
        <v>397</v>
      </c>
      <c r="Q6519">
        <v>9</v>
      </c>
      <c r="R6519" s="282">
        <f>Base_Periodo1[[#This Row],[CREDITOS]]-Base_Periodo1[[#This Row],[DEBITOS]]</f>
        <v>-4028.2299999999814</v>
      </c>
      <c r="S6519" s="3" t="str">
        <f>IF(ISERROR(VLOOKUP(Base_Periodo1[[#This Row],[CONTA]],BaseContasDRE[#All],4,FALSE)),"Fora do DRE",VLOOKUP(Base_Periodo1[[#This Row],[CONTA]],BaseContasDRE[#All],4,FALSE))</f>
        <v>-</v>
      </c>
      <c r="T6519" s="3">
        <f>IF(ISERROR(VLOOKUP(Base_Periodo1[[#This Row],[CONTA]],BaseContasDRE[#All],5,FALSE)),"Fora do DRE",VLOOKUP(Base_Periodo1[[#This Row],[CONTA]],BaseContasDRE[#All],6,FALSE))</f>
        <v>3</v>
      </c>
      <c r="U6519" s="3" t="str">
        <f>IF(ISERROR(VLOOKUP(Base_Periodo1[[#This Row],[CONTA]],BaseContasDRE[#All],7,FALSE)),"Fora do DRE",VLOOKUP(Base_Periodo1[[#This Row],[CONTA]],BaseContasDRE[#All],7,FALSE))</f>
        <v>PRODUÇÃO DE SEMENTES</v>
      </c>
      <c r="V6519" s="3" t="str">
        <f>IF(Base_Periodo1[[#This Row],[Tipo_Linha]]="Fora do DRE","Fora do DRE","( "&amp;Base_Periodo1[[#This Row],[Tipo_Linha]]&amp;" ) "&amp;Base_Periodo1[[#This Row],[Filtro]])</f>
        <v>( - ) PRODUÇÃO DE SEMENTES</v>
      </c>
      <c r="W6519" s="3" t="str">
        <f>LEFT(Base_Periodo1[[#This Row],[CLASS]],3)</f>
        <v>3.2</v>
      </c>
    </row>
    <row r="6520" spans="1:23" hidden="1">
      <c r="A6520" s="3" t="str">
        <f t="shared" si="101"/>
        <v>Período 1</v>
      </c>
      <c r="B6520">
        <v>32208</v>
      </c>
      <c r="C6520" t="s">
        <v>6668</v>
      </c>
      <c r="D6520" t="s">
        <v>4441</v>
      </c>
      <c r="E6520" s="3" t="str">
        <f>IF(LEN(Base_Periodo1[[#This Row],[CLASS]])&gt;=7,LEFT(Base_Periodo1[[#This Row],[CLASS]],7),"")</f>
        <v>3.2.1.1</v>
      </c>
      <c r="F6520" s="3" t="e">
        <f>VLOOKUP(Base_Periodo1[[#This Row],[Aux]],Base_Contas_Balanco[#All],2,FALSE)</f>
        <v>#N/A</v>
      </c>
      <c r="G6520" s="1"/>
      <c r="H6520" s="225">
        <v>13091.480000025942</v>
      </c>
      <c r="I6520" s="225">
        <v>6524535.5099999998</v>
      </c>
      <c r="J6520" s="225">
        <v>6526252.540000001</v>
      </c>
      <c r="K6520" s="225">
        <v>11374.450000024401</v>
      </c>
      <c r="L652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-11374.45</v>
      </c>
      <c r="M6520" s="225">
        <f>ROUND(IF(AND(Base_Periodo1[[#This Row],[Tipo_Linha]]="-",Base_Periodo1[[#This Row],[TIPOSALDO]]="D"),Base_Periodo1[[#This Row],[SALDO_ATUAL]]*-1,Base_Periodo1[[#This Row],[SALDO_ATUAL]]),4)</f>
        <v>11374.45</v>
      </c>
      <c r="N6520" t="s">
        <v>396</v>
      </c>
      <c r="O6520" t="s">
        <v>397</v>
      </c>
      <c r="P6520" t="s">
        <v>397</v>
      </c>
      <c r="Q6520">
        <v>7</v>
      </c>
      <c r="R6520" s="282">
        <f>Base_Periodo1[[#This Row],[CREDITOS]]-Base_Periodo1[[#This Row],[DEBITOS]]</f>
        <v>1717.0300000011921</v>
      </c>
      <c r="S6520" s="3" t="str">
        <f>IF(ISERROR(VLOOKUP(Base_Periodo1[[#This Row],[CONTA]],BaseContasDRE[#All],4,FALSE)),"Fora do DRE",VLOOKUP(Base_Periodo1[[#This Row],[CONTA]],BaseContasDRE[#All],4,FALSE))</f>
        <v>Fora do DRE</v>
      </c>
      <c r="T6520" s="3" t="str">
        <f>IF(ISERROR(VLOOKUP(Base_Periodo1[[#This Row],[CONTA]],BaseContasDRE[#All],5,FALSE)),"Fora do DRE",VLOOKUP(Base_Periodo1[[#This Row],[CONTA]],BaseContasDRE[#All],6,FALSE))</f>
        <v>Fora do DRE</v>
      </c>
      <c r="U6520" s="3" t="str">
        <f>IF(ISERROR(VLOOKUP(Base_Periodo1[[#This Row],[CONTA]],BaseContasDRE[#All],7,FALSE)),"Fora do DRE",VLOOKUP(Base_Periodo1[[#This Row],[CONTA]],BaseContasDRE[#All],7,FALSE))</f>
        <v>Fora do DRE</v>
      </c>
      <c r="V6520" s="3" t="str">
        <f>IF(Base_Periodo1[[#This Row],[Tipo_Linha]]="Fora do DRE","Fora do DRE","( "&amp;Base_Periodo1[[#This Row],[Tipo_Linha]]&amp;" ) "&amp;Base_Periodo1[[#This Row],[Filtro]])</f>
        <v>Fora do DRE</v>
      </c>
      <c r="W6520" s="3" t="str">
        <f>LEFT(Base_Periodo1[[#This Row],[CLASS]],3)</f>
        <v>3.2</v>
      </c>
    </row>
    <row r="6521" spans="1:23" hidden="1">
      <c r="A6521" s="3" t="str">
        <f t="shared" si="101"/>
        <v>Período 1</v>
      </c>
      <c r="B6521">
        <v>32209</v>
      </c>
      <c r="C6521" t="s">
        <v>6669</v>
      </c>
      <c r="D6521" t="s">
        <v>4096</v>
      </c>
      <c r="E6521" s="3" t="str">
        <f>IF(LEN(Base_Periodo1[[#This Row],[CLASS]])&gt;=7,LEFT(Base_Periodo1[[#This Row],[CLASS]],7),"")</f>
        <v>3.2.1.1</v>
      </c>
      <c r="F6521" s="3" t="e">
        <f>VLOOKUP(Base_Periodo1[[#This Row],[Aux]],Base_Contas_Balanco[#All],2,FALSE)</f>
        <v>#N/A</v>
      </c>
      <c r="G6521" s="1"/>
      <c r="H6521" s="225">
        <v>180695.72999998927</v>
      </c>
      <c r="I6521" s="225">
        <v>3153791.27</v>
      </c>
      <c r="J6521" s="225">
        <v>3091770.5100000007</v>
      </c>
      <c r="K6521" s="225">
        <v>118674.96999998996</v>
      </c>
      <c r="L652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118674.97</v>
      </c>
      <c r="M6521" s="225">
        <f>ROUND(IF(AND(Base_Periodo1[[#This Row],[Tipo_Linha]]="-",Base_Periodo1[[#This Row],[TIPOSALDO]]="D"),Base_Periodo1[[#This Row],[SALDO_ATUAL]]*-1,Base_Periodo1[[#This Row],[SALDO_ATUAL]]),4)</f>
        <v>118674.97</v>
      </c>
      <c r="N6521" t="s">
        <v>396</v>
      </c>
      <c r="O6521" t="s">
        <v>459</v>
      </c>
      <c r="P6521" t="s">
        <v>459</v>
      </c>
      <c r="Q6521">
        <v>8</v>
      </c>
      <c r="R6521" s="282">
        <f>Base_Periodo1[[#This Row],[CREDITOS]]-Base_Periodo1[[#This Row],[DEBITOS]]</f>
        <v>-62020.759999999311</v>
      </c>
      <c r="S6521" s="3" t="str">
        <f>IF(ISERROR(VLOOKUP(Base_Periodo1[[#This Row],[CONTA]],BaseContasDRE[#All],4,FALSE)),"Fora do DRE",VLOOKUP(Base_Periodo1[[#This Row],[CONTA]],BaseContasDRE[#All],4,FALSE))</f>
        <v>Fora do DRE</v>
      </c>
      <c r="T6521" s="3" t="str">
        <f>IF(ISERROR(VLOOKUP(Base_Periodo1[[#This Row],[CONTA]],BaseContasDRE[#All],5,FALSE)),"Fora do DRE",VLOOKUP(Base_Periodo1[[#This Row],[CONTA]],BaseContasDRE[#All],6,FALSE))</f>
        <v>Fora do DRE</v>
      </c>
      <c r="U6521" s="3" t="str">
        <f>IF(ISERROR(VLOOKUP(Base_Periodo1[[#This Row],[CONTA]],BaseContasDRE[#All],7,FALSE)),"Fora do DRE",VLOOKUP(Base_Periodo1[[#This Row],[CONTA]],BaseContasDRE[#All],7,FALSE))</f>
        <v>Fora do DRE</v>
      </c>
      <c r="V6521" s="3" t="str">
        <f>IF(Base_Periodo1[[#This Row],[Tipo_Linha]]="Fora do DRE","Fora do DRE","( "&amp;Base_Periodo1[[#This Row],[Tipo_Linha]]&amp;" ) "&amp;Base_Periodo1[[#This Row],[Filtro]])</f>
        <v>Fora do DRE</v>
      </c>
      <c r="W6521" s="3" t="str">
        <f>LEFT(Base_Periodo1[[#This Row],[CLASS]],3)</f>
        <v>3.2</v>
      </c>
    </row>
    <row r="6522" spans="1:23" hidden="1">
      <c r="A6522" s="3" t="str">
        <f t="shared" si="101"/>
        <v>Período 1</v>
      </c>
      <c r="B6522">
        <v>32210</v>
      </c>
      <c r="C6522" t="s">
        <v>6670</v>
      </c>
      <c r="D6522" t="s">
        <v>4096</v>
      </c>
      <c r="E6522" s="3" t="str">
        <f>IF(LEN(Base_Periodo1[[#This Row],[CLASS]])&gt;=7,LEFT(Base_Periodo1[[#This Row],[CLASS]],7),"")</f>
        <v>3.2.1.1</v>
      </c>
      <c r="F6522" s="3" t="e">
        <f>VLOOKUP(Base_Periodo1[[#This Row],[Aux]],Base_Contas_Balanco[#All],2,FALSE)</f>
        <v>#N/A</v>
      </c>
      <c r="G6522" s="1">
        <v>42886</v>
      </c>
      <c r="H6522" s="225">
        <v>180695.72999998927</v>
      </c>
      <c r="I6522" s="225">
        <v>3153791.27</v>
      </c>
      <c r="J6522" s="225">
        <v>3091770.5100000007</v>
      </c>
      <c r="K6522" s="225">
        <v>118674.96999998996</v>
      </c>
      <c r="L652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118674.97</v>
      </c>
      <c r="M6522" s="225">
        <f>ROUND(IF(AND(Base_Periodo1[[#This Row],[Tipo_Linha]]="-",Base_Periodo1[[#This Row],[TIPOSALDO]]="D"),Base_Periodo1[[#This Row],[SALDO_ATUAL]]*-1,Base_Periodo1[[#This Row],[SALDO_ATUAL]]),4)</f>
        <v>118674.97</v>
      </c>
      <c r="N6522" t="s">
        <v>116</v>
      </c>
      <c r="O6522" t="s">
        <v>459</v>
      </c>
      <c r="P6522" t="s">
        <v>459</v>
      </c>
      <c r="Q6522">
        <v>9</v>
      </c>
      <c r="R6522" s="282">
        <f>Base_Periodo1[[#This Row],[CREDITOS]]-Base_Periodo1[[#This Row],[DEBITOS]]</f>
        <v>-62020.759999999311</v>
      </c>
      <c r="S6522" s="3" t="str">
        <f>IF(ISERROR(VLOOKUP(Base_Periodo1[[#This Row],[CONTA]],BaseContasDRE[#All],4,FALSE)),"Fora do DRE",VLOOKUP(Base_Periodo1[[#This Row],[CONTA]],BaseContasDRE[#All],4,FALSE))</f>
        <v>+</v>
      </c>
      <c r="T6522" s="3">
        <f>IF(ISERROR(VLOOKUP(Base_Periodo1[[#This Row],[CONTA]],BaseContasDRE[#All],5,FALSE)),"Fora do DRE",VLOOKUP(Base_Periodo1[[#This Row],[CONTA]],BaseContasDRE[#All],6,FALSE))</f>
        <v>1</v>
      </c>
      <c r="U6522" s="3" t="str">
        <f>IF(ISERROR(VLOOKUP(Base_Periodo1[[#This Row],[CONTA]],BaseContasDRE[#All],7,FALSE)),"Fora do DRE",VLOOKUP(Base_Periodo1[[#This Row],[CONTA]],BaseContasDRE[#All],7,FALSE))</f>
        <v>SEMENTES PRODUZIDAS</v>
      </c>
      <c r="V6522" s="3" t="str">
        <f>IF(Base_Periodo1[[#This Row],[Tipo_Linha]]="Fora do DRE","Fora do DRE","( "&amp;Base_Periodo1[[#This Row],[Tipo_Linha]]&amp;" ) "&amp;Base_Periodo1[[#This Row],[Filtro]])</f>
        <v>( + ) SEMENTES PRODUZIDAS</v>
      </c>
      <c r="W6522" s="3" t="str">
        <f>LEFT(Base_Periodo1[[#This Row],[CLASS]],3)</f>
        <v>3.2</v>
      </c>
    </row>
    <row r="6523" spans="1:23" hidden="1">
      <c r="A6523" s="3" t="str">
        <f t="shared" si="101"/>
        <v>Período 1</v>
      </c>
      <c r="B6523">
        <v>33313</v>
      </c>
      <c r="C6523" t="s">
        <v>6671</v>
      </c>
      <c r="D6523" t="s">
        <v>6672</v>
      </c>
      <c r="E6523" s="3" t="str">
        <f>IF(LEN(Base_Periodo1[[#This Row],[CLASS]])&gt;=7,LEFT(Base_Periodo1[[#This Row],[CLASS]],7),"")</f>
        <v>3.2.1.1</v>
      </c>
      <c r="F6523" s="3" t="e">
        <f>VLOOKUP(Base_Periodo1[[#This Row],[Aux]],Base_Contas_Balanco[#All],2,FALSE)</f>
        <v>#N/A</v>
      </c>
      <c r="G6523" s="1"/>
      <c r="H6523" s="225">
        <v>80.53000000002794</v>
      </c>
      <c r="I6523" s="225">
        <v>57619.47</v>
      </c>
      <c r="J6523" s="225">
        <v>55594.27</v>
      </c>
      <c r="K6523" s="225">
        <v>2105.7300000000323</v>
      </c>
      <c r="L652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-2105.73</v>
      </c>
      <c r="M6523" s="225">
        <f>ROUND(IF(AND(Base_Periodo1[[#This Row],[Tipo_Linha]]="-",Base_Periodo1[[#This Row],[TIPOSALDO]]="D"),Base_Periodo1[[#This Row],[SALDO_ATUAL]]*-1,Base_Periodo1[[#This Row],[SALDO_ATUAL]]),4)</f>
        <v>2105.73</v>
      </c>
      <c r="N6523" t="s">
        <v>396</v>
      </c>
      <c r="O6523" t="s">
        <v>397</v>
      </c>
      <c r="P6523" t="s">
        <v>397</v>
      </c>
      <c r="Q6523">
        <v>8</v>
      </c>
      <c r="R6523" s="282">
        <f>Base_Periodo1[[#This Row],[CREDITOS]]-Base_Periodo1[[#This Row],[DEBITOS]]</f>
        <v>-2025.2000000000044</v>
      </c>
      <c r="S6523" s="3" t="str">
        <f>IF(ISERROR(VLOOKUP(Base_Periodo1[[#This Row],[CONTA]],BaseContasDRE[#All],4,FALSE)),"Fora do DRE",VLOOKUP(Base_Periodo1[[#This Row],[CONTA]],BaseContasDRE[#All],4,FALSE))</f>
        <v>Fora do DRE</v>
      </c>
      <c r="T6523" s="3" t="str">
        <f>IF(ISERROR(VLOOKUP(Base_Periodo1[[#This Row],[CONTA]],BaseContasDRE[#All],5,FALSE)),"Fora do DRE",VLOOKUP(Base_Periodo1[[#This Row],[CONTA]],BaseContasDRE[#All],6,FALSE))</f>
        <v>Fora do DRE</v>
      </c>
      <c r="U6523" s="3" t="str">
        <f>IF(ISERROR(VLOOKUP(Base_Periodo1[[#This Row],[CONTA]],BaseContasDRE[#All],7,FALSE)),"Fora do DRE",VLOOKUP(Base_Periodo1[[#This Row],[CONTA]],BaseContasDRE[#All],7,FALSE))</f>
        <v>Fora do DRE</v>
      </c>
      <c r="V6523" s="3" t="str">
        <f>IF(Base_Periodo1[[#This Row],[Tipo_Linha]]="Fora do DRE","Fora do DRE","( "&amp;Base_Periodo1[[#This Row],[Tipo_Linha]]&amp;" ) "&amp;Base_Periodo1[[#This Row],[Filtro]])</f>
        <v>Fora do DRE</v>
      </c>
      <c r="W6523" s="3" t="str">
        <f>LEFT(Base_Periodo1[[#This Row],[CLASS]],3)</f>
        <v>3.2</v>
      </c>
    </row>
    <row r="6524" spans="1:23" hidden="1">
      <c r="A6524" s="3" t="str">
        <f t="shared" si="101"/>
        <v>Período 1</v>
      </c>
      <c r="B6524">
        <v>33314</v>
      </c>
      <c r="C6524" t="s">
        <v>6673</v>
      </c>
      <c r="D6524" t="s">
        <v>3992</v>
      </c>
      <c r="E6524" s="3" t="str">
        <f>IF(LEN(Base_Periodo1[[#This Row],[CLASS]])&gt;=7,LEFT(Base_Periodo1[[#This Row],[CLASS]],7),"")</f>
        <v>3.2.1.1</v>
      </c>
      <c r="F6524" s="3" t="e">
        <f>VLOOKUP(Base_Periodo1[[#This Row],[Aux]],Base_Contas_Balanco[#All],2,FALSE)</f>
        <v>#N/A</v>
      </c>
      <c r="G6524" s="1">
        <v>42886</v>
      </c>
      <c r="H6524" s="225">
        <v>80.53000000002794</v>
      </c>
      <c r="I6524" s="225">
        <v>57619.47</v>
      </c>
      <c r="J6524" s="225">
        <v>55594.27</v>
      </c>
      <c r="K6524" s="225">
        <v>2105.7300000000323</v>
      </c>
      <c r="L652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-2105.73</v>
      </c>
      <c r="M6524" s="225">
        <f>ROUND(IF(AND(Base_Periodo1[[#This Row],[Tipo_Linha]]="-",Base_Periodo1[[#This Row],[TIPOSALDO]]="D"),Base_Periodo1[[#This Row],[SALDO_ATUAL]]*-1,Base_Periodo1[[#This Row],[SALDO_ATUAL]]),4)</f>
        <v>-2105.73</v>
      </c>
      <c r="N6524" t="s">
        <v>116</v>
      </c>
      <c r="O6524" t="s">
        <v>397</v>
      </c>
      <c r="P6524" t="s">
        <v>397</v>
      </c>
      <c r="Q6524">
        <v>9</v>
      </c>
      <c r="R6524" s="282">
        <f>Base_Periodo1[[#This Row],[CREDITOS]]-Base_Periodo1[[#This Row],[DEBITOS]]</f>
        <v>-2025.2000000000044</v>
      </c>
      <c r="S6524" s="3" t="str">
        <f>IF(ISERROR(VLOOKUP(Base_Periodo1[[#This Row],[CONTA]],BaseContasDRE[#All],4,FALSE)),"Fora do DRE",VLOOKUP(Base_Periodo1[[#This Row],[CONTA]],BaseContasDRE[#All],4,FALSE))</f>
        <v>-</v>
      </c>
      <c r="T6524" s="3">
        <f>IF(ISERROR(VLOOKUP(Base_Periodo1[[#This Row],[CONTA]],BaseContasDRE[#All],5,FALSE)),"Fora do DRE",VLOOKUP(Base_Periodo1[[#This Row],[CONTA]],BaseContasDRE[#All],6,FALSE))</f>
        <v>2</v>
      </c>
      <c r="U6524" s="3" t="str">
        <f>IF(ISERROR(VLOOKUP(Base_Periodo1[[#This Row],[CONTA]],BaseContasDRE[#All],7,FALSE)),"Fora do DRE",VLOOKUP(Base_Periodo1[[#This Row],[CONTA]],BaseContasDRE[#All],7,FALSE))</f>
        <v>DEVOLUÇÃO DE SEMENTE PRODUZIDA</v>
      </c>
      <c r="V6524" s="3" t="str">
        <f>IF(Base_Periodo1[[#This Row],[Tipo_Linha]]="Fora do DRE","Fora do DRE","( "&amp;Base_Periodo1[[#This Row],[Tipo_Linha]]&amp;" ) "&amp;Base_Periodo1[[#This Row],[Filtro]])</f>
        <v>( - ) DEVOLUÇÃO DE SEMENTE PRODUZIDA</v>
      </c>
      <c r="W6524" s="3" t="str">
        <f>LEFT(Base_Periodo1[[#This Row],[CLASS]],3)</f>
        <v>3.2</v>
      </c>
    </row>
    <row r="6525" spans="1:23" hidden="1">
      <c r="A6525" s="3" t="str">
        <f t="shared" si="101"/>
        <v>Período 1</v>
      </c>
      <c r="B6525">
        <v>32211</v>
      </c>
      <c r="C6525" t="s">
        <v>6674</v>
      </c>
      <c r="D6525" t="s">
        <v>4101</v>
      </c>
      <c r="E6525" s="3" t="str">
        <f>IF(LEN(Base_Periodo1[[#This Row],[CLASS]])&gt;=7,LEFT(Base_Periodo1[[#This Row],[CLASS]],7),"")</f>
        <v>3.2.1.1</v>
      </c>
      <c r="F6525" s="3" t="e">
        <f>VLOOKUP(Base_Periodo1[[#This Row],[Aux]],Base_Contas_Balanco[#All],2,FALSE)</f>
        <v>#N/A</v>
      </c>
      <c r="G6525" s="1"/>
      <c r="H6525" s="225">
        <v>3521.859999999986</v>
      </c>
      <c r="I6525" s="225">
        <v>58628.180000000008</v>
      </c>
      <c r="J6525" s="225">
        <v>59918</v>
      </c>
      <c r="K6525" s="225">
        <v>2232.0399999999936</v>
      </c>
      <c r="L652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-2232.04</v>
      </c>
      <c r="M6525" s="225">
        <f>ROUND(IF(AND(Base_Periodo1[[#This Row],[Tipo_Linha]]="-",Base_Periodo1[[#This Row],[TIPOSALDO]]="D"),Base_Periodo1[[#This Row],[SALDO_ATUAL]]*-1,Base_Periodo1[[#This Row],[SALDO_ATUAL]]),4)</f>
        <v>2232.04</v>
      </c>
      <c r="N6525" t="s">
        <v>396</v>
      </c>
      <c r="O6525" t="s">
        <v>397</v>
      </c>
      <c r="P6525" t="s">
        <v>397</v>
      </c>
      <c r="Q6525">
        <v>8</v>
      </c>
      <c r="R6525" s="282">
        <f>Base_Periodo1[[#This Row],[CREDITOS]]-Base_Periodo1[[#This Row],[DEBITOS]]</f>
        <v>1289.8199999999924</v>
      </c>
      <c r="S6525" s="3" t="str">
        <f>IF(ISERROR(VLOOKUP(Base_Periodo1[[#This Row],[CONTA]],BaseContasDRE[#All],4,FALSE)),"Fora do DRE",VLOOKUP(Base_Periodo1[[#This Row],[CONTA]],BaseContasDRE[#All],4,FALSE))</f>
        <v>Fora do DRE</v>
      </c>
      <c r="T6525" s="3" t="str">
        <f>IF(ISERROR(VLOOKUP(Base_Periodo1[[#This Row],[CONTA]],BaseContasDRE[#All],5,FALSE)),"Fora do DRE",VLOOKUP(Base_Periodo1[[#This Row],[CONTA]],BaseContasDRE[#All],6,FALSE))</f>
        <v>Fora do DRE</v>
      </c>
      <c r="U6525" s="3" t="str">
        <f>IF(ISERROR(VLOOKUP(Base_Periodo1[[#This Row],[CONTA]],BaseContasDRE[#All],7,FALSE)),"Fora do DRE",VLOOKUP(Base_Periodo1[[#This Row],[CONTA]],BaseContasDRE[#All],7,FALSE))</f>
        <v>Fora do DRE</v>
      </c>
      <c r="V6525" s="3" t="str">
        <f>IF(Base_Periodo1[[#This Row],[Tipo_Linha]]="Fora do DRE","Fora do DRE","( "&amp;Base_Periodo1[[#This Row],[Tipo_Linha]]&amp;" ) "&amp;Base_Periodo1[[#This Row],[Filtro]])</f>
        <v>Fora do DRE</v>
      </c>
      <c r="W6525" s="3" t="str">
        <f>LEFT(Base_Periodo1[[#This Row],[CLASS]],3)</f>
        <v>3.2</v>
      </c>
    </row>
    <row r="6526" spans="1:23" hidden="1">
      <c r="A6526" s="3" t="str">
        <f t="shared" si="101"/>
        <v>Período 1</v>
      </c>
      <c r="B6526">
        <v>32212</v>
      </c>
      <c r="C6526" t="s">
        <v>6675</v>
      </c>
      <c r="D6526" t="s">
        <v>3566</v>
      </c>
      <c r="E6526" s="3" t="str">
        <f>IF(LEN(Base_Periodo1[[#This Row],[CLASS]])&gt;=7,LEFT(Base_Periodo1[[#This Row],[CLASS]],7),"")</f>
        <v>3.2.1.1</v>
      </c>
      <c r="F6526" s="3" t="e">
        <f>VLOOKUP(Base_Periodo1[[#This Row],[Aux]],Base_Contas_Balanco[#All],2,FALSE)</f>
        <v>#N/A</v>
      </c>
      <c r="G6526" s="1">
        <v>42886</v>
      </c>
      <c r="H6526" s="225">
        <v>3521.859999999986</v>
      </c>
      <c r="I6526" s="225">
        <v>58628.180000000008</v>
      </c>
      <c r="J6526" s="225">
        <v>59918</v>
      </c>
      <c r="K6526" s="225">
        <v>2232.0399999999936</v>
      </c>
      <c r="L652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-2232.04</v>
      </c>
      <c r="M6526" s="225">
        <f>ROUND(IF(AND(Base_Periodo1[[#This Row],[Tipo_Linha]]="-",Base_Periodo1[[#This Row],[TIPOSALDO]]="D"),Base_Periodo1[[#This Row],[SALDO_ATUAL]]*-1,Base_Periodo1[[#This Row],[SALDO_ATUAL]]),4)</f>
        <v>-2232.04</v>
      </c>
      <c r="N6526" t="s">
        <v>116</v>
      </c>
      <c r="O6526" t="s">
        <v>397</v>
      </c>
      <c r="P6526" t="s">
        <v>397</v>
      </c>
      <c r="Q6526">
        <v>9</v>
      </c>
      <c r="R6526" s="282">
        <f>Base_Periodo1[[#This Row],[CREDITOS]]-Base_Periodo1[[#This Row],[DEBITOS]]</f>
        <v>1289.8199999999924</v>
      </c>
      <c r="S6526" s="3" t="str">
        <f>IF(ISERROR(VLOOKUP(Base_Periodo1[[#This Row],[CONTA]],BaseContasDRE[#All],4,FALSE)),"Fora do DRE",VLOOKUP(Base_Periodo1[[#This Row],[CONTA]],BaseContasDRE[#All],4,FALSE))</f>
        <v>-</v>
      </c>
      <c r="T6526" s="3">
        <f>IF(ISERROR(VLOOKUP(Base_Periodo1[[#This Row],[CONTA]],BaseContasDRE[#All],5,FALSE)),"Fora do DRE",VLOOKUP(Base_Periodo1[[#This Row],[CONTA]],BaseContasDRE[#All],6,FALSE))</f>
        <v>2</v>
      </c>
      <c r="U6526" s="3" t="str">
        <f>IF(ISERROR(VLOOKUP(Base_Periodo1[[#This Row],[CONTA]],BaseContasDRE[#All],7,FALSE)),"Fora do DRE",VLOOKUP(Base_Periodo1[[#This Row],[CONTA]],BaseContasDRE[#All],7,FALSE))</f>
        <v>ICMS SOBRE INGRESSOS E RECEITAS</v>
      </c>
      <c r="V6526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526" s="3" t="str">
        <f>LEFT(Base_Periodo1[[#This Row],[CLASS]],3)</f>
        <v>3.2</v>
      </c>
    </row>
    <row r="6527" spans="1:23" hidden="1">
      <c r="A6527" s="3" t="str">
        <f t="shared" si="101"/>
        <v>Período 1</v>
      </c>
      <c r="B6527">
        <v>32739</v>
      </c>
      <c r="C6527" t="s">
        <v>6676</v>
      </c>
      <c r="D6527" t="s">
        <v>4419</v>
      </c>
      <c r="E6527" s="3" t="str">
        <f>IF(LEN(Base_Periodo1[[#This Row],[CLASS]])&gt;=7,LEFT(Base_Periodo1[[#This Row],[CLASS]],7),"")</f>
        <v>3.2.1.1</v>
      </c>
      <c r="F6527" s="3" t="e">
        <f>VLOOKUP(Base_Periodo1[[#This Row],[Aux]],Base_Contas_Balanco[#All],2,FALSE)</f>
        <v>#N/A</v>
      </c>
      <c r="G6527" s="1"/>
      <c r="H6527" s="225">
        <v>190184.8200000152</v>
      </c>
      <c r="I6527" s="225">
        <v>3254496.59</v>
      </c>
      <c r="J6527" s="225">
        <v>3318969.76</v>
      </c>
      <c r="K6527" s="225">
        <v>125711.65000001527</v>
      </c>
      <c r="L652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-125711.65</v>
      </c>
      <c r="M6527" s="225">
        <f>ROUND(IF(AND(Base_Periodo1[[#This Row],[Tipo_Linha]]="-",Base_Periodo1[[#This Row],[TIPOSALDO]]="D"),Base_Periodo1[[#This Row],[SALDO_ATUAL]]*-1,Base_Periodo1[[#This Row],[SALDO_ATUAL]]),4)</f>
        <v>125711.65</v>
      </c>
      <c r="N6527" t="s">
        <v>396</v>
      </c>
      <c r="O6527" t="s">
        <v>397</v>
      </c>
      <c r="P6527" t="s">
        <v>397</v>
      </c>
      <c r="Q6527">
        <v>8</v>
      </c>
      <c r="R6527" s="282">
        <f>Base_Periodo1[[#This Row],[CREDITOS]]-Base_Periodo1[[#This Row],[DEBITOS]]</f>
        <v>64473.169999999925</v>
      </c>
      <c r="S6527" s="3" t="str">
        <f>IF(ISERROR(VLOOKUP(Base_Periodo1[[#This Row],[CONTA]],BaseContasDRE[#All],4,FALSE)),"Fora do DRE",VLOOKUP(Base_Periodo1[[#This Row],[CONTA]],BaseContasDRE[#All],4,FALSE))</f>
        <v>Fora do DRE</v>
      </c>
      <c r="T6527" s="3" t="str">
        <f>IF(ISERROR(VLOOKUP(Base_Periodo1[[#This Row],[CONTA]],BaseContasDRE[#All],5,FALSE)),"Fora do DRE",VLOOKUP(Base_Periodo1[[#This Row],[CONTA]],BaseContasDRE[#All],6,FALSE))</f>
        <v>Fora do DRE</v>
      </c>
      <c r="U6527" s="3" t="str">
        <f>IF(ISERROR(VLOOKUP(Base_Periodo1[[#This Row],[CONTA]],BaseContasDRE[#All],7,FALSE)),"Fora do DRE",VLOOKUP(Base_Periodo1[[#This Row],[CONTA]],BaseContasDRE[#All],7,FALSE))</f>
        <v>Fora do DRE</v>
      </c>
      <c r="V6527" s="3" t="str">
        <f>IF(Base_Periodo1[[#This Row],[Tipo_Linha]]="Fora do DRE","Fora do DRE","( "&amp;Base_Periodo1[[#This Row],[Tipo_Linha]]&amp;" ) "&amp;Base_Periodo1[[#This Row],[Filtro]])</f>
        <v>Fora do DRE</v>
      </c>
      <c r="W6527" s="3" t="str">
        <f>LEFT(Base_Periodo1[[#This Row],[CLASS]],3)</f>
        <v>3.2</v>
      </c>
    </row>
    <row r="6528" spans="1:23" hidden="1">
      <c r="A6528" s="3" t="str">
        <f t="shared" si="101"/>
        <v>Período 1</v>
      </c>
      <c r="B6528">
        <v>32740</v>
      </c>
      <c r="C6528" t="s">
        <v>6677</v>
      </c>
      <c r="D6528" t="s">
        <v>4419</v>
      </c>
      <c r="E6528" s="3" t="str">
        <f>IF(LEN(Base_Periodo1[[#This Row],[CLASS]])&gt;=7,LEFT(Base_Periodo1[[#This Row],[CLASS]],7),"")</f>
        <v>3.2.1.1</v>
      </c>
      <c r="F6528" s="3" t="e">
        <f>VLOOKUP(Base_Periodo1[[#This Row],[Aux]],Base_Contas_Balanco[#All],2,FALSE)</f>
        <v>#N/A</v>
      </c>
      <c r="G6528" s="1">
        <v>42886</v>
      </c>
      <c r="H6528" s="225">
        <v>190184.8200000152</v>
      </c>
      <c r="I6528" s="225">
        <v>3254496.59</v>
      </c>
      <c r="J6528" s="225">
        <v>3318969.76</v>
      </c>
      <c r="K6528" s="225">
        <v>125711.65000001527</v>
      </c>
      <c r="L652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-125711.65</v>
      </c>
      <c r="M6528" s="225">
        <f>ROUND(IF(AND(Base_Periodo1[[#This Row],[Tipo_Linha]]="-",Base_Periodo1[[#This Row],[TIPOSALDO]]="D"),Base_Periodo1[[#This Row],[SALDO_ATUAL]]*-1,Base_Periodo1[[#This Row],[SALDO_ATUAL]]),4)</f>
        <v>-125711.65</v>
      </c>
      <c r="N6528" t="s">
        <v>116</v>
      </c>
      <c r="O6528" t="s">
        <v>397</v>
      </c>
      <c r="P6528" t="s">
        <v>397</v>
      </c>
      <c r="Q6528">
        <v>9</v>
      </c>
      <c r="R6528" s="282">
        <f>Base_Periodo1[[#This Row],[CREDITOS]]-Base_Periodo1[[#This Row],[DEBITOS]]</f>
        <v>64473.169999999925</v>
      </c>
      <c r="S6528" s="3" t="str">
        <f>IF(ISERROR(VLOOKUP(Base_Periodo1[[#This Row],[CONTA]],BaseContasDRE[#All],4,FALSE)),"Fora do DRE",VLOOKUP(Base_Periodo1[[#This Row],[CONTA]],BaseContasDRE[#All],4,FALSE))</f>
        <v>-</v>
      </c>
      <c r="T6528" s="3">
        <f>IF(ISERROR(VLOOKUP(Base_Periodo1[[#This Row],[CONTA]],BaseContasDRE[#All],5,FALSE)),"Fora do DRE",VLOOKUP(Base_Periodo1[[#This Row],[CONTA]],BaseContasDRE[#All],6,FALSE))</f>
        <v>3</v>
      </c>
      <c r="U6528" s="3" t="str">
        <f>IF(ISERROR(VLOOKUP(Base_Periodo1[[#This Row],[CONTA]],BaseContasDRE[#All],7,FALSE)),"Fora do DRE",VLOOKUP(Base_Periodo1[[#This Row],[CONTA]],BaseContasDRE[#All],7,FALSE))</f>
        <v>PRODUÇÃO DE SEMENTES</v>
      </c>
      <c r="V6528" s="3" t="str">
        <f>IF(Base_Periodo1[[#This Row],[Tipo_Linha]]="Fora do DRE","Fora do DRE","( "&amp;Base_Periodo1[[#This Row],[Tipo_Linha]]&amp;" ) "&amp;Base_Periodo1[[#This Row],[Filtro]])</f>
        <v>( - ) PRODUÇÃO DE SEMENTES</v>
      </c>
      <c r="W6528" s="3" t="str">
        <f>LEFT(Base_Periodo1[[#This Row],[CLASS]],3)</f>
        <v>3.2</v>
      </c>
    </row>
    <row r="6529" spans="1:23" hidden="1">
      <c r="A6529" s="3" t="str">
        <f t="shared" si="101"/>
        <v>Período 1</v>
      </c>
      <c r="B6529">
        <v>31981</v>
      </c>
      <c r="C6529" t="s">
        <v>4102</v>
      </c>
      <c r="D6529" t="s">
        <v>1493</v>
      </c>
      <c r="E6529" s="3" t="str">
        <f>IF(LEN(Base_Periodo1[[#This Row],[CLASS]])&gt;=7,LEFT(Base_Periodo1[[#This Row],[CLASS]],7),"")</f>
        <v>3.2.1.1</v>
      </c>
      <c r="F6529" s="3" t="e">
        <f>VLOOKUP(Base_Periodo1[[#This Row],[Aux]],Base_Contas_Balanco[#All],2,FALSE)</f>
        <v>#N/A</v>
      </c>
      <c r="G6529" s="1"/>
      <c r="I6529" s="225">
        <v>1998007.49</v>
      </c>
      <c r="J6529" s="225">
        <v>1998007.4900000002</v>
      </c>
      <c r="K6529" s="225">
        <v>3.4924596548080444E-9</v>
      </c>
      <c r="L652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29" s="225">
        <f>ROUND(IF(AND(Base_Periodo1[[#This Row],[Tipo_Linha]]="-",Base_Periodo1[[#This Row],[TIPOSALDO]]="D"),Base_Periodo1[[#This Row],[SALDO_ATUAL]]*-1,Base_Periodo1[[#This Row],[SALDO_ATUAL]]),4)</f>
        <v>0</v>
      </c>
      <c r="N6529" t="s">
        <v>396</v>
      </c>
      <c r="O6529" t="s">
        <v>436</v>
      </c>
      <c r="P6529" t="s">
        <v>436</v>
      </c>
      <c r="Q6529">
        <v>7</v>
      </c>
      <c r="R6529" s="282">
        <f>Base_Periodo1[[#This Row],[CREDITOS]]-Base_Periodo1[[#This Row],[DEBITOS]]</f>
        <v>0</v>
      </c>
      <c r="S6529" s="3" t="str">
        <f>IF(ISERROR(VLOOKUP(Base_Periodo1[[#This Row],[CONTA]],BaseContasDRE[#All],4,FALSE)),"Fora do DRE",VLOOKUP(Base_Periodo1[[#This Row],[CONTA]],BaseContasDRE[#All],4,FALSE))</f>
        <v>Fora do DRE</v>
      </c>
      <c r="T6529" s="3" t="str">
        <f>IF(ISERROR(VLOOKUP(Base_Periodo1[[#This Row],[CONTA]],BaseContasDRE[#All],5,FALSE)),"Fora do DRE",VLOOKUP(Base_Periodo1[[#This Row],[CONTA]],BaseContasDRE[#All],6,FALSE))</f>
        <v>Fora do DRE</v>
      </c>
      <c r="U6529" s="3" t="str">
        <f>IF(ISERROR(VLOOKUP(Base_Periodo1[[#This Row],[CONTA]],BaseContasDRE[#All],7,FALSE)),"Fora do DRE",VLOOKUP(Base_Periodo1[[#This Row],[CONTA]],BaseContasDRE[#All],7,FALSE))</f>
        <v>Fora do DRE</v>
      </c>
      <c r="V6529" s="3" t="str">
        <f>IF(Base_Periodo1[[#This Row],[Tipo_Linha]]="Fora do DRE","Fora do DRE","( "&amp;Base_Periodo1[[#This Row],[Tipo_Linha]]&amp;" ) "&amp;Base_Periodo1[[#This Row],[Filtro]])</f>
        <v>Fora do DRE</v>
      </c>
      <c r="W6529" s="3" t="str">
        <f>LEFT(Base_Periodo1[[#This Row],[CLASS]],3)</f>
        <v>3.2</v>
      </c>
    </row>
    <row r="6530" spans="1:23" hidden="1">
      <c r="A6530" s="3" t="str">
        <f t="shared" si="101"/>
        <v>Período 1</v>
      </c>
      <c r="B6530">
        <v>31982</v>
      </c>
      <c r="C6530" t="s">
        <v>4103</v>
      </c>
      <c r="D6530" t="s">
        <v>4096</v>
      </c>
      <c r="E6530" s="3" t="str">
        <f>IF(LEN(Base_Periodo1[[#This Row],[CLASS]])&gt;=7,LEFT(Base_Periodo1[[#This Row],[CLASS]],7),"")</f>
        <v>3.2.1.1</v>
      </c>
      <c r="F6530" s="3" t="e">
        <f>VLOOKUP(Base_Periodo1[[#This Row],[Aux]],Base_Contas_Balanco[#All],2,FALSE)</f>
        <v>#N/A</v>
      </c>
      <c r="G6530" s="1"/>
      <c r="I6530" s="225">
        <v>1288026.44</v>
      </c>
      <c r="J6530" s="225">
        <v>1288026.4400000002</v>
      </c>
      <c r="K6530" s="225">
        <v>7.2177499532699585E-9</v>
      </c>
      <c r="L653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30" s="225">
        <f>ROUND(IF(AND(Base_Periodo1[[#This Row],[Tipo_Linha]]="-",Base_Periodo1[[#This Row],[TIPOSALDO]]="D"),Base_Periodo1[[#This Row],[SALDO_ATUAL]]*-1,Base_Periodo1[[#This Row],[SALDO_ATUAL]]),4)</f>
        <v>0</v>
      </c>
      <c r="N6530" t="s">
        <v>396</v>
      </c>
      <c r="O6530" t="s">
        <v>436</v>
      </c>
      <c r="P6530" t="s">
        <v>436</v>
      </c>
      <c r="Q6530">
        <v>8</v>
      </c>
      <c r="R6530" s="282">
        <f>Base_Periodo1[[#This Row],[CREDITOS]]-Base_Periodo1[[#This Row],[DEBITOS]]</f>
        <v>0</v>
      </c>
      <c r="S6530" s="3" t="str">
        <f>IF(ISERROR(VLOOKUP(Base_Periodo1[[#This Row],[CONTA]],BaseContasDRE[#All],4,FALSE)),"Fora do DRE",VLOOKUP(Base_Periodo1[[#This Row],[CONTA]],BaseContasDRE[#All],4,FALSE))</f>
        <v>Fora do DRE</v>
      </c>
      <c r="T6530" s="3" t="str">
        <f>IF(ISERROR(VLOOKUP(Base_Periodo1[[#This Row],[CONTA]],BaseContasDRE[#All],5,FALSE)),"Fora do DRE",VLOOKUP(Base_Periodo1[[#This Row],[CONTA]],BaseContasDRE[#All],6,FALSE))</f>
        <v>Fora do DRE</v>
      </c>
      <c r="U6530" s="3" t="str">
        <f>IF(ISERROR(VLOOKUP(Base_Periodo1[[#This Row],[CONTA]],BaseContasDRE[#All],7,FALSE)),"Fora do DRE",VLOOKUP(Base_Periodo1[[#This Row],[CONTA]],BaseContasDRE[#All],7,FALSE))</f>
        <v>Fora do DRE</v>
      </c>
      <c r="V6530" s="3" t="str">
        <f>IF(Base_Periodo1[[#This Row],[Tipo_Linha]]="Fora do DRE","Fora do DRE","( "&amp;Base_Periodo1[[#This Row],[Tipo_Linha]]&amp;" ) "&amp;Base_Periodo1[[#This Row],[Filtro]])</f>
        <v>Fora do DRE</v>
      </c>
      <c r="W6530" s="3" t="str">
        <f>LEFT(Base_Periodo1[[#This Row],[CLASS]],3)</f>
        <v>3.2</v>
      </c>
    </row>
    <row r="6531" spans="1:23" hidden="1">
      <c r="A6531" s="3" t="str">
        <f t="shared" si="101"/>
        <v>Período 1</v>
      </c>
      <c r="B6531">
        <v>31983</v>
      </c>
      <c r="C6531" t="s">
        <v>4104</v>
      </c>
      <c r="D6531" t="s">
        <v>4096</v>
      </c>
      <c r="E6531" s="3" t="str">
        <f>IF(LEN(Base_Periodo1[[#This Row],[CLASS]])&gt;=7,LEFT(Base_Periodo1[[#This Row],[CLASS]],7),"")</f>
        <v>3.2.1.1</v>
      </c>
      <c r="F6531" s="3" t="e">
        <f>VLOOKUP(Base_Periodo1[[#This Row],[Aux]],Base_Contas_Balanco[#All],2,FALSE)</f>
        <v>#N/A</v>
      </c>
      <c r="G6531" s="1">
        <v>42886</v>
      </c>
      <c r="I6531" s="225">
        <v>1288026.44</v>
      </c>
      <c r="J6531" s="225">
        <v>1288026.4400000002</v>
      </c>
      <c r="K6531" s="225">
        <v>7.2177499532699585E-9</v>
      </c>
      <c r="L653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31" s="225">
        <f>ROUND(IF(AND(Base_Periodo1[[#This Row],[Tipo_Linha]]="-",Base_Periodo1[[#This Row],[TIPOSALDO]]="D"),Base_Periodo1[[#This Row],[SALDO_ATUAL]]*-1,Base_Periodo1[[#This Row],[SALDO_ATUAL]]),4)</f>
        <v>0</v>
      </c>
      <c r="N6531" t="s">
        <v>116</v>
      </c>
      <c r="O6531" t="s">
        <v>436</v>
      </c>
      <c r="P6531" t="s">
        <v>436</v>
      </c>
      <c r="Q6531">
        <v>9</v>
      </c>
      <c r="R6531" s="282">
        <f>Base_Periodo1[[#This Row],[CREDITOS]]-Base_Periodo1[[#This Row],[DEBITOS]]</f>
        <v>0</v>
      </c>
      <c r="S6531" s="3" t="str">
        <f>IF(ISERROR(VLOOKUP(Base_Periodo1[[#This Row],[CONTA]],BaseContasDRE[#All],4,FALSE)),"Fora do DRE",VLOOKUP(Base_Periodo1[[#This Row],[CONTA]],BaseContasDRE[#All],4,FALSE))</f>
        <v>+</v>
      </c>
      <c r="T6531" s="3">
        <f>IF(ISERROR(VLOOKUP(Base_Periodo1[[#This Row],[CONTA]],BaseContasDRE[#All],5,FALSE)),"Fora do DRE",VLOOKUP(Base_Periodo1[[#This Row],[CONTA]],BaseContasDRE[#All],6,FALSE))</f>
        <v>1</v>
      </c>
      <c r="U6531" s="3" t="str">
        <f>IF(ISERROR(VLOOKUP(Base_Periodo1[[#This Row],[CONTA]],BaseContasDRE[#All],7,FALSE)),"Fora do DRE",VLOOKUP(Base_Periodo1[[#This Row],[CONTA]],BaseContasDRE[#All],7,FALSE))</f>
        <v>SEMENTES PRODUZIDAS</v>
      </c>
      <c r="V6531" s="3" t="str">
        <f>IF(Base_Periodo1[[#This Row],[Tipo_Linha]]="Fora do DRE","Fora do DRE","( "&amp;Base_Periodo1[[#This Row],[Tipo_Linha]]&amp;" ) "&amp;Base_Periodo1[[#This Row],[Filtro]])</f>
        <v>( + ) SEMENTES PRODUZIDAS</v>
      </c>
      <c r="W6531" s="3" t="str">
        <f>LEFT(Base_Periodo1[[#This Row],[CLASS]],3)</f>
        <v>3.2</v>
      </c>
    </row>
    <row r="6532" spans="1:23" hidden="1">
      <c r="A6532" s="3" t="str">
        <f t="shared" si="101"/>
        <v>Período 1</v>
      </c>
      <c r="B6532">
        <v>32150</v>
      </c>
      <c r="C6532" t="s">
        <v>7218</v>
      </c>
      <c r="D6532" t="s">
        <v>6672</v>
      </c>
      <c r="E6532" s="3" t="str">
        <f>IF(LEN(Base_Periodo1[[#This Row],[CLASS]])&gt;=7,LEFT(Base_Periodo1[[#This Row],[CLASS]],7),"")</f>
        <v>3.2.1.1</v>
      </c>
      <c r="F6532" s="3" t="e">
        <f>VLOOKUP(Base_Periodo1[[#This Row],[Aux]],Base_Contas_Balanco[#All],2,FALSE)</f>
        <v>#N/A</v>
      </c>
      <c r="G6532" s="1"/>
      <c r="I6532" s="225">
        <v>16800</v>
      </c>
      <c r="J6532" s="225">
        <v>16800</v>
      </c>
      <c r="K6532" s="225">
        <v>0</v>
      </c>
      <c r="L653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32" s="225">
        <f>ROUND(IF(AND(Base_Periodo1[[#This Row],[Tipo_Linha]]="-",Base_Periodo1[[#This Row],[TIPOSALDO]]="D"),Base_Periodo1[[#This Row],[SALDO_ATUAL]]*-1,Base_Periodo1[[#This Row],[SALDO_ATUAL]]),4)</f>
        <v>0</v>
      </c>
      <c r="N6532" t="s">
        <v>396</v>
      </c>
      <c r="O6532" t="s">
        <v>436</v>
      </c>
      <c r="P6532" t="s">
        <v>436</v>
      </c>
      <c r="Q6532">
        <v>8</v>
      </c>
      <c r="R6532" s="282">
        <f>Base_Periodo1[[#This Row],[CREDITOS]]-Base_Periodo1[[#This Row],[DEBITOS]]</f>
        <v>0</v>
      </c>
      <c r="S6532" s="3" t="str">
        <f>IF(ISERROR(VLOOKUP(Base_Periodo1[[#This Row],[CONTA]],BaseContasDRE[#All],4,FALSE)),"Fora do DRE",VLOOKUP(Base_Periodo1[[#This Row],[CONTA]],BaseContasDRE[#All],4,FALSE))</f>
        <v>Fora do DRE</v>
      </c>
      <c r="T6532" s="3" t="str">
        <f>IF(ISERROR(VLOOKUP(Base_Periodo1[[#This Row],[CONTA]],BaseContasDRE[#All],5,FALSE)),"Fora do DRE",VLOOKUP(Base_Periodo1[[#This Row],[CONTA]],BaseContasDRE[#All],6,FALSE))</f>
        <v>Fora do DRE</v>
      </c>
      <c r="U6532" s="3" t="str">
        <f>IF(ISERROR(VLOOKUP(Base_Periodo1[[#This Row],[CONTA]],BaseContasDRE[#All],7,FALSE)),"Fora do DRE",VLOOKUP(Base_Periodo1[[#This Row],[CONTA]],BaseContasDRE[#All],7,FALSE))</f>
        <v>Fora do DRE</v>
      </c>
      <c r="V6532" s="3" t="str">
        <f>IF(Base_Periodo1[[#This Row],[Tipo_Linha]]="Fora do DRE","Fora do DRE","( "&amp;Base_Periodo1[[#This Row],[Tipo_Linha]]&amp;" ) "&amp;Base_Periodo1[[#This Row],[Filtro]])</f>
        <v>Fora do DRE</v>
      </c>
      <c r="W6532" s="3" t="str">
        <f>LEFT(Base_Periodo1[[#This Row],[CLASS]],3)</f>
        <v>3.2</v>
      </c>
    </row>
    <row r="6533" spans="1:23" hidden="1">
      <c r="A6533" s="3" t="str">
        <f t="shared" si="101"/>
        <v>Período 1</v>
      </c>
      <c r="B6533">
        <v>32151</v>
      </c>
      <c r="C6533" t="s">
        <v>7219</v>
      </c>
      <c r="D6533" t="s">
        <v>3992</v>
      </c>
      <c r="E6533" s="3" t="str">
        <f>IF(LEN(Base_Periodo1[[#This Row],[CLASS]])&gt;=7,LEFT(Base_Periodo1[[#This Row],[CLASS]],7),"")</f>
        <v>3.2.1.1</v>
      </c>
      <c r="F6533" s="3" t="e">
        <f>VLOOKUP(Base_Periodo1[[#This Row],[Aux]],Base_Contas_Balanco[#All],2,FALSE)</f>
        <v>#N/A</v>
      </c>
      <c r="G6533" s="1">
        <v>42886</v>
      </c>
      <c r="I6533" s="225">
        <v>16800</v>
      </c>
      <c r="J6533" s="225">
        <v>16800</v>
      </c>
      <c r="K6533" s="225">
        <v>0</v>
      </c>
      <c r="L653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33" s="225">
        <f>ROUND(IF(AND(Base_Periodo1[[#This Row],[Tipo_Linha]]="-",Base_Periodo1[[#This Row],[TIPOSALDO]]="D"),Base_Periodo1[[#This Row],[SALDO_ATUAL]]*-1,Base_Periodo1[[#This Row],[SALDO_ATUAL]]),4)</f>
        <v>0</v>
      </c>
      <c r="N6533" t="s">
        <v>116</v>
      </c>
      <c r="O6533" t="s">
        <v>436</v>
      </c>
      <c r="P6533" t="s">
        <v>436</v>
      </c>
      <c r="Q6533">
        <v>9</v>
      </c>
      <c r="R6533" s="282">
        <f>Base_Periodo1[[#This Row],[CREDITOS]]-Base_Periodo1[[#This Row],[DEBITOS]]</f>
        <v>0</v>
      </c>
      <c r="S6533" s="3" t="str">
        <f>IF(ISERROR(VLOOKUP(Base_Periodo1[[#This Row],[CONTA]],BaseContasDRE[#All],4,FALSE)),"Fora do DRE",VLOOKUP(Base_Periodo1[[#This Row],[CONTA]],BaseContasDRE[#All],4,FALSE))</f>
        <v>-</v>
      </c>
      <c r="T6533" s="3">
        <f>IF(ISERROR(VLOOKUP(Base_Periodo1[[#This Row],[CONTA]],BaseContasDRE[#All],5,FALSE)),"Fora do DRE",VLOOKUP(Base_Periodo1[[#This Row],[CONTA]],BaseContasDRE[#All],6,FALSE))</f>
        <v>2</v>
      </c>
      <c r="U6533" s="3" t="str">
        <f>IF(ISERROR(VLOOKUP(Base_Periodo1[[#This Row],[CONTA]],BaseContasDRE[#All],7,FALSE)),"Fora do DRE",VLOOKUP(Base_Periodo1[[#This Row],[CONTA]],BaseContasDRE[#All],7,FALSE))</f>
        <v>DEVOLUÇÃO DE SEMENTE PRODUZIDA</v>
      </c>
      <c r="V6533" s="3" t="str">
        <f>IF(Base_Periodo1[[#This Row],[Tipo_Linha]]="Fora do DRE","Fora do DRE","( "&amp;Base_Periodo1[[#This Row],[Tipo_Linha]]&amp;" ) "&amp;Base_Periodo1[[#This Row],[Filtro]])</f>
        <v>( - ) DEVOLUÇÃO DE SEMENTE PRODUZIDA</v>
      </c>
      <c r="W6533" s="3" t="str">
        <f>LEFT(Base_Periodo1[[#This Row],[CLASS]],3)</f>
        <v>3.2</v>
      </c>
    </row>
    <row r="6534" spans="1:23" hidden="1">
      <c r="A6534" s="3" t="str">
        <f t="shared" ref="A6534:A6597" si="102">"Período 1"</f>
        <v>Período 1</v>
      </c>
      <c r="B6534">
        <v>31988</v>
      </c>
      <c r="C6534" t="s">
        <v>4105</v>
      </c>
      <c r="D6534" t="s">
        <v>4101</v>
      </c>
      <c r="E6534" s="3" t="str">
        <f>IF(LEN(Base_Periodo1[[#This Row],[CLASS]])&gt;=7,LEFT(Base_Periodo1[[#This Row],[CLASS]],7),"")</f>
        <v>3.2.1.1</v>
      </c>
      <c r="F6534" s="3" t="e">
        <f>VLOOKUP(Base_Periodo1[[#This Row],[Aux]],Base_Contas_Balanco[#All],2,FALSE)</f>
        <v>#N/A</v>
      </c>
      <c r="G6534" s="1"/>
      <c r="I6534" s="225">
        <v>43325.02</v>
      </c>
      <c r="J6534" s="225">
        <v>43325.02</v>
      </c>
      <c r="K6534" s="225">
        <v>2.9103830456733704E-11</v>
      </c>
      <c r="L653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34" s="225">
        <f>ROUND(IF(AND(Base_Periodo1[[#This Row],[Tipo_Linha]]="-",Base_Periodo1[[#This Row],[TIPOSALDO]]="D"),Base_Periodo1[[#This Row],[SALDO_ATUAL]]*-1,Base_Periodo1[[#This Row],[SALDO_ATUAL]]),4)</f>
        <v>0</v>
      </c>
      <c r="N6534" t="s">
        <v>396</v>
      </c>
      <c r="O6534" t="s">
        <v>436</v>
      </c>
      <c r="P6534" t="s">
        <v>436</v>
      </c>
      <c r="Q6534">
        <v>8</v>
      </c>
      <c r="R6534" s="282">
        <f>Base_Periodo1[[#This Row],[CREDITOS]]-Base_Periodo1[[#This Row],[DEBITOS]]</f>
        <v>0</v>
      </c>
      <c r="S6534" s="3" t="str">
        <f>IF(ISERROR(VLOOKUP(Base_Periodo1[[#This Row],[CONTA]],BaseContasDRE[#All],4,FALSE)),"Fora do DRE",VLOOKUP(Base_Periodo1[[#This Row],[CONTA]],BaseContasDRE[#All],4,FALSE))</f>
        <v>Fora do DRE</v>
      </c>
      <c r="T6534" s="3" t="str">
        <f>IF(ISERROR(VLOOKUP(Base_Periodo1[[#This Row],[CONTA]],BaseContasDRE[#All],5,FALSE)),"Fora do DRE",VLOOKUP(Base_Periodo1[[#This Row],[CONTA]],BaseContasDRE[#All],6,FALSE))</f>
        <v>Fora do DRE</v>
      </c>
      <c r="U6534" s="3" t="str">
        <f>IF(ISERROR(VLOOKUP(Base_Periodo1[[#This Row],[CONTA]],BaseContasDRE[#All],7,FALSE)),"Fora do DRE",VLOOKUP(Base_Periodo1[[#This Row],[CONTA]],BaseContasDRE[#All],7,FALSE))</f>
        <v>Fora do DRE</v>
      </c>
      <c r="V6534" s="3" t="str">
        <f>IF(Base_Periodo1[[#This Row],[Tipo_Linha]]="Fora do DRE","Fora do DRE","( "&amp;Base_Periodo1[[#This Row],[Tipo_Linha]]&amp;" ) "&amp;Base_Periodo1[[#This Row],[Filtro]])</f>
        <v>Fora do DRE</v>
      </c>
      <c r="W6534" s="3" t="str">
        <f>LEFT(Base_Periodo1[[#This Row],[CLASS]],3)</f>
        <v>3.2</v>
      </c>
    </row>
    <row r="6535" spans="1:23" hidden="1">
      <c r="A6535" s="3" t="str">
        <f t="shared" si="102"/>
        <v>Período 1</v>
      </c>
      <c r="B6535">
        <v>31989</v>
      </c>
      <c r="C6535" t="s">
        <v>4106</v>
      </c>
      <c r="D6535" t="s">
        <v>3566</v>
      </c>
      <c r="E6535" s="3" t="str">
        <f>IF(LEN(Base_Periodo1[[#This Row],[CLASS]])&gt;=7,LEFT(Base_Periodo1[[#This Row],[CLASS]],7),"")</f>
        <v>3.2.1.1</v>
      </c>
      <c r="F6535" s="3" t="e">
        <f>VLOOKUP(Base_Periodo1[[#This Row],[Aux]],Base_Contas_Balanco[#All],2,FALSE)</f>
        <v>#N/A</v>
      </c>
      <c r="G6535" s="1">
        <v>42886</v>
      </c>
      <c r="I6535" s="225">
        <v>43325.02</v>
      </c>
      <c r="J6535" s="225">
        <v>43325.02</v>
      </c>
      <c r="K6535" s="225">
        <v>2.9103830456733704E-11</v>
      </c>
      <c r="L653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35" s="225">
        <f>ROUND(IF(AND(Base_Periodo1[[#This Row],[Tipo_Linha]]="-",Base_Periodo1[[#This Row],[TIPOSALDO]]="D"),Base_Periodo1[[#This Row],[SALDO_ATUAL]]*-1,Base_Periodo1[[#This Row],[SALDO_ATUAL]]),4)</f>
        <v>0</v>
      </c>
      <c r="N6535" t="s">
        <v>116</v>
      </c>
      <c r="O6535" t="s">
        <v>436</v>
      </c>
      <c r="P6535" t="s">
        <v>436</v>
      </c>
      <c r="Q6535">
        <v>9</v>
      </c>
      <c r="R6535" s="282">
        <f>Base_Periodo1[[#This Row],[CREDITOS]]-Base_Periodo1[[#This Row],[DEBITOS]]</f>
        <v>0</v>
      </c>
      <c r="S6535" s="3" t="str">
        <f>IF(ISERROR(VLOOKUP(Base_Periodo1[[#This Row],[CONTA]],BaseContasDRE[#All],4,FALSE)),"Fora do DRE",VLOOKUP(Base_Periodo1[[#This Row],[CONTA]],BaseContasDRE[#All],4,FALSE))</f>
        <v>-</v>
      </c>
      <c r="T6535" s="3">
        <f>IF(ISERROR(VLOOKUP(Base_Periodo1[[#This Row],[CONTA]],BaseContasDRE[#All],5,FALSE)),"Fora do DRE",VLOOKUP(Base_Periodo1[[#This Row],[CONTA]],BaseContasDRE[#All],6,FALSE))</f>
        <v>2</v>
      </c>
      <c r="U6535" s="3" t="str">
        <f>IF(ISERROR(VLOOKUP(Base_Periodo1[[#This Row],[CONTA]],BaseContasDRE[#All],7,FALSE)),"Fora do DRE",VLOOKUP(Base_Periodo1[[#This Row],[CONTA]],BaseContasDRE[#All],7,FALSE))</f>
        <v>ICMS SOBRE INGRESSOS E RECEITAS</v>
      </c>
      <c r="V6535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535" s="3" t="str">
        <f>LEFT(Base_Periodo1[[#This Row],[CLASS]],3)</f>
        <v>3.2</v>
      </c>
    </row>
    <row r="6536" spans="1:23" hidden="1">
      <c r="A6536" s="3" t="str">
        <f t="shared" si="102"/>
        <v>Período 1</v>
      </c>
      <c r="B6536">
        <v>31990</v>
      </c>
      <c r="C6536" t="s">
        <v>4418</v>
      </c>
      <c r="D6536" t="s">
        <v>4419</v>
      </c>
      <c r="E6536" s="3" t="str">
        <f>IF(LEN(Base_Periodo1[[#This Row],[CLASS]])&gt;=7,LEFT(Base_Periodo1[[#This Row],[CLASS]],7),"")</f>
        <v>3.2.1.1</v>
      </c>
      <c r="F6536" s="3" t="e">
        <f>VLOOKUP(Base_Periodo1[[#This Row],[Aux]],Base_Contas_Balanco[#All],2,FALSE)</f>
        <v>#N/A</v>
      </c>
      <c r="G6536" s="1"/>
      <c r="I6536" s="225">
        <v>649856.03</v>
      </c>
      <c r="J6536" s="225">
        <v>649856.03</v>
      </c>
      <c r="K6536" s="225">
        <v>-3.7252902984619141E-9</v>
      </c>
      <c r="L653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36" s="225">
        <f>ROUND(IF(AND(Base_Periodo1[[#This Row],[Tipo_Linha]]="-",Base_Periodo1[[#This Row],[TIPOSALDO]]="D"),Base_Periodo1[[#This Row],[SALDO_ATUAL]]*-1,Base_Periodo1[[#This Row],[SALDO_ATUAL]]),4)</f>
        <v>0</v>
      </c>
      <c r="N6536" t="s">
        <v>396</v>
      </c>
      <c r="O6536" t="s">
        <v>436</v>
      </c>
      <c r="P6536" t="s">
        <v>436</v>
      </c>
      <c r="Q6536">
        <v>8</v>
      </c>
      <c r="R6536" s="282">
        <f>Base_Periodo1[[#This Row],[CREDITOS]]-Base_Periodo1[[#This Row],[DEBITOS]]</f>
        <v>0</v>
      </c>
      <c r="S6536" s="3" t="str">
        <f>IF(ISERROR(VLOOKUP(Base_Periodo1[[#This Row],[CONTA]],BaseContasDRE[#All],4,FALSE)),"Fora do DRE",VLOOKUP(Base_Periodo1[[#This Row],[CONTA]],BaseContasDRE[#All],4,FALSE))</f>
        <v>Fora do DRE</v>
      </c>
      <c r="T6536" s="3" t="str">
        <f>IF(ISERROR(VLOOKUP(Base_Periodo1[[#This Row],[CONTA]],BaseContasDRE[#All],5,FALSE)),"Fora do DRE",VLOOKUP(Base_Periodo1[[#This Row],[CONTA]],BaseContasDRE[#All],6,FALSE))</f>
        <v>Fora do DRE</v>
      </c>
      <c r="U6536" s="3" t="str">
        <f>IF(ISERROR(VLOOKUP(Base_Periodo1[[#This Row],[CONTA]],BaseContasDRE[#All],7,FALSE)),"Fora do DRE",VLOOKUP(Base_Periodo1[[#This Row],[CONTA]],BaseContasDRE[#All],7,FALSE))</f>
        <v>Fora do DRE</v>
      </c>
      <c r="V6536" s="3" t="str">
        <f>IF(Base_Periodo1[[#This Row],[Tipo_Linha]]="Fora do DRE","Fora do DRE","( "&amp;Base_Periodo1[[#This Row],[Tipo_Linha]]&amp;" ) "&amp;Base_Periodo1[[#This Row],[Filtro]])</f>
        <v>Fora do DRE</v>
      </c>
      <c r="W6536" s="3" t="str">
        <f>LEFT(Base_Periodo1[[#This Row],[CLASS]],3)</f>
        <v>3.2</v>
      </c>
    </row>
    <row r="6537" spans="1:23" hidden="1">
      <c r="A6537" s="3" t="str">
        <f t="shared" si="102"/>
        <v>Período 1</v>
      </c>
      <c r="B6537">
        <v>32149</v>
      </c>
      <c r="C6537" t="s">
        <v>4420</v>
      </c>
      <c r="D6537" t="s">
        <v>4419</v>
      </c>
      <c r="E6537" s="3" t="str">
        <f>IF(LEN(Base_Periodo1[[#This Row],[CLASS]])&gt;=7,LEFT(Base_Periodo1[[#This Row],[CLASS]],7),"")</f>
        <v>3.2.1.1</v>
      </c>
      <c r="F6537" s="3" t="e">
        <f>VLOOKUP(Base_Periodo1[[#This Row],[Aux]],Base_Contas_Balanco[#All],2,FALSE)</f>
        <v>#N/A</v>
      </c>
      <c r="G6537" s="1">
        <v>42886</v>
      </c>
      <c r="I6537" s="225">
        <v>649856.03</v>
      </c>
      <c r="J6537" s="225">
        <v>649856.03</v>
      </c>
      <c r="K6537" s="225">
        <v>-3.7252902984619141E-9</v>
      </c>
      <c r="L653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37" s="225">
        <f>ROUND(IF(AND(Base_Periodo1[[#This Row],[Tipo_Linha]]="-",Base_Periodo1[[#This Row],[TIPOSALDO]]="D"),Base_Periodo1[[#This Row],[SALDO_ATUAL]]*-1,Base_Periodo1[[#This Row],[SALDO_ATUAL]]),4)</f>
        <v>0</v>
      </c>
      <c r="N6537" t="s">
        <v>116</v>
      </c>
      <c r="O6537" t="s">
        <v>436</v>
      </c>
      <c r="P6537" t="s">
        <v>436</v>
      </c>
      <c r="Q6537">
        <v>9</v>
      </c>
      <c r="R6537" s="282">
        <f>Base_Periodo1[[#This Row],[CREDITOS]]-Base_Periodo1[[#This Row],[DEBITOS]]</f>
        <v>0</v>
      </c>
      <c r="S6537" s="3" t="str">
        <f>IF(ISERROR(VLOOKUP(Base_Periodo1[[#This Row],[CONTA]],BaseContasDRE[#All],4,FALSE)),"Fora do DRE",VLOOKUP(Base_Periodo1[[#This Row],[CONTA]],BaseContasDRE[#All],4,FALSE))</f>
        <v>-</v>
      </c>
      <c r="T6537" s="3">
        <f>IF(ISERROR(VLOOKUP(Base_Periodo1[[#This Row],[CONTA]],BaseContasDRE[#All],5,FALSE)),"Fora do DRE",VLOOKUP(Base_Periodo1[[#This Row],[CONTA]],BaseContasDRE[#All],6,FALSE))</f>
        <v>3</v>
      </c>
      <c r="U6537" s="3" t="str">
        <f>IF(ISERROR(VLOOKUP(Base_Periodo1[[#This Row],[CONTA]],BaseContasDRE[#All],7,FALSE)),"Fora do DRE",VLOOKUP(Base_Periodo1[[#This Row],[CONTA]],BaseContasDRE[#All],7,FALSE))</f>
        <v>PRODUÇÃO DE SEMENTES</v>
      </c>
      <c r="V6537" s="3" t="str">
        <f>IF(Base_Periodo1[[#This Row],[Tipo_Linha]]="Fora do DRE","Fora do DRE","( "&amp;Base_Periodo1[[#This Row],[Tipo_Linha]]&amp;" ) "&amp;Base_Periodo1[[#This Row],[Filtro]])</f>
        <v>( - ) PRODUÇÃO DE SEMENTES</v>
      </c>
      <c r="W6537" s="3" t="str">
        <f>LEFT(Base_Periodo1[[#This Row],[CLASS]],3)</f>
        <v>3.2</v>
      </c>
    </row>
    <row r="6538" spans="1:23" hidden="1">
      <c r="A6538" s="3" t="str">
        <f t="shared" si="102"/>
        <v>Período 1</v>
      </c>
      <c r="B6538">
        <v>32453</v>
      </c>
      <c r="C6538" t="s">
        <v>4107</v>
      </c>
      <c r="D6538" t="s">
        <v>1503</v>
      </c>
      <c r="E6538" s="3" t="str">
        <f>IF(LEN(Base_Periodo1[[#This Row],[CLASS]])&gt;=7,LEFT(Base_Periodo1[[#This Row],[CLASS]],7),"")</f>
        <v>3.2.1.1</v>
      </c>
      <c r="F6538" s="3" t="e">
        <f>VLOOKUP(Base_Periodo1[[#This Row],[Aux]],Base_Contas_Balanco[#All],2,FALSE)</f>
        <v>#N/A</v>
      </c>
      <c r="G6538" s="1"/>
      <c r="H6538" s="225">
        <v>14143.200000039549</v>
      </c>
      <c r="I6538" s="225">
        <v>2204296.7399999998</v>
      </c>
      <c r="J6538" s="225">
        <v>2198335.66</v>
      </c>
      <c r="K6538" s="225">
        <v>8182.1200000401586</v>
      </c>
      <c r="L653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8182.12</v>
      </c>
      <c r="M6538" s="225">
        <f>ROUND(IF(AND(Base_Periodo1[[#This Row],[Tipo_Linha]]="-",Base_Periodo1[[#This Row],[TIPOSALDO]]="D"),Base_Periodo1[[#This Row],[SALDO_ATUAL]]*-1,Base_Periodo1[[#This Row],[SALDO_ATUAL]]),4)</f>
        <v>8182.12</v>
      </c>
      <c r="N6538" t="s">
        <v>396</v>
      </c>
      <c r="O6538" t="s">
        <v>459</v>
      </c>
      <c r="P6538" t="s">
        <v>459</v>
      </c>
      <c r="Q6538">
        <v>6</v>
      </c>
      <c r="R6538" s="282">
        <f>Base_Periodo1[[#This Row],[CREDITOS]]-Base_Periodo1[[#This Row],[DEBITOS]]</f>
        <v>-5961.0799999996088</v>
      </c>
      <c r="S6538" s="3" t="str">
        <f>IF(ISERROR(VLOOKUP(Base_Periodo1[[#This Row],[CONTA]],BaseContasDRE[#All],4,FALSE)),"Fora do DRE",VLOOKUP(Base_Periodo1[[#This Row],[CONTA]],BaseContasDRE[#All],4,FALSE))</f>
        <v>Fora do DRE</v>
      </c>
      <c r="T6538" s="3" t="str">
        <f>IF(ISERROR(VLOOKUP(Base_Periodo1[[#This Row],[CONTA]],BaseContasDRE[#All],5,FALSE)),"Fora do DRE",VLOOKUP(Base_Periodo1[[#This Row],[CONTA]],BaseContasDRE[#All],6,FALSE))</f>
        <v>Fora do DRE</v>
      </c>
      <c r="U6538" s="3" t="str">
        <f>IF(ISERROR(VLOOKUP(Base_Periodo1[[#This Row],[CONTA]],BaseContasDRE[#All],7,FALSE)),"Fora do DRE",VLOOKUP(Base_Periodo1[[#This Row],[CONTA]],BaseContasDRE[#All],7,FALSE))</f>
        <v>Fora do DRE</v>
      </c>
      <c r="V6538" s="3" t="str">
        <f>IF(Base_Periodo1[[#This Row],[Tipo_Linha]]="Fora do DRE","Fora do DRE","( "&amp;Base_Periodo1[[#This Row],[Tipo_Linha]]&amp;" ) "&amp;Base_Periodo1[[#This Row],[Filtro]])</f>
        <v>Fora do DRE</v>
      </c>
      <c r="W6538" s="3" t="str">
        <f>LEFT(Base_Periodo1[[#This Row],[CLASS]],3)</f>
        <v>3.2</v>
      </c>
    </row>
    <row r="6539" spans="1:23" hidden="1">
      <c r="A6539" s="3" t="str">
        <f t="shared" si="102"/>
        <v>Período 1</v>
      </c>
      <c r="B6539">
        <v>34561</v>
      </c>
      <c r="C6539" t="s">
        <v>4517</v>
      </c>
      <c r="D6539" t="s">
        <v>1602</v>
      </c>
      <c r="E6539" s="3" t="str">
        <f>IF(LEN(Base_Periodo1[[#This Row],[CLASS]])&gt;=7,LEFT(Base_Periodo1[[#This Row],[CLASS]],7),"")</f>
        <v>3.2.1.1</v>
      </c>
      <c r="F6539" s="3" t="e">
        <f>VLOOKUP(Base_Periodo1[[#This Row],[Aux]],Base_Contas_Balanco[#All],2,FALSE)</f>
        <v>#N/A</v>
      </c>
      <c r="G6539" s="1"/>
      <c r="I6539" s="225">
        <v>85485.38</v>
      </c>
      <c r="J6539" s="225">
        <v>85422.13</v>
      </c>
      <c r="K6539" s="225">
        <v>63.249999947831384</v>
      </c>
      <c r="L653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-63.25</v>
      </c>
      <c r="M6539" s="225">
        <f>ROUND(IF(AND(Base_Periodo1[[#This Row],[Tipo_Linha]]="-",Base_Periodo1[[#This Row],[TIPOSALDO]]="D"),Base_Periodo1[[#This Row],[SALDO_ATUAL]]*-1,Base_Periodo1[[#This Row],[SALDO_ATUAL]]),4)</f>
        <v>63.25</v>
      </c>
      <c r="N6539" t="s">
        <v>396</v>
      </c>
      <c r="O6539" t="s">
        <v>436</v>
      </c>
      <c r="P6539" t="s">
        <v>397</v>
      </c>
      <c r="Q6539">
        <v>7</v>
      </c>
      <c r="R6539" s="282">
        <f>Base_Periodo1[[#This Row],[CREDITOS]]-Base_Periodo1[[#This Row],[DEBITOS]]</f>
        <v>-63.25</v>
      </c>
      <c r="S6539" s="3" t="str">
        <f>IF(ISERROR(VLOOKUP(Base_Periodo1[[#This Row],[CONTA]],BaseContasDRE[#All],4,FALSE)),"Fora do DRE",VLOOKUP(Base_Periodo1[[#This Row],[CONTA]],BaseContasDRE[#All],4,FALSE))</f>
        <v>Fora do DRE</v>
      </c>
      <c r="T6539" s="3" t="str">
        <f>IF(ISERROR(VLOOKUP(Base_Periodo1[[#This Row],[CONTA]],BaseContasDRE[#All],5,FALSE)),"Fora do DRE",VLOOKUP(Base_Periodo1[[#This Row],[CONTA]],BaseContasDRE[#All],6,FALSE))</f>
        <v>Fora do DRE</v>
      </c>
      <c r="U6539" s="3" t="str">
        <f>IF(ISERROR(VLOOKUP(Base_Periodo1[[#This Row],[CONTA]],BaseContasDRE[#All],7,FALSE)),"Fora do DRE",VLOOKUP(Base_Periodo1[[#This Row],[CONTA]],BaseContasDRE[#All],7,FALSE))</f>
        <v>Fora do DRE</v>
      </c>
      <c r="V6539" s="3" t="str">
        <f>IF(Base_Periodo1[[#This Row],[Tipo_Linha]]="Fora do DRE","Fora do DRE","( "&amp;Base_Periodo1[[#This Row],[Tipo_Linha]]&amp;" ) "&amp;Base_Periodo1[[#This Row],[Filtro]])</f>
        <v>Fora do DRE</v>
      </c>
      <c r="W6539" s="3" t="str">
        <f>LEFT(Base_Periodo1[[#This Row],[CLASS]],3)</f>
        <v>3.2</v>
      </c>
    </row>
    <row r="6540" spans="1:23" hidden="1">
      <c r="A6540" s="3" t="str">
        <f t="shared" si="102"/>
        <v>Período 1</v>
      </c>
      <c r="B6540">
        <v>34562</v>
      </c>
      <c r="C6540" t="s">
        <v>5119</v>
      </c>
      <c r="D6540" t="s">
        <v>4096</v>
      </c>
      <c r="E6540" s="3" t="str">
        <f>IF(LEN(Base_Periodo1[[#This Row],[CLASS]])&gt;=7,LEFT(Base_Periodo1[[#This Row],[CLASS]],7),"")</f>
        <v>3.2.1.1</v>
      </c>
      <c r="F6540" s="3" t="e">
        <f>VLOOKUP(Base_Periodo1[[#This Row],[Aux]],Base_Contas_Balanco[#All],2,FALSE)</f>
        <v>#N/A</v>
      </c>
      <c r="G6540" s="1"/>
      <c r="I6540" s="225">
        <v>36532.1</v>
      </c>
      <c r="J6540" s="225">
        <v>36722</v>
      </c>
      <c r="K6540" s="225">
        <v>189.90000004470494</v>
      </c>
      <c r="L654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189.9</v>
      </c>
      <c r="M6540" s="225">
        <f>ROUND(IF(AND(Base_Periodo1[[#This Row],[Tipo_Linha]]="-",Base_Periodo1[[#This Row],[TIPOSALDO]]="D"),Base_Periodo1[[#This Row],[SALDO_ATUAL]]*-1,Base_Periodo1[[#This Row],[SALDO_ATUAL]]),4)</f>
        <v>189.9</v>
      </c>
      <c r="N6540" t="s">
        <v>396</v>
      </c>
      <c r="O6540" t="s">
        <v>436</v>
      </c>
      <c r="P6540" t="s">
        <v>459</v>
      </c>
      <c r="Q6540">
        <v>8</v>
      </c>
      <c r="R6540" s="282">
        <f>Base_Periodo1[[#This Row],[CREDITOS]]-Base_Periodo1[[#This Row],[DEBITOS]]</f>
        <v>189.90000000000146</v>
      </c>
      <c r="S6540" s="3" t="str">
        <f>IF(ISERROR(VLOOKUP(Base_Periodo1[[#This Row],[CONTA]],BaseContasDRE[#All],4,FALSE)),"Fora do DRE",VLOOKUP(Base_Periodo1[[#This Row],[CONTA]],BaseContasDRE[#All],4,FALSE))</f>
        <v>Fora do DRE</v>
      </c>
      <c r="T6540" s="3" t="str">
        <f>IF(ISERROR(VLOOKUP(Base_Periodo1[[#This Row],[CONTA]],BaseContasDRE[#All],5,FALSE)),"Fora do DRE",VLOOKUP(Base_Periodo1[[#This Row],[CONTA]],BaseContasDRE[#All],6,FALSE))</f>
        <v>Fora do DRE</v>
      </c>
      <c r="U6540" s="3" t="str">
        <f>IF(ISERROR(VLOOKUP(Base_Periodo1[[#This Row],[CONTA]],BaseContasDRE[#All],7,FALSE)),"Fora do DRE",VLOOKUP(Base_Periodo1[[#This Row],[CONTA]],BaseContasDRE[#All],7,FALSE))</f>
        <v>Fora do DRE</v>
      </c>
      <c r="V6540" s="3" t="str">
        <f>IF(Base_Periodo1[[#This Row],[Tipo_Linha]]="Fora do DRE","Fora do DRE","( "&amp;Base_Periodo1[[#This Row],[Tipo_Linha]]&amp;" ) "&amp;Base_Periodo1[[#This Row],[Filtro]])</f>
        <v>Fora do DRE</v>
      </c>
      <c r="W6540" s="3" t="str">
        <f>LEFT(Base_Periodo1[[#This Row],[CLASS]],3)</f>
        <v>3.2</v>
      </c>
    </row>
    <row r="6541" spans="1:23" hidden="1">
      <c r="A6541" s="3" t="str">
        <f t="shared" si="102"/>
        <v>Período 1</v>
      </c>
      <c r="B6541">
        <v>34566</v>
      </c>
      <c r="C6541" t="s">
        <v>5120</v>
      </c>
      <c r="D6541" t="s">
        <v>4096</v>
      </c>
      <c r="E6541" s="3" t="str">
        <f>IF(LEN(Base_Periodo1[[#This Row],[CLASS]])&gt;=7,LEFT(Base_Periodo1[[#This Row],[CLASS]],7),"")</f>
        <v>3.2.1.1</v>
      </c>
      <c r="F6541" s="3" t="e">
        <f>VLOOKUP(Base_Periodo1[[#This Row],[Aux]],Base_Contas_Balanco[#All],2,FALSE)</f>
        <v>#N/A</v>
      </c>
      <c r="G6541" s="1">
        <v>42886</v>
      </c>
      <c r="I6541" s="225">
        <v>36532.1</v>
      </c>
      <c r="J6541" s="225">
        <v>36722</v>
      </c>
      <c r="K6541" s="225">
        <v>189.90000004470494</v>
      </c>
      <c r="L654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189.9</v>
      </c>
      <c r="M6541" s="225">
        <f>ROUND(IF(AND(Base_Periodo1[[#This Row],[Tipo_Linha]]="-",Base_Periodo1[[#This Row],[TIPOSALDO]]="D"),Base_Periodo1[[#This Row],[SALDO_ATUAL]]*-1,Base_Periodo1[[#This Row],[SALDO_ATUAL]]),4)</f>
        <v>189.9</v>
      </c>
      <c r="N6541" t="s">
        <v>116</v>
      </c>
      <c r="O6541" t="s">
        <v>436</v>
      </c>
      <c r="P6541" t="s">
        <v>459</v>
      </c>
      <c r="Q6541">
        <v>9</v>
      </c>
      <c r="R6541" s="282">
        <f>Base_Periodo1[[#This Row],[CREDITOS]]-Base_Periodo1[[#This Row],[DEBITOS]]</f>
        <v>189.90000000000146</v>
      </c>
      <c r="S6541" s="3" t="str">
        <f>IF(ISERROR(VLOOKUP(Base_Periodo1[[#This Row],[CONTA]],BaseContasDRE[#All],4,FALSE)),"Fora do DRE",VLOOKUP(Base_Periodo1[[#This Row],[CONTA]],BaseContasDRE[#All],4,FALSE))</f>
        <v>+</v>
      </c>
      <c r="T6541" s="3">
        <f>IF(ISERROR(VLOOKUP(Base_Periodo1[[#This Row],[CONTA]],BaseContasDRE[#All],5,FALSE)),"Fora do DRE",VLOOKUP(Base_Periodo1[[#This Row],[CONTA]],BaseContasDRE[#All],6,FALSE))</f>
        <v>1</v>
      </c>
      <c r="U6541" s="3" t="str">
        <f>IF(ISERROR(VLOOKUP(Base_Periodo1[[#This Row],[CONTA]],BaseContasDRE[#All],7,FALSE)),"Fora do DRE",VLOOKUP(Base_Periodo1[[#This Row],[CONTA]],BaseContasDRE[#All],7,FALSE))</f>
        <v>SEMENTES PRODUZIDAS</v>
      </c>
      <c r="V6541" s="3" t="str">
        <f>IF(Base_Periodo1[[#This Row],[Tipo_Linha]]="Fora do DRE","Fora do DRE","( "&amp;Base_Periodo1[[#This Row],[Tipo_Linha]]&amp;" ) "&amp;Base_Periodo1[[#This Row],[Filtro]])</f>
        <v>( + ) SEMENTES PRODUZIDAS</v>
      </c>
      <c r="W6541" s="3" t="str">
        <f>LEFT(Base_Periodo1[[#This Row],[CLASS]],3)</f>
        <v>3.2</v>
      </c>
    </row>
    <row r="6542" spans="1:23" hidden="1">
      <c r="A6542" s="3" t="str">
        <f t="shared" si="102"/>
        <v>Período 1</v>
      </c>
      <c r="B6542">
        <v>34563</v>
      </c>
      <c r="C6542" t="s">
        <v>4518</v>
      </c>
      <c r="D6542" t="s">
        <v>4419</v>
      </c>
      <c r="E6542" s="3" t="str">
        <f>IF(LEN(Base_Periodo1[[#This Row],[CLASS]])&gt;=7,LEFT(Base_Periodo1[[#This Row],[CLASS]],7),"")</f>
        <v>3.2.1.1</v>
      </c>
      <c r="F6542" s="3" t="e">
        <f>VLOOKUP(Base_Periodo1[[#This Row],[Aux]],Base_Contas_Balanco[#All],2,FALSE)</f>
        <v>#N/A</v>
      </c>
      <c r="G6542" s="1"/>
      <c r="I6542" s="225">
        <v>48953.279999999999</v>
      </c>
      <c r="J6542" s="225">
        <v>48700.13</v>
      </c>
      <c r="K6542" s="225">
        <v>253.14999999255087</v>
      </c>
      <c r="L654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-253.15</v>
      </c>
      <c r="M6542" s="225">
        <f>ROUND(IF(AND(Base_Periodo1[[#This Row],[Tipo_Linha]]="-",Base_Periodo1[[#This Row],[TIPOSALDO]]="D"),Base_Periodo1[[#This Row],[SALDO_ATUAL]]*-1,Base_Periodo1[[#This Row],[SALDO_ATUAL]]),4)</f>
        <v>253.15</v>
      </c>
      <c r="N6542" t="s">
        <v>396</v>
      </c>
      <c r="O6542" t="s">
        <v>436</v>
      </c>
      <c r="P6542" t="s">
        <v>397</v>
      </c>
      <c r="Q6542">
        <v>8</v>
      </c>
      <c r="R6542" s="282">
        <f>Base_Periodo1[[#This Row],[CREDITOS]]-Base_Periodo1[[#This Row],[DEBITOS]]</f>
        <v>-253.15000000000146</v>
      </c>
      <c r="S6542" s="3" t="str">
        <f>IF(ISERROR(VLOOKUP(Base_Periodo1[[#This Row],[CONTA]],BaseContasDRE[#All],4,FALSE)),"Fora do DRE",VLOOKUP(Base_Periodo1[[#This Row],[CONTA]],BaseContasDRE[#All],4,FALSE))</f>
        <v>Fora do DRE</v>
      </c>
      <c r="T6542" s="3" t="str">
        <f>IF(ISERROR(VLOOKUP(Base_Periodo1[[#This Row],[CONTA]],BaseContasDRE[#All],5,FALSE)),"Fora do DRE",VLOOKUP(Base_Periodo1[[#This Row],[CONTA]],BaseContasDRE[#All],6,FALSE))</f>
        <v>Fora do DRE</v>
      </c>
      <c r="U6542" s="3" t="str">
        <f>IF(ISERROR(VLOOKUP(Base_Periodo1[[#This Row],[CONTA]],BaseContasDRE[#All],7,FALSE)),"Fora do DRE",VLOOKUP(Base_Periodo1[[#This Row],[CONTA]],BaseContasDRE[#All],7,FALSE))</f>
        <v>Fora do DRE</v>
      </c>
      <c r="V6542" s="3" t="str">
        <f>IF(Base_Periodo1[[#This Row],[Tipo_Linha]]="Fora do DRE","Fora do DRE","( "&amp;Base_Periodo1[[#This Row],[Tipo_Linha]]&amp;" ) "&amp;Base_Periodo1[[#This Row],[Filtro]])</f>
        <v>Fora do DRE</v>
      </c>
      <c r="W6542" s="3" t="str">
        <f>LEFT(Base_Periodo1[[#This Row],[CLASS]],3)</f>
        <v>3.2</v>
      </c>
    </row>
    <row r="6543" spans="1:23" hidden="1">
      <c r="A6543" s="3" t="str">
        <f t="shared" si="102"/>
        <v>Período 1</v>
      </c>
      <c r="B6543">
        <v>34564</v>
      </c>
      <c r="C6543" t="s">
        <v>4519</v>
      </c>
      <c r="D6543" t="s">
        <v>4419</v>
      </c>
      <c r="E6543" s="3" t="str">
        <f>IF(LEN(Base_Periodo1[[#This Row],[CLASS]])&gt;=7,LEFT(Base_Periodo1[[#This Row],[CLASS]],7),"")</f>
        <v>3.2.1.1</v>
      </c>
      <c r="F6543" s="3" t="e">
        <f>VLOOKUP(Base_Periodo1[[#This Row],[Aux]],Base_Contas_Balanco[#All],2,FALSE)</f>
        <v>#N/A</v>
      </c>
      <c r="G6543" s="1">
        <v>42886</v>
      </c>
      <c r="I6543" s="225">
        <v>48953.279999999999</v>
      </c>
      <c r="J6543" s="225">
        <v>48700.13</v>
      </c>
      <c r="K6543" s="225">
        <v>253.14999999255087</v>
      </c>
      <c r="L654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-253.15</v>
      </c>
      <c r="M6543" s="225">
        <f>ROUND(IF(AND(Base_Periodo1[[#This Row],[Tipo_Linha]]="-",Base_Periodo1[[#This Row],[TIPOSALDO]]="D"),Base_Periodo1[[#This Row],[SALDO_ATUAL]]*-1,Base_Periodo1[[#This Row],[SALDO_ATUAL]]),4)</f>
        <v>-253.15</v>
      </c>
      <c r="N6543" t="s">
        <v>116</v>
      </c>
      <c r="O6543" t="s">
        <v>436</v>
      </c>
      <c r="P6543" t="s">
        <v>397</v>
      </c>
      <c r="Q6543">
        <v>9</v>
      </c>
      <c r="R6543" s="282">
        <f>Base_Periodo1[[#This Row],[CREDITOS]]-Base_Periodo1[[#This Row],[DEBITOS]]</f>
        <v>-253.15000000000146</v>
      </c>
      <c r="S6543" s="3" t="str">
        <f>IF(ISERROR(VLOOKUP(Base_Periodo1[[#This Row],[CONTA]],BaseContasDRE[#All],4,FALSE)),"Fora do DRE",VLOOKUP(Base_Periodo1[[#This Row],[CONTA]],BaseContasDRE[#All],4,FALSE))</f>
        <v>-</v>
      </c>
      <c r="T6543" s="3">
        <f>IF(ISERROR(VLOOKUP(Base_Periodo1[[#This Row],[CONTA]],BaseContasDRE[#All],5,FALSE)),"Fora do DRE",VLOOKUP(Base_Periodo1[[#This Row],[CONTA]],BaseContasDRE[#All],6,FALSE))</f>
        <v>3</v>
      </c>
      <c r="U6543" s="3" t="str">
        <f>IF(ISERROR(VLOOKUP(Base_Periodo1[[#This Row],[CONTA]],BaseContasDRE[#All],7,FALSE)),"Fora do DRE",VLOOKUP(Base_Periodo1[[#This Row],[CONTA]],BaseContasDRE[#All],7,FALSE))</f>
        <v>PRODUÇÃO DE SEMENTES</v>
      </c>
      <c r="V6543" s="3" t="str">
        <f>IF(Base_Periodo1[[#This Row],[Tipo_Linha]]="Fora do DRE","Fora do DRE","( "&amp;Base_Periodo1[[#This Row],[Tipo_Linha]]&amp;" ) "&amp;Base_Periodo1[[#This Row],[Filtro]])</f>
        <v>( - ) PRODUÇÃO DE SEMENTES</v>
      </c>
      <c r="W6543" s="3" t="str">
        <f>LEFT(Base_Periodo1[[#This Row],[CLASS]],3)</f>
        <v>3.2</v>
      </c>
    </row>
    <row r="6544" spans="1:23" hidden="1">
      <c r="A6544" s="3" t="str">
        <f t="shared" si="102"/>
        <v>Período 1</v>
      </c>
      <c r="B6544">
        <v>33315</v>
      </c>
      <c r="C6544" t="s">
        <v>6678</v>
      </c>
      <c r="D6544" t="s">
        <v>4520</v>
      </c>
      <c r="E6544" s="3" t="str">
        <f>IF(LEN(Base_Periodo1[[#This Row],[CLASS]])&gt;=7,LEFT(Base_Periodo1[[#This Row],[CLASS]],7),"")</f>
        <v>3.2.1.1</v>
      </c>
      <c r="F6544" s="3" t="e">
        <f>VLOOKUP(Base_Periodo1[[#This Row],[Aux]],Base_Contas_Balanco[#All],2,FALSE)</f>
        <v>#N/A</v>
      </c>
      <c r="G6544" s="1"/>
      <c r="H6544" s="225">
        <v>14143.199999987381</v>
      </c>
      <c r="I6544" s="225">
        <v>2027606.19</v>
      </c>
      <c r="J6544" s="225">
        <v>2021708.36</v>
      </c>
      <c r="K6544" s="225">
        <v>8245.3699999875389</v>
      </c>
      <c r="L654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8245.3700000000008</v>
      </c>
      <c r="M6544" s="225">
        <f>ROUND(IF(AND(Base_Periodo1[[#This Row],[Tipo_Linha]]="-",Base_Periodo1[[#This Row],[TIPOSALDO]]="D"),Base_Periodo1[[#This Row],[SALDO_ATUAL]]*-1,Base_Periodo1[[#This Row],[SALDO_ATUAL]]),4)</f>
        <v>8245.3700000000008</v>
      </c>
      <c r="N6544" t="s">
        <v>396</v>
      </c>
      <c r="O6544" t="s">
        <v>459</v>
      </c>
      <c r="P6544" t="s">
        <v>459</v>
      </c>
      <c r="Q6544">
        <v>7</v>
      </c>
      <c r="R6544" s="282">
        <f>Base_Periodo1[[#This Row],[CREDITOS]]-Base_Periodo1[[#This Row],[DEBITOS]]</f>
        <v>-5897.8299999998417</v>
      </c>
      <c r="S6544" s="3" t="str">
        <f>IF(ISERROR(VLOOKUP(Base_Periodo1[[#This Row],[CONTA]],BaseContasDRE[#All],4,FALSE)),"Fora do DRE",VLOOKUP(Base_Periodo1[[#This Row],[CONTA]],BaseContasDRE[#All],4,FALSE))</f>
        <v>Fora do DRE</v>
      </c>
      <c r="T6544" s="3" t="str">
        <f>IF(ISERROR(VLOOKUP(Base_Periodo1[[#This Row],[CONTA]],BaseContasDRE[#All],5,FALSE)),"Fora do DRE",VLOOKUP(Base_Periodo1[[#This Row],[CONTA]],BaseContasDRE[#All],6,FALSE))</f>
        <v>Fora do DRE</v>
      </c>
      <c r="U6544" s="3" t="str">
        <f>IF(ISERROR(VLOOKUP(Base_Periodo1[[#This Row],[CONTA]],BaseContasDRE[#All],7,FALSE)),"Fora do DRE",VLOOKUP(Base_Periodo1[[#This Row],[CONTA]],BaseContasDRE[#All],7,FALSE))</f>
        <v>Fora do DRE</v>
      </c>
      <c r="V6544" s="3" t="str">
        <f>IF(Base_Periodo1[[#This Row],[Tipo_Linha]]="Fora do DRE","Fora do DRE","( "&amp;Base_Periodo1[[#This Row],[Tipo_Linha]]&amp;" ) "&amp;Base_Periodo1[[#This Row],[Filtro]])</f>
        <v>Fora do DRE</v>
      </c>
      <c r="W6544" s="3" t="str">
        <f>LEFT(Base_Periodo1[[#This Row],[CLASS]],3)</f>
        <v>3.2</v>
      </c>
    </row>
    <row r="6545" spans="1:23" hidden="1">
      <c r="A6545" s="3" t="str">
        <f t="shared" si="102"/>
        <v>Período 1</v>
      </c>
      <c r="B6545">
        <v>33316</v>
      </c>
      <c r="C6545" t="s">
        <v>6679</v>
      </c>
      <c r="D6545" t="s">
        <v>4096</v>
      </c>
      <c r="E6545" s="3" t="str">
        <f>IF(LEN(Base_Periodo1[[#This Row],[CLASS]])&gt;=7,LEFT(Base_Periodo1[[#This Row],[CLASS]],7),"")</f>
        <v>3.2.1.1</v>
      </c>
      <c r="F6545" s="3" t="e">
        <f>VLOOKUP(Base_Periodo1[[#This Row],[Aux]],Base_Contas_Balanco[#All],2,FALSE)</f>
        <v>#N/A</v>
      </c>
      <c r="G6545" s="1"/>
      <c r="H6545" s="225">
        <v>65418.789999984205</v>
      </c>
      <c r="I6545" s="225">
        <v>1131218.1299999999</v>
      </c>
      <c r="J6545" s="225">
        <v>1108180.1200000001</v>
      </c>
      <c r="K6545" s="225">
        <v>42380.779999984428</v>
      </c>
      <c r="L654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42380.78</v>
      </c>
      <c r="M6545" s="225">
        <f>ROUND(IF(AND(Base_Periodo1[[#This Row],[Tipo_Linha]]="-",Base_Periodo1[[#This Row],[TIPOSALDO]]="D"),Base_Periodo1[[#This Row],[SALDO_ATUAL]]*-1,Base_Periodo1[[#This Row],[SALDO_ATUAL]]),4)</f>
        <v>42380.78</v>
      </c>
      <c r="N6545" t="s">
        <v>396</v>
      </c>
      <c r="O6545" t="s">
        <v>459</v>
      </c>
      <c r="P6545" t="s">
        <v>459</v>
      </c>
      <c r="Q6545">
        <v>8</v>
      </c>
      <c r="R6545" s="282">
        <f>Base_Periodo1[[#This Row],[CREDITOS]]-Base_Periodo1[[#This Row],[DEBITOS]]</f>
        <v>-23038.009999999776</v>
      </c>
      <c r="S6545" s="3" t="str">
        <f>IF(ISERROR(VLOOKUP(Base_Periodo1[[#This Row],[CONTA]],BaseContasDRE[#All],4,FALSE)),"Fora do DRE",VLOOKUP(Base_Periodo1[[#This Row],[CONTA]],BaseContasDRE[#All],4,FALSE))</f>
        <v>Fora do DRE</v>
      </c>
      <c r="T6545" s="3" t="str">
        <f>IF(ISERROR(VLOOKUP(Base_Periodo1[[#This Row],[CONTA]],BaseContasDRE[#All],5,FALSE)),"Fora do DRE",VLOOKUP(Base_Periodo1[[#This Row],[CONTA]],BaseContasDRE[#All],6,FALSE))</f>
        <v>Fora do DRE</v>
      </c>
      <c r="U6545" s="3" t="str">
        <f>IF(ISERROR(VLOOKUP(Base_Periodo1[[#This Row],[CONTA]],BaseContasDRE[#All],7,FALSE)),"Fora do DRE",VLOOKUP(Base_Periodo1[[#This Row],[CONTA]],BaseContasDRE[#All],7,FALSE))</f>
        <v>Fora do DRE</v>
      </c>
      <c r="V6545" s="3" t="str">
        <f>IF(Base_Periodo1[[#This Row],[Tipo_Linha]]="Fora do DRE","Fora do DRE","( "&amp;Base_Periodo1[[#This Row],[Tipo_Linha]]&amp;" ) "&amp;Base_Periodo1[[#This Row],[Filtro]])</f>
        <v>Fora do DRE</v>
      </c>
      <c r="W6545" s="3" t="str">
        <f>LEFT(Base_Periodo1[[#This Row],[CLASS]],3)</f>
        <v>3.2</v>
      </c>
    </row>
    <row r="6546" spans="1:23" hidden="1">
      <c r="A6546" s="3" t="str">
        <f t="shared" si="102"/>
        <v>Período 1</v>
      </c>
      <c r="B6546">
        <v>33317</v>
      </c>
      <c r="C6546" t="s">
        <v>6680</v>
      </c>
      <c r="D6546" t="s">
        <v>4096</v>
      </c>
      <c r="E6546" s="3" t="str">
        <f>IF(LEN(Base_Periodo1[[#This Row],[CLASS]])&gt;=7,LEFT(Base_Periodo1[[#This Row],[CLASS]],7),"")</f>
        <v>3.2.1.1</v>
      </c>
      <c r="F6546" s="3" t="e">
        <f>VLOOKUP(Base_Periodo1[[#This Row],[Aux]],Base_Contas_Balanco[#All],2,FALSE)</f>
        <v>#N/A</v>
      </c>
      <c r="G6546" s="1">
        <v>42886</v>
      </c>
      <c r="H6546" s="225">
        <v>65418.789999984205</v>
      </c>
      <c r="I6546" s="225">
        <v>1131218.1299999999</v>
      </c>
      <c r="J6546" s="225">
        <v>1108180.1200000001</v>
      </c>
      <c r="K6546" s="225">
        <v>42380.779999984428</v>
      </c>
      <c r="L654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42380.78</v>
      </c>
      <c r="M6546" s="225">
        <f>ROUND(IF(AND(Base_Periodo1[[#This Row],[Tipo_Linha]]="-",Base_Periodo1[[#This Row],[TIPOSALDO]]="D"),Base_Periodo1[[#This Row],[SALDO_ATUAL]]*-1,Base_Periodo1[[#This Row],[SALDO_ATUAL]]),4)</f>
        <v>42380.78</v>
      </c>
      <c r="N6546" t="s">
        <v>116</v>
      </c>
      <c r="O6546" t="s">
        <v>459</v>
      </c>
      <c r="P6546" t="s">
        <v>459</v>
      </c>
      <c r="Q6546">
        <v>9</v>
      </c>
      <c r="R6546" s="282">
        <f>Base_Periodo1[[#This Row],[CREDITOS]]-Base_Periodo1[[#This Row],[DEBITOS]]</f>
        <v>-23038.009999999776</v>
      </c>
      <c r="S6546" s="3" t="str">
        <f>IF(ISERROR(VLOOKUP(Base_Periodo1[[#This Row],[CONTA]],BaseContasDRE[#All],4,FALSE)),"Fora do DRE",VLOOKUP(Base_Periodo1[[#This Row],[CONTA]],BaseContasDRE[#All],4,FALSE))</f>
        <v>+</v>
      </c>
      <c r="T6546" s="3">
        <f>IF(ISERROR(VLOOKUP(Base_Periodo1[[#This Row],[CONTA]],BaseContasDRE[#All],5,FALSE)),"Fora do DRE",VLOOKUP(Base_Periodo1[[#This Row],[CONTA]],BaseContasDRE[#All],6,FALSE))</f>
        <v>1</v>
      </c>
      <c r="U6546" s="3" t="str">
        <f>IF(ISERROR(VLOOKUP(Base_Periodo1[[#This Row],[CONTA]],BaseContasDRE[#All],7,FALSE)),"Fora do DRE",VLOOKUP(Base_Periodo1[[#This Row],[CONTA]],BaseContasDRE[#All],7,FALSE))</f>
        <v>SEMENTES PRODUZIDAS</v>
      </c>
      <c r="V6546" s="3" t="str">
        <f>IF(Base_Periodo1[[#This Row],[Tipo_Linha]]="Fora do DRE","Fora do DRE","( "&amp;Base_Periodo1[[#This Row],[Tipo_Linha]]&amp;" ) "&amp;Base_Periodo1[[#This Row],[Filtro]])</f>
        <v>( + ) SEMENTES PRODUZIDAS</v>
      </c>
      <c r="W6546" s="3" t="str">
        <f>LEFT(Base_Periodo1[[#This Row],[CLASS]],3)</f>
        <v>3.2</v>
      </c>
    </row>
    <row r="6547" spans="1:23" hidden="1">
      <c r="A6547" s="3" t="str">
        <f t="shared" si="102"/>
        <v>Período 1</v>
      </c>
      <c r="B6547">
        <v>33997</v>
      </c>
      <c r="C6547" t="s">
        <v>6681</v>
      </c>
      <c r="D6547" t="s">
        <v>6672</v>
      </c>
      <c r="E6547" s="3" t="str">
        <f>IF(LEN(Base_Periodo1[[#This Row],[CLASS]])&gt;=7,LEFT(Base_Periodo1[[#This Row],[CLASS]],7),"")</f>
        <v>3.2.1.1</v>
      </c>
      <c r="F6547" s="3" t="e">
        <f>VLOOKUP(Base_Periodo1[[#This Row],[Aux]],Base_Contas_Balanco[#All],2,FALSE)</f>
        <v>#N/A</v>
      </c>
      <c r="G6547" s="1"/>
      <c r="H6547" s="225">
        <v>7470.4700000000012</v>
      </c>
      <c r="I6547" s="225">
        <v>106871.77</v>
      </c>
      <c r="J6547" s="225">
        <v>110618.41</v>
      </c>
      <c r="K6547" s="225">
        <v>3723.8300000000017</v>
      </c>
      <c r="L654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-3723.83</v>
      </c>
      <c r="M6547" s="225">
        <f>ROUND(IF(AND(Base_Periodo1[[#This Row],[Tipo_Linha]]="-",Base_Periodo1[[#This Row],[TIPOSALDO]]="D"),Base_Periodo1[[#This Row],[SALDO_ATUAL]]*-1,Base_Periodo1[[#This Row],[SALDO_ATUAL]]),4)</f>
        <v>3723.83</v>
      </c>
      <c r="N6547" t="s">
        <v>396</v>
      </c>
      <c r="O6547" t="s">
        <v>397</v>
      </c>
      <c r="P6547" t="s">
        <v>397</v>
      </c>
      <c r="Q6547">
        <v>8</v>
      </c>
      <c r="R6547" s="282">
        <f>Base_Periodo1[[#This Row],[CREDITOS]]-Base_Periodo1[[#This Row],[DEBITOS]]</f>
        <v>3746.6399999999994</v>
      </c>
      <c r="S6547" s="3" t="str">
        <f>IF(ISERROR(VLOOKUP(Base_Periodo1[[#This Row],[CONTA]],BaseContasDRE[#All],4,FALSE)),"Fora do DRE",VLOOKUP(Base_Periodo1[[#This Row],[CONTA]],BaseContasDRE[#All],4,FALSE))</f>
        <v>Fora do DRE</v>
      </c>
      <c r="T6547" s="3" t="str">
        <f>IF(ISERROR(VLOOKUP(Base_Periodo1[[#This Row],[CONTA]],BaseContasDRE[#All],5,FALSE)),"Fora do DRE",VLOOKUP(Base_Periodo1[[#This Row],[CONTA]],BaseContasDRE[#All],6,FALSE))</f>
        <v>Fora do DRE</v>
      </c>
      <c r="U6547" s="3" t="str">
        <f>IF(ISERROR(VLOOKUP(Base_Periodo1[[#This Row],[CONTA]],BaseContasDRE[#All],7,FALSE)),"Fora do DRE",VLOOKUP(Base_Periodo1[[#This Row],[CONTA]],BaseContasDRE[#All],7,FALSE))</f>
        <v>Fora do DRE</v>
      </c>
      <c r="V6547" s="3" t="str">
        <f>IF(Base_Periodo1[[#This Row],[Tipo_Linha]]="Fora do DRE","Fora do DRE","( "&amp;Base_Periodo1[[#This Row],[Tipo_Linha]]&amp;" ) "&amp;Base_Periodo1[[#This Row],[Filtro]])</f>
        <v>Fora do DRE</v>
      </c>
      <c r="W6547" s="3" t="str">
        <f>LEFT(Base_Periodo1[[#This Row],[CLASS]],3)</f>
        <v>3.2</v>
      </c>
    </row>
    <row r="6548" spans="1:23" hidden="1">
      <c r="A6548" s="3" t="str">
        <f t="shared" si="102"/>
        <v>Período 1</v>
      </c>
      <c r="B6548">
        <v>33998</v>
      </c>
      <c r="C6548" t="s">
        <v>6682</v>
      </c>
      <c r="D6548" t="s">
        <v>3992</v>
      </c>
      <c r="E6548" s="3" t="str">
        <f>IF(LEN(Base_Periodo1[[#This Row],[CLASS]])&gt;=7,LEFT(Base_Periodo1[[#This Row],[CLASS]],7),"")</f>
        <v>3.2.1.1</v>
      </c>
      <c r="F6548" s="3" t="e">
        <f>VLOOKUP(Base_Periodo1[[#This Row],[Aux]],Base_Contas_Balanco[#All],2,FALSE)</f>
        <v>#N/A</v>
      </c>
      <c r="G6548" s="1">
        <v>42886</v>
      </c>
      <c r="H6548" s="225">
        <v>7470.4700000000012</v>
      </c>
      <c r="I6548" s="225">
        <v>106871.77</v>
      </c>
      <c r="J6548" s="225">
        <v>110618.41</v>
      </c>
      <c r="K6548" s="225">
        <v>3723.8300000000017</v>
      </c>
      <c r="L654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-3723.83</v>
      </c>
      <c r="M6548" s="225">
        <f>ROUND(IF(AND(Base_Periodo1[[#This Row],[Tipo_Linha]]="-",Base_Periodo1[[#This Row],[TIPOSALDO]]="D"),Base_Periodo1[[#This Row],[SALDO_ATUAL]]*-1,Base_Periodo1[[#This Row],[SALDO_ATUAL]]),4)</f>
        <v>-3723.83</v>
      </c>
      <c r="N6548" t="s">
        <v>116</v>
      </c>
      <c r="O6548" t="s">
        <v>397</v>
      </c>
      <c r="P6548" t="s">
        <v>397</v>
      </c>
      <c r="Q6548">
        <v>9</v>
      </c>
      <c r="R6548" s="282">
        <f>Base_Periodo1[[#This Row],[CREDITOS]]-Base_Periodo1[[#This Row],[DEBITOS]]</f>
        <v>3746.6399999999994</v>
      </c>
      <c r="S6548" s="3" t="str">
        <f>IF(ISERROR(VLOOKUP(Base_Periodo1[[#This Row],[CONTA]],BaseContasDRE[#All],4,FALSE)),"Fora do DRE",VLOOKUP(Base_Periodo1[[#This Row],[CONTA]],BaseContasDRE[#All],4,FALSE))</f>
        <v>-</v>
      </c>
      <c r="T6548" s="3">
        <f>IF(ISERROR(VLOOKUP(Base_Periodo1[[#This Row],[CONTA]],BaseContasDRE[#All],5,FALSE)),"Fora do DRE",VLOOKUP(Base_Periodo1[[#This Row],[CONTA]],BaseContasDRE[#All],6,FALSE))</f>
        <v>2</v>
      </c>
      <c r="U6548" s="3" t="str">
        <f>IF(ISERROR(VLOOKUP(Base_Periodo1[[#This Row],[CONTA]],BaseContasDRE[#All],7,FALSE)),"Fora do DRE",VLOOKUP(Base_Periodo1[[#This Row],[CONTA]],BaseContasDRE[#All],7,FALSE))</f>
        <v>DEVOLUÇÃO DE SEMENTE PRODUZIDA</v>
      </c>
      <c r="V6548" s="3" t="str">
        <f>IF(Base_Periodo1[[#This Row],[Tipo_Linha]]="Fora do DRE","Fora do DRE","( "&amp;Base_Periodo1[[#This Row],[Tipo_Linha]]&amp;" ) "&amp;Base_Periodo1[[#This Row],[Filtro]])</f>
        <v>( - ) DEVOLUÇÃO DE SEMENTE PRODUZIDA</v>
      </c>
      <c r="W6548" s="3" t="str">
        <f>LEFT(Base_Periodo1[[#This Row],[CLASS]],3)</f>
        <v>3.2</v>
      </c>
    </row>
    <row r="6549" spans="1:23" hidden="1">
      <c r="A6549" s="3" t="str">
        <f t="shared" si="102"/>
        <v>Período 1</v>
      </c>
      <c r="B6549">
        <v>33320</v>
      </c>
      <c r="C6549" t="s">
        <v>6683</v>
      </c>
      <c r="D6549" t="s">
        <v>6684</v>
      </c>
      <c r="E6549" s="3" t="str">
        <f>IF(LEN(Base_Periodo1[[#This Row],[CLASS]])&gt;=7,LEFT(Base_Periodo1[[#This Row],[CLASS]],7),"")</f>
        <v>3.2.1.1</v>
      </c>
      <c r="F6549" s="3" t="e">
        <f>VLOOKUP(Base_Periodo1[[#This Row],[Aux]],Base_Contas_Balanco[#All],2,FALSE)</f>
        <v>#N/A</v>
      </c>
      <c r="G6549" s="1"/>
      <c r="H6549" s="225">
        <v>102.72999999995227</v>
      </c>
      <c r="I6549" s="225">
        <v>3622.5300000000007</v>
      </c>
      <c r="J6549" s="225">
        <v>3589.31</v>
      </c>
      <c r="K6549" s="225">
        <v>135.94999999995298</v>
      </c>
      <c r="L654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-135.94999999999999</v>
      </c>
      <c r="M6549" s="225">
        <f>ROUND(IF(AND(Base_Periodo1[[#This Row],[Tipo_Linha]]="-",Base_Periodo1[[#This Row],[TIPOSALDO]]="D"),Base_Periodo1[[#This Row],[SALDO_ATUAL]]*-1,Base_Periodo1[[#This Row],[SALDO_ATUAL]]),4)</f>
        <v>135.94999999999999</v>
      </c>
      <c r="N6549" t="s">
        <v>396</v>
      </c>
      <c r="O6549" t="s">
        <v>397</v>
      </c>
      <c r="P6549" t="s">
        <v>397</v>
      </c>
      <c r="Q6549">
        <v>8</v>
      </c>
      <c r="R6549" s="282">
        <f>Base_Periodo1[[#This Row],[CREDITOS]]-Base_Periodo1[[#This Row],[DEBITOS]]</f>
        <v>-33.220000000000709</v>
      </c>
      <c r="S6549" s="3" t="str">
        <f>IF(ISERROR(VLOOKUP(Base_Periodo1[[#This Row],[CONTA]],BaseContasDRE[#All],4,FALSE)),"Fora do DRE",VLOOKUP(Base_Periodo1[[#This Row],[CONTA]],BaseContasDRE[#All],4,FALSE))</f>
        <v>Fora do DRE</v>
      </c>
      <c r="T6549" s="3" t="str">
        <f>IF(ISERROR(VLOOKUP(Base_Periodo1[[#This Row],[CONTA]],BaseContasDRE[#All],5,FALSE)),"Fora do DRE",VLOOKUP(Base_Periodo1[[#This Row],[CONTA]],BaseContasDRE[#All],6,FALSE))</f>
        <v>Fora do DRE</v>
      </c>
      <c r="U6549" s="3" t="str">
        <f>IF(ISERROR(VLOOKUP(Base_Periodo1[[#This Row],[CONTA]],BaseContasDRE[#All],7,FALSE)),"Fora do DRE",VLOOKUP(Base_Periodo1[[#This Row],[CONTA]],BaseContasDRE[#All],7,FALSE))</f>
        <v>Fora do DRE</v>
      </c>
      <c r="V6549" s="3" t="str">
        <f>IF(Base_Periodo1[[#This Row],[Tipo_Linha]]="Fora do DRE","Fora do DRE","( "&amp;Base_Periodo1[[#This Row],[Tipo_Linha]]&amp;" ) "&amp;Base_Periodo1[[#This Row],[Filtro]])</f>
        <v>Fora do DRE</v>
      </c>
      <c r="W6549" s="3" t="str">
        <f>LEFT(Base_Periodo1[[#This Row],[CLASS]],3)</f>
        <v>3.2</v>
      </c>
    </row>
    <row r="6550" spans="1:23" hidden="1">
      <c r="A6550" s="3" t="str">
        <f t="shared" si="102"/>
        <v>Período 1</v>
      </c>
      <c r="B6550">
        <v>33321</v>
      </c>
      <c r="C6550" t="s">
        <v>6685</v>
      </c>
      <c r="D6550" t="s">
        <v>3566</v>
      </c>
      <c r="E6550" s="3" t="str">
        <f>IF(LEN(Base_Periodo1[[#This Row],[CLASS]])&gt;=7,LEFT(Base_Periodo1[[#This Row],[CLASS]],7),"")</f>
        <v>3.2.1.1</v>
      </c>
      <c r="F6550" s="3" t="e">
        <f>VLOOKUP(Base_Periodo1[[#This Row],[Aux]],Base_Contas_Balanco[#All],2,FALSE)</f>
        <v>#N/A</v>
      </c>
      <c r="G6550" s="1">
        <v>42886</v>
      </c>
      <c r="H6550" s="225">
        <v>102.72999999995227</v>
      </c>
      <c r="I6550" s="225">
        <v>3622.5300000000007</v>
      </c>
      <c r="J6550" s="225">
        <v>3589.31</v>
      </c>
      <c r="K6550" s="225">
        <v>135.94999999995298</v>
      </c>
      <c r="L655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-135.94999999999999</v>
      </c>
      <c r="M6550" s="225">
        <f>ROUND(IF(AND(Base_Periodo1[[#This Row],[Tipo_Linha]]="-",Base_Periodo1[[#This Row],[TIPOSALDO]]="D"),Base_Periodo1[[#This Row],[SALDO_ATUAL]]*-1,Base_Periodo1[[#This Row],[SALDO_ATUAL]]),4)</f>
        <v>-135.94999999999999</v>
      </c>
      <c r="N6550" t="s">
        <v>116</v>
      </c>
      <c r="O6550" t="s">
        <v>397</v>
      </c>
      <c r="P6550" t="s">
        <v>397</v>
      </c>
      <c r="Q6550">
        <v>9</v>
      </c>
      <c r="R6550" s="282">
        <f>Base_Periodo1[[#This Row],[CREDITOS]]-Base_Periodo1[[#This Row],[DEBITOS]]</f>
        <v>-33.220000000000709</v>
      </c>
      <c r="S6550" s="3" t="str">
        <f>IF(ISERROR(VLOOKUP(Base_Periodo1[[#This Row],[CONTA]],BaseContasDRE[#All],4,FALSE)),"Fora do DRE",VLOOKUP(Base_Periodo1[[#This Row],[CONTA]],BaseContasDRE[#All],4,FALSE))</f>
        <v>-</v>
      </c>
      <c r="T6550" s="3">
        <f>IF(ISERROR(VLOOKUP(Base_Periodo1[[#This Row],[CONTA]],BaseContasDRE[#All],5,FALSE)),"Fora do DRE",VLOOKUP(Base_Periodo1[[#This Row],[CONTA]],BaseContasDRE[#All],6,FALSE))</f>
        <v>2</v>
      </c>
      <c r="U6550" s="3" t="str">
        <f>IF(ISERROR(VLOOKUP(Base_Periodo1[[#This Row],[CONTA]],BaseContasDRE[#All],7,FALSE)),"Fora do DRE",VLOOKUP(Base_Periodo1[[#This Row],[CONTA]],BaseContasDRE[#All],7,FALSE))</f>
        <v>ICMS SOBRE INGRESSOS E RECEITAS</v>
      </c>
      <c r="V6550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550" s="3" t="str">
        <f>LEFT(Base_Periodo1[[#This Row],[CLASS]],3)</f>
        <v>3.2</v>
      </c>
    </row>
    <row r="6551" spans="1:23" hidden="1">
      <c r="A6551" s="3" t="str">
        <f t="shared" si="102"/>
        <v>Período 1</v>
      </c>
      <c r="B6551">
        <v>33318</v>
      </c>
      <c r="C6551" t="s">
        <v>6686</v>
      </c>
      <c r="D6551" t="s">
        <v>4419</v>
      </c>
      <c r="E6551" s="3" t="str">
        <f>IF(LEN(Base_Periodo1[[#This Row],[CLASS]])&gt;=7,LEFT(Base_Periodo1[[#This Row],[CLASS]],7),"")</f>
        <v>3.2.1.1</v>
      </c>
      <c r="F6551" s="3" t="e">
        <f>VLOOKUP(Base_Periodo1[[#This Row],[Aux]],Base_Contas_Balanco[#All],2,FALSE)</f>
        <v>#N/A</v>
      </c>
      <c r="G6551" s="1"/>
      <c r="H6551" s="225">
        <v>43702.389999996871</v>
      </c>
      <c r="I6551" s="225">
        <v>785893.76</v>
      </c>
      <c r="J6551" s="225">
        <v>799320.52</v>
      </c>
      <c r="K6551" s="225">
        <v>30275.629999996861</v>
      </c>
      <c r="L655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-30275.63</v>
      </c>
      <c r="M6551" s="225">
        <f>ROUND(IF(AND(Base_Periodo1[[#This Row],[Tipo_Linha]]="-",Base_Periodo1[[#This Row],[TIPOSALDO]]="D"),Base_Periodo1[[#This Row],[SALDO_ATUAL]]*-1,Base_Periodo1[[#This Row],[SALDO_ATUAL]]),4)</f>
        <v>30275.63</v>
      </c>
      <c r="N6551" t="s">
        <v>396</v>
      </c>
      <c r="O6551" t="s">
        <v>397</v>
      </c>
      <c r="P6551" t="s">
        <v>397</v>
      </c>
      <c r="Q6551">
        <v>8</v>
      </c>
      <c r="R6551" s="282">
        <f>Base_Periodo1[[#This Row],[CREDITOS]]-Base_Periodo1[[#This Row],[DEBITOS]]</f>
        <v>13426.760000000009</v>
      </c>
      <c r="S6551" s="3" t="str">
        <f>IF(ISERROR(VLOOKUP(Base_Periodo1[[#This Row],[CONTA]],BaseContasDRE[#All],4,FALSE)),"Fora do DRE",VLOOKUP(Base_Periodo1[[#This Row],[CONTA]],BaseContasDRE[#All],4,FALSE))</f>
        <v>Fora do DRE</v>
      </c>
      <c r="T6551" s="3" t="str">
        <f>IF(ISERROR(VLOOKUP(Base_Periodo1[[#This Row],[CONTA]],BaseContasDRE[#All],5,FALSE)),"Fora do DRE",VLOOKUP(Base_Periodo1[[#This Row],[CONTA]],BaseContasDRE[#All],6,FALSE))</f>
        <v>Fora do DRE</v>
      </c>
      <c r="U6551" s="3" t="str">
        <f>IF(ISERROR(VLOOKUP(Base_Periodo1[[#This Row],[CONTA]],BaseContasDRE[#All],7,FALSE)),"Fora do DRE",VLOOKUP(Base_Periodo1[[#This Row],[CONTA]],BaseContasDRE[#All],7,FALSE))</f>
        <v>Fora do DRE</v>
      </c>
      <c r="V6551" s="3" t="str">
        <f>IF(Base_Periodo1[[#This Row],[Tipo_Linha]]="Fora do DRE","Fora do DRE","( "&amp;Base_Periodo1[[#This Row],[Tipo_Linha]]&amp;" ) "&amp;Base_Periodo1[[#This Row],[Filtro]])</f>
        <v>Fora do DRE</v>
      </c>
      <c r="W6551" s="3" t="str">
        <f>LEFT(Base_Periodo1[[#This Row],[CLASS]],3)</f>
        <v>3.2</v>
      </c>
    </row>
    <row r="6552" spans="1:23" hidden="1">
      <c r="A6552" s="3" t="str">
        <f t="shared" si="102"/>
        <v>Período 1</v>
      </c>
      <c r="B6552">
        <v>33319</v>
      </c>
      <c r="C6552" t="s">
        <v>6687</v>
      </c>
      <c r="D6552" t="s">
        <v>4419</v>
      </c>
      <c r="E6552" s="3" t="str">
        <f>IF(LEN(Base_Periodo1[[#This Row],[CLASS]])&gt;=7,LEFT(Base_Periodo1[[#This Row],[CLASS]],7),"")</f>
        <v>3.2.1.1</v>
      </c>
      <c r="F6552" s="3" t="e">
        <f>VLOOKUP(Base_Periodo1[[#This Row],[Aux]],Base_Contas_Balanco[#All],2,FALSE)</f>
        <v>#N/A</v>
      </c>
      <c r="G6552" s="1">
        <v>42886</v>
      </c>
      <c r="H6552" s="225">
        <v>43702.389999996871</v>
      </c>
      <c r="I6552" s="225">
        <v>785893.76</v>
      </c>
      <c r="J6552" s="225">
        <v>799320.52</v>
      </c>
      <c r="K6552" s="225">
        <v>30275.629999996861</v>
      </c>
      <c r="L655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-30275.63</v>
      </c>
      <c r="M6552" s="225">
        <f>ROUND(IF(AND(Base_Periodo1[[#This Row],[Tipo_Linha]]="-",Base_Periodo1[[#This Row],[TIPOSALDO]]="D"),Base_Periodo1[[#This Row],[SALDO_ATUAL]]*-1,Base_Periodo1[[#This Row],[SALDO_ATUAL]]),4)</f>
        <v>-30275.63</v>
      </c>
      <c r="N6552" t="s">
        <v>116</v>
      </c>
      <c r="O6552" t="s">
        <v>397</v>
      </c>
      <c r="P6552" t="s">
        <v>397</v>
      </c>
      <c r="Q6552">
        <v>9</v>
      </c>
      <c r="R6552" s="282">
        <f>Base_Periodo1[[#This Row],[CREDITOS]]-Base_Periodo1[[#This Row],[DEBITOS]]</f>
        <v>13426.760000000009</v>
      </c>
      <c r="S6552" s="3" t="str">
        <f>IF(ISERROR(VLOOKUP(Base_Periodo1[[#This Row],[CONTA]],BaseContasDRE[#All],4,FALSE)),"Fora do DRE",VLOOKUP(Base_Periodo1[[#This Row],[CONTA]],BaseContasDRE[#All],4,FALSE))</f>
        <v>-</v>
      </c>
      <c r="T6552" s="3">
        <f>IF(ISERROR(VLOOKUP(Base_Periodo1[[#This Row],[CONTA]],BaseContasDRE[#All],5,FALSE)),"Fora do DRE",VLOOKUP(Base_Periodo1[[#This Row],[CONTA]],BaseContasDRE[#All],6,FALSE))</f>
        <v>3</v>
      </c>
      <c r="U6552" s="3" t="str">
        <f>IF(ISERROR(VLOOKUP(Base_Periodo1[[#This Row],[CONTA]],BaseContasDRE[#All],7,FALSE)),"Fora do DRE",VLOOKUP(Base_Periodo1[[#This Row],[CONTA]],BaseContasDRE[#All],7,FALSE))</f>
        <v>PRODUÇÃO DE SEMENTES</v>
      </c>
      <c r="V6552" s="3" t="str">
        <f>IF(Base_Periodo1[[#This Row],[Tipo_Linha]]="Fora do DRE","Fora do DRE","( "&amp;Base_Periodo1[[#This Row],[Tipo_Linha]]&amp;" ) "&amp;Base_Periodo1[[#This Row],[Filtro]])</f>
        <v>( - ) PRODUÇÃO DE SEMENTES</v>
      </c>
      <c r="W6552" s="3" t="str">
        <f>LEFT(Base_Periodo1[[#This Row],[CLASS]],3)</f>
        <v>3.2</v>
      </c>
    </row>
    <row r="6553" spans="1:23" hidden="1">
      <c r="A6553" s="3" t="str">
        <f t="shared" si="102"/>
        <v>Período 1</v>
      </c>
      <c r="B6553">
        <v>48483</v>
      </c>
      <c r="C6553" t="s">
        <v>4108</v>
      </c>
      <c r="D6553" t="s">
        <v>5613</v>
      </c>
      <c r="E6553" s="3" t="str">
        <f>IF(LEN(Base_Periodo1[[#This Row],[CLASS]])&gt;=7,LEFT(Base_Periodo1[[#This Row],[CLASS]],7),"")</f>
        <v>3.2.1.1</v>
      </c>
      <c r="F6553" s="3" t="e">
        <f>VLOOKUP(Base_Periodo1[[#This Row],[Aux]],Base_Contas_Balanco[#All],2,FALSE)</f>
        <v>#N/A</v>
      </c>
      <c r="G6553" s="1"/>
      <c r="I6553" s="225">
        <v>91205.17</v>
      </c>
      <c r="J6553" s="225">
        <v>91205.17</v>
      </c>
      <c r="K6553" s="225">
        <v>0</v>
      </c>
      <c r="L655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53" s="225">
        <f>ROUND(IF(AND(Base_Periodo1[[#This Row],[Tipo_Linha]]="-",Base_Periodo1[[#This Row],[TIPOSALDO]]="D"),Base_Periodo1[[#This Row],[SALDO_ATUAL]]*-1,Base_Periodo1[[#This Row],[SALDO_ATUAL]]),4)</f>
        <v>0</v>
      </c>
      <c r="N6553" t="s">
        <v>396</v>
      </c>
      <c r="O6553" t="s">
        <v>436</v>
      </c>
      <c r="P6553" t="s">
        <v>436</v>
      </c>
      <c r="Q6553">
        <v>7</v>
      </c>
      <c r="R6553" s="282">
        <f>Base_Periodo1[[#This Row],[CREDITOS]]-Base_Periodo1[[#This Row],[DEBITOS]]</f>
        <v>0</v>
      </c>
      <c r="S6553" s="3" t="str">
        <f>IF(ISERROR(VLOOKUP(Base_Periodo1[[#This Row],[CONTA]],BaseContasDRE[#All],4,FALSE)),"Fora do DRE",VLOOKUP(Base_Periodo1[[#This Row],[CONTA]],BaseContasDRE[#All],4,FALSE))</f>
        <v>Fora do DRE</v>
      </c>
      <c r="T6553" s="3" t="str">
        <f>IF(ISERROR(VLOOKUP(Base_Periodo1[[#This Row],[CONTA]],BaseContasDRE[#All],5,FALSE)),"Fora do DRE",VLOOKUP(Base_Periodo1[[#This Row],[CONTA]],BaseContasDRE[#All],6,FALSE))</f>
        <v>Fora do DRE</v>
      </c>
      <c r="U6553" s="3" t="str">
        <f>IF(ISERROR(VLOOKUP(Base_Periodo1[[#This Row],[CONTA]],BaseContasDRE[#All],7,FALSE)),"Fora do DRE",VLOOKUP(Base_Periodo1[[#This Row],[CONTA]],BaseContasDRE[#All],7,FALSE))</f>
        <v>Fora do DRE</v>
      </c>
      <c r="V6553" s="3" t="str">
        <f>IF(Base_Periodo1[[#This Row],[Tipo_Linha]]="Fora do DRE","Fora do DRE","( "&amp;Base_Periodo1[[#This Row],[Tipo_Linha]]&amp;" ) "&amp;Base_Periodo1[[#This Row],[Filtro]])</f>
        <v>Fora do DRE</v>
      </c>
      <c r="W6553" s="3" t="str">
        <f>LEFT(Base_Periodo1[[#This Row],[CLASS]],3)</f>
        <v>3.2</v>
      </c>
    </row>
    <row r="6554" spans="1:23" hidden="1">
      <c r="A6554" s="3" t="str">
        <f t="shared" si="102"/>
        <v>Período 1</v>
      </c>
      <c r="B6554">
        <v>48484</v>
      </c>
      <c r="C6554" t="s">
        <v>4109</v>
      </c>
      <c r="D6554" t="s">
        <v>4096</v>
      </c>
      <c r="E6554" s="3" t="str">
        <f>IF(LEN(Base_Periodo1[[#This Row],[CLASS]])&gt;=7,LEFT(Base_Periodo1[[#This Row],[CLASS]],7),"")</f>
        <v>3.2.1.1</v>
      </c>
      <c r="F6554" s="3" t="e">
        <f>VLOOKUP(Base_Periodo1[[#This Row],[Aux]],Base_Contas_Balanco[#All],2,FALSE)</f>
        <v>#N/A</v>
      </c>
      <c r="G6554" s="1"/>
      <c r="I6554" s="225">
        <v>60046.92</v>
      </c>
      <c r="J6554" s="225">
        <v>60046.92</v>
      </c>
      <c r="K6554" s="225">
        <v>0</v>
      </c>
      <c r="L655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54" s="225">
        <f>ROUND(IF(AND(Base_Periodo1[[#This Row],[Tipo_Linha]]="-",Base_Periodo1[[#This Row],[TIPOSALDO]]="D"),Base_Periodo1[[#This Row],[SALDO_ATUAL]]*-1,Base_Periodo1[[#This Row],[SALDO_ATUAL]]),4)</f>
        <v>0</v>
      </c>
      <c r="N6554" t="s">
        <v>396</v>
      </c>
      <c r="O6554" t="s">
        <v>436</v>
      </c>
      <c r="P6554" t="s">
        <v>436</v>
      </c>
      <c r="Q6554">
        <v>8</v>
      </c>
      <c r="R6554" s="282">
        <f>Base_Periodo1[[#This Row],[CREDITOS]]-Base_Periodo1[[#This Row],[DEBITOS]]</f>
        <v>0</v>
      </c>
      <c r="S6554" s="3" t="str">
        <f>IF(ISERROR(VLOOKUP(Base_Periodo1[[#This Row],[CONTA]],BaseContasDRE[#All],4,FALSE)),"Fora do DRE",VLOOKUP(Base_Periodo1[[#This Row],[CONTA]],BaseContasDRE[#All],4,FALSE))</f>
        <v>Fora do DRE</v>
      </c>
      <c r="T6554" s="3" t="str">
        <f>IF(ISERROR(VLOOKUP(Base_Periodo1[[#This Row],[CONTA]],BaseContasDRE[#All],5,FALSE)),"Fora do DRE",VLOOKUP(Base_Periodo1[[#This Row],[CONTA]],BaseContasDRE[#All],6,FALSE))</f>
        <v>Fora do DRE</v>
      </c>
      <c r="U6554" s="3" t="str">
        <f>IF(ISERROR(VLOOKUP(Base_Periodo1[[#This Row],[CONTA]],BaseContasDRE[#All],7,FALSE)),"Fora do DRE",VLOOKUP(Base_Periodo1[[#This Row],[CONTA]],BaseContasDRE[#All],7,FALSE))</f>
        <v>Fora do DRE</v>
      </c>
      <c r="V6554" s="3" t="str">
        <f>IF(Base_Periodo1[[#This Row],[Tipo_Linha]]="Fora do DRE","Fora do DRE","( "&amp;Base_Periodo1[[#This Row],[Tipo_Linha]]&amp;" ) "&amp;Base_Periodo1[[#This Row],[Filtro]])</f>
        <v>Fora do DRE</v>
      </c>
      <c r="W6554" s="3" t="str">
        <f>LEFT(Base_Periodo1[[#This Row],[CLASS]],3)</f>
        <v>3.2</v>
      </c>
    </row>
    <row r="6555" spans="1:23" hidden="1">
      <c r="A6555" s="3" t="str">
        <f t="shared" si="102"/>
        <v>Período 1</v>
      </c>
      <c r="B6555">
        <v>48485</v>
      </c>
      <c r="C6555" t="s">
        <v>4110</v>
      </c>
      <c r="D6555" t="s">
        <v>4111</v>
      </c>
      <c r="E6555" s="3" t="str">
        <f>IF(LEN(Base_Periodo1[[#This Row],[CLASS]])&gt;=7,LEFT(Base_Periodo1[[#This Row],[CLASS]],7),"")</f>
        <v>3.2.1.1</v>
      </c>
      <c r="F6555" s="3" t="e">
        <f>VLOOKUP(Base_Periodo1[[#This Row],[Aux]],Base_Contas_Balanco[#All],2,FALSE)</f>
        <v>#N/A</v>
      </c>
      <c r="G6555" s="1">
        <v>42886</v>
      </c>
      <c r="I6555" s="225">
        <v>60046.92</v>
      </c>
      <c r="J6555" s="225">
        <v>60046.92</v>
      </c>
      <c r="K6555" s="225">
        <v>0</v>
      </c>
      <c r="L655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55" s="225">
        <f>ROUND(IF(AND(Base_Periodo1[[#This Row],[Tipo_Linha]]="-",Base_Periodo1[[#This Row],[TIPOSALDO]]="D"),Base_Periodo1[[#This Row],[SALDO_ATUAL]]*-1,Base_Periodo1[[#This Row],[SALDO_ATUAL]]),4)</f>
        <v>0</v>
      </c>
      <c r="N6555" t="s">
        <v>116</v>
      </c>
      <c r="O6555" t="s">
        <v>436</v>
      </c>
      <c r="P6555" t="s">
        <v>436</v>
      </c>
      <c r="Q6555">
        <v>9</v>
      </c>
      <c r="R6555" s="282">
        <f>Base_Periodo1[[#This Row],[CREDITOS]]-Base_Periodo1[[#This Row],[DEBITOS]]</f>
        <v>0</v>
      </c>
      <c r="S6555" s="3" t="str">
        <f>IF(ISERROR(VLOOKUP(Base_Periodo1[[#This Row],[CONTA]],BaseContasDRE[#All],4,FALSE)),"Fora do DRE",VLOOKUP(Base_Periodo1[[#This Row],[CONTA]],BaseContasDRE[#All],4,FALSE))</f>
        <v>+</v>
      </c>
      <c r="T6555" s="3">
        <f>IF(ISERROR(VLOOKUP(Base_Periodo1[[#This Row],[CONTA]],BaseContasDRE[#All],5,FALSE)),"Fora do DRE",VLOOKUP(Base_Periodo1[[#This Row],[CONTA]],BaseContasDRE[#All],6,FALSE))</f>
        <v>1</v>
      </c>
      <c r="U6555" s="3" t="str">
        <f>IF(ISERROR(VLOOKUP(Base_Periodo1[[#This Row],[CONTA]],BaseContasDRE[#All],7,FALSE)),"Fora do DRE",VLOOKUP(Base_Periodo1[[#This Row],[CONTA]],BaseContasDRE[#All],7,FALSE))</f>
        <v>SEMENTES PRODUZIDAS</v>
      </c>
      <c r="V6555" s="3" t="str">
        <f>IF(Base_Periodo1[[#This Row],[Tipo_Linha]]="Fora do DRE","Fora do DRE","( "&amp;Base_Periodo1[[#This Row],[Tipo_Linha]]&amp;" ) "&amp;Base_Periodo1[[#This Row],[Filtro]])</f>
        <v>( + ) SEMENTES PRODUZIDAS</v>
      </c>
      <c r="W6555" s="3" t="str">
        <f>LEFT(Base_Periodo1[[#This Row],[CLASS]],3)</f>
        <v>3.2</v>
      </c>
    </row>
    <row r="6556" spans="1:23" hidden="1">
      <c r="A6556" s="3" t="str">
        <f t="shared" si="102"/>
        <v>Período 1</v>
      </c>
      <c r="B6556">
        <v>48486</v>
      </c>
      <c r="C6556" t="s">
        <v>6076</v>
      </c>
      <c r="D6556" t="s">
        <v>6077</v>
      </c>
      <c r="E6556" s="3" t="str">
        <f>IF(LEN(Base_Periodo1[[#This Row],[CLASS]])&gt;=7,LEFT(Base_Periodo1[[#This Row],[CLASS]],7),"")</f>
        <v>3.2.1.1</v>
      </c>
      <c r="F6556" s="3" t="e">
        <f>VLOOKUP(Base_Periodo1[[#This Row],[Aux]],Base_Contas_Balanco[#All],2,FALSE)</f>
        <v>#N/A</v>
      </c>
      <c r="G6556" s="1"/>
      <c r="I6556" s="225">
        <v>2124</v>
      </c>
      <c r="J6556" s="225">
        <v>2124</v>
      </c>
      <c r="K6556" s="225">
        <v>0</v>
      </c>
      <c r="L655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56" s="225">
        <f>ROUND(IF(AND(Base_Periodo1[[#This Row],[Tipo_Linha]]="-",Base_Periodo1[[#This Row],[TIPOSALDO]]="D"),Base_Periodo1[[#This Row],[SALDO_ATUAL]]*-1,Base_Periodo1[[#This Row],[SALDO_ATUAL]]),4)</f>
        <v>0</v>
      </c>
      <c r="N6556" t="s">
        <v>396</v>
      </c>
      <c r="O6556" t="s">
        <v>436</v>
      </c>
      <c r="P6556" t="s">
        <v>436</v>
      </c>
      <c r="Q6556">
        <v>8</v>
      </c>
      <c r="R6556" s="282">
        <f>Base_Periodo1[[#This Row],[CREDITOS]]-Base_Periodo1[[#This Row],[DEBITOS]]</f>
        <v>0</v>
      </c>
      <c r="S6556" s="3" t="str">
        <f>IF(ISERROR(VLOOKUP(Base_Periodo1[[#This Row],[CONTA]],BaseContasDRE[#All],4,FALSE)),"Fora do DRE",VLOOKUP(Base_Periodo1[[#This Row],[CONTA]],BaseContasDRE[#All],4,FALSE))</f>
        <v>Fora do DRE</v>
      </c>
      <c r="T6556" s="3" t="str">
        <f>IF(ISERROR(VLOOKUP(Base_Periodo1[[#This Row],[CONTA]],BaseContasDRE[#All],5,FALSE)),"Fora do DRE",VLOOKUP(Base_Periodo1[[#This Row],[CONTA]],BaseContasDRE[#All],6,FALSE))</f>
        <v>Fora do DRE</v>
      </c>
      <c r="U6556" s="3" t="str">
        <f>IF(ISERROR(VLOOKUP(Base_Periodo1[[#This Row],[CONTA]],BaseContasDRE[#All],7,FALSE)),"Fora do DRE",VLOOKUP(Base_Periodo1[[#This Row],[CONTA]],BaseContasDRE[#All],7,FALSE))</f>
        <v>Fora do DRE</v>
      </c>
      <c r="V6556" s="3" t="str">
        <f>IF(Base_Periodo1[[#This Row],[Tipo_Linha]]="Fora do DRE","Fora do DRE","( "&amp;Base_Periodo1[[#This Row],[Tipo_Linha]]&amp;" ) "&amp;Base_Periodo1[[#This Row],[Filtro]])</f>
        <v>Fora do DRE</v>
      </c>
      <c r="W6556" s="3" t="str">
        <f>LEFT(Base_Periodo1[[#This Row],[CLASS]],3)</f>
        <v>3.2</v>
      </c>
    </row>
    <row r="6557" spans="1:23" hidden="1">
      <c r="A6557" s="3" t="str">
        <f t="shared" si="102"/>
        <v>Período 1</v>
      </c>
      <c r="B6557">
        <v>48487</v>
      </c>
      <c r="C6557" t="s">
        <v>6078</v>
      </c>
      <c r="D6557" t="s">
        <v>3992</v>
      </c>
      <c r="E6557" s="3" t="str">
        <f>IF(LEN(Base_Periodo1[[#This Row],[CLASS]])&gt;=7,LEFT(Base_Periodo1[[#This Row],[CLASS]],7),"")</f>
        <v>3.2.1.1</v>
      </c>
      <c r="F6557" s="3" t="e">
        <f>VLOOKUP(Base_Periodo1[[#This Row],[Aux]],Base_Contas_Balanco[#All],2,FALSE)</f>
        <v>#N/A</v>
      </c>
      <c r="G6557" s="1">
        <v>42886</v>
      </c>
      <c r="I6557" s="225">
        <v>2124</v>
      </c>
      <c r="J6557" s="225">
        <v>2124</v>
      </c>
      <c r="K6557" s="225">
        <v>0</v>
      </c>
      <c r="L655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57" s="225">
        <f>ROUND(IF(AND(Base_Periodo1[[#This Row],[Tipo_Linha]]="-",Base_Periodo1[[#This Row],[TIPOSALDO]]="D"),Base_Periodo1[[#This Row],[SALDO_ATUAL]]*-1,Base_Periodo1[[#This Row],[SALDO_ATUAL]]),4)</f>
        <v>0</v>
      </c>
      <c r="N6557" t="s">
        <v>116</v>
      </c>
      <c r="O6557" t="s">
        <v>436</v>
      </c>
      <c r="P6557" t="s">
        <v>436</v>
      </c>
      <c r="Q6557">
        <v>9</v>
      </c>
      <c r="R6557" s="282">
        <f>Base_Periodo1[[#This Row],[CREDITOS]]-Base_Periodo1[[#This Row],[DEBITOS]]</f>
        <v>0</v>
      </c>
      <c r="S6557" s="3" t="str">
        <f>IF(ISERROR(VLOOKUP(Base_Periodo1[[#This Row],[CONTA]],BaseContasDRE[#All],4,FALSE)),"Fora do DRE",VLOOKUP(Base_Periodo1[[#This Row],[CONTA]],BaseContasDRE[#All],4,FALSE))</f>
        <v>-</v>
      </c>
      <c r="T6557" s="3">
        <f>IF(ISERROR(VLOOKUP(Base_Periodo1[[#This Row],[CONTA]],BaseContasDRE[#All],5,FALSE)),"Fora do DRE",VLOOKUP(Base_Periodo1[[#This Row],[CONTA]],BaseContasDRE[#All],6,FALSE))</f>
        <v>2</v>
      </c>
      <c r="U6557" s="3" t="str">
        <f>IF(ISERROR(VLOOKUP(Base_Periodo1[[#This Row],[CONTA]],BaseContasDRE[#All],7,FALSE)),"Fora do DRE",VLOOKUP(Base_Periodo1[[#This Row],[CONTA]],BaseContasDRE[#All],7,FALSE))</f>
        <v>DEVOLUÇÃO DE SEMENTE PRODUZIDA</v>
      </c>
      <c r="V6557" s="3" t="str">
        <f>IF(Base_Periodo1[[#This Row],[Tipo_Linha]]="Fora do DRE","Fora do DRE","( "&amp;Base_Periodo1[[#This Row],[Tipo_Linha]]&amp;" ) "&amp;Base_Periodo1[[#This Row],[Filtro]])</f>
        <v>( - ) DEVOLUÇÃO DE SEMENTE PRODUZIDA</v>
      </c>
      <c r="W6557" s="3" t="str">
        <f>LEFT(Base_Periodo1[[#This Row],[CLASS]],3)</f>
        <v>3.2</v>
      </c>
    </row>
    <row r="6558" spans="1:23" hidden="1">
      <c r="A6558" s="3" t="str">
        <f t="shared" si="102"/>
        <v>Período 1</v>
      </c>
      <c r="B6558">
        <v>48488</v>
      </c>
      <c r="C6558" t="s">
        <v>4521</v>
      </c>
      <c r="D6558" t="s">
        <v>4522</v>
      </c>
      <c r="E6558" s="3" t="str">
        <f>IF(LEN(Base_Periodo1[[#This Row],[CLASS]])&gt;=7,LEFT(Base_Periodo1[[#This Row],[CLASS]],7),"")</f>
        <v>3.2.1.1</v>
      </c>
      <c r="F6558" s="3" t="e">
        <f>VLOOKUP(Base_Periodo1[[#This Row],[Aux]],Base_Contas_Balanco[#All],2,FALSE)</f>
        <v>#N/A</v>
      </c>
      <c r="G6558" s="1"/>
      <c r="I6558" s="225">
        <v>29034.25</v>
      </c>
      <c r="J6558" s="225">
        <v>29034.25</v>
      </c>
      <c r="K6558" s="225">
        <v>0</v>
      </c>
      <c r="L655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58" s="225">
        <f>ROUND(IF(AND(Base_Periodo1[[#This Row],[Tipo_Linha]]="-",Base_Periodo1[[#This Row],[TIPOSALDO]]="D"),Base_Periodo1[[#This Row],[SALDO_ATUAL]]*-1,Base_Periodo1[[#This Row],[SALDO_ATUAL]]),4)</f>
        <v>0</v>
      </c>
      <c r="N6558" t="s">
        <v>396</v>
      </c>
      <c r="O6558" t="s">
        <v>436</v>
      </c>
      <c r="P6558" t="s">
        <v>436</v>
      </c>
      <c r="Q6558">
        <v>8</v>
      </c>
      <c r="R6558" s="282">
        <f>Base_Periodo1[[#This Row],[CREDITOS]]-Base_Periodo1[[#This Row],[DEBITOS]]</f>
        <v>0</v>
      </c>
      <c r="S6558" s="3" t="str">
        <f>IF(ISERROR(VLOOKUP(Base_Periodo1[[#This Row],[CONTA]],BaseContasDRE[#All],4,FALSE)),"Fora do DRE",VLOOKUP(Base_Periodo1[[#This Row],[CONTA]],BaseContasDRE[#All],4,FALSE))</f>
        <v>Fora do DRE</v>
      </c>
      <c r="T6558" s="3" t="str">
        <f>IF(ISERROR(VLOOKUP(Base_Periodo1[[#This Row],[CONTA]],BaseContasDRE[#All],5,FALSE)),"Fora do DRE",VLOOKUP(Base_Periodo1[[#This Row],[CONTA]],BaseContasDRE[#All],6,FALSE))</f>
        <v>Fora do DRE</v>
      </c>
      <c r="U6558" s="3" t="str">
        <f>IF(ISERROR(VLOOKUP(Base_Periodo1[[#This Row],[CONTA]],BaseContasDRE[#All],7,FALSE)),"Fora do DRE",VLOOKUP(Base_Periodo1[[#This Row],[CONTA]],BaseContasDRE[#All],7,FALSE))</f>
        <v>Fora do DRE</v>
      </c>
      <c r="V6558" s="3" t="str">
        <f>IF(Base_Periodo1[[#This Row],[Tipo_Linha]]="Fora do DRE","Fora do DRE","( "&amp;Base_Periodo1[[#This Row],[Tipo_Linha]]&amp;" ) "&amp;Base_Periodo1[[#This Row],[Filtro]])</f>
        <v>Fora do DRE</v>
      </c>
      <c r="W6558" s="3" t="str">
        <f>LEFT(Base_Periodo1[[#This Row],[CLASS]],3)</f>
        <v>3.2</v>
      </c>
    </row>
    <row r="6559" spans="1:23" hidden="1">
      <c r="A6559" s="3" t="str">
        <f t="shared" si="102"/>
        <v>Período 1</v>
      </c>
      <c r="B6559">
        <v>48489</v>
      </c>
      <c r="C6559" t="s">
        <v>4523</v>
      </c>
      <c r="D6559" t="s">
        <v>4524</v>
      </c>
      <c r="E6559" s="3" t="str">
        <f>IF(LEN(Base_Periodo1[[#This Row],[CLASS]])&gt;=7,LEFT(Base_Periodo1[[#This Row],[CLASS]],7),"")</f>
        <v>3.2.1.1</v>
      </c>
      <c r="F6559" s="3" t="e">
        <f>VLOOKUP(Base_Periodo1[[#This Row],[Aux]],Base_Contas_Balanco[#All],2,FALSE)</f>
        <v>#N/A</v>
      </c>
      <c r="G6559" s="1">
        <v>42886</v>
      </c>
      <c r="I6559" s="225">
        <v>29034.25</v>
      </c>
      <c r="J6559" s="225">
        <v>29034.25</v>
      </c>
      <c r="K6559" s="225">
        <v>0</v>
      </c>
      <c r="L655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0</v>
      </c>
      <c r="M6559" s="225">
        <f>ROUND(IF(AND(Base_Periodo1[[#This Row],[Tipo_Linha]]="-",Base_Periodo1[[#This Row],[TIPOSALDO]]="D"),Base_Periodo1[[#This Row],[SALDO_ATUAL]]*-1,Base_Periodo1[[#This Row],[SALDO_ATUAL]]),4)</f>
        <v>0</v>
      </c>
      <c r="N6559" t="s">
        <v>116</v>
      </c>
      <c r="O6559" t="s">
        <v>436</v>
      </c>
      <c r="P6559" t="s">
        <v>436</v>
      </c>
      <c r="Q6559">
        <v>9</v>
      </c>
      <c r="R6559" s="282">
        <f>Base_Periodo1[[#This Row],[CREDITOS]]-Base_Periodo1[[#This Row],[DEBITOS]]</f>
        <v>0</v>
      </c>
      <c r="S6559" s="3" t="str">
        <f>IF(ISERROR(VLOOKUP(Base_Periodo1[[#This Row],[CONTA]],BaseContasDRE[#All],4,FALSE)),"Fora do DRE",VLOOKUP(Base_Periodo1[[#This Row],[CONTA]],BaseContasDRE[#All],4,FALSE))</f>
        <v>-</v>
      </c>
      <c r="T6559" s="3">
        <f>IF(ISERROR(VLOOKUP(Base_Periodo1[[#This Row],[CONTA]],BaseContasDRE[#All],5,FALSE)),"Fora do DRE",VLOOKUP(Base_Periodo1[[#This Row],[CONTA]],BaseContasDRE[#All],6,FALSE))</f>
        <v>3</v>
      </c>
      <c r="U6559" s="3" t="str">
        <f>IF(ISERROR(VLOOKUP(Base_Periodo1[[#This Row],[CONTA]],BaseContasDRE[#All],7,FALSE)),"Fora do DRE",VLOOKUP(Base_Periodo1[[#This Row],[CONTA]],BaseContasDRE[#All],7,FALSE))</f>
        <v>PRODUÇÃO DE SEMENTES</v>
      </c>
      <c r="V6559" s="3" t="str">
        <f>IF(Base_Periodo1[[#This Row],[Tipo_Linha]]="Fora do DRE","Fora do DRE","( "&amp;Base_Periodo1[[#This Row],[Tipo_Linha]]&amp;" ) "&amp;Base_Periodo1[[#This Row],[Filtro]])</f>
        <v>( - ) PRODUÇÃO DE SEMENTES</v>
      </c>
      <c r="W6559" s="3" t="str">
        <f>LEFT(Base_Periodo1[[#This Row],[CLASS]],3)</f>
        <v>3.2</v>
      </c>
    </row>
    <row r="6560" spans="1:23" hidden="1">
      <c r="A6560" s="3" t="str">
        <f t="shared" si="102"/>
        <v>Período 1</v>
      </c>
      <c r="B6560">
        <v>6799</v>
      </c>
      <c r="C6560" t="s">
        <v>4112</v>
      </c>
      <c r="D6560" t="s">
        <v>4113</v>
      </c>
      <c r="E6560" s="3" t="str">
        <f>IF(LEN(Base_Periodo1[[#This Row],[CLASS]])&gt;=7,LEFT(Base_Periodo1[[#This Row],[CLASS]],7),"")</f>
        <v>3.2.1.2</v>
      </c>
      <c r="F6560" s="3" t="e">
        <f>VLOOKUP(Base_Periodo1[[#This Row],[Aux]],Base_Contas_Balanco[#All],2,FALSE)</f>
        <v>#N/A</v>
      </c>
      <c r="G6560" s="1"/>
      <c r="H6560" s="225">
        <v>587068.14000000199</v>
      </c>
      <c r="I6560" s="225">
        <v>27081.42</v>
      </c>
      <c r="J6560" s="225">
        <v>240723.75</v>
      </c>
      <c r="K6560" s="225">
        <v>800710.47000000195</v>
      </c>
      <c r="L656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800710.47</v>
      </c>
      <c r="M6560" s="225">
        <f>ROUND(IF(AND(Base_Periodo1[[#This Row],[Tipo_Linha]]="-",Base_Periodo1[[#This Row],[TIPOSALDO]]="D"),Base_Periodo1[[#This Row],[SALDO_ATUAL]]*-1,Base_Periodo1[[#This Row],[SALDO_ATUAL]]),4)</f>
        <v>800710.47</v>
      </c>
      <c r="N6560" t="s">
        <v>396</v>
      </c>
      <c r="O6560" t="s">
        <v>459</v>
      </c>
      <c r="P6560" t="s">
        <v>459</v>
      </c>
      <c r="Q6560">
        <v>4</v>
      </c>
      <c r="R6560" s="282">
        <f>Base_Periodo1[[#This Row],[CREDITOS]]-Base_Periodo1[[#This Row],[DEBITOS]]</f>
        <v>213642.33000000002</v>
      </c>
      <c r="S6560" s="3" t="str">
        <f>IF(ISERROR(VLOOKUP(Base_Periodo1[[#This Row],[CONTA]],BaseContasDRE[#All],4,FALSE)),"Fora do DRE",VLOOKUP(Base_Periodo1[[#This Row],[CONTA]],BaseContasDRE[#All],4,FALSE))</f>
        <v>Fora do DRE</v>
      </c>
      <c r="T6560" s="3" t="str">
        <f>IF(ISERROR(VLOOKUP(Base_Periodo1[[#This Row],[CONTA]],BaseContasDRE[#All],5,FALSE)),"Fora do DRE",VLOOKUP(Base_Periodo1[[#This Row],[CONTA]],BaseContasDRE[#All],6,FALSE))</f>
        <v>Fora do DRE</v>
      </c>
      <c r="U6560" s="3" t="str">
        <f>IF(ISERROR(VLOOKUP(Base_Periodo1[[#This Row],[CONTA]],BaseContasDRE[#All],7,FALSE)),"Fora do DRE",VLOOKUP(Base_Periodo1[[#This Row],[CONTA]],BaseContasDRE[#All],7,FALSE))</f>
        <v>Fora do DRE</v>
      </c>
      <c r="V6560" s="3" t="str">
        <f>IF(Base_Periodo1[[#This Row],[Tipo_Linha]]="Fora do DRE","Fora do DRE","( "&amp;Base_Periodo1[[#This Row],[Tipo_Linha]]&amp;" ) "&amp;Base_Periodo1[[#This Row],[Filtro]])</f>
        <v>Fora do DRE</v>
      </c>
      <c r="W6560" s="3" t="str">
        <f>LEFT(Base_Periodo1[[#This Row],[CLASS]],3)</f>
        <v>3.2</v>
      </c>
    </row>
    <row r="6561" spans="1:23" hidden="1">
      <c r="A6561" s="3" t="str">
        <f t="shared" si="102"/>
        <v>Período 1</v>
      </c>
      <c r="B6561">
        <v>6800</v>
      </c>
      <c r="C6561" t="s">
        <v>4114</v>
      </c>
      <c r="D6561" t="s">
        <v>3757</v>
      </c>
      <c r="E6561" s="3" t="str">
        <f>IF(LEN(Base_Periodo1[[#This Row],[CLASS]])&gt;=7,LEFT(Base_Periodo1[[#This Row],[CLASS]],7),"")</f>
        <v>3.2.1.2</v>
      </c>
      <c r="F6561" s="3" t="e">
        <f>VLOOKUP(Base_Periodo1[[#This Row],[Aux]],Base_Contas_Balanco[#All],2,FALSE)</f>
        <v>#N/A</v>
      </c>
      <c r="G6561" s="1"/>
      <c r="H6561" s="225">
        <v>587068.14000000199</v>
      </c>
      <c r="I6561" s="225">
        <v>27081.42</v>
      </c>
      <c r="J6561" s="225">
        <v>240723.75</v>
      </c>
      <c r="K6561" s="225">
        <v>800710.47000000195</v>
      </c>
      <c r="L656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800710.47</v>
      </c>
      <c r="M6561" s="225">
        <f>ROUND(IF(AND(Base_Periodo1[[#This Row],[Tipo_Linha]]="-",Base_Periodo1[[#This Row],[TIPOSALDO]]="D"),Base_Periodo1[[#This Row],[SALDO_ATUAL]]*-1,Base_Periodo1[[#This Row],[SALDO_ATUAL]]),4)</f>
        <v>800710.47</v>
      </c>
      <c r="N6561" t="s">
        <v>396</v>
      </c>
      <c r="O6561" t="s">
        <v>459</v>
      </c>
      <c r="P6561" t="s">
        <v>459</v>
      </c>
      <c r="Q6561">
        <v>5</v>
      </c>
      <c r="R6561" s="282">
        <f>Base_Periodo1[[#This Row],[CREDITOS]]-Base_Periodo1[[#This Row],[DEBITOS]]</f>
        <v>213642.33000000002</v>
      </c>
      <c r="S6561" s="3" t="str">
        <f>IF(ISERROR(VLOOKUP(Base_Periodo1[[#This Row],[CONTA]],BaseContasDRE[#All],4,FALSE)),"Fora do DRE",VLOOKUP(Base_Periodo1[[#This Row],[CONTA]],BaseContasDRE[#All],4,FALSE))</f>
        <v>Fora do DRE</v>
      </c>
      <c r="T6561" s="3" t="str">
        <f>IF(ISERROR(VLOOKUP(Base_Periodo1[[#This Row],[CONTA]],BaseContasDRE[#All],5,FALSE)),"Fora do DRE",VLOOKUP(Base_Periodo1[[#This Row],[CONTA]],BaseContasDRE[#All],6,FALSE))</f>
        <v>Fora do DRE</v>
      </c>
      <c r="U6561" s="3" t="str">
        <f>IF(ISERROR(VLOOKUP(Base_Periodo1[[#This Row],[CONTA]],BaseContasDRE[#All],7,FALSE)),"Fora do DRE",VLOOKUP(Base_Periodo1[[#This Row],[CONTA]],BaseContasDRE[#All],7,FALSE))</f>
        <v>Fora do DRE</v>
      </c>
      <c r="V6561" s="3" t="str">
        <f>IF(Base_Periodo1[[#This Row],[Tipo_Linha]]="Fora do DRE","Fora do DRE","( "&amp;Base_Periodo1[[#This Row],[Tipo_Linha]]&amp;" ) "&amp;Base_Periodo1[[#This Row],[Filtro]])</f>
        <v>Fora do DRE</v>
      </c>
      <c r="W6561" s="3" t="str">
        <f>LEFT(Base_Periodo1[[#This Row],[CLASS]],3)</f>
        <v>3.2</v>
      </c>
    </row>
    <row r="6562" spans="1:23" hidden="1">
      <c r="A6562" s="3" t="str">
        <f t="shared" si="102"/>
        <v>Período 1</v>
      </c>
      <c r="B6562">
        <v>6801</v>
      </c>
      <c r="C6562" t="s">
        <v>4115</v>
      </c>
      <c r="D6562" t="s">
        <v>3757</v>
      </c>
      <c r="E6562" s="3" t="str">
        <f>IF(LEN(Base_Periodo1[[#This Row],[CLASS]])&gt;=7,LEFT(Base_Periodo1[[#This Row],[CLASS]],7),"")</f>
        <v>3.2.1.2</v>
      </c>
      <c r="F6562" s="3" t="e">
        <f>VLOOKUP(Base_Periodo1[[#This Row],[Aux]],Base_Contas_Balanco[#All],2,FALSE)</f>
        <v>#N/A</v>
      </c>
      <c r="G6562" s="1"/>
      <c r="H6562" s="225">
        <v>587068.14000000199</v>
      </c>
      <c r="I6562" s="225">
        <v>27081.42</v>
      </c>
      <c r="J6562" s="225">
        <v>240723.75</v>
      </c>
      <c r="K6562" s="225">
        <v>800710.47000000195</v>
      </c>
      <c r="L656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800710.47</v>
      </c>
      <c r="M6562" s="225">
        <f>ROUND(IF(AND(Base_Periodo1[[#This Row],[Tipo_Linha]]="-",Base_Periodo1[[#This Row],[TIPOSALDO]]="D"),Base_Periodo1[[#This Row],[SALDO_ATUAL]]*-1,Base_Periodo1[[#This Row],[SALDO_ATUAL]]),4)</f>
        <v>800710.47</v>
      </c>
      <c r="N6562" t="s">
        <v>396</v>
      </c>
      <c r="O6562" t="s">
        <v>459</v>
      </c>
      <c r="P6562" t="s">
        <v>459</v>
      </c>
      <c r="Q6562">
        <v>6</v>
      </c>
      <c r="R6562" s="282">
        <f>Base_Periodo1[[#This Row],[CREDITOS]]-Base_Periodo1[[#This Row],[DEBITOS]]</f>
        <v>213642.33000000002</v>
      </c>
      <c r="S6562" s="3" t="str">
        <f>IF(ISERROR(VLOOKUP(Base_Periodo1[[#This Row],[CONTA]],BaseContasDRE[#All],4,FALSE)),"Fora do DRE",VLOOKUP(Base_Periodo1[[#This Row],[CONTA]],BaseContasDRE[#All],4,FALSE))</f>
        <v>Fora do DRE</v>
      </c>
      <c r="T6562" s="3" t="str">
        <f>IF(ISERROR(VLOOKUP(Base_Periodo1[[#This Row],[CONTA]],BaseContasDRE[#All],5,FALSE)),"Fora do DRE",VLOOKUP(Base_Periodo1[[#This Row],[CONTA]],BaseContasDRE[#All],6,FALSE))</f>
        <v>Fora do DRE</v>
      </c>
      <c r="U6562" s="3" t="str">
        <f>IF(ISERROR(VLOOKUP(Base_Periodo1[[#This Row],[CONTA]],BaseContasDRE[#All],7,FALSE)),"Fora do DRE",VLOOKUP(Base_Periodo1[[#This Row],[CONTA]],BaseContasDRE[#All],7,FALSE))</f>
        <v>Fora do DRE</v>
      </c>
      <c r="V6562" s="3" t="str">
        <f>IF(Base_Periodo1[[#This Row],[Tipo_Linha]]="Fora do DRE","Fora do DRE","( "&amp;Base_Periodo1[[#This Row],[Tipo_Linha]]&amp;" ) "&amp;Base_Periodo1[[#This Row],[Filtro]])</f>
        <v>Fora do DRE</v>
      </c>
      <c r="W6562" s="3" t="str">
        <f>LEFT(Base_Periodo1[[#This Row],[CLASS]],3)</f>
        <v>3.2</v>
      </c>
    </row>
    <row r="6563" spans="1:23" hidden="1">
      <c r="A6563" s="3" t="str">
        <f t="shared" si="102"/>
        <v>Período 1</v>
      </c>
      <c r="B6563">
        <v>6802</v>
      </c>
      <c r="C6563" t="s">
        <v>4116</v>
      </c>
      <c r="D6563" t="s">
        <v>3759</v>
      </c>
      <c r="E6563" s="3" t="str">
        <f>IF(LEN(Base_Periodo1[[#This Row],[CLASS]])&gt;=7,LEFT(Base_Periodo1[[#This Row],[CLASS]],7),"")</f>
        <v>3.2.1.2</v>
      </c>
      <c r="F6563" s="3" t="e">
        <f>VLOOKUP(Base_Periodo1[[#This Row],[Aux]],Base_Contas_Balanco[#All],2,FALSE)</f>
        <v>#N/A</v>
      </c>
      <c r="G6563" s="1"/>
      <c r="H6563" s="225">
        <v>22573.160000000164</v>
      </c>
      <c r="I6563" s="225">
        <v>13880.509999999998</v>
      </c>
      <c r="J6563" s="225">
        <v>123382.23000000001</v>
      </c>
      <c r="K6563" s="225">
        <v>132074.88000000018</v>
      </c>
      <c r="L656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132074.88</v>
      </c>
      <c r="M6563" s="225">
        <f>ROUND(IF(AND(Base_Periodo1[[#This Row],[Tipo_Linha]]="-",Base_Periodo1[[#This Row],[TIPOSALDO]]="D"),Base_Periodo1[[#This Row],[SALDO_ATUAL]]*-1,Base_Periodo1[[#This Row],[SALDO_ATUAL]]),4)</f>
        <v>132074.88</v>
      </c>
      <c r="N6563" t="s">
        <v>396</v>
      </c>
      <c r="O6563" t="s">
        <v>459</v>
      </c>
      <c r="P6563" t="s">
        <v>459</v>
      </c>
      <c r="Q6563">
        <v>7</v>
      </c>
      <c r="R6563" s="282">
        <f>Base_Periodo1[[#This Row],[CREDITOS]]-Base_Periodo1[[#This Row],[DEBITOS]]</f>
        <v>109501.72000000002</v>
      </c>
      <c r="S6563" s="3" t="str">
        <f>IF(ISERROR(VLOOKUP(Base_Periodo1[[#This Row],[CONTA]],BaseContasDRE[#All],4,FALSE)),"Fora do DRE",VLOOKUP(Base_Periodo1[[#This Row],[CONTA]],BaseContasDRE[#All],4,FALSE))</f>
        <v>Fora do DRE</v>
      </c>
      <c r="T6563" s="3" t="str">
        <f>IF(ISERROR(VLOOKUP(Base_Periodo1[[#This Row],[CONTA]],BaseContasDRE[#All],5,FALSE)),"Fora do DRE",VLOOKUP(Base_Periodo1[[#This Row],[CONTA]],BaseContasDRE[#All],6,FALSE))</f>
        <v>Fora do DRE</v>
      </c>
      <c r="U6563" s="3" t="str">
        <f>IF(ISERROR(VLOOKUP(Base_Periodo1[[#This Row],[CONTA]],BaseContasDRE[#All],7,FALSE)),"Fora do DRE",VLOOKUP(Base_Periodo1[[#This Row],[CONTA]],BaseContasDRE[#All],7,FALSE))</f>
        <v>Fora do DRE</v>
      </c>
      <c r="V6563" s="3" t="str">
        <f>IF(Base_Periodo1[[#This Row],[Tipo_Linha]]="Fora do DRE","Fora do DRE","( "&amp;Base_Periodo1[[#This Row],[Tipo_Linha]]&amp;" ) "&amp;Base_Periodo1[[#This Row],[Filtro]])</f>
        <v>Fora do DRE</v>
      </c>
      <c r="W6563" s="3" t="str">
        <f>LEFT(Base_Periodo1[[#This Row],[CLASS]],3)</f>
        <v>3.2</v>
      </c>
    </row>
    <row r="6564" spans="1:23" hidden="1">
      <c r="A6564" s="3" t="str">
        <f t="shared" si="102"/>
        <v>Período 1</v>
      </c>
      <c r="B6564">
        <v>6803</v>
      </c>
      <c r="C6564" t="s">
        <v>4117</v>
      </c>
      <c r="D6564" t="s">
        <v>4118</v>
      </c>
      <c r="E6564" s="3" t="str">
        <f>IF(LEN(Base_Periodo1[[#This Row],[CLASS]])&gt;=7,LEFT(Base_Periodo1[[#This Row],[CLASS]],7),"")</f>
        <v>3.2.1.2</v>
      </c>
      <c r="F6564" s="3" t="e">
        <f>VLOOKUP(Base_Periodo1[[#This Row],[Aux]],Base_Contas_Balanco[#All],2,FALSE)</f>
        <v>#N/A</v>
      </c>
      <c r="G6564" s="1"/>
      <c r="H6564" s="225">
        <v>24944.200000000186</v>
      </c>
      <c r="I6564" s="225">
        <v>0</v>
      </c>
      <c r="J6564" s="225">
        <v>123382.23000000001</v>
      </c>
      <c r="K6564" s="225">
        <v>148326.4300000002</v>
      </c>
      <c r="L656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148326.43</v>
      </c>
      <c r="M6564" s="225">
        <f>ROUND(IF(AND(Base_Periodo1[[#This Row],[Tipo_Linha]]="-",Base_Periodo1[[#This Row],[TIPOSALDO]]="D"),Base_Periodo1[[#This Row],[SALDO_ATUAL]]*-1,Base_Periodo1[[#This Row],[SALDO_ATUAL]]),4)</f>
        <v>148326.43</v>
      </c>
      <c r="N6564" t="s">
        <v>396</v>
      </c>
      <c r="O6564" t="s">
        <v>459</v>
      </c>
      <c r="P6564" t="s">
        <v>459</v>
      </c>
      <c r="Q6564">
        <v>8</v>
      </c>
      <c r="R6564" s="282">
        <f>Base_Periodo1[[#This Row],[CREDITOS]]-Base_Periodo1[[#This Row],[DEBITOS]]</f>
        <v>123382.23000000001</v>
      </c>
      <c r="S6564" s="3" t="str">
        <f>IF(ISERROR(VLOOKUP(Base_Periodo1[[#This Row],[CONTA]],BaseContasDRE[#All],4,FALSE)),"Fora do DRE",VLOOKUP(Base_Periodo1[[#This Row],[CONTA]],BaseContasDRE[#All],4,FALSE))</f>
        <v>Fora do DRE</v>
      </c>
      <c r="T6564" s="3" t="str">
        <f>IF(ISERROR(VLOOKUP(Base_Periodo1[[#This Row],[CONTA]],BaseContasDRE[#All],5,FALSE)),"Fora do DRE",VLOOKUP(Base_Periodo1[[#This Row],[CONTA]],BaseContasDRE[#All],6,FALSE))</f>
        <v>Fora do DRE</v>
      </c>
      <c r="U6564" s="3" t="str">
        <f>IF(ISERROR(VLOOKUP(Base_Periodo1[[#This Row],[CONTA]],BaseContasDRE[#All],7,FALSE)),"Fora do DRE",VLOOKUP(Base_Periodo1[[#This Row],[CONTA]],BaseContasDRE[#All],7,FALSE))</f>
        <v>Fora do DRE</v>
      </c>
      <c r="V6564" s="3" t="str">
        <f>IF(Base_Periodo1[[#This Row],[Tipo_Linha]]="Fora do DRE","Fora do DRE","( "&amp;Base_Periodo1[[#This Row],[Tipo_Linha]]&amp;" ) "&amp;Base_Periodo1[[#This Row],[Filtro]])</f>
        <v>Fora do DRE</v>
      </c>
      <c r="W6564" s="3" t="str">
        <f>LEFT(Base_Periodo1[[#This Row],[CLASS]],3)</f>
        <v>3.2</v>
      </c>
    </row>
    <row r="6565" spans="1:23" hidden="1">
      <c r="A6565" s="3" t="str">
        <f t="shared" si="102"/>
        <v>Período 1</v>
      </c>
      <c r="B6565">
        <v>6804</v>
      </c>
      <c r="C6565" t="s">
        <v>4119</v>
      </c>
      <c r="D6565" t="s">
        <v>4120</v>
      </c>
      <c r="E6565" s="3" t="str">
        <f>IF(LEN(Base_Periodo1[[#This Row],[CLASS]])&gt;=7,LEFT(Base_Periodo1[[#This Row],[CLASS]],7),"")</f>
        <v>3.2.1.2</v>
      </c>
      <c r="F6565" s="3" t="e">
        <f>VLOOKUP(Base_Periodo1[[#This Row],[Aux]],Base_Contas_Balanco[#All],2,FALSE)</f>
        <v>#N/A</v>
      </c>
      <c r="G6565" s="1">
        <v>42880</v>
      </c>
      <c r="H6565" s="225">
        <v>24944.200000000186</v>
      </c>
      <c r="I6565" s="225">
        <v>0</v>
      </c>
      <c r="J6565" s="225">
        <v>123382.23000000001</v>
      </c>
      <c r="K6565" s="225">
        <v>148326.4300000002</v>
      </c>
      <c r="L656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148326.43</v>
      </c>
      <c r="M6565" s="225">
        <f>ROUND(IF(AND(Base_Periodo1[[#This Row],[Tipo_Linha]]="-",Base_Periodo1[[#This Row],[TIPOSALDO]]="D"),Base_Periodo1[[#This Row],[SALDO_ATUAL]]*-1,Base_Periodo1[[#This Row],[SALDO_ATUAL]]),4)</f>
        <v>148326.43</v>
      </c>
      <c r="N6565" t="s">
        <v>116</v>
      </c>
      <c r="O6565" t="s">
        <v>459</v>
      </c>
      <c r="P6565" t="s">
        <v>459</v>
      </c>
      <c r="Q6565">
        <v>9</v>
      </c>
      <c r="R6565" s="282">
        <f>Base_Periodo1[[#This Row],[CREDITOS]]-Base_Periodo1[[#This Row],[DEBITOS]]</f>
        <v>123382.23000000001</v>
      </c>
      <c r="S6565" s="3" t="str">
        <f>IF(ISERROR(VLOOKUP(Base_Periodo1[[#This Row],[CONTA]],BaseContasDRE[#All],4,FALSE)),"Fora do DRE",VLOOKUP(Base_Periodo1[[#This Row],[CONTA]],BaseContasDRE[#All],4,FALSE))</f>
        <v>+</v>
      </c>
      <c r="T6565" s="3">
        <f>IF(ISERROR(VLOOKUP(Base_Periodo1[[#This Row],[CONTA]],BaseContasDRE[#All],5,FALSE)),"Fora do DRE",VLOOKUP(Base_Periodo1[[#This Row],[CONTA]],BaseContasDRE[#All],6,FALSE))</f>
        <v>1</v>
      </c>
      <c r="U6565" s="3" t="str">
        <f>IF(ISERROR(VLOOKUP(Base_Periodo1[[#This Row],[CONTA]],BaseContasDRE[#All],7,FALSE)),"Fora do DRE",VLOOKUP(Base_Periodo1[[#This Row],[CONTA]],BaseContasDRE[#All],7,FALSE))</f>
        <v>SERVIÇOS PRESTADOS</v>
      </c>
      <c r="V6565" s="3" t="str">
        <f>IF(Base_Periodo1[[#This Row],[Tipo_Linha]]="Fora do DRE","Fora do DRE","( "&amp;Base_Periodo1[[#This Row],[Tipo_Linha]]&amp;" ) "&amp;Base_Periodo1[[#This Row],[Filtro]])</f>
        <v>( + ) SERVIÇOS PRESTADOS</v>
      </c>
      <c r="W6565" s="3" t="str">
        <f>LEFT(Base_Periodo1[[#This Row],[CLASS]],3)</f>
        <v>3.2</v>
      </c>
    </row>
    <row r="6566" spans="1:23" hidden="1">
      <c r="A6566" s="3" t="str">
        <f t="shared" si="102"/>
        <v>Período 1</v>
      </c>
      <c r="B6566">
        <v>6805</v>
      </c>
      <c r="C6566" t="s">
        <v>4121</v>
      </c>
      <c r="D6566" t="s">
        <v>3993</v>
      </c>
      <c r="E6566" s="3" t="str">
        <f>IF(LEN(Base_Periodo1[[#This Row],[CLASS]])&gt;=7,LEFT(Base_Periodo1[[#This Row],[CLASS]],7),"")</f>
        <v>3.2.1.2</v>
      </c>
      <c r="F6566" s="3" t="e">
        <f>VLOOKUP(Base_Periodo1[[#This Row],[Aux]],Base_Contas_Balanco[#All],2,FALSE)</f>
        <v>#N/A</v>
      </c>
      <c r="G6566" s="1"/>
      <c r="H6566" s="225">
        <v>2371.0400000000209</v>
      </c>
      <c r="I6566" s="225">
        <v>13880.509999999998</v>
      </c>
      <c r="J6566" s="225">
        <v>0</v>
      </c>
      <c r="K6566" s="225">
        <v>16251.550000000019</v>
      </c>
      <c r="L656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-16251.55</v>
      </c>
      <c r="M6566" s="225">
        <f>ROUND(IF(AND(Base_Periodo1[[#This Row],[Tipo_Linha]]="-",Base_Periodo1[[#This Row],[TIPOSALDO]]="D"),Base_Periodo1[[#This Row],[SALDO_ATUAL]]*-1,Base_Periodo1[[#This Row],[SALDO_ATUAL]]),4)</f>
        <v>16251.55</v>
      </c>
      <c r="N6566" t="s">
        <v>396</v>
      </c>
      <c r="O6566" t="s">
        <v>397</v>
      </c>
      <c r="P6566" t="s">
        <v>397</v>
      </c>
      <c r="Q6566">
        <v>8</v>
      </c>
      <c r="R6566" s="282">
        <f>Base_Periodo1[[#This Row],[CREDITOS]]-Base_Periodo1[[#This Row],[DEBITOS]]</f>
        <v>-13880.509999999998</v>
      </c>
      <c r="S6566" s="3" t="str">
        <f>IF(ISERROR(VLOOKUP(Base_Periodo1[[#This Row],[CONTA]],BaseContasDRE[#All],4,FALSE)),"Fora do DRE",VLOOKUP(Base_Periodo1[[#This Row],[CONTA]],BaseContasDRE[#All],4,FALSE))</f>
        <v>Fora do DRE</v>
      </c>
      <c r="T6566" s="3" t="str">
        <f>IF(ISERROR(VLOOKUP(Base_Periodo1[[#This Row],[CONTA]],BaseContasDRE[#All],5,FALSE)),"Fora do DRE",VLOOKUP(Base_Periodo1[[#This Row],[CONTA]],BaseContasDRE[#All],6,FALSE))</f>
        <v>Fora do DRE</v>
      </c>
      <c r="U6566" s="3" t="str">
        <f>IF(ISERROR(VLOOKUP(Base_Periodo1[[#This Row],[CONTA]],BaseContasDRE[#All],7,FALSE)),"Fora do DRE",VLOOKUP(Base_Periodo1[[#This Row],[CONTA]],BaseContasDRE[#All],7,FALSE))</f>
        <v>Fora do DRE</v>
      </c>
      <c r="V6566" s="3" t="str">
        <f>IF(Base_Periodo1[[#This Row],[Tipo_Linha]]="Fora do DRE","Fora do DRE","( "&amp;Base_Periodo1[[#This Row],[Tipo_Linha]]&amp;" ) "&amp;Base_Periodo1[[#This Row],[Filtro]])</f>
        <v>Fora do DRE</v>
      </c>
      <c r="W6566" s="3" t="str">
        <f>LEFT(Base_Periodo1[[#This Row],[CLASS]],3)</f>
        <v>3.2</v>
      </c>
    </row>
    <row r="6567" spans="1:23">
      <c r="A6567" s="3" t="str">
        <f t="shared" si="102"/>
        <v>Período 1</v>
      </c>
      <c r="B6567">
        <v>6806</v>
      </c>
      <c r="C6567" t="s">
        <v>5545</v>
      </c>
      <c r="D6567" t="s">
        <v>3780</v>
      </c>
      <c r="E6567" s="3" t="str">
        <f>IF(LEN(Base_Periodo1[[#This Row],[CLASS]])&gt;=7,LEFT(Base_Periodo1[[#This Row],[CLASS]],7),"")</f>
        <v>3.2.1.2</v>
      </c>
      <c r="F6567" s="3" t="e">
        <f>VLOOKUP(Base_Periodo1[[#This Row],[Aux]],Base_Contas_Balanco[#All],2,FALSE)</f>
        <v>#N/A</v>
      </c>
      <c r="G6567" s="1">
        <v>42880</v>
      </c>
      <c r="H6567" s="225">
        <v>333.95000000000255</v>
      </c>
      <c r="I6567" s="225">
        <v>2035.81</v>
      </c>
      <c r="J6567" s="225">
        <v>0</v>
      </c>
      <c r="K6567" s="225">
        <v>2369.7600000000025</v>
      </c>
      <c r="L656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-2369.7600000000002</v>
      </c>
      <c r="M6567" s="225">
        <f>ROUND(IF(AND(Base_Periodo1[[#This Row],[Tipo_Linha]]="-",Base_Periodo1[[#This Row],[TIPOSALDO]]="D"),Base_Periodo1[[#This Row],[SALDO_ATUAL]]*-1,Base_Periodo1[[#This Row],[SALDO_ATUAL]]),4)</f>
        <v>-2369.7600000000002</v>
      </c>
      <c r="N6567" t="s">
        <v>116</v>
      </c>
      <c r="O6567" t="s">
        <v>397</v>
      </c>
      <c r="P6567" t="s">
        <v>397</v>
      </c>
      <c r="Q6567">
        <v>9</v>
      </c>
      <c r="R6567" s="282">
        <f>Base_Periodo1[[#This Row],[CREDITOS]]-Base_Periodo1[[#This Row],[DEBITOS]]</f>
        <v>-2035.81</v>
      </c>
      <c r="S6567" s="3" t="str">
        <f>IF(ISERROR(VLOOKUP(Base_Periodo1[[#This Row],[CONTA]],BaseContasDRE[#All],4,FALSE)),"Fora do DRE",VLOOKUP(Base_Periodo1[[#This Row],[CONTA]],BaseContasDRE[#All],4,FALSE))</f>
        <v>-</v>
      </c>
      <c r="T6567" s="3">
        <f>IF(ISERROR(VLOOKUP(Base_Periodo1[[#This Row],[CONTA]],BaseContasDRE[#All],5,FALSE)),"Fora do DRE",VLOOKUP(Base_Periodo1[[#This Row],[CONTA]],BaseContasDRE[#All],6,FALSE))</f>
        <v>2</v>
      </c>
      <c r="U6567" s="3" t="str">
        <f>IF(ISERROR(VLOOKUP(Base_Periodo1[[#This Row],[CONTA]],BaseContasDRE[#All],7,FALSE)),"Fora do DRE",VLOOKUP(Base_Periodo1[[#This Row],[CONTA]],BaseContasDRE[#All],7,FALSE))</f>
        <v>IMPOSTOS SOBRE RECEITA</v>
      </c>
      <c r="V6567" s="3" t="str">
        <f>IF(Base_Periodo1[[#This Row],[Tipo_Linha]]="Fora do DRE","Fora do DRE","( "&amp;Base_Periodo1[[#This Row],[Tipo_Linha]]&amp;" ) "&amp;Base_Periodo1[[#This Row],[Filtro]])</f>
        <v>( - ) IMPOSTOS SOBRE RECEITA</v>
      </c>
      <c r="W6567" s="3" t="str">
        <f>LEFT(Base_Periodo1[[#This Row],[CLASS]],3)</f>
        <v>3.2</v>
      </c>
    </row>
    <row r="6568" spans="1:23">
      <c r="A6568" s="3" t="str">
        <f t="shared" si="102"/>
        <v>Período 1</v>
      </c>
      <c r="B6568">
        <v>6807</v>
      </c>
      <c r="C6568" t="s">
        <v>5546</v>
      </c>
      <c r="D6568" t="s">
        <v>3782</v>
      </c>
      <c r="E6568" s="3" t="str">
        <f>IF(LEN(Base_Periodo1[[#This Row],[CLASS]])&gt;=7,LEFT(Base_Periodo1[[#This Row],[CLASS]],7),"")</f>
        <v>3.2.1.2</v>
      </c>
      <c r="F6568" s="3" t="e">
        <f>VLOOKUP(Base_Periodo1[[#This Row],[Aux]],Base_Contas_Balanco[#All],2,FALSE)</f>
        <v>#N/A</v>
      </c>
      <c r="G6568" s="1">
        <v>42880</v>
      </c>
      <c r="H6568" s="225">
        <v>1538.2200000000157</v>
      </c>
      <c r="I6568" s="225">
        <v>9377.0499999999993</v>
      </c>
      <c r="J6568" s="225">
        <v>0</v>
      </c>
      <c r="K6568" s="225">
        <v>10915.270000000015</v>
      </c>
      <c r="L656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-10915.27</v>
      </c>
      <c r="M6568" s="225">
        <f>ROUND(IF(AND(Base_Periodo1[[#This Row],[Tipo_Linha]]="-",Base_Periodo1[[#This Row],[TIPOSALDO]]="D"),Base_Periodo1[[#This Row],[SALDO_ATUAL]]*-1,Base_Periodo1[[#This Row],[SALDO_ATUAL]]),4)</f>
        <v>-10915.27</v>
      </c>
      <c r="N6568" t="s">
        <v>116</v>
      </c>
      <c r="O6568" t="s">
        <v>397</v>
      </c>
      <c r="P6568" t="s">
        <v>397</v>
      </c>
      <c r="Q6568">
        <v>9</v>
      </c>
      <c r="R6568" s="282">
        <f>Base_Periodo1[[#This Row],[CREDITOS]]-Base_Periodo1[[#This Row],[DEBITOS]]</f>
        <v>-9377.0499999999993</v>
      </c>
      <c r="S6568" s="3" t="str">
        <f>IF(ISERROR(VLOOKUP(Base_Periodo1[[#This Row],[CONTA]],BaseContasDRE[#All],4,FALSE)),"Fora do DRE",VLOOKUP(Base_Periodo1[[#This Row],[CONTA]],BaseContasDRE[#All],4,FALSE))</f>
        <v>-</v>
      </c>
      <c r="T6568" s="3">
        <f>IF(ISERROR(VLOOKUP(Base_Periodo1[[#This Row],[CONTA]],BaseContasDRE[#All],5,FALSE)),"Fora do DRE",VLOOKUP(Base_Periodo1[[#This Row],[CONTA]],BaseContasDRE[#All],6,FALSE))</f>
        <v>2</v>
      </c>
      <c r="U6568" s="3" t="str">
        <f>IF(ISERROR(VLOOKUP(Base_Periodo1[[#This Row],[CONTA]],BaseContasDRE[#All],7,FALSE)),"Fora do DRE",VLOOKUP(Base_Periodo1[[#This Row],[CONTA]],BaseContasDRE[#All],7,FALSE))</f>
        <v>IMPOSTOS SOBRE RECEITA</v>
      </c>
      <c r="V6568" s="3" t="str">
        <f>IF(Base_Periodo1[[#This Row],[Tipo_Linha]]="Fora do DRE","Fora do DRE","( "&amp;Base_Periodo1[[#This Row],[Tipo_Linha]]&amp;" ) "&amp;Base_Periodo1[[#This Row],[Filtro]])</f>
        <v>( - ) IMPOSTOS SOBRE RECEITA</v>
      </c>
      <c r="W6568" s="3" t="str">
        <f>LEFT(Base_Periodo1[[#This Row],[CLASS]],3)</f>
        <v>3.2</v>
      </c>
    </row>
    <row r="6569" spans="1:23" hidden="1">
      <c r="A6569" s="3" t="str">
        <f t="shared" si="102"/>
        <v>Período 1</v>
      </c>
      <c r="B6569">
        <v>40706</v>
      </c>
      <c r="C6569" t="s">
        <v>4122</v>
      </c>
      <c r="D6569" t="s">
        <v>3772</v>
      </c>
      <c r="E6569" s="3" t="str">
        <f>IF(LEN(Base_Periodo1[[#This Row],[CLASS]])&gt;=7,LEFT(Base_Periodo1[[#This Row],[CLASS]],7),"")</f>
        <v>3.2.1.2</v>
      </c>
      <c r="F6569" s="3" t="e">
        <f>VLOOKUP(Base_Periodo1[[#This Row],[Aux]],Base_Contas_Balanco[#All],2,FALSE)</f>
        <v>#N/A</v>
      </c>
      <c r="G6569" s="1">
        <v>42880</v>
      </c>
      <c r="H6569" s="225">
        <v>498.87000000000262</v>
      </c>
      <c r="I6569" s="225">
        <v>2467.65</v>
      </c>
      <c r="J6569" s="225">
        <v>0</v>
      </c>
      <c r="K6569" s="225">
        <v>2966.5200000000027</v>
      </c>
      <c r="L656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-2966.52</v>
      </c>
      <c r="M6569" s="225">
        <f>ROUND(IF(AND(Base_Periodo1[[#This Row],[Tipo_Linha]]="-",Base_Periodo1[[#This Row],[TIPOSALDO]]="D"),Base_Periodo1[[#This Row],[SALDO_ATUAL]]*-1,Base_Periodo1[[#This Row],[SALDO_ATUAL]]),4)</f>
        <v>-2966.52</v>
      </c>
      <c r="N6569" t="s">
        <v>116</v>
      </c>
      <c r="O6569" t="s">
        <v>397</v>
      </c>
      <c r="P6569" t="s">
        <v>397</v>
      </c>
      <c r="Q6569">
        <v>9</v>
      </c>
      <c r="R6569" s="282">
        <f>Base_Periodo1[[#This Row],[CREDITOS]]-Base_Periodo1[[#This Row],[DEBITOS]]</f>
        <v>-2467.65</v>
      </c>
      <c r="S6569" s="3" t="str">
        <f>IF(ISERROR(VLOOKUP(Base_Periodo1[[#This Row],[CONTA]],BaseContasDRE[#All],4,FALSE)),"Fora do DRE",VLOOKUP(Base_Periodo1[[#This Row],[CONTA]],BaseContasDRE[#All],4,FALSE))</f>
        <v>-</v>
      </c>
      <c r="T6569" s="3">
        <f>IF(ISERROR(VLOOKUP(Base_Periodo1[[#This Row],[CONTA]],BaseContasDRE[#All],5,FALSE)),"Fora do DRE",VLOOKUP(Base_Periodo1[[#This Row],[CONTA]],BaseContasDRE[#All],6,FALSE))</f>
        <v>2</v>
      </c>
      <c r="U6569" s="3" t="str">
        <f>IF(ISERROR(VLOOKUP(Base_Periodo1[[#This Row],[CONTA]],BaseContasDRE[#All],7,FALSE)),"Fora do DRE",VLOOKUP(Base_Periodo1[[#This Row],[CONTA]],BaseContasDRE[#All],7,FALSE))</f>
        <v>IMPOSTOS SOBRE SERVIÇOS PRESTADOS</v>
      </c>
      <c r="V6569" s="3" t="str">
        <f>IF(Base_Periodo1[[#This Row],[Tipo_Linha]]="Fora do DRE","Fora do DRE","( "&amp;Base_Periodo1[[#This Row],[Tipo_Linha]]&amp;" ) "&amp;Base_Periodo1[[#This Row],[Filtro]])</f>
        <v>( - ) IMPOSTOS SOBRE SERVIÇOS PRESTADOS</v>
      </c>
      <c r="W6569" s="3" t="str">
        <f>LEFT(Base_Periodo1[[#This Row],[CLASS]],3)</f>
        <v>3.2</v>
      </c>
    </row>
    <row r="6570" spans="1:23" hidden="1">
      <c r="A6570" s="3" t="str">
        <f t="shared" si="102"/>
        <v>Período 1</v>
      </c>
      <c r="B6570">
        <v>6818</v>
      </c>
      <c r="C6570" t="s">
        <v>6079</v>
      </c>
      <c r="D6570" t="s">
        <v>3762</v>
      </c>
      <c r="E6570" s="3" t="str">
        <f>IF(LEN(Base_Periodo1[[#This Row],[CLASS]])&gt;=7,LEFT(Base_Periodo1[[#This Row],[CLASS]],7),"")</f>
        <v>3.2.1.2</v>
      </c>
      <c r="F6570" s="3" t="e">
        <f>VLOOKUP(Base_Periodo1[[#This Row],[Aux]],Base_Contas_Balanco[#All],2,FALSE)</f>
        <v>#N/A</v>
      </c>
      <c r="G6570" s="1"/>
      <c r="H6570" s="225">
        <v>3888.6300000002084</v>
      </c>
      <c r="I6570" s="225">
        <v>0</v>
      </c>
      <c r="J6570" s="225">
        <v>0</v>
      </c>
      <c r="K6570" s="225">
        <v>3888.6300000002084</v>
      </c>
      <c r="L657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-3888.63</v>
      </c>
      <c r="M6570" s="225">
        <f>ROUND(IF(AND(Base_Periodo1[[#This Row],[Tipo_Linha]]="-",Base_Periodo1[[#This Row],[TIPOSALDO]]="D"),Base_Periodo1[[#This Row],[SALDO_ATUAL]]*-1,Base_Periodo1[[#This Row],[SALDO_ATUAL]]),4)</f>
        <v>3888.63</v>
      </c>
      <c r="N6570" t="s">
        <v>396</v>
      </c>
      <c r="O6570" t="s">
        <v>397</v>
      </c>
      <c r="P6570" t="s">
        <v>397</v>
      </c>
      <c r="Q6570">
        <v>7</v>
      </c>
      <c r="R6570" s="282">
        <f>Base_Periodo1[[#This Row],[CREDITOS]]-Base_Periodo1[[#This Row],[DEBITOS]]</f>
        <v>0</v>
      </c>
      <c r="S6570" s="3" t="str">
        <f>IF(ISERROR(VLOOKUP(Base_Periodo1[[#This Row],[CONTA]],BaseContasDRE[#All],4,FALSE)),"Fora do DRE",VLOOKUP(Base_Periodo1[[#This Row],[CONTA]],BaseContasDRE[#All],4,FALSE))</f>
        <v>Fora do DRE</v>
      </c>
      <c r="T6570" s="3" t="str">
        <f>IF(ISERROR(VLOOKUP(Base_Periodo1[[#This Row],[CONTA]],BaseContasDRE[#All],5,FALSE)),"Fora do DRE",VLOOKUP(Base_Periodo1[[#This Row],[CONTA]],BaseContasDRE[#All],6,FALSE))</f>
        <v>Fora do DRE</v>
      </c>
      <c r="U6570" s="3" t="str">
        <f>IF(ISERROR(VLOOKUP(Base_Periodo1[[#This Row],[CONTA]],BaseContasDRE[#All],7,FALSE)),"Fora do DRE",VLOOKUP(Base_Periodo1[[#This Row],[CONTA]],BaseContasDRE[#All],7,FALSE))</f>
        <v>Fora do DRE</v>
      </c>
      <c r="V6570" s="3" t="str">
        <f>IF(Base_Periodo1[[#This Row],[Tipo_Linha]]="Fora do DRE","Fora do DRE","( "&amp;Base_Periodo1[[#This Row],[Tipo_Linha]]&amp;" ) "&amp;Base_Periodo1[[#This Row],[Filtro]])</f>
        <v>Fora do DRE</v>
      </c>
      <c r="W6570" s="3" t="str">
        <f>LEFT(Base_Periodo1[[#This Row],[CLASS]],3)</f>
        <v>3.2</v>
      </c>
    </row>
    <row r="6571" spans="1:23" hidden="1">
      <c r="A6571" s="3" t="str">
        <f t="shared" si="102"/>
        <v>Período 1</v>
      </c>
      <c r="B6571">
        <v>24788</v>
      </c>
      <c r="C6571" t="s">
        <v>6080</v>
      </c>
      <c r="D6571" t="s">
        <v>6081</v>
      </c>
      <c r="E6571" s="3" t="str">
        <f>IF(LEN(Base_Periodo1[[#This Row],[CLASS]])&gt;=7,LEFT(Base_Periodo1[[#This Row],[CLASS]],7),"")</f>
        <v>3.2.1.2</v>
      </c>
      <c r="F6571" s="3" t="e">
        <f>VLOOKUP(Base_Periodo1[[#This Row],[Aux]],Base_Contas_Balanco[#All],2,FALSE)</f>
        <v>#N/A</v>
      </c>
      <c r="G6571" s="1"/>
      <c r="H6571" s="225">
        <v>3888.6299999999974</v>
      </c>
      <c r="I6571" s="225">
        <v>0</v>
      </c>
      <c r="J6571" s="225">
        <v>0</v>
      </c>
      <c r="K6571" s="225">
        <v>3888.6299999999974</v>
      </c>
      <c r="L6571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-3888.63</v>
      </c>
      <c r="M6571" s="225">
        <f>ROUND(IF(AND(Base_Periodo1[[#This Row],[Tipo_Linha]]="-",Base_Periodo1[[#This Row],[TIPOSALDO]]="D"),Base_Periodo1[[#This Row],[SALDO_ATUAL]]*-1,Base_Periodo1[[#This Row],[SALDO_ATUAL]]),4)</f>
        <v>3888.63</v>
      </c>
      <c r="N6571" t="s">
        <v>396</v>
      </c>
      <c r="O6571" t="s">
        <v>397</v>
      </c>
      <c r="P6571" t="s">
        <v>397</v>
      </c>
      <c r="Q6571">
        <v>8</v>
      </c>
      <c r="R6571" s="282">
        <f>Base_Periodo1[[#This Row],[CREDITOS]]-Base_Periodo1[[#This Row],[DEBITOS]]</f>
        <v>0</v>
      </c>
      <c r="S6571" s="3" t="str">
        <f>IF(ISERROR(VLOOKUP(Base_Periodo1[[#This Row],[CONTA]],BaseContasDRE[#All],4,FALSE)),"Fora do DRE",VLOOKUP(Base_Periodo1[[#This Row],[CONTA]],BaseContasDRE[#All],4,FALSE))</f>
        <v>Fora do DRE</v>
      </c>
      <c r="T6571" s="3" t="str">
        <f>IF(ISERROR(VLOOKUP(Base_Periodo1[[#This Row],[CONTA]],BaseContasDRE[#All],5,FALSE)),"Fora do DRE",VLOOKUP(Base_Periodo1[[#This Row],[CONTA]],BaseContasDRE[#All],6,FALSE))</f>
        <v>Fora do DRE</v>
      </c>
      <c r="U6571" s="3" t="str">
        <f>IF(ISERROR(VLOOKUP(Base_Periodo1[[#This Row],[CONTA]],BaseContasDRE[#All],7,FALSE)),"Fora do DRE",VLOOKUP(Base_Periodo1[[#This Row],[CONTA]],BaseContasDRE[#All],7,FALSE))</f>
        <v>Fora do DRE</v>
      </c>
      <c r="V6571" s="3" t="str">
        <f>IF(Base_Periodo1[[#This Row],[Tipo_Linha]]="Fora do DRE","Fora do DRE","( "&amp;Base_Periodo1[[#This Row],[Tipo_Linha]]&amp;" ) "&amp;Base_Periodo1[[#This Row],[Filtro]])</f>
        <v>Fora do DRE</v>
      </c>
      <c r="W6571" s="3" t="str">
        <f>LEFT(Base_Periodo1[[#This Row],[CLASS]],3)</f>
        <v>3.2</v>
      </c>
    </row>
    <row r="6572" spans="1:23" hidden="1">
      <c r="A6572" s="3" t="str">
        <f t="shared" si="102"/>
        <v>Período 1</v>
      </c>
      <c r="B6572">
        <v>24789</v>
      </c>
      <c r="C6572" t="s">
        <v>6082</v>
      </c>
      <c r="D6572" t="s">
        <v>6083</v>
      </c>
      <c r="E6572" s="3" t="str">
        <f>IF(LEN(Base_Periodo1[[#This Row],[CLASS]])&gt;=7,LEFT(Base_Periodo1[[#This Row],[CLASS]],7),"")</f>
        <v>3.2.1.2</v>
      </c>
      <c r="F6572" s="3" t="e">
        <f>VLOOKUP(Base_Periodo1[[#This Row],[Aux]],Base_Contas_Balanco[#All],2,FALSE)</f>
        <v>#N/A</v>
      </c>
      <c r="G6572" s="1">
        <v>42786</v>
      </c>
      <c r="H6572" s="225">
        <v>3888.6299999999974</v>
      </c>
      <c r="I6572" s="225">
        <v>0</v>
      </c>
      <c r="J6572" s="225">
        <v>0</v>
      </c>
      <c r="K6572" s="225">
        <v>3888.6299999999974</v>
      </c>
      <c r="L6572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-3888.63</v>
      </c>
      <c r="M6572" s="225">
        <f>ROUND(IF(AND(Base_Periodo1[[#This Row],[Tipo_Linha]]="-",Base_Periodo1[[#This Row],[TIPOSALDO]]="D"),Base_Periodo1[[#This Row],[SALDO_ATUAL]]*-1,Base_Periodo1[[#This Row],[SALDO_ATUAL]]),4)</f>
        <v>-3888.63</v>
      </c>
      <c r="N6572" t="s">
        <v>116</v>
      </c>
      <c r="O6572" t="s">
        <v>397</v>
      </c>
      <c r="P6572" t="s">
        <v>397</v>
      </c>
      <c r="Q6572">
        <v>9</v>
      </c>
      <c r="R6572" s="282">
        <f>Base_Periodo1[[#This Row],[CREDITOS]]-Base_Periodo1[[#This Row],[DEBITOS]]</f>
        <v>0</v>
      </c>
      <c r="S6572" s="3" t="str">
        <f>IF(ISERROR(VLOOKUP(Base_Periodo1[[#This Row],[CONTA]],BaseContasDRE[#All],4,FALSE)),"Fora do DRE",VLOOKUP(Base_Periodo1[[#This Row],[CONTA]],BaseContasDRE[#All],4,FALSE))</f>
        <v>-</v>
      </c>
      <c r="T6572" s="3">
        <f>IF(ISERROR(VLOOKUP(Base_Periodo1[[#This Row],[CONTA]],BaseContasDRE[#All],5,FALSE)),"Fora do DRE",VLOOKUP(Base_Periodo1[[#This Row],[CONTA]],BaseContasDRE[#All],6,FALSE))</f>
        <v>2</v>
      </c>
      <c r="U6572" s="3" t="str">
        <f>IF(ISERROR(VLOOKUP(Base_Periodo1[[#This Row],[CONTA]],BaseContasDRE[#All],7,FALSE)),"Fora do DRE",VLOOKUP(Base_Periodo1[[#This Row],[CONTA]],BaseContasDRE[#All],7,FALSE))</f>
        <v>ANULACAO DE VALOR (SERVIÇO DE FRETE</v>
      </c>
      <c r="V6572" s="3" t="str">
        <f>IF(Base_Periodo1[[#This Row],[Tipo_Linha]]="Fora do DRE","Fora do DRE","( "&amp;Base_Periodo1[[#This Row],[Tipo_Linha]]&amp;" ) "&amp;Base_Periodo1[[#This Row],[Filtro]])</f>
        <v>( - ) ANULACAO DE VALOR (SERVIÇO DE FRETE</v>
      </c>
      <c r="W6572" s="3" t="str">
        <f>LEFT(Base_Periodo1[[#This Row],[CLASS]],3)</f>
        <v>3.2</v>
      </c>
    </row>
    <row r="6573" spans="1:23" hidden="1">
      <c r="A6573" s="3" t="str">
        <f t="shared" si="102"/>
        <v>Período 1</v>
      </c>
      <c r="B6573">
        <v>6834</v>
      </c>
      <c r="C6573" t="s">
        <v>7220</v>
      </c>
      <c r="D6573" t="s">
        <v>3771</v>
      </c>
      <c r="E6573" s="3" t="str">
        <f>IF(LEN(Base_Periodo1[[#This Row],[CLASS]])&gt;=7,LEFT(Base_Periodo1[[#This Row],[CLASS]],7),"")</f>
        <v>3.2.1.2</v>
      </c>
      <c r="F6573" s="3" t="e">
        <f>VLOOKUP(Base_Periodo1[[#This Row],[Aux]],Base_Contas_Balanco[#All],2,FALSE)</f>
        <v>#N/A</v>
      </c>
      <c r="G6573" s="1"/>
      <c r="I6573" s="225">
        <v>14.62</v>
      </c>
      <c r="J6573" s="225">
        <v>130</v>
      </c>
      <c r="K6573" s="225">
        <v>115.38</v>
      </c>
      <c r="L6573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115.38</v>
      </c>
      <c r="M6573" s="225">
        <f>ROUND(IF(AND(Base_Periodo1[[#This Row],[Tipo_Linha]]="-",Base_Periodo1[[#This Row],[TIPOSALDO]]="D"),Base_Periodo1[[#This Row],[SALDO_ATUAL]]*-1,Base_Periodo1[[#This Row],[SALDO_ATUAL]]),4)</f>
        <v>115.38</v>
      </c>
      <c r="N6573" t="s">
        <v>396</v>
      </c>
      <c r="O6573" t="s">
        <v>436</v>
      </c>
      <c r="P6573" t="s">
        <v>459</v>
      </c>
      <c r="Q6573">
        <v>7</v>
      </c>
      <c r="R6573" s="282">
        <f>Base_Periodo1[[#This Row],[CREDITOS]]-Base_Periodo1[[#This Row],[DEBITOS]]</f>
        <v>115.38</v>
      </c>
      <c r="S6573" s="3" t="str">
        <f>IF(ISERROR(VLOOKUP(Base_Periodo1[[#This Row],[CONTA]],BaseContasDRE[#All],4,FALSE)),"Fora do DRE",VLOOKUP(Base_Periodo1[[#This Row],[CONTA]],BaseContasDRE[#All],4,FALSE))</f>
        <v>Fora do DRE</v>
      </c>
      <c r="T6573" s="3" t="str">
        <f>IF(ISERROR(VLOOKUP(Base_Periodo1[[#This Row],[CONTA]],BaseContasDRE[#All],5,FALSE)),"Fora do DRE",VLOOKUP(Base_Periodo1[[#This Row],[CONTA]],BaseContasDRE[#All],6,FALSE))</f>
        <v>Fora do DRE</v>
      </c>
      <c r="U6573" s="3" t="str">
        <f>IF(ISERROR(VLOOKUP(Base_Periodo1[[#This Row],[CONTA]],BaseContasDRE[#All],7,FALSE)),"Fora do DRE",VLOOKUP(Base_Periodo1[[#This Row],[CONTA]],BaseContasDRE[#All],7,FALSE))</f>
        <v>Fora do DRE</v>
      </c>
      <c r="V6573" s="3" t="str">
        <f>IF(Base_Periodo1[[#This Row],[Tipo_Linha]]="Fora do DRE","Fora do DRE","( "&amp;Base_Periodo1[[#This Row],[Tipo_Linha]]&amp;" ) "&amp;Base_Periodo1[[#This Row],[Filtro]])</f>
        <v>Fora do DRE</v>
      </c>
      <c r="W6573" s="3" t="str">
        <f>LEFT(Base_Periodo1[[#This Row],[CLASS]],3)</f>
        <v>3.2</v>
      </c>
    </row>
    <row r="6574" spans="1:23" hidden="1">
      <c r="A6574" s="3" t="str">
        <f t="shared" si="102"/>
        <v>Período 1</v>
      </c>
      <c r="B6574">
        <v>6835</v>
      </c>
      <c r="C6574" t="s">
        <v>7221</v>
      </c>
      <c r="D6574" t="s">
        <v>4118</v>
      </c>
      <c r="E6574" s="3" t="str">
        <f>IF(LEN(Base_Periodo1[[#This Row],[CLASS]])&gt;=7,LEFT(Base_Periodo1[[#This Row],[CLASS]],7),"")</f>
        <v>3.2.1.2</v>
      </c>
      <c r="F6574" s="3" t="e">
        <f>VLOOKUP(Base_Periodo1[[#This Row],[Aux]],Base_Contas_Balanco[#All],2,FALSE)</f>
        <v>#N/A</v>
      </c>
      <c r="G6574" s="1"/>
      <c r="I6574" s="225">
        <v>0</v>
      </c>
      <c r="J6574" s="225">
        <v>130</v>
      </c>
      <c r="K6574" s="225">
        <v>130</v>
      </c>
      <c r="L6574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</v>
      </c>
      <c r="M6574" s="225">
        <f>ROUND(IF(AND(Base_Periodo1[[#This Row],[Tipo_Linha]]="-",Base_Periodo1[[#This Row],[TIPOSALDO]]="D"),Base_Periodo1[[#This Row],[SALDO_ATUAL]]*-1,Base_Periodo1[[#This Row],[SALDO_ATUAL]]),4)</f>
        <v>130</v>
      </c>
      <c r="N6574" t="s">
        <v>396</v>
      </c>
      <c r="O6574" t="s">
        <v>436</v>
      </c>
      <c r="P6574" t="s">
        <v>459</v>
      </c>
      <c r="Q6574">
        <v>8</v>
      </c>
      <c r="R6574" s="282">
        <f>Base_Periodo1[[#This Row],[CREDITOS]]-Base_Periodo1[[#This Row],[DEBITOS]]</f>
        <v>130</v>
      </c>
      <c r="S6574" s="3" t="str">
        <f>IF(ISERROR(VLOOKUP(Base_Periodo1[[#This Row],[CONTA]],BaseContasDRE[#All],4,FALSE)),"Fora do DRE",VLOOKUP(Base_Periodo1[[#This Row],[CONTA]],BaseContasDRE[#All],4,FALSE))</f>
        <v>Fora do DRE</v>
      </c>
      <c r="T6574" s="3" t="str">
        <f>IF(ISERROR(VLOOKUP(Base_Periodo1[[#This Row],[CONTA]],BaseContasDRE[#All],5,FALSE)),"Fora do DRE",VLOOKUP(Base_Periodo1[[#This Row],[CONTA]],BaseContasDRE[#All],6,FALSE))</f>
        <v>Fora do DRE</v>
      </c>
      <c r="U6574" s="3" t="str">
        <f>IF(ISERROR(VLOOKUP(Base_Periodo1[[#This Row],[CONTA]],BaseContasDRE[#All],7,FALSE)),"Fora do DRE",VLOOKUP(Base_Periodo1[[#This Row],[CONTA]],BaseContasDRE[#All],7,FALSE))</f>
        <v>Fora do DRE</v>
      </c>
      <c r="V6574" s="3" t="str">
        <f>IF(Base_Periodo1[[#This Row],[Tipo_Linha]]="Fora do DRE","Fora do DRE","( "&amp;Base_Periodo1[[#This Row],[Tipo_Linha]]&amp;" ) "&amp;Base_Periodo1[[#This Row],[Filtro]])</f>
        <v>Fora do DRE</v>
      </c>
      <c r="W6574" s="3" t="str">
        <f>LEFT(Base_Periodo1[[#This Row],[CLASS]],3)</f>
        <v>3.2</v>
      </c>
    </row>
    <row r="6575" spans="1:23" hidden="1">
      <c r="A6575" s="3" t="str">
        <f t="shared" si="102"/>
        <v>Período 1</v>
      </c>
      <c r="B6575">
        <v>29528</v>
      </c>
      <c r="C6575" t="s">
        <v>7222</v>
      </c>
      <c r="D6575" t="s">
        <v>3771</v>
      </c>
      <c r="E6575" s="3" t="str">
        <f>IF(LEN(Base_Periodo1[[#This Row],[CLASS]])&gt;=7,LEFT(Base_Periodo1[[#This Row],[CLASS]],7),"")</f>
        <v>3.2.1.2</v>
      </c>
      <c r="F6575" s="3" t="e">
        <f>VLOOKUP(Base_Periodo1[[#This Row],[Aux]],Base_Contas_Balanco[#All],2,FALSE)</f>
        <v>#N/A</v>
      </c>
      <c r="G6575" s="1">
        <v>42877</v>
      </c>
      <c r="I6575" s="225">
        <v>0</v>
      </c>
      <c r="J6575" s="225">
        <v>130</v>
      </c>
      <c r="K6575" s="225">
        <v>130</v>
      </c>
      <c r="L6575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130</v>
      </c>
      <c r="M6575" s="225">
        <f>ROUND(IF(AND(Base_Periodo1[[#This Row],[Tipo_Linha]]="-",Base_Periodo1[[#This Row],[TIPOSALDO]]="D"),Base_Periodo1[[#This Row],[SALDO_ATUAL]]*-1,Base_Periodo1[[#This Row],[SALDO_ATUAL]]),4)</f>
        <v>130</v>
      </c>
      <c r="N6575" t="s">
        <v>116</v>
      </c>
      <c r="O6575" t="s">
        <v>436</v>
      </c>
      <c r="P6575" t="s">
        <v>459</v>
      </c>
      <c r="Q6575">
        <v>9</v>
      </c>
      <c r="R6575" s="282">
        <f>Base_Periodo1[[#This Row],[CREDITOS]]-Base_Periodo1[[#This Row],[DEBITOS]]</f>
        <v>130</v>
      </c>
      <c r="S6575" s="3" t="str">
        <f>IF(ISERROR(VLOOKUP(Base_Periodo1[[#This Row],[CONTA]],BaseContasDRE[#All],4,FALSE)),"Fora do DRE",VLOOKUP(Base_Periodo1[[#This Row],[CONTA]],BaseContasDRE[#All],4,FALSE))</f>
        <v>+</v>
      </c>
      <c r="T6575" s="3">
        <f>IF(ISERROR(VLOOKUP(Base_Periodo1[[#This Row],[CONTA]],BaseContasDRE[#All],5,FALSE)),"Fora do DRE",VLOOKUP(Base_Periodo1[[#This Row],[CONTA]],BaseContasDRE[#All],6,FALSE))</f>
        <v>1</v>
      </c>
      <c r="U6575" s="3" t="str">
        <f>IF(ISERROR(VLOOKUP(Base_Periodo1[[#This Row],[CONTA]],BaseContasDRE[#All],7,FALSE)),"Fora do DRE",VLOOKUP(Base_Periodo1[[#This Row],[CONTA]],BaseContasDRE[#All],7,FALSE))</f>
        <v>SERVIÇOS PRESTADOS</v>
      </c>
      <c r="V6575" s="3" t="str">
        <f>IF(Base_Periodo1[[#This Row],[Tipo_Linha]]="Fora do DRE","Fora do DRE","( "&amp;Base_Periodo1[[#This Row],[Tipo_Linha]]&amp;" ) "&amp;Base_Periodo1[[#This Row],[Filtro]])</f>
        <v>( + ) SERVIÇOS PRESTADOS</v>
      </c>
      <c r="W6575" s="3" t="str">
        <f>LEFT(Base_Periodo1[[#This Row],[CLASS]],3)</f>
        <v>3.2</v>
      </c>
    </row>
    <row r="6576" spans="1:23" hidden="1">
      <c r="A6576" s="3" t="str">
        <f t="shared" si="102"/>
        <v>Período 1</v>
      </c>
      <c r="B6576">
        <v>6836</v>
      </c>
      <c r="C6576" t="s">
        <v>7223</v>
      </c>
      <c r="D6576" t="s">
        <v>3993</v>
      </c>
      <c r="E6576" s="3" t="str">
        <f>IF(LEN(Base_Periodo1[[#This Row],[CLASS]])&gt;=7,LEFT(Base_Periodo1[[#This Row],[CLASS]],7),"")</f>
        <v>3.2.1.2</v>
      </c>
      <c r="F6576" s="3" t="e">
        <f>VLOOKUP(Base_Periodo1[[#This Row],[Aux]],Base_Contas_Balanco[#All],2,FALSE)</f>
        <v>#N/A</v>
      </c>
      <c r="G6576" s="1"/>
      <c r="I6576" s="225">
        <v>14.62</v>
      </c>
      <c r="J6576" s="225">
        <v>0</v>
      </c>
      <c r="K6576" s="225">
        <v>14.620000000000006</v>
      </c>
      <c r="L6576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-14.62</v>
      </c>
      <c r="M6576" s="225">
        <f>ROUND(IF(AND(Base_Periodo1[[#This Row],[Tipo_Linha]]="-",Base_Periodo1[[#This Row],[TIPOSALDO]]="D"),Base_Periodo1[[#This Row],[SALDO_ATUAL]]*-1,Base_Periodo1[[#This Row],[SALDO_ATUAL]]),4)</f>
        <v>14.62</v>
      </c>
      <c r="N6576" t="s">
        <v>396</v>
      </c>
      <c r="O6576" t="s">
        <v>436</v>
      </c>
      <c r="P6576" t="s">
        <v>397</v>
      </c>
      <c r="Q6576">
        <v>8</v>
      </c>
      <c r="R6576" s="282">
        <f>Base_Periodo1[[#This Row],[CREDITOS]]-Base_Periodo1[[#This Row],[DEBITOS]]</f>
        <v>-14.62</v>
      </c>
      <c r="S6576" s="3" t="str">
        <f>IF(ISERROR(VLOOKUP(Base_Periodo1[[#This Row],[CONTA]],BaseContasDRE[#All],4,FALSE)),"Fora do DRE",VLOOKUP(Base_Periodo1[[#This Row],[CONTA]],BaseContasDRE[#All],4,FALSE))</f>
        <v>Fora do DRE</v>
      </c>
      <c r="T6576" s="3" t="str">
        <f>IF(ISERROR(VLOOKUP(Base_Periodo1[[#This Row],[CONTA]],BaseContasDRE[#All],5,FALSE)),"Fora do DRE",VLOOKUP(Base_Periodo1[[#This Row],[CONTA]],BaseContasDRE[#All],6,FALSE))</f>
        <v>Fora do DRE</v>
      </c>
      <c r="U6576" s="3" t="str">
        <f>IF(ISERROR(VLOOKUP(Base_Periodo1[[#This Row],[CONTA]],BaseContasDRE[#All],7,FALSE)),"Fora do DRE",VLOOKUP(Base_Periodo1[[#This Row],[CONTA]],BaseContasDRE[#All],7,FALSE))</f>
        <v>Fora do DRE</v>
      </c>
      <c r="V6576" s="3" t="str">
        <f>IF(Base_Periodo1[[#This Row],[Tipo_Linha]]="Fora do DRE","Fora do DRE","( "&amp;Base_Periodo1[[#This Row],[Tipo_Linha]]&amp;" ) "&amp;Base_Periodo1[[#This Row],[Filtro]])</f>
        <v>Fora do DRE</v>
      </c>
      <c r="W6576" s="3" t="str">
        <f>LEFT(Base_Periodo1[[#This Row],[CLASS]],3)</f>
        <v>3.2</v>
      </c>
    </row>
    <row r="6577" spans="1:23" hidden="1">
      <c r="A6577" s="3" t="str">
        <f t="shared" si="102"/>
        <v>Período 1</v>
      </c>
      <c r="B6577">
        <v>6837</v>
      </c>
      <c r="C6577" t="s">
        <v>7224</v>
      </c>
      <c r="D6577" t="s">
        <v>3772</v>
      </c>
      <c r="E6577" s="3" t="str">
        <f>IF(LEN(Base_Periodo1[[#This Row],[CLASS]])&gt;=7,LEFT(Base_Periodo1[[#This Row],[CLASS]],7),"")</f>
        <v>3.2.1.2</v>
      </c>
      <c r="F6577" s="3" t="e">
        <f>VLOOKUP(Base_Periodo1[[#This Row],[Aux]],Base_Contas_Balanco[#All],2,FALSE)</f>
        <v>#N/A</v>
      </c>
      <c r="G6577" s="1">
        <v>42877</v>
      </c>
      <c r="I6577" s="225">
        <v>2.6</v>
      </c>
      <c r="J6577" s="225">
        <v>0</v>
      </c>
      <c r="K6577" s="225">
        <v>2.6</v>
      </c>
      <c r="L6577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-2.6</v>
      </c>
      <c r="M6577" s="225">
        <f>ROUND(IF(AND(Base_Periodo1[[#This Row],[Tipo_Linha]]="-",Base_Periodo1[[#This Row],[TIPOSALDO]]="D"),Base_Periodo1[[#This Row],[SALDO_ATUAL]]*-1,Base_Periodo1[[#This Row],[SALDO_ATUAL]]),4)</f>
        <v>-2.6</v>
      </c>
      <c r="N6577" t="s">
        <v>116</v>
      </c>
      <c r="O6577" t="s">
        <v>436</v>
      </c>
      <c r="P6577" t="s">
        <v>397</v>
      </c>
      <c r="Q6577">
        <v>9</v>
      </c>
      <c r="R6577" s="282">
        <f>Base_Periodo1[[#This Row],[CREDITOS]]-Base_Periodo1[[#This Row],[DEBITOS]]</f>
        <v>-2.6</v>
      </c>
      <c r="S6577" s="3" t="str">
        <f>IF(ISERROR(VLOOKUP(Base_Periodo1[[#This Row],[CONTA]],BaseContasDRE[#All],4,FALSE)),"Fora do DRE",VLOOKUP(Base_Periodo1[[#This Row],[CONTA]],BaseContasDRE[#All],4,FALSE))</f>
        <v>-</v>
      </c>
      <c r="T6577" s="3">
        <f>IF(ISERROR(VLOOKUP(Base_Periodo1[[#This Row],[CONTA]],BaseContasDRE[#All],5,FALSE)),"Fora do DRE",VLOOKUP(Base_Periodo1[[#This Row],[CONTA]],BaseContasDRE[#All],6,FALSE))</f>
        <v>2</v>
      </c>
      <c r="U6577" s="3" t="str">
        <f>IF(ISERROR(VLOOKUP(Base_Periodo1[[#This Row],[CONTA]],BaseContasDRE[#All],7,FALSE)),"Fora do DRE",VLOOKUP(Base_Periodo1[[#This Row],[CONTA]],BaseContasDRE[#All],7,FALSE))</f>
        <v>IMPOSTOS SOBRE SERVIÇOS PRESTADOS</v>
      </c>
      <c r="V6577" s="3" t="str">
        <f>IF(Base_Periodo1[[#This Row],[Tipo_Linha]]="Fora do DRE","Fora do DRE","( "&amp;Base_Periodo1[[#This Row],[Tipo_Linha]]&amp;" ) "&amp;Base_Periodo1[[#This Row],[Filtro]])</f>
        <v>( - ) IMPOSTOS SOBRE SERVIÇOS PRESTADOS</v>
      </c>
      <c r="W6577" s="3" t="str">
        <f>LEFT(Base_Periodo1[[#This Row],[CLASS]],3)</f>
        <v>3.2</v>
      </c>
    </row>
    <row r="6578" spans="1:23" hidden="1">
      <c r="A6578" s="3" t="str">
        <f t="shared" si="102"/>
        <v>Período 1</v>
      </c>
      <c r="B6578">
        <v>6838</v>
      </c>
      <c r="C6578" t="s">
        <v>7225</v>
      </c>
      <c r="D6578" t="s">
        <v>3780</v>
      </c>
      <c r="E6578" s="3" t="str">
        <f>IF(LEN(Base_Periodo1[[#This Row],[CLASS]])&gt;=7,LEFT(Base_Periodo1[[#This Row],[CLASS]],7),"")</f>
        <v>3.2.1.2</v>
      </c>
      <c r="F6578" s="3" t="e">
        <f>VLOOKUP(Base_Periodo1[[#This Row],[Aux]],Base_Contas_Balanco[#All],2,FALSE)</f>
        <v>#N/A</v>
      </c>
      <c r="G6578" s="1">
        <v>42877</v>
      </c>
      <c r="I6578" s="225">
        <v>2.14</v>
      </c>
      <c r="J6578" s="225">
        <v>0</v>
      </c>
      <c r="K6578" s="225">
        <v>2.1400000000000072</v>
      </c>
      <c r="L6578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-2.14</v>
      </c>
      <c r="M6578" s="225">
        <f>ROUND(IF(AND(Base_Periodo1[[#This Row],[Tipo_Linha]]="-",Base_Periodo1[[#This Row],[TIPOSALDO]]="D"),Base_Periodo1[[#This Row],[SALDO_ATUAL]]*-1,Base_Periodo1[[#This Row],[SALDO_ATUAL]]),4)</f>
        <v>-2.14</v>
      </c>
      <c r="N6578" t="s">
        <v>116</v>
      </c>
      <c r="O6578" t="s">
        <v>436</v>
      </c>
      <c r="P6578" t="s">
        <v>397</v>
      </c>
      <c r="Q6578">
        <v>9</v>
      </c>
      <c r="R6578" s="282">
        <f>Base_Periodo1[[#This Row],[CREDITOS]]-Base_Periodo1[[#This Row],[DEBITOS]]</f>
        <v>-2.14</v>
      </c>
      <c r="S6578" s="3" t="str">
        <f>IF(ISERROR(VLOOKUP(Base_Periodo1[[#This Row],[CONTA]],BaseContasDRE[#All],4,FALSE)),"Fora do DRE",VLOOKUP(Base_Periodo1[[#This Row],[CONTA]],BaseContasDRE[#All],4,FALSE))</f>
        <v>-</v>
      </c>
      <c r="T6578" s="3">
        <f>IF(ISERROR(VLOOKUP(Base_Periodo1[[#This Row],[CONTA]],BaseContasDRE[#All],5,FALSE)),"Fora do DRE",VLOOKUP(Base_Periodo1[[#This Row],[CONTA]],BaseContasDRE[#All],6,FALSE))</f>
        <v>2</v>
      </c>
      <c r="U6578" s="3" t="str">
        <f>IF(ISERROR(VLOOKUP(Base_Periodo1[[#This Row],[CONTA]],BaseContasDRE[#All],7,FALSE)),"Fora do DRE",VLOOKUP(Base_Periodo1[[#This Row],[CONTA]],BaseContasDRE[#All],7,FALSE))</f>
        <v>ICMS SOBRE INGRESSOS E RECEITAS</v>
      </c>
      <c r="V6578" s="3" t="str">
        <f>IF(Base_Periodo1[[#This Row],[Tipo_Linha]]="Fora do DRE","Fora do DRE","( "&amp;Base_Periodo1[[#This Row],[Tipo_Linha]]&amp;" ) "&amp;Base_Periodo1[[#This Row],[Filtro]])</f>
        <v>( - ) ICMS SOBRE INGRESSOS E RECEITAS</v>
      </c>
      <c r="W6578" s="3" t="str">
        <f>LEFT(Base_Periodo1[[#This Row],[CLASS]],3)</f>
        <v>3.2</v>
      </c>
    </row>
    <row r="6579" spans="1:23">
      <c r="A6579" s="3" t="str">
        <f t="shared" si="102"/>
        <v>Período 1</v>
      </c>
      <c r="B6579">
        <v>48154</v>
      </c>
      <c r="C6579" t="s">
        <v>7226</v>
      </c>
      <c r="D6579" t="s">
        <v>3782</v>
      </c>
      <c r="E6579" s="3" t="str">
        <f>IF(LEN(Base_Periodo1[[#This Row],[CLASS]])&gt;=7,LEFT(Base_Periodo1[[#This Row],[CLASS]],7),"")</f>
        <v>3.2.1.2</v>
      </c>
      <c r="F6579" s="3" t="e">
        <f>VLOOKUP(Base_Periodo1[[#This Row],[Aux]],Base_Contas_Balanco[#All],2,FALSE)</f>
        <v>#N/A</v>
      </c>
      <c r="G6579" s="1">
        <v>42877</v>
      </c>
      <c r="I6579" s="225">
        <v>9.879999999999999</v>
      </c>
      <c r="J6579" s="225">
        <v>0</v>
      </c>
      <c r="K6579" s="225">
        <v>9.879999999999999</v>
      </c>
      <c r="L6579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-9.8800000000000008</v>
      </c>
      <c r="M6579" s="225">
        <f>ROUND(IF(AND(Base_Periodo1[[#This Row],[Tipo_Linha]]="-",Base_Periodo1[[#This Row],[TIPOSALDO]]="D"),Base_Periodo1[[#This Row],[SALDO_ATUAL]]*-1,Base_Periodo1[[#This Row],[SALDO_ATUAL]]),4)</f>
        <v>-9.8800000000000008</v>
      </c>
      <c r="N6579" t="s">
        <v>116</v>
      </c>
      <c r="O6579" t="s">
        <v>436</v>
      </c>
      <c r="P6579" t="s">
        <v>397</v>
      </c>
      <c r="Q6579">
        <v>9</v>
      </c>
      <c r="R6579" s="282">
        <f>Base_Periodo1[[#This Row],[CREDITOS]]-Base_Periodo1[[#This Row],[DEBITOS]]</f>
        <v>-9.879999999999999</v>
      </c>
      <c r="S6579" s="3" t="str">
        <f>IF(ISERROR(VLOOKUP(Base_Periodo1[[#This Row],[CONTA]],BaseContasDRE[#All],4,FALSE)),"Fora do DRE",VLOOKUP(Base_Periodo1[[#This Row],[CONTA]],BaseContasDRE[#All],4,FALSE))</f>
        <v>-</v>
      </c>
      <c r="T6579" s="3">
        <f>IF(ISERROR(VLOOKUP(Base_Periodo1[[#This Row],[CONTA]],BaseContasDRE[#All],5,FALSE)),"Fora do DRE",VLOOKUP(Base_Periodo1[[#This Row],[CONTA]],BaseContasDRE[#All],6,FALSE))</f>
        <v>2</v>
      </c>
      <c r="U6579" s="3" t="str">
        <f>IF(ISERROR(VLOOKUP(Base_Periodo1[[#This Row],[CONTA]],BaseContasDRE[#All],7,FALSE)),"Fora do DRE",VLOOKUP(Base_Periodo1[[#This Row],[CONTA]],BaseContasDRE[#All],7,FALSE))</f>
        <v>IMPOSTOS SOBRE RECEITA</v>
      </c>
      <c r="V6579" s="3" t="str">
        <f>IF(Base_Periodo1[[#This Row],[Tipo_Linha]]="Fora do DRE","Fora do DRE","( "&amp;Base_Periodo1[[#This Row],[Tipo_Linha]]&amp;" ) "&amp;Base_Periodo1[[#This Row],[Filtro]])</f>
        <v>( - ) IMPOSTOS SOBRE RECEITA</v>
      </c>
      <c r="W6579" s="3" t="str">
        <f>LEFT(Base_Periodo1[[#This Row],[CLASS]],3)</f>
        <v>3.2</v>
      </c>
    </row>
    <row r="6580" spans="1:23" hidden="1">
      <c r="A6580" s="3" t="str">
        <f t="shared" si="102"/>
        <v>Período 1</v>
      </c>
      <c r="B6580">
        <v>6839</v>
      </c>
      <c r="C6580" t="s">
        <v>4525</v>
      </c>
      <c r="D6580" t="s">
        <v>3774</v>
      </c>
      <c r="E6580" s="3" t="str">
        <f>IF(LEN(Base_Periodo1[[#This Row],[CLASS]])&gt;=7,LEFT(Base_Periodo1[[#This Row],[CLASS]],7),"")</f>
        <v>3.2.1.2</v>
      </c>
      <c r="F6580" s="3" t="e">
        <f>VLOOKUP(Base_Periodo1[[#This Row],[Aux]],Base_Contas_Balanco[#All],2,FALSE)</f>
        <v>#N/A</v>
      </c>
      <c r="G6580" s="1"/>
      <c r="H6580" s="225">
        <v>565290.77000000188</v>
      </c>
      <c r="I6580" s="225">
        <v>13186.29</v>
      </c>
      <c r="J6580" s="225">
        <v>117211.52</v>
      </c>
      <c r="K6580" s="225">
        <v>669316.00000000186</v>
      </c>
      <c r="L6580" s="225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669316</v>
      </c>
      <c r="M6580" s="225">
        <f>ROUND(IF(AND(Base_Periodo1[[#This Row],[Tipo_Linha]]="-",Base_Periodo1[[#This Row],[TIPOSALDO]]="D"),Base_Periodo1[[#This Row],[SALDO_ATUAL]]*-1,Base_Periodo1[[#This Row],[SALDO_ATUAL]]),4)</f>
        <v>669316</v>
      </c>
      <c r="N6580" t="s">
        <v>396</v>
      </c>
      <c r="O6580" t="s">
        <v>459</v>
      </c>
      <c r="P6580" t="s">
        <v>459</v>
      </c>
      <c r="Q6580">
        <v>7</v>
      </c>
      <c r="R6580" s="282">
        <f>Base_Periodo1[[#This Row],[CREDITOS]]-Base_Periodo1[[#This Row],[DEBITOS]]</f>
        <v>104025.23000000001</v>
      </c>
      <c r="S6580" s="3" t="str">
        <f>IF(ISERROR(VLOOKUP(Base_Periodo1[[#This Row],[CONTA]],BaseContasDRE[#All],4,FALSE)),"Fora do DRE",VLOOKUP(Base_Periodo1[[#This Row],[CONTA]],BaseContasDRE[#All],4,FALSE))</f>
        <v>Fora do DRE</v>
      </c>
      <c r="T6580" s="3" t="str">
        <f>IF(ISERROR(VLOOKUP(Base_Periodo1[[#This Row],[CONTA]],BaseContasDRE[#All],5,FALSE)),"Fora do DRE",VLOOKUP(Base_Periodo1[[#This Row],[CONTA]],BaseContasDRE[#All],6,FALSE))</f>
        <v>Fora do DRE</v>
      </c>
      <c r="U6580" s="3" t="str">
        <f>IF(ISERROR(VLOOKUP(Base_Periodo1[[#This Row],[CONTA]],BaseContasDRE[#All],7,FALSE)),"Fora do DRE",VLOOKUP(Base_Periodo1[[#This Row],[CONTA]],BaseContasDRE[#All],7,FALSE))</f>
        <v>Fora do DRE</v>
      </c>
      <c r="V6580" s="3" t="str">
        <f>IF(Base_Periodo1[[#This Row],[Tipo_Linha]]="Fora do DRE","Fora do DRE","( "&amp;Base_Periodo1[[#This Row],[Tipo_Linha]]&amp;" ) "&amp;Base_Periodo1[[#This Row],[Filtro]])</f>
        <v>Fora do DRE</v>
      </c>
      <c r="W6580" s="3" t="str">
        <f>LEFT(Base_Periodo1[[#This Row],[CLASS]],3)</f>
        <v>3.2</v>
      </c>
    </row>
    <row r="6581" spans="1:23" hidden="1">
      <c r="A6581" s="3" t="str">
        <f t="shared" si="102"/>
        <v>Período 1</v>
      </c>
      <c r="B6581">
        <v>6840</v>
      </c>
      <c r="C6581" t="s">
        <v>4526</v>
      </c>
      <c r="D6581" t="s">
        <v>4118</v>
      </c>
      <c r="E6581" s="3" t="str">
        <f>IF(LEN(Base_Periodo1[[#This Row],[CLASS]])&gt;=7,LEFT(Base_Periodo1[[#This Row],[CLASS]],7),"")</f>
        <v>3.2.1.2</v>
      </c>
      <c r="F6581" s="3" t="e">
        <f>VLOOKUP(Base_Periodo1[[#This Row],[Aux]],Base_Contas_Balanco[#All],2,FALSE)</f>
        <v>#N/A</v>
      </c>
      <c r="G6581" s="1"/>
      <c r="H6581" s="328">
        <v>600148.7900000019</v>
      </c>
      <c r="I6581" s="328">
        <v>0</v>
      </c>
      <c r="J6581" s="328">
        <v>117211.52</v>
      </c>
      <c r="K6581" s="328">
        <v>717360.31000000192</v>
      </c>
      <c r="L6581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717360.31</v>
      </c>
      <c r="M6581" s="328">
        <f>ROUND(IF(AND(Base_Periodo1[[#This Row],[Tipo_Linha]]="-",Base_Periodo1[[#This Row],[TIPOSALDO]]="D"),Base_Periodo1[[#This Row],[SALDO_ATUAL]]*-1,Base_Periodo1[[#This Row],[SALDO_ATUAL]]),4)</f>
        <v>717360.31</v>
      </c>
      <c r="N6581" t="s">
        <v>396</v>
      </c>
      <c r="O6581" t="s">
        <v>459</v>
      </c>
      <c r="P6581" t="s">
        <v>459</v>
      </c>
      <c r="Q6581">
        <v>8</v>
      </c>
      <c r="R6581" s="328">
        <f>Base_Periodo1[[#This Row],[CREDITOS]]-Base_Periodo1[[#This Row],[DEBITOS]]</f>
        <v>117211.52</v>
      </c>
      <c r="S6581" s="3" t="str">
        <f>IF(ISERROR(VLOOKUP(Base_Periodo1[[#This Row],[CONTA]],BaseContasDRE[#All],4,FALSE)),"Fora do DRE",VLOOKUP(Base_Periodo1[[#This Row],[CONTA]],BaseContasDRE[#All],4,FALSE))</f>
        <v>Fora do DRE</v>
      </c>
      <c r="T6581" s="3" t="str">
        <f>IF(ISERROR(VLOOKUP(Base_Periodo1[[#This Row],[CONTA]],BaseContasDRE[#All],5,FALSE)),"Fora do DRE",VLOOKUP(Base_Periodo1[[#This Row],[CONTA]],BaseContasDRE[#All],6,FALSE))</f>
        <v>Fora do DRE</v>
      </c>
      <c r="U6581" s="3" t="str">
        <f>IF(ISERROR(VLOOKUP(Base_Periodo1[[#This Row],[CONTA]],BaseContasDRE[#All],7,FALSE)),"Fora do DRE",VLOOKUP(Base_Periodo1[[#This Row],[CONTA]],BaseContasDRE[#All],7,FALSE))</f>
        <v>Fora do DRE</v>
      </c>
      <c r="V6581" s="3" t="str">
        <f>IF(Base_Periodo1[[#This Row],[Tipo_Linha]]="Fora do DRE","Fora do DRE","( "&amp;Base_Periodo1[[#This Row],[Tipo_Linha]]&amp;" ) "&amp;Base_Periodo1[[#This Row],[Filtro]])</f>
        <v>Fora do DRE</v>
      </c>
      <c r="W6581" s="3" t="str">
        <f>LEFT(Base_Periodo1[[#This Row],[CLASS]],3)</f>
        <v>3.2</v>
      </c>
    </row>
    <row r="6582" spans="1:23" hidden="1">
      <c r="A6582" s="3" t="str">
        <f t="shared" si="102"/>
        <v>Período 1</v>
      </c>
      <c r="B6582">
        <v>10702</v>
      </c>
      <c r="C6582" t="s">
        <v>4527</v>
      </c>
      <c r="D6582" t="s">
        <v>4528</v>
      </c>
      <c r="E6582" s="3" t="str">
        <f>IF(LEN(Base_Periodo1[[#This Row],[CLASS]])&gt;=7,LEFT(Base_Periodo1[[#This Row],[CLASS]],7),"")</f>
        <v>3.2.1.2</v>
      </c>
      <c r="F6582" s="3" t="e">
        <f>VLOOKUP(Base_Periodo1[[#This Row],[Aux]],Base_Contas_Balanco[#All],2,FALSE)</f>
        <v>#N/A</v>
      </c>
      <c r="G6582" s="1">
        <v>42870</v>
      </c>
      <c r="H6582" s="328">
        <v>600148.7900000019</v>
      </c>
      <c r="I6582" s="328">
        <v>0</v>
      </c>
      <c r="J6582" s="328">
        <v>117211.52</v>
      </c>
      <c r="K6582" s="328">
        <v>717360.31000000192</v>
      </c>
      <c r="L6582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717360.31</v>
      </c>
      <c r="M6582" s="328">
        <f>ROUND(IF(AND(Base_Periodo1[[#This Row],[Tipo_Linha]]="-",Base_Periodo1[[#This Row],[TIPOSALDO]]="D"),Base_Periodo1[[#This Row],[SALDO_ATUAL]]*-1,Base_Periodo1[[#This Row],[SALDO_ATUAL]]),4)</f>
        <v>717360.31</v>
      </c>
      <c r="N6582" t="s">
        <v>116</v>
      </c>
      <c r="O6582" t="s">
        <v>459</v>
      </c>
      <c r="P6582" t="s">
        <v>459</v>
      </c>
      <c r="Q6582">
        <v>9</v>
      </c>
      <c r="R6582" s="328">
        <f>Base_Periodo1[[#This Row],[CREDITOS]]-Base_Periodo1[[#This Row],[DEBITOS]]</f>
        <v>117211.52</v>
      </c>
      <c r="S6582" s="3" t="str">
        <f>IF(ISERROR(VLOOKUP(Base_Periodo1[[#This Row],[CONTA]],BaseContasDRE[#All],4,FALSE)),"Fora do DRE",VLOOKUP(Base_Periodo1[[#This Row],[CONTA]],BaseContasDRE[#All],4,FALSE))</f>
        <v>+</v>
      </c>
      <c r="T6582" s="3">
        <f>IF(ISERROR(VLOOKUP(Base_Periodo1[[#This Row],[CONTA]],BaseContasDRE[#All],5,FALSE)),"Fora do DRE",VLOOKUP(Base_Periodo1[[#This Row],[CONTA]],BaseContasDRE[#All],6,FALSE))</f>
        <v>1</v>
      </c>
      <c r="U6582" s="3" t="str">
        <f>IF(ISERROR(VLOOKUP(Base_Periodo1[[#This Row],[CONTA]],BaseContasDRE[#All],7,FALSE)),"Fora do DRE",VLOOKUP(Base_Periodo1[[#This Row],[CONTA]],BaseContasDRE[#All],7,FALSE))</f>
        <v>SERVIÇOS PRESTADOS</v>
      </c>
      <c r="V6582" s="3" t="str">
        <f>IF(Base_Periodo1[[#This Row],[Tipo_Linha]]="Fora do DRE","Fora do DRE","( "&amp;Base_Periodo1[[#This Row],[Tipo_Linha]]&amp;" ) "&amp;Base_Periodo1[[#This Row],[Filtro]])</f>
        <v>( + ) SERVIÇOS PRESTADOS</v>
      </c>
      <c r="W6582" s="3" t="str">
        <f>LEFT(Base_Periodo1[[#This Row],[CLASS]],3)</f>
        <v>3.2</v>
      </c>
    </row>
    <row r="6583" spans="1:23" hidden="1">
      <c r="A6583" s="3" t="str">
        <f t="shared" si="102"/>
        <v>Período 1</v>
      </c>
      <c r="B6583">
        <v>6841</v>
      </c>
      <c r="C6583" t="s">
        <v>4529</v>
      </c>
      <c r="D6583" t="s">
        <v>3993</v>
      </c>
      <c r="E6583" s="3" t="str">
        <f>IF(LEN(Base_Periodo1[[#This Row],[CLASS]])&gt;=7,LEFT(Base_Periodo1[[#This Row],[CLASS]],7),"")</f>
        <v>3.2.1.2</v>
      </c>
      <c r="F6583" s="3" t="e">
        <f>VLOOKUP(Base_Periodo1[[#This Row],[Aux]],Base_Contas_Balanco[#All],2,FALSE)</f>
        <v>#N/A</v>
      </c>
      <c r="G6583" s="1"/>
      <c r="H6583" s="328">
        <v>34858.020000000062</v>
      </c>
      <c r="I6583" s="328">
        <v>13186.29</v>
      </c>
      <c r="J6583" s="328">
        <v>0</v>
      </c>
      <c r="K6583" s="328">
        <v>48044.310000000063</v>
      </c>
      <c r="L6583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-48044.31</v>
      </c>
      <c r="M6583" s="328">
        <f>ROUND(IF(AND(Base_Periodo1[[#This Row],[Tipo_Linha]]="-",Base_Periodo1[[#This Row],[TIPOSALDO]]="D"),Base_Periodo1[[#This Row],[SALDO_ATUAL]]*-1,Base_Periodo1[[#This Row],[SALDO_ATUAL]]),4)</f>
        <v>48044.31</v>
      </c>
      <c r="N6583" t="s">
        <v>396</v>
      </c>
      <c r="O6583" t="s">
        <v>397</v>
      </c>
      <c r="P6583" t="s">
        <v>397</v>
      </c>
      <c r="Q6583">
        <v>8</v>
      </c>
      <c r="R6583" s="328">
        <f>Base_Periodo1[[#This Row],[CREDITOS]]-Base_Periodo1[[#This Row],[DEBITOS]]</f>
        <v>-13186.29</v>
      </c>
      <c r="S6583" s="3" t="str">
        <f>IF(ISERROR(VLOOKUP(Base_Periodo1[[#This Row],[CONTA]],BaseContasDRE[#All],4,FALSE)),"Fora do DRE",VLOOKUP(Base_Periodo1[[#This Row],[CONTA]],BaseContasDRE[#All],4,FALSE))</f>
        <v>Fora do DRE</v>
      </c>
      <c r="T6583" s="3" t="str">
        <f>IF(ISERROR(VLOOKUP(Base_Periodo1[[#This Row],[CONTA]],BaseContasDRE[#All],5,FALSE)),"Fora do DRE",VLOOKUP(Base_Periodo1[[#This Row],[CONTA]],BaseContasDRE[#All],6,FALSE))</f>
        <v>Fora do DRE</v>
      </c>
      <c r="U6583" s="3" t="str">
        <f>IF(ISERROR(VLOOKUP(Base_Periodo1[[#This Row],[CONTA]],BaseContasDRE[#All],7,FALSE)),"Fora do DRE",VLOOKUP(Base_Periodo1[[#This Row],[CONTA]],BaseContasDRE[#All],7,FALSE))</f>
        <v>Fora do DRE</v>
      </c>
      <c r="V6583" s="3" t="str">
        <f>IF(Base_Periodo1[[#This Row],[Tipo_Linha]]="Fora do DRE","Fora do DRE","( "&amp;Base_Periodo1[[#This Row],[Tipo_Linha]]&amp;" ) "&amp;Base_Periodo1[[#This Row],[Filtro]])</f>
        <v>Fora do DRE</v>
      </c>
      <c r="W6583" s="3" t="str">
        <f>LEFT(Base_Periodo1[[#This Row],[CLASS]],3)</f>
        <v>3.2</v>
      </c>
    </row>
    <row r="6584" spans="1:23" hidden="1">
      <c r="A6584" s="3" t="str">
        <f t="shared" si="102"/>
        <v>Período 1</v>
      </c>
      <c r="B6584">
        <v>6842</v>
      </c>
      <c r="C6584" t="s">
        <v>4530</v>
      </c>
      <c r="D6584" t="s">
        <v>3772</v>
      </c>
      <c r="E6584" s="3" t="str">
        <f>IF(LEN(Base_Periodo1[[#This Row],[CLASS]])&gt;=7,LEFT(Base_Periodo1[[#This Row],[CLASS]],7),"")</f>
        <v>3.2.1.2</v>
      </c>
      <c r="F6584" s="3" t="e">
        <f>VLOOKUP(Base_Periodo1[[#This Row],[Aux]],Base_Contas_Balanco[#All],2,FALSE)</f>
        <v>#N/A</v>
      </c>
      <c r="G6584" s="1">
        <v>42870</v>
      </c>
      <c r="H6584" s="328">
        <v>12002.970000000059</v>
      </c>
      <c r="I6584" s="328">
        <v>2344.23</v>
      </c>
      <c r="J6584" s="328">
        <v>0</v>
      </c>
      <c r="K6584" s="328">
        <v>14347.200000000059</v>
      </c>
      <c r="L6584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-14347.2</v>
      </c>
      <c r="M6584" s="328">
        <f>ROUND(IF(AND(Base_Periodo1[[#This Row],[Tipo_Linha]]="-",Base_Periodo1[[#This Row],[TIPOSALDO]]="D"),Base_Periodo1[[#This Row],[SALDO_ATUAL]]*-1,Base_Periodo1[[#This Row],[SALDO_ATUAL]]),4)</f>
        <v>-14347.2</v>
      </c>
      <c r="N6584" t="s">
        <v>116</v>
      </c>
      <c r="O6584" t="s">
        <v>397</v>
      </c>
      <c r="P6584" t="s">
        <v>397</v>
      </c>
      <c r="Q6584">
        <v>9</v>
      </c>
      <c r="R6584" s="328">
        <f>Base_Periodo1[[#This Row],[CREDITOS]]-Base_Periodo1[[#This Row],[DEBITOS]]</f>
        <v>-2344.23</v>
      </c>
      <c r="S6584" s="3" t="str">
        <f>IF(ISERROR(VLOOKUP(Base_Periodo1[[#This Row],[CONTA]],BaseContasDRE[#All],4,FALSE)),"Fora do DRE",VLOOKUP(Base_Periodo1[[#This Row],[CONTA]],BaseContasDRE[#All],4,FALSE))</f>
        <v>-</v>
      </c>
      <c r="T6584" s="3">
        <f>IF(ISERROR(VLOOKUP(Base_Periodo1[[#This Row],[CONTA]],BaseContasDRE[#All],5,FALSE)),"Fora do DRE",VLOOKUP(Base_Periodo1[[#This Row],[CONTA]],BaseContasDRE[#All],6,FALSE))</f>
        <v>2</v>
      </c>
      <c r="U6584" s="3" t="str">
        <f>IF(ISERROR(VLOOKUP(Base_Periodo1[[#This Row],[CONTA]],BaseContasDRE[#All],7,FALSE)),"Fora do DRE",VLOOKUP(Base_Periodo1[[#This Row],[CONTA]],BaseContasDRE[#All],7,FALSE))</f>
        <v>IMPOSTOS SOBRE SERVIÇOS PRESTADOS</v>
      </c>
      <c r="V6584" s="3" t="str">
        <f>IF(Base_Periodo1[[#This Row],[Tipo_Linha]]="Fora do DRE","Fora do DRE","( "&amp;Base_Periodo1[[#This Row],[Tipo_Linha]]&amp;" ) "&amp;Base_Periodo1[[#This Row],[Filtro]])</f>
        <v>( - ) IMPOSTOS SOBRE SERVIÇOS PRESTADOS</v>
      </c>
      <c r="W6584" s="3" t="str">
        <f>LEFT(Base_Periodo1[[#This Row],[CLASS]],3)</f>
        <v>3.2</v>
      </c>
    </row>
    <row r="6585" spans="1:23">
      <c r="A6585" s="3" t="str">
        <f t="shared" si="102"/>
        <v>Período 1</v>
      </c>
      <c r="B6585">
        <v>36506</v>
      </c>
      <c r="C6585" t="s">
        <v>4899</v>
      </c>
      <c r="D6585" t="s">
        <v>3780</v>
      </c>
      <c r="E6585" s="3" t="str">
        <f>IF(LEN(Base_Periodo1[[#This Row],[CLASS]])&gt;=7,LEFT(Base_Periodo1[[#This Row],[CLASS]],7),"")</f>
        <v>3.2.1.2</v>
      </c>
      <c r="F6585" s="3" t="e">
        <f>VLOOKUP(Base_Periodo1[[#This Row],[Aux]],Base_Contas_Balanco[#All],2,FALSE)</f>
        <v>#N/A</v>
      </c>
      <c r="G6585" s="1">
        <v>42870</v>
      </c>
      <c r="H6585" s="328">
        <v>4076.8500000000495</v>
      </c>
      <c r="I6585" s="328">
        <v>1933.98</v>
      </c>
      <c r="J6585" s="328">
        <v>0</v>
      </c>
      <c r="K6585" s="328">
        <v>6010.830000000049</v>
      </c>
      <c r="L6585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-6010.83</v>
      </c>
      <c r="M6585" s="328">
        <f>ROUND(IF(AND(Base_Periodo1[[#This Row],[Tipo_Linha]]="-",Base_Periodo1[[#This Row],[TIPOSALDO]]="D"),Base_Periodo1[[#This Row],[SALDO_ATUAL]]*-1,Base_Periodo1[[#This Row],[SALDO_ATUAL]]),4)</f>
        <v>-6010.83</v>
      </c>
      <c r="N6585" t="s">
        <v>116</v>
      </c>
      <c r="O6585" t="s">
        <v>397</v>
      </c>
      <c r="P6585" t="s">
        <v>397</v>
      </c>
      <c r="Q6585">
        <v>9</v>
      </c>
      <c r="R6585" s="328">
        <f>Base_Periodo1[[#This Row],[CREDITOS]]-Base_Periodo1[[#This Row],[DEBITOS]]</f>
        <v>-1933.98</v>
      </c>
      <c r="S6585" s="3" t="str">
        <f>IF(ISERROR(VLOOKUP(Base_Periodo1[[#This Row],[CONTA]],BaseContasDRE[#All],4,FALSE)),"Fora do DRE",VLOOKUP(Base_Periodo1[[#This Row],[CONTA]],BaseContasDRE[#All],4,FALSE))</f>
        <v>-</v>
      </c>
      <c r="T6585" s="3">
        <f>IF(ISERROR(VLOOKUP(Base_Periodo1[[#This Row],[CONTA]],BaseContasDRE[#All],5,FALSE)),"Fora do DRE",VLOOKUP(Base_Periodo1[[#This Row],[CONTA]],BaseContasDRE[#All],6,FALSE))</f>
        <v>2</v>
      </c>
      <c r="U6585" s="3" t="str">
        <f>IF(ISERROR(VLOOKUP(Base_Periodo1[[#This Row],[CONTA]],BaseContasDRE[#All],7,FALSE)),"Fora do DRE",VLOOKUP(Base_Periodo1[[#This Row],[CONTA]],BaseContasDRE[#All],7,FALSE))</f>
        <v>IMPOSTOS SOBRE RECEITA</v>
      </c>
      <c r="V6585" s="3" t="str">
        <f>IF(Base_Periodo1[[#This Row],[Tipo_Linha]]="Fora do DRE","Fora do DRE","( "&amp;Base_Periodo1[[#This Row],[Tipo_Linha]]&amp;" ) "&amp;Base_Periodo1[[#This Row],[Filtro]])</f>
        <v>( - ) IMPOSTOS SOBRE RECEITA</v>
      </c>
      <c r="W6585" s="3" t="str">
        <f>LEFT(Base_Periodo1[[#This Row],[CLASS]],3)</f>
        <v>3.2</v>
      </c>
    </row>
    <row r="6586" spans="1:23">
      <c r="A6586" s="3" t="str">
        <f t="shared" si="102"/>
        <v>Período 1</v>
      </c>
      <c r="B6586">
        <v>36507</v>
      </c>
      <c r="C6586" t="s">
        <v>4900</v>
      </c>
      <c r="D6586" t="s">
        <v>3782</v>
      </c>
      <c r="E6586" s="3" t="str">
        <f>IF(LEN(Base_Periodo1[[#This Row],[CLASS]])&gt;=7,LEFT(Base_Periodo1[[#This Row],[CLASS]],7),"")</f>
        <v>3.2.1.2</v>
      </c>
      <c r="F6586" s="3" t="e">
        <f>VLOOKUP(Base_Periodo1[[#This Row],[Aux]],Base_Contas_Balanco[#All],2,FALSE)</f>
        <v>#N/A</v>
      </c>
      <c r="G6586" s="1">
        <v>42870</v>
      </c>
      <c r="H6586" s="328">
        <v>18778.199999999953</v>
      </c>
      <c r="I6586" s="328">
        <v>8908.08</v>
      </c>
      <c r="J6586" s="328">
        <v>0</v>
      </c>
      <c r="K6586" s="328">
        <v>27686.279999999955</v>
      </c>
      <c r="L6586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-27686.28</v>
      </c>
      <c r="M6586" s="328">
        <f>ROUND(IF(AND(Base_Periodo1[[#This Row],[Tipo_Linha]]="-",Base_Periodo1[[#This Row],[TIPOSALDO]]="D"),Base_Periodo1[[#This Row],[SALDO_ATUAL]]*-1,Base_Periodo1[[#This Row],[SALDO_ATUAL]]),4)</f>
        <v>-27686.28</v>
      </c>
      <c r="N6586" t="s">
        <v>116</v>
      </c>
      <c r="O6586" t="s">
        <v>397</v>
      </c>
      <c r="P6586" t="s">
        <v>397</v>
      </c>
      <c r="Q6586">
        <v>9</v>
      </c>
      <c r="R6586" s="328">
        <f>Base_Periodo1[[#This Row],[CREDITOS]]-Base_Periodo1[[#This Row],[DEBITOS]]</f>
        <v>-8908.08</v>
      </c>
      <c r="S6586" s="3" t="str">
        <f>IF(ISERROR(VLOOKUP(Base_Periodo1[[#This Row],[CONTA]],BaseContasDRE[#All],4,FALSE)),"Fora do DRE",VLOOKUP(Base_Periodo1[[#This Row],[CONTA]],BaseContasDRE[#All],4,FALSE))</f>
        <v>-</v>
      </c>
      <c r="T6586" s="3">
        <f>IF(ISERROR(VLOOKUP(Base_Periodo1[[#This Row],[CONTA]],BaseContasDRE[#All],5,FALSE)),"Fora do DRE",VLOOKUP(Base_Periodo1[[#This Row],[CONTA]],BaseContasDRE[#All],6,FALSE))</f>
        <v>2</v>
      </c>
      <c r="U6586" s="3" t="str">
        <f>IF(ISERROR(VLOOKUP(Base_Periodo1[[#This Row],[CONTA]],BaseContasDRE[#All],7,FALSE)),"Fora do DRE",VLOOKUP(Base_Periodo1[[#This Row],[CONTA]],BaseContasDRE[#All],7,FALSE))</f>
        <v>IMPOSTOS SOBRE RECEITA</v>
      </c>
      <c r="V6586" s="3" t="str">
        <f>IF(Base_Periodo1[[#This Row],[Tipo_Linha]]="Fora do DRE","Fora do DRE","( "&amp;Base_Periodo1[[#This Row],[Tipo_Linha]]&amp;" ) "&amp;Base_Periodo1[[#This Row],[Filtro]])</f>
        <v>( - ) IMPOSTOS SOBRE RECEITA</v>
      </c>
      <c r="W6586" s="3" t="str">
        <f>LEFT(Base_Periodo1[[#This Row],[CLASS]],3)</f>
        <v>3.2</v>
      </c>
    </row>
    <row r="6587" spans="1:23" hidden="1">
      <c r="A6587" s="3" t="str">
        <f t="shared" si="102"/>
        <v>Período 1</v>
      </c>
      <c r="B6587">
        <v>32053</v>
      </c>
      <c r="C6587" t="s">
        <v>4123</v>
      </c>
      <c r="D6587" t="s">
        <v>3784</v>
      </c>
      <c r="E6587" s="3" t="str">
        <f>IF(LEN(Base_Periodo1[[#This Row],[CLASS]])&gt;=7,LEFT(Base_Periodo1[[#This Row],[CLASS]],7),"")</f>
        <v>3.2.1.2</v>
      </c>
      <c r="F6587" s="3" t="e">
        <f>VLOOKUP(Base_Periodo1[[#This Row],[Aux]],Base_Contas_Balanco[#All],2,FALSE)</f>
        <v>#N/A</v>
      </c>
      <c r="G6587" s="1"/>
      <c r="H6587" s="328">
        <v>3092.8400000002439</v>
      </c>
      <c r="I6587" s="328">
        <v>0</v>
      </c>
      <c r="J6587" s="328">
        <v>0</v>
      </c>
      <c r="K6587" s="328">
        <v>3092.8400000002439</v>
      </c>
      <c r="L6587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3092.84</v>
      </c>
      <c r="M6587" s="328">
        <f>ROUND(IF(AND(Base_Periodo1[[#This Row],[Tipo_Linha]]="-",Base_Periodo1[[#This Row],[TIPOSALDO]]="D"),Base_Periodo1[[#This Row],[SALDO_ATUAL]]*-1,Base_Periodo1[[#This Row],[SALDO_ATUAL]]),4)</f>
        <v>3092.84</v>
      </c>
      <c r="N6587" t="s">
        <v>396</v>
      </c>
      <c r="O6587" t="s">
        <v>459</v>
      </c>
      <c r="P6587" t="s">
        <v>459</v>
      </c>
      <c r="Q6587">
        <v>7</v>
      </c>
      <c r="R6587" s="328">
        <f>Base_Periodo1[[#This Row],[CREDITOS]]-Base_Periodo1[[#This Row],[DEBITOS]]</f>
        <v>0</v>
      </c>
      <c r="S6587" s="3" t="str">
        <f>IF(ISERROR(VLOOKUP(Base_Periodo1[[#This Row],[CONTA]],BaseContasDRE[#All],4,FALSE)),"Fora do DRE",VLOOKUP(Base_Periodo1[[#This Row],[CONTA]],BaseContasDRE[#All],4,FALSE))</f>
        <v>Fora do DRE</v>
      </c>
      <c r="T6587" s="3" t="str">
        <f>IF(ISERROR(VLOOKUP(Base_Periodo1[[#This Row],[CONTA]],BaseContasDRE[#All],5,FALSE)),"Fora do DRE",VLOOKUP(Base_Periodo1[[#This Row],[CONTA]],BaseContasDRE[#All],6,FALSE))</f>
        <v>Fora do DRE</v>
      </c>
      <c r="U6587" s="3" t="str">
        <f>IF(ISERROR(VLOOKUP(Base_Periodo1[[#This Row],[CONTA]],BaseContasDRE[#All],7,FALSE)),"Fora do DRE",VLOOKUP(Base_Periodo1[[#This Row],[CONTA]],BaseContasDRE[#All],7,FALSE))</f>
        <v>Fora do DRE</v>
      </c>
      <c r="V6587" s="3" t="str">
        <f>IF(Base_Periodo1[[#This Row],[Tipo_Linha]]="Fora do DRE","Fora do DRE","( "&amp;Base_Periodo1[[#This Row],[Tipo_Linha]]&amp;" ) "&amp;Base_Periodo1[[#This Row],[Filtro]])</f>
        <v>Fora do DRE</v>
      </c>
      <c r="W6587" s="3" t="str">
        <f>LEFT(Base_Periodo1[[#This Row],[CLASS]],3)</f>
        <v>3.2</v>
      </c>
    </row>
    <row r="6588" spans="1:23" hidden="1">
      <c r="A6588" s="3" t="str">
        <f t="shared" si="102"/>
        <v>Período 1</v>
      </c>
      <c r="B6588">
        <v>32054</v>
      </c>
      <c r="C6588" t="s">
        <v>4124</v>
      </c>
      <c r="D6588" t="s">
        <v>4125</v>
      </c>
      <c r="E6588" s="3" t="str">
        <f>IF(LEN(Base_Periodo1[[#This Row],[CLASS]])&gt;=7,LEFT(Base_Periodo1[[#This Row],[CLASS]],7),"")</f>
        <v>3.2.1.2</v>
      </c>
      <c r="F6588" s="3" t="e">
        <f>VLOOKUP(Base_Periodo1[[#This Row],[Aux]],Base_Contas_Balanco[#All],2,FALSE)</f>
        <v>#N/A</v>
      </c>
      <c r="G6588" s="1"/>
      <c r="H6588" s="328">
        <v>3212.4700000002049</v>
      </c>
      <c r="I6588" s="328">
        <v>0</v>
      </c>
      <c r="J6588" s="328">
        <v>0</v>
      </c>
      <c r="K6588" s="328">
        <v>3212.4700000002049</v>
      </c>
      <c r="L6588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3212.47</v>
      </c>
      <c r="M6588" s="328">
        <f>ROUND(IF(AND(Base_Periodo1[[#This Row],[Tipo_Linha]]="-",Base_Periodo1[[#This Row],[TIPOSALDO]]="D"),Base_Periodo1[[#This Row],[SALDO_ATUAL]]*-1,Base_Periodo1[[#This Row],[SALDO_ATUAL]]),4)</f>
        <v>3212.47</v>
      </c>
      <c r="N6588" t="s">
        <v>396</v>
      </c>
      <c r="O6588" t="s">
        <v>459</v>
      </c>
      <c r="P6588" t="s">
        <v>459</v>
      </c>
      <c r="Q6588">
        <v>8</v>
      </c>
      <c r="R6588" s="328">
        <f>Base_Periodo1[[#This Row],[CREDITOS]]-Base_Periodo1[[#This Row],[DEBITOS]]</f>
        <v>0</v>
      </c>
      <c r="S6588" s="3" t="str">
        <f>IF(ISERROR(VLOOKUP(Base_Periodo1[[#This Row],[CONTA]],BaseContasDRE[#All],4,FALSE)),"Fora do DRE",VLOOKUP(Base_Periodo1[[#This Row],[CONTA]],BaseContasDRE[#All],4,FALSE))</f>
        <v>Fora do DRE</v>
      </c>
      <c r="T6588" s="3" t="str">
        <f>IF(ISERROR(VLOOKUP(Base_Periodo1[[#This Row],[CONTA]],BaseContasDRE[#All],5,FALSE)),"Fora do DRE",VLOOKUP(Base_Periodo1[[#This Row],[CONTA]],BaseContasDRE[#All],6,FALSE))</f>
        <v>Fora do DRE</v>
      </c>
      <c r="U6588" s="3" t="str">
        <f>IF(ISERROR(VLOOKUP(Base_Periodo1[[#This Row],[CONTA]],BaseContasDRE[#All],7,FALSE)),"Fora do DRE",VLOOKUP(Base_Periodo1[[#This Row],[CONTA]],BaseContasDRE[#All],7,FALSE))</f>
        <v>Fora do DRE</v>
      </c>
      <c r="V6588" s="3" t="str">
        <f>IF(Base_Periodo1[[#This Row],[Tipo_Linha]]="Fora do DRE","Fora do DRE","( "&amp;Base_Periodo1[[#This Row],[Tipo_Linha]]&amp;" ) "&amp;Base_Periodo1[[#This Row],[Filtro]])</f>
        <v>Fora do DRE</v>
      </c>
      <c r="W6588" s="3" t="str">
        <f>LEFT(Base_Periodo1[[#This Row],[CLASS]],3)</f>
        <v>3.2</v>
      </c>
    </row>
    <row r="6589" spans="1:23" hidden="1">
      <c r="A6589" s="3" t="str">
        <f t="shared" si="102"/>
        <v>Período 1</v>
      </c>
      <c r="B6589">
        <v>32055</v>
      </c>
      <c r="C6589" t="s">
        <v>4126</v>
      </c>
      <c r="D6589" t="s">
        <v>4127</v>
      </c>
      <c r="E6589" s="3" t="str">
        <f>IF(LEN(Base_Periodo1[[#This Row],[CLASS]])&gt;=7,LEFT(Base_Periodo1[[#This Row],[CLASS]],7),"")</f>
        <v>3.2.1.2</v>
      </c>
      <c r="F6589" s="3" t="e">
        <f>VLOOKUP(Base_Periodo1[[#This Row],[Aux]],Base_Contas_Balanco[#All],2,FALSE)</f>
        <v>#N/A</v>
      </c>
      <c r="G6589" s="1">
        <v>42781</v>
      </c>
      <c r="H6589" s="328">
        <v>3212.4700000002049</v>
      </c>
      <c r="I6589" s="328">
        <v>0</v>
      </c>
      <c r="J6589" s="328">
        <v>0</v>
      </c>
      <c r="K6589" s="328">
        <v>3212.4700000002049</v>
      </c>
      <c r="L6589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3212.47</v>
      </c>
      <c r="M6589" s="328">
        <f>ROUND(IF(AND(Base_Periodo1[[#This Row],[Tipo_Linha]]="-",Base_Periodo1[[#This Row],[TIPOSALDO]]="D"),Base_Periodo1[[#This Row],[SALDO_ATUAL]]*-1,Base_Periodo1[[#This Row],[SALDO_ATUAL]]),4)</f>
        <v>3212.47</v>
      </c>
      <c r="N6589" t="s">
        <v>116</v>
      </c>
      <c r="O6589" t="s">
        <v>459</v>
      </c>
      <c r="P6589" t="s">
        <v>459</v>
      </c>
      <c r="Q6589">
        <v>9</v>
      </c>
      <c r="R6589" s="328">
        <f>Base_Periodo1[[#This Row],[CREDITOS]]-Base_Periodo1[[#This Row],[DEBITOS]]</f>
        <v>0</v>
      </c>
      <c r="S6589" s="3" t="str">
        <f>IF(ISERROR(VLOOKUP(Base_Periodo1[[#This Row],[CONTA]],BaseContasDRE[#All],4,FALSE)),"Fora do DRE",VLOOKUP(Base_Periodo1[[#This Row],[CONTA]],BaseContasDRE[#All],4,FALSE))</f>
        <v>+</v>
      </c>
      <c r="T6589" s="3">
        <f>IF(ISERROR(VLOOKUP(Base_Periodo1[[#This Row],[CONTA]],BaseContasDRE[#All],5,FALSE)),"Fora do DRE",VLOOKUP(Base_Periodo1[[#This Row],[CONTA]],BaseContasDRE[#All],6,FALSE))</f>
        <v>1</v>
      </c>
      <c r="U6589" s="3" t="str">
        <f>IF(ISERROR(VLOOKUP(Base_Periodo1[[#This Row],[CONTA]],BaseContasDRE[#All],7,FALSE)),"Fora do DRE",VLOOKUP(Base_Periodo1[[#This Row],[CONTA]],BaseContasDRE[#All],7,FALSE))</f>
        <v>SERVIÇOS PRESTADOS</v>
      </c>
      <c r="V6589" s="3" t="str">
        <f>IF(Base_Periodo1[[#This Row],[Tipo_Linha]]="Fora do DRE","Fora do DRE","( "&amp;Base_Periodo1[[#This Row],[Tipo_Linha]]&amp;" ) "&amp;Base_Periodo1[[#This Row],[Filtro]])</f>
        <v>( + ) SERVIÇOS PRESTADOS</v>
      </c>
      <c r="W6589" s="3" t="str">
        <f>LEFT(Base_Periodo1[[#This Row],[CLASS]],3)</f>
        <v>3.2</v>
      </c>
    </row>
    <row r="6590" spans="1:23" hidden="1">
      <c r="A6590" s="3" t="str">
        <f t="shared" si="102"/>
        <v>Período 1</v>
      </c>
      <c r="B6590">
        <v>32056</v>
      </c>
      <c r="C6590" t="s">
        <v>4128</v>
      </c>
      <c r="D6590" t="s">
        <v>3993</v>
      </c>
      <c r="E6590" s="3" t="str">
        <f>IF(LEN(Base_Periodo1[[#This Row],[CLASS]])&gt;=7,LEFT(Base_Periodo1[[#This Row],[CLASS]],7),"")</f>
        <v>3.2.1.2</v>
      </c>
      <c r="F6590" s="3" t="e">
        <f>VLOOKUP(Base_Periodo1[[#This Row],[Aux]],Base_Contas_Balanco[#All],2,FALSE)</f>
        <v>#N/A</v>
      </c>
      <c r="G6590" s="1"/>
      <c r="H6590" s="328">
        <v>119.63000000001944</v>
      </c>
      <c r="I6590" s="328">
        <v>0</v>
      </c>
      <c r="J6590" s="328">
        <v>0</v>
      </c>
      <c r="K6590" s="328">
        <v>119.63000000001944</v>
      </c>
      <c r="L6590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-119.63</v>
      </c>
      <c r="M6590" s="328">
        <f>ROUND(IF(AND(Base_Periodo1[[#This Row],[Tipo_Linha]]="-",Base_Periodo1[[#This Row],[TIPOSALDO]]="D"),Base_Periodo1[[#This Row],[SALDO_ATUAL]]*-1,Base_Periodo1[[#This Row],[SALDO_ATUAL]]),4)</f>
        <v>119.63</v>
      </c>
      <c r="N6590" t="s">
        <v>396</v>
      </c>
      <c r="O6590" t="s">
        <v>397</v>
      </c>
      <c r="P6590" t="s">
        <v>397</v>
      </c>
      <c r="Q6590">
        <v>8</v>
      </c>
      <c r="R6590" s="328">
        <f>Base_Periodo1[[#This Row],[CREDITOS]]-Base_Periodo1[[#This Row],[DEBITOS]]</f>
        <v>0</v>
      </c>
      <c r="S6590" s="3" t="str">
        <f>IF(ISERROR(VLOOKUP(Base_Periodo1[[#This Row],[CONTA]],BaseContasDRE[#All],4,FALSE)),"Fora do DRE",VLOOKUP(Base_Periodo1[[#This Row],[CONTA]],BaseContasDRE[#All],4,FALSE))</f>
        <v>Fora do DRE</v>
      </c>
      <c r="T6590" s="3" t="str">
        <f>IF(ISERROR(VLOOKUP(Base_Periodo1[[#This Row],[CONTA]],BaseContasDRE[#All],5,FALSE)),"Fora do DRE",VLOOKUP(Base_Periodo1[[#This Row],[CONTA]],BaseContasDRE[#All],6,FALSE))</f>
        <v>Fora do DRE</v>
      </c>
      <c r="U6590" s="3" t="str">
        <f>IF(ISERROR(VLOOKUP(Base_Periodo1[[#This Row],[CONTA]],BaseContasDRE[#All],7,FALSE)),"Fora do DRE",VLOOKUP(Base_Periodo1[[#This Row],[CONTA]],BaseContasDRE[#All],7,FALSE))</f>
        <v>Fora do DRE</v>
      </c>
      <c r="V6590" s="3" t="str">
        <f>IF(Base_Periodo1[[#This Row],[Tipo_Linha]]="Fora do DRE","Fora do DRE","( "&amp;Base_Periodo1[[#This Row],[Tipo_Linha]]&amp;" ) "&amp;Base_Periodo1[[#This Row],[Filtro]])</f>
        <v>Fora do DRE</v>
      </c>
      <c r="W6590" s="3" t="str">
        <f>LEFT(Base_Periodo1[[#This Row],[CLASS]],3)</f>
        <v>3.2</v>
      </c>
    </row>
    <row r="6591" spans="1:23" hidden="1">
      <c r="A6591" s="3" t="str">
        <f t="shared" si="102"/>
        <v>Período 1</v>
      </c>
      <c r="B6591">
        <v>32057</v>
      </c>
      <c r="C6591" t="s">
        <v>4129</v>
      </c>
      <c r="D6591" t="s">
        <v>3772</v>
      </c>
      <c r="E6591" s="3" t="str">
        <f>IF(LEN(Base_Periodo1[[#This Row],[CLASS]])&gt;=7,LEFT(Base_Periodo1[[#This Row],[CLASS]],7),"")</f>
        <v>3.2.1.2</v>
      </c>
      <c r="F6591" s="3" t="e">
        <f>VLOOKUP(Base_Periodo1[[#This Row],[Aux]],Base_Contas_Balanco[#All],2,FALSE)</f>
        <v>#N/A</v>
      </c>
      <c r="G6591" s="1">
        <v>42781</v>
      </c>
      <c r="H6591" s="328">
        <v>119.63000000000034</v>
      </c>
      <c r="I6591" s="328">
        <v>0</v>
      </c>
      <c r="J6591" s="328">
        <v>0</v>
      </c>
      <c r="K6591" s="328">
        <v>119.63000000000034</v>
      </c>
      <c r="L6591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-119.63</v>
      </c>
      <c r="M6591" s="328">
        <f>ROUND(IF(AND(Base_Periodo1[[#This Row],[Tipo_Linha]]="-",Base_Periodo1[[#This Row],[TIPOSALDO]]="D"),Base_Periodo1[[#This Row],[SALDO_ATUAL]]*-1,Base_Periodo1[[#This Row],[SALDO_ATUAL]]),4)</f>
        <v>-119.63</v>
      </c>
      <c r="N6591" t="s">
        <v>116</v>
      </c>
      <c r="O6591" t="s">
        <v>397</v>
      </c>
      <c r="P6591" t="s">
        <v>397</v>
      </c>
      <c r="Q6591">
        <v>9</v>
      </c>
      <c r="R6591" s="328">
        <f>Base_Periodo1[[#This Row],[CREDITOS]]-Base_Periodo1[[#This Row],[DEBITOS]]</f>
        <v>0</v>
      </c>
      <c r="S6591" s="3" t="str">
        <f>IF(ISERROR(VLOOKUP(Base_Periodo1[[#This Row],[CONTA]],BaseContasDRE[#All],4,FALSE)),"Fora do DRE",VLOOKUP(Base_Periodo1[[#This Row],[CONTA]],BaseContasDRE[#All],4,FALSE))</f>
        <v>-</v>
      </c>
      <c r="T6591" s="3">
        <f>IF(ISERROR(VLOOKUP(Base_Periodo1[[#This Row],[CONTA]],BaseContasDRE[#All],5,FALSE)),"Fora do DRE",VLOOKUP(Base_Periodo1[[#This Row],[CONTA]],BaseContasDRE[#All],6,FALSE))</f>
        <v>2</v>
      </c>
      <c r="U6591" s="3" t="str">
        <f>IF(ISERROR(VLOOKUP(Base_Periodo1[[#This Row],[CONTA]],BaseContasDRE[#All],7,FALSE)),"Fora do DRE",VLOOKUP(Base_Periodo1[[#This Row],[CONTA]],BaseContasDRE[#All],7,FALSE))</f>
        <v>IMPOSTOS SOBRE SERVIÇOS PRESTADOS</v>
      </c>
      <c r="V6591" s="3" t="str">
        <f>IF(Base_Periodo1[[#This Row],[Tipo_Linha]]="Fora do DRE","Fora do DRE","( "&amp;Base_Periodo1[[#This Row],[Tipo_Linha]]&amp;" ) "&amp;Base_Periodo1[[#This Row],[Filtro]])</f>
        <v>( - ) IMPOSTOS SOBRE SERVIÇOS PRESTADOS</v>
      </c>
      <c r="W6591" s="3" t="str">
        <f>LEFT(Base_Periodo1[[#This Row],[CLASS]],3)</f>
        <v>3.2</v>
      </c>
    </row>
    <row r="6592" spans="1:23" hidden="1">
      <c r="A6592" s="3" t="str">
        <f t="shared" si="102"/>
        <v>Período 1</v>
      </c>
      <c r="B6592">
        <v>6843</v>
      </c>
      <c r="C6592" t="s">
        <v>5821</v>
      </c>
      <c r="D6592" t="s">
        <v>5822</v>
      </c>
      <c r="E6592" s="3" t="str">
        <f>IF(LEN(Base_Periodo1[[#This Row],[CLASS]])&gt;=7,LEFT(Base_Periodo1[[#This Row],[CLASS]],7),"")</f>
        <v>3.2.1.3</v>
      </c>
      <c r="F6592" s="3" t="e">
        <f>VLOOKUP(Base_Periodo1[[#This Row],[Aux]],Base_Contas_Balanco[#All],2,FALSE)</f>
        <v>#N/A</v>
      </c>
      <c r="G6592" s="1"/>
      <c r="H6592" s="328">
        <v>1725334.9100000246</v>
      </c>
      <c r="I6592" s="328">
        <v>2775956.27</v>
      </c>
      <c r="J6592" s="328">
        <v>1725334.9100000001</v>
      </c>
      <c r="K6592" s="328">
        <v>2775956.2700000247</v>
      </c>
      <c r="L6592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-2775956.27</v>
      </c>
      <c r="M6592" s="328">
        <f>ROUND(IF(AND(Base_Periodo1[[#This Row],[Tipo_Linha]]="-",Base_Periodo1[[#This Row],[TIPOSALDO]]="D"),Base_Periodo1[[#This Row],[SALDO_ATUAL]]*-1,Base_Periodo1[[#This Row],[SALDO_ATUAL]]),4)</f>
        <v>2775956.27</v>
      </c>
      <c r="N6592" t="s">
        <v>396</v>
      </c>
      <c r="O6592" t="s">
        <v>397</v>
      </c>
      <c r="P6592" t="s">
        <v>397</v>
      </c>
      <c r="Q6592">
        <v>4</v>
      </c>
      <c r="R6592" s="328">
        <f>Base_Periodo1[[#This Row],[CREDITOS]]-Base_Periodo1[[#This Row],[DEBITOS]]</f>
        <v>-1050621.3599999999</v>
      </c>
      <c r="S6592" s="3" t="str">
        <f>IF(ISERROR(VLOOKUP(Base_Periodo1[[#This Row],[CONTA]],BaseContasDRE[#All],4,FALSE)),"Fora do DRE",VLOOKUP(Base_Periodo1[[#This Row],[CONTA]],BaseContasDRE[#All],4,FALSE))</f>
        <v>Fora do DRE</v>
      </c>
      <c r="T6592" s="3" t="str">
        <f>IF(ISERROR(VLOOKUP(Base_Periodo1[[#This Row],[CONTA]],BaseContasDRE[#All],5,FALSE)),"Fora do DRE",VLOOKUP(Base_Periodo1[[#This Row],[CONTA]],BaseContasDRE[#All],6,FALSE))</f>
        <v>Fora do DRE</v>
      </c>
      <c r="U6592" s="3" t="str">
        <f>IF(ISERROR(VLOOKUP(Base_Periodo1[[#This Row],[CONTA]],BaseContasDRE[#All],7,FALSE)),"Fora do DRE",VLOOKUP(Base_Periodo1[[#This Row],[CONTA]],BaseContasDRE[#All],7,FALSE))</f>
        <v>Fora do DRE</v>
      </c>
      <c r="V6592" s="3" t="str">
        <f>IF(Base_Periodo1[[#This Row],[Tipo_Linha]]="Fora do DRE","Fora do DRE","( "&amp;Base_Periodo1[[#This Row],[Tipo_Linha]]&amp;" ) "&amp;Base_Periodo1[[#This Row],[Filtro]])</f>
        <v>Fora do DRE</v>
      </c>
      <c r="W6592" s="3" t="str">
        <f>LEFT(Base_Periodo1[[#This Row],[CLASS]],3)</f>
        <v>3.2</v>
      </c>
    </row>
    <row r="6593" spans="1:23" hidden="1">
      <c r="A6593" s="3" t="str">
        <f t="shared" si="102"/>
        <v>Período 1</v>
      </c>
      <c r="B6593">
        <v>6844</v>
      </c>
      <c r="C6593" t="s">
        <v>5823</v>
      </c>
      <c r="D6593" t="s">
        <v>3794</v>
      </c>
      <c r="E6593" s="3" t="str">
        <f>IF(LEN(Base_Periodo1[[#This Row],[CLASS]])&gt;=7,LEFT(Base_Periodo1[[#This Row],[CLASS]],7),"")</f>
        <v>3.2.1.3</v>
      </c>
      <c r="F6593" s="3" t="e">
        <f>VLOOKUP(Base_Periodo1[[#This Row],[Aux]],Base_Contas_Balanco[#All],2,FALSE)</f>
        <v>#N/A</v>
      </c>
      <c r="G6593" s="1"/>
      <c r="H6593" s="328">
        <v>1725334.9100000246</v>
      </c>
      <c r="I6593" s="328">
        <v>2775956.27</v>
      </c>
      <c r="J6593" s="328">
        <v>1725334.9100000001</v>
      </c>
      <c r="K6593" s="328">
        <v>2775956.2700000247</v>
      </c>
      <c r="L6593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-2775956.27</v>
      </c>
      <c r="M6593" s="328">
        <f>ROUND(IF(AND(Base_Periodo1[[#This Row],[Tipo_Linha]]="-",Base_Periodo1[[#This Row],[TIPOSALDO]]="D"),Base_Periodo1[[#This Row],[SALDO_ATUAL]]*-1,Base_Periodo1[[#This Row],[SALDO_ATUAL]]),4)</f>
        <v>2775956.27</v>
      </c>
      <c r="N6593" t="s">
        <v>396</v>
      </c>
      <c r="O6593" t="s">
        <v>397</v>
      </c>
      <c r="P6593" t="s">
        <v>397</v>
      </c>
      <c r="Q6593">
        <v>5</v>
      </c>
      <c r="R6593" s="328">
        <f>Base_Periodo1[[#This Row],[CREDITOS]]-Base_Periodo1[[#This Row],[DEBITOS]]</f>
        <v>-1050621.3599999999</v>
      </c>
      <c r="S6593" s="3" t="str">
        <f>IF(ISERROR(VLOOKUP(Base_Periodo1[[#This Row],[CONTA]],BaseContasDRE[#All],4,FALSE)),"Fora do DRE",VLOOKUP(Base_Periodo1[[#This Row],[CONTA]],BaseContasDRE[#All],4,FALSE))</f>
        <v>Fora do DRE</v>
      </c>
      <c r="T6593" s="3" t="str">
        <f>IF(ISERROR(VLOOKUP(Base_Periodo1[[#This Row],[CONTA]],BaseContasDRE[#All],5,FALSE)),"Fora do DRE",VLOOKUP(Base_Periodo1[[#This Row],[CONTA]],BaseContasDRE[#All],6,FALSE))</f>
        <v>Fora do DRE</v>
      </c>
      <c r="U6593" s="3" t="str">
        <f>IF(ISERROR(VLOOKUP(Base_Periodo1[[#This Row],[CONTA]],BaseContasDRE[#All],7,FALSE)),"Fora do DRE",VLOOKUP(Base_Periodo1[[#This Row],[CONTA]],BaseContasDRE[#All],7,FALSE))</f>
        <v>Fora do DRE</v>
      </c>
      <c r="V6593" s="3" t="str">
        <f>IF(Base_Periodo1[[#This Row],[Tipo_Linha]]="Fora do DRE","Fora do DRE","( "&amp;Base_Periodo1[[#This Row],[Tipo_Linha]]&amp;" ) "&amp;Base_Periodo1[[#This Row],[Filtro]])</f>
        <v>Fora do DRE</v>
      </c>
      <c r="W6593" s="3" t="str">
        <f>LEFT(Base_Periodo1[[#This Row],[CLASS]],3)</f>
        <v>3.2</v>
      </c>
    </row>
    <row r="6594" spans="1:23" hidden="1">
      <c r="A6594" s="3" t="str">
        <f t="shared" si="102"/>
        <v>Período 1</v>
      </c>
      <c r="B6594">
        <v>6845</v>
      </c>
      <c r="C6594" t="s">
        <v>5824</v>
      </c>
      <c r="D6594" t="s">
        <v>3796</v>
      </c>
      <c r="E6594" s="3" t="str">
        <f>IF(LEN(Base_Periodo1[[#This Row],[CLASS]])&gt;=7,LEFT(Base_Periodo1[[#This Row],[CLASS]],7),"")</f>
        <v>3.2.1.3</v>
      </c>
      <c r="F6594" s="3" t="e">
        <f>VLOOKUP(Base_Periodo1[[#This Row],[Aux]],Base_Contas_Balanco[#All],2,FALSE)</f>
        <v>#N/A</v>
      </c>
      <c r="G6594" s="1"/>
      <c r="H6594" s="328">
        <v>1725334.9100000246</v>
      </c>
      <c r="I6594" s="328">
        <v>2775956.27</v>
      </c>
      <c r="J6594" s="328">
        <v>1725334.9100000001</v>
      </c>
      <c r="K6594" s="328">
        <v>2775956.2700000247</v>
      </c>
      <c r="L6594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-2775956.27</v>
      </c>
      <c r="M6594" s="328">
        <f>ROUND(IF(AND(Base_Periodo1[[#This Row],[Tipo_Linha]]="-",Base_Periodo1[[#This Row],[TIPOSALDO]]="D"),Base_Periodo1[[#This Row],[SALDO_ATUAL]]*-1,Base_Periodo1[[#This Row],[SALDO_ATUAL]]),4)</f>
        <v>2775956.27</v>
      </c>
      <c r="N6594" t="s">
        <v>396</v>
      </c>
      <c r="O6594" t="s">
        <v>397</v>
      </c>
      <c r="P6594" t="s">
        <v>397</v>
      </c>
      <c r="Q6594">
        <v>6</v>
      </c>
      <c r="R6594" s="328">
        <f>Base_Periodo1[[#This Row],[CREDITOS]]-Base_Periodo1[[#This Row],[DEBITOS]]</f>
        <v>-1050621.3599999999</v>
      </c>
      <c r="S6594" s="3" t="str">
        <f>IF(ISERROR(VLOOKUP(Base_Periodo1[[#This Row],[CONTA]],BaseContasDRE[#All],4,FALSE)),"Fora do DRE",VLOOKUP(Base_Periodo1[[#This Row],[CONTA]],BaseContasDRE[#All],4,FALSE))</f>
        <v>Fora do DRE</v>
      </c>
      <c r="T6594" s="3" t="str">
        <f>IF(ISERROR(VLOOKUP(Base_Periodo1[[#This Row],[CONTA]],BaseContasDRE[#All],5,FALSE)),"Fora do DRE",VLOOKUP(Base_Periodo1[[#This Row],[CONTA]],BaseContasDRE[#All],6,FALSE))</f>
        <v>Fora do DRE</v>
      </c>
      <c r="U6594" s="3" t="str">
        <f>IF(ISERROR(VLOOKUP(Base_Periodo1[[#This Row],[CONTA]],BaseContasDRE[#All],7,FALSE)),"Fora do DRE",VLOOKUP(Base_Periodo1[[#This Row],[CONTA]],BaseContasDRE[#All],7,FALSE))</f>
        <v>Fora do DRE</v>
      </c>
      <c r="V6594" s="3" t="str">
        <f>IF(Base_Periodo1[[#This Row],[Tipo_Linha]]="Fora do DRE","Fora do DRE","( "&amp;Base_Periodo1[[#This Row],[Tipo_Linha]]&amp;" ) "&amp;Base_Periodo1[[#This Row],[Filtro]])</f>
        <v>Fora do DRE</v>
      </c>
      <c r="W6594" s="3" t="str">
        <f>LEFT(Base_Periodo1[[#This Row],[CLASS]],3)</f>
        <v>3.2</v>
      </c>
    </row>
    <row r="6595" spans="1:23" hidden="1">
      <c r="A6595" s="3" t="str">
        <f t="shared" si="102"/>
        <v>Período 1</v>
      </c>
      <c r="B6595">
        <v>6846</v>
      </c>
      <c r="C6595" t="s">
        <v>5825</v>
      </c>
      <c r="D6595" t="s">
        <v>3798</v>
      </c>
      <c r="E6595" s="3" t="str">
        <f>IF(LEN(Base_Periodo1[[#This Row],[CLASS]])&gt;=7,LEFT(Base_Periodo1[[#This Row],[CLASS]],7),"")</f>
        <v>3.2.1.3</v>
      </c>
      <c r="F6595" s="3" t="e">
        <f>VLOOKUP(Base_Periodo1[[#This Row],[Aux]],Base_Contas_Balanco[#All],2,FALSE)</f>
        <v>#N/A</v>
      </c>
      <c r="G6595" s="1"/>
      <c r="H6595" s="328">
        <v>1725334.9100000246</v>
      </c>
      <c r="I6595" s="328">
        <v>2775956.27</v>
      </c>
      <c r="J6595" s="328">
        <v>1725334.9100000001</v>
      </c>
      <c r="K6595" s="328">
        <v>2775956.2700000247</v>
      </c>
      <c r="L6595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-2775956.27</v>
      </c>
      <c r="M6595" s="328">
        <f>ROUND(IF(AND(Base_Periodo1[[#This Row],[Tipo_Linha]]="-",Base_Periodo1[[#This Row],[TIPOSALDO]]="D"),Base_Periodo1[[#This Row],[SALDO_ATUAL]]*-1,Base_Periodo1[[#This Row],[SALDO_ATUAL]]),4)</f>
        <v>2775956.27</v>
      </c>
      <c r="N6595" t="s">
        <v>396</v>
      </c>
      <c r="O6595" t="s">
        <v>397</v>
      </c>
      <c r="P6595" t="s">
        <v>397</v>
      </c>
      <c r="Q6595">
        <v>7</v>
      </c>
      <c r="R6595" s="328">
        <f>Base_Periodo1[[#This Row],[CREDITOS]]-Base_Periodo1[[#This Row],[DEBITOS]]</f>
        <v>-1050621.3599999999</v>
      </c>
      <c r="S6595" s="3" t="str">
        <f>IF(ISERROR(VLOOKUP(Base_Periodo1[[#This Row],[CONTA]],BaseContasDRE[#All],4,FALSE)),"Fora do DRE",VLOOKUP(Base_Periodo1[[#This Row],[CONTA]],BaseContasDRE[#All],4,FALSE))</f>
        <v>Fora do DRE</v>
      </c>
      <c r="T6595" s="3" t="str">
        <f>IF(ISERROR(VLOOKUP(Base_Periodo1[[#This Row],[CONTA]],BaseContasDRE[#All],5,FALSE)),"Fora do DRE",VLOOKUP(Base_Periodo1[[#This Row],[CONTA]],BaseContasDRE[#All],6,FALSE))</f>
        <v>Fora do DRE</v>
      </c>
      <c r="U6595" s="3" t="str">
        <f>IF(ISERROR(VLOOKUP(Base_Periodo1[[#This Row],[CONTA]],BaseContasDRE[#All],7,FALSE)),"Fora do DRE",VLOOKUP(Base_Periodo1[[#This Row],[CONTA]],BaseContasDRE[#All],7,FALSE))</f>
        <v>Fora do DRE</v>
      </c>
      <c r="V6595" s="3" t="str">
        <f>IF(Base_Periodo1[[#This Row],[Tipo_Linha]]="Fora do DRE","Fora do DRE","( "&amp;Base_Periodo1[[#This Row],[Tipo_Linha]]&amp;" ) "&amp;Base_Periodo1[[#This Row],[Filtro]])</f>
        <v>Fora do DRE</v>
      </c>
      <c r="W6595" s="3" t="str">
        <f>LEFT(Base_Periodo1[[#This Row],[CLASS]],3)</f>
        <v>3.2</v>
      </c>
    </row>
    <row r="6596" spans="1:23" hidden="1">
      <c r="A6596" s="3" t="str">
        <f t="shared" si="102"/>
        <v>Período 1</v>
      </c>
      <c r="B6596">
        <v>6847</v>
      </c>
      <c r="C6596" t="s">
        <v>5826</v>
      </c>
      <c r="D6596" t="s">
        <v>5827</v>
      </c>
      <c r="E6596" s="3" t="str">
        <f>IF(LEN(Base_Periodo1[[#This Row],[CLASS]])&gt;=7,LEFT(Base_Periodo1[[#This Row],[CLASS]],7),"")</f>
        <v>3.2.1.3</v>
      </c>
      <c r="F6596" s="3" t="e">
        <f>VLOOKUP(Base_Periodo1[[#This Row],[Aux]],Base_Contas_Balanco[#All],2,FALSE)</f>
        <v>#N/A</v>
      </c>
      <c r="G6596" s="1">
        <v>42886</v>
      </c>
      <c r="H6596" s="328">
        <v>446828.26000001281</v>
      </c>
      <c r="I6596" s="328">
        <v>702882.64</v>
      </c>
      <c r="J6596" s="328">
        <v>446828.26</v>
      </c>
      <c r="K6596" s="328">
        <v>702882.64000001294</v>
      </c>
      <c r="L6596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-702882.64</v>
      </c>
      <c r="M6596" s="328">
        <f>ROUND(IF(AND(Base_Periodo1[[#This Row],[Tipo_Linha]]="-",Base_Periodo1[[#This Row],[TIPOSALDO]]="D"),Base_Periodo1[[#This Row],[SALDO_ATUAL]]*-1,Base_Periodo1[[#This Row],[SALDO_ATUAL]]),4)</f>
        <v>-702882.64</v>
      </c>
      <c r="N6596" t="s">
        <v>116</v>
      </c>
      <c r="O6596" t="s">
        <v>397</v>
      </c>
      <c r="P6596" t="s">
        <v>397</v>
      </c>
      <c r="Q6596">
        <v>8</v>
      </c>
      <c r="R6596" s="328">
        <f>Base_Periodo1[[#This Row],[CREDITOS]]-Base_Periodo1[[#This Row],[DEBITOS]]</f>
        <v>-256054.38</v>
      </c>
      <c r="S6596" s="3" t="str">
        <f>IF(ISERROR(VLOOKUP(Base_Periodo1[[#This Row],[CONTA]],BaseContasDRE[#All],4,FALSE)),"Fora do DRE",VLOOKUP(Base_Periodo1[[#This Row],[CONTA]],BaseContasDRE[#All],4,FALSE))</f>
        <v>-</v>
      </c>
      <c r="T6596" s="3">
        <f>IF(ISERROR(VLOOKUP(Base_Periodo1[[#This Row],[CONTA]],BaseContasDRE[#All],5,FALSE)),"Fora do DRE",VLOOKUP(Base_Periodo1[[#This Row],[CONTA]],BaseContasDRE[#All],6,FALSE))</f>
        <v>5</v>
      </c>
      <c r="U6596" s="3" t="str">
        <f>IF(ISERROR(VLOOKUP(Base_Periodo1[[#This Row],[CONTA]],BaseContasDRE[#All],7,FALSE)),"Fora do DRE",VLOOKUP(Base_Periodo1[[#This Row],[CONTA]],BaseContasDRE[#All],7,FALSE))</f>
        <v>DISPÊNDIOS E  DESPESAS C/ PESSOAL</v>
      </c>
      <c r="V6596" s="3" t="str">
        <f>IF(Base_Periodo1[[#This Row],[Tipo_Linha]]="Fora do DRE","Fora do DRE","( "&amp;Base_Periodo1[[#This Row],[Tipo_Linha]]&amp;" ) "&amp;Base_Periodo1[[#This Row],[Filtro]])</f>
        <v>( - ) DISPÊNDIOS E  DESPESAS C/ PESSOAL</v>
      </c>
      <c r="W6596" s="3" t="str">
        <f>LEFT(Base_Periodo1[[#This Row],[CLASS]],3)</f>
        <v>3.2</v>
      </c>
    </row>
    <row r="6597" spans="1:23" hidden="1">
      <c r="A6597" s="3" t="str">
        <f t="shared" si="102"/>
        <v>Período 1</v>
      </c>
      <c r="B6597">
        <v>6848</v>
      </c>
      <c r="C6597" t="s">
        <v>5828</v>
      </c>
      <c r="D6597" t="s">
        <v>4329</v>
      </c>
      <c r="E6597" s="3" t="str">
        <f>IF(LEN(Base_Periodo1[[#This Row],[CLASS]])&gt;=7,LEFT(Base_Periodo1[[#This Row],[CLASS]],7),"")</f>
        <v>3.2.1.3</v>
      </c>
      <c r="F6597" s="3" t="e">
        <f>VLOOKUP(Base_Periodo1[[#This Row],[Aux]],Base_Contas_Balanco[#All],2,FALSE)</f>
        <v>#N/A</v>
      </c>
      <c r="G6597" s="1">
        <v>42886</v>
      </c>
      <c r="H6597" s="328">
        <v>585075.79000000656</v>
      </c>
      <c r="I6597" s="328">
        <v>949972.3</v>
      </c>
      <c r="J6597" s="328">
        <v>585075.79</v>
      </c>
      <c r="K6597" s="328">
        <v>949972.30000000657</v>
      </c>
      <c r="L6597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-949972.3</v>
      </c>
      <c r="M6597" s="328">
        <f>ROUND(IF(AND(Base_Periodo1[[#This Row],[Tipo_Linha]]="-",Base_Periodo1[[#This Row],[TIPOSALDO]]="D"),Base_Periodo1[[#This Row],[SALDO_ATUAL]]*-1,Base_Periodo1[[#This Row],[SALDO_ATUAL]]),4)</f>
        <v>-949972.3</v>
      </c>
      <c r="N6597" t="s">
        <v>116</v>
      </c>
      <c r="O6597" t="s">
        <v>397</v>
      </c>
      <c r="P6597" t="s">
        <v>397</v>
      </c>
      <c r="Q6597">
        <v>8</v>
      </c>
      <c r="R6597" s="328">
        <f>Base_Periodo1[[#This Row],[CREDITOS]]-Base_Periodo1[[#This Row],[DEBITOS]]</f>
        <v>-364896.51</v>
      </c>
      <c r="S6597" s="3" t="str">
        <f>IF(ISERROR(VLOOKUP(Base_Periodo1[[#This Row],[CONTA]],BaseContasDRE[#All],4,FALSE)),"Fora do DRE",VLOOKUP(Base_Periodo1[[#This Row],[CONTA]],BaseContasDRE[#All],4,FALSE))</f>
        <v>-</v>
      </c>
      <c r="T6597" s="3">
        <f>IF(ISERROR(VLOOKUP(Base_Periodo1[[#This Row],[CONTA]],BaseContasDRE[#All],5,FALSE)),"Fora do DRE",VLOOKUP(Base_Periodo1[[#This Row],[CONTA]],BaseContasDRE[#All],6,FALSE))</f>
        <v>5</v>
      </c>
      <c r="U6597" s="3" t="str">
        <f>IF(ISERROR(VLOOKUP(Base_Periodo1[[#This Row],[CONTA]],BaseContasDRE[#All],7,FALSE)),"Fora do DRE",VLOOKUP(Base_Periodo1[[#This Row],[CONTA]],BaseContasDRE[#All],7,FALSE))</f>
        <v>DISPÊNDIOS E  DESPESAS ADMINISTRATIVAS</v>
      </c>
      <c r="V6597" s="3" t="str">
        <f>IF(Base_Periodo1[[#This Row],[Tipo_Linha]]="Fora do DRE","Fora do DRE","( "&amp;Base_Periodo1[[#This Row],[Tipo_Linha]]&amp;" ) "&amp;Base_Periodo1[[#This Row],[Filtro]])</f>
        <v>( - ) DISPÊNDIOS E  DESPESAS ADMINISTRATIVAS</v>
      </c>
      <c r="W6597" s="3" t="str">
        <f>LEFT(Base_Periodo1[[#This Row],[CLASS]],3)</f>
        <v>3.2</v>
      </c>
    </row>
    <row r="6598" spans="1:23" hidden="1">
      <c r="A6598" s="3" t="str">
        <f t="shared" ref="A6598:A6626" si="103">"Período 1"</f>
        <v>Período 1</v>
      </c>
      <c r="B6598">
        <v>6849</v>
      </c>
      <c r="C6598" t="s">
        <v>5829</v>
      </c>
      <c r="D6598" t="s">
        <v>3904</v>
      </c>
      <c r="E6598" s="3" t="str">
        <f>IF(LEN(Base_Periodo1[[#This Row],[CLASS]])&gt;=7,LEFT(Base_Periodo1[[#This Row],[CLASS]],7),"")</f>
        <v>3.2.1.3</v>
      </c>
      <c r="F6598" s="3" t="e">
        <f>VLOOKUP(Base_Periodo1[[#This Row],[Aux]],Base_Contas_Balanco[#All],2,FALSE)</f>
        <v>#N/A</v>
      </c>
      <c r="G6598" s="1">
        <v>42886</v>
      </c>
      <c r="H6598" s="328">
        <v>663957.15000000596</v>
      </c>
      <c r="I6598" s="328">
        <v>1080713.7</v>
      </c>
      <c r="J6598" s="328">
        <v>663957.15</v>
      </c>
      <c r="K6598" s="328">
        <v>1080713.7000000058</v>
      </c>
      <c r="L6598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-1080713.7</v>
      </c>
      <c r="M6598" s="328">
        <f>ROUND(IF(AND(Base_Periodo1[[#This Row],[Tipo_Linha]]="-",Base_Periodo1[[#This Row],[TIPOSALDO]]="D"),Base_Periodo1[[#This Row],[SALDO_ATUAL]]*-1,Base_Periodo1[[#This Row],[SALDO_ATUAL]]),4)</f>
        <v>-1080713.7</v>
      </c>
      <c r="N6598" t="s">
        <v>116</v>
      </c>
      <c r="O6598" t="s">
        <v>397</v>
      </c>
      <c r="P6598" t="s">
        <v>397</v>
      </c>
      <c r="Q6598">
        <v>8</v>
      </c>
      <c r="R6598" s="328">
        <f>Base_Periodo1[[#This Row],[CREDITOS]]-Base_Periodo1[[#This Row],[DEBITOS]]</f>
        <v>-416756.54999999993</v>
      </c>
      <c r="S6598" s="3" t="str">
        <f>IF(ISERROR(VLOOKUP(Base_Periodo1[[#This Row],[CONTA]],BaseContasDRE[#All],4,FALSE)),"Fora do DRE",VLOOKUP(Base_Periodo1[[#This Row],[CONTA]],BaseContasDRE[#All],4,FALSE))</f>
        <v>-</v>
      </c>
      <c r="T6598" s="3">
        <f>IF(ISERROR(VLOOKUP(Base_Periodo1[[#This Row],[CONTA]],BaseContasDRE[#All],5,FALSE)),"Fora do DRE",VLOOKUP(Base_Periodo1[[#This Row],[CONTA]],BaseContasDRE[#All],6,FALSE))</f>
        <v>5</v>
      </c>
      <c r="U6598" s="3" t="str">
        <f>IF(ISERROR(VLOOKUP(Base_Periodo1[[#This Row],[CONTA]],BaseContasDRE[#All],7,FALSE)),"Fora do DRE",VLOOKUP(Base_Periodo1[[#This Row],[CONTA]],BaseContasDRE[#All],7,FALSE))</f>
        <v>DISPÊNDIOS E  DESPESAS C/ VENDAS</v>
      </c>
      <c r="V6598" s="3" t="str">
        <f>IF(Base_Periodo1[[#This Row],[Tipo_Linha]]="Fora do DRE","Fora do DRE","( "&amp;Base_Periodo1[[#This Row],[Tipo_Linha]]&amp;" ) "&amp;Base_Periodo1[[#This Row],[Filtro]])</f>
        <v>( - ) DISPÊNDIOS E  DESPESAS C/ VENDAS</v>
      </c>
      <c r="W6598" s="3" t="str">
        <f>LEFT(Base_Periodo1[[#This Row],[CLASS]],3)</f>
        <v>3.2</v>
      </c>
    </row>
    <row r="6599" spans="1:23" hidden="1">
      <c r="A6599" s="3" t="str">
        <f t="shared" si="103"/>
        <v>Período 1</v>
      </c>
      <c r="B6599">
        <v>6850</v>
      </c>
      <c r="C6599" t="s">
        <v>5830</v>
      </c>
      <c r="D6599" t="s">
        <v>5831</v>
      </c>
      <c r="E6599" s="3" t="str">
        <f>IF(LEN(Base_Periodo1[[#This Row],[CLASS]])&gt;=7,LEFT(Base_Periodo1[[#This Row],[CLASS]],7),"")</f>
        <v>3.2.1.3</v>
      </c>
      <c r="F6599" s="3" t="e">
        <f>VLOOKUP(Base_Periodo1[[#This Row],[Aux]],Base_Contas_Balanco[#All],2,FALSE)</f>
        <v>#N/A</v>
      </c>
      <c r="G6599" s="1">
        <v>42886</v>
      </c>
      <c r="H6599" s="328">
        <v>11736.199999999721</v>
      </c>
      <c r="I6599" s="328">
        <v>19623.47</v>
      </c>
      <c r="J6599" s="328">
        <v>11736.2</v>
      </c>
      <c r="K6599" s="328">
        <v>19623.469999999721</v>
      </c>
      <c r="L6599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-19623.47</v>
      </c>
      <c r="M6599" s="328">
        <f>ROUND(IF(AND(Base_Periodo1[[#This Row],[Tipo_Linha]]="-",Base_Periodo1[[#This Row],[TIPOSALDO]]="D"),Base_Periodo1[[#This Row],[SALDO_ATUAL]]*-1,Base_Periodo1[[#This Row],[SALDO_ATUAL]]),4)</f>
        <v>-19623.47</v>
      </c>
      <c r="N6599" t="s">
        <v>116</v>
      </c>
      <c r="O6599" t="s">
        <v>397</v>
      </c>
      <c r="P6599" t="s">
        <v>397</v>
      </c>
      <c r="Q6599">
        <v>8</v>
      </c>
      <c r="R6599" s="328">
        <f>Base_Periodo1[[#This Row],[CREDITOS]]-Base_Periodo1[[#This Row],[DEBITOS]]</f>
        <v>-7887.27</v>
      </c>
      <c r="S6599" s="3" t="str">
        <f>IF(ISERROR(VLOOKUP(Base_Periodo1[[#This Row],[CONTA]],BaseContasDRE[#All],4,FALSE)),"Fora do DRE",VLOOKUP(Base_Periodo1[[#This Row],[CONTA]],BaseContasDRE[#All],4,FALSE))</f>
        <v>-</v>
      </c>
      <c r="T6599" s="3">
        <f>IF(ISERROR(VLOOKUP(Base_Periodo1[[#This Row],[CONTA]],BaseContasDRE[#All],5,FALSE)),"Fora do DRE",VLOOKUP(Base_Periodo1[[#This Row],[CONTA]],BaseContasDRE[#All],6,FALSE))</f>
        <v>5</v>
      </c>
      <c r="U6599" s="3" t="str">
        <f>IF(ISERROR(VLOOKUP(Base_Periodo1[[#This Row],[CONTA]],BaseContasDRE[#All],7,FALSE)),"Fora do DRE",VLOOKUP(Base_Periodo1[[#This Row],[CONTA]],BaseContasDRE[#All],7,FALSE))</f>
        <v>DISPÊNDIOS E  DESPESAS TRIBUTÁRIAS</v>
      </c>
      <c r="V6599" s="3" t="str">
        <f>IF(Base_Periodo1[[#This Row],[Tipo_Linha]]="Fora do DRE","Fora do DRE","( "&amp;Base_Periodo1[[#This Row],[Tipo_Linha]]&amp;" ) "&amp;Base_Periodo1[[#This Row],[Filtro]])</f>
        <v>( - ) DISPÊNDIOS E  DESPESAS TRIBUTÁRIAS</v>
      </c>
      <c r="W6599" s="3" t="str">
        <f>LEFT(Base_Periodo1[[#This Row],[CLASS]],3)</f>
        <v>3.2</v>
      </c>
    </row>
    <row r="6600" spans="1:23" hidden="1">
      <c r="A6600" s="3" t="str">
        <f t="shared" si="103"/>
        <v>Período 1</v>
      </c>
      <c r="B6600">
        <v>6851</v>
      </c>
      <c r="C6600" t="s">
        <v>5832</v>
      </c>
      <c r="D6600" t="s">
        <v>5833</v>
      </c>
      <c r="E6600" s="3" t="str">
        <f>IF(LEN(Base_Periodo1[[#This Row],[CLASS]])&gt;=7,LEFT(Base_Periodo1[[#This Row],[CLASS]],7),"")</f>
        <v>3.2.1.3</v>
      </c>
      <c r="F6600" s="3" t="e">
        <f>VLOOKUP(Base_Periodo1[[#This Row],[Aux]],Base_Contas_Balanco[#All],2,FALSE)</f>
        <v>#N/A</v>
      </c>
      <c r="G6600" s="1">
        <v>42886</v>
      </c>
      <c r="H6600" s="328">
        <v>5634.8899999998976</v>
      </c>
      <c r="I6600" s="328">
        <v>5188.0200000000004</v>
      </c>
      <c r="J6600" s="328">
        <v>5634.89</v>
      </c>
      <c r="K6600" s="328">
        <v>5188.0199999998977</v>
      </c>
      <c r="L6600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-5188.0200000000004</v>
      </c>
      <c r="M6600" s="328">
        <f>ROUND(IF(AND(Base_Periodo1[[#This Row],[Tipo_Linha]]="-",Base_Periodo1[[#This Row],[TIPOSALDO]]="D"),Base_Periodo1[[#This Row],[SALDO_ATUAL]]*-1,Base_Periodo1[[#This Row],[SALDO_ATUAL]]),4)</f>
        <v>-5188.0200000000004</v>
      </c>
      <c r="N6600" t="s">
        <v>116</v>
      </c>
      <c r="O6600" t="s">
        <v>397</v>
      </c>
      <c r="P6600" t="s">
        <v>397</v>
      </c>
      <c r="Q6600">
        <v>8</v>
      </c>
      <c r="R6600" s="328">
        <f>Base_Periodo1[[#This Row],[CREDITOS]]-Base_Periodo1[[#This Row],[DEBITOS]]</f>
        <v>446.86999999999989</v>
      </c>
      <c r="S6600" s="3" t="str">
        <f>IF(ISERROR(VLOOKUP(Base_Periodo1[[#This Row],[CONTA]],BaseContasDRE[#All],4,FALSE)),"Fora do DRE",VLOOKUP(Base_Periodo1[[#This Row],[CONTA]],BaseContasDRE[#All],4,FALSE))</f>
        <v>-</v>
      </c>
      <c r="T6600" s="3">
        <f>IF(ISERROR(VLOOKUP(Base_Periodo1[[#This Row],[CONTA]],BaseContasDRE[#All],5,FALSE)),"Fora do DRE",VLOOKUP(Base_Periodo1[[#This Row],[CONTA]],BaseContasDRE[#All],6,FALSE))</f>
        <v>5</v>
      </c>
      <c r="U6600" s="3" t="str">
        <f>IF(ISERROR(VLOOKUP(Base_Periodo1[[#This Row],[CONTA]],BaseContasDRE[#All],7,FALSE)),"Fora do DRE",VLOOKUP(Base_Periodo1[[#This Row],[CONTA]],BaseContasDRE[#All],7,FALSE))</f>
        <v>DISPÊNDIOS E  DESPESAS TECNICAS</v>
      </c>
      <c r="V6600" s="3" t="str">
        <f>IF(Base_Periodo1[[#This Row],[Tipo_Linha]]="Fora do DRE","Fora do DRE","( "&amp;Base_Periodo1[[#This Row],[Tipo_Linha]]&amp;" ) "&amp;Base_Periodo1[[#This Row],[Filtro]])</f>
        <v>( - ) DISPÊNDIOS E  DESPESAS TECNICAS</v>
      </c>
      <c r="W6600" s="3" t="str">
        <f>LEFT(Base_Periodo1[[#This Row],[CLASS]],3)</f>
        <v>3.2</v>
      </c>
    </row>
    <row r="6601" spans="1:23" hidden="1">
      <c r="A6601" s="3" t="str">
        <f t="shared" si="103"/>
        <v>Período 1</v>
      </c>
      <c r="B6601">
        <v>6852</v>
      </c>
      <c r="C6601" t="s">
        <v>5834</v>
      </c>
      <c r="D6601" t="s">
        <v>3928</v>
      </c>
      <c r="E6601" s="3" t="str">
        <f>IF(LEN(Base_Periodo1[[#This Row],[CLASS]])&gt;=7,LEFT(Base_Periodo1[[#This Row],[CLASS]],7),"")</f>
        <v>3.2.1.3</v>
      </c>
      <c r="F6601" s="3" t="e">
        <f>VLOOKUP(Base_Periodo1[[#This Row],[Aux]],Base_Contas_Balanco[#All],2,FALSE)</f>
        <v>#N/A</v>
      </c>
      <c r="G6601" s="1">
        <v>42886</v>
      </c>
      <c r="H6601" s="328">
        <v>12102.620000000054</v>
      </c>
      <c r="I6601" s="328">
        <v>17576.14</v>
      </c>
      <c r="J6601" s="328">
        <v>12102.62</v>
      </c>
      <c r="K6601" s="328">
        <v>17576.14000000005</v>
      </c>
      <c r="L6601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-17576.14</v>
      </c>
      <c r="M6601" s="328">
        <f>ROUND(IF(AND(Base_Periodo1[[#This Row],[Tipo_Linha]]="-",Base_Periodo1[[#This Row],[TIPOSALDO]]="D"),Base_Periodo1[[#This Row],[SALDO_ATUAL]]*-1,Base_Periodo1[[#This Row],[SALDO_ATUAL]]),4)</f>
        <v>-17576.14</v>
      </c>
      <c r="N6601" t="s">
        <v>116</v>
      </c>
      <c r="O6601" t="s">
        <v>397</v>
      </c>
      <c r="P6601" t="s">
        <v>397</v>
      </c>
      <c r="Q6601">
        <v>8</v>
      </c>
      <c r="R6601" s="328">
        <f>Base_Periodo1[[#This Row],[CREDITOS]]-Base_Periodo1[[#This Row],[DEBITOS]]</f>
        <v>-5473.5199999999986</v>
      </c>
      <c r="S6601" s="3" t="str">
        <f>IF(ISERROR(VLOOKUP(Base_Periodo1[[#This Row],[CONTA]],BaseContasDRE[#All],4,FALSE)),"Fora do DRE",VLOOKUP(Base_Periodo1[[#This Row],[CONTA]],BaseContasDRE[#All],4,FALSE))</f>
        <v>-</v>
      </c>
      <c r="T6601" s="3">
        <f>IF(ISERROR(VLOOKUP(Base_Periodo1[[#This Row],[CONTA]],BaseContasDRE[#All],5,FALSE)),"Fora do DRE",VLOOKUP(Base_Periodo1[[#This Row],[CONTA]],BaseContasDRE[#All],6,FALSE))</f>
        <v>5</v>
      </c>
      <c r="U6601" s="3" t="str">
        <f>IF(ISERROR(VLOOKUP(Base_Periodo1[[#This Row],[CONTA]],BaseContasDRE[#All],7,FALSE)),"Fora do DRE",VLOOKUP(Base_Periodo1[[#This Row],[CONTA]],BaseContasDRE[#All],7,FALSE))</f>
        <v>DISPÊNDIOS E  DESPESAS INDEDUTÍVEIS</v>
      </c>
      <c r="V6601" s="3" t="str">
        <f>IF(Base_Periodo1[[#This Row],[Tipo_Linha]]="Fora do DRE","Fora do DRE","( "&amp;Base_Periodo1[[#This Row],[Tipo_Linha]]&amp;" ) "&amp;Base_Periodo1[[#This Row],[Filtro]])</f>
        <v>( - ) DISPÊNDIOS E  DESPESAS INDEDUTÍVEIS</v>
      </c>
      <c r="W6601" s="3" t="str">
        <f>LEFT(Base_Periodo1[[#This Row],[CLASS]],3)</f>
        <v>3.2</v>
      </c>
    </row>
    <row r="6602" spans="1:23" hidden="1">
      <c r="A6602" s="3" t="str">
        <f t="shared" si="103"/>
        <v>Período 1</v>
      </c>
      <c r="B6602">
        <v>6854</v>
      </c>
      <c r="C6602" t="s">
        <v>4130</v>
      </c>
      <c r="D6602" t="s">
        <v>4131</v>
      </c>
      <c r="E6602" s="3" t="str">
        <f>IF(LEN(Base_Periodo1[[#This Row],[CLASS]])&gt;=7,LEFT(Base_Periodo1[[#This Row],[CLASS]],7),"")</f>
        <v>3.2.1.5</v>
      </c>
      <c r="F6602" s="3" t="e">
        <f>VLOOKUP(Base_Periodo1[[#This Row],[Aux]],Base_Contas_Balanco[#All],2,FALSE)</f>
        <v>#N/A</v>
      </c>
      <c r="G6602" s="1"/>
      <c r="H6602" s="328">
        <v>541135.88000001363</v>
      </c>
      <c r="I6602" s="328">
        <v>1106869.77</v>
      </c>
      <c r="J6602" s="328">
        <v>1143817.45</v>
      </c>
      <c r="K6602" s="328">
        <v>578083.56000001356</v>
      </c>
      <c r="L6602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578083.56000000006</v>
      </c>
      <c r="M6602" s="328">
        <f>ROUND(IF(AND(Base_Periodo1[[#This Row],[Tipo_Linha]]="-",Base_Periodo1[[#This Row],[TIPOSALDO]]="D"),Base_Periodo1[[#This Row],[SALDO_ATUAL]]*-1,Base_Periodo1[[#This Row],[SALDO_ATUAL]]),4)</f>
        <v>578083.56000000006</v>
      </c>
      <c r="N6602" t="s">
        <v>396</v>
      </c>
      <c r="O6602" t="s">
        <v>459</v>
      </c>
      <c r="P6602" t="s">
        <v>459</v>
      </c>
      <c r="Q6602">
        <v>4</v>
      </c>
      <c r="R6602" s="328">
        <f>Base_Periodo1[[#This Row],[CREDITOS]]-Base_Periodo1[[#This Row],[DEBITOS]]</f>
        <v>36947.679999999935</v>
      </c>
      <c r="S6602" s="3" t="str">
        <f>IF(ISERROR(VLOOKUP(Base_Periodo1[[#This Row],[CONTA]],BaseContasDRE[#All],4,FALSE)),"Fora do DRE",VLOOKUP(Base_Periodo1[[#This Row],[CONTA]],BaseContasDRE[#All],4,FALSE))</f>
        <v>Fora do DRE</v>
      </c>
      <c r="T6602" s="3" t="str">
        <f>IF(ISERROR(VLOOKUP(Base_Periodo1[[#This Row],[CONTA]],BaseContasDRE[#All],5,FALSE)),"Fora do DRE",VLOOKUP(Base_Periodo1[[#This Row],[CONTA]],BaseContasDRE[#All],6,FALSE))</f>
        <v>Fora do DRE</v>
      </c>
      <c r="U6602" s="3" t="str">
        <f>IF(ISERROR(VLOOKUP(Base_Periodo1[[#This Row],[CONTA]],BaseContasDRE[#All],7,FALSE)),"Fora do DRE",VLOOKUP(Base_Periodo1[[#This Row],[CONTA]],BaseContasDRE[#All],7,FALSE))</f>
        <v>Fora do DRE</v>
      </c>
      <c r="V6602" s="3" t="str">
        <f>IF(Base_Periodo1[[#This Row],[Tipo_Linha]]="Fora do DRE","Fora do DRE","( "&amp;Base_Periodo1[[#This Row],[Tipo_Linha]]&amp;" ) "&amp;Base_Periodo1[[#This Row],[Filtro]])</f>
        <v>Fora do DRE</v>
      </c>
      <c r="W6602" s="3" t="str">
        <f>LEFT(Base_Periodo1[[#This Row],[CLASS]],3)</f>
        <v>3.2</v>
      </c>
    </row>
    <row r="6603" spans="1:23" hidden="1">
      <c r="A6603" s="3" t="str">
        <f t="shared" si="103"/>
        <v>Período 1</v>
      </c>
      <c r="B6603">
        <v>6855</v>
      </c>
      <c r="C6603" t="s">
        <v>4132</v>
      </c>
      <c r="D6603" t="s">
        <v>3943</v>
      </c>
      <c r="E6603" s="3" t="str">
        <f>IF(LEN(Base_Periodo1[[#This Row],[CLASS]])&gt;=7,LEFT(Base_Periodo1[[#This Row],[CLASS]],7),"")</f>
        <v>3.2.1.5</v>
      </c>
      <c r="F6603" s="3" t="e">
        <f>VLOOKUP(Base_Periodo1[[#This Row],[Aux]],Base_Contas_Balanco[#All],2,FALSE)</f>
        <v>#N/A</v>
      </c>
      <c r="G6603" s="1"/>
      <c r="H6603" s="328">
        <v>1157177.9699999983</v>
      </c>
      <c r="I6603" s="328">
        <v>1005153.5900000001</v>
      </c>
      <c r="J6603" s="328">
        <v>580442.9</v>
      </c>
      <c r="K6603" s="328">
        <v>1581888.6599999988</v>
      </c>
      <c r="L6603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-1581888.66</v>
      </c>
      <c r="M6603" s="328">
        <f>ROUND(IF(AND(Base_Periodo1[[#This Row],[Tipo_Linha]]="-",Base_Periodo1[[#This Row],[TIPOSALDO]]="D"),Base_Periodo1[[#This Row],[SALDO_ATUAL]]*-1,Base_Periodo1[[#This Row],[SALDO_ATUAL]]),4)</f>
        <v>1581888.66</v>
      </c>
      <c r="N6603" t="s">
        <v>396</v>
      </c>
      <c r="O6603" t="s">
        <v>397</v>
      </c>
      <c r="P6603" t="s">
        <v>397</v>
      </c>
      <c r="Q6603">
        <v>5</v>
      </c>
      <c r="R6603" s="328">
        <f>Base_Periodo1[[#This Row],[CREDITOS]]-Base_Periodo1[[#This Row],[DEBITOS]]</f>
        <v>-424710.69000000006</v>
      </c>
      <c r="S6603" s="3" t="str">
        <f>IF(ISERROR(VLOOKUP(Base_Periodo1[[#This Row],[CONTA]],BaseContasDRE[#All],4,FALSE)),"Fora do DRE",VLOOKUP(Base_Periodo1[[#This Row],[CONTA]],BaseContasDRE[#All],4,FALSE))</f>
        <v>Fora do DRE</v>
      </c>
      <c r="T6603" s="3" t="str">
        <f>IF(ISERROR(VLOOKUP(Base_Periodo1[[#This Row],[CONTA]],BaseContasDRE[#All],5,FALSE)),"Fora do DRE",VLOOKUP(Base_Periodo1[[#This Row],[CONTA]],BaseContasDRE[#All],6,FALSE))</f>
        <v>Fora do DRE</v>
      </c>
      <c r="U6603" s="3" t="str">
        <f>IF(ISERROR(VLOOKUP(Base_Periodo1[[#This Row],[CONTA]],BaseContasDRE[#All],7,FALSE)),"Fora do DRE",VLOOKUP(Base_Periodo1[[#This Row],[CONTA]],BaseContasDRE[#All],7,FALSE))</f>
        <v>Fora do DRE</v>
      </c>
      <c r="V6603" s="3" t="str">
        <f>IF(Base_Periodo1[[#This Row],[Tipo_Linha]]="Fora do DRE","Fora do DRE","( "&amp;Base_Periodo1[[#This Row],[Tipo_Linha]]&amp;" ) "&amp;Base_Periodo1[[#This Row],[Filtro]])</f>
        <v>Fora do DRE</v>
      </c>
      <c r="W6603" s="3" t="str">
        <f>LEFT(Base_Periodo1[[#This Row],[CLASS]],3)</f>
        <v>3.2</v>
      </c>
    </row>
    <row r="6604" spans="1:23" hidden="1">
      <c r="A6604" s="3" t="str">
        <f t="shared" si="103"/>
        <v>Período 1</v>
      </c>
      <c r="B6604">
        <v>6856</v>
      </c>
      <c r="C6604" t="s">
        <v>4133</v>
      </c>
      <c r="D6604" t="s">
        <v>3943</v>
      </c>
      <c r="E6604" s="3" t="str">
        <f>IF(LEN(Base_Periodo1[[#This Row],[CLASS]])&gt;=7,LEFT(Base_Periodo1[[#This Row],[CLASS]],7),"")</f>
        <v>3.2.1.5</v>
      </c>
      <c r="F6604" s="3" t="e">
        <f>VLOOKUP(Base_Periodo1[[#This Row],[Aux]],Base_Contas_Balanco[#All],2,FALSE)</f>
        <v>#N/A</v>
      </c>
      <c r="G6604" s="1">
        <v>42886</v>
      </c>
      <c r="H6604" s="328">
        <v>581296.32999999821</v>
      </c>
      <c r="I6604" s="328">
        <v>942635.08</v>
      </c>
      <c r="J6604" s="328">
        <v>580442.9</v>
      </c>
      <c r="K6604" s="328">
        <v>943488.50999999826</v>
      </c>
      <c r="L6604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-943488.51</v>
      </c>
      <c r="M6604" s="328">
        <f>ROUND(IF(AND(Base_Periodo1[[#This Row],[Tipo_Linha]]="-",Base_Periodo1[[#This Row],[TIPOSALDO]]="D"),Base_Periodo1[[#This Row],[SALDO_ATUAL]]*-1,Base_Periodo1[[#This Row],[SALDO_ATUAL]]),4)</f>
        <v>-943488.51</v>
      </c>
      <c r="N6604" t="s">
        <v>116</v>
      </c>
      <c r="O6604" t="s">
        <v>397</v>
      </c>
      <c r="P6604" t="s">
        <v>397</v>
      </c>
      <c r="Q6604">
        <v>6</v>
      </c>
      <c r="R6604" s="328">
        <f>Base_Periodo1[[#This Row],[CREDITOS]]-Base_Periodo1[[#This Row],[DEBITOS]]</f>
        <v>-362192.17999999993</v>
      </c>
      <c r="S6604" s="3" t="str">
        <f>IF(ISERROR(VLOOKUP(Base_Periodo1[[#This Row],[CONTA]],BaseContasDRE[#All],4,FALSE)),"Fora do DRE",VLOOKUP(Base_Periodo1[[#This Row],[CONTA]],BaseContasDRE[#All],4,FALSE))</f>
        <v>-</v>
      </c>
      <c r="T6604" s="3">
        <f>IF(ISERROR(VLOOKUP(Base_Periodo1[[#This Row],[CONTA]],BaseContasDRE[#All],5,FALSE)),"Fora do DRE",VLOOKUP(Base_Periodo1[[#This Row],[CONTA]],BaseContasDRE[#All],6,FALSE))</f>
        <v>6</v>
      </c>
      <c r="U6604" s="3" t="str">
        <f>IF(ISERROR(VLOOKUP(Base_Periodo1[[#This Row],[CONTA]],BaseContasDRE[#All],7,FALSE)),"Fora do DRE",VLOOKUP(Base_Periodo1[[#This Row],[CONTA]],BaseContasDRE[#All],7,FALSE))</f>
        <v>DISPÊNDIOS E  DESPESAS FINANCEIRAS</v>
      </c>
      <c r="V6604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604" s="3" t="str">
        <f>LEFT(Base_Periodo1[[#This Row],[CLASS]],3)</f>
        <v>3.2</v>
      </c>
    </row>
    <row r="6605" spans="1:23" hidden="1">
      <c r="A6605" s="3" t="str">
        <f t="shared" si="103"/>
        <v>Período 1</v>
      </c>
      <c r="B6605">
        <v>57616</v>
      </c>
      <c r="C6605" t="s">
        <v>6688</v>
      </c>
      <c r="D6605" t="s">
        <v>3950</v>
      </c>
      <c r="E6605" s="3" t="str">
        <f>IF(LEN(Base_Periodo1[[#This Row],[CLASS]])&gt;=7,LEFT(Base_Periodo1[[#This Row],[CLASS]],7),"")</f>
        <v>3.2.1.5</v>
      </c>
      <c r="F6605" s="3" t="e">
        <f>VLOOKUP(Base_Periodo1[[#This Row],[Aux]],Base_Contas_Balanco[#All],2,FALSE)</f>
        <v>#N/A</v>
      </c>
      <c r="G6605" s="1">
        <v>42873</v>
      </c>
      <c r="H6605" s="328">
        <v>2287.64</v>
      </c>
      <c r="I6605" s="328">
        <v>1949.9800000000002</v>
      </c>
      <c r="J6605" s="328">
        <v>0</v>
      </c>
      <c r="K6605" s="328">
        <v>4237.62</v>
      </c>
      <c r="L6605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-4237.62</v>
      </c>
      <c r="M6605" s="328">
        <f>ROUND(IF(AND(Base_Periodo1[[#This Row],[Tipo_Linha]]="-",Base_Periodo1[[#This Row],[TIPOSALDO]]="D"),Base_Periodo1[[#This Row],[SALDO_ATUAL]]*-1,Base_Periodo1[[#This Row],[SALDO_ATUAL]]),4)</f>
        <v>-4237.62</v>
      </c>
      <c r="N6605" t="s">
        <v>116</v>
      </c>
      <c r="O6605" t="s">
        <v>397</v>
      </c>
      <c r="P6605" t="s">
        <v>397</v>
      </c>
      <c r="Q6605">
        <v>6</v>
      </c>
      <c r="R6605" s="328">
        <f>Base_Periodo1[[#This Row],[CREDITOS]]-Base_Periodo1[[#This Row],[DEBITOS]]</f>
        <v>-1949.9800000000002</v>
      </c>
      <c r="S6605" s="3" t="str">
        <f>IF(ISERROR(VLOOKUP(Base_Periodo1[[#This Row],[CONTA]],BaseContasDRE[#All],4,FALSE)),"Fora do DRE",VLOOKUP(Base_Periodo1[[#This Row],[CONTA]],BaseContasDRE[#All],4,FALSE))</f>
        <v>-</v>
      </c>
      <c r="T6605" s="3">
        <f>IF(ISERROR(VLOOKUP(Base_Periodo1[[#This Row],[CONTA]],BaseContasDRE[#All],5,FALSE)),"Fora do DRE",VLOOKUP(Base_Periodo1[[#This Row],[CONTA]],BaseContasDRE[#All],6,FALSE))</f>
        <v>6</v>
      </c>
      <c r="U6605" s="3" t="str">
        <f>IF(ISERROR(VLOOKUP(Base_Periodo1[[#This Row],[CONTA]],BaseContasDRE[#All],7,FALSE)),"Fora do DRE",VLOOKUP(Base_Periodo1[[#This Row],[CONTA]],BaseContasDRE[#All],7,FALSE))</f>
        <v>DISPÊNDIOS E  DESPESAS FINANCEIRAS</v>
      </c>
      <c r="V6605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605" s="3" t="str">
        <f>LEFT(Base_Periodo1[[#This Row],[CLASS]],3)</f>
        <v>3.2</v>
      </c>
    </row>
    <row r="6606" spans="1:23" hidden="1">
      <c r="A6606" s="3" t="str">
        <f t="shared" si="103"/>
        <v>Período 1</v>
      </c>
      <c r="B6606">
        <v>57617</v>
      </c>
      <c r="C6606" t="s">
        <v>6689</v>
      </c>
      <c r="D6606" t="s">
        <v>6690</v>
      </c>
      <c r="E6606" s="3" t="str">
        <f>IF(LEN(Base_Periodo1[[#This Row],[CLASS]])&gt;=7,LEFT(Base_Periodo1[[#This Row],[CLASS]],7),"")</f>
        <v>3.2.1.5</v>
      </c>
      <c r="F6606" s="3" t="e">
        <f>VLOOKUP(Base_Periodo1[[#This Row],[Aux]],Base_Contas_Balanco[#All],2,FALSE)</f>
        <v>#N/A</v>
      </c>
      <c r="G6606" s="1">
        <v>42886</v>
      </c>
      <c r="H6606" s="328">
        <v>501084.57000000018</v>
      </c>
      <c r="I6606" s="328">
        <v>58775.220000000038</v>
      </c>
      <c r="J6606" s="328">
        <v>0</v>
      </c>
      <c r="K6606" s="328">
        <v>559859.79000000027</v>
      </c>
      <c r="L6606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-559859.79</v>
      </c>
      <c r="M6606" s="328">
        <f>ROUND(IF(AND(Base_Periodo1[[#This Row],[Tipo_Linha]]="-",Base_Periodo1[[#This Row],[TIPOSALDO]]="D"),Base_Periodo1[[#This Row],[SALDO_ATUAL]]*-1,Base_Periodo1[[#This Row],[SALDO_ATUAL]]),4)</f>
        <v>-559859.79</v>
      </c>
      <c r="N6606" t="s">
        <v>116</v>
      </c>
      <c r="O6606" t="s">
        <v>397</v>
      </c>
      <c r="P6606" t="s">
        <v>397</v>
      </c>
      <c r="Q6606">
        <v>6</v>
      </c>
      <c r="R6606" s="328">
        <f>Base_Periodo1[[#This Row],[CREDITOS]]-Base_Periodo1[[#This Row],[DEBITOS]]</f>
        <v>-58775.220000000038</v>
      </c>
      <c r="S6606" s="3" t="str">
        <f>IF(ISERROR(VLOOKUP(Base_Periodo1[[#This Row],[CONTA]],BaseContasDRE[#All],4,FALSE)),"Fora do DRE",VLOOKUP(Base_Periodo1[[#This Row],[CONTA]],BaseContasDRE[#All],4,FALSE))</f>
        <v>-</v>
      </c>
      <c r="T6606" s="3">
        <f>IF(ISERROR(VLOOKUP(Base_Periodo1[[#This Row],[CONTA]],BaseContasDRE[#All],5,FALSE)),"Fora do DRE",VLOOKUP(Base_Periodo1[[#This Row],[CONTA]],BaseContasDRE[#All],6,FALSE))</f>
        <v>6</v>
      </c>
      <c r="U6606" s="3" t="str">
        <f>IF(ISERROR(VLOOKUP(Base_Periodo1[[#This Row],[CONTA]],BaseContasDRE[#All],7,FALSE)),"Fora do DRE",VLOOKUP(Base_Periodo1[[#This Row],[CONTA]],BaseContasDRE[#All],7,FALSE))</f>
        <v>DISPÊNDIOS E  DESPESAS FINANCEIRAS</v>
      </c>
      <c r="V6606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606" s="3" t="str">
        <f>LEFT(Base_Periodo1[[#This Row],[CLASS]],3)</f>
        <v>3.2</v>
      </c>
    </row>
    <row r="6607" spans="1:23" hidden="1">
      <c r="A6607" s="3" t="str">
        <f t="shared" si="103"/>
        <v>Período 1</v>
      </c>
      <c r="B6607">
        <v>57652</v>
      </c>
      <c r="C6607" t="s">
        <v>6691</v>
      </c>
      <c r="D6607" t="s">
        <v>6631</v>
      </c>
      <c r="E6607" s="3" t="str">
        <f>IF(LEN(Base_Periodo1[[#This Row],[CLASS]])&gt;=7,LEFT(Base_Periodo1[[#This Row],[CLASS]],7),"")</f>
        <v>3.2.1.5</v>
      </c>
      <c r="F6607" s="3" t="e">
        <f>VLOOKUP(Base_Periodo1[[#This Row],[Aux]],Base_Contas_Balanco[#All],2,FALSE)</f>
        <v>#N/A</v>
      </c>
      <c r="G6607" s="1">
        <v>42886</v>
      </c>
      <c r="H6607" s="328">
        <v>72509.429999999935</v>
      </c>
      <c r="I6607" s="328">
        <v>1793.3100000000002</v>
      </c>
      <c r="J6607" s="328">
        <v>0</v>
      </c>
      <c r="K6607" s="328">
        <v>74302.739999999932</v>
      </c>
      <c r="L6607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-74302.740000000005</v>
      </c>
      <c r="M6607" s="328">
        <f>ROUND(IF(AND(Base_Periodo1[[#This Row],[Tipo_Linha]]="-",Base_Periodo1[[#This Row],[TIPOSALDO]]="D"),Base_Periodo1[[#This Row],[SALDO_ATUAL]]*-1,Base_Periodo1[[#This Row],[SALDO_ATUAL]]),4)</f>
        <v>-74302.740000000005</v>
      </c>
      <c r="N6607" t="s">
        <v>116</v>
      </c>
      <c r="O6607" t="s">
        <v>397</v>
      </c>
      <c r="P6607" t="s">
        <v>397</v>
      </c>
      <c r="Q6607">
        <v>6</v>
      </c>
      <c r="R6607" s="328">
        <f>Base_Periodo1[[#This Row],[CREDITOS]]-Base_Periodo1[[#This Row],[DEBITOS]]</f>
        <v>-1793.3100000000002</v>
      </c>
      <c r="S6607" s="3" t="str">
        <f>IF(ISERROR(VLOOKUP(Base_Periodo1[[#This Row],[CONTA]],BaseContasDRE[#All],4,FALSE)),"Fora do DRE",VLOOKUP(Base_Periodo1[[#This Row],[CONTA]],BaseContasDRE[#All],4,FALSE))</f>
        <v>-</v>
      </c>
      <c r="T6607" s="3">
        <f>IF(ISERROR(VLOOKUP(Base_Periodo1[[#This Row],[CONTA]],BaseContasDRE[#All],5,FALSE)),"Fora do DRE",VLOOKUP(Base_Periodo1[[#This Row],[CONTA]],BaseContasDRE[#All],6,FALSE))</f>
        <v>6</v>
      </c>
      <c r="U6607" s="3" t="str">
        <f>IF(ISERROR(VLOOKUP(Base_Periodo1[[#This Row],[CONTA]],BaseContasDRE[#All],7,FALSE)),"Fora do DRE",VLOOKUP(Base_Periodo1[[#This Row],[CONTA]],BaseContasDRE[#All],7,FALSE))</f>
        <v>DISPÊNDIOS E  DESPESAS FINANCEIRAS</v>
      </c>
      <c r="V6607" s="3" t="str">
        <f>IF(Base_Periodo1[[#This Row],[Tipo_Linha]]="Fora do DRE","Fora do DRE","( "&amp;Base_Periodo1[[#This Row],[Tipo_Linha]]&amp;" ) "&amp;Base_Periodo1[[#This Row],[Filtro]])</f>
        <v>( - ) DISPÊNDIOS E  DESPESAS FINANCEIRAS</v>
      </c>
      <c r="W6607" s="3" t="str">
        <f>LEFT(Base_Periodo1[[#This Row],[CLASS]],3)</f>
        <v>3.2</v>
      </c>
    </row>
    <row r="6608" spans="1:23" hidden="1">
      <c r="A6608" s="3" t="str">
        <f t="shared" si="103"/>
        <v>Período 1</v>
      </c>
      <c r="B6608">
        <v>6857</v>
      </c>
      <c r="C6608" t="s">
        <v>4134</v>
      </c>
      <c r="D6608" t="s">
        <v>3958</v>
      </c>
      <c r="E6608" s="3" t="str">
        <f>IF(LEN(Base_Periodo1[[#This Row],[CLASS]])&gt;=7,LEFT(Base_Periodo1[[#This Row],[CLASS]],7),"")</f>
        <v>3.2.1.5</v>
      </c>
      <c r="F6608" s="3" t="e">
        <f>VLOOKUP(Base_Periodo1[[#This Row],[Aux]],Base_Contas_Balanco[#All],2,FALSE)</f>
        <v>#N/A</v>
      </c>
      <c r="G6608" s="1"/>
      <c r="H6608" s="328">
        <v>1698313.850000012</v>
      </c>
      <c r="I6608" s="328">
        <v>101716.18</v>
      </c>
      <c r="J6608" s="328">
        <v>563374.55000000016</v>
      </c>
      <c r="K6608" s="328">
        <v>2159972.2200000123</v>
      </c>
      <c r="L6608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2159972.2200000002</v>
      </c>
      <c r="M6608" s="328">
        <f>ROUND(IF(AND(Base_Periodo1[[#This Row],[Tipo_Linha]]="-",Base_Periodo1[[#This Row],[TIPOSALDO]]="D"),Base_Periodo1[[#This Row],[SALDO_ATUAL]]*-1,Base_Periodo1[[#This Row],[SALDO_ATUAL]]),4)</f>
        <v>2159972.2200000002</v>
      </c>
      <c r="N6608" t="s">
        <v>396</v>
      </c>
      <c r="O6608" t="s">
        <v>459</v>
      </c>
      <c r="P6608" t="s">
        <v>459</v>
      </c>
      <c r="Q6608">
        <v>5</v>
      </c>
      <c r="R6608" s="328">
        <f>Base_Periodo1[[#This Row],[CREDITOS]]-Base_Periodo1[[#This Row],[DEBITOS]]</f>
        <v>461658.37000000017</v>
      </c>
      <c r="S6608" s="3" t="str">
        <f>IF(ISERROR(VLOOKUP(Base_Periodo1[[#This Row],[CONTA]],BaseContasDRE[#All],4,FALSE)),"Fora do DRE",VLOOKUP(Base_Periodo1[[#This Row],[CONTA]],BaseContasDRE[#All],4,FALSE))</f>
        <v>Fora do DRE</v>
      </c>
      <c r="T6608" s="3" t="str">
        <f>IF(ISERROR(VLOOKUP(Base_Periodo1[[#This Row],[CONTA]],BaseContasDRE[#All],5,FALSE)),"Fora do DRE",VLOOKUP(Base_Periodo1[[#This Row],[CONTA]],BaseContasDRE[#All],6,FALSE))</f>
        <v>Fora do DRE</v>
      </c>
      <c r="U6608" s="3" t="str">
        <f>IF(ISERROR(VLOOKUP(Base_Periodo1[[#This Row],[CONTA]],BaseContasDRE[#All],7,FALSE)),"Fora do DRE",VLOOKUP(Base_Periodo1[[#This Row],[CONTA]],BaseContasDRE[#All],7,FALSE))</f>
        <v>Fora do DRE</v>
      </c>
      <c r="V6608" s="3" t="str">
        <f>IF(Base_Periodo1[[#This Row],[Tipo_Linha]]="Fora do DRE","Fora do DRE","( "&amp;Base_Periodo1[[#This Row],[Tipo_Linha]]&amp;" ) "&amp;Base_Periodo1[[#This Row],[Filtro]])</f>
        <v>Fora do DRE</v>
      </c>
      <c r="W6608" s="3" t="str">
        <f>LEFT(Base_Periodo1[[#This Row],[CLASS]],3)</f>
        <v>3.2</v>
      </c>
    </row>
    <row r="6609" spans="1:23" hidden="1">
      <c r="A6609" s="3" t="str">
        <f t="shared" si="103"/>
        <v>Período 1</v>
      </c>
      <c r="B6609">
        <v>6858</v>
      </c>
      <c r="C6609" t="s">
        <v>5835</v>
      </c>
      <c r="D6609" t="s">
        <v>3958</v>
      </c>
      <c r="E6609" s="3" t="str">
        <f>IF(LEN(Base_Periodo1[[#This Row],[CLASS]])&gt;=7,LEFT(Base_Periodo1[[#This Row],[CLASS]],7),"")</f>
        <v>3.2.1.5</v>
      </c>
      <c r="F6609" s="3" t="e">
        <f>VLOOKUP(Base_Periodo1[[#This Row],[Aux]],Base_Contas_Balanco[#All],2,FALSE)</f>
        <v>#N/A</v>
      </c>
      <c r="G6609" s="1">
        <v>42886</v>
      </c>
      <c r="H6609" s="328">
        <v>101716.18000000343</v>
      </c>
      <c r="I6609" s="328">
        <v>101716.18</v>
      </c>
      <c r="J6609" s="328">
        <v>192571.44</v>
      </c>
      <c r="K6609" s="328">
        <v>192571.44000000344</v>
      </c>
      <c r="L6609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192571.44</v>
      </c>
      <c r="M6609" s="328">
        <f>ROUND(IF(AND(Base_Periodo1[[#This Row],[Tipo_Linha]]="-",Base_Periodo1[[#This Row],[TIPOSALDO]]="D"),Base_Periodo1[[#This Row],[SALDO_ATUAL]]*-1,Base_Periodo1[[#This Row],[SALDO_ATUAL]]),4)</f>
        <v>192571.44</v>
      </c>
      <c r="N6609" t="s">
        <v>116</v>
      </c>
      <c r="O6609" t="s">
        <v>459</v>
      </c>
      <c r="P6609" t="s">
        <v>459</v>
      </c>
      <c r="Q6609">
        <v>6</v>
      </c>
      <c r="R6609" s="328">
        <f>Base_Periodo1[[#This Row],[CREDITOS]]-Base_Periodo1[[#This Row],[DEBITOS]]</f>
        <v>90855.260000000009</v>
      </c>
      <c r="S6609" s="3" t="str">
        <f>IF(ISERROR(VLOOKUP(Base_Periodo1[[#This Row],[CONTA]],BaseContasDRE[#All],4,FALSE)),"Fora do DRE",VLOOKUP(Base_Periodo1[[#This Row],[CONTA]],BaseContasDRE[#All],4,FALSE))</f>
        <v>+</v>
      </c>
      <c r="T6609" s="3">
        <f>IF(ISERROR(VLOOKUP(Base_Periodo1[[#This Row],[CONTA]],BaseContasDRE[#All],5,FALSE)),"Fora do DRE",VLOOKUP(Base_Periodo1[[#This Row],[CONTA]],BaseContasDRE[#All],6,FALSE))</f>
        <v>6</v>
      </c>
      <c r="U6609" s="3" t="str">
        <f>IF(ISERROR(VLOOKUP(Base_Periodo1[[#This Row],[CONTA]],BaseContasDRE[#All],7,FALSE)),"Fora do DRE",VLOOKUP(Base_Periodo1[[#This Row],[CONTA]],BaseContasDRE[#All],7,FALSE))</f>
        <v>INGRESSOS E RECEITAS FINANCEIRAS</v>
      </c>
      <c r="V6609" s="3" t="str">
        <f>IF(Base_Periodo1[[#This Row],[Tipo_Linha]]="Fora do DRE","Fora do DRE","( "&amp;Base_Periodo1[[#This Row],[Tipo_Linha]]&amp;" ) "&amp;Base_Periodo1[[#This Row],[Filtro]])</f>
        <v>( + ) INGRESSOS E RECEITAS FINANCEIRAS</v>
      </c>
      <c r="W6609" s="3" t="str">
        <f>LEFT(Base_Periodo1[[#This Row],[CLASS]],3)</f>
        <v>3.2</v>
      </c>
    </row>
    <row r="6610" spans="1:23" hidden="1">
      <c r="A6610" s="3" t="str">
        <f t="shared" si="103"/>
        <v>Período 1</v>
      </c>
      <c r="B6610">
        <v>6859</v>
      </c>
      <c r="C6610" t="s">
        <v>4135</v>
      </c>
      <c r="D6610" t="s">
        <v>4136</v>
      </c>
      <c r="E6610" s="3" t="str">
        <f>IF(LEN(Base_Periodo1[[#This Row],[CLASS]])&gt;=7,LEFT(Base_Periodo1[[#This Row],[CLASS]],7),"")</f>
        <v>3.2.1.5</v>
      </c>
      <c r="F6610" s="3" t="e">
        <f>VLOOKUP(Base_Periodo1[[#This Row],[Aux]],Base_Contas_Balanco[#All],2,FALSE)</f>
        <v>#N/A</v>
      </c>
      <c r="G6610" s="1">
        <v>42886</v>
      </c>
      <c r="H6610" s="328">
        <v>1405165.2800000086</v>
      </c>
      <c r="I6610" s="328">
        <v>0</v>
      </c>
      <c r="J6610" s="328">
        <v>361349.20000000007</v>
      </c>
      <c r="K6610" s="328">
        <v>1766514.4800000088</v>
      </c>
      <c r="L6610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1766514.48</v>
      </c>
      <c r="M6610" s="328">
        <f>ROUND(IF(AND(Base_Periodo1[[#This Row],[Tipo_Linha]]="-",Base_Periodo1[[#This Row],[TIPOSALDO]]="D"),Base_Periodo1[[#This Row],[SALDO_ATUAL]]*-1,Base_Periodo1[[#This Row],[SALDO_ATUAL]]),4)</f>
        <v>1766514.48</v>
      </c>
      <c r="N6610" t="s">
        <v>116</v>
      </c>
      <c r="O6610" t="s">
        <v>459</v>
      </c>
      <c r="P6610" t="s">
        <v>459</v>
      </c>
      <c r="Q6610">
        <v>6</v>
      </c>
      <c r="R6610" s="328">
        <f>Base_Periodo1[[#This Row],[CREDITOS]]-Base_Periodo1[[#This Row],[DEBITOS]]</f>
        <v>361349.20000000007</v>
      </c>
      <c r="S6610" s="3" t="str">
        <f>IF(ISERROR(VLOOKUP(Base_Periodo1[[#This Row],[CONTA]],BaseContasDRE[#All],4,FALSE)),"Fora do DRE",VLOOKUP(Base_Periodo1[[#This Row],[CONTA]],BaseContasDRE[#All],4,FALSE))</f>
        <v>+</v>
      </c>
      <c r="T6610" s="3">
        <f>IF(ISERROR(VLOOKUP(Base_Periodo1[[#This Row],[CONTA]],BaseContasDRE[#All],5,FALSE)),"Fora do DRE",VLOOKUP(Base_Periodo1[[#This Row],[CONTA]],BaseContasDRE[#All],6,FALSE))</f>
        <v>6</v>
      </c>
      <c r="U6610" s="3" t="str">
        <f>IF(ISERROR(VLOOKUP(Base_Periodo1[[#This Row],[CONTA]],BaseContasDRE[#All],7,FALSE)),"Fora do DRE",VLOOKUP(Base_Periodo1[[#This Row],[CONTA]],BaseContasDRE[#All],7,FALSE))</f>
        <v>INGRESSOS E RECEITAS FINANCEIRAS</v>
      </c>
      <c r="V6610" s="3" t="str">
        <f>IF(Base_Periodo1[[#This Row],[Tipo_Linha]]="Fora do DRE","Fora do DRE","( "&amp;Base_Periodo1[[#This Row],[Tipo_Linha]]&amp;" ) "&amp;Base_Periodo1[[#This Row],[Filtro]])</f>
        <v>( + ) INGRESSOS E RECEITAS FINANCEIRAS</v>
      </c>
      <c r="W6610" s="3" t="str">
        <f>LEFT(Base_Periodo1[[#This Row],[CLASS]],3)</f>
        <v>3.2</v>
      </c>
    </row>
    <row r="6611" spans="1:23" hidden="1">
      <c r="A6611" s="3" t="str">
        <f t="shared" si="103"/>
        <v>Período 1</v>
      </c>
      <c r="B6611">
        <v>49030</v>
      </c>
      <c r="C6611" t="s">
        <v>6694</v>
      </c>
      <c r="D6611" t="s">
        <v>6695</v>
      </c>
      <c r="E6611" s="3" t="str">
        <f>IF(LEN(Base_Periodo1[[#This Row],[CLASS]])&gt;=7,LEFT(Base_Periodo1[[#This Row],[CLASS]],7),"")</f>
        <v>3.2.1.5</v>
      </c>
      <c r="F6611" s="3" t="e">
        <f>VLOOKUP(Base_Periodo1[[#This Row],[Aux]],Base_Contas_Balanco[#All],2,FALSE)</f>
        <v>#N/A</v>
      </c>
      <c r="G6611" s="1">
        <v>42855</v>
      </c>
      <c r="H6611" s="328">
        <v>8677.8000000000175</v>
      </c>
      <c r="I6611" s="328">
        <v>0</v>
      </c>
      <c r="J6611" s="328">
        <v>0</v>
      </c>
      <c r="K6611" s="328">
        <v>8677.8000000000175</v>
      </c>
      <c r="L6611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-8677.7999999999993</v>
      </c>
      <c r="M6611" s="328">
        <f>ROUND(IF(AND(Base_Periodo1[[#This Row],[Tipo_Linha]]="-",Base_Periodo1[[#This Row],[TIPOSALDO]]="D"),Base_Periodo1[[#This Row],[SALDO_ATUAL]]*-1,Base_Periodo1[[#This Row],[SALDO_ATUAL]]),4)</f>
        <v>8677.7999999999993</v>
      </c>
      <c r="N6611" t="s">
        <v>116</v>
      </c>
      <c r="O6611" t="s">
        <v>397</v>
      </c>
      <c r="P6611" t="s">
        <v>397</v>
      </c>
      <c r="Q6611">
        <v>6</v>
      </c>
      <c r="R6611" s="328">
        <f>Base_Periodo1[[#This Row],[CREDITOS]]-Base_Periodo1[[#This Row],[DEBITOS]]</f>
        <v>0</v>
      </c>
      <c r="S6611" s="3" t="str">
        <f>IF(ISERROR(VLOOKUP(Base_Periodo1[[#This Row],[CONTA]],BaseContasDRE[#All],4,FALSE)),"Fora do DRE",VLOOKUP(Base_Periodo1[[#This Row],[CONTA]],BaseContasDRE[#All],4,FALSE))</f>
        <v>+</v>
      </c>
      <c r="T6611" s="3">
        <f>IF(ISERROR(VLOOKUP(Base_Periodo1[[#This Row],[CONTA]],BaseContasDRE[#All],5,FALSE)),"Fora do DRE",VLOOKUP(Base_Periodo1[[#This Row],[CONTA]],BaseContasDRE[#All],6,FALSE))</f>
        <v>6</v>
      </c>
      <c r="U6611" s="3" t="str">
        <f>IF(ISERROR(VLOOKUP(Base_Periodo1[[#This Row],[CONTA]],BaseContasDRE[#All],7,FALSE)),"Fora do DRE",VLOOKUP(Base_Periodo1[[#This Row],[CONTA]],BaseContasDRE[#All],7,FALSE))</f>
        <v>INGRESSOS E RECEITAS FINANCEIRAS</v>
      </c>
      <c r="V6611" s="3" t="str">
        <f>IF(Base_Periodo1[[#This Row],[Tipo_Linha]]="Fora do DRE","Fora do DRE","( "&amp;Base_Periodo1[[#This Row],[Tipo_Linha]]&amp;" ) "&amp;Base_Periodo1[[#This Row],[Filtro]])</f>
        <v>( + ) INGRESSOS E RECEITAS FINANCEIRAS</v>
      </c>
      <c r="W6611" s="3" t="str">
        <f>LEFT(Base_Periodo1[[#This Row],[CLASS]],3)</f>
        <v>3.2</v>
      </c>
    </row>
    <row r="6612" spans="1:23" hidden="1">
      <c r="A6612" s="3" t="str">
        <f t="shared" si="103"/>
        <v>Período 1</v>
      </c>
      <c r="B6612">
        <v>49031</v>
      </c>
      <c r="C6612" t="s">
        <v>6696</v>
      </c>
      <c r="D6612" t="s">
        <v>6697</v>
      </c>
      <c r="E6612" s="3" t="str">
        <f>IF(LEN(Base_Periodo1[[#This Row],[CLASS]])&gt;=7,LEFT(Base_Periodo1[[#This Row],[CLASS]],7),"")</f>
        <v>3.2.1.5</v>
      </c>
      <c r="F6612" s="3" t="e">
        <f>VLOOKUP(Base_Periodo1[[#This Row],[Aux]],Base_Contas_Balanco[#All],2,FALSE)</f>
        <v>#N/A</v>
      </c>
      <c r="G6612" s="1">
        <v>42855</v>
      </c>
      <c r="H6612" s="328">
        <v>53401.870000000112</v>
      </c>
      <c r="I6612" s="328">
        <v>0</v>
      </c>
      <c r="J6612" s="328">
        <v>0</v>
      </c>
      <c r="K6612" s="328">
        <v>53401.870000000112</v>
      </c>
      <c r="L6612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-53401.87</v>
      </c>
      <c r="M6612" s="328">
        <f>ROUND(IF(AND(Base_Periodo1[[#This Row],[Tipo_Linha]]="-",Base_Periodo1[[#This Row],[TIPOSALDO]]="D"),Base_Periodo1[[#This Row],[SALDO_ATUAL]]*-1,Base_Periodo1[[#This Row],[SALDO_ATUAL]]),4)</f>
        <v>53401.87</v>
      </c>
      <c r="N6612" t="s">
        <v>116</v>
      </c>
      <c r="O6612" t="s">
        <v>397</v>
      </c>
      <c r="P6612" t="s">
        <v>397</v>
      </c>
      <c r="Q6612">
        <v>6</v>
      </c>
      <c r="R6612" s="328">
        <f>Base_Periodo1[[#This Row],[CREDITOS]]-Base_Periodo1[[#This Row],[DEBITOS]]</f>
        <v>0</v>
      </c>
      <c r="S6612" s="3" t="str">
        <f>IF(ISERROR(VLOOKUP(Base_Periodo1[[#This Row],[CONTA]],BaseContasDRE[#All],4,FALSE)),"Fora do DRE",VLOOKUP(Base_Periodo1[[#This Row],[CONTA]],BaseContasDRE[#All],4,FALSE))</f>
        <v>+</v>
      </c>
      <c r="T6612" s="3">
        <f>IF(ISERROR(VLOOKUP(Base_Periodo1[[#This Row],[CONTA]],BaseContasDRE[#All],5,FALSE)),"Fora do DRE",VLOOKUP(Base_Periodo1[[#This Row],[CONTA]],BaseContasDRE[#All],6,FALSE))</f>
        <v>6</v>
      </c>
      <c r="U6612" s="3" t="str">
        <f>IF(ISERROR(VLOOKUP(Base_Periodo1[[#This Row],[CONTA]],BaseContasDRE[#All],7,FALSE)),"Fora do DRE",VLOOKUP(Base_Periodo1[[#This Row],[CONTA]],BaseContasDRE[#All],7,FALSE))</f>
        <v>INGRESSOS E RECEITAS FINANCEIRAS</v>
      </c>
      <c r="V6612" s="3" t="str">
        <f>IF(Base_Periodo1[[#This Row],[Tipo_Linha]]="Fora do DRE","Fora do DRE","( "&amp;Base_Periodo1[[#This Row],[Tipo_Linha]]&amp;" ) "&amp;Base_Periodo1[[#This Row],[Filtro]])</f>
        <v>( + ) INGRESSOS E RECEITAS FINANCEIRAS</v>
      </c>
      <c r="W6612" s="3" t="str">
        <f>LEFT(Base_Periodo1[[#This Row],[CLASS]],3)</f>
        <v>3.2</v>
      </c>
    </row>
    <row r="6613" spans="1:23" hidden="1">
      <c r="A6613" s="3" t="str">
        <f t="shared" si="103"/>
        <v>Período 1</v>
      </c>
      <c r="B6613">
        <v>57618</v>
      </c>
      <c r="C6613" t="s">
        <v>6692</v>
      </c>
      <c r="D6613" t="s">
        <v>3960</v>
      </c>
      <c r="E6613" s="3" t="str">
        <f>IF(LEN(Base_Periodo1[[#This Row],[CLASS]])&gt;=7,LEFT(Base_Periodo1[[#This Row],[CLASS]],7),"")</f>
        <v>3.2.1.5</v>
      </c>
      <c r="F6613" s="3" t="e">
        <f>VLOOKUP(Base_Periodo1[[#This Row],[Aux]],Base_Contas_Balanco[#All],2,FALSE)</f>
        <v>#N/A</v>
      </c>
      <c r="G6613" s="1"/>
      <c r="H6613" s="328">
        <v>253512.06000000006</v>
      </c>
      <c r="I6613" s="328">
        <v>0</v>
      </c>
      <c r="J6613" s="328">
        <v>9453.9100000000017</v>
      </c>
      <c r="K6613" s="328">
        <v>262965.97000000003</v>
      </c>
      <c r="L6613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262965.96999999997</v>
      </c>
      <c r="M6613" s="328">
        <f>ROUND(IF(AND(Base_Periodo1[[#This Row],[Tipo_Linha]]="-",Base_Periodo1[[#This Row],[TIPOSALDO]]="D"),Base_Periodo1[[#This Row],[SALDO_ATUAL]]*-1,Base_Periodo1[[#This Row],[SALDO_ATUAL]]),4)</f>
        <v>262965.96999999997</v>
      </c>
      <c r="N6613" t="s">
        <v>116</v>
      </c>
      <c r="O6613" t="s">
        <v>459</v>
      </c>
      <c r="P6613" t="s">
        <v>459</v>
      </c>
      <c r="Q6613">
        <v>6</v>
      </c>
      <c r="R6613" s="328">
        <f>Base_Periodo1[[#This Row],[CREDITOS]]-Base_Periodo1[[#This Row],[DEBITOS]]</f>
        <v>9453.9100000000017</v>
      </c>
      <c r="S6613" s="3" t="str">
        <f>IF(ISERROR(VLOOKUP(Base_Periodo1[[#This Row],[CONTA]],BaseContasDRE[#All],4,FALSE)),"Fora do DRE",VLOOKUP(Base_Periodo1[[#This Row],[CONTA]],BaseContasDRE[#All],4,FALSE))</f>
        <v>+</v>
      </c>
      <c r="T6613" s="3">
        <f>IF(ISERROR(VLOOKUP(Base_Periodo1[[#This Row],[CONTA]],BaseContasDRE[#All],5,FALSE)),"Fora do DRE",VLOOKUP(Base_Periodo1[[#This Row],[CONTA]],BaseContasDRE[#All],6,FALSE))</f>
        <v>6</v>
      </c>
      <c r="U6613" s="3" t="str">
        <f>IF(ISERROR(VLOOKUP(Base_Periodo1[[#This Row],[CONTA]],BaseContasDRE[#All],7,FALSE)),"Fora do DRE",VLOOKUP(Base_Periodo1[[#This Row],[CONTA]],BaseContasDRE[#All],7,FALSE))</f>
        <v>INGRESSOS E RECEITAS FINANCEIRAS</v>
      </c>
      <c r="V6613" s="3" t="str">
        <f>IF(Base_Periodo1[[#This Row],[Tipo_Linha]]="Fora do DRE","Fora do DRE","( "&amp;Base_Periodo1[[#This Row],[Tipo_Linha]]&amp;" ) "&amp;Base_Periodo1[[#This Row],[Filtro]])</f>
        <v>( + ) INGRESSOS E RECEITAS FINANCEIRAS</v>
      </c>
      <c r="W6613" s="3" t="str">
        <f>LEFT(Base_Periodo1[[#This Row],[CLASS]],3)</f>
        <v>3.2</v>
      </c>
    </row>
    <row r="6614" spans="1:23" hidden="1">
      <c r="A6614" s="3" t="str">
        <f t="shared" si="103"/>
        <v>Período 1</v>
      </c>
      <c r="B6614">
        <v>6864</v>
      </c>
      <c r="C6614" t="s">
        <v>4137</v>
      </c>
      <c r="D6614" t="s">
        <v>4138</v>
      </c>
      <c r="E6614" s="3" t="str">
        <f>IF(LEN(Base_Periodo1[[#This Row],[CLASS]])&gt;=7,LEFT(Base_Periodo1[[#This Row],[CLASS]],7),"")</f>
        <v>3.2.1.6</v>
      </c>
      <c r="F6614" s="3" t="e">
        <f>VLOOKUP(Base_Periodo1[[#This Row],[Aux]],Base_Contas_Balanco[#All],2,FALSE)</f>
        <v>#N/A</v>
      </c>
      <c r="G6614" s="1"/>
      <c r="H6614" s="328">
        <v>93501.5399999988</v>
      </c>
      <c r="I6614" s="328">
        <v>17399.170000000002</v>
      </c>
      <c r="J6614" s="328">
        <v>358828.94000000006</v>
      </c>
      <c r="K6614" s="328">
        <v>434931.30999999889</v>
      </c>
      <c r="L6614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434931.31</v>
      </c>
      <c r="M6614" s="328">
        <f>ROUND(IF(AND(Base_Periodo1[[#This Row],[Tipo_Linha]]="-",Base_Periodo1[[#This Row],[TIPOSALDO]]="D"),Base_Periodo1[[#This Row],[SALDO_ATUAL]]*-1,Base_Periodo1[[#This Row],[SALDO_ATUAL]]),4)</f>
        <v>434931.31</v>
      </c>
      <c r="N6614" t="s">
        <v>396</v>
      </c>
      <c r="O6614" t="s">
        <v>459</v>
      </c>
      <c r="P6614" t="s">
        <v>459</v>
      </c>
      <c r="Q6614">
        <v>4</v>
      </c>
      <c r="R6614" s="328">
        <f>Base_Periodo1[[#This Row],[CREDITOS]]-Base_Periodo1[[#This Row],[DEBITOS]]</f>
        <v>341429.77000000008</v>
      </c>
      <c r="S6614" s="3" t="str">
        <f>IF(ISERROR(VLOOKUP(Base_Periodo1[[#This Row],[CONTA]],BaseContasDRE[#All],4,FALSE)),"Fora do DRE",VLOOKUP(Base_Periodo1[[#This Row],[CONTA]],BaseContasDRE[#All],4,FALSE))</f>
        <v>Fora do DRE</v>
      </c>
      <c r="T6614" s="3" t="str">
        <f>IF(ISERROR(VLOOKUP(Base_Periodo1[[#This Row],[CONTA]],BaseContasDRE[#All],5,FALSE)),"Fora do DRE",VLOOKUP(Base_Periodo1[[#This Row],[CONTA]],BaseContasDRE[#All],6,FALSE))</f>
        <v>Fora do DRE</v>
      </c>
      <c r="U6614" s="3" t="str">
        <f>IF(ISERROR(VLOOKUP(Base_Periodo1[[#This Row],[CONTA]],BaseContasDRE[#All],7,FALSE)),"Fora do DRE",VLOOKUP(Base_Periodo1[[#This Row],[CONTA]],BaseContasDRE[#All],7,FALSE))</f>
        <v>Fora do DRE</v>
      </c>
      <c r="V6614" s="3" t="str">
        <f>IF(Base_Periodo1[[#This Row],[Tipo_Linha]]="Fora do DRE","Fora do DRE","( "&amp;Base_Periodo1[[#This Row],[Tipo_Linha]]&amp;" ) "&amp;Base_Periodo1[[#This Row],[Filtro]])</f>
        <v>Fora do DRE</v>
      </c>
      <c r="W6614" s="3" t="str">
        <f>LEFT(Base_Periodo1[[#This Row],[CLASS]],3)</f>
        <v>3.2</v>
      </c>
    </row>
    <row r="6615" spans="1:23" hidden="1">
      <c r="A6615" s="3" t="str">
        <f t="shared" si="103"/>
        <v>Período 1</v>
      </c>
      <c r="B6615">
        <v>6866</v>
      </c>
      <c r="C6615" t="s">
        <v>4139</v>
      </c>
      <c r="D6615" t="s">
        <v>291</v>
      </c>
      <c r="E6615" s="3" t="str">
        <f>IF(LEN(Base_Periodo1[[#This Row],[CLASS]])&gt;=7,LEFT(Base_Periodo1[[#This Row],[CLASS]],7),"")</f>
        <v>3.2.1.6</v>
      </c>
      <c r="F6615" s="3" t="e">
        <f>VLOOKUP(Base_Periodo1[[#This Row],[Aux]],Base_Contas_Balanco[#All],2,FALSE)</f>
        <v>#N/A</v>
      </c>
      <c r="G6615" s="1"/>
      <c r="H6615" s="328">
        <v>96356.819999996616</v>
      </c>
      <c r="I6615" s="328">
        <v>13745.77</v>
      </c>
      <c r="J6615" s="328">
        <v>355973.66000000003</v>
      </c>
      <c r="K6615" s="328">
        <v>438584.70999999664</v>
      </c>
      <c r="L6615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438584.71</v>
      </c>
      <c r="M6615" s="328">
        <f>ROUND(IF(AND(Base_Periodo1[[#This Row],[Tipo_Linha]]="-",Base_Periodo1[[#This Row],[TIPOSALDO]]="D"),Base_Periodo1[[#This Row],[SALDO_ATUAL]]*-1,Base_Periodo1[[#This Row],[SALDO_ATUAL]]),4)</f>
        <v>438584.71</v>
      </c>
      <c r="N6615" t="s">
        <v>396</v>
      </c>
      <c r="O6615" t="s">
        <v>459</v>
      </c>
      <c r="P6615" t="s">
        <v>459</v>
      </c>
      <c r="Q6615">
        <v>5</v>
      </c>
      <c r="R6615" s="328">
        <f>Base_Periodo1[[#This Row],[CREDITOS]]-Base_Periodo1[[#This Row],[DEBITOS]]</f>
        <v>342227.89</v>
      </c>
      <c r="S6615" s="3" t="str">
        <f>IF(ISERROR(VLOOKUP(Base_Periodo1[[#This Row],[CONTA]],BaseContasDRE[#All],4,FALSE)),"Fora do DRE",VLOOKUP(Base_Periodo1[[#This Row],[CONTA]],BaseContasDRE[#All],4,FALSE))</f>
        <v>Fora do DRE</v>
      </c>
      <c r="T6615" s="3" t="str">
        <f>IF(ISERROR(VLOOKUP(Base_Periodo1[[#This Row],[CONTA]],BaseContasDRE[#All],5,FALSE)),"Fora do DRE",VLOOKUP(Base_Periodo1[[#This Row],[CONTA]],BaseContasDRE[#All],6,FALSE))</f>
        <v>Fora do DRE</v>
      </c>
      <c r="U6615" s="3" t="str">
        <f>IF(ISERROR(VLOOKUP(Base_Periodo1[[#This Row],[CONTA]],BaseContasDRE[#All],7,FALSE)),"Fora do DRE",VLOOKUP(Base_Periodo1[[#This Row],[CONTA]],BaseContasDRE[#All],7,FALSE))</f>
        <v>Fora do DRE</v>
      </c>
      <c r="V6615" s="3" t="str">
        <f>IF(Base_Periodo1[[#This Row],[Tipo_Linha]]="Fora do DRE","Fora do DRE","( "&amp;Base_Periodo1[[#This Row],[Tipo_Linha]]&amp;" ) "&amp;Base_Periodo1[[#This Row],[Filtro]])</f>
        <v>Fora do DRE</v>
      </c>
      <c r="W6615" s="3" t="str">
        <f>LEFT(Base_Periodo1[[#This Row],[CLASS]],3)</f>
        <v>3.2</v>
      </c>
    </row>
    <row r="6616" spans="1:23" hidden="1">
      <c r="A6616" s="3" t="str">
        <f t="shared" si="103"/>
        <v>Período 1</v>
      </c>
      <c r="B6616">
        <v>6861</v>
      </c>
      <c r="C6616" t="s">
        <v>5836</v>
      </c>
      <c r="D6616" t="s">
        <v>291</v>
      </c>
      <c r="E6616" s="3" t="str">
        <f>IF(LEN(Base_Periodo1[[#This Row],[CLASS]])&gt;=7,LEFT(Base_Periodo1[[#This Row],[CLASS]],7),"")</f>
        <v>3.2.1.6</v>
      </c>
      <c r="F6616" s="3" t="e">
        <f>VLOOKUP(Base_Periodo1[[#This Row],[Aux]],Base_Contas_Balanco[#All],2,FALSE)</f>
        <v>#N/A</v>
      </c>
      <c r="G6616" s="1">
        <v>42886</v>
      </c>
      <c r="H6616" s="328">
        <v>13745.769999995828</v>
      </c>
      <c r="I6616" s="328">
        <v>13745.77</v>
      </c>
      <c r="J6616" s="328">
        <v>341963.57</v>
      </c>
      <c r="K6616" s="328">
        <v>341963.56999999582</v>
      </c>
      <c r="L6616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341963.57</v>
      </c>
      <c r="M6616" s="328">
        <f>ROUND(IF(AND(Base_Periodo1[[#This Row],[Tipo_Linha]]="-",Base_Periodo1[[#This Row],[TIPOSALDO]]="D"),Base_Periodo1[[#This Row],[SALDO_ATUAL]]*-1,Base_Periodo1[[#This Row],[SALDO_ATUAL]]),4)</f>
        <v>341963.57</v>
      </c>
      <c r="N6616" t="s">
        <v>116</v>
      </c>
      <c r="O6616" t="s">
        <v>459</v>
      </c>
      <c r="P6616" t="s">
        <v>459</v>
      </c>
      <c r="Q6616">
        <v>6</v>
      </c>
      <c r="R6616" s="328">
        <f>Base_Periodo1[[#This Row],[CREDITOS]]-Base_Periodo1[[#This Row],[DEBITOS]]</f>
        <v>328217.8</v>
      </c>
      <c r="S6616" s="3" t="str">
        <f>IF(ISERROR(VLOOKUP(Base_Periodo1[[#This Row],[CONTA]],BaseContasDRE[#All],4,FALSE)),"Fora do DRE",VLOOKUP(Base_Periodo1[[#This Row],[CONTA]],BaseContasDRE[#All],4,FALSE))</f>
        <v>+</v>
      </c>
      <c r="T6616" s="3">
        <f>IF(ISERROR(VLOOKUP(Base_Periodo1[[#This Row],[CONTA]],BaseContasDRE[#All],5,FALSE)),"Fora do DRE",VLOOKUP(Base_Periodo1[[#This Row],[CONTA]],BaseContasDRE[#All],6,FALSE))</f>
        <v>7</v>
      </c>
      <c r="U6616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616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616" s="3" t="str">
        <f>LEFT(Base_Periodo1[[#This Row],[CLASS]],3)</f>
        <v>3.2</v>
      </c>
    </row>
    <row r="6617" spans="1:23" hidden="1">
      <c r="A6617" s="3" t="str">
        <f t="shared" si="103"/>
        <v>Período 1</v>
      </c>
      <c r="B6617">
        <v>6868</v>
      </c>
      <c r="C6617" t="s">
        <v>5772</v>
      </c>
      <c r="D6617" t="s">
        <v>5773</v>
      </c>
      <c r="E6617" s="3" t="str">
        <f>IF(LEN(Base_Periodo1[[#This Row],[CLASS]])&gt;=7,LEFT(Base_Periodo1[[#This Row],[CLASS]],7),"")</f>
        <v>3.2.1.6</v>
      </c>
      <c r="F6617" s="3" t="e">
        <f>VLOOKUP(Base_Periodo1[[#This Row],[Aux]],Base_Contas_Balanco[#All],2,FALSE)</f>
        <v>#N/A</v>
      </c>
      <c r="G6617" s="1"/>
      <c r="H6617" s="328">
        <v>27000</v>
      </c>
      <c r="I6617" s="328">
        <v>0</v>
      </c>
      <c r="J6617" s="328">
        <v>8000</v>
      </c>
      <c r="K6617" s="328">
        <v>35000</v>
      </c>
      <c r="L6617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35000</v>
      </c>
      <c r="M6617" s="328">
        <f>ROUND(IF(AND(Base_Periodo1[[#This Row],[Tipo_Linha]]="-",Base_Periodo1[[#This Row],[TIPOSALDO]]="D"),Base_Periodo1[[#This Row],[SALDO_ATUAL]]*-1,Base_Periodo1[[#This Row],[SALDO_ATUAL]]),4)</f>
        <v>35000</v>
      </c>
      <c r="N6617" t="s">
        <v>116</v>
      </c>
      <c r="O6617" t="s">
        <v>459</v>
      </c>
      <c r="P6617" t="s">
        <v>459</v>
      </c>
      <c r="Q6617">
        <v>6</v>
      </c>
      <c r="R6617" s="328">
        <f>Base_Periodo1[[#This Row],[CREDITOS]]-Base_Periodo1[[#This Row],[DEBITOS]]</f>
        <v>8000</v>
      </c>
      <c r="S6617" s="3" t="str">
        <f>IF(ISERROR(VLOOKUP(Base_Periodo1[[#This Row],[CONTA]],BaseContasDRE[#All],4,FALSE)),"Fora do DRE",VLOOKUP(Base_Periodo1[[#This Row],[CONTA]],BaseContasDRE[#All],4,FALSE))</f>
        <v>+</v>
      </c>
      <c r="T6617" s="3">
        <f>IF(ISERROR(VLOOKUP(Base_Periodo1[[#This Row],[CONTA]],BaseContasDRE[#All],5,FALSE)),"Fora do DRE",VLOOKUP(Base_Periodo1[[#This Row],[CONTA]],BaseContasDRE[#All],6,FALSE))</f>
        <v>7</v>
      </c>
      <c r="U6617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617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617" s="3" t="str">
        <f>LEFT(Base_Periodo1[[#This Row],[CLASS]],3)</f>
        <v>3.2</v>
      </c>
    </row>
    <row r="6618" spans="1:23" hidden="1">
      <c r="A6618" s="3" t="str">
        <f t="shared" si="103"/>
        <v>Período 1</v>
      </c>
      <c r="B6618">
        <v>6869</v>
      </c>
      <c r="C6618" t="s">
        <v>6693</v>
      </c>
      <c r="D6618" t="s">
        <v>291</v>
      </c>
      <c r="E6618" s="3" t="str">
        <f>IF(LEN(Base_Periodo1[[#This Row],[CLASS]])&gt;=7,LEFT(Base_Periodo1[[#This Row],[CLASS]],7),"")</f>
        <v>3.2.1.6</v>
      </c>
      <c r="F6618" s="3" t="e">
        <f>VLOOKUP(Base_Periodo1[[#This Row],[Aux]],Base_Contas_Balanco[#All],2,FALSE)</f>
        <v>#N/A</v>
      </c>
      <c r="G6618" s="1">
        <v>42808</v>
      </c>
      <c r="H6618" s="328">
        <v>45000</v>
      </c>
      <c r="I6618" s="328">
        <v>0</v>
      </c>
      <c r="J6618" s="328">
        <v>0</v>
      </c>
      <c r="K6618" s="328">
        <v>45000</v>
      </c>
      <c r="L6618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45000</v>
      </c>
      <c r="M6618" s="328">
        <f>ROUND(IF(AND(Base_Periodo1[[#This Row],[Tipo_Linha]]="-",Base_Periodo1[[#This Row],[TIPOSALDO]]="D"),Base_Periodo1[[#This Row],[SALDO_ATUAL]]*-1,Base_Periodo1[[#This Row],[SALDO_ATUAL]]),4)</f>
        <v>45000</v>
      </c>
      <c r="N6618" t="s">
        <v>116</v>
      </c>
      <c r="O6618" t="s">
        <v>459</v>
      </c>
      <c r="P6618" t="s">
        <v>459</v>
      </c>
      <c r="Q6618">
        <v>6</v>
      </c>
      <c r="R6618" s="328">
        <f>Base_Periodo1[[#This Row],[CREDITOS]]-Base_Periodo1[[#This Row],[DEBITOS]]</f>
        <v>0</v>
      </c>
      <c r="S6618" s="3" t="str">
        <f>IF(ISERROR(VLOOKUP(Base_Periodo1[[#This Row],[CONTA]],BaseContasDRE[#All],4,FALSE)),"Fora do DRE",VLOOKUP(Base_Periodo1[[#This Row],[CONTA]],BaseContasDRE[#All],4,FALSE))</f>
        <v>+</v>
      </c>
      <c r="T6618" s="3">
        <f>IF(ISERROR(VLOOKUP(Base_Periodo1[[#This Row],[CONTA]],BaseContasDRE[#All],5,FALSE)),"Fora do DRE",VLOOKUP(Base_Periodo1[[#This Row],[CONTA]],BaseContasDRE[#All],6,FALSE))</f>
        <v>7</v>
      </c>
      <c r="U6618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618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618" s="3" t="str">
        <f>LEFT(Base_Periodo1[[#This Row],[CLASS]],3)</f>
        <v>3.2</v>
      </c>
    </row>
    <row r="6619" spans="1:23" hidden="1">
      <c r="A6619" s="3" t="str">
        <f t="shared" si="103"/>
        <v>Período 1</v>
      </c>
      <c r="B6619">
        <v>24895</v>
      </c>
      <c r="C6619" t="s">
        <v>4140</v>
      </c>
      <c r="D6619" t="s">
        <v>3972</v>
      </c>
      <c r="E6619" s="3" t="str">
        <f>IF(LEN(Base_Periodo1[[#This Row],[CLASS]])&gt;=7,LEFT(Base_Periodo1[[#This Row],[CLASS]],7),"")</f>
        <v>3.2.1.6</v>
      </c>
      <c r="F6619" s="3" t="e">
        <f>VLOOKUP(Base_Periodo1[[#This Row],[Aux]],Base_Contas_Balanco[#All],2,FALSE)</f>
        <v>#N/A</v>
      </c>
      <c r="G6619" s="1">
        <v>42886</v>
      </c>
      <c r="H6619" s="328">
        <v>12040.910000000556</v>
      </c>
      <c r="I6619" s="328">
        <v>0</v>
      </c>
      <c r="J6619" s="328">
        <v>6010.0899999999983</v>
      </c>
      <c r="K6619" s="328">
        <v>18051.000000000553</v>
      </c>
      <c r="L6619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18051</v>
      </c>
      <c r="M6619" s="328">
        <f>ROUND(IF(AND(Base_Periodo1[[#This Row],[Tipo_Linha]]="-",Base_Periodo1[[#This Row],[TIPOSALDO]]="D"),Base_Periodo1[[#This Row],[SALDO_ATUAL]]*-1,Base_Periodo1[[#This Row],[SALDO_ATUAL]]),4)</f>
        <v>18051</v>
      </c>
      <c r="N6619" t="s">
        <v>116</v>
      </c>
      <c r="O6619" t="s">
        <v>459</v>
      </c>
      <c r="P6619" t="s">
        <v>459</v>
      </c>
      <c r="Q6619">
        <v>6</v>
      </c>
      <c r="R6619" s="328">
        <f>Base_Periodo1[[#This Row],[CREDITOS]]-Base_Periodo1[[#This Row],[DEBITOS]]</f>
        <v>6010.0899999999983</v>
      </c>
      <c r="S6619" s="3" t="str">
        <f>IF(ISERROR(VLOOKUP(Base_Periodo1[[#This Row],[CONTA]],BaseContasDRE[#All],4,FALSE)),"Fora do DRE",VLOOKUP(Base_Periodo1[[#This Row],[CONTA]],BaseContasDRE[#All],4,FALSE))</f>
        <v>+</v>
      </c>
      <c r="T6619" s="3">
        <f>IF(ISERROR(VLOOKUP(Base_Periodo1[[#This Row],[CONTA]],BaseContasDRE[#All],5,FALSE)),"Fora do DRE",VLOOKUP(Base_Periodo1[[#This Row],[CONTA]],BaseContasDRE[#All],6,FALSE))</f>
        <v>7</v>
      </c>
      <c r="U6619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619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619" s="3" t="str">
        <f>LEFT(Base_Periodo1[[#This Row],[CLASS]],3)</f>
        <v>3.2</v>
      </c>
    </row>
    <row r="6620" spans="1:23" hidden="1">
      <c r="A6620" s="3" t="str">
        <f t="shared" si="103"/>
        <v>Período 1</v>
      </c>
      <c r="B6620">
        <v>49076</v>
      </c>
      <c r="C6620" t="s">
        <v>7227</v>
      </c>
      <c r="D6620" t="s">
        <v>7228</v>
      </c>
      <c r="E6620" s="3" t="str">
        <f>IF(LEN(Base_Periodo1[[#This Row],[CLASS]])&gt;=7,LEFT(Base_Periodo1[[#This Row],[CLASS]],7),"")</f>
        <v>3.2.1.6</v>
      </c>
      <c r="F6620" s="3" t="e">
        <f>VLOOKUP(Base_Periodo1[[#This Row],[Aux]],Base_Contas_Balanco[#All],2,FALSE)</f>
        <v>#N/A</v>
      </c>
      <c r="G6620" s="1">
        <v>42855</v>
      </c>
      <c r="H6620" s="328">
        <v>255.05999999999949</v>
      </c>
      <c r="I6620" s="328">
        <v>0</v>
      </c>
      <c r="J6620" s="328">
        <v>0</v>
      </c>
      <c r="K6620" s="328">
        <v>255.05999999999949</v>
      </c>
      <c r="L6620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-255.06</v>
      </c>
      <c r="M6620" s="328">
        <f>ROUND(IF(AND(Base_Periodo1[[#This Row],[Tipo_Linha]]="-",Base_Periodo1[[#This Row],[TIPOSALDO]]="D"),Base_Periodo1[[#This Row],[SALDO_ATUAL]]*-1,Base_Periodo1[[#This Row],[SALDO_ATUAL]]),4)</f>
        <v>255.06</v>
      </c>
      <c r="N6620" t="s">
        <v>116</v>
      </c>
      <c r="O6620" t="s">
        <v>397</v>
      </c>
      <c r="P6620" t="s">
        <v>397</v>
      </c>
      <c r="Q6620">
        <v>6</v>
      </c>
      <c r="R6620" s="328">
        <f>Base_Periodo1[[#This Row],[CREDITOS]]-Base_Periodo1[[#This Row],[DEBITOS]]</f>
        <v>0</v>
      </c>
      <c r="S6620" s="3" t="str">
        <f>IF(ISERROR(VLOOKUP(Base_Periodo1[[#This Row],[CONTA]],BaseContasDRE[#All],4,FALSE)),"Fora do DRE",VLOOKUP(Base_Periodo1[[#This Row],[CONTA]],BaseContasDRE[#All],4,FALSE))</f>
        <v>+</v>
      </c>
      <c r="T6620" s="3">
        <f>IF(ISERROR(VLOOKUP(Base_Periodo1[[#This Row],[CONTA]],BaseContasDRE[#All],5,FALSE)),"Fora do DRE",VLOOKUP(Base_Periodo1[[#This Row],[CONTA]],BaseContasDRE[#All],6,FALSE))</f>
        <v>7</v>
      </c>
      <c r="U6620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620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620" s="3" t="str">
        <f>LEFT(Base_Periodo1[[#This Row],[CLASS]],3)</f>
        <v>3.2</v>
      </c>
    </row>
    <row r="6621" spans="1:23" hidden="1">
      <c r="A6621" s="3" t="str">
        <f t="shared" si="103"/>
        <v>Período 1</v>
      </c>
      <c r="B6621">
        <v>49077</v>
      </c>
      <c r="C6621" t="s">
        <v>7229</v>
      </c>
      <c r="D6621" t="s">
        <v>7230</v>
      </c>
      <c r="E6621" s="3" t="str">
        <f>IF(LEN(Base_Periodo1[[#This Row],[CLASS]])&gt;=7,LEFT(Base_Periodo1[[#This Row],[CLASS]],7),"")</f>
        <v>3.2.1.6</v>
      </c>
      <c r="F6621" s="3" t="e">
        <f>VLOOKUP(Base_Periodo1[[#This Row],[Aux]],Base_Contas_Balanco[#All],2,FALSE)</f>
        <v>#N/A</v>
      </c>
      <c r="G6621" s="1">
        <v>42855</v>
      </c>
      <c r="H6621" s="328">
        <v>1174.8000000000029</v>
      </c>
      <c r="I6621" s="328">
        <v>0</v>
      </c>
      <c r="J6621" s="328">
        <v>0</v>
      </c>
      <c r="K6621" s="328">
        <v>1174.8000000000029</v>
      </c>
      <c r="L6621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-1174.8</v>
      </c>
      <c r="M6621" s="328">
        <f>ROUND(IF(AND(Base_Periodo1[[#This Row],[Tipo_Linha]]="-",Base_Periodo1[[#This Row],[TIPOSALDO]]="D"),Base_Periodo1[[#This Row],[SALDO_ATUAL]]*-1,Base_Periodo1[[#This Row],[SALDO_ATUAL]]),4)</f>
        <v>1174.8</v>
      </c>
      <c r="N6621" t="s">
        <v>116</v>
      </c>
      <c r="O6621" t="s">
        <v>397</v>
      </c>
      <c r="P6621" t="s">
        <v>397</v>
      </c>
      <c r="Q6621">
        <v>6</v>
      </c>
      <c r="R6621" s="328">
        <f>Base_Periodo1[[#This Row],[CREDITOS]]-Base_Periodo1[[#This Row],[DEBITOS]]</f>
        <v>0</v>
      </c>
      <c r="S6621" s="3" t="str">
        <f>IF(ISERROR(VLOOKUP(Base_Periodo1[[#This Row],[CONTA]],BaseContasDRE[#All],4,FALSE)),"Fora do DRE",VLOOKUP(Base_Periodo1[[#This Row],[CONTA]],BaseContasDRE[#All],4,FALSE))</f>
        <v>+</v>
      </c>
      <c r="T6621" s="3">
        <f>IF(ISERROR(VLOOKUP(Base_Periodo1[[#This Row],[CONTA]],BaseContasDRE[#All],5,FALSE)),"Fora do DRE",VLOOKUP(Base_Periodo1[[#This Row],[CONTA]],BaseContasDRE[#All],6,FALSE))</f>
        <v>7</v>
      </c>
      <c r="U6621" s="3" t="str">
        <f>IF(ISERROR(VLOOKUP(Base_Periodo1[[#This Row],[CONTA]],BaseContasDRE[#All],7,FALSE)),"Fora do DRE",VLOOKUP(Base_Periodo1[[#This Row],[CONTA]],BaseContasDRE[#All],7,FALSE))</f>
        <v>OUTROS INGRESSOS E  RECEITAS OPERACIONAIS</v>
      </c>
      <c r="V6621" s="3" t="str">
        <f>IF(Base_Periodo1[[#This Row],[Tipo_Linha]]="Fora do DRE","Fora do DRE","( "&amp;Base_Periodo1[[#This Row],[Tipo_Linha]]&amp;" ) "&amp;Base_Periodo1[[#This Row],[Filtro]])</f>
        <v>( + ) OUTROS INGRESSOS E  RECEITAS OPERACIONAIS</v>
      </c>
      <c r="W6621" s="3" t="str">
        <f>LEFT(Base_Periodo1[[#This Row],[CLASS]],3)</f>
        <v>3.2</v>
      </c>
    </row>
    <row r="6622" spans="1:23" hidden="1">
      <c r="A6622" s="3" t="str">
        <f t="shared" si="103"/>
        <v>Período 1</v>
      </c>
      <c r="B6622">
        <v>6871</v>
      </c>
      <c r="C6622" t="s">
        <v>5837</v>
      </c>
      <c r="D6622" t="s">
        <v>5838</v>
      </c>
      <c r="E6622" s="3" t="str">
        <f>IF(LEN(Base_Periodo1[[#This Row],[CLASS]])&gt;=7,LEFT(Base_Periodo1[[#This Row],[CLASS]],7),"")</f>
        <v>3.2.1.6</v>
      </c>
      <c r="F6622" s="3" t="e">
        <f>VLOOKUP(Base_Periodo1[[#This Row],[Aux]],Base_Contas_Balanco[#All],2,FALSE)</f>
        <v>#N/A</v>
      </c>
      <c r="G6622" s="1"/>
      <c r="H6622" s="328">
        <v>2855.279999997816</v>
      </c>
      <c r="I6622" s="328">
        <v>3653.4</v>
      </c>
      <c r="J6622" s="328">
        <v>2855.28</v>
      </c>
      <c r="K6622" s="328">
        <v>3653.3999999978155</v>
      </c>
      <c r="L6622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-3653.4</v>
      </c>
      <c r="M6622" s="328">
        <f>ROUND(IF(AND(Base_Periodo1[[#This Row],[Tipo_Linha]]="-",Base_Periodo1[[#This Row],[TIPOSALDO]]="D"),Base_Periodo1[[#This Row],[SALDO_ATUAL]]*-1,Base_Periodo1[[#This Row],[SALDO_ATUAL]]),4)</f>
        <v>3653.4</v>
      </c>
      <c r="N6622" t="s">
        <v>396</v>
      </c>
      <c r="O6622" t="s">
        <v>397</v>
      </c>
      <c r="P6622" t="s">
        <v>397</v>
      </c>
      <c r="Q6622">
        <v>5</v>
      </c>
      <c r="R6622" s="328">
        <f>Base_Periodo1[[#This Row],[CREDITOS]]-Base_Periodo1[[#This Row],[DEBITOS]]</f>
        <v>-798.11999999999989</v>
      </c>
      <c r="S6622" s="3" t="str">
        <f>IF(ISERROR(VLOOKUP(Base_Periodo1[[#This Row],[CONTA]],BaseContasDRE[#All],4,FALSE)),"Fora do DRE",VLOOKUP(Base_Periodo1[[#This Row],[CONTA]],BaseContasDRE[#All],4,FALSE))</f>
        <v>Fora do DRE</v>
      </c>
      <c r="T6622" s="3" t="str">
        <f>IF(ISERROR(VLOOKUP(Base_Periodo1[[#This Row],[CONTA]],BaseContasDRE[#All],5,FALSE)),"Fora do DRE",VLOOKUP(Base_Periodo1[[#This Row],[CONTA]],BaseContasDRE[#All],6,FALSE))</f>
        <v>Fora do DRE</v>
      </c>
      <c r="U6622" s="3" t="str">
        <f>IF(ISERROR(VLOOKUP(Base_Periodo1[[#This Row],[CONTA]],BaseContasDRE[#All],7,FALSE)),"Fora do DRE",VLOOKUP(Base_Periodo1[[#This Row],[CONTA]],BaseContasDRE[#All],7,FALSE))</f>
        <v>Fora do DRE</v>
      </c>
      <c r="V6622" s="3" t="str">
        <f>IF(Base_Periodo1[[#This Row],[Tipo_Linha]]="Fora do DRE","Fora do DRE","( "&amp;Base_Periodo1[[#This Row],[Tipo_Linha]]&amp;" ) "&amp;Base_Periodo1[[#This Row],[Filtro]])</f>
        <v>Fora do DRE</v>
      </c>
      <c r="W6622" s="3" t="str">
        <f>LEFT(Base_Periodo1[[#This Row],[CLASS]],3)</f>
        <v>3.2</v>
      </c>
    </row>
    <row r="6623" spans="1:23" hidden="1">
      <c r="A6623" s="3" t="str">
        <f t="shared" si="103"/>
        <v>Período 1</v>
      </c>
      <c r="B6623">
        <v>6863</v>
      </c>
      <c r="C6623" t="s">
        <v>5839</v>
      </c>
      <c r="D6623" t="s">
        <v>5840</v>
      </c>
      <c r="E6623" s="3" t="str">
        <f>IF(LEN(Base_Periodo1[[#This Row],[CLASS]])&gt;=7,LEFT(Base_Periodo1[[#This Row],[CLASS]],7),"")</f>
        <v>3.2.1.6</v>
      </c>
      <c r="F6623" s="3" t="e">
        <f>VLOOKUP(Base_Periodo1[[#This Row],[Aux]],Base_Contas_Balanco[#All],2,FALSE)</f>
        <v>#N/A</v>
      </c>
      <c r="G6623" s="1">
        <v>42886</v>
      </c>
      <c r="H6623" s="328">
        <v>2855.2799999974668</v>
      </c>
      <c r="I6623" s="328">
        <v>3653.4</v>
      </c>
      <c r="J6623" s="328">
        <v>2855.28</v>
      </c>
      <c r="K6623" s="328">
        <v>3653.3999999974662</v>
      </c>
      <c r="L6623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-3653.4</v>
      </c>
      <c r="M6623" s="328">
        <f>ROUND(IF(AND(Base_Periodo1[[#This Row],[Tipo_Linha]]="-",Base_Periodo1[[#This Row],[TIPOSALDO]]="D"),Base_Periodo1[[#This Row],[SALDO_ATUAL]]*-1,Base_Periodo1[[#This Row],[SALDO_ATUAL]]),4)</f>
        <v>-3653.4</v>
      </c>
      <c r="N6623" t="s">
        <v>116</v>
      </c>
      <c r="O6623" t="s">
        <v>397</v>
      </c>
      <c r="P6623" t="s">
        <v>397</v>
      </c>
      <c r="Q6623">
        <v>6</v>
      </c>
      <c r="R6623" s="328">
        <f>Base_Periodo1[[#This Row],[CREDITOS]]-Base_Periodo1[[#This Row],[DEBITOS]]</f>
        <v>-798.11999999999989</v>
      </c>
      <c r="S6623" s="3" t="str">
        <f>IF(ISERROR(VLOOKUP(Base_Periodo1[[#This Row],[CONTA]],BaseContasDRE[#All],4,FALSE)),"Fora do DRE",VLOOKUP(Base_Periodo1[[#This Row],[CONTA]],BaseContasDRE[#All],4,FALSE))</f>
        <v>-</v>
      </c>
      <c r="T6623" s="3">
        <f>IF(ISERROR(VLOOKUP(Base_Periodo1[[#This Row],[CONTA]],BaseContasDRE[#All],5,FALSE)),"Fora do DRE",VLOOKUP(Base_Periodo1[[#This Row],[CONTA]],BaseContasDRE[#All],6,FALSE))</f>
        <v>7</v>
      </c>
      <c r="U6623" s="3" t="str">
        <f>IF(ISERROR(VLOOKUP(Base_Periodo1[[#This Row],[CONTA]],BaseContasDRE[#All],7,FALSE)),"Fora do DRE",VLOOKUP(Base_Periodo1[[#This Row],[CONTA]],BaseContasDRE[#All],7,FALSE))</f>
        <v>OUTROS DISPÊNDIOS E  DESPESAS OPERACIONAIS</v>
      </c>
      <c r="V6623" s="3" t="str">
        <f>IF(Base_Periodo1[[#This Row],[Tipo_Linha]]="Fora do DRE","Fora do DRE","( "&amp;Base_Periodo1[[#This Row],[Tipo_Linha]]&amp;" ) "&amp;Base_Periodo1[[#This Row],[Filtro]])</f>
        <v>( - ) OUTROS DISPÊNDIOS E  DESPESAS OPERACIONAIS</v>
      </c>
      <c r="W6623" s="3" t="str">
        <f>LEFT(Base_Periodo1[[#This Row],[CLASS]],3)</f>
        <v>3.2</v>
      </c>
    </row>
    <row r="6624" spans="1:23" hidden="1">
      <c r="A6624" s="3" t="str">
        <f t="shared" si="103"/>
        <v>Período 1</v>
      </c>
      <c r="B6624">
        <v>6874</v>
      </c>
      <c r="C6624" t="s">
        <v>5843</v>
      </c>
      <c r="D6624" t="s">
        <v>5844</v>
      </c>
      <c r="E6624" s="3" t="str">
        <f>IF(LEN(Base_Periodo1[[#This Row],[CLASS]])&gt;=7,LEFT(Base_Periodo1[[#This Row],[CLASS]],7),"")</f>
        <v/>
      </c>
      <c r="F6624" s="3" t="e">
        <f>VLOOKUP(Base_Periodo1[[#This Row],[Aux]],Base_Contas_Balanco[#All],2,FALSE)</f>
        <v>#N/A</v>
      </c>
      <c r="G6624" s="1"/>
      <c r="H6624" s="328">
        <v>381241.5400000012</v>
      </c>
      <c r="I6624" s="328">
        <v>123888.78</v>
      </c>
      <c r="J6624" s="328">
        <v>0</v>
      </c>
      <c r="K6624" s="328">
        <v>505130.32000000123</v>
      </c>
      <c r="L6624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-505130.32</v>
      </c>
      <c r="M6624" s="328">
        <f>ROUND(IF(AND(Base_Periodo1[[#This Row],[Tipo_Linha]]="-",Base_Periodo1[[#This Row],[TIPOSALDO]]="D"),Base_Periodo1[[#This Row],[SALDO_ATUAL]]*-1,Base_Periodo1[[#This Row],[SALDO_ATUAL]]),4)</f>
        <v>505130.32</v>
      </c>
      <c r="N6624" t="s">
        <v>396</v>
      </c>
      <c r="O6624" t="s">
        <v>397</v>
      </c>
      <c r="P6624" t="s">
        <v>397</v>
      </c>
      <c r="Q6624">
        <v>3</v>
      </c>
      <c r="R6624" s="328">
        <f>Base_Periodo1[[#This Row],[CREDITOS]]-Base_Periodo1[[#This Row],[DEBITOS]]</f>
        <v>-123888.78</v>
      </c>
      <c r="S6624" s="3" t="str">
        <f>IF(ISERROR(VLOOKUP(Base_Periodo1[[#This Row],[CONTA]],BaseContasDRE[#All],4,FALSE)),"Fora do DRE",VLOOKUP(Base_Periodo1[[#This Row],[CONTA]],BaseContasDRE[#All],4,FALSE))</f>
        <v>Fora do DRE</v>
      </c>
      <c r="T6624" s="3" t="str">
        <f>IF(ISERROR(VLOOKUP(Base_Periodo1[[#This Row],[CONTA]],BaseContasDRE[#All],5,FALSE)),"Fora do DRE",VLOOKUP(Base_Periodo1[[#This Row],[CONTA]],BaseContasDRE[#All],6,FALSE))</f>
        <v>Fora do DRE</v>
      </c>
      <c r="U6624" s="3" t="str">
        <f>IF(ISERROR(VLOOKUP(Base_Periodo1[[#This Row],[CONTA]],BaseContasDRE[#All],7,FALSE)),"Fora do DRE",VLOOKUP(Base_Periodo1[[#This Row],[CONTA]],BaseContasDRE[#All],7,FALSE))</f>
        <v>Fora do DRE</v>
      </c>
      <c r="V6624" s="3" t="str">
        <f>IF(Base_Periodo1[[#This Row],[Tipo_Linha]]="Fora do DRE","Fora do DRE","( "&amp;Base_Periodo1[[#This Row],[Tipo_Linha]]&amp;" ) "&amp;Base_Periodo1[[#This Row],[Filtro]])</f>
        <v>Fora do DRE</v>
      </c>
      <c r="W6624" s="3" t="str">
        <f>LEFT(Base_Periodo1[[#This Row],[CLASS]],3)</f>
        <v>3.2</v>
      </c>
    </row>
    <row r="6625" spans="1:23" hidden="1">
      <c r="A6625" s="3" t="str">
        <f t="shared" si="103"/>
        <v>Período 1</v>
      </c>
      <c r="B6625">
        <v>6875</v>
      </c>
      <c r="C6625" t="s">
        <v>5845</v>
      </c>
      <c r="D6625" t="s">
        <v>5846</v>
      </c>
      <c r="E6625" s="3" t="str">
        <f>IF(LEN(Base_Periodo1[[#This Row],[CLASS]])&gt;=7,LEFT(Base_Periodo1[[#This Row],[CLASS]],7),"")</f>
        <v>3.2.4.1</v>
      </c>
      <c r="F6625" s="3" t="e">
        <f>VLOOKUP(Base_Periodo1[[#This Row],[Aux]],Base_Contas_Balanco[#All],2,FALSE)</f>
        <v>#N/A</v>
      </c>
      <c r="G6625" s="1">
        <v>42886</v>
      </c>
      <c r="H6625" s="328">
        <v>279168.1800000011</v>
      </c>
      <c r="I6625" s="328">
        <v>89604.11</v>
      </c>
      <c r="J6625" s="328">
        <v>0</v>
      </c>
      <c r="K6625" s="328">
        <v>368772.29000000108</v>
      </c>
      <c r="L6625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-368772.29</v>
      </c>
      <c r="M6625" s="328">
        <f>ROUND(IF(AND(Base_Periodo1[[#This Row],[Tipo_Linha]]="-",Base_Periodo1[[#This Row],[TIPOSALDO]]="D"),Base_Periodo1[[#This Row],[SALDO_ATUAL]]*-1,Base_Periodo1[[#This Row],[SALDO_ATUAL]]),4)</f>
        <v>-368772.29</v>
      </c>
      <c r="N6625" t="s">
        <v>116</v>
      </c>
      <c r="O6625" t="s">
        <v>397</v>
      </c>
      <c r="P6625" t="s">
        <v>397</v>
      </c>
      <c r="Q6625">
        <v>4</v>
      </c>
      <c r="R6625" s="328">
        <f>Base_Periodo1[[#This Row],[CREDITOS]]-Base_Periodo1[[#This Row],[DEBITOS]]</f>
        <v>-89604.11</v>
      </c>
      <c r="S6625" s="3" t="str">
        <f>IF(ISERROR(VLOOKUP(Base_Periodo1[[#This Row],[CONTA]],BaseContasDRE[#All],4,FALSE)),"Fora do DRE",VLOOKUP(Base_Periodo1[[#This Row],[CONTA]],BaseContasDRE[#All],4,FALSE))</f>
        <v>-</v>
      </c>
      <c r="T6625" s="3">
        <f>IF(ISERROR(VLOOKUP(Base_Periodo1[[#This Row],[CONTA]],BaseContasDRE[#All],5,FALSE)),"Fora do DRE",VLOOKUP(Base_Periodo1[[#This Row],[CONTA]],BaseContasDRE[#All],6,FALSE))</f>
        <v>8</v>
      </c>
      <c r="U6625" s="3" t="str">
        <f>IF(ISERROR(VLOOKUP(Base_Periodo1[[#This Row],[CONTA]],BaseContasDRE[#All],7,FALSE)),"Fora do DRE",VLOOKUP(Base_Periodo1[[#This Row],[CONTA]],BaseContasDRE[#All],7,FALSE))</f>
        <v>IMPOSTO DE RENDA</v>
      </c>
      <c r="V6625" s="3" t="str">
        <f>IF(Base_Periodo1[[#This Row],[Tipo_Linha]]="Fora do DRE","Fora do DRE","( "&amp;Base_Periodo1[[#This Row],[Tipo_Linha]]&amp;" ) "&amp;Base_Periodo1[[#This Row],[Filtro]])</f>
        <v>( - ) IMPOSTO DE RENDA</v>
      </c>
      <c r="W6625" s="3" t="str">
        <f>LEFT(Base_Periodo1[[#This Row],[CLASS]],3)</f>
        <v>3.2</v>
      </c>
    </row>
    <row r="6626" spans="1:23" hidden="1">
      <c r="A6626" s="3" t="str">
        <f t="shared" si="103"/>
        <v>Período 1</v>
      </c>
      <c r="B6626">
        <v>6876</v>
      </c>
      <c r="C6626" t="s">
        <v>5847</v>
      </c>
      <c r="D6626" t="s">
        <v>5848</v>
      </c>
      <c r="E6626" s="3" t="str">
        <f>IF(LEN(Base_Periodo1[[#This Row],[CLASS]])&gt;=7,LEFT(Base_Periodo1[[#This Row],[CLASS]],7),"")</f>
        <v>3.2.4.2</v>
      </c>
      <c r="F6626" s="3" t="e">
        <f>VLOOKUP(Base_Periodo1[[#This Row],[Aux]],Base_Contas_Balanco[#All],2,FALSE)</f>
        <v>#N/A</v>
      </c>
      <c r="G6626" s="1">
        <v>42886</v>
      </c>
      <c r="H6626" s="328">
        <v>102073.3600000001</v>
      </c>
      <c r="I6626" s="328">
        <v>34284.67</v>
      </c>
      <c r="J6626" s="328">
        <v>0</v>
      </c>
      <c r="K6626" s="328">
        <v>136358.03000000009</v>
      </c>
      <c r="L6626" s="328">
        <f>ROUND(IF(LEFT(Base_Periodo1[[#This Row],[CLASS]],1)="1",IF(Base_Periodo1[[#This Row],[TIPOSALDO]]="C",Base_Periodo1[[#This Row],[SALDO_ATUAL]],Base_Periodo1[[#This Row],[SALDO_ATUAL]]*-1)*-1,IF(Base_Periodo1[[#This Row],[TIPOSALDO]]="C",Base_Periodo1[[#This Row],[SALDO_ATUAL]],Base_Periodo1[[#This Row],[SALDO_ATUAL]]*-1)),4)</f>
        <v>-136358.03</v>
      </c>
      <c r="M6626" s="328">
        <f>ROUND(IF(AND(Base_Periodo1[[#This Row],[Tipo_Linha]]="-",Base_Periodo1[[#This Row],[TIPOSALDO]]="D"),Base_Periodo1[[#This Row],[SALDO_ATUAL]]*-1,Base_Periodo1[[#This Row],[SALDO_ATUAL]]),4)</f>
        <v>-136358.03</v>
      </c>
      <c r="N6626" t="s">
        <v>116</v>
      </c>
      <c r="O6626" t="s">
        <v>397</v>
      </c>
      <c r="P6626" t="s">
        <v>397</v>
      </c>
      <c r="Q6626">
        <v>4</v>
      </c>
      <c r="R6626" s="328">
        <f>Base_Periodo1[[#This Row],[CREDITOS]]-Base_Periodo1[[#This Row],[DEBITOS]]</f>
        <v>-34284.67</v>
      </c>
      <c r="S6626" s="3" t="str">
        <f>IF(ISERROR(VLOOKUP(Base_Periodo1[[#This Row],[CONTA]],BaseContasDRE[#All],4,FALSE)),"Fora do DRE",VLOOKUP(Base_Periodo1[[#This Row],[CONTA]],BaseContasDRE[#All],4,FALSE))</f>
        <v>-</v>
      </c>
      <c r="T6626" s="3">
        <f>IF(ISERROR(VLOOKUP(Base_Periodo1[[#This Row],[CONTA]],BaseContasDRE[#All],5,FALSE)),"Fora do DRE",VLOOKUP(Base_Periodo1[[#This Row],[CONTA]],BaseContasDRE[#All],6,FALSE))</f>
        <v>8</v>
      </c>
      <c r="U6626" s="3" t="str">
        <f>IF(ISERROR(VLOOKUP(Base_Periodo1[[#This Row],[CONTA]],BaseContasDRE[#All],7,FALSE)),"Fora do DRE",VLOOKUP(Base_Periodo1[[#This Row],[CONTA]],BaseContasDRE[#All],7,FALSE))</f>
        <v>CONTRIBUIÇÃO SOCIAL</v>
      </c>
      <c r="V6626" s="3" t="str">
        <f>IF(Base_Periodo1[[#This Row],[Tipo_Linha]]="Fora do DRE","Fora do DRE","( "&amp;Base_Periodo1[[#This Row],[Tipo_Linha]]&amp;" ) "&amp;Base_Periodo1[[#This Row],[Filtro]])</f>
        <v>( - ) CONTRIBUIÇÃO SOCIAL</v>
      </c>
      <c r="W6626" s="3" t="str">
        <f>LEFT(Base_Periodo1[[#This Row],[CLASS]],3)</f>
        <v>3.2</v>
      </c>
    </row>
    <row r="6627" spans="1:23">
      <c r="A6627" s="3"/>
      <c r="E6627" s="3"/>
      <c r="G6627" s="1"/>
      <c r="S6627" s="3"/>
      <c r="T6627" s="3"/>
      <c r="U6627" s="3"/>
      <c r="V6627" s="3"/>
    </row>
    <row r="6628" spans="1:23">
      <c r="A6628" s="3"/>
      <c r="E6628" s="3"/>
      <c r="F6628" s="3"/>
      <c r="G6628" s="1"/>
      <c r="S6628" s="3"/>
      <c r="T6628" s="3"/>
      <c r="U6628" s="3"/>
      <c r="V6628" s="3"/>
    </row>
    <row r="6629" spans="1:23">
      <c r="A6629" s="3"/>
      <c r="E6629" s="3"/>
      <c r="F6629" s="3"/>
      <c r="G6629" s="1"/>
      <c r="S6629" s="3"/>
      <c r="T6629" s="3"/>
      <c r="U6629" s="3"/>
      <c r="V6629" s="3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sheetPr codeName="Plan14">
    <pageSetUpPr fitToPage="1"/>
  </sheetPr>
  <dimension ref="A1:Y68"/>
  <sheetViews>
    <sheetView showGridLines="0" view="pageBreakPreview" topLeftCell="A13" zoomScaleSheetLayoutView="100" workbookViewId="0">
      <selection activeCell="C12" sqref="C12"/>
    </sheetView>
  </sheetViews>
  <sheetFormatPr defaultRowHeight="14.25"/>
  <cols>
    <col min="1" max="1" width="1.85546875" style="59" customWidth="1"/>
    <col min="2" max="2" width="67.42578125" style="59" customWidth="1"/>
    <col min="3" max="3" width="28.140625" style="59" customWidth="1"/>
    <col min="4" max="4" width="11.7109375" style="59" customWidth="1"/>
    <col min="5" max="8" width="18.5703125" style="59" hidden="1" customWidth="1"/>
    <col min="9" max="9" width="9.140625" style="59" hidden="1" customWidth="1"/>
    <col min="10" max="10" width="16.85546875" style="59" hidden="1" customWidth="1"/>
    <col min="11" max="11" width="9.140625" style="59" hidden="1" customWidth="1"/>
    <col min="12" max="12" width="16.85546875" style="59" hidden="1" customWidth="1"/>
    <col min="13" max="13" width="9.140625" style="59" hidden="1" customWidth="1"/>
    <col min="14" max="15" width="16.85546875" style="59" hidden="1" customWidth="1"/>
    <col min="16" max="21" width="9.140625" style="59" hidden="1" customWidth="1"/>
    <col min="22" max="22" width="0" style="59" hidden="1" customWidth="1"/>
    <col min="23" max="23" width="9.140625" style="59"/>
    <col min="24" max="24" width="16.85546875" style="59" bestFit="1" customWidth="1"/>
    <col min="25" max="25" width="15.7109375" style="59" bestFit="1" customWidth="1"/>
    <col min="26" max="16384" width="9.140625" style="59"/>
  </cols>
  <sheetData>
    <row r="1" spans="1:25"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</row>
    <row r="2" spans="1:25" ht="21">
      <c r="B2" s="271" t="s">
        <v>195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</row>
    <row r="3" spans="1:25" ht="15">
      <c r="A3" s="188"/>
      <c r="B3" s="337" t="s">
        <v>141</v>
      </c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28"/>
      <c r="N3" s="28"/>
      <c r="O3" s="28"/>
    </row>
    <row r="4" spans="1:25" ht="15">
      <c r="A4" s="339"/>
      <c r="B4" s="339"/>
      <c r="C4" s="339"/>
      <c r="D4" s="339"/>
      <c r="E4" s="339"/>
      <c r="F4" s="339"/>
      <c r="G4" s="339"/>
      <c r="H4" s="339"/>
      <c r="I4" s="339"/>
      <c r="J4" s="339"/>
      <c r="K4" s="339"/>
      <c r="L4" s="28"/>
      <c r="M4" s="28"/>
      <c r="N4" s="28"/>
      <c r="O4" s="28"/>
    </row>
    <row r="5" spans="1:25" ht="15">
      <c r="A5" s="60"/>
      <c r="B5" s="60"/>
      <c r="C5" s="60"/>
      <c r="D5" s="60"/>
      <c r="E5" s="60"/>
      <c r="F5" s="60"/>
      <c r="G5" s="60"/>
      <c r="H5" s="60"/>
      <c r="I5" s="60"/>
      <c r="J5" s="61"/>
      <c r="K5" s="61"/>
      <c r="L5" s="61"/>
      <c r="M5" s="61"/>
    </row>
    <row r="6" spans="1:25" s="62" customFormat="1" ht="15" customHeight="1">
      <c r="A6" s="340"/>
      <c r="B6" s="340"/>
      <c r="C6" s="340"/>
      <c r="D6" s="340"/>
      <c r="E6" s="340"/>
      <c r="F6" s="340"/>
      <c r="G6" s="340"/>
      <c r="H6" s="340"/>
      <c r="I6" s="340"/>
      <c r="J6" s="340"/>
      <c r="K6" s="340"/>
    </row>
    <row r="7" spans="1:25" s="62" customFormat="1" ht="15">
      <c r="A7" s="339" t="str">
        <f>Passivo!A6</f>
        <v>DEMONSTRAÇÕES CONTÁBEIS LEVANTADAS EM 31/05/2017</v>
      </c>
      <c r="B7" s="339"/>
      <c r="C7" s="339"/>
      <c r="D7" s="339"/>
      <c r="E7" s="339"/>
      <c r="F7" s="339"/>
      <c r="G7" s="339"/>
      <c r="H7" s="339"/>
      <c r="I7" s="339"/>
      <c r="J7" s="339"/>
      <c r="K7" s="339"/>
    </row>
    <row r="8" spans="1:25" s="62" customFormat="1" ht="15">
      <c r="A8" s="341" t="s">
        <v>4560</v>
      </c>
      <c r="B8" s="341"/>
      <c r="C8" s="341"/>
      <c r="D8" s="341"/>
      <c r="E8" s="341"/>
      <c r="F8" s="341"/>
      <c r="G8" s="341"/>
      <c r="H8" s="341"/>
      <c r="I8" s="341"/>
      <c r="J8" s="341"/>
      <c r="K8" s="341"/>
      <c r="L8" s="61"/>
      <c r="M8" s="61"/>
      <c r="N8" s="61"/>
      <c r="O8" s="61"/>
    </row>
    <row r="9" spans="1:25" s="62" customFormat="1" ht="15">
      <c r="A9" s="339" t="s">
        <v>151</v>
      </c>
      <c r="B9" s="339"/>
      <c r="C9" s="339"/>
      <c r="D9" s="339"/>
      <c r="E9" s="339"/>
      <c r="F9" s="272"/>
      <c r="G9" s="272"/>
      <c r="H9" s="272"/>
      <c r="I9" s="272"/>
      <c r="J9" s="272"/>
      <c r="K9" s="272"/>
    </row>
    <row r="10" spans="1:25" s="62" customFormat="1" ht="15">
      <c r="A10" s="272"/>
      <c r="B10" s="272"/>
      <c r="C10" s="272"/>
      <c r="D10" s="272"/>
      <c r="E10" s="272"/>
      <c r="F10" s="272"/>
      <c r="G10" s="272"/>
      <c r="H10" s="272"/>
      <c r="I10" s="272"/>
      <c r="J10" s="272"/>
      <c r="K10" s="272"/>
    </row>
    <row r="11" spans="1:25" s="62" customFormat="1" ht="16.5" customHeight="1">
      <c r="A11" s="64"/>
      <c r="B11" s="65"/>
      <c r="C11" s="66">
        <f>Parâmetros!D11</f>
        <v>42886</v>
      </c>
      <c r="D11" s="67" t="s">
        <v>196</v>
      </c>
      <c r="E11" s="67">
        <v>42004</v>
      </c>
      <c r="F11" s="66">
        <v>42369</v>
      </c>
      <c r="G11" s="67" t="s">
        <v>196</v>
      </c>
      <c r="H11" s="67">
        <v>42004</v>
      </c>
      <c r="I11" s="67" t="s">
        <v>196</v>
      </c>
      <c r="J11" s="66">
        <v>40908</v>
      </c>
      <c r="K11" s="67" t="s">
        <v>196</v>
      </c>
      <c r="L11" s="66">
        <v>40543</v>
      </c>
      <c r="M11" s="67" t="s">
        <v>196</v>
      </c>
    </row>
    <row r="12" spans="1:25" ht="19.5" customHeight="1">
      <c r="A12" s="332" t="s">
        <v>197</v>
      </c>
      <c r="B12" s="332"/>
      <c r="C12" s="68">
        <f>SUMIF(Base_Periodo1[Descrição],"( + ) PRODUTOS AGRICOLAS",Base_Periodo1[MENSAL])+SUMIF(Base_Periodo1[Descrição],"( + ) INSUMOS AGROPECUARIOS",Base_Periodo1[MENSAL])+SUMIF(Base_Periodo1[Descrição],"( + ) BONIFICAÇÕES RECEBIDAS",Base_Periodo1[MENSAL])+SUMIF(Base_Periodo1[Descrição],"( + ) SEMENTES PRODUZIDAS",Base_Periodo1[MENSAL])</f>
        <v>32450220.840000018</v>
      </c>
      <c r="D12" s="69">
        <v>1</v>
      </c>
      <c r="E12" s="256">
        <v>297771922.54000002</v>
      </c>
      <c r="F12" s="68">
        <v>361077556.01999998</v>
      </c>
      <c r="G12" s="69">
        <v>1</v>
      </c>
      <c r="H12" s="256">
        <v>297771922.54000002</v>
      </c>
      <c r="I12" s="69">
        <v>1</v>
      </c>
      <c r="J12" s="68">
        <v>210767980.84</v>
      </c>
      <c r="K12" s="69">
        <v>1</v>
      </c>
      <c r="L12" s="68">
        <v>138464649.69</v>
      </c>
      <c r="M12" s="69">
        <v>1</v>
      </c>
      <c r="N12" s="228"/>
      <c r="O12" s="77"/>
      <c r="X12" s="228"/>
      <c r="Y12" s="228"/>
    </row>
    <row r="13" spans="1:25" ht="17.100000000000001" customHeight="1">
      <c r="A13" s="70"/>
      <c r="B13" s="70" t="s">
        <v>198</v>
      </c>
      <c r="C13" s="71">
        <f>(SUMIF(Base_Periodo1[Descrição],"( - ) DEVOLUÇÃO DE INSUMOS AGROPECUARIOS",Base_Periodo1[MENSAL])+SUMIF(Base_Periodo1[Descrição],"( - ) DEVOLUÇÃO DE PRODUTOS AGRICOLAS",Base_Periodo1[MENSAL])+SUMIF(Base_Periodo1[Descrição],"( - ) DEVOLUÇÃO DE SEMENTE PRODUZIDA",Base_Periodo1[MENSAL]))</f>
        <v>-360354.81</v>
      </c>
      <c r="D13" s="72">
        <f t="shared" ref="D13:D57" si="0">C13/C$12</f>
        <v>-1.1104849232822657E-2</v>
      </c>
      <c r="E13" s="257">
        <v>6067516.21</v>
      </c>
      <c r="F13" s="71">
        <v>-5264938.5</v>
      </c>
      <c r="G13" s="72">
        <v>-1.4581184602092456E-2</v>
      </c>
      <c r="H13" s="257">
        <v>6067516.21</v>
      </c>
      <c r="I13" s="72">
        <v>2.0376387935584973E-2</v>
      </c>
      <c r="J13" s="71">
        <v>1207781.32</v>
      </c>
      <c r="K13" s="72">
        <f t="shared" ref="K13:K57" si="1">J13/J$12</f>
        <v>5.7303833114806055E-3</v>
      </c>
      <c r="L13" s="71">
        <v>1901723.22</v>
      </c>
      <c r="M13" s="72">
        <v>1.3734359089180172E-2</v>
      </c>
      <c r="X13" s="228"/>
      <c r="Y13" s="228"/>
    </row>
    <row r="14" spans="1:25" ht="17.100000000000001" customHeight="1">
      <c r="A14" s="70"/>
      <c r="B14" s="73" t="s">
        <v>199</v>
      </c>
      <c r="C14" s="71">
        <f>(SUMIF(Base_Periodo1[Descrição],"( - ) ICMS SOBRE INGRESSOS E RECEITAS",Base_Periodo1[MENSAL])+SUMIF(Base_Periodo1[Descrição],"( - ) IMPOSTOS SOBRE RECEITA",Base_Periodo1[MENSAL]))</f>
        <v>-493424.44999999937</v>
      </c>
      <c r="D14" s="72">
        <f t="shared" si="0"/>
        <v>-1.5205580647136178E-2</v>
      </c>
      <c r="E14" s="257">
        <v>2148676.2400000002</v>
      </c>
      <c r="F14" s="71">
        <v>-3818929.4100000006</v>
      </c>
      <c r="G14" s="72">
        <v>-1.0576479613117995E-2</v>
      </c>
      <c r="H14" s="257">
        <v>2148676.2400000002</v>
      </c>
      <c r="I14" s="72">
        <v>7.2158456770260674E-3</v>
      </c>
      <c r="J14" s="71">
        <v>1522846.85</v>
      </c>
      <c r="K14" s="72">
        <f t="shared" si="1"/>
        <v>7.2252286325978354E-3</v>
      </c>
      <c r="L14" s="71">
        <v>1354716.72</v>
      </c>
      <c r="M14" s="72">
        <v>9.7838453571578894E-3</v>
      </c>
      <c r="X14" s="228"/>
      <c r="Y14" s="228"/>
    </row>
    <row r="15" spans="1:25" ht="17.100000000000001" customHeight="1">
      <c r="A15" s="73"/>
      <c r="B15" s="73" t="s">
        <v>200</v>
      </c>
      <c r="C15" s="71">
        <f>(SUMIF(Base_Periodo1[Descrição],"( - ) INSUMOS AGROPECUARIOS",Base_Periodo1[MENSAL])+SUMIF(Base_Periodo1[Descrição],"( - ) PRODUÇÃO DE SEMENTES",Base_Periodo1[MENSAL])+SUMIF(Base_Periodo1[Descrição],"( - ) PRODUTOS AGRICOLAS",Base_Periodo1[MENSAL]))</f>
        <v>-28015470.479999997</v>
      </c>
      <c r="D15" s="72">
        <f t="shared" si="0"/>
        <v>-0.86333682036044912</v>
      </c>
      <c r="E15" s="257">
        <v>249254015.55000001</v>
      </c>
      <c r="F15" s="71">
        <v>-294894279.52999997</v>
      </c>
      <c r="G15" s="72">
        <v>-0.81670620234746982</v>
      </c>
      <c r="H15" s="257">
        <v>249254015.55000001</v>
      </c>
      <c r="I15" s="72">
        <v>0.83706352641934345</v>
      </c>
      <c r="J15" s="71">
        <v>171724925.71000001</v>
      </c>
      <c r="K15" s="72">
        <f t="shared" si="1"/>
        <v>0.81475812894161237</v>
      </c>
      <c r="L15" s="71">
        <v>117830491.56</v>
      </c>
      <c r="M15" s="72">
        <v>0.85097887311890408</v>
      </c>
      <c r="X15" s="228"/>
      <c r="Y15" s="228"/>
    </row>
    <row r="16" spans="1:25" ht="19.5" customHeight="1">
      <c r="A16" s="74" t="s">
        <v>201</v>
      </c>
      <c r="B16" s="75"/>
      <c r="C16" s="76">
        <f>C12+C13+C14+C15</f>
        <v>3580971.1000000238</v>
      </c>
      <c r="D16" s="69">
        <f t="shared" si="0"/>
        <v>0.11035274975959214</v>
      </c>
      <c r="E16" s="256">
        <v>40301714.540000021</v>
      </c>
      <c r="F16" s="76">
        <v>57099408.579999983</v>
      </c>
      <c r="G16" s="69">
        <v>0.15813613343731966</v>
      </c>
      <c r="H16" s="256">
        <v>40301714.540000021</v>
      </c>
      <c r="I16" s="69">
        <v>0.13534423996804551</v>
      </c>
      <c r="J16" s="76">
        <f>J12-J13-J14-J15</f>
        <v>36312426.960000008</v>
      </c>
      <c r="K16" s="69">
        <f t="shared" si="1"/>
        <v>0.17228625911430925</v>
      </c>
      <c r="L16" s="76">
        <f>L12-L13-L14-L15</f>
        <v>17377718.189999998</v>
      </c>
      <c r="M16" s="69">
        <v>0.12550292243475791</v>
      </c>
      <c r="X16" s="183"/>
      <c r="Y16" s="77"/>
    </row>
    <row r="17" spans="1:15" ht="19.5" customHeight="1">
      <c r="A17" s="74" t="s">
        <v>202</v>
      </c>
      <c r="B17" s="75"/>
      <c r="C17" s="76">
        <f>SUMIF(Base_Periodo1[Descrição],"( + ) SERVIÇOS PRESTADOS",Base_Periodo1[MENSAL])</f>
        <v>801323.05000000028</v>
      </c>
      <c r="D17" s="69">
        <f t="shared" si="0"/>
        <v>2.4693916690152171E-2</v>
      </c>
      <c r="E17" s="256">
        <v>6200555.6799999997</v>
      </c>
      <c r="F17" s="76">
        <v>8459378.3400000017</v>
      </c>
      <c r="G17" s="69">
        <v>2.34281477731378E-2</v>
      </c>
      <c r="H17" s="256">
        <v>6200555.6799999997</v>
      </c>
      <c r="I17" s="69">
        <v>2.0823171060283807E-2</v>
      </c>
      <c r="J17" s="76">
        <v>3633607.53</v>
      </c>
      <c r="K17" s="69">
        <f t="shared" si="1"/>
        <v>1.7239845993298076E-2</v>
      </c>
      <c r="L17" s="76">
        <v>3105730.58</v>
      </c>
      <c r="M17" s="69">
        <v>2.2429772414498787E-2</v>
      </c>
      <c r="O17" s="77"/>
    </row>
    <row r="18" spans="1:15" ht="19.5" customHeight="1">
      <c r="A18" s="74"/>
      <c r="B18" s="70" t="s">
        <v>203</v>
      </c>
      <c r="C18" s="71">
        <f>(SUMIF(Base_Periodo1[Descrição],"( - ) ANULACAO DE VALOR (SERVIÇO DE FRETE",Base_Periodo1[MENSAL]))</f>
        <v>0</v>
      </c>
      <c r="D18" s="72">
        <f t="shared" si="0"/>
        <v>0</v>
      </c>
      <c r="E18" s="228">
        <v>0</v>
      </c>
      <c r="F18" s="71">
        <v>-1416.72</v>
      </c>
      <c r="G18" s="72">
        <v>-3.9235892023195377E-6</v>
      </c>
      <c r="H18" s="228">
        <v>0</v>
      </c>
      <c r="I18" s="69">
        <v>2.8448548566099467E-4</v>
      </c>
      <c r="J18" s="76"/>
      <c r="K18" s="69"/>
      <c r="L18" s="76"/>
      <c r="M18" s="69"/>
      <c r="O18" s="77"/>
    </row>
    <row r="19" spans="1:15" ht="17.100000000000001" customHeight="1">
      <c r="A19" s="74"/>
      <c r="B19" s="73" t="s">
        <v>199</v>
      </c>
      <c r="C19" s="71">
        <f>(SUMIF(Base_Periodo1[Descrição],"( - ) IMPOSTOS SOBRE SERVIÇOS PRESTADOS",Base_Periodo1[MENSAL]))</f>
        <v>-7305.75</v>
      </c>
      <c r="D19" s="72">
        <f t="shared" si="0"/>
        <v>-2.251371427030324E-4</v>
      </c>
      <c r="E19" s="257">
        <v>84711.79</v>
      </c>
      <c r="F19" s="71">
        <v>-98375.4</v>
      </c>
      <c r="G19" s="72">
        <v>-2.7244950111092204E-4</v>
      </c>
      <c r="H19" s="257">
        <v>84711.79</v>
      </c>
      <c r="I19" s="72">
        <v>2.9286571835289597E-3</v>
      </c>
      <c r="J19" s="71">
        <v>47066.63</v>
      </c>
      <c r="K19" s="72">
        <f t="shared" si="1"/>
        <v>2.2331015276807922E-4</v>
      </c>
      <c r="L19" s="71">
        <v>52851.12</v>
      </c>
      <c r="M19" s="72">
        <v>3.8169395667648841E-4</v>
      </c>
    </row>
    <row r="20" spans="1:15" ht="17.100000000000001" customHeight="1">
      <c r="A20" s="70"/>
      <c r="B20" s="73" t="s">
        <v>200</v>
      </c>
      <c r="C20" s="71">
        <f>(SUMIF(Base_Periodo1[Descrição],"( - ) SERVIÇOS PRESTADOS",Base_Periodo1[MENSAL]))</f>
        <v>-385273.46</v>
      </c>
      <c r="D20" s="72">
        <f t="shared" si="0"/>
        <v>-1.1872753097725907E-2</v>
      </c>
      <c r="E20" s="257">
        <v>872071.88</v>
      </c>
      <c r="F20" s="71">
        <v>-263127.61</v>
      </c>
      <c r="G20" s="72">
        <v>-7.2872878863017841E-4</v>
      </c>
      <c r="H20" s="257">
        <v>872071.88</v>
      </c>
      <c r="I20" s="72">
        <v>1.7610028391093852E-2</v>
      </c>
      <c r="J20" s="71">
        <v>944685.79</v>
      </c>
      <c r="K20" s="72">
        <f t="shared" si="1"/>
        <v>4.4821124453298155E-3</v>
      </c>
      <c r="L20" s="71">
        <v>655053.02</v>
      </c>
      <c r="M20" s="72">
        <v>4.7308321760576293E-3</v>
      </c>
    </row>
    <row r="21" spans="1:15" ht="15">
      <c r="A21" s="74" t="s">
        <v>204</v>
      </c>
      <c r="B21" s="75"/>
      <c r="C21" s="76">
        <f>C17+C18+C19+C20</f>
        <v>408743.84000000026</v>
      </c>
      <c r="D21" s="69">
        <f t="shared" si="0"/>
        <v>1.2596026449723232E-2</v>
      </c>
      <c r="E21" s="257">
        <v>5243772.01</v>
      </c>
      <c r="F21" s="76">
        <v>8096458.6100000003</v>
      </c>
      <c r="G21" s="69">
        <v>2.2423045894194377E-2</v>
      </c>
      <c r="H21" s="257">
        <v>5243772.01</v>
      </c>
      <c r="I21" s="69">
        <v>0.15295426835913936</v>
      </c>
      <c r="J21" s="76">
        <f>J17-J19-J20</f>
        <v>2641855.11</v>
      </c>
      <c r="K21" s="69">
        <f t="shared" si="1"/>
        <v>1.2534423395200183E-2</v>
      </c>
      <c r="L21" s="76">
        <f>L17-L19-L20</f>
        <v>2397826.44</v>
      </c>
      <c r="M21" s="69">
        <v>1.7317246281764669E-2</v>
      </c>
    </row>
    <row r="22" spans="1:15" ht="15">
      <c r="A22" s="74" t="s">
        <v>205</v>
      </c>
      <c r="B22" s="75"/>
      <c r="C22" s="76">
        <f>C16+C21</f>
        <v>3989714.9400000242</v>
      </c>
      <c r="D22" s="69">
        <f t="shared" si="0"/>
        <v>0.12294877620931537</v>
      </c>
      <c r="E22" s="256">
        <v>45545486.550000019</v>
      </c>
      <c r="F22" s="76">
        <v>65195867.189999983</v>
      </c>
      <c r="G22" s="69">
        <v>0.18055917933151402</v>
      </c>
      <c r="H22" s="256">
        <v>45545486.550000019</v>
      </c>
      <c r="I22" s="69">
        <v>0.12714499025647455</v>
      </c>
      <c r="J22" s="76">
        <f>J16+J21</f>
        <v>38954282.070000008</v>
      </c>
      <c r="K22" s="69">
        <f t="shared" si="1"/>
        <v>0.18482068250950942</v>
      </c>
      <c r="L22" s="76">
        <f>L16+L21</f>
        <v>19775544.629999999</v>
      </c>
      <c r="M22" s="69">
        <v>0.14282016871652262</v>
      </c>
      <c r="N22" s="228"/>
      <c r="O22" s="77"/>
    </row>
    <row r="23" spans="1:15" ht="19.5" customHeight="1">
      <c r="A23" s="74" t="s">
        <v>206</v>
      </c>
      <c r="B23" s="75"/>
      <c r="C23" s="76">
        <f>SUM(C24:C30)</f>
        <v>-5842512.2099999981</v>
      </c>
      <c r="D23" s="69">
        <f t="shared" si="0"/>
        <v>-0.18004537592539832</v>
      </c>
      <c r="E23" s="256">
        <v>37860208.189999998</v>
      </c>
      <c r="F23" s="76">
        <v>-49840996.290000007</v>
      </c>
      <c r="G23" s="69">
        <v>-0.13803404686620657</v>
      </c>
      <c r="H23" s="256">
        <v>37860208.189999998</v>
      </c>
      <c r="I23" s="69">
        <v>3.6648100455253886E-2</v>
      </c>
      <c r="J23" s="76">
        <f>SUM(J24:J29)</f>
        <v>26778909.309999999</v>
      </c>
      <c r="K23" s="69">
        <f t="shared" si="1"/>
        <v>0.1270539728248791</v>
      </c>
      <c r="L23" s="76">
        <f>SUM(L24:L29)</f>
        <v>18764516.239999995</v>
      </c>
      <c r="M23" s="69">
        <v>0.1355184610802159</v>
      </c>
    </row>
    <row r="24" spans="1:15" ht="17.100000000000001" customHeight="1">
      <c r="A24" s="70"/>
      <c r="B24" s="73" t="s">
        <v>207</v>
      </c>
      <c r="C24" s="71">
        <f>SUMIF(Base_Periodo1[Descrição],"( - ) DISPÊNDIOS E  DESPESAS C/ PESSOAL",Base_Periodo1[MENSAL])</f>
        <v>-1342840.4900000002</v>
      </c>
      <c r="D24" s="72">
        <f t="shared" si="0"/>
        <v>-4.1381551657877699E-2</v>
      </c>
      <c r="E24" s="257">
        <v>10912775.33</v>
      </c>
      <c r="F24" s="71">
        <v>-12862264.15</v>
      </c>
      <c r="G24" s="72">
        <v>-3.5621887695749116E-2</v>
      </c>
      <c r="H24" s="257">
        <v>10912775.33</v>
      </c>
      <c r="I24" s="72">
        <v>6.1213956690464796E-2</v>
      </c>
      <c r="J24" s="71">
        <v>5115242.96</v>
      </c>
      <c r="K24" s="72">
        <f t="shared" si="1"/>
        <v>2.4269544831304935E-2</v>
      </c>
      <c r="L24" s="71">
        <v>3761012.56</v>
      </c>
      <c r="M24" s="72">
        <v>2.7162258153400887E-2</v>
      </c>
    </row>
    <row r="25" spans="1:15" ht="17.100000000000001" customHeight="1">
      <c r="A25" s="70"/>
      <c r="B25" s="73" t="s">
        <v>208</v>
      </c>
      <c r="C25" s="71">
        <f>SUMIF(Base_Periodo1[Descrição],"( - ) DISPÊNDIOS E  DESPESAS ADMINISTRATIVAS",Base_Periodo1[MENSAL])</f>
        <v>-2062279.3100000008</v>
      </c>
      <c r="D25" s="72">
        <f t="shared" si="0"/>
        <v>-6.3552088602673418E-2</v>
      </c>
      <c r="E25" s="257">
        <v>18227797.57</v>
      </c>
      <c r="F25" s="71">
        <v>-21982113.399999999</v>
      </c>
      <c r="G25" s="72">
        <v>-6.087920180445227E-2</v>
      </c>
      <c r="H25" s="257">
        <v>18227797.57</v>
      </c>
      <c r="I25" s="72">
        <v>2.7745366619951164E-2</v>
      </c>
      <c r="J25" s="71">
        <v>8813027.9000000004</v>
      </c>
      <c r="K25" s="72">
        <f t="shared" si="1"/>
        <v>4.1813883991659161E-2</v>
      </c>
      <c r="L25" s="71">
        <v>5062432.2</v>
      </c>
      <c r="M25" s="72">
        <v>3.656118880403026E-2</v>
      </c>
    </row>
    <row r="26" spans="1:15" ht="17.100000000000001" customHeight="1">
      <c r="A26" s="70"/>
      <c r="B26" s="73" t="s">
        <v>209</v>
      </c>
      <c r="C26" s="71">
        <f>SUMIF(Base_Periodo1[Descrição],"( - ) DISPÊNDIOS E  DESPESAS C/ VENDAS",Base_Periodo1[MENSAL])</f>
        <v>-2367072.839999998</v>
      </c>
      <c r="D26" s="72">
        <f t="shared" si="0"/>
        <v>-7.2944737469466073E-2</v>
      </c>
      <c r="E26" s="257">
        <v>8261791.1600000001</v>
      </c>
      <c r="F26" s="71">
        <v>-13099095.199999999</v>
      </c>
      <c r="G26" s="72">
        <v>-3.6277788473993225E-2</v>
      </c>
      <c r="H26" s="257">
        <v>8261791.1600000001</v>
      </c>
      <c r="I26" s="72">
        <v>1.0202296690991434E-3</v>
      </c>
      <c r="J26" s="71">
        <v>12666756.609999999</v>
      </c>
      <c r="K26" s="72">
        <f t="shared" si="1"/>
        <v>6.0098106740490605E-2</v>
      </c>
      <c r="L26" s="71">
        <f>9649995.61</f>
        <v>9649995.6099999994</v>
      </c>
      <c r="M26" s="72">
        <v>6.9692846741784151E-2</v>
      </c>
    </row>
    <row r="27" spans="1:15" ht="17.100000000000001" customHeight="1">
      <c r="A27" s="70"/>
      <c r="B27" s="73" t="s">
        <v>210</v>
      </c>
      <c r="C27" s="71">
        <f>SUMIF(Base_Periodo1[Descrição],"( - ) DISPÊNDIOS E  DESPESAS TRIBUTÁRIAS",Base_Periodo1[MENSAL])</f>
        <v>-47171.869999999995</v>
      </c>
      <c r="D27" s="72">
        <f t="shared" si="0"/>
        <v>-1.453668689423932E-3</v>
      </c>
      <c r="E27" s="257">
        <v>303795.75</v>
      </c>
      <c r="F27" s="71">
        <v>-750905.45</v>
      </c>
      <c r="G27" s="72">
        <v>-2.079623719283199E-3</v>
      </c>
      <c r="H27" s="257">
        <v>303795.75</v>
      </c>
      <c r="I27" s="72">
        <v>3.0189145851360224E-4</v>
      </c>
      <c r="J27" s="71">
        <v>57351.72</v>
      </c>
      <c r="K27" s="72">
        <f t="shared" si="1"/>
        <v>2.7210831441962398E-4</v>
      </c>
      <c r="L27" s="71">
        <v>158224.15</v>
      </c>
      <c r="M27" s="72">
        <v>1.1427042956757435E-3</v>
      </c>
    </row>
    <row r="28" spans="1:15" ht="17.100000000000001" customHeight="1">
      <c r="A28" s="70"/>
      <c r="B28" s="73" t="s">
        <v>211</v>
      </c>
      <c r="C28" s="71">
        <f>SUMIF(Base_Periodo1[Descrição],"( - ) DISPÊNDIOS E  DESPESAS TECNICAS",Base_Periodo1[MENSAL])</f>
        <v>20704.480000000003</v>
      </c>
      <c r="D28" s="72">
        <f t="shared" si="0"/>
        <v>6.380381847657093E-4</v>
      </c>
      <c r="E28" s="257">
        <v>89894.8</v>
      </c>
      <c r="F28" s="71">
        <v>-1064842.6000000001</v>
      </c>
      <c r="G28" s="72">
        <v>-2.9490689250733122E-3</v>
      </c>
      <c r="H28" s="257">
        <v>89894.8</v>
      </c>
      <c r="I28" s="72">
        <v>2.1544536319196509E-4</v>
      </c>
      <c r="J28" s="71">
        <v>25397.23</v>
      </c>
      <c r="K28" s="72">
        <f t="shared" si="1"/>
        <v>1.2049852116427382E-4</v>
      </c>
      <c r="L28" s="71">
        <v>44258.239999999998</v>
      </c>
      <c r="M28" s="72">
        <v>3.1963566223644122E-4</v>
      </c>
    </row>
    <row r="29" spans="1:15" ht="17.100000000000001" customHeight="1">
      <c r="A29" s="70"/>
      <c r="B29" s="73" t="s">
        <v>212</v>
      </c>
      <c r="C29" s="71">
        <f>SUMIF(Base_Periodo1[Descrição],"( - ) DISPÊNDIOS E  DESPESAS INDEDUTÍVEIS",Base_Periodo1[MENSAL])</f>
        <v>-21406.75</v>
      </c>
      <c r="D29" s="72">
        <f t="shared" si="0"/>
        <v>-6.5967963994910015E-4</v>
      </c>
      <c r="E29" s="257">
        <v>64153.58</v>
      </c>
      <c r="F29" s="71">
        <v>-81775.490000000005</v>
      </c>
      <c r="G29" s="72">
        <v>-2.2647624765542195E-4</v>
      </c>
      <c r="H29" s="257">
        <v>64153.58</v>
      </c>
      <c r="I29" s="72">
        <v>0</v>
      </c>
      <c r="J29" s="71">
        <v>101132.89</v>
      </c>
      <c r="K29" s="72">
        <f t="shared" si="1"/>
        <v>4.7983042584050218E-4</v>
      </c>
      <c r="L29" s="71">
        <v>88593.48</v>
      </c>
      <c r="M29" s="72">
        <v>6.3982742308846697E-4</v>
      </c>
    </row>
    <row r="30" spans="1:15" ht="15">
      <c r="A30" s="70"/>
      <c r="B30" s="73" t="s">
        <v>213</v>
      </c>
      <c r="C30" s="71">
        <f>SUMIF(Base_Periodo1[Descrição],"( - ) DISPÊNDIOS E  DESPESAS C/ RATES",Base_Periodo1[MENSAL])</f>
        <v>-22445.429999999986</v>
      </c>
      <c r="D30" s="72">
        <f t="shared" si="0"/>
        <v>-6.9168805077383174E-4</v>
      </c>
      <c r="E30" s="257">
        <v>0</v>
      </c>
      <c r="F30" s="71">
        <v>0</v>
      </c>
      <c r="G30" s="72">
        <v>0</v>
      </c>
      <c r="H30" s="257">
        <v>0</v>
      </c>
      <c r="J30" s="71"/>
      <c r="K30" s="69">
        <f t="shared" si="1"/>
        <v>0</v>
      </c>
      <c r="L30" s="71"/>
      <c r="M30" s="69">
        <v>0</v>
      </c>
    </row>
    <row r="31" spans="1:15" ht="15">
      <c r="A31" s="74" t="s">
        <v>214</v>
      </c>
      <c r="B31" s="75"/>
      <c r="C31" s="76">
        <f>C33+C32</f>
        <v>-1019699.19</v>
      </c>
      <c r="D31" s="69">
        <f t="shared" si="0"/>
        <v>-3.1423489998042162E-2</v>
      </c>
      <c r="E31" s="256">
        <v>1899688.4400000002</v>
      </c>
      <c r="F31" s="76">
        <v>-4386776.379999999</v>
      </c>
      <c r="G31" s="69">
        <v>-1.2149125047686476E-2</v>
      </c>
      <c r="H31" s="256">
        <v>1899688.4400000002</v>
      </c>
      <c r="I31" s="69">
        <v>6.3796761756300677E-3</v>
      </c>
      <c r="J31" s="76">
        <f>J33-J32</f>
        <v>-2474534.5300000003</v>
      </c>
      <c r="K31" s="69">
        <f t="shared" si="1"/>
        <v>-1.1740561920923322E-2</v>
      </c>
      <c r="L31" s="76">
        <f>L33-L32</f>
        <v>1891761.4300000002</v>
      </c>
      <c r="M31" s="69">
        <v>1.3662414444664026E-2</v>
      </c>
    </row>
    <row r="32" spans="1:15" ht="15">
      <c r="A32" s="70"/>
      <c r="B32" s="73" t="s">
        <v>215</v>
      </c>
      <c r="C32" s="71">
        <f>SUMIF(Base_Periodo1[Descrição],"( - ) DISPÊNDIOS E  DESPESAS FINANCEIRAS",Base_Periodo1[MENSAL])</f>
        <v>-2029701.9800000004</v>
      </c>
      <c r="D32" s="72">
        <f t="shared" si="0"/>
        <v>-6.2548171551981321E-2</v>
      </c>
      <c r="E32" s="257">
        <v>1199068.45</v>
      </c>
      <c r="F32" s="71">
        <v>-12703837.399999999</v>
      </c>
      <c r="G32" s="72">
        <v>-3.5183126694521928E-2</v>
      </c>
      <c r="H32" s="257">
        <v>1199068.45</v>
      </c>
      <c r="I32" s="72">
        <v>4.0268015861667679E-3</v>
      </c>
      <c r="J32" s="71">
        <v>3128949.27</v>
      </c>
      <c r="K32" s="69">
        <f t="shared" si="1"/>
        <v>1.4845467786567043E-2</v>
      </c>
      <c r="L32" s="71">
        <v>3668983.65</v>
      </c>
      <c r="M32" s="69">
        <v>2.6497619848923622E-2</v>
      </c>
    </row>
    <row r="33" spans="1:15" ht="17.100000000000001" customHeight="1">
      <c r="A33" s="70"/>
      <c r="B33" s="73" t="s">
        <v>216</v>
      </c>
      <c r="C33" s="71">
        <f>SUMIF(Base_Periodo1[Descrição],"( + ) INGRESSOS E RECEITAS FINANCEIRAS",Base_Periodo1[MENSAL])</f>
        <v>1010002.7900000005</v>
      </c>
      <c r="D33" s="72">
        <f t="shared" si="0"/>
        <v>3.1124681553939153E-2</v>
      </c>
      <c r="E33" s="257">
        <v>3098756.89</v>
      </c>
      <c r="F33" s="71">
        <v>8317061.0199999996</v>
      </c>
      <c r="G33" s="72">
        <v>2.3034001646835452E-2</v>
      </c>
      <c r="H33" s="257">
        <v>3098756.89</v>
      </c>
      <c r="I33" s="72">
        <v>1.0406477761796836E-2</v>
      </c>
      <c r="J33" s="71">
        <v>654414.74</v>
      </c>
      <c r="K33" s="69">
        <f t="shared" si="1"/>
        <v>3.1049058656437236E-3</v>
      </c>
      <c r="L33" s="71">
        <f>1308028.91+4252716.17</f>
        <v>5560745.0800000001</v>
      </c>
      <c r="M33" s="69">
        <v>4.0160034293587644E-2</v>
      </c>
    </row>
    <row r="34" spans="1:15" ht="19.5" customHeight="1">
      <c r="A34" s="74" t="s">
        <v>217</v>
      </c>
      <c r="B34" s="73"/>
      <c r="C34" s="76">
        <f>C36+C35</f>
        <v>3335551.66</v>
      </c>
      <c r="D34" s="69">
        <f t="shared" si="0"/>
        <v>0.10278979845611425</v>
      </c>
      <c r="E34" s="256">
        <v>-2340002.4400000004</v>
      </c>
      <c r="F34" s="76">
        <v>1453790.87</v>
      </c>
      <c r="G34" s="69">
        <v>4.0262565361982097E-3</v>
      </c>
      <c r="H34" s="256">
        <v>-2340002.4400000004</v>
      </c>
      <c r="I34" s="69">
        <v>-7.8583716692955333E-3</v>
      </c>
      <c r="J34" s="76">
        <f>J36-J35</f>
        <v>-1519424.1700000004</v>
      </c>
      <c r="K34" s="69">
        <f t="shared" si="1"/>
        <v>-7.2089895435940941E-3</v>
      </c>
      <c r="L34" s="76">
        <f>L36-L35</f>
        <v>-1166493.5900000003</v>
      </c>
      <c r="M34" s="69">
        <v>-8.4244866297036192E-3</v>
      </c>
    </row>
    <row r="35" spans="1:15" ht="17.100000000000001" customHeight="1">
      <c r="A35" s="74"/>
      <c r="B35" s="73" t="s">
        <v>218</v>
      </c>
      <c r="C35" s="71">
        <f>-SUMIF(Base_Periodo1[Descrição],"( - ) OUTROS DISPÊNDIOS E  DESPESAS OPERACIONAIS",Base_Periodo1[MENSAL])</f>
        <v>0</v>
      </c>
      <c r="D35" s="72">
        <f t="shared" si="0"/>
        <v>0</v>
      </c>
      <c r="E35" s="257">
        <v>9371906.6600000001</v>
      </c>
      <c r="F35" s="71">
        <v>-913071.09</v>
      </c>
      <c r="G35" s="72">
        <v>-2.5287395319287726E-3</v>
      </c>
      <c r="H35" s="257">
        <v>9371906.6600000001</v>
      </c>
      <c r="I35" s="72">
        <v>3.1473439738903056E-2</v>
      </c>
      <c r="J35" s="71">
        <v>5223535.1900000004</v>
      </c>
      <c r="K35" s="72">
        <f t="shared" si="1"/>
        <v>2.4783343130118683E-2</v>
      </c>
      <c r="L35" s="71">
        <v>4477586.57</v>
      </c>
      <c r="M35" s="72">
        <v>3.233739860697004E-2</v>
      </c>
      <c r="O35" s="71"/>
    </row>
    <row r="36" spans="1:15" ht="17.100000000000001" customHeight="1">
      <c r="A36" s="70"/>
      <c r="B36" s="73" t="s">
        <v>219</v>
      </c>
      <c r="C36" s="71">
        <f>SUMIF(Base_Periodo1[Descrição],"( + ) OUTROS INGRESSOS E  RECEITAS OPERACIONAIS",Base_Periodo1[MENSAL])</f>
        <v>3335551.66</v>
      </c>
      <c r="D36" s="72">
        <f t="shared" si="0"/>
        <v>0.10278979845611425</v>
      </c>
      <c r="E36" s="257">
        <v>7031904.2199999997</v>
      </c>
      <c r="F36" s="71">
        <v>2366861.96</v>
      </c>
      <c r="G36" s="72">
        <v>6.5549960681269819E-3</v>
      </c>
      <c r="H36" s="257">
        <v>7031904.2199999997</v>
      </c>
      <c r="I36" s="72">
        <v>2.3615068069607524E-2</v>
      </c>
      <c r="J36" s="71">
        <v>3704111.02</v>
      </c>
      <c r="K36" s="72">
        <f t="shared" si="1"/>
        <v>1.757435358652459E-2</v>
      </c>
      <c r="L36" s="71">
        <v>3311092.98</v>
      </c>
      <c r="M36" s="72">
        <v>2.3912911977266419E-2</v>
      </c>
      <c r="O36" s="71"/>
    </row>
    <row r="37" spans="1:15" ht="19.5" customHeight="1">
      <c r="A37" s="74" t="s">
        <v>220</v>
      </c>
      <c r="B37" s="75"/>
      <c r="C37" s="78">
        <f>(C22+C23+C34+C31)</f>
        <v>463055.20000002626</v>
      </c>
      <c r="D37" s="69">
        <f t="shared" si="0"/>
        <v>1.4269708741989134E-2</v>
      </c>
      <c r="E37" s="256">
        <v>7244964.3600000218</v>
      </c>
      <c r="F37" s="78">
        <v>12421885.389999978</v>
      </c>
      <c r="G37" s="69">
        <v>3.44022639538192E-2</v>
      </c>
      <c r="H37" s="256">
        <v>7244964.3600000218</v>
      </c>
      <c r="I37" s="72">
        <v>2.4330582608999337E-2</v>
      </c>
      <c r="J37" s="78">
        <f>(J22-J23+J30+J34+J31)</f>
        <v>8181414.0600000089</v>
      </c>
      <c r="K37" s="69">
        <f t="shared" si="1"/>
        <v>3.8817158220112918E-2</v>
      </c>
      <c r="L37" s="78">
        <f>(L22-L23+L30+L34+L31)</f>
        <v>1736296.2300000042</v>
      </c>
      <c r="M37" s="69">
        <v>1.25396354512671E-2</v>
      </c>
    </row>
    <row r="38" spans="1:15" ht="19.5" hidden="1" customHeight="1">
      <c r="A38" s="74" t="s">
        <v>221</v>
      </c>
      <c r="B38" s="75"/>
      <c r="C38" s="76">
        <f>C39+C40</f>
        <v>0</v>
      </c>
      <c r="D38" s="69">
        <f t="shared" si="0"/>
        <v>0</v>
      </c>
      <c r="E38" s="256">
        <v>0</v>
      </c>
      <c r="F38" s="76">
        <v>0</v>
      </c>
      <c r="G38" s="69">
        <v>0</v>
      </c>
      <c r="H38" s="256">
        <v>0</v>
      </c>
      <c r="I38" s="69">
        <v>0</v>
      </c>
      <c r="J38" s="76">
        <f>J39-J40</f>
        <v>0</v>
      </c>
      <c r="K38" s="69">
        <f t="shared" si="1"/>
        <v>0</v>
      </c>
      <c r="L38" s="76">
        <f>L39-L40</f>
        <v>0</v>
      </c>
      <c r="M38" s="69">
        <v>0</v>
      </c>
    </row>
    <row r="39" spans="1:15" ht="17.100000000000001" hidden="1" customHeight="1">
      <c r="A39" s="70"/>
      <c r="B39" s="70" t="s">
        <v>222</v>
      </c>
      <c r="C39" s="71">
        <v>0</v>
      </c>
      <c r="D39" s="72">
        <f t="shared" si="0"/>
        <v>0</v>
      </c>
      <c r="E39" s="256">
        <v>0</v>
      </c>
      <c r="F39" s="71">
        <v>0</v>
      </c>
      <c r="G39" s="72">
        <v>0</v>
      </c>
      <c r="H39" s="256">
        <v>0</v>
      </c>
      <c r="I39" s="69">
        <v>0</v>
      </c>
      <c r="J39" s="71">
        <v>0</v>
      </c>
      <c r="K39" s="72">
        <f t="shared" si="1"/>
        <v>0</v>
      </c>
      <c r="L39" s="71">
        <v>0</v>
      </c>
      <c r="M39" s="72">
        <v>0</v>
      </c>
    </row>
    <row r="40" spans="1:15" ht="17.100000000000001" hidden="1" customHeight="1">
      <c r="A40" s="70"/>
      <c r="B40" s="70" t="s">
        <v>223</v>
      </c>
      <c r="C40" s="71">
        <v>0</v>
      </c>
      <c r="D40" s="72">
        <f t="shared" si="0"/>
        <v>0</v>
      </c>
      <c r="E40" s="257">
        <v>0</v>
      </c>
      <c r="F40" s="71">
        <v>0</v>
      </c>
      <c r="G40" s="72">
        <v>0</v>
      </c>
      <c r="H40" s="257">
        <v>0</v>
      </c>
      <c r="I40" s="72">
        <v>0</v>
      </c>
      <c r="J40" s="71">
        <v>0</v>
      </c>
      <c r="K40" s="72">
        <f t="shared" si="1"/>
        <v>0</v>
      </c>
      <c r="L40" s="71">
        <v>0</v>
      </c>
      <c r="M40" s="72">
        <v>0</v>
      </c>
    </row>
    <row r="41" spans="1:15" ht="19.5" hidden="1" customHeight="1">
      <c r="A41" s="74" t="s">
        <v>224</v>
      </c>
      <c r="B41" s="74"/>
      <c r="C41" s="76">
        <f>C37+C38</f>
        <v>463055.20000002626</v>
      </c>
      <c r="D41" s="69">
        <f t="shared" si="0"/>
        <v>1.4269708741989134E-2</v>
      </c>
      <c r="E41" s="257">
        <v>7244964.3600000218</v>
      </c>
      <c r="F41" s="76">
        <v>12421885.389999978</v>
      </c>
      <c r="G41" s="69">
        <v>3.44022639538192E-2</v>
      </c>
      <c r="H41" s="257">
        <v>7244964.3600000218</v>
      </c>
      <c r="I41" s="72">
        <v>2.4330582608999337E-2</v>
      </c>
      <c r="J41" s="76">
        <f>J37+J38</f>
        <v>8181414.0600000089</v>
      </c>
      <c r="K41" s="69">
        <f t="shared" si="1"/>
        <v>3.8817158220112918E-2</v>
      </c>
      <c r="L41" s="76">
        <f>L37+L38</f>
        <v>1736296.2300000042</v>
      </c>
      <c r="M41" s="69">
        <v>1.25396354512671E-2</v>
      </c>
    </row>
    <row r="42" spans="1:15" ht="19.5" hidden="1" customHeight="1">
      <c r="A42" s="74"/>
      <c r="B42" s="70" t="s">
        <v>225</v>
      </c>
      <c r="C42" s="71"/>
      <c r="D42" s="69">
        <f t="shared" si="0"/>
        <v>0</v>
      </c>
      <c r="E42" s="256"/>
      <c r="F42" s="71"/>
      <c r="G42" s="69">
        <v>0</v>
      </c>
      <c r="H42" s="256"/>
      <c r="I42" s="69">
        <v>0</v>
      </c>
      <c r="J42" s="71"/>
      <c r="K42" s="69">
        <f t="shared" si="1"/>
        <v>0</v>
      </c>
      <c r="L42" s="71"/>
      <c r="M42" s="69">
        <v>0</v>
      </c>
    </row>
    <row r="43" spans="1:15" ht="19.5" hidden="1" customHeight="1">
      <c r="A43" s="74"/>
      <c r="B43" s="70" t="s">
        <v>226</v>
      </c>
      <c r="C43" s="71"/>
      <c r="D43" s="69">
        <f t="shared" si="0"/>
        <v>0</v>
      </c>
      <c r="E43" s="256"/>
      <c r="F43" s="71"/>
      <c r="G43" s="69">
        <v>0</v>
      </c>
      <c r="H43" s="256"/>
      <c r="I43" s="69">
        <v>0</v>
      </c>
      <c r="J43" s="71"/>
      <c r="K43" s="69">
        <f t="shared" si="1"/>
        <v>0</v>
      </c>
      <c r="L43" s="71"/>
      <c r="M43" s="69">
        <v>0</v>
      </c>
    </row>
    <row r="44" spans="1:15" ht="19.5" hidden="1" customHeight="1">
      <c r="A44" s="74" t="s">
        <v>227</v>
      </c>
      <c r="B44" s="70"/>
      <c r="C44" s="76">
        <f>C41+C42+C43</f>
        <v>463055.20000002626</v>
      </c>
      <c r="D44" s="69">
        <f t="shared" si="0"/>
        <v>1.4269708741989134E-2</v>
      </c>
      <c r="E44" s="256">
        <v>7244964.3600000218</v>
      </c>
      <c r="F44" s="76">
        <v>12421885.389999978</v>
      </c>
      <c r="G44" s="69">
        <v>3.44022639538192E-2</v>
      </c>
      <c r="H44" s="256">
        <v>7244964.3600000218</v>
      </c>
      <c r="I44" s="69">
        <v>2.4330582608999337E-2</v>
      </c>
      <c r="J44" s="76">
        <f>J41-J42-J43</f>
        <v>8181414.0600000089</v>
      </c>
      <c r="K44" s="69">
        <f t="shared" si="1"/>
        <v>3.8817158220112918E-2</v>
      </c>
      <c r="L44" s="76">
        <f>L41-L42-L43</f>
        <v>1736296.2300000042</v>
      </c>
      <c r="M44" s="69">
        <v>1.25396354512671E-2</v>
      </c>
    </row>
    <row r="45" spans="1:15" ht="19.5" hidden="1" customHeight="1">
      <c r="A45" s="74"/>
      <c r="B45" s="70" t="s">
        <v>228</v>
      </c>
      <c r="C45" s="71"/>
      <c r="D45" s="69">
        <f t="shared" si="0"/>
        <v>0</v>
      </c>
      <c r="E45" s="256"/>
      <c r="F45" s="71"/>
      <c r="G45" s="69">
        <v>0</v>
      </c>
      <c r="H45" s="256"/>
      <c r="I45" s="69">
        <v>0</v>
      </c>
      <c r="J45" s="71"/>
      <c r="K45" s="69">
        <f t="shared" si="1"/>
        <v>0</v>
      </c>
      <c r="L45" s="71"/>
      <c r="M45" s="69">
        <v>0</v>
      </c>
    </row>
    <row r="46" spans="1:15" ht="19.5" customHeight="1">
      <c r="A46" s="75" t="s">
        <v>229</v>
      </c>
      <c r="B46" s="70"/>
      <c r="C46" s="76">
        <f>C44+C45</f>
        <v>463055.20000002626</v>
      </c>
      <c r="D46" s="69">
        <f t="shared" si="0"/>
        <v>1.4269708741989134E-2</v>
      </c>
      <c r="E46" s="256">
        <v>7244964.3600000218</v>
      </c>
      <c r="F46" s="76">
        <v>12421885.389999978</v>
      </c>
      <c r="G46" s="69">
        <v>3.44022639538192E-2</v>
      </c>
      <c r="H46" s="256">
        <v>7244964.3600000218</v>
      </c>
      <c r="I46" s="69">
        <v>2.4330582608999337E-2</v>
      </c>
      <c r="J46" s="76">
        <f>J44-J45</f>
        <v>8181414.0600000089</v>
      </c>
      <c r="K46" s="69">
        <f t="shared" si="1"/>
        <v>3.8817158220112918E-2</v>
      </c>
      <c r="L46" s="76">
        <f>L44-L45</f>
        <v>1736296.2300000042</v>
      </c>
      <c r="M46" s="69">
        <v>1.25396354512671E-2</v>
      </c>
    </row>
    <row r="47" spans="1:15" ht="19.5" customHeight="1">
      <c r="A47" s="74" t="s">
        <v>230</v>
      </c>
      <c r="B47" s="70"/>
      <c r="C47" s="76">
        <f>(C48+C49)</f>
        <v>-123888.78</v>
      </c>
      <c r="D47" s="69">
        <f t="shared" si="0"/>
        <v>-3.8178100731840791E-3</v>
      </c>
      <c r="E47" s="256">
        <v>409111.38</v>
      </c>
      <c r="F47" s="76">
        <v>-1179935.52</v>
      </c>
      <c r="G47" s="69">
        <v>-3.2678173991369424E-3</v>
      </c>
      <c r="H47" s="256">
        <v>409111.38</v>
      </c>
      <c r="I47" s="69">
        <v>1.3739085153169324E-3</v>
      </c>
      <c r="J47" s="76">
        <f>J48+J49</f>
        <v>180067.55</v>
      </c>
      <c r="K47" s="69">
        <f t="shared" si="1"/>
        <v>8.5434015775239793E-4</v>
      </c>
      <c r="L47" s="76">
        <f>L48+L49</f>
        <v>99733.45</v>
      </c>
      <c r="M47" s="69">
        <v>7.2028095418785298E-4</v>
      </c>
    </row>
    <row r="48" spans="1:15" ht="17.100000000000001" customHeight="1">
      <c r="A48" s="74"/>
      <c r="B48" s="70" t="s">
        <v>231</v>
      </c>
      <c r="C48" s="71">
        <f>SUMIF(Base_Periodo1[Descrição],"( - ) IMPOSTO DE RENDA",Base_Periodo1[MENSAL])</f>
        <v>-89604.11</v>
      </c>
      <c r="D48" s="72">
        <f t="shared" si="0"/>
        <v>-2.7612788967386255E-3</v>
      </c>
      <c r="E48" s="257">
        <v>294464.25</v>
      </c>
      <c r="F48" s="71">
        <v>-861776.12</v>
      </c>
      <c r="G48" s="72">
        <v>-2.3866787221531612E-3</v>
      </c>
      <c r="H48" s="257">
        <v>294464.25</v>
      </c>
      <c r="I48" s="72">
        <v>9.8889192603592198E-4</v>
      </c>
      <c r="J48" s="71">
        <v>126049.67</v>
      </c>
      <c r="K48" s="69">
        <f t="shared" si="1"/>
        <v>5.9804942618721531E-4</v>
      </c>
      <c r="L48" s="71">
        <v>66980.479999999996</v>
      </c>
      <c r="M48" s="69">
        <v>4.8373704154784978E-4</v>
      </c>
    </row>
    <row r="49" spans="1:13" ht="17.100000000000001" customHeight="1">
      <c r="A49" s="74"/>
      <c r="B49" s="70" t="s">
        <v>232</v>
      </c>
      <c r="C49" s="71">
        <f>SUMIF(Base_Periodo1[Descrição],"( - ) CONTRIBUIÇÃO SOCIAL",Base_Periodo1[MENSAL])</f>
        <v>-34284.67</v>
      </c>
      <c r="D49" s="72">
        <f t="shared" si="0"/>
        <v>-1.0565311764454536E-3</v>
      </c>
      <c r="E49" s="257">
        <v>114647.13</v>
      </c>
      <c r="F49" s="71">
        <v>-318159.40000000002</v>
      </c>
      <c r="G49" s="72">
        <v>-8.8113867698378149E-4</v>
      </c>
      <c r="H49" s="257">
        <v>114647.13</v>
      </c>
      <c r="I49" s="72">
        <v>3.8501658928101029E-4</v>
      </c>
      <c r="J49" s="71">
        <v>54017.88</v>
      </c>
      <c r="K49" s="69">
        <f t="shared" si="1"/>
        <v>2.5629073156518262E-4</v>
      </c>
      <c r="L49" s="71">
        <v>32752.97</v>
      </c>
      <c r="M49" s="69">
        <v>2.3654391264000318E-4</v>
      </c>
    </row>
    <row r="50" spans="1:13" ht="19.5" customHeight="1">
      <c r="A50" s="75" t="s">
        <v>233</v>
      </c>
      <c r="B50" s="70"/>
      <c r="C50" s="76">
        <f>C46+C47</f>
        <v>339166.42000002624</v>
      </c>
      <c r="D50" s="69">
        <f t="shared" si="0"/>
        <v>1.0451898668805054E-2</v>
      </c>
      <c r="E50" s="256">
        <v>6835852.9800000219</v>
      </c>
      <c r="F50" s="76">
        <v>11241949.869999979</v>
      </c>
      <c r="G50" s="69">
        <v>3.1134446554682258E-2</v>
      </c>
      <c r="H50" s="256">
        <v>6835852.9800000219</v>
      </c>
      <c r="I50" s="69">
        <v>2.2956674093682402E-2</v>
      </c>
      <c r="J50" s="76">
        <f>J46-J47</f>
        <v>8001346.5100000091</v>
      </c>
      <c r="K50" s="69">
        <f t="shared" si="1"/>
        <v>3.7962818062360522E-2</v>
      </c>
      <c r="L50" s="76">
        <f>L46-L47</f>
        <v>1636562.7800000042</v>
      </c>
      <c r="M50" s="69">
        <v>1.1819354497079248E-2</v>
      </c>
    </row>
    <row r="51" spans="1:13" ht="17.100000000000001" hidden="1" customHeight="1">
      <c r="A51" s="75"/>
      <c r="B51" s="70" t="s">
        <v>234</v>
      </c>
      <c r="C51" s="76">
        <f>'Sobras Terceiros (2)'!C48</f>
        <v>992382.71000000322</v>
      </c>
      <c r="D51" s="69">
        <f t="shared" si="0"/>
        <v>3.058169356976255E-2</v>
      </c>
      <c r="E51" s="256">
        <v>1055498.860000002</v>
      </c>
      <c r="F51" s="76">
        <v>1648729.5499999826</v>
      </c>
      <c r="G51" s="69">
        <v>4.5661368936170043E-3</v>
      </c>
      <c r="H51" s="256">
        <v>1055498.860000002</v>
      </c>
      <c r="I51" s="69">
        <v>3.5446554228369723E-3</v>
      </c>
      <c r="J51" s="76">
        <v>670428.04</v>
      </c>
      <c r="K51" s="69">
        <f t="shared" si="1"/>
        <v>3.180881827154482E-3</v>
      </c>
      <c r="L51" s="76">
        <v>375896.74</v>
      </c>
      <c r="M51" s="69">
        <v>2.7147487885288563E-3</v>
      </c>
    </row>
    <row r="52" spans="1:13" ht="17.100000000000001" hidden="1" customHeight="1">
      <c r="A52" s="75" t="s">
        <v>235</v>
      </c>
      <c r="B52" s="70"/>
      <c r="C52" s="76">
        <f>C50-C51</f>
        <v>-653216.28999997699</v>
      </c>
      <c r="D52" s="69">
        <f t="shared" si="0"/>
        <v>-2.0129794900957496E-2</v>
      </c>
      <c r="E52" s="258">
        <f>E50-E51</f>
        <v>5780354.1200000197</v>
      </c>
      <c r="F52" s="76">
        <v>9593220.3199999966</v>
      </c>
      <c r="G52" s="69">
        <v>2.6568309661065256E-2</v>
      </c>
      <c r="H52" s="258">
        <v>5780354.1200000197</v>
      </c>
      <c r="I52" s="69">
        <v>1.9412018670845431E-2</v>
      </c>
      <c r="J52" s="76">
        <f>J50-J51</f>
        <v>7330918.4700000091</v>
      </c>
      <c r="K52" s="69">
        <f t="shared" si="1"/>
        <v>3.4781936235206042E-2</v>
      </c>
      <c r="L52" s="76">
        <f>L53+L57</f>
        <v>1260666.0400000042</v>
      </c>
      <c r="M52" s="69">
        <v>9.104605708550392E-3</v>
      </c>
    </row>
    <row r="53" spans="1:13" ht="19.5" hidden="1" customHeight="1">
      <c r="A53" s="74" t="s">
        <v>236</v>
      </c>
      <c r="B53" s="74"/>
      <c r="C53" s="76">
        <f>SUM(C54:C56)</f>
        <v>-2989458.0410000137</v>
      </c>
      <c r="D53" s="69">
        <f t="shared" si="0"/>
        <v>-9.2124428235478603E-2</v>
      </c>
      <c r="E53" s="256">
        <v>4913301.0019999864</v>
      </c>
      <c r="F53" s="76">
        <v>8154237.2720000688</v>
      </c>
      <c r="G53" s="69">
        <v>2.2583063211905667E-2</v>
      </c>
      <c r="H53" s="256">
        <v>4913301.0019999864</v>
      </c>
      <c r="I53" s="69">
        <v>1.6500215870218514E-2</v>
      </c>
      <c r="J53" s="76">
        <f>SUM(J54:J56)</f>
        <v>6231280.6995000076</v>
      </c>
      <c r="K53" s="69">
        <f t="shared" si="1"/>
        <v>2.9564645799925137E-2</v>
      </c>
      <c r="L53" s="76">
        <f>SUM(L54:L56)</f>
        <v>1071566.1299999999</v>
      </c>
      <c r="M53" s="69">
        <v>7.7389148233795663E-3</v>
      </c>
    </row>
    <row r="54" spans="1:13" ht="17.100000000000001" hidden="1" customHeight="1">
      <c r="A54" s="70"/>
      <c r="B54" s="70" t="s">
        <v>237</v>
      </c>
      <c r="C54" s="71">
        <f>'Sobras Terceiros (2)'!C51</f>
        <v>-175850.47300000081</v>
      </c>
      <c r="D54" s="72">
        <f t="shared" si="0"/>
        <v>-5.4190840138516822E-3</v>
      </c>
      <c r="E54" s="257">
        <v>289017.70599999925</v>
      </c>
      <c r="F54" s="71">
        <v>479661.01600000402</v>
      </c>
      <c r="G54" s="72">
        <v>1.3284154830532744E-3</v>
      </c>
      <c r="H54" s="257">
        <v>289017.70599999925</v>
      </c>
      <c r="I54" s="72">
        <v>9.7060093354226569E-4</v>
      </c>
      <c r="J54" s="71">
        <f>J52*0.05</f>
        <v>366545.9235000005</v>
      </c>
      <c r="K54" s="72">
        <f t="shared" si="1"/>
        <v>1.7390968117603023E-3</v>
      </c>
      <c r="L54" s="71">
        <v>63033.3</v>
      </c>
      <c r="M54" s="72">
        <v>4.552302709833982E-4</v>
      </c>
    </row>
    <row r="55" spans="1:13" ht="17.100000000000001" hidden="1" customHeight="1">
      <c r="A55" s="70"/>
      <c r="B55" s="70" t="s">
        <v>238</v>
      </c>
      <c r="C55" s="71">
        <f>'Sobras Terceiros (2)'!C52</f>
        <v>-351700.94600000163</v>
      </c>
      <c r="D55" s="72">
        <f t="shared" si="0"/>
        <v>-1.0838168027703364E-2</v>
      </c>
      <c r="E55" s="257">
        <v>578035.4119999985</v>
      </c>
      <c r="F55" s="257"/>
      <c r="G55" s="257"/>
      <c r="H55" s="257"/>
      <c r="I55" s="72">
        <v>1.9412018670845314E-3</v>
      </c>
      <c r="J55" s="71">
        <f>J52*0.1</f>
        <v>733091.847000001</v>
      </c>
      <c r="K55" s="72">
        <f t="shared" si="1"/>
        <v>3.4781936235206046E-3</v>
      </c>
      <c r="L55" s="71">
        <v>378199.81</v>
      </c>
      <c r="M55" s="72">
        <v>2.7313816981209887E-3</v>
      </c>
    </row>
    <row r="56" spans="1:13" ht="17.100000000000001" hidden="1" customHeight="1">
      <c r="A56" s="70"/>
      <c r="B56" s="70" t="s">
        <v>239</v>
      </c>
      <c r="C56" s="71">
        <f>'Sobras Terceiros (2)'!C53</f>
        <v>-2461906.6220000111</v>
      </c>
      <c r="D56" s="72">
        <f t="shared" si="0"/>
        <v>-7.5867176193923552E-2</v>
      </c>
      <c r="E56" s="257">
        <v>4046247.8839999889</v>
      </c>
      <c r="F56" s="257"/>
      <c r="G56" s="257"/>
      <c r="H56" s="257"/>
      <c r="I56" s="72">
        <v>1.3588413069591718E-2</v>
      </c>
      <c r="J56" s="71">
        <f>J52*0.7</f>
        <v>5131642.9290000061</v>
      </c>
      <c r="K56" s="72">
        <f t="shared" si="1"/>
        <v>2.4347355364644229E-2</v>
      </c>
      <c r="L56" s="71">
        <v>630333.02</v>
      </c>
      <c r="M56" s="72">
        <v>4.5523028542751812E-3</v>
      </c>
    </row>
    <row r="57" spans="1:13" ht="19.5" hidden="1" customHeight="1">
      <c r="A57" s="74" t="s">
        <v>240</v>
      </c>
      <c r="B57" s="74"/>
      <c r="C57" s="76">
        <f>C50-C53-C51</f>
        <v>2336241.751000037</v>
      </c>
      <c r="D57" s="69">
        <f t="shared" si="0"/>
        <v>7.1994633334521108E-2</v>
      </c>
      <c r="E57" s="256">
        <v>867053.11800003354</v>
      </c>
      <c r="F57" s="256"/>
      <c r="G57" s="256"/>
      <c r="H57" s="256"/>
      <c r="I57" s="69">
        <v>2.9118028006269174E-3</v>
      </c>
      <c r="J57" s="76">
        <f>J50-J53-J51</f>
        <v>1099637.7705000015</v>
      </c>
      <c r="K57" s="69">
        <f t="shared" si="1"/>
        <v>5.2172904352809071E-3</v>
      </c>
      <c r="L57" s="76">
        <f>L50-L53-L51</f>
        <v>189099.91000000434</v>
      </c>
      <c r="M57" s="69">
        <v>1.3656908851708252E-3</v>
      </c>
    </row>
    <row r="58" spans="1:13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</row>
    <row r="59" spans="1:13" s="80" customFormat="1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</row>
    <row r="60" spans="1:13" s="80" customFormat="1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</row>
    <row r="61" spans="1:13" s="80" customFormat="1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</row>
    <row r="62" spans="1:13" s="80" customFormat="1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</row>
    <row r="63" spans="1:13" s="80" customFormat="1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</row>
    <row r="64" spans="1:13" s="80" customFormat="1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</row>
    <row r="65" spans="1:11" s="80" customFormat="1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</row>
    <row r="66" spans="1:11" s="80" customFormat="1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</row>
    <row r="67" spans="1:11" s="80" customFormat="1"/>
    <row r="68" spans="1:11" s="80" customFormat="1"/>
  </sheetData>
  <mergeCells count="7">
    <mergeCell ref="A12:B12"/>
    <mergeCell ref="B3:L3"/>
    <mergeCell ref="A4:K4"/>
    <mergeCell ref="A6:K6"/>
    <mergeCell ref="A7:K7"/>
    <mergeCell ref="A8:K8"/>
    <mergeCell ref="A9:E9"/>
  </mergeCells>
  <pageMargins left="0.39370078740157483" right="0.15748031496062992" top="0.23622047244094491" bottom="0.19685039370078741" header="0.19685039370078741" footer="0.15748031496062992"/>
  <pageSetup paperSize="9" scale="8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Plan8">
    <pageSetUpPr fitToPage="1"/>
  </sheetPr>
  <dimension ref="A2:AA65"/>
  <sheetViews>
    <sheetView showGridLines="0" view="pageBreakPreview" zoomScale="145" zoomScaleSheetLayoutView="145" workbookViewId="0">
      <selection activeCell="C10" sqref="C10:E10"/>
    </sheetView>
  </sheetViews>
  <sheetFormatPr defaultRowHeight="14.25"/>
  <cols>
    <col min="1" max="1" width="4.42578125" style="28" customWidth="1"/>
    <col min="2" max="2" width="55.85546875" style="28" customWidth="1"/>
    <col min="3" max="3" width="17.7109375" style="28" bestFit="1" customWidth="1"/>
    <col min="4" max="4" width="18.42578125" style="28" bestFit="1" customWidth="1"/>
    <col min="5" max="5" width="17.7109375" style="28" customWidth="1"/>
    <col min="6" max="11" width="17.7109375" style="28" hidden="1" customWidth="1"/>
    <col min="12" max="12" width="19.85546875" style="28" hidden="1" customWidth="1"/>
    <col min="13" max="14" width="16.85546875" style="28" hidden="1" customWidth="1"/>
    <col min="15" max="15" width="17.7109375" style="28" hidden="1" customWidth="1"/>
    <col min="16" max="16" width="18.42578125" style="28" hidden="1" customWidth="1"/>
    <col min="17" max="17" width="16.7109375" style="28" hidden="1" customWidth="1"/>
    <col min="18" max="18" width="17.7109375" style="28" hidden="1" customWidth="1"/>
    <col min="19" max="19" width="18.42578125" style="28" hidden="1" customWidth="1"/>
    <col min="20" max="20" width="17.42578125" style="28" hidden="1" customWidth="1"/>
    <col min="21" max="21" width="17.7109375" style="28" hidden="1" customWidth="1"/>
    <col min="22" max="22" width="18.42578125" style="51" hidden="1" customWidth="1"/>
    <col min="23" max="23" width="16.85546875" style="28" hidden="1" customWidth="1"/>
    <col min="24" max="24" width="21.5703125" style="28" hidden="1" customWidth="1"/>
    <col min="25" max="25" width="15.140625" style="28" hidden="1" customWidth="1"/>
    <col min="26" max="26" width="16.85546875" style="28" bestFit="1" customWidth="1"/>
    <col min="27" max="27" width="15.7109375" style="28" bestFit="1" customWidth="1"/>
    <col min="28" max="16384" width="9.140625" style="28"/>
  </cols>
  <sheetData>
    <row r="2" spans="1:26" ht="21">
      <c r="A2" s="81"/>
      <c r="B2" s="263" t="s">
        <v>195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29"/>
      <c r="X2" s="29"/>
    </row>
    <row r="3" spans="1:26" ht="15">
      <c r="A3" s="81"/>
      <c r="B3" s="337" t="s">
        <v>141</v>
      </c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81"/>
      <c r="N3" s="81"/>
      <c r="O3" s="81"/>
      <c r="P3" s="81"/>
      <c r="Q3" s="81"/>
      <c r="R3" s="81"/>
      <c r="S3" s="81"/>
      <c r="T3" s="81"/>
      <c r="U3" s="81"/>
      <c r="V3" s="81"/>
      <c r="X3" s="33"/>
    </row>
    <row r="4" spans="1:26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W4" s="33"/>
      <c r="X4" s="33"/>
    </row>
    <row r="5" spans="1:26">
      <c r="A5" s="33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262"/>
      <c r="W5" s="33"/>
      <c r="X5" s="33"/>
    </row>
    <row r="6" spans="1:26" ht="15">
      <c r="A6" s="333" t="str">
        <f>'Sobras-Perdas'!A7:K7</f>
        <v>DEMONSTRAÇÕES CONTÁBEIS LEVANTADAS EM 31/05/2017</v>
      </c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  <c r="M6" s="333"/>
      <c r="N6" s="333"/>
      <c r="O6" s="333"/>
      <c r="P6" s="333"/>
      <c r="Q6" s="333"/>
      <c r="R6" s="333"/>
      <c r="S6" s="81"/>
      <c r="T6" s="81"/>
      <c r="U6" s="81"/>
      <c r="V6" s="81"/>
      <c r="W6" s="29"/>
      <c r="X6" s="29"/>
    </row>
    <row r="7" spans="1:26" ht="15" customHeight="1">
      <c r="A7" s="333" t="s">
        <v>151</v>
      </c>
      <c r="B7" s="333"/>
      <c r="C7" s="333"/>
      <c r="D7" s="333"/>
      <c r="E7" s="333"/>
      <c r="F7" s="333"/>
      <c r="G7" s="333"/>
      <c r="H7" s="333"/>
      <c r="I7" s="333"/>
      <c r="J7" s="333"/>
      <c r="K7" s="333"/>
      <c r="L7" s="333"/>
      <c r="M7" s="333"/>
      <c r="N7" s="333"/>
      <c r="O7" s="333"/>
      <c r="P7" s="333"/>
      <c r="Q7" s="333"/>
      <c r="R7" s="333"/>
      <c r="S7" s="33"/>
      <c r="T7" s="33"/>
      <c r="U7" s="82"/>
      <c r="W7" s="33"/>
      <c r="X7" s="33"/>
    </row>
    <row r="8" spans="1:26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82"/>
      <c r="W8" s="33"/>
      <c r="X8" s="33"/>
    </row>
    <row r="9" spans="1:26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82"/>
      <c r="W9" s="33"/>
      <c r="X9" s="33"/>
    </row>
    <row r="10" spans="1:26" s="33" customFormat="1" ht="15">
      <c r="A10" s="348" t="s">
        <v>241</v>
      </c>
      <c r="B10" s="348"/>
      <c r="C10" s="343">
        <f>Parâmetros!D11</f>
        <v>42886</v>
      </c>
      <c r="D10" s="344"/>
      <c r="E10" s="345"/>
      <c r="F10" s="343">
        <v>42369</v>
      </c>
      <c r="G10" s="344"/>
      <c r="H10" s="345"/>
      <c r="I10" s="343">
        <v>42004</v>
      </c>
      <c r="J10" s="344"/>
      <c r="K10" s="345"/>
      <c r="L10" s="343">
        <v>41639</v>
      </c>
      <c r="M10" s="344"/>
      <c r="N10" s="345"/>
      <c r="O10" s="343">
        <v>41274</v>
      </c>
      <c r="P10" s="344"/>
      <c r="Q10" s="345"/>
      <c r="R10" s="343">
        <v>40908</v>
      </c>
      <c r="S10" s="344"/>
      <c r="T10" s="345"/>
      <c r="U10" s="343">
        <v>40543</v>
      </c>
      <c r="V10" s="344"/>
      <c r="W10" s="345"/>
      <c r="X10" s="342">
        <v>37986</v>
      </c>
      <c r="Y10" s="343"/>
      <c r="Z10" s="35"/>
    </row>
    <row r="11" spans="1:26" ht="56.25" customHeight="1">
      <c r="A11" s="348"/>
      <c r="B11" s="348"/>
      <c r="C11" s="83" t="s">
        <v>242</v>
      </c>
      <c r="D11" s="83" t="s">
        <v>243</v>
      </c>
      <c r="E11" s="84" t="s">
        <v>244</v>
      </c>
      <c r="F11" s="83" t="s">
        <v>242</v>
      </c>
      <c r="G11" s="83" t="s">
        <v>243</v>
      </c>
      <c r="H11" s="260" t="s">
        <v>244</v>
      </c>
      <c r="I11" s="244" t="s">
        <v>242</v>
      </c>
      <c r="J11" s="244" t="s">
        <v>243</v>
      </c>
      <c r="K11" s="245" t="s">
        <v>244</v>
      </c>
      <c r="L11" s="83" t="s">
        <v>242</v>
      </c>
      <c r="M11" s="83" t="s">
        <v>243</v>
      </c>
      <c r="N11" s="84" t="s">
        <v>244</v>
      </c>
      <c r="O11" s="84" t="s">
        <v>242</v>
      </c>
      <c r="P11" s="84" t="s">
        <v>243</v>
      </c>
      <c r="Q11" s="84" t="s">
        <v>244</v>
      </c>
      <c r="R11" s="84" t="s">
        <v>242</v>
      </c>
      <c r="S11" s="84" t="s">
        <v>243</v>
      </c>
      <c r="T11" s="84" t="s">
        <v>244</v>
      </c>
      <c r="U11" s="84" t="s">
        <v>242</v>
      </c>
      <c r="V11" s="84" t="s">
        <v>243</v>
      </c>
      <c r="W11" s="84" t="s">
        <v>244</v>
      </c>
      <c r="X11" s="85" t="s">
        <v>245</v>
      </c>
      <c r="Y11" s="85" t="s">
        <v>243</v>
      </c>
      <c r="Z11" s="45"/>
    </row>
    <row r="12" spans="1:26" ht="15" customHeight="1">
      <c r="A12" s="86" t="s">
        <v>246</v>
      </c>
      <c r="B12" s="87"/>
      <c r="C12" s="88">
        <f t="shared" ref="C12:K12" si="0">SUM(C13:C15)</f>
        <v>220765077.24999997</v>
      </c>
      <c r="D12" s="89">
        <f t="shared" si="0"/>
        <v>23947443.830000002</v>
      </c>
      <c r="E12" s="89">
        <f t="shared" si="0"/>
        <v>244712521.07999998</v>
      </c>
      <c r="F12" s="88">
        <v>311169227.56999999</v>
      </c>
      <c r="G12" s="89">
        <v>58367706.789999992</v>
      </c>
      <c r="H12" s="89">
        <v>369536934.3599999</v>
      </c>
      <c r="I12" s="88">
        <f t="shared" si="0"/>
        <v>268637743.01999998</v>
      </c>
      <c r="J12" s="89">
        <f t="shared" si="0"/>
        <v>35334735.200000003</v>
      </c>
      <c r="K12" s="89">
        <f t="shared" si="0"/>
        <v>303972478.21999997</v>
      </c>
      <c r="L12" s="88">
        <v>42247</v>
      </c>
      <c r="M12" s="89">
        <f t="shared" ref="M12" si="1">SUM(M13:M15)</f>
        <v>40821433.030005641</v>
      </c>
      <c r="N12" s="89">
        <v>280509658.64999998</v>
      </c>
      <c r="O12" s="88">
        <f>O13+O14+O15</f>
        <v>186649130.45000002</v>
      </c>
      <c r="P12" s="89">
        <f>P13+P14+P15</f>
        <v>44722880.740000002</v>
      </c>
      <c r="Q12" s="89">
        <f>O12+P12</f>
        <v>231372011.19000003</v>
      </c>
      <c r="R12" s="89">
        <f>R13+R14+R15</f>
        <v>155706397.05000001</v>
      </c>
      <c r="S12" s="89">
        <f>S13+S14+S15</f>
        <v>58695191.32</v>
      </c>
      <c r="T12" s="89">
        <f>R12+S12</f>
        <v>214401588.37</v>
      </c>
      <c r="U12" s="89">
        <f>U13+U14+U15</f>
        <v>99391460.400000006</v>
      </c>
      <c r="V12" s="89">
        <f>V13+V14+V15</f>
        <v>38605473.460000001</v>
      </c>
      <c r="W12" s="89">
        <v>141570380.27000001</v>
      </c>
      <c r="X12" s="90">
        <f>SUM(X13:X15)</f>
        <v>26124725.25</v>
      </c>
      <c r="Y12" s="90">
        <f>SUM(Y13:Y15)</f>
        <v>4831149.34</v>
      </c>
      <c r="Z12" s="45"/>
    </row>
    <row r="13" spans="1:26" ht="15" customHeight="1">
      <c r="A13" s="91"/>
      <c r="B13" s="87" t="s">
        <v>247</v>
      </c>
      <c r="C13" s="92">
        <f>SUMIFS(Base_Periodo1[[#All],[VALOR BALANÇO]],Base_Periodo1[[#All],[GRUPO_CLASS]],"3.1",Base_Periodo1[[#All],[Descrição]],"( + ) PRODUTOS AGRICOLAS")+SUMIFS(Base_Periodo1[[#All],[VALOR BALANÇO]],Base_Periodo1[[#All],[GRUPO_CLASS]],"3.1",Base_Periodo1[[#All],[Descrição]],"( + ) INSUMOS AGROPECUARIOS")+SUMIFS(Base_Periodo1[[#All],[VALOR BALANÇO]],Base_Periodo1[[#All],[GRUPO_CLASS]],"3.1",Base_Periodo1[[#All],[Descrição]],"( + ) SEMENTES PRODUZIDAS")</f>
        <v>217430399.83999997</v>
      </c>
      <c r="D13" s="92">
        <f>SUMIFS(Base_Periodo1[[#All],[VALOR BALANÇO]],Base_Periodo1[[#All],[GRUPO_CLASS]],"3.2",Base_Periodo1[[#All],[Descrição]],"( + ) PRODUTOS AGRICOLAS")+SUMIFS(Base_Periodo1[[#All],[VALOR BALANÇO]],Base_Periodo1[[#All],[GRUPO_CLASS]],"3.2",Base_Periodo1[[#All],[Descrição]],"( + ) INSUMOS AGROPECUARIOS")+SUMIFS(Base_Periodo1[[#All],[VALOR BALANÇO]],Base_Periodo1[[#All],[GRUPO_CLASS]],"3.2",Base_Periodo1[[#All],[Descrição]],"( + ) SEMENTES PRODUZIDAS")</f>
        <v>22885790.32</v>
      </c>
      <c r="E13" s="92">
        <f>C13+D13</f>
        <v>240316190.15999997</v>
      </c>
      <c r="F13" s="92">
        <v>304884597.51999998</v>
      </c>
      <c r="G13" s="92">
        <v>55818926.789999992</v>
      </c>
      <c r="H13" s="92">
        <v>360703524.30999994</v>
      </c>
      <c r="I13" s="92">
        <f>89565718.58+152472281.12+21072449.08</f>
        <v>263110448.77999997</v>
      </c>
      <c r="J13" s="92">
        <f>9675821.29+24072034.13</f>
        <v>33747855.420000002</v>
      </c>
      <c r="K13" s="92">
        <f>I13+J13</f>
        <v>296858304.19999999</v>
      </c>
      <c r="L13" s="92">
        <v>234232749.87</v>
      </c>
      <c r="M13" s="92">
        <v>40821432.060000002</v>
      </c>
      <c r="N13" s="92">
        <v>275054181.93000001</v>
      </c>
      <c r="O13" s="92">
        <v>184920056.31999999</v>
      </c>
      <c r="P13" s="93">
        <v>43676641.25</v>
      </c>
      <c r="Q13" s="94">
        <f>O13+P13</f>
        <v>228596697.56999999</v>
      </c>
      <c r="R13" s="93">
        <v>153784561.34</v>
      </c>
      <c r="S13" s="93">
        <v>56732976.829999998</v>
      </c>
      <c r="T13" s="93">
        <f>R13+S13</f>
        <v>210517538.17000002</v>
      </c>
      <c r="U13" s="93">
        <v>98859384.620000005</v>
      </c>
      <c r="V13" s="93">
        <v>37242866.759999998</v>
      </c>
      <c r="W13" s="93">
        <v>138049892.34999999</v>
      </c>
      <c r="X13" s="92">
        <v>26072619.109999999</v>
      </c>
      <c r="Y13" s="95">
        <v>4306838.01</v>
      </c>
      <c r="Z13" s="45"/>
    </row>
    <row r="14" spans="1:26" ht="15" customHeight="1">
      <c r="A14" s="91"/>
      <c r="B14" s="87" t="s">
        <v>248</v>
      </c>
      <c r="C14" s="92">
        <f>SUMIFS(Base_Periodo1[[#All],[VALOR BALANÇO]],Base_Periodo1[[#All],[GRUPO_CLASS]],"3.1",Base_Periodo1[[#All],[Descrição]],"( + ) BONIFICAÇÕES RECEBIDAS")</f>
        <v>552809</v>
      </c>
      <c r="D14" s="92">
        <f>SUMIFS(Base_Periodo1[[#All],[VALOR BALANÇO]],Base_Periodo1[[#All],[GRUPO_CLASS]],"3.2",Base_Periodo1[[#All],[Descrição]],"( + ) BONIFICAÇÕES RECEBIDAS")</f>
        <v>192624.30000000002</v>
      </c>
      <c r="E14" s="92">
        <f t="shared" ref="E14:E15" si="2">C14+D14</f>
        <v>745433.3</v>
      </c>
      <c r="F14" s="92">
        <v>351718.39</v>
      </c>
      <c r="G14" s="92">
        <v>22313.32</v>
      </c>
      <c r="H14" s="92">
        <v>374031.71</v>
      </c>
      <c r="I14" s="92">
        <v>905123.88</v>
      </c>
      <c r="J14" s="92">
        <v>8494.4599999999991</v>
      </c>
      <c r="K14" s="92">
        <f t="shared" ref="K14:K15" si="3">I14+J14</f>
        <v>913618.34</v>
      </c>
      <c r="L14" s="92">
        <v>449684.05</v>
      </c>
      <c r="M14" s="92">
        <f t="shared" ref="M14:M21" si="4">L14/$L$44</f>
        <v>0.11298770970221242</v>
      </c>
      <c r="N14" s="92">
        <v>453030.58</v>
      </c>
      <c r="O14" s="92">
        <v>441114.3</v>
      </c>
      <c r="P14" s="93">
        <v>3037.96</v>
      </c>
      <c r="Q14" s="94">
        <f>O14+P14</f>
        <v>444152.26</v>
      </c>
      <c r="R14" s="93">
        <v>249051.61</v>
      </c>
      <c r="S14" s="93">
        <v>1391.06</v>
      </c>
      <c r="T14" s="93">
        <f>R14+S14</f>
        <v>250442.66999999998</v>
      </c>
      <c r="U14" s="93">
        <v>456325.68</v>
      </c>
      <c r="V14" s="93"/>
      <c r="W14" s="93">
        <v>414757.34</v>
      </c>
      <c r="X14" s="92"/>
      <c r="Y14" s="95"/>
      <c r="Z14" s="45"/>
    </row>
    <row r="15" spans="1:26" ht="15" customHeight="1">
      <c r="A15" s="96"/>
      <c r="B15" s="87" t="s">
        <v>249</v>
      </c>
      <c r="C15" s="92">
        <f>SUMIFS(Base_Periodo1[[#All],[VALOR BALANÇO]],Base_Periodo1[[#All],[GRUPO_CLASS]],"3.1",Base_Periodo1[[#All],[Descrição]],"( + ) SERVIÇOS PRESTADOS")</f>
        <v>2781868.4099999997</v>
      </c>
      <c r="D15" s="92">
        <f>SUMIFS(Base_Periodo1[[#All],[VALOR BALANÇO]],Base_Periodo1[[#All],[GRUPO_CLASS]],"3.2",Base_Periodo1[[#All],[Descrição]],"( + ) SERVIÇOS PRESTADOS")</f>
        <v>869029.21</v>
      </c>
      <c r="E15" s="92">
        <f t="shared" si="2"/>
        <v>3650897.6199999996</v>
      </c>
      <c r="F15" s="92">
        <v>5932911.6600000001</v>
      </c>
      <c r="G15" s="92">
        <v>2526466.6799999997</v>
      </c>
      <c r="H15" s="92">
        <v>8459378.3399999999</v>
      </c>
      <c r="I15" s="92">
        <v>4622170.3600000003</v>
      </c>
      <c r="J15" s="92">
        <v>1578385.32</v>
      </c>
      <c r="K15" s="92">
        <f t="shared" si="3"/>
        <v>6200555.6800000006</v>
      </c>
      <c r="L15" s="92">
        <v>3410878</v>
      </c>
      <c r="M15" s="92">
        <f t="shared" si="4"/>
        <v>0.85701792912971431</v>
      </c>
      <c r="N15" s="92">
        <v>5002446.1399999997</v>
      </c>
      <c r="O15" s="92">
        <v>1287959.83</v>
      </c>
      <c r="P15" s="93">
        <v>1043201.53</v>
      </c>
      <c r="Q15" s="94">
        <f>O15+P15</f>
        <v>2331161.3600000003</v>
      </c>
      <c r="R15" s="93">
        <v>1672784.1</v>
      </c>
      <c r="S15" s="93">
        <v>1960823.43</v>
      </c>
      <c r="T15" s="93">
        <f>R15+S15</f>
        <v>3633607.5300000003</v>
      </c>
      <c r="U15" s="93">
        <v>75750.100000000006</v>
      </c>
      <c r="V15" s="93">
        <v>1362606.7</v>
      </c>
      <c r="W15" s="93">
        <v>3105730.58</v>
      </c>
      <c r="X15" s="92">
        <v>52106.14</v>
      </c>
      <c r="Y15" s="95">
        <v>524311.32999999996</v>
      </c>
      <c r="Z15" s="45"/>
    </row>
    <row r="16" spans="1:26" ht="15" customHeight="1">
      <c r="A16" s="86" t="s">
        <v>250</v>
      </c>
      <c r="B16" s="97"/>
      <c r="C16" s="88">
        <f>SUM(C17:C18)</f>
        <v>-1592336.19</v>
      </c>
      <c r="D16" s="88">
        <f t="shared" ref="D16:E16" si="5">SUM(D17:D18)</f>
        <v>-181945.89999999997</v>
      </c>
      <c r="E16" s="88">
        <f t="shared" si="5"/>
        <v>-1774282.0899999999</v>
      </c>
      <c r="F16" s="88">
        <v>-3810439.95</v>
      </c>
      <c r="G16" s="88">
        <v>-1455915.27</v>
      </c>
      <c r="H16" s="88">
        <v>-5266355.22</v>
      </c>
      <c r="I16" s="88">
        <f>I17</f>
        <v>5606265.5099999998</v>
      </c>
      <c r="J16" s="88">
        <f t="shared" ref="J16" si="6">J17</f>
        <v>461250.7</v>
      </c>
      <c r="K16" s="88">
        <f>I16+J16</f>
        <v>6067516.21</v>
      </c>
      <c r="L16" s="88">
        <f>L17</f>
        <v>3491557.33</v>
      </c>
      <c r="M16" s="88">
        <f t="shared" si="4"/>
        <v>0.87728943468346698</v>
      </c>
      <c r="N16" s="88">
        <v>3840566.8600000003</v>
      </c>
      <c r="O16" s="88">
        <f>O17</f>
        <v>1899155.22</v>
      </c>
      <c r="P16" s="88">
        <f>P17</f>
        <v>558885.65</v>
      </c>
      <c r="Q16" s="98">
        <f>Q17</f>
        <v>2458040.87</v>
      </c>
      <c r="R16" s="88">
        <f t="shared" ref="R16:Y16" si="7">R17</f>
        <v>722789.96</v>
      </c>
      <c r="S16" s="88">
        <f t="shared" si="7"/>
        <v>484991.36000000004</v>
      </c>
      <c r="T16" s="89">
        <f t="shared" si="7"/>
        <v>1207781.32</v>
      </c>
      <c r="U16" s="88">
        <f t="shared" si="7"/>
        <v>1301868.52</v>
      </c>
      <c r="V16" s="88">
        <f t="shared" si="7"/>
        <v>534090.32999999996</v>
      </c>
      <c r="W16" s="89">
        <v>1901723.2200000002</v>
      </c>
      <c r="X16" s="90">
        <f t="shared" si="7"/>
        <v>323784.25</v>
      </c>
      <c r="Y16" s="90">
        <f t="shared" si="7"/>
        <v>360567.03999999998</v>
      </c>
      <c r="Z16" s="45"/>
    </row>
    <row r="17" spans="1:27" ht="15" customHeight="1">
      <c r="A17" s="91"/>
      <c r="B17" s="87" t="s">
        <v>251</v>
      </c>
      <c r="C17" s="92">
        <f>SUMIFS(Base_Periodo1[[#All],[VALOR BALANÇO]],Base_Periodo1[[#All],[GRUPO_CLASS]],"3.1",Base_Periodo1[[#All],[Descrição]],"( - ) DEVOLUÇÃO DE INSUMOS AGROPECUARIOS")+SUMIFS(Base_Periodo1[[#All],[VALOR BALANÇO]],Base_Periodo1[[#All],[GRUPO_CLASS]],"3.1",Base_Periodo1[[#All],[Descrição]],"( - ) DEVOLUÇÃO DE PRODUTOS AGRICOLAS")+SUMIFS(Base_Periodo1[[#All],[VALOR BALANÇO]],Base_Periodo1[[#All],[GRUPO_CLASS]],"3.1",Base_Periodo1[[#All],[Descrição]],"( - ) DEVOLUÇÃO DE SEMENTE PRODUZIDA")</f>
        <v>-1591238.65</v>
      </c>
      <c r="D17" s="92">
        <f>SUMIFS(Base_Periodo1[[#All],[VALOR BALANÇO]],Base_Periodo1[[#All],[GRUPO_CLASS]],"3.2",Base_Periodo1[[#All],[Descrição]],"( - ) DEVOLUÇÃO DE INSUMOS AGROPECUARIOS")+SUMIFS(Base_Periodo1[[#All],[VALOR BALANÇO]],Base_Periodo1[[#All],[GRUPO_CLASS]],"3.2",Base_Periodo1[[#All],[Descrição]],"( - ) DEVOLUÇÃO DE PRODUTOS AGRICOLAS")+SUMIFS(Base_Periodo1[[#All],[VALOR BALANÇO]],Base_Periodo1[[#All],[GRUPO_CLASS]],"3.2",Base_Periodo1[[#All],[Descrição]],"( - ) DEVOLUÇÃO DE SEMENTE PRODUZIDA")</f>
        <v>-178057.26999999996</v>
      </c>
      <c r="E17" s="92">
        <f t="shared" ref="E17:E18" si="8">C17+D17</f>
        <v>-1769295.92</v>
      </c>
      <c r="F17" s="92">
        <v>-3809023.23</v>
      </c>
      <c r="G17" s="92">
        <v>-1455915.27</v>
      </c>
      <c r="H17" s="92">
        <v>-5264938.5</v>
      </c>
      <c r="I17" s="92">
        <f>2849688.67+2441278.69+315298.15</f>
        <v>5606265.5099999998</v>
      </c>
      <c r="J17" s="92">
        <f>394359.97+65919.45+971.28</f>
        <v>461250.7</v>
      </c>
      <c r="K17" s="92">
        <f t="shared" ref="K17" si="9">I17+J17</f>
        <v>6067516.21</v>
      </c>
      <c r="L17" s="92">
        <v>3491557.33</v>
      </c>
      <c r="M17" s="92">
        <f t="shared" si="4"/>
        <v>0.87728943468346698</v>
      </c>
      <c r="N17" s="92">
        <v>3840566.8600000003</v>
      </c>
      <c r="O17" s="99">
        <v>1899155.22</v>
      </c>
      <c r="P17" s="100">
        <v>558885.65</v>
      </c>
      <c r="Q17" s="101">
        <f>O17+P17</f>
        <v>2458040.87</v>
      </c>
      <c r="R17" s="99">
        <v>722789.96</v>
      </c>
      <c r="S17" s="100">
        <v>484991.36000000004</v>
      </c>
      <c r="T17" s="92">
        <f>R17+S17</f>
        <v>1207781.32</v>
      </c>
      <c r="U17" s="93">
        <v>1301868.52</v>
      </c>
      <c r="V17" s="93">
        <v>534090.32999999996</v>
      </c>
      <c r="W17" s="93">
        <v>1901723.2200000002</v>
      </c>
      <c r="X17" s="92">
        <v>323784.25</v>
      </c>
      <c r="Y17" s="95">
        <v>360567.03999999998</v>
      </c>
      <c r="Z17" s="45"/>
    </row>
    <row r="18" spans="1:27" ht="15" customHeight="1">
      <c r="A18" s="102"/>
      <c r="B18" s="103" t="s">
        <v>252</v>
      </c>
      <c r="C18" s="92">
        <f>SUMIFS(Base_Periodo1[[#All],[VALOR BALANÇO]],Base_Periodo1[[#All],[GRUPO_CLASS]],"3.1",Base_Periodo1[[#All],[Descrição]],"( - ) ANULACAO DE VALOR (SERVIÇO DE FRETE")</f>
        <v>-1097.54</v>
      </c>
      <c r="D18" s="92">
        <f>SUMIFS(Base_Periodo1[[#All],[VALOR BALANÇO]],Base_Periodo1[[#All],[GRUPO_CLASS]],"3.2",Base_Periodo1[[#All],[Descrição]],"( - ) ANULACAO DE VALOR (SERVIÇO DE FRETE")</f>
        <v>-3888.63</v>
      </c>
      <c r="E18" s="92">
        <f t="shared" si="8"/>
        <v>-4986.17</v>
      </c>
      <c r="F18" s="92">
        <v>-1416.72</v>
      </c>
      <c r="G18" s="92">
        <v>0</v>
      </c>
      <c r="H18" s="92">
        <v>-1416.72</v>
      </c>
      <c r="I18" s="92"/>
      <c r="J18" s="92"/>
      <c r="K18" s="92"/>
      <c r="L18" s="92"/>
      <c r="M18" s="92"/>
      <c r="N18" s="92"/>
      <c r="O18" s="99"/>
      <c r="P18" s="100"/>
      <c r="Q18" s="94"/>
      <c r="R18" s="99"/>
      <c r="S18" s="100"/>
      <c r="T18" s="93"/>
      <c r="U18" s="93"/>
      <c r="V18" s="93"/>
      <c r="W18" s="93"/>
      <c r="X18" s="92"/>
      <c r="Y18" s="95"/>
      <c r="Z18" s="45"/>
    </row>
    <row r="19" spans="1:27" ht="15" customHeight="1">
      <c r="A19" s="104" t="s">
        <v>253</v>
      </c>
      <c r="B19" s="105"/>
      <c r="C19" s="88">
        <f>C20</f>
        <v>-2202486.31</v>
      </c>
      <c r="D19" s="88">
        <f t="shared" ref="D19" si="10">D20</f>
        <v>-294169.05000000005</v>
      </c>
      <c r="E19" s="88">
        <f>C19+D19</f>
        <v>-2496655.3600000003</v>
      </c>
      <c r="F19" s="88">
        <v>-3104401.9600000009</v>
      </c>
      <c r="G19" s="88">
        <v>-812902.84999999974</v>
      </c>
      <c r="H19" s="88">
        <v>-3917304.8100000005</v>
      </c>
      <c r="I19" s="88">
        <f>I20</f>
        <v>1840870.43</v>
      </c>
      <c r="J19" s="88">
        <f t="shared" ref="J19" si="11">J20</f>
        <v>392517.6</v>
      </c>
      <c r="K19" s="88">
        <f>I19+J19</f>
        <v>2233388.0299999998</v>
      </c>
      <c r="L19" s="88">
        <f>L20</f>
        <v>1612987.5</v>
      </c>
      <c r="M19" s="88">
        <f t="shared" si="4"/>
        <v>0.40527958108208945</v>
      </c>
      <c r="N19" s="88">
        <v>2049538</v>
      </c>
      <c r="O19" s="88">
        <f>O20</f>
        <v>1896529.14</v>
      </c>
      <c r="P19" s="88">
        <f>P20</f>
        <v>492503.54</v>
      </c>
      <c r="Q19" s="98">
        <f>O19+P19</f>
        <v>2389032.6799999997</v>
      </c>
      <c r="R19" s="88">
        <f>R20</f>
        <v>1113370.7</v>
      </c>
      <c r="S19" s="88">
        <f>S20</f>
        <v>456542.78</v>
      </c>
      <c r="T19" s="89">
        <f>R19+S19</f>
        <v>1569913.48</v>
      </c>
      <c r="U19" s="88">
        <f>U20</f>
        <v>979898.7</v>
      </c>
      <c r="V19" s="88">
        <f>V20</f>
        <v>359580.75</v>
      </c>
      <c r="W19" s="89">
        <v>1407567.8399999999</v>
      </c>
      <c r="X19" s="90" t="e">
        <f>SUM(#REF!)</f>
        <v>#REF!</v>
      </c>
      <c r="Y19" s="90" t="e">
        <f>SUM(#REF!)</f>
        <v>#REF!</v>
      </c>
      <c r="Z19" s="45"/>
    </row>
    <row r="20" spans="1:27" ht="15" customHeight="1">
      <c r="A20" s="106"/>
      <c r="B20" s="87" t="s">
        <v>254</v>
      </c>
      <c r="C20" s="92">
        <f>SUMIFS(Base_Periodo1[[#All],[VALOR BALANÇO]],Base_Periodo1[[#All],[GRUPO_CLASS]],"3.1",Base_Periodo1[[#All],[Descrição]],"( - ) ICMS SOBRE INGRESSOS E RECEITAS")+SUMIFS(Base_Periodo1[[#All],[VALOR BALANÇO]],Base_Periodo1[[#All],[GRUPO_CLASS]],"3.1",Base_Periodo1[[#All],[Descrição]],"( - ) IMPOSTOS SOBRE SERVIÇOS PRESTADOS")+SUMIFS(Base_Periodo1[[#All],[VALOR BALANÇO]],Base_Periodo1[[#All],[GRUPO_CLASS]],"3.1",Base_Periodo1[[#All],[Descrição]],"( - ) IMPOSTOS SOBRE RECEITA")</f>
        <v>-2202486.31</v>
      </c>
      <c r="D20" s="92">
        <f>SUMIFS(Base_Periodo1[[#All],[VALOR BALANÇO]],Base_Periodo1[[#All],[GRUPO_CLASS]],"3.2",Base_Periodo1[[#All],[Descrição]],"( - ) ICMS SOBRE INGRESSOS E RECEITAS")+SUMIFS(Base_Periodo1[[#All],[VALOR BALANÇO]],Base_Periodo1[[#All],[GRUPO_CLASS]],"3.2",Base_Periodo1[[#All],[Descrição]],"( - ) IMPOSTOS SOBRE SERVIÇOS PRESTADOS")+SUMIFS(Base_Periodo1[[#All],[VALOR BALANÇO]],Base_Periodo1[[#All],[GRUPO_CLASS]],"3.2",Base_Periodo1[[#All],[Descrição]],"( - ) IMPOSTOS SOBRE RECEITA")</f>
        <v>-294169.05000000005</v>
      </c>
      <c r="E20" s="92">
        <f t="shared" ref="E20" si="12">C20+D20</f>
        <v>-2496655.3600000003</v>
      </c>
      <c r="F20" s="92">
        <v>-3104401.9600000009</v>
      </c>
      <c r="G20" s="92">
        <v>-812902.84999999974</v>
      </c>
      <c r="H20" s="92">
        <v>-3917304.8100000005</v>
      </c>
      <c r="I20" s="92">
        <f>49734.44+1791135.99</f>
        <v>1840870.43</v>
      </c>
      <c r="J20" s="92">
        <f>34977.35+357540.25</f>
        <v>392517.6</v>
      </c>
      <c r="K20" s="92">
        <f t="shared" ref="K20" si="13">I20+J20</f>
        <v>2233388.0299999998</v>
      </c>
      <c r="L20" s="92">
        <v>1612987.5</v>
      </c>
      <c r="M20" s="92">
        <f t="shared" si="4"/>
        <v>0.40527958108208945</v>
      </c>
      <c r="N20" s="92">
        <v>2049538</v>
      </c>
      <c r="O20" s="107">
        <v>1896529.14</v>
      </c>
      <c r="P20" s="108">
        <v>492503.54</v>
      </c>
      <c r="Q20" s="101">
        <f>P20+O20</f>
        <v>2389032.6799999997</v>
      </c>
      <c r="R20" s="107">
        <f>1114056.82-686.12</f>
        <v>1113370.7</v>
      </c>
      <c r="S20" s="108">
        <v>456542.78</v>
      </c>
      <c r="T20" s="92">
        <f>S20+R20</f>
        <v>1569913.48</v>
      </c>
      <c r="U20" s="93">
        <v>979898.7</v>
      </c>
      <c r="V20" s="92">
        <v>359580.75</v>
      </c>
      <c r="W20" s="93">
        <v>1407567.8399999999</v>
      </c>
      <c r="X20" s="90"/>
      <c r="Y20" s="90"/>
      <c r="Z20" s="45"/>
    </row>
    <row r="21" spans="1:27" ht="15" customHeight="1">
      <c r="A21" s="109" t="s">
        <v>255</v>
      </c>
      <c r="B21" s="110"/>
      <c r="C21" s="88">
        <f>C12+C16+C19</f>
        <v>216970254.74999997</v>
      </c>
      <c r="D21" s="88">
        <f>D12+D16+D19</f>
        <v>23471328.880000003</v>
      </c>
      <c r="E21" s="88">
        <f>E12+E16+E19</f>
        <v>240441583.62999997</v>
      </c>
      <c r="F21" s="88">
        <v>304254385.66000003</v>
      </c>
      <c r="G21" s="88">
        <v>56098888.669999987</v>
      </c>
      <c r="H21" s="88">
        <v>360353274.32999986</v>
      </c>
      <c r="I21" s="88">
        <f>I12-I16-I19</f>
        <v>261190607.07999998</v>
      </c>
      <c r="J21" s="88">
        <f t="shared" ref="J21" si="14">J12-J16-J19</f>
        <v>34480966.899999999</v>
      </c>
      <c r="K21" s="88">
        <f>K12-K16-K19</f>
        <v>295671573.98000002</v>
      </c>
      <c r="L21" s="88">
        <f>L12-L16-L19</f>
        <v>-5062297.83</v>
      </c>
      <c r="M21" s="88">
        <f t="shared" si="4"/>
        <v>-1.2719540255923685</v>
      </c>
      <c r="N21" s="88">
        <v>274619553.78999996</v>
      </c>
      <c r="O21" s="88">
        <f t="shared" ref="O21:V21" si="15">O12-O16-O19</f>
        <v>182853446.09000003</v>
      </c>
      <c r="P21" s="88">
        <f t="shared" si="15"/>
        <v>43671491.550000004</v>
      </c>
      <c r="Q21" s="88">
        <f t="shared" si="15"/>
        <v>226524937.64000002</v>
      </c>
      <c r="R21" s="88">
        <f t="shared" si="15"/>
        <v>153870236.39000002</v>
      </c>
      <c r="S21" s="88">
        <f t="shared" si="15"/>
        <v>57753657.18</v>
      </c>
      <c r="T21" s="88">
        <f t="shared" si="15"/>
        <v>211623893.57000002</v>
      </c>
      <c r="U21" s="88">
        <f t="shared" si="15"/>
        <v>97109693.180000007</v>
      </c>
      <c r="V21" s="88">
        <f t="shared" si="15"/>
        <v>37711802.380000003</v>
      </c>
      <c r="W21" s="88">
        <v>138261089.21000001</v>
      </c>
      <c r="X21" s="90"/>
      <c r="Y21" s="90"/>
      <c r="Z21" s="45"/>
    </row>
    <row r="22" spans="1:27" s="51" customFormat="1" ht="15" customHeight="1">
      <c r="A22" s="346" t="s">
        <v>256</v>
      </c>
      <c r="B22" s="347"/>
      <c r="C22" s="111">
        <f>C21/E21</f>
        <v>0.9023824060478719</v>
      </c>
      <c r="D22" s="111">
        <f>D21/E21</f>
        <v>9.761759395212817E-2</v>
      </c>
      <c r="E22" s="112">
        <f>C22+D22</f>
        <v>1</v>
      </c>
      <c r="F22" s="111">
        <v>0.8443225227402088</v>
      </c>
      <c r="G22" s="111">
        <v>0.15567747725979156</v>
      </c>
      <c r="H22" s="112">
        <v>1.0000000000000004</v>
      </c>
      <c r="I22" s="246">
        <f>I21/K21</f>
        <v>0.88338085249164866</v>
      </c>
      <c r="J22" s="246">
        <f>J21/K21</f>
        <v>0.1166191475083512</v>
      </c>
      <c r="K22" s="247">
        <f>I22+J22</f>
        <v>0.99999999999999989</v>
      </c>
      <c r="L22" s="111">
        <f>L21/N21</f>
        <v>-1.8433857895898815E-2</v>
      </c>
      <c r="M22" s="111">
        <f>L22/$L$44</f>
        <v>-4.631695041515597E-9</v>
      </c>
      <c r="N22" s="112">
        <v>1.0000000000000002</v>
      </c>
      <c r="O22" s="111">
        <f>O21/Q21</f>
        <v>0.80721110882986324</v>
      </c>
      <c r="P22" s="111">
        <f>P21/Q21</f>
        <v>0.19278889117013687</v>
      </c>
      <c r="Q22" s="113">
        <v>1</v>
      </c>
      <c r="R22" s="111">
        <f>R21*S22/S21</f>
        <v>0.72709292790279134</v>
      </c>
      <c r="S22" s="111">
        <f>S21*T22/T21</f>
        <v>0.2729070720972086</v>
      </c>
      <c r="T22" s="113">
        <v>1</v>
      </c>
      <c r="U22" s="111">
        <f>U21*V22/V21</f>
        <v>0.70236458959543879</v>
      </c>
      <c r="V22" s="111">
        <f>V21*W22/W21</f>
        <v>0.27275788579041821</v>
      </c>
      <c r="W22" s="113">
        <v>1</v>
      </c>
      <c r="X22" s="114" t="e">
        <f>#REF!/#REF!</f>
        <v>#REF!</v>
      </c>
      <c r="Y22" s="114" t="e">
        <f>#REF!/#REF!</f>
        <v>#REF!</v>
      </c>
      <c r="Z22" s="291"/>
    </row>
    <row r="23" spans="1:27" ht="15" customHeight="1">
      <c r="A23" s="86" t="s">
        <v>257</v>
      </c>
      <c r="B23" s="97"/>
      <c r="C23" s="88">
        <f>C24+C25</f>
        <v>-190585157.17999998</v>
      </c>
      <c r="D23" s="88">
        <f t="shared" ref="D23:E23" si="16">D24+D25</f>
        <v>-20210874.449999999</v>
      </c>
      <c r="E23" s="88">
        <f t="shared" si="16"/>
        <v>-210796031.62999997</v>
      </c>
      <c r="F23" s="88">
        <v>-247349835.36999995</v>
      </c>
      <c r="G23" s="88">
        <v>-47807571.770000003</v>
      </c>
      <c r="H23" s="88">
        <v>-295157407.13999999</v>
      </c>
      <c r="I23" s="88">
        <f>I24+I25</f>
        <v>219535792.22</v>
      </c>
      <c r="J23" s="88">
        <f t="shared" ref="J23:K23" si="17">J24+J25</f>
        <v>30590295.209999997</v>
      </c>
      <c r="K23" s="88">
        <f t="shared" si="17"/>
        <v>250126087.43000001</v>
      </c>
      <c r="L23" s="88">
        <f>L24</f>
        <v>193486328.91</v>
      </c>
      <c r="M23" s="89">
        <f>M24</f>
        <v>48.615416006482491</v>
      </c>
      <c r="N23" s="89">
        <v>229791285.12</v>
      </c>
      <c r="O23" s="88">
        <f>O24</f>
        <v>153742194.09</v>
      </c>
      <c r="P23" s="88">
        <f>P24+P25</f>
        <v>37029893.359999999</v>
      </c>
      <c r="Q23" s="89">
        <f>O23+P23</f>
        <v>190772087.44999999</v>
      </c>
      <c r="R23" s="88">
        <f>R24</f>
        <v>122769497.59999999</v>
      </c>
      <c r="S23" s="88">
        <f>S24+S25</f>
        <v>49900113.899999999</v>
      </c>
      <c r="T23" s="89">
        <f>R23+S23</f>
        <v>172669611.5</v>
      </c>
      <c r="U23" s="88">
        <f>U24</f>
        <v>77952573.540000007</v>
      </c>
      <c r="V23" s="88">
        <f>V24+V25</f>
        <v>33855000.840000004</v>
      </c>
      <c r="W23" s="89">
        <v>118485544.58000001</v>
      </c>
      <c r="X23" s="90">
        <f>X24</f>
        <v>20719344.710000001</v>
      </c>
      <c r="Y23" s="90">
        <f>Y24</f>
        <v>3417466.85</v>
      </c>
      <c r="Z23" s="45"/>
    </row>
    <row r="24" spans="1:27" ht="15" customHeight="1">
      <c r="A24" s="91"/>
      <c r="B24" s="87" t="s">
        <v>258</v>
      </c>
      <c r="C24" s="92">
        <f>SUMIFS(Base_Periodo1[[#All],[VALOR BALANÇO]],Base_Periodo1[[#All],[GRUPO_CLASS]],"3.1",Base_Periodo1[[#All],[Descrição]],"( - ) PRODUÇÃO DE SEMENTES")+SUMIFS(Base_Periodo1[[#All],[VALOR BALANÇO]],Base_Periodo1[[#All],[GRUPO_CLASS]],"3.1",Base_Periodo1[[#All],[Descrição]],"( - ) PRODUTOS AGRICOLAS")+SUMIFS(Base_Periodo1[[#All],[VALOR BALANÇO]],Base_Periodo1[[#All],[GRUPO_CLASS]],"3.1",Base_Periodo1[[#All],[Descrição]],"( - ) INSUMOS AGROPECUARIOS")</f>
        <v>-188581495.78999999</v>
      </c>
      <c r="D24" s="92">
        <f>SUMIFS(Base_Periodo1[[#All],[VALOR BALANÇO]],Base_Periodo1[[#All],[GRUPO_CLASS]],"3.2",Base_Periodo1[[#All],[Descrição]],"( - ) PRODUÇÃO DE SEMENTES")+SUMIFS(Base_Periodo1[[#All],[VALOR BALANÇO]],Base_Periodo1[[#All],[GRUPO_CLASS]],"3.2",Base_Periodo1[[#All],[Descrição]],"( - ) PRODUTOS AGRICOLAS")+SUMIFS(Base_Periodo1[[#All],[VALOR BALANÇO]],Base_Periodo1[[#All],[GRUPO_CLASS]],"3.2",Base_Periodo1[[#All],[Descrição]],"( - ) INSUMOS AGROPECUARIOS")</f>
        <v>-20210874.449999999</v>
      </c>
      <c r="E24" s="92">
        <f>C24+D24</f>
        <v>-208792370.23999998</v>
      </c>
      <c r="F24" s="92">
        <v>-247342813.64999995</v>
      </c>
      <c r="G24" s="92">
        <v>-47551465.880000003</v>
      </c>
      <c r="H24" s="92">
        <v>-294894279.52999997</v>
      </c>
      <c r="I24" s="92">
        <v>218682136.15000001</v>
      </c>
      <c r="J24" s="92">
        <f>8612990.11+21958889.29</f>
        <v>30571879.399999999</v>
      </c>
      <c r="K24" s="92">
        <f>I24+J24</f>
        <v>249254015.55000001</v>
      </c>
      <c r="L24" s="92">
        <f>67201629.03+126284699.88</f>
        <v>193486328.91</v>
      </c>
      <c r="M24" s="92">
        <f>L24/$L$44</f>
        <v>48.615416006482491</v>
      </c>
      <c r="N24" s="92">
        <v>229791285.12</v>
      </c>
      <c r="O24" s="115">
        <v>153742194.09</v>
      </c>
      <c r="P24" s="116">
        <v>36711704.530000001</v>
      </c>
      <c r="Q24" s="92">
        <f>O24+P24</f>
        <v>190453898.62</v>
      </c>
      <c r="R24" s="115">
        <f>44563296.33+78213383.61-7182.34</f>
        <v>122769497.59999999</v>
      </c>
      <c r="S24" s="116">
        <f>10846468.04+38108960.07</f>
        <v>48955428.109999999</v>
      </c>
      <c r="T24" s="92">
        <f>R24+S24</f>
        <v>171724925.70999998</v>
      </c>
      <c r="U24" s="93">
        <v>77952573.540000007</v>
      </c>
      <c r="V24" s="92">
        <v>32781217.530000001</v>
      </c>
      <c r="W24" s="93">
        <v>117830491.56</v>
      </c>
      <c r="X24" s="117">
        <v>20719344.710000001</v>
      </c>
      <c r="Y24" s="117">
        <v>3417466.85</v>
      </c>
      <c r="Z24" s="45"/>
    </row>
    <row r="25" spans="1:27" ht="15" customHeight="1">
      <c r="A25" s="91"/>
      <c r="B25" s="87" t="s">
        <v>259</v>
      </c>
      <c r="C25" s="92">
        <f>SUMIFS(Base_Periodo1[[#All],[VALOR BALANÇO]],Base_Periodo1[[#All],[GRUPO_CLASS]],"3.1",Base_Periodo1[[#All],[Descrição]],"( - ) SERVIÇOS PRESTADOS")</f>
        <v>-2003661.3900000001</v>
      </c>
      <c r="D25" s="92">
        <f>SUMIFS(Base_Periodo1[[#All],[VALOR BALANÇO]],Base_Periodo1[[#All],[GRUPO_CLASS]],"3.2",Base_Periodo1[[#All],[Descrição]],"( - ) SERVIÇOS PRESTADOS")</f>
        <v>0</v>
      </c>
      <c r="E25" s="92">
        <f t="shared" ref="E25" si="18">C25+D25</f>
        <v>-2003661.3900000001</v>
      </c>
      <c r="F25" s="92">
        <v>-7021.72</v>
      </c>
      <c r="G25" s="92">
        <v>-256105.89</v>
      </c>
      <c r="H25" s="92">
        <v>-263127.61</v>
      </c>
      <c r="I25" s="92">
        <v>853656.07</v>
      </c>
      <c r="J25" s="92">
        <v>18415.810000000001</v>
      </c>
      <c r="K25" s="92">
        <f t="shared" ref="K25" si="19">I25+J25</f>
        <v>872071.88</v>
      </c>
      <c r="L25" s="92"/>
      <c r="M25" s="92">
        <f>L25/$L$44</f>
        <v>0</v>
      </c>
      <c r="N25" s="92"/>
      <c r="O25" s="92"/>
      <c r="P25" s="118">
        <v>318188.83</v>
      </c>
      <c r="Q25" s="93">
        <f>O25+P25</f>
        <v>318188.83</v>
      </c>
      <c r="R25" s="93">
        <v>0</v>
      </c>
      <c r="S25" s="118">
        <v>944685.79</v>
      </c>
      <c r="T25" s="93">
        <f>R25+S25</f>
        <v>944685.79</v>
      </c>
      <c r="U25" s="93"/>
      <c r="V25" s="93">
        <v>1073783.31</v>
      </c>
      <c r="W25" s="93">
        <v>655053.02</v>
      </c>
      <c r="X25" s="117"/>
      <c r="Y25" s="117"/>
      <c r="Z25" s="45"/>
    </row>
    <row r="26" spans="1:27" ht="15" customHeight="1">
      <c r="A26" s="86" t="s">
        <v>205</v>
      </c>
      <c r="B26" s="87"/>
      <c r="C26" s="88">
        <f>C21+C23</f>
        <v>26385097.569999993</v>
      </c>
      <c r="D26" s="88">
        <f>D21+D23</f>
        <v>3260454.4300000034</v>
      </c>
      <c r="E26" s="89">
        <f>C26+D26</f>
        <v>29645551.999999996</v>
      </c>
      <c r="F26" s="88">
        <v>56904550.290000081</v>
      </c>
      <c r="G26" s="88">
        <v>8291316.8999999836</v>
      </c>
      <c r="H26" s="89">
        <v>65195867.190000065</v>
      </c>
      <c r="I26" s="88">
        <f>I21-I23</f>
        <v>41654814.859999985</v>
      </c>
      <c r="J26" s="88">
        <f>J21-J23</f>
        <v>3890671.6900000013</v>
      </c>
      <c r="K26" s="89">
        <f t="shared" ref="K26:K30" si="20">I26+J26</f>
        <v>45545486.549999982</v>
      </c>
      <c r="L26" s="88">
        <f>L21-L23</f>
        <v>-198548626.74000001</v>
      </c>
      <c r="M26" s="88">
        <f>M21-M23</f>
        <v>-49.887370032074863</v>
      </c>
      <c r="N26" s="89">
        <v>44828268.670000009</v>
      </c>
      <c r="O26" s="88">
        <f t="shared" ref="O26:V26" si="21">O21-O23</f>
        <v>29111252.00000003</v>
      </c>
      <c r="P26" s="89">
        <f t="shared" si="21"/>
        <v>6641598.1900000051</v>
      </c>
      <c r="Q26" s="89">
        <f t="shared" si="21"/>
        <v>35752850.190000027</v>
      </c>
      <c r="R26" s="89">
        <f t="shared" si="21"/>
        <v>31100738.790000021</v>
      </c>
      <c r="S26" s="89">
        <f t="shared" si="21"/>
        <v>7853543.2800000012</v>
      </c>
      <c r="T26" s="89">
        <f t="shared" si="21"/>
        <v>38954282.070000023</v>
      </c>
      <c r="U26" s="89">
        <f t="shared" si="21"/>
        <v>19157119.640000001</v>
      </c>
      <c r="V26" s="89">
        <f t="shared" si="21"/>
        <v>3856801.5399999991</v>
      </c>
      <c r="W26" s="89">
        <v>19775544.629999995</v>
      </c>
      <c r="X26" s="88" t="e">
        <f>#REF!-X23</f>
        <v>#REF!</v>
      </c>
      <c r="Y26" s="88" t="e">
        <f>#REF!-Y23</f>
        <v>#REF!</v>
      </c>
      <c r="Z26" s="49"/>
    </row>
    <row r="27" spans="1:27" ht="15" customHeight="1">
      <c r="A27" s="86" t="s">
        <v>206</v>
      </c>
      <c r="B27" s="119"/>
      <c r="C27" s="120">
        <f>SUM(C28:C34)</f>
        <v>-26125878.600000009</v>
      </c>
      <c r="D27" s="120">
        <f>SUM(D28:D34)</f>
        <v>-2775956.27</v>
      </c>
      <c r="E27" s="88">
        <f>C27+D27</f>
        <v>-28901834.870000008</v>
      </c>
      <c r="F27" s="120">
        <v>-42092927.530000001</v>
      </c>
      <c r="G27" s="120">
        <v>-7748068.7600000007</v>
      </c>
      <c r="H27" s="88">
        <v>-49840996.289999999</v>
      </c>
      <c r="I27" s="120">
        <f>SUM(I28:I33)</f>
        <v>33044683.18</v>
      </c>
      <c r="J27" s="120">
        <f>SUM(J28:J33)</f>
        <v>4815525.0099999988</v>
      </c>
      <c r="K27" s="88">
        <f t="shared" si="20"/>
        <v>37860208.189999998</v>
      </c>
      <c r="L27" s="120">
        <f>SUM(L28:L34)</f>
        <v>37235477.350000001</v>
      </c>
      <c r="M27" s="120">
        <f>L27/$L$44</f>
        <v>9.3557939300829247</v>
      </c>
      <c r="N27" s="88">
        <v>44070798.109999999</v>
      </c>
      <c r="O27" s="120">
        <f>O28+O29+O30+O32+O33+O34</f>
        <v>23584931.440000001</v>
      </c>
      <c r="P27" s="121">
        <f>P28+P29+P30+P32+P33+P34</f>
        <v>5640316.1600000001</v>
      </c>
      <c r="Q27" s="89">
        <f>P27+O27</f>
        <v>29225247.600000001</v>
      </c>
      <c r="R27" s="121">
        <f>R28+R29+R30+R32+R33+R34</f>
        <v>19470755.560000002</v>
      </c>
      <c r="S27" s="121">
        <f>S28+S29+S30+S32+S33+S34</f>
        <v>7308153.75</v>
      </c>
      <c r="T27" s="89">
        <f>S27+R27</f>
        <v>26778909.310000002</v>
      </c>
      <c r="U27" s="121">
        <f>U28+U29+U30+U32+U33+U34</f>
        <v>10773586.539999999</v>
      </c>
      <c r="V27" s="121">
        <f>V28+V29+V30+V32+V33+V34</f>
        <v>3224803.8299999996</v>
      </c>
      <c r="W27" s="89">
        <v>18764516.240000002</v>
      </c>
      <c r="X27" s="90"/>
      <c r="Y27" s="90" t="e">
        <f>SUM(Y28:Y37)</f>
        <v>#REF!</v>
      </c>
      <c r="Z27" s="45"/>
    </row>
    <row r="28" spans="1:27" ht="15" customHeight="1">
      <c r="A28" s="91"/>
      <c r="B28" s="87" t="s">
        <v>260</v>
      </c>
      <c r="C28" s="92">
        <f>SUMIFS(Base_Periodo1[[#All],[VALOR BALANÇO]],Base_Periodo1[[#All],[GRUPO_CLASS]],"3.1",Base_Periodo1[[#All],[Descrição]],"( - ) DISPÊNDIOS E  DESPESAS C/ PESSOAL")</f>
        <v>-6494497.4700000016</v>
      </c>
      <c r="D28" s="101">
        <f>SUMIFS(Base_Periodo1[[#All],[VALOR BALANÇO]],Base_Periodo1[[#All],[GRUPO_CLASS]],"3.2",Base_Periodo1[[#All],[Descrição]],"( - ) DISPÊNDIOS E  DESPESAS C/ PESSOAL")</f>
        <v>-702882.64</v>
      </c>
      <c r="E28" s="92">
        <f t="shared" ref="E28:E34" si="22">C28+D28</f>
        <v>-7197380.1100000013</v>
      </c>
      <c r="F28" s="92">
        <v>-10862785.51</v>
      </c>
      <c r="G28" s="101">
        <v>-1999478.64</v>
      </c>
      <c r="H28" s="92">
        <v>-12862264.15</v>
      </c>
      <c r="I28" s="92">
        <v>9530202.8699999992</v>
      </c>
      <c r="J28" s="92">
        <v>1382572.46</v>
      </c>
      <c r="K28" s="92">
        <f t="shared" si="20"/>
        <v>10912775.329999998</v>
      </c>
      <c r="L28" s="92">
        <v>9533132.3399999999</v>
      </c>
      <c r="M28" s="92">
        <v>1745919.08</v>
      </c>
      <c r="N28" s="92">
        <v>11279051.42</v>
      </c>
      <c r="O28" s="122">
        <v>6352943.5300000003</v>
      </c>
      <c r="P28" s="123">
        <v>1519301.01</v>
      </c>
      <c r="Q28" s="93">
        <f t="shared" ref="Q28:Q34" si="23">O28+P28</f>
        <v>7872244.54</v>
      </c>
      <c r="R28" s="122">
        <v>6407890.25</v>
      </c>
      <c r="S28" s="123">
        <v>2405137.65</v>
      </c>
      <c r="T28" s="93">
        <f t="shared" ref="T28:T34" si="24">R28+S28</f>
        <v>8813027.9000000004</v>
      </c>
      <c r="U28" s="93">
        <v>2469562.79</v>
      </c>
      <c r="V28" s="93"/>
      <c r="W28" s="93">
        <v>5062432.1999999993</v>
      </c>
      <c r="X28" s="92" t="e">
        <f>SUM(#REF!-Y28)</f>
        <v>#REF!</v>
      </c>
      <c r="Y28" s="95" t="e">
        <f>#REF!*$Y$22</f>
        <v>#REF!</v>
      </c>
      <c r="Z28" s="56"/>
    </row>
    <row r="29" spans="1:27" ht="15" customHeight="1">
      <c r="A29" s="91"/>
      <c r="B29" s="87" t="s">
        <v>261</v>
      </c>
      <c r="C29" s="92">
        <f>SUMIFS(Base_Periodo1[[#All],[VALOR BALANÇO]],Base_Periodo1[[#All],[GRUPO_CLASS]],"3.1",Base_Periodo1[[#All],[Descrição]],"( - ) DISPÊNDIOS E  DESPESAS ADMINISTRATIVAS")</f>
        <v>-8777557.2800000031</v>
      </c>
      <c r="D29" s="92">
        <f>SUMIFS(Base_Periodo1[[#All],[VALOR BALANÇO]],Base_Periodo1[[#All],[GRUPO_CLASS]],"3.2",Base_Periodo1[[#All],[Descrição]],"( - ) DISPÊNDIOS E  DESPESAS ADMINISTRATIVAS")</f>
        <v>-949972.3</v>
      </c>
      <c r="E29" s="92">
        <f t="shared" si="22"/>
        <v>-9727529.5800000038</v>
      </c>
      <c r="F29" s="92">
        <v>-18564793.93</v>
      </c>
      <c r="G29" s="92">
        <v>-3417319.47</v>
      </c>
      <c r="H29" s="92">
        <v>-21982113.399999999</v>
      </c>
      <c r="I29" s="92">
        <v>15899561.939999999</v>
      </c>
      <c r="J29" s="92">
        <v>2328235.63</v>
      </c>
      <c r="K29" s="92">
        <f t="shared" si="20"/>
        <v>18227797.57</v>
      </c>
      <c r="L29" s="92">
        <v>7276668.9299999997</v>
      </c>
      <c r="M29" s="92">
        <f>L29/$L$44</f>
        <v>1.8283373774585705</v>
      </c>
      <c r="N29" s="92">
        <v>8609334.2799999993</v>
      </c>
      <c r="O29" s="126">
        <v>5315396.96</v>
      </c>
      <c r="P29" s="127">
        <v>1271172.6299999999</v>
      </c>
      <c r="Q29" s="93">
        <f t="shared" si="23"/>
        <v>6586569.5899999999</v>
      </c>
      <c r="R29" s="126">
        <v>3719256.98</v>
      </c>
      <c r="S29" s="127">
        <v>1395985.98</v>
      </c>
      <c r="T29" s="93">
        <f t="shared" si="24"/>
        <v>5115242.96</v>
      </c>
      <c r="U29" s="93">
        <v>1913972.54</v>
      </c>
      <c r="V29" s="93">
        <v>743276.55</v>
      </c>
      <c r="W29" s="93">
        <v>3761012.56</v>
      </c>
      <c r="X29" s="92" t="e">
        <f>SUM(#REF!-Y29)</f>
        <v>#REF!</v>
      </c>
      <c r="Y29" s="95" t="e">
        <f>#REF!*$Y$22</f>
        <v>#REF!</v>
      </c>
      <c r="Z29" s="56"/>
    </row>
    <row r="30" spans="1:27" ht="15" customHeight="1">
      <c r="A30" s="91"/>
      <c r="B30" s="87" t="s">
        <v>262</v>
      </c>
      <c r="C30" s="92">
        <f>SUMIFS(Base_Periodo1[[#All],[VALOR BALANÇO]],Base_Periodo1[[#All],[GRUPO_CLASS]],"3.1",Base_Periodo1[[#All],[Descrição]],"( - ) DISPÊNDIOS E  DESPESAS C/ VENDAS")</f>
        <v>-9985582.1600000039</v>
      </c>
      <c r="D30" s="92">
        <f>SUMIFS(Base_Periodo1[[#All],[VALOR BALANÇO]],Base_Periodo1[[#All],[GRUPO_CLASS]],"3.2",Base_Periodo1[[#All],[Descrição]],"( - ) DISPÊNDIOS E  DESPESAS C/ VENDAS")</f>
        <v>-1080713.7</v>
      </c>
      <c r="E30" s="92">
        <f t="shared" si="22"/>
        <v>-11066295.860000003</v>
      </c>
      <c r="F30" s="92">
        <v>-11062800.439999999</v>
      </c>
      <c r="G30" s="92">
        <v>-2036294.76</v>
      </c>
      <c r="H30" s="92">
        <v>-13099095.199999999</v>
      </c>
      <c r="I30" s="92">
        <v>7215079.8899999997</v>
      </c>
      <c r="J30" s="92">
        <v>1046711.27</v>
      </c>
      <c r="K30" s="92">
        <f t="shared" si="20"/>
        <v>8261791.1600000001</v>
      </c>
      <c r="L30" s="92">
        <v>20001716.239999998</v>
      </c>
      <c r="M30" s="92">
        <f>L30/$L$44</f>
        <v>5.0256354613225609</v>
      </c>
      <c r="N30" s="92">
        <v>23680807.609999999</v>
      </c>
      <c r="O30" s="128">
        <v>11780167.74</v>
      </c>
      <c r="P30" s="129">
        <v>2817217.03</v>
      </c>
      <c r="Q30" s="93">
        <f t="shared" si="23"/>
        <v>14597384.77</v>
      </c>
      <c r="R30" s="128">
        <v>9209909.1400000006</v>
      </c>
      <c r="S30" s="129">
        <v>3456847.47</v>
      </c>
      <c r="T30" s="93">
        <f t="shared" si="24"/>
        <v>12666756.610000001</v>
      </c>
      <c r="U30" s="93">
        <v>6051988.0499999998</v>
      </c>
      <c r="V30" s="93">
        <v>2350243.0499999998</v>
      </c>
      <c r="W30" s="93">
        <v>9649995.6099999994</v>
      </c>
      <c r="X30" s="92" t="e">
        <f>SUM(#REF!-Y30)</f>
        <v>#REF!</v>
      </c>
      <c r="Y30" s="95" t="e">
        <f>#REF!*$Y$22</f>
        <v>#REF!</v>
      </c>
      <c r="Z30" s="56"/>
      <c r="AA30" s="327"/>
    </row>
    <row r="31" spans="1:27" ht="15" customHeight="1">
      <c r="A31" s="91"/>
      <c r="B31" s="87" t="s">
        <v>263</v>
      </c>
      <c r="C31" s="92">
        <f>SUMIFS(Base_Periodo1[[#All],[VALOR BALANÇO]],Base_Periodo1[[#All],[GRUPO_CLASS]],"3.1",Base_Periodo1[[#All],[Descrição]],"( - ) DISPÊNDIOS E  DESPESAS TRIBUTÁRIAS")</f>
        <v>-181317.03</v>
      </c>
      <c r="D31" s="92">
        <f>SUMIFS(Base_Periodo1[[#All],[VALOR BALANÇO]],Base_Periodo1[[#All],[GRUPO_CLASS]],"3.2",Base_Periodo1[[#All],[Descrição]],"( - ) DISPÊNDIOS E  DESPESAS TRIBUTÁRIAS")</f>
        <v>-19623.47</v>
      </c>
      <c r="E31" s="92">
        <f t="shared" si="22"/>
        <v>-200940.5</v>
      </c>
      <c r="F31" s="92">
        <v>-634174.88</v>
      </c>
      <c r="G31" s="92">
        <v>-116730.57</v>
      </c>
      <c r="H31" s="92">
        <v>-750905.45</v>
      </c>
      <c r="I31" s="92">
        <v>265306.95</v>
      </c>
      <c r="J31" s="92">
        <v>38488.800000000003</v>
      </c>
      <c r="K31" s="92">
        <f t="shared" ref="K31:K33" si="25">I31+J31</f>
        <v>303795.75</v>
      </c>
      <c r="L31" s="92"/>
      <c r="M31" s="92"/>
      <c r="N31" s="92"/>
      <c r="O31" s="128"/>
      <c r="P31" s="130"/>
      <c r="Q31" s="93"/>
      <c r="R31" s="131"/>
      <c r="S31" s="130"/>
      <c r="T31" s="93"/>
      <c r="U31" s="93"/>
      <c r="V31" s="93"/>
      <c r="W31" s="93"/>
      <c r="X31" s="92"/>
      <c r="Y31" s="95"/>
      <c r="Z31" s="56"/>
    </row>
    <row r="32" spans="1:27" ht="15" customHeight="1">
      <c r="A32" s="91"/>
      <c r="B32" s="87" t="s">
        <v>264</v>
      </c>
      <c r="C32" s="92">
        <f>SUMIFS(Base_Periodo1[[#All],[VALOR BALANÇO]],Base_Periodo1[[#All],[GRUPO_CLASS]],"3.1",Base_Periodo1[[#All],[Descrição]],"( - ) DISPÊNDIOS E  DESPESAS TECNICAS")</f>
        <v>-47936.310000000012</v>
      </c>
      <c r="D32" s="92">
        <f>SUMIFS(Base_Periodo1[[#All],[VALOR BALANÇO]],Base_Periodo1[[#All],[GRUPO_CLASS]],"3.2",Base_Periodo1[[#All],[Descrição]],"( - ) DISPÊNDIOS E  DESPESAS TECNICAS")</f>
        <v>-5188.0200000000004</v>
      </c>
      <c r="E32" s="92">
        <f t="shared" si="22"/>
        <v>-53124.330000000016</v>
      </c>
      <c r="F32" s="92">
        <v>-899309.53</v>
      </c>
      <c r="G32" s="92">
        <v>-165533.07</v>
      </c>
      <c r="H32" s="92">
        <v>-1064842.6000000001</v>
      </c>
      <c r="I32" s="92">
        <v>78505.759999999995</v>
      </c>
      <c r="J32" s="92">
        <v>11389.04</v>
      </c>
      <c r="K32" s="92">
        <f t="shared" si="25"/>
        <v>89894.799999999988</v>
      </c>
      <c r="L32" s="92">
        <v>118114.46</v>
      </c>
      <c r="M32" s="92">
        <f>L32/$L$44</f>
        <v>2.9677464250985958E-2</v>
      </c>
      <c r="N32" s="92">
        <v>139746.21000000002</v>
      </c>
      <c r="O32" s="92">
        <v>49026.83</v>
      </c>
      <c r="P32" s="93">
        <v>11724.73</v>
      </c>
      <c r="Q32" s="93">
        <f t="shared" si="23"/>
        <v>60751.56</v>
      </c>
      <c r="R32" s="93">
        <v>41700.03</v>
      </c>
      <c r="S32" s="93">
        <v>15651.69</v>
      </c>
      <c r="T32" s="93">
        <f t="shared" si="24"/>
        <v>57351.72</v>
      </c>
      <c r="U32" s="93">
        <v>243586.06</v>
      </c>
      <c r="V32" s="93">
        <v>94594.77</v>
      </c>
      <c r="W32" s="93">
        <v>158224.15</v>
      </c>
      <c r="X32" s="92" t="e">
        <f>SUM(#REF!-Y32)</f>
        <v>#REF!</v>
      </c>
      <c r="Y32" s="95" t="e">
        <f>#REF!*$Y$22</f>
        <v>#REF!</v>
      </c>
      <c r="Z32" s="56"/>
    </row>
    <row r="33" spans="1:27" ht="15" customHeight="1">
      <c r="A33" s="91"/>
      <c r="B33" s="87" t="s">
        <v>265</v>
      </c>
      <c r="C33" s="92">
        <f>SUMIFS(Base_Periodo1[[#All],[VALOR BALANÇO]],Base_Periodo1[[#All],[GRUPO_CLASS]],"3.1",Base_Periodo1[[#All],[Descrição]],"( - ) DISPÊNDIOS E  DESPESAS INDEDUTÍVEIS")</f>
        <v>-162400.12</v>
      </c>
      <c r="D33" s="92">
        <f>SUMIFS(Base_Periodo1[[#All],[VALOR BALANÇO]],Base_Periodo1[[#All],[GRUPO_CLASS]],"3.2",Base_Periodo1[[#All],[Descrição]],"( - ) DISPÊNDIOS E  DESPESAS INDEDUTÍVEIS")</f>
        <v>-17576.14</v>
      </c>
      <c r="E33" s="92">
        <f t="shared" si="22"/>
        <v>-179976.26</v>
      </c>
      <c r="F33" s="92">
        <v>-69063.240000000005</v>
      </c>
      <c r="G33" s="92">
        <v>-12712.25</v>
      </c>
      <c r="H33" s="92">
        <v>-81775.490000000005</v>
      </c>
      <c r="I33" s="92">
        <v>56025.77</v>
      </c>
      <c r="J33" s="92">
        <v>8127.81</v>
      </c>
      <c r="K33" s="92">
        <f t="shared" si="25"/>
        <v>64153.579999999994</v>
      </c>
      <c r="L33" s="92">
        <v>282591.57</v>
      </c>
      <c r="M33" s="92">
        <v>51754.45</v>
      </c>
      <c r="N33" s="92">
        <v>334346.02</v>
      </c>
      <c r="O33" s="92">
        <v>51083.92</v>
      </c>
      <c r="P33" s="93">
        <v>12216.67</v>
      </c>
      <c r="Q33" s="93">
        <f t="shared" si="23"/>
        <v>63300.59</v>
      </c>
      <c r="R33" s="93">
        <v>73533.009999999995</v>
      </c>
      <c r="S33" s="93">
        <v>27599.88</v>
      </c>
      <c r="T33" s="93">
        <f t="shared" si="24"/>
        <v>101132.89</v>
      </c>
      <c r="U33" s="93">
        <v>94366.73</v>
      </c>
      <c r="V33" s="93">
        <v>36646.6</v>
      </c>
      <c r="W33" s="93">
        <v>88593.48</v>
      </c>
      <c r="X33" s="92" t="e">
        <f>SUM(#REF!-Y33)</f>
        <v>#REF!</v>
      </c>
      <c r="Y33" s="95" t="e">
        <f>#REF!*$Y$22</f>
        <v>#REF!</v>
      </c>
      <c r="Z33" s="56"/>
    </row>
    <row r="34" spans="1:27" ht="15" customHeight="1">
      <c r="A34" s="91"/>
      <c r="B34" s="87" t="s">
        <v>266</v>
      </c>
      <c r="C34" s="92">
        <f>SUMIFS(Base_Periodo1[[#All],[VALOR BALANÇO]],Base_Periodo1[[#All],[GRUPO_CLASS]],"3.1",Base_Periodo1[[#All],[Descrição]],"( - ) DISPÊNDIOS E  DESPESAS C/ RATES")</f>
        <v>-476588.23</v>
      </c>
      <c r="D34" s="92">
        <f>SUMIFS(Base_Periodo1[[#All],[VALOR BALANÇO]],Base_Periodo1[[#All],[GRUPO_CLASS]],"3.2",Base_Periodo1[[#All],[Descrição]],"( - ) DISPÊNDIOS E  DESPESAS C/ RATES")</f>
        <v>0</v>
      </c>
      <c r="E34" s="92">
        <f t="shared" si="22"/>
        <v>-476588.23</v>
      </c>
      <c r="F34" s="92">
        <v>0</v>
      </c>
      <c r="G34" s="92">
        <v>0</v>
      </c>
      <c r="H34" s="92">
        <v>0</v>
      </c>
      <c r="I34" s="92"/>
      <c r="J34" s="92"/>
      <c r="K34" s="92"/>
      <c r="L34" s="92">
        <v>23253.81</v>
      </c>
      <c r="M34" s="92">
        <f>L34/$L$44</f>
        <v>5.8427572286595545E-3</v>
      </c>
      <c r="N34" s="92">
        <v>27512.57</v>
      </c>
      <c r="O34" s="92">
        <v>36312.46</v>
      </c>
      <c r="P34" s="93">
        <v>8684.09</v>
      </c>
      <c r="Q34" s="93">
        <f t="shared" si="23"/>
        <v>44996.55</v>
      </c>
      <c r="R34" s="93">
        <v>18466.150000000001</v>
      </c>
      <c r="S34" s="93">
        <v>6931.08</v>
      </c>
      <c r="T34" s="93">
        <f t="shared" si="24"/>
        <v>25397.230000000003</v>
      </c>
      <c r="U34" s="93">
        <v>110.37</v>
      </c>
      <c r="V34" s="93">
        <v>42.86</v>
      </c>
      <c r="W34" s="93">
        <v>44258.240000000005</v>
      </c>
      <c r="X34" s="92" t="e">
        <f>SUM(#REF!-Y34)</f>
        <v>#REF!</v>
      </c>
      <c r="Y34" s="95" t="e">
        <f>#REF!*$Y$22</f>
        <v>#REF!</v>
      </c>
      <c r="Z34" s="56"/>
    </row>
    <row r="35" spans="1:27" ht="15" customHeight="1">
      <c r="A35" s="106" t="s">
        <v>267</v>
      </c>
      <c r="B35" s="87"/>
      <c r="C35" s="88">
        <f>SUM(C36:C37)</f>
        <v>-6930440.5700000003</v>
      </c>
      <c r="D35" s="88">
        <f>SUM(D36:D37)</f>
        <v>578083.55999999982</v>
      </c>
      <c r="E35" s="88">
        <f>SUM(E36+E37)</f>
        <v>-6352357.0100000007</v>
      </c>
      <c r="F35" s="88">
        <v>-6448039.0099999998</v>
      </c>
      <c r="G35" s="88">
        <v>2061262.63</v>
      </c>
      <c r="H35" s="88">
        <v>-4386776.379999999</v>
      </c>
      <c r="I35" s="88">
        <f>SUM(I36:I37)</f>
        <v>1480516.27</v>
      </c>
      <c r="J35" s="88">
        <f>SUM(J36:J37)</f>
        <v>419172.17000000004</v>
      </c>
      <c r="K35" s="88">
        <f>SUM(K36+K37)</f>
        <v>1899688.4400000002</v>
      </c>
      <c r="L35" s="88">
        <f>SUM(L36:L37)</f>
        <v>4365471.05</v>
      </c>
      <c r="M35" s="88">
        <f>L35/$L$44</f>
        <v>1.0968691811746769</v>
      </c>
      <c r="N35" s="88">
        <v>5263095.6999999993</v>
      </c>
      <c r="O35" s="88">
        <f>O37+O36</f>
        <v>1694691.77</v>
      </c>
      <c r="P35" s="89">
        <f>P37+P36</f>
        <v>370286.37</v>
      </c>
      <c r="Q35" s="89">
        <f>Q36+Q37</f>
        <v>2064978.1400000001</v>
      </c>
      <c r="R35" s="89">
        <f>R37+R36</f>
        <v>-1806487.48</v>
      </c>
      <c r="S35" s="89">
        <f>S37+S36</f>
        <v>-668047.04999999993</v>
      </c>
      <c r="T35" s="89">
        <f>T36+T37</f>
        <v>-2474534.5300000003</v>
      </c>
      <c r="U35" s="89">
        <f>U37</f>
        <v>317685.95</v>
      </c>
      <c r="V35" s="89">
        <f>V37</f>
        <v>123370.88</v>
      </c>
      <c r="W35" s="89">
        <v>1891761.4299999997</v>
      </c>
      <c r="X35" s="92" t="e">
        <f>SUM(#REF!-Y35)</f>
        <v>#REF!</v>
      </c>
      <c r="Y35" s="95" t="e">
        <f>#REF!*$Y$22</f>
        <v>#REF!</v>
      </c>
      <c r="Z35" s="56"/>
    </row>
    <row r="36" spans="1:27" ht="15" customHeight="1">
      <c r="A36" s="91"/>
      <c r="B36" s="87" t="s">
        <v>215</v>
      </c>
      <c r="C36" s="92">
        <f>SUMIFS(Base_Periodo1[[#All],[VALOR BALANÇO]],Base_Periodo1[[#All],[GRUPO_CLASS]],"3.1",Base_Periodo1[[#All],[Descrição]],"( - ) DISPÊNDIOS E  DESPESAS FINANCEIRAS")</f>
        <v>-8709762.8200000003</v>
      </c>
      <c r="D36" s="92">
        <f>SUMIFS(Base_Periodo1[[#All],[VALOR BALANÇO]],Base_Periodo1[[#All],[GRUPO_CLASS]],"3.2",Base_Periodo1[[#All],[Descrição]],"( - ) DISPÊNDIOS E  DESPESAS FINANCEIRAS")</f>
        <v>-1581888.66</v>
      </c>
      <c r="E36" s="92">
        <f t="shared" ref="E36:E37" si="26">C36+D36</f>
        <v>-10291651.48</v>
      </c>
      <c r="F36" s="92">
        <v>-10728986.689999999</v>
      </c>
      <c r="G36" s="92">
        <v>-1974850.71</v>
      </c>
      <c r="H36" s="92">
        <v>-12703837.399999999</v>
      </c>
      <c r="I36" s="92">
        <v>-641531.35</v>
      </c>
      <c r="J36" s="92">
        <v>-557537.1</v>
      </c>
      <c r="K36" s="92">
        <f t="shared" ref="K36:K37" si="27">I36+J36</f>
        <v>-1199068.45</v>
      </c>
      <c r="L36" s="92">
        <f>-482216.84-19647.76</f>
        <v>-501864.60000000003</v>
      </c>
      <c r="M36" s="92">
        <f>L36/$L$44</f>
        <v>-0.12609860575356621</v>
      </c>
      <c r="N36" s="92">
        <v>-624145.06000000006</v>
      </c>
      <c r="O36" s="92"/>
      <c r="P36" s="93">
        <v>-56463.42</v>
      </c>
      <c r="Q36" s="94">
        <f>O36+P36</f>
        <v>-56463.42</v>
      </c>
      <c r="R36" s="93">
        <v>-2282307.81</v>
      </c>
      <c r="S36" s="93">
        <v>-856641.46</v>
      </c>
      <c r="T36" s="93">
        <f>R36+S36</f>
        <v>-3138949.27</v>
      </c>
      <c r="U36" s="93"/>
      <c r="V36" s="93"/>
      <c r="W36" s="93">
        <v>-6129215.2400000002</v>
      </c>
      <c r="X36" s="92"/>
      <c r="Y36" s="95"/>
      <c r="Z36" s="56"/>
    </row>
    <row r="37" spans="1:27" ht="15" customHeight="1">
      <c r="A37" s="91"/>
      <c r="B37" s="87" t="s">
        <v>268</v>
      </c>
      <c r="C37" s="92">
        <f>SUMIFS(Base_Periodo1[[#All],[VALOR BALANÇO]],Base_Periodo1[[#All],[GRUPO_CLASS]],"3.1",Base_Periodo1[[#All],[Descrição]],"( + ) INGRESSOS E RECEITAS FINANCEIRAS")</f>
        <v>1779322.25</v>
      </c>
      <c r="D37" s="92">
        <f>SUMIFS(Base_Periodo1[[#All],[VALOR BALANÇO]],Base_Periodo1[[#All],[GRUPO_CLASS]],"3.2",Base_Periodo1[[#All],[Descrição]],"( + ) INGRESSOS E RECEITAS FINANCEIRAS")</f>
        <v>2159972.2199999997</v>
      </c>
      <c r="E37" s="92">
        <f t="shared" si="26"/>
        <v>3939294.4699999997</v>
      </c>
      <c r="F37" s="92">
        <v>4280947.68</v>
      </c>
      <c r="G37" s="92">
        <v>4036113.34</v>
      </c>
      <c r="H37" s="92">
        <v>8317061.0199999996</v>
      </c>
      <c r="I37" s="92">
        <v>2122047.62</v>
      </c>
      <c r="J37" s="92">
        <v>976709.27</v>
      </c>
      <c r="K37" s="92">
        <f t="shared" si="27"/>
        <v>3098756.89</v>
      </c>
      <c r="L37" s="92">
        <f>4867093.14+242.51</f>
        <v>4867335.6499999994</v>
      </c>
      <c r="M37" s="92">
        <f>L37/$L$44</f>
        <v>1.2229677869282429</v>
      </c>
      <c r="N37" s="92">
        <v>5887240.7599999998</v>
      </c>
      <c r="O37" s="92">
        <v>1694691.77</v>
      </c>
      <c r="P37" s="93">
        <v>426749.79</v>
      </c>
      <c r="Q37" s="94">
        <f>O37+P37</f>
        <v>2121441.56</v>
      </c>
      <c r="R37" s="93">
        <v>475820.33</v>
      </c>
      <c r="S37" s="93">
        <v>188594.41</v>
      </c>
      <c r="T37" s="93">
        <f>R37+S37</f>
        <v>664414.74</v>
      </c>
      <c r="U37" s="93">
        <v>317685.95</v>
      </c>
      <c r="V37" s="93">
        <v>123370.88</v>
      </c>
      <c r="W37" s="93">
        <v>8020976.6699999999</v>
      </c>
      <c r="X37" s="92"/>
      <c r="Y37" s="95"/>
      <c r="Z37" s="56"/>
    </row>
    <row r="38" spans="1:27" ht="15" customHeight="1">
      <c r="A38" s="86" t="s">
        <v>269</v>
      </c>
      <c r="B38" s="97"/>
      <c r="C38" s="88">
        <f t="shared" ref="C38:L38" si="28">SUM(C39:C40)</f>
        <v>3154212.14</v>
      </c>
      <c r="D38" s="88">
        <f t="shared" si="28"/>
        <v>434931.31</v>
      </c>
      <c r="E38" s="88">
        <f t="shared" si="28"/>
        <v>3589143.45</v>
      </c>
      <c r="F38" s="88">
        <v>1229636.5699999998</v>
      </c>
      <c r="G38" s="88">
        <v>224154.3</v>
      </c>
      <c r="H38" s="88">
        <v>1453790.87</v>
      </c>
      <c r="I38" s="88">
        <f t="shared" si="28"/>
        <v>-4310293.83</v>
      </c>
      <c r="J38" s="88">
        <f t="shared" si="28"/>
        <v>1970291.39</v>
      </c>
      <c r="K38" s="88">
        <f t="shared" si="28"/>
        <v>-2340002.4400000004</v>
      </c>
      <c r="L38" s="88">
        <f t="shared" si="28"/>
        <v>-2652494.14</v>
      </c>
      <c r="M38" s="88">
        <f t="shared" ref="M38" si="29">SUM(M39:M40)</f>
        <v>-0.66646623974574959</v>
      </c>
      <c r="N38" s="88">
        <v>-980556.85000000056</v>
      </c>
      <c r="O38" s="88">
        <f t="shared" ref="O38:V38" si="30">O39+O40</f>
        <v>-1547012.19</v>
      </c>
      <c r="P38" s="88">
        <f t="shared" si="30"/>
        <v>-370092.23</v>
      </c>
      <c r="Q38" s="132">
        <f t="shared" si="30"/>
        <v>-1917104.42</v>
      </c>
      <c r="R38" s="88">
        <f t="shared" si="30"/>
        <v>-2492577.2800000003</v>
      </c>
      <c r="S38" s="88">
        <f t="shared" si="30"/>
        <v>973153.1100000001</v>
      </c>
      <c r="T38" s="88">
        <f t="shared" si="30"/>
        <v>-1519424.1700000004</v>
      </c>
      <c r="U38" s="88">
        <f t="shared" si="30"/>
        <v>-310506.61999999965</v>
      </c>
      <c r="V38" s="88">
        <f t="shared" si="30"/>
        <v>-119518.77999999991</v>
      </c>
      <c r="W38" s="88">
        <v>-1166493.5900000003</v>
      </c>
      <c r="X38" s="88" t="e">
        <f>SUM(#REF!-Y38)</f>
        <v>#REF!</v>
      </c>
      <c r="Y38" s="133" t="e">
        <f>SUM(#REF!)*0.1328</f>
        <v>#REF!</v>
      </c>
      <c r="Z38" s="56"/>
    </row>
    <row r="39" spans="1:27" ht="15" customHeight="1">
      <c r="A39" s="91"/>
      <c r="B39" s="87" t="s">
        <v>219</v>
      </c>
      <c r="C39" s="92">
        <f>SUMIFS(Base_Periodo1[[#All],[VALOR BALANÇO]],Base_Periodo1[[#All],[GRUPO_CLASS]],"3.1",Base_Periodo1[[#All],[Descrição]],"( + ) OUTROS INGRESSOS E  RECEITAS OPERACIONAIS")</f>
        <v>3187968.85</v>
      </c>
      <c r="D39" s="92">
        <f>SUMIFS(Base_Periodo1[[#All],[VALOR BALANÇO]],Base_Periodo1[[#All],[GRUPO_CLASS]],"3.2",Base_Periodo1[[#All],[Descrição]],"( + ) OUTROS INGRESSOS E  RECEITAS OPERACIONAIS")</f>
        <v>438584.71</v>
      </c>
      <c r="E39" s="92">
        <f t="shared" ref="E39:E40" si="31">C39+D39</f>
        <v>3626553.56</v>
      </c>
      <c r="F39" s="92">
        <v>1970575.5399999998</v>
      </c>
      <c r="G39" s="92">
        <v>396286.42</v>
      </c>
      <c r="H39" s="92">
        <v>2366861.96</v>
      </c>
      <c r="I39" s="92">
        <v>3657884.57</v>
      </c>
      <c r="J39" s="92">
        <v>3374019.65</v>
      </c>
      <c r="K39" s="92">
        <f t="shared" ref="K39:K40" si="32">I39+J39</f>
        <v>7031904.2199999997</v>
      </c>
      <c r="L39" s="92">
        <v>3575294.15</v>
      </c>
      <c r="M39" s="92">
        <f>L39/$L$44</f>
        <v>0.89832916582257771</v>
      </c>
      <c r="N39" s="92">
        <v>6387802.4499999993</v>
      </c>
      <c r="O39" s="92">
        <v>4190646.6</v>
      </c>
      <c r="P39" s="93">
        <v>1002189.55</v>
      </c>
      <c r="Q39" s="94">
        <f>O39+P39</f>
        <v>5192836.1500000004</v>
      </c>
      <c r="R39" s="93">
        <v>1303697.17</v>
      </c>
      <c r="S39" s="93">
        <v>2400413.85</v>
      </c>
      <c r="T39" s="93">
        <f>R39+S39</f>
        <v>3704111.02</v>
      </c>
      <c r="U39" s="93">
        <v>2288039.64</v>
      </c>
      <c r="V39" s="93">
        <v>889606.66</v>
      </c>
      <c r="W39" s="93">
        <v>3311092.98</v>
      </c>
      <c r="X39" s="92" t="e">
        <f>SUM(#REF!-Y39)</f>
        <v>#REF!</v>
      </c>
      <c r="Y39" s="95" t="e">
        <f>SUM(#REF!)*$Y$22</f>
        <v>#REF!</v>
      </c>
      <c r="Z39" s="56"/>
    </row>
    <row r="40" spans="1:27" ht="15" customHeight="1">
      <c r="A40" s="91"/>
      <c r="B40" s="87" t="s">
        <v>270</v>
      </c>
      <c r="C40" s="92">
        <f>SUMIFS(Base_Periodo1[[#All],[VALOR BALANÇO]],Base_Periodo1[[#All],[GRUPO_CLASS]],"3.1",Base_Periodo1[[#All],[Descrição]],"( - ) OUTROS DISPÊNDIOS E  DESPESAS OPERACIONAIS")</f>
        <v>-33756.71</v>
      </c>
      <c r="D40" s="92">
        <f>SUMIFS(Base_Periodo1[[#All],[VALOR BALANÇO]],Base_Periodo1[[#All],[GRUPO_CLASS]],"3.2",Base_Periodo1[[#All],[Descrição]],"( - ) OUTROS DISPÊNDIOS E  DESPESAS OPERACIONAIS")</f>
        <v>-3653.4</v>
      </c>
      <c r="E40" s="92">
        <f t="shared" si="31"/>
        <v>-37410.11</v>
      </c>
      <c r="F40" s="92">
        <v>-740938.97</v>
      </c>
      <c r="G40" s="92">
        <v>-172132.12</v>
      </c>
      <c r="H40" s="92">
        <v>-913071.09</v>
      </c>
      <c r="I40" s="92">
        <v>-7968178.4000000004</v>
      </c>
      <c r="J40" s="92">
        <v>-1403728.26</v>
      </c>
      <c r="K40" s="92">
        <f t="shared" si="32"/>
        <v>-9371906.6600000001</v>
      </c>
      <c r="L40" s="92">
        <v>-6227788.29</v>
      </c>
      <c r="M40" s="92">
        <f>L40/$L$44</f>
        <v>-1.5647954055683273</v>
      </c>
      <c r="N40" s="92">
        <v>-7368359.2999999998</v>
      </c>
      <c r="O40" s="92">
        <v>-5737658.79</v>
      </c>
      <c r="P40" s="93">
        <v>-1372281.78</v>
      </c>
      <c r="Q40" s="94">
        <f>O40+P40</f>
        <v>-7109940.5700000003</v>
      </c>
      <c r="R40" s="93">
        <v>-3796274.45</v>
      </c>
      <c r="S40" s="93">
        <v>-1427260.74</v>
      </c>
      <c r="T40" s="93">
        <f>R40+S40</f>
        <v>-5223535.1900000004</v>
      </c>
      <c r="U40" s="93">
        <v>-2598546.2599999998</v>
      </c>
      <c r="V40" s="93">
        <v>-1009125.44</v>
      </c>
      <c r="W40" s="93">
        <v>-4477586.57</v>
      </c>
      <c r="X40" s="92" t="e">
        <f>SUM(#REF!-Y40)</f>
        <v>#REF!</v>
      </c>
      <c r="Y40" s="95" t="e">
        <f>SUM(#REF!)*$Y$22</f>
        <v>#REF!</v>
      </c>
      <c r="Z40" s="56"/>
    </row>
    <row r="41" spans="1:27" ht="15" customHeight="1">
      <c r="A41" s="86" t="s">
        <v>271</v>
      </c>
      <c r="B41" s="96"/>
      <c r="C41" s="88">
        <f>C26+C27+C35+C38</f>
        <v>-3517009.4600000163</v>
      </c>
      <c r="D41" s="88">
        <f>D26+D27+D35+D38</f>
        <v>1497513.0300000033</v>
      </c>
      <c r="E41" s="88">
        <f>E26+E27+E35+E38</f>
        <v>-2019496.4300000127</v>
      </c>
      <c r="F41" s="88">
        <v>9593220.3200000804</v>
      </c>
      <c r="G41" s="88">
        <v>2828665.0699999826</v>
      </c>
      <c r="H41" s="88">
        <v>12421885.390000068</v>
      </c>
      <c r="I41" s="88">
        <f>I26-I27+I35+I38</f>
        <v>5780354.1199999843</v>
      </c>
      <c r="J41" s="88">
        <f>J26-J27+J35+J38</f>
        <v>1464610.2400000026</v>
      </c>
      <c r="K41" s="88">
        <f>K26-K27+K35+K38</f>
        <v>7244964.3599999836</v>
      </c>
      <c r="L41" s="88">
        <f>L26-L27+L35+L38</f>
        <v>-234071127.17999998</v>
      </c>
      <c r="M41" s="88">
        <f>M26-M27+M35+M38</f>
        <v>-58.812761020728864</v>
      </c>
      <c r="N41" s="88">
        <v>5040009.4100000085</v>
      </c>
      <c r="O41" s="88">
        <f t="shared" ref="O41:V41" si="33">O26-O27+O35+O38</f>
        <v>5674000.1400000285</v>
      </c>
      <c r="P41" s="88">
        <f t="shared" si="33"/>
        <v>1001476.170000005</v>
      </c>
      <c r="Q41" s="132">
        <f t="shared" si="33"/>
        <v>6675476.3100000266</v>
      </c>
      <c r="R41" s="88">
        <f t="shared" si="33"/>
        <v>7330918.4700000184</v>
      </c>
      <c r="S41" s="88">
        <f t="shared" si="33"/>
        <v>850495.59000000136</v>
      </c>
      <c r="T41" s="88">
        <f t="shared" si="33"/>
        <v>8181414.0600000191</v>
      </c>
      <c r="U41" s="88">
        <f t="shared" si="33"/>
        <v>8390712.4300000016</v>
      </c>
      <c r="V41" s="88">
        <f t="shared" si="33"/>
        <v>635849.80999999959</v>
      </c>
      <c r="W41" s="88">
        <v>1736296.2299999925</v>
      </c>
      <c r="X41" s="88" t="e">
        <f>SUM(X26-X27+X38)</f>
        <v>#REF!</v>
      </c>
      <c r="Y41" s="133" t="e">
        <f>SUM(Y26-Y27+Y38)</f>
        <v>#REF!</v>
      </c>
      <c r="Z41" s="56"/>
    </row>
    <row r="42" spans="1:27" ht="15" hidden="1" customHeight="1">
      <c r="A42" s="86" t="s">
        <v>272</v>
      </c>
      <c r="B42" s="96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>
        <f>L42/$L$44</f>
        <v>0</v>
      </c>
      <c r="N42" s="92"/>
      <c r="O42" s="88" t="e">
        <f>O43+#REF!</f>
        <v>#REF!</v>
      </c>
      <c r="P42" s="88" t="e">
        <f>P43+#REF!</f>
        <v>#REF!</v>
      </c>
      <c r="Q42" s="132" t="e">
        <f>Q43+#REF!</f>
        <v>#REF!</v>
      </c>
      <c r="R42" s="88" t="e">
        <f>R43+#REF!</f>
        <v>#REF!</v>
      </c>
      <c r="S42" s="88" t="e">
        <f>S43+#REF!</f>
        <v>#REF!</v>
      </c>
      <c r="T42" s="88" t="e">
        <f>T43+#REF!</f>
        <v>#REF!</v>
      </c>
      <c r="U42" s="88" t="e">
        <f>U43+#REF!</f>
        <v>#REF!</v>
      </c>
      <c r="V42" s="88" t="e">
        <f>V43+#REF!</f>
        <v>#REF!</v>
      </c>
      <c r="W42" s="88">
        <v>0</v>
      </c>
      <c r="X42" s="88" t="e">
        <f>SUM(X43-#REF!)</f>
        <v>#REF!</v>
      </c>
      <c r="Y42" s="133"/>
      <c r="Z42" s="56"/>
    </row>
    <row r="43" spans="1:27" ht="14.25" hidden="1" customHeight="1">
      <c r="A43" s="91"/>
      <c r="B43" s="87" t="s">
        <v>273</v>
      </c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3"/>
      <c r="Q43" s="94">
        <f>O43+P43</f>
        <v>0</v>
      </c>
      <c r="R43" s="93"/>
      <c r="S43" s="93"/>
      <c r="T43" s="93">
        <f>R43+S43</f>
        <v>0</v>
      </c>
      <c r="U43" s="93">
        <v>87490.43</v>
      </c>
      <c r="V43" s="93">
        <v>599804.09</v>
      </c>
      <c r="W43" s="93">
        <v>0</v>
      </c>
      <c r="X43" s="92">
        <v>29.5</v>
      </c>
      <c r="Y43" s="95">
        <v>100</v>
      </c>
      <c r="Z43" s="56"/>
    </row>
    <row r="44" spans="1:27" s="38" customFormat="1" ht="15" customHeight="1">
      <c r="A44" s="134" t="s">
        <v>274</v>
      </c>
      <c r="B44" s="105"/>
      <c r="C44" s="88">
        <f>C41</f>
        <v>-3517009.4600000163</v>
      </c>
      <c r="D44" s="88">
        <f>D41</f>
        <v>1497513.0300000033</v>
      </c>
      <c r="E44" s="88">
        <f>C44+D44</f>
        <v>-2019496.430000013</v>
      </c>
      <c r="F44" s="88">
        <v>9593220.3200000804</v>
      </c>
      <c r="G44" s="88">
        <v>2828665.0699999826</v>
      </c>
      <c r="H44" s="88">
        <v>12421885.390000064</v>
      </c>
      <c r="I44" s="88">
        <f>I41</f>
        <v>5780354.1199999843</v>
      </c>
      <c r="J44" s="88">
        <f>J41</f>
        <v>1464610.2400000026</v>
      </c>
      <c r="K44" s="88">
        <f>I44+J44</f>
        <v>7244964.3599999864</v>
      </c>
      <c r="L44" s="88">
        <v>3979937.7400000053</v>
      </c>
      <c r="M44" s="88">
        <f>+M24+M14+M27</f>
        <v>58.084197646267626</v>
      </c>
      <c r="N44" s="88">
        <v>5040009.410000016</v>
      </c>
      <c r="O44" s="88">
        <f t="shared" ref="O44:T44" si="34">O41</f>
        <v>5674000.1400000285</v>
      </c>
      <c r="P44" s="135">
        <f t="shared" si="34"/>
        <v>1001476.170000005</v>
      </c>
      <c r="Q44" s="136">
        <f t="shared" si="34"/>
        <v>6675476.3100000266</v>
      </c>
      <c r="R44" s="135">
        <f t="shared" si="34"/>
        <v>7330918.4700000184</v>
      </c>
      <c r="S44" s="135">
        <f t="shared" si="34"/>
        <v>850495.59000000136</v>
      </c>
      <c r="T44" s="135">
        <f t="shared" si="34"/>
        <v>8181414.0600000191</v>
      </c>
      <c r="U44" s="135" t="e">
        <f>U41-#REF!</f>
        <v>#REF!</v>
      </c>
      <c r="V44" s="135" t="e">
        <f>V41+V42</f>
        <v>#REF!</v>
      </c>
      <c r="W44" s="135">
        <v>1736296.2299999925</v>
      </c>
      <c r="X44" s="88" t="e">
        <f>SUM(X41+X42)</f>
        <v>#REF!</v>
      </c>
      <c r="Y44" s="133" t="e">
        <f>Y41+Y43</f>
        <v>#REF!</v>
      </c>
      <c r="Z44" s="56"/>
    </row>
    <row r="45" spans="1:27" s="38" customFormat="1" ht="15" customHeight="1">
      <c r="A45" s="134"/>
      <c r="B45" s="103" t="s">
        <v>275</v>
      </c>
      <c r="C45" s="92">
        <f>SUMIFS(Base_Periodo1[[#All],[VALOR BALANÇO]],Base_Periodo1[[#All],[GRUPO_CLASS]],"3.1",Base_Periodo1[[#All],[Descrição]],"( - ) IMPOSTO DE RENDA")</f>
        <v>0</v>
      </c>
      <c r="D45" s="92">
        <f>SUMIFS(Base_Periodo1[[#All],[VALOR BALANÇO]],Base_Periodo1[[#All],[GRUPO_CLASS]],"3.2",Base_Periodo1[[#All],[Descrição]],"( - ) IMPOSTO DE RENDA")</f>
        <v>-368772.29</v>
      </c>
      <c r="E45" s="92">
        <f t="shared" ref="E45:E46" si="35">C45+D45</f>
        <v>-368772.29</v>
      </c>
      <c r="F45" s="92">
        <v>0</v>
      </c>
      <c r="G45" s="92">
        <v>-861776.12</v>
      </c>
      <c r="H45" s="92">
        <v>-861776.12</v>
      </c>
      <c r="I45" s="92"/>
      <c r="J45" s="92">
        <f>'[1]LUCRO REAL (3)'!J35</f>
        <v>0</v>
      </c>
      <c r="K45" s="92"/>
      <c r="L45" s="92"/>
      <c r="M45" s="92">
        <f>'LUCRO REAL (3)'!G36</f>
        <v>368772.29250000085</v>
      </c>
      <c r="N45" s="92">
        <v>169386.93850000022</v>
      </c>
      <c r="O45" s="92"/>
      <c r="P45" s="93">
        <f>'LUCRO REAL (3)'!G36</f>
        <v>368772.29250000085</v>
      </c>
      <c r="Q45" s="94">
        <f>'LUCRO REAL (3)'!G36</f>
        <v>368772.29250000085</v>
      </c>
      <c r="R45" s="137"/>
      <c r="S45" s="137">
        <v>126049.67</v>
      </c>
      <c r="T45" s="93">
        <f>R45+S45</f>
        <v>126049.67</v>
      </c>
      <c r="U45" s="137"/>
      <c r="V45" s="137"/>
      <c r="W45" s="93">
        <v>66980.479999999996</v>
      </c>
      <c r="X45" s="88"/>
      <c r="Y45" s="133"/>
      <c r="Z45" s="56"/>
    </row>
    <row r="46" spans="1:27" s="38" customFormat="1" ht="15" customHeight="1">
      <c r="A46" s="106"/>
      <c r="B46" s="87" t="s">
        <v>276</v>
      </c>
      <c r="C46" s="92">
        <f>SUMIFS(Base_Periodo1[[#All],[VALOR BALANÇO]],Base_Periodo1[[#All],[GRUPO_CLASS]],"3.1",Base_Periodo1[[#All],[Descrição]],"( - ) CONTRIBUIÇÃO SOCIAL")</f>
        <v>0</v>
      </c>
      <c r="D46" s="92">
        <f>SUMIFS(Base_Periodo1[[#All],[VALOR BALANÇO]],Base_Periodo1[[#All],[GRUPO_CLASS]],"3.2",Base_Periodo1[[#All],[Descrição]],"( - ) CONTRIBUIÇÃO SOCIAL")</f>
        <v>-136358.03</v>
      </c>
      <c r="E46" s="92">
        <f t="shared" si="35"/>
        <v>-136358.03</v>
      </c>
      <c r="F46" s="92">
        <v>0</v>
      </c>
      <c r="G46" s="92">
        <v>-318159.40000000002</v>
      </c>
      <c r="H46" s="92">
        <v>-318159.40000000002</v>
      </c>
      <c r="I46" s="92"/>
      <c r="J46" s="92">
        <f>'[1]CSOCIAL (3)'!H31</f>
        <v>0</v>
      </c>
      <c r="K46" s="92"/>
      <c r="L46" s="92"/>
      <c r="M46" s="92">
        <f>'CSOCIAL (3)'!E32</f>
        <v>34284.665300000197</v>
      </c>
      <c r="N46" s="92">
        <v>69619.29786000021</v>
      </c>
      <c r="O46" s="88"/>
      <c r="P46" s="93">
        <f>'CSOCIAL (3)'!E32</f>
        <v>34284.665300000197</v>
      </c>
      <c r="Q46" s="94">
        <f>'CSOCIAL (3)'!E32</f>
        <v>34284.665300000197</v>
      </c>
      <c r="R46" s="89"/>
      <c r="S46" s="93">
        <v>54017.88</v>
      </c>
      <c r="T46" s="93">
        <f>R46+S46</f>
        <v>54017.88</v>
      </c>
      <c r="U46" s="89"/>
      <c r="V46" s="89"/>
      <c r="W46" s="93">
        <v>32752.97</v>
      </c>
      <c r="X46" s="88"/>
      <c r="Y46" s="133"/>
      <c r="Z46" s="56"/>
    </row>
    <row r="47" spans="1:27" s="38" customFormat="1" ht="15" customHeight="1">
      <c r="A47" s="138" t="s">
        <v>277</v>
      </c>
      <c r="B47" s="139"/>
      <c r="C47" s="88">
        <f>C41</f>
        <v>-3517009.4600000163</v>
      </c>
      <c r="D47" s="140">
        <f>D41+D45+D46</f>
        <v>992382.71000000322</v>
      </c>
      <c r="E47" s="88">
        <f>C47+D47</f>
        <v>-2524626.750000013</v>
      </c>
      <c r="F47" s="88">
        <v>9593220.3200000804</v>
      </c>
      <c r="G47" s="140">
        <v>1648729.5499999826</v>
      </c>
      <c r="H47" s="88">
        <v>11241949.870000063</v>
      </c>
      <c r="I47" s="88">
        <f>I41</f>
        <v>5780354.1199999843</v>
      </c>
      <c r="J47" s="140">
        <f>J41-J45-J46</f>
        <v>1464610.2400000026</v>
      </c>
      <c r="K47" s="88">
        <v>6835852.9800000004</v>
      </c>
      <c r="L47" s="88">
        <f>L41</f>
        <v>-234071127.17999998</v>
      </c>
      <c r="M47" s="140">
        <f>M41-M45-M46</f>
        <v>-403115.77056102175</v>
      </c>
      <c r="N47" s="88">
        <v>4801003.1736400062</v>
      </c>
      <c r="O47" s="88">
        <f>O41</f>
        <v>5674000.1400000285</v>
      </c>
      <c r="P47" s="140">
        <f>P41-P45-P46</f>
        <v>598419.21220000391</v>
      </c>
      <c r="Q47" s="141">
        <f>Q44-Q45-Q46</f>
        <v>6272419.3522000257</v>
      </c>
      <c r="R47" s="140">
        <f>R41</f>
        <v>7330918.4700000184</v>
      </c>
      <c r="S47" s="140">
        <f>S41-S45-S46</f>
        <v>670428.04000000132</v>
      </c>
      <c r="T47" s="140">
        <f>T44-T45-T46</f>
        <v>8001346.5100000193</v>
      </c>
      <c r="U47" s="140" t="e">
        <f>U41+U42</f>
        <v>#REF!</v>
      </c>
      <c r="V47" s="140" t="e">
        <f>V41+V42</f>
        <v>#REF!</v>
      </c>
      <c r="W47" s="140">
        <v>1636562.7799999926</v>
      </c>
      <c r="X47" s="88"/>
      <c r="Y47" s="133"/>
      <c r="Z47" s="40">
        <f>VLOOKUP(1754,Base_Periodo1[[#All],[CONTA]:[VALOR BALANÇO]],11,FALSE)</f>
        <v>-3517009.46</v>
      </c>
      <c r="AA47" s="40">
        <f>VLOOKUP(6310,Base_Periodo1[[#All],[CONTA]:[VALOR BALANÇO]],11,FALSE)</f>
        <v>992382.71</v>
      </c>
    </row>
    <row r="48" spans="1:27" s="38" customFormat="1" ht="15" hidden="1" customHeight="1">
      <c r="A48" s="142" t="s">
        <v>278</v>
      </c>
      <c r="B48" s="139"/>
      <c r="C48" s="88">
        <f>D47</f>
        <v>992382.71000000322</v>
      </c>
      <c r="D48" s="88"/>
      <c r="E48" s="88"/>
      <c r="F48" s="88">
        <v>1648729.5499999826</v>
      </c>
      <c r="G48" s="88"/>
      <c r="H48" s="88"/>
      <c r="I48" s="88">
        <f>J47</f>
        <v>1464610.2400000026</v>
      </c>
      <c r="J48" s="88"/>
      <c r="K48" s="88"/>
      <c r="L48" s="88">
        <f>M47</f>
        <v>-403115.77056102175</v>
      </c>
      <c r="M48" s="88"/>
      <c r="N48" s="88">
        <v>821065.43364000099</v>
      </c>
      <c r="O48" s="88"/>
      <c r="P48" s="88"/>
      <c r="Q48" s="140"/>
      <c r="R48" s="140">
        <v>670428.04</v>
      </c>
      <c r="S48" s="88"/>
      <c r="T48" s="140">
        <v>670428.04</v>
      </c>
      <c r="U48" s="140"/>
      <c r="V48" s="140">
        <v>0</v>
      </c>
      <c r="W48" s="140">
        <v>-375896.74</v>
      </c>
      <c r="X48" s="88"/>
      <c r="Y48" s="133"/>
      <c r="Z48" s="40"/>
    </row>
    <row r="49" spans="1:27" ht="15" hidden="1" customHeight="1">
      <c r="A49" s="142" t="s">
        <v>279</v>
      </c>
      <c r="B49" s="143"/>
      <c r="C49" s="88">
        <f>SUM(C51:C53)</f>
        <v>-2989458.0410000137</v>
      </c>
      <c r="D49" s="92"/>
      <c r="E49" s="92"/>
      <c r="F49" s="88">
        <v>8154237.2720000688</v>
      </c>
      <c r="G49" s="92"/>
      <c r="H49" s="92"/>
      <c r="I49" s="88">
        <f>SUM(I51:I53)</f>
        <v>4913301.0019999864</v>
      </c>
      <c r="J49" s="92"/>
      <c r="K49" s="92"/>
      <c r="L49" s="88">
        <f>SUM(L51:L53)</f>
        <v>-198960458.10299996</v>
      </c>
      <c r="M49" s="92"/>
      <c r="N49" s="92">
        <v>3382947.0790000046</v>
      </c>
      <c r="O49" s="88">
        <f>SUM(O50:O53)</f>
        <v>4822900.1190000242</v>
      </c>
      <c r="P49" s="144"/>
      <c r="Q49" s="88">
        <f>Q47</f>
        <v>6272419.3522000257</v>
      </c>
      <c r="R49" s="144">
        <f>SUM(R51:R53)</f>
        <v>6231280.699500015</v>
      </c>
      <c r="S49" s="144">
        <f>SUM(S51:S53)</f>
        <v>0</v>
      </c>
      <c r="T49" s="144">
        <f>R49</f>
        <v>6231280.699500015</v>
      </c>
      <c r="U49" s="144" t="e">
        <f>#REF!</f>
        <v>#REF!</v>
      </c>
      <c r="V49" s="144" t="e">
        <f>#REF!-V48</f>
        <v>#REF!</v>
      </c>
      <c r="W49" s="89">
        <v>1071566.1299999999</v>
      </c>
      <c r="X49" s="145"/>
      <c r="Y49" s="146"/>
      <c r="Z49" s="45"/>
    </row>
    <row r="50" spans="1:27" ht="15" hidden="1" customHeight="1">
      <c r="A50" s="142"/>
      <c r="B50" s="142" t="s">
        <v>278</v>
      </c>
      <c r="C50" s="88">
        <f>D47</f>
        <v>992382.71000000322</v>
      </c>
      <c r="D50" s="92"/>
      <c r="E50" s="88"/>
      <c r="F50" s="88">
        <v>1648729.5499999826</v>
      </c>
      <c r="G50" s="92"/>
      <c r="H50" s="88"/>
      <c r="I50" s="88">
        <f>J47</f>
        <v>1464610.2400000026</v>
      </c>
      <c r="J50" s="92"/>
      <c r="K50" s="88"/>
      <c r="L50" s="88">
        <f>M47</f>
        <v>-403115.77056102175</v>
      </c>
      <c r="M50" s="88"/>
      <c r="N50" s="88">
        <v>821065.43364000099</v>
      </c>
      <c r="O50" s="88"/>
      <c r="P50" s="140">
        <v>-776415.66</v>
      </c>
      <c r="Q50" s="88">
        <f>P47</f>
        <v>598419.21220000391</v>
      </c>
      <c r="R50" s="140"/>
      <c r="S50" s="140"/>
      <c r="T50" s="140"/>
      <c r="U50" s="140"/>
      <c r="V50" s="140"/>
      <c r="W50" s="89"/>
      <c r="X50" s="145"/>
      <c r="Y50" s="146"/>
      <c r="Z50" s="45"/>
    </row>
    <row r="51" spans="1:27" ht="14.25" hidden="1" customHeight="1">
      <c r="A51" s="91"/>
      <c r="B51" s="147" t="s">
        <v>280</v>
      </c>
      <c r="C51" s="92">
        <f>C47*0.05</f>
        <v>-175850.47300000081</v>
      </c>
      <c r="D51" s="92"/>
      <c r="E51" s="92"/>
      <c r="F51" s="92">
        <v>479661.01600000402</v>
      </c>
      <c r="G51" s="92"/>
      <c r="H51" s="92"/>
      <c r="I51" s="92">
        <f>I47*0.05</f>
        <v>289017.70599999925</v>
      </c>
      <c r="J51" s="92"/>
      <c r="K51" s="92"/>
      <c r="L51" s="92">
        <f>L47*0.05</f>
        <v>-11703556.358999999</v>
      </c>
      <c r="M51" s="92"/>
      <c r="N51" s="92">
        <v>198996.88700000028</v>
      </c>
      <c r="O51" s="92">
        <f>O47*0.05</f>
        <v>283700.00700000144</v>
      </c>
      <c r="P51" s="93"/>
      <c r="Q51" s="92">
        <f>O51</f>
        <v>283700.00700000144</v>
      </c>
      <c r="R51" s="93">
        <f>R47*0.05</f>
        <v>366545.92350000096</v>
      </c>
      <c r="S51" s="93"/>
      <c r="T51" s="93">
        <f>R51</f>
        <v>366545.92350000096</v>
      </c>
      <c r="U51" s="93" t="e">
        <f>'Dem. Por Produto'!#REF!</f>
        <v>#REF!</v>
      </c>
      <c r="V51" s="93"/>
      <c r="W51" s="93">
        <v>63033.3</v>
      </c>
      <c r="X51" s="145">
        <v>221017.2</v>
      </c>
      <c r="Y51" s="146"/>
      <c r="Z51" s="45"/>
    </row>
    <row r="52" spans="1:27" ht="14.25" hidden="1" customHeight="1">
      <c r="A52" s="91"/>
      <c r="B52" s="147" t="s">
        <v>238</v>
      </c>
      <c r="C52" s="92">
        <f>C47*0.1</f>
        <v>-351700.94600000163</v>
      </c>
      <c r="D52" s="92"/>
      <c r="E52" s="92"/>
      <c r="F52" s="92">
        <v>959322.03200000804</v>
      </c>
      <c r="G52" s="92"/>
      <c r="H52" s="92"/>
      <c r="I52" s="92">
        <f>I47*0.1</f>
        <v>578035.4119999985</v>
      </c>
      <c r="J52" s="92"/>
      <c r="K52" s="92"/>
      <c r="L52" s="92">
        <f>L47*0.1</f>
        <v>-23407112.717999998</v>
      </c>
      <c r="M52" s="92"/>
      <c r="N52" s="92">
        <v>397993.77400000056</v>
      </c>
      <c r="O52" s="92">
        <f>O47*0.1</f>
        <v>567400.01400000288</v>
      </c>
      <c r="P52" s="93"/>
      <c r="Q52" s="92">
        <f>O52</f>
        <v>567400.01400000288</v>
      </c>
      <c r="R52" s="93">
        <f>R47*0.1</f>
        <v>733091.84700000193</v>
      </c>
      <c r="S52" s="93"/>
      <c r="T52" s="93">
        <f>R52</f>
        <v>733091.84700000193</v>
      </c>
      <c r="U52" s="93" t="e">
        <f>'Dem. Por Produto'!#REF!</f>
        <v>#REF!</v>
      </c>
      <c r="V52" s="93"/>
      <c r="W52" s="93">
        <v>378199.81</v>
      </c>
      <c r="X52" s="145">
        <v>147344.79999999999</v>
      </c>
      <c r="Y52" s="146"/>
      <c r="Z52" s="45"/>
    </row>
    <row r="53" spans="1:27" ht="14.25" hidden="1" customHeight="1">
      <c r="A53" s="91"/>
      <c r="B53" s="147" t="s">
        <v>281</v>
      </c>
      <c r="C53" s="92">
        <f>C47*0.7</f>
        <v>-2461906.6220000111</v>
      </c>
      <c r="D53" s="92"/>
      <c r="E53" s="92"/>
      <c r="F53" s="92">
        <v>6715254.2240000563</v>
      </c>
      <c r="G53" s="92"/>
      <c r="H53" s="92"/>
      <c r="I53" s="92">
        <f>I47*0.7</f>
        <v>4046247.8839999889</v>
      </c>
      <c r="J53" s="92"/>
      <c r="K53" s="92"/>
      <c r="L53" s="92">
        <f>L47*0.7</f>
        <v>-163849789.02599996</v>
      </c>
      <c r="M53" s="92"/>
      <c r="N53" s="92">
        <v>2785956.4180000038</v>
      </c>
      <c r="O53" s="92">
        <f>O47*0.7</f>
        <v>3971800.0980000198</v>
      </c>
      <c r="P53" s="93"/>
      <c r="Q53" s="92">
        <f>O53</f>
        <v>3971800.0980000198</v>
      </c>
      <c r="R53" s="93">
        <f>R47*0.7</f>
        <v>5131642.9290000126</v>
      </c>
      <c r="S53" s="93"/>
      <c r="T53" s="93">
        <f>R53</f>
        <v>5131642.9290000126</v>
      </c>
      <c r="U53" s="93">
        <v>4064791.52</v>
      </c>
      <c r="V53" s="93"/>
      <c r="W53" s="93">
        <v>630333.02</v>
      </c>
      <c r="X53" s="145"/>
      <c r="Y53" s="146"/>
      <c r="Z53" s="45"/>
    </row>
    <row r="54" spans="1:27" ht="15" hidden="1" customHeight="1">
      <c r="A54" s="148" t="s">
        <v>282</v>
      </c>
      <c r="B54" s="148"/>
      <c r="C54" s="88">
        <f>C47-C49</f>
        <v>-527551.41900000256</v>
      </c>
      <c r="D54" s="88"/>
      <c r="E54" s="88"/>
      <c r="F54" s="88">
        <v>1438983.0480000116</v>
      </c>
      <c r="G54" s="88"/>
      <c r="H54" s="88"/>
      <c r="I54" s="88">
        <f>I47-I49</f>
        <v>867053.11799999792</v>
      </c>
      <c r="J54" s="88"/>
      <c r="K54" s="88"/>
      <c r="L54" s="88">
        <f>L47-L49</f>
        <v>-35110669.077000022</v>
      </c>
      <c r="M54" s="88"/>
      <c r="N54" s="88">
        <v>596990.66100000078</v>
      </c>
      <c r="O54" s="88">
        <f>O47-O49</f>
        <v>851100.02100000437</v>
      </c>
      <c r="P54" s="88">
        <f>P47+P50</f>
        <v>-177996.44779999612</v>
      </c>
      <c r="Q54" s="88">
        <f>Q49-Q50-Q51-Q52-Q53</f>
        <v>851100.02099999785</v>
      </c>
      <c r="R54" s="88">
        <f>R47-R49</f>
        <v>1099637.7705000034</v>
      </c>
      <c r="S54" s="88"/>
      <c r="T54" s="88">
        <f>T47-T49-T48</f>
        <v>1099637.7705000043</v>
      </c>
      <c r="U54" s="88" t="e">
        <f>U47-U49</f>
        <v>#REF!</v>
      </c>
      <c r="V54" s="88" t="e">
        <f>V47-V49</f>
        <v>#REF!</v>
      </c>
      <c r="W54" s="88">
        <v>189099.9099999927</v>
      </c>
      <c r="X54" s="149">
        <v>957741.18</v>
      </c>
      <c r="Y54" s="150"/>
      <c r="Z54" s="45"/>
    </row>
    <row r="55" spans="1:27" ht="1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40"/>
      <c r="P55" s="40"/>
      <c r="Q55" s="40"/>
      <c r="R55" s="40"/>
      <c r="S55" s="40"/>
      <c r="T55" s="40"/>
      <c r="U55" s="40"/>
      <c r="V55" s="40"/>
      <c r="W55" s="40"/>
      <c r="X55" s="151"/>
      <c r="Y55" s="58"/>
      <c r="Z55" s="45">
        <f>Z47-C47</f>
        <v>1.6298145055770874E-8</v>
      </c>
      <c r="AA55" s="45">
        <f>AA47-D47</f>
        <v>-3.2596290111541748E-9</v>
      </c>
    </row>
    <row r="56" spans="1:27" ht="1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40"/>
      <c r="P56" s="40"/>
      <c r="Q56" s="40"/>
      <c r="R56" s="40"/>
      <c r="S56" s="40"/>
      <c r="T56" s="40"/>
      <c r="U56" s="40"/>
      <c r="V56" s="40"/>
      <c r="W56" s="40"/>
      <c r="X56" s="151"/>
      <c r="Y56" s="58"/>
      <c r="Z56" s="45"/>
    </row>
    <row r="57" spans="1:27">
      <c r="L57" s="51"/>
      <c r="M57" s="51"/>
      <c r="N57" s="51"/>
      <c r="U57" s="44"/>
      <c r="V57" s="57"/>
      <c r="W57" s="45"/>
    </row>
    <row r="58" spans="1:27">
      <c r="L58" s="51"/>
      <c r="M58" s="51"/>
      <c r="N58" s="51"/>
      <c r="Q58" s="331"/>
      <c r="R58" s="331"/>
      <c r="S58" s="331"/>
      <c r="T58" s="331"/>
    </row>
    <row r="59" spans="1:27">
      <c r="L59" s="51"/>
      <c r="M59" s="51"/>
      <c r="N59" s="51"/>
      <c r="Q59" s="331"/>
      <c r="R59" s="331"/>
      <c r="S59" s="331"/>
      <c r="T59" s="331"/>
    </row>
    <row r="60" spans="1:27">
      <c r="L60" s="51"/>
      <c r="M60" s="51"/>
      <c r="N60" s="51"/>
      <c r="Q60" s="331"/>
      <c r="R60" s="331"/>
      <c r="S60" s="331"/>
      <c r="T60" s="331"/>
    </row>
    <row r="61" spans="1:27">
      <c r="L61" s="51"/>
      <c r="M61" s="51"/>
      <c r="N61" s="51"/>
      <c r="Q61" s="331"/>
      <c r="R61" s="331"/>
      <c r="S61" s="331"/>
      <c r="T61" s="331"/>
    </row>
    <row r="62" spans="1:27">
      <c r="L62" s="51"/>
      <c r="M62" s="51"/>
      <c r="N62" s="51"/>
      <c r="Q62" s="331"/>
      <c r="R62" s="331"/>
      <c r="S62" s="331"/>
      <c r="T62" s="331"/>
    </row>
    <row r="63" spans="1:27">
      <c r="L63" s="51"/>
      <c r="M63" s="51"/>
      <c r="N63" s="51"/>
      <c r="Q63" s="331"/>
      <c r="R63" s="331"/>
      <c r="S63" s="331"/>
      <c r="T63" s="331"/>
    </row>
    <row r="64" spans="1:27">
      <c r="L64" s="51"/>
      <c r="M64" s="51"/>
      <c r="N64" s="51"/>
    </row>
    <row r="65" spans="12:14">
      <c r="L65" s="51"/>
      <c r="M65" s="51"/>
      <c r="N65" s="51"/>
    </row>
  </sheetData>
  <mergeCells count="19">
    <mergeCell ref="A22:B22"/>
    <mergeCell ref="A6:R6"/>
    <mergeCell ref="A7:R7"/>
    <mergeCell ref="B3:L3"/>
    <mergeCell ref="A10:B11"/>
    <mergeCell ref="C10:E10"/>
    <mergeCell ref="L10:N10"/>
    <mergeCell ref="O10:Q10"/>
    <mergeCell ref="R10:T10"/>
    <mergeCell ref="I10:K10"/>
    <mergeCell ref="F10:H10"/>
    <mergeCell ref="X10:Y10"/>
    <mergeCell ref="Q62:T62"/>
    <mergeCell ref="Q63:T63"/>
    <mergeCell ref="U10:W10"/>
    <mergeCell ref="Q58:T58"/>
    <mergeCell ref="Q59:T59"/>
    <mergeCell ref="Q60:T60"/>
    <mergeCell ref="Q61:T61"/>
  </mergeCells>
  <pageMargins left="0.35433070866141736" right="0.23622047244094491" top="0.11811023622047245" bottom="0.47244094488188981" header="0.19685039370078741" footer="0.27559055118110237"/>
  <pageSetup paperSize="9" scale="88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Plan13"/>
  <dimension ref="A1:J69"/>
  <sheetViews>
    <sheetView tabSelected="1" view="pageBreakPreview" topLeftCell="A16" workbookViewId="0">
      <selection activeCell="J41" sqref="J41"/>
    </sheetView>
  </sheetViews>
  <sheetFormatPr defaultRowHeight="14.25"/>
  <cols>
    <col min="1" max="1" width="2.5703125" style="152" customWidth="1"/>
    <col min="2" max="2" width="11.28515625" style="152" bestFit="1" customWidth="1"/>
    <col min="3" max="3" width="2.42578125" style="152" customWidth="1"/>
    <col min="4" max="4" width="43.7109375" style="152" customWidth="1"/>
    <col min="5" max="5" width="11.85546875" style="152" bestFit="1" customWidth="1"/>
    <col min="6" max="6" width="20.5703125" style="223" customWidth="1"/>
    <col min="7" max="7" width="19.42578125" style="223" bestFit="1" customWidth="1"/>
    <col min="8" max="9" width="9.140625" style="152"/>
    <col min="10" max="10" width="28" style="152" bestFit="1" customWidth="1"/>
    <col min="11" max="16384" width="9.140625" style="152"/>
  </cols>
  <sheetData>
    <row r="1" spans="2:9" ht="15">
      <c r="D1" s="353"/>
      <c r="E1" s="353"/>
      <c r="F1" s="353"/>
      <c r="G1" s="353"/>
      <c r="H1" s="353"/>
      <c r="I1" s="353"/>
    </row>
    <row r="2" spans="2:9" ht="21">
      <c r="D2" s="188"/>
      <c r="E2" s="264" t="s">
        <v>4401</v>
      </c>
      <c r="F2" s="188"/>
      <c r="G2" s="188"/>
      <c r="H2" s="188"/>
      <c r="I2" s="188"/>
    </row>
    <row r="3" spans="2:9" s="59" customFormat="1" ht="15">
      <c r="B3" s="188"/>
      <c r="C3" s="188"/>
      <c r="D3" s="60"/>
      <c r="E3" s="265" t="s">
        <v>4402</v>
      </c>
      <c r="F3" s="60"/>
      <c r="G3" s="60"/>
      <c r="H3" s="61"/>
      <c r="I3" s="61"/>
    </row>
    <row r="4" spans="2:9" s="59" customFormat="1" ht="15">
      <c r="B4" s="188"/>
      <c r="C4" s="188"/>
      <c r="D4" s="60"/>
      <c r="E4" s="60"/>
      <c r="F4" s="60"/>
      <c r="G4" s="60"/>
      <c r="H4" s="61"/>
      <c r="I4" s="61"/>
    </row>
    <row r="5" spans="2:9" s="59" customFormat="1" ht="15">
      <c r="B5" s="188"/>
      <c r="C5" s="188"/>
      <c r="D5" s="60"/>
      <c r="E5" s="60"/>
      <c r="F5" s="60"/>
      <c r="G5" s="60"/>
      <c r="H5" s="61"/>
      <c r="I5" s="61"/>
    </row>
    <row r="6" spans="2:9" s="59" customFormat="1" ht="15">
      <c r="B6" s="188"/>
      <c r="C6" s="188"/>
      <c r="D6" s="354" t="str">
        <f>"DEMONSTRAÇÕES CONTÁBEIS LEVANTADAS EM "&amp;TEXT(Parâmetros!D11,"dd/mm/aaaa")</f>
        <v>DEMONSTRAÇÕES CONTÁBEIS LEVANTADAS EM 31/05/2017</v>
      </c>
      <c r="E6" s="354"/>
      <c r="F6" s="354"/>
      <c r="G6" s="354"/>
      <c r="H6" s="189"/>
      <c r="I6" s="189"/>
    </row>
    <row r="7" spans="2:9" ht="15">
      <c r="D7" s="353" t="s">
        <v>363</v>
      </c>
      <c r="E7" s="353"/>
      <c r="F7" s="353"/>
      <c r="G7" s="353"/>
      <c r="H7" s="353"/>
      <c r="I7" s="353"/>
    </row>
    <row r="9" spans="2:9" s="190" customFormat="1" ht="15">
      <c r="B9" s="349" t="s">
        <v>364</v>
      </c>
      <c r="C9" s="349"/>
      <c r="D9" s="349"/>
      <c r="E9" s="349"/>
      <c r="F9" s="349"/>
      <c r="G9" s="349"/>
    </row>
    <row r="10" spans="2:9" s="190" customFormat="1" ht="15">
      <c r="B10" s="349" t="s">
        <v>365</v>
      </c>
      <c r="C10" s="349"/>
      <c r="D10" s="349"/>
      <c r="E10" s="349"/>
      <c r="F10" s="349"/>
      <c r="G10" s="349"/>
    </row>
    <row r="11" spans="2:9" s="190" customFormat="1">
      <c r="B11" s="191"/>
      <c r="C11" s="191"/>
      <c r="D11" s="192"/>
      <c r="E11" s="192"/>
      <c r="F11" s="193"/>
      <c r="G11" s="193"/>
    </row>
    <row r="12" spans="2:9" ht="17.25" customHeight="1">
      <c r="B12" s="194" t="s">
        <v>366</v>
      </c>
      <c r="C12" s="350" t="s">
        <v>345</v>
      </c>
      <c r="D12" s="351"/>
      <c r="E12" s="195"/>
      <c r="F12" s="196" t="s">
        <v>351</v>
      </c>
      <c r="G12" s="197" t="s">
        <v>353</v>
      </c>
    </row>
    <row r="13" spans="2:9" ht="17.25" customHeight="1">
      <c r="B13" s="194"/>
      <c r="C13" s="63"/>
      <c r="D13" s="164" t="s">
        <v>367</v>
      </c>
      <c r="E13" s="194"/>
      <c r="F13" s="198"/>
      <c r="G13" s="199"/>
    </row>
    <row r="14" spans="2:9" ht="17.25" customHeight="1">
      <c r="B14" s="200"/>
      <c r="C14" s="63"/>
      <c r="D14" s="164" t="s">
        <v>368</v>
      </c>
      <c r="E14" s="201" t="s">
        <v>369</v>
      </c>
      <c r="F14" s="198"/>
      <c r="G14" s="202"/>
    </row>
    <row r="15" spans="2:9" ht="17.25" customHeight="1">
      <c r="B15" s="200"/>
      <c r="C15" s="63"/>
      <c r="D15" s="164"/>
      <c r="E15" s="200"/>
      <c r="F15" s="198"/>
      <c r="G15" s="202"/>
    </row>
    <row r="16" spans="2:9" ht="17.25" customHeight="1">
      <c r="B16" s="200"/>
      <c r="C16" s="63"/>
      <c r="D16" s="164" t="s">
        <v>370</v>
      </c>
      <c r="E16" s="202">
        <v>100</v>
      </c>
      <c r="F16" s="198">
        <f>'Sobras Terceiros (2)'!E21</f>
        <v>240441583.62999997</v>
      </c>
      <c r="G16" s="202"/>
    </row>
    <row r="17" spans="1:10" ht="17.25" customHeight="1">
      <c r="B17" s="200"/>
      <c r="C17" s="63"/>
      <c r="D17" s="203"/>
      <c r="E17" s="200"/>
      <c r="F17" s="198"/>
      <c r="G17" s="202"/>
    </row>
    <row r="18" spans="1:10" ht="17.25" customHeight="1">
      <c r="B18" s="200"/>
      <c r="C18" s="63"/>
      <c r="D18" s="168" t="s">
        <v>371</v>
      </c>
      <c r="E18" s="200"/>
      <c r="F18" s="204"/>
      <c r="G18" s="202"/>
    </row>
    <row r="19" spans="1:10" ht="17.25" customHeight="1">
      <c r="B19" s="200"/>
      <c r="C19" s="63"/>
      <c r="D19" s="168" t="s">
        <v>372</v>
      </c>
      <c r="E19" s="205">
        <f>F19/F16</f>
        <v>0.9023824060478719</v>
      </c>
      <c r="F19" s="204">
        <f>'Sobras Terceiros (2)'!C21</f>
        <v>216970254.74999997</v>
      </c>
      <c r="G19" s="202"/>
    </row>
    <row r="20" spans="1:10" ht="17.25" customHeight="1">
      <c r="B20" s="200"/>
      <c r="C20" s="63"/>
      <c r="D20" s="168" t="s">
        <v>373</v>
      </c>
      <c r="E20" s="206"/>
      <c r="F20" s="204"/>
      <c r="G20" s="202"/>
    </row>
    <row r="21" spans="1:10" ht="17.25" customHeight="1">
      <c r="B21" s="200"/>
      <c r="C21" s="63"/>
      <c r="D21" s="168" t="s">
        <v>374</v>
      </c>
      <c r="E21" s="205">
        <f>F21/F16</f>
        <v>9.761759395212817E-2</v>
      </c>
      <c r="F21" s="204">
        <f>'Sobras Terceiros (2)'!D21</f>
        <v>23471328.880000003</v>
      </c>
      <c r="G21" s="202"/>
    </row>
    <row r="22" spans="1:10" ht="17.25" customHeight="1">
      <c r="B22" s="200"/>
      <c r="C22" s="63"/>
      <c r="D22" s="168"/>
      <c r="E22" s="206"/>
      <c r="F22" s="204"/>
      <c r="G22" s="202"/>
    </row>
    <row r="23" spans="1:10" s="192" customFormat="1" ht="17.25" customHeight="1">
      <c r="A23" s="152"/>
      <c r="B23" s="179"/>
      <c r="C23" s="59"/>
      <c r="D23" s="164" t="s">
        <v>375</v>
      </c>
      <c r="E23" s="207"/>
      <c r="F23" s="208"/>
      <c r="G23" s="209">
        <f>F19</f>
        <v>216970254.74999997</v>
      </c>
      <c r="H23" s="152"/>
      <c r="I23" s="152"/>
    </row>
    <row r="24" spans="1:10" s="192" customFormat="1" ht="17.25" customHeight="1">
      <c r="A24" s="152"/>
      <c r="B24" s="179"/>
      <c r="C24" s="59"/>
      <c r="D24" s="168"/>
      <c r="E24" s="179"/>
      <c r="F24" s="210"/>
      <c r="G24" s="211"/>
      <c r="H24" s="152"/>
      <c r="I24" s="152"/>
    </row>
    <row r="25" spans="1:10" ht="17.25" customHeight="1">
      <c r="B25" s="212">
        <f>Passivo!D9</f>
        <v>42886</v>
      </c>
      <c r="C25" s="166"/>
      <c r="D25" s="59" t="s">
        <v>376</v>
      </c>
      <c r="E25" s="179"/>
      <c r="F25" s="210"/>
      <c r="G25" s="210"/>
    </row>
    <row r="26" spans="1:10" ht="17.25" customHeight="1">
      <c r="B26" s="178"/>
      <c r="C26" s="178" t="s">
        <v>377</v>
      </c>
      <c r="D26" s="59" t="s">
        <v>378</v>
      </c>
      <c r="E26" s="179"/>
      <c r="F26" s="210">
        <f>'Sobras Terceiros (2)'!E41</f>
        <v>-2019496.4300000127</v>
      </c>
      <c r="G26" s="210"/>
      <c r="J26" s="152" t="s">
        <v>379</v>
      </c>
    </row>
    <row r="27" spans="1:10" ht="17.25" customHeight="1">
      <c r="B27" s="178"/>
      <c r="C27" s="178" t="s">
        <v>380</v>
      </c>
      <c r="D27" s="59" t="s">
        <v>351</v>
      </c>
      <c r="E27" s="179"/>
      <c r="F27" s="210"/>
      <c r="G27" s="210"/>
      <c r="J27" s="163">
        <f>G35</f>
        <v>1515089.1700000034</v>
      </c>
    </row>
    <row r="28" spans="1:10" ht="17.25" customHeight="1">
      <c r="B28" s="178"/>
      <c r="C28" s="178"/>
      <c r="D28" s="59" t="s">
        <v>381</v>
      </c>
      <c r="E28" s="179"/>
      <c r="F28" s="210">
        <f>('Sobras Terceiros (2)'!D33)*-1</f>
        <v>17576.14</v>
      </c>
      <c r="G28" s="210"/>
      <c r="J28" s="157">
        <f>J27*15%</f>
        <v>227263.37550000052</v>
      </c>
    </row>
    <row r="29" spans="1:10" ht="17.25" customHeight="1">
      <c r="B29" s="178"/>
      <c r="C29" s="178"/>
      <c r="D29" s="59" t="s">
        <v>382</v>
      </c>
      <c r="E29" s="179"/>
      <c r="F29" s="210">
        <v>0</v>
      </c>
      <c r="G29" s="210"/>
      <c r="J29" s="157">
        <f>(J27-(MONTH(Parâmetros!D11)*20000))*10%</f>
        <v>141508.91700000034</v>
      </c>
    </row>
    <row r="30" spans="1:10" ht="17.25" customHeight="1">
      <c r="B30" s="178"/>
      <c r="C30" s="178" t="s">
        <v>383</v>
      </c>
      <c r="D30" s="59" t="s">
        <v>353</v>
      </c>
      <c r="E30" s="179"/>
      <c r="F30" s="210"/>
      <c r="G30" s="210"/>
      <c r="J30" s="157">
        <f>SUM(J28:J29)</f>
        <v>368772.29250000085</v>
      </c>
    </row>
    <row r="31" spans="1:10" ht="17.25" customHeight="1">
      <c r="B31" s="178"/>
      <c r="C31" s="178"/>
      <c r="D31" s="59" t="s">
        <v>384</v>
      </c>
      <c r="E31" s="179"/>
      <c r="F31" s="213">
        <f>'Sobras Terceiros (2)'!C41</f>
        <v>-3517009.4600000163</v>
      </c>
      <c r="G31" s="214">
        <f>G23</f>
        <v>216970254.74999997</v>
      </c>
    </row>
    <row r="32" spans="1:10" s="159" customFormat="1" ht="17.25" customHeight="1">
      <c r="B32" s="215"/>
      <c r="C32" s="215"/>
      <c r="D32" s="165" t="s">
        <v>385</v>
      </c>
      <c r="E32" s="207"/>
      <c r="F32" s="208">
        <f>F26+F28-F31</f>
        <v>1515089.1700000034</v>
      </c>
      <c r="G32" s="216"/>
    </row>
    <row r="33" spans="1:10" ht="17.25" customHeight="1">
      <c r="A33" s="59"/>
      <c r="B33" s="178"/>
      <c r="C33" s="178" t="s">
        <v>386</v>
      </c>
      <c r="D33" s="59" t="s">
        <v>387</v>
      </c>
      <c r="E33" s="178"/>
      <c r="F33" s="220"/>
      <c r="G33" s="211">
        <f>F32</f>
        <v>1515089.1700000034</v>
      </c>
    </row>
    <row r="34" spans="1:10" ht="17.25" customHeight="1">
      <c r="A34" s="59"/>
      <c r="B34" s="179"/>
      <c r="C34" s="59" t="s">
        <v>388</v>
      </c>
      <c r="D34" s="59" t="s">
        <v>389</v>
      </c>
      <c r="E34" s="178"/>
      <c r="F34" s="220"/>
      <c r="G34" s="211"/>
    </row>
    <row r="35" spans="1:10" ht="17.25" customHeight="1">
      <c r="A35" s="59"/>
      <c r="B35" s="179"/>
      <c r="C35" s="59" t="s">
        <v>390</v>
      </c>
      <c r="D35" s="59" t="s">
        <v>391</v>
      </c>
      <c r="E35" s="178"/>
      <c r="F35" s="220"/>
      <c r="G35" s="211">
        <f>G33+G34</f>
        <v>1515089.1700000034</v>
      </c>
    </row>
    <row r="36" spans="1:10" ht="17.25" customHeight="1">
      <c r="A36" s="59"/>
      <c r="B36" s="186"/>
      <c r="C36" s="185" t="s">
        <v>392</v>
      </c>
      <c r="D36" s="217" t="s">
        <v>393</v>
      </c>
      <c r="E36" s="278"/>
      <c r="F36" s="221"/>
      <c r="G36" s="213">
        <f>J30</f>
        <v>368772.29250000085</v>
      </c>
      <c r="J36" s="280">
        <f>SUMIF(Base_Periodo1[Descrição],"( - ) IMPOSTO DE RENDA",Base_Periodo1[SALDO_ATUAL])-G36</f>
        <v>-2.4999997694976628E-3</v>
      </c>
    </row>
    <row r="37" spans="1:10" ht="17.25" customHeight="1">
      <c r="A37" s="59"/>
      <c r="B37" s="218"/>
      <c r="C37" s="218"/>
      <c r="D37" s="218" t="s">
        <v>394</v>
      </c>
      <c r="E37" s="279"/>
      <c r="F37" s="277"/>
      <c r="G37" s="219">
        <f>SUMIF(Base_Periodo1[Descrição],"( - ) IMPOSTO DE RENDA",Base_Periodo1[SALDO_ANT])</f>
        <v>279168.1800000011</v>
      </c>
    </row>
    <row r="38" spans="1:10" ht="17.25" customHeight="1">
      <c r="A38" s="59"/>
      <c r="B38" s="218"/>
      <c r="C38" s="218"/>
      <c r="D38" s="218"/>
      <c r="E38" s="279"/>
      <c r="F38" s="277"/>
      <c r="G38" s="219">
        <f>G36-G37</f>
        <v>89604.112499999756</v>
      </c>
    </row>
    <row r="39" spans="1:10">
      <c r="A39" s="28"/>
      <c r="B39" s="59"/>
      <c r="C39" s="59"/>
      <c r="D39" s="59"/>
      <c r="E39" s="59"/>
      <c r="F39" s="220"/>
      <c r="G39" s="220"/>
    </row>
    <row r="40" spans="1:10">
      <c r="A40" s="28"/>
      <c r="B40" s="59"/>
      <c r="C40" s="59"/>
      <c r="D40" s="59"/>
      <c r="E40" s="59"/>
      <c r="F40" s="220"/>
      <c r="G40" s="220"/>
    </row>
    <row r="41" spans="1:10">
      <c r="A41" s="28"/>
      <c r="B41" s="352" t="s">
        <v>362</v>
      </c>
      <c r="C41" s="352"/>
      <c r="D41" s="352"/>
      <c r="E41" s="352"/>
      <c r="F41" s="352"/>
      <c r="G41" s="352"/>
    </row>
    <row r="42" spans="1:10">
      <c r="A42" s="28"/>
      <c r="B42" s="352" t="str">
        <f>"Pato Branco/PR, "&amp;TEXT(Parâmetros!D11,"[$-F800]dddd, mmmm dd, aaaa")</f>
        <v>Pato Branco/PR, quarta-feira, 31 de maio de 2017</v>
      </c>
      <c r="C42" s="352"/>
      <c r="D42" s="352"/>
      <c r="E42" s="352"/>
      <c r="F42" s="352"/>
      <c r="G42" s="352"/>
    </row>
    <row r="43" spans="1:10">
      <c r="A43" s="28"/>
      <c r="B43" s="166"/>
      <c r="C43" s="59"/>
      <c r="D43" s="59"/>
      <c r="E43" s="59"/>
      <c r="F43" s="220"/>
      <c r="G43" s="220"/>
    </row>
    <row r="44" spans="1:10">
      <c r="A44" s="28"/>
      <c r="B44" s="59"/>
      <c r="C44" s="59"/>
      <c r="D44" s="59"/>
      <c r="E44" s="59"/>
      <c r="F44" s="220"/>
      <c r="G44" s="220"/>
    </row>
    <row r="45" spans="1:10">
      <c r="A45" s="28"/>
      <c r="B45" s="59"/>
      <c r="C45" s="59"/>
      <c r="D45" s="59"/>
      <c r="E45" s="59"/>
      <c r="F45" s="220"/>
      <c r="G45" s="220"/>
    </row>
    <row r="46" spans="1:10">
      <c r="A46" s="28"/>
      <c r="B46" s="59"/>
      <c r="C46" s="59"/>
      <c r="D46" s="59"/>
      <c r="E46" s="59"/>
      <c r="F46" s="220"/>
      <c r="G46" s="220"/>
    </row>
    <row r="47" spans="1:10">
      <c r="A47" s="28"/>
      <c r="B47" s="59"/>
      <c r="C47" s="59"/>
      <c r="D47" s="59"/>
      <c r="E47" s="59"/>
      <c r="F47" s="220"/>
      <c r="G47" s="220"/>
    </row>
    <row r="48" spans="1:10">
      <c r="A48" s="28"/>
      <c r="B48" s="59"/>
      <c r="C48" s="59"/>
      <c r="D48" s="59"/>
      <c r="E48" s="59"/>
      <c r="F48" s="220"/>
      <c r="G48" s="220"/>
    </row>
    <row r="49" spans="1:7">
      <c r="A49" s="28"/>
      <c r="B49" s="59"/>
      <c r="C49" s="59"/>
      <c r="D49" s="59"/>
      <c r="E49" s="59"/>
      <c r="F49" s="220"/>
      <c r="G49" s="220"/>
    </row>
    <row r="50" spans="1:7">
      <c r="A50" s="28"/>
      <c r="B50" s="59"/>
      <c r="C50" s="59"/>
      <c r="D50" s="59"/>
      <c r="E50" s="59"/>
      <c r="F50" s="220"/>
      <c r="G50" s="220"/>
    </row>
    <row r="51" spans="1:7">
      <c r="A51" s="28"/>
      <c r="B51" s="59"/>
      <c r="C51" s="59"/>
      <c r="D51" s="59"/>
      <c r="E51" s="59"/>
      <c r="F51" s="220"/>
      <c r="G51" s="220"/>
    </row>
    <row r="52" spans="1:7">
      <c r="B52" s="59"/>
      <c r="C52" s="59"/>
      <c r="D52" s="59"/>
      <c r="E52" s="59"/>
      <c r="F52" s="220"/>
      <c r="G52" s="220"/>
    </row>
    <row r="53" spans="1:7">
      <c r="B53" s="59"/>
      <c r="C53" s="59"/>
      <c r="D53" s="59"/>
      <c r="E53" s="59"/>
      <c r="F53" s="220"/>
      <c r="G53" s="220"/>
    </row>
    <row r="54" spans="1:7">
      <c r="B54" s="59"/>
      <c r="C54" s="59"/>
      <c r="D54" s="59"/>
      <c r="E54" s="59"/>
      <c r="F54" s="220"/>
      <c r="G54" s="220"/>
    </row>
    <row r="69" spans="3:3">
      <c r="C69" s="222"/>
    </row>
  </sheetData>
  <mergeCells count="8">
    <mergeCell ref="B10:G10"/>
    <mergeCell ref="C12:D12"/>
    <mergeCell ref="B41:G41"/>
    <mergeCell ref="B42:G42"/>
    <mergeCell ref="D1:I1"/>
    <mergeCell ref="D6:G6"/>
    <mergeCell ref="D7:I7"/>
    <mergeCell ref="B9:G9"/>
  </mergeCells>
  <pageMargins left="0.59" right="0.27559055118110237" top="0.39" bottom="0.39370078740157483" header="0.28999999999999998" footer="0.51181102362204722"/>
  <pageSetup paperSize="9" scale="85" orientation="portrait" horizontalDpi="4294967293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Plan12"/>
  <dimension ref="A1:G123"/>
  <sheetViews>
    <sheetView view="pageBreakPreview" topLeftCell="A10" workbookViewId="0">
      <selection activeCell="H24" sqref="H24:J24"/>
    </sheetView>
  </sheetViews>
  <sheetFormatPr defaultRowHeight="14.25"/>
  <cols>
    <col min="1" max="1" width="1.7109375" style="152" customWidth="1"/>
    <col min="2" max="2" width="52.7109375" style="152" customWidth="1"/>
    <col min="3" max="3" width="15.5703125" style="152" customWidth="1"/>
    <col min="4" max="4" width="19.7109375" style="152" customWidth="1"/>
    <col min="5" max="5" width="18.42578125" style="152" customWidth="1"/>
    <col min="6" max="6" width="11.28515625" style="152" bestFit="1" customWidth="1"/>
    <col min="7" max="7" width="14.5703125" style="152" bestFit="1" customWidth="1"/>
    <col min="8" max="16384" width="9.140625" style="152"/>
  </cols>
  <sheetData>
    <row r="1" spans="1:6" ht="15">
      <c r="A1" s="188"/>
      <c r="B1" s="188"/>
      <c r="C1" s="188"/>
      <c r="D1" s="188"/>
      <c r="E1" s="188"/>
      <c r="F1" s="188"/>
    </row>
    <row r="2" spans="1:6" ht="21">
      <c r="A2" s="188"/>
      <c r="B2" s="188"/>
      <c r="C2" s="264" t="s">
        <v>4421</v>
      </c>
      <c r="D2" s="188"/>
      <c r="E2" s="188"/>
      <c r="F2" s="188"/>
    </row>
    <row r="3" spans="1:6" s="59" customFormat="1" ht="15">
      <c r="A3" s="60"/>
      <c r="B3" s="60"/>
      <c r="C3" s="265" t="s">
        <v>4402</v>
      </c>
      <c r="D3" s="60"/>
      <c r="E3" s="61"/>
      <c r="F3" s="61"/>
    </row>
    <row r="4" spans="1:6" s="59" customFormat="1" ht="15">
      <c r="A4" s="60"/>
      <c r="B4" s="60"/>
      <c r="C4" s="60"/>
      <c r="D4" s="60"/>
      <c r="E4" s="61"/>
      <c r="F4" s="61"/>
    </row>
    <row r="5" spans="1:6" s="59" customFormat="1" ht="15">
      <c r="A5" s="60"/>
      <c r="B5" s="60"/>
      <c r="C5" s="60"/>
      <c r="D5" s="60"/>
      <c r="E5" s="61"/>
      <c r="F5" s="61"/>
    </row>
    <row r="6" spans="1:6" s="59" customFormat="1" ht="15">
      <c r="A6" s="339" t="str">
        <f>'Sobras-Perdas'!A7:K7</f>
        <v>DEMONSTRAÇÕES CONTÁBEIS LEVANTADAS EM 31/05/2017</v>
      </c>
      <c r="B6" s="339"/>
      <c r="C6" s="339"/>
      <c r="D6" s="339"/>
      <c r="E6" s="339"/>
      <c r="F6" s="339"/>
    </row>
    <row r="7" spans="1:6" s="62" customFormat="1" ht="15">
      <c r="A7" s="339" t="s">
        <v>151</v>
      </c>
      <c r="B7" s="339"/>
      <c r="C7" s="339"/>
      <c r="D7" s="339"/>
      <c r="E7" s="339"/>
      <c r="F7" s="339"/>
    </row>
    <row r="8" spans="1:6" s="59" customFormat="1" ht="15">
      <c r="A8" s="350" t="s">
        <v>342</v>
      </c>
      <c r="B8" s="359"/>
      <c r="C8" s="359"/>
      <c r="D8" s="359"/>
      <c r="E8" s="351"/>
    </row>
    <row r="9" spans="1:6" s="59" customFormat="1"/>
    <row r="10" spans="1:6" s="59" customFormat="1" ht="15">
      <c r="A10" s="349" t="s">
        <v>343</v>
      </c>
      <c r="B10" s="349"/>
      <c r="C10" s="349" t="s">
        <v>344</v>
      </c>
      <c r="D10" s="349"/>
      <c r="E10" s="173"/>
    </row>
    <row r="11" spans="1:6" s="59" customFormat="1" ht="15">
      <c r="A11" s="165"/>
      <c r="B11" s="165"/>
      <c r="C11" s="165"/>
      <c r="D11" s="165"/>
      <c r="E11" s="165"/>
    </row>
    <row r="12" spans="1:6" s="59" customFormat="1" ht="15">
      <c r="A12" s="360" t="s">
        <v>345</v>
      </c>
      <c r="B12" s="361"/>
      <c r="C12" s="230" t="s">
        <v>346</v>
      </c>
      <c r="D12" s="227" t="s">
        <v>347</v>
      </c>
      <c r="E12" s="226" t="s">
        <v>348</v>
      </c>
    </row>
    <row r="13" spans="1:6" s="59" customFormat="1">
      <c r="A13" s="174"/>
      <c r="B13" s="175"/>
      <c r="C13" s="59" t="s">
        <v>349</v>
      </c>
      <c r="D13" s="176"/>
      <c r="E13" s="177"/>
      <c r="F13" s="166">
        <v>42247</v>
      </c>
    </row>
    <row r="14" spans="1:6" s="59" customFormat="1">
      <c r="A14" s="178"/>
      <c r="B14" s="177" t="s">
        <v>350</v>
      </c>
      <c r="D14" s="179"/>
      <c r="E14" s="180">
        <f>'LUCRO REAL (3)'!F26</f>
        <v>-2019496.4300000127</v>
      </c>
      <c r="F14" s="181"/>
    </row>
    <row r="15" spans="1:6" s="59" customFormat="1">
      <c r="A15" s="178"/>
      <c r="B15" s="177"/>
      <c r="D15" s="179"/>
      <c r="E15" s="180"/>
      <c r="F15" s="181"/>
    </row>
    <row r="16" spans="1:6" s="59" customFormat="1">
      <c r="A16" s="178" t="s">
        <v>351</v>
      </c>
      <c r="B16" s="177"/>
      <c r="D16" s="179"/>
      <c r="E16" s="180"/>
      <c r="F16" s="181"/>
    </row>
    <row r="17" spans="1:7" s="59" customFormat="1">
      <c r="A17" s="178"/>
      <c r="B17" s="177" t="s">
        <v>352</v>
      </c>
      <c r="D17" s="182">
        <f>E17</f>
        <v>17576.14</v>
      </c>
      <c r="E17" s="180">
        <f>'LUCRO REAL (3)'!F28</f>
        <v>17576.14</v>
      </c>
    </row>
    <row r="18" spans="1:7" s="59" customFormat="1">
      <c r="A18" s="178"/>
      <c r="B18" s="177"/>
      <c r="D18" s="182"/>
      <c r="E18" s="180"/>
    </row>
    <row r="19" spans="1:7" s="59" customFormat="1">
      <c r="A19" s="355" t="s">
        <v>353</v>
      </c>
      <c r="B19" s="356"/>
      <c r="D19" s="182"/>
      <c r="E19" s="180"/>
    </row>
    <row r="20" spans="1:7" s="59" customFormat="1">
      <c r="A20" s="178"/>
      <c r="B20" s="177" t="s">
        <v>354</v>
      </c>
      <c r="D20" s="182">
        <f>E20</f>
        <v>-3517009.4600000163</v>
      </c>
      <c r="E20" s="180">
        <f>'LUCRO REAL (3)'!F31</f>
        <v>-3517009.4600000163</v>
      </c>
      <c r="F20" s="183"/>
    </row>
    <row r="21" spans="1:7" s="59" customFormat="1">
      <c r="A21" s="178"/>
      <c r="B21" s="177"/>
      <c r="D21" s="182"/>
      <c r="E21" s="180"/>
    </row>
    <row r="22" spans="1:7" s="59" customFormat="1">
      <c r="A22" s="355" t="s">
        <v>355</v>
      </c>
      <c r="B22" s="356"/>
      <c r="D22" s="182"/>
      <c r="E22" s="180">
        <f>E14-E20+E17</f>
        <v>1515089.1700000034</v>
      </c>
      <c r="F22" s="183"/>
      <c r="G22" s="172">
        <f>E22-E17</f>
        <v>1497513.0300000035</v>
      </c>
    </row>
    <row r="23" spans="1:7" s="59" customFormat="1">
      <c r="A23" s="178"/>
      <c r="B23" s="177"/>
      <c r="D23" s="182"/>
      <c r="E23" s="180"/>
    </row>
    <row r="24" spans="1:7" s="59" customFormat="1">
      <c r="A24" s="355" t="s">
        <v>356</v>
      </c>
      <c r="B24" s="356"/>
      <c r="D24" s="182"/>
      <c r="E24" s="180"/>
    </row>
    <row r="25" spans="1:7" s="59" customFormat="1">
      <c r="A25" s="178"/>
      <c r="B25" s="177"/>
      <c r="D25" s="182"/>
      <c r="E25" s="180"/>
    </row>
    <row r="26" spans="1:7" s="59" customFormat="1">
      <c r="A26" s="355" t="s">
        <v>357</v>
      </c>
      <c r="B26" s="356"/>
      <c r="D26" s="182"/>
      <c r="E26" s="180">
        <f>E22+E24</f>
        <v>1515089.1700000034</v>
      </c>
    </row>
    <row r="27" spans="1:7" s="59" customFormat="1">
      <c r="A27" s="178"/>
      <c r="B27" s="177"/>
      <c r="D27" s="182"/>
      <c r="E27" s="180"/>
    </row>
    <row r="28" spans="1:7" s="59" customFormat="1">
      <c r="A28" s="355" t="s">
        <v>358</v>
      </c>
      <c r="B28" s="356"/>
      <c r="D28" s="182"/>
      <c r="E28" s="180">
        <f>E26*9%</f>
        <v>136358.0253000003</v>
      </c>
      <c r="G28" s="228">
        <f>SUMIF(Base_Periodo1[Descrição],"( - ) CONTRIBUIÇÃO SOCIAL",Base_Periodo1[SALDO_ATUAL])-E28</f>
        <v>4.6999997866805643E-3</v>
      </c>
    </row>
    <row r="29" spans="1:7" s="59" customFormat="1">
      <c r="A29" s="355" t="s">
        <v>359</v>
      </c>
      <c r="B29" s="356"/>
      <c r="D29" s="179"/>
      <c r="E29" s="184">
        <f>SUMIF(Base_Periodo1[Descrição],"( - ) CONTRIBUIÇÃO SOCIAL",Base_Periodo1[SALDO_ANT])</f>
        <v>102073.3600000001</v>
      </c>
    </row>
    <row r="30" spans="1:7" s="59" customFormat="1">
      <c r="A30" s="355" t="s">
        <v>360</v>
      </c>
      <c r="B30" s="356"/>
      <c r="D30" s="179"/>
      <c r="E30" s="180">
        <v>0</v>
      </c>
    </row>
    <row r="31" spans="1:7" s="59" customFormat="1">
      <c r="A31" s="178"/>
      <c r="B31" s="177"/>
      <c r="D31" s="179"/>
      <c r="E31" s="177"/>
    </row>
    <row r="32" spans="1:7" s="59" customFormat="1">
      <c r="A32" s="357" t="s">
        <v>361</v>
      </c>
      <c r="B32" s="358"/>
      <c r="C32" s="185"/>
      <c r="D32" s="186"/>
      <c r="E32" s="187">
        <f>E28-E29-E30</f>
        <v>34284.665300000197</v>
      </c>
    </row>
    <row r="33" spans="1:6" s="59" customFormat="1">
      <c r="E33" s="77"/>
    </row>
    <row r="34" spans="1:6" s="59" customFormat="1">
      <c r="E34" s="77"/>
    </row>
    <row r="35" spans="1:6" s="59" customFormat="1">
      <c r="A35" s="352" t="s">
        <v>362</v>
      </c>
      <c r="B35" s="352"/>
      <c r="C35" s="352"/>
      <c r="D35" s="352"/>
      <c r="E35" s="352"/>
    </row>
    <row r="36" spans="1:6" s="59" customFormat="1">
      <c r="A36" s="352" t="str">
        <f>"Pato Branco/PR, "&amp;TEXT(Parâmetros!D11,"[$-F800]dddd, mmmm dd, aaaa")</f>
        <v>Pato Branco/PR, quarta-feira, 31 de maio de 2017</v>
      </c>
      <c r="B36" s="352"/>
      <c r="C36" s="352"/>
      <c r="D36" s="352"/>
      <c r="E36" s="352"/>
      <c r="F36" s="183"/>
    </row>
    <row r="37" spans="1:6" s="59" customFormat="1"/>
    <row r="38" spans="1:6" s="59" customFormat="1"/>
    <row r="39" spans="1:6" s="59" customFormat="1"/>
    <row r="40" spans="1:6" s="59" customFormat="1"/>
    <row r="41" spans="1:6" s="59" customFormat="1"/>
    <row r="42" spans="1:6" s="59" customFormat="1"/>
    <row r="43" spans="1:6" s="59" customFormat="1"/>
    <row r="44" spans="1:6" s="59" customFormat="1"/>
    <row r="45" spans="1:6" s="59" customFormat="1"/>
    <row r="46" spans="1:6" s="59" customFormat="1"/>
    <row r="47" spans="1:6" s="59" customFormat="1"/>
    <row r="48" spans="1:6" s="59" customFormat="1"/>
    <row r="49" s="59" customFormat="1"/>
    <row r="50" s="59" customFormat="1"/>
    <row r="51" s="59" customFormat="1"/>
    <row r="52" s="59" customFormat="1"/>
    <row r="53" s="59" customFormat="1"/>
    <row r="54" s="59" customFormat="1"/>
    <row r="55" s="59" customFormat="1"/>
    <row r="56" s="59" customFormat="1"/>
    <row r="57" s="59" customFormat="1"/>
    <row r="58" s="59" customFormat="1"/>
    <row r="59" s="59" customFormat="1"/>
    <row r="60" s="59" customFormat="1"/>
    <row r="61" s="59" customFormat="1"/>
    <row r="62" s="59" customFormat="1"/>
    <row r="63" s="59" customFormat="1"/>
    <row r="64" s="59" customFormat="1"/>
    <row r="65" spans="2:5" s="59" customFormat="1"/>
    <row r="66" spans="2:5" s="59" customFormat="1"/>
    <row r="67" spans="2:5" s="59" customFormat="1">
      <c r="B67" s="172">
        <f t="shared" ref="B67:D67" si="0">B25+B34+B40+B64+B15+B57+B53+B47</f>
        <v>0</v>
      </c>
      <c r="C67" s="172">
        <f>C25+C34+C40+C64+C15+C57+C53+C47</f>
        <v>0</v>
      </c>
      <c r="D67" s="172">
        <f t="shared" si="0"/>
        <v>0</v>
      </c>
      <c r="E67" s="172">
        <f>E25+E34+E40+E64+E15+E57+E53+E47</f>
        <v>0</v>
      </c>
    </row>
    <row r="68" spans="2:5" s="59" customFormat="1"/>
    <row r="69" spans="2:5" s="59" customFormat="1"/>
    <row r="70" spans="2:5" s="59" customFormat="1"/>
    <row r="71" spans="2:5" s="59" customFormat="1"/>
    <row r="72" spans="2:5" s="59" customFormat="1"/>
    <row r="73" spans="2:5" s="59" customFormat="1"/>
    <row r="74" spans="2:5" s="59" customFormat="1"/>
    <row r="75" spans="2:5" s="59" customFormat="1"/>
    <row r="76" spans="2:5" s="59" customFormat="1"/>
    <row r="77" spans="2:5" s="59" customFormat="1"/>
    <row r="78" spans="2:5" s="59" customFormat="1"/>
    <row r="79" spans="2:5" s="59" customFormat="1"/>
    <row r="80" spans="2:5" s="59" customFormat="1"/>
    <row r="81" s="59" customFormat="1"/>
    <row r="82" s="59" customFormat="1"/>
    <row r="83" s="59" customFormat="1"/>
    <row r="84" s="59" customFormat="1"/>
    <row r="85" s="59" customFormat="1"/>
    <row r="86" s="59" customFormat="1"/>
    <row r="87" s="59" customFormat="1"/>
    <row r="88" s="59" customFormat="1"/>
    <row r="89" s="59" customFormat="1"/>
    <row r="90" s="59" customFormat="1"/>
    <row r="91" s="59" customFormat="1"/>
    <row r="92" s="59" customFormat="1"/>
    <row r="93" s="59" customFormat="1"/>
    <row r="94" s="59" customFormat="1"/>
    <row r="95" s="59" customFormat="1"/>
    <row r="96" s="59" customFormat="1"/>
    <row r="97" s="59" customFormat="1"/>
    <row r="98" s="59" customFormat="1"/>
    <row r="99" s="59" customFormat="1"/>
    <row r="100" s="59" customFormat="1"/>
    <row r="101" s="59" customFormat="1"/>
    <row r="102" s="59" customFormat="1"/>
    <row r="103" s="59" customFormat="1"/>
    <row r="104" s="59" customFormat="1"/>
    <row r="105" s="59" customFormat="1"/>
    <row r="106" s="59" customFormat="1"/>
    <row r="107" s="59" customFormat="1"/>
    <row r="108" s="59" customFormat="1"/>
    <row r="109" s="59" customFormat="1"/>
    <row r="110" s="59" customFormat="1"/>
    <row r="111" s="59" customFormat="1"/>
    <row r="112" s="59" customFormat="1"/>
    <row r="113" s="59" customFormat="1"/>
    <row r="114" s="59" customFormat="1"/>
    <row r="115" s="59" customFormat="1"/>
    <row r="116" s="59" customFormat="1"/>
    <row r="117" s="59" customFormat="1"/>
    <row r="118" s="59" customFormat="1"/>
    <row r="119" s="59" customFormat="1"/>
    <row r="120" s="59" customFormat="1"/>
    <row r="121" s="59" customFormat="1"/>
    <row r="122" s="59" customFormat="1"/>
    <row r="123" s="59" customFormat="1"/>
  </sheetData>
  <mergeCells count="16">
    <mergeCell ref="A24:B24"/>
    <mergeCell ref="A6:F6"/>
    <mergeCell ref="A7:F7"/>
    <mergeCell ref="A8:E8"/>
    <mergeCell ref="A10:B10"/>
    <mergeCell ref="C10:D10"/>
    <mergeCell ref="A12:B12"/>
    <mergeCell ref="A19:B19"/>
    <mergeCell ref="A22:B22"/>
    <mergeCell ref="A36:E36"/>
    <mergeCell ref="A26:B26"/>
    <mergeCell ref="A28:B28"/>
    <mergeCell ref="A29:B29"/>
    <mergeCell ref="A30:B30"/>
    <mergeCell ref="A32:B32"/>
    <mergeCell ref="A35:E35"/>
  </mergeCells>
  <pageMargins left="0.54" right="0.19" top="0.19685039370078741" bottom="0.39370078740157483" header="0.51181102362204722" footer="0.51181102362204722"/>
  <pageSetup paperSize="9" scale="89" orientation="portrait" horizontalDpi="4294967293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58"/>
  <sheetViews>
    <sheetView topLeftCell="A10" zoomScale="140" zoomScaleNormal="140" workbookViewId="0">
      <selection activeCell="A10" sqref="A10"/>
    </sheetView>
  </sheetViews>
  <sheetFormatPr defaultRowHeight="15"/>
  <cols>
    <col min="1" max="1" width="55" customWidth="1"/>
    <col min="2" max="2" width="26.5703125" customWidth="1"/>
    <col min="3" max="3" width="13.28515625" bestFit="1" customWidth="1"/>
    <col min="5" max="5" width="9.5703125" bestFit="1" customWidth="1"/>
  </cols>
  <sheetData>
    <row r="1" spans="1:5" ht="31.5">
      <c r="A1" s="363" t="str">
        <f>"Destinações das Sobras "&amp;TEXT(Parâmetros!D11,"aaaa")</f>
        <v>Destinações das Sobras 2017</v>
      </c>
      <c r="B1" s="363"/>
    </row>
    <row r="3" spans="1:5" ht="48" customHeight="1" thickBot="1">
      <c r="A3" s="362" t="s">
        <v>4230</v>
      </c>
      <c r="B3" s="362"/>
    </row>
    <row r="4" spans="1:5" ht="21">
      <c r="A4" s="236" t="s">
        <v>4231</v>
      </c>
      <c r="B4" s="237">
        <f>'Sobras Terceiros (2)'!C47</f>
        <v>-3517009.4600000163</v>
      </c>
      <c r="C4" s="225"/>
    </row>
    <row r="5" spans="1:5" ht="21.75" thickBot="1">
      <c r="A5" s="239" t="s">
        <v>4232</v>
      </c>
      <c r="B5" s="240">
        <f>'Sobras Terceiros (2)'!D47</f>
        <v>992382.71000000322</v>
      </c>
      <c r="C5" s="225"/>
    </row>
    <row r="6" spans="1:5" ht="21.75" thickBot="1">
      <c r="A6" s="267" t="s">
        <v>4403</v>
      </c>
      <c r="B6" s="268">
        <f>SUM(B4:B5)</f>
        <v>-2524626.750000013</v>
      </c>
      <c r="C6" s="225"/>
    </row>
    <row r="7" spans="1:5" ht="21.75" thickBot="1">
      <c r="A7" s="269"/>
      <c r="B7" s="270"/>
      <c r="C7" s="225"/>
    </row>
    <row r="8" spans="1:5" ht="21.75" thickBot="1">
      <c r="A8" s="236" t="s">
        <v>4231</v>
      </c>
      <c r="B8" s="266">
        <f>'Sobras Terceiros (2)'!C47</f>
        <v>-3517009.4600000163</v>
      </c>
      <c r="C8" s="225"/>
    </row>
    <row r="9" spans="1:5" ht="21.75" thickBot="1">
      <c r="A9" s="325" t="s">
        <v>5552</v>
      </c>
      <c r="B9" s="326">
        <f>SUMIF(Base_Periodo1[CONTA],6244,Base_Periodo1[SALDO_ATUAL])</f>
        <v>476588.22999999893</v>
      </c>
      <c r="C9" s="225"/>
    </row>
    <row r="10" spans="1:5" ht="21.75" thickBot="1">
      <c r="A10" s="286" t="s">
        <v>5620</v>
      </c>
      <c r="B10" s="287">
        <f>B8+B9</f>
        <v>-3040421.2300000172</v>
      </c>
      <c r="C10" s="225"/>
    </row>
    <row r="11" spans="1:5" ht="21.75" thickBot="1">
      <c r="A11" s="318" t="s">
        <v>5621</v>
      </c>
      <c r="B11" s="321">
        <f>SUM(B12:B15)</f>
        <v>-2645166.4701000154</v>
      </c>
      <c r="C11" s="225"/>
    </row>
    <row r="12" spans="1:5" ht="21">
      <c r="A12" s="322" t="s">
        <v>4233</v>
      </c>
      <c r="B12" s="237">
        <f>B10*0.05</f>
        <v>-152021.06150000085</v>
      </c>
      <c r="C12" s="225"/>
    </row>
    <row r="13" spans="1:5" ht="21">
      <c r="A13" s="323" t="s">
        <v>4234</v>
      </c>
      <c r="B13" s="238">
        <f>B10*0.1</f>
        <v>-304042.12300000171</v>
      </c>
      <c r="C13" s="225"/>
    </row>
    <row r="14" spans="1:5" ht="21">
      <c r="A14" s="323" t="s">
        <v>4235</v>
      </c>
      <c r="B14" s="238">
        <f>B10*0.7</f>
        <v>-2128294.8610000121</v>
      </c>
      <c r="C14" s="225"/>
    </row>
    <row r="15" spans="1:5" ht="21">
      <c r="A15" s="324" t="s">
        <v>5255</v>
      </c>
      <c r="B15" s="283">
        <f>B10*2%</f>
        <v>-60808.424600000348</v>
      </c>
      <c r="C15" s="225"/>
      <c r="E15" s="285"/>
    </row>
    <row r="16" spans="1:5" ht="21.75" thickBot="1">
      <c r="A16" s="319" t="s">
        <v>5622</v>
      </c>
      <c r="B16" s="320">
        <f>B10-B12-B13-B14-B15</f>
        <v>-395254.75990000239</v>
      </c>
      <c r="C16" s="225"/>
    </row>
    <row r="17" spans="1:2" ht="21">
      <c r="A17" s="235"/>
      <c r="B17" s="235"/>
    </row>
    <row r="18" spans="1:2" ht="21">
      <c r="A18" s="364" t="s">
        <v>4236</v>
      </c>
      <c r="B18" s="364"/>
    </row>
    <row r="19" spans="1:2" ht="21">
      <c r="A19" s="241"/>
      <c r="B19" s="243"/>
    </row>
    <row r="20" spans="1:2" ht="21">
      <c r="A20" s="241"/>
      <c r="B20" s="243"/>
    </row>
    <row r="21" spans="1:2">
      <c r="A21" s="242"/>
      <c r="B21" s="242"/>
    </row>
    <row r="37" spans="1:7">
      <c r="A37" s="2"/>
      <c r="B37" s="2"/>
      <c r="C37" s="2"/>
      <c r="D37" s="2"/>
      <c r="E37" s="2"/>
    </row>
    <row r="38" spans="1:7">
      <c r="A38" s="2"/>
      <c r="B38" s="2"/>
      <c r="C38" s="2"/>
      <c r="D38" s="2"/>
      <c r="E38" s="2"/>
    </row>
    <row r="39" spans="1:7">
      <c r="A39" s="2"/>
      <c r="B39" s="2"/>
      <c r="C39" s="2"/>
      <c r="D39" s="2"/>
      <c r="E39" s="2"/>
    </row>
    <row r="40" spans="1:7">
      <c r="A40" s="2"/>
      <c r="B40" s="2"/>
      <c r="C40" s="2"/>
      <c r="D40" s="2"/>
      <c r="E40" s="2"/>
    </row>
    <row r="41" spans="1:7">
      <c r="A41" s="2"/>
      <c r="B41" s="2"/>
      <c r="C41" s="2"/>
      <c r="D41" s="2"/>
      <c r="E41" s="2"/>
    </row>
    <row r="42" spans="1:7">
      <c r="A42" s="2"/>
      <c r="B42" s="2"/>
      <c r="C42" s="2"/>
      <c r="D42" s="2"/>
      <c r="E42" s="2"/>
    </row>
    <row r="43" spans="1:7">
      <c r="A43" s="2"/>
      <c r="B43" s="2"/>
      <c r="C43" s="2"/>
      <c r="D43" s="2"/>
      <c r="E43" s="2"/>
      <c r="F43" s="2"/>
      <c r="G43" s="2"/>
    </row>
    <row r="44" spans="1:7">
      <c r="A44" s="2"/>
      <c r="B44" s="2"/>
      <c r="C44" s="2"/>
      <c r="D44" s="2"/>
      <c r="E44" s="2"/>
      <c r="F44" s="2"/>
      <c r="G44" s="2"/>
    </row>
    <row r="45" spans="1:7">
      <c r="A45" s="2"/>
      <c r="B45" s="2"/>
      <c r="C45" s="2"/>
      <c r="D45" s="2"/>
      <c r="E45" s="2"/>
      <c r="F45" s="2"/>
      <c r="G45" s="2"/>
    </row>
    <row r="46" spans="1:7">
      <c r="A46" s="2"/>
      <c r="B46" s="2"/>
      <c r="C46" s="2"/>
      <c r="D46" s="2"/>
      <c r="E46" s="2"/>
      <c r="F46" s="2"/>
      <c r="G46" s="2"/>
    </row>
    <row r="47" spans="1:7">
      <c r="A47" s="2"/>
      <c r="B47" s="2"/>
      <c r="C47" s="2"/>
      <c r="D47" s="2"/>
      <c r="E47" s="2"/>
      <c r="F47" s="2"/>
      <c r="G47" s="2"/>
    </row>
    <row r="48" spans="1:7">
      <c r="A48" s="2"/>
      <c r="B48" s="2"/>
      <c r="C48" s="2"/>
      <c r="D48" s="2"/>
      <c r="E48" s="2"/>
      <c r="F48" s="2"/>
      <c r="G48" s="2"/>
    </row>
    <row r="49" spans="1:7">
      <c r="A49" s="2"/>
      <c r="B49" s="2"/>
      <c r="C49" s="2"/>
      <c r="D49" s="2"/>
      <c r="E49" s="2"/>
      <c r="F49" s="2"/>
      <c r="G49" s="2"/>
    </row>
    <row r="50" spans="1:7">
      <c r="A50" s="2"/>
      <c r="B50" s="2"/>
      <c r="C50" s="2"/>
      <c r="D50" s="2"/>
      <c r="E50" s="2"/>
      <c r="F50" s="2"/>
      <c r="G50" s="2"/>
    </row>
    <row r="51" spans="1:7">
      <c r="B51" s="2"/>
      <c r="C51" s="2"/>
      <c r="D51" s="2"/>
      <c r="E51" s="2"/>
      <c r="F51" s="2"/>
      <c r="G51" s="2"/>
    </row>
    <row r="52" spans="1:7">
      <c r="B52" s="2"/>
      <c r="C52" s="2"/>
      <c r="D52" s="2"/>
      <c r="E52" s="2"/>
      <c r="F52" s="2"/>
      <c r="G52" s="2"/>
    </row>
    <row r="53" spans="1:7">
      <c r="B53" s="2"/>
      <c r="C53" s="2"/>
      <c r="D53" s="2"/>
      <c r="E53" s="2"/>
      <c r="F53" s="2"/>
      <c r="G53" s="2"/>
    </row>
    <row r="54" spans="1:7">
      <c r="B54" s="2"/>
      <c r="C54" s="2"/>
      <c r="D54" s="2"/>
      <c r="E54" s="2"/>
      <c r="F54" s="2"/>
      <c r="G54" s="2"/>
    </row>
    <row r="55" spans="1:7">
      <c r="B55" s="2"/>
      <c r="C55" s="2"/>
      <c r="D55" s="2"/>
      <c r="E55" s="2"/>
      <c r="F55" s="2"/>
      <c r="G55" s="2"/>
    </row>
    <row r="56" spans="1:7">
      <c r="B56" s="2"/>
      <c r="C56" s="2"/>
      <c r="D56" s="2"/>
      <c r="E56" s="2"/>
      <c r="F56" s="2"/>
      <c r="G56" s="2"/>
    </row>
    <row r="57" spans="1:7">
      <c r="B57" s="2"/>
      <c r="C57" s="2"/>
      <c r="D57" s="2"/>
      <c r="E57" s="2"/>
      <c r="F57" s="2"/>
      <c r="G57" s="2"/>
    </row>
    <row r="58" spans="1:7">
      <c r="B58" s="2"/>
      <c r="C58" s="2"/>
      <c r="D58" s="2"/>
      <c r="E58" s="2"/>
      <c r="F58" s="2"/>
      <c r="G58" s="2"/>
    </row>
  </sheetData>
  <mergeCells count="3">
    <mergeCell ref="A3:B3"/>
    <mergeCell ref="A1:B1"/>
    <mergeCell ref="A18:B18"/>
  </mergeCells>
  <printOptions horizontalCentered="1" verticalCentered="1"/>
  <pageMargins left="0.51181102362204722" right="0.51181102362204722" top="0.78740157480314965" bottom="0.78740157480314965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Plan9"/>
  <dimension ref="A1:Q93"/>
  <sheetViews>
    <sheetView view="pageBreakPreview" topLeftCell="A58" zoomScale="145" zoomScaleNormal="75" zoomScaleSheetLayoutView="145" workbookViewId="0">
      <selection activeCell="H17" sqref="H17"/>
    </sheetView>
  </sheetViews>
  <sheetFormatPr defaultRowHeight="14.25"/>
  <cols>
    <col min="1" max="2" width="9.140625" style="301"/>
    <col min="3" max="3" width="8.85546875" style="301" customWidth="1"/>
    <col min="4" max="4" width="5.7109375" style="301" customWidth="1"/>
    <col min="5" max="5" width="18.7109375" style="169" bestFit="1" customWidth="1"/>
    <col min="6" max="6" width="9.140625" style="169" bestFit="1" customWidth="1"/>
    <col min="7" max="7" width="18.7109375" style="169" bestFit="1" customWidth="1"/>
    <col min="8" max="8" width="9.140625" style="169" bestFit="1" customWidth="1"/>
    <col min="9" max="9" width="19.140625" style="301" bestFit="1" customWidth="1"/>
    <col min="10" max="10" width="16.42578125" style="152" bestFit="1" customWidth="1"/>
    <col min="11" max="11" width="13.5703125" style="152" bestFit="1" customWidth="1"/>
    <col min="12" max="12" width="9.140625" style="152"/>
    <col min="13" max="13" width="17.7109375" style="152" customWidth="1"/>
    <col min="14" max="14" width="27.140625" style="152" customWidth="1"/>
    <col min="15" max="15" width="21.42578125" style="152" customWidth="1"/>
    <col min="16" max="16" width="24.28515625" style="152" customWidth="1"/>
    <col min="17" max="17" width="19.7109375" style="152" customWidth="1"/>
    <col min="18" max="16384" width="9.140625" style="152"/>
  </cols>
  <sheetData>
    <row r="1" spans="1:17" ht="15">
      <c r="D1" s="372" t="s">
        <v>141</v>
      </c>
      <c r="E1" s="372"/>
      <c r="F1" s="372"/>
      <c r="G1" s="372"/>
      <c r="H1" s="372"/>
      <c r="I1" s="372"/>
    </row>
    <row r="2" spans="1:17" ht="15">
      <c r="D2" s="372" t="s">
        <v>149</v>
      </c>
      <c r="E2" s="372"/>
      <c r="F2" s="372"/>
      <c r="G2" s="372"/>
      <c r="H2" s="372"/>
      <c r="I2" s="372"/>
    </row>
    <row r="3" spans="1:17" ht="15">
      <c r="D3" s="153"/>
      <c r="E3" s="153"/>
      <c r="F3" s="302"/>
      <c r="G3" s="153"/>
      <c r="H3" s="302"/>
      <c r="I3" s="153"/>
    </row>
    <row r="4" spans="1:17" ht="15">
      <c r="A4" s="374"/>
      <c r="B4" s="374"/>
      <c r="C4" s="374"/>
      <c r="D4" s="374"/>
      <c r="E4" s="374"/>
      <c r="F4" s="374"/>
      <c r="G4" s="374"/>
      <c r="H4" s="374"/>
      <c r="I4" s="374"/>
    </row>
    <row r="5" spans="1:17" ht="15">
      <c r="D5" s="372" t="s">
        <v>283</v>
      </c>
      <c r="E5" s="372"/>
      <c r="F5" s="372"/>
      <c r="G5" s="372"/>
      <c r="H5" s="372"/>
      <c r="I5" s="372"/>
    </row>
    <row r="6" spans="1:17" ht="15">
      <c r="D6" s="375" t="str">
        <f>"Período: "&amp;TEXT(Parâmetros!B11,"dd/mm/aaaa")&amp;" a "&amp;TEXT(Parâmetros!D11,"dd/mm/aaaa")</f>
        <v>Período: 01/05/2017 a 31/05/2017</v>
      </c>
      <c r="E6" s="372"/>
      <c r="F6" s="372"/>
      <c r="G6" s="372"/>
      <c r="H6" s="372"/>
      <c r="I6" s="372"/>
    </row>
    <row r="7" spans="1:17" ht="15">
      <c r="D7" s="372" t="s">
        <v>284</v>
      </c>
      <c r="E7" s="372"/>
      <c r="F7" s="372"/>
      <c r="G7" s="372"/>
      <c r="H7" s="372"/>
      <c r="I7" s="372"/>
    </row>
    <row r="8" spans="1:17">
      <c r="A8" s="368"/>
      <c r="B8" s="368"/>
      <c r="C8" s="368"/>
      <c r="D8" s="368"/>
      <c r="E8" s="368"/>
      <c r="F8" s="368"/>
      <c r="G8" s="368"/>
      <c r="H8" s="368"/>
      <c r="I8" s="368"/>
    </row>
    <row r="9" spans="1:17" ht="15">
      <c r="A9" s="367" t="s">
        <v>285</v>
      </c>
      <c r="B9" s="367"/>
      <c r="C9" s="367"/>
      <c r="D9" s="367"/>
      <c r="E9" s="373" t="s">
        <v>286</v>
      </c>
      <c r="F9" s="373"/>
      <c r="G9" s="373" t="s">
        <v>4533</v>
      </c>
      <c r="H9" s="373"/>
      <c r="I9" s="170" t="s">
        <v>244</v>
      </c>
      <c r="M9"/>
      <c r="N9" s="311" t="s">
        <v>289</v>
      </c>
      <c r="O9"/>
      <c r="P9"/>
      <c r="Q9"/>
    </row>
    <row r="10" spans="1:17" ht="15">
      <c r="A10" s="367"/>
      <c r="B10" s="367"/>
      <c r="C10" s="367"/>
      <c r="D10" s="367"/>
      <c r="E10" s="296" t="s">
        <v>5602</v>
      </c>
      <c r="F10" s="296" t="s">
        <v>369</v>
      </c>
      <c r="G10" s="296" t="s">
        <v>5602</v>
      </c>
      <c r="H10" s="296" t="s">
        <v>369</v>
      </c>
      <c r="I10" s="294" t="s">
        <v>287</v>
      </c>
      <c r="M10" s="311" t="s">
        <v>5605</v>
      </c>
      <c r="N10" t="s">
        <v>5608</v>
      </c>
      <c r="O10" t="s">
        <v>5603</v>
      </c>
      <c r="P10" t="s">
        <v>5609</v>
      </c>
      <c r="Q10" t="s">
        <v>5604</v>
      </c>
    </row>
    <row r="11" spans="1:17" ht="15">
      <c r="A11" s="366" t="s">
        <v>290</v>
      </c>
      <c r="B11" s="366"/>
      <c r="C11" s="366"/>
      <c r="D11" s="366"/>
      <c r="E11" s="304">
        <f>E21+E31+E41+E51+E61+E71+E81</f>
        <v>163994396.48000091</v>
      </c>
      <c r="F11" s="288">
        <f t="shared" ref="F11:H11" si="0">IF(ISERROR(E11/$I11),0,E11/$I11)</f>
        <v>0.895029418332976</v>
      </c>
      <c r="G11" s="304">
        <f>G21+G31+G41+G51+G61+G71+G81</f>
        <v>19233543.430003703</v>
      </c>
      <c r="H11" s="288">
        <f t="shared" si="0"/>
        <v>0.10497058166702398</v>
      </c>
      <c r="I11" s="305">
        <f>SUM(E11,G11)</f>
        <v>183227939.91000462</v>
      </c>
      <c r="M11" s="312" t="s">
        <v>5403</v>
      </c>
      <c r="N11" s="314">
        <v>1.7462298274040222E-9</v>
      </c>
      <c r="O11" s="313">
        <v>0.95238095238095233</v>
      </c>
      <c r="P11" s="314">
        <v>8.7311491370201111E-11</v>
      </c>
      <c r="Q11" s="313">
        <v>4.7619047619047616E-2</v>
      </c>
    </row>
    <row r="12" spans="1:17" ht="15">
      <c r="A12" s="366" t="s">
        <v>291</v>
      </c>
      <c r="B12" s="366"/>
      <c r="C12" s="366"/>
      <c r="D12" s="366"/>
      <c r="E12" s="304">
        <f>E22+E32+E42+E52+E62+E72+E82</f>
        <v>0</v>
      </c>
      <c r="F12" s="288">
        <f>IF(ISERROR(E12/$I12),0,E12/$I12)</f>
        <v>0</v>
      </c>
      <c r="G12" s="304">
        <f>G22+G32+G42+G52+G62+G72+G82</f>
        <v>0</v>
      </c>
      <c r="H12" s="288">
        <f>IF(ISERROR(G12/$I12),0,G12/$I12)</f>
        <v>0</v>
      </c>
      <c r="I12" s="305">
        <f t="shared" ref="I12:I15" si="1">SUM(E12,G12)</f>
        <v>0</v>
      </c>
      <c r="M12" s="312" t="s">
        <v>1102</v>
      </c>
      <c r="N12" s="314">
        <v>10686286.779999865</v>
      </c>
      <c r="O12" s="313">
        <v>0.93982527781932135</v>
      </c>
      <c r="P12" s="314">
        <v>684216.89999827091</v>
      </c>
      <c r="Q12" s="313">
        <v>6.0174722180678542E-2</v>
      </c>
    </row>
    <row r="13" spans="1:17" ht="15">
      <c r="A13" s="366" t="s">
        <v>292</v>
      </c>
      <c r="B13" s="366"/>
      <c r="C13" s="366"/>
      <c r="D13" s="366"/>
      <c r="E13" s="304">
        <f>E23+E33+E43+E53+E63+E73+E83</f>
        <v>-124491.42000000058</v>
      </c>
      <c r="F13" s="288">
        <f t="shared" ref="F13:H15" si="2">IF(ISERROR(E13/$I13),0,E13/$I13)</f>
        <v>0.88993675938039329</v>
      </c>
      <c r="G13" s="304">
        <f>G23+G33+G43+G53+G63+G73+G83</f>
        <v>-15396.520000001306</v>
      </c>
      <c r="H13" s="288">
        <f t="shared" si="2"/>
        <v>0.11006324061960665</v>
      </c>
      <c r="I13" s="305">
        <f t="shared" si="1"/>
        <v>-139887.94000000189</v>
      </c>
      <c r="M13" s="312" t="s">
        <v>1076</v>
      </c>
      <c r="N13" s="314">
        <v>43334813.460001163</v>
      </c>
      <c r="O13" s="313">
        <v>0.9141596387595714</v>
      </c>
      <c r="P13" s="314">
        <v>4069175.5399971614</v>
      </c>
      <c r="Q13" s="313">
        <v>8.5840361240428639E-2</v>
      </c>
    </row>
    <row r="14" spans="1:17" ht="15">
      <c r="A14" s="366" t="s">
        <v>293</v>
      </c>
      <c r="B14" s="366"/>
      <c r="C14" s="366"/>
      <c r="D14" s="366"/>
      <c r="E14" s="304">
        <f>E24+E34+E44+E54+E64+E74+E84</f>
        <v>-1814865.7399999877</v>
      </c>
      <c r="F14" s="288">
        <f t="shared" si="2"/>
        <v>0.88965786178466055</v>
      </c>
      <c r="G14" s="304">
        <f>G24+G34+G44+G54+G64+G74+G84</f>
        <v>-225093.46000005835</v>
      </c>
      <c r="H14" s="288">
        <f t="shared" si="2"/>
        <v>0.11034213821533943</v>
      </c>
      <c r="I14" s="305">
        <f t="shared" si="1"/>
        <v>-2039959.2000000461</v>
      </c>
      <c r="M14" s="312" t="s">
        <v>5588</v>
      </c>
      <c r="N14" s="314">
        <v>0</v>
      </c>
      <c r="O14" s="313" t="e">
        <v>#DIV/0!</v>
      </c>
      <c r="P14" s="314">
        <v>0</v>
      </c>
      <c r="Q14" s="313" t="e">
        <v>#DIV/0!</v>
      </c>
    </row>
    <row r="15" spans="1:17" ht="15">
      <c r="A15" s="366" t="s">
        <v>294</v>
      </c>
      <c r="B15" s="366"/>
      <c r="C15" s="366"/>
      <c r="D15" s="366"/>
      <c r="E15" s="304">
        <f>E25+E35+E45+E55+E65+E75+E85</f>
        <v>-148086651.08000076</v>
      </c>
      <c r="F15" s="288">
        <f t="shared" si="2"/>
        <v>0.8955304940745773</v>
      </c>
      <c r="G15" s="304">
        <f>G25+G35+G45+G55+G65+G75+G85</f>
        <v>-17275279.150002681</v>
      </c>
      <c r="H15" s="288">
        <f t="shared" si="2"/>
        <v>0.1044695059254227</v>
      </c>
      <c r="I15" s="305">
        <f t="shared" si="1"/>
        <v>-165361930.23000345</v>
      </c>
      <c r="M15" s="312" t="s">
        <v>4649</v>
      </c>
      <c r="N15" s="314">
        <v>257442.45999999993</v>
      </c>
      <c r="O15" s="313">
        <v>0.62352534480120736</v>
      </c>
      <c r="P15" s="314">
        <v>155439.64999999994</v>
      </c>
      <c r="Q15" s="313">
        <v>0.37647465519879264</v>
      </c>
    </row>
    <row r="16" spans="1:17" s="159" customFormat="1" ht="15">
      <c r="A16" s="367" t="s">
        <v>295</v>
      </c>
      <c r="B16" s="367"/>
      <c r="C16" s="367"/>
      <c r="D16" s="367"/>
      <c r="E16" s="160">
        <f>SUM(E11:E15)</f>
        <v>13968388.240000188</v>
      </c>
      <c r="F16" s="160"/>
      <c r="G16" s="160">
        <f>SUM(G11:G15)</f>
        <v>1717774.3000009656</v>
      </c>
      <c r="H16" s="160"/>
      <c r="I16" s="305">
        <f>SUM(E16,G16)</f>
        <v>15686162.540001154</v>
      </c>
      <c r="J16" s="47"/>
      <c r="K16" s="47"/>
      <c r="M16" s="312" t="s">
        <v>1052</v>
      </c>
      <c r="N16" s="314">
        <v>90676314.31999968</v>
      </c>
      <c r="O16" s="313">
        <v>0.88933421083374675</v>
      </c>
      <c r="P16" s="314">
        <v>11283458.750004053</v>
      </c>
      <c r="Q16" s="313">
        <v>0.11066578916625319</v>
      </c>
    </row>
    <row r="17" spans="1:17" s="159" customFormat="1" ht="15">
      <c r="A17" s="365" t="s">
        <v>4531</v>
      </c>
      <c r="B17" s="365"/>
      <c r="C17" s="365"/>
      <c r="D17" s="365"/>
      <c r="E17" s="273">
        <f>E16/(E11+E12+E13)</f>
        <v>8.5240717231670246E-2</v>
      </c>
      <c r="F17" s="273"/>
      <c r="G17" s="273">
        <f>G16/(G11+G12+G13)</f>
        <v>8.9382931041431746E-2</v>
      </c>
      <c r="H17" s="273"/>
      <c r="I17" s="273">
        <f>I16/(I11+I12+I13)</f>
        <v>8.5675511707181323E-2</v>
      </c>
      <c r="M17" s="312" t="s">
        <v>5596</v>
      </c>
      <c r="N17" s="314">
        <v>0</v>
      </c>
      <c r="O17" s="313" t="e">
        <v>#DIV/0!</v>
      </c>
      <c r="P17" s="314">
        <v>0</v>
      </c>
      <c r="Q17" s="313" t="e">
        <v>#DIV/0!</v>
      </c>
    </row>
    <row r="18" spans="1:17" s="159" customFormat="1" ht="15">
      <c r="A18" s="365" t="s">
        <v>5560</v>
      </c>
      <c r="B18" s="365"/>
      <c r="C18" s="365"/>
      <c r="D18" s="365"/>
      <c r="E18" s="273">
        <f>E16/$I16</f>
        <v>0.89049110669225295</v>
      </c>
      <c r="F18" s="273"/>
      <c r="G18" s="273">
        <f>G16/$I16</f>
        <v>0.1095088933077471</v>
      </c>
      <c r="H18" s="273"/>
      <c r="I18" s="273"/>
      <c r="M18" s="312" t="s">
        <v>1088</v>
      </c>
      <c r="N18" s="314">
        <v>17088614.160000227</v>
      </c>
      <c r="O18" s="313">
        <v>0.85928362008449755</v>
      </c>
      <c r="P18" s="314">
        <v>2798433.3300005947</v>
      </c>
      <c r="Q18" s="313">
        <v>0.14071637991550243</v>
      </c>
    </row>
    <row r="19" spans="1:17" ht="15">
      <c r="A19" s="167"/>
      <c r="B19" s="167"/>
      <c r="C19" s="167"/>
      <c r="D19" s="167"/>
      <c r="E19" s="155"/>
      <c r="F19" s="155"/>
      <c r="G19" s="155"/>
      <c r="H19" s="155"/>
      <c r="I19" s="155"/>
      <c r="M19" s="312" t="s">
        <v>5606</v>
      </c>
      <c r="N19" s="314">
        <v>162043471.18000093</v>
      </c>
      <c r="O19" s="313" t="e">
        <v>#DIV/0!</v>
      </c>
      <c r="P19" s="314">
        <v>18990724.17000008</v>
      </c>
      <c r="Q19" s="313" t="e">
        <v>#DIV/0!</v>
      </c>
    </row>
    <row r="20" spans="1:17" s="159" customFormat="1" ht="15">
      <c r="A20" s="367" t="s">
        <v>288</v>
      </c>
      <c r="B20" s="367"/>
      <c r="C20" s="367"/>
      <c r="D20" s="367"/>
      <c r="E20" s="50" t="s">
        <v>289</v>
      </c>
      <c r="F20" s="50"/>
      <c r="G20" s="50" t="s">
        <v>289</v>
      </c>
      <c r="H20" s="50"/>
      <c r="I20" s="50" t="s">
        <v>289</v>
      </c>
      <c r="M20"/>
      <c r="N20"/>
      <c r="O20" s="316" t="s">
        <v>5610</v>
      </c>
      <c r="P20" s="315">
        <f>SUM(G11:G13)</f>
        <v>19218146.910003703</v>
      </c>
    </row>
    <row r="21" spans="1:17" ht="15">
      <c r="A21" s="366" t="s">
        <v>290</v>
      </c>
      <c r="B21" s="366"/>
      <c r="C21" s="366"/>
      <c r="D21" s="366"/>
      <c r="E21" s="290">
        <f>VLOOKUP(1760,Base_Periodo1[[#All],[CONTA]:[VALOR BALANÇO]],10,FALSE)+VLOOKUP(1762,Base_Periodo1[[#All],[CONTA]:[VALOR BALANÇO]],10,FALSE)</f>
        <v>90797686.409999952</v>
      </c>
      <c r="F21" s="288">
        <f t="shared" ref="F21" si="3">IF(ISERROR(E21/$I21),0,E21/$I21)</f>
        <v>0.88933421082425368</v>
      </c>
      <c r="G21" s="290">
        <f>VLOOKUP(6316,Base_Periodo1[[#All],[CONTA]:[VALOR BALANÇO]],10,FALSE)+VLOOKUP(6318,Base_Periodo1[[#All],[CONTA]:[VALOR BALANÇO]],10,FALSE)</f>
        <v>11298561.890002746</v>
      </c>
      <c r="H21" s="288">
        <f t="shared" ref="H21" si="4">IF(ISERROR(G21/$I21),0,G21/$I21)</f>
        <v>0.11066578917574631</v>
      </c>
      <c r="I21" s="162">
        <f>E21+G21</f>
        <v>102096248.30000269</v>
      </c>
      <c r="M21"/>
      <c r="N21"/>
      <c r="O21" s="316" t="s">
        <v>5579</v>
      </c>
      <c r="P21" s="315">
        <f>P20-P19</f>
        <v>227422.74000362307</v>
      </c>
    </row>
    <row r="22" spans="1:17" ht="15">
      <c r="A22" s="366" t="s">
        <v>291</v>
      </c>
      <c r="B22" s="366"/>
      <c r="C22" s="366"/>
      <c r="D22" s="366"/>
      <c r="E22" s="290"/>
      <c r="F22" s="288">
        <f>IF(ISERROR(E22/$I22),0,E22/$I22)</f>
        <v>0</v>
      </c>
      <c r="G22" s="290"/>
      <c r="H22" s="288">
        <f>IF(ISERROR(G22/$I22),0,G22/$I22)</f>
        <v>0</v>
      </c>
      <c r="I22" s="162"/>
      <c r="M22"/>
      <c r="N22"/>
      <c r="O22"/>
    </row>
    <row r="23" spans="1:17" ht="15">
      <c r="A23" s="366" t="s">
        <v>292</v>
      </c>
      <c r="B23" s="366"/>
      <c r="C23" s="366"/>
      <c r="D23" s="366"/>
      <c r="E23" s="290">
        <f>IF(ISERROR(-VLOOKUP(1766,Base_Periodo1[[#All],[CONTA]:[VALOR BALANÇO]],10,FALSE)),0,-VLOOKUP(1766,Base_Periodo1[[#All],[CONTA]:[VALOR BALANÇO]],10,FALSE))</f>
        <v>-121372.09000000045</v>
      </c>
      <c r="F23" s="288">
        <f t="shared" ref="F23" si="5">IF(ISERROR(E23/$I23),0,E23/$I23)</f>
        <v>0.8893342037232671</v>
      </c>
      <c r="G23" s="290">
        <f>IF(ISERROR(-VLOOKUP(6322,Base_Periodo1[[#All],[CONTA]:[VALOR BALANÇO]],10,FALSE)),0,-VLOOKUP(6322,Base_Periodo1[[#All],[CONTA]:[VALOR BALANÇO]],10,FALSE))</f>
        <v>-15103.140000000363</v>
      </c>
      <c r="H23" s="288">
        <f t="shared" ref="H23" si="6">IF(ISERROR(G23/$I23),0,G23/$I23)</f>
        <v>0.11066579627673297</v>
      </c>
      <c r="I23" s="162">
        <f>E23+G23</f>
        <v>-136475.2300000008</v>
      </c>
      <c r="M23"/>
      <c r="N23"/>
      <c r="O23"/>
    </row>
    <row r="24" spans="1:17" ht="15">
      <c r="A24" s="366" t="s">
        <v>293</v>
      </c>
      <c r="B24" s="366"/>
      <c r="C24" s="366"/>
      <c r="D24" s="366"/>
      <c r="E24" s="290">
        <f>IF(ISERROR(-VLOOKUP(1769,Base_Periodo1[[#All],[CONTA]:[VALOR BALANÇO]],10,FALSE)),0,-VLOOKUP(1769,Base_Periodo1[[#All],[CONTA]:[VALOR BALANÇO]],10,FALSE))</f>
        <v>0</v>
      </c>
      <c r="F24" s="288">
        <f t="shared" ref="F24" si="7">IF(ISERROR(E24/$I24),0,E24/$I24)</f>
        <v>0</v>
      </c>
      <c r="G24" s="290">
        <f>IF(ISERROR(-VLOOKUP(6325,Base_Periodo1[[#All],[CONTA]:[VALOR BALANÇO]],10,FALSE)),0,-VLOOKUP(6325,Base_Periodo1[[#All],[CONTA]:[VALOR BALANÇO]],10,FALSE))</f>
        <v>0</v>
      </c>
      <c r="H24" s="288">
        <f t="shared" ref="H24" si="8">IF(ISERROR(G24/$I24),0,G24/$I24)</f>
        <v>0</v>
      </c>
      <c r="I24" s="162">
        <f>E24+G24</f>
        <v>0</v>
      </c>
      <c r="M24"/>
      <c r="N24"/>
      <c r="O24"/>
    </row>
    <row r="25" spans="1:17" ht="15">
      <c r="A25" s="366" t="s">
        <v>294</v>
      </c>
      <c r="B25" s="366"/>
      <c r="C25" s="366"/>
      <c r="D25" s="366"/>
      <c r="E25" s="290">
        <f>-VLOOKUP(1771,Base_Periodo1[[#All],[CONTA]:[VALOR BALANÇO]],10,FALSE)</f>
        <v>-83324746.540000349</v>
      </c>
      <c r="F25" s="288">
        <f t="shared" ref="F25" si="9">IF(ISERROR(E25/$I25),0,E25/$I25)</f>
        <v>0.88894894495327215</v>
      </c>
      <c r="G25" s="290">
        <f>-VLOOKUP(6328,Base_Periodo1[[#All],[CONTA]:[VALOR BALANÇO]],10,FALSE)</f>
        <v>-10409260.360002592</v>
      </c>
      <c r="H25" s="288">
        <f t="shared" ref="H25" si="10">IF(ISERROR(G25/$I25),0,G25/$I25)</f>
        <v>0.11105105504672783</v>
      </c>
      <c r="I25" s="162">
        <f>E25+G25</f>
        <v>-93734006.900002941</v>
      </c>
      <c r="M25"/>
      <c r="N25"/>
      <c r="O25"/>
    </row>
    <row r="26" spans="1:17" s="159" customFormat="1" ht="15">
      <c r="A26" s="367" t="s">
        <v>295</v>
      </c>
      <c r="B26" s="367"/>
      <c r="C26" s="367"/>
      <c r="D26" s="367"/>
      <c r="E26" s="160">
        <f>SUM(E21:E25)</f>
        <v>7351567.7799995989</v>
      </c>
      <c r="F26" s="160"/>
      <c r="G26" s="160">
        <f>SUM(G21:G25)</f>
        <v>874198.39000015333</v>
      </c>
      <c r="H26" s="160"/>
      <c r="I26" s="160">
        <f>SUM(I21:I25)</f>
        <v>8225766.1699997485</v>
      </c>
      <c r="J26" s="47">
        <f>-VLOOKUP(1759,Base_Periodo1[[#All],[CONTA]:[VALOR BALANÇO]],10,FALSE)+E26</f>
        <v>4.4703483581542969E-8</v>
      </c>
      <c r="K26" s="47">
        <f>-VLOOKUP(6315,Base_Periodo1[[#All],[CONTA]:[VALOR BALANÇO]],10,FALSE)+G26</f>
        <v>1.862645149230957E-8</v>
      </c>
      <c r="M26"/>
      <c r="N26"/>
      <c r="O26"/>
    </row>
    <row r="27" spans="1:17" s="159" customFormat="1" ht="15">
      <c r="A27" s="365" t="s">
        <v>4531</v>
      </c>
      <c r="B27" s="365"/>
      <c r="C27" s="365"/>
      <c r="D27" s="365"/>
      <c r="E27" s="273">
        <f>E26/(E21+E23)</f>
        <v>8.1074841154831837E-2</v>
      </c>
      <c r="F27" s="273"/>
      <c r="G27" s="273">
        <f>G26/(G21+G23)</f>
        <v>7.7476101022653232E-2</v>
      </c>
      <c r="H27" s="273"/>
      <c r="I27" s="273">
        <f>I26/(I21+I23)</f>
        <v>8.0676583738100036E-2</v>
      </c>
      <c r="M27"/>
      <c r="N27"/>
      <c r="O27"/>
    </row>
    <row r="28" spans="1:17" s="159" customFormat="1" ht="15">
      <c r="A28" s="365" t="s">
        <v>5560</v>
      </c>
      <c r="B28" s="365"/>
      <c r="C28" s="365"/>
      <c r="D28" s="365"/>
      <c r="E28" s="273">
        <f>E26/$I26</f>
        <v>0.89372438117820019</v>
      </c>
      <c r="F28" s="273"/>
      <c r="G28" s="273">
        <f>G26/$I26</f>
        <v>0.10627561882180028</v>
      </c>
      <c r="H28" s="273"/>
      <c r="I28" s="273"/>
      <c r="M28"/>
      <c r="N28"/>
      <c r="O28"/>
    </row>
    <row r="29" spans="1:17" ht="15">
      <c r="A29" s="370"/>
      <c r="B29" s="370"/>
      <c r="C29" s="370"/>
      <c r="D29" s="370"/>
      <c r="E29" s="370"/>
      <c r="F29" s="370"/>
      <c r="G29" s="370"/>
      <c r="H29" s="370"/>
      <c r="I29" s="370"/>
      <c r="M29"/>
      <c r="N29"/>
      <c r="O29"/>
    </row>
    <row r="30" spans="1:17" s="159" customFormat="1" ht="15">
      <c r="A30" s="367" t="s">
        <v>296</v>
      </c>
      <c r="B30" s="367"/>
      <c r="C30" s="367"/>
      <c r="D30" s="367"/>
      <c r="E30" s="50" t="s">
        <v>289</v>
      </c>
      <c r="F30" s="50"/>
      <c r="G30" s="50" t="s">
        <v>289</v>
      </c>
      <c r="H30" s="50"/>
      <c r="I30" s="50" t="s">
        <v>289</v>
      </c>
      <c r="M30"/>
      <c r="N30"/>
      <c r="O30"/>
    </row>
    <row r="31" spans="1:17" ht="15">
      <c r="A31" s="366" t="s">
        <v>290</v>
      </c>
      <c r="B31" s="366"/>
      <c r="C31" s="366"/>
      <c r="D31" s="366"/>
      <c r="E31" s="290">
        <f>VLOOKUP(1774,Base_Periodo1[[#All],[CONTA]:[VALOR BALANÇO]],10,FALSE)</f>
        <v>44444246.320000418</v>
      </c>
      <c r="F31" s="288">
        <f t="shared" ref="F31" si="11">IF(ISERROR(E31/$I31),0,E31/$I31)</f>
        <v>0.914156485524249</v>
      </c>
      <c r="G31" s="290">
        <f>VLOOKUP(6333,Base_Periodo1[[#All],[CONTA]:[VALOR BALANÇO]],10,FALSE)</f>
        <v>4173519.9200023562</v>
      </c>
      <c r="H31" s="288">
        <f t="shared" ref="H31" si="12">IF(ISERROR(G31/$I31),0,G31/$I31)</f>
        <v>8.584351447575099E-2</v>
      </c>
      <c r="I31" s="162">
        <f>E31+G31</f>
        <v>48617766.240002774</v>
      </c>
      <c r="M31"/>
      <c r="N31"/>
      <c r="O31"/>
    </row>
    <row r="32" spans="1:17" ht="15">
      <c r="A32" s="366" t="s">
        <v>291</v>
      </c>
      <c r="B32" s="366"/>
      <c r="C32" s="366"/>
      <c r="D32" s="366"/>
      <c r="E32" s="162"/>
      <c r="F32" s="288">
        <f>IF(ISERROR(E32/$I32),0,E32/$I32)</f>
        <v>0</v>
      </c>
      <c r="G32" s="290"/>
      <c r="H32" s="288">
        <f>IF(ISERROR(G32/$I32),0,G32/$I32)</f>
        <v>0</v>
      </c>
      <c r="I32" s="162">
        <f>E32+G32</f>
        <v>0</v>
      </c>
      <c r="M32"/>
      <c r="N32"/>
      <c r="O32"/>
    </row>
    <row r="33" spans="1:15" ht="15">
      <c r="A33" s="366" t="s">
        <v>292</v>
      </c>
      <c r="B33" s="366"/>
      <c r="C33" s="366"/>
      <c r="D33" s="366"/>
      <c r="E33" s="290">
        <f>IF(ISERROR(-VLOOKUP(1776,Base_Periodo1[[#All],[CONTA]:[VALOR BALANÇO]],10,FALSE)),0,-VLOOKUP(1776,Base_Periodo1[[#All],[CONTA]:[VALOR BALANÇO]],10,FALSE))</f>
        <v>-3119.3300000001291</v>
      </c>
      <c r="F33" s="288">
        <f t="shared" ref="F33" si="13">IF(ISERROR(E33/$I33),0,E33/$I33)</f>
        <v>0.91403312909656809</v>
      </c>
      <c r="G33" s="290">
        <f>IF(ISERROR(-VLOOKUP(6338,Base_Periodo1[[#All],[CONTA]:[VALOR BALANÇO]],10,FALSE)),0,-VLOOKUP(6338,Base_Periodo1[[#All],[CONTA]:[VALOR BALANÇO]],10,FALSE))</f>
        <v>-293.38000000094326</v>
      </c>
      <c r="H33" s="288">
        <f t="shared" ref="H33" si="14">IF(ISERROR(G33/$I33),0,G33/$I33)</f>
        <v>8.59668709034319E-2</v>
      </c>
      <c r="I33" s="162">
        <f>E33+G33</f>
        <v>-3412.7100000010723</v>
      </c>
      <c r="M33"/>
      <c r="N33"/>
      <c r="O33"/>
    </row>
    <row r="34" spans="1:15" ht="15">
      <c r="A34" s="366" t="s">
        <v>293</v>
      </c>
      <c r="B34" s="366"/>
      <c r="C34" s="366"/>
      <c r="D34" s="366"/>
      <c r="E34" s="290">
        <f>-VLOOKUP(1778,Base_Periodo1[[#All],[CONTA]:[VALOR BALANÇO]],10,FALSE)</f>
        <v>-1112552.1899999925</v>
      </c>
      <c r="F34" s="288">
        <f t="shared" ref="F34" si="15">IF(ISERROR(E34/$I34),0,E34/$I34)</f>
        <v>0.91403333555291066</v>
      </c>
      <c r="G34" s="290">
        <f>-VLOOKUP(6340,Base_Periodo1[[#All],[CONTA]:[VALOR BALANÇO]],10,FALSE)</f>
        <v>-104637.7600000205</v>
      </c>
      <c r="H34" s="288">
        <f t="shared" ref="H34" si="16">IF(ISERROR(G34/$I34),0,G34/$I34)</f>
        <v>8.596666444708928E-2</v>
      </c>
      <c r="I34" s="162">
        <f>E34+G34</f>
        <v>-1217189.950000013</v>
      </c>
      <c r="M34"/>
      <c r="N34"/>
      <c r="O34"/>
    </row>
    <row r="35" spans="1:15" ht="15">
      <c r="A35" s="366" t="s">
        <v>294</v>
      </c>
      <c r="B35" s="366"/>
      <c r="C35" s="366"/>
      <c r="D35" s="366"/>
      <c r="E35" s="290">
        <f>-VLOOKUP(1781,Base_Periodo1[[#All],[CONTA]:[VALOR BALANÇO]],10,FALSE)</f>
        <v>-38366711.790000267</v>
      </c>
      <c r="F35" s="288">
        <f t="shared" ref="F35" si="17">IF(ISERROR(E35/$I35),0,E35/$I35)</f>
        <v>0.91405082507547586</v>
      </c>
      <c r="G35" s="290">
        <f>-VLOOKUP(6343,Base_Periodo1[[#All],[CONTA]:[VALOR BALANÇO]],10,FALSE)</f>
        <v>-3607662.8699998632</v>
      </c>
      <c r="H35" s="288">
        <f t="shared" ref="H35" si="18">IF(ISERROR(G35/$I35),0,G35/$I35)</f>
        <v>8.5949174924524099E-2</v>
      </c>
      <c r="I35" s="162">
        <f>E35+G35</f>
        <v>-41974374.660000131</v>
      </c>
      <c r="M35"/>
      <c r="N35"/>
      <c r="O35"/>
    </row>
    <row r="36" spans="1:15" s="159" customFormat="1" ht="15">
      <c r="A36" s="367" t="s">
        <v>295</v>
      </c>
      <c r="B36" s="367"/>
      <c r="C36" s="367"/>
      <c r="D36" s="367"/>
      <c r="E36" s="160">
        <f>SUM(E31:E35)</f>
        <v>4961863.0100001618</v>
      </c>
      <c r="F36" s="160"/>
      <c r="G36" s="160">
        <f>SUM(G31:G35)</f>
        <v>460925.91000247188</v>
      </c>
      <c r="H36" s="160"/>
      <c r="I36" s="160">
        <f>SUM(I31:I35)</f>
        <v>5422788.9200026318</v>
      </c>
      <c r="J36" s="47">
        <f>-VLOOKUP(1772,Base_Periodo1[[#All],[CONTA]:[VALOR BALANÇO]],10,FALSE)+E36</f>
        <v>-6238.6600000038743</v>
      </c>
      <c r="K36" s="47">
        <f>-VLOOKUP(6332,Base_Periodo1[[#All],[CONTA]:[VALOR BALANÇO]],10,FALSE)+G36</f>
        <v>-586.75999991409481</v>
      </c>
      <c r="M36"/>
      <c r="N36"/>
      <c r="O36"/>
    </row>
    <row r="37" spans="1:15" s="159" customFormat="1" ht="15">
      <c r="A37" s="365" t="s">
        <v>4531</v>
      </c>
      <c r="B37" s="365"/>
      <c r="C37" s="365"/>
      <c r="D37" s="365"/>
      <c r="E37" s="273">
        <f>E36/(E31+E33)</f>
        <v>0.11165025160402925</v>
      </c>
      <c r="F37" s="273"/>
      <c r="G37" s="273">
        <f>G36/(G31+G33)</f>
        <v>0.11044833190440981</v>
      </c>
      <c r="H37" s="273"/>
      <c r="I37" s="273">
        <f>I36/(I31+I33)</f>
        <v>0.11154707460330436</v>
      </c>
      <c r="M37"/>
      <c r="N37"/>
      <c r="O37"/>
    </row>
    <row r="38" spans="1:15" s="159" customFormat="1" ht="15">
      <c r="A38" s="365" t="s">
        <v>5560</v>
      </c>
      <c r="B38" s="365"/>
      <c r="C38" s="365"/>
      <c r="D38" s="365"/>
      <c r="E38" s="273">
        <f>E36/$I36</f>
        <v>0.91500205580521721</v>
      </c>
      <c r="F38" s="273"/>
      <c r="G38" s="273">
        <f>G36/$I36</f>
        <v>8.4997944194783112E-2</v>
      </c>
      <c r="H38" s="273"/>
      <c r="I38" s="273"/>
      <c r="M38"/>
      <c r="N38"/>
      <c r="O38"/>
    </row>
    <row r="39" spans="1:15" ht="15">
      <c r="A39" s="371"/>
      <c r="B39" s="371"/>
      <c r="C39" s="371"/>
      <c r="D39" s="371"/>
      <c r="E39" s="371"/>
      <c r="F39" s="371"/>
      <c r="G39" s="371"/>
      <c r="H39" s="371"/>
      <c r="I39" s="371"/>
      <c r="M39"/>
      <c r="N39"/>
      <c r="O39"/>
    </row>
    <row r="40" spans="1:15" ht="15">
      <c r="A40" s="367" t="s">
        <v>297</v>
      </c>
      <c r="B40" s="367"/>
      <c r="C40" s="367"/>
      <c r="D40" s="367"/>
      <c r="E40" s="50" t="s">
        <v>289</v>
      </c>
      <c r="F40" s="50"/>
      <c r="G40" s="50" t="s">
        <v>289</v>
      </c>
      <c r="H40" s="50"/>
      <c r="I40" s="50" t="s">
        <v>289</v>
      </c>
      <c r="M40"/>
      <c r="N40"/>
      <c r="O40"/>
    </row>
    <row r="41" spans="1:15" ht="15">
      <c r="A41" s="366" t="s">
        <v>290</v>
      </c>
      <c r="B41" s="366"/>
      <c r="C41" s="366"/>
      <c r="D41" s="366"/>
      <c r="E41" s="290">
        <f>VLOOKUP(1783,Base_Periodo1[[#All],[CONTA]:[VALOR BALANÇO]],10,FALSE)</f>
        <v>17723262.720000286</v>
      </c>
      <c r="F41" s="288">
        <f t="shared" ref="F41" si="19">IF(ISERROR(E41/$I41),0,E41/$I41)</f>
        <v>0.85928361999402814</v>
      </c>
      <c r="G41" s="290">
        <f>VLOOKUP(6348,Base_Periodo1[[#All],[CONTA]:[VALOR BALANÇO]],10,FALSE)</f>
        <v>2902363.4499986954</v>
      </c>
      <c r="H41" s="288">
        <f t="shared" ref="H41" si="20">IF(ISERROR(G41/$I41),0,G41/$I41)</f>
        <v>0.14071638000597189</v>
      </c>
      <c r="I41" s="162">
        <f>E41+G41</f>
        <v>20625626.169998981</v>
      </c>
      <c r="M41"/>
      <c r="N41"/>
      <c r="O41"/>
    </row>
    <row r="42" spans="1:15" ht="15">
      <c r="A42" s="366" t="s">
        <v>291</v>
      </c>
      <c r="B42" s="366"/>
      <c r="C42" s="366"/>
      <c r="D42" s="366"/>
      <c r="E42" s="162"/>
      <c r="F42" s="288">
        <f>IF(ISERROR(E42/$I42),0,E42/$I42)</f>
        <v>0</v>
      </c>
      <c r="G42" s="290"/>
      <c r="H42" s="288">
        <f>IF(ISERROR(G42/$I42),0,G42/$I42)</f>
        <v>0</v>
      </c>
      <c r="I42" s="162">
        <f>E42+G42</f>
        <v>0</v>
      </c>
      <c r="M42"/>
      <c r="N42"/>
      <c r="O42"/>
    </row>
    <row r="43" spans="1:15" ht="15">
      <c r="A43" s="366" t="s">
        <v>292</v>
      </c>
      <c r="B43" s="366"/>
      <c r="C43" s="366"/>
      <c r="D43" s="366"/>
      <c r="E43" s="290">
        <f>IF(ISERR(-VLOOKUP(1787,Base_Periodo1[[#All],[CONTA]:[VALOR BALANÇO]],10,FALSE)),-VLOOKUP(1787,Base_Periodo1[[#All],[CONTA]:[VALOR BALANÇO]],10,FALSE),0)</f>
        <v>0</v>
      </c>
      <c r="F43" s="288">
        <f t="shared" ref="F43" si="21">IF(ISERROR(E43/$I43),0,E43/$I43)</f>
        <v>0</v>
      </c>
      <c r="G43" s="290">
        <f>IF(ISERR(-VLOOKUP(6352,Base_Periodo1[[#All],[CONTA]:[VALOR BALANÇO]],10,FALSE)),-VLOOKUP(6352,Base_Periodo1[[#All],[CONTA]:[VALOR BALANÇO]],10,FALSE),0)</f>
        <v>0</v>
      </c>
      <c r="H43" s="288">
        <f t="shared" ref="H43" si="22">IF(ISERROR(G43/$I43),0,G43/$I43)</f>
        <v>0</v>
      </c>
      <c r="I43" s="162">
        <f>E43+G43</f>
        <v>0</v>
      </c>
      <c r="M43"/>
      <c r="N43"/>
      <c r="O43"/>
    </row>
    <row r="44" spans="1:15" ht="15">
      <c r="A44" s="366" t="s">
        <v>293</v>
      </c>
      <c r="B44" s="366"/>
      <c r="C44" s="366"/>
      <c r="D44" s="366"/>
      <c r="E44" s="290">
        <f>-VLOOKUP(1789,Base_Periodo1[[#All],[CONTA]:[VALOR BALANÇO]],10,FALSE)</f>
        <v>-616841.75999999465</v>
      </c>
      <c r="F44" s="288">
        <f t="shared" ref="F44" si="23">IF(ISERROR(E44/$I44),0,E44/$I44)</f>
        <v>0.85928361326691927</v>
      </c>
      <c r="G44" s="290">
        <f>-VLOOKUP(6354,Base_Periodo1[[#All],[CONTA]:[VALOR BALANÇO]],10,FALSE)</f>
        <v>-101014.08000004629</v>
      </c>
      <c r="H44" s="288">
        <f t="shared" ref="H44" si="24">IF(ISERROR(G44/$I44),0,G44/$I44)</f>
        <v>0.14071638673308073</v>
      </c>
      <c r="I44" s="162">
        <f>E44+G44</f>
        <v>-717855.84000004095</v>
      </c>
      <c r="M44"/>
      <c r="N44"/>
      <c r="O44"/>
    </row>
    <row r="45" spans="1:15" ht="15">
      <c r="A45" s="366" t="s">
        <v>294</v>
      </c>
      <c r="B45" s="366"/>
      <c r="C45" s="366"/>
      <c r="D45" s="366"/>
      <c r="E45" s="290">
        <f>-VLOOKUP(1791,Base_Periodo1[[#All],[CONTA]:[VALOR BALANÇO]],10,FALSE)</f>
        <v>-14500361.440000122</v>
      </c>
      <c r="F45" s="288">
        <f t="shared" ref="F45" si="25">IF(ISERROR(E45/$I45),0,E45/$I45)</f>
        <v>0.8593464414811337</v>
      </c>
      <c r="G45" s="290">
        <f>-VLOOKUP(6356,Base_Periodo1[[#All],[CONTA]:[VALOR BALANÇO]],10,FALSE)</f>
        <v>-2373347.1600004826</v>
      </c>
      <c r="H45" s="288">
        <f t="shared" ref="H45" si="26">IF(ISERROR(G45/$I45),0,G45/$I45)</f>
        <v>0.1406535585188663</v>
      </c>
      <c r="I45" s="162">
        <f>E45+G45</f>
        <v>-16873708.600000605</v>
      </c>
      <c r="M45"/>
      <c r="N45"/>
      <c r="O45"/>
    </row>
    <row r="46" spans="1:15" ht="15">
      <c r="A46" s="367" t="s">
        <v>295</v>
      </c>
      <c r="B46" s="367"/>
      <c r="C46" s="367"/>
      <c r="D46" s="367"/>
      <c r="E46" s="160">
        <f>SUM(E41:E45)</f>
        <v>2606059.5200001691</v>
      </c>
      <c r="F46" s="160"/>
      <c r="G46" s="160">
        <f>SUM(G41:G45)</f>
        <v>428002.20999816665</v>
      </c>
      <c r="H46" s="160"/>
      <c r="I46" s="160">
        <f>SUM(I41:I45)</f>
        <v>3034061.7299983352</v>
      </c>
      <c r="J46" s="47">
        <f>-VLOOKUP(1782,Base_Periodo1[[#All],[CONTA]:[VALOR BALANÇO]],10,FALSE)+E46</f>
        <v>17806.800000006333</v>
      </c>
      <c r="K46" s="47">
        <f>-VLOOKUP(6347,Base_Periodo1[[#All],[CONTA]:[VALOR BALANÇO]],10,FALSE)+G46</f>
        <v>2916.0399999232031</v>
      </c>
      <c r="M46"/>
      <c r="N46"/>
      <c r="O46"/>
    </row>
    <row r="47" spans="1:15" s="159" customFormat="1" ht="15">
      <c r="A47" s="365" t="s">
        <v>4531</v>
      </c>
      <c r="B47" s="365"/>
      <c r="C47" s="365"/>
      <c r="D47" s="365"/>
      <c r="E47" s="273">
        <f>E46/(E41+E43)</f>
        <v>0.14704174740124412</v>
      </c>
      <c r="F47" s="273"/>
      <c r="G47" s="273">
        <f>G46/(G41+G43)</f>
        <v>0.14746678607682956</v>
      </c>
      <c r="H47" s="273"/>
      <c r="I47" s="273">
        <f>I46/(I41+I43)</f>
        <v>0.14710155730503502</v>
      </c>
      <c r="J47" s="47"/>
      <c r="K47" s="47"/>
      <c r="M47"/>
      <c r="N47"/>
      <c r="O47"/>
    </row>
    <row r="48" spans="1:15" s="159" customFormat="1" ht="15">
      <c r="A48" s="365" t="s">
        <v>5560</v>
      </c>
      <c r="B48" s="365"/>
      <c r="C48" s="365"/>
      <c r="D48" s="365"/>
      <c r="E48" s="273">
        <f>E46/$I46</f>
        <v>0.85893424455856371</v>
      </c>
      <c r="F48" s="273"/>
      <c r="G48" s="273">
        <f>G46/$I46</f>
        <v>0.14106575544143643</v>
      </c>
      <c r="H48" s="273"/>
      <c r="I48" s="273"/>
      <c r="M48"/>
      <c r="N48"/>
      <c r="O48"/>
    </row>
    <row r="49" spans="1:15" ht="15">
      <c r="A49" s="371"/>
      <c r="B49" s="371"/>
      <c r="C49" s="371"/>
      <c r="D49" s="371"/>
      <c r="E49" s="371"/>
      <c r="F49" s="371"/>
      <c r="G49" s="371"/>
      <c r="H49" s="371"/>
      <c r="I49" s="371"/>
      <c r="M49"/>
      <c r="N49"/>
      <c r="O49"/>
    </row>
    <row r="50" spans="1:15" s="159" customFormat="1" ht="15">
      <c r="A50" s="367" t="s">
        <v>298</v>
      </c>
      <c r="B50" s="367"/>
      <c r="C50" s="367"/>
      <c r="D50" s="367"/>
      <c r="E50" s="50" t="s">
        <v>289</v>
      </c>
      <c r="F50" s="50"/>
      <c r="G50" s="50" t="s">
        <v>289</v>
      </c>
      <c r="H50" s="50"/>
      <c r="I50" s="50" t="s">
        <v>289</v>
      </c>
      <c r="M50"/>
      <c r="N50"/>
      <c r="O50"/>
    </row>
    <row r="51" spans="1:15" ht="15">
      <c r="A51" s="366" t="s">
        <v>290</v>
      </c>
      <c r="B51" s="366"/>
      <c r="C51" s="366"/>
      <c r="D51" s="366"/>
      <c r="E51" s="290">
        <f>VLOOKUP(1813,Base_Periodo1[[#All],[CONTA]:[VALOR BALANÇO]],10,FALSE)</f>
        <v>10771758.570000239</v>
      </c>
      <c r="F51" s="288">
        <f t="shared" ref="F51" si="27">IF(ISERROR(E51/$I51),0,E51/$I51)</f>
        <v>0.93982527785351366</v>
      </c>
      <c r="G51" s="290">
        <f>VLOOKUP(6383,Base_Periodo1[[#All],[CONTA]:[VALOR BALANÇO]],10,FALSE)</f>
        <v>689689.44999990426</v>
      </c>
      <c r="H51" s="288">
        <f t="shared" ref="H51" si="28">IF(ISERROR(G51/$I51),0,G51/$I51)</f>
        <v>6.0174722146486309E-2</v>
      </c>
      <c r="I51" s="162">
        <f>E51+G51</f>
        <v>11461448.020000143</v>
      </c>
      <c r="M51"/>
      <c r="N51"/>
      <c r="O51"/>
    </row>
    <row r="52" spans="1:15" ht="15">
      <c r="A52" s="366" t="s">
        <v>291</v>
      </c>
      <c r="B52" s="366"/>
      <c r="C52" s="366"/>
      <c r="D52" s="366"/>
      <c r="E52" s="162"/>
      <c r="F52" s="288">
        <f>IF(ISERROR(E52/$I52),0,E52/$I52)</f>
        <v>0</v>
      </c>
      <c r="G52" s="290"/>
      <c r="H52" s="288">
        <f>IF(ISERROR(G52/$I52),0,G52/$I52)</f>
        <v>0</v>
      </c>
      <c r="I52" s="162">
        <f>E52+G52</f>
        <v>0</v>
      </c>
      <c r="M52"/>
      <c r="N52"/>
      <c r="O52"/>
    </row>
    <row r="53" spans="1:15" ht="15">
      <c r="A53" s="366" t="s">
        <v>292</v>
      </c>
      <c r="B53" s="366"/>
      <c r="C53" s="366"/>
      <c r="D53" s="366"/>
      <c r="E53" s="290">
        <f>IF(ISERROR(-VLOOKUP(20210,Base_Periodo1[[#All],[CONTA]:[VALOR BALANÇO]],10,FALSE)),0,-VLOOKUP(20210,Base_Periodo1[[#All],[CONTA]:[VALOR BALANÇO]],10,FALSE))</f>
        <v>0</v>
      </c>
      <c r="F53" s="288">
        <f t="shared" ref="F53" si="29">IF(ISERROR(E53/$I53),0,E53/$I53)</f>
        <v>0</v>
      </c>
      <c r="G53" s="290"/>
      <c r="H53" s="288">
        <f t="shared" ref="H53" si="30">IF(ISERROR(G53/$I53),0,G53/$I53)</f>
        <v>0</v>
      </c>
      <c r="I53" s="162">
        <f>E53+G53</f>
        <v>0</v>
      </c>
      <c r="M53"/>
      <c r="N53"/>
      <c r="O53"/>
    </row>
    <row r="54" spans="1:15" s="274" customFormat="1" ht="15">
      <c r="A54" s="366" t="s">
        <v>293</v>
      </c>
      <c r="B54" s="366"/>
      <c r="C54" s="366"/>
      <c r="D54" s="366"/>
      <c r="E54" s="290">
        <f>-VLOOKUP(1814,Base_Periodo1[[#All],[CONTA]:[VALOR BALANÇO]],10,FALSE)</f>
        <v>-85471.790000000619</v>
      </c>
      <c r="F54" s="288">
        <f t="shared" ref="F54" si="31">IF(ISERROR(E54/$I54),0,E54/$I54)</f>
        <v>0.93982528214518879</v>
      </c>
      <c r="G54" s="290">
        <f>-VLOOKUP(6384,Base_Periodo1[[#All],[CONTA]:[VALOR BALANÇO]],10,FALSE)</f>
        <v>-5472.5499999915482</v>
      </c>
      <c r="H54" s="288">
        <f t="shared" ref="H54" si="32">IF(ISERROR(G54/$I54),0,G54/$I54)</f>
        <v>6.017471785481119E-2</v>
      </c>
      <c r="I54" s="162">
        <f>E54+G54</f>
        <v>-90944.339999992168</v>
      </c>
      <c r="M54"/>
      <c r="N54"/>
      <c r="O54"/>
    </row>
    <row r="55" spans="1:15" ht="15">
      <c r="A55" s="366" t="s">
        <v>294</v>
      </c>
      <c r="B55" s="366"/>
      <c r="C55" s="366"/>
      <c r="D55" s="366"/>
      <c r="E55" s="290">
        <f>-VLOOKUP(1823,Base_Periodo1[[#All],[CONTA]:[VALOR BALANÇO]],10,FALSE)</f>
        <v>-11894831.310000043</v>
      </c>
      <c r="F55" s="288">
        <f t="shared" ref="F55" si="33">IF(ISERROR(E55/$I55),0,E55/$I55)</f>
        <v>0.94370689498127025</v>
      </c>
      <c r="G55" s="290">
        <f>-VLOOKUP(6386,Base_Periodo1[[#All],[CONTA]:[VALOR BALANÇO]],10,FALSE)</f>
        <v>-709539.14999974333</v>
      </c>
      <c r="H55" s="288">
        <f t="shared" ref="H55" si="34">IF(ISERROR(G55/$I55),0,G55/$I55)</f>
        <v>5.6293105018729778E-2</v>
      </c>
      <c r="I55" s="162">
        <f>E55+G55</f>
        <v>-12604370.459999787</v>
      </c>
      <c r="M55"/>
      <c r="N55"/>
      <c r="O55"/>
    </row>
    <row r="56" spans="1:15" s="159" customFormat="1" ht="15">
      <c r="A56" s="367" t="s">
        <v>295</v>
      </c>
      <c r="B56" s="367"/>
      <c r="C56" s="367"/>
      <c r="D56" s="367"/>
      <c r="E56" s="160">
        <f>SUM(E51:E55)</f>
        <v>-1208544.5299998056</v>
      </c>
      <c r="F56" s="160"/>
      <c r="G56" s="160">
        <f>SUM(G51:G55)</f>
        <v>-25322.249999830616</v>
      </c>
      <c r="H56" s="160"/>
      <c r="I56" s="160">
        <f>SUM(I51:I55)</f>
        <v>-1233866.7799996361</v>
      </c>
      <c r="J56" s="47">
        <f>-VLOOKUP(1812,Base_Periodo1[[#All],[CONTA]:[VALOR BALANÇO]],10,FALSE)+E56</f>
        <v>-2417089.0599996094</v>
      </c>
      <c r="K56" s="47">
        <f>-VLOOKUP(6382,Base_Periodo1[[#All],[CONTA]:[VALOR BALANÇO]],10,FALSE)+G56</f>
        <v>-50644.499999662978</v>
      </c>
      <c r="M56"/>
      <c r="N56"/>
      <c r="O56"/>
    </row>
    <row r="57" spans="1:15" s="159" customFormat="1" ht="15">
      <c r="A57" s="365" t="s">
        <v>4531</v>
      </c>
      <c r="B57" s="365"/>
      <c r="C57" s="365"/>
      <c r="D57" s="365"/>
      <c r="E57" s="273">
        <f>E56/(E51+E53)</f>
        <v>-0.11219565701794028</v>
      </c>
      <c r="F57" s="273"/>
      <c r="G57" s="273">
        <f>G56/(G51+G53)</f>
        <v>-3.6715437650719655E-2</v>
      </c>
      <c r="H57" s="273"/>
      <c r="I57" s="273">
        <f>I56/(I51+I53)</f>
        <v>-0.10765365578996193</v>
      </c>
      <c r="M57"/>
      <c r="N57"/>
      <c r="O57"/>
    </row>
    <row r="58" spans="1:15" s="159" customFormat="1" ht="15">
      <c r="A58" s="365" t="s">
        <v>5560</v>
      </c>
      <c r="B58" s="365"/>
      <c r="C58" s="365"/>
      <c r="D58" s="365"/>
      <c r="E58" s="273">
        <f>E56/$I56</f>
        <v>0.97947732250329489</v>
      </c>
      <c r="F58" s="273"/>
      <c r="G58" s="273">
        <f>G56/$I56</f>
        <v>2.0522677496705184E-2</v>
      </c>
      <c r="H58" s="273"/>
      <c r="I58" s="273"/>
      <c r="M58"/>
      <c r="N58"/>
      <c r="O58"/>
    </row>
    <row r="59" spans="1:15" ht="15">
      <c r="A59" s="370"/>
      <c r="B59" s="370"/>
      <c r="C59" s="370"/>
      <c r="D59" s="370"/>
      <c r="E59" s="370"/>
      <c r="F59" s="370"/>
      <c r="G59" s="370"/>
      <c r="H59" s="370"/>
      <c r="I59" s="370"/>
      <c r="M59"/>
      <c r="N59"/>
      <c r="O59"/>
    </row>
    <row r="60" spans="1:15" ht="15">
      <c r="A60" s="367" t="s">
        <v>341</v>
      </c>
      <c r="B60" s="367"/>
      <c r="C60" s="367"/>
      <c r="D60" s="367"/>
      <c r="E60" s="50" t="s">
        <v>289</v>
      </c>
      <c r="F60" s="50"/>
      <c r="G60" s="50" t="s">
        <v>289</v>
      </c>
      <c r="H60" s="50"/>
      <c r="I60" s="50" t="s">
        <v>289</v>
      </c>
      <c r="M60"/>
      <c r="N60"/>
      <c r="O60"/>
    </row>
    <row r="61" spans="1:15" ht="15">
      <c r="A61" s="366" t="s">
        <v>290</v>
      </c>
      <c r="B61" s="366"/>
      <c r="C61" s="366"/>
      <c r="D61" s="366"/>
      <c r="E61" s="290">
        <f>IF(ISERROR(VLOOKUP(1794,Base_Periodo1[[#All],[CONTA]:[VALOR BALANÇO]],10,FALSE)),0,VLOOKUP(1794,Base_Periodo1[[#All],[CONTA]:[VALOR BALANÇO]],10,FALSE))</f>
        <v>0</v>
      </c>
      <c r="F61" s="288">
        <f t="shared" ref="F61" si="35">IF(ISERROR(E61/$I61),0,E61/$I61)</f>
        <v>0</v>
      </c>
      <c r="G61" s="162"/>
      <c r="H61" s="288">
        <f t="shared" ref="H61" si="36">IF(ISERROR(G61/$I61),0,G61/$I61)</f>
        <v>0</v>
      </c>
      <c r="I61" s="162">
        <f>E61+G61</f>
        <v>0</v>
      </c>
      <c r="M61"/>
      <c r="N61"/>
      <c r="O61"/>
    </row>
    <row r="62" spans="1:15" ht="15">
      <c r="A62" s="366" t="s">
        <v>291</v>
      </c>
      <c r="B62" s="366"/>
      <c r="C62" s="366"/>
      <c r="D62" s="366"/>
      <c r="E62" s="162"/>
      <c r="F62" s="288">
        <f>IF(ISERROR(E62/$I62),0,E62/$I62)</f>
        <v>0</v>
      </c>
      <c r="G62" s="162"/>
      <c r="H62" s="288">
        <f>IF(ISERROR(G62/$I62),0,G62/$I62)</f>
        <v>0</v>
      </c>
      <c r="I62" s="162">
        <f>G62+E62</f>
        <v>0</v>
      </c>
      <c r="M62"/>
      <c r="N62"/>
      <c r="O62"/>
    </row>
    <row r="63" spans="1:15" ht="15">
      <c r="A63" s="366" t="s">
        <v>292</v>
      </c>
      <c r="B63" s="366"/>
      <c r="C63" s="366"/>
      <c r="D63" s="366"/>
      <c r="E63" s="162"/>
      <c r="F63" s="288">
        <f t="shared" ref="F63" si="37">IF(ISERROR(E63/$I63),0,E63/$I63)</f>
        <v>0</v>
      </c>
      <c r="G63" s="162"/>
      <c r="H63" s="288">
        <f t="shared" ref="H63" si="38">IF(ISERROR(G63/$I63),0,G63/$I63)</f>
        <v>0</v>
      </c>
      <c r="I63" s="162">
        <f>E63+G63</f>
        <v>0</v>
      </c>
      <c r="M63"/>
      <c r="N63"/>
      <c r="O63"/>
    </row>
    <row r="64" spans="1:15" ht="15">
      <c r="A64" s="366" t="s">
        <v>293</v>
      </c>
      <c r="B64" s="366"/>
      <c r="C64" s="366"/>
      <c r="D64" s="366"/>
      <c r="E64" s="162"/>
      <c r="F64" s="288">
        <f t="shared" ref="F64" si="39">IF(ISERROR(E64/$I64),0,E64/$I64)</f>
        <v>0</v>
      </c>
      <c r="G64" s="162"/>
      <c r="H64" s="288">
        <f t="shared" ref="H64" si="40">IF(ISERROR(G64/$I64),0,G64/$I64)</f>
        <v>0</v>
      </c>
      <c r="I64" s="162">
        <f>E64+G64</f>
        <v>0</v>
      </c>
      <c r="M64"/>
      <c r="N64"/>
      <c r="O64"/>
    </row>
    <row r="65" spans="1:15" ht="15">
      <c r="A65" s="366" t="s">
        <v>294</v>
      </c>
      <c r="B65" s="366"/>
      <c r="C65" s="366"/>
      <c r="D65" s="366"/>
      <c r="E65" s="290">
        <f>IF(ISERROR(-VLOOKUP(1798,Base_Periodo1[[#All],[CONTA]:[VALOR BALANÇO]],10,FALSE)),0,-VLOOKUP(1798,Base_Periodo1[[#All],[CONTA]:[VALOR BALANÇO]],10,FALSE))</f>
        <v>0</v>
      </c>
      <c r="F65" s="288">
        <f t="shared" ref="F65" si="41">IF(ISERROR(E65/$I65),0,E65/$I65)</f>
        <v>0</v>
      </c>
      <c r="G65" s="162"/>
      <c r="H65" s="288">
        <f t="shared" ref="H65" si="42">IF(ISERROR(G65/$I65),0,G65/$I65)</f>
        <v>0</v>
      </c>
      <c r="I65" s="162">
        <f>E65+G65</f>
        <v>0</v>
      </c>
      <c r="M65"/>
      <c r="N65"/>
      <c r="O65"/>
    </row>
    <row r="66" spans="1:15" ht="15">
      <c r="A66" s="367" t="s">
        <v>295</v>
      </c>
      <c r="B66" s="367"/>
      <c r="C66" s="367"/>
      <c r="D66" s="367"/>
      <c r="E66" s="160">
        <f>SUM(E61:E65)</f>
        <v>0</v>
      </c>
      <c r="F66" s="160"/>
      <c r="G66" s="160">
        <f>SUM(G61:G65)</f>
        <v>0</v>
      </c>
      <c r="H66" s="160"/>
      <c r="I66" s="160">
        <f>SUM(I61:I65)</f>
        <v>0</v>
      </c>
      <c r="J66" s="47" t="e">
        <f>-VLOOKUP(1793,Base_Periodo1[[#All],[CONTA]:[VALOR BALANÇO]],10,FALSE)+E66</f>
        <v>#N/A</v>
      </c>
      <c r="K66" s="152" t="s">
        <v>5566</v>
      </c>
      <c r="M66"/>
      <c r="N66"/>
      <c r="O66"/>
    </row>
    <row r="67" spans="1:15" ht="15">
      <c r="A67" s="365" t="s">
        <v>4531</v>
      </c>
      <c r="B67" s="365"/>
      <c r="C67" s="365"/>
      <c r="D67" s="365"/>
      <c r="E67" s="273">
        <f>IF(ISERROR(E66/(E61+E63)),0,E66/(E61+E63))</f>
        <v>0</v>
      </c>
      <c r="F67" s="273"/>
      <c r="G67" s="273">
        <f>IF(ISERROR(G66/(G61+G63)),0,G66/(G61+G63))</f>
        <v>0</v>
      </c>
      <c r="H67" s="273"/>
      <c r="I67" s="273">
        <f>IF(ISERROR(I66/(I61+I63)),0,I66/(I61+I63))</f>
        <v>0</v>
      </c>
      <c r="J67" s="47"/>
      <c r="M67"/>
      <c r="N67"/>
      <c r="O67"/>
    </row>
    <row r="68" spans="1:15" s="159" customFormat="1" ht="15">
      <c r="A68" s="365" t="s">
        <v>5560</v>
      </c>
      <c r="B68" s="365"/>
      <c r="C68" s="365"/>
      <c r="D68" s="365"/>
      <c r="E68" s="273">
        <f>IF(ISERROR(E66/$I66),0,E66/$I66)</f>
        <v>0</v>
      </c>
      <c r="F68" s="273"/>
      <c r="G68" s="273">
        <f>IF(ISERROR(G66/$I66),0,G66/$I66)</f>
        <v>0</v>
      </c>
      <c r="H68" s="273"/>
      <c r="I68" s="273"/>
      <c r="M68"/>
      <c r="N68"/>
      <c r="O68"/>
    </row>
    <row r="69" spans="1:15" ht="15">
      <c r="A69" s="369"/>
      <c r="B69" s="369"/>
      <c r="C69" s="369"/>
      <c r="D69" s="369"/>
      <c r="E69" s="369"/>
      <c r="F69" s="369"/>
      <c r="G69" s="369"/>
      <c r="H69" s="369"/>
      <c r="I69" s="369"/>
      <c r="M69"/>
      <c r="N69"/>
      <c r="O69"/>
    </row>
    <row r="70" spans="1:15" ht="15">
      <c r="A70" s="367" t="s">
        <v>5557</v>
      </c>
      <c r="B70" s="367"/>
      <c r="C70" s="367"/>
      <c r="D70" s="367"/>
      <c r="E70" s="50" t="s">
        <v>289</v>
      </c>
      <c r="F70" s="50"/>
      <c r="G70" s="50" t="s">
        <v>289</v>
      </c>
      <c r="H70" s="50"/>
      <c r="I70" s="50" t="s">
        <v>289</v>
      </c>
      <c r="M70"/>
      <c r="N70"/>
      <c r="O70"/>
    </row>
    <row r="71" spans="1:15" ht="15">
      <c r="A71" s="366" t="s">
        <v>290</v>
      </c>
      <c r="B71" s="366"/>
      <c r="C71" s="366"/>
      <c r="D71" s="366"/>
      <c r="E71" s="290">
        <f>VLOOKUP(52647,Base_Periodo1[[#All],[CONTA]:[VALOR BALANÇO]],10,FALSE)</f>
        <v>257442.46000000008</v>
      </c>
      <c r="F71" s="288">
        <f t="shared" ref="F71" si="43">IF(ISERROR(E71/$I71),0,E71/$I71)</f>
        <v>0.60311994452024253</v>
      </c>
      <c r="G71" s="290">
        <f>VLOOKUP(52610,Base_Periodo1[[#All],[CONTA]:[VALOR BALANÇO]],10,FALSE)</f>
        <v>169408.72</v>
      </c>
      <c r="H71" s="288">
        <f t="shared" ref="H71" si="44">IF(ISERROR(G71/$I71),0,G71/$I71)</f>
        <v>0.39688005547975758</v>
      </c>
      <c r="I71" s="162">
        <f>E71+G71</f>
        <v>426851.18000000005</v>
      </c>
      <c r="M71"/>
      <c r="N71"/>
      <c r="O71"/>
    </row>
    <row r="72" spans="1:15" ht="15">
      <c r="A72" s="366" t="s">
        <v>291</v>
      </c>
      <c r="B72" s="366"/>
      <c r="C72" s="366"/>
      <c r="D72" s="366"/>
      <c r="E72" s="162"/>
      <c r="F72" s="288">
        <f>IF(ISERROR(E72/$I72),0,E72/$I72)</f>
        <v>0</v>
      </c>
      <c r="G72" s="162"/>
      <c r="H72" s="288">
        <f>IF(ISERROR(G72/$I72),0,G72/$I72)</f>
        <v>0</v>
      </c>
      <c r="I72" s="162">
        <f>G72+E72</f>
        <v>0</v>
      </c>
      <c r="M72"/>
      <c r="N72"/>
      <c r="O72"/>
    </row>
    <row r="73" spans="1:15" ht="15">
      <c r="A73" s="366" t="s">
        <v>292</v>
      </c>
      <c r="B73" s="366"/>
      <c r="C73" s="366"/>
      <c r="D73" s="366"/>
      <c r="E73" s="162"/>
      <c r="F73" s="288">
        <f t="shared" ref="F73" si="45">IF(ISERROR(E73/$I73),0,E73/$I73)</f>
        <v>0</v>
      </c>
      <c r="G73" s="162"/>
      <c r="H73" s="288">
        <f t="shared" ref="H73" si="46">IF(ISERROR(G73/$I73),0,G73/$I73)</f>
        <v>0</v>
      </c>
      <c r="I73" s="162">
        <f>E73+G73</f>
        <v>0</v>
      </c>
      <c r="M73"/>
      <c r="N73"/>
      <c r="O73"/>
    </row>
    <row r="74" spans="1:15" ht="15">
      <c r="A74" s="366" t="s">
        <v>293</v>
      </c>
      <c r="B74" s="366"/>
      <c r="C74" s="366"/>
      <c r="D74" s="366"/>
      <c r="E74" s="162"/>
      <c r="F74" s="288">
        <f t="shared" ref="F74" si="47">IF(ISERROR(E74/$I74),0,E74/$I74)</f>
        <v>0</v>
      </c>
      <c r="G74" s="290">
        <f>-VLOOKUP(52613,Base_Periodo1[[#All],[CONTA]:[VALOR BALANÇO]],10,FALSE)</f>
        <v>-13969.07</v>
      </c>
      <c r="H74" s="288">
        <f t="shared" ref="H74" si="48">IF(ISERROR(G74/$I74),0,G74/$I74)</f>
        <v>1</v>
      </c>
      <c r="I74" s="162">
        <f>E74+G74</f>
        <v>-13969.07</v>
      </c>
      <c r="M74"/>
      <c r="N74"/>
      <c r="O74"/>
    </row>
    <row r="75" spans="1:15" ht="15">
      <c r="A75" s="366" t="s">
        <v>294</v>
      </c>
      <c r="B75" s="366"/>
      <c r="C75" s="366"/>
      <c r="D75" s="366"/>
      <c r="E75" s="290">
        <v>0</v>
      </c>
      <c r="F75" s="288">
        <f t="shared" ref="F75" si="49">IF(ISERROR(E75/$I75),0,E75/$I75)</f>
        <v>0</v>
      </c>
      <c r="G75" s="290">
        <f>-VLOOKUP(52615,Base_Periodo1[[#All],[CONTA]:[VALOR BALANÇO]],10,FALSE)</f>
        <v>-175469.61</v>
      </c>
      <c r="H75" s="288">
        <f t="shared" ref="H75" si="50">IF(ISERROR(G75/$I75),0,G75/$I75)</f>
        <v>1</v>
      </c>
      <c r="I75" s="162">
        <f>E75+G75</f>
        <v>-175469.61</v>
      </c>
      <c r="M75"/>
      <c r="N75"/>
      <c r="O75"/>
    </row>
    <row r="76" spans="1:15" ht="15">
      <c r="A76" s="367" t="s">
        <v>295</v>
      </c>
      <c r="B76" s="367"/>
      <c r="C76" s="367"/>
      <c r="D76" s="367"/>
      <c r="E76" s="160">
        <f>SUM(E71:E75)</f>
        <v>257442.46000000008</v>
      </c>
      <c r="F76" s="160"/>
      <c r="G76" s="160">
        <f>SUM(G71:G75)</f>
        <v>-20029.959999999992</v>
      </c>
      <c r="H76" s="160"/>
      <c r="I76" s="160">
        <f>SUM(I71:I75)</f>
        <v>237412.50000000006</v>
      </c>
      <c r="J76" s="47">
        <f>-VLOOKUP(52646,Base_Periodo1[[#All],[CONTA]:[VALOR BALANÇO]],10,FALSE)+E76</f>
        <v>192544.31999999998</v>
      </c>
      <c r="K76" s="47">
        <f>-VLOOKUP(52609,Base_Periodo1[[#All],[CONTA]:[VALOR BALANÇO]],10,FALSE)-G76</f>
        <v>0</v>
      </c>
      <c r="M76"/>
      <c r="N76"/>
      <c r="O76"/>
    </row>
    <row r="77" spans="1:15" ht="15">
      <c r="A77" s="365" t="s">
        <v>4531</v>
      </c>
      <c r="B77" s="365"/>
      <c r="C77" s="365"/>
      <c r="D77" s="365"/>
      <c r="E77" s="273">
        <f>E76/(E71+E73)</f>
        <v>1</v>
      </c>
      <c r="F77" s="273"/>
      <c r="G77" s="273">
        <f>G76/(G71+G73)</f>
        <v>-0.11823452771498416</v>
      </c>
      <c r="H77" s="273"/>
      <c r="I77" s="273">
        <f>I76/(I71+I73)</f>
        <v>0.55619501860109655</v>
      </c>
      <c r="J77" s="47"/>
    </row>
    <row r="78" spans="1:15" s="159" customFormat="1" ht="15">
      <c r="A78" s="365" t="s">
        <v>5560</v>
      </c>
      <c r="B78" s="365"/>
      <c r="C78" s="365"/>
      <c r="D78" s="365"/>
      <c r="E78" s="273">
        <f>E76/$I76</f>
        <v>1.0843677565418839</v>
      </c>
      <c r="F78" s="273"/>
      <c r="G78" s="273">
        <f>G76/$I76</f>
        <v>-8.4367756541883804E-2</v>
      </c>
      <c r="H78" s="273"/>
      <c r="I78" s="273"/>
    </row>
    <row r="79" spans="1:15" ht="15">
      <c r="A79" s="369"/>
      <c r="B79" s="369"/>
      <c r="C79" s="369"/>
      <c r="D79" s="369"/>
      <c r="E79" s="369"/>
      <c r="F79" s="369"/>
      <c r="G79" s="369"/>
      <c r="H79" s="369"/>
      <c r="I79" s="369"/>
    </row>
    <row r="80" spans="1:15" s="159" customFormat="1" ht="15">
      <c r="A80" s="367" t="s">
        <v>299</v>
      </c>
      <c r="B80" s="367"/>
      <c r="C80" s="367"/>
      <c r="D80" s="367"/>
      <c r="E80" s="50" t="s">
        <v>289</v>
      </c>
      <c r="F80" s="50"/>
      <c r="G80" s="50" t="s">
        <v>289</v>
      </c>
      <c r="H80" s="50"/>
      <c r="I80" s="50" t="s">
        <v>289</v>
      </c>
    </row>
    <row r="81" spans="1:9">
      <c r="A81" s="366" t="s">
        <v>290</v>
      </c>
      <c r="B81" s="366"/>
      <c r="C81" s="366"/>
      <c r="D81" s="366"/>
      <c r="E81" s="162">
        <v>0</v>
      </c>
      <c r="F81" s="288">
        <f t="shared" ref="F81" si="51">IF(ISERROR(E81/$I81),0,E81/$I81)</f>
        <v>0</v>
      </c>
      <c r="G81" s="162">
        <v>0</v>
      </c>
      <c r="H81" s="288">
        <f t="shared" ref="H81" si="52">IF(ISERROR(G81/$I81),0,G81/$I81)</f>
        <v>0</v>
      </c>
      <c r="I81" s="162">
        <f>E81+G81</f>
        <v>0</v>
      </c>
    </row>
    <row r="82" spans="1:9">
      <c r="A82" s="366" t="s">
        <v>291</v>
      </c>
      <c r="B82" s="366"/>
      <c r="C82" s="366"/>
      <c r="D82" s="366"/>
      <c r="E82" s="162"/>
      <c r="F82" s="288">
        <f>IF(ISERROR(E82/$I82),0,E82/$I82)</f>
        <v>0</v>
      </c>
      <c r="G82" s="162">
        <v>0</v>
      </c>
      <c r="H82" s="288">
        <f>IF(ISERROR(G82/$I82),0,G82/$I82)</f>
        <v>0</v>
      </c>
      <c r="I82" s="162">
        <f>G82+E82</f>
        <v>0</v>
      </c>
    </row>
    <row r="83" spans="1:9">
      <c r="A83" s="366" t="s">
        <v>292</v>
      </c>
      <c r="B83" s="366"/>
      <c r="C83" s="366"/>
      <c r="D83" s="366"/>
      <c r="E83" s="162">
        <v>0</v>
      </c>
      <c r="F83" s="288">
        <f t="shared" ref="F83" si="53">IF(ISERROR(E83/$I83),0,E83/$I83)</f>
        <v>0</v>
      </c>
      <c r="G83" s="162">
        <v>0</v>
      </c>
      <c r="H83" s="288">
        <f t="shared" ref="H83" si="54">IF(ISERROR(G83/$I83),0,G83/$I83)</f>
        <v>0</v>
      </c>
      <c r="I83" s="162">
        <f>E83+G83</f>
        <v>0</v>
      </c>
    </row>
    <row r="84" spans="1:9">
      <c r="A84" s="366" t="s">
        <v>293</v>
      </c>
      <c r="B84" s="366"/>
      <c r="C84" s="366"/>
      <c r="D84" s="366"/>
      <c r="E84" s="162"/>
      <c r="F84" s="288">
        <f t="shared" ref="F84" si="55">IF(ISERROR(E84/$I84),0,E84/$I84)</f>
        <v>0</v>
      </c>
      <c r="G84" s="162">
        <v>0</v>
      </c>
      <c r="H84" s="288">
        <f t="shared" ref="H84" si="56">IF(ISERROR(G84/$I84),0,G84/$I84)</f>
        <v>0</v>
      </c>
      <c r="I84" s="162">
        <f>E84+G84</f>
        <v>0</v>
      </c>
    </row>
    <row r="85" spans="1:9">
      <c r="A85" s="366" t="s">
        <v>294</v>
      </c>
      <c r="B85" s="366"/>
      <c r="C85" s="366"/>
      <c r="D85" s="366"/>
      <c r="E85" s="162"/>
      <c r="F85" s="288">
        <f t="shared" ref="F85" si="57">IF(ISERROR(E85/$I85),0,E85/$I85)</f>
        <v>0</v>
      </c>
      <c r="G85" s="162">
        <v>0</v>
      </c>
      <c r="H85" s="288">
        <f t="shared" ref="H85" si="58">IF(ISERROR(G85/$I85),0,G85/$I85)</f>
        <v>0</v>
      </c>
      <c r="I85" s="162">
        <f>E85+G85</f>
        <v>0</v>
      </c>
    </row>
    <row r="86" spans="1:9" s="159" customFormat="1" ht="15">
      <c r="A86" s="367" t="s">
        <v>295</v>
      </c>
      <c r="B86" s="367"/>
      <c r="C86" s="367"/>
      <c r="D86" s="367"/>
      <c r="E86" s="160">
        <f>SUM(E81:E85)</f>
        <v>0</v>
      </c>
      <c r="F86" s="160"/>
      <c r="G86" s="160">
        <f>SUM(G81:G85)</f>
        <v>0</v>
      </c>
      <c r="H86" s="160"/>
      <c r="I86" s="160">
        <f>SUM(I81:I85)</f>
        <v>0</v>
      </c>
    </row>
    <row r="87" spans="1:9" s="159" customFormat="1" ht="15">
      <c r="A87" s="365" t="s">
        <v>5560</v>
      </c>
      <c r="B87" s="365"/>
      <c r="C87" s="365"/>
      <c r="D87" s="365"/>
      <c r="E87" s="273">
        <f>IF(ISERROR(E85/$I85),0,E85/$I85)</f>
        <v>0</v>
      </c>
      <c r="F87" s="273"/>
      <c r="G87" s="273">
        <f>IF(ISERROR(G85/$I85),0,G85/$I85)</f>
        <v>0</v>
      </c>
      <c r="H87" s="273"/>
      <c r="I87" s="273"/>
    </row>
    <row r="88" spans="1:9" ht="15">
      <c r="A88" s="369"/>
      <c r="B88" s="369"/>
      <c r="C88" s="369"/>
      <c r="D88" s="369"/>
      <c r="E88" s="369"/>
      <c r="F88" s="369"/>
      <c r="G88" s="369"/>
      <c r="H88" s="369"/>
      <c r="I88" s="369"/>
    </row>
    <row r="89" spans="1:9">
      <c r="A89" s="368"/>
      <c r="B89" s="368"/>
      <c r="C89" s="368"/>
      <c r="D89" s="368"/>
      <c r="E89" s="368"/>
      <c r="F89" s="368"/>
      <c r="G89" s="368"/>
      <c r="H89" s="368"/>
      <c r="I89" s="368"/>
    </row>
    <row r="90" spans="1:9">
      <c r="A90" s="368"/>
      <c r="B90" s="368"/>
      <c r="C90" s="368"/>
      <c r="D90" s="368"/>
      <c r="E90" s="368"/>
      <c r="F90" s="368"/>
      <c r="G90" s="368"/>
      <c r="H90" s="368"/>
      <c r="I90" s="368"/>
    </row>
    <row r="91" spans="1:9">
      <c r="A91" s="368"/>
      <c r="B91" s="368"/>
      <c r="C91" s="368"/>
      <c r="D91" s="368"/>
      <c r="E91" s="368"/>
      <c r="F91" s="368"/>
      <c r="G91" s="368"/>
      <c r="H91" s="368"/>
      <c r="I91" s="368"/>
    </row>
    <row r="92" spans="1:9">
      <c r="A92" s="368"/>
      <c r="B92" s="368"/>
      <c r="C92" s="368"/>
      <c r="D92" s="368"/>
      <c r="E92" s="368"/>
      <c r="F92" s="368"/>
      <c r="G92" s="368"/>
      <c r="H92" s="368"/>
      <c r="I92" s="368"/>
    </row>
    <row r="93" spans="1:9">
      <c r="A93" s="368"/>
      <c r="B93" s="368"/>
      <c r="C93" s="368"/>
      <c r="D93" s="368"/>
      <c r="E93" s="368"/>
      <c r="F93" s="368"/>
      <c r="G93" s="368"/>
      <c r="H93" s="368"/>
      <c r="I93" s="368"/>
    </row>
  </sheetData>
  <mergeCells count="92">
    <mergeCell ref="D1:I1"/>
    <mergeCell ref="D2:I2"/>
    <mergeCell ref="A4:I4"/>
    <mergeCell ref="D5:I5"/>
    <mergeCell ref="D6:I6"/>
    <mergeCell ref="A28:D28"/>
    <mergeCell ref="D7:I7"/>
    <mergeCell ref="A22:D22"/>
    <mergeCell ref="A23:D23"/>
    <mergeCell ref="A24:D24"/>
    <mergeCell ref="A8:I8"/>
    <mergeCell ref="A9:D10"/>
    <mergeCell ref="A20:D20"/>
    <mergeCell ref="E9:F9"/>
    <mergeCell ref="G9:H9"/>
    <mergeCell ref="A21:D21"/>
    <mergeCell ref="A25:D25"/>
    <mergeCell ref="A26:D26"/>
    <mergeCell ref="A27:D27"/>
    <mergeCell ref="A29:I29"/>
    <mergeCell ref="A53:D53"/>
    <mergeCell ref="A54:D54"/>
    <mergeCell ref="A42:D42"/>
    <mergeCell ref="A43:D43"/>
    <mergeCell ref="A30:D30"/>
    <mergeCell ref="A31:D31"/>
    <mergeCell ref="A32:D32"/>
    <mergeCell ref="A33:D33"/>
    <mergeCell ref="A34:D34"/>
    <mergeCell ref="A35:D35"/>
    <mergeCell ref="A37:D37"/>
    <mergeCell ref="A39:I39"/>
    <mergeCell ref="A40:D40"/>
    <mergeCell ref="A41:D41"/>
    <mergeCell ref="A36:D36"/>
    <mergeCell ref="A55:D55"/>
    <mergeCell ref="A56:D56"/>
    <mergeCell ref="A59:I59"/>
    <mergeCell ref="A44:D44"/>
    <mergeCell ref="A45:D45"/>
    <mergeCell ref="A46:D46"/>
    <mergeCell ref="A49:I49"/>
    <mergeCell ref="A50:D50"/>
    <mergeCell ref="A51:D51"/>
    <mergeCell ref="A47:D47"/>
    <mergeCell ref="A57:D57"/>
    <mergeCell ref="A48:D48"/>
    <mergeCell ref="A58:D58"/>
    <mergeCell ref="A52:D52"/>
    <mergeCell ref="A84:D84"/>
    <mergeCell ref="A85:D85"/>
    <mergeCell ref="A86:D86"/>
    <mergeCell ref="A88:I88"/>
    <mergeCell ref="A66:D66"/>
    <mergeCell ref="A69:I69"/>
    <mergeCell ref="A80:D80"/>
    <mergeCell ref="A81:D81"/>
    <mergeCell ref="A82:D82"/>
    <mergeCell ref="A83:D83"/>
    <mergeCell ref="A67:D67"/>
    <mergeCell ref="A70:D70"/>
    <mergeCell ref="A71:D71"/>
    <mergeCell ref="A72:D72"/>
    <mergeCell ref="A73:D73"/>
    <mergeCell ref="A74:D74"/>
    <mergeCell ref="A75:D75"/>
    <mergeCell ref="A76:D76"/>
    <mergeCell ref="A77:D77"/>
    <mergeCell ref="A79:I79"/>
    <mergeCell ref="A68:D68"/>
    <mergeCell ref="A78:D78"/>
    <mergeCell ref="A92:I92"/>
    <mergeCell ref="A93:I93"/>
    <mergeCell ref="A89:I89"/>
    <mergeCell ref="A90:I90"/>
    <mergeCell ref="A91:I91"/>
    <mergeCell ref="A87:D87"/>
    <mergeCell ref="A11:D11"/>
    <mergeCell ref="A12:D12"/>
    <mergeCell ref="A13:D13"/>
    <mergeCell ref="A14:D14"/>
    <mergeCell ref="A15:D15"/>
    <mergeCell ref="A16:D16"/>
    <mergeCell ref="A17:D17"/>
    <mergeCell ref="A18:D18"/>
    <mergeCell ref="A38:D38"/>
    <mergeCell ref="A60:D60"/>
    <mergeCell ref="A61:D61"/>
    <mergeCell ref="A62:D62"/>
    <mergeCell ref="A63:D63"/>
    <mergeCell ref="A64:D64"/>
    <mergeCell ref="A65:D65"/>
  </mergeCells>
  <pageMargins left="0.54" right="0.78740157499999996" top="0.56000000000000005" bottom="1.06" header="0.52" footer="1.06"/>
  <pageSetup paperSize="9" scale="57" orientation="portrait" r:id="rId2"/>
  <headerFooter alignWithMargins="0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Plan10"/>
  <dimension ref="A1:R525"/>
  <sheetViews>
    <sheetView zoomScale="115" zoomScaleNormal="115" zoomScaleSheetLayoutView="100" workbookViewId="0">
      <selection activeCell="B30" sqref="B30"/>
    </sheetView>
  </sheetViews>
  <sheetFormatPr defaultRowHeight="14.25"/>
  <cols>
    <col min="1" max="2" width="9.140625" style="59"/>
    <col min="3" max="3" width="13.7109375" style="59" customWidth="1"/>
    <col min="4" max="4" width="10" style="59" customWidth="1"/>
    <col min="5" max="5" width="19" style="162" customWidth="1"/>
    <col min="6" max="6" width="9.85546875" style="162" customWidth="1"/>
    <col min="7" max="7" width="18" style="162" bestFit="1" customWidth="1"/>
    <col min="8" max="8" width="9.140625" style="162" bestFit="1" customWidth="1"/>
    <col min="9" max="9" width="19.140625" style="59" bestFit="1" customWidth="1"/>
    <col min="10" max="10" width="15.85546875" style="59" bestFit="1" customWidth="1"/>
    <col min="11" max="11" width="15.42578125" style="59" bestFit="1" customWidth="1"/>
    <col min="12" max="12" width="27.7109375" style="59" customWidth="1"/>
    <col min="13" max="13" width="24.85546875" style="59" customWidth="1"/>
    <col min="14" max="14" width="25" style="59" customWidth="1"/>
    <col min="15" max="15" width="21.140625" style="59" customWidth="1"/>
    <col min="16" max="16" width="21.140625" style="59" bestFit="1" customWidth="1"/>
    <col min="17" max="17" width="16.5703125" style="59" bestFit="1" customWidth="1"/>
    <col min="18" max="18" width="15.140625" style="59" bestFit="1" customWidth="1"/>
    <col min="19" max="16384" width="9.140625" style="59"/>
  </cols>
  <sheetData>
    <row r="1" spans="1:18" ht="15">
      <c r="D1" s="339" t="s">
        <v>141</v>
      </c>
      <c r="E1" s="339"/>
      <c r="F1" s="339"/>
      <c r="G1" s="339"/>
      <c r="H1" s="339"/>
      <c r="I1" s="339"/>
    </row>
    <row r="2" spans="1:18" ht="15">
      <c r="D2" s="339" t="s">
        <v>149</v>
      </c>
      <c r="E2" s="339"/>
      <c r="F2" s="339"/>
      <c r="G2" s="339"/>
      <c r="H2" s="339"/>
      <c r="I2" s="339"/>
    </row>
    <row r="3" spans="1:18" ht="15">
      <c r="D3" s="63"/>
      <c r="E3" s="170"/>
      <c r="F3" s="303"/>
      <c r="G3" s="170"/>
      <c r="H3" s="303"/>
      <c r="I3" s="63"/>
    </row>
    <row r="4" spans="1:18" ht="15">
      <c r="A4" s="378"/>
      <c r="B4" s="378"/>
      <c r="C4" s="378"/>
      <c r="D4" s="378"/>
      <c r="E4" s="378"/>
      <c r="F4" s="378"/>
      <c r="G4" s="378"/>
      <c r="H4" s="378"/>
      <c r="I4" s="378"/>
    </row>
    <row r="5" spans="1:18" ht="15">
      <c r="D5" s="339" t="s">
        <v>283</v>
      </c>
      <c r="E5" s="339"/>
      <c r="F5" s="339"/>
      <c r="G5" s="339"/>
      <c r="H5" s="339"/>
      <c r="I5" s="339"/>
    </row>
    <row r="6" spans="1:18" ht="15">
      <c r="D6" s="339" t="str">
        <f>'Dem. Por Produto'!D6:I6</f>
        <v>Período: 01/05/2017 a 31/05/2017</v>
      </c>
      <c r="E6" s="339"/>
      <c r="F6" s="339"/>
      <c r="G6" s="339"/>
      <c r="H6" s="339"/>
      <c r="I6" s="339"/>
    </row>
    <row r="7" spans="1:18" ht="15">
      <c r="D7" s="339" t="s">
        <v>284</v>
      </c>
      <c r="E7" s="339"/>
      <c r="F7" s="339"/>
      <c r="G7" s="339"/>
      <c r="H7" s="339"/>
      <c r="I7" s="339"/>
    </row>
    <row r="8" spans="1:18" ht="15">
      <c r="D8" s="63"/>
      <c r="E8" s="63"/>
      <c r="F8" s="295"/>
      <c r="G8" s="63"/>
      <c r="H8" s="295"/>
      <c r="I8" s="63"/>
    </row>
    <row r="9" spans="1:18" ht="15">
      <c r="A9" s="339" t="s">
        <v>300</v>
      </c>
      <c r="B9" s="339"/>
      <c r="C9" s="339"/>
      <c r="D9" s="339"/>
      <c r="E9" s="339"/>
      <c r="F9" s="339"/>
      <c r="G9" s="339"/>
      <c r="H9" s="339"/>
      <c r="I9" s="339"/>
    </row>
    <row r="10" spans="1:18" ht="15">
      <c r="A10" s="339" t="s">
        <v>302</v>
      </c>
      <c r="B10" s="339"/>
      <c r="C10" s="339"/>
      <c r="D10" s="339"/>
      <c r="E10" s="339"/>
      <c r="F10" s="339"/>
      <c r="G10" s="339"/>
      <c r="H10" s="339"/>
      <c r="I10" s="339"/>
    </row>
    <row r="11" spans="1:18" ht="15.75" customHeight="1">
      <c r="A11" s="353" t="s">
        <v>285</v>
      </c>
      <c r="B11" s="353"/>
      <c r="C11" s="353"/>
      <c r="D11" s="353"/>
      <c r="E11" s="379" t="s">
        <v>286</v>
      </c>
      <c r="F11" s="379"/>
      <c r="G11" s="373" t="s">
        <v>4533</v>
      </c>
      <c r="H11" s="373"/>
      <c r="I11" s="63" t="s">
        <v>244</v>
      </c>
    </row>
    <row r="12" spans="1:18" ht="15.75" customHeight="1">
      <c r="A12" s="353"/>
      <c r="B12" s="353"/>
      <c r="C12" s="353"/>
      <c r="D12" s="353"/>
      <c r="E12" s="310" t="s">
        <v>5602</v>
      </c>
      <c r="F12" s="296" t="s">
        <v>369</v>
      </c>
      <c r="G12" s="296" t="s">
        <v>5602</v>
      </c>
      <c r="H12" s="296" t="s">
        <v>369</v>
      </c>
      <c r="I12" s="154" t="s">
        <v>287</v>
      </c>
      <c r="K12" s="292" t="s">
        <v>120</v>
      </c>
      <c r="L12" s="292" t="s">
        <v>5577</v>
      </c>
      <c r="M12" s="292" t="s">
        <v>5578</v>
      </c>
      <c r="N12" s="292" t="s">
        <v>5579</v>
      </c>
      <c r="P12" s="292" t="s">
        <v>120</v>
      </c>
      <c r="Q12" s="292" t="s">
        <v>4532</v>
      </c>
      <c r="R12" s="292" t="s">
        <v>4533</v>
      </c>
    </row>
    <row r="13" spans="1:18">
      <c r="A13" s="376" t="s">
        <v>290</v>
      </c>
      <c r="B13" s="376"/>
      <c r="C13" s="376"/>
      <c r="D13" s="376"/>
      <c r="E13" s="298">
        <f t="shared" ref="E13:G13" si="0">E23+E33+E43+E53+E63+E73+E83+E93+E104+E114+E124+E134+E154+E164+E174+E184+E195+E205+E215+E225+E235+E245+E255+E265+E275+E286+E296+E306+E316+E326+E336+E346+E356+E366+E376+E386+E398+E408+E418+E428+E437+E447+E457+E467+E478+E488+E498+E508+E518+E144</f>
        <v>56217871.769999705</v>
      </c>
      <c r="F13" s="288">
        <f t="shared" ref="F13:H13" si="1">IF(ISERROR(E13/$I13),0,E13/$I13)</f>
        <v>0.92554384493370778</v>
      </c>
      <c r="G13" s="298">
        <f t="shared" si="0"/>
        <v>4522494.100000022</v>
      </c>
      <c r="H13" s="288">
        <f t="shared" si="1"/>
        <v>7.4456155066292204E-2</v>
      </c>
      <c r="I13" s="299">
        <f>SUM(E13,G13)</f>
        <v>60740365.869999729</v>
      </c>
      <c r="K13" s="59" t="s">
        <v>5574</v>
      </c>
      <c r="L13" s="228">
        <f>I13+I14+'Dem. Por Produto'!I11+'Dem. Por Produto'!I12</f>
        <v>244521470.78000435</v>
      </c>
      <c r="M13" s="228">
        <f>'Sobras-Perdas'!C12+'Sobras-Perdas'!C17</f>
        <v>244712521.07999995</v>
      </c>
      <c r="N13" s="228">
        <f>M13-L13</f>
        <v>191050.29999560118</v>
      </c>
      <c r="P13" s="59" t="s">
        <v>5574</v>
      </c>
      <c r="Q13" s="288">
        <f t="shared" ref="Q13:R15" si="2">L19/$N19</f>
        <v>0.90284536791708847</v>
      </c>
      <c r="R13" s="288">
        <f t="shared" si="2"/>
        <v>9.715463208291153E-2</v>
      </c>
    </row>
    <row r="14" spans="1:18">
      <c r="A14" s="376" t="s">
        <v>291</v>
      </c>
      <c r="B14" s="376"/>
      <c r="C14" s="376"/>
      <c r="D14" s="376"/>
      <c r="E14" s="298">
        <f t="shared" ref="E14:G14" si="3">E24+E34+E44+E54+E64+E74+E84+E94+E105+E115+E125+E135+E155+E165+E175+E185+E196+E206+E216+E226+E236+E246+E256+E266+E276+E287+E297+E307+E317+E327+E337+E347+E357+E367+E377+E387+E399+E409+E419+E429+E438+E448+E458+E468+E479+E489+E499+E509+E519+E145</f>
        <v>552808.99999999977</v>
      </c>
      <c r="F14" s="288">
        <f>IF(ISERROR(E14/$I14),0,E14/$I14)</f>
        <v>0.99935643072139413</v>
      </c>
      <c r="G14" s="298">
        <f t="shared" si="3"/>
        <v>356</v>
      </c>
      <c r="H14" s="288">
        <f>IF(ISERROR(G14/$I14),0,G14/$I14)</f>
        <v>6.4356927860584117E-4</v>
      </c>
      <c r="I14" s="299">
        <f t="shared" ref="I14:I17" si="4">SUM(E14,G14)</f>
        <v>553164.99999999977</v>
      </c>
      <c r="J14" s="288"/>
      <c r="K14" s="59" t="s">
        <v>5575</v>
      </c>
      <c r="L14" s="228">
        <f>I15+I16+'Dem. Por Produto'!I13+'Dem. Por Produto'!I14</f>
        <v>-4230531.0500000473</v>
      </c>
      <c r="M14" s="228">
        <f>'Sobras-Perdas'!C13+'Sobras-Perdas'!C14+'Sobras-Perdas'!C18+'Sobras-Perdas'!C19</f>
        <v>-4270937.45</v>
      </c>
      <c r="N14" s="228">
        <f>M14-L14</f>
        <v>-40406.399999952875</v>
      </c>
      <c r="P14" s="59" t="s">
        <v>5575</v>
      </c>
      <c r="Q14" s="288">
        <f t="shared" si="2"/>
        <v>0.89480973316575585</v>
      </c>
      <c r="R14" s="288">
        <f t="shared" si="2"/>
        <v>0.10519026683424411</v>
      </c>
    </row>
    <row r="15" spans="1:18">
      <c r="A15" s="376" t="s">
        <v>292</v>
      </c>
      <c r="B15" s="376"/>
      <c r="C15" s="376"/>
      <c r="D15" s="376"/>
      <c r="E15" s="298">
        <f t="shared" ref="E15:G15" si="5">E25+E35+E45+E55+E65+E75+E85+E95+E106+E116+E126+E136+E156+E166+E176+E186+E197+E207+E217+E227+E237+E247+E257+E267+E277+E288+E298+E308+E318+E328+E338+E348+E358+E368+E378+E388+E400+E410+E420+E430+E439+E449+E459+E469+E480+E490+E500+E510+E520+E146</f>
        <v>-1455592.6299999992</v>
      </c>
      <c r="F15" s="288">
        <f t="shared" ref="F15:H17" si="6">IF(ISERROR(E15/$I15),0,E15/$I15)</f>
        <v>0.91486065987544063</v>
      </c>
      <c r="G15" s="298">
        <f t="shared" si="5"/>
        <v>-135461.27999999997</v>
      </c>
      <c r="H15" s="288">
        <f t="shared" si="6"/>
        <v>8.5139340124559343E-2</v>
      </c>
      <c r="I15" s="299">
        <f t="shared" si="4"/>
        <v>-1591053.9099999992</v>
      </c>
      <c r="J15" s="288"/>
      <c r="K15" s="59" t="s">
        <v>5576</v>
      </c>
      <c r="L15" s="228">
        <f>I17+'Dem. Por Produto'!I15</f>
        <v>-209776505.29000345</v>
      </c>
      <c r="M15" s="228">
        <f>'Sobras-Perdas'!C15+'Sobras-Perdas'!C20</f>
        <v>-210796031.63</v>
      </c>
      <c r="N15" s="228">
        <f>M15-L15</f>
        <v>-1019526.3399965465</v>
      </c>
      <c r="P15" s="59" t="s">
        <v>5576</v>
      </c>
      <c r="Q15" s="288">
        <f t="shared" si="2"/>
        <v>0.90365528893685021</v>
      </c>
      <c r="R15" s="288">
        <f t="shared" si="2"/>
        <v>9.6344711063149749E-2</v>
      </c>
    </row>
    <row r="16" spans="1:18">
      <c r="A16" s="376" t="s">
        <v>293</v>
      </c>
      <c r="B16" s="376"/>
      <c r="C16" s="376"/>
      <c r="D16" s="376"/>
      <c r="E16" s="298">
        <f t="shared" ref="E16:G16" si="7">E26+E36+E46+E56+E66+E76+E86+E96+E107+E117+E127+E137+E157+E167+E177+E187+E198+E208+E218+E228+E238+E248+E258+E268+E278+E289+E299+E309+E319+E329+E339+E349+E359+E369+E379+E389+E401+E411+E421+E431+E440+E450+E460+E470+E481+E491+E501+E511+E521+E147</f>
        <v>-390570.57000000018</v>
      </c>
      <c r="F16" s="288">
        <f t="shared" si="6"/>
        <v>0.84974995104758133</v>
      </c>
      <c r="G16" s="298">
        <f t="shared" si="7"/>
        <v>-69059.430000000313</v>
      </c>
      <c r="H16" s="288">
        <f t="shared" si="6"/>
        <v>0.15025004895241878</v>
      </c>
      <c r="I16" s="299">
        <f t="shared" si="4"/>
        <v>-459630.00000000047</v>
      </c>
      <c r="J16" s="288"/>
      <c r="K16" s="306" t="s">
        <v>244</v>
      </c>
      <c r="L16" s="307">
        <f>SUBTOTAL(109,[Relatório])</f>
        <v>30514434.440000862</v>
      </c>
      <c r="M16" s="307">
        <f>SUBTOTAL(109,[DRE])</f>
        <v>29645551.99999997</v>
      </c>
      <c r="N16" s="307">
        <f>SUBTOTAL(109,[Diferença])</f>
        <v>-868882.4400008982</v>
      </c>
      <c r="Q16" s="77"/>
      <c r="R16" s="77"/>
    </row>
    <row r="17" spans="1:18">
      <c r="A17" s="376" t="s">
        <v>294</v>
      </c>
      <c r="B17" s="376"/>
      <c r="C17" s="376"/>
      <c r="D17" s="376"/>
      <c r="E17" s="298">
        <f>E27+E37+E47+E57+E67+E77+E87+E97+E108+E118+E128+E138+E158+E168+E178+E188+E199+E209+E219+E229+E239+E249+E259+E269+E279+E290+E300+E310+E320+E330+E340+E350+E360+E370+E380+E390+E402+E412+E422+E432+E441+E451+E461+E471+E482+E492+E502+E512+E522+E148</f>
        <v>-41478997.420000002</v>
      </c>
      <c r="F17" s="288">
        <f t="shared" si="6"/>
        <v>0.93390508327425592</v>
      </c>
      <c r="G17" s="298">
        <f>G27+G37+G47+G57+G67+G77+G87+G97+G108+G118+G128+G138+G158+G168+G178+G188+G199+G209+G219+G229+G239+G249+G259+G269+G279+G290+G300+G310+G320+G330+G340+G350+G360+G370+G380+G390+G402+G412+G422+G432+G441+G451+G461+G471+G482+G492+G502+G512+G522+G148</f>
        <v>-2935577.6400000071</v>
      </c>
      <c r="H17" s="288">
        <f t="shared" si="6"/>
        <v>6.609491672574401E-2</v>
      </c>
      <c r="I17" s="299">
        <f t="shared" si="4"/>
        <v>-44414575.06000001</v>
      </c>
      <c r="J17" s="288"/>
      <c r="L17" s="77"/>
      <c r="M17" s="77"/>
      <c r="P17" s="59" t="s">
        <v>4532</v>
      </c>
      <c r="Q17" s="309">
        <f>SUM(Rateio[TOTAL_COOPERADO])/SUM(Rateio[TOTAL_GERAL])</f>
        <v>0.90231924746404624</v>
      </c>
    </row>
    <row r="18" spans="1:18" ht="15">
      <c r="A18" s="293" t="s">
        <v>5572</v>
      </c>
      <c r="B18" s="293"/>
      <c r="C18" s="293"/>
      <c r="D18" s="293"/>
      <c r="E18" s="155">
        <f>SUM(E13:E17)</f>
        <v>13445520.1499997</v>
      </c>
      <c r="F18" s="155"/>
      <c r="G18" s="155">
        <f t="shared" ref="G18:I18" si="8">SUM(G13:G17)</f>
        <v>1382751.750000014</v>
      </c>
      <c r="H18" s="155"/>
      <c r="I18" s="155">
        <f t="shared" si="8"/>
        <v>14828271.899999723</v>
      </c>
      <c r="K18" s="292" t="s">
        <v>120</v>
      </c>
      <c r="L18" s="292" t="s">
        <v>4532</v>
      </c>
      <c r="M18" s="292" t="s">
        <v>4533</v>
      </c>
      <c r="N18" s="292" t="s">
        <v>244</v>
      </c>
      <c r="P18" s="59" t="s">
        <v>5601</v>
      </c>
      <c r="Q18" s="309">
        <f>SUM(Rateio[TOTAL_TERCEIRO])/SUM(Rateio[TOTAL_GERAL])</f>
        <v>9.7680752535953805E-2</v>
      </c>
      <c r="R18" s="165"/>
    </row>
    <row r="19" spans="1:18" ht="15">
      <c r="A19" s="293" t="s">
        <v>4531</v>
      </c>
      <c r="B19" s="293"/>
      <c r="C19" s="293"/>
      <c r="D19" s="293"/>
      <c r="E19" s="300">
        <f>E18/(E13+E14+E15)</f>
        <v>0.2430714765557232</v>
      </c>
      <c r="F19" s="300"/>
      <c r="G19" s="300">
        <f>G18/(G13+G14+G15)</f>
        <v>0.31516508035410618</v>
      </c>
      <c r="H19" s="300"/>
      <c r="I19" s="300">
        <f>I18/(I13+I14+I15)</f>
        <v>0.24836945894111842</v>
      </c>
      <c r="K19" s="59" t="s">
        <v>5574</v>
      </c>
      <c r="L19" s="228">
        <f>E13+E14+'Dem. Por Produto'!E11+'Dem. Por Produto'!E12</f>
        <v>220765077.25000063</v>
      </c>
      <c r="M19" s="228">
        <f>G13+G14+'Dem. Por Produto'!G11+'Dem. Por Produto'!G12</f>
        <v>23756393.530003726</v>
      </c>
      <c r="N19" s="228">
        <f t="shared" ref="N19:N21" si="9">M19+L19</f>
        <v>244521470.78000435</v>
      </c>
    </row>
    <row r="20" spans="1:18" ht="15">
      <c r="A20" s="293" t="s">
        <v>5573</v>
      </c>
      <c r="B20" s="293"/>
      <c r="C20" s="293"/>
      <c r="D20" s="293"/>
      <c r="E20" s="300">
        <f>E18/I18</f>
        <v>0.90674896175864916</v>
      </c>
      <c r="F20" s="300"/>
      <c r="G20" s="300">
        <f>G18/I18</f>
        <v>9.3251038241350281E-2</v>
      </c>
      <c r="H20" s="300"/>
      <c r="I20" s="300"/>
      <c r="K20" s="59" t="s">
        <v>5575</v>
      </c>
      <c r="L20" s="228">
        <f>E15+E16+'Dem. Por Produto'!E13+'Dem. Por Produto'!E14</f>
        <v>-3785520.3599999873</v>
      </c>
      <c r="M20" s="228">
        <f>G15+G16+'Dem. Por Produto'!G13+'Dem. Por Produto'!G14</f>
        <v>-445010.6900000599</v>
      </c>
      <c r="N20" s="228">
        <f t="shared" si="9"/>
        <v>-4230531.0500000473</v>
      </c>
    </row>
    <row r="21" spans="1:18" ht="15">
      <c r="A21" s="293"/>
      <c r="B21" s="293"/>
      <c r="C21" s="293"/>
      <c r="D21" s="293"/>
      <c r="E21" s="155"/>
      <c r="F21" s="155"/>
      <c r="G21" s="155"/>
      <c r="H21" s="155"/>
      <c r="I21" s="156"/>
      <c r="K21" s="59" t="s">
        <v>5576</v>
      </c>
      <c r="L21" s="228">
        <f>E17+'Dem. Por Produto'!E15</f>
        <v>-189565648.50000077</v>
      </c>
      <c r="M21" s="228">
        <f>G17+'Dem. Por Produto'!G15</f>
        <v>-20210856.790002689</v>
      </c>
      <c r="N21" s="228">
        <f t="shared" si="9"/>
        <v>-209776505.29000348</v>
      </c>
    </row>
    <row r="22" spans="1:18" s="165" customFormat="1" ht="15">
      <c r="A22" s="353" t="s">
        <v>303</v>
      </c>
      <c r="B22" s="353"/>
      <c r="C22" s="353"/>
      <c r="D22" s="353"/>
      <c r="E22" s="50" t="s">
        <v>289</v>
      </c>
      <c r="F22" s="50"/>
      <c r="G22" s="50" t="s">
        <v>289</v>
      </c>
      <c r="H22" s="50"/>
      <c r="I22" s="158" t="s">
        <v>289</v>
      </c>
      <c r="J22" s="171"/>
      <c r="K22" s="306" t="s">
        <v>244</v>
      </c>
      <c r="L22" s="307">
        <f>SUBTOTAL(109,[Cooperado])</f>
        <v>27413908.389999866</v>
      </c>
      <c r="M22" s="307">
        <f>SUBTOTAL(109,[Terceiros])</f>
        <v>3100526.0500009768</v>
      </c>
      <c r="N22" s="307">
        <f>SUBTOTAL(109,[Total])</f>
        <v>30514434.440000832</v>
      </c>
    </row>
    <row r="23" spans="1:18">
      <c r="A23" s="376" t="s">
        <v>290</v>
      </c>
      <c r="B23" s="376"/>
      <c r="C23" s="376"/>
      <c r="D23" s="376"/>
      <c r="E23" s="47">
        <f>VLOOKUP(1845,Base_Periodo1[[#All],[CONTA]:[VALOR BALANÇO]],10,FALSE)</f>
        <v>3930020.2099999813</v>
      </c>
      <c r="F23" s="288">
        <f t="shared" ref="F23" si="10">IF(ISERROR(E23/$I23),0,E23/$I23)</f>
        <v>0.88828407050108438</v>
      </c>
      <c r="G23" s="47">
        <f>VLOOKUP(6412,Base_Periodo1[[#All],[CONTA]:[VALOR BALANÇO]],10,FALSE)</f>
        <v>494262.90000000113</v>
      </c>
      <c r="H23" s="288">
        <f t="shared" ref="H23" si="11">IF(ISERROR(G23/$I23),0,G23/$I23)</f>
        <v>0.11171592949891561</v>
      </c>
      <c r="I23" s="125">
        <f>E23+G23</f>
        <v>4424283.1099999826</v>
      </c>
      <c r="J23" s="317"/>
      <c r="K23" s="124"/>
      <c r="L23" s="288">
        <f>L22/$N22</f>
        <v>0.89839149547086017</v>
      </c>
      <c r="M23" s="288">
        <f>M22/$N22</f>
        <v>0.10160850452914022</v>
      </c>
    </row>
    <row r="24" spans="1:18">
      <c r="A24" s="376" t="s">
        <v>291</v>
      </c>
      <c r="B24" s="376"/>
      <c r="C24" s="376"/>
      <c r="D24" s="376"/>
      <c r="E24" s="47"/>
      <c r="F24" s="288">
        <f>IF(ISERROR(E24/$I24),0,E24/$I24)</f>
        <v>0</v>
      </c>
      <c r="G24" s="47"/>
      <c r="H24" s="288">
        <f>IF(ISERROR(G24/$I24),0,G24/$I24)</f>
        <v>0</v>
      </c>
      <c r="I24" s="125"/>
      <c r="J24" s="172"/>
    </row>
    <row r="25" spans="1:18">
      <c r="A25" s="376" t="s">
        <v>292</v>
      </c>
      <c r="B25" s="376"/>
      <c r="C25" s="376"/>
      <c r="D25" s="376"/>
      <c r="E25" s="47">
        <f>-VLOOKUP(1850,Base_Periodo1[[#All],[CONTA]:[VALOR BALANÇO]],10,FALSE)</f>
        <v>-62355.439999999639</v>
      </c>
      <c r="F25" s="288">
        <f t="shared" ref="F25:F27" si="12">IF(ISERROR(E25/$I25),0,E25/$I25)</f>
        <v>0.54055049332740446</v>
      </c>
      <c r="G25" s="47">
        <f>-VLOOKUP(6419,Base_Periodo1[[#All],[CONTA]:[VALOR BALANÇO]],10,FALSE)</f>
        <v>-53000.000000000058</v>
      </c>
      <c r="H25" s="288">
        <f t="shared" ref="H25:H27" si="13">IF(ISERROR(G25/$I25),0,G25/$I25)</f>
        <v>0.45944950667259554</v>
      </c>
      <c r="I25" s="125">
        <f>E25+G25</f>
        <v>-115355.4399999997</v>
      </c>
    </row>
    <row r="26" spans="1:18">
      <c r="A26" s="376" t="s">
        <v>293</v>
      </c>
      <c r="B26" s="376"/>
      <c r="C26" s="376"/>
      <c r="D26" s="376"/>
      <c r="E26" s="47">
        <f>-VLOOKUP(1852,Base_Periodo1[[#All],[CONTA]:[VALOR BALANÇO]],10,FALSE)</f>
        <v>-1475.0000000000109</v>
      </c>
      <c r="F26" s="288">
        <f t="shared" si="12"/>
        <v>1</v>
      </c>
      <c r="G26" s="47">
        <f>IF(ISERROR(-VLOOKUP(6421,Base_Periodo1[[#All],[CONTA]:[VALOR BALANÇO]],10,FALSE)),0,-VLOOKUP(6421,Base_Periodo1[[#All],[CONTA]:[VALOR BALANÇO]],10,FALSE))</f>
        <v>0</v>
      </c>
      <c r="H26" s="288">
        <f t="shared" si="13"/>
        <v>0</v>
      </c>
      <c r="I26" s="125">
        <f>E26+G26</f>
        <v>-1475.0000000000109</v>
      </c>
      <c r="K26" s="59" t="s">
        <v>5617</v>
      </c>
      <c r="L26" s="172">
        <f>SUM(E13:E16,'Dem. Por Produto'!E11:E14)</f>
        <v>216979556.89000064</v>
      </c>
      <c r="M26" s="172">
        <f>SUM(G13:G16,'Dem. Por Produto'!G11:G14)</f>
        <v>23311382.840003669</v>
      </c>
      <c r="N26" s="172">
        <f>SUM(L26:M26)</f>
        <v>240290939.73000431</v>
      </c>
    </row>
    <row r="27" spans="1:18">
      <c r="A27" s="376" t="s">
        <v>294</v>
      </c>
      <c r="B27" s="376"/>
      <c r="C27" s="376"/>
      <c r="D27" s="376"/>
      <c r="E27" s="47">
        <f>-VLOOKUP(1854,Base_Periodo1[[#All],[CONTA]:[VALOR BALANÇO]],10,FALSE)</f>
        <v>-3054444.3199999961</v>
      </c>
      <c r="F27" s="288">
        <f t="shared" si="12"/>
        <v>0.88508196350312662</v>
      </c>
      <c r="G27" s="47">
        <f>-VLOOKUP(6425,Base_Periodo1[[#All],[CONTA]:[VALOR BALANÇO]],10,FALSE)</f>
        <v>-396585.58000000112</v>
      </c>
      <c r="H27" s="288">
        <f t="shared" si="13"/>
        <v>0.11491803649687343</v>
      </c>
      <c r="I27" s="125">
        <f>E27+G27</f>
        <v>-3451029.8999999971</v>
      </c>
      <c r="L27" s="288">
        <f>L26/$N26</f>
        <v>0.90298684225798609</v>
      </c>
      <c r="M27" s="288">
        <f>M26/$N26</f>
        <v>9.7013157742013925E-2</v>
      </c>
    </row>
    <row r="28" spans="1:18" s="165" customFormat="1" ht="15">
      <c r="A28" s="353" t="s">
        <v>295</v>
      </c>
      <c r="B28" s="353"/>
      <c r="C28" s="353"/>
      <c r="D28" s="353"/>
      <c r="E28" s="160">
        <f>SUM(E23:E27)</f>
        <v>811745.44999998575</v>
      </c>
      <c r="F28" s="160"/>
      <c r="G28" s="160">
        <f>SUM(G23:G27)</f>
        <v>44677.319999999949</v>
      </c>
      <c r="H28" s="160"/>
      <c r="I28" s="161">
        <f>SUM(I23:I27)</f>
        <v>856422.76999998605</v>
      </c>
      <c r="J28" s="288"/>
    </row>
    <row r="29" spans="1:18" ht="15">
      <c r="A29" s="293" t="s">
        <v>4531</v>
      </c>
      <c r="B29" s="293"/>
      <c r="C29" s="293"/>
      <c r="D29" s="293"/>
      <c r="E29" s="300">
        <f>E28/(E23+E24+E25)</f>
        <v>0.20987999174499022</v>
      </c>
      <c r="F29" s="300"/>
      <c r="G29" s="300">
        <f>G28/(G23+G24+G25)</f>
        <v>0.10124875669357165</v>
      </c>
      <c r="H29" s="300"/>
      <c r="I29" s="300">
        <f>I28/(I23+I24+I25)</f>
        <v>0.1987554295614318</v>
      </c>
      <c r="K29" s="59" t="s">
        <v>5576</v>
      </c>
      <c r="L29" s="172">
        <f>SUM(E17,'Dem. Por Produto'!E15)</f>
        <v>-189565648.50000077</v>
      </c>
      <c r="M29" s="172">
        <f>SUM(G17,'Dem. Por Produto'!G15)</f>
        <v>-20210856.790002689</v>
      </c>
      <c r="N29" s="172">
        <f>SUM(L29:M29)</f>
        <v>-209776505.29000348</v>
      </c>
      <c r="O29"/>
      <c r="P29"/>
    </row>
    <row r="30" spans="1:18" ht="15">
      <c r="A30" s="293" t="s">
        <v>5573</v>
      </c>
      <c r="B30" s="293"/>
      <c r="C30" s="293"/>
      <c r="D30" s="293"/>
      <c r="E30" s="300">
        <f>E28/I28</f>
        <v>0.94783263410896812</v>
      </c>
      <c r="F30" s="300"/>
      <c r="G30" s="300">
        <f>G28/I28</f>
        <v>5.2167365891031457E-2</v>
      </c>
      <c r="H30" s="300"/>
      <c r="I30" s="300"/>
      <c r="L30" s="288">
        <f>L29/$N29</f>
        <v>0.90365528893685021</v>
      </c>
      <c r="M30" s="288">
        <f>M29/$N29</f>
        <v>9.6344711063149749E-2</v>
      </c>
      <c r="O30"/>
      <c r="P30"/>
    </row>
    <row r="31" spans="1:18" ht="15">
      <c r="A31" s="352"/>
      <c r="B31" s="352"/>
      <c r="C31" s="352"/>
      <c r="D31" s="352"/>
      <c r="E31" s="352"/>
      <c r="F31" s="352"/>
      <c r="G31" s="352"/>
      <c r="H31" s="352"/>
      <c r="I31" s="352"/>
      <c r="N31"/>
      <c r="O31"/>
      <c r="P31"/>
    </row>
    <row r="32" spans="1:18" s="165" customFormat="1" ht="15">
      <c r="A32" s="353" t="s">
        <v>304</v>
      </c>
      <c r="B32" s="353"/>
      <c r="C32" s="353"/>
      <c r="D32" s="353"/>
      <c r="E32" s="50" t="s">
        <v>289</v>
      </c>
      <c r="F32" s="288"/>
      <c r="G32" s="50" t="s">
        <v>289</v>
      </c>
      <c r="H32" s="50"/>
      <c r="I32" s="158" t="s">
        <v>289</v>
      </c>
      <c r="K32" s="124"/>
      <c r="N32"/>
      <c r="O32"/>
      <c r="P32"/>
    </row>
    <row r="33" spans="1:16" ht="15">
      <c r="A33" s="376" t="s">
        <v>290</v>
      </c>
      <c r="B33" s="376"/>
      <c r="C33" s="376"/>
      <c r="D33" s="376"/>
      <c r="E33" s="47">
        <f>VLOOKUP(1857,Base_Periodo1[[#All],[CONTA]:[VALOR BALANÇO]],10,FALSE)</f>
        <v>5725845.6300000967</v>
      </c>
      <c r="F33" s="288">
        <f t="shared" ref="F33" si="14">IF(ISERROR(E33/$I33),0,E33/$I33)</f>
        <v>0.96026219889754971</v>
      </c>
      <c r="G33" s="47">
        <f>VLOOKUP(6432,Base_Periodo1[[#All],[CONTA]:[VALOR BALANÇO]],10,FALSE)</f>
        <v>236948.31999999788</v>
      </c>
      <c r="H33" s="288">
        <f t="shared" ref="H33" si="15">IF(ISERROR(G33/$I33),0,G33/$I33)</f>
        <v>3.9737801102450329E-2</v>
      </c>
      <c r="I33" s="125">
        <f>E33+G33</f>
        <v>5962793.9500000942</v>
      </c>
      <c r="J33" s="317"/>
      <c r="K33" s="288"/>
      <c r="N33"/>
      <c r="O33"/>
      <c r="P33"/>
    </row>
    <row r="34" spans="1:16" ht="15">
      <c r="A34" s="376" t="s">
        <v>291</v>
      </c>
      <c r="B34" s="376"/>
      <c r="C34" s="376"/>
      <c r="D34" s="376"/>
      <c r="E34" s="47">
        <f>IF(ISERROR(VLOOKUP(1859,Base_Periodo1[[#All],[CONTA]:[VALOR BALANÇO]],10,FALSE)),0,VLOOKUP(1859,Base_Periodo1[[#All],[CONTA]:[VALOR BALANÇO]],10,FALSE))</f>
        <v>412645.59999999986</v>
      </c>
      <c r="F34" s="288">
        <f>IF(ISERROR(E34/$I34),0,E34/$I34)</f>
        <v>1</v>
      </c>
      <c r="G34" s="47">
        <f>IF(ISERROR(VLOOKUP(6437,Base_Periodo1[[#All],[CONTA]:[VALOR BALANÇO]],10,FALSE)),0,VLOOKUP(6437,Base_Periodo1[[#All],[CONTA]:[VALOR BALANÇO]],10,FALSE))</f>
        <v>0</v>
      </c>
      <c r="H34" s="288">
        <f>IF(ISERROR(G34/$I34),0,G34/$I34)</f>
        <v>0</v>
      </c>
      <c r="I34" s="125">
        <f>E34+G34</f>
        <v>412645.59999999986</v>
      </c>
      <c r="J34" s="172"/>
      <c r="K34" s="288"/>
      <c r="L34"/>
      <c r="M34"/>
      <c r="N34"/>
      <c r="O34"/>
      <c r="P34"/>
    </row>
    <row r="35" spans="1:16" ht="15">
      <c r="A35" s="376" t="s">
        <v>292</v>
      </c>
      <c r="B35" s="376"/>
      <c r="C35" s="376"/>
      <c r="D35" s="376"/>
      <c r="E35" s="47">
        <f>-VLOOKUP(1861,Base_Periodo1[[#All],[CONTA]:[VALOR BALANÇO]],10,FALSE)</f>
        <v>-94636.850000000471</v>
      </c>
      <c r="F35" s="288">
        <f t="shared" ref="F35:F37" si="16">IF(ISERROR(E35/$I35),0,E35/$I35)</f>
        <v>0.95344736999855495</v>
      </c>
      <c r="G35" s="47">
        <f>-VLOOKUP(6439,Base_Periodo1[[#All],[CONTA]:[VALOR BALANÇO]],10,FALSE)</f>
        <v>-4620.6999999999534</v>
      </c>
      <c r="H35" s="288">
        <f t="shared" ref="H35:H37" si="17">IF(ISERROR(G35/$I35),0,G35/$I35)</f>
        <v>4.6552630001445064E-2</v>
      </c>
      <c r="I35" s="125">
        <f>E35+G35</f>
        <v>-99257.550000000425</v>
      </c>
      <c r="L35"/>
      <c r="M35"/>
      <c r="N35"/>
      <c r="O35"/>
      <c r="P35"/>
    </row>
    <row r="36" spans="1:16" ht="15">
      <c r="A36" s="376" t="s">
        <v>293</v>
      </c>
      <c r="B36" s="376"/>
      <c r="C36" s="376"/>
      <c r="D36" s="376"/>
      <c r="E36" s="47">
        <f>-VLOOKUP(1863,Base_Periodo1[[#All],[CONTA]:[VALOR BALANÇO]],10,FALSE)</f>
        <v>-926.48000000001775</v>
      </c>
      <c r="F36" s="288">
        <f t="shared" si="16"/>
        <v>0.79108568501046661</v>
      </c>
      <c r="G36" s="47">
        <f>-VLOOKUP(6441,Base_Periodo1[[#All],[CONTA]:[VALOR BALANÇO]],10,FALSE)</f>
        <v>-244.66999999999462</v>
      </c>
      <c r="H36" s="288">
        <f t="shared" si="17"/>
        <v>0.20891431498953339</v>
      </c>
      <c r="I36" s="125">
        <f>E36+G36</f>
        <v>-1171.1500000000124</v>
      </c>
      <c r="L36" s="311" t="s">
        <v>5583</v>
      </c>
      <c r="M36" t="s">
        <v>5612</v>
      </c>
      <c r="N36"/>
      <c r="O36"/>
      <c r="P36"/>
    </row>
    <row r="37" spans="1:16" ht="15">
      <c r="A37" s="376" t="s">
        <v>294</v>
      </c>
      <c r="B37" s="376"/>
      <c r="C37" s="376"/>
      <c r="D37" s="376"/>
      <c r="E37" s="47">
        <f>-VLOOKUP(1865,Base_Periodo1[[#All],[CONTA]:[VALOR BALANÇO]],10,FALSE)</f>
        <v>-4236526.9600000074</v>
      </c>
      <c r="F37" s="288">
        <f t="shared" si="16"/>
        <v>0.95857870976362081</v>
      </c>
      <c r="G37" s="47">
        <f>-VLOOKUP(6443,Base_Periodo1[[#All],[CONTA]:[VALOR BALANÇO]],10,FALSE)</f>
        <v>-183065.20999999862</v>
      </c>
      <c r="H37" s="288">
        <f t="shared" si="17"/>
        <v>4.1421290236379062E-2</v>
      </c>
      <c r="I37" s="125">
        <f>E37+G37</f>
        <v>-4419592.1700000064</v>
      </c>
      <c r="K37" s="288"/>
      <c r="N37"/>
      <c r="O37"/>
      <c r="P37"/>
    </row>
    <row r="38" spans="1:16" s="165" customFormat="1" ht="15">
      <c r="A38" s="353" t="s">
        <v>295</v>
      </c>
      <c r="B38" s="353"/>
      <c r="C38" s="353"/>
      <c r="D38" s="353"/>
      <c r="E38" s="160">
        <f>SUM(E33:E37)</f>
        <v>1806400.940000088</v>
      </c>
      <c r="F38" s="160"/>
      <c r="G38" s="160">
        <f>SUM(G33:G37)</f>
        <v>49017.739999999321</v>
      </c>
      <c r="H38" s="160"/>
      <c r="I38" s="161">
        <f>SUM(I33:I37)</f>
        <v>1855418.6800000863</v>
      </c>
      <c r="J38" s="290">
        <f>-VLOOKUP(1856,Base_Periodo1[[#All],[CONTA]:[VALOR BALANÇO]],10,FALSE)+E38</f>
        <v>0</v>
      </c>
      <c r="K38" s="290">
        <f>-VLOOKUP(6431,Base_Periodo1[[#All],[CONTA]:[VALOR BALANÇO]],10,FALSE)+G38</f>
        <v>1218.0000000000218</v>
      </c>
      <c r="L38" s="311" t="s">
        <v>289</v>
      </c>
      <c r="M38"/>
      <c r="N38"/>
      <c r="O38"/>
      <c r="P38"/>
    </row>
    <row r="39" spans="1:16" ht="15">
      <c r="A39" s="293" t="s">
        <v>4531</v>
      </c>
      <c r="B39" s="293"/>
      <c r="C39" s="293"/>
      <c r="D39" s="293"/>
      <c r="E39" s="300">
        <f>E38/(E33+E34+E35)</f>
        <v>0.2988822738644572</v>
      </c>
      <c r="F39" s="300"/>
      <c r="G39" s="300">
        <f>G38/(G33+G34+G35)</f>
        <v>0.21098541791974523</v>
      </c>
      <c r="H39" s="300"/>
      <c r="I39" s="300">
        <f>I38/(I33+I34+I35)</f>
        <v>0.29562856526468778</v>
      </c>
      <c r="J39" s="77"/>
      <c r="K39" s="77"/>
      <c r="L39" t="s">
        <v>5608</v>
      </c>
      <c r="M39" t="s">
        <v>5609</v>
      </c>
      <c r="N39"/>
      <c r="O39"/>
      <c r="P39"/>
    </row>
    <row r="40" spans="1:16" ht="15">
      <c r="A40" s="293" t="s">
        <v>5573</v>
      </c>
      <c r="B40" s="293"/>
      <c r="C40" s="293"/>
      <c r="D40" s="293"/>
      <c r="E40" s="300">
        <f>E38/I38</f>
        <v>0.97358130511007035</v>
      </c>
      <c r="F40" s="300"/>
      <c r="G40" s="300">
        <f>G38/I38</f>
        <v>2.6418694889930202E-2</v>
      </c>
      <c r="H40" s="300"/>
      <c r="I40" s="300"/>
      <c r="J40" s="77"/>
      <c r="K40" s="77"/>
      <c r="L40" s="314">
        <v>216814789.63000107</v>
      </c>
      <c r="M40" s="314">
        <v>23471328.880000312</v>
      </c>
      <c r="N40"/>
      <c r="O40"/>
      <c r="P40"/>
    </row>
    <row r="41" spans="1:16" ht="15">
      <c r="A41" s="377"/>
      <c r="B41" s="377"/>
      <c r="C41" s="377"/>
      <c r="D41" s="377"/>
      <c r="E41" s="377"/>
      <c r="F41" s="377"/>
      <c r="G41" s="377"/>
      <c r="H41" s="377"/>
      <c r="I41" s="377"/>
      <c r="L41"/>
      <c r="M41"/>
      <c r="N41"/>
      <c r="O41"/>
      <c r="P41"/>
    </row>
    <row r="42" spans="1:16" ht="15">
      <c r="A42" s="353" t="s">
        <v>305</v>
      </c>
      <c r="B42" s="353"/>
      <c r="C42" s="353"/>
      <c r="D42" s="353"/>
      <c r="E42" s="50" t="s">
        <v>289</v>
      </c>
      <c r="F42" s="50"/>
      <c r="G42" s="50" t="s">
        <v>289</v>
      </c>
      <c r="H42" s="50"/>
      <c r="I42" s="158" t="s">
        <v>289</v>
      </c>
      <c r="L42"/>
      <c r="M42"/>
      <c r="N42"/>
      <c r="O42"/>
      <c r="P42"/>
    </row>
    <row r="43" spans="1:16" ht="15">
      <c r="A43" s="376" t="s">
        <v>290</v>
      </c>
      <c r="B43" s="376"/>
      <c r="C43" s="376"/>
      <c r="D43" s="376"/>
      <c r="E43" s="47">
        <f>VLOOKUP(1868,Base_Periodo1[[#All],[CONTA]:[VALOR BALANÇO]],10,FALSE)</f>
        <v>13321438.169999741</v>
      </c>
      <c r="F43" s="288">
        <f t="shared" ref="F43" si="18">IF(ISERROR(E43/$I43),0,E43/$I43)</f>
        <v>0.93167682027416043</v>
      </c>
      <c r="G43" s="47">
        <f>VLOOKUP(6448,Base_Periodo1[[#All],[CONTA]:[VALOR BALANÇO]],10,FALSE)</f>
        <v>976908.5099999829</v>
      </c>
      <c r="H43" s="288">
        <f t="shared" ref="H43" si="19">IF(ISERROR(G43/$I43),0,G43/$I43)</f>
        <v>6.8323179725839581E-2</v>
      </c>
      <c r="I43" s="125">
        <f>E43+G43</f>
        <v>14298346.679999724</v>
      </c>
      <c r="L43"/>
      <c r="M43"/>
      <c r="N43"/>
      <c r="O43"/>
      <c r="P43"/>
    </row>
    <row r="44" spans="1:16" ht="15">
      <c r="A44" s="376" t="s">
        <v>291</v>
      </c>
      <c r="B44" s="376"/>
      <c r="C44" s="376"/>
      <c r="D44" s="376"/>
      <c r="E44" s="47">
        <f>IF(ISERROR(VLOOKUP(1870,Base_Periodo1[[#All],[CONTA]:[VALOR BALANÇO]],10,FALSE)),0,VLOOKUP(1870,Base_Periodo1[[#All],[CONTA]:[VALOR BALANÇO]],10,FALSE))</f>
        <v>1945.1999999999534</v>
      </c>
      <c r="F44" s="288">
        <f>IF(ISERROR(E44/$I44),0,E44/$I44)</f>
        <v>1</v>
      </c>
      <c r="G44" s="47"/>
      <c r="H44" s="288">
        <f>IF(ISERROR(G44/$I44),0,G44/$I44)</f>
        <v>0</v>
      </c>
      <c r="I44" s="125">
        <f>E44+G44</f>
        <v>1945.1999999999534</v>
      </c>
      <c r="L44"/>
      <c r="M44"/>
      <c r="N44"/>
      <c r="O44"/>
      <c r="P44"/>
    </row>
    <row r="45" spans="1:16" ht="15">
      <c r="A45" s="376" t="s">
        <v>292</v>
      </c>
      <c r="B45" s="376"/>
      <c r="C45" s="376"/>
      <c r="D45" s="376"/>
      <c r="E45" s="47">
        <f>-VLOOKUP(1872,Base_Periodo1[[#All],[CONTA]:[VALOR BALANÇO]],10,FALSE)</f>
        <v>-158504.29000000129</v>
      </c>
      <c r="F45" s="288">
        <f t="shared" ref="F45:F47" si="20">IF(ISERROR(E45/$I45),0,E45/$I45)</f>
        <v>0.75049951848591467</v>
      </c>
      <c r="G45" s="47">
        <f>-VLOOKUP(6454,Base_Periodo1[[#All],[CONTA]:[VALOR BALANÇO]],10,FALSE)</f>
        <v>-52694.09999999986</v>
      </c>
      <c r="H45" s="288">
        <f t="shared" ref="H45:H47" si="21">IF(ISERROR(G45/$I45),0,G45/$I45)</f>
        <v>0.24950048151408527</v>
      </c>
      <c r="I45" s="125">
        <f>E45+G45</f>
        <v>-211198.39000000115</v>
      </c>
      <c r="L45"/>
      <c r="M45"/>
      <c r="N45"/>
      <c r="O45"/>
      <c r="P45"/>
    </row>
    <row r="46" spans="1:16" ht="15">
      <c r="A46" s="376" t="s">
        <v>293</v>
      </c>
      <c r="B46" s="376"/>
      <c r="C46" s="376"/>
      <c r="D46" s="376"/>
      <c r="E46" s="47">
        <f>-VLOOKUP(1874,Base_Periodo1[[#All],[CONTA]:[VALOR BALANÇO]],10,FALSE)</f>
        <v>-1222.7499999999927</v>
      </c>
      <c r="F46" s="288">
        <f t="shared" si="20"/>
        <v>0.98273631081069668</v>
      </c>
      <c r="G46" s="47">
        <f>-VLOOKUP(6456,Base_Periodo1[[#All],[CONTA]:[VALOR BALANÇO]],10,FALSE)</f>
        <v>-21.480000000006839</v>
      </c>
      <c r="H46" s="288">
        <f t="shared" si="21"/>
        <v>1.7263689189303301E-2</v>
      </c>
      <c r="I46" s="125">
        <f>E46+G46</f>
        <v>-1244.2299999999996</v>
      </c>
      <c r="L46"/>
      <c r="M46"/>
      <c r="N46"/>
      <c r="O46"/>
      <c r="P46"/>
    </row>
    <row r="47" spans="1:16" ht="15">
      <c r="A47" s="376" t="s">
        <v>294</v>
      </c>
      <c r="B47" s="376"/>
      <c r="C47" s="376"/>
      <c r="D47" s="376"/>
      <c r="E47" s="47">
        <f>-VLOOKUP(1876,Base_Periodo1[[#All],[CONTA]:[VALOR BALANÇO]],10,FALSE)</f>
        <v>-9597467.6899999995</v>
      </c>
      <c r="F47" s="288">
        <f t="shared" si="20"/>
        <v>0.93228155397923729</v>
      </c>
      <c r="G47" s="47">
        <f>-VLOOKUP(6458,Base_Periodo1[[#All],[CONTA]:[VALOR BALANÇO]],10,FALSE)</f>
        <v>-697134.46000000334</v>
      </c>
      <c r="H47" s="288">
        <f t="shared" si="21"/>
        <v>6.7718446020762754E-2</v>
      </c>
      <c r="I47" s="125">
        <f>E47+G47</f>
        <v>-10294602.150000002</v>
      </c>
      <c r="L47"/>
      <c r="M47"/>
      <c r="N47"/>
      <c r="O47"/>
      <c r="P47"/>
    </row>
    <row r="48" spans="1:16" ht="15">
      <c r="A48" s="353" t="s">
        <v>295</v>
      </c>
      <c r="B48" s="353"/>
      <c r="C48" s="353"/>
      <c r="D48" s="353"/>
      <c r="E48" s="160">
        <f>SUM(E43:E47)</f>
        <v>3566188.6399997398</v>
      </c>
      <c r="F48" s="160"/>
      <c r="G48" s="160">
        <f>SUM(G43:G47)</f>
        <v>227058.46999997972</v>
      </c>
      <c r="H48" s="160"/>
      <c r="I48" s="161">
        <f>SUM(I43:I47)</f>
        <v>3793247.10999972</v>
      </c>
      <c r="J48" s="290">
        <f>-VLOOKUP(1867,Base_Periodo1[[#All],[CONTA]:[VALOR BALANÇO]],10,FALSE)+E48</f>
        <v>0</v>
      </c>
      <c r="K48" s="290">
        <f>-VLOOKUP(6447,Base_Periodo1[[#All],[CONTA]:[VALOR BALANÇO]],10,FALSE)+G48</f>
        <v>0</v>
      </c>
      <c r="L48"/>
      <c r="M48"/>
      <c r="N48"/>
      <c r="O48"/>
      <c r="P48"/>
    </row>
    <row r="49" spans="1:16" ht="15">
      <c r="A49" s="293" t="s">
        <v>4531</v>
      </c>
      <c r="B49" s="293"/>
      <c r="C49" s="293"/>
      <c r="D49" s="293"/>
      <c r="E49" s="300">
        <f>E48/(E43+E44+E45)</f>
        <v>0.27088654733012635</v>
      </c>
      <c r="F49" s="300"/>
      <c r="G49" s="300">
        <f>G48/(G43+G44+G45)</f>
        <v>0.24567726659875805</v>
      </c>
      <c r="H49" s="300"/>
      <c r="I49" s="300">
        <f>I48/(I43+I44+I45)</f>
        <v>0.26923287241241767</v>
      </c>
      <c r="J49" s="77"/>
      <c r="K49" s="77"/>
      <c r="L49"/>
      <c r="M49"/>
      <c r="N49"/>
      <c r="O49"/>
      <c r="P49"/>
    </row>
    <row r="50" spans="1:16" ht="15">
      <c r="A50" s="293" t="s">
        <v>5573</v>
      </c>
      <c r="B50" s="293"/>
      <c r="C50" s="293"/>
      <c r="D50" s="293"/>
      <c r="E50" s="300">
        <f>E48/I48</f>
        <v>0.94014139774827454</v>
      </c>
      <c r="F50" s="300"/>
      <c r="G50" s="300">
        <f>G48/I48</f>
        <v>5.9858602251725297E-2</v>
      </c>
      <c r="H50" s="300"/>
      <c r="I50" s="300"/>
      <c r="J50" s="77"/>
      <c r="K50" s="77"/>
      <c r="L50"/>
      <c r="M50"/>
      <c r="N50"/>
      <c r="O50"/>
      <c r="P50"/>
    </row>
    <row r="51" spans="1:16" ht="15">
      <c r="A51" s="377"/>
      <c r="B51" s="377"/>
      <c r="C51" s="377"/>
      <c r="D51" s="377"/>
      <c r="E51" s="377"/>
      <c r="F51" s="377"/>
      <c r="G51" s="377"/>
      <c r="H51" s="377"/>
      <c r="I51" s="377"/>
      <c r="L51"/>
      <c r="M51"/>
      <c r="N51"/>
      <c r="O51"/>
      <c r="P51"/>
    </row>
    <row r="52" spans="1:16" ht="15">
      <c r="A52" s="353" t="s">
        <v>306</v>
      </c>
      <c r="B52" s="353"/>
      <c r="C52" s="353"/>
      <c r="D52" s="353"/>
      <c r="E52" s="50" t="s">
        <v>289</v>
      </c>
      <c r="F52" s="50"/>
      <c r="G52" s="50" t="s">
        <v>289</v>
      </c>
      <c r="H52" s="50"/>
      <c r="I52" s="158" t="s">
        <v>289</v>
      </c>
      <c r="L52"/>
      <c r="M52"/>
      <c r="N52"/>
      <c r="O52"/>
      <c r="P52"/>
    </row>
    <row r="53" spans="1:16" ht="15">
      <c r="A53" s="376" t="s">
        <v>290</v>
      </c>
      <c r="B53" s="376"/>
      <c r="C53" s="376"/>
      <c r="D53" s="376"/>
      <c r="E53" s="47">
        <f>VLOOKUP(1879,Base_Periodo1[[#All],[CONTA]:[VALOR BALANÇO]],10,FALSE)</f>
        <v>60245.76000000062</v>
      </c>
      <c r="F53" s="288">
        <f t="shared" ref="F53" si="22">IF(ISERROR(E53/$I53),0,E53/$I53)</f>
        <v>0.93763764983609321</v>
      </c>
      <c r="G53" s="47">
        <f>VLOOKUP(6461,Base_Periodo1[[#All],[CONTA]:[VALOR BALANÇO]],10,FALSE)</f>
        <v>4006.95</v>
      </c>
      <c r="H53" s="288">
        <f t="shared" ref="H53" si="23">IF(ISERROR(G53/$I53),0,G53/$I53)</f>
        <v>6.2362350163906878E-2</v>
      </c>
      <c r="I53" s="125">
        <f>E53+G53</f>
        <v>64252.710000000618</v>
      </c>
      <c r="L53"/>
      <c r="M53"/>
      <c r="N53"/>
      <c r="O53"/>
      <c r="P53"/>
    </row>
    <row r="54" spans="1:16" ht="15">
      <c r="A54" s="376" t="s">
        <v>291</v>
      </c>
      <c r="B54" s="376"/>
      <c r="C54" s="376"/>
      <c r="D54" s="376"/>
      <c r="E54" s="47">
        <f>IF(ISERROR(VLOOKUP(1882,Base_Periodo1[[#All],[CONTA]:[VALOR BALANÇO]],10,FALSE)),0,VLOOKUP(1882,Base_Periodo1[[#All],[CONTA]:[VALOR BALANÇO]],10,FALSE))</f>
        <v>0</v>
      </c>
      <c r="F54" s="288">
        <f>IF(ISERROR(E54/$I54),0,E54/$I54)</f>
        <v>0</v>
      </c>
      <c r="G54" s="47"/>
      <c r="H54" s="288">
        <f>IF(ISERROR(G54/$I54),0,G54/$I54)</f>
        <v>0</v>
      </c>
      <c r="I54" s="125">
        <f>E54+G54</f>
        <v>0</v>
      </c>
      <c r="L54"/>
      <c r="M54"/>
      <c r="N54"/>
      <c r="O54"/>
      <c r="P54"/>
    </row>
    <row r="55" spans="1:16" ht="15">
      <c r="A55" s="376" t="s">
        <v>292</v>
      </c>
      <c r="B55" s="376"/>
      <c r="C55" s="376"/>
      <c r="D55" s="376"/>
      <c r="E55" s="47">
        <f>IF(ISERROR(-VLOOKUP(1883,Base_Periodo1[[#All],[CONTA]:[VALOR BALANÇO]],10,FALSE)),0,-VLOOKUP(1883,Base_Periodo1[[#All],[CONTA]:[VALOR BALANÇO]],10,FALSE))</f>
        <v>-530</v>
      </c>
      <c r="F55" s="288">
        <f t="shared" ref="F55:F57" si="24">IF(ISERROR(E55/$I55),0,E55/$I55)</f>
        <v>1</v>
      </c>
      <c r="G55" s="47">
        <f>IF(ISERROR(-VLOOKUP(6465,Base_Periodo1[[#All],[CONTA]:[VALOR BALANÇO]],10,FALSE)),0,-VLOOKUP(6465,Base_Periodo1[[#All],[CONTA]:[VALOR BALANÇO]],10,FALSE))</f>
        <v>0</v>
      </c>
      <c r="H55" s="288">
        <f t="shared" ref="H55:H57" si="25">IF(ISERROR(G55/$I55),0,G55/$I55)</f>
        <v>0</v>
      </c>
      <c r="I55" s="125">
        <f>E55+G55</f>
        <v>-530</v>
      </c>
      <c r="L55"/>
      <c r="M55"/>
      <c r="N55"/>
      <c r="O55"/>
      <c r="P55"/>
    </row>
    <row r="56" spans="1:16" ht="15">
      <c r="A56" s="376" t="s">
        <v>293</v>
      </c>
      <c r="B56" s="376"/>
      <c r="C56" s="376"/>
      <c r="D56" s="376"/>
      <c r="E56" s="47">
        <f>IF(ISERROR(-VLOOKUP(1885,Base_Periodo1[[#All],[CONTA]:[VALOR BALANÇO]],10,FALSE)),0,-VLOOKUP(1885,Base_Periodo1[[#All],[CONTA]:[VALOR BALANÇO]],10,FALSE))</f>
        <v>-10.110000000000079</v>
      </c>
      <c r="F56" s="288">
        <f t="shared" si="24"/>
        <v>1</v>
      </c>
      <c r="G56" s="47"/>
      <c r="H56" s="288">
        <f t="shared" si="25"/>
        <v>0</v>
      </c>
      <c r="I56" s="125">
        <f>E56+G56</f>
        <v>-10.110000000000079</v>
      </c>
      <c r="L56"/>
      <c r="M56"/>
      <c r="N56"/>
      <c r="O56"/>
      <c r="P56"/>
    </row>
    <row r="57" spans="1:16" ht="15">
      <c r="A57" s="376" t="s">
        <v>294</v>
      </c>
      <c r="B57" s="376"/>
      <c r="C57" s="376"/>
      <c r="D57" s="376"/>
      <c r="E57" s="47">
        <f>-VLOOKUP(1887,Base_Periodo1[[#All],[CONTA]:[VALOR BALANÇO]],10,FALSE)</f>
        <v>-45702.739999999954</v>
      </c>
      <c r="F57" s="288">
        <f t="shared" si="24"/>
        <v>0.93845808875679615</v>
      </c>
      <c r="G57" s="47">
        <f>-VLOOKUP(6469,Base_Periodo1[[#All],[CONTA]:[VALOR BALANÇO]],10,FALSE)</f>
        <v>-2997.0800000000045</v>
      </c>
      <c r="H57" s="288">
        <f t="shared" si="25"/>
        <v>6.154191124320392E-2</v>
      </c>
      <c r="I57" s="125">
        <f>E57+G57</f>
        <v>-48699.819999999956</v>
      </c>
      <c r="L57"/>
      <c r="M57"/>
      <c r="N57"/>
      <c r="O57"/>
      <c r="P57"/>
    </row>
    <row r="58" spans="1:16" ht="15">
      <c r="A58" s="353" t="s">
        <v>295</v>
      </c>
      <c r="B58" s="353"/>
      <c r="C58" s="353"/>
      <c r="D58" s="353"/>
      <c r="E58" s="160">
        <f>SUM(E53:E57)</f>
        <v>14002.910000000666</v>
      </c>
      <c r="F58" s="160"/>
      <c r="G58" s="160">
        <f>SUM(G53:G57)</f>
        <v>1009.8699999999953</v>
      </c>
      <c r="H58" s="160"/>
      <c r="I58" s="161">
        <f>SUM(I53:I57)</f>
        <v>15012.780000000661</v>
      </c>
      <c r="J58" s="290">
        <f>-VLOOKUP(1878,Base_Periodo1[[#All],[CONTA]:[VALOR BALANÇO]],10,FALSE)+E58</f>
        <v>0</v>
      </c>
      <c r="K58" s="290">
        <f>-VLOOKUP(6460,Base_Periodo1[[#All],[CONTA]:[VALOR BALANÇO]],10,FALSE)+G58</f>
        <v>0</v>
      </c>
      <c r="L58"/>
      <c r="M58"/>
      <c r="N58"/>
      <c r="O58"/>
      <c r="P58"/>
    </row>
    <row r="59" spans="1:16" ht="15">
      <c r="A59" s="293" t="s">
        <v>4531</v>
      </c>
      <c r="B59" s="293"/>
      <c r="C59" s="293"/>
      <c r="D59" s="293"/>
      <c r="E59" s="300">
        <f>E58/(E53+E54+E55)</f>
        <v>0.23449270343374212</v>
      </c>
      <c r="F59" s="300"/>
      <c r="G59" s="300">
        <f>G58/(G53+G54+G55)</f>
        <v>0.25202959857247914</v>
      </c>
      <c r="H59" s="300"/>
      <c r="I59" s="300">
        <f>I58/(I53+I54+I55)</f>
        <v>0.23559544156236475</v>
      </c>
      <c r="J59" s="77"/>
      <c r="K59" s="77"/>
      <c r="L59"/>
      <c r="M59"/>
      <c r="N59"/>
      <c r="O59"/>
      <c r="P59"/>
    </row>
    <row r="60" spans="1:16" ht="15">
      <c r="A60" s="293" t="s">
        <v>5573</v>
      </c>
      <c r="B60" s="293"/>
      <c r="C60" s="293"/>
      <c r="D60" s="293"/>
      <c r="E60" s="300">
        <f>E58/I58</f>
        <v>0.93273264511969467</v>
      </c>
      <c r="F60" s="300"/>
      <c r="G60" s="300">
        <f>G58/I58</f>
        <v>6.7267354880305372E-2</v>
      </c>
      <c r="H60" s="300"/>
      <c r="I60" s="300"/>
      <c r="J60" s="77"/>
      <c r="K60" s="77"/>
      <c r="L60"/>
      <c r="M60"/>
      <c r="N60"/>
      <c r="O60"/>
      <c r="P60"/>
    </row>
    <row r="61" spans="1:16" ht="15">
      <c r="A61" s="352"/>
      <c r="B61" s="352"/>
      <c r="C61" s="352"/>
      <c r="D61" s="352"/>
      <c r="E61" s="352"/>
      <c r="F61" s="352"/>
      <c r="G61" s="352"/>
      <c r="H61" s="352"/>
      <c r="I61" s="352"/>
      <c r="L61"/>
      <c r="M61"/>
      <c r="N61"/>
      <c r="O61"/>
      <c r="P61"/>
    </row>
    <row r="62" spans="1:16" ht="15" customHeight="1">
      <c r="A62" s="353" t="s">
        <v>307</v>
      </c>
      <c r="B62" s="353">
        <v>63102.820000000109</v>
      </c>
      <c r="C62" s="353">
        <v>63102.820000000109</v>
      </c>
      <c r="D62" s="353">
        <v>63102.820000000109</v>
      </c>
      <c r="E62" s="50" t="s">
        <v>289</v>
      </c>
      <c r="F62" s="50"/>
      <c r="G62" s="50" t="s">
        <v>289</v>
      </c>
      <c r="H62" s="50"/>
      <c r="I62" s="158" t="s">
        <v>289</v>
      </c>
      <c r="L62"/>
      <c r="M62"/>
      <c r="N62"/>
      <c r="O62"/>
      <c r="P62"/>
    </row>
    <row r="63" spans="1:16" ht="15">
      <c r="A63" s="376" t="s">
        <v>290</v>
      </c>
      <c r="B63" s="376"/>
      <c r="C63" s="376"/>
      <c r="D63" s="376"/>
      <c r="E63" s="47">
        <f>IF(ISERROR(VLOOKUP(1890,Base_Periodo1[[#All],[CONTA]:[VALOR BALANÇO]],10,FALSE)),0,VLOOKUP(1890,Base_Periodo1[[#All],[CONTA]:[VALOR BALANÇO]],10,FALSE))</f>
        <v>0</v>
      </c>
      <c r="F63" s="288">
        <f t="shared" ref="F63" si="26">IF(ISERROR(E63/$I63),0,E63/$I63)</f>
        <v>0</v>
      </c>
      <c r="G63" s="47"/>
      <c r="H63" s="288">
        <f t="shared" ref="H63" si="27">IF(ISERROR(G63/$I63),0,G63/$I63)</f>
        <v>0</v>
      </c>
      <c r="I63" s="125">
        <f>E63+G63</f>
        <v>0</v>
      </c>
      <c r="L63"/>
      <c r="M63"/>
      <c r="N63"/>
      <c r="O63"/>
      <c r="P63"/>
    </row>
    <row r="64" spans="1:16" ht="15">
      <c r="A64" s="376" t="s">
        <v>291</v>
      </c>
      <c r="B64" s="376"/>
      <c r="C64" s="376"/>
      <c r="D64" s="376"/>
      <c r="E64" s="47"/>
      <c r="F64" s="288">
        <f>IF(ISERROR(E64/$I64),0,E64/$I64)</f>
        <v>0</v>
      </c>
      <c r="G64" s="47"/>
      <c r="H64" s="288">
        <f>IF(ISERROR(G64/$I64),0,G64/$I64)</f>
        <v>0</v>
      </c>
      <c r="I64" s="125">
        <f>E64+G64</f>
        <v>0</v>
      </c>
      <c r="L64"/>
      <c r="M64"/>
      <c r="N64"/>
      <c r="O64"/>
      <c r="P64"/>
    </row>
    <row r="65" spans="1:16" ht="15">
      <c r="A65" s="376" t="s">
        <v>292</v>
      </c>
      <c r="B65" s="376"/>
      <c r="C65" s="376"/>
      <c r="D65" s="376"/>
      <c r="E65" s="47">
        <f>IF(ISERROR(-VLOOKUP(1892,Base_Periodo1[[#All],[CONTA]:[VALOR BALANÇO]],10,FALSE)),0,-VLOOKUP(1892,Base_Periodo1[[#All],[CONTA]:[VALOR BALANÇO]],10,FALSE))</f>
        <v>0</v>
      </c>
      <c r="F65" s="288">
        <f t="shared" ref="F65:F67" si="28">IF(ISERROR(E65/$I65),0,E65/$I65)</f>
        <v>0</v>
      </c>
      <c r="G65" s="47"/>
      <c r="H65" s="288">
        <f t="shared" ref="H65:H67" si="29">IF(ISERROR(G65/$I65),0,G65/$I65)</f>
        <v>0</v>
      </c>
      <c r="I65" s="125">
        <f>E65+G65</f>
        <v>0</v>
      </c>
      <c r="L65"/>
      <c r="M65"/>
      <c r="N65"/>
      <c r="O65"/>
      <c r="P65"/>
    </row>
    <row r="66" spans="1:16" ht="15">
      <c r="A66" s="376" t="s">
        <v>293</v>
      </c>
      <c r="B66" s="376"/>
      <c r="C66" s="376"/>
      <c r="D66" s="376"/>
      <c r="E66" s="47"/>
      <c r="F66" s="288">
        <f t="shared" si="28"/>
        <v>0</v>
      </c>
      <c r="G66" s="47"/>
      <c r="H66" s="288">
        <f t="shared" si="29"/>
        <v>0</v>
      </c>
      <c r="I66" s="125">
        <f>E66+G66</f>
        <v>0</v>
      </c>
      <c r="L66"/>
      <c r="M66"/>
      <c r="N66"/>
      <c r="O66"/>
      <c r="P66"/>
    </row>
    <row r="67" spans="1:16" ht="15">
      <c r="A67" s="376" t="s">
        <v>294</v>
      </c>
      <c r="B67" s="376"/>
      <c r="C67" s="376"/>
      <c r="D67" s="376"/>
      <c r="E67" s="47">
        <f>IF(ISERROR(-VLOOKUP(1896,Base_Periodo1[[#All],[CONTA]:[VALOR BALANÇO]],10,FALSE)),0,-VLOOKUP(1896,Base_Periodo1[[#All],[CONTA]:[VALOR BALANÇO]],10,FALSE))</f>
        <v>0</v>
      </c>
      <c r="F67" s="288">
        <f t="shared" si="28"/>
        <v>0</v>
      </c>
      <c r="G67" s="47">
        <f>IF(ISERROR(-VLOOKUP(6477,Base_Periodo1[[#All],[CONTA]:[VALOR BALANÇO]],10,FALSE)),0,-VLOOKUP(6477,Base_Periodo1[[#All],[CONTA]:[VALOR BALANÇO]],10,FALSE))</f>
        <v>0</v>
      </c>
      <c r="H67" s="288">
        <f t="shared" si="29"/>
        <v>0</v>
      </c>
      <c r="I67" s="125">
        <f>E67+G67</f>
        <v>0</v>
      </c>
      <c r="L67"/>
      <c r="M67"/>
      <c r="N67"/>
      <c r="O67"/>
      <c r="P67"/>
    </row>
    <row r="68" spans="1:16" ht="15">
      <c r="A68" s="353" t="s">
        <v>295</v>
      </c>
      <c r="B68" s="353"/>
      <c r="C68" s="353"/>
      <c r="D68" s="353"/>
      <c r="E68" s="160">
        <f>SUM(E63:E67)</f>
        <v>0</v>
      </c>
      <c r="F68" s="160"/>
      <c r="G68" s="160">
        <f>SUM(G63:G67)</f>
        <v>0</v>
      </c>
      <c r="H68" s="160"/>
      <c r="I68" s="161">
        <f>SUM(I63:I67)</f>
        <v>0</v>
      </c>
      <c r="J68" s="290" t="e">
        <f>-VLOOKUP(1889,Base_Periodo1[[#All],[CONTA]:[VALOR BALANÇO]],10,FALSE)+E68</f>
        <v>#N/A</v>
      </c>
      <c r="K68" s="290" t="e">
        <f>-VLOOKUP(6471,Base_Periodo1[[#All],[CONTA]:[VALOR BALANÇO]],10,FALSE)-G68</f>
        <v>#N/A</v>
      </c>
      <c r="L68"/>
      <c r="M68"/>
      <c r="N68"/>
      <c r="O68"/>
      <c r="P68"/>
    </row>
    <row r="69" spans="1:16" ht="15">
      <c r="A69" s="293" t="s">
        <v>4531</v>
      </c>
      <c r="B69" s="293"/>
      <c r="C69" s="293"/>
      <c r="D69" s="293"/>
      <c r="E69" s="300">
        <f>IF(ISERROR(E68/(E63+E64+E65)),0,E68/(E63+E64+E65))</f>
        <v>0</v>
      </c>
      <c r="F69" s="300"/>
      <c r="G69" s="300">
        <f>IF(ISERROR(G68/(G63+G64+G65)),0,G68/(G63+G64+G65))</f>
        <v>0</v>
      </c>
      <c r="H69" s="300"/>
      <c r="I69" s="300">
        <f>IF(ISERROR(I68/(I63+I64+I65)),0,I68/(I63+I64+I65))</f>
        <v>0</v>
      </c>
      <c r="J69" s="77"/>
      <c r="K69" s="77"/>
      <c r="L69"/>
      <c r="M69"/>
      <c r="N69"/>
      <c r="O69"/>
      <c r="P69"/>
    </row>
    <row r="70" spans="1:16" ht="15">
      <c r="A70" s="293" t="s">
        <v>5573</v>
      </c>
      <c r="B70" s="293"/>
      <c r="C70" s="293"/>
      <c r="D70" s="293"/>
      <c r="E70" s="300">
        <f>IF(ISERROR(E68/I68),0,E68/I68)</f>
        <v>0</v>
      </c>
      <c r="F70" s="300"/>
      <c r="G70" s="300">
        <f>IF(ISERROR(G68/I68),0,G68/I68)</f>
        <v>0</v>
      </c>
      <c r="H70" s="300"/>
      <c r="I70" s="300"/>
      <c r="J70" s="77"/>
      <c r="K70" s="77"/>
      <c r="L70"/>
      <c r="M70"/>
      <c r="N70"/>
      <c r="O70"/>
      <c r="P70"/>
    </row>
    <row r="71" spans="1:16" ht="15">
      <c r="A71" s="352"/>
      <c r="B71" s="352"/>
      <c r="C71" s="352"/>
      <c r="D71" s="352"/>
      <c r="E71" s="352"/>
      <c r="F71" s="352"/>
      <c r="G71" s="352"/>
      <c r="H71" s="352"/>
      <c r="I71" s="352"/>
      <c r="L71"/>
      <c r="M71"/>
      <c r="N71"/>
      <c r="O71"/>
      <c r="P71"/>
    </row>
    <row r="72" spans="1:16" ht="15">
      <c r="A72" s="353" t="s">
        <v>308</v>
      </c>
      <c r="B72" s="353">
        <v>63102.820000000109</v>
      </c>
      <c r="C72" s="353">
        <v>63102.820000000109</v>
      </c>
      <c r="D72" s="353">
        <v>63102.820000000109</v>
      </c>
      <c r="E72" s="50" t="s">
        <v>289</v>
      </c>
      <c r="F72" s="50"/>
      <c r="G72" s="50" t="s">
        <v>289</v>
      </c>
      <c r="H72" s="50"/>
      <c r="I72" s="158" t="s">
        <v>289</v>
      </c>
      <c r="L72"/>
      <c r="M72"/>
      <c r="N72"/>
      <c r="O72"/>
      <c r="P72"/>
    </row>
    <row r="73" spans="1:16" ht="15">
      <c r="A73" s="376" t="s">
        <v>290</v>
      </c>
      <c r="B73" s="376"/>
      <c r="C73" s="376"/>
      <c r="D73" s="376"/>
      <c r="E73" s="47">
        <f>VLOOKUP(1899,Base_Periodo1[[#All],[CONTA]:[VALOR BALANÇO]],10,FALSE)</f>
        <v>644617.35999999125</v>
      </c>
      <c r="F73" s="288">
        <f t="shared" ref="F73" si="30">IF(ISERROR(E73/$I73),0,E73/$I73)</f>
        <v>0.96741327769731122</v>
      </c>
      <c r="G73" s="47">
        <f>VLOOKUP(6479,Base_Periodo1[[#All],[CONTA]:[VALOR BALANÇO]],10,FALSE)</f>
        <v>21713.540000000376</v>
      </c>
      <c r="H73" s="288">
        <f t="shared" ref="H73" si="31">IF(ISERROR(G73/$I73),0,G73/$I73)</f>
        <v>3.258672230268872E-2</v>
      </c>
      <c r="I73" s="125">
        <f>E73+G73</f>
        <v>666330.89999999164</v>
      </c>
      <c r="L73"/>
      <c r="M73"/>
      <c r="N73"/>
      <c r="O73"/>
      <c r="P73"/>
    </row>
    <row r="74" spans="1:16" ht="15">
      <c r="A74" s="376" t="s">
        <v>291</v>
      </c>
      <c r="B74" s="376"/>
      <c r="C74" s="376"/>
      <c r="D74" s="376"/>
      <c r="E74" s="47">
        <f>IF(ISERROR(VLOOKUP(1901,Base_Periodo1[[#All],[CONTA]:[VALOR BALANÇO]],10,FALSE)),0,VLOOKUP(1901,Base_Periodo1[[#All],[CONTA]:[VALOR BALANÇO]],10,FALSE))</f>
        <v>7344</v>
      </c>
      <c r="F74" s="288">
        <f>IF(ISERROR(E74/$I74),0,E74/$I74)</f>
        <v>1</v>
      </c>
      <c r="G74" s="47"/>
      <c r="H74" s="288">
        <f>IF(ISERROR(G74/$I74),0,G74/$I74)</f>
        <v>0</v>
      </c>
      <c r="I74" s="125">
        <f>E74+G74</f>
        <v>7344</v>
      </c>
      <c r="L74"/>
      <c r="M74"/>
      <c r="N74"/>
      <c r="O74"/>
      <c r="P74"/>
    </row>
    <row r="75" spans="1:16" ht="15">
      <c r="A75" s="376" t="s">
        <v>292</v>
      </c>
      <c r="B75" s="376"/>
      <c r="C75" s="376"/>
      <c r="D75" s="376"/>
      <c r="E75" s="47">
        <f>-VLOOKUP(1903,Base_Periodo1[[#All],[CONTA]:[VALOR BALANÇO]],10,FALSE)</f>
        <v>-2860.3000000000029</v>
      </c>
      <c r="F75" s="288">
        <f t="shared" ref="F75:F77" si="32">IF(ISERROR(E75/$I75),0,E75/$I75)</f>
        <v>0.86068064875274586</v>
      </c>
      <c r="G75" s="47">
        <f>-VLOOKUP(6486,Base_Periodo1[[#All],[CONTA]:[VALOR BALANÇO]],10,FALSE)</f>
        <v>-463</v>
      </c>
      <c r="H75" s="288">
        <f t="shared" ref="H75:H77" si="33">IF(ISERROR(G75/$I75),0,G75/$I75)</f>
        <v>0.13931935124725411</v>
      </c>
      <c r="I75" s="125">
        <f>E75+G75</f>
        <v>-3323.3000000000029</v>
      </c>
      <c r="L75"/>
      <c r="M75"/>
      <c r="N75"/>
      <c r="O75"/>
      <c r="P75"/>
    </row>
    <row r="76" spans="1:16" ht="15">
      <c r="A76" s="376" t="s">
        <v>293</v>
      </c>
      <c r="B76" s="376"/>
      <c r="C76" s="376"/>
      <c r="D76" s="376"/>
      <c r="E76" s="47">
        <f>-VLOOKUP(1905,Base_Periodo1[[#All],[CONTA]:[VALOR BALANÇO]],10,FALSE)</f>
        <v>-82.030000000000655</v>
      </c>
      <c r="F76" s="288">
        <f t="shared" si="32"/>
        <v>1</v>
      </c>
      <c r="G76" s="47">
        <f>IF(ISERROR(-VLOOKUP(6488,Base_Periodo1[[#All],[CONTA]:[VALOR BALANÇO]],10,FALSE)),0,-VLOOKUP(6488,Base_Periodo1[[#All],[CONTA]:[VALOR BALANÇO]],10,FALSE))</f>
        <v>0</v>
      </c>
      <c r="H76" s="288">
        <f t="shared" si="33"/>
        <v>0</v>
      </c>
      <c r="I76" s="125">
        <f>E76+G76</f>
        <v>-82.030000000000655</v>
      </c>
      <c r="L76"/>
      <c r="M76"/>
      <c r="N76"/>
      <c r="O76"/>
      <c r="P76"/>
    </row>
    <row r="77" spans="1:16" ht="15">
      <c r="A77" s="376" t="s">
        <v>294</v>
      </c>
      <c r="B77" s="376"/>
      <c r="C77" s="376"/>
      <c r="D77" s="376"/>
      <c r="E77" s="47">
        <f>-VLOOKUP(1907,Base_Periodo1[[#All],[CONTA]:[VALOR BALANÇO]],10,FALSE)</f>
        <v>-443185.21999999863</v>
      </c>
      <c r="F77" s="288">
        <f t="shared" si="32"/>
        <v>0.96519922598545804</v>
      </c>
      <c r="G77" s="47">
        <f>-VLOOKUP(6490,Base_Periodo1[[#All],[CONTA]:[VALOR BALANÇO]],10,FALSE)</f>
        <v>-15979.280000000079</v>
      </c>
      <c r="H77" s="288">
        <f t="shared" si="33"/>
        <v>3.4800774014541895E-2</v>
      </c>
      <c r="I77" s="125">
        <f>E77+G77</f>
        <v>-459164.49999999872</v>
      </c>
      <c r="L77"/>
      <c r="M77"/>
      <c r="N77"/>
      <c r="O77"/>
      <c r="P77"/>
    </row>
    <row r="78" spans="1:16" ht="15">
      <c r="A78" s="353" t="s">
        <v>295</v>
      </c>
      <c r="B78" s="353"/>
      <c r="C78" s="353"/>
      <c r="D78" s="353"/>
      <c r="E78" s="160">
        <f>SUM(E73:E77)</f>
        <v>205833.80999999255</v>
      </c>
      <c r="F78" s="160"/>
      <c r="G78" s="160">
        <f>SUM(G73:G77)</f>
        <v>5271.2600000002967</v>
      </c>
      <c r="H78" s="160"/>
      <c r="I78" s="161">
        <f>SUM(I73:I77)</f>
        <v>211105.06999999285</v>
      </c>
      <c r="J78" s="290">
        <f>-VLOOKUP(1898,Base_Periodo1[[#All],[CONTA]:[VALOR BALANÇO]],10,FALSE)+E78</f>
        <v>0</v>
      </c>
      <c r="K78" s="290">
        <f>VLOOKUP(6478,Base_Periodo1[[#All],[CONTA]:[VALOR BALANÇO]],10,FALSE)-G78</f>
        <v>0</v>
      </c>
      <c r="L78"/>
      <c r="M78"/>
      <c r="N78"/>
      <c r="O78"/>
      <c r="P78"/>
    </row>
    <row r="79" spans="1:16" ht="15">
      <c r="A79" s="293" t="s">
        <v>4531</v>
      </c>
      <c r="B79" s="293"/>
      <c r="C79" s="293"/>
      <c r="D79" s="293"/>
      <c r="E79" s="300">
        <f>E78/(E73+E74+E75)</f>
        <v>0.31710595265396013</v>
      </c>
      <c r="F79" s="300"/>
      <c r="G79" s="300">
        <f>G78/(G73+G74+G75)</f>
        <v>0.24805299065342357</v>
      </c>
      <c r="H79" s="300"/>
      <c r="I79" s="300">
        <f>I78/(I73+I74+I75)</f>
        <v>0.31491693314373459</v>
      </c>
      <c r="J79" s="77"/>
      <c r="K79" s="77"/>
      <c r="L79"/>
      <c r="M79"/>
      <c r="N79"/>
      <c r="O79"/>
      <c r="P79"/>
    </row>
    <row r="80" spans="1:16" ht="15">
      <c r="A80" s="293" t="s">
        <v>5573</v>
      </c>
      <c r="B80" s="293"/>
      <c r="C80" s="293"/>
      <c r="D80" s="293"/>
      <c r="E80" s="300">
        <f>E78/I78</f>
        <v>0.97503015915249935</v>
      </c>
      <c r="F80" s="300"/>
      <c r="G80" s="300">
        <f>G78/I78</f>
        <v>2.4969840847500608E-2</v>
      </c>
      <c r="H80" s="300"/>
      <c r="I80" s="300"/>
      <c r="J80" s="77"/>
      <c r="K80" s="77"/>
      <c r="L80"/>
      <c r="M80"/>
      <c r="N80"/>
      <c r="O80"/>
      <c r="P80"/>
    </row>
    <row r="81" spans="1:16" ht="15">
      <c r="A81" s="352"/>
      <c r="B81" s="352"/>
      <c r="C81" s="352"/>
      <c r="D81" s="352"/>
      <c r="E81" s="352"/>
      <c r="F81" s="352"/>
      <c r="G81" s="352"/>
      <c r="H81" s="352"/>
      <c r="I81" s="352"/>
      <c r="L81"/>
      <c r="M81"/>
      <c r="N81"/>
      <c r="O81"/>
      <c r="P81"/>
    </row>
    <row r="82" spans="1:16" ht="15">
      <c r="A82" s="353" t="s">
        <v>5558</v>
      </c>
      <c r="B82" s="353">
        <v>63102.820000000109</v>
      </c>
      <c r="C82" s="353">
        <v>63102.820000000109</v>
      </c>
      <c r="D82" s="353">
        <v>63102.820000000109</v>
      </c>
      <c r="E82" s="50" t="s">
        <v>289</v>
      </c>
      <c r="F82" s="50"/>
      <c r="G82" s="50" t="s">
        <v>289</v>
      </c>
      <c r="H82" s="50"/>
      <c r="I82" s="158" t="s">
        <v>289</v>
      </c>
      <c r="L82"/>
      <c r="M82"/>
      <c r="N82"/>
      <c r="O82"/>
      <c r="P82"/>
    </row>
    <row r="83" spans="1:16" ht="15">
      <c r="A83" s="376" t="s">
        <v>290</v>
      </c>
      <c r="B83" s="376"/>
      <c r="C83" s="376"/>
      <c r="D83" s="376"/>
      <c r="E83" s="47">
        <f>VLOOKUP(1910,Base_Periodo1[[#All],[CONTA]:[VALOR BALANÇO]],10,FALSE)</f>
        <v>49.999999999999773</v>
      </c>
      <c r="F83" s="288">
        <f t="shared" ref="F83" si="34">IF(ISERROR(E83/$I83),0,E83/$I83)</f>
        <v>1</v>
      </c>
      <c r="G83" s="47">
        <v>0</v>
      </c>
      <c r="H83" s="288">
        <f t="shared" ref="H83" si="35">IF(ISERROR(G83/$I83),0,G83/$I83)</f>
        <v>0</v>
      </c>
      <c r="I83" s="125">
        <f>E83+G83</f>
        <v>49.999999999999773</v>
      </c>
      <c r="L83"/>
      <c r="M83"/>
      <c r="N83"/>
      <c r="O83"/>
      <c r="P83"/>
    </row>
    <row r="84" spans="1:16" ht="15">
      <c r="A84" s="376" t="s">
        <v>291</v>
      </c>
      <c r="B84" s="376"/>
      <c r="C84" s="376"/>
      <c r="D84" s="376"/>
      <c r="E84" s="47">
        <v>0</v>
      </c>
      <c r="F84" s="288">
        <f>IF(ISERROR(E84/$I84),0,E84/$I84)</f>
        <v>0</v>
      </c>
      <c r="G84" s="47"/>
      <c r="H84" s="288">
        <f>IF(ISERROR(G84/$I84),0,G84/$I84)</f>
        <v>0</v>
      </c>
      <c r="I84" s="125">
        <f>E84+G84</f>
        <v>0</v>
      </c>
      <c r="L84"/>
      <c r="M84"/>
      <c r="N84"/>
      <c r="O84"/>
      <c r="P84"/>
    </row>
    <row r="85" spans="1:16" ht="15">
      <c r="A85" s="376" t="s">
        <v>292</v>
      </c>
      <c r="B85" s="376"/>
      <c r="C85" s="376"/>
      <c r="D85" s="376"/>
      <c r="E85" s="47">
        <v>0</v>
      </c>
      <c r="F85" s="288">
        <f t="shared" ref="F85:F87" si="36">IF(ISERROR(E85/$I85),0,E85/$I85)</f>
        <v>0</v>
      </c>
      <c r="G85" s="47">
        <v>0</v>
      </c>
      <c r="H85" s="288">
        <f t="shared" ref="H85:H87" si="37">IF(ISERROR(G85/$I85),0,G85/$I85)</f>
        <v>0</v>
      </c>
      <c r="I85" s="125">
        <f>E85+G85</f>
        <v>0</v>
      </c>
      <c r="L85"/>
      <c r="M85"/>
      <c r="N85"/>
      <c r="O85"/>
      <c r="P85"/>
    </row>
    <row r="86" spans="1:16" ht="15">
      <c r="A86" s="376" t="s">
        <v>293</v>
      </c>
      <c r="B86" s="376"/>
      <c r="C86" s="376"/>
      <c r="D86" s="376"/>
      <c r="E86" s="47">
        <v>0</v>
      </c>
      <c r="F86" s="288">
        <f t="shared" si="36"/>
        <v>0</v>
      </c>
      <c r="G86" s="47">
        <f>IF(ISERROR(-VLOOKUP(6488,Base_Periodo1[[#All],[CONTA]:[VALOR BALANÇO]],10,FALSE)),0,-VLOOKUP(6488,Base_Periodo1[[#All],[CONTA]:[VALOR BALANÇO]],10,FALSE))</f>
        <v>0</v>
      </c>
      <c r="H86" s="288">
        <f t="shared" si="37"/>
        <v>0</v>
      </c>
      <c r="I86" s="125">
        <f>E86+G86</f>
        <v>0</v>
      </c>
      <c r="L86"/>
      <c r="M86"/>
      <c r="N86"/>
      <c r="O86"/>
      <c r="P86"/>
    </row>
    <row r="87" spans="1:16" ht="15">
      <c r="A87" s="376" t="s">
        <v>294</v>
      </c>
      <c r="B87" s="376"/>
      <c r="C87" s="376"/>
      <c r="D87" s="376"/>
      <c r="E87" s="47">
        <f>-VLOOKUP(1912,Base_Periodo1[[#All],[CONTA]:[VALOR BALANÇO]],10,FALSE)</f>
        <v>-33.819999999999709</v>
      </c>
      <c r="F87" s="288">
        <f t="shared" si="36"/>
        <v>9.9985218033999818E-2</v>
      </c>
      <c r="G87" s="47">
        <f>IF(ISERROR(-VLOOKUP(6498,Base_Periodo1[[#All],[CONTA]:[VALOR BALANÇO]],10,FALSE)),0,-VLOOKUP(6498,Base_Periodo1[[#All],[CONTA]:[VALOR BALANÇO]],10,FALSE))</f>
        <v>-304.42999999999302</v>
      </c>
      <c r="H87" s="288">
        <f t="shared" si="37"/>
        <v>0.90001478196600015</v>
      </c>
      <c r="I87" s="125">
        <f>E87+G87</f>
        <v>-338.24999999999272</v>
      </c>
      <c r="L87"/>
      <c r="M87"/>
      <c r="N87"/>
      <c r="O87"/>
      <c r="P87"/>
    </row>
    <row r="88" spans="1:16" ht="15">
      <c r="A88" s="353" t="s">
        <v>295</v>
      </c>
      <c r="B88" s="353"/>
      <c r="C88" s="353"/>
      <c r="D88" s="353"/>
      <c r="E88" s="160">
        <f>SUM(E83:E87)</f>
        <v>16.180000000000064</v>
      </c>
      <c r="F88" s="160"/>
      <c r="G88" s="160">
        <f>SUM(G83:G87)</f>
        <v>-304.42999999999302</v>
      </c>
      <c r="H88" s="160"/>
      <c r="I88" s="161">
        <f>SUM(I83:I87)</f>
        <v>-288.24999999999295</v>
      </c>
      <c r="J88" s="290">
        <f>-VLOOKUP(1909,Base_Periodo1[[#All],[CONTA]:[VALOR BALANÇO]],10,FALSE)+E88</f>
        <v>0</v>
      </c>
      <c r="K88" s="290">
        <f>VLOOKUP(6494,Base_Periodo1[[#All],[CONTA]:[VALOR BALANÇO]],10,FALSE)+G88</f>
        <v>-1.8189894035458565E-12</v>
      </c>
      <c r="L88"/>
      <c r="M88"/>
      <c r="N88"/>
      <c r="O88"/>
      <c r="P88"/>
    </row>
    <row r="89" spans="1:16" ht="15">
      <c r="A89" s="293" t="s">
        <v>4531</v>
      </c>
      <c r="B89" s="293"/>
      <c r="C89" s="293"/>
      <c r="D89" s="293"/>
      <c r="E89" s="300">
        <f>E88/(E83+E84+E85)</f>
        <v>0.32360000000000272</v>
      </c>
      <c r="F89" s="300"/>
      <c r="G89" s="300">
        <f>IF(ISERROR(G88/(G83+G84+G85)),0,G88/(G83+G84+G85))</f>
        <v>0</v>
      </c>
      <c r="H89" s="300"/>
      <c r="I89" s="300">
        <f>I88/(I83+I84+I85)</f>
        <v>-5.7649999999998851</v>
      </c>
      <c r="J89" s="77"/>
      <c r="K89" s="77"/>
      <c r="L89"/>
      <c r="M89"/>
      <c r="N89"/>
      <c r="O89"/>
      <c r="P89"/>
    </row>
    <row r="90" spans="1:16" ht="15">
      <c r="A90" s="293" t="s">
        <v>5573</v>
      </c>
      <c r="B90" s="293"/>
      <c r="C90" s="293"/>
      <c r="D90" s="293"/>
      <c r="E90" s="300">
        <f>E88/I88</f>
        <v>-5.6131830008674617E-2</v>
      </c>
      <c r="F90" s="300"/>
      <c r="G90" s="300">
        <f>G88/I88</f>
        <v>1.0561318300086746</v>
      </c>
      <c r="H90" s="300"/>
      <c r="I90" s="300"/>
      <c r="J90" s="77"/>
      <c r="K90" s="77"/>
      <c r="L90"/>
      <c r="M90"/>
      <c r="N90"/>
      <c r="O90"/>
      <c r="P90"/>
    </row>
    <row r="91" spans="1:16" ht="15">
      <c r="A91" s="352"/>
      <c r="B91" s="352"/>
      <c r="C91" s="352"/>
      <c r="D91" s="352"/>
      <c r="E91" s="352"/>
      <c r="F91" s="352"/>
      <c r="G91" s="352"/>
      <c r="H91" s="352"/>
      <c r="I91" s="352"/>
      <c r="L91"/>
      <c r="M91"/>
      <c r="N91"/>
      <c r="O91"/>
      <c r="P91"/>
    </row>
    <row r="92" spans="1:16" ht="15">
      <c r="A92" s="353" t="s">
        <v>5559</v>
      </c>
      <c r="B92" s="353">
        <v>63102.820000000109</v>
      </c>
      <c r="C92" s="353">
        <v>63102.820000000109</v>
      </c>
      <c r="D92" s="353">
        <v>63102.820000000109</v>
      </c>
      <c r="E92" s="50" t="s">
        <v>289</v>
      </c>
      <c r="F92" s="50"/>
      <c r="G92" s="50" t="s">
        <v>289</v>
      </c>
      <c r="H92" s="50"/>
      <c r="I92" s="158" t="s">
        <v>289</v>
      </c>
      <c r="L92"/>
      <c r="M92"/>
      <c r="N92"/>
      <c r="O92"/>
      <c r="P92"/>
    </row>
    <row r="93" spans="1:16" ht="15">
      <c r="A93" s="376" t="s">
        <v>290</v>
      </c>
      <c r="B93" s="376"/>
      <c r="C93" s="376"/>
      <c r="D93" s="376"/>
      <c r="E93" s="47">
        <v>0</v>
      </c>
      <c r="F93" s="288">
        <f t="shared" ref="F93" si="38">IF(ISERROR(E93/$I93),0,E93/$I93)</f>
        <v>0</v>
      </c>
      <c r="G93" s="47">
        <v>0</v>
      </c>
      <c r="H93" s="288">
        <f t="shared" ref="H93" si="39">IF(ISERROR(G93/$I93),0,G93/$I93)</f>
        <v>0</v>
      </c>
      <c r="I93" s="125">
        <f>E93+G93</f>
        <v>0</v>
      </c>
      <c r="L93"/>
      <c r="M93"/>
      <c r="N93"/>
      <c r="O93"/>
      <c r="P93"/>
    </row>
    <row r="94" spans="1:16" ht="15">
      <c r="A94" s="376" t="s">
        <v>291</v>
      </c>
      <c r="B94" s="376"/>
      <c r="C94" s="376"/>
      <c r="D94" s="376"/>
      <c r="E94" s="47">
        <f>IF(ISERROR(VLOOKUP(2104,Base_Periodo1[[#All],[CONTA]:[VALOR BALANÇO]],10,FALSE)),0,VLOOKUP(2104,Base_Periodo1[[#All],[CONTA]:[VALOR BALANÇO]],10,FALSE))</f>
        <v>0</v>
      </c>
      <c r="F94" s="288">
        <f>IF(ISERROR(E94/$I94),0,E94/$I94)</f>
        <v>0</v>
      </c>
      <c r="G94" s="47"/>
      <c r="H94" s="288">
        <f>IF(ISERROR(G94/$I94),0,G94/$I94)</f>
        <v>0</v>
      </c>
      <c r="I94" s="125">
        <f>E94+G94</f>
        <v>0</v>
      </c>
      <c r="L94"/>
      <c r="M94"/>
      <c r="N94"/>
      <c r="O94"/>
      <c r="P94"/>
    </row>
    <row r="95" spans="1:16" ht="15">
      <c r="A95" s="376" t="s">
        <v>292</v>
      </c>
      <c r="B95" s="376"/>
      <c r="C95" s="376"/>
      <c r="D95" s="376"/>
      <c r="E95" s="47">
        <v>0</v>
      </c>
      <c r="F95" s="288">
        <f t="shared" ref="F95:F97" si="40">IF(ISERROR(E95/$I95),0,E95/$I95)</f>
        <v>0</v>
      </c>
      <c r="G95" s="47">
        <v>0</v>
      </c>
      <c r="H95" s="288">
        <f t="shared" ref="H95:H97" si="41">IF(ISERROR(G95/$I95),0,G95/$I95)</f>
        <v>0</v>
      </c>
      <c r="I95" s="125">
        <f>E95+G95</f>
        <v>0</v>
      </c>
      <c r="L95"/>
      <c r="M95"/>
      <c r="N95"/>
      <c r="O95"/>
      <c r="P95"/>
    </row>
    <row r="96" spans="1:16" ht="15">
      <c r="A96" s="376" t="s">
        <v>293</v>
      </c>
      <c r="B96" s="376"/>
      <c r="C96" s="376"/>
      <c r="D96" s="376"/>
      <c r="E96" s="47">
        <v>0</v>
      </c>
      <c r="F96" s="288">
        <f t="shared" si="40"/>
        <v>0</v>
      </c>
      <c r="G96" s="47">
        <f>IF(ISERROR(-VLOOKUP(6488,Base_Periodo1[[#All],[CONTA]:[VALOR BALANÇO]],10,FALSE)),0,-VLOOKUP(6488,Base_Periodo1[[#All],[CONTA]:[VALOR BALANÇO]],10,FALSE))</f>
        <v>0</v>
      </c>
      <c r="H96" s="288">
        <f t="shared" si="41"/>
        <v>0</v>
      </c>
      <c r="I96" s="125">
        <f>E96+G96</f>
        <v>0</v>
      </c>
      <c r="L96"/>
      <c r="M96"/>
      <c r="N96"/>
      <c r="O96"/>
      <c r="P96"/>
    </row>
    <row r="97" spans="1:14" ht="15">
      <c r="A97" s="376" t="s">
        <v>294</v>
      </c>
      <c r="B97" s="376"/>
      <c r="C97" s="376"/>
      <c r="D97" s="376"/>
      <c r="E97" s="47">
        <v>0</v>
      </c>
      <c r="F97" s="288">
        <f t="shared" si="40"/>
        <v>0</v>
      </c>
      <c r="G97" s="47">
        <v>0</v>
      </c>
      <c r="H97" s="288">
        <f t="shared" si="41"/>
        <v>0</v>
      </c>
      <c r="I97" s="125">
        <f>E97+G97</f>
        <v>0</v>
      </c>
      <c r="L97"/>
      <c r="M97"/>
      <c r="N97"/>
    </row>
    <row r="98" spans="1:14" ht="15">
      <c r="A98" s="353" t="s">
        <v>295</v>
      </c>
      <c r="B98" s="353"/>
      <c r="C98" s="353"/>
      <c r="D98" s="353"/>
      <c r="E98" s="160">
        <f>SUM(E93:E97)</f>
        <v>0</v>
      </c>
      <c r="F98" s="160"/>
      <c r="G98" s="160">
        <f>SUM(G93:G97)</f>
        <v>0</v>
      </c>
      <c r="H98" s="160"/>
      <c r="I98" s="161">
        <f>SUM(I93:I97)</f>
        <v>0</v>
      </c>
      <c r="J98" s="290" t="e">
        <f>-VLOOKUP(2100,Base_Periodo1[[#All],[CONTA]:[VALOR BALANÇO]],10,FALSE)+E98</f>
        <v>#N/A</v>
      </c>
      <c r="K98" s="297" t="s">
        <v>5567</v>
      </c>
      <c r="L98"/>
      <c r="M98"/>
      <c r="N98"/>
    </row>
    <row r="99" spans="1:14" ht="15">
      <c r="A99" s="293" t="s">
        <v>4531</v>
      </c>
      <c r="B99" s="293"/>
      <c r="C99" s="293"/>
      <c r="D99" s="293"/>
      <c r="E99" s="300">
        <f>IF(ISERROR(E98/(E93+E94+E95)),0,E98/(E93+E94+E95))</f>
        <v>0</v>
      </c>
      <c r="F99" s="300"/>
      <c r="G99" s="300">
        <f>IF(ISERROR(G98/(G93+G94+G95)),0,G98/(G93+G94+G95))</f>
        <v>0</v>
      </c>
      <c r="H99" s="300"/>
      <c r="I99" s="300">
        <f>IF(ISERROR(I98/(I93+I94+I95)),0,I98/(I93+I94+I95))</f>
        <v>0</v>
      </c>
      <c r="J99" s="77"/>
      <c r="K99" s="77"/>
      <c r="L99"/>
      <c r="M99"/>
      <c r="N99"/>
    </row>
    <row r="100" spans="1:14" ht="15">
      <c r="A100" s="293" t="s">
        <v>5573</v>
      </c>
      <c r="B100" s="293"/>
      <c r="C100" s="293"/>
      <c r="D100" s="293"/>
      <c r="E100" s="300">
        <f>IF(ISERROR(E98/I98),0,E98/I98)</f>
        <v>0</v>
      </c>
      <c r="F100" s="300"/>
      <c r="G100" s="300">
        <f>IF(ISERROR(G98/I98),0,G98/I98)</f>
        <v>0</v>
      </c>
      <c r="H100" s="300"/>
      <c r="I100" s="300"/>
      <c r="J100" s="77"/>
      <c r="K100" s="77"/>
      <c r="L100"/>
      <c r="M100"/>
      <c r="N100"/>
    </row>
    <row r="101" spans="1:14" ht="15">
      <c r="L101"/>
      <c r="M101"/>
      <c r="N101"/>
    </row>
    <row r="102" spans="1:14" ht="15">
      <c r="A102" s="339" t="s">
        <v>309</v>
      </c>
      <c r="B102" s="339"/>
      <c r="C102" s="339"/>
      <c r="D102" s="339"/>
      <c r="E102" s="339"/>
      <c r="F102" s="339"/>
      <c r="G102" s="339"/>
      <c r="H102" s="339"/>
      <c r="I102" s="339"/>
      <c r="L102"/>
      <c r="M102"/>
      <c r="N102"/>
    </row>
    <row r="103" spans="1:14" ht="15">
      <c r="A103" s="353" t="s">
        <v>310</v>
      </c>
      <c r="B103" s="353"/>
      <c r="C103" s="353"/>
      <c r="D103" s="353"/>
      <c r="E103" s="50" t="s">
        <v>289</v>
      </c>
      <c r="F103" s="50"/>
      <c r="G103" s="50" t="s">
        <v>289</v>
      </c>
      <c r="H103" s="50"/>
      <c r="I103" s="158" t="s">
        <v>289</v>
      </c>
      <c r="L103"/>
      <c r="M103"/>
      <c r="N103"/>
    </row>
    <row r="104" spans="1:14" ht="15">
      <c r="A104" s="376" t="s">
        <v>290</v>
      </c>
      <c r="B104" s="376"/>
      <c r="C104" s="376"/>
      <c r="D104" s="376"/>
      <c r="E104" s="47">
        <f>VLOOKUP(1916,Base_Periodo1[[#All],[CONTA]:[VALOR BALANÇO]],10,FALSE)</f>
        <v>336632.38999999687</v>
      </c>
      <c r="F104" s="288">
        <f t="shared" ref="F104" si="42">IF(ISERROR(E104/$I104),0,E104/$I104)</f>
        <v>0.82186771756653332</v>
      </c>
      <c r="G104" s="47">
        <f>VLOOKUP(6501,Base_Periodo1[[#All],[CONTA]:[VALOR BALANÇO]],10,FALSE)</f>
        <v>72961.979999996722</v>
      </c>
      <c r="H104" s="288">
        <f t="shared" ref="H104" si="43">IF(ISERROR(G104/$I104),0,G104/$I104)</f>
        <v>0.17813228243346671</v>
      </c>
      <c r="I104" s="125">
        <f>E104+G104</f>
        <v>409594.36999999359</v>
      </c>
      <c r="L104"/>
      <c r="M104"/>
      <c r="N104"/>
    </row>
    <row r="105" spans="1:14" ht="15">
      <c r="A105" s="376" t="s">
        <v>291</v>
      </c>
      <c r="B105" s="376"/>
      <c r="C105" s="376"/>
      <c r="D105" s="376"/>
      <c r="E105" s="47"/>
      <c r="F105" s="288">
        <f>IF(ISERROR(E105/$I105),0,E105/$I105)</f>
        <v>0</v>
      </c>
      <c r="G105" s="47">
        <f>IF(ISERROR(VLOOKUP(6505,Base_Periodo1[[#All],[CONTA]:[VALOR BALANÇO]],10,FALSE)),0,VLOOKUP(6505,Base_Periodo1[[#All],[CONTA]:[VALOR BALANÇO]],10,FALSE))</f>
        <v>0</v>
      </c>
      <c r="H105" s="288">
        <f>IF(ISERROR(G105/$I105),0,G105/$I105)</f>
        <v>0</v>
      </c>
      <c r="I105" s="125"/>
      <c r="L105"/>
      <c r="M105"/>
      <c r="N105"/>
    </row>
    <row r="106" spans="1:14" ht="15">
      <c r="A106" s="376" t="s">
        <v>292</v>
      </c>
      <c r="B106" s="376"/>
      <c r="C106" s="376"/>
      <c r="D106" s="376"/>
      <c r="E106" s="47">
        <f>-VLOOKUP(1920,Base_Periodo1[[#All],[CONTA]:[VALOR BALANÇO]],10,FALSE)</f>
        <v>-237959.2999999997</v>
      </c>
      <c r="F106" s="288">
        <f t="shared" ref="F106:F108" si="44">IF(ISERROR(E106/$I106),0,E106/$I106)</f>
        <v>1</v>
      </c>
      <c r="G106" s="47"/>
      <c r="H106" s="288">
        <f t="shared" ref="H106:H108" si="45">IF(ISERROR(G106/$I106),0,G106/$I106)</f>
        <v>0</v>
      </c>
      <c r="I106" s="125">
        <f>E106+G106</f>
        <v>-237959.2999999997</v>
      </c>
      <c r="L106"/>
      <c r="M106"/>
      <c r="N106"/>
    </row>
    <row r="107" spans="1:14" ht="15">
      <c r="A107" s="376" t="s">
        <v>293</v>
      </c>
      <c r="B107" s="376"/>
      <c r="C107" s="376"/>
      <c r="D107" s="376"/>
      <c r="E107" s="47">
        <f>-VLOOKUP(1923,Base_Periodo1[[#All],[CONTA]:[VALOR BALANÇO]],10,FALSE)</f>
        <v>-6114.3900000000067</v>
      </c>
      <c r="F107" s="288">
        <f t="shared" si="44"/>
        <v>0.91784504809597578</v>
      </c>
      <c r="G107" s="47">
        <f>-VLOOKUP(6508,Base_Periodo1[[#All],[CONTA]:[VALOR BALANÇO]],10,FALSE)</f>
        <v>-547.29000000000087</v>
      </c>
      <c r="H107" s="288">
        <f t="shared" si="45"/>
        <v>8.2154951904024248E-2</v>
      </c>
      <c r="I107" s="125">
        <f>E107+G107</f>
        <v>-6661.6800000000076</v>
      </c>
      <c r="L107"/>
      <c r="M107"/>
      <c r="N107"/>
    </row>
    <row r="108" spans="1:14" ht="15">
      <c r="A108" s="376" t="s">
        <v>294</v>
      </c>
      <c r="B108" s="376"/>
      <c r="C108" s="376"/>
      <c r="D108" s="376"/>
      <c r="E108" s="47">
        <f>-VLOOKUP(1924,Base_Periodo1[[#All],[CONTA]:[VALOR BALANÇO]],10,FALSE)</f>
        <v>-501911.67000000551</v>
      </c>
      <c r="F108" s="288">
        <f t="shared" si="44"/>
        <v>0.78678519722603579</v>
      </c>
      <c r="G108" s="47">
        <f>-VLOOKUP(6510,Base_Periodo1[[#All],[CONTA]:[VALOR BALANÇO]],10,FALSE)</f>
        <v>-136015.52000000048</v>
      </c>
      <c r="H108" s="288">
        <f t="shared" si="45"/>
        <v>0.21321480277396423</v>
      </c>
      <c r="I108" s="125">
        <f>E108+G108</f>
        <v>-637927.190000006</v>
      </c>
      <c r="L108"/>
      <c r="M108"/>
      <c r="N108"/>
    </row>
    <row r="109" spans="1:14" ht="15">
      <c r="A109" s="353" t="s">
        <v>295</v>
      </c>
      <c r="B109" s="353"/>
      <c r="C109" s="353"/>
      <c r="D109" s="353"/>
      <c r="E109" s="160">
        <f>SUM(E104:E108)</f>
        <v>-409352.97000000835</v>
      </c>
      <c r="F109" s="160"/>
      <c r="G109" s="160">
        <f>SUM(G104:G108)</f>
        <v>-63600.830000003771</v>
      </c>
      <c r="H109" s="160"/>
      <c r="I109" s="161">
        <f>SUM(I104:I108)</f>
        <v>-472953.8000000121</v>
      </c>
      <c r="J109" s="290">
        <f>VLOOKUP(1915,Base_Periodo1[[#All],[CONTA]:[VALOR BALANÇO]],10,FALSE)+E109</f>
        <v>0</v>
      </c>
      <c r="K109" s="290">
        <f>VLOOKUP(6500,Base_Periodo1[[#All],[CONTA]:[VALOR BALANÇO]],10,FALSE)+G109</f>
        <v>14086.350000000006</v>
      </c>
      <c r="L109"/>
      <c r="M109"/>
      <c r="N109"/>
    </row>
    <row r="110" spans="1:14" ht="15">
      <c r="A110" s="293" t="s">
        <v>4531</v>
      </c>
      <c r="B110" s="293"/>
      <c r="C110" s="293"/>
      <c r="D110" s="293"/>
      <c r="E110" s="300">
        <f>E109/(E104+E105+E106)</f>
        <v>-4.1485775909117679</v>
      </c>
      <c r="F110" s="300"/>
      <c r="G110" s="300">
        <f>G109/(G104+G105+G106)</f>
        <v>-0.87169824612773161</v>
      </c>
      <c r="H110" s="300"/>
      <c r="I110" s="300">
        <f>I109/(I104+I105+I106)</f>
        <v>-2.7555778664583461</v>
      </c>
      <c r="J110" s="77"/>
      <c r="K110" s="77"/>
      <c r="L110"/>
      <c r="M110"/>
      <c r="N110"/>
    </row>
    <row r="111" spans="1:14" ht="15">
      <c r="A111" s="293" t="s">
        <v>5573</v>
      </c>
      <c r="B111" s="293"/>
      <c r="C111" s="293"/>
      <c r="D111" s="293"/>
      <c r="E111" s="300">
        <f>E109/I109</f>
        <v>0.86552422245047589</v>
      </c>
      <c r="F111" s="300"/>
      <c r="G111" s="300">
        <f>G109/I109</f>
        <v>0.13447577754952417</v>
      </c>
      <c r="H111" s="300"/>
      <c r="I111" s="300"/>
      <c r="J111" s="77"/>
      <c r="K111" s="77"/>
      <c r="L111"/>
      <c r="M111"/>
      <c r="N111"/>
    </row>
    <row r="112" spans="1:14" ht="15">
      <c r="A112" s="352"/>
      <c r="B112" s="352"/>
      <c r="C112" s="352"/>
      <c r="D112" s="352"/>
      <c r="E112" s="352"/>
      <c r="F112" s="352"/>
      <c r="G112" s="352"/>
      <c r="H112" s="352"/>
      <c r="I112" s="352"/>
      <c r="L112"/>
      <c r="M112"/>
      <c r="N112"/>
    </row>
    <row r="113" spans="1:14" ht="15">
      <c r="A113" s="353" t="s">
        <v>311</v>
      </c>
      <c r="B113" s="353"/>
      <c r="C113" s="353"/>
      <c r="D113" s="353"/>
      <c r="E113" s="50" t="s">
        <v>289</v>
      </c>
      <c r="F113" s="50"/>
      <c r="G113" s="50" t="s">
        <v>289</v>
      </c>
      <c r="H113" s="50"/>
      <c r="I113" s="158" t="s">
        <v>289</v>
      </c>
      <c r="L113"/>
      <c r="M113"/>
      <c r="N113"/>
    </row>
    <row r="114" spans="1:14" ht="15">
      <c r="A114" s="376" t="s">
        <v>290</v>
      </c>
      <c r="B114" s="376"/>
      <c r="C114" s="376"/>
      <c r="D114" s="376"/>
      <c r="E114" s="47">
        <f>VLOOKUP(1927,Base_Periodo1[[#All],[CONTA]:[VALOR BALANÇO]],10,FALSE)</f>
        <v>2040681.0399999991</v>
      </c>
      <c r="F114" s="288">
        <f t="shared" ref="F114" si="46">IF(ISERROR(E114/$I114),0,E114/$I114)</f>
        <v>0.90691929319687958</v>
      </c>
      <c r="G114" s="47">
        <f>VLOOKUP(6513,Base_Periodo1[[#All],[CONTA]:[VALOR BALANÇO]],10,FALSE)</f>
        <v>209443.14999999851</v>
      </c>
      <c r="H114" s="288">
        <f t="shared" ref="H114" si="47">IF(ISERROR(G114/$I114),0,G114/$I114)</f>
        <v>9.3080706803120375E-2</v>
      </c>
      <c r="I114" s="125">
        <f>E114+G114</f>
        <v>2250124.1899999976</v>
      </c>
      <c r="L114"/>
      <c r="M114"/>
      <c r="N114"/>
    </row>
    <row r="115" spans="1:14" ht="15">
      <c r="A115" s="376" t="s">
        <v>291</v>
      </c>
      <c r="B115" s="376"/>
      <c r="C115" s="376"/>
      <c r="D115" s="376"/>
      <c r="E115" s="47">
        <f>VLOOKUP(1929,Base_Periodo1[[#All],[CONTA]:[VALOR BALANÇO]],10,FALSE)</f>
        <v>63274.199999999895</v>
      </c>
      <c r="F115" s="288">
        <f>IF(ISERROR(E115/$I115),0,E115/$I115)</f>
        <v>1</v>
      </c>
      <c r="G115" s="47"/>
      <c r="H115" s="288">
        <f>IF(ISERROR(G115/$I115),0,G115/$I115)</f>
        <v>0</v>
      </c>
      <c r="I115" s="125">
        <f>E115+G115</f>
        <v>63274.199999999895</v>
      </c>
      <c r="L115"/>
      <c r="M115"/>
      <c r="N115"/>
    </row>
    <row r="116" spans="1:14" ht="15">
      <c r="A116" s="376" t="s">
        <v>292</v>
      </c>
      <c r="B116" s="376"/>
      <c r="C116" s="376"/>
      <c r="D116" s="376"/>
      <c r="E116" s="47">
        <f>-VLOOKUP(1931,Base_Periodo1[[#All],[CONTA]:[VALOR BALANÇO]],10,FALSE)</f>
        <v>-78372.329999999492</v>
      </c>
      <c r="F116" s="288">
        <f t="shared" ref="F116:F118" si="48">IF(ISERROR(E116/$I116),0,E116/$I116)</f>
        <v>1</v>
      </c>
      <c r="G116" s="47"/>
      <c r="H116" s="288">
        <f t="shared" ref="H116:H118" si="49">IF(ISERROR(G116/$I116),0,G116/$I116)</f>
        <v>0</v>
      </c>
      <c r="I116" s="125">
        <f>E116+G116</f>
        <v>-78372.329999999492</v>
      </c>
      <c r="L116"/>
      <c r="M116"/>
      <c r="N116"/>
    </row>
    <row r="117" spans="1:14" ht="15">
      <c r="A117" s="376" t="s">
        <v>293</v>
      </c>
      <c r="B117" s="376"/>
      <c r="C117" s="376"/>
      <c r="D117" s="376"/>
      <c r="E117" s="47">
        <f>IF(ISERROR(-VLOOKUP(1933,Base_Periodo1[[#All],[CONTA]:[VALOR BALANÇO]],10,FALSE)),0,-VLOOKUP(1933,Base_Periodo1[[#All],[CONTA]:[VALOR BALANÇO]],10,FALSE))</f>
        <v>0</v>
      </c>
      <c r="F117" s="288">
        <f t="shared" si="48"/>
        <v>0</v>
      </c>
      <c r="G117" s="47"/>
      <c r="H117" s="288">
        <f t="shared" si="49"/>
        <v>0</v>
      </c>
      <c r="I117" s="125">
        <f>E117+G117</f>
        <v>0</v>
      </c>
      <c r="L117"/>
      <c r="M117"/>
      <c r="N117"/>
    </row>
    <row r="118" spans="1:14" ht="15">
      <c r="A118" s="376" t="s">
        <v>294</v>
      </c>
      <c r="B118" s="376"/>
      <c r="C118" s="376"/>
      <c r="D118" s="376"/>
      <c r="E118" s="47">
        <f>-VLOOKUP(1935,Base_Periodo1[[#All],[CONTA]:[VALOR BALANÇO]],10,FALSE)</f>
        <v>-1555538.9000000022</v>
      </c>
      <c r="F118" s="288">
        <f t="shared" si="48"/>
        <v>0.91216604269541113</v>
      </c>
      <c r="G118" s="47">
        <f>-VLOOKUP(6523,Base_Periodo1[[#All],[CONTA]:[VALOR BALANÇO]],10,FALSE)</f>
        <v>-149785.37999999896</v>
      </c>
      <c r="H118" s="288">
        <f t="shared" si="49"/>
        <v>8.7833957304588928E-2</v>
      </c>
      <c r="I118" s="125">
        <f>E118+G118</f>
        <v>-1705324.2800000012</v>
      </c>
      <c r="L118"/>
      <c r="M118"/>
      <c r="N118"/>
    </row>
    <row r="119" spans="1:14" ht="15">
      <c r="A119" s="353" t="s">
        <v>295</v>
      </c>
      <c r="B119" s="353"/>
      <c r="C119" s="353"/>
      <c r="D119" s="353"/>
      <c r="E119" s="160">
        <f>SUM(E114:E118)</f>
        <v>470044.00999999698</v>
      </c>
      <c r="F119" s="160"/>
      <c r="G119" s="160">
        <f>SUM(G114:G118)</f>
        <v>59657.769999999553</v>
      </c>
      <c r="H119" s="160"/>
      <c r="I119" s="161">
        <f>SUM(I114:I118)</f>
        <v>529701.77999999654</v>
      </c>
      <c r="J119" s="290">
        <f>-VLOOKUP(1926,Base_Periodo1[[#All],[CONTA]:[VALOR BALANÇO]],10,FALSE)+E119</f>
        <v>0</v>
      </c>
      <c r="K119" s="290">
        <f>-VLOOKUP(6512,Base_Periodo1[[#All],[CONTA]:[VALOR BALANÇO]],10,FALSE)+G119</f>
        <v>-8.7311491370201111E-11</v>
      </c>
      <c r="L119"/>
      <c r="M119"/>
      <c r="N119"/>
    </row>
    <row r="120" spans="1:14" ht="15">
      <c r="A120" s="293" t="s">
        <v>4531</v>
      </c>
      <c r="B120" s="293"/>
      <c r="C120" s="293"/>
      <c r="D120" s="293"/>
      <c r="E120" s="300">
        <f>E119/(E114+E115+E116)</f>
        <v>0.23205370053205926</v>
      </c>
      <c r="F120" s="300"/>
      <c r="G120" s="300">
        <f>G119/(G114+G115+G116)</f>
        <v>0.28483991956767257</v>
      </c>
      <c r="H120" s="300"/>
      <c r="I120" s="300">
        <f>I119/(I114+I115+I116)</f>
        <v>0.23700027014449981</v>
      </c>
      <c r="J120" s="77"/>
      <c r="K120" s="77"/>
      <c r="L120"/>
      <c r="M120"/>
      <c r="N120"/>
    </row>
    <row r="121" spans="1:14" ht="15">
      <c r="A121" s="293" t="s">
        <v>5573</v>
      </c>
      <c r="B121" s="293"/>
      <c r="C121" s="293"/>
      <c r="D121" s="293"/>
      <c r="E121" s="300">
        <f>E119/I119</f>
        <v>0.88737479794763019</v>
      </c>
      <c r="F121" s="300"/>
      <c r="G121" s="300">
        <f>G119/I119</f>
        <v>0.11262520205236981</v>
      </c>
      <c r="H121" s="300"/>
      <c r="I121" s="300"/>
      <c r="J121" s="77"/>
      <c r="K121" s="77"/>
      <c r="L121"/>
      <c r="M121"/>
      <c r="N121"/>
    </row>
    <row r="122" spans="1:14" ht="15">
      <c r="A122" s="377"/>
      <c r="B122" s="377"/>
      <c r="C122" s="377"/>
      <c r="D122" s="377"/>
      <c r="E122" s="377"/>
      <c r="F122" s="377"/>
      <c r="G122" s="377"/>
      <c r="H122" s="377"/>
      <c r="I122" s="377"/>
      <c r="L122"/>
      <c r="M122"/>
      <c r="N122"/>
    </row>
    <row r="123" spans="1:14" ht="15">
      <c r="A123" s="353" t="s">
        <v>312</v>
      </c>
      <c r="B123" s="353"/>
      <c r="C123" s="353"/>
      <c r="D123" s="353"/>
      <c r="E123" s="50" t="s">
        <v>289</v>
      </c>
      <c r="F123" s="50"/>
      <c r="G123" s="50" t="s">
        <v>289</v>
      </c>
      <c r="H123" s="50"/>
      <c r="I123" s="158" t="s">
        <v>289</v>
      </c>
      <c r="L123"/>
      <c r="M123"/>
      <c r="N123"/>
    </row>
    <row r="124" spans="1:14" ht="15">
      <c r="A124" s="376" t="s">
        <v>290</v>
      </c>
      <c r="B124" s="376"/>
      <c r="C124" s="376"/>
      <c r="D124" s="376"/>
      <c r="E124" s="47">
        <f>IF(ISERROR(VLOOKUP(1938,Base_Periodo1[[#All],[CONTA]:[VALOR BALANÇO]],10,FALSE)),0,VLOOKUP(1938,Base_Periodo1[[#All],[CONTA]:[VALOR BALANÇO]],10,FALSE))</f>
        <v>245680.27000000174</v>
      </c>
      <c r="F124" s="288">
        <f t="shared" ref="F124" si="50">IF(ISERROR(E124/$I124),0,E124/$I124)</f>
        <v>0.42916447874775393</v>
      </c>
      <c r="G124" s="47">
        <f>IF(ISERROR(VLOOKUP(6526,Base_Periodo1[[#All],[CONTA]:[VALOR BALANÇO]],10,FALSE)),0,VLOOKUP(6526,Base_Periodo1[[#All],[CONTA]:[VALOR BALANÇO]],10,FALSE))</f>
        <v>326781.53000000003</v>
      </c>
      <c r="H124" s="288">
        <f t="shared" ref="H124" si="51">IF(ISERROR(G124/$I124),0,G124/$I124)</f>
        <v>0.57083552125224601</v>
      </c>
      <c r="I124" s="125">
        <f>E124+G124</f>
        <v>572461.80000000179</v>
      </c>
      <c r="L124"/>
      <c r="M124"/>
      <c r="N124"/>
    </row>
    <row r="125" spans="1:14" ht="15">
      <c r="A125" s="376" t="s">
        <v>291</v>
      </c>
      <c r="B125" s="376"/>
      <c r="C125" s="376"/>
      <c r="D125" s="376"/>
      <c r="E125" s="47"/>
      <c r="F125" s="288">
        <f>IF(ISERROR(E125/$I125),0,E125/$I125)</f>
        <v>0</v>
      </c>
      <c r="G125" s="47">
        <f>IF(ISERROR(VLOOKUP(14014,Base_Periodo1[[#All],[CONTA]:[VALOR BALANÇO]],10,FALSE)),0,VLOOKUP(14014,Base_Periodo1[[#All],[CONTA]:[VALOR BALANÇO]],10,FALSE))</f>
        <v>356</v>
      </c>
      <c r="H125" s="288">
        <f>IF(ISERROR(G125/$I125),0,G125/$I125)</f>
        <v>1</v>
      </c>
      <c r="I125" s="125">
        <f>E125+G125</f>
        <v>356</v>
      </c>
      <c r="L125"/>
      <c r="M125"/>
      <c r="N125"/>
    </row>
    <row r="126" spans="1:14" ht="15">
      <c r="A126" s="376" t="s">
        <v>292</v>
      </c>
      <c r="B126" s="376"/>
      <c r="C126" s="376"/>
      <c r="D126" s="376"/>
      <c r="E126" s="47">
        <f>IF(ISERROR(-VLOOKUP(1940,Base_Periodo1[[#All],[CONTA]:[VALOR BALANÇO]],10,FALSE)),0,-VLOOKUP(1940,Base_Periodo1[[#All],[CONTA]:[VALOR BALANÇO]],10,FALSE))</f>
        <v>-6750</v>
      </c>
      <c r="F126" s="288">
        <f t="shared" ref="F126:F128" si="52">IF(ISERROR(E126/$I126),0,E126/$I126)</f>
        <v>1</v>
      </c>
      <c r="G126" s="47"/>
      <c r="H126" s="288">
        <f t="shared" ref="H126:H128" si="53">IF(ISERROR(G126/$I126),0,G126/$I126)</f>
        <v>0</v>
      </c>
      <c r="I126" s="125">
        <f>E126+G126</f>
        <v>-6750</v>
      </c>
      <c r="L126"/>
      <c r="M126"/>
      <c r="N126"/>
    </row>
    <row r="127" spans="1:14" ht="15">
      <c r="A127" s="376" t="s">
        <v>293</v>
      </c>
      <c r="B127" s="376"/>
      <c r="C127" s="376"/>
      <c r="D127" s="376"/>
      <c r="E127" s="47">
        <f>IF(ISERROR(-VLOOKUP(1942,Base_Periodo1[[#All],[CONTA]:[VALOR BALANÇO]],10,FALSE)),0,-VLOOKUP(1942,Base_Periodo1[[#All],[CONTA]:[VALOR BALANÇO]],10,FALSE))</f>
        <v>0</v>
      </c>
      <c r="F127" s="288">
        <f t="shared" si="52"/>
        <v>0</v>
      </c>
      <c r="G127" s="47">
        <f>IF(ISERROR(-VLOOKUP(6530,Base_Periodo1[[#All],[CONTA]:[VALOR BALANÇO]],10,FALSE)),0,-VLOOKUP(6530,Base_Periodo1[[#All],[CONTA]:[VALOR BALANÇO]],10,FALSE))</f>
        <v>-451.57999999999811</v>
      </c>
      <c r="H127" s="288">
        <f t="shared" si="53"/>
        <v>1</v>
      </c>
      <c r="I127" s="125">
        <f>E127+G127</f>
        <v>-451.57999999999811</v>
      </c>
      <c r="L127"/>
      <c r="M127"/>
      <c r="N127"/>
    </row>
    <row r="128" spans="1:14" ht="15">
      <c r="A128" s="376" t="s">
        <v>294</v>
      </c>
      <c r="B128" s="376"/>
      <c r="C128" s="376"/>
      <c r="D128" s="376"/>
      <c r="E128" s="47">
        <f>IF(ISERROR(-VLOOKUP(1944,Base_Periodo1[[#All],[CONTA]:[VALOR BALANÇO]],10,FALSE)),0,-VLOOKUP(1944,Base_Periodo1[[#All],[CONTA]:[VALOR BALANÇO]],10,FALSE))</f>
        <v>-226167.54000000021</v>
      </c>
      <c r="F128" s="288">
        <f t="shared" si="52"/>
        <v>0.41162968708432379</v>
      </c>
      <c r="G128" s="47">
        <f>IF(ISERROR(-VLOOKUP(6532,Base_Periodo1[[#All],[CONTA]:[VALOR BALANÇO]],10,FALSE)),0,-VLOOKUP(6532,Base_Periodo1[[#All],[CONTA]:[VALOR BALANÇO]],10,FALSE))</f>
        <v>-323276.65000000095</v>
      </c>
      <c r="H128" s="288">
        <f t="shared" si="53"/>
        <v>0.58837031291567632</v>
      </c>
      <c r="I128" s="125">
        <f>E128+G128</f>
        <v>-549444.19000000111</v>
      </c>
      <c r="L128"/>
      <c r="M128"/>
      <c r="N128"/>
    </row>
    <row r="129" spans="1:14" ht="15">
      <c r="A129" s="353" t="s">
        <v>295</v>
      </c>
      <c r="B129" s="353"/>
      <c r="C129" s="353"/>
      <c r="D129" s="353"/>
      <c r="E129" s="160">
        <f>SUM(E124:E128)</f>
        <v>12762.730000001524</v>
      </c>
      <c r="F129" s="160"/>
      <c r="G129" s="160">
        <f>SUM(G124:G128)</f>
        <v>3409.299999999057</v>
      </c>
      <c r="H129" s="160"/>
      <c r="I129" s="161">
        <f>SUM(I124:I128)</f>
        <v>16172.030000000726</v>
      </c>
      <c r="J129" s="290">
        <f>VLOOKUP(1937,Base_Periodo1[[#All],[CONTA]:[VALOR BALANÇO]],10,FALSE)+E129</f>
        <v>25525.460000003048</v>
      </c>
      <c r="K129" s="290">
        <f>VLOOKUP(6525,Base_Periodo1[[#All],[CONTA]:[VALOR BALANÇO]],10,FALSE)+G129</f>
        <v>6818.5999999981141</v>
      </c>
      <c r="L129"/>
      <c r="M129"/>
      <c r="N129"/>
    </row>
    <row r="130" spans="1:14" ht="15">
      <c r="A130" s="293" t="s">
        <v>4531</v>
      </c>
      <c r="B130" s="293"/>
      <c r="C130" s="293"/>
      <c r="D130" s="293"/>
      <c r="E130" s="300">
        <f>IF(ISERROR(E129/(E124+E125+E126)),0,E129/(E124+E125+E126))</f>
        <v>5.3416128479666605E-2</v>
      </c>
      <c r="F130" s="300"/>
      <c r="G130" s="300">
        <f>IF(ISERROR(G129/(G124+G125+G126)),0,G129/(G124+G125+G126))</f>
        <v>1.0421610751903204E-2</v>
      </c>
      <c r="H130" s="300"/>
      <c r="I130" s="300">
        <f>IF(ISERROR(I129/(I124+I125+I126)),0,I129/(I124+I125+I126))</f>
        <v>2.8569068934853167E-2</v>
      </c>
      <c r="J130" s="77"/>
      <c r="K130" s="77"/>
      <c r="L130"/>
      <c r="M130"/>
      <c r="N130"/>
    </row>
    <row r="131" spans="1:14" ht="15">
      <c r="A131" s="293" t="s">
        <v>5573</v>
      </c>
      <c r="B131" s="293"/>
      <c r="C131" s="293"/>
      <c r="D131" s="293"/>
      <c r="E131" s="300">
        <f>IF(ISERROR(E129/I129),0,E129/I129)</f>
        <v>0.78918540220374012</v>
      </c>
      <c r="F131" s="300"/>
      <c r="G131" s="300">
        <f>IF(ISERROR(G129/I129),0,G129/I129)</f>
        <v>0.21081459779625092</v>
      </c>
      <c r="H131" s="300"/>
      <c r="I131" s="300"/>
      <c r="J131" s="77"/>
      <c r="K131" s="77"/>
      <c r="L131"/>
      <c r="M131"/>
      <c r="N131"/>
    </row>
    <row r="132" spans="1:14" ht="15">
      <c r="A132" s="377"/>
      <c r="B132" s="377"/>
      <c r="C132" s="377"/>
      <c r="D132" s="377"/>
      <c r="E132" s="377"/>
      <c r="F132" s="377"/>
      <c r="G132" s="377"/>
      <c r="H132" s="377"/>
      <c r="I132" s="377"/>
      <c r="L132"/>
      <c r="M132"/>
      <c r="N132"/>
    </row>
    <row r="133" spans="1:14" ht="15">
      <c r="A133" s="353" t="s">
        <v>313</v>
      </c>
      <c r="B133" s="353"/>
      <c r="C133" s="353"/>
      <c r="D133" s="353"/>
      <c r="E133" s="50" t="s">
        <v>289</v>
      </c>
      <c r="F133" s="50"/>
      <c r="G133" s="50" t="s">
        <v>289</v>
      </c>
      <c r="H133" s="50"/>
      <c r="I133" s="158" t="s">
        <v>289</v>
      </c>
      <c r="N133"/>
    </row>
    <row r="134" spans="1:14" ht="15">
      <c r="A134" s="376" t="s">
        <v>290</v>
      </c>
      <c r="B134" s="376"/>
      <c r="C134" s="376"/>
      <c r="D134" s="376"/>
      <c r="E134" s="47">
        <f>VLOOKUP(1947,Base_Periodo1[[#All],[CONTA]:[VALOR BALANÇO]],10,FALSE)</f>
        <v>64305.920000002719</v>
      </c>
      <c r="F134" s="288">
        <f t="shared" ref="F134" si="54">IF(ISERROR(E134/$I134),0,E134/$I134)</f>
        <v>1</v>
      </c>
      <c r="G134" s="47">
        <f>IF(ISERROR(VLOOKUP(6535,Base_Periodo1[[#All],[CONTA]:[VALOR BALANÇO]],10,FALSE)),0,VLOOKUP(6535,Base_Periodo1[[#All],[CONTA]:[VALOR BALANÇO]],10,FALSE))</f>
        <v>0</v>
      </c>
      <c r="H134" s="288">
        <f t="shared" ref="H134" si="55">IF(ISERROR(G134/$I134),0,G134/$I134)</f>
        <v>0</v>
      </c>
      <c r="I134" s="125">
        <f>E134+G134</f>
        <v>64305.920000002719</v>
      </c>
      <c r="N134"/>
    </row>
    <row r="135" spans="1:14" ht="15">
      <c r="A135" s="376" t="s">
        <v>291</v>
      </c>
      <c r="B135" s="376"/>
      <c r="C135" s="376"/>
      <c r="D135" s="376"/>
      <c r="E135" s="47"/>
      <c r="F135" s="288">
        <f>IF(ISERROR(E135/$I135),0,E135/$I135)</f>
        <v>0</v>
      </c>
      <c r="G135" s="47"/>
      <c r="H135" s="288">
        <f>IF(ISERROR(G135/$I135),0,G135/$I135)</f>
        <v>0</v>
      </c>
      <c r="I135" s="125">
        <f>E135+G135</f>
        <v>0</v>
      </c>
      <c r="N135"/>
    </row>
    <row r="136" spans="1:14" ht="15">
      <c r="A136" s="376" t="s">
        <v>292</v>
      </c>
      <c r="B136" s="376"/>
      <c r="C136" s="376"/>
      <c r="D136" s="376"/>
      <c r="E136" s="47">
        <f>-VLOOKUP(1949,Base_Periodo1[[#All],[CONTA]:[VALOR BALANÇO]],10,FALSE)</f>
        <v>-18880.160000000003</v>
      </c>
      <c r="F136" s="288">
        <f t="shared" ref="F136:F138" si="56">IF(ISERROR(E136/$I136),0,E136/$I136)</f>
        <v>1</v>
      </c>
      <c r="G136" s="47"/>
      <c r="H136" s="288">
        <f t="shared" ref="H136:H138" si="57">IF(ISERROR(G136/$I136),0,G136/$I136)</f>
        <v>0</v>
      </c>
      <c r="I136" s="125">
        <f>E136+G136</f>
        <v>-18880.160000000003</v>
      </c>
      <c r="N136"/>
    </row>
    <row r="137" spans="1:14" ht="15">
      <c r="A137" s="376" t="s">
        <v>293</v>
      </c>
      <c r="B137" s="376"/>
      <c r="C137" s="376"/>
      <c r="D137" s="376"/>
      <c r="E137" s="47">
        <v>0</v>
      </c>
      <c r="F137" s="288">
        <f t="shared" si="56"/>
        <v>0</v>
      </c>
      <c r="G137" s="47">
        <f>IF(ISERROR(-VLOOKUP(6539,Base_Periodo1[[#All],[CONTA]:[VALOR BALANÇO]],10,FALSE)),0,-VLOOKUP(6539,Base_Periodo1[[#All],[CONTA]:[VALOR BALANÇO]],10,FALSE))</f>
        <v>0</v>
      </c>
      <c r="H137" s="288">
        <f t="shared" si="57"/>
        <v>0</v>
      </c>
      <c r="I137" s="125">
        <f>E137+G137</f>
        <v>0</v>
      </c>
      <c r="N137"/>
    </row>
    <row r="138" spans="1:14" ht="15">
      <c r="A138" s="376" t="s">
        <v>294</v>
      </c>
      <c r="B138" s="376"/>
      <c r="C138" s="376"/>
      <c r="D138" s="376"/>
      <c r="E138" s="47">
        <f>IF(ISERROR(-VLOOKUP(1952,Base_Periodo1[[#All],[CONTA]:[VALOR BALANÇO]],10,FALSE)),0,-VLOOKUP(1952,Base_Periodo1[[#All],[CONTA]:[VALOR BALANÇO]],10,FALSE))</f>
        <v>-40912.399999999674</v>
      </c>
      <c r="F138" s="288">
        <f t="shared" si="56"/>
        <v>0.97849447449725602</v>
      </c>
      <c r="G138" s="47">
        <f>IF(ISERROR(-VLOOKUP(6540,Base_Periodo1[[#All],[CONTA]:[VALOR BALANÇO]],10,FALSE)),0,-VLOOKUP(6540,Base_Periodo1[[#All],[CONTA]:[VALOR BALANÇO]],10,FALSE))</f>
        <v>-899.18000000001632</v>
      </c>
      <c r="H138" s="288">
        <f t="shared" si="57"/>
        <v>2.1505525502744049E-2</v>
      </c>
      <c r="I138" s="125">
        <f>E138+G138</f>
        <v>-41811.579999999689</v>
      </c>
      <c r="N138"/>
    </row>
    <row r="139" spans="1:14" ht="15">
      <c r="A139" s="353" t="s">
        <v>295</v>
      </c>
      <c r="B139" s="353"/>
      <c r="C139" s="353"/>
      <c r="D139" s="353"/>
      <c r="E139" s="160">
        <f>SUM(E134:E138)</f>
        <v>4513.3600000030419</v>
      </c>
      <c r="F139" s="160"/>
      <c r="G139" s="160">
        <f>SUM(G134:G138)</f>
        <v>-899.18000000001632</v>
      </c>
      <c r="H139" s="160"/>
      <c r="I139" s="161">
        <f>SUM(I134:I138)</f>
        <v>3614.1800000030271</v>
      </c>
      <c r="J139" s="290">
        <f>VLOOKUP(1946,Base_Periodo1[[#All],[CONTA]:[VALOR BALANÇO]],10,FALSE)+E139</f>
        <v>9026.7200000060839</v>
      </c>
      <c r="K139" s="290">
        <f>-VLOOKUP(6534,Base_Periodo1[[#All],[CONTA]:[VALOR BALANÇO]],10,FALSE)+G139</f>
        <v>-1798.3600000000326</v>
      </c>
      <c r="L139"/>
      <c r="M139"/>
      <c r="N139"/>
    </row>
    <row r="140" spans="1:14" ht="15">
      <c r="A140" s="293" t="s">
        <v>4531</v>
      </c>
      <c r="B140" s="293"/>
      <c r="C140" s="293"/>
      <c r="D140" s="293"/>
      <c r="E140" s="300">
        <f>E139/(E134+E135+E136)</f>
        <v>9.9356840700139573E-2</v>
      </c>
      <c r="F140" s="300"/>
      <c r="G140" s="300">
        <f>IF(ISERROR(G139/(G134+G135+G136)),0,G139/(G134+G135+G136))</f>
        <v>0</v>
      </c>
      <c r="H140" s="300"/>
      <c r="I140" s="300">
        <f>I139/(I134+I135+I136)</f>
        <v>7.9562345242056728E-2</v>
      </c>
      <c r="J140" s="77"/>
      <c r="K140" s="77"/>
      <c r="L140"/>
      <c r="M140"/>
      <c r="N140"/>
    </row>
    <row r="141" spans="1:14" ht="15">
      <c r="A141" s="293" t="s">
        <v>5573</v>
      </c>
      <c r="B141" s="293"/>
      <c r="C141" s="293"/>
      <c r="D141" s="293"/>
      <c r="E141" s="300">
        <f>E139/I139</f>
        <v>1.2487922571646297</v>
      </c>
      <c r="F141" s="300"/>
      <c r="G141" s="300">
        <f>G139/I139</f>
        <v>-0.24879225716463022</v>
      </c>
      <c r="H141" s="300"/>
      <c r="I141" s="300"/>
      <c r="J141" s="77"/>
      <c r="K141" s="77"/>
      <c r="L141"/>
      <c r="M141"/>
      <c r="N141"/>
    </row>
    <row r="142" spans="1:14" ht="15">
      <c r="A142" s="352"/>
      <c r="B142" s="352"/>
      <c r="C142" s="352"/>
      <c r="D142" s="352"/>
      <c r="E142" s="352"/>
      <c r="F142" s="352"/>
      <c r="G142" s="352"/>
      <c r="H142" s="352"/>
      <c r="I142" s="352"/>
      <c r="L142"/>
      <c r="M142"/>
      <c r="N142"/>
    </row>
    <row r="143" spans="1:14" ht="15">
      <c r="A143" s="353" t="s">
        <v>5556</v>
      </c>
      <c r="B143" s="353">
        <v>63102.820000000109</v>
      </c>
      <c r="C143" s="353">
        <v>63102.820000000109</v>
      </c>
      <c r="D143" s="353">
        <v>63102.820000000109</v>
      </c>
      <c r="E143" s="50" t="s">
        <v>289</v>
      </c>
      <c r="F143" s="50"/>
      <c r="G143" s="50" t="s">
        <v>289</v>
      </c>
      <c r="H143" s="50"/>
      <c r="I143" s="158" t="s">
        <v>289</v>
      </c>
      <c r="N143"/>
    </row>
    <row r="144" spans="1:14" ht="15">
      <c r="A144" s="376" t="s">
        <v>290</v>
      </c>
      <c r="B144" s="376"/>
      <c r="C144" s="376"/>
      <c r="D144" s="376"/>
      <c r="E144" s="47">
        <f>IF(ISERROR(VLOOKUP(1954,Base_Periodo1[[#All],[CONTA]:[VALOR BALANÇO]],10,FALSE)),0,VLOOKUP(1954,Base_Periodo1[[#All],[CONTA]:[VALOR BALANÇO]],10,FALSE))</f>
        <v>0</v>
      </c>
      <c r="F144" s="288">
        <f t="shared" ref="F144" si="58">IF(ISERROR(E144/$I144),0,E144/$I144)</f>
        <v>0</v>
      </c>
      <c r="G144" s="47">
        <f>IF(ISERROR(VLOOKUP(6543,Base_Periodo1[[#All],[CONTA]:[VALOR BALANÇO]],10,FALSE)+VLOOKUP(29153,Base_Periodo1[[#All],[CONTA]:[VALOR BALANÇO]],10,FALSE)),0,VLOOKUP(6543,Base_Periodo1[[#All],[CONTA]:[VALOR BALANÇO]],10,FALSE)+VLOOKUP(29153,Base_Periodo1[[#All],[CONTA]:[VALOR BALANÇO]],10,FALSE))</f>
        <v>0</v>
      </c>
      <c r="H144" s="288">
        <f t="shared" ref="H144" si="59">IF(ISERROR(G144/$I144),0,G144/$I144)</f>
        <v>0</v>
      </c>
      <c r="I144" s="125">
        <f>E144+G144</f>
        <v>0</v>
      </c>
      <c r="N144"/>
    </row>
    <row r="145" spans="1:14" ht="15">
      <c r="A145" s="376" t="s">
        <v>291</v>
      </c>
      <c r="B145" s="376"/>
      <c r="C145" s="376"/>
      <c r="D145" s="376"/>
      <c r="E145" s="47"/>
      <c r="F145" s="288">
        <f>IF(ISERROR(E145/$I145),0,E145/$I145)</f>
        <v>0</v>
      </c>
      <c r="G145" s="47"/>
      <c r="H145" s="288">
        <f>IF(ISERROR(G145/$I145),0,G145/$I145)</f>
        <v>0</v>
      </c>
      <c r="I145" s="125">
        <f>E145+G145</f>
        <v>0</v>
      </c>
      <c r="N145"/>
    </row>
    <row r="146" spans="1:14" ht="15">
      <c r="A146" s="376" t="s">
        <v>292</v>
      </c>
      <c r="B146" s="376"/>
      <c r="C146" s="376"/>
      <c r="D146" s="376"/>
      <c r="E146" s="47"/>
      <c r="F146" s="288">
        <f t="shared" ref="F146:F148" si="60">IF(ISERROR(E146/$I146),0,E146/$I146)</f>
        <v>0</v>
      </c>
      <c r="G146" s="47"/>
      <c r="H146" s="288">
        <f t="shared" ref="H146:H148" si="61">IF(ISERROR(G146/$I146),0,G146/$I146)</f>
        <v>0</v>
      </c>
      <c r="I146" s="125">
        <f>E146+G146</f>
        <v>0</v>
      </c>
      <c r="N146"/>
    </row>
    <row r="147" spans="1:14" ht="15">
      <c r="A147" s="376" t="s">
        <v>293</v>
      </c>
      <c r="B147" s="376"/>
      <c r="C147" s="376"/>
      <c r="D147" s="376"/>
      <c r="E147" s="47"/>
      <c r="F147" s="288">
        <f t="shared" si="60"/>
        <v>0</v>
      </c>
      <c r="G147" s="47"/>
      <c r="H147" s="288">
        <f t="shared" si="61"/>
        <v>0</v>
      </c>
      <c r="I147" s="125">
        <f>E147+G147</f>
        <v>0</v>
      </c>
      <c r="N147"/>
    </row>
    <row r="148" spans="1:14" ht="15">
      <c r="A148" s="376" t="s">
        <v>294</v>
      </c>
      <c r="B148" s="376"/>
      <c r="C148" s="376"/>
      <c r="D148" s="376"/>
      <c r="E148" s="47"/>
      <c r="F148" s="288">
        <f t="shared" si="60"/>
        <v>0</v>
      </c>
      <c r="G148" s="47">
        <f>IF(ISERROR(-VLOOKUP(6545,Base_Periodo1[[#All],[CONTA]:[VALOR BALANÇO]],10,FALSE)),0,-VLOOKUP(6545,Base_Periodo1[[#All],[CONTA]:[VALOR BALANÇO]],10,FALSE))</f>
        <v>0</v>
      </c>
      <c r="H148" s="288">
        <f t="shared" si="61"/>
        <v>0</v>
      </c>
      <c r="I148" s="125">
        <f>E148+G148</f>
        <v>0</v>
      </c>
      <c r="L148"/>
      <c r="M148"/>
      <c r="N148"/>
    </row>
    <row r="149" spans="1:14" ht="15">
      <c r="A149" s="353" t="s">
        <v>295</v>
      </c>
      <c r="B149" s="353"/>
      <c r="C149" s="353"/>
      <c r="D149" s="353"/>
      <c r="E149" s="160">
        <f>SUM(E144:E148)</f>
        <v>0</v>
      </c>
      <c r="F149" s="160"/>
      <c r="G149" s="160">
        <f>SUM(G144:G148)</f>
        <v>0</v>
      </c>
      <c r="H149" s="160"/>
      <c r="I149" s="161">
        <f>SUM(I144:I148)</f>
        <v>0</v>
      </c>
      <c r="K149" s="290" t="e">
        <f>-VLOOKUP(6542,Base_Periodo1[[#All],[CONTA]:[VALOR BALANÇO]],10,FALSE)-G149</f>
        <v>#N/A</v>
      </c>
      <c r="L149"/>
      <c r="M149"/>
      <c r="N149"/>
    </row>
    <row r="150" spans="1:14" ht="15">
      <c r="A150" s="293" t="s">
        <v>4531</v>
      </c>
      <c r="B150" s="293"/>
      <c r="C150" s="293"/>
      <c r="D150" s="293"/>
      <c r="E150" s="300">
        <f>IF(ISERROR(E149/(E144+E145+E146)),0,E149/(E144+E145+E146))</f>
        <v>0</v>
      </c>
      <c r="F150" s="300"/>
      <c r="G150" s="300">
        <f>IF(ISERROR(G149/(G144+G145+G146)),0,G149/(G144+G145+G146))</f>
        <v>0</v>
      </c>
      <c r="H150" s="300"/>
      <c r="I150" s="300">
        <f>IF(ISERROR(I149/(I144+I145+I146)),0,I149/(I144+I145+I146))</f>
        <v>0</v>
      </c>
      <c r="J150" s="77"/>
      <c r="K150" s="77"/>
      <c r="L150"/>
      <c r="M150"/>
      <c r="N150"/>
    </row>
    <row r="151" spans="1:14" ht="15">
      <c r="A151" s="293" t="s">
        <v>5573</v>
      </c>
      <c r="B151" s="293"/>
      <c r="C151" s="293"/>
      <c r="D151" s="293"/>
      <c r="E151" s="300">
        <f>IF(ISERROR(E149/I149),0,E149/I149)</f>
        <v>0</v>
      </c>
      <c r="F151" s="300"/>
      <c r="G151" s="300">
        <f>IF(ISERROR(G149/I149),0,G149/I149)</f>
        <v>0</v>
      </c>
      <c r="H151" s="300"/>
      <c r="I151" s="300"/>
      <c r="J151" s="77"/>
      <c r="K151" s="77"/>
      <c r="L151"/>
      <c r="M151"/>
      <c r="N151"/>
    </row>
    <row r="152" spans="1:14" ht="15">
      <c r="A152" s="352"/>
      <c r="B152" s="352"/>
      <c r="C152" s="352"/>
      <c r="D152" s="352"/>
      <c r="E152" s="352"/>
      <c r="F152" s="352"/>
      <c r="G152" s="352"/>
      <c r="H152" s="352"/>
      <c r="I152" s="352"/>
      <c r="L152"/>
      <c r="M152"/>
      <c r="N152"/>
    </row>
    <row r="153" spans="1:14" ht="15">
      <c r="A153" s="353" t="s">
        <v>314</v>
      </c>
      <c r="B153" s="353">
        <v>63102.820000000109</v>
      </c>
      <c r="C153" s="353">
        <v>63102.820000000109</v>
      </c>
      <c r="D153" s="353">
        <v>63102.820000000109</v>
      </c>
      <c r="E153" s="50" t="s">
        <v>289</v>
      </c>
      <c r="F153" s="50"/>
      <c r="G153" s="50" t="s">
        <v>289</v>
      </c>
      <c r="H153" s="50"/>
      <c r="I153" s="158" t="s">
        <v>289</v>
      </c>
      <c r="L153"/>
    </row>
    <row r="154" spans="1:14" ht="15">
      <c r="A154" s="376" t="s">
        <v>290</v>
      </c>
      <c r="B154" s="376"/>
      <c r="C154" s="376"/>
      <c r="D154" s="376"/>
      <c r="E154" s="47">
        <f>VLOOKUP(1961,Base_Periodo1[[#All],[CONTA]:[VALOR BALANÇO]],10,FALSE)</f>
        <v>3732</v>
      </c>
      <c r="F154" s="288">
        <f t="shared" ref="F154" si="62">IF(ISERROR(E154/$I154),0,E154/$I154)</f>
        <v>0.49931364442767567</v>
      </c>
      <c r="G154" s="47">
        <f>IF(ISERROR(VLOOKUP(6548,Base_Periodo1[[#All],[CONTA]:[VALOR BALANÇO]],10,FALSE)),0,VLOOKUP(6548,Base_Periodo1[[#All],[CONTA]:[VALOR BALANÇO]],10,FALSE))</f>
        <v>3742.260000000002</v>
      </c>
      <c r="H154" s="288">
        <f t="shared" ref="H154" si="63">IF(ISERROR(G154/$I154),0,G154/$I154)</f>
        <v>0.50068635557232433</v>
      </c>
      <c r="I154" s="125">
        <f>E154+G154</f>
        <v>7474.260000000002</v>
      </c>
      <c r="L154"/>
    </row>
    <row r="155" spans="1:14" ht="15">
      <c r="A155" s="376" t="s">
        <v>291</v>
      </c>
      <c r="B155" s="376"/>
      <c r="C155" s="376"/>
      <c r="D155" s="376"/>
      <c r="E155" s="47"/>
      <c r="F155" s="288">
        <f>IF(ISERROR(E155/$I155),0,E155/$I155)</f>
        <v>0</v>
      </c>
      <c r="G155" s="47"/>
      <c r="H155" s="288">
        <f>IF(ISERROR(G155/$I155),0,G155/$I155)</f>
        <v>0</v>
      </c>
      <c r="I155" s="125">
        <f>E155+G155</f>
        <v>0</v>
      </c>
      <c r="L155"/>
    </row>
    <row r="156" spans="1:14" ht="15">
      <c r="A156" s="376" t="s">
        <v>292</v>
      </c>
      <c r="B156" s="376"/>
      <c r="C156" s="376"/>
      <c r="D156" s="376"/>
      <c r="E156" s="47">
        <f>IF(ISERROR(-VLOOKUP(1963,Base_Periodo1[[#All],[CONTA]:[VALOR BALANÇO]],10,FALSE)),0,-VLOOKUP(1963,Base_Periodo1[[#All],[CONTA]:[VALOR BALANÇO]],10,FALSE))</f>
        <v>0</v>
      </c>
      <c r="F156" s="288">
        <f t="shared" ref="F156:F158" si="64">IF(ISERROR(E156/$I156),0,E156/$I156)</f>
        <v>0</v>
      </c>
      <c r="G156" s="47"/>
      <c r="H156" s="288">
        <f t="shared" ref="H156:H158" si="65">IF(ISERROR(G156/$I156),0,G156/$I156)</f>
        <v>0</v>
      </c>
      <c r="I156" s="125">
        <f>E156+G156</f>
        <v>0</v>
      </c>
      <c r="L156"/>
    </row>
    <row r="157" spans="1:14" ht="15">
      <c r="A157" s="376" t="s">
        <v>293</v>
      </c>
      <c r="B157" s="376"/>
      <c r="C157" s="376"/>
      <c r="D157" s="376"/>
      <c r="E157" s="47">
        <v>0</v>
      </c>
      <c r="F157" s="288">
        <f t="shared" si="64"/>
        <v>0</v>
      </c>
      <c r="G157" s="47">
        <f>IF(ISERROR(-VLOOKUP(38806,Base_Periodo1[[#All],[CONTA]:[VALOR BALANÇO]],10,FALSE)),0,-VLOOKUP(38806,Base_Periodo1[[#All],[CONTA]:[VALOR BALANÇO]],10,FALSE))</f>
        <v>0</v>
      </c>
      <c r="H157" s="288">
        <f t="shared" si="65"/>
        <v>0</v>
      </c>
      <c r="I157" s="125">
        <f>E157+G157</f>
        <v>0</v>
      </c>
      <c r="L157"/>
    </row>
    <row r="158" spans="1:14" ht="15">
      <c r="A158" s="376" t="s">
        <v>294</v>
      </c>
      <c r="B158" s="376"/>
      <c r="C158" s="376"/>
      <c r="D158" s="376"/>
      <c r="E158" s="47">
        <f>-VLOOKUP(1965,Base_Periodo1[[#All],[CONTA]:[VALOR BALANÇO]],10,FALSE)</f>
        <v>-8291.9699999999048</v>
      </c>
      <c r="F158" s="288">
        <f t="shared" si="64"/>
        <v>0.57811601265835766</v>
      </c>
      <c r="G158" s="47">
        <f>IF(ISERROR(-VLOOKUP(6550,Base_Periodo1[[#All],[CONTA]:[VALOR BALANÇO]],10,FALSE)),0,-VLOOKUP(6550,Base_Periodo1[[#All],[CONTA]:[VALOR BALANÇO]],10,FALSE))</f>
        <v>-6051.1199999999953</v>
      </c>
      <c r="H158" s="288">
        <f t="shared" si="65"/>
        <v>0.4218839873416424</v>
      </c>
      <c r="I158" s="125">
        <f>E158+G158</f>
        <v>-14343.0899999999</v>
      </c>
      <c r="L158"/>
    </row>
    <row r="159" spans="1:14" ht="15">
      <c r="A159" s="353" t="s">
        <v>295</v>
      </c>
      <c r="B159" s="353"/>
      <c r="C159" s="353"/>
      <c r="D159" s="353"/>
      <c r="E159" s="160">
        <f>SUM(E154:E158)</f>
        <v>-4559.9699999999048</v>
      </c>
      <c r="F159" s="160"/>
      <c r="G159" s="160">
        <f>SUM(G154:G158)</f>
        <v>-2308.8599999999933</v>
      </c>
      <c r="H159" s="160"/>
      <c r="I159" s="161">
        <f>SUM(I154:I158)</f>
        <v>-6868.8299999998981</v>
      </c>
      <c r="J159" s="290">
        <f>-VLOOKUP(1960,Base_Periodo1[[#All],[CONTA]:[VALOR BALANÇO]],10,FALSE)+E159</f>
        <v>-9119.9399999998095</v>
      </c>
      <c r="K159" s="290">
        <f>-VLOOKUP(6547,Base_Periodo1[[#All],[CONTA]:[VALOR BALANÇO]],10,FALSE)+G159</f>
        <v>-15417.719999999987</v>
      </c>
      <c r="L159"/>
    </row>
    <row r="160" spans="1:14" ht="15">
      <c r="A160" s="293" t="s">
        <v>4531</v>
      </c>
      <c r="B160" s="293"/>
      <c r="C160" s="293"/>
      <c r="D160" s="293"/>
      <c r="E160" s="300">
        <f>E159/(E154+E155+E156)</f>
        <v>-1.2218569131832542</v>
      </c>
      <c r="F160" s="300"/>
      <c r="G160" s="300">
        <f>IF(ISERROR(G159/(G154+G155+G156)),0,G159/(G154+G155+G156))</f>
        <v>-0.61696942489297701</v>
      </c>
      <c r="H160" s="300"/>
      <c r="I160" s="300">
        <f>I159/(I154+I155+I156)</f>
        <v>-0.91899800113989827</v>
      </c>
      <c r="J160" s="77"/>
      <c r="K160" s="77"/>
      <c r="L160"/>
    </row>
    <row r="161" spans="1:12" ht="15">
      <c r="A161" s="293" t="s">
        <v>5573</v>
      </c>
      <c r="B161" s="293"/>
      <c r="C161" s="293"/>
      <c r="D161" s="293"/>
      <c r="E161" s="300">
        <f>E159/I159</f>
        <v>0.66386415153672063</v>
      </c>
      <c r="F161" s="300"/>
      <c r="G161" s="300">
        <f>G159/I159</f>
        <v>0.33613584846327943</v>
      </c>
      <c r="H161" s="300"/>
      <c r="I161" s="300"/>
      <c r="J161" s="77"/>
      <c r="K161" s="77"/>
      <c r="L161"/>
    </row>
    <row r="162" spans="1:12" ht="15">
      <c r="A162" s="284"/>
      <c r="B162" s="284"/>
      <c r="C162" s="284"/>
      <c r="D162" s="284"/>
      <c r="E162" s="160"/>
      <c r="F162" s="160"/>
      <c r="G162" s="160"/>
      <c r="H162" s="160"/>
      <c r="I162" s="161"/>
      <c r="L162"/>
    </row>
    <row r="163" spans="1:12" ht="15">
      <c r="A163" s="353" t="s">
        <v>5553</v>
      </c>
      <c r="B163" s="353">
        <v>63102.820000000109</v>
      </c>
      <c r="C163" s="353">
        <v>63102.820000000109</v>
      </c>
      <c r="D163" s="353">
        <v>63102.820000000109</v>
      </c>
      <c r="E163" s="50" t="s">
        <v>289</v>
      </c>
      <c r="F163" s="50"/>
      <c r="G163" s="50" t="s">
        <v>289</v>
      </c>
      <c r="H163" s="50"/>
      <c r="I163" s="158" t="s">
        <v>289</v>
      </c>
      <c r="L163"/>
    </row>
    <row r="164" spans="1:12" ht="15">
      <c r="A164" s="376" t="s">
        <v>290</v>
      </c>
      <c r="B164" s="376"/>
      <c r="C164" s="376"/>
      <c r="D164" s="376"/>
      <c r="E164" s="47">
        <f>VLOOKUP(1968,Base_Periodo1[[#All],[CONTA]:[VALOR BALANÇO]],10,FALSE)</f>
        <v>15060.000000000015</v>
      </c>
      <c r="F164" s="288">
        <f t="shared" ref="F164" si="66">IF(ISERROR(E164/$I164),0,E164/$I164)</f>
        <v>1</v>
      </c>
      <c r="G164" s="47">
        <v>0</v>
      </c>
      <c r="H164" s="288">
        <f t="shared" ref="H164" si="67">IF(ISERROR(G164/$I164),0,G164/$I164)</f>
        <v>0</v>
      </c>
      <c r="I164" s="125">
        <f>E164+G164</f>
        <v>15060.000000000015</v>
      </c>
      <c r="L164"/>
    </row>
    <row r="165" spans="1:12" ht="15">
      <c r="A165" s="376" t="s">
        <v>291</v>
      </c>
      <c r="B165" s="376"/>
      <c r="C165" s="376"/>
      <c r="D165" s="376"/>
      <c r="E165" s="47"/>
      <c r="F165" s="288">
        <f>IF(ISERROR(E165/$I165),0,E165/$I165)</f>
        <v>0</v>
      </c>
      <c r="G165" s="47"/>
      <c r="H165" s="288">
        <f>IF(ISERROR(G165/$I165),0,G165/$I165)</f>
        <v>0</v>
      </c>
      <c r="I165" s="125">
        <f>E165+G165</f>
        <v>0</v>
      </c>
      <c r="L165"/>
    </row>
    <row r="166" spans="1:12" ht="15">
      <c r="A166" s="376" t="s">
        <v>292</v>
      </c>
      <c r="B166" s="376"/>
      <c r="C166" s="376"/>
      <c r="D166" s="376"/>
      <c r="E166" s="47"/>
      <c r="F166" s="288">
        <f t="shared" ref="F166:F168" si="68">IF(ISERROR(E166/$I166),0,E166/$I166)</f>
        <v>0</v>
      </c>
      <c r="G166" s="47"/>
      <c r="H166" s="288">
        <f t="shared" ref="H166:H168" si="69">IF(ISERROR(G166/$I166),0,G166/$I166)</f>
        <v>0</v>
      </c>
      <c r="I166" s="125">
        <f>E166+G166</f>
        <v>0</v>
      </c>
      <c r="L166"/>
    </row>
    <row r="167" spans="1:12" ht="15">
      <c r="A167" s="376" t="s">
        <v>293</v>
      </c>
      <c r="B167" s="376"/>
      <c r="C167" s="376"/>
      <c r="D167" s="376"/>
      <c r="E167" s="47">
        <v>0</v>
      </c>
      <c r="F167" s="288">
        <f t="shared" si="68"/>
        <v>0</v>
      </c>
      <c r="G167" s="47">
        <f>IF(ISERROR(-VLOOKUP(38806,Base_Periodo1[[#All],[CONTA]:[VALOR BALANÇO]],10,FALSE)),0,-VLOOKUP(38806,Base_Periodo1[[#All],[CONTA]:[VALOR BALANÇO]],10,FALSE))</f>
        <v>0</v>
      </c>
      <c r="H167" s="288">
        <f t="shared" si="69"/>
        <v>0</v>
      </c>
      <c r="I167" s="125">
        <f>E167+G167</f>
        <v>0</v>
      </c>
      <c r="L167"/>
    </row>
    <row r="168" spans="1:12" ht="15">
      <c r="A168" s="376" t="s">
        <v>294</v>
      </c>
      <c r="B168" s="376"/>
      <c r="C168" s="376"/>
      <c r="D168" s="376"/>
      <c r="E168" s="47">
        <f>-VLOOKUP(1974,Base_Periodo1[[#All],[CONTA]:[VALOR BALANÇO]],10,FALSE)</f>
        <v>-11921.339999999982</v>
      </c>
      <c r="F168" s="288">
        <f t="shared" si="68"/>
        <v>0.95954121056020591</v>
      </c>
      <c r="G168" s="47">
        <f>IF(ISERROR(-VLOOKUP(6556,Base_Periodo1[[#All],[CONTA]:[VALOR BALANÇO]],10,FALSE)),0,-VLOOKUP(6556,Base_Periodo1[[#All],[CONTA]:[VALOR BALANÇO]],10,FALSE))</f>
        <v>-502.66000000000099</v>
      </c>
      <c r="H168" s="288">
        <f t="shared" si="69"/>
        <v>4.0458789439794078E-2</v>
      </c>
      <c r="I168" s="125">
        <f>E168+G168</f>
        <v>-12423.999999999984</v>
      </c>
      <c r="L168"/>
    </row>
    <row r="169" spans="1:12" ht="15">
      <c r="A169" s="353" t="s">
        <v>295</v>
      </c>
      <c r="B169" s="353"/>
      <c r="C169" s="353"/>
      <c r="D169" s="353"/>
      <c r="E169" s="160">
        <f>SUM(E164:E168)</f>
        <v>3138.6600000000326</v>
      </c>
      <c r="F169" s="160"/>
      <c r="G169" s="160">
        <f>SUM(G164:G168)</f>
        <v>-502.66000000000099</v>
      </c>
      <c r="H169" s="160"/>
      <c r="I169" s="161">
        <f>SUM(I164:I168)</f>
        <v>2636.0000000000309</v>
      </c>
      <c r="J169" s="290">
        <f>VLOOKUP(1967,Base_Periodo1[[#All],[CONTA]:[VALOR BALANÇO]],10,FALSE)+E169</f>
        <v>5593.3200000000652</v>
      </c>
      <c r="K169" s="290">
        <f>VLOOKUP(6552,Base_Periodo1[[#All],[CONTA]:[VALOR BALANÇO]],10,FALSE)+G169</f>
        <v>-3.637978807091713E-12</v>
      </c>
      <c r="L169"/>
    </row>
    <row r="170" spans="1:12" ht="15">
      <c r="A170" s="293" t="s">
        <v>4531</v>
      </c>
      <c r="B170" s="293"/>
      <c r="C170" s="293"/>
      <c r="D170" s="293"/>
      <c r="E170" s="300">
        <f>E169/(E164+E165+E166)</f>
        <v>0.208410358565739</v>
      </c>
      <c r="F170" s="300"/>
      <c r="G170" s="300" t="e">
        <f>G169/(G164+G165+G166)</f>
        <v>#DIV/0!</v>
      </c>
      <c r="H170" s="300"/>
      <c r="I170" s="300">
        <f>I169/(I164+I165+I166)</f>
        <v>0.17503320053121038</v>
      </c>
      <c r="J170" s="77"/>
      <c r="K170" s="77"/>
      <c r="L170"/>
    </row>
    <row r="171" spans="1:12" ht="15">
      <c r="A171" s="293" t="s">
        <v>5573</v>
      </c>
      <c r="B171" s="293"/>
      <c r="C171" s="293"/>
      <c r="D171" s="293"/>
      <c r="E171" s="300">
        <f>E169/I169</f>
        <v>1.1906904400606964</v>
      </c>
      <c r="F171" s="300"/>
      <c r="G171" s="300">
        <f>G169/I169</f>
        <v>-0.19069044006069616</v>
      </c>
      <c r="H171" s="300"/>
      <c r="I171" s="300"/>
      <c r="J171" s="77"/>
      <c r="K171" s="77"/>
      <c r="L171"/>
    </row>
    <row r="172" spans="1:12" ht="15">
      <c r="A172" s="284"/>
      <c r="B172" s="284"/>
      <c r="C172" s="284"/>
      <c r="D172" s="284"/>
      <c r="E172" s="160"/>
      <c r="F172" s="160"/>
      <c r="G172" s="160"/>
      <c r="H172" s="160"/>
      <c r="I172" s="161"/>
      <c r="L172"/>
    </row>
    <row r="173" spans="1:12" ht="15">
      <c r="A173" s="353" t="s">
        <v>5554</v>
      </c>
      <c r="B173" s="353">
        <v>63102.820000000109</v>
      </c>
      <c r="C173" s="353">
        <v>63102.820000000109</v>
      </c>
      <c r="D173" s="353">
        <v>63102.820000000109</v>
      </c>
      <c r="E173" s="50" t="s">
        <v>289</v>
      </c>
      <c r="F173" s="50"/>
      <c r="G173" s="50" t="s">
        <v>289</v>
      </c>
      <c r="H173" s="50"/>
      <c r="I173" s="158" t="s">
        <v>289</v>
      </c>
    </row>
    <row r="174" spans="1:12">
      <c r="A174" s="376" t="s">
        <v>290</v>
      </c>
      <c r="B174" s="376"/>
      <c r="C174" s="376"/>
      <c r="D174" s="376"/>
      <c r="E174" s="47">
        <f>IF(ISERROR(VLOOKUP(1981,Base_Periodo1[[#All],[CONTA]:[VALOR BALANÇO]],10,FALSE)),0,VLOOKUP(1981,Base_Periodo1[[#All],[CONTA]:[VALOR BALANÇO]],10,FALSE))</f>
        <v>0</v>
      </c>
      <c r="F174" s="288">
        <f t="shared" ref="F174" si="70">IF(ISERROR(E174/$I174),0,E174/$I174)</f>
        <v>0</v>
      </c>
      <c r="G174" s="47">
        <f>IF(ISERROR(VLOOKUP(15463,Base_Periodo1[[#All],[CONTA]:[VALOR BALANÇO]],10,FALSE)),0,VLOOKUP(15463,Base_Periodo1[[#All],[CONTA]:[VALOR BALANÇO]],10,FALSE))</f>
        <v>0</v>
      </c>
      <c r="H174" s="288">
        <f t="shared" ref="H174" si="71">IF(ISERROR(G174/$I174),0,G174/$I174)</f>
        <v>0</v>
      </c>
      <c r="I174" s="125">
        <f>E174+G174</f>
        <v>0</v>
      </c>
    </row>
    <row r="175" spans="1:12">
      <c r="A175" s="376" t="s">
        <v>291</v>
      </c>
      <c r="B175" s="376"/>
      <c r="C175" s="376"/>
      <c r="D175" s="376"/>
      <c r="E175" s="47"/>
      <c r="F175" s="288">
        <f>IF(ISERROR(E175/$I175),0,E175/$I175)</f>
        <v>0</v>
      </c>
      <c r="G175" s="47"/>
      <c r="H175" s="288">
        <f>IF(ISERROR(G175/$I175),0,G175/$I175)</f>
        <v>0</v>
      </c>
      <c r="I175" s="125">
        <f>E175+G175</f>
        <v>0</v>
      </c>
    </row>
    <row r="176" spans="1:12">
      <c r="A176" s="376" t="s">
        <v>292</v>
      </c>
      <c r="B176" s="376"/>
      <c r="C176" s="376"/>
      <c r="D176" s="376"/>
      <c r="E176" s="47">
        <f>IF(ISERROR(-VLOOKUP(1983,Base_Periodo1[[#All],[CONTA]:[VALOR BALANÇO]],10,FALSE)),0,-VLOOKUP(1983,Base_Periodo1[[#All],[CONTA]:[VALOR BALANÇO]],10,FALSE))</f>
        <v>0</v>
      </c>
      <c r="F176" s="288">
        <f t="shared" ref="F176:F178" si="72">IF(ISERROR(E176/$I176),0,E176/$I176)</f>
        <v>0</v>
      </c>
      <c r="G176" s="47">
        <f>IF(ISERROR(-VLOOKUP(6561,Base_Periodo1[[#All],[CONTA]:[VALOR BALANÇO]],10,FALSE)),0,-VLOOKUP(6561,Base_Periodo1[[#All],[CONTA]:[VALOR BALANÇO]],10,FALSE))</f>
        <v>0</v>
      </c>
      <c r="H176" s="288">
        <f t="shared" ref="H176:H178" si="73">IF(ISERROR(G176/$I176),0,G176/$I176)</f>
        <v>0</v>
      </c>
      <c r="I176" s="125">
        <f>E176+G176</f>
        <v>0</v>
      </c>
    </row>
    <row r="177" spans="1:13" ht="15">
      <c r="A177" s="376" t="s">
        <v>293</v>
      </c>
      <c r="B177" s="376"/>
      <c r="C177" s="376"/>
      <c r="D177" s="376"/>
      <c r="E177" s="47"/>
      <c r="F177" s="288">
        <f t="shared" si="72"/>
        <v>0</v>
      </c>
      <c r="G177" s="47">
        <f>IF(ISERROR(-VLOOKUP(38806,Base_Periodo1[[#All],[CONTA]:[VALOR BALANÇO]],10,FALSE)),0,-VLOOKUP(38806,Base_Periodo1[[#All],[CONTA]:[VALOR BALANÇO]],10,FALSE))</f>
        <v>0</v>
      </c>
      <c r="H177" s="288">
        <f t="shared" si="73"/>
        <v>0</v>
      </c>
      <c r="I177" s="125">
        <f>E177+G177</f>
        <v>0</v>
      </c>
      <c r="L177"/>
      <c r="M177"/>
    </row>
    <row r="178" spans="1:13" ht="15">
      <c r="A178" s="376" t="s">
        <v>294</v>
      </c>
      <c r="B178" s="376"/>
      <c r="C178" s="376"/>
      <c r="D178" s="376"/>
      <c r="E178" s="47">
        <f>IF(ISERROR(-VLOOKUP(1985,Base_Periodo1[[#All],[CONTA]:[VALOR BALANÇO]],10,FALSE)),0,-VLOOKUP(1985,Base_Periodo1[[#All],[CONTA]:[VALOR BALANÇO]],10,FALSE))</f>
        <v>0</v>
      </c>
      <c r="F178" s="288">
        <f t="shared" si="72"/>
        <v>0</v>
      </c>
      <c r="G178" s="47">
        <f>IF(ISERROR(-VLOOKUP(6563,Base_Periodo1[[#All],[CONTA]:[VALOR BALANÇO]],10,FALSE)),0,-VLOOKUP(6563,Base_Periodo1[[#All],[CONTA]:[VALOR BALANÇO]],10,FALSE))</f>
        <v>0</v>
      </c>
      <c r="H178" s="288">
        <f t="shared" si="73"/>
        <v>0</v>
      </c>
      <c r="I178" s="125">
        <f>E178+G178</f>
        <v>0</v>
      </c>
      <c r="L178"/>
    </row>
    <row r="179" spans="1:13" ht="15">
      <c r="A179" s="353" t="s">
        <v>295</v>
      </c>
      <c r="B179" s="353"/>
      <c r="C179" s="353"/>
      <c r="D179" s="353"/>
      <c r="E179" s="160">
        <f>SUM(E174:E178)</f>
        <v>0</v>
      </c>
      <c r="F179" s="160"/>
      <c r="G179" s="160">
        <f>SUM(G174:G178)</f>
        <v>0</v>
      </c>
      <c r="H179" s="160"/>
      <c r="I179" s="161">
        <f>SUM(I174:I178)</f>
        <v>0</v>
      </c>
      <c r="J179" s="290" t="e">
        <f>-VLOOKUP(1980,Base_Periodo1[[#All],[CONTA]:[VALOR BALANÇO]],10,FALSE)+E179</f>
        <v>#N/A</v>
      </c>
      <c r="K179" s="290" t="e">
        <f>-VLOOKUP(6557,Base_Periodo1[[#All],[CONTA]:[VALOR BALANÇO]],10,FALSE)+G179</f>
        <v>#N/A</v>
      </c>
    </row>
    <row r="180" spans="1:13" ht="15">
      <c r="A180" s="293" t="s">
        <v>4531</v>
      </c>
      <c r="B180" s="293"/>
      <c r="C180" s="293"/>
      <c r="D180" s="293"/>
      <c r="E180" s="300">
        <f>IF(ISERROR(E179/(E174+E175+E176)),0,E179/(E174+E175+E176))</f>
        <v>0</v>
      </c>
      <c r="F180" s="300"/>
      <c r="G180" s="300">
        <f>IF(ISERROR(G179/(G174+G175+G176)),0,G179/(G174+G175+G176))</f>
        <v>0</v>
      </c>
      <c r="H180" s="300"/>
      <c r="I180" s="300">
        <f>IF(ISERROR(I179/(I174+I175+I176)),0,I179/(I174+I175+I176))</f>
        <v>0</v>
      </c>
      <c r="J180" s="77"/>
      <c r="K180" s="77"/>
    </row>
    <row r="181" spans="1:13" ht="15">
      <c r="A181" s="293" t="s">
        <v>5573</v>
      </c>
      <c r="B181" s="293"/>
      <c r="C181" s="293"/>
      <c r="D181" s="293"/>
      <c r="E181" s="300">
        <f>IF(ISERROR(E179/I179),0,E179/I179)</f>
        <v>0</v>
      </c>
      <c r="F181" s="300"/>
      <c r="G181" s="300">
        <f>IF(ISERROR(G179/I179),0,G179/I179)</f>
        <v>0</v>
      </c>
      <c r="H181" s="300"/>
      <c r="I181" s="300"/>
      <c r="J181" s="77"/>
      <c r="K181" s="77"/>
    </row>
    <row r="183" spans="1:13" ht="15">
      <c r="A183" s="353" t="s">
        <v>315</v>
      </c>
      <c r="B183" s="353">
        <v>63102.820000000109</v>
      </c>
      <c r="C183" s="353">
        <v>63102.820000000109</v>
      </c>
      <c r="D183" s="353">
        <v>63102.820000000109</v>
      </c>
      <c r="E183" s="50" t="s">
        <v>289</v>
      </c>
      <c r="F183" s="50"/>
      <c r="G183" s="50" t="s">
        <v>289</v>
      </c>
      <c r="H183" s="50"/>
      <c r="I183" s="158" t="s">
        <v>289</v>
      </c>
    </row>
    <row r="184" spans="1:13">
      <c r="A184" s="376" t="s">
        <v>290</v>
      </c>
      <c r="B184" s="376"/>
      <c r="C184" s="376"/>
      <c r="D184" s="376"/>
      <c r="E184" s="47">
        <f>VLOOKUP(1988,Base_Periodo1[[#All],[CONTA]:[VALOR BALANÇO]],10,FALSE)</f>
        <v>68269.190000000031</v>
      </c>
      <c r="F184" s="288">
        <f t="shared" ref="F184" si="74">IF(ISERROR(E184/$I184),0,E184/$I184)</f>
        <v>0.89911653212684084</v>
      </c>
      <c r="G184" s="47">
        <f>VLOOKUP(6566,Base_Periodo1[[#All],[CONTA]:[VALOR BALANÇO]],10,FALSE)</f>
        <v>7660</v>
      </c>
      <c r="H184" s="288">
        <f t="shared" ref="H184" si="75">IF(ISERROR(G184/$I184),0,G184/$I184)</f>
        <v>0.10088346787315915</v>
      </c>
      <c r="I184" s="125">
        <f>E184+G184</f>
        <v>75929.190000000031</v>
      </c>
    </row>
    <row r="185" spans="1:13">
      <c r="A185" s="376" t="s">
        <v>291</v>
      </c>
      <c r="B185" s="376"/>
      <c r="C185" s="376"/>
      <c r="D185" s="376"/>
      <c r="E185" s="47"/>
      <c r="F185" s="288">
        <f>IF(ISERROR(E185/$I185),0,E185/$I185)</f>
        <v>0</v>
      </c>
      <c r="G185" s="47"/>
      <c r="H185" s="288">
        <f>IF(ISERROR(G185/$I185),0,G185/$I185)</f>
        <v>0</v>
      </c>
      <c r="I185" s="125">
        <f>E185+G185</f>
        <v>0</v>
      </c>
    </row>
    <row r="186" spans="1:13">
      <c r="A186" s="376" t="s">
        <v>292</v>
      </c>
      <c r="B186" s="376"/>
      <c r="C186" s="376"/>
      <c r="D186" s="376"/>
      <c r="E186" s="47">
        <f>IF(ISERROR(-VLOOKUP(50281,Base_Periodo1[[#All],[CONTA]:[VALOR BALANÇO]],10,FALSE)),0,-VLOOKUP(50281,Base_Periodo1[[#All],[CONTA]:[VALOR BALANÇO]],10,FALSE))</f>
        <v>-1900.5700000000002</v>
      </c>
      <c r="F186" s="288">
        <f t="shared" ref="F186:F188" si="76">IF(ISERROR(E186/$I186),0,E186/$I186)</f>
        <v>1</v>
      </c>
      <c r="G186" s="47">
        <f>IF(ISERROR(-VLOOKUP(50283,Base_Periodo1[[#All],[CONTA]:[VALOR BALANÇO]],10,FALSE)),0,-VLOOKUP(50283,Base_Periodo1[[#All],[CONTA]:[VALOR BALANÇO]],10,FALSE))</f>
        <v>0</v>
      </c>
      <c r="H186" s="288">
        <f t="shared" ref="H186:H188" si="77">IF(ISERROR(G186/$I186),0,G186/$I186)</f>
        <v>0</v>
      </c>
      <c r="I186" s="125">
        <f>E186+G186</f>
        <v>-1900.5700000000002</v>
      </c>
    </row>
    <row r="187" spans="1:13">
      <c r="A187" s="376" t="s">
        <v>293</v>
      </c>
      <c r="B187" s="376"/>
      <c r="C187" s="376"/>
      <c r="D187" s="376"/>
      <c r="E187" s="47">
        <v>0</v>
      </c>
      <c r="F187" s="288">
        <f t="shared" si="76"/>
        <v>0</v>
      </c>
      <c r="G187" s="47">
        <v>0</v>
      </c>
      <c r="H187" s="288">
        <f t="shared" si="77"/>
        <v>0</v>
      </c>
      <c r="I187" s="125">
        <f>E187+G187</f>
        <v>0</v>
      </c>
    </row>
    <row r="188" spans="1:13">
      <c r="A188" s="376" t="s">
        <v>294</v>
      </c>
      <c r="B188" s="376"/>
      <c r="C188" s="376"/>
      <c r="D188" s="376"/>
      <c r="E188" s="47">
        <f>-VLOOKUP(1989,Base_Periodo1[[#All],[CONTA]:[VALOR BALANÇO]],10,FALSE)</f>
        <v>-55618.139999999992</v>
      </c>
      <c r="F188" s="288">
        <f t="shared" si="76"/>
        <v>0.89332991751439739</v>
      </c>
      <c r="G188" s="47">
        <f>-VLOOKUP(6568,Base_Periodo1[[#All],[CONTA]:[VALOR BALANÇO]],10,FALSE)</f>
        <v>-6641.2100000000009</v>
      </c>
      <c r="H188" s="288">
        <f t="shared" si="77"/>
        <v>0.1066700824856026</v>
      </c>
      <c r="I188" s="125">
        <f>E188+G188</f>
        <v>-62259.349999999991</v>
      </c>
    </row>
    <row r="189" spans="1:13" ht="15">
      <c r="A189" s="353" t="s">
        <v>295</v>
      </c>
      <c r="B189" s="353"/>
      <c r="C189" s="353"/>
      <c r="D189" s="353"/>
      <c r="E189" s="160">
        <f>SUM(E184:E188)</f>
        <v>10750.480000000032</v>
      </c>
      <c r="F189" s="160"/>
      <c r="G189" s="160">
        <f>SUM(G184:G188)</f>
        <v>1018.7899999999991</v>
      </c>
      <c r="H189" s="160"/>
      <c r="I189" s="161">
        <f>SUM(I184:I188)</f>
        <v>11769.270000000033</v>
      </c>
      <c r="J189" s="290">
        <f>-VLOOKUP(1987,Base_Periodo1[[#All],[CONTA]:[VALOR BALANÇO]],10,FALSE)+E189</f>
        <v>0</v>
      </c>
      <c r="K189" s="290">
        <f>VLOOKUP(6565,Base_Periodo1[[#All],[CONTA]:[VALOR BALANÇO]],10,FALSE)+G189</f>
        <v>2037.5799999999981</v>
      </c>
    </row>
    <row r="190" spans="1:13" ht="15">
      <c r="A190" s="293" t="s">
        <v>4531</v>
      </c>
      <c r="B190" s="293"/>
      <c r="C190" s="293"/>
      <c r="D190" s="293"/>
      <c r="E190" s="300">
        <f>E189/(E184+E185+E186)</f>
        <v>0.16198137011135727</v>
      </c>
      <c r="F190" s="300"/>
      <c r="G190" s="300">
        <f>G189/(G184+G185+G186)</f>
        <v>0.1330013054830286</v>
      </c>
      <c r="H190" s="300"/>
      <c r="I190" s="300">
        <f>I189/(I184+I185+I186)</f>
        <v>0.15898270155515568</v>
      </c>
      <c r="J190" s="77"/>
      <c r="K190" s="77"/>
    </row>
    <row r="191" spans="1:13" ht="15">
      <c r="A191" s="293" t="s">
        <v>5573</v>
      </c>
      <c r="B191" s="293"/>
      <c r="C191" s="293"/>
      <c r="D191" s="293"/>
      <c r="E191" s="300">
        <f>E189/I189</f>
        <v>0.91343643233607541</v>
      </c>
      <c r="F191" s="300"/>
      <c r="G191" s="300">
        <f>G189/I189</f>
        <v>8.6563567663924451E-2</v>
      </c>
      <c r="H191" s="300"/>
      <c r="I191" s="300"/>
      <c r="J191" s="77"/>
      <c r="K191" s="77"/>
    </row>
    <row r="192" spans="1:13" ht="15">
      <c r="A192" s="289"/>
      <c r="B192" s="289"/>
      <c r="C192" s="289"/>
      <c r="D192" s="289"/>
      <c r="E192" s="160"/>
      <c r="F192" s="160"/>
      <c r="G192" s="160"/>
      <c r="H192" s="160"/>
      <c r="I192" s="161"/>
      <c r="J192" s="290"/>
    </row>
    <row r="193" spans="1:11" ht="15">
      <c r="A193" s="339" t="s">
        <v>316</v>
      </c>
      <c r="B193" s="339"/>
      <c r="C193" s="339"/>
      <c r="D193" s="339"/>
      <c r="E193" s="339"/>
      <c r="F193" s="339"/>
      <c r="G193" s="339"/>
      <c r="H193" s="339"/>
      <c r="I193" s="339"/>
    </row>
    <row r="194" spans="1:11" ht="15">
      <c r="A194" s="353" t="s">
        <v>317</v>
      </c>
      <c r="B194" s="353"/>
      <c r="C194" s="353"/>
      <c r="D194" s="353"/>
      <c r="E194" s="50" t="s">
        <v>289</v>
      </c>
      <c r="F194" s="50"/>
      <c r="G194" s="50" t="s">
        <v>289</v>
      </c>
      <c r="H194" s="50"/>
      <c r="I194" s="158" t="s">
        <v>289</v>
      </c>
    </row>
    <row r="195" spans="1:11">
      <c r="A195" s="376" t="s">
        <v>290</v>
      </c>
      <c r="B195" s="376"/>
      <c r="C195" s="376"/>
      <c r="D195" s="376"/>
      <c r="E195" s="47">
        <f>VLOOKUP(1993,Base_Periodo1[[#All],[CONTA]:[VALOR BALANÇO]],10,FALSE)</f>
        <v>8192515.0199998831</v>
      </c>
      <c r="F195" s="288">
        <f t="shared" ref="F195" si="78">IF(ISERROR(E195/$I195),0,E195/$I195)</f>
        <v>0.9270036587242606</v>
      </c>
      <c r="G195" s="47">
        <f>VLOOKUP(6571,Base_Periodo1[[#All],[CONTA]:[VALOR BALANÇO]],10,FALSE)</f>
        <v>645114.62999998301</v>
      </c>
      <c r="H195" s="288">
        <f t="shared" ref="H195" si="79">IF(ISERROR(G195/$I195),0,G195/$I195)</f>
        <v>7.299634127573934E-2</v>
      </c>
      <c r="I195" s="125">
        <f>E195+G195</f>
        <v>8837629.6499998663</v>
      </c>
    </row>
    <row r="196" spans="1:11">
      <c r="A196" s="376" t="s">
        <v>291</v>
      </c>
      <c r="B196" s="376"/>
      <c r="C196" s="376"/>
      <c r="D196" s="376"/>
      <c r="E196" s="47">
        <f>IF(ISERROR(VLOOKUP(1996,Base_Periodo1[[#All],[CONTA]:[VALOR BALANÇO]],10,FALSE)),0,VLOOKUP(1996,Base_Periodo1[[#All],[CONTA]:[VALOR BALANÇO]],10,FALSE))</f>
        <v>67600</v>
      </c>
      <c r="F196" s="288">
        <f>IF(ISERROR(E196/$I196),0,E196/$I196)</f>
        <v>0</v>
      </c>
      <c r="G196" s="47"/>
      <c r="H196" s="288">
        <f>IF(ISERROR(G196/$I196),0,G196/$I196)</f>
        <v>0</v>
      </c>
      <c r="I196" s="125"/>
    </row>
    <row r="197" spans="1:11">
      <c r="A197" s="376" t="s">
        <v>292</v>
      </c>
      <c r="B197" s="376"/>
      <c r="C197" s="376"/>
      <c r="D197" s="376"/>
      <c r="E197" s="47">
        <f>-VLOOKUP(1997,Base_Periodo1[[#All],[CONTA]:[VALOR BALANÇO]],10,FALSE)</f>
        <v>-152973.25999999739</v>
      </c>
      <c r="F197" s="288">
        <f t="shared" ref="F197:F199" si="80">IF(ISERROR(E197/$I197),0,E197/$I197)</f>
        <v>0.97330266745545457</v>
      </c>
      <c r="G197" s="47">
        <f>IF(ISERROR(-VLOOKUP(6577,Base_Periodo1[[#All],[CONTA]:[VALOR BALANÇO]],10,FALSE)),0,-VLOOKUP(6577,Base_Periodo1[[#All],[CONTA]:[VALOR BALANÇO]],10,FALSE))</f>
        <v>-4196.0000000000582</v>
      </c>
      <c r="H197" s="288">
        <f t="shared" ref="H197:H199" si="81">IF(ISERROR(G197/$I197),0,G197/$I197)</f>
        <v>2.6697332544545455E-2</v>
      </c>
      <c r="I197" s="125">
        <f>E197+G197</f>
        <v>-157169.25999999745</v>
      </c>
    </row>
    <row r="198" spans="1:11">
      <c r="A198" s="376" t="s">
        <v>293</v>
      </c>
      <c r="B198" s="376"/>
      <c r="C198" s="376"/>
      <c r="D198" s="376"/>
      <c r="E198" s="47">
        <f>-VLOOKUP(1999,Base_Periodo1[[#All],[CONTA]:[VALOR BALANÇO]],10,FALSE)</f>
        <v>-9349.5300000002844</v>
      </c>
      <c r="F198" s="288">
        <f t="shared" si="80"/>
        <v>1</v>
      </c>
      <c r="G198" s="47">
        <f>IF(ISERROR(-VLOOKUP(6579,Base_Periodo1[[#All],[CONTA]:[VALOR BALANÇO]],10,FALSE)),0,-VLOOKUP(6579,Base_Periodo1[[#All],[CONTA]:[VALOR BALANÇO]],10,FALSE))</f>
        <v>0</v>
      </c>
      <c r="H198" s="288">
        <f t="shared" si="81"/>
        <v>0</v>
      </c>
      <c r="I198" s="125">
        <f>E198+G198</f>
        <v>-9349.5300000002844</v>
      </c>
    </row>
    <row r="199" spans="1:11">
      <c r="A199" s="376" t="s">
        <v>294</v>
      </c>
      <c r="B199" s="376"/>
      <c r="C199" s="376"/>
      <c r="D199" s="376"/>
      <c r="E199" s="47">
        <f>-VLOOKUP(2001,Base_Periodo1[[#All],[CONTA]:[VALOR BALANÇO]],10,FALSE)</f>
        <v>-6751039.2200000193</v>
      </c>
      <c r="F199" s="288">
        <f t="shared" si="80"/>
        <v>0.92818074829601682</v>
      </c>
      <c r="G199" s="47">
        <f>-VLOOKUP(6581,Base_Periodo1[[#All],[CONTA]:[VALOR BALANÇO]],10,FALSE)</f>
        <v>-522370.87000000256</v>
      </c>
      <c r="H199" s="288">
        <f t="shared" si="81"/>
        <v>7.1819251703983178E-2</v>
      </c>
      <c r="I199" s="125">
        <f>E199+G199</f>
        <v>-7273410.0900000222</v>
      </c>
    </row>
    <row r="200" spans="1:11" ht="15">
      <c r="A200" s="353" t="s">
        <v>295</v>
      </c>
      <c r="B200" s="353"/>
      <c r="C200" s="353"/>
      <c r="D200" s="353"/>
      <c r="E200" s="160">
        <f>SUM(E195:E199)</f>
        <v>1346753.0099998666</v>
      </c>
      <c r="F200" s="160"/>
      <c r="G200" s="160">
        <f>SUM(G195:G199)</f>
        <v>118547.75999998034</v>
      </c>
      <c r="H200" s="160"/>
      <c r="I200" s="161">
        <f>SUM(I195:I199)</f>
        <v>1397700.769999845</v>
      </c>
      <c r="J200" s="290">
        <f>-VLOOKUP(1992,Base_Periodo1[[#All],[CONTA]:[VALOR BALANÇO]],10,FALSE)+E200</f>
        <v>0</v>
      </c>
      <c r="K200" s="290">
        <f>-VLOOKUP(6570,Base_Periodo1[[#All],[CONTA]:[VALOR BALANÇO]],10,FALSE)+G200</f>
        <v>0</v>
      </c>
    </row>
    <row r="201" spans="1:11" ht="15">
      <c r="A201" s="293" t="s">
        <v>4531</v>
      </c>
      <c r="B201" s="293"/>
      <c r="C201" s="293"/>
      <c r="D201" s="293"/>
      <c r="E201" s="300">
        <f>E200/(E195+E196+E197)</f>
        <v>0.16611933648979213</v>
      </c>
      <c r="F201" s="300"/>
      <c r="G201" s="300">
        <f>G200/(G195+G196+G197)</f>
        <v>0.18496538320314312</v>
      </c>
      <c r="H201" s="300"/>
      <c r="I201" s="300">
        <f>I200/(I195+I196+I197)</f>
        <v>0.1610168939437861</v>
      </c>
      <c r="J201" s="77"/>
      <c r="K201" s="77"/>
    </row>
    <row r="202" spans="1:11" ht="15">
      <c r="A202" s="293" t="s">
        <v>5573</v>
      </c>
      <c r="B202" s="293"/>
      <c r="C202" s="293"/>
      <c r="D202" s="293"/>
      <c r="E202" s="300">
        <f>E200/I200</f>
        <v>0.96354887892064045</v>
      </c>
      <c r="F202" s="300"/>
      <c r="G202" s="300">
        <f>G200/I200</f>
        <v>8.4816265787700379E-2</v>
      </c>
      <c r="H202" s="300"/>
      <c r="I202" s="300"/>
      <c r="J202" s="77"/>
      <c r="K202" s="77"/>
    </row>
    <row r="203" spans="1:11">
      <c r="A203" s="352"/>
      <c r="B203" s="352"/>
      <c r="C203" s="352"/>
      <c r="D203" s="352"/>
      <c r="E203" s="352"/>
      <c r="F203" s="352"/>
      <c r="G203" s="352"/>
      <c r="H203" s="352"/>
      <c r="I203" s="352"/>
    </row>
    <row r="204" spans="1:11" ht="15">
      <c r="A204" s="353" t="s">
        <v>318</v>
      </c>
      <c r="B204" s="353"/>
      <c r="C204" s="353"/>
      <c r="D204" s="353"/>
      <c r="E204" s="50" t="s">
        <v>289</v>
      </c>
      <c r="F204" s="50"/>
      <c r="G204" s="50" t="s">
        <v>289</v>
      </c>
      <c r="H204" s="50"/>
      <c r="I204" s="158" t="s">
        <v>289</v>
      </c>
    </row>
    <row r="205" spans="1:11">
      <c r="A205" s="376" t="s">
        <v>290</v>
      </c>
      <c r="B205" s="376"/>
      <c r="C205" s="376"/>
      <c r="D205" s="376"/>
      <c r="E205" s="47">
        <f>VLOOKUP(2004,Base_Periodo1[[#All],[CONTA]:[VALOR BALANÇO]],10,FALSE)</f>
        <v>3376946.1400000053</v>
      </c>
      <c r="F205" s="288">
        <f t="shared" ref="F205" si="82">IF(ISERROR(E205/$I205),0,E205/$I205)</f>
        <v>0.9659407464704346</v>
      </c>
      <c r="G205" s="47">
        <f>VLOOKUP(6585,Base_Periodo1[[#All],[CONTA]:[VALOR BALANÇO]],10,FALSE)</f>
        <v>119071.75999999885</v>
      </c>
      <c r="H205" s="288">
        <f t="shared" ref="H205" si="83">IF(ISERROR(G205/$I205),0,G205/$I205)</f>
        <v>3.4059253529565368E-2</v>
      </c>
      <c r="I205" s="125">
        <f>E205+G205</f>
        <v>3496017.9000000041</v>
      </c>
    </row>
    <row r="206" spans="1:11">
      <c r="A206" s="376" t="s">
        <v>291</v>
      </c>
      <c r="B206" s="376"/>
      <c r="C206" s="376"/>
      <c r="D206" s="376"/>
      <c r="E206" s="47"/>
      <c r="F206" s="288">
        <f>IF(ISERROR(E206/$I206),0,E206/$I206)</f>
        <v>0</v>
      </c>
      <c r="G206" s="47"/>
      <c r="H206" s="288">
        <f>IF(ISERROR(G206/$I206),0,G206/$I206)</f>
        <v>0</v>
      </c>
      <c r="I206" s="125">
        <f>E206+G206</f>
        <v>0</v>
      </c>
    </row>
    <row r="207" spans="1:11">
      <c r="A207" s="376" t="s">
        <v>292</v>
      </c>
      <c r="B207" s="376"/>
      <c r="C207" s="376"/>
      <c r="D207" s="376"/>
      <c r="E207" s="47">
        <f>IF(ISERROR(-VLOOKUP(2008,Base_Periodo1[[#All],[CONTA]:[VALOR BALANÇO]],10,FALSE)),0,-VLOOKUP(2008,Base_Periodo1[[#All],[CONTA]:[VALOR BALANÇO]],10,FALSE))</f>
        <v>-27716.28999999999</v>
      </c>
      <c r="F207" s="288">
        <f t="shared" ref="F207:F209" si="84">IF(ISERROR(E207/$I207),0,E207/$I207)</f>
        <v>0.71013349068363085</v>
      </c>
      <c r="G207" s="47">
        <f>IF(ISERROR(-VLOOKUP(6589,Base_Periodo1[[#All],[CONTA]:[VALOR BALANÇO]],10,FALSE)),0,-VLOOKUP(6589,Base_Periodo1[[#All],[CONTA]:[VALOR BALANÇO]],10,FALSE))</f>
        <v>-11313.399999999994</v>
      </c>
      <c r="H207" s="288">
        <f t="shared" ref="H207:H209" si="85">IF(ISERROR(G207/$I207),0,G207/$I207)</f>
        <v>0.28986650931636909</v>
      </c>
      <c r="I207" s="125">
        <f>E207+G207</f>
        <v>-39029.689999999988</v>
      </c>
    </row>
    <row r="208" spans="1:11">
      <c r="A208" s="376" t="s">
        <v>293</v>
      </c>
      <c r="B208" s="376"/>
      <c r="C208" s="376"/>
      <c r="D208" s="376"/>
      <c r="E208" s="47">
        <f>-VLOOKUP(2010,Base_Periodo1[[#All],[CONTA]:[VALOR BALANÇO]],10,FALSE)</f>
        <v>-40593.01999999996</v>
      </c>
      <c r="F208" s="288">
        <f t="shared" si="84"/>
        <v>1</v>
      </c>
      <c r="G208" s="47">
        <f>IF(ISERROR(-VLOOKUP(6591,Base_Periodo1[[#All],[CONTA]:[VALOR BALANÇO]],10,FALSE)),0,-VLOOKUP(6591,Base_Periodo1[[#All],[CONTA]:[VALOR BALANÇO]],10,FALSE))</f>
        <v>0</v>
      </c>
      <c r="H208" s="288">
        <f t="shared" si="85"/>
        <v>0</v>
      </c>
      <c r="I208" s="125">
        <f>E208+G208</f>
        <v>-40593.01999999996</v>
      </c>
    </row>
    <row r="209" spans="1:11">
      <c r="A209" s="376" t="s">
        <v>294</v>
      </c>
      <c r="B209" s="376"/>
      <c r="C209" s="376"/>
      <c r="D209" s="376"/>
      <c r="E209" s="47">
        <f>-VLOOKUP(2012,Base_Periodo1[[#All],[CONTA]:[VALOR BALANÇO]],10,FALSE)</f>
        <v>-2606027.8699999908</v>
      </c>
      <c r="F209" s="288">
        <f t="shared" si="84"/>
        <v>0.9672276850145457</v>
      </c>
      <c r="G209" s="47">
        <f>-VLOOKUP(6593,Base_Periodo1[[#All],[CONTA]:[VALOR BALANÇO]],10,FALSE)</f>
        <v>-88299.339999999851</v>
      </c>
      <c r="H209" s="288">
        <f t="shared" si="85"/>
        <v>3.2772314985454257E-2</v>
      </c>
      <c r="I209" s="125">
        <f>E209+G209</f>
        <v>-2694327.2099999906</v>
      </c>
    </row>
    <row r="210" spans="1:11" ht="15">
      <c r="A210" s="353" t="s">
        <v>295</v>
      </c>
      <c r="B210" s="353"/>
      <c r="C210" s="353"/>
      <c r="D210" s="353"/>
      <c r="E210" s="160">
        <f>SUM(E205:E209)</f>
        <v>702608.9600000144</v>
      </c>
      <c r="F210" s="160"/>
      <c r="G210" s="160">
        <f>SUM(G205:G209)</f>
        <v>19459.019999999</v>
      </c>
      <c r="H210" s="160"/>
      <c r="I210" s="161">
        <f>SUM(I205:I209)</f>
        <v>722067.98000001349</v>
      </c>
      <c r="J210" s="290">
        <f>-VLOOKUP(2003,Base_Periodo1[[#All],[CONTA]:[VALOR BALANÇO]],10,FALSE)+E210</f>
        <v>0</v>
      </c>
      <c r="K210" s="290">
        <f>-VLOOKUP(6584,Base_Periodo1[[#All],[CONTA]:[VALOR BALANÇO]],10,FALSE)+G210</f>
        <v>0</v>
      </c>
    </row>
    <row r="211" spans="1:11" ht="15">
      <c r="A211" s="293" t="s">
        <v>4531</v>
      </c>
      <c r="B211" s="293"/>
      <c r="C211" s="293"/>
      <c r="D211" s="293"/>
      <c r="E211" s="300">
        <f>E210/(E205+E206+E207)</f>
        <v>0.20978224590946282</v>
      </c>
      <c r="F211" s="300"/>
      <c r="G211" s="300">
        <f>G210/(G205+G206+G207)</f>
        <v>0.18058014245947329</v>
      </c>
      <c r="H211" s="300"/>
      <c r="I211" s="300">
        <f>I210/(I205+I206+I207)</f>
        <v>0.20887198223913311</v>
      </c>
      <c r="J211" s="77"/>
      <c r="K211" s="77"/>
    </row>
    <row r="212" spans="1:11" ht="15">
      <c r="A212" s="293" t="s">
        <v>5573</v>
      </c>
      <c r="B212" s="293"/>
      <c r="C212" s="293"/>
      <c r="D212" s="293"/>
      <c r="E212" s="300">
        <f>E210/I210</f>
        <v>0.97305098614122354</v>
      </c>
      <c r="F212" s="300"/>
      <c r="G212" s="300">
        <f>G210/I210</f>
        <v>2.6949013858776339E-2</v>
      </c>
      <c r="H212" s="300"/>
      <c r="I212" s="300"/>
      <c r="J212" s="77"/>
      <c r="K212" s="77"/>
    </row>
    <row r="213" spans="1:11">
      <c r="A213" s="377"/>
      <c r="B213" s="377"/>
      <c r="C213" s="377"/>
      <c r="D213" s="377"/>
      <c r="E213" s="377"/>
      <c r="F213" s="377"/>
      <c r="G213" s="377"/>
      <c r="H213" s="377"/>
      <c r="I213" s="377"/>
    </row>
    <row r="214" spans="1:11" ht="15">
      <c r="A214" s="353" t="s">
        <v>319</v>
      </c>
      <c r="B214" s="353"/>
      <c r="C214" s="353"/>
      <c r="D214" s="353"/>
      <c r="E214" s="50" t="s">
        <v>289</v>
      </c>
      <c r="F214" s="50"/>
      <c r="G214" s="50" t="s">
        <v>289</v>
      </c>
      <c r="H214" s="50"/>
      <c r="I214" s="158" t="s">
        <v>289</v>
      </c>
    </row>
    <row r="215" spans="1:11">
      <c r="A215" s="376" t="s">
        <v>290</v>
      </c>
      <c r="B215" s="376"/>
      <c r="C215" s="376"/>
      <c r="D215" s="376"/>
      <c r="E215" s="47">
        <f>IF(ISERROR(VLOOKUP(2016,Base_Periodo1[[#All],[CONTA]:[VALOR BALANÇO]],10,FALSE)),0,VLOOKUP(2016,Base_Periodo1[[#All],[CONTA]:[VALOR BALANÇO]],10,FALSE))</f>
        <v>0</v>
      </c>
      <c r="F215" s="288">
        <f t="shared" ref="F215" si="86">IF(ISERROR(E215/$I215),0,E215/$I215)</f>
        <v>0</v>
      </c>
      <c r="G215" s="47">
        <f>IF(ISERROR(VLOOKUP(6596,Base_Periodo1[[#All],[CONTA]:[VALOR BALANÇO]],10,FALSE)),0,VLOOKUP(6596,Base_Periodo1[[#All],[CONTA]:[VALOR BALANÇO]],10,FALSE))</f>
        <v>0</v>
      </c>
      <c r="H215" s="288">
        <f t="shared" ref="H215" si="87">IF(ISERROR(G215/$I215),0,G215/$I215)</f>
        <v>0</v>
      </c>
      <c r="I215" s="125">
        <f>E215+G215</f>
        <v>0</v>
      </c>
    </row>
    <row r="216" spans="1:11">
      <c r="A216" s="376" t="s">
        <v>291</v>
      </c>
      <c r="B216" s="376"/>
      <c r="C216" s="376"/>
      <c r="D216" s="376"/>
      <c r="E216" s="47"/>
      <c r="F216" s="288">
        <f>IF(ISERROR(E216/$I216),0,E216/$I216)</f>
        <v>0</v>
      </c>
      <c r="G216" s="47"/>
      <c r="H216" s="288">
        <f>IF(ISERROR(G216/$I216),0,G216/$I216)</f>
        <v>0</v>
      </c>
      <c r="I216" s="125">
        <f>E216+G216</f>
        <v>0</v>
      </c>
    </row>
    <row r="217" spans="1:11">
      <c r="A217" s="376" t="s">
        <v>292</v>
      </c>
      <c r="B217" s="376"/>
      <c r="C217" s="376"/>
      <c r="D217" s="376"/>
      <c r="E217" s="47"/>
      <c r="F217" s="288">
        <f t="shared" ref="F217:F219" si="88">IF(ISERROR(E217/$I217),0,E217/$I217)</f>
        <v>0</v>
      </c>
      <c r="G217" s="47"/>
      <c r="H217" s="288">
        <f t="shared" ref="H217:H219" si="89">IF(ISERROR(G217/$I217),0,G217/$I217)</f>
        <v>0</v>
      </c>
      <c r="I217" s="125">
        <f>E217+G217</f>
        <v>0</v>
      </c>
    </row>
    <row r="218" spans="1:11">
      <c r="A218" s="376" t="s">
        <v>293</v>
      </c>
      <c r="B218" s="376"/>
      <c r="C218" s="376"/>
      <c r="D218" s="376"/>
      <c r="E218" s="47"/>
      <c r="F218" s="288">
        <f t="shared" si="88"/>
        <v>0</v>
      </c>
      <c r="G218" s="47"/>
      <c r="H218" s="288">
        <f t="shared" si="89"/>
        <v>0</v>
      </c>
      <c r="I218" s="125">
        <f>E218+G218</f>
        <v>0</v>
      </c>
    </row>
    <row r="219" spans="1:11">
      <c r="A219" s="376" t="s">
        <v>294</v>
      </c>
      <c r="B219" s="376"/>
      <c r="C219" s="376"/>
      <c r="D219" s="376"/>
      <c r="E219" s="47">
        <f>IF(ISERROR(-VLOOKUP(2025,Base_Periodo1[[#All],[CONTA]:[VALOR BALANÇO]],10,FALSE)),0,-VLOOKUP(2025,Base_Periodo1[[#All],[CONTA]:[VALOR BALANÇO]],10,FALSE))</f>
        <v>0</v>
      </c>
      <c r="F219" s="288">
        <f t="shared" si="88"/>
        <v>0</v>
      </c>
      <c r="G219" s="47">
        <f>IF(ISERROR(-VLOOKUP(6604,Base_Periodo1[[#All],[CONTA]:[VALOR BALANÇO]],10,FALSE)),0,-VLOOKUP(6604,Base_Periodo1[[#All],[CONTA]:[VALOR BALANÇO]],10,FALSE))</f>
        <v>0</v>
      </c>
      <c r="H219" s="288">
        <f t="shared" si="89"/>
        <v>0</v>
      </c>
      <c r="I219" s="125">
        <f>E219+G219</f>
        <v>0</v>
      </c>
    </row>
    <row r="220" spans="1:11" ht="15">
      <c r="A220" s="353" t="s">
        <v>295</v>
      </c>
      <c r="B220" s="353"/>
      <c r="C220" s="353"/>
      <c r="D220" s="353"/>
      <c r="E220" s="160">
        <f>SUM(E215:E219)</f>
        <v>0</v>
      </c>
      <c r="F220" s="160"/>
      <c r="G220" s="160">
        <f>SUM(G215:G219)</f>
        <v>0</v>
      </c>
      <c r="H220" s="160"/>
      <c r="I220" s="161">
        <f>SUM(I215:I219)</f>
        <v>0</v>
      </c>
      <c r="J220" s="290" t="e">
        <f>VLOOKUP(2015,Base_Periodo1[[#All],[CONTA]:[VALOR BALANÇO]],10,FALSE)+E220</f>
        <v>#N/A</v>
      </c>
    </row>
    <row r="221" spans="1:11" ht="15">
      <c r="A221" s="293" t="s">
        <v>4531</v>
      </c>
      <c r="B221" s="293"/>
      <c r="C221" s="293"/>
      <c r="D221" s="293"/>
      <c r="E221" s="300">
        <f>IF(ISERROR(E220/(E215+E216+E217)),0,E220/(E215+E216+E217))</f>
        <v>0</v>
      </c>
      <c r="F221" s="300"/>
      <c r="G221" s="300">
        <f>IF(ISERROR(G220/(G215+G216+G217)),0,G220/(G215+G216+G217))</f>
        <v>0</v>
      </c>
      <c r="H221" s="300"/>
      <c r="I221" s="300" t="e">
        <f>I220/(I215+I216+I217)</f>
        <v>#DIV/0!</v>
      </c>
      <c r="J221" s="77"/>
      <c r="K221" s="77"/>
    </row>
    <row r="222" spans="1:11" ht="15">
      <c r="A222" s="293" t="s">
        <v>5573</v>
      </c>
      <c r="B222" s="293"/>
      <c r="C222" s="293"/>
      <c r="D222" s="293"/>
      <c r="E222" s="300">
        <f>IF(ISERROR(E220/I220),0,E220/I220)</f>
        <v>0</v>
      </c>
      <c r="F222" s="300"/>
      <c r="G222" s="300">
        <f>IF(ISERROR(G220/I220),0,G220/I220)</f>
        <v>0</v>
      </c>
      <c r="H222" s="300"/>
      <c r="I222" s="300"/>
      <c r="J222" s="77"/>
      <c r="K222" s="77"/>
    </row>
    <row r="223" spans="1:11">
      <c r="A223" s="377"/>
      <c r="B223" s="377"/>
      <c r="C223" s="377"/>
      <c r="D223" s="377"/>
      <c r="E223" s="377"/>
      <c r="F223" s="377"/>
      <c r="G223" s="377"/>
      <c r="H223" s="377"/>
      <c r="I223" s="377"/>
    </row>
    <row r="224" spans="1:11" ht="15">
      <c r="A224" s="353" t="s">
        <v>320</v>
      </c>
      <c r="B224" s="353"/>
      <c r="C224" s="353"/>
      <c r="D224" s="353"/>
      <c r="E224" s="50" t="s">
        <v>289</v>
      </c>
      <c r="F224" s="50"/>
      <c r="G224" s="50" t="s">
        <v>289</v>
      </c>
      <c r="H224" s="50"/>
      <c r="I224" s="158" t="s">
        <v>289</v>
      </c>
    </row>
    <row r="225" spans="1:11">
      <c r="A225" s="376" t="s">
        <v>290</v>
      </c>
      <c r="B225" s="376"/>
      <c r="C225" s="376"/>
      <c r="D225" s="376"/>
      <c r="E225" s="47">
        <f>VLOOKUP(2029,Base_Periodo1[[#All],[CONTA]:[VALOR BALANÇO]],10,FALSE)</f>
        <v>428021.14999998064</v>
      </c>
      <c r="F225" s="288">
        <f t="shared" ref="F225" si="90">IF(ISERROR(E225/$I225),0,E225/$I225)</f>
        <v>0.72265589188196344</v>
      </c>
      <c r="G225" s="47">
        <f>VLOOKUP(6607,Base_Periodo1[[#All],[CONTA]:[VALOR BALANÇO]],10,FALSE)</f>
        <v>164267.87000000069</v>
      </c>
      <c r="H225" s="288">
        <f t="shared" ref="H225" si="91">IF(ISERROR(G225/$I225),0,G225/$I225)</f>
        <v>0.27734410811803645</v>
      </c>
      <c r="I225" s="125">
        <f>E225+G225</f>
        <v>592289.01999998139</v>
      </c>
    </row>
    <row r="226" spans="1:11">
      <c r="A226" s="376" t="s">
        <v>291</v>
      </c>
      <c r="B226" s="376"/>
      <c r="C226" s="376"/>
      <c r="D226" s="376"/>
      <c r="E226" s="47"/>
      <c r="F226" s="288">
        <f>IF(ISERROR(E226/$I226),0,E226/$I226)</f>
        <v>0</v>
      </c>
      <c r="G226" s="47"/>
      <c r="H226" s="288">
        <f>IF(ISERROR(G226/$I226),0,G226/$I226)</f>
        <v>0</v>
      </c>
      <c r="I226" s="125">
        <f>E226+G226</f>
        <v>0</v>
      </c>
    </row>
    <row r="227" spans="1:11">
      <c r="A227" s="376" t="s">
        <v>292</v>
      </c>
      <c r="B227" s="376"/>
      <c r="C227" s="376"/>
      <c r="D227" s="376"/>
      <c r="E227" s="47">
        <f>IF(ISERROR(-VLOOKUP(2031,Base_Periodo1[[#All],[CONTA]:[VALOR BALANÇO]],10,FALSE)),0,-VLOOKUP(2031,Base_Periodo1[[#All],[CONTA]:[VALOR BALANÇO]],10,FALSE))</f>
        <v>-1100.0000000001164</v>
      </c>
      <c r="F227" s="288">
        <f t="shared" ref="F227:F229" si="92">IF(ISERROR(E227/$I227),0,E227/$I227)</f>
        <v>1</v>
      </c>
      <c r="G227" s="47">
        <f>IF(ISERROR(-VLOOKUP(6611,Base_Periodo1[[#All],[CONTA]:[VALOR BALANÇO]],10,FALSE)),0,-VLOOKUP(6611,Base_Periodo1[[#All],[CONTA]:[VALOR BALANÇO]],10,FALSE))</f>
        <v>0</v>
      </c>
      <c r="H227" s="288">
        <f t="shared" ref="H227:H229" si="93">IF(ISERROR(G227/$I227),0,G227/$I227)</f>
        <v>0</v>
      </c>
      <c r="I227" s="125">
        <f>E227+G227</f>
        <v>-1100.0000000001164</v>
      </c>
    </row>
    <row r="228" spans="1:11">
      <c r="A228" s="376" t="s">
        <v>293</v>
      </c>
      <c r="B228" s="376"/>
      <c r="C228" s="376"/>
      <c r="D228" s="376"/>
      <c r="E228" s="47">
        <f>IF(ISERROR(-VLOOKUP(2033,Base_Periodo1[[#All],[CONTA]:[VALOR BALANÇO]],10,FALSE)),0,-VLOOKUP(2033,Base_Periodo1[[#All],[CONTA]:[VALOR BALANÇO]],10,FALSE))</f>
        <v>0</v>
      </c>
      <c r="F228" s="288">
        <f t="shared" si="92"/>
        <v>0</v>
      </c>
      <c r="G228" s="47"/>
      <c r="H228" s="288">
        <f t="shared" si="93"/>
        <v>0</v>
      </c>
      <c r="I228" s="125">
        <f>E228+G228</f>
        <v>0</v>
      </c>
    </row>
    <row r="229" spans="1:11">
      <c r="A229" s="376" t="s">
        <v>294</v>
      </c>
      <c r="B229" s="376"/>
      <c r="C229" s="376"/>
      <c r="D229" s="376"/>
      <c r="E229" s="47">
        <f>-VLOOKUP(2035,Base_Periodo1[[#All],[CONTA]:[VALOR BALANÇO]],10,FALSE)</f>
        <v>-330591.77000000788</v>
      </c>
      <c r="F229" s="288">
        <f t="shared" si="92"/>
        <v>0.72539305554242528</v>
      </c>
      <c r="G229" s="47">
        <f>-VLOOKUP(6615,Base_Periodo1[[#All],[CONTA]:[VALOR BALANÇO]],10,FALSE)</f>
        <v>-125149.80000000012</v>
      </c>
      <c r="H229" s="288">
        <f t="shared" si="93"/>
        <v>0.27460694445757478</v>
      </c>
      <c r="I229" s="125">
        <f>E229+G229</f>
        <v>-455741.57000000798</v>
      </c>
    </row>
    <row r="230" spans="1:11" ht="15">
      <c r="A230" s="353" t="s">
        <v>295</v>
      </c>
      <c r="B230" s="353"/>
      <c r="C230" s="353"/>
      <c r="D230" s="353"/>
      <c r="E230" s="160">
        <f>SUM(E225:E229)</f>
        <v>96329.379999972647</v>
      </c>
      <c r="F230" s="160"/>
      <c r="G230" s="160">
        <f>SUM(G225:G229)</f>
        <v>39118.070000000575</v>
      </c>
      <c r="H230" s="160"/>
      <c r="I230" s="161">
        <f>SUM(I225:I229)</f>
        <v>135447.44999997329</v>
      </c>
      <c r="J230" s="290">
        <f>-VLOOKUP(2028,Base_Periodo1[[#All],[CONTA]:[VALOR BALANÇO]],10,FALSE)+E230</f>
        <v>0</v>
      </c>
      <c r="K230" s="290">
        <f>-VLOOKUP(6606,Base_Periodo1[[#All],[CONTA]:[VALOR BALANÇO]],10,FALSE)+G230</f>
        <v>0</v>
      </c>
    </row>
    <row r="231" spans="1:11" ht="15">
      <c r="A231" s="293" t="s">
        <v>4531</v>
      </c>
      <c r="B231" s="293"/>
      <c r="C231" s="293"/>
      <c r="D231" s="293"/>
      <c r="E231" s="300">
        <f>E230/(E225+E226+E227)</f>
        <v>0.22563740400300394</v>
      </c>
      <c r="F231" s="300"/>
      <c r="G231" s="300">
        <f>G230/(G225+G226+G227)</f>
        <v>0.23813585699991369</v>
      </c>
      <c r="H231" s="300"/>
      <c r="I231" s="300">
        <f>I230/(I225+I226+I227)</f>
        <v>0.22911022603223852</v>
      </c>
      <c r="J231" s="77"/>
      <c r="K231" s="77"/>
    </row>
    <row r="232" spans="1:11" ht="15">
      <c r="A232" s="293" t="s">
        <v>5573</v>
      </c>
      <c r="B232" s="293"/>
      <c r="C232" s="293"/>
      <c r="D232" s="293"/>
      <c r="E232" s="300">
        <f>E230/I230</f>
        <v>0.71119375078668245</v>
      </c>
      <c r="F232" s="300"/>
      <c r="G232" s="300">
        <f>G230/I230</f>
        <v>0.28880624921331693</v>
      </c>
      <c r="H232" s="300"/>
      <c r="I232" s="300"/>
      <c r="J232" s="77"/>
      <c r="K232" s="77"/>
    </row>
    <row r="233" spans="1:11">
      <c r="A233" s="352"/>
      <c r="B233" s="352"/>
      <c r="C233" s="352"/>
      <c r="D233" s="352"/>
      <c r="E233" s="352"/>
      <c r="F233" s="352"/>
      <c r="G233" s="352"/>
      <c r="H233" s="352"/>
      <c r="I233" s="352"/>
    </row>
    <row r="234" spans="1:11" ht="15">
      <c r="A234" s="353" t="s">
        <v>321</v>
      </c>
      <c r="B234" s="353">
        <v>63102.820000000109</v>
      </c>
      <c r="C234" s="353">
        <v>63102.820000000109</v>
      </c>
      <c r="D234" s="353">
        <v>63102.820000000109</v>
      </c>
      <c r="E234" s="50" t="s">
        <v>289</v>
      </c>
      <c r="F234" s="50"/>
      <c r="G234" s="50" t="s">
        <v>289</v>
      </c>
      <c r="H234" s="50"/>
      <c r="I234" s="158" t="s">
        <v>289</v>
      </c>
    </row>
    <row r="235" spans="1:11">
      <c r="A235" s="376" t="s">
        <v>290</v>
      </c>
      <c r="B235" s="376"/>
      <c r="C235" s="376"/>
      <c r="D235" s="376"/>
      <c r="E235" s="47">
        <f>VLOOKUP(2047,Base_Periodo1[[#All],[CONTA]:[VALOR BALANÇO]],10,FALSE)</f>
        <v>582197.16999999434</v>
      </c>
      <c r="F235" s="288">
        <f t="shared" ref="F235" si="94">IF(ISERROR(E235/$I235),0,E235/$I235)</f>
        <v>1</v>
      </c>
      <c r="G235" s="47">
        <f>IF(ISERROR(VLOOKUP(6629,Base_Periodo1[[#All],[CONTA]:[VALOR BALANÇO]],10,FALSE)),0,VLOOKUP(6629,Base_Periodo1[[#All],[CONTA]:[VALOR BALANÇO]],10,FALSE))</f>
        <v>0</v>
      </c>
      <c r="H235" s="288">
        <f t="shared" ref="H235" si="95">IF(ISERROR(G235/$I235),0,G235/$I235)</f>
        <v>0</v>
      </c>
      <c r="I235" s="125">
        <f>E235+G235</f>
        <v>582197.16999999434</v>
      </c>
    </row>
    <row r="236" spans="1:11">
      <c r="A236" s="376" t="s">
        <v>291</v>
      </c>
      <c r="B236" s="376"/>
      <c r="C236" s="376"/>
      <c r="D236" s="376"/>
      <c r="E236" s="47"/>
      <c r="F236" s="288">
        <f>IF(ISERROR(E236/$I236),0,E236/$I236)</f>
        <v>0</v>
      </c>
      <c r="G236" s="47"/>
      <c r="H236" s="288">
        <f>IF(ISERROR(G236/$I236),0,G236/$I236)</f>
        <v>0</v>
      </c>
      <c r="I236" s="125">
        <f>E236+G236</f>
        <v>0</v>
      </c>
    </row>
    <row r="237" spans="1:11">
      <c r="A237" s="376" t="s">
        <v>292</v>
      </c>
      <c r="B237" s="376"/>
      <c r="C237" s="376"/>
      <c r="D237" s="376"/>
      <c r="E237" s="47">
        <f>IF(ISERROR(-VLOOKUP(2049,Base_Periodo1[[#All],[CONTA]:[VALOR BALANÇO]],10,FALSE)),0,-VLOOKUP(2049,Base_Periodo1[[#All],[CONTA]:[VALOR BALANÇO]],10,FALSE))</f>
        <v>-17000</v>
      </c>
      <c r="F237" s="288">
        <f t="shared" ref="F237:F239" si="96">IF(ISERROR(E237/$I237),0,E237/$I237)</f>
        <v>1</v>
      </c>
      <c r="G237" s="47"/>
      <c r="H237" s="288">
        <f t="shared" ref="H237:H239" si="97">IF(ISERROR(G237/$I237),0,G237/$I237)</f>
        <v>0</v>
      </c>
      <c r="I237" s="125">
        <f>E237+G237</f>
        <v>-17000</v>
      </c>
    </row>
    <row r="238" spans="1:11">
      <c r="A238" s="376" t="s">
        <v>293</v>
      </c>
      <c r="B238" s="376"/>
      <c r="C238" s="376"/>
      <c r="D238" s="376"/>
      <c r="E238" s="47">
        <f>IF(ISERROR(-VLOOKUP(2051,Base_Periodo1[[#All],[CONTA]:[VALOR BALANÇO]],10,FALSE)),0,-VLOOKUP(2051,Base_Periodo1[[#All],[CONTA]:[VALOR BALANÇO]],10,FALSE))</f>
        <v>0</v>
      </c>
      <c r="F238" s="288">
        <f t="shared" si="96"/>
        <v>0</v>
      </c>
      <c r="G238" s="47"/>
      <c r="H238" s="288">
        <f t="shared" si="97"/>
        <v>0</v>
      </c>
      <c r="I238" s="125">
        <f>E238+G238</f>
        <v>0</v>
      </c>
    </row>
    <row r="239" spans="1:11">
      <c r="A239" s="376" t="s">
        <v>294</v>
      </c>
      <c r="B239" s="376"/>
      <c r="C239" s="376"/>
      <c r="D239" s="376"/>
      <c r="E239" s="47">
        <f>-VLOOKUP(2053,Base_Periodo1[[#All],[CONTA]:[VALOR BALANÇO]],10,FALSE)</f>
        <v>-457041.28</v>
      </c>
      <c r="F239" s="288">
        <f t="shared" si="96"/>
        <v>1</v>
      </c>
      <c r="G239" s="47">
        <f>IF(ISERROR(-VLOOKUP(6634,Base_Periodo1[[#All],[CONTA]:[VALOR BALANÇO]],10,FALSE)),0,-VLOOKUP(6634,Base_Periodo1[[#All],[CONTA]:[VALOR BALANÇO]],10,FALSE))</f>
        <v>0</v>
      </c>
      <c r="H239" s="288">
        <f t="shared" si="97"/>
        <v>0</v>
      </c>
      <c r="I239" s="125">
        <f>E239+G239</f>
        <v>-457041.28</v>
      </c>
    </row>
    <row r="240" spans="1:11" ht="15">
      <c r="A240" s="353" t="s">
        <v>295</v>
      </c>
      <c r="B240" s="353"/>
      <c r="C240" s="353"/>
      <c r="D240" s="353"/>
      <c r="E240" s="160">
        <f>SUM(E235:E239)</f>
        <v>108155.88999999431</v>
      </c>
      <c r="F240" s="160"/>
      <c r="G240" s="160">
        <f>SUM(G235:G239)</f>
        <v>0</v>
      </c>
      <c r="H240" s="160"/>
      <c r="I240" s="161">
        <f>SUM(I235:I239)</f>
        <v>108155.88999999431</v>
      </c>
      <c r="J240" s="290">
        <f>-VLOOKUP(2046,Base_Periodo1[[#All],[CONTA]:[VALOR BALANÇO]],10,FALSE)+E240</f>
        <v>0</v>
      </c>
      <c r="K240" s="290" t="e">
        <f>-VLOOKUP(6628,Base_Periodo1[[#All],[CONTA]:[VALOR BALANÇO]],10,FALSE)-G240</f>
        <v>#N/A</v>
      </c>
    </row>
    <row r="241" spans="1:11" ht="15">
      <c r="A241" s="293" t="s">
        <v>4531</v>
      </c>
      <c r="B241" s="293"/>
      <c r="C241" s="293"/>
      <c r="D241" s="293"/>
      <c r="E241" s="300">
        <f>E240/(E235+E236+E237)</f>
        <v>0.19135957457111011</v>
      </c>
      <c r="F241" s="300"/>
      <c r="G241" s="300" t="e">
        <f>G240/(G235+G236+G237)</f>
        <v>#DIV/0!</v>
      </c>
      <c r="H241" s="300"/>
      <c r="I241" s="300">
        <f>I240/(I235+I236+I237)</f>
        <v>0.19135957457111011</v>
      </c>
      <c r="J241" s="77"/>
      <c r="K241" s="77"/>
    </row>
    <row r="242" spans="1:11" ht="15">
      <c r="A242" s="293" t="s">
        <v>5573</v>
      </c>
      <c r="B242" s="293"/>
      <c r="C242" s="293"/>
      <c r="D242" s="293"/>
      <c r="E242" s="300">
        <f>E240/I240</f>
        <v>1</v>
      </c>
      <c r="F242" s="300"/>
      <c r="G242" s="300">
        <f>G240/I240</f>
        <v>0</v>
      </c>
      <c r="H242" s="300"/>
      <c r="I242" s="300"/>
      <c r="J242" s="77"/>
      <c r="K242" s="77"/>
    </row>
    <row r="243" spans="1:11">
      <c r="A243" s="352"/>
      <c r="B243" s="352"/>
      <c r="C243" s="352"/>
      <c r="D243" s="352"/>
      <c r="E243" s="352"/>
      <c r="F243" s="352"/>
      <c r="G243" s="352"/>
      <c r="H243" s="352"/>
      <c r="I243" s="352"/>
    </row>
    <row r="244" spans="1:11" ht="15">
      <c r="A244" s="353" t="s">
        <v>4838</v>
      </c>
      <c r="B244" s="353">
        <v>63102.820000000109</v>
      </c>
      <c r="C244" s="353">
        <v>63102.820000000109</v>
      </c>
      <c r="D244" s="353">
        <v>63102.820000000109</v>
      </c>
      <c r="E244" s="50" t="s">
        <v>289</v>
      </c>
      <c r="F244" s="50"/>
      <c r="G244" s="50" t="s">
        <v>289</v>
      </c>
      <c r="H244" s="50"/>
      <c r="I244" s="158" t="s">
        <v>289</v>
      </c>
    </row>
    <row r="245" spans="1:11">
      <c r="A245" s="376" t="s">
        <v>290</v>
      </c>
      <c r="B245" s="376"/>
      <c r="C245" s="376"/>
      <c r="D245" s="376"/>
      <c r="E245" s="47">
        <f>IF(ISERROR(VLOOKUP(2056,Base_Periodo1[[#All],[CONTA]:[VALOR BALANÇO]],10,FALSE)),0,VLOOKUP(2056,Base_Periodo1[[#All],[CONTA]:[VALOR BALANÇO]],10,FALSE))</f>
        <v>0</v>
      </c>
      <c r="F245" s="288">
        <f t="shared" ref="F245" si="98">IF(ISERROR(E245/$I245),0,E245/$I245)</f>
        <v>0</v>
      </c>
      <c r="G245" s="47">
        <f>IF(ISERROR(VLOOKUP(6637,Base_Periodo1[[#All],[CONTA]:[VALOR BALANÇO]],10,FALSE)),0,VLOOKUP(6637,Base_Periodo1[[#All],[CONTA]:[VALOR BALANÇO]],10,FALSE))</f>
        <v>0</v>
      </c>
      <c r="H245" s="288">
        <f t="shared" ref="H245" si="99">IF(ISERROR(G245/$I245),0,G245/$I245)</f>
        <v>0</v>
      </c>
      <c r="I245" s="125">
        <f>E245+G245</f>
        <v>0</v>
      </c>
    </row>
    <row r="246" spans="1:11">
      <c r="A246" s="376" t="s">
        <v>291</v>
      </c>
      <c r="B246" s="376"/>
      <c r="C246" s="376"/>
      <c r="D246" s="376"/>
      <c r="E246" s="47"/>
      <c r="F246" s="288">
        <f>IF(ISERROR(E246/$I246),0,E246/$I246)</f>
        <v>0</v>
      </c>
      <c r="G246" s="47"/>
      <c r="H246" s="288">
        <f>IF(ISERROR(G246/$I246),0,G246/$I246)</f>
        <v>0</v>
      </c>
      <c r="I246" s="125">
        <f>E246+G246</f>
        <v>0</v>
      </c>
    </row>
    <row r="247" spans="1:11">
      <c r="A247" s="376" t="s">
        <v>292</v>
      </c>
      <c r="B247" s="376"/>
      <c r="C247" s="376"/>
      <c r="D247" s="376"/>
      <c r="E247" s="47">
        <v>0</v>
      </c>
      <c r="F247" s="288">
        <f t="shared" ref="F247:F249" si="100">IF(ISERROR(E247/$I247),0,E247/$I247)</f>
        <v>0</v>
      </c>
      <c r="G247" s="47">
        <f>IF(ISERROR(-VLOOKUP(6649,Base_Periodo1[[#All],[CONTA]:[VALOR BALANÇO]],10,FALSE)),0,-VLOOKUP(6649,Base_Periodo1[[#All],[CONTA]:[VALOR BALANÇO]],10,FALSE))</f>
        <v>0</v>
      </c>
      <c r="H247" s="288">
        <f t="shared" ref="H247:H249" si="101">IF(ISERROR(G247/$I247),0,G247/$I247)</f>
        <v>0</v>
      </c>
      <c r="I247" s="125">
        <f>E247+G247</f>
        <v>0</v>
      </c>
    </row>
    <row r="248" spans="1:11">
      <c r="A248" s="376" t="s">
        <v>293</v>
      </c>
      <c r="B248" s="376"/>
      <c r="C248" s="376"/>
      <c r="D248" s="376"/>
      <c r="E248" s="47">
        <v>0</v>
      </c>
      <c r="F248" s="288">
        <f t="shared" si="100"/>
        <v>0</v>
      </c>
      <c r="G248" s="47"/>
      <c r="H248" s="288">
        <f t="shared" si="101"/>
        <v>0</v>
      </c>
      <c r="I248" s="125">
        <f>E248+G248</f>
        <v>0</v>
      </c>
    </row>
    <row r="249" spans="1:11">
      <c r="A249" s="376" t="s">
        <v>294</v>
      </c>
      <c r="B249" s="376"/>
      <c r="C249" s="376"/>
      <c r="D249" s="376"/>
      <c r="E249" s="47">
        <f>IF(ISERROR(-VLOOKUP(2065,Base_Periodo1[[#All],[CONTA]:[VALOR BALANÇO]],10,FALSE)),0,-VLOOKUP(2065,Base_Periodo1[[#All],[CONTA]:[VALOR BALANÇO]],10,FALSE))</f>
        <v>0</v>
      </c>
      <c r="F249" s="288">
        <f t="shared" si="100"/>
        <v>0</v>
      </c>
      <c r="G249" s="47">
        <f>IF(ISERROR(-VLOOKUP(6651,Base_Periodo1[[#All],[CONTA]:[VALOR BALANÇO]],10,FALSE)),0,-VLOOKUP(6651,Base_Periodo1[[#All],[CONTA]:[VALOR BALANÇO]],10,FALSE))</f>
        <v>0</v>
      </c>
      <c r="H249" s="288">
        <f t="shared" si="101"/>
        <v>0</v>
      </c>
      <c r="I249" s="125">
        <f>E249+G249</f>
        <v>0</v>
      </c>
    </row>
    <row r="250" spans="1:11" ht="15">
      <c r="A250" s="353" t="s">
        <v>295</v>
      </c>
      <c r="B250" s="353"/>
      <c r="C250" s="353"/>
      <c r="D250" s="353"/>
      <c r="E250" s="160">
        <f>SUM(E245:E249)</f>
        <v>0</v>
      </c>
      <c r="F250" s="160"/>
      <c r="G250" s="160">
        <f>SUM(G245:G249)</f>
        <v>0</v>
      </c>
      <c r="H250" s="160"/>
      <c r="I250" s="161">
        <f>SUM(I245:I249)</f>
        <v>0</v>
      </c>
      <c r="J250" s="290" t="e">
        <f>VLOOKUP(2055,Base_Periodo1[[#All],[CONTA]:[VALOR BALANÇO]],10,FALSE)+E250</f>
        <v>#N/A</v>
      </c>
      <c r="K250" s="290" t="e">
        <f>-VLOOKUP(6636,Base_Periodo1[[#All],[CONTA]:[VALOR BALANÇO]],10,FALSE)+G250</f>
        <v>#N/A</v>
      </c>
    </row>
    <row r="251" spans="1:11" ht="15">
      <c r="A251" s="293" t="s">
        <v>4531</v>
      </c>
      <c r="B251" s="293"/>
      <c r="C251" s="293"/>
      <c r="D251" s="293"/>
      <c r="E251" s="300">
        <f>IF(ISERROR(E250/(E245+E246+E247)),0,E250/(E245+E246+E247))</f>
        <v>0</v>
      </c>
      <c r="F251" s="300"/>
      <c r="G251" s="300">
        <f>IF(ISERROR(G250/(G245+G246+G247)),0,G250/(G245+G246+G247))</f>
        <v>0</v>
      </c>
      <c r="H251" s="300"/>
      <c r="I251" s="300">
        <f>IF(ISERROR(I250/(I245+I246+I247)),0,I250/(I245+I246+I247))</f>
        <v>0</v>
      </c>
      <c r="J251" s="77"/>
      <c r="K251" s="77"/>
    </row>
    <row r="252" spans="1:11" ht="15">
      <c r="A252" s="293" t="s">
        <v>5573</v>
      </c>
      <c r="B252" s="293"/>
      <c r="C252" s="293"/>
      <c r="D252" s="293"/>
      <c r="E252" s="300">
        <f>IF(ISERROR(E250/I250),0,E250/I250)</f>
        <v>0</v>
      </c>
      <c r="F252" s="300"/>
      <c r="G252" s="300">
        <f>IF(ISERROR(G250/I250),0,G250/I250)</f>
        <v>0</v>
      </c>
      <c r="H252" s="300"/>
      <c r="I252" s="300"/>
      <c r="J252" s="77"/>
      <c r="K252" s="77"/>
    </row>
    <row r="254" spans="1:11" ht="15">
      <c r="A254" s="353" t="s">
        <v>322</v>
      </c>
      <c r="B254" s="353">
        <v>63102.820000000109</v>
      </c>
      <c r="C254" s="353">
        <v>63102.820000000109</v>
      </c>
      <c r="D254" s="353">
        <v>63102.820000000109</v>
      </c>
      <c r="E254" s="50" t="s">
        <v>289</v>
      </c>
      <c r="F254" s="50"/>
      <c r="G254" s="50" t="s">
        <v>289</v>
      </c>
      <c r="H254" s="50"/>
      <c r="I254" s="158" t="s">
        <v>289</v>
      </c>
    </row>
    <row r="255" spans="1:11">
      <c r="A255" s="376" t="s">
        <v>290</v>
      </c>
      <c r="B255" s="376"/>
      <c r="C255" s="376"/>
      <c r="D255" s="376"/>
      <c r="E255" s="47">
        <f>VLOOKUP(2074,Base_Periodo1[[#All],[CONTA]:[VALOR BALANÇO]],10,FALSE)</f>
        <v>913381.23000001884</v>
      </c>
      <c r="F255" s="288">
        <f t="shared" ref="F255" si="102">IF(ISERROR(E255/$I255),0,E255/$I255)</f>
        <v>0.9986298350916003</v>
      </c>
      <c r="G255" s="47">
        <f>IF(ISERROR(VLOOKUP(6654,Base_Periodo1[[#All],[CONTA]:[VALOR BALANÇO]],10,FALSE)),0,VLOOKUP(6654,Base_Periodo1[[#All],[CONTA]:[VALOR BALANÇO]],10,FALSE))</f>
        <v>1253.2000000001863</v>
      </c>
      <c r="H255" s="288">
        <f t="shared" ref="H255" si="103">IF(ISERROR(G255/$I255),0,G255/$I255)</f>
        <v>1.3701649083996982E-3</v>
      </c>
      <c r="I255" s="125">
        <f>E255+G255</f>
        <v>914634.43000001903</v>
      </c>
    </row>
    <row r="256" spans="1:11">
      <c r="A256" s="376" t="s">
        <v>291</v>
      </c>
      <c r="B256" s="376"/>
      <c r="C256" s="376"/>
      <c r="D256" s="376"/>
      <c r="E256" s="47"/>
      <c r="F256" s="288">
        <f>IF(ISERROR(E256/$I256),0,E256/$I256)</f>
        <v>0</v>
      </c>
      <c r="G256" s="47"/>
      <c r="H256" s="288">
        <f>IF(ISERROR(G256/$I256),0,G256/$I256)</f>
        <v>0</v>
      </c>
      <c r="I256" s="125">
        <f>E256+G256</f>
        <v>0</v>
      </c>
    </row>
    <row r="257" spans="1:11">
      <c r="A257" s="376" t="s">
        <v>292</v>
      </c>
      <c r="B257" s="376"/>
      <c r="C257" s="376"/>
      <c r="D257" s="376"/>
      <c r="E257" s="47">
        <f>IF(ISERROR(-VLOOKUP(2076,Base_Periodo1[[#All],[CONTA]:[VALOR BALANÇO]],10,FALSE)),0,-VLOOKUP(2076,Base_Periodo1[[#All],[CONTA]:[VALOR BALANÇO]],10,FALSE))</f>
        <v>-3848.7599999997765</v>
      </c>
      <c r="F257" s="288">
        <f t="shared" ref="F257:F259" si="104">IF(ISERROR(E257/$I257),0,E257/$I257)</f>
        <v>1</v>
      </c>
      <c r="G257" s="47">
        <f>IF(ISERROR(-VLOOKUP(6656,Base_Periodo1[[#All],[CONTA]:[VALOR BALANÇO]],10,FALSE)),0,-VLOOKUP(6656,Base_Periodo1[[#All],[CONTA]:[VALOR BALANÇO]],10,FALSE))</f>
        <v>0</v>
      </c>
      <c r="H257" s="288">
        <f t="shared" ref="H257:H259" si="105">IF(ISERROR(G257/$I257),0,G257/$I257)</f>
        <v>0</v>
      </c>
      <c r="I257" s="125">
        <f>E257+G257</f>
        <v>-3848.7599999997765</v>
      </c>
    </row>
    <row r="258" spans="1:11">
      <c r="A258" s="376" t="s">
        <v>293</v>
      </c>
      <c r="B258" s="376"/>
      <c r="C258" s="376"/>
      <c r="D258" s="376"/>
      <c r="E258" s="47">
        <f>IF(ISERROR(-VLOOKUP(2079,Base_Periodo1[[#All],[CONTA]:[VALOR BALANÇO]],10,FALSE)),0,-VLOOKUP(2079,Base_Periodo1[[#All],[CONTA]:[VALOR BALANÇO]],10,FALSE))</f>
        <v>-623.38999999999965</v>
      </c>
      <c r="F258" s="288">
        <f t="shared" si="104"/>
        <v>1</v>
      </c>
      <c r="G258" s="47"/>
      <c r="H258" s="288">
        <f t="shared" si="105"/>
        <v>0</v>
      </c>
      <c r="I258" s="125">
        <f>E258+G258</f>
        <v>-623.38999999999965</v>
      </c>
    </row>
    <row r="259" spans="1:11">
      <c r="A259" s="376" t="s">
        <v>294</v>
      </c>
      <c r="B259" s="376"/>
      <c r="C259" s="376"/>
      <c r="D259" s="376"/>
      <c r="E259" s="47">
        <f>-VLOOKUP(2080,Base_Periodo1[[#All],[CONTA]:[VALOR BALANÇO]],10,FALSE)</f>
        <v>-807595.24000000115</v>
      </c>
      <c r="F259" s="288">
        <f t="shared" si="104"/>
        <v>0.99855479484888576</v>
      </c>
      <c r="G259" s="47">
        <f>IF(ISERROR(-VLOOKUP(6660,Base_Periodo1[[#All],[CONTA]:[VALOR BALANÇO]],10,FALSE)),0,-VLOOKUP(6660,Base_Periodo1[[#All],[CONTA]:[VALOR BALANÇO]],10,FALSE))</f>
        <v>-1168.8300000000454</v>
      </c>
      <c r="H259" s="288">
        <f t="shared" si="105"/>
        <v>1.4452051511141483E-3</v>
      </c>
      <c r="I259" s="125">
        <f>E259+G259</f>
        <v>-808764.07000000123</v>
      </c>
    </row>
    <row r="260" spans="1:11" ht="15">
      <c r="A260" s="353" t="s">
        <v>295</v>
      </c>
      <c r="B260" s="353"/>
      <c r="C260" s="353"/>
      <c r="D260" s="353"/>
      <c r="E260" s="160">
        <f>SUM(E255:E259)</f>
        <v>101313.8400000179</v>
      </c>
      <c r="F260" s="160"/>
      <c r="G260" s="160">
        <f>SUM(G255:G259)</f>
        <v>84.370000000140863</v>
      </c>
      <c r="H260" s="160"/>
      <c r="I260" s="161">
        <f>SUM(I255:I259)</f>
        <v>101398.21000001801</v>
      </c>
      <c r="J260" s="290">
        <f>-VLOOKUP(2073,Base_Periodo1[[#All],[CONTA]:[VALOR BALANÇO]],10,FALSE)+E260</f>
        <v>-1.1641532182693481E-10</v>
      </c>
      <c r="K260" s="290">
        <f>-VLOOKUP(6653,Base_Periodo1[[#All],[CONTA]:[VALOR BALANÇO]],10,FALSE)+G260</f>
        <v>0</v>
      </c>
    </row>
    <row r="261" spans="1:11" ht="15">
      <c r="A261" s="293" t="s">
        <v>4531</v>
      </c>
      <c r="B261" s="293"/>
      <c r="C261" s="293"/>
      <c r="D261" s="293"/>
      <c r="E261" s="300">
        <f>E260/(E255+E256+E257)</f>
        <v>0.11139111943965647</v>
      </c>
      <c r="F261" s="300"/>
      <c r="G261" s="300">
        <f>IF(ISERROR(G260/(G255+G256+G257)),0,G260/(G255+G256+G257))</f>
        <v>6.7323651452384559E-2</v>
      </c>
      <c r="H261" s="300"/>
      <c r="I261" s="300">
        <f>I260/(I255+I256+I257)</f>
        <v>0.1113304845914142</v>
      </c>
      <c r="J261" s="77"/>
      <c r="K261" s="77"/>
    </row>
    <row r="262" spans="1:11" ht="15">
      <c r="A262" s="293" t="s">
        <v>5573</v>
      </c>
      <c r="B262" s="293"/>
      <c r="C262" s="293"/>
      <c r="D262" s="293"/>
      <c r="E262" s="300">
        <f>E260/I260</f>
        <v>0.99916793402960369</v>
      </c>
      <c r="F262" s="300"/>
      <c r="G262" s="300">
        <f>G260/I260</f>
        <v>8.3206597039657678E-4</v>
      </c>
      <c r="H262" s="300"/>
      <c r="I262" s="300"/>
      <c r="J262" s="77"/>
      <c r="K262" s="77"/>
    </row>
    <row r="264" spans="1:11" ht="15">
      <c r="A264" s="353" t="s">
        <v>323</v>
      </c>
      <c r="B264" s="353">
        <v>63102.820000000109</v>
      </c>
      <c r="C264" s="353">
        <v>63102.820000000109</v>
      </c>
      <c r="D264" s="353">
        <v>63102.820000000109</v>
      </c>
      <c r="E264" s="50" t="s">
        <v>289</v>
      </c>
      <c r="F264" s="50"/>
      <c r="G264" s="50" t="s">
        <v>289</v>
      </c>
      <c r="H264" s="50"/>
      <c r="I264" s="158" t="s">
        <v>289</v>
      </c>
    </row>
    <row r="265" spans="1:11">
      <c r="A265" s="376" t="s">
        <v>290</v>
      </c>
      <c r="B265" s="376"/>
      <c r="C265" s="376"/>
      <c r="D265" s="376"/>
      <c r="E265" s="47">
        <f>VLOOKUP(2083,Base_Periodo1[[#All],[CONTA]:[VALOR BALANÇO]],10,FALSE)</f>
        <v>2880453.4699999779</v>
      </c>
      <c r="F265" s="288">
        <f t="shared" ref="F265" si="106">IF(ISERROR(E265/$I265),0,E265/$I265)</f>
        <v>0.93621680220480363</v>
      </c>
      <c r="G265" s="47">
        <f>VLOOKUP(6663,Base_Periodo1[[#All],[CONTA]:[VALOR BALANÇO]],10,FALSE)</f>
        <v>196241.44000000274</v>
      </c>
      <c r="H265" s="288">
        <f t="shared" ref="H265" si="107">IF(ISERROR(G265/$I265),0,G265/$I265)</f>
        <v>6.3783197795196395E-2</v>
      </c>
      <c r="I265" s="125">
        <f>E265+G265</f>
        <v>3076694.9099999806</v>
      </c>
    </row>
    <row r="266" spans="1:11">
      <c r="A266" s="376" t="s">
        <v>291</v>
      </c>
      <c r="B266" s="376"/>
      <c r="C266" s="376"/>
      <c r="D266" s="376"/>
      <c r="E266" s="47"/>
      <c r="F266" s="288">
        <f>IF(ISERROR(E266/$I266),0,E266/$I266)</f>
        <v>0</v>
      </c>
      <c r="G266" s="47"/>
      <c r="H266" s="288">
        <f>IF(ISERROR(G266/$I266),0,G266/$I266)</f>
        <v>0</v>
      </c>
      <c r="I266" s="125">
        <f>E266+G266</f>
        <v>0</v>
      </c>
    </row>
    <row r="267" spans="1:11">
      <c r="A267" s="376" t="s">
        <v>292</v>
      </c>
      <c r="B267" s="376"/>
      <c r="C267" s="376"/>
      <c r="D267" s="376"/>
      <c r="E267" s="47">
        <f>-VLOOKUP(2085,Base_Periodo1[[#All],[CONTA]:[VALOR BALANÇO]],10,FALSE)</f>
        <v>-66380.339999999225</v>
      </c>
      <c r="F267" s="288">
        <f t="shared" ref="F267:F269" si="108">IF(ISERROR(E267/$I267),0,E267/$I267)</f>
        <v>0.96628261569238938</v>
      </c>
      <c r="G267" s="47">
        <f>-VLOOKUP(6666,Base_Periodo1[[#All],[CONTA]:[VALOR BALANÇO]],10,FALSE)</f>
        <v>-2316.2700000000186</v>
      </c>
      <c r="H267" s="288">
        <f t="shared" ref="H267:H269" si="109">IF(ISERROR(G267/$I267),0,G267/$I267)</f>
        <v>3.3717384307610579E-2</v>
      </c>
      <c r="I267" s="125">
        <f>E267+G267</f>
        <v>-68696.609999999244</v>
      </c>
    </row>
    <row r="268" spans="1:11">
      <c r="A268" s="376" t="s">
        <v>293</v>
      </c>
      <c r="B268" s="376"/>
      <c r="C268" s="376"/>
      <c r="D268" s="376"/>
      <c r="E268" s="47">
        <f>-VLOOKUP(2087,Base_Periodo1[[#All],[CONTA]:[VALOR BALANÇO]],10,FALSE)</f>
        <v>-1599.6300000000972</v>
      </c>
      <c r="F268" s="288">
        <f t="shared" si="108"/>
        <v>0.98527292213311657</v>
      </c>
      <c r="G268" s="47">
        <f>-VLOOKUP(6668,Base_Periodo1[[#All],[CONTA]:[VALOR BALANÇO]],10,FALSE)</f>
        <v>-23.910000000001446</v>
      </c>
      <c r="H268" s="288">
        <f t="shared" si="109"/>
        <v>1.4727077866883473E-2</v>
      </c>
      <c r="I268" s="125">
        <f>E268+G268</f>
        <v>-1623.5400000000986</v>
      </c>
    </row>
    <row r="269" spans="1:11">
      <c r="A269" s="376" t="s">
        <v>294</v>
      </c>
      <c r="B269" s="376"/>
      <c r="C269" s="376"/>
      <c r="D269" s="376"/>
      <c r="E269" s="47">
        <f>-VLOOKUP(2089,Base_Periodo1[[#All],[CONTA]:[VALOR BALANÇO]],10,FALSE)</f>
        <v>-1501982.6299999983</v>
      </c>
      <c r="F269" s="288">
        <f t="shared" si="108"/>
        <v>0.93756850743122755</v>
      </c>
      <c r="G269" s="47">
        <f>-VLOOKUP(6670,Base_Periodo1[[#All],[CONTA]:[VALOR BALANÇO]],10,FALSE)</f>
        <v>-100015.1100000001</v>
      </c>
      <c r="H269" s="288">
        <f t="shared" si="109"/>
        <v>6.2431492568772416E-2</v>
      </c>
      <c r="I269" s="125">
        <f>E269+G269</f>
        <v>-1601997.7399999984</v>
      </c>
    </row>
    <row r="270" spans="1:11" ht="15">
      <c r="A270" s="353" t="s">
        <v>295</v>
      </c>
      <c r="B270" s="353"/>
      <c r="C270" s="353"/>
      <c r="D270" s="353"/>
      <c r="E270" s="160">
        <f>SUM(E265:E269)</f>
        <v>1310490.8699999803</v>
      </c>
      <c r="F270" s="160"/>
      <c r="G270" s="160">
        <f>SUM(G265:G269)</f>
        <v>93886.150000002614</v>
      </c>
      <c r="H270" s="160"/>
      <c r="I270" s="161">
        <f>SUM(I265:I269)</f>
        <v>1404377.0199999828</v>
      </c>
      <c r="J270" s="290">
        <f>-VLOOKUP(2082,Base_Periodo1[[#All],[CONTA]:[VALOR BALANÇO]],10,FALSE)+E270</f>
        <v>0</v>
      </c>
      <c r="K270" s="290">
        <f>-VLOOKUP(6662,Base_Periodo1[[#All],[CONTA]:[VALOR BALANÇO]],10,FALSE)+G270</f>
        <v>-152406.70000000004</v>
      </c>
    </row>
    <row r="271" spans="1:11" ht="15">
      <c r="A271" s="293" t="s">
        <v>4531</v>
      </c>
      <c r="B271" s="293"/>
      <c r="C271" s="293"/>
      <c r="D271" s="293"/>
      <c r="E271" s="300">
        <f>E270/(E265+E266+E267)</f>
        <v>0.46569183154099136</v>
      </c>
      <c r="F271" s="300"/>
      <c r="G271" s="300">
        <f>G270/(G265+G266+G267)</f>
        <v>0.484135968528486</v>
      </c>
      <c r="H271" s="300"/>
      <c r="I271" s="300">
        <f>I270/(I265+I266+I267)</f>
        <v>0.4668809221069013</v>
      </c>
      <c r="J271" s="77"/>
      <c r="K271" s="77"/>
    </row>
    <row r="272" spans="1:11" ht="15">
      <c r="A272" s="293" t="s">
        <v>5573</v>
      </c>
      <c r="B272" s="293"/>
      <c r="C272" s="293"/>
      <c r="D272" s="293"/>
      <c r="E272" s="300">
        <f>E270/I270</f>
        <v>0.93314747488533845</v>
      </c>
      <c r="F272" s="300"/>
      <c r="G272" s="300">
        <f>G270/I270</f>
        <v>6.6852525114661707E-2</v>
      </c>
      <c r="H272" s="300"/>
      <c r="I272" s="300"/>
      <c r="J272" s="77"/>
      <c r="K272" s="77"/>
    </row>
    <row r="274" spans="1:11" ht="15">
      <c r="A274" s="353" t="s">
        <v>5555</v>
      </c>
      <c r="B274" s="353">
        <v>63102.820000000109</v>
      </c>
      <c r="C274" s="353">
        <v>63102.820000000109</v>
      </c>
      <c r="D274" s="353">
        <v>63102.820000000109</v>
      </c>
      <c r="E274" s="50" t="s">
        <v>289</v>
      </c>
      <c r="F274" s="50"/>
      <c r="G274" s="50" t="s">
        <v>289</v>
      </c>
      <c r="H274" s="50"/>
      <c r="I274" s="158" t="s">
        <v>289</v>
      </c>
    </row>
    <row r="275" spans="1:11">
      <c r="A275" s="376" t="s">
        <v>290</v>
      </c>
      <c r="B275" s="376"/>
      <c r="C275" s="376"/>
      <c r="D275" s="376"/>
      <c r="E275" s="47">
        <f>VLOOKUP(2111,Base_Periodo1[[#All],[CONTA]:[VALOR BALANÇO]],10,FALSE)</f>
        <v>4469.3999999999978</v>
      </c>
      <c r="F275" s="288">
        <f t="shared" ref="F275" si="110">IF(ISERROR(E275/$I275),0,E275/$I275)</f>
        <v>1</v>
      </c>
      <c r="G275" s="47">
        <v>0</v>
      </c>
      <c r="H275" s="288">
        <f t="shared" ref="H275" si="111">IF(ISERROR(G275/$I275),0,G275/$I275)</f>
        <v>0</v>
      </c>
      <c r="I275" s="125">
        <f>E275+G275</f>
        <v>4469.3999999999978</v>
      </c>
    </row>
    <row r="276" spans="1:11">
      <c r="A276" s="376" t="s">
        <v>291</v>
      </c>
      <c r="B276" s="376"/>
      <c r="C276" s="376"/>
      <c r="D276" s="376"/>
      <c r="E276" s="47"/>
      <c r="F276" s="288">
        <f>IF(ISERROR(E276/$I276),0,E276/$I276)</f>
        <v>0</v>
      </c>
      <c r="G276" s="47"/>
      <c r="H276" s="288">
        <f>IF(ISERROR(G276/$I276),0,G276/$I276)</f>
        <v>0</v>
      </c>
      <c r="I276" s="125">
        <f>E276+G276</f>
        <v>0</v>
      </c>
    </row>
    <row r="277" spans="1:11">
      <c r="A277" s="376" t="s">
        <v>292</v>
      </c>
      <c r="B277" s="376"/>
      <c r="C277" s="376"/>
      <c r="D277" s="376"/>
      <c r="E277" s="47">
        <f>IF(ISERROR(-VLOOKUP(2115,Base_Periodo1[[#All],[CONTA]:[VALOR BALANÇO]],10,FALSE)),0,-VLOOKUP(2115,Base_Periodo1[[#All],[CONTA]:[VALOR BALANÇO]],10,FALSE))</f>
        <v>0</v>
      </c>
      <c r="F277" s="288">
        <f t="shared" ref="F277:F279" si="112">IF(ISERROR(E277/$I277),0,E277/$I277)</f>
        <v>0</v>
      </c>
      <c r="G277" s="47">
        <v>0</v>
      </c>
      <c r="H277" s="288">
        <f t="shared" ref="H277:H279" si="113">IF(ISERROR(G277/$I277),0,G277/$I277)</f>
        <v>0</v>
      </c>
      <c r="I277" s="125">
        <f>E277+G277</f>
        <v>0</v>
      </c>
    </row>
    <row r="278" spans="1:11">
      <c r="A278" s="376" t="s">
        <v>293</v>
      </c>
      <c r="B278" s="376"/>
      <c r="C278" s="376"/>
      <c r="D278" s="376"/>
      <c r="E278" s="47">
        <v>0</v>
      </c>
      <c r="F278" s="288">
        <f t="shared" si="112"/>
        <v>0</v>
      </c>
      <c r="G278" s="47"/>
      <c r="H278" s="288">
        <f t="shared" si="113"/>
        <v>0</v>
      </c>
      <c r="I278" s="125">
        <f>E278+G278</f>
        <v>0</v>
      </c>
    </row>
    <row r="279" spans="1:11">
      <c r="A279" s="376" t="s">
        <v>294</v>
      </c>
      <c r="B279" s="376"/>
      <c r="C279" s="376"/>
      <c r="D279" s="376"/>
      <c r="E279" s="47">
        <f>-VLOOKUP(2119,Base_Periodo1[[#All],[CONTA]:[VALOR BALANÇO]],10,FALSE)</f>
        <v>-2933.239999999998</v>
      </c>
      <c r="F279" s="288">
        <f t="shared" si="112"/>
        <v>1</v>
      </c>
      <c r="G279" s="47">
        <v>0</v>
      </c>
      <c r="H279" s="288">
        <f t="shared" si="113"/>
        <v>0</v>
      </c>
      <c r="I279" s="125">
        <f>E279+G279</f>
        <v>-2933.239999999998</v>
      </c>
    </row>
    <row r="280" spans="1:11" ht="15">
      <c r="A280" s="353" t="s">
        <v>295</v>
      </c>
      <c r="B280" s="353"/>
      <c r="C280" s="353"/>
      <c r="D280" s="353"/>
      <c r="E280" s="160">
        <f>SUM(E275:E279)</f>
        <v>1536.1599999999999</v>
      </c>
      <c r="F280" s="160"/>
      <c r="G280" s="160">
        <f>SUM(G275:G279)</f>
        <v>0</v>
      </c>
      <c r="H280" s="160"/>
      <c r="I280" s="161">
        <f>SUM(I275:I279)</f>
        <v>1536.1599999999999</v>
      </c>
      <c r="J280" s="290">
        <f>VLOOKUP(2110,Base_Periodo1[[#All],[CONTA]:[VALOR BALANÇO]],10,FALSE)+E280</f>
        <v>3072.3199999999997</v>
      </c>
      <c r="K280" s="290"/>
    </row>
    <row r="281" spans="1:11" ht="15">
      <c r="A281" s="293" t="s">
        <v>4531</v>
      </c>
      <c r="B281" s="293"/>
      <c r="C281" s="293"/>
      <c r="D281" s="293"/>
      <c r="E281" s="300">
        <f>E280/(E275+E276+E277)</f>
        <v>0.34370609030294907</v>
      </c>
      <c r="F281" s="300"/>
      <c r="G281" s="300">
        <f>IF(ISERROR(G280/(G275+G276+G277)),0,G280/(G275+G276+G277))</f>
        <v>0</v>
      </c>
      <c r="H281" s="300"/>
      <c r="I281" s="300">
        <f>I280/(I275+I276+I277)</f>
        <v>0.34370609030294907</v>
      </c>
      <c r="J281" s="77"/>
      <c r="K281" s="77"/>
    </row>
    <row r="282" spans="1:11" ht="15">
      <c r="A282" s="293" t="s">
        <v>5573</v>
      </c>
      <c r="B282" s="293"/>
      <c r="C282" s="293"/>
      <c r="D282" s="293"/>
      <c r="E282" s="300">
        <f>E280/I280</f>
        <v>1</v>
      </c>
      <c r="F282" s="300"/>
      <c r="G282" s="300">
        <f>G280/I280</f>
        <v>0</v>
      </c>
      <c r="H282" s="300"/>
      <c r="I282" s="300"/>
      <c r="J282" s="77"/>
      <c r="K282" s="77"/>
    </row>
    <row r="284" spans="1:11" ht="15">
      <c r="A284" s="339" t="s">
        <v>324</v>
      </c>
      <c r="B284" s="339"/>
      <c r="C284" s="339"/>
      <c r="D284" s="339"/>
      <c r="E284" s="339"/>
      <c r="F284" s="339"/>
      <c r="G284" s="339"/>
      <c r="H284" s="339"/>
      <c r="I284" s="339"/>
    </row>
    <row r="285" spans="1:11" ht="15">
      <c r="A285" s="353" t="s">
        <v>5568</v>
      </c>
      <c r="B285" s="353"/>
      <c r="C285" s="353"/>
      <c r="D285" s="353"/>
      <c r="E285" s="50" t="s">
        <v>289</v>
      </c>
      <c r="F285" s="50"/>
      <c r="G285" s="50" t="s">
        <v>289</v>
      </c>
      <c r="H285" s="50"/>
      <c r="I285" s="158" t="s">
        <v>289</v>
      </c>
    </row>
    <row r="286" spans="1:11">
      <c r="A286" s="376" t="s">
        <v>290</v>
      </c>
      <c r="B286" s="376"/>
      <c r="C286" s="376"/>
      <c r="D286" s="376"/>
      <c r="E286" s="47">
        <v>0</v>
      </c>
      <c r="F286" s="288">
        <f t="shared" ref="F286" si="114">IF(ISERROR(E286/$I286),0,E286/$I286)</f>
        <v>0</v>
      </c>
      <c r="G286" s="47"/>
      <c r="H286" s="288">
        <f t="shared" ref="H286" si="115">IF(ISERROR(G286/$I286),0,G286/$I286)</f>
        <v>0</v>
      </c>
      <c r="I286" s="125">
        <f>E286+G286</f>
        <v>0</v>
      </c>
    </row>
    <row r="287" spans="1:11">
      <c r="A287" s="376" t="s">
        <v>291</v>
      </c>
      <c r="B287" s="376"/>
      <c r="C287" s="376"/>
      <c r="D287" s="376"/>
      <c r="E287" s="47"/>
      <c r="F287" s="288">
        <f>IF(ISERROR(E287/$I287),0,E287/$I287)</f>
        <v>0</v>
      </c>
      <c r="G287" s="47"/>
      <c r="H287" s="288">
        <f>IF(ISERROR(G287/$I287),0,G287/$I287)</f>
        <v>0</v>
      </c>
      <c r="I287" s="125"/>
    </row>
    <row r="288" spans="1:11">
      <c r="A288" s="376" t="s">
        <v>292</v>
      </c>
      <c r="B288" s="376"/>
      <c r="C288" s="376"/>
      <c r="D288" s="376"/>
      <c r="E288" s="47">
        <v>0</v>
      </c>
      <c r="F288" s="288">
        <f t="shared" ref="F288:F290" si="116">IF(ISERROR(E288/$I288),0,E288/$I288)</f>
        <v>0</v>
      </c>
      <c r="G288" s="47"/>
      <c r="H288" s="288">
        <f t="shared" ref="H288:H290" si="117">IF(ISERROR(G288/$I288),0,G288/$I288)</f>
        <v>0</v>
      </c>
      <c r="I288" s="125">
        <f>E288+G288</f>
        <v>0</v>
      </c>
    </row>
    <row r="289" spans="1:13">
      <c r="A289" s="376" t="s">
        <v>293</v>
      </c>
      <c r="B289" s="376"/>
      <c r="C289" s="376"/>
      <c r="D289" s="376"/>
      <c r="E289" s="47">
        <v>0</v>
      </c>
      <c r="F289" s="288">
        <f t="shared" si="116"/>
        <v>0</v>
      </c>
      <c r="G289" s="47"/>
      <c r="H289" s="288">
        <f t="shared" si="117"/>
        <v>0</v>
      </c>
      <c r="I289" s="125">
        <f>E289+G289</f>
        <v>0</v>
      </c>
    </row>
    <row r="290" spans="1:13">
      <c r="A290" s="376" t="s">
        <v>294</v>
      </c>
      <c r="B290" s="376"/>
      <c r="C290" s="376"/>
      <c r="D290" s="376"/>
      <c r="E290" s="47">
        <v>0</v>
      </c>
      <c r="F290" s="288">
        <f t="shared" si="116"/>
        <v>0</v>
      </c>
      <c r="G290" s="47">
        <f>IF(ISERROR(-VLOOKUP(6712,Base_Periodo1[[#All],[CONTA]:[VALOR BALANÇO]],10,FALSE)),0,-VLOOKUP(6712,Base_Periodo1[[#All],[CONTA]:[VALOR BALANÇO]],10,FALSE))</f>
        <v>0</v>
      </c>
      <c r="H290" s="288">
        <f t="shared" si="117"/>
        <v>0</v>
      </c>
      <c r="I290" s="125">
        <f>E290+G290</f>
        <v>0</v>
      </c>
    </row>
    <row r="291" spans="1:13" ht="15">
      <c r="A291" s="353" t="s">
        <v>295</v>
      </c>
      <c r="B291" s="353"/>
      <c r="C291" s="353"/>
      <c r="D291" s="353"/>
      <c r="E291" s="160">
        <f>SUM(E286:E290)</f>
        <v>0</v>
      </c>
      <c r="F291" s="160"/>
      <c r="G291" s="160">
        <f>SUM(G286:G290)</f>
        <v>0</v>
      </c>
      <c r="H291" s="160"/>
      <c r="I291" s="161">
        <f>SUM(I286:I290)</f>
        <v>0</v>
      </c>
      <c r="K291" s="290" t="e">
        <f>VLOOKUP(6708,Base_Periodo1[[#All],[CONTA]:[VALOR BALANÇO]],10,FALSE)+G291</f>
        <v>#N/A</v>
      </c>
    </row>
    <row r="292" spans="1:13" ht="15">
      <c r="A292" s="293" t="s">
        <v>4531</v>
      </c>
      <c r="B292" s="293"/>
      <c r="C292" s="293"/>
      <c r="D292" s="293"/>
      <c r="E292" s="300">
        <f>IF(ISERROR(E291/(E286+E287+E288)),0,E291/(E286+E287+E288))</f>
        <v>0</v>
      </c>
      <c r="F292" s="300"/>
      <c r="G292" s="300">
        <f>IF(ISERROR(G291/(G286+G287+G288)),0,G291/(G286+G287+G288))</f>
        <v>0</v>
      </c>
      <c r="H292" s="300"/>
      <c r="I292" s="300">
        <f>IF(ISERROR(I291/(I286+I287+I288)),0,I291/(I286+I287+I288))</f>
        <v>0</v>
      </c>
      <c r="J292" s="77"/>
      <c r="K292" s="77"/>
    </row>
    <row r="293" spans="1:13" ht="15">
      <c r="A293" s="293" t="s">
        <v>5573</v>
      </c>
      <c r="B293" s="293"/>
      <c r="C293" s="293"/>
      <c r="D293" s="293"/>
      <c r="E293" s="300">
        <f>IF(ISERROR(E291/(E286+E287+E288)),0,E291/(E286+E287+E288))</f>
        <v>0</v>
      </c>
      <c r="F293" s="300"/>
      <c r="G293" s="300">
        <f>IF(ISERROR(G291/I291),0,G291/I291)</f>
        <v>0</v>
      </c>
      <c r="H293" s="300"/>
      <c r="I293" s="300"/>
      <c r="J293" s="77"/>
      <c r="K293" s="77"/>
    </row>
    <row r="294" spans="1:13">
      <c r="A294" s="352"/>
      <c r="B294" s="352"/>
      <c r="C294" s="352"/>
      <c r="D294" s="352"/>
      <c r="E294" s="352"/>
      <c r="F294" s="352"/>
      <c r="G294" s="352"/>
      <c r="H294" s="352"/>
      <c r="I294" s="352"/>
    </row>
    <row r="295" spans="1:13" ht="15">
      <c r="A295" s="353" t="s">
        <v>5561</v>
      </c>
      <c r="B295" s="353"/>
      <c r="C295" s="353"/>
      <c r="D295" s="353"/>
      <c r="E295" s="50" t="s">
        <v>289</v>
      </c>
      <c r="F295" s="50"/>
      <c r="G295" s="50" t="s">
        <v>289</v>
      </c>
      <c r="H295" s="50"/>
      <c r="I295" s="158" t="s">
        <v>289</v>
      </c>
    </row>
    <row r="296" spans="1:13">
      <c r="A296" s="376" t="s">
        <v>290</v>
      </c>
      <c r="B296" s="376"/>
      <c r="C296" s="376"/>
      <c r="D296" s="376"/>
      <c r="E296" s="47">
        <f>IF(ISERROR(VLOOKUP(6000,Base_Periodo1[[#All],[CONTA]:[VALOR BALANÇO]],10,FALSE)),0,VLOOKUP(6000,Base_Periodo1[[#All],[CONTA]:[VALOR BALANÇO]],10,FALSE))</f>
        <v>295.11999999999898</v>
      </c>
      <c r="F296" s="288">
        <f t="shared" ref="F296" si="118">IF(ISERROR(E296/$I296),0,E296/$I296)</f>
        <v>1</v>
      </c>
      <c r="G296" s="47">
        <f>IF(ISERROR(VLOOKUP(6715,Base_Periodo1[[#All],[CONTA]:[VALOR BALANÇO]],10,FALSE)),0,VLOOKUP(6715,Base_Periodo1[[#All],[CONTA]:[VALOR BALANÇO]],10,FALSE))</f>
        <v>0</v>
      </c>
      <c r="H296" s="288">
        <f t="shared" ref="H296" si="119">IF(ISERROR(G296/$I296),0,G296/$I296)</f>
        <v>0</v>
      </c>
      <c r="I296" s="125">
        <f>E296+G296</f>
        <v>295.11999999999898</v>
      </c>
    </row>
    <row r="297" spans="1:13">
      <c r="A297" s="376" t="s">
        <v>291</v>
      </c>
      <c r="B297" s="376"/>
      <c r="C297" s="376"/>
      <c r="D297" s="376"/>
      <c r="E297" s="47"/>
      <c r="F297" s="288">
        <f>IF(ISERROR(E297/$I297),0,E297/$I297)</f>
        <v>0</v>
      </c>
      <c r="G297" s="47"/>
      <c r="H297" s="288">
        <f>IF(ISERROR(G297/$I297),0,G297/$I297)</f>
        <v>0</v>
      </c>
      <c r="I297" s="125"/>
    </row>
    <row r="298" spans="1:13">
      <c r="A298" s="376" t="s">
        <v>292</v>
      </c>
      <c r="B298" s="376"/>
      <c r="C298" s="376"/>
      <c r="D298" s="376"/>
      <c r="E298" s="47">
        <f>IF(ISERROR(-VLOOKUP(6002,Base_Periodo1[[#All],[CONTA]:[VALOR BALANÇO]],10,FALSE)),0,-VLOOKUP(6002,Base_Periodo1[[#All],[CONTA]:[VALOR BALANÇO]],10,FALSE))</f>
        <v>0</v>
      </c>
      <c r="F298" s="288">
        <f t="shared" ref="F298:F300" si="120">IF(ISERROR(E298/$I298),0,E298/$I298)</f>
        <v>0</v>
      </c>
      <c r="G298" s="47"/>
      <c r="H298" s="288">
        <f t="shared" ref="H298:H300" si="121">IF(ISERROR(G298/$I298),0,G298/$I298)</f>
        <v>0</v>
      </c>
      <c r="I298" s="125">
        <f>E298+G298</f>
        <v>0</v>
      </c>
    </row>
    <row r="299" spans="1:13" ht="15">
      <c r="A299" s="376" t="s">
        <v>293</v>
      </c>
      <c r="B299" s="376"/>
      <c r="C299" s="376"/>
      <c r="D299" s="376"/>
      <c r="E299" s="47">
        <f>IF(ISERROR(-VLOOKUP(6004,Base_Periodo1[[#All],[CONTA]:[VALOR BALANÇO]],10,FALSE)),0,-VLOOKUP(6004,Base_Periodo1[[#All],[CONTA]:[VALOR BALANÇO]],10,FALSE))</f>
        <v>-16.529999999999973</v>
      </c>
      <c r="F299" s="288">
        <f t="shared" si="120"/>
        <v>1</v>
      </c>
      <c r="G299" s="47">
        <f>IF(ISERROR(-VLOOKUP(6719,Base_Periodo1[[#All],[CONTA]:[VALOR BALANÇO]],10,FALSE)),0,-VLOOKUP(6719,Base_Periodo1[[#All],[CONTA]:[VALOR BALANÇO]],10,FALSE))</f>
        <v>0</v>
      </c>
      <c r="H299" s="288">
        <f t="shared" si="121"/>
        <v>0</v>
      </c>
      <c r="I299" s="125">
        <f>E299+G299</f>
        <v>-16.529999999999973</v>
      </c>
      <c r="L299"/>
      <c r="M299"/>
    </row>
    <row r="300" spans="1:13" ht="15">
      <c r="A300" s="376" t="s">
        <v>294</v>
      </c>
      <c r="B300" s="376"/>
      <c r="C300" s="376"/>
      <c r="D300" s="376"/>
      <c r="E300" s="47">
        <f>IF(ISERROR(-VLOOKUP(6006,Base_Periodo1[[#All],[CONTA]:[VALOR BALANÇO]],10,FALSE)),0,-VLOOKUP(6006,Base_Periodo1[[#All],[CONTA]:[VALOR BALANÇO]],10,FALSE))</f>
        <v>-80.789999999999054</v>
      </c>
      <c r="F300" s="288">
        <f t="shared" si="120"/>
        <v>1</v>
      </c>
      <c r="G300" s="47">
        <f>IF(ISERROR(-VLOOKUP(6722,Base_Periodo1[[#All],[CONTA]:[VALOR BALANÇO]],10,FALSE)),0,-VLOOKUP(6722,Base_Periodo1[[#All],[CONTA]:[VALOR BALANÇO]],10,FALSE))</f>
        <v>0</v>
      </c>
      <c r="H300" s="288">
        <f t="shared" si="121"/>
        <v>0</v>
      </c>
      <c r="I300" s="125">
        <f>E300+G300</f>
        <v>-80.789999999999054</v>
      </c>
      <c r="L300"/>
      <c r="M300"/>
    </row>
    <row r="301" spans="1:13" ht="15">
      <c r="A301" s="353" t="s">
        <v>295</v>
      </c>
      <c r="B301" s="353"/>
      <c r="C301" s="353"/>
      <c r="D301" s="353"/>
      <c r="E301" s="160">
        <f>SUM(E296:E300)</f>
        <v>197.79999999999995</v>
      </c>
      <c r="F301" s="160"/>
      <c r="G301" s="160">
        <f>SUM(G296:G300)</f>
        <v>0</v>
      </c>
      <c r="H301" s="160"/>
      <c r="I301" s="161">
        <f>SUM(I296:I300)</f>
        <v>197.79999999999995</v>
      </c>
      <c r="J301" s="290">
        <f>VLOOKUP(2143,Base_Periodo1[[#All],[CONTA]:[VALOR BALANÇO]],10,FALSE)+E301</f>
        <v>395.59999999999991</v>
      </c>
      <c r="K301" s="290" t="e">
        <f>VLOOKUP(6714,Base_Periodo1[[#All],[CONTA]:[VALOR BALANÇO]],10,FALSE)+G301</f>
        <v>#N/A</v>
      </c>
      <c r="L301"/>
      <c r="M301"/>
    </row>
    <row r="302" spans="1:13" ht="15">
      <c r="A302" s="293" t="s">
        <v>4531</v>
      </c>
      <c r="B302" s="293"/>
      <c r="C302" s="293"/>
      <c r="D302" s="293"/>
      <c r="E302" s="300">
        <f>IF(ISERROR(E301/(E296+E297+E298)),0,E301/(E296+E297+E298))</f>
        <v>0.67023583626999406</v>
      </c>
      <c r="F302" s="300"/>
      <c r="G302" s="300">
        <f>IF(ISERROR(G301/(G296+G297+G298)),0,G301/(G296+G297+G298))</f>
        <v>0</v>
      </c>
      <c r="H302" s="300"/>
      <c r="I302" s="300">
        <f>IF(ISERROR(I301/(I296+I297+I298)),0,I301/(I296+I297+I298))</f>
        <v>0.67023583626999406</v>
      </c>
      <c r="J302" s="77"/>
      <c r="K302" s="77"/>
      <c r="L302"/>
      <c r="M302"/>
    </row>
    <row r="303" spans="1:13" ht="15">
      <c r="A303" s="293" t="s">
        <v>5573</v>
      </c>
      <c r="B303" s="293"/>
      <c r="C303" s="293"/>
      <c r="D303" s="293"/>
      <c r="E303" s="300">
        <f>IF(ISERROR(E301/I301),0,E301/I301)</f>
        <v>1</v>
      </c>
      <c r="F303" s="300"/>
      <c r="G303" s="300">
        <f>IF(ISERROR(G301/I301),0,G301/I301)</f>
        <v>0</v>
      </c>
      <c r="H303" s="300"/>
      <c r="I303" s="300"/>
      <c r="J303" s="77"/>
      <c r="K303" s="77"/>
    </row>
    <row r="304" spans="1:13">
      <c r="A304" s="352"/>
      <c r="B304" s="352"/>
      <c r="C304" s="352"/>
      <c r="D304" s="352"/>
      <c r="E304" s="352"/>
      <c r="F304" s="352"/>
      <c r="G304" s="352"/>
      <c r="H304" s="352"/>
      <c r="I304" s="352"/>
    </row>
    <row r="305" spans="1:11" ht="15">
      <c r="A305" s="353" t="s">
        <v>325</v>
      </c>
      <c r="B305" s="353"/>
      <c r="C305" s="353"/>
      <c r="D305" s="353"/>
      <c r="E305" s="50" t="s">
        <v>289</v>
      </c>
      <c r="F305" s="50"/>
      <c r="G305" s="50" t="s">
        <v>289</v>
      </c>
      <c r="H305" s="50"/>
      <c r="I305" s="158" t="s">
        <v>289</v>
      </c>
    </row>
    <row r="306" spans="1:11">
      <c r="A306" s="376" t="s">
        <v>290</v>
      </c>
      <c r="B306" s="376"/>
      <c r="C306" s="376"/>
      <c r="D306" s="376"/>
      <c r="E306" s="47">
        <f>VLOOKUP(6009,Base_Periodo1[[#All],[CONTA]:[VALOR BALANÇO]],10,FALSE)</f>
        <v>5486.8500000000495</v>
      </c>
      <c r="F306" s="288">
        <f t="shared" ref="F306" si="122">IF(ISERROR(E306/$I306),0,E306/$I306)</f>
        <v>0.98918304983909777</v>
      </c>
      <c r="G306" s="47">
        <f>IF(ISERROR(VLOOKUP(6724,Base_Periodo1[[#All],[CONTA]:[VALOR BALANÇO]],10,FALSE)),0,VLOOKUP(6724,Base_Periodo1[[#All],[CONTA]:[VALOR BALANÇO]],10,FALSE))</f>
        <v>60.000000000000909</v>
      </c>
      <c r="H306" s="288">
        <f t="shared" ref="H306" si="123">IF(ISERROR(G306/$I306),0,G306/$I306)</f>
        <v>1.08169501609022E-2</v>
      </c>
      <c r="I306" s="125">
        <f>E306+G306</f>
        <v>5546.8500000000504</v>
      </c>
    </row>
    <row r="307" spans="1:11">
      <c r="A307" s="376" t="s">
        <v>291</v>
      </c>
      <c r="B307" s="376"/>
      <c r="C307" s="376"/>
      <c r="D307" s="376"/>
      <c r="E307" s="47"/>
      <c r="F307" s="288">
        <f>IF(ISERROR(E307/$I307),0,E307/$I307)</f>
        <v>0</v>
      </c>
      <c r="G307" s="47"/>
      <c r="H307" s="288">
        <f>IF(ISERROR(G307/$I307),0,G307/$I307)</f>
        <v>0</v>
      </c>
      <c r="I307" s="125"/>
    </row>
    <row r="308" spans="1:11">
      <c r="A308" s="376" t="s">
        <v>292</v>
      </c>
      <c r="B308" s="376"/>
      <c r="C308" s="376"/>
      <c r="D308" s="376"/>
      <c r="E308" s="47">
        <f>IF(ISERROR(-VLOOKUP(6012,Base_Periodo1[[#All],[CONTA]:[VALOR BALANÇO]],10,FALSE)),0,-VLOOKUP(6012,Base_Periodo1[[#All],[CONTA]:[VALOR BALANÇO]],10,FALSE))</f>
        <v>0</v>
      </c>
      <c r="F308" s="288">
        <f t="shared" ref="F308:F310" si="124">IF(ISERROR(E308/$I308),0,E308/$I308)</f>
        <v>0</v>
      </c>
      <c r="G308" s="47">
        <f>-VLOOKUP(6728,Base_Periodo1[[#All],[CONTA]:[VALOR BALANÇO]],10,FALSE)</f>
        <v>-16.160000000000196</v>
      </c>
      <c r="H308" s="288">
        <f t="shared" ref="H308:H310" si="125">IF(ISERROR(G308/$I308),0,G308/$I308)</f>
        <v>1</v>
      </c>
      <c r="I308" s="125">
        <f>E308+G308</f>
        <v>-16.160000000000196</v>
      </c>
    </row>
    <row r="309" spans="1:11">
      <c r="A309" s="376" t="s">
        <v>293</v>
      </c>
      <c r="B309" s="376"/>
      <c r="C309" s="376"/>
      <c r="D309" s="376"/>
      <c r="E309" s="47">
        <f>-VLOOKUP(6013,Base_Periodo1[[#All],[CONTA]:[VALOR BALANÇO]],10,FALSE)</f>
        <v>-984.08999999999651</v>
      </c>
      <c r="F309" s="288">
        <f t="shared" si="124"/>
        <v>1</v>
      </c>
      <c r="G309" s="47"/>
      <c r="H309" s="288">
        <f t="shared" si="125"/>
        <v>0</v>
      </c>
      <c r="I309" s="125">
        <f>E309+G309</f>
        <v>-984.08999999999651</v>
      </c>
    </row>
    <row r="310" spans="1:11">
      <c r="A310" s="376" t="s">
        <v>294</v>
      </c>
      <c r="B310" s="376"/>
      <c r="C310" s="376"/>
      <c r="D310" s="376"/>
      <c r="E310" s="47">
        <f>-VLOOKUP(6015,Base_Periodo1[[#All],[CONTA]:[VALOR BALANÇO]],10,FALSE)</f>
        <v>-4374.6499999999942</v>
      </c>
      <c r="F310" s="288">
        <f t="shared" si="124"/>
        <v>0.99324539097266373</v>
      </c>
      <c r="G310" s="47">
        <f>IF(ISERROR(-VLOOKUP(6730,Base_Periodo1[[#All],[CONTA]:[VALOR BALANÇO]],10,FALSE)),0,-VLOOKUP(6730,Base_Periodo1[[#All],[CONTA]:[VALOR BALANÇO]],10,FALSE))</f>
        <v>-29.75</v>
      </c>
      <c r="H310" s="288">
        <f t="shared" si="125"/>
        <v>6.7546090273363094E-3</v>
      </c>
      <c r="I310" s="125">
        <f>E310+G310</f>
        <v>-4404.3999999999942</v>
      </c>
    </row>
    <row r="311" spans="1:11" ht="15">
      <c r="A311" s="353" t="s">
        <v>295</v>
      </c>
      <c r="B311" s="353"/>
      <c r="C311" s="353"/>
      <c r="D311" s="353"/>
      <c r="E311" s="160">
        <f>SUM(E306:E310)</f>
        <v>128.11000000005879</v>
      </c>
      <c r="F311" s="160"/>
      <c r="G311" s="160">
        <f>SUM(G306:G310)</f>
        <v>14.090000000000714</v>
      </c>
      <c r="H311" s="160"/>
      <c r="I311" s="161">
        <f>SUM(I306:I310)</f>
        <v>142.20000000005984</v>
      </c>
      <c r="J311" s="290">
        <f>VLOOKUP(6008,Base_Periodo1[[#All],[CONTA]:[VALOR BALANÇO]],10,FALSE)-E311</f>
        <v>-2.2737367544323206E-13</v>
      </c>
      <c r="K311" s="290">
        <f>-VLOOKUP(6723,Base_Periodo1[[#All],[CONTA]:[VALOR BALANÇO]],10,FALSE)+G311</f>
        <v>0</v>
      </c>
    </row>
    <row r="312" spans="1:11" ht="15">
      <c r="A312" s="293" t="s">
        <v>4531</v>
      </c>
      <c r="B312" s="293"/>
      <c r="C312" s="293"/>
      <c r="D312" s="293"/>
      <c r="E312" s="300">
        <f>E311/(E306+E307+E308)</f>
        <v>2.3348551536866807E-2</v>
      </c>
      <c r="F312" s="300"/>
      <c r="G312" s="300">
        <f>G311/(G306+G307+G308)</f>
        <v>0.32139598540147091</v>
      </c>
      <c r="H312" s="300"/>
      <c r="I312" s="300">
        <f>I311/(I306+I307+I308)</f>
        <v>2.5711077641317547E-2</v>
      </c>
      <c r="J312" s="77"/>
      <c r="K312" s="77"/>
    </row>
    <row r="313" spans="1:11" ht="15">
      <c r="A313" s="293" t="s">
        <v>5573</v>
      </c>
      <c r="B313" s="293"/>
      <c r="C313" s="293"/>
      <c r="D313" s="293"/>
      <c r="E313" s="300">
        <f>E311/I311</f>
        <v>0.90091420534461941</v>
      </c>
      <c r="F313" s="300"/>
      <c r="G313" s="300">
        <f>G311/I311</f>
        <v>9.9085794655378229E-2</v>
      </c>
      <c r="H313" s="300"/>
      <c r="I313" s="300"/>
      <c r="J313" s="77"/>
      <c r="K313" s="77"/>
    </row>
    <row r="314" spans="1:11">
      <c r="A314" s="352"/>
      <c r="B314" s="352"/>
      <c r="C314" s="352"/>
      <c r="D314" s="352"/>
      <c r="E314" s="352"/>
      <c r="F314" s="352"/>
      <c r="G314" s="352"/>
      <c r="H314" s="352"/>
      <c r="I314" s="352"/>
    </row>
    <row r="315" spans="1:11" ht="15">
      <c r="A315" s="353" t="s">
        <v>326</v>
      </c>
      <c r="B315" s="353"/>
      <c r="C315" s="353"/>
      <c r="D315" s="353"/>
      <c r="E315" s="50" t="s">
        <v>289</v>
      </c>
      <c r="F315" s="50"/>
      <c r="G315" s="50" t="s">
        <v>289</v>
      </c>
      <c r="H315" s="50"/>
      <c r="I315" s="158" t="s">
        <v>289</v>
      </c>
    </row>
    <row r="316" spans="1:11">
      <c r="A316" s="376" t="s">
        <v>290</v>
      </c>
      <c r="B316" s="376"/>
      <c r="C316" s="376"/>
      <c r="D316" s="376"/>
      <c r="E316" s="47">
        <f>VLOOKUP(6018,Base_Periodo1[[#All],[CONTA]:[VALOR BALANÇO]],10,FALSE)</f>
        <v>273.80000000000109</v>
      </c>
      <c r="F316" s="288">
        <f t="shared" ref="F316" si="126">IF(ISERROR(E316/$I316),0,E316/$I316)</f>
        <v>1</v>
      </c>
      <c r="G316" s="47">
        <v>0</v>
      </c>
      <c r="H316" s="288">
        <f t="shared" ref="H316" si="127">IF(ISERROR(G316/$I316),0,G316/$I316)</f>
        <v>0</v>
      </c>
      <c r="I316" s="125">
        <f>E316+G316</f>
        <v>273.80000000000109</v>
      </c>
    </row>
    <row r="317" spans="1:11">
      <c r="A317" s="376" t="s">
        <v>291</v>
      </c>
      <c r="B317" s="376"/>
      <c r="C317" s="376"/>
      <c r="D317" s="376"/>
      <c r="E317" s="47"/>
      <c r="F317" s="288">
        <f>IF(ISERROR(E317/$I317),0,E317/$I317)</f>
        <v>0</v>
      </c>
      <c r="G317" s="47"/>
      <c r="H317" s="288">
        <f>IF(ISERROR(G317/$I317),0,G317/$I317)</f>
        <v>0</v>
      </c>
      <c r="I317" s="125">
        <f>E317+G317</f>
        <v>0</v>
      </c>
    </row>
    <row r="318" spans="1:11">
      <c r="A318" s="376" t="s">
        <v>292</v>
      </c>
      <c r="B318" s="376"/>
      <c r="C318" s="376"/>
      <c r="D318" s="376"/>
      <c r="E318" s="47"/>
      <c r="F318" s="288">
        <f t="shared" ref="F318:F320" si="128">IF(ISERROR(E318/$I318),0,E318/$I318)</f>
        <v>0</v>
      </c>
      <c r="G318" s="47">
        <v>0</v>
      </c>
      <c r="H318" s="288">
        <f t="shared" ref="H318:H320" si="129">IF(ISERROR(G318/$I318),0,G318/$I318)</f>
        <v>0</v>
      </c>
      <c r="I318" s="125">
        <f>E318+G318</f>
        <v>0</v>
      </c>
    </row>
    <row r="319" spans="1:11">
      <c r="A319" s="376" t="s">
        <v>293</v>
      </c>
      <c r="B319" s="376"/>
      <c r="C319" s="376"/>
      <c r="D319" s="376"/>
      <c r="E319" s="47">
        <f>IF(ISERROR(-VLOOKUP(6019,Base_Periodo1[[#All],[CONTA]:[VALOR BALANÇO]],10,FALSE)),0,-VLOOKUP(6019,Base_Periodo1[[#All],[CONTA]:[VALOR BALANÇO]],10,FALSE))</f>
        <v>0</v>
      </c>
      <c r="F319" s="288">
        <f t="shared" si="128"/>
        <v>0</v>
      </c>
      <c r="G319" s="47">
        <v>0</v>
      </c>
      <c r="H319" s="288">
        <f t="shared" si="129"/>
        <v>0</v>
      </c>
      <c r="I319" s="125">
        <f>E319+G319</f>
        <v>0</v>
      </c>
    </row>
    <row r="320" spans="1:11">
      <c r="A320" s="376" t="s">
        <v>294</v>
      </c>
      <c r="B320" s="376"/>
      <c r="C320" s="376"/>
      <c r="D320" s="376"/>
      <c r="E320" s="47">
        <f>IF(ISERROR(-VLOOKUP(6021,Base_Periodo1[[#All],[CONTA]:[VALOR BALANÇO]],10,FALSE)),0,-VLOOKUP(6021,Base_Periodo1[[#All],[CONTA]:[VALOR BALANÇO]],10,FALSE))</f>
        <v>-89.999999999992724</v>
      </c>
      <c r="F320" s="288">
        <f t="shared" si="128"/>
        <v>0.65019505851749382</v>
      </c>
      <c r="G320" s="47">
        <f>IF(ISERROR(-VLOOKUP(6737,Base_Periodo1[[#All],[CONTA]:[VALOR BALANÇO]],10,FALSE)),0,-VLOOKUP(6737,Base_Periodo1[[#All],[CONTA]:[VALOR BALANÇO]],10,FALSE))</f>
        <v>-48.420000000009168</v>
      </c>
      <c r="H320" s="288">
        <f t="shared" si="129"/>
        <v>0.34980494148250618</v>
      </c>
      <c r="I320" s="125">
        <f>E320+G320</f>
        <v>-138.42000000000189</v>
      </c>
    </row>
    <row r="321" spans="1:11" ht="15">
      <c r="A321" s="353" t="s">
        <v>295</v>
      </c>
      <c r="B321" s="353"/>
      <c r="C321" s="353"/>
      <c r="D321" s="353"/>
      <c r="E321" s="160">
        <f>SUM(E316:E320)</f>
        <v>183.80000000000837</v>
      </c>
      <c r="F321" s="160"/>
      <c r="G321" s="160">
        <f>SUM(G316:G320)</f>
        <v>-48.420000000009168</v>
      </c>
      <c r="H321" s="160"/>
      <c r="I321" s="161">
        <f>SUM(I316:I320)</f>
        <v>135.3799999999992</v>
      </c>
      <c r="J321" s="290">
        <f>VLOOKUP(6017,Base_Periodo1[[#All],[CONTA]:[VALOR BALANÇO]],10,FALSE)-E321</f>
        <v>0</v>
      </c>
      <c r="K321" s="290">
        <f>VLOOKUP(6732,Base_Periodo1[[#All],[CONTA]:[VALOR BALANÇO]],10,FALSE)+G321</f>
        <v>-1.8189894035458565E-12</v>
      </c>
    </row>
    <row r="322" spans="1:11" ht="15">
      <c r="A322" s="293" t="s">
        <v>4531</v>
      </c>
      <c r="B322" s="293"/>
      <c r="C322" s="293"/>
      <c r="D322" s="293"/>
      <c r="E322" s="300">
        <f>E321/(E316+E317+E318)</f>
        <v>0.67129291453618567</v>
      </c>
      <c r="F322" s="300"/>
      <c r="G322" s="300">
        <f>IF(ISERROR(G321/(G316+G317+G318)),0,G321/(G316+G317+G318))</f>
        <v>0</v>
      </c>
      <c r="H322" s="300"/>
      <c r="I322" s="300">
        <f>I321/(I316+I317+I318)</f>
        <v>0.49444850255660577</v>
      </c>
      <c r="J322" s="77"/>
      <c r="K322" s="77"/>
    </row>
    <row r="323" spans="1:11" ht="15">
      <c r="A323" s="293" t="s">
        <v>5573</v>
      </c>
      <c r="B323" s="293"/>
      <c r="C323" s="293"/>
      <c r="D323" s="293"/>
      <c r="E323" s="300">
        <f>E321/I321</f>
        <v>1.3576599202246229</v>
      </c>
      <c r="F323" s="300"/>
      <c r="G323" s="300">
        <f>G321/I321</f>
        <v>-0.35765992022462295</v>
      </c>
      <c r="H323" s="300"/>
      <c r="I323" s="300"/>
      <c r="J323" s="77"/>
      <c r="K323" s="77"/>
    </row>
    <row r="324" spans="1:11">
      <c r="A324" s="377"/>
      <c r="B324" s="377"/>
      <c r="C324" s="377"/>
      <c r="D324" s="377"/>
      <c r="E324" s="377"/>
      <c r="F324" s="377"/>
      <c r="G324" s="377"/>
      <c r="H324" s="377"/>
      <c r="I324" s="377"/>
    </row>
    <row r="325" spans="1:11" ht="15">
      <c r="A325" s="353" t="s">
        <v>5569</v>
      </c>
      <c r="B325" s="353"/>
      <c r="C325" s="353"/>
      <c r="D325" s="353"/>
      <c r="E325" s="50" t="s">
        <v>289</v>
      </c>
      <c r="F325" s="50"/>
      <c r="G325" s="50" t="s">
        <v>289</v>
      </c>
      <c r="H325" s="50"/>
      <c r="I325" s="158" t="s">
        <v>289</v>
      </c>
    </row>
    <row r="326" spans="1:11">
      <c r="A326" s="376" t="s">
        <v>290</v>
      </c>
      <c r="B326" s="376"/>
      <c r="C326" s="376"/>
      <c r="D326" s="376"/>
      <c r="E326" s="47">
        <v>0</v>
      </c>
      <c r="F326" s="288">
        <f t="shared" ref="F326" si="130">IF(ISERROR(E326/$I326),0,E326/$I326)</f>
        <v>0</v>
      </c>
      <c r="G326" s="47"/>
      <c r="H326" s="288">
        <f t="shared" ref="H326" si="131">IF(ISERROR(G326/$I326),0,G326/$I326)</f>
        <v>0</v>
      </c>
      <c r="I326" s="125">
        <f>E326+G326</f>
        <v>0</v>
      </c>
    </row>
    <row r="327" spans="1:11">
      <c r="A327" s="376" t="s">
        <v>291</v>
      </c>
      <c r="B327" s="376"/>
      <c r="C327" s="376"/>
      <c r="D327" s="376"/>
      <c r="E327" s="47"/>
      <c r="F327" s="288">
        <f>IF(ISERROR(E327/$I327),0,E327/$I327)</f>
        <v>0</v>
      </c>
      <c r="G327" s="47">
        <f>IF(ISERROR(VLOOKUP(38699,Base_Periodo1[[#All],[CONTA]:[VALOR BALANÇO]],10,FALSE)),0,VLOOKUP(38699,Base_Periodo1[[#All],[CONTA]:[VALOR BALANÇO]],10,FALSE))</f>
        <v>0</v>
      </c>
      <c r="H327" s="288">
        <f>IF(ISERROR(G327/$I327),0,G327/$I327)</f>
        <v>0</v>
      </c>
      <c r="I327" s="125">
        <f>E327+G327</f>
        <v>0</v>
      </c>
    </row>
    <row r="328" spans="1:11">
      <c r="A328" s="376" t="s">
        <v>292</v>
      </c>
      <c r="B328" s="376"/>
      <c r="C328" s="376"/>
      <c r="D328" s="376"/>
      <c r="E328" s="47"/>
      <c r="F328" s="288">
        <f t="shared" ref="F328:F330" si="132">IF(ISERROR(E328/$I328),0,E328/$I328)</f>
        <v>0</v>
      </c>
      <c r="G328" s="47"/>
      <c r="H328" s="288">
        <f t="shared" ref="H328:H330" si="133">IF(ISERROR(G328/$I328),0,G328/$I328)</f>
        <v>0</v>
      </c>
      <c r="I328" s="125">
        <f>E328+G328</f>
        <v>0</v>
      </c>
    </row>
    <row r="329" spans="1:11">
      <c r="A329" s="376" t="s">
        <v>293</v>
      </c>
      <c r="B329" s="376"/>
      <c r="C329" s="376"/>
      <c r="D329" s="376"/>
      <c r="E329" s="47">
        <v>0</v>
      </c>
      <c r="F329" s="288">
        <f t="shared" si="132"/>
        <v>0</v>
      </c>
      <c r="G329" s="47"/>
      <c r="H329" s="288">
        <f t="shared" si="133"/>
        <v>0</v>
      </c>
      <c r="I329" s="125">
        <f>E329+G329</f>
        <v>0</v>
      </c>
    </row>
    <row r="330" spans="1:11">
      <c r="A330" s="376" t="s">
        <v>294</v>
      </c>
      <c r="B330" s="376"/>
      <c r="C330" s="376"/>
      <c r="D330" s="376"/>
      <c r="E330" s="47">
        <v>0</v>
      </c>
      <c r="F330" s="288">
        <f t="shared" si="132"/>
        <v>0</v>
      </c>
      <c r="G330" s="47">
        <f>-VLOOKUP(6746,Base_Periodo1[[#All],[CONTA]:[VALOR BALANÇO]],10,FALSE)</f>
        <v>-16971.489999999962</v>
      </c>
      <c r="H330" s="288">
        <f t="shared" si="133"/>
        <v>1</v>
      </c>
      <c r="I330" s="125">
        <f>E330+G330</f>
        <v>-16971.489999999962</v>
      </c>
    </row>
    <row r="331" spans="1:11" ht="15">
      <c r="A331" s="353" t="s">
        <v>295</v>
      </c>
      <c r="B331" s="353"/>
      <c r="C331" s="353"/>
      <c r="D331" s="353"/>
      <c r="E331" s="160">
        <f>SUM(E326:E330)</f>
        <v>0</v>
      </c>
      <c r="F331" s="160"/>
      <c r="G331" s="160">
        <f>SUM(G326:G330)</f>
        <v>-16971.489999999962</v>
      </c>
      <c r="H331" s="160"/>
      <c r="I331" s="161">
        <f>SUM(I326:I330)</f>
        <v>-16971.489999999962</v>
      </c>
      <c r="J331" s="290"/>
      <c r="K331" s="290">
        <f>VLOOKUP(6739,Base_Periodo1[[#All],[CONTA]:[VALOR BALANÇO]],10,FALSE)+G331</f>
        <v>0</v>
      </c>
    </row>
    <row r="332" spans="1:11" ht="15">
      <c r="A332" s="293" t="s">
        <v>4531</v>
      </c>
      <c r="B332" s="293"/>
      <c r="C332" s="293"/>
      <c r="D332" s="293"/>
      <c r="E332" s="300">
        <f>IF(ISERROR(E331/(E326+E327+E328)),0,E331/(E326+E327+E328))</f>
        <v>0</v>
      </c>
      <c r="F332" s="300"/>
      <c r="G332" s="300">
        <f>IF(ISERROR(G331/(G326+G327+G328)),0,G331/(G326+G327+G328))</f>
        <v>0</v>
      </c>
      <c r="H332" s="300"/>
      <c r="I332" s="300">
        <f>IF(ISERROR(I331/(I326+I327+I328)),0,I331/(I326+I327+I328))</f>
        <v>0</v>
      </c>
      <c r="J332" s="77"/>
      <c r="K332" s="77"/>
    </row>
    <row r="333" spans="1:11" ht="15">
      <c r="A333" s="293" t="s">
        <v>5573</v>
      </c>
      <c r="B333" s="293"/>
      <c r="C333" s="293"/>
      <c r="D333" s="293"/>
      <c r="E333" s="300">
        <f>E331/I331</f>
        <v>0</v>
      </c>
      <c r="F333" s="300"/>
      <c r="G333" s="300">
        <f>G331/I331</f>
        <v>1</v>
      </c>
      <c r="H333" s="300"/>
      <c r="I333" s="300"/>
      <c r="J333" s="77"/>
      <c r="K333" s="77"/>
    </row>
    <row r="334" spans="1:11">
      <c r="A334" s="377"/>
      <c r="B334" s="377"/>
      <c r="C334" s="377"/>
      <c r="D334" s="377"/>
      <c r="E334" s="377"/>
      <c r="F334" s="377"/>
      <c r="G334" s="377"/>
      <c r="H334" s="377"/>
      <c r="I334" s="377"/>
    </row>
    <row r="335" spans="1:11" ht="15">
      <c r="A335" s="353" t="s">
        <v>327</v>
      </c>
      <c r="B335" s="353"/>
      <c r="C335" s="353"/>
      <c r="D335" s="353"/>
      <c r="E335" s="50" t="s">
        <v>289</v>
      </c>
      <c r="F335" s="50"/>
      <c r="G335" s="50" t="s">
        <v>289</v>
      </c>
      <c r="H335" s="50"/>
      <c r="I335" s="158" t="s">
        <v>289</v>
      </c>
    </row>
    <row r="336" spans="1:11">
      <c r="A336" s="376" t="s">
        <v>290</v>
      </c>
      <c r="B336" s="376"/>
      <c r="C336" s="376"/>
      <c r="D336" s="376"/>
      <c r="E336" s="47">
        <f>VLOOKUP(6033,Base_Periodo1[[#All],[CONTA]:[VALOR BALANÇO]],10,FALSE)</f>
        <v>5635.379999999961</v>
      </c>
      <c r="F336" s="288">
        <f t="shared" ref="F336" si="134">IF(ISERROR(E336/$I336),0,E336/$I336)</f>
        <v>0.94089538483115076</v>
      </c>
      <c r="G336" s="47">
        <f>IF(ISERROR(VLOOKUP(9318,Base_Periodo1[[#All],[CONTA]:[VALOR BALANÇO]],10,FALSE)),0,VLOOKUP(9318,Base_Periodo1[[#All],[CONTA]:[VALOR BALANÇO]],10,FALSE))</f>
        <v>354</v>
      </c>
      <c r="H336" s="288">
        <f t="shared" ref="H336" si="135">IF(ISERROR(G336/$I336),0,G336/$I336)</f>
        <v>5.9104615168849246E-2</v>
      </c>
      <c r="I336" s="125">
        <f>E336+G336</f>
        <v>5989.379999999961</v>
      </c>
    </row>
    <row r="337" spans="1:11">
      <c r="A337" s="376" t="s">
        <v>291</v>
      </c>
      <c r="B337" s="376"/>
      <c r="C337" s="376"/>
      <c r="D337" s="376"/>
      <c r="E337" s="47"/>
      <c r="F337" s="288">
        <f>IF(ISERROR(E337/$I337),0,E337/$I337)</f>
        <v>0</v>
      </c>
      <c r="G337" s="47">
        <f>IF(ISERROR(VLOOKUP(38699,Base_Periodo1[[#All],[CONTA]:[VALOR BALANÇO]],10,FALSE)),0,VLOOKUP(38699,Base_Periodo1[[#All],[CONTA]:[VALOR BALANÇO]],10,FALSE))</f>
        <v>0</v>
      </c>
      <c r="H337" s="288">
        <f>IF(ISERROR(G337/$I337),0,G337/$I337)</f>
        <v>0</v>
      </c>
      <c r="I337" s="125">
        <f>E337+G337</f>
        <v>0</v>
      </c>
    </row>
    <row r="338" spans="1:11">
      <c r="A338" s="376" t="s">
        <v>292</v>
      </c>
      <c r="B338" s="376"/>
      <c r="C338" s="376"/>
      <c r="D338" s="376"/>
      <c r="E338" s="47"/>
      <c r="F338" s="288">
        <f t="shared" ref="F338:F340" si="136">IF(ISERROR(E338/$I338),0,E338/$I338)</f>
        <v>0</v>
      </c>
      <c r="G338" s="47"/>
      <c r="H338" s="288">
        <f t="shared" ref="H338:H340" si="137">IF(ISERROR(G338/$I338),0,G338/$I338)</f>
        <v>0</v>
      </c>
      <c r="I338" s="125">
        <f>E338+G338</f>
        <v>0</v>
      </c>
    </row>
    <row r="339" spans="1:11">
      <c r="A339" s="376" t="s">
        <v>293</v>
      </c>
      <c r="B339" s="376"/>
      <c r="C339" s="376"/>
      <c r="D339" s="376"/>
      <c r="E339" s="47">
        <f>-VLOOKUP(24782,Base_Periodo1[[#All],[CONTA]:[VALOR BALANÇO]],10,FALSE)</f>
        <v>-1014.37</v>
      </c>
      <c r="F339" s="288">
        <f t="shared" si="136"/>
        <v>1</v>
      </c>
      <c r="G339" s="47"/>
      <c r="H339" s="288">
        <f t="shared" si="137"/>
        <v>0</v>
      </c>
      <c r="I339" s="125">
        <f>E339+G339</f>
        <v>-1014.37</v>
      </c>
    </row>
    <row r="340" spans="1:11">
      <c r="A340" s="376" t="s">
        <v>294</v>
      </c>
      <c r="B340" s="376"/>
      <c r="C340" s="376"/>
      <c r="D340" s="376"/>
      <c r="E340" s="47">
        <f>-VLOOKUP(6035,Base_Periodo1[[#All],[CONTA]:[VALOR BALANÇO]],10,FALSE)</f>
        <v>-2035.6200000000454</v>
      </c>
      <c r="F340" s="288">
        <f t="shared" si="136"/>
        <v>0.86313236460157872</v>
      </c>
      <c r="G340" s="47">
        <f>IF(ISERROR(-VLOOKUP(6749,Base_Periodo1[[#All],[CONTA]:[VALOR BALANÇO]],10,FALSE)),0,-VLOOKUP(6749,Base_Periodo1[[#All],[CONTA]:[VALOR BALANÇO]],10,FALSE))</f>
        <v>-322.78999999999638</v>
      </c>
      <c r="H340" s="288">
        <f t="shared" si="137"/>
        <v>0.13686763539842126</v>
      </c>
      <c r="I340" s="125">
        <f>E340+G340</f>
        <v>-2358.4100000000417</v>
      </c>
    </row>
    <row r="341" spans="1:11" ht="15">
      <c r="A341" s="353" t="s">
        <v>295</v>
      </c>
      <c r="B341" s="353"/>
      <c r="C341" s="353"/>
      <c r="D341" s="353"/>
      <c r="E341" s="160">
        <f>SUM(E336:E340)</f>
        <v>2585.3899999999157</v>
      </c>
      <c r="F341" s="160"/>
      <c r="G341" s="160">
        <f>SUM(G336:G340)</f>
        <v>31.210000000003618</v>
      </c>
      <c r="H341" s="160"/>
      <c r="I341" s="161">
        <f>SUM(I336:I340)</f>
        <v>2616.5999999999194</v>
      </c>
      <c r="J341" s="290">
        <f>VLOOKUP(6032,Base_Periodo1[[#All],[CONTA]:[VALOR BALANÇO]],10,FALSE)+E341</f>
        <v>5170.7799999998315</v>
      </c>
      <c r="K341" s="290">
        <f>VLOOKUP(6748,Base_Periodo1[[#All],[CONTA]:[VALOR BALANÇO]],10,FALSE)+G341</f>
        <v>62.420000000007235</v>
      </c>
    </row>
    <row r="342" spans="1:11" ht="15">
      <c r="A342" s="293" t="s">
        <v>4531</v>
      </c>
      <c r="B342" s="293"/>
      <c r="C342" s="293"/>
      <c r="D342" s="293"/>
      <c r="E342" s="300">
        <f>E341/(E336+E337+E338)</f>
        <v>0.45877829001769777</v>
      </c>
      <c r="F342" s="300"/>
      <c r="G342" s="300">
        <f>IF(ISERROR(G341/(G336+G337+G338)),0,G341/(G336+G337+G338))</f>
        <v>8.8163841807919821E-2</v>
      </c>
      <c r="H342" s="300"/>
      <c r="I342" s="300">
        <f>I341/(I336+I337+I338)</f>
        <v>0.43687326568024343</v>
      </c>
      <c r="J342" s="77"/>
      <c r="K342" s="77"/>
    </row>
    <row r="343" spans="1:11" ht="15">
      <c r="A343" s="293" t="s">
        <v>5573</v>
      </c>
      <c r="B343" s="293"/>
      <c r="C343" s="293"/>
      <c r="D343" s="293"/>
      <c r="E343" s="300">
        <f>E341/I341</f>
        <v>0.98807230757471354</v>
      </c>
      <c r="F343" s="300"/>
      <c r="G343" s="300">
        <f>G341/I341</f>
        <v>1.1927692425286471E-2</v>
      </c>
      <c r="H343" s="300"/>
      <c r="I343" s="300"/>
      <c r="J343" s="77"/>
      <c r="K343" s="77"/>
    </row>
    <row r="344" spans="1:11">
      <c r="A344" s="377"/>
      <c r="B344" s="377"/>
      <c r="C344" s="377"/>
      <c r="D344" s="377"/>
      <c r="E344" s="377"/>
      <c r="F344" s="377"/>
      <c r="G344" s="377"/>
      <c r="H344" s="377"/>
      <c r="I344" s="377"/>
    </row>
    <row r="345" spans="1:11" ht="15">
      <c r="A345" s="353" t="s">
        <v>328</v>
      </c>
      <c r="B345" s="353"/>
      <c r="C345" s="353"/>
      <c r="D345" s="353"/>
      <c r="E345" s="50" t="s">
        <v>289</v>
      </c>
      <c r="F345" s="50"/>
      <c r="G345" s="50" t="s">
        <v>289</v>
      </c>
      <c r="H345" s="50"/>
      <c r="I345" s="158" t="s">
        <v>289</v>
      </c>
    </row>
    <row r="346" spans="1:11">
      <c r="A346" s="376" t="s">
        <v>290</v>
      </c>
      <c r="B346" s="376"/>
      <c r="C346" s="376"/>
      <c r="D346" s="376"/>
      <c r="E346" s="47">
        <f>IF(ISERROR(VLOOKUP(6038,Base_Periodo1[[#All],[CONTA]:[VALOR BALANÇO]],10,FALSE)),0,VLOOKUP(6038,Base_Periodo1[[#All],[CONTA]:[VALOR BALANÇO]],10,FALSE))</f>
        <v>373.00000000000364</v>
      </c>
      <c r="F346" s="288">
        <f t="shared" ref="F346" si="138">IF(ISERROR(E346/$I346),0,E346/$I346)</f>
        <v>1</v>
      </c>
      <c r="G346" s="47"/>
      <c r="H346" s="288">
        <f t="shared" ref="H346" si="139">IF(ISERROR(G346/$I346),0,G346/$I346)</f>
        <v>0</v>
      </c>
      <c r="I346" s="125">
        <f>E346+G346</f>
        <v>373.00000000000364</v>
      </c>
    </row>
    <row r="347" spans="1:11">
      <c r="A347" s="376" t="s">
        <v>291</v>
      </c>
      <c r="B347" s="376"/>
      <c r="C347" s="376"/>
      <c r="D347" s="376"/>
      <c r="E347" s="47"/>
      <c r="F347" s="288">
        <f>IF(ISERROR(E347/$I347),0,E347/$I347)</f>
        <v>0</v>
      </c>
      <c r="G347" s="47"/>
      <c r="H347" s="288">
        <f>IF(ISERROR(G347/$I347),0,G347/$I347)</f>
        <v>0</v>
      </c>
      <c r="I347" s="125">
        <f>E347+G347</f>
        <v>0</v>
      </c>
    </row>
    <row r="348" spans="1:11">
      <c r="A348" s="376" t="s">
        <v>292</v>
      </c>
      <c r="B348" s="376"/>
      <c r="C348" s="376"/>
      <c r="D348" s="376"/>
      <c r="E348" s="47">
        <f>IF(ISERROR(-VLOOKUP(6040,Base_Periodo1[[#All],[CONTA]:[VALOR BALANÇO]],10,FALSE)),0,-VLOOKUP(6040,Base_Periodo1[[#All],[CONTA]:[VALOR BALANÇO]],10,FALSE))</f>
        <v>0</v>
      </c>
      <c r="F348" s="288">
        <f t="shared" ref="F348:F350" si="140">IF(ISERROR(E348/$I348),0,E348/$I348)</f>
        <v>0</v>
      </c>
      <c r="G348" s="47"/>
      <c r="H348" s="288">
        <f t="shared" ref="H348:H350" si="141">IF(ISERROR(G348/$I348),0,G348/$I348)</f>
        <v>0</v>
      </c>
      <c r="I348" s="125">
        <f>E348+G348</f>
        <v>0</v>
      </c>
    </row>
    <row r="349" spans="1:11">
      <c r="A349" s="376" t="s">
        <v>293</v>
      </c>
      <c r="B349" s="376"/>
      <c r="C349" s="376"/>
      <c r="D349" s="376"/>
      <c r="E349" s="47">
        <f>IF(ISERROR(-VLOOKUP(6042,Base_Periodo1[[#All],[CONTA]:[VALOR BALANÇO]],10,FALSE)),0,-VLOOKUP(6042,Base_Periodo1[[#All],[CONTA]:[VALOR BALANÇO]],10,FALSE))</f>
        <v>-44.759999999998385</v>
      </c>
      <c r="F349" s="288">
        <f t="shared" si="140"/>
        <v>0.41261061946901434</v>
      </c>
      <c r="G349" s="47">
        <f>IF(ISERROR(-VLOOKUP(6753,Base_Periodo1[[#All],[CONTA]:[VALOR BALANÇO]],10,FALSE)),0,-VLOOKUP(6753,Base_Periodo1[[#All],[CONTA]:[VALOR BALANÇO]],10,FALSE))</f>
        <v>-63.720000000000908</v>
      </c>
      <c r="H349" s="288">
        <f t="shared" si="141"/>
        <v>0.58738938053098566</v>
      </c>
      <c r="I349" s="125">
        <f>E349+G349</f>
        <v>-108.47999999999929</v>
      </c>
    </row>
    <row r="350" spans="1:11">
      <c r="A350" s="376" t="s">
        <v>294</v>
      </c>
      <c r="B350" s="376"/>
      <c r="C350" s="376"/>
      <c r="D350" s="376"/>
      <c r="E350" s="47">
        <f>IF(ISERROR(-VLOOKUP(6044,Base_Periodo1[[#All],[CONTA]:[VALOR BALANÇO]],10,FALSE)),0,-VLOOKUP(6044,Base_Periodo1[[#All],[CONTA]:[VALOR BALANÇO]],10,FALSE))</f>
        <v>-1080.0000000000073</v>
      </c>
      <c r="F350" s="288">
        <f t="shared" si="140"/>
        <v>1</v>
      </c>
      <c r="G350" s="47"/>
      <c r="H350" s="288">
        <f t="shared" si="141"/>
        <v>0</v>
      </c>
      <c r="I350" s="125">
        <f>E350+G350</f>
        <v>-1080.0000000000073</v>
      </c>
    </row>
    <row r="351" spans="1:11" ht="15">
      <c r="A351" s="353" t="s">
        <v>295</v>
      </c>
      <c r="B351" s="353"/>
      <c r="C351" s="353"/>
      <c r="D351" s="353"/>
      <c r="E351" s="160">
        <f>SUM(E346:E350)</f>
        <v>-751.76000000000204</v>
      </c>
      <c r="F351" s="160"/>
      <c r="G351" s="160">
        <f>SUM(G346:G350)</f>
        <v>-63.720000000000908</v>
      </c>
      <c r="H351" s="160"/>
      <c r="I351" s="161">
        <f>SUM(I346:I350)</f>
        <v>-815.48000000000297</v>
      </c>
      <c r="J351" s="290">
        <f>-VLOOKUP(6037,Base_Periodo1[[#All],[CONTA]:[VALOR BALANÇO]],10,FALSE)+E351</f>
        <v>-1503.5200000000041</v>
      </c>
      <c r="K351" s="290">
        <f>VLOOKUP(6784,Base_Periodo1[[#All],[CONTA]:[VALOR BALANÇO]],10,FALSE)+G351</f>
        <v>17.659999999999854</v>
      </c>
    </row>
    <row r="352" spans="1:11" ht="15">
      <c r="A352" s="293" t="s">
        <v>4531</v>
      </c>
      <c r="B352" s="293"/>
      <c r="C352" s="293"/>
      <c r="D352" s="293"/>
      <c r="E352" s="300">
        <f>IF(ISERROR(E351/(E346+E347+E348)),0,E351/(E346+E347+E348))</f>
        <v>-2.0154423592493154</v>
      </c>
      <c r="F352" s="300"/>
      <c r="G352" s="300">
        <f>IF(ISERROR(G351/(G346+G347+G348)),0,G351/(G346+G347+G348))</f>
        <v>0</v>
      </c>
      <c r="H352" s="300"/>
      <c r="I352" s="300">
        <f>IF(ISERROR(I351/(I346+I347+I348)),0,I351/(I346+I347+I348))</f>
        <v>-2.1862734584450267</v>
      </c>
      <c r="J352" s="77"/>
      <c r="K352" s="77"/>
    </row>
    <row r="353" spans="1:11" ht="15">
      <c r="A353" s="293" t="s">
        <v>5573</v>
      </c>
      <c r="B353" s="293"/>
      <c r="C353" s="293"/>
      <c r="D353" s="293"/>
      <c r="E353" s="300">
        <f>IF(ISERROR(E351/I351),0,E351/I351)</f>
        <v>0.92186197086378485</v>
      </c>
      <c r="F353" s="300"/>
      <c r="G353" s="300">
        <f>IF(ISERROR(G351/I351),0,G351/I351)</f>
        <v>7.8138029136215079E-2</v>
      </c>
      <c r="H353" s="300"/>
      <c r="I353" s="300"/>
      <c r="J353" s="77"/>
      <c r="K353" s="77"/>
    </row>
    <row r="354" spans="1:11">
      <c r="A354" s="352"/>
      <c r="B354" s="352"/>
      <c r="C354" s="352"/>
      <c r="D354" s="352"/>
      <c r="E354" s="352"/>
      <c r="F354" s="352"/>
      <c r="G354" s="352"/>
      <c r="H354" s="352"/>
      <c r="I354" s="352"/>
    </row>
    <row r="355" spans="1:11" ht="15">
      <c r="A355" s="353" t="s">
        <v>5562</v>
      </c>
      <c r="B355" s="353"/>
      <c r="C355" s="353"/>
      <c r="D355" s="353"/>
      <c r="E355" s="50" t="s">
        <v>289</v>
      </c>
      <c r="F355" s="50"/>
      <c r="G355" s="50" t="s">
        <v>289</v>
      </c>
      <c r="H355" s="50"/>
      <c r="I355" s="158" t="s">
        <v>289</v>
      </c>
    </row>
    <row r="356" spans="1:11">
      <c r="A356" s="376" t="s">
        <v>290</v>
      </c>
      <c r="B356" s="376"/>
      <c r="C356" s="376"/>
      <c r="D356" s="376"/>
      <c r="E356" s="47">
        <f>IF(ISERROR(VLOOKUP(29642,Base_Periodo1[[#All],[CONTA]:[VALOR BALANÇO]],10,FALSE)),0,VLOOKUP(29642,Base_Periodo1[[#All],[CONTA]:[VALOR BALANÇO]],10,FALSE))</f>
        <v>0</v>
      </c>
      <c r="F356" s="288">
        <f t="shared" ref="F356" si="142">IF(ISERROR(E356/$I356),0,E356/$I356)</f>
        <v>0</v>
      </c>
      <c r="G356" s="47">
        <f>IF(ISERROR(VLOOKUP(29650,Base_Periodo1[[#All],[CONTA]:[VALOR BALANÇO]],10,FALSE)),0,VLOOKUP(29650,Base_Periodo1[[#All],[CONTA]:[VALOR BALANÇO]],10,FALSE))</f>
        <v>0</v>
      </c>
      <c r="H356" s="288">
        <f t="shared" ref="H356" si="143">IF(ISERROR(G356/$I356),0,G356/$I356)</f>
        <v>0</v>
      </c>
      <c r="I356" s="125">
        <f>E356+G356</f>
        <v>0</v>
      </c>
    </row>
    <row r="357" spans="1:11">
      <c r="A357" s="376" t="s">
        <v>291</v>
      </c>
      <c r="B357" s="376"/>
      <c r="C357" s="376"/>
      <c r="D357" s="376"/>
      <c r="E357" s="47"/>
      <c r="F357" s="288">
        <f>IF(ISERROR(E357/$I357),0,E357/$I357)</f>
        <v>0</v>
      </c>
      <c r="G357" s="47"/>
      <c r="H357" s="288">
        <f>IF(ISERROR(G357/$I357),0,G357/$I357)</f>
        <v>0</v>
      </c>
      <c r="I357" s="125">
        <f>E357+G357</f>
        <v>0</v>
      </c>
    </row>
    <row r="358" spans="1:11">
      <c r="A358" s="376" t="s">
        <v>292</v>
      </c>
      <c r="B358" s="376"/>
      <c r="C358" s="376"/>
      <c r="D358" s="376"/>
      <c r="E358" s="47"/>
      <c r="F358" s="288">
        <f t="shared" ref="F358:F360" si="144">IF(ISERROR(E358/$I358),0,E358/$I358)</f>
        <v>0</v>
      </c>
      <c r="G358" s="47"/>
      <c r="H358" s="288">
        <f t="shared" ref="H358:H360" si="145">IF(ISERROR(G358/$I358),0,G358/$I358)</f>
        <v>0</v>
      </c>
      <c r="I358" s="125">
        <f>E358+G358</f>
        <v>0</v>
      </c>
    </row>
    <row r="359" spans="1:11">
      <c r="A359" s="376" t="s">
        <v>293</v>
      </c>
      <c r="B359" s="376"/>
      <c r="C359" s="376"/>
      <c r="D359" s="376"/>
      <c r="E359" s="47">
        <f>IF(ISERROR(-VLOOKUP(29646,Base_Periodo1[[#All],[CONTA]:[VALOR BALANÇO]],10,FALSE)),0,-VLOOKUP(29646,Base_Periodo1[[#All],[CONTA]:[VALOR BALANÇO]],10,FALSE))</f>
        <v>0</v>
      </c>
      <c r="F359" s="288">
        <f t="shared" si="144"/>
        <v>0</v>
      </c>
      <c r="G359" s="47">
        <f>IF(ISERROR(-VLOOKUP(29651,Base_Periodo1[[#All],[CONTA]:[VALOR BALANÇO]],10,FALSE)),0,-VLOOKUP(29651,Base_Periodo1[[#All],[CONTA]:[VALOR BALANÇO]],10,FALSE))</f>
        <v>0</v>
      </c>
      <c r="H359" s="288">
        <f t="shared" si="145"/>
        <v>0</v>
      </c>
      <c r="I359" s="125">
        <f>E359+G359</f>
        <v>0</v>
      </c>
    </row>
    <row r="360" spans="1:11">
      <c r="A360" s="376" t="s">
        <v>294</v>
      </c>
      <c r="B360" s="376"/>
      <c r="C360" s="376"/>
      <c r="D360" s="376"/>
      <c r="E360" s="47">
        <f>IF(ISERROR(-VLOOKUP(29648,Base_Periodo1[[#All],[CONTA]:[VALOR BALANÇO]],10,FALSE)),0,-VLOOKUP(29648,Base_Periodo1[[#All],[CONTA]:[VALOR BALANÇO]],10,FALSE))</f>
        <v>-3735.2200000000012</v>
      </c>
      <c r="F360" s="288">
        <f t="shared" si="144"/>
        <v>1</v>
      </c>
      <c r="G360" s="47">
        <v>0</v>
      </c>
      <c r="H360" s="288">
        <f t="shared" si="145"/>
        <v>0</v>
      </c>
      <c r="I360" s="125">
        <f>E360+G360</f>
        <v>-3735.2200000000012</v>
      </c>
    </row>
    <row r="361" spans="1:11" ht="15">
      <c r="A361" s="353" t="s">
        <v>295</v>
      </c>
      <c r="B361" s="353"/>
      <c r="C361" s="353"/>
      <c r="D361" s="353"/>
      <c r="E361" s="160">
        <f>SUM(E356:E360)</f>
        <v>-3735.2200000000012</v>
      </c>
      <c r="F361" s="160"/>
      <c r="G361" s="160">
        <f>SUM(G356:G360)</f>
        <v>0</v>
      </c>
      <c r="H361" s="160"/>
      <c r="I361" s="161">
        <f>SUM(I356:I360)</f>
        <v>-3735.2200000000012</v>
      </c>
      <c r="J361" s="290">
        <f>-VLOOKUP(29641,Base_Periodo1[[#All],[CONTA]:[VALOR BALANÇO]],10,FALSE)+E361</f>
        <v>-7470.4400000000023</v>
      </c>
      <c r="K361" s="290" t="e">
        <f>-VLOOKUP(6775,Base_Periodo1[[#All],[CONTA]:[VALOR BALANÇO]],10,FALSE)+G361</f>
        <v>#N/A</v>
      </c>
    </row>
    <row r="362" spans="1:11" ht="15">
      <c r="A362" s="293" t="s">
        <v>4531</v>
      </c>
      <c r="B362" s="293"/>
      <c r="C362" s="293"/>
      <c r="D362" s="293"/>
      <c r="E362" s="300">
        <f>IF(ISERROR(E361/(E356+E357+E358)),0,E361/(E356+E357+E358))</f>
        <v>0</v>
      </c>
      <c r="F362" s="300"/>
      <c r="G362" s="300">
        <f>IF(ISERROR(G361/(G356+G357+G358)),0,G361/(G356+G357+G358))</f>
        <v>0</v>
      </c>
      <c r="H362" s="300"/>
      <c r="I362" s="300">
        <f>IF(ISERROR(I361/(I356+I357+I358)),0,I361/(I356+I357+I358))</f>
        <v>0</v>
      </c>
      <c r="J362" s="77"/>
      <c r="K362" s="77"/>
    </row>
    <row r="363" spans="1:11" ht="15">
      <c r="A363" s="293" t="s">
        <v>5573</v>
      </c>
      <c r="B363" s="293"/>
      <c r="C363" s="293"/>
      <c r="D363" s="293"/>
      <c r="E363" s="300">
        <f>IF(ISERROR(E361/I361),0,E361/I361)</f>
        <v>1</v>
      </c>
      <c r="F363" s="300"/>
      <c r="G363" s="300">
        <f>IF(ISERROR(G361/I361),0,G361/I361)</f>
        <v>0</v>
      </c>
      <c r="H363" s="300"/>
      <c r="I363" s="300"/>
      <c r="J363" s="77"/>
      <c r="K363" s="77"/>
    </row>
    <row r="364" spans="1:11">
      <c r="A364" s="352"/>
      <c r="B364" s="352"/>
      <c r="C364" s="352"/>
      <c r="D364" s="352"/>
      <c r="E364" s="352"/>
      <c r="F364" s="352"/>
      <c r="G364" s="352"/>
      <c r="H364" s="352"/>
      <c r="I364" s="352"/>
    </row>
    <row r="365" spans="1:11" ht="15">
      <c r="A365" s="353" t="s">
        <v>329</v>
      </c>
      <c r="B365" s="353">
        <v>63102.820000000109</v>
      </c>
      <c r="C365" s="353">
        <v>63102.820000000109</v>
      </c>
      <c r="D365" s="353">
        <v>63102.820000000109</v>
      </c>
      <c r="E365" s="50" t="s">
        <v>289</v>
      </c>
      <c r="F365" s="50"/>
      <c r="G365" s="50" t="s">
        <v>289</v>
      </c>
      <c r="H365" s="50"/>
      <c r="I365" s="158" t="s">
        <v>289</v>
      </c>
    </row>
    <row r="366" spans="1:11">
      <c r="A366" s="376" t="s">
        <v>290</v>
      </c>
      <c r="B366" s="376"/>
      <c r="C366" s="376"/>
      <c r="D366" s="376"/>
      <c r="E366" s="47">
        <f>VLOOKUP(33605,Base_Periodo1[[#All],[CONTA]:[VALOR BALANÇO]],10,FALSE)</f>
        <v>48949.999999999993</v>
      </c>
      <c r="F366" s="288">
        <f t="shared" ref="F366" si="146">IF(ISERROR(E366/$I366),0,E366/$I366)</f>
        <v>0.90715344699777611</v>
      </c>
      <c r="G366" s="47">
        <f>IF(ISERROR(VLOOKUP(33418,Base_Periodo1[[#All],[CONTA]:[VALOR BALANÇO]],10,FALSE)),0,VLOOKUP(33418,Base_Periodo1[[#All],[CONTA]:[VALOR BALANÇO]],10,FALSE))</f>
        <v>5010</v>
      </c>
      <c r="H366" s="288">
        <f t="shared" ref="H366" si="147">IF(ISERROR(G366/$I366),0,G366/$I366)</f>
        <v>9.2846553002223886E-2</v>
      </c>
      <c r="I366" s="125">
        <f>E366+G366</f>
        <v>53959.999999999993</v>
      </c>
    </row>
    <row r="367" spans="1:11">
      <c r="A367" s="376" t="s">
        <v>291</v>
      </c>
      <c r="B367" s="376"/>
      <c r="C367" s="376"/>
      <c r="D367" s="376"/>
      <c r="E367" s="47"/>
      <c r="F367" s="288">
        <f>IF(ISERROR(E367/$I367),0,E367/$I367)</f>
        <v>0</v>
      </c>
      <c r="G367" s="47"/>
      <c r="H367" s="288">
        <f>IF(ISERROR(G367/$I367),0,G367/$I367)</f>
        <v>0</v>
      </c>
      <c r="I367" s="125">
        <f>E367+G367</f>
        <v>0</v>
      </c>
    </row>
    <row r="368" spans="1:11">
      <c r="A368" s="376" t="s">
        <v>292</v>
      </c>
      <c r="B368" s="376"/>
      <c r="C368" s="376"/>
      <c r="D368" s="376"/>
      <c r="E368" s="47">
        <f>-VLOOKUP(33607,Base_Periodo1[[#All],[CONTA]:[VALOR BALANÇO]],10,FALSE)</f>
        <v>-75</v>
      </c>
      <c r="F368" s="288">
        <f t="shared" ref="F368:F370" si="148">IF(ISERROR(E368/$I368),0,E368/$I368)</f>
        <v>1</v>
      </c>
      <c r="G368" s="47"/>
      <c r="H368" s="288">
        <f t="shared" ref="H368:H370" si="149">IF(ISERROR(G368/$I368),0,G368/$I368)</f>
        <v>0</v>
      </c>
      <c r="I368" s="125">
        <f>E368+G368</f>
        <v>-75</v>
      </c>
    </row>
    <row r="369" spans="1:11">
      <c r="A369" s="376" t="s">
        <v>293</v>
      </c>
      <c r="B369" s="376"/>
      <c r="C369" s="376"/>
      <c r="D369" s="376"/>
      <c r="E369" s="47">
        <f>-VLOOKUP(33609,Base_Periodo1[[#All],[CONTA]:[VALOR BALANÇO]],10,FALSE)</f>
        <v>-8797.5000000000055</v>
      </c>
      <c r="F369" s="288">
        <f t="shared" si="148"/>
        <v>0.90702421824255353</v>
      </c>
      <c r="G369" s="47">
        <f>IF(ISERROR(-VLOOKUP(33422,Base_Periodo1[[#All],[CONTA]:[VALOR BALANÇO]],10,FALSE)),0,-VLOOKUP(33422,Base_Periodo1[[#All],[CONTA]:[VALOR BALANÇO]],10,FALSE))</f>
        <v>-901.80000000000018</v>
      </c>
      <c r="H369" s="288">
        <f t="shared" si="149"/>
        <v>9.2975781757446363E-2</v>
      </c>
      <c r="I369" s="125">
        <f>E369+G369</f>
        <v>-9699.3000000000065</v>
      </c>
    </row>
    <row r="370" spans="1:11">
      <c r="A370" s="376" t="s">
        <v>294</v>
      </c>
      <c r="B370" s="376"/>
      <c r="C370" s="376"/>
      <c r="D370" s="376"/>
      <c r="E370" s="47">
        <f>IF(ISERROR(-VLOOKUP(33611,Base_Periodo1[[#All],[CONTA]:[VALOR BALANÇO]],10,FALSE)),0,-VLOOKUP(33611,Base_Periodo1[[#All],[CONTA]:[VALOR BALANÇO]],10,FALSE))</f>
        <v>-21140.36</v>
      </c>
      <c r="F370" s="288">
        <f t="shared" si="148"/>
        <v>0.92578030915455889</v>
      </c>
      <c r="G370" s="47">
        <f>IF(ISERROR(-VLOOKUP(33420,Base_Periodo1[[#All],[CONTA]:[VALOR BALANÇO]],10,FALSE)),0,-VLOOKUP(33420,Base_Periodo1[[#All],[CONTA]:[VALOR BALANÇO]],10,FALSE))</f>
        <v>-1694.82</v>
      </c>
      <c r="H370" s="288">
        <f t="shared" si="149"/>
        <v>7.4219690845441111E-2</v>
      </c>
      <c r="I370" s="125">
        <f>E370+G370</f>
        <v>-22835.18</v>
      </c>
    </row>
    <row r="371" spans="1:11" ht="15">
      <c r="A371" s="353" t="s">
        <v>295</v>
      </c>
      <c r="B371" s="353"/>
      <c r="C371" s="353"/>
      <c r="D371" s="353"/>
      <c r="E371" s="160">
        <f>SUM(E366:E370)</f>
        <v>18937.139999999985</v>
      </c>
      <c r="F371" s="160"/>
      <c r="G371" s="160">
        <f>SUM(G366:G370)</f>
        <v>2413.38</v>
      </c>
      <c r="H371" s="160"/>
      <c r="I371" s="161">
        <f>SUM(I366:I370)</f>
        <v>21350.519999999982</v>
      </c>
      <c r="J371" s="290">
        <f>-VLOOKUP(33604,Base_Periodo1[[#All],[CONTA]:[VALOR BALANÇO]],10,FALSE)-E371</f>
        <v>-37874.27999999997</v>
      </c>
      <c r="K371" s="290">
        <f>-VLOOKUP(33417,Base_Periodo1[[#All],[CONTA]:[VALOR BALANÇO]],10,FALSE)+G371</f>
        <v>0</v>
      </c>
    </row>
    <row r="372" spans="1:11" ht="15">
      <c r="A372" s="293" t="s">
        <v>4531</v>
      </c>
      <c r="B372" s="293"/>
      <c r="C372" s="293"/>
      <c r="D372" s="293"/>
      <c r="E372" s="300">
        <f>E371/(E366+E367+E368)</f>
        <v>0.38746066496163656</v>
      </c>
      <c r="F372" s="300"/>
      <c r="G372" s="300">
        <f>IF(ISERROR(G371/(G366+G367+G368)),0,G371/(G366+G367+G368))</f>
        <v>0.48171257485029945</v>
      </c>
      <c r="H372" s="300"/>
      <c r="I372" s="300">
        <f>I371/(I366+I367+I368)</f>
        <v>0.39622380996566736</v>
      </c>
      <c r="J372" s="77"/>
      <c r="K372" s="77"/>
    </row>
    <row r="373" spans="1:11" ht="15">
      <c r="A373" s="293" t="s">
        <v>5573</v>
      </c>
      <c r="B373" s="293"/>
      <c r="C373" s="293"/>
      <c r="D373" s="293"/>
      <c r="E373" s="300">
        <f>E371/I371</f>
        <v>0.88696387722640946</v>
      </c>
      <c r="F373" s="300"/>
      <c r="G373" s="300">
        <f>G371/I371</f>
        <v>0.11303612277359062</v>
      </c>
      <c r="H373" s="300"/>
      <c r="I373" s="300"/>
      <c r="J373" s="77"/>
      <c r="K373" s="77"/>
    </row>
    <row r="375" spans="1:11" ht="15">
      <c r="A375" s="353" t="s">
        <v>330</v>
      </c>
      <c r="B375" s="353">
        <v>63102.820000000109</v>
      </c>
      <c r="C375" s="353">
        <v>63102.820000000109</v>
      </c>
      <c r="D375" s="353">
        <v>63102.820000000109</v>
      </c>
      <c r="E375" s="50" t="s">
        <v>289</v>
      </c>
      <c r="F375" s="50"/>
      <c r="G375" s="50" t="s">
        <v>289</v>
      </c>
      <c r="H375" s="50"/>
      <c r="I375" s="158" t="s">
        <v>289</v>
      </c>
    </row>
    <row r="376" spans="1:11">
      <c r="A376" s="376" t="s">
        <v>290</v>
      </c>
      <c r="B376" s="376"/>
      <c r="C376" s="376"/>
      <c r="D376" s="376"/>
      <c r="E376" s="47"/>
      <c r="F376" s="288">
        <f t="shared" ref="F376" si="150">IF(ISERROR(E376/$I376),0,E376/$I376)</f>
        <v>0</v>
      </c>
      <c r="G376" s="47"/>
      <c r="H376" s="288">
        <f t="shared" ref="H376" si="151">IF(ISERROR(G376/$I376),0,G376/$I376)</f>
        <v>0</v>
      </c>
      <c r="I376" s="125">
        <f>E376+G376</f>
        <v>0</v>
      </c>
    </row>
    <row r="377" spans="1:11">
      <c r="A377" s="376" t="s">
        <v>291</v>
      </c>
      <c r="B377" s="376"/>
      <c r="C377" s="376"/>
      <c r="D377" s="376"/>
      <c r="E377" s="47"/>
      <c r="F377" s="288">
        <f>IF(ISERROR(E377/$I377),0,E377/$I377)</f>
        <v>0</v>
      </c>
      <c r="G377" s="47"/>
      <c r="H377" s="288">
        <f>IF(ISERROR(G377/$I377),0,G377/$I377)</f>
        <v>0</v>
      </c>
      <c r="I377" s="125">
        <f>E377+G377</f>
        <v>0</v>
      </c>
    </row>
    <row r="378" spans="1:11">
      <c r="A378" s="376" t="s">
        <v>292</v>
      </c>
      <c r="B378" s="376"/>
      <c r="C378" s="376"/>
      <c r="D378" s="376"/>
      <c r="E378" s="47"/>
      <c r="F378" s="288">
        <f t="shared" ref="F378:F380" si="152">IF(ISERROR(E378/$I378),0,E378/$I378)</f>
        <v>0</v>
      </c>
      <c r="G378" s="47"/>
      <c r="H378" s="288">
        <f t="shared" ref="H378:H380" si="153">IF(ISERROR(G378/$I378),0,G378/$I378)</f>
        <v>0</v>
      </c>
      <c r="I378" s="125">
        <f>E378+G378</f>
        <v>0</v>
      </c>
    </row>
    <row r="379" spans="1:11">
      <c r="A379" s="376" t="s">
        <v>293</v>
      </c>
      <c r="B379" s="376"/>
      <c r="C379" s="376"/>
      <c r="D379" s="376"/>
      <c r="E379" s="47"/>
      <c r="F379" s="288">
        <f t="shared" si="152"/>
        <v>0</v>
      </c>
      <c r="G379" s="47"/>
      <c r="H379" s="288">
        <f t="shared" si="153"/>
        <v>0</v>
      </c>
      <c r="I379" s="125">
        <f>E379+G379</f>
        <v>0</v>
      </c>
    </row>
    <row r="380" spans="1:11">
      <c r="A380" s="376" t="s">
        <v>294</v>
      </c>
      <c r="B380" s="376"/>
      <c r="C380" s="376"/>
      <c r="D380" s="376"/>
      <c r="E380" s="47"/>
      <c r="F380" s="288">
        <f t="shared" si="152"/>
        <v>0</v>
      </c>
      <c r="G380" s="47">
        <v>0</v>
      </c>
      <c r="H380" s="288">
        <f t="shared" si="153"/>
        <v>0</v>
      </c>
      <c r="I380" s="125">
        <f>E380+G380</f>
        <v>0</v>
      </c>
    </row>
    <row r="381" spans="1:11" ht="15">
      <c r="A381" s="353" t="s">
        <v>295</v>
      </c>
      <c r="B381" s="353"/>
      <c r="C381" s="353"/>
      <c r="D381" s="353"/>
      <c r="E381" s="160">
        <f>SUM(E376:E380)</f>
        <v>0</v>
      </c>
      <c r="F381" s="160"/>
      <c r="G381" s="160">
        <f>SUM(G376:G380)</f>
        <v>0</v>
      </c>
      <c r="H381" s="160"/>
      <c r="I381" s="161">
        <f>SUM(I376:I380)</f>
        <v>0</v>
      </c>
    </row>
    <row r="382" spans="1:11" ht="15">
      <c r="A382" s="293" t="s">
        <v>4531</v>
      </c>
      <c r="B382" s="293"/>
      <c r="C382" s="293"/>
      <c r="D382" s="293"/>
      <c r="E382" s="300">
        <f>IF(ISERROR(E381/(E376+E377+E378)),0,E381/(E376+E377+E378))</f>
        <v>0</v>
      </c>
      <c r="F382" s="300"/>
      <c r="G382" s="300">
        <f>IF(ISERROR(G381/(G376+G377+G378)),0,G381/(G376+G377+G378))</f>
        <v>0</v>
      </c>
      <c r="H382" s="300"/>
      <c r="I382" s="300">
        <f>IF(ISERROR(I381/(I376+I377+I378)),0,I381/(I376+I377+I378))</f>
        <v>0</v>
      </c>
      <c r="J382" s="77"/>
      <c r="K382" s="77"/>
    </row>
    <row r="383" spans="1:11" ht="15">
      <c r="A383" s="293" t="s">
        <v>5573</v>
      </c>
      <c r="B383" s="293"/>
      <c r="C383" s="293"/>
      <c r="D383" s="293"/>
      <c r="E383" s="300">
        <f>IF(ISERROR(E381/I381),0,E381/I381)</f>
        <v>0</v>
      </c>
      <c r="F383" s="300"/>
      <c r="G383" s="300">
        <f>IF(ISERROR(G381/I381),0,G381/I381)</f>
        <v>0</v>
      </c>
      <c r="H383" s="300"/>
      <c r="I383" s="300"/>
      <c r="J383" s="77"/>
      <c r="K383" s="77"/>
    </row>
    <row r="385" spans="1:11" ht="15">
      <c r="A385" s="353" t="s">
        <v>5570</v>
      </c>
      <c r="B385" s="353">
        <v>63102.820000000109</v>
      </c>
      <c r="C385" s="353">
        <v>63102.820000000109</v>
      </c>
      <c r="D385" s="353">
        <v>63102.820000000109</v>
      </c>
      <c r="E385" s="50" t="s">
        <v>289</v>
      </c>
      <c r="F385" s="50"/>
      <c r="G385" s="50" t="s">
        <v>289</v>
      </c>
      <c r="H385" s="50"/>
      <c r="I385" s="158" t="s">
        <v>289</v>
      </c>
    </row>
    <row r="386" spans="1:11">
      <c r="A386" s="376" t="s">
        <v>290</v>
      </c>
      <c r="B386" s="376"/>
      <c r="C386" s="376"/>
      <c r="D386" s="376"/>
      <c r="E386" s="47"/>
      <c r="F386" s="288">
        <f t="shared" ref="F386" si="154">IF(ISERROR(E386/$I386),0,E386/$I386)</f>
        <v>0</v>
      </c>
      <c r="G386" s="47">
        <f>IF(ISERROR(VLOOKUP(54131,Base_Periodo1[[#All],[CONTA]:[VALOR BALANÇO]],10,FALSE)),0,VLOOKUP(54131,Base_Periodo1[[#All],[CONTA]:[VALOR BALANÇO]],10,FALSE))</f>
        <v>0</v>
      </c>
      <c r="H386" s="288">
        <f t="shared" ref="H386" si="155">IF(ISERROR(G386/$I386),0,G386/$I386)</f>
        <v>0</v>
      </c>
      <c r="I386" s="125">
        <f>E386+G386</f>
        <v>0</v>
      </c>
    </row>
    <row r="387" spans="1:11">
      <c r="A387" s="376" t="s">
        <v>291</v>
      </c>
      <c r="B387" s="376"/>
      <c r="C387" s="376"/>
      <c r="D387" s="376"/>
      <c r="E387" s="47"/>
      <c r="F387" s="288">
        <f>IF(ISERROR(E387/$I387),0,E387/$I387)</f>
        <v>0</v>
      </c>
      <c r="G387" s="47">
        <f>IF(ISERROR(VLOOKUP(49825,Base_Periodo1[[#All],[CONTA]:[VALOR BALANÇO]],10,FALSE)),0,VLOOKUP(49825,Base_Periodo1[[#All],[CONTA]:[VALOR BALANÇO]],10,FALSE))</f>
        <v>0</v>
      </c>
      <c r="H387" s="288">
        <f>IF(ISERROR(G387/$I387),0,G387/$I387)</f>
        <v>0</v>
      </c>
      <c r="I387" s="125">
        <f>E387+G387</f>
        <v>0</v>
      </c>
    </row>
    <row r="388" spans="1:11">
      <c r="A388" s="376" t="s">
        <v>292</v>
      </c>
      <c r="B388" s="376"/>
      <c r="C388" s="376"/>
      <c r="D388" s="376"/>
      <c r="E388" s="47"/>
      <c r="F388" s="288">
        <f t="shared" ref="F388:F390" si="156">IF(ISERROR(E388/$I388),0,E388/$I388)</f>
        <v>0</v>
      </c>
      <c r="G388" s="47"/>
      <c r="H388" s="288">
        <f t="shared" ref="H388:H390" si="157">IF(ISERROR(G388/$I388),0,G388/$I388)</f>
        <v>0</v>
      </c>
      <c r="I388" s="125">
        <f>E388+G388</f>
        <v>0</v>
      </c>
    </row>
    <row r="389" spans="1:11">
      <c r="A389" s="376" t="s">
        <v>293</v>
      </c>
      <c r="B389" s="376"/>
      <c r="C389" s="376"/>
      <c r="D389" s="376"/>
      <c r="E389" s="47"/>
      <c r="F389" s="288">
        <f t="shared" si="156"/>
        <v>0</v>
      </c>
      <c r="G389" s="47">
        <f>IF(ISERROR(-VLOOKUP(54137,Base_Periodo1[[#All],[CONTA]:[VALOR BALANÇO]],10,FALSE)),0,-VLOOKUP(54137,Base_Periodo1[[#All],[CONTA]:[VALOR BALANÇO]],10,FALSE))</f>
        <v>0</v>
      </c>
      <c r="H389" s="288">
        <f t="shared" si="157"/>
        <v>0</v>
      </c>
      <c r="I389" s="125">
        <f>E389+G389</f>
        <v>0</v>
      </c>
    </row>
    <row r="390" spans="1:11">
      <c r="A390" s="376" t="s">
        <v>294</v>
      </c>
      <c r="B390" s="376"/>
      <c r="C390" s="376"/>
      <c r="D390" s="376"/>
      <c r="E390" s="47"/>
      <c r="F390" s="288">
        <f t="shared" si="156"/>
        <v>0</v>
      </c>
      <c r="G390" s="47">
        <f>IF(ISERROR(-VLOOKUP(54200,Base_Periodo1[[#All],[CONTA]:[VALOR BALANÇO]],10,FALSE)),0,-VLOOKUP(54200,Base_Periodo1[[#All],[CONTA]:[VALOR BALANÇO]],10,FALSE))</f>
        <v>0</v>
      </c>
      <c r="H390" s="288">
        <f t="shared" si="157"/>
        <v>0</v>
      </c>
      <c r="I390" s="125">
        <f>E390+G390</f>
        <v>0</v>
      </c>
    </row>
    <row r="391" spans="1:11" ht="15">
      <c r="A391" s="353" t="s">
        <v>295</v>
      </c>
      <c r="B391" s="353"/>
      <c r="C391" s="353"/>
      <c r="D391" s="353"/>
      <c r="E391" s="160">
        <f>SUM(E386:E390)</f>
        <v>0</v>
      </c>
      <c r="F391" s="160"/>
      <c r="G391" s="160">
        <f>SUM(G386:G390)</f>
        <v>0</v>
      </c>
      <c r="H391" s="160"/>
      <c r="I391" s="161">
        <f>SUM(I386:I390)</f>
        <v>0</v>
      </c>
      <c r="K391" s="290" t="e">
        <f>VLOOKUP(49824,Base_Periodo1[[#All],[CONTA]:[VALOR BALANÇO]],10,FALSE)+G391</f>
        <v>#N/A</v>
      </c>
    </row>
    <row r="392" spans="1:11" ht="15">
      <c r="A392" s="293" t="s">
        <v>4531</v>
      </c>
      <c r="B392" s="293"/>
      <c r="C392" s="293"/>
      <c r="D392" s="293"/>
      <c r="E392" s="300">
        <f>IF(ISERROR(E391/(E386+E387+E388)),0,E391/(E386+E387+E388))</f>
        <v>0</v>
      </c>
      <c r="F392" s="300"/>
      <c r="G392" s="300">
        <f>IF(ISERROR(G391/(G386+G387+G388)),0,G391/(G386+G387+G388))</f>
        <v>0</v>
      </c>
      <c r="H392" s="300"/>
      <c r="I392" s="300">
        <f>IF(ISERROR(I391/(I386+I387+I388)),0,I391/(I386+I387+I388))</f>
        <v>0</v>
      </c>
      <c r="J392" s="77"/>
      <c r="K392" s="77"/>
    </row>
    <row r="393" spans="1:11" ht="15">
      <c r="A393" s="293" t="s">
        <v>5573</v>
      </c>
      <c r="B393" s="293"/>
      <c r="C393" s="293"/>
      <c r="D393" s="293"/>
      <c r="E393" s="300">
        <f>IF(ISERROR(E391/I391),0,E391/I391)</f>
        <v>0</v>
      </c>
      <c r="F393" s="300"/>
      <c r="G393" s="300">
        <f>IF(ISERROR(G391/I391),0,G391/I391)</f>
        <v>0</v>
      </c>
      <c r="H393" s="300"/>
      <c r="I393" s="300"/>
      <c r="J393" s="77"/>
      <c r="K393" s="77"/>
    </row>
    <row r="395" spans="1:11" ht="15">
      <c r="A395" s="339" t="s">
        <v>331</v>
      </c>
      <c r="B395" s="339"/>
      <c r="C395" s="339"/>
      <c r="D395" s="339"/>
      <c r="E395" s="339"/>
      <c r="F395" s="339"/>
      <c r="G395" s="339"/>
      <c r="H395" s="339"/>
      <c r="I395" s="339"/>
    </row>
    <row r="396" spans="1:11" ht="15">
      <c r="A396" s="339" t="s">
        <v>332</v>
      </c>
      <c r="B396" s="339"/>
      <c r="C396" s="339"/>
      <c r="D396" s="339"/>
      <c r="E396" s="339"/>
      <c r="F396" s="339"/>
      <c r="G396" s="339"/>
      <c r="H396" s="339"/>
      <c r="I396" s="339"/>
    </row>
    <row r="397" spans="1:11" ht="15">
      <c r="A397" s="353" t="s">
        <v>333</v>
      </c>
      <c r="B397" s="353"/>
      <c r="C397" s="353"/>
      <c r="D397" s="353"/>
      <c r="E397" s="50" t="s">
        <v>289</v>
      </c>
      <c r="F397" s="50"/>
      <c r="G397" s="50" t="s">
        <v>289</v>
      </c>
      <c r="H397" s="50"/>
      <c r="I397" s="158" t="s">
        <v>289</v>
      </c>
    </row>
    <row r="398" spans="1:11">
      <c r="A398" s="376" t="s">
        <v>290</v>
      </c>
      <c r="B398" s="376"/>
      <c r="C398" s="376"/>
      <c r="D398" s="376"/>
      <c r="E398" s="47">
        <f>VLOOKUP(31444,Base_Periodo1[[#All],[CONTA]:[VALOR BALANÇO]],10,FALSE)</f>
        <v>1235690.1200000227</v>
      </c>
      <c r="F398" s="288">
        <f t="shared" ref="F398" si="158">IF(ISERROR(E398/$I398),0,E398/$I398)</f>
        <v>0.99483361872464493</v>
      </c>
      <c r="G398" s="47">
        <f>VLOOKUP(34332,Base_Periodo1[[#All],[CONTA]:[VALOR BALANÇO]],10,FALSE)</f>
        <v>6417.2000000297558</v>
      </c>
      <c r="H398" s="288">
        <f t="shared" ref="H398" si="159">IF(ISERROR(G398/$I398),0,G398/$I398)</f>
        <v>5.1663812753550836E-3</v>
      </c>
      <c r="I398" s="125">
        <f>E398+G398</f>
        <v>1242107.3200000525</v>
      </c>
    </row>
    <row r="399" spans="1:11">
      <c r="A399" s="376" t="s">
        <v>291</v>
      </c>
      <c r="B399" s="376"/>
      <c r="C399" s="376"/>
      <c r="D399" s="376"/>
      <c r="E399" s="47"/>
      <c r="F399" s="288">
        <f>IF(ISERROR(E399/$I399),0,E399/$I399)</f>
        <v>0</v>
      </c>
      <c r="G399" s="47"/>
      <c r="H399" s="288">
        <f>IF(ISERROR(G399/$I399),0,G399/$I399)</f>
        <v>0</v>
      </c>
      <c r="I399" s="125"/>
    </row>
    <row r="400" spans="1:11">
      <c r="A400" s="376" t="s">
        <v>292</v>
      </c>
      <c r="B400" s="376"/>
      <c r="C400" s="376"/>
      <c r="D400" s="376"/>
      <c r="E400" s="47">
        <f>-VLOOKUP(31448,Base_Periodo1[[#All],[CONTA]:[VALOR BALANÇO]],10,FALSE)</f>
        <v>-195745.31000000224</v>
      </c>
      <c r="F400" s="288">
        <f t="shared" ref="F400:F402" si="160">IF(ISERROR(E400/$I400),0,E400/$I400)</f>
        <v>0.9948561528054346</v>
      </c>
      <c r="G400" s="47">
        <f>-VLOOKUP(35192,Base_Periodo1[[#All],[CONTA]:[VALOR BALANÇO]],10,FALSE)</f>
        <v>-1012.0899999999965</v>
      </c>
      <c r="H400" s="288">
        <f t="shared" ref="H400:H402" si="161">IF(ISERROR(G400/$I400),0,G400/$I400)</f>
        <v>5.1438471945654141E-3</v>
      </c>
      <c r="I400" s="125">
        <f>E400+G400</f>
        <v>-196757.40000000224</v>
      </c>
    </row>
    <row r="401" spans="1:11">
      <c r="A401" s="376" t="s">
        <v>293</v>
      </c>
      <c r="B401" s="376"/>
      <c r="C401" s="376"/>
      <c r="D401" s="376"/>
      <c r="E401" s="47">
        <f>-VLOOKUP(31450,Base_Periodo1[[#All],[CONTA]:[VALOR BALANÇO]],10,FALSE)</f>
        <v>-1322.6199999997671</v>
      </c>
      <c r="F401" s="288">
        <f t="shared" si="160"/>
        <v>0.99482512222622566</v>
      </c>
      <c r="G401" s="47">
        <f>-VLOOKUP(34334,Base_Periodo1[[#All],[CONTA]:[VALOR BALANÇO]],10,FALSE)</f>
        <v>-6.8800000002329398</v>
      </c>
      <c r="H401" s="288">
        <f t="shared" si="161"/>
        <v>5.1748777737743064E-3</v>
      </c>
      <c r="I401" s="125">
        <f>E401+G401</f>
        <v>-1329.5</v>
      </c>
    </row>
    <row r="402" spans="1:11">
      <c r="A402" s="376" t="s">
        <v>294</v>
      </c>
      <c r="B402" s="376"/>
      <c r="C402" s="376"/>
      <c r="D402" s="376"/>
      <c r="E402" s="47">
        <f>-VLOOKUP(31452,Base_Periodo1[[#All],[CONTA]:[VALOR BALANÇO]],10,FALSE)</f>
        <v>-715034.60000002931</v>
      </c>
      <c r="F402" s="288">
        <f t="shared" si="160"/>
        <v>0.99439794433540696</v>
      </c>
      <c r="G402" s="47">
        <f>-VLOOKUP(34336,Base_Periodo1[[#All],[CONTA]:[VALOR BALANÇO]],10,FALSE)</f>
        <v>-4028.2299999999814</v>
      </c>
      <c r="H402" s="288">
        <f t="shared" si="161"/>
        <v>5.602055664593061E-3</v>
      </c>
      <c r="I402" s="125">
        <f>E402+G402</f>
        <v>-719062.83000002929</v>
      </c>
    </row>
    <row r="403" spans="1:11" ht="15">
      <c r="A403" s="353" t="s">
        <v>295</v>
      </c>
      <c r="B403" s="353"/>
      <c r="C403" s="353"/>
      <c r="D403" s="353"/>
      <c r="E403" s="160">
        <f>SUM(E398:E402)</f>
        <v>323587.58999999135</v>
      </c>
      <c r="F403" s="160"/>
      <c r="G403" s="160">
        <f>SUM(G398:G402)</f>
        <v>1370.0000000295449</v>
      </c>
      <c r="H403" s="160"/>
      <c r="I403" s="161">
        <f>SUM(I398:I402)</f>
        <v>324957.59000002092</v>
      </c>
      <c r="J403" s="290">
        <f>-VLOOKUP(31443,Base_Periodo1[[#All],[CONTA]:[VALOR BALANÇO]],10,FALSE)+E403</f>
        <v>0</v>
      </c>
      <c r="K403" s="290">
        <f>-VLOOKUP(34331,Base_Periodo1[[#All],[CONTA]:[VALOR BALANÇO]],10,FALSE)+G403</f>
        <v>-7.2304828790947795E-10</v>
      </c>
    </row>
    <row r="404" spans="1:11" ht="15">
      <c r="A404" s="293" t="s">
        <v>4531</v>
      </c>
      <c r="B404" s="293"/>
      <c r="C404" s="293"/>
      <c r="D404" s="293"/>
      <c r="E404" s="300">
        <f>E403/(E398+E399+E400)</f>
        <v>0.31115842580144709</v>
      </c>
      <c r="F404" s="300"/>
      <c r="G404" s="300">
        <f>G403/(G398+G399+G400)</f>
        <v>0.25346385180357145</v>
      </c>
      <c r="H404" s="300"/>
      <c r="I404" s="300">
        <f>I403/(I398+I399+I400)</f>
        <v>0.31086010892888893</v>
      </c>
      <c r="J404" s="77"/>
      <c r="K404" s="77"/>
    </row>
    <row r="405" spans="1:11" ht="15">
      <c r="A405" s="293" t="s">
        <v>5573</v>
      </c>
      <c r="B405" s="293"/>
      <c r="C405" s="293"/>
      <c r="D405" s="293"/>
      <c r="E405" s="300">
        <f>E403/I403</f>
        <v>0.99578406523746843</v>
      </c>
      <c r="F405" s="300"/>
      <c r="G405" s="300">
        <f>G403/I403</f>
        <v>4.2159347625314947E-3</v>
      </c>
      <c r="H405" s="300"/>
      <c r="I405" s="300"/>
      <c r="J405" s="77"/>
      <c r="K405" s="77"/>
    </row>
    <row r="406" spans="1:11">
      <c r="A406" s="352"/>
      <c r="B406" s="352"/>
      <c r="C406" s="352"/>
      <c r="D406" s="352"/>
      <c r="E406" s="352"/>
      <c r="F406" s="352"/>
      <c r="G406" s="352"/>
      <c r="H406" s="352"/>
      <c r="I406" s="352"/>
    </row>
    <row r="407" spans="1:11" ht="15">
      <c r="A407" s="353" t="s">
        <v>334</v>
      </c>
      <c r="B407" s="353"/>
      <c r="C407" s="353"/>
      <c r="D407" s="353"/>
      <c r="E407" s="50" t="s">
        <v>289</v>
      </c>
      <c r="F407" s="50"/>
      <c r="G407" s="50" t="s">
        <v>289</v>
      </c>
      <c r="H407" s="50"/>
      <c r="I407" s="158" t="s">
        <v>289</v>
      </c>
    </row>
    <row r="408" spans="1:11">
      <c r="A408" s="376" t="s">
        <v>290</v>
      </c>
      <c r="B408" s="376"/>
      <c r="C408" s="376"/>
      <c r="D408" s="376"/>
      <c r="E408" s="47">
        <f>VLOOKUP(31466,Base_Periodo1[[#All],[CONTA]:[VALOR BALANÇO]],10,FALSE)</f>
        <v>4389028.5600000145</v>
      </c>
      <c r="F408" s="288">
        <f t="shared" ref="F408" si="162">IF(ISERROR(E408/$I408),0,E408/$I408)</f>
        <v>0.97367285376906976</v>
      </c>
      <c r="G408" s="47">
        <f>VLOOKUP(32209,Base_Periodo1[[#All],[CONTA]:[VALOR BALANÇO]],10,FALSE)</f>
        <v>118674.96999998996</v>
      </c>
      <c r="H408" s="288">
        <f t="shared" ref="H408" si="163">IF(ISERROR(G408/$I408),0,G408/$I408)</f>
        <v>2.6327146230930104E-2</v>
      </c>
      <c r="I408" s="125">
        <f>E408+G408</f>
        <v>4507703.5300000049</v>
      </c>
    </row>
    <row r="409" spans="1:11">
      <c r="A409" s="376" t="s">
        <v>291</v>
      </c>
      <c r="B409" s="376"/>
      <c r="C409" s="376"/>
      <c r="D409" s="376"/>
      <c r="E409" s="47"/>
      <c r="F409" s="288">
        <f>IF(ISERROR(E409/$I409),0,E409/$I409)</f>
        <v>0</v>
      </c>
      <c r="G409" s="47"/>
      <c r="H409" s="288">
        <f>IF(ISERROR(G409/$I409),0,G409/$I409)</f>
        <v>0</v>
      </c>
      <c r="I409" s="125">
        <f>E409+G409</f>
        <v>0</v>
      </c>
    </row>
    <row r="410" spans="1:11">
      <c r="A410" s="376" t="s">
        <v>292</v>
      </c>
      <c r="B410" s="376"/>
      <c r="C410" s="376"/>
      <c r="D410" s="376"/>
      <c r="E410" s="47">
        <f>-VLOOKUP(31468,Base_Periodo1[[#All],[CONTA]:[VALOR BALANÇO]],10,FALSE)</f>
        <v>-71344.26999999996</v>
      </c>
      <c r="F410" s="288">
        <f t="shared" ref="F410:F412" si="164">IF(ISERROR(E410/$I410),0,E410/$I410)</f>
        <v>0.97133110959836566</v>
      </c>
      <c r="G410" s="47">
        <f>-VLOOKUP(33313,Base_Periodo1[[#All],[CONTA]:[VALOR BALANÇO]],10,FALSE)</f>
        <v>-2105.7300000000323</v>
      </c>
      <c r="H410" s="288">
        <f t="shared" ref="H410:H412" si="165">IF(ISERROR(G410/$I410),0,G410/$I410)</f>
        <v>2.8668890401634204E-2</v>
      </c>
      <c r="I410" s="125">
        <f>E410+G410</f>
        <v>-73450</v>
      </c>
    </row>
    <row r="411" spans="1:11">
      <c r="A411" s="376" t="s">
        <v>293</v>
      </c>
      <c r="B411" s="376"/>
      <c r="C411" s="376"/>
      <c r="D411" s="376"/>
      <c r="E411" s="47">
        <f>-VLOOKUP(31470,Base_Periodo1[[#All],[CONTA]:[VALOR BALANÇO]],10,FALSE)</f>
        <v>-59473.519999999866</v>
      </c>
      <c r="F411" s="288">
        <f t="shared" si="164"/>
        <v>0.96382757080561299</v>
      </c>
      <c r="G411" s="47">
        <f>-VLOOKUP(32211,Base_Periodo1[[#All],[CONTA]:[VALOR BALANÇO]],10,FALSE)</f>
        <v>-2232.0399999999936</v>
      </c>
      <c r="H411" s="288">
        <f t="shared" si="165"/>
        <v>3.6172429194386999E-2</v>
      </c>
      <c r="I411" s="125">
        <f>E411+G411</f>
        <v>-61705.559999999859</v>
      </c>
    </row>
    <row r="412" spans="1:11">
      <c r="A412" s="376" t="s">
        <v>294</v>
      </c>
      <c r="B412" s="376"/>
      <c r="C412" s="376"/>
      <c r="D412" s="376"/>
      <c r="E412" s="47">
        <f>-VLOOKUP(31472,Base_Periodo1[[#All],[CONTA]:[VALOR BALANÇO]],10,FALSE)</f>
        <v>-4532278.9099999769</v>
      </c>
      <c r="F412" s="288">
        <f t="shared" si="164"/>
        <v>0.97301161340266529</v>
      </c>
      <c r="G412" s="47">
        <f>-VLOOKUP(32739,Base_Periodo1[[#All],[CONTA]:[VALOR BALANÇO]],10,FALSE)</f>
        <v>-125711.65000001527</v>
      </c>
      <c r="H412" s="288">
        <f t="shared" si="165"/>
        <v>2.6988386597334685E-2</v>
      </c>
      <c r="I412" s="125">
        <f>E412+G412</f>
        <v>-4657990.5599999921</v>
      </c>
    </row>
    <row r="413" spans="1:11" ht="15">
      <c r="A413" s="353" t="s">
        <v>295</v>
      </c>
      <c r="B413" s="353"/>
      <c r="C413" s="353"/>
      <c r="D413" s="353"/>
      <c r="E413" s="160">
        <f>SUM(E408:E412)</f>
        <v>-274068.13999996148</v>
      </c>
      <c r="F413" s="160"/>
      <c r="G413" s="160">
        <f>SUM(G408:G412)</f>
        <v>-11374.450000025347</v>
      </c>
      <c r="H413" s="160"/>
      <c r="I413" s="161">
        <f>SUM(I408:I412)</f>
        <v>-285442.58999998681</v>
      </c>
      <c r="J413" s="290">
        <f>-VLOOKUP(31465,Base_Periodo1[[#All],[CONTA]:[VALOR BALANÇO]],10,FALSE)+E413</f>
        <v>-548136.27999992482</v>
      </c>
      <c r="K413" s="290">
        <f>-VLOOKUP(32208,Base_Periodo1[[#All],[CONTA]:[VALOR BALANÇO]],10,FALSE)+G413</f>
        <v>-22748.900000049747</v>
      </c>
    </row>
    <row r="414" spans="1:11" ht="15">
      <c r="A414" s="293" t="s">
        <v>4531</v>
      </c>
      <c r="B414" s="293"/>
      <c r="C414" s="293"/>
      <c r="D414" s="293"/>
      <c r="E414" s="300">
        <f>E413/(E408+E409+E410)</f>
        <v>-6.3475724854343288E-2</v>
      </c>
      <c r="F414" s="300"/>
      <c r="G414" s="300">
        <f>G413/(G408+G409+G410)</f>
        <v>-9.7576770681753869E-2</v>
      </c>
      <c r="H414" s="300"/>
      <c r="I414" s="300">
        <f>I413/(I408+I409+I410)</f>
        <v>-6.4372185322472186E-2</v>
      </c>
      <c r="J414" s="77"/>
      <c r="K414" s="77"/>
    </row>
    <row r="415" spans="1:11" ht="15">
      <c r="A415" s="293" t="s">
        <v>5573</v>
      </c>
      <c r="B415" s="293"/>
      <c r="C415" s="293"/>
      <c r="D415" s="293"/>
      <c r="E415" s="300">
        <f>E413/I413</f>
        <v>0.96015153169670353</v>
      </c>
      <c r="F415" s="300"/>
      <c r="G415" s="300">
        <f>G413/I413</f>
        <v>3.9848468303296546E-2</v>
      </c>
      <c r="H415" s="300"/>
      <c r="I415" s="300"/>
      <c r="J415" s="77"/>
      <c r="K415" s="77"/>
    </row>
    <row r="416" spans="1:11">
      <c r="A416" s="377"/>
      <c r="B416" s="377"/>
      <c r="C416" s="377"/>
      <c r="D416" s="377"/>
      <c r="E416" s="377"/>
      <c r="F416" s="377"/>
      <c r="G416" s="377"/>
      <c r="H416" s="377"/>
      <c r="I416" s="377"/>
    </row>
    <row r="417" spans="1:11" ht="15">
      <c r="A417" s="353" t="s">
        <v>335</v>
      </c>
      <c r="B417" s="353"/>
      <c r="C417" s="353"/>
      <c r="D417" s="353"/>
      <c r="E417" s="50" t="s">
        <v>289</v>
      </c>
      <c r="F417" s="50"/>
      <c r="G417" s="50" t="s">
        <v>289</v>
      </c>
      <c r="H417" s="50"/>
      <c r="I417" s="158" t="s">
        <v>289</v>
      </c>
    </row>
    <row r="418" spans="1:11">
      <c r="A418" s="376" t="s">
        <v>290</v>
      </c>
      <c r="B418" s="376"/>
      <c r="C418" s="376"/>
      <c r="D418" s="376"/>
      <c r="E418" s="47">
        <f>VLOOKUP(31475,Base_Periodo1[[#All],[CONTA]:[VALOR BALANÇO]],10,FALSE)</f>
        <v>1890793.3399999877</v>
      </c>
      <c r="F418" s="288">
        <f t="shared" ref="F418" si="166">IF(ISERROR(E418/$I418),0,E418/$I418)</f>
        <v>0.99999999999999623</v>
      </c>
      <c r="G418" s="47">
        <f>VLOOKUP(31982,Base_Periodo1[[#All],[CONTA]:[VALOR BALANÇO]],10,FALSE)</f>
        <v>7.2177499532699585E-9</v>
      </c>
      <c r="H418" s="288">
        <f t="shared" ref="H418" si="167">IF(ISERROR(G418/$I418),0,G418/$I418)</f>
        <v>3.8173129768216644E-15</v>
      </c>
      <c r="I418" s="125">
        <f>E418+G418</f>
        <v>1890793.339999995</v>
      </c>
    </row>
    <row r="419" spans="1:11">
      <c r="A419" s="376" t="s">
        <v>291</v>
      </c>
      <c r="B419" s="376"/>
      <c r="C419" s="376"/>
      <c r="D419" s="376"/>
      <c r="E419" s="47"/>
      <c r="F419" s="288">
        <f>IF(ISERROR(E419/$I419),0,E419/$I419)</f>
        <v>0</v>
      </c>
      <c r="G419" s="47"/>
      <c r="H419" s="288">
        <f>IF(ISERROR(G419/$I419),0,G419/$I419)</f>
        <v>0</v>
      </c>
      <c r="I419" s="125">
        <f>E419+G419</f>
        <v>0</v>
      </c>
    </row>
    <row r="420" spans="1:11">
      <c r="A420" s="376" t="s">
        <v>292</v>
      </c>
      <c r="B420" s="376"/>
      <c r="C420" s="376"/>
      <c r="D420" s="376"/>
      <c r="E420" s="47">
        <f>-VLOOKUP(31477,Base_Periodo1[[#All],[CONTA]:[VALOR BALANÇO]],10,FALSE)</f>
        <v>-19034</v>
      </c>
      <c r="F420" s="288">
        <f t="shared" ref="F420:F422" si="168">IF(ISERROR(E420/$I420),0,E420/$I420)</f>
        <v>1</v>
      </c>
      <c r="G420" s="47">
        <f>IF(ISERROR(-VLOOKUP(32150,Base_Periodo1[[#All],[CONTA]:[VALOR BALANÇO]],10,FALSE)),0,-VLOOKUP(32150,Base_Periodo1[[#All],[CONTA]:[VALOR BALANÇO]],10,FALSE))</f>
        <v>0</v>
      </c>
      <c r="H420" s="288">
        <f t="shared" ref="H420:H422" si="169">IF(ISERROR(G420/$I420),0,G420/$I420)</f>
        <v>0</v>
      </c>
      <c r="I420" s="125">
        <f>E420+G420</f>
        <v>-19034</v>
      </c>
    </row>
    <row r="421" spans="1:11">
      <c r="A421" s="376" t="s">
        <v>293</v>
      </c>
      <c r="B421" s="376"/>
      <c r="C421" s="376"/>
      <c r="D421" s="376"/>
      <c r="E421" s="47">
        <f>-VLOOKUP(31978,Base_Periodo1[[#All],[CONTA]:[VALOR BALANÇO]],10,FALSE)</f>
        <v>-43325.019999999982</v>
      </c>
      <c r="F421" s="288">
        <f t="shared" si="168"/>
        <v>0.99999999999999933</v>
      </c>
      <c r="G421" s="47">
        <f>-VLOOKUP(31988,Base_Periodo1[[#All],[CONTA]:[VALOR BALANÇO]],10,FALSE)</f>
        <v>-2.9103830456733704E-11</v>
      </c>
      <c r="H421" s="288">
        <f t="shared" si="169"/>
        <v>6.717557304470649E-16</v>
      </c>
      <c r="I421" s="125">
        <f>E421+G421</f>
        <v>-43325.020000000011</v>
      </c>
    </row>
    <row r="422" spans="1:11">
      <c r="A422" s="376" t="s">
        <v>294</v>
      </c>
      <c r="B422" s="376"/>
      <c r="C422" s="376"/>
      <c r="D422" s="376"/>
      <c r="E422" s="47">
        <f>-VLOOKUP(31479,Base_Periodo1[[#All],[CONTA]:[VALOR BALANÇO]],10,FALSE)</f>
        <v>-808825.07999999821</v>
      </c>
      <c r="F422" s="288">
        <f t="shared" si="168"/>
        <v>1.0000000000000047</v>
      </c>
      <c r="G422" s="47">
        <f>-VLOOKUP(31990,Base_Periodo1[[#All],[CONTA]:[VALOR BALANÇO]],10,FALSE)</f>
        <v>3.7252902984619141E-9</v>
      </c>
      <c r="H422" s="288">
        <f t="shared" si="169"/>
        <v>-4.6058046301703939E-15</v>
      </c>
      <c r="I422" s="125">
        <f>E422+G422</f>
        <v>-808825.07999999449</v>
      </c>
    </row>
    <row r="423" spans="1:11" ht="15">
      <c r="A423" s="353" t="s">
        <v>295</v>
      </c>
      <c r="B423" s="353"/>
      <c r="C423" s="353"/>
      <c r="D423" s="353"/>
      <c r="E423" s="160">
        <f>SUM(E418:E422)</f>
        <v>1019609.2399999895</v>
      </c>
      <c r="F423" s="160"/>
      <c r="G423" s="160">
        <f>SUM(G418:G422)</f>
        <v>1.0913936421275139E-8</v>
      </c>
      <c r="H423" s="160"/>
      <c r="I423" s="161">
        <f>SUM(I418:I422)</f>
        <v>1019609.2400000005</v>
      </c>
      <c r="J423" s="290">
        <f>-VLOOKUP(31474,Base_Periodo1[[#All],[CONTA]:[VALOR BALANÇO]],10,FALSE)+E423</f>
        <v>0</v>
      </c>
      <c r="K423" s="290">
        <f>-VLOOKUP(31981,Base_Periodo1[[#All],[CONTA]:[VALOR BALANÇO]],10,FALSE)+G423</f>
        <v>7.4214767664670944E-9</v>
      </c>
    </row>
    <row r="424" spans="1:11" ht="15">
      <c r="A424" s="293" t="s">
        <v>4531</v>
      </c>
      <c r="B424" s="293"/>
      <c r="C424" s="293"/>
      <c r="D424" s="293"/>
      <c r="E424" s="300">
        <f>E423/(E418+E419+E420)</f>
        <v>0.54473308518390839</v>
      </c>
      <c r="F424" s="300"/>
      <c r="G424" s="300">
        <f>G423/(G418+G419+G420)</f>
        <v>1.5120967741935485</v>
      </c>
      <c r="H424" s="300"/>
      <c r="I424" s="300">
        <f>I423/(I418+I419+I420)</f>
        <v>0.54473308518391217</v>
      </c>
      <c r="J424" s="77"/>
      <c r="K424" s="77"/>
    </row>
    <row r="425" spans="1:11" ht="15">
      <c r="A425" s="293" t="s">
        <v>5573</v>
      </c>
      <c r="B425" s="293"/>
      <c r="C425" s="293"/>
      <c r="D425" s="293"/>
      <c r="E425" s="300">
        <f>E423/I423</f>
        <v>0.99999999999998923</v>
      </c>
      <c r="F425" s="300"/>
      <c r="G425" s="300">
        <f>G423/I423</f>
        <v>1.0704038364025746E-14</v>
      </c>
      <c r="H425" s="300"/>
      <c r="I425" s="300"/>
      <c r="J425" s="77"/>
      <c r="K425" s="77"/>
    </row>
    <row r="426" spans="1:11">
      <c r="A426" s="377"/>
      <c r="B426" s="377"/>
      <c r="C426" s="377"/>
      <c r="D426" s="377"/>
      <c r="E426" s="377"/>
      <c r="F426" s="377"/>
      <c r="G426" s="377"/>
      <c r="H426" s="377"/>
      <c r="I426" s="377"/>
    </row>
    <row r="427" spans="1:11" ht="15">
      <c r="A427" s="353" t="s">
        <v>336</v>
      </c>
      <c r="B427" s="353"/>
      <c r="C427" s="353"/>
      <c r="D427" s="353"/>
      <c r="E427" s="50" t="s">
        <v>289</v>
      </c>
      <c r="F427" s="50"/>
      <c r="G427" s="50" t="s">
        <v>289</v>
      </c>
      <c r="H427" s="50"/>
      <c r="I427" s="158" t="s">
        <v>289</v>
      </c>
    </row>
    <row r="428" spans="1:11">
      <c r="A428" s="376" t="s">
        <v>290</v>
      </c>
      <c r="B428" s="376"/>
      <c r="C428" s="376"/>
      <c r="D428" s="376"/>
      <c r="E428" s="47"/>
      <c r="F428" s="288">
        <f t="shared" ref="F428" si="170">IF(ISERROR(E428/$I428),0,E428/$I428)</f>
        <v>0</v>
      </c>
      <c r="G428" s="47"/>
      <c r="H428" s="288">
        <f t="shared" ref="H428" si="171">IF(ISERROR(G428/$I428),0,G428/$I428)</f>
        <v>0</v>
      </c>
      <c r="I428" s="125">
        <f>E428+G428</f>
        <v>0</v>
      </c>
    </row>
    <row r="429" spans="1:11">
      <c r="A429" s="376" t="s">
        <v>291</v>
      </c>
      <c r="B429" s="376"/>
      <c r="C429" s="376"/>
      <c r="D429" s="376"/>
      <c r="E429" s="47"/>
      <c r="F429" s="288">
        <f>IF(ISERROR(E429/$I429),0,E429/$I429)</f>
        <v>0</v>
      </c>
      <c r="G429" s="47"/>
      <c r="H429" s="288">
        <f>IF(ISERROR(G429/$I429),0,G429/$I429)</f>
        <v>0</v>
      </c>
      <c r="I429" s="125">
        <f>E429+G429</f>
        <v>0</v>
      </c>
    </row>
    <row r="430" spans="1:11">
      <c r="A430" s="376" t="s">
        <v>292</v>
      </c>
      <c r="B430" s="376"/>
      <c r="C430" s="376"/>
      <c r="D430" s="376"/>
      <c r="E430" s="47"/>
      <c r="F430" s="288">
        <f t="shared" ref="F430:F432" si="172">IF(ISERROR(E430/$I430),0,E430/$I430)</f>
        <v>0</v>
      </c>
      <c r="G430" s="47"/>
      <c r="H430" s="288">
        <f t="shared" ref="H430:H432" si="173">IF(ISERROR(G430/$I430),0,G430/$I430)</f>
        <v>0</v>
      </c>
      <c r="I430" s="125">
        <f>E430+G430</f>
        <v>0</v>
      </c>
    </row>
    <row r="431" spans="1:11">
      <c r="A431" s="376" t="s">
        <v>293</v>
      </c>
      <c r="B431" s="376"/>
      <c r="C431" s="376"/>
      <c r="D431" s="376"/>
      <c r="E431" s="47"/>
      <c r="F431" s="288">
        <f t="shared" si="172"/>
        <v>0</v>
      </c>
      <c r="G431" s="47"/>
      <c r="H431" s="288">
        <f t="shared" si="173"/>
        <v>0</v>
      </c>
      <c r="I431" s="125">
        <f>E431+G431</f>
        <v>0</v>
      </c>
    </row>
    <row r="432" spans="1:11">
      <c r="A432" s="376" t="s">
        <v>294</v>
      </c>
      <c r="B432" s="376"/>
      <c r="C432" s="376"/>
      <c r="D432" s="376"/>
      <c r="E432" s="47">
        <v>0</v>
      </c>
      <c r="F432" s="288">
        <f t="shared" si="172"/>
        <v>0</v>
      </c>
      <c r="G432" s="47"/>
      <c r="H432" s="288">
        <f t="shared" si="173"/>
        <v>0</v>
      </c>
      <c r="I432" s="125">
        <f>E432+G432</f>
        <v>0</v>
      </c>
    </row>
    <row r="433" spans="1:13" ht="15">
      <c r="A433" s="353" t="s">
        <v>295</v>
      </c>
      <c r="B433" s="353"/>
      <c r="C433" s="353"/>
      <c r="D433" s="353"/>
      <c r="E433" s="160">
        <f>SUM(E428:E432)</f>
        <v>0</v>
      </c>
      <c r="F433" s="160"/>
      <c r="G433" s="160">
        <f>SUM(G428:G432)</f>
        <v>0</v>
      </c>
      <c r="H433" s="160"/>
      <c r="I433" s="161">
        <f>SUM(I428:I432)</f>
        <v>0</v>
      </c>
      <c r="L433"/>
      <c r="M433"/>
    </row>
    <row r="434" spans="1:13">
      <c r="A434" s="352"/>
      <c r="B434" s="352"/>
      <c r="C434" s="352"/>
      <c r="D434" s="352"/>
      <c r="E434" s="352"/>
      <c r="F434" s="352"/>
      <c r="G434" s="352"/>
      <c r="H434" s="352"/>
      <c r="I434" s="352"/>
    </row>
    <row r="435" spans="1:13" ht="15">
      <c r="A435" s="339" t="s">
        <v>337</v>
      </c>
      <c r="B435" s="339"/>
      <c r="C435" s="339"/>
      <c r="D435" s="339"/>
      <c r="E435" s="339"/>
      <c r="F435" s="339"/>
      <c r="G435" s="339"/>
      <c r="H435" s="339"/>
      <c r="I435" s="339"/>
      <c r="M435"/>
    </row>
    <row r="436" spans="1:13" ht="15">
      <c r="A436" s="353" t="s">
        <v>338</v>
      </c>
      <c r="B436" s="353"/>
      <c r="C436" s="353"/>
      <c r="D436" s="353"/>
      <c r="E436" s="50" t="s">
        <v>289</v>
      </c>
      <c r="F436" s="50"/>
      <c r="G436" s="50" t="s">
        <v>289</v>
      </c>
      <c r="H436" s="50"/>
      <c r="I436" s="158" t="s">
        <v>289</v>
      </c>
      <c r="M436"/>
    </row>
    <row r="437" spans="1:13" ht="15">
      <c r="A437" s="376" t="s">
        <v>290</v>
      </c>
      <c r="B437" s="376"/>
      <c r="C437" s="376"/>
      <c r="D437" s="376"/>
      <c r="E437" s="47">
        <f>VLOOKUP(31491,Base_Periodo1[[#All],[CONTA]:[VALOR BALANÇO]],10,FALSE)</f>
        <v>107818.67999999822</v>
      </c>
      <c r="F437" s="288">
        <f t="shared" ref="F437" si="174">IF(ISERROR(E437/$I437),0,E437/$I437)</f>
        <v>0.99824180634497162</v>
      </c>
      <c r="G437" s="47">
        <f>VLOOKUP(34562,Base_Periodo1[[#All],[CONTA]:[VALOR BALANÇO]],10,FALSE)</f>
        <v>189.90000004470494</v>
      </c>
      <c r="H437" s="288">
        <f t="shared" ref="H437" si="175">IF(ISERROR(G437/$I437),0,G437/$I437)</f>
        <v>1.7581936550284199E-3</v>
      </c>
      <c r="I437" s="125">
        <f>E437+G437</f>
        <v>108008.58000004292</v>
      </c>
      <c r="M437"/>
    </row>
    <row r="438" spans="1:13" ht="15">
      <c r="A438" s="376" t="s">
        <v>291</v>
      </c>
      <c r="B438" s="376"/>
      <c r="C438" s="376"/>
      <c r="D438" s="376"/>
      <c r="E438" s="47"/>
      <c r="F438" s="288">
        <f>IF(ISERROR(E438/$I438),0,E438/$I438)</f>
        <v>0</v>
      </c>
      <c r="G438" s="47"/>
      <c r="H438" s="288">
        <f>IF(ISERROR(G438/$I438),0,G438/$I438)</f>
        <v>0</v>
      </c>
      <c r="I438" s="125">
        <f>E438+G438</f>
        <v>0</v>
      </c>
      <c r="L438"/>
      <c r="M438"/>
    </row>
    <row r="439" spans="1:13">
      <c r="A439" s="376" t="s">
        <v>292</v>
      </c>
      <c r="B439" s="376"/>
      <c r="C439" s="376"/>
      <c r="D439" s="376"/>
      <c r="E439" s="47">
        <f>-VLOOKUP(35394,Base_Periodo1[[#All],[CONTA]:[VALOR BALANÇO]],10,FALSE)</f>
        <v>-41133.999999999942</v>
      </c>
      <c r="F439" s="288">
        <f t="shared" ref="F439:F441" si="176">IF(ISERROR(E439/$I439),0,E439/$I439)</f>
        <v>1</v>
      </c>
      <c r="G439" s="47">
        <f>IF(ISERROR(-VLOOKUP(35392,Base_Periodo1[[#All],[CONTA]:[VALOR BALANÇO]],10,FALSE)),0,-VLOOKUP(35392,Base_Periodo1[[#All],[CONTA]:[VALOR BALANÇO]],10,FALSE))</f>
        <v>0</v>
      </c>
      <c r="H439" s="288">
        <f t="shared" ref="H439:H441" si="177">IF(ISERROR(G439/$I439),0,G439/$I439)</f>
        <v>0</v>
      </c>
      <c r="I439" s="125">
        <f>E439+G439</f>
        <v>-41133.999999999942</v>
      </c>
    </row>
    <row r="440" spans="1:13">
      <c r="A440" s="376" t="s">
        <v>293</v>
      </c>
      <c r="B440" s="376"/>
      <c r="C440" s="376"/>
      <c r="D440" s="376"/>
      <c r="E440" s="47">
        <f>IF(ISERROR(-VLOOKUP(31497,Base_Periodo1[[#All],[CONTA]:[VALOR BALANÇO]],10,FALSE)),0,-VLOOKUP(31497,Base_Periodo1[[#All],[CONTA]:[VALOR BALANÇO]],10,FALSE))</f>
        <v>0</v>
      </c>
      <c r="F440" s="288">
        <f t="shared" si="176"/>
        <v>0</v>
      </c>
      <c r="G440" s="47">
        <f>IF(ISERROR(-VLOOKUP(34567,Base_Periodo1[[#All],[CONTA]:[VALOR BALANÇO]],10,FALSE)),0,-VLOOKUP(34567,Base_Periodo1[[#All],[CONTA]:[VALOR BALANÇO]],10,FALSE))</f>
        <v>0</v>
      </c>
      <c r="H440" s="288">
        <f t="shared" si="177"/>
        <v>0</v>
      </c>
      <c r="I440" s="125">
        <f>E440+G440</f>
        <v>0</v>
      </c>
    </row>
    <row r="441" spans="1:13">
      <c r="A441" s="376" t="s">
        <v>294</v>
      </c>
      <c r="B441" s="376"/>
      <c r="C441" s="376"/>
      <c r="D441" s="376"/>
      <c r="E441" s="47">
        <f>-VLOOKUP(31499,Base_Periodo1[[#All],[CONTA]:[VALOR BALANÇO]],10,FALSE)</f>
        <v>-93013.519999981523</v>
      </c>
      <c r="F441" s="288">
        <f t="shared" si="176"/>
        <v>0.99728573991123914</v>
      </c>
      <c r="G441" s="47">
        <f>-VLOOKUP(34563,Base_Periodo1[[#All],[CONTA]:[VALOR BALANÇO]],10,FALSE)</f>
        <v>-253.14999999255087</v>
      </c>
      <c r="H441" s="288">
        <f t="shared" si="177"/>
        <v>2.7142600887607679E-3</v>
      </c>
      <c r="I441" s="125">
        <f>E441+G441</f>
        <v>-93266.669999974081</v>
      </c>
    </row>
    <row r="442" spans="1:13" ht="15">
      <c r="A442" s="353" t="s">
        <v>295</v>
      </c>
      <c r="B442" s="353"/>
      <c r="C442" s="353"/>
      <c r="D442" s="353"/>
      <c r="E442" s="160">
        <f>SUM(E437:E441)</f>
        <v>-26328.839999983247</v>
      </c>
      <c r="F442" s="160"/>
      <c r="G442" s="160">
        <f>SUM(G437:G441)</f>
        <v>-63.249999947845936</v>
      </c>
      <c r="H442" s="160"/>
      <c r="I442" s="161">
        <f>SUM(I437:I441)</f>
        <v>-26392.089999931108</v>
      </c>
      <c r="J442" s="290">
        <f>-VLOOKUP(31490,Base_Periodo1[[#All],[CONTA]:[VALOR BALANÇO]],10,FALSE)+E442</f>
        <v>-52657.679999966524</v>
      </c>
      <c r="K442" s="290">
        <f>-VLOOKUP(34561,Base_Periodo1[[#All],[CONTA]:[VALOR BALANÇO]],10,FALSE)+G442</f>
        <v>-126.49999989567732</v>
      </c>
    </row>
    <row r="443" spans="1:13" ht="15">
      <c r="A443" s="293" t="s">
        <v>4531</v>
      </c>
      <c r="B443" s="293"/>
      <c r="C443" s="293"/>
      <c r="D443" s="293"/>
      <c r="E443" s="300">
        <f>E442/(E437+E438+E439)</f>
        <v>-0.39482591803670541</v>
      </c>
      <c r="F443" s="300"/>
      <c r="G443" s="300">
        <f>G442/(G437+G438+G439)</f>
        <v>-0.3330700365084574</v>
      </c>
      <c r="H443" s="300"/>
      <c r="I443" s="300">
        <f>I442/(I437+I438+I439)</f>
        <v>-0.39465055331807913</v>
      </c>
      <c r="J443" s="77"/>
      <c r="K443" s="77"/>
    </row>
    <row r="444" spans="1:13" ht="15">
      <c r="A444" s="293" t="s">
        <v>5573</v>
      </c>
      <c r="B444" s="293"/>
      <c r="C444" s="293"/>
      <c r="D444" s="293"/>
      <c r="E444" s="300">
        <f>E442/I442</f>
        <v>0.99760344861100336</v>
      </c>
      <c r="F444" s="300"/>
      <c r="G444" s="300">
        <f>G442/I442</f>
        <v>2.3965513889961363E-3</v>
      </c>
      <c r="H444" s="300"/>
      <c r="I444" s="300"/>
      <c r="J444" s="77"/>
      <c r="K444" s="77"/>
    </row>
    <row r="445" spans="1:13">
      <c r="A445" s="352"/>
      <c r="B445" s="352"/>
      <c r="C445" s="352"/>
      <c r="D445" s="352"/>
      <c r="E445" s="352"/>
      <c r="F445" s="352"/>
      <c r="G445" s="352"/>
      <c r="H445" s="352"/>
      <c r="I445" s="352"/>
    </row>
    <row r="446" spans="1:13" ht="15">
      <c r="A446" s="353" t="s">
        <v>311</v>
      </c>
      <c r="B446" s="353">
        <v>63102.820000000109</v>
      </c>
      <c r="C446" s="353">
        <v>63102.820000000109</v>
      </c>
      <c r="D446" s="353">
        <v>63102.820000000109</v>
      </c>
      <c r="E446" s="50" t="s">
        <v>289</v>
      </c>
      <c r="F446" s="50"/>
      <c r="G446" s="50" t="s">
        <v>289</v>
      </c>
      <c r="H446" s="50"/>
      <c r="I446" s="158" t="s">
        <v>289</v>
      </c>
    </row>
    <row r="447" spans="1:13">
      <c r="A447" s="376" t="s">
        <v>290</v>
      </c>
      <c r="B447" s="376"/>
      <c r="C447" s="376"/>
      <c r="D447" s="376"/>
      <c r="E447" s="47">
        <v>0</v>
      </c>
      <c r="F447" s="288">
        <f t="shared" ref="F447" si="178">IF(ISERROR(E447/$I447),0,E447/$I447)</f>
        <v>0</v>
      </c>
      <c r="G447" s="47">
        <v>0</v>
      </c>
      <c r="H447" s="288">
        <f t="shared" ref="H447" si="179">IF(ISERROR(G447/$I447),0,G447/$I447)</f>
        <v>0</v>
      </c>
      <c r="I447" s="125">
        <f>E447+G447</f>
        <v>0</v>
      </c>
    </row>
    <row r="448" spans="1:13">
      <c r="A448" s="376" t="s">
        <v>291</v>
      </c>
      <c r="B448" s="376"/>
      <c r="C448" s="376"/>
      <c r="D448" s="376"/>
      <c r="E448" s="47"/>
      <c r="F448" s="288">
        <f>IF(ISERROR(E448/$I448),0,E448/$I448)</f>
        <v>0</v>
      </c>
      <c r="G448" s="47"/>
      <c r="H448" s="288">
        <f>IF(ISERROR(G448/$I448),0,G448/$I448)</f>
        <v>0</v>
      </c>
      <c r="I448" s="125">
        <f>E448+G448</f>
        <v>0</v>
      </c>
    </row>
    <row r="449" spans="1:11">
      <c r="A449" s="376" t="s">
        <v>292</v>
      </c>
      <c r="B449" s="376"/>
      <c r="C449" s="376"/>
      <c r="D449" s="376"/>
      <c r="E449" s="47">
        <v>0</v>
      </c>
      <c r="F449" s="288">
        <f t="shared" ref="F449:F451" si="180">IF(ISERROR(E449/$I449),0,E449/$I449)</f>
        <v>0</v>
      </c>
      <c r="G449" s="47"/>
      <c r="H449" s="288">
        <f t="shared" ref="H449:H451" si="181">IF(ISERROR(G449/$I449),0,G449/$I449)</f>
        <v>0</v>
      </c>
      <c r="I449" s="125">
        <f>E449+G449</f>
        <v>0</v>
      </c>
    </row>
    <row r="450" spans="1:11">
      <c r="A450" s="376" t="s">
        <v>293</v>
      </c>
      <c r="B450" s="376"/>
      <c r="C450" s="376"/>
      <c r="D450" s="376"/>
      <c r="E450" s="47">
        <v>0</v>
      </c>
      <c r="F450" s="288">
        <f t="shared" si="180"/>
        <v>0</v>
      </c>
      <c r="G450" s="47"/>
      <c r="H450" s="288">
        <f t="shared" si="181"/>
        <v>0</v>
      </c>
      <c r="I450" s="125">
        <f>E450+G450</f>
        <v>0</v>
      </c>
    </row>
    <row r="451" spans="1:11">
      <c r="A451" s="376" t="s">
        <v>294</v>
      </c>
      <c r="B451" s="376"/>
      <c r="C451" s="376"/>
      <c r="D451" s="376"/>
      <c r="E451" s="47">
        <v>0</v>
      </c>
      <c r="F451" s="288">
        <f t="shared" si="180"/>
        <v>0</v>
      </c>
      <c r="G451" s="47">
        <f>IF(ISERROR(-VLOOKUP(53499,Base_Periodo1[[#All],[CONTA]:[VALOR BALANÇO]],10,FALSE)),0,-VLOOKUP(53499,Base_Periodo1[[#All],[CONTA]:[VALOR BALANÇO]],10,FALSE))</f>
        <v>0</v>
      </c>
      <c r="H451" s="288">
        <f t="shared" si="181"/>
        <v>0</v>
      </c>
      <c r="I451" s="125">
        <f>E451+G451</f>
        <v>0</v>
      </c>
    </row>
    <row r="452" spans="1:11" ht="15">
      <c r="A452" s="353" t="s">
        <v>295</v>
      </c>
      <c r="B452" s="353"/>
      <c r="C452" s="353"/>
      <c r="D452" s="353"/>
      <c r="E452" s="160">
        <f>SUM(E447:E451)</f>
        <v>0</v>
      </c>
      <c r="F452" s="160"/>
      <c r="G452" s="160">
        <f>SUM(G447:G451)</f>
        <v>0</v>
      </c>
      <c r="H452" s="160"/>
      <c r="I452" s="161">
        <f>SUM(I447:I451)</f>
        <v>0</v>
      </c>
      <c r="J452" s="290"/>
      <c r="K452" s="290" t="e">
        <f>VLOOKUP(32454,Base_Periodo1[[#All],[CONTA]:[VALOR BALANÇO]],10,FALSE)+G452</f>
        <v>#N/A</v>
      </c>
    </row>
    <row r="453" spans="1:11" ht="15">
      <c r="A453" s="293" t="s">
        <v>4531</v>
      </c>
      <c r="B453" s="293"/>
      <c r="C453" s="293"/>
      <c r="D453" s="293"/>
      <c r="E453" s="300" t="e">
        <f>E452/(E447+E448+E449)</f>
        <v>#DIV/0!</v>
      </c>
      <c r="F453" s="300"/>
      <c r="G453" s="300" t="e">
        <f>G452/(G447+G448+G449)</f>
        <v>#DIV/0!</v>
      </c>
      <c r="H453" s="300"/>
      <c r="I453" s="300" t="e">
        <f>I452/(I447+I448+I449)</f>
        <v>#DIV/0!</v>
      </c>
      <c r="J453" s="77"/>
      <c r="K453" s="77"/>
    </row>
    <row r="454" spans="1:11" ht="15">
      <c r="A454" s="293" t="s">
        <v>5573</v>
      </c>
      <c r="B454" s="293"/>
      <c r="C454" s="293"/>
      <c r="D454" s="293"/>
      <c r="E454" s="300" t="e">
        <f>E452/I452</f>
        <v>#DIV/0!</v>
      </c>
      <c r="F454" s="300"/>
      <c r="G454" s="300" t="e">
        <f>G452/I452</f>
        <v>#DIV/0!</v>
      </c>
      <c r="H454" s="300"/>
      <c r="I454" s="300"/>
      <c r="J454" s="77"/>
      <c r="K454" s="77"/>
    </row>
    <row r="455" spans="1:11">
      <c r="A455" s="352"/>
      <c r="B455" s="352"/>
      <c r="C455" s="352"/>
      <c r="D455" s="352"/>
      <c r="E455" s="352"/>
      <c r="F455" s="352"/>
      <c r="G455" s="352"/>
      <c r="H455" s="352"/>
      <c r="I455" s="352"/>
    </row>
    <row r="456" spans="1:11" ht="15">
      <c r="A456" s="353" t="s">
        <v>312</v>
      </c>
      <c r="B456" s="353">
        <v>63102.820000000109</v>
      </c>
      <c r="C456" s="353">
        <v>63102.820000000109</v>
      </c>
      <c r="D456" s="353">
        <v>63102.820000000109</v>
      </c>
      <c r="E456" s="50" t="s">
        <v>289</v>
      </c>
      <c r="F456" s="50"/>
      <c r="G456" s="50" t="s">
        <v>289</v>
      </c>
      <c r="H456" s="50"/>
      <c r="I456" s="158" t="s">
        <v>289</v>
      </c>
    </row>
    <row r="457" spans="1:11">
      <c r="A457" s="376" t="s">
        <v>290</v>
      </c>
      <c r="B457" s="376"/>
      <c r="C457" s="376"/>
      <c r="D457" s="376"/>
      <c r="E457" s="47">
        <f>VLOOKUP(31513,Base_Periodo1[[#All],[CONTA]:[VALOR BALANÇO]],10,FALSE)</f>
        <v>1732016.360000011</v>
      </c>
      <c r="F457" s="288">
        <f t="shared" ref="F457" si="182">IF(ISERROR(E457/$I457),0,E457/$I457)</f>
        <v>0.97611539207057985</v>
      </c>
      <c r="G457" s="47">
        <f>VLOOKUP(33316,Base_Periodo1[[#All],[CONTA]:[VALOR BALANÇO]],10,FALSE)</f>
        <v>42380.779999984428</v>
      </c>
      <c r="H457" s="288">
        <f t="shared" ref="H457" si="183">IF(ISERROR(G457/$I457),0,G457/$I457)</f>
        <v>2.3884607929420206E-2</v>
      </c>
      <c r="I457" s="125">
        <f>E457+G457</f>
        <v>1774397.1399999955</v>
      </c>
    </row>
    <row r="458" spans="1:11">
      <c r="A458" s="376" t="s">
        <v>291</v>
      </c>
      <c r="B458" s="376"/>
      <c r="C458" s="376"/>
      <c r="D458" s="376"/>
      <c r="E458" s="47"/>
      <c r="F458" s="288">
        <f>IF(ISERROR(E458/$I458),0,E458/$I458)</f>
        <v>0</v>
      </c>
      <c r="G458" s="47"/>
      <c r="H458" s="288">
        <f>IF(ISERROR(G458/$I458),0,G458/$I458)</f>
        <v>0</v>
      </c>
      <c r="I458" s="125">
        <f>E458+G458</f>
        <v>0</v>
      </c>
    </row>
    <row r="459" spans="1:11">
      <c r="A459" s="376" t="s">
        <v>292</v>
      </c>
      <c r="B459" s="376"/>
      <c r="C459" s="376"/>
      <c r="D459" s="376"/>
      <c r="E459" s="47">
        <f>-VLOOKUP(31515,Base_Periodo1[[#All],[CONTA]:[VALOR BALANÇO]],10,FALSE)</f>
        <v>-149435.10999999999</v>
      </c>
      <c r="F459" s="288">
        <f t="shared" ref="F459:F461" si="184">IF(ISERROR(E459/$I459),0,E459/$I459)</f>
        <v>0.97568649926670936</v>
      </c>
      <c r="G459" s="47">
        <f>-VLOOKUP(33997,Base_Periodo1[[#All],[CONTA]:[VALOR BALANÇO]],10,FALSE)</f>
        <v>-3723.8300000000017</v>
      </c>
      <c r="H459" s="288">
        <f t="shared" ref="H459:H461" si="185">IF(ISERROR(G459/$I459),0,G459/$I459)</f>
        <v>2.4313500733290538E-2</v>
      </c>
      <c r="I459" s="125">
        <f>E459+G459</f>
        <v>-153158.94</v>
      </c>
    </row>
    <row r="460" spans="1:11">
      <c r="A460" s="376" t="s">
        <v>293</v>
      </c>
      <c r="B460" s="376"/>
      <c r="C460" s="376"/>
      <c r="D460" s="376"/>
      <c r="E460" s="47">
        <f>-VLOOKUP(31517,Base_Periodo1[[#All],[CONTA]:[VALOR BALANÇO]],10,FALSE)</f>
        <v>-3589.3100000000031</v>
      </c>
      <c r="F460" s="288">
        <f t="shared" si="184"/>
        <v>0.96350590294369931</v>
      </c>
      <c r="G460" s="47">
        <f>-VLOOKUP(33320,Base_Periodo1[[#All],[CONTA]:[VALOR BALANÇO]],10,FALSE)</f>
        <v>-135.94999999995298</v>
      </c>
      <c r="H460" s="288">
        <f t="shared" si="185"/>
        <v>3.6494097056300655E-2</v>
      </c>
      <c r="I460" s="125">
        <f>E460+G460</f>
        <v>-3725.2599999999561</v>
      </c>
    </row>
    <row r="461" spans="1:11">
      <c r="A461" s="376" t="s">
        <v>294</v>
      </c>
      <c r="B461" s="376"/>
      <c r="C461" s="376"/>
      <c r="D461" s="376"/>
      <c r="E461" s="47">
        <f>-VLOOKUP(31519,Base_Periodo1[[#All],[CONTA]:[VALOR BALANÇO]],10,FALSE)</f>
        <v>-1307609.9100000011</v>
      </c>
      <c r="F461" s="288">
        <f t="shared" si="184"/>
        <v>0.97737053799086815</v>
      </c>
      <c r="G461" s="47">
        <f>-VLOOKUP(33318,Base_Periodo1[[#All],[CONTA]:[VALOR BALANÇO]],10,FALSE)</f>
        <v>-30275.629999996861</v>
      </c>
      <c r="H461" s="288">
        <f t="shared" si="185"/>
        <v>2.2629462009131893E-2</v>
      </c>
      <c r="I461" s="125">
        <f>E461+G461</f>
        <v>-1337885.5399999979</v>
      </c>
    </row>
    <row r="462" spans="1:11" ht="15">
      <c r="A462" s="353" t="s">
        <v>295</v>
      </c>
      <c r="B462" s="353"/>
      <c r="C462" s="353"/>
      <c r="D462" s="353"/>
      <c r="E462" s="160">
        <f>SUM(E457:E461)</f>
        <v>271382.03000001004</v>
      </c>
      <c r="F462" s="160"/>
      <c r="G462" s="160">
        <f>SUM(G457:G461)</f>
        <v>8245.3699999876117</v>
      </c>
      <c r="H462" s="160"/>
      <c r="I462" s="161">
        <f>SUM(I457:I461)</f>
        <v>279627.39999999758</v>
      </c>
      <c r="J462" s="290">
        <f>-VLOOKUP(31512,Base_Periodo1[[#All],[CONTA]:[VALOR BALANÇO]],10,FALSE)+E462</f>
        <v>4.6566128730773926E-10</v>
      </c>
      <c r="K462" s="290">
        <f>-VLOOKUP(33315,Base_Periodo1[[#All],[CONTA]:[VALOR BALANÇO]],10,FALSE)+G462</f>
        <v>7.2759576141834259E-11</v>
      </c>
    </row>
    <row r="463" spans="1:11" ht="15">
      <c r="A463" s="293" t="s">
        <v>4531</v>
      </c>
      <c r="B463" s="293"/>
      <c r="C463" s="293"/>
      <c r="D463" s="293"/>
      <c r="E463" s="300">
        <f>E462/(E457+E458+E459)</f>
        <v>0.17148063014142756</v>
      </c>
      <c r="F463" s="300"/>
      <c r="G463" s="300">
        <f>G462/(G457+G458+G459)</f>
        <v>0.21329592738151701</v>
      </c>
      <c r="H463" s="300"/>
      <c r="I463" s="300">
        <f>I462/(I457+I458+I459)</f>
        <v>0.17247767786374535</v>
      </c>
      <c r="J463" s="77"/>
      <c r="K463" s="77"/>
    </row>
    <row r="464" spans="1:11" ht="15">
      <c r="A464" s="293" t="s">
        <v>5573</v>
      </c>
      <c r="B464" s="293"/>
      <c r="C464" s="293"/>
      <c r="D464" s="293"/>
      <c r="E464" s="300">
        <f>E462/I462</f>
        <v>0.97051301124286238</v>
      </c>
      <c r="F464" s="300"/>
      <c r="G464" s="300">
        <f>G462/I462</f>
        <v>2.948698875713783E-2</v>
      </c>
      <c r="H464" s="300"/>
      <c r="I464" s="300"/>
      <c r="J464" s="77"/>
      <c r="K464" s="77"/>
    </row>
    <row r="466" spans="1:11" ht="15">
      <c r="A466" s="353" t="s">
        <v>313</v>
      </c>
      <c r="B466" s="353">
        <v>63102.820000000109</v>
      </c>
      <c r="C466" s="353">
        <v>63102.820000000109</v>
      </c>
      <c r="D466" s="353">
        <v>63102.820000000109</v>
      </c>
      <c r="E466" s="50" t="s">
        <v>289</v>
      </c>
      <c r="F466" s="50"/>
      <c r="G466" s="50" t="s">
        <v>289</v>
      </c>
      <c r="H466" s="50"/>
      <c r="I466" s="158" t="s">
        <v>289</v>
      </c>
    </row>
    <row r="467" spans="1:11">
      <c r="A467" s="376" t="s">
        <v>290</v>
      </c>
      <c r="B467" s="376"/>
      <c r="C467" s="376"/>
      <c r="D467" s="376"/>
      <c r="E467" s="47">
        <f>VLOOKUP(31522,Base_Periodo1[[#All],[CONTA]:[VALOR BALANÇO]],10,FALSE)</f>
        <v>1185080.6300000008</v>
      </c>
      <c r="F467" s="288">
        <f t="shared" ref="F467" si="186">IF(ISERROR(E467/$I467),0,E467/$I467)</f>
        <v>1</v>
      </c>
      <c r="G467" s="47">
        <f>VLOOKUP(48484,Base_Periodo1[[#All],[CONTA]:[VALOR BALANÇO]],10,FALSE)</f>
        <v>0</v>
      </c>
      <c r="H467" s="288">
        <f t="shared" ref="H467" si="187">IF(ISERROR(G467/$I467),0,G467/$I467)</f>
        <v>0</v>
      </c>
      <c r="I467" s="125">
        <f>E467+G467</f>
        <v>1185080.6300000008</v>
      </c>
    </row>
    <row r="468" spans="1:11">
      <c r="A468" s="376" t="s">
        <v>291</v>
      </c>
      <c r="B468" s="376"/>
      <c r="C468" s="376"/>
      <c r="D468" s="376"/>
      <c r="E468" s="47"/>
      <c r="F468" s="288">
        <f>IF(ISERROR(E468/$I468),0,E468/$I468)</f>
        <v>0</v>
      </c>
      <c r="G468" s="47"/>
      <c r="H468" s="288">
        <f>IF(ISERROR(G468/$I468),0,G468/$I468)</f>
        <v>0</v>
      </c>
      <c r="I468" s="125">
        <f>E468+G468</f>
        <v>0</v>
      </c>
    </row>
    <row r="469" spans="1:11">
      <c r="A469" s="376" t="s">
        <v>292</v>
      </c>
      <c r="B469" s="376"/>
      <c r="C469" s="376"/>
      <c r="D469" s="376"/>
      <c r="E469" s="47">
        <f>-VLOOKUP(31524,Base_Periodo1[[#All],[CONTA]:[VALOR BALANÇO]],10,FALSE)</f>
        <v>-45959.50999999998</v>
      </c>
      <c r="F469" s="288">
        <f t="shared" ref="F469:F471" si="188">IF(ISERROR(E469/$I469),0,E469/$I469)</f>
        <v>1</v>
      </c>
      <c r="G469" s="47">
        <f>-VLOOKUP(48487,Base_Periodo1[[#All],[CONTA]:[VALOR BALANÇO]],10,FALSE)</f>
        <v>0</v>
      </c>
      <c r="H469" s="288">
        <f t="shared" ref="H469:H471" si="189">IF(ISERROR(G469/$I469),0,G469/$I469)</f>
        <v>0</v>
      </c>
      <c r="I469" s="125">
        <f>E469+G469</f>
        <v>-45959.50999999998</v>
      </c>
    </row>
    <row r="470" spans="1:11">
      <c r="A470" s="376" t="s">
        <v>293</v>
      </c>
      <c r="B470" s="376"/>
      <c r="C470" s="376"/>
      <c r="D470" s="376"/>
      <c r="E470" s="47">
        <f>-VLOOKUP(50109,Base_Periodo1[[#All],[CONTA]:[VALOR BALANÇO]],10,FALSE)</f>
        <v>-387.84000000000015</v>
      </c>
      <c r="F470" s="288">
        <f t="shared" si="188"/>
        <v>1</v>
      </c>
      <c r="G470" s="47">
        <f>IF(ISERROR(-VLOOKUP(48490,Base_Periodo1[[#All],[CONTA]:[VALOR BALANÇO]],10,FALSE)),0,-VLOOKUP(48490,Base_Periodo1[[#All],[CONTA]:[VALOR BALANÇO]],10,FALSE))</f>
        <v>0</v>
      </c>
      <c r="H470" s="288">
        <f t="shared" si="189"/>
        <v>0</v>
      </c>
      <c r="I470" s="125">
        <f>E470+G470</f>
        <v>-387.84000000000015</v>
      </c>
    </row>
    <row r="471" spans="1:11">
      <c r="A471" s="376" t="s">
        <v>294</v>
      </c>
      <c r="B471" s="376"/>
      <c r="C471" s="376"/>
      <c r="D471" s="376"/>
      <c r="E471" s="47">
        <f>-VLOOKUP(31526,Base_Periodo1[[#All],[CONTA]:[VALOR BALANÇO]],10,FALSE)</f>
        <v>-593223.74000000022</v>
      </c>
      <c r="F471" s="288">
        <f t="shared" si="188"/>
        <v>1</v>
      </c>
      <c r="G471" s="47">
        <f>-VLOOKUP(48488,Base_Periodo1[[#All],[CONTA]:[VALOR BALANÇO]],10,FALSE)</f>
        <v>0</v>
      </c>
      <c r="H471" s="288">
        <f t="shared" si="189"/>
        <v>0</v>
      </c>
      <c r="I471" s="125">
        <f>E471+G471</f>
        <v>-593223.74000000022</v>
      </c>
    </row>
    <row r="472" spans="1:11" ht="15">
      <c r="A472" s="353" t="s">
        <v>295</v>
      </c>
      <c r="B472" s="353"/>
      <c r="C472" s="353"/>
      <c r="D472" s="353"/>
      <c r="E472" s="160">
        <f>SUM(E467:E471)</f>
        <v>545509.5400000005</v>
      </c>
      <c r="F472" s="160"/>
      <c r="G472" s="160">
        <f>SUM(G467:G471)</f>
        <v>0</v>
      </c>
      <c r="H472" s="160"/>
      <c r="I472" s="161">
        <f>SUM(I467:I471)</f>
        <v>545509.5400000005</v>
      </c>
      <c r="J472" s="290">
        <f>-VLOOKUP(31521,Base_Periodo1[[#All],[CONTA]:[VALOR BALANÇO]],10,FALSE)+E472</f>
        <v>0</v>
      </c>
      <c r="K472" s="290">
        <f>-VLOOKUP(48483,Base_Periodo1[[#All],[CONTA]:[VALOR BALANÇO]],10,FALSE)+G472</f>
        <v>0</v>
      </c>
    </row>
    <row r="473" spans="1:11" ht="15">
      <c r="A473" s="293" t="s">
        <v>4531</v>
      </c>
      <c r="B473" s="293"/>
      <c r="C473" s="293"/>
      <c r="D473" s="293"/>
      <c r="E473" s="300">
        <f>E472/(E467+E468+E469)</f>
        <v>0.47888633651178386</v>
      </c>
      <c r="F473" s="300"/>
      <c r="G473" s="300" t="e">
        <f>G472/(G467+G468+G469)</f>
        <v>#DIV/0!</v>
      </c>
      <c r="H473" s="300"/>
      <c r="I473" s="300">
        <f>I472/(I467+I468+I469)</f>
        <v>0.47888633651178386</v>
      </c>
      <c r="J473" s="77"/>
      <c r="K473" s="77"/>
    </row>
    <row r="474" spans="1:11" ht="15">
      <c r="A474" s="293" t="s">
        <v>5573</v>
      </c>
      <c r="B474" s="293"/>
      <c r="C474" s="293"/>
      <c r="D474" s="293"/>
      <c r="E474" s="300">
        <f>E472/I472</f>
        <v>1</v>
      </c>
      <c r="F474" s="300"/>
      <c r="G474" s="300">
        <f>G472/I472</f>
        <v>0</v>
      </c>
      <c r="H474" s="300"/>
      <c r="I474" s="300"/>
      <c r="J474" s="77"/>
      <c r="K474" s="77"/>
    </row>
    <row r="476" spans="1:11" ht="15">
      <c r="A476" s="339" t="s">
        <v>339</v>
      </c>
      <c r="B476" s="339"/>
      <c r="C476" s="339"/>
      <c r="D476" s="339"/>
      <c r="E476" s="339"/>
      <c r="F476" s="339"/>
      <c r="G476" s="339"/>
      <c r="H476" s="339"/>
      <c r="I476" s="339"/>
    </row>
    <row r="477" spans="1:11" ht="15">
      <c r="A477" s="353" t="s">
        <v>340</v>
      </c>
      <c r="B477" s="353">
        <v>63102.820000000109</v>
      </c>
      <c r="C477" s="353">
        <v>63102.820000000109</v>
      </c>
      <c r="D477" s="353">
        <v>63102.820000000109</v>
      </c>
      <c r="E477" s="50" t="s">
        <v>289</v>
      </c>
      <c r="F477" s="50"/>
      <c r="G477" s="50" t="s">
        <v>289</v>
      </c>
      <c r="H477" s="50"/>
      <c r="I477" s="158" t="s">
        <v>289</v>
      </c>
    </row>
    <row r="478" spans="1:11">
      <c r="A478" s="376" t="s">
        <v>290</v>
      </c>
      <c r="B478" s="376"/>
      <c r="C478" s="376"/>
      <c r="D478" s="376"/>
      <c r="E478" s="47">
        <f>VLOOKUP(6108,Base_Periodo1[[#All],[CONTA]:[VALOR BALANÇO]],10,FALSE)</f>
        <v>2093128.4399999871</v>
      </c>
      <c r="F478" s="288">
        <f t="shared" ref="F478" si="190">IF(ISERROR(E478/$I478),0,E478/$I478)</f>
        <v>1</v>
      </c>
      <c r="G478" s="47">
        <v>0</v>
      </c>
      <c r="H478" s="288">
        <f t="shared" ref="H478" si="191">IF(ISERROR(G478/$I478),0,G478/$I478)</f>
        <v>0</v>
      </c>
      <c r="I478" s="125">
        <f>E478+G478</f>
        <v>2093128.4399999871</v>
      </c>
    </row>
    <row r="479" spans="1:11">
      <c r="A479" s="376" t="s">
        <v>291</v>
      </c>
      <c r="B479" s="376"/>
      <c r="C479" s="376"/>
      <c r="D479" s="376"/>
      <c r="E479" s="47"/>
      <c r="F479" s="288">
        <f>IF(ISERROR(E479/$I479),0,E479/$I479)</f>
        <v>0</v>
      </c>
      <c r="G479" s="47"/>
      <c r="H479" s="288">
        <f>IF(ISERROR(G479/$I479),0,G479/$I479)</f>
        <v>0</v>
      </c>
      <c r="I479" s="125">
        <f>E479+G479</f>
        <v>0</v>
      </c>
    </row>
    <row r="480" spans="1:11">
      <c r="A480" s="376" t="s">
        <v>292</v>
      </c>
      <c r="B480" s="376"/>
      <c r="C480" s="376"/>
      <c r="D480" s="376"/>
      <c r="E480" s="47">
        <f>-VLOOKUP(38419,Base_Periodo1[[#All],[CONTA]:[VALOR BALANÇO]],10,FALSE)</f>
        <v>-1097.5400000000045</v>
      </c>
      <c r="F480" s="288">
        <f t="shared" ref="F480:F482" si="192">IF(ISERROR(E480/$I480),0,E480/$I480)</f>
        <v>1</v>
      </c>
      <c r="G480" s="47"/>
      <c r="H480" s="288">
        <f t="shared" ref="H480:H482" si="193">IF(ISERROR(G480/$I480),0,G480/$I480)</f>
        <v>0</v>
      </c>
      <c r="I480" s="125">
        <f>E480+G480</f>
        <v>-1097.5400000000045</v>
      </c>
    </row>
    <row r="481" spans="1:11">
      <c r="A481" s="376" t="s">
        <v>293</v>
      </c>
      <c r="B481" s="376"/>
      <c r="C481" s="376"/>
      <c r="D481" s="376"/>
      <c r="E481" s="47">
        <f>-VLOOKUP(6110,Base_Periodo1[[#All],[CONTA]:[VALOR BALANÇO]],10,FALSE)</f>
        <v>-173949.89000000025</v>
      </c>
      <c r="F481" s="288">
        <f t="shared" si="192"/>
        <v>1</v>
      </c>
      <c r="G481" s="47"/>
      <c r="H481" s="288">
        <f t="shared" si="193"/>
        <v>0</v>
      </c>
      <c r="I481" s="125">
        <f>E481+G481</f>
        <v>-173949.89000000025</v>
      </c>
    </row>
    <row r="482" spans="1:11">
      <c r="A482" s="376" t="s">
        <v>294</v>
      </c>
      <c r="B482" s="376"/>
      <c r="C482" s="376"/>
      <c r="D482" s="376"/>
      <c r="E482" s="47">
        <f>-VLOOKUP(32887,Base_Periodo1[[#All],[CONTA]:[VALOR BALANÇO]],10,FALSE)</f>
        <v>-657204.08999999927</v>
      </c>
      <c r="F482" s="288">
        <f t="shared" si="192"/>
        <v>1</v>
      </c>
      <c r="G482" s="47"/>
      <c r="H482" s="288">
        <f t="shared" si="193"/>
        <v>0</v>
      </c>
      <c r="I482" s="125">
        <f>E482+G482</f>
        <v>-657204.08999999927</v>
      </c>
    </row>
    <row r="483" spans="1:11" ht="15">
      <c r="A483" s="353" t="s">
        <v>295</v>
      </c>
      <c r="B483" s="353"/>
      <c r="C483" s="353"/>
      <c r="D483" s="353"/>
      <c r="E483" s="160">
        <f>SUM(E478:E482)</f>
        <v>1260876.9199999874</v>
      </c>
      <c r="F483" s="160"/>
      <c r="G483" s="160">
        <f>SUM(G478:G482)</f>
        <v>0</v>
      </c>
      <c r="H483" s="160"/>
      <c r="I483" s="161">
        <f>SUM(I478:I482)</f>
        <v>1260876.9199999874</v>
      </c>
      <c r="J483" s="290">
        <f>-VLOOKUP(6107,Base_Periodo1[[#All],[CONTA]:[VALOR BALANÇO]],10,FALSE)+E483</f>
        <v>842120.32999999984</v>
      </c>
    </row>
    <row r="484" spans="1:11" ht="15">
      <c r="A484" s="293" t="s">
        <v>4531</v>
      </c>
      <c r="B484" s="293"/>
      <c r="C484" s="293"/>
      <c r="D484" s="293"/>
      <c r="E484" s="300">
        <f>E483/(E478+E479+E480)</f>
        <v>0.60270473060412022</v>
      </c>
      <c r="F484" s="300"/>
      <c r="G484" s="300" t="e">
        <f>G483/(G478+G479+G480)</f>
        <v>#DIV/0!</v>
      </c>
      <c r="H484" s="300"/>
      <c r="I484" s="300">
        <f>I483/(I478+I479+I480)</f>
        <v>0.60270473060412022</v>
      </c>
      <c r="J484" s="77"/>
      <c r="K484" s="77"/>
    </row>
    <row r="485" spans="1:11" ht="15">
      <c r="A485" s="293" t="s">
        <v>5573</v>
      </c>
      <c r="B485" s="293"/>
      <c r="C485" s="293"/>
      <c r="D485" s="293"/>
      <c r="E485" s="300">
        <f>E483/I483</f>
        <v>1</v>
      </c>
      <c r="F485" s="300"/>
      <c r="G485" s="300">
        <f>G483/I483</f>
        <v>0</v>
      </c>
      <c r="H485" s="300"/>
      <c r="I485" s="300"/>
      <c r="J485" s="77"/>
      <c r="K485" s="77"/>
    </row>
    <row r="487" spans="1:11" ht="15">
      <c r="A487" s="353" t="s">
        <v>5571</v>
      </c>
      <c r="B487" s="353">
        <v>63102.820000000109</v>
      </c>
      <c r="C487" s="353">
        <v>63102.820000000109</v>
      </c>
      <c r="D487" s="353">
        <v>63102.820000000109</v>
      </c>
      <c r="E487" s="50" t="s">
        <v>289</v>
      </c>
      <c r="F487" s="50"/>
      <c r="G487" s="50" t="s">
        <v>289</v>
      </c>
      <c r="H487" s="50"/>
      <c r="I487" s="158" t="s">
        <v>289</v>
      </c>
    </row>
    <row r="488" spans="1:11">
      <c r="A488" s="376" t="s">
        <v>290</v>
      </c>
      <c r="B488" s="376"/>
      <c r="C488" s="376"/>
      <c r="D488" s="376"/>
      <c r="E488" s="47">
        <v>0</v>
      </c>
      <c r="F488" s="288">
        <f t="shared" ref="F488" si="194">IF(ISERROR(E488/$I488),0,E488/$I488)</f>
        <v>0</v>
      </c>
      <c r="G488" s="47">
        <f>VLOOKUP(6803,Base_Periodo1[[#All],[CONTA]:[VALOR BALANÇO]],10,FALSE)</f>
        <v>148326.4300000002</v>
      </c>
      <c r="H488" s="288">
        <f t="shared" ref="H488" si="195">IF(ISERROR(G488/$I488),0,G488/$I488)</f>
        <v>1</v>
      </c>
      <c r="I488" s="125">
        <f>E488+G488</f>
        <v>148326.4300000002</v>
      </c>
    </row>
    <row r="489" spans="1:11">
      <c r="A489" s="376" t="s">
        <v>291</v>
      </c>
      <c r="B489" s="376"/>
      <c r="C489" s="376"/>
      <c r="D489" s="376"/>
      <c r="E489" s="47"/>
      <c r="F489" s="288">
        <f>IF(ISERROR(E489/$I489),0,E489/$I489)</f>
        <v>0</v>
      </c>
      <c r="G489" s="47"/>
      <c r="H489" s="288">
        <f>IF(ISERROR(G489/$I489),0,G489/$I489)</f>
        <v>0</v>
      </c>
      <c r="I489" s="125">
        <f>E489+G489</f>
        <v>0</v>
      </c>
    </row>
    <row r="490" spans="1:11">
      <c r="A490" s="376" t="s">
        <v>292</v>
      </c>
      <c r="B490" s="376"/>
      <c r="C490" s="376"/>
      <c r="D490" s="376"/>
      <c r="E490" s="47">
        <v>0</v>
      </c>
      <c r="F490" s="288">
        <f t="shared" ref="F490:F492" si="196">IF(ISERROR(E490/$I490),0,E490/$I490)</f>
        <v>0</v>
      </c>
      <c r="G490" s="47"/>
      <c r="H490" s="288">
        <f t="shared" ref="H490:H492" si="197">IF(ISERROR(G490/$I490),0,G490/$I490)</f>
        <v>0</v>
      </c>
      <c r="I490" s="125">
        <f>E490+G490</f>
        <v>0</v>
      </c>
    </row>
    <row r="491" spans="1:11">
      <c r="A491" s="376" t="s">
        <v>293</v>
      </c>
      <c r="B491" s="376"/>
      <c r="C491" s="376"/>
      <c r="D491" s="376"/>
      <c r="E491" s="47">
        <v>0</v>
      </c>
      <c r="F491" s="288">
        <f t="shared" si="196"/>
        <v>0</v>
      </c>
      <c r="G491" s="47">
        <f>-VLOOKUP(6805,Base_Periodo1[[#All],[CONTA]:[VALOR BALANÇO]],10,FALSE)</f>
        <v>-16251.550000000019</v>
      </c>
      <c r="H491" s="288">
        <f t="shared" si="197"/>
        <v>1</v>
      </c>
      <c r="I491" s="125">
        <f>E491+G491</f>
        <v>-16251.550000000019</v>
      </c>
    </row>
    <row r="492" spans="1:11">
      <c r="A492" s="376" t="s">
        <v>294</v>
      </c>
      <c r="B492" s="376"/>
      <c r="C492" s="376"/>
      <c r="D492" s="376"/>
      <c r="E492" s="47">
        <v>0</v>
      </c>
      <c r="F492" s="288">
        <f t="shared" si="196"/>
        <v>0</v>
      </c>
      <c r="G492" s="47">
        <v>0</v>
      </c>
      <c r="H492" s="288">
        <f t="shared" si="197"/>
        <v>0</v>
      </c>
      <c r="I492" s="125">
        <f>E492+G492</f>
        <v>0</v>
      </c>
    </row>
    <row r="493" spans="1:11" ht="15">
      <c r="A493" s="353" t="s">
        <v>295</v>
      </c>
      <c r="B493" s="353"/>
      <c r="C493" s="353"/>
      <c r="D493" s="353"/>
      <c r="E493" s="160">
        <f>SUM(E488:E492)</f>
        <v>0</v>
      </c>
      <c r="F493" s="160"/>
      <c r="G493" s="160">
        <f>SUM(G488:G492)</f>
        <v>132074.88000000018</v>
      </c>
      <c r="H493" s="160"/>
      <c r="I493" s="161">
        <f>SUM(I488:I492)</f>
        <v>132074.88000000018</v>
      </c>
      <c r="J493" s="290"/>
      <c r="K493" s="290">
        <f>-VLOOKUP(6802,Base_Periodo1[[#All],[CONTA]:[VALOR BALANÇO]],10,FALSE)+G493</f>
        <v>0</v>
      </c>
    </row>
    <row r="494" spans="1:11" ht="15">
      <c r="A494" s="293" t="s">
        <v>4531</v>
      </c>
      <c r="B494" s="293"/>
      <c r="C494" s="293"/>
      <c r="D494" s="293"/>
      <c r="E494" s="300" t="e">
        <f>E493/(E488+E489+E490)</f>
        <v>#DIV/0!</v>
      </c>
      <c r="F494" s="300"/>
      <c r="G494" s="300">
        <f>G493/(G488+G489+G490)</f>
        <v>0.89043388963113324</v>
      </c>
      <c r="H494" s="300"/>
      <c r="I494" s="300">
        <f>I493/(I488+I489+I490)</f>
        <v>0.89043388963113324</v>
      </c>
      <c r="J494" s="77"/>
      <c r="K494" s="77"/>
    </row>
    <row r="495" spans="1:11" ht="15">
      <c r="A495" s="293" t="s">
        <v>5573</v>
      </c>
      <c r="B495" s="293"/>
      <c r="C495" s="293"/>
      <c r="D495" s="293"/>
      <c r="E495" s="300">
        <f>E493/I493</f>
        <v>0</v>
      </c>
      <c r="F495" s="300"/>
      <c r="G495" s="300">
        <f>G493/I493</f>
        <v>1</v>
      </c>
      <c r="H495" s="300"/>
      <c r="I495" s="300"/>
      <c r="J495" s="77"/>
      <c r="K495" s="77"/>
    </row>
    <row r="497" spans="1:11" ht="15">
      <c r="A497" s="353" t="s">
        <v>5563</v>
      </c>
      <c r="B497" s="353">
        <v>63102.820000000109</v>
      </c>
      <c r="C497" s="353">
        <v>63102.820000000109</v>
      </c>
      <c r="D497" s="353">
        <v>63102.820000000109</v>
      </c>
      <c r="E497" s="50" t="s">
        <v>289</v>
      </c>
      <c r="F497" s="50"/>
      <c r="G497" s="50" t="s">
        <v>289</v>
      </c>
      <c r="H497" s="50"/>
      <c r="I497" s="158" t="s">
        <v>289</v>
      </c>
    </row>
    <row r="498" spans="1:11">
      <c r="A498" s="376" t="s">
        <v>290</v>
      </c>
      <c r="B498" s="376"/>
      <c r="C498" s="376"/>
      <c r="D498" s="376"/>
      <c r="E498" s="47">
        <f>VLOOKUP(6118,Base_Periodo1[[#All],[CONTA]:[VALOR BALANÇO]],10,FALSE)</f>
        <v>201524.53000000445</v>
      </c>
      <c r="F498" s="288">
        <f t="shared" ref="F498" si="198">IF(ISERROR(E498/$I498),0,E498/$I498)</f>
        <v>0.99935533310360047</v>
      </c>
      <c r="G498" s="47">
        <f>IF(ISERROR(VLOOKUP(6835,Base_Periodo1[[#All],[CONTA]:[VALOR BALANÇO]],10,FALSE)),0,VLOOKUP(6835,Base_Periodo1[[#All],[CONTA]:[VALOR BALANÇO]],10,FALSE))</f>
        <v>130</v>
      </c>
      <c r="H498" s="288">
        <f t="shared" ref="H498" si="199">IF(ISERROR(G498/$I498),0,G498/$I498)</f>
        <v>6.4466689639948644E-4</v>
      </c>
      <c r="I498" s="125">
        <f>E498+G498</f>
        <v>201654.53000000445</v>
      </c>
    </row>
    <row r="499" spans="1:11">
      <c r="A499" s="376" t="s">
        <v>291</v>
      </c>
      <c r="B499" s="376"/>
      <c r="C499" s="376"/>
      <c r="D499" s="376"/>
      <c r="E499" s="47"/>
      <c r="F499" s="288">
        <f>IF(ISERROR(E499/$I499),0,E499/$I499)</f>
        <v>0</v>
      </c>
      <c r="G499" s="47"/>
      <c r="H499" s="288">
        <f>IF(ISERROR(G499/$I499),0,G499/$I499)</f>
        <v>0</v>
      </c>
      <c r="I499" s="125">
        <f>E499+G499</f>
        <v>0</v>
      </c>
    </row>
    <row r="500" spans="1:11">
      <c r="A500" s="376" t="s">
        <v>292</v>
      </c>
      <c r="B500" s="376"/>
      <c r="C500" s="376"/>
      <c r="D500" s="376"/>
      <c r="E500" s="47">
        <v>0</v>
      </c>
      <c r="F500" s="288">
        <f t="shared" ref="F500:F502" si="200">IF(ISERROR(E500/$I500),0,E500/$I500)</f>
        <v>0</v>
      </c>
      <c r="G500" s="47"/>
      <c r="H500" s="288">
        <f t="shared" ref="H500:H502" si="201">IF(ISERROR(G500/$I500),0,G500/$I500)</f>
        <v>0</v>
      </c>
      <c r="I500" s="125">
        <f>E500+G500</f>
        <v>0</v>
      </c>
    </row>
    <row r="501" spans="1:11">
      <c r="A501" s="376" t="s">
        <v>293</v>
      </c>
      <c r="B501" s="376"/>
      <c r="C501" s="376"/>
      <c r="D501" s="376"/>
      <c r="E501" s="47">
        <f>-VLOOKUP(6120,Base_Periodo1[[#All],[CONTA]:[VALOR BALANÇO]],10,FALSE)</f>
        <v>-7786.1499999998396</v>
      </c>
      <c r="F501" s="288">
        <f t="shared" si="200"/>
        <v>0.9981258260402498</v>
      </c>
      <c r="G501" s="47">
        <f>IF(ISERROR(-VLOOKUP(6836,Base_Periodo1[[#All],[CONTA]:[VALOR BALANÇO]],10,FALSE)),0,-VLOOKUP(6836,Base_Periodo1[[#All],[CONTA]:[VALOR BALANÇO]],10,FALSE))</f>
        <v>-14.620000000000006</v>
      </c>
      <c r="H501" s="288">
        <f t="shared" si="201"/>
        <v>1.8741739597501665E-3</v>
      </c>
      <c r="I501" s="125">
        <f>E501+G501</f>
        <v>-7800.7699999998395</v>
      </c>
    </row>
    <row r="502" spans="1:11">
      <c r="A502" s="376" t="s">
        <v>294</v>
      </c>
      <c r="B502" s="376"/>
      <c r="C502" s="376"/>
      <c r="D502" s="376"/>
      <c r="E502" s="47">
        <v>0</v>
      </c>
      <c r="F502" s="288">
        <f t="shared" si="200"/>
        <v>0</v>
      </c>
      <c r="G502" s="47">
        <v>0</v>
      </c>
      <c r="H502" s="288">
        <f t="shared" si="201"/>
        <v>0</v>
      </c>
      <c r="I502" s="125">
        <f>E502+G502</f>
        <v>0</v>
      </c>
    </row>
    <row r="503" spans="1:11" ht="15">
      <c r="A503" s="353" t="s">
        <v>295</v>
      </c>
      <c r="B503" s="353"/>
      <c r="C503" s="353"/>
      <c r="D503" s="353"/>
      <c r="E503" s="160">
        <f>SUM(E498:E502)</f>
        <v>193738.3800000046</v>
      </c>
      <c r="F503" s="160"/>
      <c r="G503" s="160">
        <f>SUM(G498:G502)</f>
        <v>115.38</v>
      </c>
      <c r="H503" s="160"/>
      <c r="I503" s="161">
        <f>SUM(I498:I502)</f>
        <v>193853.76000000461</v>
      </c>
      <c r="J503" s="290">
        <f>-VLOOKUP(6117,Base_Periodo1[[#All],[CONTA]:[VALOR BALANÇO]],10,FALSE)+E503</f>
        <v>0</v>
      </c>
      <c r="K503" s="290">
        <f>-VLOOKUP(6834,Base_Periodo1[[#All],[CONTA]:[VALOR BALANÇO]],10,FALSE)+G503</f>
        <v>0</v>
      </c>
    </row>
    <row r="504" spans="1:11" ht="15">
      <c r="A504" s="293" t="s">
        <v>4531</v>
      </c>
      <c r="B504" s="293"/>
      <c r="C504" s="293"/>
      <c r="D504" s="293"/>
      <c r="E504" s="300">
        <f>E503/(E498+E499+E500)</f>
        <v>0.96136376053079153</v>
      </c>
      <c r="F504" s="300"/>
      <c r="G504" s="300">
        <f>G503/(G498+G499+G500)</f>
        <v>0.8875384615384615</v>
      </c>
      <c r="H504" s="300"/>
      <c r="I504" s="300">
        <f>I503/(I498+I499+I500)</f>
        <v>0.96131616780441442</v>
      </c>
      <c r="J504" s="77"/>
      <c r="K504" s="77"/>
    </row>
    <row r="505" spans="1:11" ht="15">
      <c r="A505" s="293" t="s">
        <v>5573</v>
      </c>
      <c r="B505" s="293"/>
      <c r="C505" s="293"/>
      <c r="D505" s="293"/>
      <c r="E505" s="300">
        <f>E503/I503</f>
        <v>0.9994048090684442</v>
      </c>
      <c r="F505" s="300"/>
      <c r="G505" s="300">
        <f>G503/I503</f>
        <v>5.9519093155581426E-4</v>
      </c>
      <c r="H505" s="300"/>
      <c r="I505" s="300"/>
      <c r="J505" s="77"/>
      <c r="K505" s="77"/>
    </row>
    <row r="507" spans="1:11" ht="15">
      <c r="A507" s="353" t="s">
        <v>5564</v>
      </c>
      <c r="B507" s="353">
        <v>63102.820000000109</v>
      </c>
      <c r="C507" s="353">
        <v>63102.820000000109</v>
      </c>
      <c r="D507" s="353">
        <v>63102.820000000109</v>
      </c>
      <c r="E507" s="50" t="s">
        <v>289</v>
      </c>
      <c r="F507" s="50"/>
      <c r="G507" s="50" t="s">
        <v>289</v>
      </c>
      <c r="H507" s="50"/>
      <c r="I507" s="158" t="s">
        <v>289</v>
      </c>
    </row>
    <row r="508" spans="1:11">
      <c r="A508" s="376" t="s">
        <v>290</v>
      </c>
      <c r="B508" s="376"/>
      <c r="C508" s="376"/>
      <c r="D508" s="376"/>
      <c r="E508" s="47">
        <f>VLOOKUP(6123,Base_Periodo1[[#All],[CONTA]:[VALOR BALANÇO]],10,FALSE)</f>
        <v>443006.25000000279</v>
      </c>
      <c r="F508" s="288">
        <f t="shared" ref="F508" si="202">IF(ISERROR(E508/$I508),0,E508/$I508)</f>
        <v>0.38178129676539541</v>
      </c>
      <c r="G508" s="47">
        <f>VLOOKUP(6840,Base_Periodo1[[#All],[CONTA]:[VALOR BALANÇO]],10,FALSE)</f>
        <v>717360.31000000192</v>
      </c>
      <c r="H508" s="288">
        <f t="shared" ref="H508" si="203">IF(ISERROR(G508/$I508),0,G508/$I508)</f>
        <v>0.61821870323460459</v>
      </c>
      <c r="I508" s="125">
        <f>E508+G508</f>
        <v>1160366.5600000047</v>
      </c>
    </row>
    <row r="509" spans="1:11">
      <c r="A509" s="376" t="s">
        <v>291</v>
      </c>
      <c r="B509" s="376"/>
      <c r="C509" s="376"/>
      <c r="D509" s="376"/>
      <c r="E509" s="47"/>
      <c r="F509" s="288">
        <f>IF(ISERROR(E509/$I509),0,E509/$I509)</f>
        <v>0</v>
      </c>
      <c r="G509" s="47"/>
      <c r="H509" s="288">
        <f>IF(ISERROR(G509/$I509),0,G509/$I509)</f>
        <v>0</v>
      </c>
      <c r="I509" s="125">
        <f>E509+G509</f>
        <v>0</v>
      </c>
    </row>
    <row r="510" spans="1:11">
      <c r="A510" s="376" t="s">
        <v>292</v>
      </c>
      <c r="B510" s="376"/>
      <c r="C510" s="376"/>
      <c r="D510" s="376"/>
      <c r="E510" s="47">
        <v>0</v>
      </c>
      <c r="F510" s="288">
        <f t="shared" ref="F510:F512" si="204">IF(ISERROR(E510/$I510),0,E510/$I510)</f>
        <v>0</v>
      </c>
      <c r="G510" s="47"/>
      <c r="H510" s="288">
        <f t="shared" ref="H510:H512" si="205">IF(ISERROR(G510/$I510),0,G510/$I510)</f>
        <v>0</v>
      </c>
      <c r="I510" s="125">
        <f>E510+G510</f>
        <v>0</v>
      </c>
    </row>
    <row r="511" spans="1:11">
      <c r="A511" s="376" t="s">
        <v>293</v>
      </c>
      <c r="B511" s="376"/>
      <c r="C511" s="376"/>
      <c r="D511" s="376"/>
      <c r="E511" s="47">
        <f>-VLOOKUP(6125,Base_Periodo1[[#All],[CONTA]:[VALOR BALANÇO]],10,FALSE)</f>
        <v>-26243.910000000069</v>
      </c>
      <c r="F511" s="288">
        <f t="shared" si="204"/>
        <v>0.3532714877271258</v>
      </c>
      <c r="G511" s="47">
        <f>-VLOOKUP(6841,Base_Periodo1[[#All],[CONTA]:[VALOR BALANÇO]],10,FALSE)</f>
        <v>-48044.310000000063</v>
      </c>
      <c r="H511" s="288">
        <f t="shared" si="205"/>
        <v>0.6467285122728742</v>
      </c>
      <c r="I511" s="125">
        <f>E511+G511</f>
        <v>-74288.220000000132</v>
      </c>
    </row>
    <row r="512" spans="1:11">
      <c r="A512" s="376" t="s">
        <v>294</v>
      </c>
      <c r="B512" s="376"/>
      <c r="C512" s="376"/>
      <c r="D512" s="376"/>
      <c r="E512" s="47">
        <v>0</v>
      </c>
      <c r="F512" s="288">
        <f t="shared" si="204"/>
        <v>0</v>
      </c>
      <c r="G512" s="47"/>
      <c r="H512" s="288">
        <f t="shared" si="205"/>
        <v>0</v>
      </c>
      <c r="I512" s="125">
        <f>E512+G512</f>
        <v>0</v>
      </c>
    </row>
    <row r="513" spans="1:13" ht="15">
      <c r="A513" s="353" t="s">
        <v>295</v>
      </c>
      <c r="B513" s="353"/>
      <c r="C513" s="353"/>
      <c r="D513" s="353"/>
      <c r="E513" s="160">
        <f>SUM(E508:E512)</f>
        <v>416762.3400000027</v>
      </c>
      <c r="F513" s="160"/>
      <c r="G513" s="160">
        <f>SUM(G508:G512)</f>
        <v>669316.00000000186</v>
      </c>
      <c r="H513" s="160"/>
      <c r="I513" s="161">
        <f>SUM(I508:I512)</f>
        <v>1086078.3400000045</v>
      </c>
      <c r="J513" s="290">
        <f>-VLOOKUP(6122,Base_Periodo1[[#All],[CONTA]:[VALOR BALANÇO]],10,FALSE)+E513</f>
        <v>0</v>
      </c>
      <c r="K513" s="290">
        <f>-VLOOKUP(6839,Base_Periodo1[[#All],[CONTA]:[VALOR BALANÇO]],10,FALSE)+G513</f>
        <v>0</v>
      </c>
    </row>
    <row r="514" spans="1:13" ht="15">
      <c r="A514" s="293" t="s">
        <v>4531</v>
      </c>
      <c r="B514" s="293"/>
      <c r="C514" s="293"/>
      <c r="D514" s="293"/>
      <c r="E514" s="300">
        <f>E513/(E508+E509+E510)</f>
        <v>0.9407595039573371</v>
      </c>
      <c r="F514" s="300"/>
      <c r="G514" s="300">
        <f>G513/(G508+G509+G510)</f>
        <v>0.93302625008623641</v>
      </c>
      <c r="H514" s="300"/>
      <c r="I514" s="300">
        <f>I513/(I508+I509+I510)</f>
        <v>0.93597866177736122</v>
      </c>
      <c r="J514" s="77"/>
      <c r="K514" s="77"/>
    </row>
    <row r="515" spans="1:13" ht="15">
      <c r="A515" s="293" t="s">
        <v>5573</v>
      </c>
      <c r="B515" s="293"/>
      <c r="C515" s="293"/>
      <c r="D515" s="293"/>
      <c r="E515" s="300">
        <f>E513/I513</f>
        <v>0.38373137981925037</v>
      </c>
      <c r="F515" s="300"/>
      <c r="G515" s="300">
        <f>G513/I513</f>
        <v>0.61626862018074968</v>
      </c>
      <c r="H515" s="300"/>
      <c r="I515" s="300"/>
      <c r="J515" s="77"/>
      <c r="K515" s="77"/>
    </row>
    <row r="517" spans="1:13" ht="15">
      <c r="A517" s="353" t="s">
        <v>5565</v>
      </c>
      <c r="B517" s="353">
        <v>63102.820000000109</v>
      </c>
      <c r="C517" s="353">
        <v>63102.820000000109</v>
      </c>
      <c r="D517" s="353">
        <v>63102.820000000109</v>
      </c>
      <c r="E517" s="50" t="s">
        <v>289</v>
      </c>
      <c r="F517" s="50"/>
      <c r="G517" s="50" t="s">
        <v>289</v>
      </c>
      <c r="H517" s="50"/>
      <c r="I517" s="158" t="s">
        <v>289</v>
      </c>
    </row>
    <row r="518" spans="1:13">
      <c r="A518" s="376" t="s">
        <v>290</v>
      </c>
      <c r="B518" s="376"/>
      <c r="C518" s="376"/>
      <c r="D518" s="376"/>
      <c r="E518" s="47">
        <f>VLOOKUP(32049,Base_Periodo1[[#All],[CONTA]:[VALOR BALANÇO]],10,FALSE)</f>
        <v>44209.190000000497</v>
      </c>
      <c r="F518" s="288">
        <f t="shared" ref="F518" si="206">IF(ISERROR(E518/$I518),0,E518/$I518)</f>
        <v>0.93225732713700538</v>
      </c>
      <c r="G518" s="47">
        <f>VLOOKUP(32054,Base_Periodo1[[#All],[CONTA]:[VALOR BALANÇO]],10,FALSE)</f>
        <v>3212.4700000002049</v>
      </c>
      <c r="H518" s="288">
        <f t="shared" ref="H518" si="207">IF(ISERROR(G518/$I518),0,G518/$I518)</f>
        <v>6.7742672862994624E-2</v>
      </c>
      <c r="I518" s="125">
        <f>E518+G518</f>
        <v>47421.660000000702</v>
      </c>
    </row>
    <row r="519" spans="1:13">
      <c r="A519" s="376" t="s">
        <v>291</v>
      </c>
      <c r="B519" s="376"/>
      <c r="C519" s="376"/>
      <c r="D519" s="376"/>
      <c r="E519" s="47"/>
      <c r="F519" s="288">
        <f>IF(ISERROR(E519/$I519),0,E519/$I519)</f>
        <v>0</v>
      </c>
      <c r="G519" s="47"/>
      <c r="H519" s="288">
        <f>IF(ISERROR(G519/$I519),0,G519/$I519)</f>
        <v>0</v>
      </c>
      <c r="I519" s="125">
        <f>E519+G519</f>
        <v>0</v>
      </c>
    </row>
    <row r="520" spans="1:13">
      <c r="A520" s="376" t="s">
        <v>292</v>
      </c>
      <c r="B520" s="376"/>
      <c r="C520" s="376"/>
      <c r="D520" s="376"/>
      <c r="E520" s="47">
        <v>0</v>
      </c>
      <c r="F520" s="288">
        <f t="shared" ref="F520:F522" si="208">IF(ISERROR(E520/$I520),0,E520/$I520)</f>
        <v>0</v>
      </c>
      <c r="G520" s="47"/>
      <c r="H520" s="288">
        <f t="shared" ref="H520:H522" si="209">IF(ISERROR(G520/$I520),0,G520/$I520)</f>
        <v>0</v>
      </c>
      <c r="I520" s="125">
        <f>E520+G520</f>
        <v>0</v>
      </c>
    </row>
    <row r="521" spans="1:13">
      <c r="A521" s="376" t="s">
        <v>293</v>
      </c>
      <c r="B521" s="376"/>
      <c r="C521" s="376"/>
      <c r="D521" s="376"/>
      <c r="E521" s="47">
        <f>-VLOOKUP(32051,Base_Periodo1[[#All],[CONTA]:[VALOR BALANÇO]],10,FALSE)</f>
        <v>-1638.7300000000075</v>
      </c>
      <c r="F521" s="288">
        <f t="shared" si="208"/>
        <v>0.93196501285287559</v>
      </c>
      <c r="G521" s="47">
        <f>-VLOOKUP(32056,Base_Periodo1[[#All],[CONTA]:[VALOR BALANÇO]],10,FALSE)</f>
        <v>-119.63000000001944</v>
      </c>
      <c r="H521" s="288">
        <f t="shared" si="209"/>
        <v>6.8034987147124373E-2</v>
      </c>
      <c r="I521" s="125">
        <f>E521+G521</f>
        <v>-1758.360000000027</v>
      </c>
    </row>
    <row r="522" spans="1:13">
      <c r="A522" s="376" t="s">
        <v>294</v>
      </c>
      <c r="B522" s="376"/>
      <c r="C522" s="376"/>
      <c r="D522" s="376"/>
      <c r="E522" s="47">
        <f>-VLOOKUP(33869,Base_Periodo1[[#All],[CONTA]:[VALOR BALANÇO]],10,FALSE)</f>
        <v>-504336.9699999998</v>
      </c>
      <c r="F522" s="288">
        <f t="shared" si="208"/>
        <v>1</v>
      </c>
      <c r="G522" s="47"/>
      <c r="H522" s="288">
        <f t="shared" si="209"/>
        <v>0</v>
      </c>
      <c r="I522" s="125">
        <f>E522+G522</f>
        <v>-504336.9699999998</v>
      </c>
    </row>
    <row r="523" spans="1:13" ht="15">
      <c r="A523" s="353" t="s">
        <v>295</v>
      </c>
      <c r="B523" s="353"/>
      <c r="C523" s="353"/>
      <c r="D523" s="353"/>
      <c r="E523" s="160">
        <f>SUM(E518:E522)</f>
        <v>-461766.50999999931</v>
      </c>
      <c r="F523" s="160"/>
      <c r="G523" s="160">
        <f>SUM(G518:G522)</f>
        <v>3092.8400000001857</v>
      </c>
      <c r="H523" s="160"/>
      <c r="I523" s="161">
        <f>SUM(I518:I522)</f>
        <v>-458673.66999999911</v>
      </c>
      <c r="J523" s="290">
        <f>-VLOOKUP(32047,Base_Periodo1[[#All],[CONTA]:[VALOR BALANÇO]],10,FALSE)-E523</f>
        <v>0</v>
      </c>
      <c r="K523" s="290">
        <f>-VLOOKUP(32053,Base_Periodo1[[#All],[CONTA]:[VALOR BALANÇO]],10,FALSE)+G523</f>
        <v>-5.8207660913467407E-11</v>
      </c>
      <c r="L523" s="77"/>
      <c r="M523" s="77"/>
    </row>
    <row r="524" spans="1:13" ht="15">
      <c r="A524" s="293" t="s">
        <v>4531</v>
      </c>
      <c r="B524" s="293"/>
      <c r="C524" s="293"/>
      <c r="D524" s="293"/>
      <c r="E524" s="300">
        <f>E523/(E518+E519+E520)</f>
        <v>-10.445034392170363</v>
      </c>
      <c r="F524" s="300"/>
      <c r="G524" s="300">
        <f>G523/(G518+G519+G520)</f>
        <v>0.96276074173454951</v>
      </c>
      <c r="H524" s="300"/>
      <c r="I524" s="300">
        <f>I523/(I518+I519+I520)</f>
        <v>-9.6722398583261811</v>
      </c>
      <c r="L524" s="77"/>
      <c r="M524" s="77"/>
    </row>
    <row r="525" spans="1:13" ht="15">
      <c r="A525" s="293" t="s">
        <v>5573</v>
      </c>
      <c r="B525" s="293"/>
      <c r="C525" s="293"/>
      <c r="D525" s="293"/>
      <c r="E525" s="300">
        <f>E523/I523</f>
        <v>1.0067430075068409</v>
      </c>
      <c r="F525" s="300"/>
      <c r="G525" s="300">
        <f>G523/I523</f>
        <v>-6.7430075068407383E-3</v>
      </c>
      <c r="H525" s="300"/>
      <c r="I525" s="300"/>
    </row>
  </sheetData>
  <mergeCells count="404">
    <mergeCell ref="A186:D186"/>
    <mergeCell ref="A187:D187"/>
    <mergeCell ref="A188:D188"/>
    <mergeCell ref="A189:D189"/>
    <mergeCell ref="A193:I193"/>
    <mergeCell ref="A200:D200"/>
    <mergeCell ref="A203:I203"/>
    <mergeCell ref="A204:D204"/>
    <mergeCell ref="A194:D194"/>
    <mergeCell ref="A195:D195"/>
    <mergeCell ref="A196:D196"/>
    <mergeCell ref="A197:D197"/>
    <mergeCell ref="A198:D198"/>
    <mergeCell ref="A199:D199"/>
    <mergeCell ref="D1:I1"/>
    <mergeCell ref="D2:I2"/>
    <mergeCell ref="A4:I4"/>
    <mergeCell ref="D5:I5"/>
    <mergeCell ref="D6:I6"/>
    <mergeCell ref="D7:I7"/>
    <mergeCell ref="A23:D23"/>
    <mergeCell ref="A24:D24"/>
    <mergeCell ref="A25:D25"/>
    <mergeCell ref="E11:F11"/>
    <mergeCell ref="G11:H11"/>
    <mergeCell ref="A26:D26"/>
    <mergeCell ref="A27:D27"/>
    <mergeCell ref="A28:D28"/>
    <mergeCell ref="A9:I9"/>
    <mergeCell ref="A10:I10"/>
    <mergeCell ref="A11:D12"/>
    <mergeCell ref="A13:D13"/>
    <mergeCell ref="A22:D22"/>
    <mergeCell ref="A14:D14"/>
    <mergeCell ref="A15:D15"/>
    <mergeCell ref="A16:D16"/>
    <mergeCell ref="A17:D17"/>
    <mergeCell ref="A37:D37"/>
    <mergeCell ref="A38:D38"/>
    <mergeCell ref="A41:I41"/>
    <mergeCell ref="A42:D42"/>
    <mergeCell ref="A43:D43"/>
    <mergeCell ref="A44:D44"/>
    <mergeCell ref="A31:I31"/>
    <mergeCell ref="A32:D32"/>
    <mergeCell ref="A33:D33"/>
    <mergeCell ref="A34:D34"/>
    <mergeCell ref="A35:D35"/>
    <mergeCell ref="A36:D36"/>
    <mergeCell ref="A53:D53"/>
    <mergeCell ref="A54:D54"/>
    <mergeCell ref="A55:D55"/>
    <mergeCell ref="A56:D56"/>
    <mergeCell ref="A57:D57"/>
    <mergeCell ref="A58:D58"/>
    <mergeCell ref="A45:D45"/>
    <mergeCell ref="A46:D46"/>
    <mergeCell ref="A47:D47"/>
    <mergeCell ref="A48:D48"/>
    <mergeCell ref="A51:I51"/>
    <mergeCell ref="A52:D52"/>
    <mergeCell ref="A67:D67"/>
    <mergeCell ref="A68:D68"/>
    <mergeCell ref="A71:I71"/>
    <mergeCell ref="A72:D72"/>
    <mergeCell ref="A73:D73"/>
    <mergeCell ref="A74:D74"/>
    <mergeCell ref="A61:I61"/>
    <mergeCell ref="A62:D62"/>
    <mergeCell ref="A63:D63"/>
    <mergeCell ref="A64:D64"/>
    <mergeCell ref="A65:D65"/>
    <mergeCell ref="A66:D66"/>
    <mergeCell ref="A104:D104"/>
    <mergeCell ref="A105:D105"/>
    <mergeCell ref="A106:D106"/>
    <mergeCell ref="A107:D107"/>
    <mergeCell ref="A108:D108"/>
    <mergeCell ref="A109:D109"/>
    <mergeCell ref="A75:D75"/>
    <mergeCell ref="A76:D76"/>
    <mergeCell ref="A77:D77"/>
    <mergeCell ref="A78:D78"/>
    <mergeCell ref="A102:I102"/>
    <mergeCell ref="A103:D103"/>
    <mergeCell ref="A81:I81"/>
    <mergeCell ref="A82:D82"/>
    <mergeCell ref="A83:D83"/>
    <mergeCell ref="A84:D84"/>
    <mergeCell ref="A85:D85"/>
    <mergeCell ref="A86:D86"/>
    <mergeCell ref="A87:D87"/>
    <mergeCell ref="A88:D88"/>
    <mergeCell ref="A91:I91"/>
    <mergeCell ref="A92:D92"/>
    <mergeCell ref="A93:D93"/>
    <mergeCell ref="A94:D94"/>
    <mergeCell ref="A118:D118"/>
    <mergeCell ref="A119:D119"/>
    <mergeCell ref="A122:I122"/>
    <mergeCell ref="A123:D123"/>
    <mergeCell ref="A124:D124"/>
    <mergeCell ref="A125:D125"/>
    <mergeCell ref="A112:I112"/>
    <mergeCell ref="A113:D113"/>
    <mergeCell ref="A114:D114"/>
    <mergeCell ref="A115:D115"/>
    <mergeCell ref="A116:D116"/>
    <mergeCell ref="A117:D117"/>
    <mergeCell ref="A134:D134"/>
    <mergeCell ref="A135:D135"/>
    <mergeCell ref="A136:D136"/>
    <mergeCell ref="A137:D137"/>
    <mergeCell ref="A138:D138"/>
    <mergeCell ref="A139:D139"/>
    <mergeCell ref="A126:D126"/>
    <mergeCell ref="A127:D127"/>
    <mergeCell ref="A128:D128"/>
    <mergeCell ref="A129:D129"/>
    <mergeCell ref="A132:I132"/>
    <mergeCell ref="A133:D133"/>
    <mergeCell ref="A148:D148"/>
    <mergeCell ref="A149:D149"/>
    <mergeCell ref="A152:I152"/>
    <mergeCell ref="A153:D153"/>
    <mergeCell ref="A154:D154"/>
    <mergeCell ref="A155:D155"/>
    <mergeCell ref="A142:I142"/>
    <mergeCell ref="A143:D143"/>
    <mergeCell ref="A144:D144"/>
    <mergeCell ref="A145:D145"/>
    <mergeCell ref="A146:D146"/>
    <mergeCell ref="A147:D147"/>
    <mergeCell ref="A213:I213"/>
    <mergeCell ref="A214:D214"/>
    <mergeCell ref="A215:D215"/>
    <mergeCell ref="A156:D156"/>
    <mergeCell ref="A157:D157"/>
    <mergeCell ref="A158:D158"/>
    <mergeCell ref="A159:D159"/>
    <mergeCell ref="A183:D183"/>
    <mergeCell ref="A184:D184"/>
    <mergeCell ref="A163:D163"/>
    <mergeCell ref="A164:D164"/>
    <mergeCell ref="A165:D165"/>
    <mergeCell ref="A166:D166"/>
    <mergeCell ref="A167:D167"/>
    <mergeCell ref="A168:D168"/>
    <mergeCell ref="A169:D169"/>
    <mergeCell ref="A173:D173"/>
    <mergeCell ref="A174:D174"/>
    <mergeCell ref="A175:D175"/>
    <mergeCell ref="A176:D176"/>
    <mergeCell ref="A177:D177"/>
    <mergeCell ref="A178:D178"/>
    <mergeCell ref="A179:D179"/>
    <mergeCell ref="A185:D185"/>
    <mergeCell ref="A205:D205"/>
    <mergeCell ref="A206:D206"/>
    <mergeCell ref="A207:D207"/>
    <mergeCell ref="A230:D230"/>
    <mergeCell ref="A233:I233"/>
    <mergeCell ref="A234:D234"/>
    <mergeCell ref="A235:D235"/>
    <mergeCell ref="A236:D236"/>
    <mergeCell ref="A237:D237"/>
    <mergeCell ref="A224:D224"/>
    <mergeCell ref="A225:D225"/>
    <mergeCell ref="A226:D226"/>
    <mergeCell ref="A227:D227"/>
    <mergeCell ref="A228:D228"/>
    <mergeCell ref="A229:D229"/>
    <mergeCell ref="A216:D216"/>
    <mergeCell ref="A217:D217"/>
    <mergeCell ref="A218:D218"/>
    <mergeCell ref="A219:D219"/>
    <mergeCell ref="A220:D220"/>
    <mergeCell ref="A223:I223"/>
    <mergeCell ref="A208:D208"/>
    <mergeCell ref="A209:D209"/>
    <mergeCell ref="A210:D210"/>
    <mergeCell ref="A246:D246"/>
    <mergeCell ref="A247:D247"/>
    <mergeCell ref="A248:D248"/>
    <mergeCell ref="A249:D249"/>
    <mergeCell ref="A250:D250"/>
    <mergeCell ref="A254:D254"/>
    <mergeCell ref="A238:D238"/>
    <mergeCell ref="A239:D239"/>
    <mergeCell ref="A240:D240"/>
    <mergeCell ref="A243:I243"/>
    <mergeCell ref="A244:D244"/>
    <mergeCell ref="A245:D245"/>
    <mergeCell ref="A264:D264"/>
    <mergeCell ref="A265:D265"/>
    <mergeCell ref="A266:D266"/>
    <mergeCell ref="A267:D267"/>
    <mergeCell ref="A268:D268"/>
    <mergeCell ref="A269:D269"/>
    <mergeCell ref="A255:D255"/>
    <mergeCell ref="A256:D256"/>
    <mergeCell ref="A257:D257"/>
    <mergeCell ref="A258:D258"/>
    <mergeCell ref="A259:D259"/>
    <mergeCell ref="A260:D260"/>
    <mergeCell ref="A299:D299"/>
    <mergeCell ref="A300:D300"/>
    <mergeCell ref="A301:D301"/>
    <mergeCell ref="A304:I304"/>
    <mergeCell ref="A305:D305"/>
    <mergeCell ref="A306:D306"/>
    <mergeCell ref="A270:D270"/>
    <mergeCell ref="A284:I284"/>
    <mergeCell ref="A295:D295"/>
    <mergeCell ref="A296:D296"/>
    <mergeCell ref="A297:D297"/>
    <mergeCell ref="A298:D298"/>
    <mergeCell ref="A274:D274"/>
    <mergeCell ref="A275:D275"/>
    <mergeCell ref="A276:D276"/>
    <mergeCell ref="A277:D277"/>
    <mergeCell ref="A278:D278"/>
    <mergeCell ref="A279:D279"/>
    <mergeCell ref="A280:D280"/>
    <mergeCell ref="A321:D321"/>
    <mergeCell ref="A315:D315"/>
    <mergeCell ref="A316:D316"/>
    <mergeCell ref="A317:D317"/>
    <mergeCell ref="A318:D318"/>
    <mergeCell ref="A319:D319"/>
    <mergeCell ref="A320:D320"/>
    <mergeCell ref="A307:D307"/>
    <mergeCell ref="A308:D308"/>
    <mergeCell ref="A309:D309"/>
    <mergeCell ref="A310:D310"/>
    <mergeCell ref="A311:D311"/>
    <mergeCell ref="A314:I314"/>
    <mergeCell ref="A337:D337"/>
    <mergeCell ref="A338:D338"/>
    <mergeCell ref="A339:D339"/>
    <mergeCell ref="A340:D340"/>
    <mergeCell ref="A341:D341"/>
    <mergeCell ref="A344:I344"/>
    <mergeCell ref="A324:I324"/>
    <mergeCell ref="A335:D335"/>
    <mergeCell ref="A336:D336"/>
    <mergeCell ref="A351:D351"/>
    <mergeCell ref="A354:I354"/>
    <mergeCell ref="A355:D355"/>
    <mergeCell ref="A356:D356"/>
    <mergeCell ref="A357:D357"/>
    <mergeCell ref="A358:D358"/>
    <mergeCell ref="A345:D345"/>
    <mergeCell ref="A346:D346"/>
    <mergeCell ref="A347:D347"/>
    <mergeCell ref="A348:D348"/>
    <mergeCell ref="A349:D349"/>
    <mergeCell ref="A350:D350"/>
    <mergeCell ref="A367:D367"/>
    <mergeCell ref="A368:D368"/>
    <mergeCell ref="A369:D369"/>
    <mergeCell ref="A370:D370"/>
    <mergeCell ref="A371:D371"/>
    <mergeCell ref="A375:D375"/>
    <mergeCell ref="A359:D359"/>
    <mergeCell ref="A360:D360"/>
    <mergeCell ref="A361:D361"/>
    <mergeCell ref="A364:I364"/>
    <mergeCell ref="A365:D365"/>
    <mergeCell ref="A366:D366"/>
    <mergeCell ref="A395:I395"/>
    <mergeCell ref="A396:I396"/>
    <mergeCell ref="A397:D397"/>
    <mergeCell ref="A398:D398"/>
    <mergeCell ref="A399:D399"/>
    <mergeCell ref="A400:D400"/>
    <mergeCell ref="A376:D376"/>
    <mergeCell ref="A377:D377"/>
    <mergeCell ref="A378:D378"/>
    <mergeCell ref="A379:D379"/>
    <mergeCell ref="A380:D380"/>
    <mergeCell ref="A381:D381"/>
    <mergeCell ref="A389:D389"/>
    <mergeCell ref="A390:D390"/>
    <mergeCell ref="A391:D391"/>
    <mergeCell ref="A409:D409"/>
    <mergeCell ref="A410:D410"/>
    <mergeCell ref="A411:D411"/>
    <mergeCell ref="A412:D412"/>
    <mergeCell ref="A413:D413"/>
    <mergeCell ref="A416:I416"/>
    <mergeCell ref="A401:D401"/>
    <mergeCell ref="A402:D402"/>
    <mergeCell ref="A403:D403"/>
    <mergeCell ref="A406:I406"/>
    <mergeCell ref="A407:D407"/>
    <mergeCell ref="A408:D408"/>
    <mergeCell ref="A423:D423"/>
    <mergeCell ref="A426:I426"/>
    <mergeCell ref="A427:D427"/>
    <mergeCell ref="A428:D428"/>
    <mergeCell ref="A429:D429"/>
    <mergeCell ref="A430:D430"/>
    <mergeCell ref="A417:D417"/>
    <mergeCell ref="A418:D418"/>
    <mergeCell ref="A419:D419"/>
    <mergeCell ref="A420:D420"/>
    <mergeCell ref="A421:D421"/>
    <mergeCell ref="A422:D422"/>
    <mergeCell ref="A437:D437"/>
    <mergeCell ref="A438:D438"/>
    <mergeCell ref="A439:D439"/>
    <mergeCell ref="A440:D440"/>
    <mergeCell ref="A441:D441"/>
    <mergeCell ref="A442:D442"/>
    <mergeCell ref="A431:D431"/>
    <mergeCell ref="A432:D432"/>
    <mergeCell ref="A433:D433"/>
    <mergeCell ref="A434:I434"/>
    <mergeCell ref="A435:I435"/>
    <mergeCell ref="A436:D436"/>
    <mergeCell ref="A95:D95"/>
    <mergeCell ref="A96:D96"/>
    <mergeCell ref="A97:D97"/>
    <mergeCell ref="A98:D98"/>
    <mergeCell ref="A479:D479"/>
    <mergeCell ref="A480:D480"/>
    <mergeCell ref="A481:D481"/>
    <mergeCell ref="A482:D482"/>
    <mergeCell ref="A483:D483"/>
    <mergeCell ref="A477:D477"/>
    <mergeCell ref="A478:D478"/>
    <mergeCell ref="A470:D470"/>
    <mergeCell ref="A471:D471"/>
    <mergeCell ref="A472:D472"/>
    <mergeCell ref="A461:D461"/>
    <mergeCell ref="A462:D462"/>
    <mergeCell ref="A466:D466"/>
    <mergeCell ref="A467:D467"/>
    <mergeCell ref="A468:D468"/>
    <mergeCell ref="A469:D469"/>
    <mergeCell ref="A455:I455"/>
    <mergeCell ref="A456:D456"/>
    <mergeCell ref="A457:D457"/>
    <mergeCell ref="A458:D458"/>
    <mergeCell ref="A497:D497"/>
    <mergeCell ref="A498:D498"/>
    <mergeCell ref="A499:D499"/>
    <mergeCell ref="A500:D500"/>
    <mergeCell ref="A501:D501"/>
    <mergeCell ref="A502:D502"/>
    <mergeCell ref="A503:D503"/>
    <mergeCell ref="A507:D507"/>
    <mergeCell ref="A488:D488"/>
    <mergeCell ref="A489:D489"/>
    <mergeCell ref="A490:D490"/>
    <mergeCell ref="A491:D491"/>
    <mergeCell ref="A492:D492"/>
    <mergeCell ref="A493:D493"/>
    <mergeCell ref="A508:D508"/>
    <mergeCell ref="A509:D509"/>
    <mergeCell ref="A510:D510"/>
    <mergeCell ref="A511:D511"/>
    <mergeCell ref="A512:D512"/>
    <mergeCell ref="A513:D513"/>
    <mergeCell ref="A517:D517"/>
    <mergeCell ref="A518:D518"/>
    <mergeCell ref="A519:D519"/>
    <mergeCell ref="A520:D520"/>
    <mergeCell ref="A521:D521"/>
    <mergeCell ref="A522:D522"/>
    <mergeCell ref="A523:D523"/>
    <mergeCell ref="A285:D285"/>
    <mergeCell ref="A286:D286"/>
    <mergeCell ref="A287:D287"/>
    <mergeCell ref="A288:D288"/>
    <mergeCell ref="A289:D289"/>
    <mergeCell ref="A290:D290"/>
    <mergeCell ref="A291:D291"/>
    <mergeCell ref="A294:I294"/>
    <mergeCell ref="A325:D325"/>
    <mergeCell ref="A326:D326"/>
    <mergeCell ref="A327:D327"/>
    <mergeCell ref="A328:D328"/>
    <mergeCell ref="A329:D329"/>
    <mergeCell ref="A330:D330"/>
    <mergeCell ref="A331:D331"/>
    <mergeCell ref="A334:I334"/>
    <mergeCell ref="A385:D385"/>
    <mergeCell ref="A386:D386"/>
    <mergeCell ref="A387:D387"/>
    <mergeCell ref="A388:D388"/>
    <mergeCell ref="A445:I445"/>
    <mergeCell ref="A446:D446"/>
    <mergeCell ref="A447:D447"/>
    <mergeCell ref="A448:D448"/>
    <mergeCell ref="A449:D449"/>
    <mergeCell ref="A450:D450"/>
    <mergeCell ref="A451:D451"/>
    <mergeCell ref="A452:D452"/>
    <mergeCell ref="A487:D487"/>
    <mergeCell ref="A476:I476"/>
    <mergeCell ref="A459:D459"/>
    <mergeCell ref="A460:D460"/>
  </mergeCells>
  <pageMargins left="0.54" right="0.78740157499999996" top="0.56000000000000005" bottom="1.06" header="0.52" footer="1.06"/>
  <pageSetup paperSize="9" scale="69" orientation="portrait" r:id="rId2"/>
  <headerFooter alignWithMargins="0"/>
  <drawing r:id="rId3"/>
  <tableParts count="3">
    <tablePart r:id="rId4"/>
    <tablePart r:id="rId5"/>
    <tablePart r:id="rId6"/>
  </tableParts>
</worksheet>
</file>

<file path=xl/worksheets/sheet13.xml><?xml version="1.0" encoding="utf-8"?>
<worksheet xmlns="http://schemas.openxmlformats.org/spreadsheetml/2006/main" xmlns:r="http://schemas.openxmlformats.org/officeDocument/2006/relationships">
  <sheetPr codeName="Plan5"/>
  <dimension ref="A5:N775"/>
  <sheetViews>
    <sheetView showGridLines="0" topLeftCell="A534" workbookViewId="0">
      <selection activeCell="A5" sqref="A5"/>
    </sheetView>
  </sheetViews>
  <sheetFormatPr defaultRowHeight="15"/>
  <cols>
    <col min="1" max="1" width="9.42578125" bestFit="1" customWidth="1"/>
    <col min="2" max="2" width="11.5703125" bestFit="1" customWidth="1"/>
    <col min="3" max="3" width="13.42578125" bestFit="1" customWidth="1"/>
    <col min="4" max="4" width="13.7109375" bestFit="1" customWidth="1"/>
    <col min="5" max="5" width="9.85546875" bestFit="1" customWidth="1"/>
    <col min="6" max="6" width="11.28515625" bestFit="1" customWidth="1"/>
    <col min="7" max="7" width="62.42578125" bestFit="1" customWidth="1"/>
    <col min="10" max="10" width="11" customWidth="1"/>
    <col min="11" max="11" width="58" bestFit="1" customWidth="1"/>
    <col min="12" max="12" width="19.5703125" bestFit="1" customWidth="1"/>
  </cols>
  <sheetData>
    <row r="5" spans="1:14">
      <c r="A5" t="s">
        <v>0</v>
      </c>
      <c r="B5" t="s">
        <v>4141</v>
      </c>
      <c r="C5" t="s">
        <v>4142</v>
      </c>
      <c r="D5" t="s">
        <v>4143</v>
      </c>
      <c r="E5" t="s">
        <v>4144</v>
      </c>
      <c r="F5" t="s">
        <v>4145</v>
      </c>
      <c r="G5" t="s">
        <v>4146</v>
      </c>
      <c r="J5" t="s">
        <v>133</v>
      </c>
      <c r="K5" t="s">
        <v>135</v>
      </c>
      <c r="L5" t="s">
        <v>136</v>
      </c>
      <c r="M5" t="s">
        <v>137</v>
      </c>
      <c r="N5" t="s">
        <v>138</v>
      </c>
    </row>
    <row r="6" spans="1:14">
      <c r="B6">
        <v>1</v>
      </c>
      <c r="C6">
        <v>4</v>
      </c>
      <c r="D6" t="s">
        <v>4147</v>
      </c>
      <c r="E6">
        <v>1</v>
      </c>
      <c r="F6">
        <v>1</v>
      </c>
      <c r="G6" t="s">
        <v>4148</v>
      </c>
      <c r="J6">
        <v>1</v>
      </c>
      <c r="K6" t="s">
        <v>132</v>
      </c>
      <c r="L6" t="s">
        <v>134</v>
      </c>
      <c r="M6" t="s">
        <v>117</v>
      </c>
      <c r="N6" t="s">
        <v>140</v>
      </c>
    </row>
    <row r="7" spans="1:14">
      <c r="A7">
        <v>15463</v>
      </c>
      <c r="B7">
        <v>1</v>
      </c>
      <c r="C7">
        <v>5</v>
      </c>
      <c r="D7" t="s">
        <v>4149</v>
      </c>
      <c r="E7">
        <v>2</v>
      </c>
      <c r="F7">
        <v>1</v>
      </c>
      <c r="G7" t="s">
        <v>4150</v>
      </c>
      <c r="J7">
        <v>2</v>
      </c>
      <c r="K7" t="s">
        <v>131</v>
      </c>
      <c r="L7" t="s">
        <v>134</v>
      </c>
      <c r="M7" t="s">
        <v>117</v>
      </c>
      <c r="N7" t="s">
        <v>140</v>
      </c>
    </row>
    <row r="8" spans="1:14">
      <c r="A8">
        <v>6638</v>
      </c>
      <c r="B8">
        <v>1</v>
      </c>
      <c r="C8">
        <v>5</v>
      </c>
      <c r="D8" t="s">
        <v>4149</v>
      </c>
      <c r="E8">
        <v>2</v>
      </c>
      <c r="F8">
        <v>1</v>
      </c>
      <c r="G8" t="s">
        <v>4150</v>
      </c>
      <c r="J8">
        <v>3</v>
      </c>
      <c r="K8" t="s">
        <v>130</v>
      </c>
      <c r="L8" t="s">
        <v>134</v>
      </c>
      <c r="M8" t="s">
        <v>117</v>
      </c>
      <c r="N8" t="s">
        <v>106</v>
      </c>
    </row>
    <row r="9" spans="1:14">
      <c r="A9">
        <v>9319</v>
      </c>
      <c r="B9">
        <v>1</v>
      </c>
      <c r="C9">
        <v>5</v>
      </c>
      <c r="D9" t="s">
        <v>4149</v>
      </c>
      <c r="E9">
        <v>2</v>
      </c>
      <c r="F9">
        <v>1</v>
      </c>
      <c r="G9" t="s">
        <v>4150</v>
      </c>
      <c r="J9">
        <v>5</v>
      </c>
      <c r="K9" t="s">
        <v>129</v>
      </c>
      <c r="L9" t="s">
        <v>106</v>
      </c>
      <c r="M9" t="s">
        <v>117</v>
      </c>
      <c r="N9" t="s">
        <v>106</v>
      </c>
    </row>
    <row r="10" spans="1:14">
      <c r="A10">
        <v>6413</v>
      </c>
      <c r="B10">
        <v>1</v>
      </c>
      <c r="C10">
        <v>5</v>
      </c>
      <c r="D10" t="s">
        <v>4149</v>
      </c>
      <c r="E10">
        <v>2</v>
      </c>
      <c r="F10">
        <v>1</v>
      </c>
      <c r="G10" t="s">
        <v>4150</v>
      </c>
      <c r="J10">
        <v>6</v>
      </c>
      <c r="K10" t="s">
        <v>128</v>
      </c>
      <c r="L10" t="s">
        <v>106</v>
      </c>
      <c r="M10" t="s">
        <v>117</v>
      </c>
      <c r="N10" t="s">
        <v>106</v>
      </c>
    </row>
    <row r="11" spans="1:14">
      <c r="A11">
        <v>6433</v>
      </c>
      <c r="B11">
        <v>1</v>
      </c>
      <c r="C11">
        <v>5</v>
      </c>
      <c r="D11" t="s">
        <v>4149</v>
      </c>
      <c r="E11">
        <v>2</v>
      </c>
      <c r="F11">
        <v>1</v>
      </c>
      <c r="G11" t="s">
        <v>4150</v>
      </c>
      <c r="J11">
        <v>7</v>
      </c>
      <c r="K11" t="s">
        <v>127</v>
      </c>
      <c r="L11" t="s">
        <v>106</v>
      </c>
      <c r="M11" t="s">
        <v>117</v>
      </c>
      <c r="N11" t="s">
        <v>106</v>
      </c>
    </row>
    <row r="12" spans="1:14">
      <c r="A12">
        <v>6449</v>
      </c>
      <c r="B12">
        <v>1</v>
      </c>
      <c r="C12">
        <v>5</v>
      </c>
      <c r="D12" t="s">
        <v>4149</v>
      </c>
      <c r="E12">
        <v>2</v>
      </c>
      <c r="F12">
        <v>1</v>
      </c>
      <c r="G12" t="s">
        <v>4150</v>
      </c>
      <c r="J12">
        <v>8</v>
      </c>
      <c r="K12" t="s">
        <v>126</v>
      </c>
      <c r="L12" t="s">
        <v>106</v>
      </c>
      <c r="M12" t="s">
        <v>106</v>
      </c>
      <c r="N12" t="s">
        <v>106</v>
      </c>
    </row>
    <row r="13" spans="1:14">
      <c r="A13">
        <v>6462</v>
      </c>
      <c r="B13">
        <v>1</v>
      </c>
      <c r="C13">
        <v>5</v>
      </c>
      <c r="D13" t="s">
        <v>4149</v>
      </c>
      <c r="E13">
        <v>2</v>
      </c>
      <c r="F13">
        <v>1</v>
      </c>
      <c r="G13" t="s">
        <v>4150</v>
      </c>
    </row>
    <row r="14" spans="1:14">
      <c r="A14">
        <v>6480</v>
      </c>
      <c r="B14">
        <v>1</v>
      </c>
      <c r="C14">
        <v>5</v>
      </c>
      <c r="D14" t="s">
        <v>4149</v>
      </c>
      <c r="E14">
        <v>2</v>
      </c>
      <c r="F14">
        <v>1</v>
      </c>
      <c r="G14" t="s">
        <v>4150</v>
      </c>
    </row>
    <row r="15" spans="1:14">
      <c r="A15">
        <v>6674</v>
      </c>
      <c r="B15">
        <v>1</v>
      </c>
      <c r="C15">
        <v>5</v>
      </c>
      <c r="D15" t="s">
        <v>4149</v>
      </c>
      <c r="E15">
        <v>2</v>
      </c>
      <c r="F15">
        <v>1</v>
      </c>
      <c r="G15" t="s">
        <v>4150</v>
      </c>
    </row>
    <row r="16" spans="1:14">
      <c r="A16">
        <v>6514</v>
      </c>
      <c r="B16">
        <v>1</v>
      </c>
      <c r="C16">
        <v>5</v>
      </c>
      <c r="D16" t="s">
        <v>4149</v>
      </c>
      <c r="E16">
        <v>2</v>
      </c>
      <c r="F16">
        <v>1</v>
      </c>
      <c r="G16" t="s">
        <v>4150</v>
      </c>
    </row>
    <row r="17" spans="1:7">
      <c r="A17">
        <v>6527</v>
      </c>
      <c r="B17">
        <v>1</v>
      </c>
      <c r="C17">
        <v>5</v>
      </c>
      <c r="D17" t="s">
        <v>4149</v>
      </c>
      <c r="E17">
        <v>2</v>
      </c>
      <c r="F17">
        <v>1</v>
      </c>
      <c r="G17" t="s">
        <v>4150</v>
      </c>
    </row>
    <row r="18" spans="1:7">
      <c r="A18">
        <v>6572</v>
      </c>
      <c r="B18">
        <v>1</v>
      </c>
      <c r="C18">
        <v>5</v>
      </c>
      <c r="D18" t="s">
        <v>4149</v>
      </c>
      <c r="E18">
        <v>2</v>
      </c>
      <c r="F18">
        <v>1</v>
      </c>
      <c r="G18" t="s">
        <v>4150</v>
      </c>
    </row>
    <row r="19" spans="1:7">
      <c r="A19">
        <v>6586</v>
      </c>
      <c r="B19">
        <v>1</v>
      </c>
      <c r="C19">
        <v>5</v>
      </c>
      <c r="D19" t="s">
        <v>4149</v>
      </c>
      <c r="E19">
        <v>2</v>
      </c>
      <c r="F19">
        <v>1</v>
      </c>
      <c r="G19" t="s">
        <v>4150</v>
      </c>
    </row>
    <row r="20" spans="1:7">
      <c r="A20">
        <v>6597</v>
      </c>
      <c r="B20">
        <v>1</v>
      </c>
      <c r="C20">
        <v>5</v>
      </c>
      <c r="D20" t="s">
        <v>4149</v>
      </c>
      <c r="E20">
        <v>2</v>
      </c>
      <c r="F20">
        <v>1</v>
      </c>
      <c r="G20" t="s">
        <v>4150</v>
      </c>
    </row>
    <row r="21" spans="1:7">
      <c r="A21">
        <v>6608</v>
      </c>
      <c r="B21">
        <v>1</v>
      </c>
      <c r="C21">
        <v>5</v>
      </c>
      <c r="D21" t="s">
        <v>4149</v>
      </c>
      <c r="E21">
        <v>2</v>
      </c>
      <c r="F21">
        <v>1</v>
      </c>
      <c r="G21" t="s">
        <v>4150</v>
      </c>
    </row>
    <row r="22" spans="1:7">
      <c r="A22">
        <v>6619</v>
      </c>
      <c r="B22">
        <v>1</v>
      </c>
      <c r="C22">
        <v>5</v>
      </c>
      <c r="D22" t="s">
        <v>4149</v>
      </c>
      <c r="E22">
        <v>2</v>
      </c>
      <c r="F22">
        <v>1</v>
      </c>
      <c r="G22" t="s">
        <v>4150</v>
      </c>
    </row>
    <row r="23" spans="1:7">
      <c r="A23">
        <v>6630</v>
      </c>
      <c r="B23">
        <v>1</v>
      </c>
      <c r="C23">
        <v>5</v>
      </c>
      <c r="D23" t="s">
        <v>4149</v>
      </c>
      <c r="E23">
        <v>2</v>
      </c>
      <c r="F23">
        <v>1</v>
      </c>
      <c r="G23" t="s">
        <v>4150</v>
      </c>
    </row>
    <row r="24" spans="1:7">
      <c r="A24">
        <v>6655</v>
      </c>
      <c r="B24">
        <v>1</v>
      </c>
      <c r="C24">
        <v>5</v>
      </c>
      <c r="D24" t="s">
        <v>4149</v>
      </c>
      <c r="E24">
        <v>2</v>
      </c>
      <c r="F24">
        <v>1</v>
      </c>
      <c r="G24" t="s">
        <v>4150</v>
      </c>
    </row>
    <row r="25" spans="1:7">
      <c r="A25">
        <v>6664</v>
      </c>
      <c r="B25">
        <v>1</v>
      </c>
      <c r="C25">
        <v>5</v>
      </c>
      <c r="D25" t="s">
        <v>4149</v>
      </c>
      <c r="E25">
        <v>2</v>
      </c>
      <c r="F25">
        <v>1</v>
      </c>
      <c r="G25" t="s">
        <v>4150</v>
      </c>
    </row>
    <row r="26" spans="1:7">
      <c r="A26">
        <v>54132</v>
      </c>
      <c r="B26">
        <v>1</v>
      </c>
      <c r="C26">
        <v>5</v>
      </c>
      <c r="D26" t="s">
        <v>4149</v>
      </c>
      <c r="E26">
        <v>2</v>
      </c>
      <c r="F26">
        <v>1</v>
      </c>
      <c r="G26" t="s">
        <v>4150</v>
      </c>
    </row>
    <row r="27" spans="1:7">
      <c r="A27">
        <v>17876</v>
      </c>
      <c r="B27">
        <v>1</v>
      </c>
      <c r="C27">
        <v>5</v>
      </c>
      <c r="D27" t="s">
        <v>4149</v>
      </c>
      <c r="E27">
        <v>2</v>
      </c>
      <c r="F27">
        <v>1</v>
      </c>
      <c r="G27" t="s">
        <v>4150</v>
      </c>
    </row>
    <row r="28" spans="1:7">
      <c r="A28">
        <v>6549</v>
      </c>
      <c r="B28">
        <v>1</v>
      </c>
      <c r="C28">
        <v>5</v>
      </c>
      <c r="D28" t="s">
        <v>4149</v>
      </c>
      <c r="E28">
        <v>2</v>
      </c>
      <c r="F28">
        <v>1</v>
      </c>
      <c r="G28" t="s">
        <v>4150</v>
      </c>
    </row>
    <row r="29" spans="1:7">
      <c r="A29">
        <v>36298</v>
      </c>
      <c r="B29">
        <v>1</v>
      </c>
      <c r="C29">
        <v>5</v>
      </c>
      <c r="D29" t="s">
        <v>4149</v>
      </c>
      <c r="E29">
        <v>2</v>
      </c>
      <c r="F29">
        <v>1</v>
      </c>
      <c r="G29" t="s">
        <v>4150</v>
      </c>
    </row>
    <row r="30" spans="1:7">
      <c r="A30">
        <v>6502</v>
      </c>
      <c r="B30">
        <v>1</v>
      </c>
      <c r="C30">
        <v>5</v>
      </c>
      <c r="D30" t="s">
        <v>4149</v>
      </c>
      <c r="E30">
        <v>2</v>
      </c>
      <c r="F30">
        <v>1</v>
      </c>
      <c r="G30" t="s">
        <v>4150</v>
      </c>
    </row>
    <row r="31" spans="1:7">
      <c r="A31">
        <v>1846</v>
      </c>
      <c r="B31">
        <v>1</v>
      </c>
      <c r="C31">
        <v>5</v>
      </c>
      <c r="D31" t="s">
        <v>4149</v>
      </c>
      <c r="E31">
        <v>2</v>
      </c>
      <c r="F31">
        <v>1</v>
      </c>
      <c r="G31" t="s">
        <v>4150</v>
      </c>
    </row>
    <row r="32" spans="1:7">
      <c r="A32">
        <v>1858</v>
      </c>
      <c r="B32">
        <v>1</v>
      </c>
      <c r="C32">
        <v>5</v>
      </c>
      <c r="D32" t="s">
        <v>4149</v>
      </c>
      <c r="E32">
        <v>2</v>
      </c>
      <c r="F32">
        <v>1</v>
      </c>
      <c r="G32" t="s">
        <v>4150</v>
      </c>
    </row>
    <row r="33" spans="1:7">
      <c r="A33">
        <v>1869</v>
      </c>
      <c r="B33">
        <v>1</v>
      </c>
      <c r="C33">
        <v>5</v>
      </c>
      <c r="D33" t="s">
        <v>4149</v>
      </c>
      <c r="E33">
        <v>2</v>
      </c>
      <c r="F33">
        <v>1</v>
      </c>
      <c r="G33" t="s">
        <v>4150</v>
      </c>
    </row>
    <row r="34" spans="1:7">
      <c r="A34">
        <v>1880</v>
      </c>
      <c r="B34">
        <v>1</v>
      </c>
      <c r="C34">
        <v>5</v>
      </c>
      <c r="D34" t="s">
        <v>4149</v>
      </c>
      <c r="E34">
        <v>2</v>
      </c>
      <c r="F34">
        <v>1</v>
      </c>
      <c r="G34" t="s">
        <v>4150</v>
      </c>
    </row>
    <row r="35" spans="1:7">
      <c r="A35">
        <v>1900</v>
      </c>
      <c r="B35">
        <v>1</v>
      </c>
      <c r="C35">
        <v>5</v>
      </c>
      <c r="D35" t="s">
        <v>4149</v>
      </c>
      <c r="E35">
        <v>2</v>
      </c>
      <c r="F35">
        <v>1</v>
      </c>
      <c r="G35" t="s">
        <v>4150</v>
      </c>
    </row>
    <row r="36" spans="1:7">
      <c r="A36">
        <v>1939</v>
      </c>
      <c r="B36">
        <v>1</v>
      </c>
      <c r="C36">
        <v>5</v>
      </c>
      <c r="D36" t="s">
        <v>4149</v>
      </c>
      <c r="E36">
        <v>2</v>
      </c>
      <c r="F36">
        <v>1</v>
      </c>
      <c r="G36" t="s">
        <v>4150</v>
      </c>
    </row>
    <row r="37" spans="1:7">
      <c r="A37">
        <v>1994</v>
      </c>
      <c r="B37">
        <v>1</v>
      </c>
      <c r="C37">
        <v>5</v>
      </c>
      <c r="D37" t="s">
        <v>4149</v>
      </c>
      <c r="E37">
        <v>2</v>
      </c>
      <c r="F37">
        <v>1</v>
      </c>
      <c r="G37" t="s">
        <v>4150</v>
      </c>
    </row>
    <row r="38" spans="1:7">
      <c r="A38">
        <v>2005</v>
      </c>
      <c r="B38">
        <v>1</v>
      </c>
      <c r="C38">
        <v>5</v>
      </c>
      <c r="D38" t="s">
        <v>4149</v>
      </c>
      <c r="E38">
        <v>2</v>
      </c>
      <c r="F38">
        <v>1</v>
      </c>
      <c r="G38" t="s">
        <v>4150</v>
      </c>
    </row>
    <row r="39" spans="1:7">
      <c r="A39">
        <v>2017</v>
      </c>
      <c r="B39">
        <v>1</v>
      </c>
      <c r="C39">
        <v>5</v>
      </c>
      <c r="D39" t="s">
        <v>4149</v>
      </c>
      <c r="E39">
        <v>2</v>
      </c>
      <c r="F39">
        <v>1</v>
      </c>
      <c r="G39" t="s">
        <v>4150</v>
      </c>
    </row>
    <row r="40" spans="1:7">
      <c r="A40">
        <v>2030</v>
      </c>
      <c r="B40">
        <v>1</v>
      </c>
      <c r="C40">
        <v>5</v>
      </c>
      <c r="D40" t="s">
        <v>4149</v>
      </c>
      <c r="E40">
        <v>2</v>
      </c>
      <c r="F40">
        <v>1</v>
      </c>
      <c r="G40" t="s">
        <v>4150</v>
      </c>
    </row>
    <row r="41" spans="1:7">
      <c r="A41">
        <v>2048</v>
      </c>
      <c r="B41">
        <v>1</v>
      </c>
      <c r="C41">
        <v>5</v>
      </c>
      <c r="D41" t="s">
        <v>4149</v>
      </c>
      <c r="E41">
        <v>2</v>
      </c>
      <c r="F41">
        <v>1</v>
      </c>
      <c r="G41" t="s">
        <v>4150</v>
      </c>
    </row>
    <row r="42" spans="1:7">
      <c r="A42">
        <v>2075</v>
      </c>
      <c r="B42">
        <v>1</v>
      </c>
      <c r="C42">
        <v>5</v>
      </c>
      <c r="D42" t="s">
        <v>4149</v>
      </c>
      <c r="E42">
        <v>2</v>
      </c>
      <c r="F42">
        <v>1</v>
      </c>
      <c r="G42" t="s">
        <v>4150</v>
      </c>
    </row>
    <row r="43" spans="1:7">
      <c r="A43">
        <v>2084</v>
      </c>
      <c r="B43">
        <v>1</v>
      </c>
      <c r="C43">
        <v>5</v>
      </c>
      <c r="D43" t="s">
        <v>4149</v>
      </c>
      <c r="E43">
        <v>2</v>
      </c>
      <c r="F43">
        <v>1</v>
      </c>
      <c r="G43" t="s">
        <v>4150</v>
      </c>
    </row>
    <row r="44" spans="1:7">
      <c r="A44">
        <v>1891</v>
      </c>
      <c r="B44">
        <v>1</v>
      </c>
      <c r="C44">
        <v>5</v>
      </c>
      <c r="D44" t="s">
        <v>4149</v>
      </c>
      <c r="E44">
        <v>2</v>
      </c>
      <c r="F44">
        <v>1</v>
      </c>
      <c r="G44" t="s">
        <v>4150</v>
      </c>
    </row>
    <row r="45" spans="1:7">
      <c r="A45">
        <v>1955</v>
      </c>
      <c r="B45">
        <v>1</v>
      </c>
      <c r="C45">
        <v>5</v>
      </c>
      <c r="D45" t="s">
        <v>4149</v>
      </c>
      <c r="E45">
        <v>2</v>
      </c>
      <c r="F45">
        <v>1</v>
      </c>
      <c r="G45" t="s">
        <v>4150</v>
      </c>
    </row>
    <row r="46" spans="1:7">
      <c r="A46">
        <v>1917</v>
      </c>
      <c r="B46">
        <v>1</v>
      </c>
      <c r="C46">
        <v>5</v>
      </c>
      <c r="D46" t="s">
        <v>4149</v>
      </c>
      <c r="E46">
        <v>2</v>
      </c>
      <c r="F46">
        <v>1</v>
      </c>
      <c r="G46" t="s">
        <v>4150</v>
      </c>
    </row>
    <row r="47" spans="1:7">
      <c r="A47">
        <v>6473</v>
      </c>
      <c r="B47">
        <v>1</v>
      </c>
      <c r="C47">
        <v>5</v>
      </c>
      <c r="D47" t="s">
        <v>4149</v>
      </c>
      <c r="E47">
        <v>2</v>
      </c>
      <c r="F47">
        <v>1</v>
      </c>
      <c r="G47" t="s">
        <v>4150</v>
      </c>
    </row>
    <row r="48" spans="1:7">
      <c r="A48">
        <v>1962</v>
      </c>
      <c r="B48">
        <v>1</v>
      </c>
      <c r="C48">
        <v>5</v>
      </c>
      <c r="D48" t="s">
        <v>4149</v>
      </c>
      <c r="E48">
        <v>2</v>
      </c>
      <c r="F48">
        <v>1</v>
      </c>
      <c r="G48" t="s">
        <v>4150</v>
      </c>
    </row>
    <row r="49" spans="1:7">
      <c r="A49">
        <v>1969</v>
      </c>
      <c r="B49">
        <v>1</v>
      </c>
      <c r="C49">
        <v>5</v>
      </c>
      <c r="D49" t="s">
        <v>4149</v>
      </c>
      <c r="E49">
        <v>2</v>
      </c>
      <c r="F49">
        <v>1</v>
      </c>
      <c r="G49" t="s">
        <v>4150</v>
      </c>
    </row>
    <row r="50" spans="1:7">
      <c r="A50">
        <v>17867</v>
      </c>
      <c r="B50">
        <v>1</v>
      </c>
      <c r="C50">
        <v>5</v>
      </c>
      <c r="D50" t="s">
        <v>4149</v>
      </c>
      <c r="E50">
        <v>2</v>
      </c>
      <c r="F50">
        <v>1</v>
      </c>
      <c r="G50" t="s">
        <v>4150</v>
      </c>
    </row>
    <row r="51" spans="1:7">
      <c r="A51">
        <v>1982</v>
      </c>
      <c r="B51">
        <v>1</v>
      </c>
      <c r="C51">
        <v>5</v>
      </c>
      <c r="D51" t="s">
        <v>4149</v>
      </c>
      <c r="E51">
        <v>2</v>
      </c>
      <c r="F51">
        <v>1</v>
      </c>
      <c r="G51" t="s">
        <v>4150</v>
      </c>
    </row>
    <row r="52" spans="1:7">
      <c r="A52">
        <v>6734</v>
      </c>
      <c r="B52">
        <v>1</v>
      </c>
      <c r="C52">
        <v>5</v>
      </c>
      <c r="D52" t="s">
        <v>4149</v>
      </c>
      <c r="E52">
        <v>2</v>
      </c>
      <c r="F52">
        <v>1</v>
      </c>
      <c r="G52" t="s">
        <v>4150</v>
      </c>
    </row>
    <row r="53" spans="1:7">
      <c r="A53">
        <v>1948</v>
      </c>
      <c r="B53">
        <v>1</v>
      </c>
      <c r="C53">
        <v>5</v>
      </c>
      <c r="D53" t="s">
        <v>4149</v>
      </c>
      <c r="E53">
        <v>2</v>
      </c>
      <c r="F53">
        <v>1</v>
      </c>
      <c r="G53" t="s">
        <v>4150</v>
      </c>
    </row>
    <row r="54" spans="1:7">
      <c r="A54">
        <v>36297</v>
      </c>
      <c r="B54">
        <v>1</v>
      </c>
      <c r="C54">
        <v>5</v>
      </c>
      <c r="D54" t="s">
        <v>4149</v>
      </c>
      <c r="E54">
        <v>2</v>
      </c>
      <c r="F54">
        <v>1</v>
      </c>
      <c r="G54" t="s">
        <v>4150</v>
      </c>
    </row>
    <row r="55" spans="1:7">
      <c r="A55">
        <v>6001</v>
      </c>
      <c r="B55">
        <v>1</v>
      </c>
      <c r="C55">
        <v>5</v>
      </c>
      <c r="D55" t="s">
        <v>4149</v>
      </c>
      <c r="E55">
        <v>2</v>
      </c>
      <c r="F55">
        <v>1</v>
      </c>
      <c r="G55" t="s">
        <v>4150</v>
      </c>
    </row>
    <row r="56" spans="1:7">
      <c r="A56">
        <v>6010</v>
      </c>
      <c r="B56">
        <v>1</v>
      </c>
      <c r="C56">
        <v>5</v>
      </c>
      <c r="D56" t="s">
        <v>4149</v>
      </c>
      <c r="E56">
        <v>2</v>
      </c>
      <c r="F56">
        <v>1</v>
      </c>
      <c r="G56" t="s">
        <v>4150</v>
      </c>
    </row>
    <row r="57" spans="1:7">
      <c r="A57">
        <v>9128</v>
      </c>
      <c r="B57">
        <v>1</v>
      </c>
      <c r="C57">
        <v>5</v>
      </c>
      <c r="D57" t="s">
        <v>4149</v>
      </c>
      <c r="E57">
        <v>2</v>
      </c>
      <c r="F57">
        <v>1</v>
      </c>
      <c r="G57" t="s">
        <v>4150</v>
      </c>
    </row>
    <row r="58" spans="1:7">
      <c r="A58">
        <v>6034</v>
      </c>
      <c r="B58">
        <v>1</v>
      </c>
      <c r="C58">
        <v>5</v>
      </c>
      <c r="D58" t="s">
        <v>4149</v>
      </c>
      <c r="E58">
        <v>2</v>
      </c>
      <c r="F58">
        <v>1</v>
      </c>
      <c r="G58" t="s">
        <v>4150</v>
      </c>
    </row>
    <row r="59" spans="1:7">
      <c r="A59">
        <v>6039</v>
      </c>
      <c r="B59">
        <v>1</v>
      </c>
      <c r="C59">
        <v>5</v>
      </c>
      <c r="D59" t="s">
        <v>4149</v>
      </c>
      <c r="E59">
        <v>2</v>
      </c>
      <c r="F59">
        <v>1</v>
      </c>
      <c r="G59" t="s">
        <v>4150</v>
      </c>
    </row>
    <row r="60" spans="1:7">
      <c r="A60">
        <v>6716</v>
      </c>
      <c r="B60">
        <v>1</v>
      </c>
      <c r="C60">
        <v>5</v>
      </c>
      <c r="D60" t="s">
        <v>4149</v>
      </c>
      <c r="E60">
        <v>2</v>
      </c>
      <c r="F60">
        <v>1</v>
      </c>
      <c r="G60" t="s">
        <v>4150</v>
      </c>
    </row>
    <row r="61" spans="1:7">
      <c r="A61">
        <v>2057</v>
      </c>
      <c r="B61">
        <v>1</v>
      </c>
      <c r="C61">
        <v>5</v>
      </c>
      <c r="D61" t="s">
        <v>4149</v>
      </c>
      <c r="E61">
        <v>2</v>
      </c>
      <c r="F61">
        <v>1</v>
      </c>
      <c r="G61" t="s">
        <v>4150</v>
      </c>
    </row>
    <row r="62" spans="1:7">
      <c r="A62">
        <v>2068</v>
      </c>
      <c r="B62">
        <v>1</v>
      </c>
      <c r="C62">
        <v>5</v>
      </c>
      <c r="D62" t="s">
        <v>4149</v>
      </c>
      <c r="E62">
        <v>2</v>
      </c>
      <c r="F62">
        <v>1</v>
      </c>
      <c r="G62" t="s">
        <v>4150</v>
      </c>
    </row>
    <row r="63" spans="1:7">
      <c r="A63">
        <v>2112</v>
      </c>
      <c r="B63">
        <v>1</v>
      </c>
      <c r="C63">
        <v>5</v>
      </c>
      <c r="D63" t="s">
        <v>4149</v>
      </c>
      <c r="E63">
        <v>2</v>
      </c>
      <c r="F63">
        <v>1</v>
      </c>
      <c r="G63" t="s">
        <v>4150</v>
      </c>
    </row>
    <row r="64" spans="1:7">
      <c r="A64">
        <v>2138</v>
      </c>
      <c r="B64">
        <v>1</v>
      </c>
      <c r="C64">
        <v>5</v>
      </c>
      <c r="D64" t="s">
        <v>4149</v>
      </c>
      <c r="E64">
        <v>2</v>
      </c>
      <c r="F64">
        <v>1</v>
      </c>
      <c r="G64" t="s">
        <v>4150</v>
      </c>
    </row>
    <row r="65" spans="1:7">
      <c r="A65">
        <v>6786</v>
      </c>
      <c r="B65">
        <v>1</v>
      </c>
      <c r="C65">
        <v>5</v>
      </c>
      <c r="D65" t="s">
        <v>4149</v>
      </c>
      <c r="E65">
        <v>2</v>
      </c>
      <c r="F65">
        <v>1</v>
      </c>
      <c r="G65" t="s">
        <v>4150</v>
      </c>
    </row>
    <row r="66" spans="1:7">
      <c r="A66">
        <v>1928</v>
      </c>
      <c r="B66">
        <v>1</v>
      </c>
      <c r="C66">
        <v>5</v>
      </c>
      <c r="D66" t="s">
        <v>4149</v>
      </c>
      <c r="E66">
        <v>2</v>
      </c>
      <c r="F66">
        <v>1</v>
      </c>
      <c r="G66" t="s">
        <v>4150</v>
      </c>
    </row>
    <row r="67" spans="1:7">
      <c r="A67">
        <v>6725</v>
      </c>
      <c r="B67">
        <v>1</v>
      </c>
      <c r="C67">
        <v>5</v>
      </c>
      <c r="D67" t="s">
        <v>4149</v>
      </c>
      <c r="E67">
        <v>2</v>
      </c>
      <c r="F67">
        <v>1</v>
      </c>
      <c r="G67" t="s">
        <v>4150</v>
      </c>
    </row>
    <row r="68" spans="1:7">
      <c r="A68">
        <v>29643</v>
      </c>
      <c r="B68">
        <v>1</v>
      </c>
      <c r="C68">
        <v>5</v>
      </c>
      <c r="D68" t="s">
        <v>4149</v>
      </c>
      <c r="E68">
        <v>2</v>
      </c>
      <c r="F68">
        <v>1</v>
      </c>
      <c r="G68" t="s">
        <v>4150</v>
      </c>
    </row>
    <row r="69" spans="1:7">
      <c r="A69">
        <v>30884</v>
      </c>
      <c r="B69">
        <v>1</v>
      </c>
      <c r="C69">
        <v>5</v>
      </c>
      <c r="D69" t="s">
        <v>4149</v>
      </c>
      <c r="E69">
        <v>2</v>
      </c>
      <c r="F69">
        <v>1</v>
      </c>
      <c r="G69" t="s">
        <v>4150</v>
      </c>
    </row>
    <row r="70" spans="1:7">
      <c r="A70">
        <v>6770</v>
      </c>
      <c r="B70">
        <v>1</v>
      </c>
      <c r="C70">
        <v>5</v>
      </c>
      <c r="D70" t="s">
        <v>4149</v>
      </c>
      <c r="E70">
        <v>2</v>
      </c>
      <c r="F70">
        <v>1</v>
      </c>
      <c r="G70" t="s">
        <v>4150</v>
      </c>
    </row>
    <row r="71" spans="1:7">
      <c r="A71">
        <v>33419</v>
      </c>
      <c r="B71">
        <v>1</v>
      </c>
      <c r="C71">
        <v>5</v>
      </c>
      <c r="D71" t="s">
        <v>4149</v>
      </c>
      <c r="E71">
        <v>2</v>
      </c>
      <c r="F71">
        <v>1</v>
      </c>
      <c r="G71" t="s">
        <v>4150</v>
      </c>
    </row>
    <row r="72" spans="1:7">
      <c r="A72">
        <v>33606</v>
      </c>
      <c r="B72">
        <v>1</v>
      </c>
      <c r="C72">
        <v>5</v>
      </c>
      <c r="D72" t="s">
        <v>4149</v>
      </c>
      <c r="E72">
        <v>2</v>
      </c>
      <c r="F72">
        <v>1</v>
      </c>
      <c r="G72" t="s">
        <v>4150</v>
      </c>
    </row>
    <row r="73" spans="1:7">
      <c r="A73">
        <v>6544</v>
      </c>
      <c r="B73">
        <v>1</v>
      </c>
      <c r="C73">
        <v>5</v>
      </c>
      <c r="D73" t="s">
        <v>4149</v>
      </c>
      <c r="E73">
        <v>2</v>
      </c>
      <c r="F73">
        <v>1</v>
      </c>
      <c r="G73" t="s">
        <v>4150</v>
      </c>
    </row>
    <row r="74" spans="1:7">
      <c r="A74">
        <v>6554</v>
      </c>
      <c r="B74">
        <v>1</v>
      </c>
      <c r="C74">
        <v>5</v>
      </c>
      <c r="D74" t="s">
        <v>4149</v>
      </c>
      <c r="E74">
        <v>2</v>
      </c>
      <c r="F74">
        <v>1</v>
      </c>
      <c r="G74" t="s">
        <v>4150</v>
      </c>
    </row>
    <row r="75" spans="1:7">
      <c r="A75">
        <v>6648</v>
      </c>
      <c r="B75">
        <v>1</v>
      </c>
      <c r="C75">
        <v>5</v>
      </c>
      <c r="D75" t="s">
        <v>4149</v>
      </c>
      <c r="E75">
        <v>2</v>
      </c>
      <c r="F75">
        <v>1</v>
      </c>
      <c r="G75" t="s">
        <v>4150</v>
      </c>
    </row>
    <row r="76" spans="1:7">
      <c r="A76">
        <v>6741</v>
      </c>
      <c r="B76">
        <v>1</v>
      </c>
      <c r="C76">
        <v>5</v>
      </c>
      <c r="D76" t="s">
        <v>4149</v>
      </c>
      <c r="E76">
        <v>2</v>
      </c>
      <c r="F76">
        <v>1</v>
      </c>
      <c r="G76" t="s">
        <v>4150</v>
      </c>
    </row>
    <row r="77" spans="1:7">
      <c r="A77">
        <v>1911</v>
      </c>
      <c r="B77">
        <v>1</v>
      </c>
      <c r="C77">
        <v>5</v>
      </c>
      <c r="D77" t="s">
        <v>4149</v>
      </c>
      <c r="E77">
        <v>2</v>
      </c>
      <c r="F77">
        <v>1</v>
      </c>
      <c r="G77" t="s">
        <v>4150</v>
      </c>
    </row>
    <row r="78" spans="1:7">
      <c r="A78">
        <v>29653</v>
      </c>
      <c r="B78">
        <v>1</v>
      </c>
      <c r="C78">
        <v>5</v>
      </c>
      <c r="D78" t="s">
        <v>4149</v>
      </c>
      <c r="E78">
        <v>2</v>
      </c>
      <c r="F78">
        <v>1</v>
      </c>
      <c r="G78" t="s">
        <v>4150</v>
      </c>
    </row>
    <row r="79" spans="1:7">
      <c r="A79">
        <v>2039</v>
      </c>
      <c r="B79">
        <v>1</v>
      </c>
      <c r="C79">
        <v>5</v>
      </c>
      <c r="D79" t="s">
        <v>4149</v>
      </c>
      <c r="E79">
        <v>2</v>
      </c>
      <c r="F79">
        <v>1</v>
      </c>
      <c r="G79" t="s">
        <v>4150</v>
      </c>
    </row>
    <row r="80" spans="1:7">
      <c r="A80">
        <v>6496</v>
      </c>
      <c r="B80">
        <v>1</v>
      </c>
      <c r="C80">
        <v>5</v>
      </c>
      <c r="D80" t="s">
        <v>4149</v>
      </c>
      <c r="E80">
        <v>2</v>
      </c>
      <c r="F80">
        <v>1</v>
      </c>
      <c r="G80" t="s">
        <v>4150</v>
      </c>
    </row>
    <row r="81" spans="1:7">
      <c r="A81">
        <v>6435</v>
      </c>
      <c r="B81">
        <v>1</v>
      </c>
      <c r="C81">
        <v>5</v>
      </c>
      <c r="D81" t="s">
        <v>4149</v>
      </c>
      <c r="E81">
        <v>2</v>
      </c>
      <c r="F81">
        <v>1</v>
      </c>
      <c r="G81" t="s">
        <v>4150</v>
      </c>
    </row>
    <row r="82" spans="1:7">
      <c r="A82">
        <v>1849</v>
      </c>
      <c r="B82">
        <v>1</v>
      </c>
      <c r="C82">
        <v>7</v>
      </c>
      <c r="D82" t="s">
        <v>4149</v>
      </c>
      <c r="E82">
        <v>5</v>
      </c>
      <c r="F82">
        <v>1</v>
      </c>
      <c r="G82" t="s">
        <v>4151</v>
      </c>
    </row>
    <row r="83" spans="1:7">
      <c r="A83">
        <v>1919</v>
      </c>
      <c r="B83">
        <v>1</v>
      </c>
      <c r="C83">
        <v>7</v>
      </c>
      <c r="D83" t="s">
        <v>4149</v>
      </c>
      <c r="E83">
        <v>5</v>
      </c>
      <c r="F83">
        <v>1</v>
      </c>
      <c r="G83" t="s">
        <v>4151</v>
      </c>
    </row>
    <row r="84" spans="1:7">
      <c r="A84">
        <v>6575</v>
      </c>
      <c r="B84">
        <v>1</v>
      </c>
      <c r="C84">
        <v>7</v>
      </c>
      <c r="D84" t="s">
        <v>4149</v>
      </c>
      <c r="E84">
        <v>5</v>
      </c>
      <c r="F84">
        <v>1</v>
      </c>
      <c r="G84" t="s">
        <v>4151</v>
      </c>
    </row>
    <row r="85" spans="1:7">
      <c r="A85">
        <v>1882</v>
      </c>
      <c r="B85">
        <v>1</v>
      </c>
      <c r="C85">
        <v>7</v>
      </c>
      <c r="D85" t="s">
        <v>4149</v>
      </c>
      <c r="E85">
        <v>5</v>
      </c>
      <c r="F85">
        <v>1</v>
      </c>
      <c r="G85" t="s">
        <v>4151</v>
      </c>
    </row>
    <row r="86" spans="1:7">
      <c r="A86">
        <v>1860</v>
      </c>
      <c r="B86">
        <v>1</v>
      </c>
      <c r="C86">
        <v>7</v>
      </c>
      <c r="D86" t="s">
        <v>4149</v>
      </c>
      <c r="E86">
        <v>5</v>
      </c>
      <c r="F86">
        <v>1</v>
      </c>
      <c r="G86" t="s">
        <v>4151</v>
      </c>
    </row>
    <row r="87" spans="1:7">
      <c r="A87">
        <v>1871</v>
      </c>
      <c r="B87">
        <v>1</v>
      </c>
      <c r="C87">
        <v>7</v>
      </c>
      <c r="D87" t="s">
        <v>4149</v>
      </c>
      <c r="E87">
        <v>5</v>
      </c>
      <c r="F87">
        <v>1</v>
      </c>
      <c r="G87" t="s">
        <v>4151</v>
      </c>
    </row>
    <row r="88" spans="1:7">
      <c r="A88">
        <v>6437</v>
      </c>
      <c r="B88">
        <v>1</v>
      </c>
      <c r="C88">
        <v>7</v>
      </c>
      <c r="D88" t="s">
        <v>4149</v>
      </c>
      <c r="E88">
        <v>5</v>
      </c>
      <c r="F88">
        <v>1</v>
      </c>
      <c r="G88" t="s">
        <v>4151</v>
      </c>
    </row>
    <row r="89" spans="1:7">
      <c r="A89">
        <v>49826</v>
      </c>
      <c r="B89">
        <v>1</v>
      </c>
      <c r="C89">
        <v>7</v>
      </c>
      <c r="D89" t="s">
        <v>4149</v>
      </c>
      <c r="E89">
        <v>5</v>
      </c>
      <c r="F89">
        <v>1</v>
      </c>
      <c r="G89" t="s">
        <v>4151</v>
      </c>
    </row>
    <row r="90" spans="1:7">
      <c r="A90">
        <v>1902</v>
      </c>
      <c r="B90">
        <v>1</v>
      </c>
      <c r="C90">
        <v>7</v>
      </c>
      <c r="D90" t="s">
        <v>4149</v>
      </c>
      <c r="E90">
        <v>5</v>
      </c>
      <c r="F90">
        <v>1</v>
      </c>
      <c r="G90" t="s">
        <v>4151</v>
      </c>
    </row>
    <row r="91" spans="1:7">
      <c r="A91">
        <v>1930</v>
      </c>
      <c r="B91">
        <v>1</v>
      </c>
      <c r="C91">
        <v>7</v>
      </c>
      <c r="D91" t="s">
        <v>4149</v>
      </c>
      <c r="E91">
        <v>5</v>
      </c>
      <c r="F91">
        <v>1</v>
      </c>
      <c r="G91" t="s">
        <v>4151</v>
      </c>
    </row>
    <row r="92" spans="1:7">
      <c r="A92">
        <v>1996</v>
      </c>
      <c r="B92">
        <v>1</v>
      </c>
      <c r="C92">
        <v>7</v>
      </c>
      <c r="D92" t="s">
        <v>4149</v>
      </c>
      <c r="E92">
        <v>5</v>
      </c>
      <c r="F92">
        <v>1</v>
      </c>
      <c r="G92" t="s">
        <v>4151</v>
      </c>
    </row>
    <row r="93" spans="1:7">
      <c r="A93">
        <v>6505</v>
      </c>
      <c r="B93">
        <v>1</v>
      </c>
      <c r="C93">
        <v>7</v>
      </c>
      <c r="D93" t="s">
        <v>4149</v>
      </c>
      <c r="E93">
        <v>5</v>
      </c>
      <c r="F93">
        <v>1</v>
      </c>
      <c r="G93" t="s">
        <v>4151</v>
      </c>
    </row>
    <row r="94" spans="1:7">
      <c r="A94">
        <v>6518</v>
      </c>
      <c r="B94">
        <v>1</v>
      </c>
      <c r="C94">
        <v>7</v>
      </c>
      <c r="D94" t="s">
        <v>4149</v>
      </c>
      <c r="E94">
        <v>5</v>
      </c>
      <c r="F94">
        <v>1</v>
      </c>
      <c r="G94" t="s">
        <v>4151</v>
      </c>
    </row>
    <row r="95" spans="1:7">
      <c r="A95">
        <v>14010</v>
      </c>
      <c r="B95">
        <v>1</v>
      </c>
      <c r="C95">
        <v>7</v>
      </c>
      <c r="D95" t="s">
        <v>4149</v>
      </c>
      <c r="E95">
        <v>5</v>
      </c>
      <c r="F95">
        <v>1</v>
      </c>
      <c r="G95" t="s">
        <v>4151</v>
      </c>
    </row>
    <row r="96" spans="1:7">
      <c r="A96">
        <v>29154</v>
      </c>
      <c r="B96">
        <v>1</v>
      </c>
      <c r="C96">
        <v>7</v>
      </c>
      <c r="D96" t="s">
        <v>4149</v>
      </c>
      <c r="E96">
        <v>5</v>
      </c>
      <c r="F96">
        <v>1</v>
      </c>
      <c r="G96" t="s">
        <v>4151</v>
      </c>
    </row>
    <row r="97" spans="1:7">
      <c r="A97">
        <v>32514</v>
      </c>
      <c r="B97">
        <v>1</v>
      </c>
      <c r="C97">
        <v>7</v>
      </c>
      <c r="D97" t="s">
        <v>4149</v>
      </c>
      <c r="E97">
        <v>5</v>
      </c>
      <c r="F97">
        <v>1</v>
      </c>
      <c r="G97" t="s">
        <v>4151</v>
      </c>
    </row>
    <row r="98" spans="1:7">
      <c r="A98">
        <v>38700</v>
      </c>
      <c r="B98">
        <v>1</v>
      </c>
      <c r="C98">
        <v>7</v>
      </c>
      <c r="D98" t="s">
        <v>4149</v>
      </c>
      <c r="E98">
        <v>5</v>
      </c>
      <c r="F98">
        <v>1</v>
      </c>
      <c r="G98" t="s">
        <v>4151</v>
      </c>
    </row>
    <row r="99" spans="1:7">
      <c r="A99">
        <v>14009</v>
      </c>
      <c r="B99">
        <v>1</v>
      </c>
      <c r="C99">
        <v>7</v>
      </c>
      <c r="D99" t="s">
        <v>4149</v>
      </c>
      <c r="E99">
        <v>5</v>
      </c>
      <c r="F99">
        <v>1</v>
      </c>
      <c r="G99" t="s">
        <v>4151</v>
      </c>
    </row>
    <row r="100" spans="1:7">
      <c r="A100">
        <v>2104</v>
      </c>
      <c r="B100">
        <v>1</v>
      </c>
      <c r="C100">
        <v>7</v>
      </c>
      <c r="D100" t="s">
        <v>4149</v>
      </c>
      <c r="E100">
        <v>5</v>
      </c>
      <c r="F100">
        <v>1</v>
      </c>
      <c r="G100" t="s">
        <v>4151</v>
      </c>
    </row>
    <row r="101" spans="1:7">
      <c r="A101">
        <v>6417</v>
      </c>
      <c r="B101">
        <v>1</v>
      </c>
      <c r="C101">
        <v>7</v>
      </c>
      <c r="D101" t="s">
        <v>4149</v>
      </c>
      <c r="E101">
        <v>5</v>
      </c>
      <c r="F101">
        <v>1</v>
      </c>
      <c r="G101" t="s">
        <v>4151</v>
      </c>
    </row>
    <row r="102" spans="1:7">
      <c r="A102">
        <v>57163</v>
      </c>
      <c r="B102">
        <v>1</v>
      </c>
      <c r="C102">
        <v>7</v>
      </c>
      <c r="D102" t="s">
        <v>4149</v>
      </c>
      <c r="E102">
        <v>5</v>
      </c>
      <c r="F102">
        <v>1</v>
      </c>
      <c r="G102" t="s">
        <v>4151</v>
      </c>
    </row>
    <row r="103" spans="1:7">
      <c r="A103">
        <v>6101</v>
      </c>
      <c r="B103">
        <v>1</v>
      </c>
      <c r="C103">
        <v>8</v>
      </c>
      <c r="D103" t="s">
        <v>4149</v>
      </c>
      <c r="E103">
        <v>6</v>
      </c>
      <c r="F103">
        <v>1</v>
      </c>
      <c r="G103" t="s">
        <v>301</v>
      </c>
    </row>
    <row r="104" spans="1:7">
      <c r="A104">
        <v>6109</v>
      </c>
      <c r="B104">
        <v>1</v>
      </c>
      <c r="C104">
        <v>8</v>
      </c>
      <c r="D104" t="s">
        <v>4149</v>
      </c>
      <c r="E104">
        <v>6</v>
      </c>
      <c r="F104">
        <v>1</v>
      </c>
      <c r="G104" t="s">
        <v>301</v>
      </c>
    </row>
    <row r="105" spans="1:7">
      <c r="A105">
        <v>6119</v>
      </c>
      <c r="B105">
        <v>1</v>
      </c>
      <c r="C105">
        <v>8</v>
      </c>
      <c r="D105" t="s">
        <v>4149</v>
      </c>
      <c r="E105">
        <v>6</v>
      </c>
      <c r="F105">
        <v>1</v>
      </c>
      <c r="G105" t="s">
        <v>301</v>
      </c>
    </row>
    <row r="106" spans="1:7">
      <c r="A106">
        <v>6124</v>
      </c>
      <c r="B106">
        <v>1</v>
      </c>
      <c r="C106">
        <v>8</v>
      </c>
      <c r="D106" t="s">
        <v>4149</v>
      </c>
      <c r="E106">
        <v>6</v>
      </c>
      <c r="F106">
        <v>1</v>
      </c>
      <c r="G106" t="s">
        <v>301</v>
      </c>
    </row>
    <row r="107" spans="1:7">
      <c r="A107">
        <v>10702</v>
      </c>
      <c r="B107">
        <v>1</v>
      </c>
      <c r="C107">
        <v>8</v>
      </c>
      <c r="D107" t="s">
        <v>4149</v>
      </c>
      <c r="E107">
        <v>6</v>
      </c>
      <c r="F107">
        <v>1</v>
      </c>
      <c r="G107" t="s">
        <v>301</v>
      </c>
    </row>
    <row r="108" spans="1:7">
      <c r="A108">
        <v>6820</v>
      </c>
      <c r="B108">
        <v>1</v>
      </c>
      <c r="C108">
        <v>8</v>
      </c>
      <c r="D108" t="s">
        <v>4149</v>
      </c>
      <c r="E108">
        <v>6</v>
      </c>
      <c r="F108">
        <v>1</v>
      </c>
      <c r="G108" t="s">
        <v>301</v>
      </c>
    </row>
    <row r="109" spans="1:7">
      <c r="A109">
        <v>6804</v>
      </c>
      <c r="B109">
        <v>1</v>
      </c>
      <c r="C109">
        <v>8</v>
      </c>
      <c r="D109" t="s">
        <v>4149</v>
      </c>
      <c r="E109">
        <v>6</v>
      </c>
      <c r="F109">
        <v>1</v>
      </c>
      <c r="G109" t="s">
        <v>301</v>
      </c>
    </row>
    <row r="110" spans="1:7">
      <c r="A110">
        <v>29528</v>
      </c>
      <c r="B110">
        <v>1</v>
      </c>
      <c r="C110">
        <v>8</v>
      </c>
      <c r="D110" t="s">
        <v>4149</v>
      </c>
      <c r="E110">
        <v>6</v>
      </c>
      <c r="F110">
        <v>1</v>
      </c>
      <c r="G110" t="s">
        <v>301</v>
      </c>
    </row>
    <row r="111" spans="1:7">
      <c r="A111">
        <v>32055</v>
      </c>
      <c r="B111">
        <v>1</v>
      </c>
      <c r="C111">
        <v>8</v>
      </c>
      <c r="D111" t="s">
        <v>4149</v>
      </c>
      <c r="E111">
        <v>6</v>
      </c>
      <c r="F111">
        <v>1</v>
      </c>
      <c r="G111" t="s">
        <v>301</v>
      </c>
    </row>
    <row r="112" spans="1:7">
      <c r="A112">
        <v>32050</v>
      </c>
      <c r="B112">
        <v>1</v>
      </c>
      <c r="C112">
        <v>8</v>
      </c>
      <c r="D112" t="s">
        <v>4149</v>
      </c>
      <c r="E112">
        <v>6</v>
      </c>
      <c r="F112">
        <v>1</v>
      </c>
      <c r="G112" t="s">
        <v>301</v>
      </c>
    </row>
    <row r="113" spans="1:7">
      <c r="A113">
        <v>33866</v>
      </c>
      <c r="B113">
        <v>1</v>
      </c>
      <c r="C113">
        <v>8</v>
      </c>
      <c r="D113" t="s">
        <v>4149</v>
      </c>
      <c r="E113">
        <v>6</v>
      </c>
      <c r="F113">
        <v>1</v>
      </c>
      <c r="G113" t="s">
        <v>301</v>
      </c>
    </row>
    <row r="114" spans="1:7">
      <c r="A114">
        <v>10751</v>
      </c>
      <c r="B114">
        <v>1</v>
      </c>
      <c r="C114">
        <v>8</v>
      </c>
      <c r="D114" t="s">
        <v>4149</v>
      </c>
      <c r="E114">
        <v>6</v>
      </c>
      <c r="F114">
        <v>1</v>
      </c>
      <c r="G114" t="s">
        <v>301</v>
      </c>
    </row>
    <row r="115" spans="1:7">
      <c r="A115">
        <v>6831</v>
      </c>
      <c r="B115">
        <v>1</v>
      </c>
      <c r="C115">
        <v>9</v>
      </c>
      <c r="D115" t="s">
        <v>4152</v>
      </c>
      <c r="E115">
        <v>13</v>
      </c>
      <c r="F115">
        <v>2</v>
      </c>
      <c r="G115" t="s">
        <v>4153</v>
      </c>
    </row>
    <row r="116" spans="1:7">
      <c r="A116">
        <v>6116</v>
      </c>
      <c r="B116">
        <v>1</v>
      </c>
      <c r="C116">
        <v>9</v>
      </c>
      <c r="D116" t="s">
        <v>4152</v>
      </c>
      <c r="E116">
        <v>13</v>
      </c>
      <c r="F116">
        <v>2</v>
      </c>
      <c r="G116" t="s">
        <v>4153</v>
      </c>
    </row>
    <row r="117" spans="1:7">
      <c r="A117">
        <v>6121</v>
      </c>
      <c r="B117">
        <v>1</v>
      </c>
      <c r="C117">
        <v>9</v>
      </c>
      <c r="D117" t="s">
        <v>4152</v>
      </c>
      <c r="E117">
        <v>13</v>
      </c>
      <c r="F117">
        <v>2</v>
      </c>
      <c r="G117" t="s">
        <v>4153</v>
      </c>
    </row>
    <row r="118" spans="1:7">
      <c r="A118">
        <v>6106</v>
      </c>
      <c r="B118">
        <v>1</v>
      </c>
      <c r="C118">
        <v>9</v>
      </c>
      <c r="D118" t="s">
        <v>4152</v>
      </c>
      <c r="E118">
        <v>13</v>
      </c>
      <c r="F118">
        <v>2</v>
      </c>
      <c r="G118" t="s">
        <v>4153</v>
      </c>
    </row>
    <row r="119" spans="1:7">
      <c r="A119">
        <v>6837</v>
      </c>
      <c r="B119">
        <v>1</v>
      </c>
      <c r="C119">
        <v>9</v>
      </c>
      <c r="D119" t="s">
        <v>4152</v>
      </c>
      <c r="E119">
        <v>13</v>
      </c>
      <c r="F119">
        <v>2</v>
      </c>
      <c r="G119" t="s">
        <v>4153</v>
      </c>
    </row>
    <row r="120" spans="1:7">
      <c r="A120">
        <v>6842</v>
      </c>
      <c r="B120">
        <v>1</v>
      </c>
      <c r="C120">
        <v>9</v>
      </c>
      <c r="D120" t="s">
        <v>4152</v>
      </c>
      <c r="E120">
        <v>13</v>
      </c>
      <c r="F120">
        <v>2</v>
      </c>
      <c r="G120" t="s">
        <v>4153</v>
      </c>
    </row>
    <row r="121" spans="1:7">
      <c r="A121">
        <v>6816</v>
      </c>
      <c r="B121">
        <v>1</v>
      </c>
      <c r="C121">
        <v>9</v>
      </c>
      <c r="D121" t="s">
        <v>4152</v>
      </c>
      <c r="E121">
        <v>13</v>
      </c>
      <c r="F121">
        <v>2</v>
      </c>
      <c r="G121" t="s">
        <v>4153</v>
      </c>
    </row>
    <row r="122" spans="1:7">
      <c r="A122">
        <v>6126</v>
      </c>
      <c r="B122">
        <v>1</v>
      </c>
      <c r="C122">
        <v>9</v>
      </c>
      <c r="D122" t="s">
        <v>4152</v>
      </c>
      <c r="E122">
        <v>13</v>
      </c>
      <c r="F122">
        <v>2</v>
      </c>
      <c r="G122" t="s">
        <v>4153</v>
      </c>
    </row>
    <row r="123" spans="1:7">
      <c r="A123">
        <v>32052</v>
      </c>
      <c r="B123">
        <v>1</v>
      </c>
      <c r="C123">
        <v>9</v>
      </c>
      <c r="D123" t="s">
        <v>4152</v>
      </c>
      <c r="E123">
        <v>13</v>
      </c>
      <c r="F123">
        <v>2</v>
      </c>
      <c r="G123" t="s">
        <v>4153</v>
      </c>
    </row>
    <row r="124" spans="1:7">
      <c r="A124">
        <v>32057</v>
      </c>
      <c r="B124">
        <v>1</v>
      </c>
      <c r="C124">
        <v>9</v>
      </c>
      <c r="D124" t="s">
        <v>4152</v>
      </c>
      <c r="E124">
        <v>13</v>
      </c>
      <c r="F124">
        <v>2</v>
      </c>
      <c r="G124" t="s">
        <v>4153</v>
      </c>
    </row>
    <row r="125" spans="1:7">
      <c r="A125">
        <v>40706</v>
      </c>
      <c r="B125">
        <v>1</v>
      </c>
      <c r="C125">
        <v>9</v>
      </c>
      <c r="D125" t="s">
        <v>4152</v>
      </c>
      <c r="E125">
        <v>13</v>
      </c>
      <c r="F125">
        <v>2</v>
      </c>
      <c r="G125" t="s">
        <v>4153</v>
      </c>
    </row>
    <row r="126" spans="1:7">
      <c r="B126">
        <v>1</v>
      </c>
      <c r="C126">
        <v>10</v>
      </c>
      <c r="D126" t="s">
        <v>4147</v>
      </c>
      <c r="E126">
        <v>24</v>
      </c>
      <c r="G126" t="s">
        <v>4154</v>
      </c>
    </row>
    <row r="127" spans="1:7">
      <c r="B127">
        <v>1</v>
      </c>
      <c r="C127">
        <v>13</v>
      </c>
      <c r="D127" t="s">
        <v>4155</v>
      </c>
      <c r="E127">
        <v>25</v>
      </c>
    </row>
    <row r="128" spans="1:7">
      <c r="A128">
        <v>6132</v>
      </c>
      <c r="B128">
        <v>1</v>
      </c>
      <c r="C128">
        <v>14</v>
      </c>
      <c r="D128" t="s">
        <v>4152</v>
      </c>
      <c r="E128">
        <v>27</v>
      </c>
      <c r="F128">
        <v>5</v>
      </c>
      <c r="G128" t="s">
        <v>4156</v>
      </c>
    </row>
    <row r="129" spans="1:7">
      <c r="A129">
        <v>6133</v>
      </c>
      <c r="B129">
        <v>1</v>
      </c>
      <c r="C129">
        <v>14</v>
      </c>
      <c r="D129" t="s">
        <v>4152</v>
      </c>
      <c r="E129">
        <v>27</v>
      </c>
      <c r="F129">
        <v>5</v>
      </c>
      <c r="G129" t="s">
        <v>4156</v>
      </c>
    </row>
    <row r="130" spans="1:7">
      <c r="A130">
        <v>16626</v>
      </c>
      <c r="B130">
        <v>1</v>
      </c>
      <c r="C130">
        <v>14</v>
      </c>
      <c r="D130" t="s">
        <v>4152</v>
      </c>
      <c r="E130">
        <v>27</v>
      </c>
      <c r="F130">
        <v>5</v>
      </c>
      <c r="G130" t="s">
        <v>4156</v>
      </c>
    </row>
    <row r="131" spans="1:7">
      <c r="A131">
        <v>6134</v>
      </c>
      <c r="B131">
        <v>1</v>
      </c>
      <c r="C131">
        <v>14</v>
      </c>
      <c r="D131" t="s">
        <v>4152</v>
      </c>
      <c r="E131">
        <v>27</v>
      </c>
      <c r="F131">
        <v>5</v>
      </c>
      <c r="G131" t="s">
        <v>4156</v>
      </c>
    </row>
    <row r="132" spans="1:7">
      <c r="A132">
        <v>6135</v>
      </c>
      <c r="B132">
        <v>1</v>
      </c>
      <c r="C132">
        <v>14</v>
      </c>
      <c r="D132" t="s">
        <v>4152</v>
      </c>
      <c r="E132">
        <v>27</v>
      </c>
      <c r="F132">
        <v>5</v>
      </c>
      <c r="G132" t="s">
        <v>4156</v>
      </c>
    </row>
    <row r="133" spans="1:7">
      <c r="A133">
        <v>6136</v>
      </c>
      <c r="B133">
        <v>1</v>
      </c>
      <c r="C133">
        <v>14</v>
      </c>
      <c r="D133" t="s">
        <v>4152</v>
      </c>
      <c r="E133">
        <v>27</v>
      </c>
      <c r="F133">
        <v>5</v>
      </c>
      <c r="G133" t="s">
        <v>4156</v>
      </c>
    </row>
    <row r="134" spans="1:7">
      <c r="A134">
        <v>6137</v>
      </c>
      <c r="B134">
        <v>1</v>
      </c>
      <c r="C134">
        <v>14</v>
      </c>
      <c r="D134" t="s">
        <v>4152</v>
      </c>
      <c r="E134">
        <v>27</v>
      </c>
      <c r="F134">
        <v>5</v>
      </c>
      <c r="G134" t="s">
        <v>4156</v>
      </c>
    </row>
    <row r="135" spans="1:7">
      <c r="A135">
        <v>6138</v>
      </c>
      <c r="B135">
        <v>1</v>
      </c>
      <c r="C135">
        <v>14</v>
      </c>
      <c r="D135" t="s">
        <v>4152</v>
      </c>
      <c r="E135">
        <v>27</v>
      </c>
      <c r="F135">
        <v>5</v>
      </c>
      <c r="G135" t="s">
        <v>4156</v>
      </c>
    </row>
    <row r="136" spans="1:7">
      <c r="A136">
        <v>6139</v>
      </c>
      <c r="B136">
        <v>1</v>
      </c>
      <c r="C136">
        <v>14</v>
      </c>
      <c r="D136" t="s">
        <v>4152</v>
      </c>
      <c r="E136">
        <v>27</v>
      </c>
      <c r="F136">
        <v>5</v>
      </c>
      <c r="G136" t="s">
        <v>4156</v>
      </c>
    </row>
    <row r="137" spans="1:7">
      <c r="A137">
        <v>6140</v>
      </c>
      <c r="B137">
        <v>1</v>
      </c>
      <c r="C137">
        <v>14</v>
      </c>
      <c r="D137" t="s">
        <v>4152</v>
      </c>
      <c r="E137">
        <v>27</v>
      </c>
      <c r="F137">
        <v>5</v>
      </c>
      <c r="G137" t="s">
        <v>4156</v>
      </c>
    </row>
    <row r="138" spans="1:7">
      <c r="A138">
        <v>6141</v>
      </c>
      <c r="B138">
        <v>1</v>
      </c>
      <c r="C138">
        <v>14</v>
      </c>
      <c r="D138" t="s">
        <v>4152</v>
      </c>
      <c r="E138">
        <v>27</v>
      </c>
      <c r="F138">
        <v>5</v>
      </c>
      <c r="G138" t="s">
        <v>4156</v>
      </c>
    </row>
    <row r="139" spans="1:7">
      <c r="A139">
        <v>6142</v>
      </c>
      <c r="B139">
        <v>1</v>
      </c>
      <c r="C139">
        <v>14</v>
      </c>
      <c r="D139" t="s">
        <v>4152</v>
      </c>
      <c r="E139">
        <v>27</v>
      </c>
      <c r="F139">
        <v>5</v>
      </c>
      <c r="G139" t="s">
        <v>4156</v>
      </c>
    </row>
    <row r="140" spans="1:7">
      <c r="A140">
        <v>6847</v>
      </c>
      <c r="B140">
        <v>1</v>
      </c>
      <c r="C140">
        <v>14</v>
      </c>
      <c r="D140" t="s">
        <v>4152</v>
      </c>
      <c r="E140">
        <v>27</v>
      </c>
      <c r="F140">
        <v>5</v>
      </c>
      <c r="G140" t="s">
        <v>4156</v>
      </c>
    </row>
    <row r="141" spans="1:7">
      <c r="A141">
        <v>6144</v>
      </c>
      <c r="B141">
        <v>1</v>
      </c>
      <c r="C141">
        <v>14</v>
      </c>
      <c r="D141" t="s">
        <v>4152</v>
      </c>
      <c r="E141">
        <v>27</v>
      </c>
      <c r="F141">
        <v>5</v>
      </c>
      <c r="G141" t="s">
        <v>4156</v>
      </c>
    </row>
    <row r="142" spans="1:7">
      <c r="A142">
        <v>6145</v>
      </c>
      <c r="B142">
        <v>1</v>
      </c>
      <c r="C142">
        <v>14</v>
      </c>
      <c r="D142" t="s">
        <v>4152</v>
      </c>
      <c r="E142">
        <v>27</v>
      </c>
      <c r="F142">
        <v>5</v>
      </c>
      <c r="G142" t="s">
        <v>4156</v>
      </c>
    </row>
    <row r="143" spans="1:7">
      <c r="A143">
        <v>6147</v>
      </c>
      <c r="B143">
        <v>1</v>
      </c>
      <c r="C143">
        <v>14</v>
      </c>
      <c r="D143" t="s">
        <v>4152</v>
      </c>
      <c r="E143">
        <v>27</v>
      </c>
      <c r="F143">
        <v>5</v>
      </c>
      <c r="G143" t="s">
        <v>4156</v>
      </c>
    </row>
    <row r="144" spans="1:7">
      <c r="A144">
        <v>6148</v>
      </c>
      <c r="B144">
        <v>1</v>
      </c>
      <c r="C144">
        <v>14</v>
      </c>
      <c r="D144" t="s">
        <v>4152</v>
      </c>
      <c r="E144">
        <v>27</v>
      </c>
      <c r="F144">
        <v>5</v>
      </c>
      <c r="G144" t="s">
        <v>4156</v>
      </c>
    </row>
    <row r="145" spans="1:7">
      <c r="A145">
        <v>32681</v>
      </c>
      <c r="B145">
        <v>1</v>
      </c>
      <c r="C145">
        <v>14</v>
      </c>
      <c r="D145" t="s">
        <v>4152</v>
      </c>
      <c r="E145">
        <v>27</v>
      </c>
      <c r="F145">
        <v>5</v>
      </c>
      <c r="G145" t="s">
        <v>4156</v>
      </c>
    </row>
    <row r="146" spans="1:7">
      <c r="A146">
        <v>6180</v>
      </c>
      <c r="B146">
        <v>1</v>
      </c>
      <c r="C146">
        <v>14</v>
      </c>
      <c r="D146" t="s">
        <v>4152</v>
      </c>
      <c r="E146">
        <v>27</v>
      </c>
      <c r="F146">
        <v>5</v>
      </c>
      <c r="G146" t="s">
        <v>4156</v>
      </c>
    </row>
    <row r="147" spans="1:7">
      <c r="A147">
        <v>31608</v>
      </c>
      <c r="B147">
        <v>1</v>
      </c>
      <c r="C147">
        <v>14</v>
      </c>
      <c r="D147" t="s">
        <v>4152</v>
      </c>
      <c r="E147">
        <v>27</v>
      </c>
      <c r="F147">
        <v>5</v>
      </c>
      <c r="G147" t="s">
        <v>4156</v>
      </c>
    </row>
    <row r="148" spans="1:7">
      <c r="A148">
        <v>31609</v>
      </c>
      <c r="B148">
        <v>1</v>
      </c>
      <c r="C148">
        <v>14</v>
      </c>
      <c r="D148" t="s">
        <v>4152</v>
      </c>
      <c r="E148">
        <v>27</v>
      </c>
      <c r="F148">
        <v>5</v>
      </c>
      <c r="G148" t="s">
        <v>4156</v>
      </c>
    </row>
    <row r="149" spans="1:7">
      <c r="A149">
        <v>32660</v>
      </c>
      <c r="B149">
        <v>1</v>
      </c>
      <c r="C149">
        <v>14</v>
      </c>
      <c r="D149" t="s">
        <v>4152</v>
      </c>
      <c r="E149">
        <v>27</v>
      </c>
      <c r="F149">
        <v>5</v>
      </c>
      <c r="G149" t="s">
        <v>4156</v>
      </c>
    </row>
    <row r="150" spans="1:7">
      <c r="A150">
        <v>6150</v>
      </c>
      <c r="B150">
        <v>1</v>
      </c>
      <c r="C150">
        <v>14</v>
      </c>
      <c r="D150" t="s">
        <v>4152</v>
      </c>
      <c r="E150">
        <v>27</v>
      </c>
      <c r="F150">
        <v>5</v>
      </c>
      <c r="G150" t="s">
        <v>4156</v>
      </c>
    </row>
    <row r="151" spans="1:7">
      <c r="A151">
        <v>6143</v>
      </c>
      <c r="B151">
        <v>1</v>
      </c>
      <c r="C151">
        <v>14</v>
      </c>
      <c r="D151" t="s">
        <v>4152</v>
      </c>
      <c r="E151">
        <v>27</v>
      </c>
      <c r="F151">
        <v>5</v>
      </c>
      <c r="G151" t="s">
        <v>4156</v>
      </c>
    </row>
    <row r="152" spans="1:7">
      <c r="A152">
        <v>56693</v>
      </c>
      <c r="B152">
        <v>1</v>
      </c>
      <c r="C152">
        <v>14</v>
      </c>
      <c r="D152" t="s">
        <v>4152</v>
      </c>
      <c r="E152">
        <v>27</v>
      </c>
      <c r="F152">
        <v>5</v>
      </c>
      <c r="G152" t="s">
        <v>4156</v>
      </c>
    </row>
    <row r="153" spans="1:7">
      <c r="A153">
        <v>56696</v>
      </c>
      <c r="B153">
        <v>1</v>
      </c>
      <c r="C153">
        <v>14</v>
      </c>
      <c r="D153" t="s">
        <v>4152</v>
      </c>
      <c r="E153">
        <v>27</v>
      </c>
      <c r="F153">
        <v>5</v>
      </c>
      <c r="G153" t="s">
        <v>4156</v>
      </c>
    </row>
    <row r="154" spans="1:7">
      <c r="A154">
        <v>6152</v>
      </c>
      <c r="B154">
        <v>1</v>
      </c>
      <c r="C154">
        <v>15</v>
      </c>
      <c r="D154" t="s">
        <v>4152</v>
      </c>
      <c r="E154">
        <v>28</v>
      </c>
      <c r="F154">
        <v>5</v>
      </c>
      <c r="G154" t="s">
        <v>4157</v>
      </c>
    </row>
    <row r="155" spans="1:7">
      <c r="A155">
        <v>53462</v>
      </c>
      <c r="B155">
        <v>1</v>
      </c>
      <c r="C155">
        <v>15</v>
      </c>
      <c r="D155" t="s">
        <v>4152</v>
      </c>
      <c r="E155">
        <v>28</v>
      </c>
      <c r="F155">
        <v>5</v>
      </c>
      <c r="G155" t="s">
        <v>4157</v>
      </c>
    </row>
    <row r="156" spans="1:7">
      <c r="A156">
        <v>6198</v>
      </c>
      <c r="B156">
        <v>1</v>
      </c>
      <c r="C156">
        <v>15</v>
      </c>
      <c r="D156" t="s">
        <v>4152</v>
      </c>
      <c r="E156">
        <v>28</v>
      </c>
      <c r="F156">
        <v>5</v>
      </c>
      <c r="G156" t="s">
        <v>4157</v>
      </c>
    </row>
    <row r="157" spans="1:7">
      <c r="A157">
        <v>6219</v>
      </c>
      <c r="B157">
        <v>1</v>
      </c>
      <c r="C157">
        <v>15</v>
      </c>
      <c r="D157" t="s">
        <v>4152</v>
      </c>
      <c r="E157">
        <v>28</v>
      </c>
      <c r="F157">
        <v>5</v>
      </c>
      <c r="G157" t="s">
        <v>4157</v>
      </c>
    </row>
    <row r="158" spans="1:7">
      <c r="A158">
        <v>6183</v>
      </c>
      <c r="B158">
        <v>1</v>
      </c>
      <c r="C158">
        <v>15</v>
      </c>
      <c r="D158" t="s">
        <v>4152</v>
      </c>
      <c r="E158">
        <v>28</v>
      </c>
      <c r="F158">
        <v>5</v>
      </c>
      <c r="G158" t="s">
        <v>4157</v>
      </c>
    </row>
    <row r="159" spans="1:7">
      <c r="A159">
        <v>54442</v>
      </c>
      <c r="B159">
        <v>1</v>
      </c>
      <c r="C159">
        <v>15</v>
      </c>
      <c r="D159" t="s">
        <v>4152</v>
      </c>
      <c r="E159">
        <v>28</v>
      </c>
      <c r="F159">
        <v>5</v>
      </c>
      <c r="G159" t="s">
        <v>4157</v>
      </c>
    </row>
    <row r="160" spans="1:7">
      <c r="A160">
        <v>6153</v>
      </c>
      <c r="B160">
        <v>1</v>
      </c>
      <c r="C160">
        <v>15</v>
      </c>
      <c r="D160" t="s">
        <v>4152</v>
      </c>
      <c r="E160">
        <v>28</v>
      </c>
      <c r="F160">
        <v>5</v>
      </c>
      <c r="G160" t="s">
        <v>4157</v>
      </c>
    </row>
    <row r="161" spans="1:7">
      <c r="A161">
        <v>6154</v>
      </c>
      <c r="B161">
        <v>1</v>
      </c>
      <c r="C161">
        <v>15</v>
      </c>
      <c r="D161" t="s">
        <v>4152</v>
      </c>
      <c r="E161">
        <v>28</v>
      </c>
      <c r="F161">
        <v>5</v>
      </c>
      <c r="G161" t="s">
        <v>4157</v>
      </c>
    </row>
    <row r="162" spans="1:7">
      <c r="A162">
        <v>6156</v>
      </c>
      <c r="B162">
        <v>1</v>
      </c>
      <c r="C162">
        <v>15</v>
      </c>
      <c r="D162" t="s">
        <v>4152</v>
      </c>
      <c r="E162">
        <v>28</v>
      </c>
      <c r="F162">
        <v>5</v>
      </c>
      <c r="G162" t="s">
        <v>4157</v>
      </c>
    </row>
    <row r="163" spans="1:7">
      <c r="A163">
        <v>6157</v>
      </c>
      <c r="B163">
        <v>1</v>
      </c>
      <c r="C163">
        <v>15</v>
      </c>
      <c r="D163" t="s">
        <v>4152</v>
      </c>
      <c r="E163">
        <v>28</v>
      </c>
      <c r="F163">
        <v>5</v>
      </c>
      <c r="G163" t="s">
        <v>4157</v>
      </c>
    </row>
    <row r="164" spans="1:7">
      <c r="A164">
        <v>6158</v>
      </c>
      <c r="B164">
        <v>1</v>
      </c>
      <c r="C164">
        <v>15</v>
      </c>
      <c r="D164" t="s">
        <v>4152</v>
      </c>
      <c r="E164">
        <v>28</v>
      </c>
      <c r="F164">
        <v>5</v>
      </c>
      <c r="G164" t="s">
        <v>4157</v>
      </c>
    </row>
    <row r="165" spans="1:7">
      <c r="A165">
        <v>6159</v>
      </c>
      <c r="B165">
        <v>1</v>
      </c>
      <c r="C165">
        <v>15</v>
      </c>
      <c r="D165" t="s">
        <v>4152</v>
      </c>
      <c r="E165">
        <v>28</v>
      </c>
      <c r="F165">
        <v>5</v>
      </c>
      <c r="G165" t="s">
        <v>4157</v>
      </c>
    </row>
    <row r="166" spans="1:7">
      <c r="A166">
        <v>6160</v>
      </c>
      <c r="B166">
        <v>1</v>
      </c>
      <c r="C166">
        <v>15</v>
      </c>
      <c r="D166" t="s">
        <v>4152</v>
      </c>
      <c r="E166">
        <v>28</v>
      </c>
      <c r="F166">
        <v>5</v>
      </c>
      <c r="G166" t="s">
        <v>4157</v>
      </c>
    </row>
    <row r="167" spans="1:7">
      <c r="A167">
        <v>6161</v>
      </c>
      <c r="B167">
        <v>1</v>
      </c>
      <c r="C167">
        <v>15</v>
      </c>
      <c r="D167" t="s">
        <v>4152</v>
      </c>
      <c r="E167">
        <v>28</v>
      </c>
      <c r="F167">
        <v>5</v>
      </c>
      <c r="G167" t="s">
        <v>4157</v>
      </c>
    </row>
    <row r="168" spans="1:7">
      <c r="A168">
        <v>6162</v>
      </c>
      <c r="B168">
        <v>1</v>
      </c>
      <c r="C168">
        <v>15</v>
      </c>
      <c r="D168" t="s">
        <v>4152</v>
      </c>
      <c r="E168">
        <v>28</v>
      </c>
      <c r="F168">
        <v>5</v>
      </c>
      <c r="G168" t="s">
        <v>4157</v>
      </c>
    </row>
    <row r="169" spans="1:7">
      <c r="A169">
        <v>6163</v>
      </c>
      <c r="B169">
        <v>1</v>
      </c>
      <c r="C169">
        <v>15</v>
      </c>
      <c r="D169" t="s">
        <v>4152</v>
      </c>
      <c r="E169">
        <v>28</v>
      </c>
      <c r="F169">
        <v>5</v>
      </c>
      <c r="G169" t="s">
        <v>4157</v>
      </c>
    </row>
    <row r="170" spans="1:7">
      <c r="A170">
        <v>6164</v>
      </c>
      <c r="B170">
        <v>1</v>
      </c>
      <c r="C170">
        <v>15</v>
      </c>
      <c r="D170" t="s">
        <v>4152</v>
      </c>
      <c r="E170">
        <v>28</v>
      </c>
      <c r="F170">
        <v>5</v>
      </c>
      <c r="G170" t="s">
        <v>4157</v>
      </c>
    </row>
    <row r="171" spans="1:7">
      <c r="A171">
        <v>6165</v>
      </c>
      <c r="B171">
        <v>1</v>
      </c>
      <c r="C171">
        <v>15</v>
      </c>
      <c r="D171" t="s">
        <v>4152</v>
      </c>
      <c r="E171">
        <v>28</v>
      </c>
      <c r="F171">
        <v>5</v>
      </c>
      <c r="G171" t="s">
        <v>4157</v>
      </c>
    </row>
    <row r="172" spans="1:7">
      <c r="A172">
        <v>6166</v>
      </c>
      <c r="B172">
        <v>1</v>
      </c>
      <c r="C172">
        <v>15</v>
      </c>
      <c r="D172" t="s">
        <v>4152</v>
      </c>
      <c r="E172">
        <v>28</v>
      </c>
      <c r="F172">
        <v>5</v>
      </c>
      <c r="G172" t="s">
        <v>4157</v>
      </c>
    </row>
    <row r="173" spans="1:7">
      <c r="A173">
        <v>6167</v>
      </c>
      <c r="B173">
        <v>1</v>
      </c>
      <c r="C173">
        <v>15</v>
      </c>
      <c r="D173" t="s">
        <v>4152</v>
      </c>
      <c r="E173">
        <v>28</v>
      </c>
      <c r="F173">
        <v>5</v>
      </c>
      <c r="G173" t="s">
        <v>4157</v>
      </c>
    </row>
    <row r="174" spans="1:7">
      <c r="A174">
        <v>6168</v>
      </c>
      <c r="B174">
        <v>1</v>
      </c>
      <c r="C174">
        <v>15</v>
      </c>
      <c r="D174" t="s">
        <v>4152</v>
      </c>
      <c r="E174">
        <v>28</v>
      </c>
      <c r="F174">
        <v>5</v>
      </c>
      <c r="G174" t="s">
        <v>4157</v>
      </c>
    </row>
    <row r="175" spans="1:7">
      <c r="A175">
        <v>31547</v>
      </c>
      <c r="B175">
        <v>1</v>
      </c>
      <c r="C175">
        <v>15</v>
      </c>
      <c r="D175" t="s">
        <v>4152</v>
      </c>
      <c r="E175">
        <v>28</v>
      </c>
      <c r="F175">
        <v>5</v>
      </c>
      <c r="G175" t="s">
        <v>4157</v>
      </c>
    </row>
    <row r="176" spans="1:7">
      <c r="A176">
        <v>6170</v>
      </c>
      <c r="B176">
        <v>1</v>
      </c>
      <c r="C176">
        <v>15</v>
      </c>
      <c r="D176" t="s">
        <v>4152</v>
      </c>
      <c r="E176">
        <v>28</v>
      </c>
      <c r="F176">
        <v>5</v>
      </c>
      <c r="G176" t="s">
        <v>4157</v>
      </c>
    </row>
    <row r="177" spans="1:7">
      <c r="A177">
        <v>31548</v>
      </c>
      <c r="B177">
        <v>1</v>
      </c>
      <c r="C177">
        <v>15</v>
      </c>
      <c r="D177" t="s">
        <v>4152</v>
      </c>
      <c r="E177">
        <v>28</v>
      </c>
      <c r="F177">
        <v>5</v>
      </c>
      <c r="G177" t="s">
        <v>4157</v>
      </c>
    </row>
    <row r="178" spans="1:7">
      <c r="A178">
        <v>6173</v>
      </c>
      <c r="B178">
        <v>1</v>
      </c>
      <c r="C178">
        <v>15</v>
      </c>
      <c r="D178" t="s">
        <v>4152</v>
      </c>
      <c r="E178">
        <v>28</v>
      </c>
      <c r="F178">
        <v>5</v>
      </c>
      <c r="G178" t="s">
        <v>4157</v>
      </c>
    </row>
    <row r="179" spans="1:7">
      <c r="A179">
        <v>6174</v>
      </c>
      <c r="B179">
        <v>1</v>
      </c>
      <c r="C179">
        <v>15</v>
      </c>
      <c r="D179" t="s">
        <v>4152</v>
      </c>
      <c r="E179">
        <v>28</v>
      </c>
      <c r="F179">
        <v>5</v>
      </c>
      <c r="G179" t="s">
        <v>4157</v>
      </c>
    </row>
    <row r="180" spans="1:7">
      <c r="A180">
        <v>6175</v>
      </c>
      <c r="B180">
        <v>1</v>
      </c>
      <c r="C180">
        <v>15</v>
      </c>
      <c r="D180" t="s">
        <v>4152</v>
      </c>
      <c r="E180">
        <v>28</v>
      </c>
      <c r="F180">
        <v>5</v>
      </c>
      <c r="G180" t="s">
        <v>4157</v>
      </c>
    </row>
    <row r="181" spans="1:7">
      <c r="A181">
        <v>31565</v>
      </c>
      <c r="B181">
        <v>1</v>
      </c>
      <c r="C181">
        <v>15</v>
      </c>
      <c r="D181" t="s">
        <v>4152</v>
      </c>
      <c r="E181">
        <v>28</v>
      </c>
      <c r="F181">
        <v>5</v>
      </c>
      <c r="G181" t="s">
        <v>4157</v>
      </c>
    </row>
    <row r="182" spans="1:7">
      <c r="A182">
        <v>6177</v>
      </c>
      <c r="B182">
        <v>1</v>
      </c>
      <c r="C182">
        <v>15</v>
      </c>
      <c r="D182" t="s">
        <v>4152</v>
      </c>
      <c r="E182">
        <v>28</v>
      </c>
      <c r="F182">
        <v>5</v>
      </c>
      <c r="G182" t="s">
        <v>4157</v>
      </c>
    </row>
    <row r="183" spans="1:7">
      <c r="A183">
        <v>31728</v>
      </c>
      <c r="B183">
        <v>1</v>
      </c>
      <c r="C183">
        <v>15</v>
      </c>
      <c r="D183" t="s">
        <v>4152</v>
      </c>
      <c r="E183">
        <v>28</v>
      </c>
      <c r="F183">
        <v>5</v>
      </c>
      <c r="G183" t="s">
        <v>4157</v>
      </c>
    </row>
    <row r="184" spans="1:7">
      <c r="A184">
        <v>6178</v>
      </c>
      <c r="B184">
        <v>1</v>
      </c>
      <c r="C184">
        <v>15</v>
      </c>
      <c r="D184" t="s">
        <v>4152</v>
      </c>
      <c r="E184">
        <v>28</v>
      </c>
      <c r="F184">
        <v>5</v>
      </c>
      <c r="G184" t="s">
        <v>4157</v>
      </c>
    </row>
    <row r="185" spans="1:7">
      <c r="A185">
        <v>6179</v>
      </c>
      <c r="B185">
        <v>1</v>
      </c>
      <c r="C185">
        <v>15</v>
      </c>
      <c r="D185" t="s">
        <v>4152</v>
      </c>
      <c r="E185">
        <v>28</v>
      </c>
      <c r="F185">
        <v>5</v>
      </c>
      <c r="G185" t="s">
        <v>4157</v>
      </c>
    </row>
    <row r="186" spans="1:7">
      <c r="A186">
        <v>31849</v>
      </c>
      <c r="B186">
        <v>1</v>
      </c>
      <c r="C186">
        <v>15</v>
      </c>
      <c r="D186" t="s">
        <v>4152</v>
      </c>
      <c r="E186">
        <v>28</v>
      </c>
      <c r="F186">
        <v>5</v>
      </c>
      <c r="G186" t="s">
        <v>4157</v>
      </c>
    </row>
    <row r="187" spans="1:7">
      <c r="A187">
        <v>6181</v>
      </c>
      <c r="B187">
        <v>1</v>
      </c>
      <c r="C187">
        <v>15</v>
      </c>
      <c r="D187" t="s">
        <v>4152</v>
      </c>
      <c r="E187">
        <v>28</v>
      </c>
      <c r="F187">
        <v>5</v>
      </c>
      <c r="G187" t="s">
        <v>4157</v>
      </c>
    </row>
    <row r="188" spans="1:7">
      <c r="A188">
        <v>6185</v>
      </c>
      <c r="B188">
        <v>1</v>
      </c>
      <c r="C188">
        <v>15</v>
      </c>
      <c r="D188" t="s">
        <v>4152</v>
      </c>
      <c r="E188">
        <v>28</v>
      </c>
      <c r="F188">
        <v>5</v>
      </c>
      <c r="G188" t="s">
        <v>4157</v>
      </c>
    </row>
    <row r="189" spans="1:7">
      <c r="A189">
        <v>6186</v>
      </c>
      <c r="B189">
        <v>1</v>
      </c>
      <c r="C189">
        <v>15</v>
      </c>
      <c r="D189" t="s">
        <v>4152</v>
      </c>
      <c r="E189">
        <v>28</v>
      </c>
      <c r="F189">
        <v>5</v>
      </c>
      <c r="G189" t="s">
        <v>4157</v>
      </c>
    </row>
    <row r="190" spans="1:7">
      <c r="A190">
        <v>6188</v>
      </c>
      <c r="B190">
        <v>1</v>
      </c>
      <c r="C190">
        <v>15</v>
      </c>
      <c r="D190" t="s">
        <v>4152</v>
      </c>
      <c r="E190">
        <v>28</v>
      </c>
      <c r="F190">
        <v>5</v>
      </c>
      <c r="G190" t="s">
        <v>4157</v>
      </c>
    </row>
    <row r="191" spans="1:7">
      <c r="A191">
        <v>6189</v>
      </c>
      <c r="B191">
        <v>1</v>
      </c>
      <c r="C191">
        <v>15</v>
      </c>
      <c r="D191" t="s">
        <v>4152</v>
      </c>
      <c r="E191">
        <v>28</v>
      </c>
      <c r="F191">
        <v>5</v>
      </c>
      <c r="G191" t="s">
        <v>4157</v>
      </c>
    </row>
    <row r="192" spans="1:7">
      <c r="A192">
        <v>6190</v>
      </c>
      <c r="B192">
        <v>1</v>
      </c>
      <c r="C192">
        <v>15</v>
      </c>
      <c r="D192" t="s">
        <v>4152</v>
      </c>
      <c r="E192">
        <v>28</v>
      </c>
      <c r="F192">
        <v>5</v>
      </c>
      <c r="G192" t="s">
        <v>4157</v>
      </c>
    </row>
    <row r="193" spans="1:7">
      <c r="A193">
        <v>6191</v>
      </c>
      <c r="B193">
        <v>1</v>
      </c>
      <c r="C193">
        <v>15</v>
      </c>
      <c r="D193" t="s">
        <v>4152</v>
      </c>
      <c r="E193">
        <v>28</v>
      </c>
      <c r="F193">
        <v>5</v>
      </c>
      <c r="G193" t="s">
        <v>4157</v>
      </c>
    </row>
    <row r="194" spans="1:7">
      <c r="A194">
        <v>6192</v>
      </c>
      <c r="B194">
        <v>1</v>
      </c>
      <c r="C194">
        <v>15</v>
      </c>
      <c r="D194" t="s">
        <v>4152</v>
      </c>
      <c r="E194">
        <v>28</v>
      </c>
      <c r="F194">
        <v>5</v>
      </c>
      <c r="G194" t="s">
        <v>4157</v>
      </c>
    </row>
    <row r="195" spans="1:7">
      <c r="A195">
        <v>6193</v>
      </c>
      <c r="B195">
        <v>1</v>
      </c>
      <c r="C195">
        <v>15</v>
      </c>
      <c r="D195" t="s">
        <v>4152</v>
      </c>
      <c r="E195">
        <v>28</v>
      </c>
      <c r="F195">
        <v>5</v>
      </c>
      <c r="G195" t="s">
        <v>4157</v>
      </c>
    </row>
    <row r="196" spans="1:7">
      <c r="A196">
        <v>6194</v>
      </c>
      <c r="B196">
        <v>1</v>
      </c>
      <c r="C196">
        <v>15</v>
      </c>
      <c r="D196" t="s">
        <v>4152</v>
      </c>
      <c r="E196">
        <v>28</v>
      </c>
      <c r="F196">
        <v>5</v>
      </c>
      <c r="G196" t="s">
        <v>4157</v>
      </c>
    </row>
    <row r="197" spans="1:7">
      <c r="A197">
        <v>6195</v>
      </c>
      <c r="B197">
        <v>1</v>
      </c>
      <c r="C197">
        <v>15</v>
      </c>
      <c r="D197" t="s">
        <v>4152</v>
      </c>
      <c r="E197">
        <v>28</v>
      </c>
      <c r="F197">
        <v>5</v>
      </c>
      <c r="G197" t="s">
        <v>4157</v>
      </c>
    </row>
    <row r="198" spans="1:7">
      <c r="A198">
        <v>6196</v>
      </c>
      <c r="B198">
        <v>1</v>
      </c>
      <c r="C198">
        <v>15</v>
      </c>
      <c r="D198" t="s">
        <v>4152</v>
      </c>
      <c r="E198">
        <v>28</v>
      </c>
      <c r="F198">
        <v>5</v>
      </c>
      <c r="G198" t="s">
        <v>4157</v>
      </c>
    </row>
    <row r="199" spans="1:7">
      <c r="A199">
        <v>6197</v>
      </c>
      <c r="B199">
        <v>1</v>
      </c>
      <c r="C199">
        <v>15</v>
      </c>
      <c r="D199" t="s">
        <v>4152</v>
      </c>
      <c r="E199">
        <v>28</v>
      </c>
      <c r="F199">
        <v>5</v>
      </c>
      <c r="G199" t="s">
        <v>4157</v>
      </c>
    </row>
    <row r="200" spans="1:7">
      <c r="A200">
        <v>6199</v>
      </c>
      <c r="B200">
        <v>1</v>
      </c>
      <c r="C200">
        <v>15</v>
      </c>
      <c r="D200" t="s">
        <v>4152</v>
      </c>
      <c r="E200">
        <v>28</v>
      </c>
      <c r="F200">
        <v>5</v>
      </c>
      <c r="G200" t="s">
        <v>4157</v>
      </c>
    </row>
    <row r="201" spans="1:7">
      <c r="A201">
        <v>6201</v>
      </c>
      <c r="B201">
        <v>1</v>
      </c>
      <c r="C201">
        <v>15</v>
      </c>
      <c r="D201" t="s">
        <v>4152</v>
      </c>
      <c r="E201">
        <v>28</v>
      </c>
      <c r="F201">
        <v>5</v>
      </c>
      <c r="G201" t="s">
        <v>4157</v>
      </c>
    </row>
    <row r="202" spans="1:7">
      <c r="A202">
        <v>23814</v>
      </c>
      <c r="B202">
        <v>1</v>
      </c>
      <c r="C202">
        <v>15</v>
      </c>
      <c r="D202" t="s">
        <v>4152</v>
      </c>
      <c r="E202">
        <v>28</v>
      </c>
      <c r="F202">
        <v>5</v>
      </c>
      <c r="G202" t="s">
        <v>4157</v>
      </c>
    </row>
    <row r="203" spans="1:7">
      <c r="A203">
        <v>6202</v>
      </c>
      <c r="B203">
        <v>1</v>
      </c>
      <c r="C203">
        <v>15</v>
      </c>
      <c r="D203" t="s">
        <v>4152</v>
      </c>
      <c r="E203">
        <v>28</v>
      </c>
      <c r="F203">
        <v>5</v>
      </c>
      <c r="G203" t="s">
        <v>4157</v>
      </c>
    </row>
    <row r="204" spans="1:7">
      <c r="A204">
        <v>6203</v>
      </c>
      <c r="B204">
        <v>1</v>
      </c>
      <c r="C204">
        <v>15</v>
      </c>
      <c r="D204" t="s">
        <v>4152</v>
      </c>
      <c r="E204">
        <v>28</v>
      </c>
      <c r="F204">
        <v>5</v>
      </c>
      <c r="G204" t="s">
        <v>4157</v>
      </c>
    </row>
    <row r="205" spans="1:7">
      <c r="A205">
        <v>6204</v>
      </c>
      <c r="B205">
        <v>1</v>
      </c>
      <c r="C205">
        <v>15</v>
      </c>
      <c r="D205" t="s">
        <v>4152</v>
      </c>
      <c r="E205">
        <v>28</v>
      </c>
      <c r="F205">
        <v>5</v>
      </c>
      <c r="G205" t="s">
        <v>4157</v>
      </c>
    </row>
    <row r="206" spans="1:7">
      <c r="A206">
        <v>6206</v>
      </c>
      <c r="B206">
        <v>1</v>
      </c>
      <c r="C206">
        <v>15</v>
      </c>
      <c r="D206" t="s">
        <v>4152</v>
      </c>
      <c r="E206">
        <v>28</v>
      </c>
      <c r="F206">
        <v>5</v>
      </c>
      <c r="G206" t="s">
        <v>4157</v>
      </c>
    </row>
    <row r="207" spans="1:7">
      <c r="A207">
        <v>6208</v>
      </c>
      <c r="B207">
        <v>1</v>
      </c>
      <c r="C207">
        <v>15</v>
      </c>
      <c r="D207" t="s">
        <v>4152</v>
      </c>
      <c r="E207">
        <v>28</v>
      </c>
      <c r="F207">
        <v>5</v>
      </c>
      <c r="G207" t="s">
        <v>4157</v>
      </c>
    </row>
    <row r="208" spans="1:7">
      <c r="A208">
        <v>6209</v>
      </c>
      <c r="B208">
        <v>1</v>
      </c>
      <c r="C208">
        <v>15</v>
      </c>
      <c r="D208" t="s">
        <v>4152</v>
      </c>
      <c r="E208">
        <v>28</v>
      </c>
      <c r="F208">
        <v>5</v>
      </c>
      <c r="G208" t="s">
        <v>4157</v>
      </c>
    </row>
    <row r="209" spans="1:7">
      <c r="A209">
        <v>49751</v>
      </c>
      <c r="B209">
        <v>1</v>
      </c>
      <c r="C209">
        <v>15</v>
      </c>
      <c r="D209" t="s">
        <v>4152</v>
      </c>
      <c r="E209">
        <v>28</v>
      </c>
      <c r="F209">
        <v>5</v>
      </c>
      <c r="G209" t="s">
        <v>4157</v>
      </c>
    </row>
    <row r="210" spans="1:7">
      <c r="A210">
        <v>49752</v>
      </c>
      <c r="B210">
        <v>1</v>
      </c>
      <c r="C210">
        <v>15</v>
      </c>
      <c r="D210" t="s">
        <v>4152</v>
      </c>
      <c r="E210">
        <v>28</v>
      </c>
      <c r="F210">
        <v>5</v>
      </c>
      <c r="G210" t="s">
        <v>4157</v>
      </c>
    </row>
    <row r="211" spans="1:7">
      <c r="A211">
        <v>47783</v>
      </c>
      <c r="B211">
        <v>1</v>
      </c>
      <c r="C211">
        <v>15</v>
      </c>
      <c r="D211" t="s">
        <v>4152</v>
      </c>
      <c r="E211">
        <v>28</v>
      </c>
      <c r="F211">
        <v>5</v>
      </c>
      <c r="G211" t="s">
        <v>4157</v>
      </c>
    </row>
    <row r="212" spans="1:7">
      <c r="A212">
        <v>6848</v>
      </c>
      <c r="B212">
        <v>1</v>
      </c>
      <c r="C212">
        <v>15</v>
      </c>
      <c r="D212" t="s">
        <v>4152</v>
      </c>
      <c r="E212">
        <v>28</v>
      </c>
      <c r="F212">
        <v>5</v>
      </c>
      <c r="G212" t="s">
        <v>4157</v>
      </c>
    </row>
    <row r="213" spans="1:7">
      <c r="A213">
        <v>6210</v>
      </c>
      <c r="B213">
        <v>1</v>
      </c>
      <c r="C213">
        <v>15</v>
      </c>
      <c r="D213" t="s">
        <v>4152</v>
      </c>
      <c r="E213">
        <v>28</v>
      </c>
      <c r="F213">
        <v>5</v>
      </c>
      <c r="G213" t="s">
        <v>4157</v>
      </c>
    </row>
    <row r="214" spans="1:7">
      <c r="A214">
        <v>6155</v>
      </c>
      <c r="B214">
        <v>1</v>
      </c>
      <c r="C214">
        <v>15</v>
      </c>
      <c r="D214" t="s">
        <v>4152</v>
      </c>
      <c r="E214">
        <v>28</v>
      </c>
      <c r="F214">
        <v>5</v>
      </c>
      <c r="G214" t="s">
        <v>4157</v>
      </c>
    </row>
    <row r="215" spans="1:7">
      <c r="A215">
        <v>6169</v>
      </c>
      <c r="B215">
        <v>1</v>
      </c>
      <c r="C215">
        <v>15</v>
      </c>
      <c r="D215" t="s">
        <v>4152</v>
      </c>
      <c r="E215">
        <v>28</v>
      </c>
      <c r="F215">
        <v>5</v>
      </c>
      <c r="G215" t="s">
        <v>4157</v>
      </c>
    </row>
    <row r="216" spans="1:7">
      <c r="A216">
        <v>6172</v>
      </c>
      <c r="B216">
        <v>1</v>
      </c>
      <c r="C216">
        <v>15</v>
      </c>
      <c r="D216" t="s">
        <v>4152</v>
      </c>
      <c r="E216">
        <v>28</v>
      </c>
      <c r="F216">
        <v>5</v>
      </c>
      <c r="G216" t="s">
        <v>4157</v>
      </c>
    </row>
    <row r="217" spans="1:7">
      <c r="A217">
        <v>6184</v>
      </c>
      <c r="B217">
        <v>1</v>
      </c>
      <c r="C217">
        <v>15</v>
      </c>
      <c r="D217" t="s">
        <v>4152</v>
      </c>
      <c r="E217">
        <v>28</v>
      </c>
      <c r="F217">
        <v>5</v>
      </c>
      <c r="G217" t="s">
        <v>4157</v>
      </c>
    </row>
    <row r="218" spans="1:7">
      <c r="A218">
        <v>6187</v>
      </c>
      <c r="B218">
        <v>1</v>
      </c>
      <c r="C218">
        <v>15</v>
      </c>
      <c r="D218" t="s">
        <v>4152</v>
      </c>
      <c r="E218">
        <v>28</v>
      </c>
      <c r="F218">
        <v>5</v>
      </c>
      <c r="G218" t="s">
        <v>4157</v>
      </c>
    </row>
    <row r="219" spans="1:7">
      <c r="A219">
        <v>26571</v>
      </c>
      <c r="B219">
        <v>1</v>
      </c>
      <c r="C219">
        <v>15</v>
      </c>
      <c r="D219" t="s">
        <v>4152</v>
      </c>
      <c r="E219">
        <v>28</v>
      </c>
      <c r="F219">
        <v>5</v>
      </c>
      <c r="G219" t="s">
        <v>4157</v>
      </c>
    </row>
    <row r="220" spans="1:7">
      <c r="A220">
        <v>40419</v>
      </c>
      <c r="B220">
        <v>1</v>
      </c>
      <c r="C220">
        <v>15</v>
      </c>
      <c r="D220" t="s">
        <v>4152</v>
      </c>
      <c r="E220">
        <v>28</v>
      </c>
      <c r="F220">
        <v>5</v>
      </c>
      <c r="G220" t="s">
        <v>4157</v>
      </c>
    </row>
    <row r="221" spans="1:7">
      <c r="A221">
        <v>6205</v>
      </c>
      <c r="B221">
        <v>1</v>
      </c>
      <c r="C221">
        <v>15</v>
      </c>
      <c r="D221" t="s">
        <v>4152</v>
      </c>
      <c r="E221">
        <v>28</v>
      </c>
      <c r="F221">
        <v>5</v>
      </c>
      <c r="G221" t="s">
        <v>4157</v>
      </c>
    </row>
    <row r="222" spans="1:7">
      <c r="A222">
        <v>47114</v>
      </c>
      <c r="B222">
        <v>1</v>
      </c>
      <c r="C222">
        <v>15</v>
      </c>
      <c r="D222" t="s">
        <v>4152</v>
      </c>
      <c r="E222">
        <v>28</v>
      </c>
      <c r="F222">
        <v>5</v>
      </c>
      <c r="G222" t="s">
        <v>4157</v>
      </c>
    </row>
    <row r="223" spans="1:7">
      <c r="A223">
        <v>47115</v>
      </c>
      <c r="B223">
        <v>1</v>
      </c>
      <c r="C223">
        <v>15</v>
      </c>
      <c r="D223" t="s">
        <v>4152</v>
      </c>
      <c r="E223">
        <v>28</v>
      </c>
      <c r="F223">
        <v>5</v>
      </c>
      <c r="G223" t="s">
        <v>4157</v>
      </c>
    </row>
    <row r="224" spans="1:7">
      <c r="A224">
        <v>47116</v>
      </c>
      <c r="B224">
        <v>1</v>
      </c>
      <c r="C224">
        <v>15</v>
      </c>
      <c r="D224" t="s">
        <v>4152</v>
      </c>
      <c r="E224">
        <v>28</v>
      </c>
      <c r="F224">
        <v>5</v>
      </c>
      <c r="G224" t="s">
        <v>4157</v>
      </c>
    </row>
    <row r="225" spans="1:7">
      <c r="A225">
        <v>6200</v>
      </c>
      <c r="B225">
        <v>1</v>
      </c>
      <c r="C225">
        <v>15</v>
      </c>
      <c r="D225" t="s">
        <v>4152</v>
      </c>
      <c r="E225">
        <v>28</v>
      </c>
      <c r="F225">
        <v>5</v>
      </c>
      <c r="G225" t="s">
        <v>4157</v>
      </c>
    </row>
    <row r="226" spans="1:7">
      <c r="A226">
        <v>25374</v>
      </c>
      <c r="B226">
        <v>1</v>
      </c>
      <c r="C226">
        <v>15</v>
      </c>
      <c r="D226" t="s">
        <v>4152</v>
      </c>
      <c r="E226">
        <v>28</v>
      </c>
      <c r="F226">
        <v>5</v>
      </c>
      <c r="G226" t="s">
        <v>4157</v>
      </c>
    </row>
    <row r="227" spans="1:7">
      <c r="A227">
        <v>39660</v>
      </c>
      <c r="B227">
        <v>1</v>
      </c>
      <c r="C227">
        <v>16</v>
      </c>
      <c r="D227" t="s">
        <v>4152</v>
      </c>
      <c r="E227">
        <v>29</v>
      </c>
      <c r="F227">
        <v>5</v>
      </c>
      <c r="G227" t="s">
        <v>4158</v>
      </c>
    </row>
    <row r="228" spans="1:7">
      <c r="A228">
        <v>6212</v>
      </c>
      <c r="B228">
        <v>1</v>
      </c>
      <c r="C228">
        <v>16</v>
      </c>
      <c r="D228" t="s">
        <v>4152</v>
      </c>
      <c r="E228">
        <v>29</v>
      </c>
      <c r="F228">
        <v>5</v>
      </c>
      <c r="G228" t="s">
        <v>4158</v>
      </c>
    </row>
    <row r="229" spans="1:7">
      <c r="A229">
        <v>25712</v>
      </c>
      <c r="B229">
        <v>1</v>
      </c>
      <c r="C229">
        <v>16</v>
      </c>
      <c r="D229" t="s">
        <v>4152</v>
      </c>
      <c r="E229">
        <v>29</v>
      </c>
      <c r="F229">
        <v>5</v>
      </c>
      <c r="G229" t="s">
        <v>4158</v>
      </c>
    </row>
    <row r="230" spans="1:7">
      <c r="A230">
        <v>6215</v>
      </c>
      <c r="B230">
        <v>1</v>
      </c>
      <c r="C230">
        <v>16</v>
      </c>
      <c r="D230" t="s">
        <v>4152</v>
      </c>
      <c r="E230">
        <v>29</v>
      </c>
      <c r="F230">
        <v>5</v>
      </c>
      <c r="G230" t="s">
        <v>4158</v>
      </c>
    </row>
    <row r="231" spans="1:7">
      <c r="A231">
        <v>6220</v>
      </c>
      <c r="B231">
        <v>1</v>
      </c>
      <c r="C231">
        <v>16</v>
      </c>
      <c r="D231" t="s">
        <v>4152</v>
      </c>
      <c r="E231">
        <v>29</v>
      </c>
      <c r="F231">
        <v>5</v>
      </c>
      <c r="G231" t="s">
        <v>4158</v>
      </c>
    </row>
    <row r="232" spans="1:7">
      <c r="A232">
        <v>6223</v>
      </c>
      <c r="B232">
        <v>1</v>
      </c>
      <c r="C232">
        <v>16</v>
      </c>
      <c r="D232" t="s">
        <v>4152</v>
      </c>
      <c r="E232">
        <v>29</v>
      </c>
      <c r="F232">
        <v>5</v>
      </c>
      <c r="G232" t="s">
        <v>4158</v>
      </c>
    </row>
    <row r="233" spans="1:7">
      <c r="A233">
        <v>6224</v>
      </c>
      <c r="B233">
        <v>1</v>
      </c>
      <c r="C233">
        <v>16</v>
      </c>
      <c r="D233" t="s">
        <v>4152</v>
      </c>
      <c r="E233">
        <v>29</v>
      </c>
      <c r="F233">
        <v>5</v>
      </c>
      <c r="G233" t="s">
        <v>4158</v>
      </c>
    </row>
    <row r="234" spans="1:7">
      <c r="A234">
        <v>39810</v>
      </c>
      <c r="B234">
        <v>1</v>
      </c>
      <c r="C234">
        <v>16</v>
      </c>
      <c r="D234" t="s">
        <v>4152</v>
      </c>
      <c r="E234">
        <v>29</v>
      </c>
      <c r="F234">
        <v>5</v>
      </c>
      <c r="G234" t="s">
        <v>4158</v>
      </c>
    </row>
    <row r="235" spans="1:7">
      <c r="A235">
        <v>40693</v>
      </c>
      <c r="B235">
        <v>1</v>
      </c>
      <c r="C235">
        <v>16</v>
      </c>
      <c r="D235" t="s">
        <v>4152</v>
      </c>
      <c r="E235">
        <v>29</v>
      </c>
      <c r="F235">
        <v>5</v>
      </c>
      <c r="G235" t="s">
        <v>4158</v>
      </c>
    </row>
    <row r="236" spans="1:7">
      <c r="A236">
        <v>47479</v>
      </c>
      <c r="B236">
        <v>1</v>
      </c>
      <c r="C236">
        <v>16</v>
      </c>
      <c r="D236" t="s">
        <v>4152</v>
      </c>
      <c r="E236">
        <v>29</v>
      </c>
      <c r="F236">
        <v>5</v>
      </c>
      <c r="G236" t="s">
        <v>4158</v>
      </c>
    </row>
    <row r="237" spans="1:7">
      <c r="A237">
        <v>49750</v>
      </c>
      <c r="B237">
        <v>1</v>
      </c>
      <c r="C237">
        <v>16</v>
      </c>
      <c r="D237" t="s">
        <v>4152</v>
      </c>
      <c r="E237">
        <v>29</v>
      </c>
      <c r="F237">
        <v>5</v>
      </c>
      <c r="G237" t="s">
        <v>4158</v>
      </c>
    </row>
    <row r="238" spans="1:7">
      <c r="A238">
        <v>49756</v>
      </c>
      <c r="B238">
        <v>1</v>
      </c>
      <c r="C238">
        <v>16</v>
      </c>
      <c r="D238" t="s">
        <v>4152</v>
      </c>
      <c r="E238">
        <v>29</v>
      </c>
      <c r="F238">
        <v>5</v>
      </c>
      <c r="G238" t="s">
        <v>4158</v>
      </c>
    </row>
    <row r="239" spans="1:7">
      <c r="A239">
        <v>6849</v>
      </c>
      <c r="B239">
        <v>1</v>
      </c>
      <c r="C239">
        <v>16</v>
      </c>
      <c r="D239" t="s">
        <v>4152</v>
      </c>
      <c r="E239">
        <v>29</v>
      </c>
      <c r="F239">
        <v>5</v>
      </c>
      <c r="G239" t="s">
        <v>4158</v>
      </c>
    </row>
    <row r="240" spans="1:7">
      <c r="A240">
        <v>6226</v>
      </c>
      <c r="B240">
        <v>1</v>
      </c>
      <c r="C240">
        <v>16</v>
      </c>
      <c r="D240" t="s">
        <v>4152</v>
      </c>
      <c r="E240">
        <v>29</v>
      </c>
      <c r="F240">
        <v>5</v>
      </c>
      <c r="G240" t="s">
        <v>4158</v>
      </c>
    </row>
    <row r="241" spans="1:7">
      <c r="A241">
        <v>6221</v>
      </c>
      <c r="B241">
        <v>1</v>
      </c>
      <c r="C241">
        <v>16</v>
      </c>
      <c r="D241" t="s">
        <v>4152</v>
      </c>
      <c r="E241">
        <v>29</v>
      </c>
      <c r="F241">
        <v>5</v>
      </c>
      <c r="G241" t="s">
        <v>4158</v>
      </c>
    </row>
    <row r="242" spans="1:7">
      <c r="A242">
        <v>6214</v>
      </c>
      <c r="B242">
        <v>1</v>
      </c>
      <c r="C242">
        <v>16</v>
      </c>
      <c r="D242" t="s">
        <v>4152</v>
      </c>
      <c r="E242">
        <v>29</v>
      </c>
      <c r="F242">
        <v>5</v>
      </c>
      <c r="G242" t="s">
        <v>4158</v>
      </c>
    </row>
    <row r="243" spans="1:7">
      <c r="A243">
        <v>6216</v>
      </c>
      <c r="B243">
        <v>1</v>
      </c>
      <c r="C243">
        <v>16</v>
      </c>
      <c r="D243" t="s">
        <v>4152</v>
      </c>
      <c r="E243">
        <v>29</v>
      </c>
      <c r="F243">
        <v>5</v>
      </c>
      <c r="G243" t="s">
        <v>4158</v>
      </c>
    </row>
    <row r="244" spans="1:7">
      <c r="A244">
        <v>59188</v>
      </c>
      <c r="B244">
        <v>1</v>
      </c>
      <c r="C244">
        <v>16</v>
      </c>
      <c r="D244" t="s">
        <v>4152</v>
      </c>
      <c r="E244">
        <v>29</v>
      </c>
      <c r="F244">
        <v>5</v>
      </c>
      <c r="G244" t="s">
        <v>4158</v>
      </c>
    </row>
    <row r="245" spans="1:7">
      <c r="A245">
        <v>6228</v>
      </c>
      <c r="B245">
        <v>1</v>
      </c>
      <c r="C245">
        <v>17</v>
      </c>
      <c r="D245" t="s">
        <v>4152</v>
      </c>
      <c r="E245">
        <v>30</v>
      </c>
      <c r="F245">
        <v>5</v>
      </c>
      <c r="G245" t="s">
        <v>4159</v>
      </c>
    </row>
    <row r="246" spans="1:7">
      <c r="A246">
        <v>6229</v>
      </c>
      <c r="B246">
        <v>1</v>
      </c>
      <c r="C246">
        <v>17</v>
      </c>
      <c r="D246" t="s">
        <v>4152</v>
      </c>
      <c r="E246">
        <v>30</v>
      </c>
      <c r="F246">
        <v>5</v>
      </c>
      <c r="G246" t="s">
        <v>4159</v>
      </c>
    </row>
    <row r="247" spans="1:7">
      <c r="A247">
        <v>6230</v>
      </c>
      <c r="B247">
        <v>1</v>
      </c>
      <c r="C247">
        <v>17</v>
      </c>
      <c r="D247" t="s">
        <v>4152</v>
      </c>
      <c r="E247">
        <v>30</v>
      </c>
      <c r="F247">
        <v>5</v>
      </c>
      <c r="G247" t="s">
        <v>4159</v>
      </c>
    </row>
    <row r="248" spans="1:7">
      <c r="A248">
        <v>6233</v>
      </c>
      <c r="B248">
        <v>1</v>
      </c>
      <c r="C248">
        <v>17</v>
      </c>
      <c r="D248" t="s">
        <v>4152</v>
      </c>
      <c r="E248">
        <v>30</v>
      </c>
      <c r="F248">
        <v>5</v>
      </c>
      <c r="G248" t="s">
        <v>4159</v>
      </c>
    </row>
    <row r="249" spans="1:7">
      <c r="A249">
        <v>39695</v>
      </c>
      <c r="B249">
        <v>1</v>
      </c>
      <c r="C249">
        <v>17</v>
      </c>
      <c r="D249" t="s">
        <v>4152</v>
      </c>
      <c r="E249">
        <v>30</v>
      </c>
      <c r="F249">
        <v>5</v>
      </c>
      <c r="G249" t="s">
        <v>4159</v>
      </c>
    </row>
    <row r="250" spans="1:7">
      <c r="A250">
        <v>6850</v>
      </c>
      <c r="B250">
        <v>1</v>
      </c>
      <c r="C250">
        <v>17</v>
      </c>
      <c r="D250" t="s">
        <v>4152</v>
      </c>
      <c r="E250">
        <v>30</v>
      </c>
      <c r="F250">
        <v>5</v>
      </c>
      <c r="G250" t="s">
        <v>4159</v>
      </c>
    </row>
    <row r="251" spans="1:7">
      <c r="A251">
        <v>6234</v>
      </c>
      <c r="B251">
        <v>1</v>
      </c>
      <c r="C251">
        <v>17</v>
      </c>
      <c r="D251" t="s">
        <v>4152</v>
      </c>
      <c r="E251">
        <v>30</v>
      </c>
      <c r="F251">
        <v>5</v>
      </c>
      <c r="G251" t="s">
        <v>4159</v>
      </c>
    </row>
    <row r="252" spans="1:7">
      <c r="A252">
        <v>6232</v>
      </c>
      <c r="B252">
        <v>1</v>
      </c>
      <c r="C252">
        <v>17</v>
      </c>
      <c r="D252" t="s">
        <v>4152</v>
      </c>
      <c r="E252">
        <v>30</v>
      </c>
      <c r="F252">
        <v>5</v>
      </c>
      <c r="G252" t="s">
        <v>4159</v>
      </c>
    </row>
    <row r="253" spans="1:7">
      <c r="A253">
        <v>6236</v>
      </c>
      <c r="B253">
        <v>1</v>
      </c>
      <c r="C253">
        <v>18</v>
      </c>
      <c r="D253" t="s">
        <v>4152</v>
      </c>
      <c r="E253">
        <v>31</v>
      </c>
      <c r="F253">
        <v>5</v>
      </c>
      <c r="G253" t="s">
        <v>4160</v>
      </c>
    </row>
    <row r="254" spans="1:7">
      <c r="A254">
        <v>28371</v>
      </c>
      <c r="B254">
        <v>1</v>
      </c>
      <c r="C254">
        <v>18</v>
      </c>
      <c r="D254" t="s">
        <v>4152</v>
      </c>
      <c r="E254">
        <v>31</v>
      </c>
      <c r="F254">
        <v>5</v>
      </c>
      <c r="G254" t="s">
        <v>4160</v>
      </c>
    </row>
    <row r="255" spans="1:7">
      <c r="A255">
        <v>38210</v>
      </c>
      <c r="B255">
        <v>1</v>
      </c>
      <c r="C255">
        <v>18</v>
      </c>
      <c r="D255" t="s">
        <v>4152</v>
      </c>
      <c r="E255">
        <v>31</v>
      </c>
      <c r="F255">
        <v>5</v>
      </c>
      <c r="G255" t="s">
        <v>4160</v>
      </c>
    </row>
    <row r="256" spans="1:7">
      <c r="A256">
        <v>6851</v>
      </c>
      <c r="B256">
        <v>1</v>
      </c>
      <c r="C256">
        <v>18</v>
      </c>
      <c r="D256" t="s">
        <v>4152</v>
      </c>
      <c r="E256">
        <v>31</v>
      </c>
      <c r="F256">
        <v>5</v>
      </c>
      <c r="G256" t="s">
        <v>4160</v>
      </c>
    </row>
    <row r="257" spans="1:7">
      <c r="A257">
        <v>6239</v>
      </c>
      <c r="B257">
        <v>1</v>
      </c>
      <c r="C257">
        <v>18</v>
      </c>
      <c r="D257" t="s">
        <v>4152</v>
      </c>
      <c r="E257">
        <v>31</v>
      </c>
      <c r="F257">
        <v>5</v>
      </c>
      <c r="G257" t="s">
        <v>4160</v>
      </c>
    </row>
    <row r="258" spans="1:7">
      <c r="A258">
        <v>6237</v>
      </c>
      <c r="B258">
        <v>1</v>
      </c>
      <c r="C258">
        <v>18</v>
      </c>
      <c r="D258" t="s">
        <v>4152</v>
      </c>
      <c r="E258">
        <v>31</v>
      </c>
      <c r="F258">
        <v>5</v>
      </c>
      <c r="G258" t="s">
        <v>4160</v>
      </c>
    </row>
    <row r="259" spans="1:7">
      <c r="A259">
        <v>25078</v>
      </c>
      <c r="B259">
        <v>1</v>
      </c>
      <c r="C259">
        <v>18</v>
      </c>
      <c r="D259" t="s">
        <v>4152</v>
      </c>
      <c r="E259">
        <v>31</v>
      </c>
      <c r="F259">
        <v>5</v>
      </c>
      <c r="G259" t="s">
        <v>4160</v>
      </c>
    </row>
    <row r="260" spans="1:7">
      <c r="A260">
        <v>28965</v>
      </c>
      <c r="B260">
        <v>1</v>
      </c>
      <c r="C260">
        <v>18</v>
      </c>
      <c r="D260" t="s">
        <v>4152</v>
      </c>
      <c r="E260">
        <v>31</v>
      </c>
      <c r="F260">
        <v>5</v>
      </c>
      <c r="G260" t="s">
        <v>4160</v>
      </c>
    </row>
    <row r="261" spans="1:7">
      <c r="A261">
        <v>6241</v>
      </c>
      <c r="B261">
        <v>1</v>
      </c>
      <c r="C261">
        <v>19</v>
      </c>
      <c r="D261" t="s">
        <v>4152</v>
      </c>
      <c r="E261">
        <v>32</v>
      </c>
      <c r="F261">
        <v>5</v>
      </c>
      <c r="G261" t="s">
        <v>4161</v>
      </c>
    </row>
    <row r="262" spans="1:7">
      <c r="A262">
        <v>6242</v>
      </c>
      <c r="B262">
        <v>1</v>
      </c>
      <c r="C262">
        <v>19</v>
      </c>
      <c r="D262" t="s">
        <v>4152</v>
      </c>
      <c r="E262">
        <v>32</v>
      </c>
      <c r="F262">
        <v>5</v>
      </c>
      <c r="G262" t="s">
        <v>4161</v>
      </c>
    </row>
    <row r="263" spans="1:7">
      <c r="A263">
        <v>6852</v>
      </c>
      <c r="B263">
        <v>1</v>
      </c>
      <c r="C263">
        <v>19</v>
      </c>
      <c r="D263" t="s">
        <v>4152</v>
      </c>
      <c r="E263">
        <v>32</v>
      </c>
      <c r="F263">
        <v>5</v>
      </c>
      <c r="G263" t="s">
        <v>4161</v>
      </c>
    </row>
    <row r="264" spans="1:7">
      <c r="A264">
        <v>6243</v>
      </c>
      <c r="B264">
        <v>1</v>
      </c>
      <c r="C264">
        <v>19</v>
      </c>
      <c r="D264" t="s">
        <v>4152</v>
      </c>
      <c r="E264">
        <v>32</v>
      </c>
      <c r="F264">
        <v>5</v>
      </c>
      <c r="G264" t="s">
        <v>4161</v>
      </c>
    </row>
    <row r="265" spans="1:7">
      <c r="A265">
        <v>56044</v>
      </c>
      <c r="B265">
        <v>1</v>
      </c>
      <c r="C265">
        <v>19</v>
      </c>
      <c r="D265" t="s">
        <v>4152</v>
      </c>
      <c r="E265">
        <v>32</v>
      </c>
      <c r="F265">
        <v>5</v>
      </c>
      <c r="G265" t="s">
        <v>4161</v>
      </c>
    </row>
    <row r="266" spans="1:7">
      <c r="A266">
        <v>23214</v>
      </c>
      <c r="B266">
        <v>1</v>
      </c>
      <c r="C266">
        <v>20</v>
      </c>
      <c r="D266" t="s">
        <v>4152</v>
      </c>
      <c r="E266">
        <v>33</v>
      </c>
      <c r="F266">
        <v>5</v>
      </c>
      <c r="G266" t="s">
        <v>4162</v>
      </c>
    </row>
    <row r="267" spans="1:7">
      <c r="A267">
        <v>6245</v>
      </c>
      <c r="B267">
        <v>1</v>
      </c>
      <c r="C267">
        <v>20</v>
      </c>
      <c r="D267" t="s">
        <v>4152</v>
      </c>
      <c r="E267">
        <v>33</v>
      </c>
      <c r="F267">
        <v>5</v>
      </c>
      <c r="G267" t="s">
        <v>4162</v>
      </c>
    </row>
    <row r="268" spans="1:7">
      <c r="A268">
        <v>6246</v>
      </c>
      <c r="B268">
        <v>1</v>
      </c>
      <c r="C268">
        <v>20</v>
      </c>
      <c r="D268" t="s">
        <v>4152</v>
      </c>
      <c r="E268">
        <v>33</v>
      </c>
      <c r="F268">
        <v>5</v>
      </c>
      <c r="G268" t="s">
        <v>4162</v>
      </c>
    </row>
    <row r="269" spans="1:7">
      <c r="A269">
        <v>6248</v>
      </c>
      <c r="B269">
        <v>1</v>
      </c>
      <c r="C269">
        <v>20</v>
      </c>
      <c r="D269" t="s">
        <v>4152</v>
      </c>
      <c r="E269">
        <v>33</v>
      </c>
      <c r="F269">
        <v>5</v>
      </c>
      <c r="G269" t="s">
        <v>4162</v>
      </c>
    </row>
    <row r="270" spans="1:7">
      <c r="A270">
        <v>6249</v>
      </c>
      <c r="B270">
        <v>1</v>
      </c>
      <c r="C270">
        <v>20</v>
      </c>
      <c r="D270" t="s">
        <v>4152</v>
      </c>
      <c r="E270">
        <v>33</v>
      </c>
      <c r="F270">
        <v>5</v>
      </c>
      <c r="G270" t="s">
        <v>4162</v>
      </c>
    </row>
    <row r="271" spans="1:7">
      <c r="A271">
        <v>49755</v>
      </c>
      <c r="B271">
        <v>1</v>
      </c>
      <c r="C271">
        <v>20</v>
      </c>
      <c r="D271" t="s">
        <v>4152</v>
      </c>
      <c r="E271">
        <v>33</v>
      </c>
      <c r="F271">
        <v>5</v>
      </c>
      <c r="G271" t="s">
        <v>4162</v>
      </c>
    </row>
    <row r="272" spans="1:7">
      <c r="A272">
        <v>6853</v>
      </c>
      <c r="B272">
        <v>1</v>
      </c>
      <c r="C272">
        <v>20</v>
      </c>
      <c r="D272" t="s">
        <v>4152</v>
      </c>
      <c r="E272">
        <v>33</v>
      </c>
      <c r="F272">
        <v>5</v>
      </c>
      <c r="G272" t="s">
        <v>4162</v>
      </c>
    </row>
    <row r="273" spans="1:7">
      <c r="A273">
        <v>6250</v>
      </c>
      <c r="B273">
        <v>1</v>
      </c>
      <c r="C273">
        <v>20</v>
      </c>
      <c r="D273" t="s">
        <v>4152</v>
      </c>
      <c r="E273">
        <v>33</v>
      </c>
      <c r="F273">
        <v>5</v>
      </c>
      <c r="G273" t="s">
        <v>4162</v>
      </c>
    </row>
    <row r="274" spans="1:7">
      <c r="A274">
        <v>6247</v>
      </c>
      <c r="B274">
        <v>1</v>
      </c>
      <c r="C274">
        <v>20</v>
      </c>
      <c r="D274" t="s">
        <v>4152</v>
      </c>
      <c r="E274">
        <v>33</v>
      </c>
      <c r="F274">
        <v>5</v>
      </c>
      <c r="G274" t="s">
        <v>4162</v>
      </c>
    </row>
    <row r="275" spans="1:7">
      <c r="A275">
        <v>11188</v>
      </c>
      <c r="B275">
        <v>1</v>
      </c>
      <c r="C275">
        <v>20</v>
      </c>
      <c r="D275" t="s">
        <v>4152</v>
      </c>
      <c r="E275">
        <v>33</v>
      </c>
      <c r="F275">
        <v>5</v>
      </c>
      <c r="G275" t="s">
        <v>4162</v>
      </c>
    </row>
    <row r="276" spans="1:7">
      <c r="B276">
        <v>1</v>
      </c>
      <c r="C276">
        <v>34</v>
      </c>
      <c r="D276" t="s">
        <v>4155</v>
      </c>
      <c r="E276">
        <v>38</v>
      </c>
    </row>
    <row r="277" spans="1:7">
      <c r="B277">
        <v>1</v>
      </c>
      <c r="C277">
        <v>35</v>
      </c>
      <c r="D277" t="s">
        <v>4155</v>
      </c>
      <c r="E277">
        <v>42</v>
      </c>
    </row>
    <row r="278" spans="1:7">
      <c r="B278">
        <v>1</v>
      </c>
      <c r="C278">
        <v>36</v>
      </c>
      <c r="D278" t="s">
        <v>4147</v>
      </c>
      <c r="E278">
        <v>35</v>
      </c>
      <c r="F278">
        <v>6</v>
      </c>
      <c r="G278" t="s">
        <v>4163</v>
      </c>
    </row>
    <row r="279" spans="1:7">
      <c r="B279">
        <v>1</v>
      </c>
      <c r="C279">
        <v>21</v>
      </c>
      <c r="D279" t="s">
        <v>4155</v>
      </c>
      <c r="E279">
        <v>34</v>
      </c>
    </row>
    <row r="280" spans="1:7">
      <c r="A280">
        <v>6253</v>
      </c>
      <c r="B280">
        <v>1</v>
      </c>
      <c r="C280">
        <v>24</v>
      </c>
      <c r="D280" t="s">
        <v>4152</v>
      </c>
      <c r="E280">
        <v>36</v>
      </c>
      <c r="F280">
        <v>6</v>
      </c>
      <c r="G280" t="s">
        <v>4164</v>
      </c>
    </row>
    <row r="281" spans="1:7">
      <c r="A281">
        <v>6254</v>
      </c>
      <c r="B281">
        <v>1</v>
      </c>
      <c r="C281">
        <v>24</v>
      </c>
      <c r="D281" t="s">
        <v>4152</v>
      </c>
      <c r="E281">
        <v>36</v>
      </c>
      <c r="F281">
        <v>6</v>
      </c>
      <c r="G281" t="s">
        <v>4164</v>
      </c>
    </row>
    <row r="282" spans="1:7">
      <c r="A282">
        <v>6256</v>
      </c>
      <c r="B282">
        <v>1</v>
      </c>
      <c r="C282">
        <v>24</v>
      </c>
      <c r="D282" t="s">
        <v>4152</v>
      </c>
      <c r="E282">
        <v>36</v>
      </c>
      <c r="F282">
        <v>6</v>
      </c>
      <c r="G282" t="s">
        <v>4164</v>
      </c>
    </row>
    <row r="283" spans="1:7">
      <c r="A283">
        <v>6257</v>
      </c>
      <c r="B283">
        <v>1</v>
      </c>
      <c r="C283">
        <v>24</v>
      </c>
      <c r="D283" t="s">
        <v>4152</v>
      </c>
      <c r="E283">
        <v>36</v>
      </c>
      <c r="F283">
        <v>6</v>
      </c>
      <c r="G283" t="s">
        <v>4164</v>
      </c>
    </row>
    <row r="284" spans="1:7">
      <c r="A284">
        <v>6258</v>
      </c>
      <c r="B284">
        <v>1</v>
      </c>
      <c r="C284">
        <v>24</v>
      </c>
      <c r="D284" t="s">
        <v>4152</v>
      </c>
      <c r="E284">
        <v>36</v>
      </c>
      <c r="F284">
        <v>6</v>
      </c>
      <c r="G284" t="s">
        <v>4164</v>
      </c>
    </row>
    <row r="285" spans="1:7">
      <c r="A285">
        <v>6262</v>
      </c>
      <c r="B285">
        <v>1</v>
      </c>
      <c r="C285">
        <v>24</v>
      </c>
      <c r="D285" t="s">
        <v>4152</v>
      </c>
      <c r="E285">
        <v>36</v>
      </c>
      <c r="F285">
        <v>6</v>
      </c>
      <c r="G285" t="s">
        <v>4164</v>
      </c>
    </row>
    <row r="286" spans="1:7">
      <c r="A286">
        <v>6263</v>
      </c>
      <c r="B286">
        <v>1</v>
      </c>
      <c r="C286">
        <v>24</v>
      </c>
      <c r="D286" t="s">
        <v>4152</v>
      </c>
      <c r="E286">
        <v>36</v>
      </c>
      <c r="F286">
        <v>6</v>
      </c>
      <c r="G286" t="s">
        <v>4164</v>
      </c>
    </row>
    <row r="287" spans="1:7">
      <c r="A287">
        <v>11039</v>
      </c>
      <c r="B287">
        <v>1</v>
      </c>
      <c r="C287">
        <v>24</v>
      </c>
      <c r="D287" t="s">
        <v>4152</v>
      </c>
      <c r="E287">
        <v>36</v>
      </c>
      <c r="F287">
        <v>6</v>
      </c>
      <c r="G287" t="s">
        <v>4164</v>
      </c>
    </row>
    <row r="288" spans="1:7">
      <c r="A288">
        <v>6856</v>
      </c>
      <c r="B288">
        <v>1</v>
      </c>
      <c r="C288">
        <v>24</v>
      </c>
      <c r="D288" t="s">
        <v>4152</v>
      </c>
      <c r="E288">
        <v>36</v>
      </c>
      <c r="F288">
        <v>6</v>
      </c>
      <c r="G288" t="s">
        <v>4164</v>
      </c>
    </row>
    <row r="289" spans="1:7">
      <c r="A289">
        <v>6264</v>
      </c>
      <c r="B289">
        <v>1</v>
      </c>
      <c r="C289">
        <v>24</v>
      </c>
      <c r="D289" t="s">
        <v>4152</v>
      </c>
      <c r="E289">
        <v>36</v>
      </c>
      <c r="F289">
        <v>6</v>
      </c>
      <c r="G289" t="s">
        <v>4164</v>
      </c>
    </row>
    <row r="290" spans="1:7">
      <c r="A290">
        <v>6260</v>
      </c>
      <c r="B290">
        <v>1</v>
      </c>
      <c r="C290">
        <v>24</v>
      </c>
      <c r="D290" t="s">
        <v>4152</v>
      </c>
      <c r="E290">
        <v>36</v>
      </c>
      <c r="F290">
        <v>6</v>
      </c>
      <c r="G290" t="s">
        <v>4164</v>
      </c>
    </row>
    <row r="291" spans="1:7">
      <c r="A291">
        <v>57651</v>
      </c>
      <c r="B291">
        <v>1</v>
      </c>
      <c r="C291">
        <v>24</v>
      </c>
      <c r="D291" t="s">
        <v>4152</v>
      </c>
      <c r="E291">
        <v>36</v>
      </c>
      <c r="F291">
        <v>6</v>
      </c>
      <c r="G291" t="s">
        <v>4164</v>
      </c>
    </row>
    <row r="292" spans="1:7">
      <c r="A292">
        <v>57617</v>
      </c>
      <c r="B292">
        <v>1</v>
      </c>
      <c r="C292">
        <v>24</v>
      </c>
      <c r="D292" t="s">
        <v>4152</v>
      </c>
      <c r="E292">
        <v>36</v>
      </c>
      <c r="F292">
        <v>6</v>
      </c>
      <c r="G292" t="s">
        <v>4164</v>
      </c>
    </row>
    <row r="293" spans="1:7">
      <c r="A293">
        <v>57652</v>
      </c>
      <c r="B293">
        <v>1</v>
      </c>
      <c r="C293">
        <v>24</v>
      </c>
      <c r="D293" t="s">
        <v>4152</v>
      </c>
      <c r="E293">
        <v>36</v>
      </c>
      <c r="F293">
        <v>6</v>
      </c>
      <c r="G293" t="s">
        <v>4164</v>
      </c>
    </row>
    <row r="294" spans="1:7">
      <c r="A294">
        <v>57616</v>
      </c>
      <c r="B294">
        <v>1</v>
      </c>
      <c r="C294">
        <v>24</v>
      </c>
      <c r="D294" t="s">
        <v>4152</v>
      </c>
      <c r="E294">
        <v>36</v>
      </c>
      <c r="F294">
        <v>6</v>
      </c>
      <c r="G294" t="s">
        <v>4164</v>
      </c>
    </row>
    <row r="295" spans="1:7">
      <c r="A295">
        <v>6266</v>
      </c>
      <c r="B295">
        <v>1</v>
      </c>
      <c r="C295">
        <v>25</v>
      </c>
      <c r="D295" t="s">
        <v>4149</v>
      </c>
      <c r="E295">
        <v>37</v>
      </c>
      <c r="F295">
        <v>6</v>
      </c>
      <c r="G295" t="s">
        <v>4165</v>
      </c>
    </row>
    <row r="296" spans="1:7">
      <c r="A296">
        <v>6267</v>
      </c>
      <c r="B296">
        <v>1</v>
      </c>
      <c r="C296">
        <v>25</v>
      </c>
      <c r="D296" t="s">
        <v>4149</v>
      </c>
      <c r="E296">
        <v>37</v>
      </c>
      <c r="F296">
        <v>6</v>
      </c>
      <c r="G296" t="s">
        <v>4165</v>
      </c>
    </row>
    <row r="297" spans="1:7">
      <c r="A297">
        <v>6270</v>
      </c>
      <c r="B297">
        <v>1</v>
      </c>
      <c r="C297">
        <v>25</v>
      </c>
      <c r="D297" t="s">
        <v>4149</v>
      </c>
      <c r="E297">
        <v>37</v>
      </c>
      <c r="F297">
        <v>6</v>
      </c>
      <c r="G297" t="s">
        <v>4165</v>
      </c>
    </row>
    <row r="298" spans="1:7">
      <c r="A298">
        <v>48980</v>
      </c>
      <c r="B298">
        <v>1</v>
      </c>
      <c r="C298">
        <v>25</v>
      </c>
      <c r="D298" t="s">
        <v>4149</v>
      </c>
      <c r="E298">
        <v>37</v>
      </c>
      <c r="F298">
        <v>6</v>
      </c>
      <c r="G298" t="s">
        <v>4165</v>
      </c>
    </row>
    <row r="299" spans="1:7">
      <c r="A299">
        <v>6859</v>
      </c>
      <c r="B299">
        <v>1</v>
      </c>
      <c r="C299">
        <v>25</v>
      </c>
      <c r="D299" t="s">
        <v>4149</v>
      </c>
      <c r="E299">
        <v>37</v>
      </c>
      <c r="F299">
        <v>6</v>
      </c>
      <c r="G299" t="s">
        <v>4165</v>
      </c>
    </row>
    <row r="300" spans="1:7">
      <c r="A300">
        <v>6858</v>
      </c>
      <c r="B300">
        <v>1</v>
      </c>
      <c r="C300">
        <v>25</v>
      </c>
      <c r="D300" t="s">
        <v>4149</v>
      </c>
      <c r="E300">
        <v>37</v>
      </c>
      <c r="F300">
        <v>6</v>
      </c>
      <c r="G300" t="s">
        <v>4165</v>
      </c>
    </row>
    <row r="301" spans="1:7">
      <c r="A301">
        <v>6271</v>
      </c>
      <c r="B301">
        <v>1</v>
      </c>
      <c r="C301">
        <v>25</v>
      </c>
      <c r="D301" t="s">
        <v>4149</v>
      </c>
      <c r="E301">
        <v>37</v>
      </c>
      <c r="F301">
        <v>6</v>
      </c>
      <c r="G301" t="s">
        <v>4165</v>
      </c>
    </row>
    <row r="302" spans="1:7">
      <c r="A302">
        <v>49030</v>
      </c>
      <c r="B302">
        <v>1</v>
      </c>
      <c r="C302">
        <v>25</v>
      </c>
      <c r="D302" t="s">
        <v>4149</v>
      </c>
      <c r="E302">
        <v>37</v>
      </c>
      <c r="F302">
        <v>6</v>
      </c>
      <c r="G302" t="s">
        <v>4165</v>
      </c>
    </row>
    <row r="303" spans="1:7">
      <c r="A303">
        <v>49031</v>
      </c>
      <c r="B303">
        <v>1</v>
      </c>
      <c r="C303">
        <v>25</v>
      </c>
      <c r="D303" t="s">
        <v>4149</v>
      </c>
      <c r="E303">
        <v>37</v>
      </c>
      <c r="F303">
        <v>6</v>
      </c>
      <c r="G303" t="s">
        <v>4165</v>
      </c>
    </row>
    <row r="304" spans="1:7">
      <c r="A304">
        <v>57618</v>
      </c>
      <c r="B304">
        <v>1</v>
      </c>
      <c r="C304">
        <v>25</v>
      </c>
      <c r="D304" t="s">
        <v>4149</v>
      </c>
      <c r="E304">
        <v>37</v>
      </c>
      <c r="F304">
        <v>6</v>
      </c>
      <c r="G304" t="s">
        <v>4165</v>
      </c>
    </row>
    <row r="305" spans="1:7">
      <c r="B305">
        <v>1</v>
      </c>
      <c r="C305">
        <v>29</v>
      </c>
      <c r="D305" t="s">
        <v>4147</v>
      </c>
      <c r="E305">
        <v>39</v>
      </c>
      <c r="F305">
        <v>7</v>
      </c>
      <c r="G305" t="s">
        <v>4166</v>
      </c>
    </row>
    <row r="306" spans="1:7">
      <c r="B306">
        <v>1</v>
      </c>
      <c r="C306">
        <v>43</v>
      </c>
      <c r="D306" t="s">
        <v>4155</v>
      </c>
      <c r="E306">
        <v>17</v>
      </c>
    </row>
    <row r="307" spans="1:7">
      <c r="B307">
        <v>1</v>
      </c>
      <c r="C307">
        <v>44</v>
      </c>
      <c r="D307" t="s">
        <v>4155</v>
      </c>
      <c r="E307">
        <v>23</v>
      </c>
    </row>
    <row r="308" spans="1:7">
      <c r="B308">
        <v>1</v>
      </c>
      <c r="C308">
        <v>37</v>
      </c>
      <c r="D308" t="s">
        <v>4155</v>
      </c>
      <c r="E308">
        <v>8</v>
      </c>
    </row>
    <row r="309" spans="1:7">
      <c r="A309">
        <v>52613</v>
      </c>
      <c r="B309">
        <v>1</v>
      </c>
      <c r="C309">
        <v>38</v>
      </c>
      <c r="D309" t="s">
        <v>4152</v>
      </c>
      <c r="E309">
        <v>15</v>
      </c>
      <c r="F309">
        <v>2</v>
      </c>
      <c r="G309" t="s">
        <v>4167</v>
      </c>
    </row>
    <row r="310" spans="1:7">
      <c r="A310">
        <v>54138</v>
      </c>
      <c r="B310">
        <v>1</v>
      </c>
      <c r="C310">
        <v>38</v>
      </c>
      <c r="D310" t="s">
        <v>4152</v>
      </c>
      <c r="E310">
        <v>15</v>
      </c>
      <c r="F310">
        <v>2</v>
      </c>
      <c r="G310" t="s">
        <v>4167</v>
      </c>
    </row>
    <row r="311" spans="1:7">
      <c r="A311">
        <v>1769</v>
      </c>
      <c r="B311">
        <v>1</v>
      </c>
      <c r="C311">
        <v>38</v>
      </c>
      <c r="D311" t="s">
        <v>4152</v>
      </c>
      <c r="E311">
        <v>15</v>
      </c>
      <c r="F311">
        <v>2</v>
      </c>
      <c r="G311" t="s">
        <v>4167</v>
      </c>
    </row>
    <row r="312" spans="1:7">
      <c r="A312">
        <v>1779</v>
      </c>
      <c r="B312">
        <v>1</v>
      </c>
      <c r="C312">
        <v>38</v>
      </c>
      <c r="D312" t="s">
        <v>4152</v>
      </c>
      <c r="E312">
        <v>15</v>
      </c>
      <c r="F312">
        <v>2</v>
      </c>
      <c r="G312" t="s">
        <v>4167</v>
      </c>
    </row>
    <row r="313" spans="1:7">
      <c r="A313">
        <v>1790</v>
      </c>
      <c r="B313">
        <v>1</v>
      </c>
      <c r="C313">
        <v>38</v>
      </c>
      <c r="D313" t="s">
        <v>4152</v>
      </c>
      <c r="E313">
        <v>15</v>
      </c>
      <c r="F313">
        <v>2</v>
      </c>
      <c r="G313" t="s">
        <v>4167</v>
      </c>
    </row>
    <row r="314" spans="1:7">
      <c r="A314">
        <v>1797</v>
      </c>
      <c r="B314">
        <v>1</v>
      </c>
      <c r="C314">
        <v>38</v>
      </c>
      <c r="D314" t="s">
        <v>4152</v>
      </c>
      <c r="E314">
        <v>15</v>
      </c>
      <c r="F314">
        <v>2</v>
      </c>
      <c r="G314" t="s">
        <v>4167</v>
      </c>
    </row>
    <row r="315" spans="1:7">
      <c r="A315">
        <v>1809</v>
      </c>
      <c r="B315">
        <v>1</v>
      </c>
      <c r="C315">
        <v>38</v>
      </c>
      <c r="D315" t="s">
        <v>4152</v>
      </c>
      <c r="E315">
        <v>15</v>
      </c>
      <c r="F315">
        <v>2</v>
      </c>
      <c r="G315" t="s">
        <v>4167</v>
      </c>
    </row>
    <row r="316" spans="1:7">
      <c r="A316">
        <v>1815</v>
      </c>
      <c r="B316">
        <v>1</v>
      </c>
      <c r="C316">
        <v>38</v>
      </c>
      <c r="D316" t="s">
        <v>4152</v>
      </c>
      <c r="E316">
        <v>15</v>
      </c>
      <c r="F316">
        <v>2</v>
      </c>
      <c r="G316" t="s">
        <v>4167</v>
      </c>
    </row>
    <row r="317" spans="1:7">
      <c r="A317">
        <v>1853</v>
      </c>
      <c r="B317">
        <v>1</v>
      </c>
      <c r="C317">
        <v>38</v>
      </c>
      <c r="D317" t="s">
        <v>4152</v>
      </c>
      <c r="E317">
        <v>15</v>
      </c>
      <c r="F317">
        <v>2</v>
      </c>
      <c r="G317" t="s">
        <v>4167</v>
      </c>
    </row>
    <row r="318" spans="1:7">
      <c r="A318">
        <v>1864</v>
      </c>
      <c r="B318">
        <v>1</v>
      </c>
      <c r="C318">
        <v>38</v>
      </c>
      <c r="D318" t="s">
        <v>4152</v>
      </c>
      <c r="E318">
        <v>15</v>
      </c>
      <c r="F318">
        <v>2</v>
      </c>
      <c r="G318" t="s">
        <v>4167</v>
      </c>
    </row>
    <row r="319" spans="1:7">
      <c r="A319">
        <v>1875</v>
      </c>
      <c r="B319">
        <v>1</v>
      </c>
      <c r="C319">
        <v>38</v>
      </c>
      <c r="D319" t="s">
        <v>4152</v>
      </c>
      <c r="E319">
        <v>15</v>
      </c>
      <c r="F319">
        <v>2</v>
      </c>
      <c r="G319" t="s">
        <v>4167</v>
      </c>
    </row>
    <row r="320" spans="1:7">
      <c r="A320">
        <v>1886</v>
      </c>
      <c r="B320">
        <v>1</v>
      </c>
      <c r="C320">
        <v>38</v>
      </c>
      <c r="D320" t="s">
        <v>4152</v>
      </c>
      <c r="E320">
        <v>15</v>
      </c>
      <c r="F320">
        <v>2</v>
      </c>
      <c r="G320" t="s">
        <v>4167</v>
      </c>
    </row>
    <row r="321" spans="1:7">
      <c r="A321">
        <v>1895</v>
      </c>
      <c r="B321">
        <v>1</v>
      </c>
      <c r="C321">
        <v>38</v>
      </c>
      <c r="D321" t="s">
        <v>4152</v>
      </c>
      <c r="E321">
        <v>15</v>
      </c>
      <c r="F321">
        <v>2</v>
      </c>
      <c r="G321" t="s">
        <v>4167</v>
      </c>
    </row>
    <row r="322" spans="1:7">
      <c r="A322">
        <v>1906</v>
      </c>
      <c r="B322">
        <v>1</v>
      </c>
      <c r="C322">
        <v>38</v>
      </c>
      <c r="D322" t="s">
        <v>4152</v>
      </c>
      <c r="E322">
        <v>15</v>
      </c>
      <c r="F322">
        <v>2</v>
      </c>
      <c r="G322" t="s">
        <v>4167</v>
      </c>
    </row>
    <row r="323" spans="1:7">
      <c r="A323">
        <v>1923</v>
      </c>
      <c r="B323">
        <v>1</v>
      </c>
      <c r="C323">
        <v>38</v>
      </c>
      <c r="D323" t="s">
        <v>4152</v>
      </c>
      <c r="E323">
        <v>15</v>
      </c>
      <c r="F323">
        <v>2</v>
      </c>
      <c r="G323" t="s">
        <v>4167</v>
      </c>
    </row>
    <row r="324" spans="1:7">
      <c r="A324">
        <v>1934</v>
      </c>
      <c r="B324">
        <v>1</v>
      </c>
      <c r="C324">
        <v>38</v>
      </c>
      <c r="D324" t="s">
        <v>4152</v>
      </c>
      <c r="E324">
        <v>15</v>
      </c>
      <c r="F324">
        <v>2</v>
      </c>
      <c r="G324" t="s">
        <v>4167</v>
      </c>
    </row>
    <row r="325" spans="1:7">
      <c r="A325">
        <v>1943</v>
      </c>
      <c r="B325">
        <v>1</v>
      </c>
      <c r="C325">
        <v>38</v>
      </c>
      <c r="D325" t="s">
        <v>4152</v>
      </c>
      <c r="E325">
        <v>15</v>
      </c>
      <c r="F325">
        <v>2</v>
      </c>
      <c r="G325" t="s">
        <v>4167</v>
      </c>
    </row>
    <row r="326" spans="1:7">
      <c r="A326">
        <v>1973</v>
      </c>
      <c r="B326">
        <v>1</v>
      </c>
      <c r="C326">
        <v>38</v>
      </c>
      <c r="D326" t="s">
        <v>4152</v>
      </c>
      <c r="E326">
        <v>15</v>
      </c>
      <c r="F326">
        <v>2</v>
      </c>
      <c r="G326" t="s">
        <v>4167</v>
      </c>
    </row>
    <row r="327" spans="1:7">
      <c r="A327">
        <v>2000</v>
      </c>
      <c r="B327">
        <v>1</v>
      </c>
      <c r="C327">
        <v>38</v>
      </c>
      <c r="D327" t="s">
        <v>4152</v>
      </c>
      <c r="E327">
        <v>15</v>
      </c>
      <c r="F327">
        <v>2</v>
      </c>
      <c r="G327" t="s">
        <v>4167</v>
      </c>
    </row>
    <row r="328" spans="1:7">
      <c r="A328">
        <v>2011</v>
      </c>
      <c r="B328">
        <v>1</v>
      </c>
      <c r="C328">
        <v>38</v>
      </c>
      <c r="D328" t="s">
        <v>4152</v>
      </c>
      <c r="E328">
        <v>15</v>
      </c>
      <c r="F328">
        <v>2</v>
      </c>
      <c r="G328" t="s">
        <v>4167</v>
      </c>
    </row>
    <row r="329" spans="1:7">
      <c r="A329">
        <v>2024</v>
      </c>
      <c r="B329">
        <v>1</v>
      </c>
      <c r="C329">
        <v>38</v>
      </c>
      <c r="D329" t="s">
        <v>4152</v>
      </c>
      <c r="E329">
        <v>15</v>
      </c>
      <c r="F329">
        <v>2</v>
      </c>
      <c r="G329" t="s">
        <v>4167</v>
      </c>
    </row>
    <row r="330" spans="1:7">
      <c r="A330">
        <v>2034</v>
      </c>
      <c r="B330">
        <v>1</v>
      </c>
      <c r="C330">
        <v>38</v>
      </c>
      <c r="D330" t="s">
        <v>4152</v>
      </c>
      <c r="E330">
        <v>15</v>
      </c>
      <c r="F330">
        <v>2</v>
      </c>
      <c r="G330" t="s">
        <v>4167</v>
      </c>
    </row>
    <row r="331" spans="1:7">
      <c r="A331">
        <v>2043</v>
      </c>
      <c r="B331">
        <v>1</v>
      </c>
      <c r="C331">
        <v>38</v>
      </c>
      <c r="D331" t="s">
        <v>4152</v>
      </c>
      <c r="E331">
        <v>15</v>
      </c>
      <c r="F331">
        <v>2</v>
      </c>
      <c r="G331" t="s">
        <v>4167</v>
      </c>
    </row>
    <row r="332" spans="1:7">
      <c r="A332">
        <v>2052</v>
      </c>
      <c r="B332">
        <v>1</v>
      </c>
      <c r="C332">
        <v>38</v>
      </c>
      <c r="D332" t="s">
        <v>4152</v>
      </c>
      <c r="E332">
        <v>15</v>
      </c>
      <c r="F332">
        <v>2</v>
      </c>
      <c r="G332" t="s">
        <v>4167</v>
      </c>
    </row>
    <row r="333" spans="1:7">
      <c r="A333">
        <v>2063</v>
      </c>
      <c r="B333">
        <v>1</v>
      </c>
      <c r="C333">
        <v>38</v>
      </c>
      <c r="D333" t="s">
        <v>4152</v>
      </c>
      <c r="E333">
        <v>15</v>
      </c>
      <c r="F333">
        <v>2</v>
      </c>
      <c r="G333" t="s">
        <v>4167</v>
      </c>
    </row>
    <row r="334" spans="1:7">
      <c r="A334">
        <v>2079</v>
      </c>
      <c r="B334">
        <v>1</v>
      </c>
      <c r="C334">
        <v>38</v>
      </c>
      <c r="D334" t="s">
        <v>4152</v>
      </c>
      <c r="E334">
        <v>15</v>
      </c>
      <c r="F334">
        <v>2</v>
      </c>
      <c r="G334" t="s">
        <v>4167</v>
      </c>
    </row>
    <row r="335" spans="1:7">
      <c r="A335">
        <v>2088</v>
      </c>
      <c r="B335">
        <v>1</v>
      </c>
      <c r="C335">
        <v>38</v>
      </c>
      <c r="D335" t="s">
        <v>4152</v>
      </c>
      <c r="E335">
        <v>15</v>
      </c>
      <c r="F335">
        <v>2</v>
      </c>
      <c r="G335" t="s">
        <v>4167</v>
      </c>
    </row>
    <row r="336" spans="1:7">
      <c r="A336">
        <v>2097</v>
      </c>
      <c r="B336">
        <v>1</v>
      </c>
      <c r="C336">
        <v>38</v>
      </c>
      <c r="D336" t="s">
        <v>4152</v>
      </c>
      <c r="E336">
        <v>15</v>
      </c>
      <c r="F336">
        <v>2</v>
      </c>
      <c r="G336" t="s">
        <v>4167</v>
      </c>
    </row>
    <row r="337" spans="1:7">
      <c r="A337">
        <v>2118</v>
      </c>
      <c r="B337">
        <v>1</v>
      </c>
      <c r="C337">
        <v>38</v>
      </c>
      <c r="D337" t="s">
        <v>4152</v>
      </c>
      <c r="E337">
        <v>15</v>
      </c>
      <c r="F337">
        <v>2</v>
      </c>
      <c r="G337" t="s">
        <v>4167</v>
      </c>
    </row>
    <row r="338" spans="1:7">
      <c r="A338">
        <v>2126</v>
      </c>
      <c r="B338">
        <v>1</v>
      </c>
      <c r="C338">
        <v>38</v>
      </c>
      <c r="D338" t="s">
        <v>4152</v>
      </c>
      <c r="E338">
        <v>15</v>
      </c>
      <c r="F338">
        <v>2</v>
      </c>
      <c r="G338" t="s">
        <v>4167</v>
      </c>
    </row>
    <row r="339" spans="1:7">
      <c r="A339">
        <v>2140</v>
      </c>
      <c r="B339">
        <v>1</v>
      </c>
      <c r="C339">
        <v>38</v>
      </c>
      <c r="D339" t="s">
        <v>4152</v>
      </c>
      <c r="E339">
        <v>15</v>
      </c>
      <c r="F339">
        <v>2</v>
      </c>
      <c r="G339" t="s">
        <v>4167</v>
      </c>
    </row>
    <row r="340" spans="1:7">
      <c r="A340">
        <v>6005</v>
      </c>
      <c r="B340">
        <v>1</v>
      </c>
      <c r="C340">
        <v>38</v>
      </c>
      <c r="D340" t="s">
        <v>4152</v>
      </c>
      <c r="E340">
        <v>15</v>
      </c>
      <c r="F340">
        <v>2</v>
      </c>
      <c r="G340" t="s">
        <v>4167</v>
      </c>
    </row>
    <row r="341" spans="1:7">
      <c r="A341">
        <v>6014</v>
      </c>
      <c r="B341">
        <v>1</v>
      </c>
      <c r="C341">
        <v>38</v>
      </c>
      <c r="D341" t="s">
        <v>4152</v>
      </c>
      <c r="E341">
        <v>15</v>
      </c>
      <c r="F341">
        <v>2</v>
      </c>
      <c r="G341" t="s">
        <v>4167</v>
      </c>
    </row>
    <row r="342" spans="1:7">
      <c r="A342">
        <v>6020</v>
      </c>
      <c r="B342">
        <v>1</v>
      </c>
      <c r="C342">
        <v>38</v>
      </c>
      <c r="D342" t="s">
        <v>4152</v>
      </c>
      <c r="E342">
        <v>15</v>
      </c>
      <c r="F342">
        <v>2</v>
      </c>
      <c r="G342" t="s">
        <v>4167</v>
      </c>
    </row>
    <row r="343" spans="1:7">
      <c r="A343">
        <v>6029</v>
      </c>
      <c r="B343">
        <v>1</v>
      </c>
      <c r="C343">
        <v>38</v>
      </c>
      <c r="D343" t="s">
        <v>4152</v>
      </c>
      <c r="E343">
        <v>15</v>
      </c>
      <c r="F343">
        <v>2</v>
      </c>
      <c r="G343" t="s">
        <v>4167</v>
      </c>
    </row>
    <row r="344" spans="1:7">
      <c r="A344">
        <v>6043</v>
      </c>
      <c r="B344">
        <v>1</v>
      </c>
      <c r="C344">
        <v>38</v>
      </c>
      <c r="D344" t="s">
        <v>4152</v>
      </c>
      <c r="E344">
        <v>15</v>
      </c>
      <c r="F344">
        <v>2</v>
      </c>
      <c r="G344" t="s">
        <v>4167</v>
      </c>
    </row>
    <row r="345" spans="1:7">
      <c r="A345">
        <v>6111</v>
      </c>
      <c r="B345">
        <v>1</v>
      </c>
      <c r="C345">
        <v>38</v>
      </c>
      <c r="D345" t="s">
        <v>4152</v>
      </c>
      <c r="E345">
        <v>15</v>
      </c>
      <c r="F345">
        <v>2</v>
      </c>
      <c r="G345" t="s">
        <v>4167</v>
      </c>
    </row>
    <row r="346" spans="1:7">
      <c r="A346">
        <v>6325</v>
      </c>
      <c r="B346">
        <v>1</v>
      </c>
      <c r="C346">
        <v>38</v>
      </c>
      <c r="D346" t="s">
        <v>4152</v>
      </c>
      <c r="E346">
        <v>15</v>
      </c>
      <c r="F346">
        <v>2</v>
      </c>
      <c r="G346" t="s">
        <v>4167</v>
      </c>
    </row>
    <row r="347" spans="1:7">
      <c r="A347">
        <v>6341</v>
      </c>
      <c r="B347">
        <v>1</v>
      </c>
      <c r="C347">
        <v>38</v>
      </c>
      <c r="D347" t="s">
        <v>4152</v>
      </c>
      <c r="E347">
        <v>15</v>
      </c>
      <c r="F347">
        <v>2</v>
      </c>
      <c r="G347" t="s">
        <v>4167</v>
      </c>
    </row>
    <row r="348" spans="1:7">
      <c r="A348">
        <v>6355</v>
      </c>
      <c r="B348">
        <v>1</v>
      </c>
      <c r="C348">
        <v>38</v>
      </c>
      <c r="D348" t="s">
        <v>4152</v>
      </c>
      <c r="E348">
        <v>15</v>
      </c>
      <c r="F348">
        <v>2</v>
      </c>
      <c r="G348" t="s">
        <v>4167</v>
      </c>
    </row>
    <row r="349" spans="1:7">
      <c r="A349">
        <v>6363</v>
      </c>
      <c r="B349">
        <v>1</v>
      </c>
      <c r="C349">
        <v>38</v>
      </c>
      <c r="D349" t="s">
        <v>4152</v>
      </c>
      <c r="E349">
        <v>15</v>
      </c>
      <c r="F349">
        <v>2</v>
      </c>
      <c r="G349" t="s">
        <v>4167</v>
      </c>
    </row>
    <row r="350" spans="1:7">
      <c r="A350">
        <v>6379</v>
      </c>
      <c r="B350">
        <v>1</v>
      </c>
      <c r="C350">
        <v>38</v>
      </c>
      <c r="D350" t="s">
        <v>4152</v>
      </c>
      <c r="E350">
        <v>15</v>
      </c>
      <c r="F350">
        <v>2</v>
      </c>
      <c r="G350" t="s">
        <v>4167</v>
      </c>
    </row>
    <row r="351" spans="1:7">
      <c r="A351">
        <v>6385</v>
      </c>
      <c r="B351">
        <v>1</v>
      </c>
      <c r="C351">
        <v>38</v>
      </c>
      <c r="D351" t="s">
        <v>4152</v>
      </c>
      <c r="E351">
        <v>15</v>
      </c>
      <c r="F351">
        <v>2</v>
      </c>
      <c r="G351" t="s">
        <v>4167</v>
      </c>
    </row>
    <row r="352" spans="1:7">
      <c r="A352">
        <v>6422</v>
      </c>
      <c r="B352">
        <v>1</v>
      </c>
      <c r="C352">
        <v>38</v>
      </c>
      <c r="D352" t="s">
        <v>4152</v>
      </c>
      <c r="E352">
        <v>15</v>
      </c>
      <c r="F352">
        <v>2</v>
      </c>
      <c r="G352" t="s">
        <v>4167</v>
      </c>
    </row>
    <row r="353" spans="1:7">
      <c r="A353">
        <v>6442</v>
      </c>
      <c r="B353">
        <v>1</v>
      </c>
      <c r="C353">
        <v>38</v>
      </c>
      <c r="D353" t="s">
        <v>4152</v>
      </c>
      <c r="E353">
        <v>15</v>
      </c>
      <c r="F353">
        <v>2</v>
      </c>
      <c r="G353" t="s">
        <v>4167</v>
      </c>
    </row>
    <row r="354" spans="1:7">
      <c r="A354">
        <v>6457</v>
      </c>
      <c r="B354">
        <v>1</v>
      </c>
      <c r="C354">
        <v>38</v>
      </c>
      <c r="D354" t="s">
        <v>4152</v>
      </c>
      <c r="E354">
        <v>15</v>
      </c>
      <c r="F354">
        <v>2</v>
      </c>
      <c r="G354" t="s">
        <v>4167</v>
      </c>
    </row>
    <row r="355" spans="1:7">
      <c r="A355">
        <v>6468</v>
      </c>
      <c r="B355">
        <v>1</v>
      </c>
      <c r="C355">
        <v>38</v>
      </c>
      <c r="D355" t="s">
        <v>4152</v>
      </c>
      <c r="E355">
        <v>15</v>
      </c>
      <c r="F355">
        <v>2</v>
      </c>
      <c r="G355" t="s">
        <v>4167</v>
      </c>
    </row>
    <row r="356" spans="1:7">
      <c r="A356">
        <v>6489</v>
      </c>
      <c r="B356">
        <v>1</v>
      </c>
      <c r="C356">
        <v>38</v>
      </c>
      <c r="D356" t="s">
        <v>4152</v>
      </c>
      <c r="E356">
        <v>15</v>
      </c>
      <c r="F356">
        <v>2</v>
      </c>
      <c r="G356" t="s">
        <v>4167</v>
      </c>
    </row>
    <row r="357" spans="1:7">
      <c r="A357">
        <v>6509</v>
      </c>
      <c r="B357">
        <v>1</v>
      </c>
      <c r="C357">
        <v>38</v>
      </c>
      <c r="D357" t="s">
        <v>4152</v>
      </c>
      <c r="E357">
        <v>15</v>
      </c>
      <c r="F357">
        <v>2</v>
      </c>
      <c r="G357" t="s">
        <v>4167</v>
      </c>
    </row>
    <row r="358" spans="1:7">
      <c r="A358">
        <v>6522</v>
      </c>
      <c r="B358">
        <v>1</v>
      </c>
      <c r="C358">
        <v>38</v>
      </c>
      <c r="D358" t="s">
        <v>4152</v>
      </c>
      <c r="E358">
        <v>15</v>
      </c>
      <c r="F358">
        <v>2</v>
      </c>
      <c r="G358" t="s">
        <v>4167</v>
      </c>
    </row>
    <row r="359" spans="1:7">
      <c r="A359">
        <v>6531</v>
      </c>
      <c r="B359">
        <v>1</v>
      </c>
      <c r="C359">
        <v>38</v>
      </c>
      <c r="D359" t="s">
        <v>4152</v>
      </c>
      <c r="E359">
        <v>15</v>
      </c>
      <c r="F359">
        <v>2</v>
      </c>
      <c r="G359" t="s">
        <v>4167</v>
      </c>
    </row>
    <row r="360" spans="1:7">
      <c r="A360">
        <v>6539</v>
      </c>
      <c r="B360">
        <v>1</v>
      </c>
      <c r="C360">
        <v>38</v>
      </c>
      <c r="D360" t="s">
        <v>4152</v>
      </c>
      <c r="E360">
        <v>15</v>
      </c>
      <c r="F360">
        <v>2</v>
      </c>
      <c r="G360" t="s">
        <v>4167</v>
      </c>
    </row>
    <row r="361" spans="1:7">
      <c r="A361">
        <v>6580</v>
      </c>
      <c r="B361">
        <v>1</v>
      </c>
      <c r="C361">
        <v>38</v>
      </c>
      <c r="D361" t="s">
        <v>4152</v>
      </c>
      <c r="E361">
        <v>15</v>
      </c>
      <c r="F361">
        <v>2</v>
      </c>
      <c r="G361" t="s">
        <v>4167</v>
      </c>
    </row>
    <row r="362" spans="1:7">
      <c r="A362">
        <v>6592</v>
      </c>
      <c r="B362">
        <v>1</v>
      </c>
      <c r="C362">
        <v>38</v>
      </c>
      <c r="D362" t="s">
        <v>4152</v>
      </c>
      <c r="E362">
        <v>15</v>
      </c>
      <c r="F362">
        <v>2</v>
      </c>
      <c r="G362" t="s">
        <v>4167</v>
      </c>
    </row>
    <row r="363" spans="1:7">
      <c r="A363">
        <v>6603</v>
      </c>
      <c r="B363">
        <v>1</v>
      </c>
      <c r="C363">
        <v>38</v>
      </c>
      <c r="D363" t="s">
        <v>4152</v>
      </c>
      <c r="E363">
        <v>15</v>
      </c>
      <c r="F363">
        <v>2</v>
      </c>
      <c r="G363" t="s">
        <v>4167</v>
      </c>
    </row>
    <row r="364" spans="1:7">
      <c r="A364">
        <v>6614</v>
      </c>
      <c r="B364">
        <v>1</v>
      </c>
      <c r="C364">
        <v>38</v>
      </c>
      <c r="D364" t="s">
        <v>4152</v>
      </c>
      <c r="E364">
        <v>15</v>
      </c>
      <c r="F364">
        <v>2</v>
      </c>
      <c r="G364" t="s">
        <v>4167</v>
      </c>
    </row>
    <row r="365" spans="1:7">
      <c r="A365">
        <v>6625</v>
      </c>
      <c r="B365">
        <v>1</v>
      </c>
      <c r="C365">
        <v>38</v>
      </c>
      <c r="D365" t="s">
        <v>4152</v>
      </c>
      <c r="E365">
        <v>15</v>
      </c>
      <c r="F365">
        <v>2</v>
      </c>
      <c r="G365" t="s">
        <v>4167</v>
      </c>
    </row>
    <row r="366" spans="1:7">
      <c r="A366">
        <v>6633</v>
      </c>
      <c r="B366">
        <v>1</v>
      </c>
      <c r="C366">
        <v>38</v>
      </c>
      <c r="D366" t="s">
        <v>4152</v>
      </c>
      <c r="E366">
        <v>15</v>
      </c>
      <c r="F366">
        <v>2</v>
      </c>
      <c r="G366" t="s">
        <v>4167</v>
      </c>
    </row>
    <row r="367" spans="1:7">
      <c r="A367">
        <v>6643</v>
      </c>
      <c r="B367">
        <v>1</v>
      </c>
      <c r="C367">
        <v>38</v>
      </c>
      <c r="D367" t="s">
        <v>4152</v>
      </c>
      <c r="E367">
        <v>15</v>
      </c>
      <c r="F367">
        <v>2</v>
      </c>
      <c r="G367" t="s">
        <v>4167</v>
      </c>
    </row>
    <row r="368" spans="1:7">
      <c r="A368">
        <v>6659</v>
      </c>
      <c r="B368">
        <v>1</v>
      </c>
      <c r="C368">
        <v>38</v>
      </c>
      <c r="D368" t="s">
        <v>4152</v>
      </c>
      <c r="E368">
        <v>15</v>
      </c>
      <c r="F368">
        <v>2</v>
      </c>
      <c r="G368" t="s">
        <v>4167</v>
      </c>
    </row>
    <row r="369" spans="1:7">
      <c r="A369">
        <v>6669</v>
      </c>
      <c r="B369">
        <v>1</v>
      </c>
      <c r="C369">
        <v>38</v>
      </c>
      <c r="D369" t="s">
        <v>4152</v>
      </c>
      <c r="E369">
        <v>15</v>
      </c>
      <c r="F369">
        <v>2</v>
      </c>
      <c r="G369" t="s">
        <v>4167</v>
      </c>
    </row>
    <row r="370" spans="1:7">
      <c r="A370">
        <v>6697</v>
      </c>
      <c r="B370">
        <v>1</v>
      </c>
      <c r="C370">
        <v>38</v>
      </c>
      <c r="D370" t="s">
        <v>4152</v>
      </c>
      <c r="E370">
        <v>15</v>
      </c>
      <c r="F370">
        <v>2</v>
      </c>
      <c r="G370" t="s">
        <v>4167</v>
      </c>
    </row>
    <row r="371" spans="1:7">
      <c r="A371">
        <v>6703</v>
      </c>
      <c r="B371">
        <v>1</v>
      </c>
      <c r="C371">
        <v>38</v>
      </c>
      <c r="D371" t="s">
        <v>4152</v>
      </c>
      <c r="E371">
        <v>15</v>
      </c>
      <c r="F371">
        <v>2</v>
      </c>
      <c r="G371" t="s">
        <v>4167</v>
      </c>
    </row>
    <row r="372" spans="1:7">
      <c r="A372">
        <v>6711</v>
      </c>
      <c r="B372">
        <v>1</v>
      </c>
      <c r="C372">
        <v>38</v>
      </c>
      <c r="D372" t="s">
        <v>4152</v>
      </c>
      <c r="E372">
        <v>15</v>
      </c>
      <c r="F372">
        <v>2</v>
      </c>
      <c r="G372" t="s">
        <v>4167</v>
      </c>
    </row>
    <row r="373" spans="1:7">
      <c r="A373">
        <v>6720</v>
      </c>
      <c r="B373">
        <v>1</v>
      </c>
      <c r="C373">
        <v>38</v>
      </c>
      <c r="D373" t="s">
        <v>4152</v>
      </c>
      <c r="E373">
        <v>15</v>
      </c>
      <c r="F373">
        <v>2</v>
      </c>
      <c r="G373" t="s">
        <v>4167</v>
      </c>
    </row>
    <row r="374" spans="1:7">
      <c r="A374">
        <v>6729</v>
      </c>
      <c r="B374">
        <v>1</v>
      </c>
      <c r="C374">
        <v>38</v>
      </c>
      <c r="D374" t="s">
        <v>4152</v>
      </c>
      <c r="E374">
        <v>15</v>
      </c>
      <c r="F374">
        <v>2</v>
      </c>
      <c r="G374" t="s">
        <v>4167</v>
      </c>
    </row>
    <row r="375" spans="1:7">
      <c r="A375">
        <v>6736</v>
      </c>
      <c r="B375">
        <v>1</v>
      </c>
      <c r="C375">
        <v>38</v>
      </c>
      <c r="D375" t="s">
        <v>4152</v>
      </c>
      <c r="E375">
        <v>15</v>
      </c>
      <c r="F375">
        <v>2</v>
      </c>
      <c r="G375" t="s">
        <v>4167</v>
      </c>
    </row>
    <row r="376" spans="1:7">
      <c r="A376">
        <v>6745</v>
      </c>
      <c r="B376">
        <v>1</v>
      </c>
      <c r="C376">
        <v>38</v>
      </c>
      <c r="D376" t="s">
        <v>4152</v>
      </c>
      <c r="E376">
        <v>15</v>
      </c>
      <c r="F376">
        <v>2</v>
      </c>
      <c r="G376" t="s">
        <v>4167</v>
      </c>
    </row>
    <row r="377" spans="1:7">
      <c r="A377">
        <v>6754</v>
      </c>
      <c r="B377">
        <v>1</v>
      </c>
      <c r="C377">
        <v>38</v>
      </c>
      <c r="D377" t="s">
        <v>4152</v>
      </c>
      <c r="E377">
        <v>15</v>
      </c>
      <c r="F377">
        <v>2</v>
      </c>
      <c r="G377" t="s">
        <v>4167</v>
      </c>
    </row>
    <row r="378" spans="1:7">
      <c r="A378">
        <v>6761</v>
      </c>
      <c r="B378">
        <v>1</v>
      </c>
      <c r="C378">
        <v>38</v>
      </c>
      <c r="D378" t="s">
        <v>4152</v>
      </c>
      <c r="E378">
        <v>15</v>
      </c>
      <c r="F378">
        <v>2</v>
      </c>
      <c r="G378" t="s">
        <v>4167</v>
      </c>
    </row>
    <row r="379" spans="1:7">
      <c r="A379">
        <v>6772</v>
      </c>
      <c r="B379">
        <v>1</v>
      </c>
      <c r="C379">
        <v>38</v>
      </c>
      <c r="D379" t="s">
        <v>4152</v>
      </c>
      <c r="E379">
        <v>15</v>
      </c>
      <c r="F379">
        <v>2</v>
      </c>
      <c r="G379" t="s">
        <v>4167</v>
      </c>
    </row>
    <row r="380" spans="1:7">
      <c r="A380">
        <v>6817</v>
      </c>
      <c r="B380">
        <v>1</v>
      </c>
      <c r="C380">
        <v>38</v>
      </c>
      <c r="D380" t="s">
        <v>4152</v>
      </c>
      <c r="E380">
        <v>15</v>
      </c>
      <c r="F380">
        <v>2</v>
      </c>
      <c r="G380" t="s">
        <v>4167</v>
      </c>
    </row>
    <row r="381" spans="1:7">
      <c r="A381">
        <v>6824</v>
      </c>
      <c r="B381">
        <v>1</v>
      </c>
      <c r="C381">
        <v>38</v>
      </c>
      <c r="D381" t="s">
        <v>4152</v>
      </c>
      <c r="E381">
        <v>15</v>
      </c>
      <c r="F381">
        <v>2</v>
      </c>
      <c r="G381" t="s">
        <v>4167</v>
      </c>
    </row>
    <row r="382" spans="1:7">
      <c r="A382">
        <v>6838</v>
      </c>
      <c r="B382">
        <v>1</v>
      </c>
      <c r="C382">
        <v>38</v>
      </c>
      <c r="D382" t="s">
        <v>4152</v>
      </c>
      <c r="E382">
        <v>15</v>
      </c>
      <c r="F382">
        <v>2</v>
      </c>
      <c r="G382" t="s">
        <v>4167</v>
      </c>
    </row>
    <row r="383" spans="1:7">
      <c r="A383">
        <v>10565</v>
      </c>
      <c r="B383">
        <v>1</v>
      </c>
      <c r="C383">
        <v>38</v>
      </c>
      <c r="D383" t="s">
        <v>4152</v>
      </c>
      <c r="E383">
        <v>15</v>
      </c>
      <c r="F383">
        <v>2</v>
      </c>
      <c r="G383" t="s">
        <v>4167</v>
      </c>
    </row>
    <row r="384" spans="1:7">
      <c r="A384">
        <v>13695</v>
      </c>
      <c r="B384">
        <v>1</v>
      </c>
      <c r="C384">
        <v>38</v>
      </c>
      <c r="D384" t="s">
        <v>4152</v>
      </c>
      <c r="E384">
        <v>15</v>
      </c>
      <c r="F384">
        <v>2</v>
      </c>
      <c r="G384" t="s">
        <v>4167</v>
      </c>
    </row>
    <row r="385" spans="1:7">
      <c r="A385">
        <v>29652</v>
      </c>
      <c r="B385">
        <v>1</v>
      </c>
      <c r="C385">
        <v>38</v>
      </c>
      <c r="D385" t="s">
        <v>4152</v>
      </c>
      <c r="E385">
        <v>15</v>
      </c>
      <c r="F385">
        <v>2</v>
      </c>
      <c r="G385" t="s">
        <v>4167</v>
      </c>
    </row>
    <row r="386" spans="1:7">
      <c r="A386">
        <v>29647</v>
      </c>
      <c r="B386">
        <v>1</v>
      </c>
      <c r="C386">
        <v>38</v>
      </c>
      <c r="D386" t="s">
        <v>4152</v>
      </c>
      <c r="E386">
        <v>15</v>
      </c>
      <c r="F386">
        <v>2</v>
      </c>
      <c r="G386" t="s">
        <v>4167</v>
      </c>
    </row>
    <row r="387" spans="1:7">
      <c r="A387">
        <v>30791</v>
      </c>
      <c r="B387">
        <v>1</v>
      </c>
      <c r="C387">
        <v>38</v>
      </c>
      <c r="D387" t="s">
        <v>4152</v>
      </c>
      <c r="E387">
        <v>15</v>
      </c>
      <c r="F387">
        <v>2</v>
      </c>
      <c r="G387" t="s">
        <v>4167</v>
      </c>
    </row>
    <row r="388" spans="1:7">
      <c r="A388">
        <v>30886</v>
      </c>
      <c r="B388">
        <v>1</v>
      </c>
      <c r="C388">
        <v>38</v>
      </c>
      <c r="D388" t="s">
        <v>4152</v>
      </c>
      <c r="E388">
        <v>15</v>
      </c>
      <c r="F388">
        <v>2</v>
      </c>
      <c r="G388" t="s">
        <v>4167</v>
      </c>
    </row>
    <row r="389" spans="1:7">
      <c r="A389">
        <v>31989</v>
      </c>
      <c r="B389">
        <v>1</v>
      </c>
      <c r="C389">
        <v>38</v>
      </c>
      <c r="D389" t="s">
        <v>4152</v>
      </c>
      <c r="E389">
        <v>15</v>
      </c>
      <c r="F389">
        <v>2</v>
      </c>
      <c r="G389" t="s">
        <v>4167</v>
      </c>
    </row>
    <row r="390" spans="1:7">
      <c r="A390">
        <v>31978</v>
      </c>
      <c r="B390">
        <v>1</v>
      </c>
      <c r="C390">
        <v>38</v>
      </c>
      <c r="D390" t="s">
        <v>4152</v>
      </c>
      <c r="E390">
        <v>15</v>
      </c>
      <c r="F390">
        <v>2</v>
      </c>
      <c r="G390" t="s">
        <v>4167</v>
      </c>
    </row>
    <row r="391" spans="1:7">
      <c r="A391">
        <v>31471</v>
      </c>
      <c r="B391">
        <v>1</v>
      </c>
      <c r="C391">
        <v>38</v>
      </c>
      <c r="D391" t="s">
        <v>4152</v>
      </c>
      <c r="E391">
        <v>15</v>
      </c>
      <c r="F391">
        <v>2</v>
      </c>
      <c r="G391" t="s">
        <v>4167</v>
      </c>
    </row>
    <row r="392" spans="1:7">
      <c r="A392">
        <v>32212</v>
      </c>
      <c r="B392">
        <v>1</v>
      </c>
      <c r="C392">
        <v>38</v>
      </c>
      <c r="D392" t="s">
        <v>4152</v>
      </c>
      <c r="E392">
        <v>15</v>
      </c>
      <c r="F392">
        <v>2</v>
      </c>
      <c r="G392" t="s">
        <v>4167</v>
      </c>
    </row>
    <row r="393" spans="1:7">
      <c r="A393">
        <v>33423</v>
      </c>
      <c r="B393">
        <v>1</v>
      </c>
      <c r="C393">
        <v>38</v>
      </c>
      <c r="D393" t="s">
        <v>4152</v>
      </c>
      <c r="E393">
        <v>15</v>
      </c>
      <c r="F393">
        <v>2</v>
      </c>
      <c r="G393" t="s">
        <v>4167</v>
      </c>
    </row>
    <row r="394" spans="1:7">
      <c r="A394">
        <v>33610</v>
      </c>
      <c r="B394">
        <v>1</v>
      </c>
      <c r="C394">
        <v>38</v>
      </c>
      <c r="D394" t="s">
        <v>4152</v>
      </c>
      <c r="E394">
        <v>15</v>
      </c>
      <c r="F394">
        <v>2</v>
      </c>
      <c r="G394" t="s">
        <v>4167</v>
      </c>
    </row>
    <row r="395" spans="1:7">
      <c r="A395">
        <v>31518</v>
      </c>
      <c r="B395">
        <v>1</v>
      </c>
      <c r="C395">
        <v>38</v>
      </c>
      <c r="D395" t="s">
        <v>4152</v>
      </c>
      <c r="E395">
        <v>15</v>
      </c>
      <c r="F395">
        <v>2</v>
      </c>
      <c r="G395" t="s">
        <v>4167</v>
      </c>
    </row>
    <row r="396" spans="1:7">
      <c r="A396">
        <v>31509</v>
      </c>
      <c r="B396">
        <v>1</v>
      </c>
      <c r="C396">
        <v>38</v>
      </c>
      <c r="D396" t="s">
        <v>4152</v>
      </c>
      <c r="E396">
        <v>15</v>
      </c>
      <c r="F396">
        <v>2</v>
      </c>
      <c r="G396" t="s">
        <v>4167</v>
      </c>
    </row>
    <row r="397" spans="1:7">
      <c r="A397">
        <v>34335</v>
      </c>
      <c r="B397">
        <v>1</v>
      </c>
      <c r="C397">
        <v>38</v>
      </c>
      <c r="D397" t="s">
        <v>4152</v>
      </c>
      <c r="E397">
        <v>15</v>
      </c>
      <c r="F397">
        <v>2</v>
      </c>
      <c r="G397" t="s">
        <v>4167</v>
      </c>
    </row>
    <row r="398" spans="1:7">
      <c r="A398">
        <v>34568</v>
      </c>
      <c r="B398">
        <v>1</v>
      </c>
      <c r="C398">
        <v>38</v>
      </c>
      <c r="D398" t="s">
        <v>4152</v>
      </c>
      <c r="E398">
        <v>15</v>
      </c>
      <c r="F398">
        <v>2</v>
      </c>
      <c r="G398" t="s">
        <v>4167</v>
      </c>
    </row>
    <row r="399" spans="1:7">
      <c r="A399">
        <v>31462</v>
      </c>
      <c r="B399">
        <v>1</v>
      </c>
      <c r="C399">
        <v>38</v>
      </c>
      <c r="D399" t="s">
        <v>4152</v>
      </c>
      <c r="E399">
        <v>15</v>
      </c>
      <c r="F399">
        <v>2</v>
      </c>
      <c r="G399" t="s">
        <v>4167</v>
      </c>
    </row>
    <row r="400" spans="1:7">
      <c r="A400">
        <v>31498</v>
      </c>
      <c r="B400">
        <v>1</v>
      </c>
      <c r="C400">
        <v>38</v>
      </c>
      <c r="D400" t="s">
        <v>4152</v>
      </c>
      <c r="E400">
        <v>15</v>
      </c>
      <c r="F400">
        <v>2</v>
      </c>
      <c r="G400" t="s">
        <v>4167</v>
      </c>
    </row>
    <row r="401" spans="1:7">
      <c r="A401">
        <v>31451</v>
      </c>
      <c r="B401">
        <v>1</v>
      </c>
      <c r="C401">
        <v>38</v>
      </c>
      <c r="D401" t="s">
        <v>4152</v>
      </c>
      <c r="E401">
        <v>15</v>
      </c>
      <c r="F401">
        <v>2</v>
      </c>
      <c r="G401" t="s">
        <v>4167</v>
      </c>
    </row>
    <row r="402" spans="1:7">
      <c r="A402">
        <v>24783</v>
      </c>
      <c r="B402">
        <v>1</v>
      </c>
      <c r="C402">
        <v>38</v>
      </c>
      <c r="D402" t="s">
        <v>4152</v>
      </c>
      <c r="E402">
        <v>15</v>
      </c>
      <c r="F402">
        <v>2</v>
      </c>
      <c r="G402" t="s">
        <v>4167</v>
      </c>
    </row>
    <row r="403" spans="1:7">
      <c r="A403">
        <v>33321</v>
      </c>
      <c r="B403">
        <v>1</v>
      </c>
      <c r="C403">
        <v>38</v>
      </c>
      <c r="D403" t="s">
        <v>4152</v>
      </c>
      <c r="E403">
        <v>15</v>
      </c>
      <c r="F403">
        <v>2</v>
      </c>
      <c r="G403" t="s">
        <v>4167</v>
      </c>
    </row>
    <row r="404" spans="1:7">
      <c r="A404">
        <v>38807</v>
      </c>
      <c r="B404">
        <v>1</v>
      </c>
      <c r="C404">
        <v>38</v>
      </c>
      <c r="D404" t="s">
        <v>4152</v>
      </c>
      <c r="E404">
        <v>15</v>
      </c>
      <c r="F404">
        <v>2</v>
      </c>
      <c r="G404" t="s">
        <v>4167</v>
      </c>
    </row>
    <row r="405" spans="1:7">
      <c r="A405">
        <v>50110</v>
      </c>
      <c r="B405">
        <v>1</v>
      </c>
      <c r="C405">
        <v>38</v>
      </c>
      <c r="D405" t="s">
        <v>4152</v>
      </c>
      <c r="E405">
        <v>15</v>
      </c>
      <c r="F405">
        <v>2</v>
      </c>
      <c r="G405" t="s">
        <v>4167</v>
      </c>
    </row>
    <row r="406" spans="1:7">
      <c r="A406">
        <v>48491</v>
      </c>
      <c r="B406">
        <v>1</v>
      </c>
      <c r="C406">
        <v>38</v>
      </c>
      <c r="D406" t="s">
        <v>4152</v>
      </c>
      <c r="E406">
        <v>15</v>
      </c>
      <c r="F406">
        <v>2</v>
      </c>
      <c r="G406" t="s">
        <v>4167</v>
      </c>
    </row>
    <row r="407" spans="1:7">
      <c r="A407">
        <v>55031</v>
      </c>
      <c r="B407">
        <v>1</v>
      </c>
      <c r="C407">
        <v>38</v>
      </c>
      <c r="D407" t="s">
        <v>4152</v>
      </c>
      <c r="E407">
        <v>15</v>
      </c>
      <c r="F407">
        <v>2</v>
      </c>
      <c r="G407" t="s">
        <v>4167</v>
      </c>
    </row>
    <row r="408" spans="1:7">
      <c r="A408">
        <v>36618</v>
      </c>
      <c r="B408">
        <v>1</v>
      </c>
      <c r="C408">
        <v>30</v>
      </c>
      <c r="D408" t="s">
        <v>4152</v>
      </c>
      <c r="E408">
        <v>40</v>
      </c>
      <c r="F408">
        <v>7</v>
      </c>
      <c r="G408" t="s">
        <v>4168</v>
      </c>
    </row>
    <row r="409" spans="1:7">
      <c r="A409">
        <v>6300</v>
      </c>
      <c r="B409">
        <v>1</v>
      </c>
      <c r="C409">
        <v>30</v>
      </c>
      <c r="D409" t="s">
        <v>4152</v>
      </c>
      <c r="E409">
        <v>40</v>
      </c>
      <c r="F409">
        <v>7</v>
      </c>
      <c r="G409" t="s">
        <v>4168</v>
      </c>
    </row>
    <row r="410" spans="1:7">
      <c r="A410">
        <v>50133</v>
      </c>
      <c r="B410">
        <v>1</v>
      </c>
      <c r="C410">
        <v>30</v>
      </c>
      <c r="D410" t="s">
        <v>4152</v>
      </c>
      <c r="E410">
        <v>40</v>
      </c>
      <c r="F410">
        <v>7</v>
      </c>
      <c r="G410" t="s">
        <v>4168</v>
      </c>
    </row>
    <row r="411" spans="1:7">
      <c r="A411">
        <v>26570</v>
      </c>
      <c r="B411">
        <v>1</v>
      </c>
      <c r="C411">
        <v>30</v>
      </c>
      <c r="D411" t="s">
        <v>4152</v>
      </c>
      <c r="E411">
        <v>40</v>
      </c>
      <c r="F411">
        <v>7</v>
      </c>
      <c r="G411" t="s">
        <v>4168</v>
      </c>
    </row>
    <row r="412" spans="1:7">
      <c r="A412">
        <v>6863</v>
      </c>
      <c r="B412">
        <v>1</v>
      </c>
      <c r="C412">
        <v>30</v>
      </c>
      <c r="D412" t="s">
        <v>4152</v>
      </c>
      <c r="E412">
        <v>40</v>
      </c>
      <c r="F412">
        <v>7</v>
      </c>
      <c r="G412" t="s">
        <v>4168</v>
      </c>
    </row>
    <row r="413" spans="1:7">
      <c r="A413">
        <v>6276</v>
      </c>
      <c r="B413">
        <v>1</v>
      </c>
      <c r="C413">
        <v>30</v>
      </c>
      <c r="D413" t="s">
        <v>4152</v>
      </c>
      <c r="E413">
        <v>40</v>
      </c>
      <c r="F413">
        <v>7</v>
      </c>
      <c r="G413" t="s">
        <v>4168</v>
      </c>
    </row>
    <row r="414" spans="1:7">
      <c r="A414">
        <v>6301</v>
      </c>
      <c r="B414">
        <v>1</v>
      </c>
      <c r="C414">
        <v>30</v>
      </c>
      <c r="D414" t="s">
        <v>4152</v>
      </c>
      <c r="E414">
        <v>40</v>
      </c>
      <c r="F414">
        <v>7</v>
      </c>
      <c r="G414" t="s">
        <v>4168</v>
      </c>
    </row>
    <row r="415" spans="1:7">
      <c r="A415">
        <v>6872</v>
      </c>
      <c r="B415">
        <v>1</v>
      </c>
      <c r="C415">
        <v>30</v>
      </c>
      <c r="D415" t="s">
        <v>4152</v>
      </c>
      <c r="E415">
        <v>40</v>
      </c>
      <c r="F415">
        <v>7</v>
      </c>
      <c r="G415" t="s">
        <v>4168</v>
      </c>
    </row>
    <row r="416" spans="1:7">
      <c r="A416">
        <v>19958</v>
      </c>
      <c r="B416">
        <v>1</v>
      </c>
      <c r="C416">
        <v>30</v>
      </c>
      <c r="D416" t="s">
        <v>4152</v>
      </c>
      <c r="E416">
        <v>40</v>
      </c>
      <c r="F416">
        <v>7</v>
      </c>
      <c r="G416" t="s">
        <v>4168</v>
      </c>
    </row>
    <row r="417" spans="1:7">
      <c r="B417">
        <v>1</v>
      </c>
      <c r="C417">
        <v>31</v>
      </c>
      <c r="D417" t="s">
        <v>4147</v>
      </c>
      <c r="E417">
        <v>43</v>
      </c>
      <c r="G417" t="s">
        <v>117</v>
      </c>
    </row>
    <row r="418" spans="1:7">
      <c r="B418">
        <v>1</v>
      </c>
      <c r="C418">
        <v>45</v>
      </c>
      <c r="D418" t="s">
        <v>4147</v>
      </c>
      <c r="E418">
        <v>26</v>
      </c>
      <c r="F418">
        <v>5</v>
      </c>
      <c r="G418" t="s">
        <v>4169</v>
      </c>
    </row>
    <row r="419" spans="1:7">
      <c r="A419">
        <v>6294</v>
      </c>
      <c r="B419">
        <v>1</v>
      </c>
      <c r="C419">
        <v>32</v>
      </c>
      <c r="D419" t="s">
        <v>4149</v>
      </c>
      <c r="E419">
        <v>41</v>
      </c>
      <c r="F419">
        <v>7</v>
      </c>
      <c r="G419" t="s">
        <v>4170</v>
      </c>
    </row>
    <row r="420" spans="1:7">
      <c r="A420">
        <v>26145</v>
      </c>
      <c r="B420">
        <v>1</v>
      </c>
      <c r="C420">
        <v>32</v>
      </c>
      <c r="D420" t="s">
        <v>4149</v>
      </c>
      <c r="E420">
        <v>41</v>
      </c>
      <c r="F420">
        <v>7</v>
      </c>
      <c r="G420" t="s">
        <v>4170</v>
      </c>
    </row>
    <row r="421" spans="1:7">
      <c r="A421">
        <v>6296</v>
      </c>
      <c r="B421">
        <v>1</v>
      </c>
      <c r="C421">
        <v>32</v>
      </c>
      <c r="D421" t="s">
        <v>4149</v>
      </c>
      <c r="E421">
        <v>41</v>
      </c>
      <c r="F421">
        <v>7</v>
      </c>
      <c r="G421" t="s">
        <v>4170</v>
      </c>
    </row>
    <row r="422" spans="1:7">
      <c r="A422">
        <v>6274</v>
      </c>
      <c r="B422">
        <v>1</v>
      </c>
      <c r="C422">
        <v>32</v>
      </c>
      <c r="D422" t="s">
        <v>4149</v>
      </c>
      <c r="E422">
        <v>41</v>
      </c>
      <c r="F422">
        <v>7</v>
      </c>
      <c r="G422" t="s">
        <v>4170</v>
      </c>
    </row>
    <row r="423" spans="1:7">
      <c r="A423">
        <v>23134</v>
      </c>
      <c r="B423">
        <v>1</v>
      </c>
      <c r="C423">
        <v>32</v>
      </c>
      <c r="D423" t="s">
        <v>4149</v>
      </c>
      <c r="E423">
        <v>41</v>
      </c>
      <c r="F423">
        <v>7</v>
      </c>
      <c r="G423" t="s">
        <v>4170</v>
      </c>
    </row>
    <row r="424" spans="1:7">
      <c r="A424">
        <v>6275</v>
      </c>
      <c r="B424">
        <v>1</v>
      </c>
      <c r="C424">
        <v>32</v>
      </c>
      <c r="D424" t="s">
        <v>4149</v>
      </c>
      <c r="E424">
        <v>41</v>
      </c>
      <c r="F424">
        <v>7</v>
      </c>
      <c r="G424" t="s">
        <v>4170</v>
      </c>
    </row>
    <row r="425" spans="1:7">
      <c r="A425">
        <v>6868</v>
      </c>
      <c r="B425">
        <v>1</v>
      </c>
      <c r="C425">
        <v>32</v>
      </c>
      <c r="D425" t="s">
        <v>4149</v>
      </c>
      <c r="E425">
        <v>41</v>
      </c>
      <c r="F425">
        <v>7</v>
      </c>
      <c r="G425" t="s">
        <v>4170</v>
      </c>
    </row>
    <row r="426" spans="1:7">
      <c r="A426">
        <v>6290</v>
      </c>
      <c r="B426">
        <v>1</v>
      </c>
      <c r="C426">
        <v>32</v>
      </c>
      <c r="D426" t="s">
        <v>4149</v>
      </c>
      <c r="E426">
        <v>41</v>
      </c>
      <c r="F426">
        <v>7</v>
      </c>
      <c r="G426" t="s">
        <v>4170</v>
      </c>
    </row>
    <row r="427" spans="1:7">
      <c r="A427">
        <v>6291</v>
      </c>
      <c r="B427">
        <v>1</v>
      </c>
      <c r="C427">
        <v>32</v>
      </c>
      <c r="D427" t="s">
        <v>4149</v>
      </c>
      <c r="E427">
        <v>41</v>
      </c>
      <c r="F427">
        <v>7</v>
      </c>
      <c r="G427" t="s">
        <v>4170</v>
      </c>
    </row>
    <row r="428" spans="1:7">
      <c r="A428">
        <v>6867</v>
      </c>
      <c r="B428">
        <v>1</v>
      </c>
      <c r="C428">
        <v>32</v>
      </c>
      <c r="D428" t="s">
        <v>4149</v>
      </c>
      <c r="E428">
        <v>41</v>
      </c>
      <c r="F428">
        <v>7</v>
      </c>
      <c r="G428" t="s">
        <v>4170</v>
      </c>
    </row>
    <row r="429" spans="1:7">
      <c r="A429">
        <v>24895</v>
      </c>
      <c r="B429">
        <v>1</v>
      </c>
      <c r="C429">
        <v>32</v>
      </c>
      <c r="D429" t="s">
        <v>4149</v>
      </c>
      <c r="E429">
        <v>41</v>
      </c>
      <c r="F429">
        <v>7</v>
      </c>
      <c r="G429" t="s">
        <v>4170</v>
      </c>
    </row>
    <row r="430" spans="1:7">
      <c r="A430">
        <v>6295</v>
      </c>
      <c r="B430">
        <v>1</v>
      </c>
      <c r="C430">
        <v>32</v>
      </c>
      <c r="D430" t="s">
        <v>4149</v>
      </c>
      <c r="E430">
        <v>41</v>
      </c>
      <c r="F430">
        <v>7</v>
      </c>
      <c r="G430" t="s">
        <v>4170</v>
      </c>
    </row>
    <row r="431" spans="1:7">
      <c r="A431">
        <v>31643</v>
      </c>
      <c r="B431">
        <v>1</v>
      </c>
      <c r="C431">
        <v>32</v>
      </c>
      <c r="D431" t="s">
        <v>4149</v>
      </c>
      <c r="E431">
        <v>41</v>
      </c>
      <c r="F431">
        <v>7</v>
      </c>
      <c r="G431" t="s">
        <v>4170</v>
      </c>
    </row>
    <row r="432" spans="1:7">
      <c r="A432">
        <v>36788</v>
      </c>
      <c r="B432">
        <v>1</v>
      </c>
      <c r="C432">
        <v>32</v>
      </c>
      <c r="D432" t="s">
        <v>4149</v>
      </c>
      <c r="E432">
        <v>41</v>
      </c>
      <c r="F432">
        <v>7</v>
      </c>
      <c r="G432" t="s">
        <v>4170</v>
      </c>
    </row>
    <row r="433" spans="1:7">
      <c r="A433">
        <v>6861</v>
      </c>
      <c r="B433">
        <v>1</v>
      </c>
      <c r="C433">
        <v>32</v>
      </c>
      <c r="D433" t="s">
        <v>4149</v>
      </c>
      <c r="E433">
        <v>41</v>
      </c>
      <c r="F433">
        <v>7</v>
      </c>
      <c r="G433" t="s">
        <v>4170</v>
      </c>
    </row>
    <row r="434" spans="1:7">
      <c r="A434">
        <v>6305</v>
      </c>
      <c r="B434">
        <v>1</v>
      </c>
      <c r="C434">
        <v>32</v>
      </c>
      <c r="D434" t="s">
        <v>4149</v>
      </c>
      <c r="E434">
        <v>41</v>
      </c>
      <c r="F434">
        <v>7</v>
      </c>
      <c r="G434" t="s">
        <v>4170</v>
      </c>
    </row>
    <row r="435" spans="1:7">
      <c r="A435">
        <v>49839</v>
      </c>
      <c r="B435">
        <v>1</v>
      </c>
      <c r="C435">
        <v>32</v>
      </c>
      <c r="D435" t="s">
        <v>4149</v>
      </c>
      <c r="E435">
        <v>41</v>
      </c>
      <c r="F435">
        <v>7</v>
      </c>
      <c r="G435" t="s">
        <v>4170</v>
      </c>
    </row>
    <row r="436" spans="1:7">
      <c r="A436">
        <v>6278</v>
      </c>
      <c r="B436">
        <v>1</v>
      </c>
      <c r="C436">
        <v>32</v>
      </c>
      <c r="D436" t="s">
        <v>4149</v>
      </c>
      <c r="E436">
        <v>41</v>
      </c>
      <c r="F436">
        <v>7</v>
      </c>
      <c r="G436" t="s">
        <v>4170</v>
      </c>
    </row>
    <row r="437" spans="1:7">
      <c r="A437">
        <v>33849</v>
      </c>
      <c r="B437">
        <v>1</v>
      </c>
      <c r="C437">
        <v>32</v>
      </c>
      <c r="D437" t="s">
        <v>4149</v>
      </c>
      <c r="E437">
        <v>41</v>
      </c>
      <c r="F437">
        <v>7</v>
      </c>
      <c r="G437" t="s">
        <v>4170</v>
      </c>
    </row>
    <row r="438" spans="1:7">
      <c r="A438">
        <v>6869</v>
      </c>
      <c r="B438">
        <v>1</v>
      </c>
      <c r="C438">
        <v>32</v>
      </c>
      <c r="D438" t="s">
        <v>4149</v>
      </c>
      <c r="E438">
        <v>41</v>
      </c>
      <c r="F438">
        <v>7</v>
      </c>
      <c r="G438" t="s">
        <v>4170</v>
      </c>
    </row>
    <row r="439" spans="1:7">
      <c r="A439">
        <v>49076</v>
      </c>
      <c r="B439">
        <v>1</v>
      </c>
      <c r="C439">
        <v>32</v>
      </c>
      <c r="D439" t="s">
        <v>4149</v>
      </c>
      <c r="E439">
        <v>41</v>
      </c>
      <c r="F439">
        <v>7</v>
      </c>
      <c r="G439" t="s">
        <v>4170</v>
      </c>
    </row>
    <row r="440" spans="1:7">
      <c r="A440">
        <v>49077</v>
      </c>
      <c r="B440">
        <v>1</v>
      </c>
      <c r="C440">
        <v>32</v>
      </c>
      <c r="D440" t="s">
        <v>4149</v>
      </c>
      <c r="E440">
        <v>41</v>
      </c>
      <c r="F440">
        <v>7</v>
      </c>
      <c r="G440" t="s">
        <v>4170</v>
      </c>
    </row>
    <row r="441" spans="1:7">
      <c r="A441">
        <v>24803</v>
      </c>
      <c r="B441">
        <v>1</v>
      </c>
      <c r="C441">
        <v>32</v>
      </c>
      <c r="D441" t="s">
        <v>4149</v>
      </c>
      <c r="E441">
        <v>41</v>
      </c>
      <c r="F441">
        <v>7</v>
      </c>
      <c r="G441" t="s">
        <v>4170</v>
      </c>
    </row>
    <row r="442" spans="1:7">
      <c r="B442">
        <v>1</v>
      </c>
      <c r="C442">
        <v>46</v>
      </c>
      <c r="D442" t="s">
        <v>4155</v>
      </c>
      <c r="E442">
        <v>44</v>
      </c>
    </row>
    <row r="443" spans="1:7">
      <c r="B443">
        <v>1</v>
      </c>
      <c r="C443">
        <v>47</v>
      </c>
      <c r="D443" t="s">
        <v>4147</v>
      </c>
      <c r="E443">
        <v>45</v>
      </c>
      <c r="F443">
        <v>8</v>
      </c>
      <c r="G443" t="s">
        <v>230</v>
      </c>
    </row>
    <row r="444" spans="1:7">
      <c r="A444">
        <v>6875</v>
      </c>
      <c r="B444">
        <v>1</v>
      </c>
      <c r="C444">
        <v>48</v>
      </c>
      <c r="D444" t="s">
        <v>4152</v>
      </c>
      <c r="E444">
        <v>46</v>
      </c>
      <c r="F444">
        <v>8</v>
      </c>
      <c r="G444" t="s">
        <v>4171</v>
      </c>
    </row>
    <row r="445" spans="1:7">
      <c r="A445">
        <v>6876</v>
      </c>
      <c r="B445">
        <v>1</v>
      </c>
      <c r="C445">
        <v>49</v>
      </c>
      <c r="D445" t="s">
        <v>4152</v>
      </c>
      <c r="E445">
        <v>47</v>
      </c>
      <c r="F445">
        <v>8</v>
      </c>
      <c r="G445" t="s">
        <v>4172</v>
      </c>
    </row>
    <row r="446" spans="1:7">
      <c r="B446">
        <v>1</v>
      </c>
      <c r="C446">
        <v>50</v>
      </c>
      <c r="D446" t="s">
        <v>4155</v>
      </c>
      <c r="E446">
        <v>48</v>
      </c>
    </row>
    <row r="447" spans="1:7">
      <c r="B447">
        <v>1</v>
      </c>
      <c r="C447">
        <v>51</v>
      </c>
      <c r="D447" t="s">
        <v>4147</v>
      </c>
      <c r="E447">
        <v>49</v>
      </c>
      <c r="G447" t="s">
        <v>4173</v>
      </c>
    </row>
    <row r="448" spans="1:7">
      <c r="B448">
        <v>1</v>
      </c>
      <c r="C448">
        <v>33</v>
      </c>
      <c r="D448" t="s">
        <v>4147</v>
      </c>
      <c r="E448">
        <v>9</v>
      </c>
      <c r="F448">
        <v>2</v>
      </c>
      <c r="G448" t="s">
        <v>4174</v>
      </c>
    </row>
    <row r="449" spans="1:7">
      <c r="A449">
        <v>21973</v>
      </c>
      <c r="B449">
        <v>1</v>
      </c>
      <c r="C449">
        <v>39</v>
      </c>
      <c r="D449" t="s">
        <v>4152</v>
      </c>
      <c r="E449">
        <v>10</v>
      </c>
      <c r="F449">
        <v>2</v>
      </c>
      <c r="G449" t="s">
        <v>4175</v>
      </c>
    </row>
    <row r="450" spans="1:7">
      <c r="A450">
        <v>23200</v>
      </c>
      <c r="B450">
        <v>1</v>
      </c>
      <c r="C450">
        <v>39</v>
      </c>
      <c r="D450" t="s">
        <v>4152</v>
      </c>
      <c r="E450">
        <v>10</v>
      </c>
      <c r="F450">
        <v>2</v>
      </c>
      <c r="G450" t="s">
        <v>4175</v>
      </c>
    </row>
    <row r="451" spans="1:7">
      <c r="A451">
        <v>1851</v>
      </c>
      <c r="B451">
        <v>1</v>
      </c>
      <c r="C451">
        <v>39</v>
      </c>
      <c r="D451" t="s">
        <v>4152</v>
      </c>
      <c r="E451">
        <v>10</v>
      </c>
      <c r="F451">
        <v>2</v>
      </c>
      <c r="G451" t="s">
        <v>4175</v>
      </c>
    </row>
    <row r="452" spans="1:7">
      <c r="A452">
        <v>1862</v>
      </c>
      <c r="B452">
        <v>1</v>
      </c>
      <c r="C452">
        <v>39</v>
      </c>
      <c r="D452" t="s">
        <v>4152</v>
      </c>
      <c r="E452">
        <v>10</v>
      </c>
      <c r="F452">
        <v>2</v>
      </c>
      <c r="G452" t="s">
        <v>4175</v>
      </c>
    </row>
    <row r="453" spans="1:7">
      <c r="A453">
        <v>1873</v>
      </c>
      <c r="B453">
        <v>1</v>
      </c>
      <c r="C453">
        <v>39</v>
      </c>
      <c r="D453" t="s">
        <v>4152</v>
      </c>
      <c r="E453">
        <v>10</v>
      </c>
      <c r="F453">
        <v>2</v>
      </c>
      <c r="G453" t="s">
        <v>4175</v>
      </c>
    </row>
    <row r="454" spans="1:7">
      <c r="A454">
        <v>1884</v>
      </c>
      <c r="B454">
        <v>1</v>
      </c>
      <c r="C454">
        <v>39</v>
      </c>
      <c r="D454" t="s">
        <v>4152</v>
      </c>
      <c r="E454">
        <v>10</v>
      </c>
      <c r="F454">
        <v>2</v>
      </c>
      <c r="G454" t="s">
        <v>4175</v>
      </c>
    </row>
    <row r="455" spans="1:7">
      <c r="A455">
        <v>1893</v>
      </c>
      <c r="B455">
        <v>1</v>
      </c>
      <c r="C455">
        <v>39</v>
      </c>
      <c r="D455" t="s">
        <v>4152</v>
      </c>
      <c r="E455">
        <v>10</v>
      </c>
      <c r="F455">
        <v>2</v>
      </c>
      <c r="G455" t="s">
        <v>4175</v>
      </c>
    </row>
    <row r="456" spans="1:7">
      <c r="A456">
        <v>1904</v>
      </c>
      <c r="B456">
        <v>1</v>
      </c>
      <c r="C456">
        <v>39</v>
      </c>
      <c r="D456" t="s">
        <v>4152</v>
      </c>
      <c r="E456">
        <v>10</v>
      </c>
      <c r="F456">
        <v>2</v>
      </c>
      <c r="G456" t="s">
        <v>4175</v>
      </c>
    </row>
    <row r="457" spans="1:7">
      <c r="A457">
        <v>2106</v>
      </c>
      <c r="B457">
        <v>1</v>
      </c>
      <c r="C457">
        <v>39</v>
      </c>
      <c r="D457" t="s">
        <v>4152</v>
      </c>
      <c r="E457">
        <v>10</v>
      </c>
      <c r="F457">
        <v>2</v>
      </c>
      <c r="G457" t="s">
        <v>4175</v>
      </c>
    </row>
    <row r="458" spans="1:7">
      <c r="A458">
        <v>1921</v>
      </c>
      <c r="B458">
        <v>1</v>
      </c>
      <c r="C458">
        <v>39</v>
      </c>
      <c r="D458" t="s">
        <v>4152</v>
      </c>
      <c r="E458">
        <v>10</v>
      </c>
      <c r="F458">
        <v>2</v>
      </c>
      <c r="G458" t="s">
        <v>4175</v>
      </c>
    </row>
    <row r="459" spans="1:7">
      <c r="A459">
        <v>1932</v>
      </c>
      <c r="B459">
        <v>1</v>
      </c>
      <c r="C459">
        <v>39</v>
      </c>
      <c r="D459" t="s">
        <v>4152</v>
      </c>
      <c r="E459">
        <v>10</v>
      </c>
      <c r="F459">
        <v>2</v>
      </c>
      <c r="G459" t="s">
        <v>4175</v>
      </c>
    </row>
    <row r="460" spans="1:7">
      <c r="A460">
        <v>1941</v>
      </c>
      <c r="B460">
        <v>1</v>
      </c>
      <c r="C460">
        <v>39</v>
      </c>
      <c r="D460" t="s">
        <v>4152</v>
      </c>
      <c r="E460">
        <v>10</v>
      </c>
      <c r="F460">
        <v>2</v>
      </c>
      <c r="G460" t="s">
        <v>4175</v>
      </c>
    </row>
    <row r="461" spans="1:7">
      <c r="A461">
        <v>1950</v>
      </c>
      <c r="B461">
        <v>1</v>
      </c>
      <c r="C461">
        <v>39</v>
      </c>
      <c r="D461" t="s">
        <v>4152</v>
      </c>
      <c r="E461">
        <v>10</v>
      </c>
      <c r="F461">
        <v>2</v>
      </c>
      <c r="G461" t="s">
        <v>4175</v>
      </c>
    </row>
    <row r="462" spans="1:7">
      <c r="A462">
        <v>1957</v>
      </c>
      <c r="B462">
        <v>1</v>
      </c>
      <c r="C462">
        <v>39</v>
      </c>
      <c r="D462" t="s">
        <v>4152</v>
      </c>
      <c r="E462">
        <v>10</v>
      </c>
      <c r="F462">
        <v>2</v>
      </c>
      <c r="G462" t="s">
        <v>4175</v>
      </c>
    </row>
    <row r="463" spans="1:7">
      <c r="A463">
        <v>1964</v>
      </c>
      <c r="B463">
        <v>1</v>
      </c>
      <c r="C463">
        <v>39</v>
      </c>
      <c r="D463" t="s">
        <v>4152</v>
      </c>
      <c r="E463">
        <v>10</v>
      </c>
      <c r="F463">
        <v>2</v>
      </c>
      <c r="G463" t="s">
        <v>4175</v>
      </c>
    </row>
    <row r="464" spans="1:7">
      <c r="A464">
        <v>1971</v>
      </c>
      <c r="B464">
        <v>1</v>
      </c>
      <c r="C464">
        <v>39</v>
      </c>
      <c r="D464" t="s">
        <v>4152</v>
      </c>
      <c r="E464">
        <v>10</v>
      </c>
      <c r="F464">
        <v>2</v>
      </c>
      <c r="G464" t="s">
        <v>4175</v>
      </c>
    </row>
    <row r="465" spans="1:7">
      <c r="A465">
        <v>1984</v>
      </c>
      <c r="B465">
        <v>1</v>
      </c>
      <c r="C465">
        <v>39</v>
      </c>
      <c r="D465" t="s">
        <v>4152</v>
      </c>
      <c r="E465">
        <v>10</v>
      </c>
      <c r="F465">
        <v>2</v>
      </c>
      <c r="G465" t="s">
        <v>4175</v>
      </c>
    </row>
    <row r="466" spans="1:7">
      <c r="A466">
        <v>1998</v>
      </c>
      <c r="B466">
        <v>1</v>
      </c>
      <c r="C466">
        <v>39</v>
      </c>
      <c r="D466" t="s">
        <v>4152</v>
      </c>
      <c r="E466">
        <v>10</v>
      </c>
      <c r="F466">
        <v>2</v>
      </c>
      <c r="G466" t="s">
        <v>4175</v>
      </c>
    </row>
    <row r="467" spans="1:7">
      <c r="A467">
        <v>2009</v>
      </c>
      <c r="B467">
        <v>1</v>
      </c>
      <c r="C467">
        <v>39</v>
      </c>
      <c r="D467" t="s">
        <v>4152</v>
      </c>
      <c r="E467">
        <v>10</v>
      </c>
      <c r="F467">
        <v>2</v>
      </c>
      <c r="G467" t="s">
        <v>4175</v>
      </c>
    </row>
    <row r="468" spans="1:7">
      <c r="A468">
        <v>2022</v>
      </c>
      <c r="B468">
        <v>1</v>
      </c>
      <c r="C468">
        <v>39</v>
      </c>
      <c r="D468" t="s">
        <v>4152</v>
      </c>
      <c r="E468">
        <v>10</v>
      </c>
      <c r="F468">
        <v>2</v>
      </c>
      <c r="G468" t="s">
        <v>4175</v>
      </c>
    </row>
    <row r="469" spans="1:7">
      <c r="A469">
        <v>2032</v>
      </c>
      <c r="B469">
        <v>1</v>
      </c>
      <c r="C469">
        <v>39</v>
      </c>
      <c r="D469" t="s">
        <v>4152</v>
      </c>
      <c r="E469">
        <v>10</v>
      </c>
      <c r="F469">
        <v>2</v>
      </c>
      <c r="G469" t="s">
        <v>4175</v>
      </c>
    </row>
    <row r="470" spans="1:7">
      <c r="A470">
        <v>2041</v>
      </c>
      <c r="B470">
        <v>1</v>
      </c>
      <c r="C470">
        <v>39</v>
      </c>
      <c r="D470" t="s">
        <v>4152</v>
      </c>
      <c r="E470">
        <v>10</v>
      </c>
      <c r="F470">
        <v>2</v>
      </c>
      <c r="G470" t="s">
        <v>4175</v>
      </c>
    </row>
    <row r="471" spans="1:7">
      <c r="A471">
        <v>2050</v>
      </c>
      <c r="B471">
        <v>1</v>
      </c>
      <c r="C471">
        <v>39</v>
      </c>
      <c r="D471" t="s">
        <v>4152</v>
      </c>
      <c r="E471">
        <v>10</v>
      </c>
      <c r="F471">
        <v>2</v>
      </c>
      <c r="G471" t="s">
        <v>4175</v>
      </c>
    </row>
    <row r="472" spans="1:7">
      <c r="A472">
        <v>2061</v>
      </c>
      <c r="B472">
        <v>1</v>
      </c>
      <c r="C472">
        <v>39</v>
      </c>
      <c r="D472" t="s">
        <v>4152</v>
      </c>
      <c r="E472">
        <v>10</v>
      </c>
      <c r="F472">
        <v>2</v>
      </c>
      <c r="G472" t="s">
        <v>4175</v>
      </c>
    </row>
    <row r="473" spans="1:7">
      <c r="A473">
        <v>2070</v>
      </c>
      <c r="B473">
        <v>1</v>
      </c>
      <c r="C473">
        <v>39</v>
      </c>
      <c r="D473" t="s">
        <v>4152</v>
      </c>
      <c r="E473">
        <v>10</v>
      </c>
      <c r="F473">
        <v>2</v>
      </c>
      <c r="G473" t="s">
        <v>4175</v>
      </c>
    </row>
    <row r="474" spans="1:7">
      <c r="A474">
        <v>2077</v>
      </c>
      <c r="B474">
        <v>1</v>
      </c>
      <c r="C474">
        <v>39</v>
      </c>
      <c r="D474" t="s">
        <v>4152</v>
      </c>
      <c r="E474">
        <v>10</v>
      </c>
      <c r="F474">
        <v>2</v>
      </c>
      <c r="G474" t="s">
        <v>4175</v>
      </c>
    </row>
    <row r="475" spans="1:7">
      <c r="A475">
        <v>2086</v>
      </c>
      <c r="B475">
        <v>1</v>
      </c>
      <c r="C475">
        <v>39</v>
      </c>
      <c r="D475" t="s">
        <v>4152</v>
      </c>
      <c r="E475">
        <v>10</v>
      </c>
      <c r="F475">
        <v>2</v>
      </c>
      <c r="G475" t="s">
        <v>4175</v>
      </c>
    </row>
    <row r="476" spans="1:7">
      <c r="A476">
        <v>2095</v>
      </c>
      <c r="B476">
        <v>1</v>
      </c>
      <c r="C476">
        <v>39</v>
      </c>
      <c r="D476" t="s">
        <v>4152</v>
      </c>
      <c r="E476">
        <v>10</v>
      </c>
      <c r="F476">
        <v>2</v>
      </c>
      <c r="G476" t="s">
        <v>4175</v>
      </c>
    </row>
    <row r="477" spans="1:7">
      <c r="A477">
        <v>2116</v>
      </c>
      <c r="B477">
        <v>1</v>
      </c>
      <c r="C477">
        <v>39</v>
      </c>
      <c r="D477" t="s">
        <v>4152</v>
      </c>
      <c r="E477">
        <v>10</v>
      </c>
      <c r="F477">
        <v>2</v>
      </c>
      <c r="G477" t="s">
        <v>4175</v>
      </c>
    </row>
    <row r="478" spans="1:7">
      <c r="A478">
        <v>2124</v>
      </c>
      <c r="B478">
        <v>1</v>
      </c>
      <c r="C478">
        <v>39</v>
      </c>
      <c r="D478" t="s">
        <v>4152</v>
      </c>
      <c r="E478">
        <v>10</v>
      </c>
      <c r="F478">
        <v>2</v>
      </c>
      <c r="G478" t="s">
        <v>4175</v>
      </c>
    </row>
    <row r="479" spans="1:7">
      <c r="A479">
        <v>6003</v>
      </c>
      <c r="B479">
        <v>1</v>
      </c>
      <c r="C479">
        <v>39</v>
      </c>
      <c r="D479" t="s">
        <v>4152</v>
      </c>
      <c r="E479">
        <v>10</v>
      </c>
      <c r="F479">
        <v>2</v>
      </c>
      <c r="G479" t="s">
        <v>4175</v>
      </c>
    </row>
    <row r="480" spans="1:7">
      <c r="A480">
        <v>6012</v>
      </c>
      <c r="B480">
        <v>1</v>
      </c>
      <c r="C480">
        <v>39</v>
      </c>
      <c r="D480" t="s">
        <v>4152</v>
      </c>
      <c r="E480">
        <v>10</v>
      </c>
      <c r="F480">
        <v>2</v>
      </c>
      <c r="G480" t="s">
        <v>4175</v>
      </c>
    </row>
    <row r="481" spans="1:7">
      <c r="A481">
        <v>6027</v>
      </c>
      <c r="B481">
        <v>1</v>
      </c>
      <c r="C481">
        <v>39</v>
      </c>
      <c r="D481" t="s">
        <v>4152</v>
      </c>
      <c r="E481">
        <v>10</v>
      </c>
      <c r="F481">
        <v>2</v>
      </c>
      <c r="G481" t="s">
        <v>4175</v>
      </c>
    </row>
    <row r="482" spans="1:7">
      <c r="A482">
        <v>6041</v>
      </c>
      <c r="B482">
        <v>1</v>
      </c>
      <c r="C482">
        <v>39</v>
      </c>
      <c r="D482" t="s">
        <v>4152</v>
      </c>
      <c r="E482">
        <v>10</v>
      </c>
      <c r="F482">
        <v>2</v>
      </c>
      <c r="G482" t="s">
        <v>4175</v>
      </c>
    </row>
    <row r="483" spans="1:7">
      <c r="A483">
        <v>6420</v>
      </c>
      <c r="B483">
        <v>1</v>
      </c>
      <c r="C483">
        <v>39</v>
      </c>
      <c r="D483" t="s">
        <v>4152</v>
      </c>
      <c r="E483">
        <v>10</v>
      </c>
      <c r="F483">
        <v>2</v>
      </c>
      <c r="G483" t="s">
        <v>4175</v>
      </c>
    </row>
    <row r="484" spans="1:7">
      <c r="A484">
        <v>6440</v>
      </c>
      <c r="B484">
        <v>1</v>
      </c>
      <c r="C484">
        <v>39</v>
      </c>
      <c r="D484" t="s">
        <v>4152</v>
      </c>
      <c r="E484">
        <v>10</v>
      </c>
      <c r="F484">
        <v>2</v>
      </c>
      <c r="G484" t="s">
        <v>4175</v>
      </c>
    </row>
    <row r="485" spans="1:7">
      <c r="A485">
        <v>6455</v>
      </c>
      <c r="B485">
        <v>1</v>
      </c>
      <c r="C485">
        <v>39</v>
      </c>
      <c r="D485" t="s">
        <v>4152</v>
      </c>
      <c r="E485">
        <v>10</v>
      </c>
      <c r="F485">
        <v>2</v>
      </c>
      <c r="G485" t="s">
        <v>4175</v>
      </c>
    </row>
    <row r="486" spans="1:7">
      <c r="A486">
        <v>6466</v>
      </c>
      <c r="B486">
        <v>1</v>
      </c>
      <c r="C486">
        <v>39</v>
      </c>
      <c r="D486" t="s">
        <v>4152</v>
      </c>
      <c r="E486">
        <v>10</v>
      </c>
      <c r="F486">
        <v>2</v>
      </c>
      <c r="G486" t="s">
        <v>4175</v>
      </c>
    </row>
    <row r="487" spans="1:7">
      <c r="A487">
        <v>6475</v>
      </c>
      <c r="B487">
        <v>1</v>
      </c>
      <c r="C487">
        <v>39</v>
      </c>
      <c r="D487" t="s">
        <v>4152</v>
      </c>
      <c r="E487">
        <v>10</v>
      </c>
      <c r="F487">
        <v>2</v>
      </c>
      <c r="G487" t="s">
        <v>4175</v>
      </c>
    </row>
    <row r="488" spans="1:7">
      <c r="A488">
        <v>6487</v>
      </c>
      <c r="B488">
        <v>1</v>
      </c>
      <c r="C488">
        <v>39</v>
      </c>
      <c r="D488" t="s">
        <v>4152</v>
      </c>
      <c r="E488">
        <v>10</v>
      </c>
      <c r="F488">
        <v>2</v>
      </c>
      <c r="G488" t="s">
        <v>4175</v>
      </c>
    </row>
    <row r="489" spans="1:7">
      <c r="A489">
        <v>6676</v>
      </c>
      <c r="B489">
        <v>1</v>
      </c>
      <c r="C489">
        <v>39</v>
      </c>
      <c r="D489" t="s">
        <v>4152</v>
      </c>
      <c r="E489">
        <v>10</v>
      </c>
      <c r="F489">
        <v>2</v>
      </c>
      <c r="G489" t="s">
        <v>4175</v>
      </c>
    </row>
    <row r="490" spans="1:7">
      <c r="A490">
        <v>6507</v>
      </c>
      <c r="B490">
        <v>1</v>
      </c>
      <c r="C490">
        <v>39</v>
      </c>
      <c r="D490" t="s">
        <v>4152</v>
      </c>
      <c r="E490">
        <v>10</v>
      </c>
      <c r="F490">
        <v>2</v>
      </c>
      <c r="G490" t="s">
        <v>4175</v>
      </c>
    </row>
    <row r="491" spans="1:7">
      <c r="A491">
        <v>6520</v>
      </c>
      <c r="B491">
        <v>1</v>
      </c>
      <c r="C491">
        <v>39</v>
      </c>
      <c r="D491" t="s">
        <v>4152</v>
      </c>
      <c r="E491">
        <v>10</v>
      </c>
      <c r="F491">
        <v>2</v>
      </c>
      <c r="G491" t="s">
        <v>4175</v>
      </c>
    </row>
    <row r="492" spans="1:7">
      <c r="A492">
        <v>6529</v>
      </c>
      <c r="B492">
        <v>1</v>
      </c>
      <c r="C492">
        <v>39</v>
      </c>
      <c r="D492" t="s">
        <v>4152</v>
      </c>
      <c r="E492">
        <v>10</v>
      </c>
      <c r="F492">
        <v>2</v>
      </c>
      <c r="G492" t="s">
        <v>4175</v>
      </c>
    </row>
    <row r="493" spans="1:7">
      <c r="A493">
        <v>6537</v>
      </c>
      <c r="B493">
        <v>1</v>
      </c>
      <c r="C493">
        <v>39</v>
      </c>
      <c r="D493" t="s">
        <v>4152</v>
      </c>
      <c r="E493">
        <v>10</v>
      </c>
      <c r="F493">
        <v>2</v>
      </c>
      <c r="G493" t="s">
        <v>4175</v>
      </c>
    </row>
    <row r="494" spans="1:7">
      <c r="A494">
        <v>6562</v>
      </c>
      <c r="B494">
        <v>1</v>
      </c>
      <c r="C494">
        <v>39</v>
      </c>
      <c r="D494" t="s">
        <v>4152</v>
      </c>
      <c r="E494">
        <v>10</v>
      </c>
      <c r="F494">
        <v>2</v>
      </c>
      <c r="G494" t="s">
        <v>4175</v>
      </c>
    </row>
    <row r="495" spans="1:7">
      <c r="A495">
        <v>6578</v>
      </c>
      <c r="B495">
        <v>1</v>
      </c>
      <c r="C495">
        <v>39</v>
      </c>
      <c r="D495" t="s">
        <v>4152</v>
      </c>
      <c r="E495">
        <v>10</v>
      </c>
      <c r="F495">
        <v>2</v>
      </c>
      <c r="G495" t="s">
        <v>4175</v>
      </c>
    </row>
    <row r="496" spans="1:7">
      <c r="A496">
        <v>6590</v>
      </c>
      <c r="B496">
        <v>1</v>
      </c>
      <c r="C496">
        <v>39</v>
      </c>
      <c r="D496" t="s">
        <v>4152</v>
      </c>
      <c r="E496">
        <v>10</v>
      </c>
      <c r="F496">
        <v>2</v>
      </c>
      <c r="G496" t="s">
        <v>4175</v>
      </c>
    </row>
    <row r="497" spans="1:7">
      <c r="A497">
        <v>6601</v>
      </c>
      <c r="B497">
        <v>1</v>
      </c>
      <c r="C497">
        <v>39</v>
      </c>
      <c r="D497" t="s">
        <v>4152</v>
      </c>
      <c r="E497">
        <v>10</v>
      </c>
      <c r="F497">
        <v>2</v>
      </c>
      <c r="G497" t="s">
        <v>4175</v>
      </c>
    </row>
    <row r="498" spans="1:7">
      <c r="A498">
        <v>6612</v>
      </c>
      <c r="B498">
        <v>1</v>
      </c>
      <c r="C498">
        <v>39</v>
      </c>
      <c r="D498" t="s">
        <v>4152</v>
      </c>
      <c r="E498">
        <v>10</v>
      </c>
      <c r="F498">
        <v>2</v>
      </c>
      <c r="G498" t="s">
        <v>4175</v>
      </c>
    </row>
    <row r="499" spans="1:7">
      <c r="A499">
        <v>6623</v>
      </c>
      <c r="B499">
        <v>1</v>
      </c>
      <c r="C499">
        <v>39</v>
      </c>
      <c r="D499" t="s">
        <v>4152</v>
      </c>
      <c r="E499">
        <v>10</v>
      </c>
      <c r="F499">
        <v>2</v>
      </c>
      <c r="G499" t="s">
        <v>4175</v>
      </c>
    </row>
    <row r="500" spans="1:7">
      <c r="A500">
        <v>6641</v>
      </c>
      <c r="B500">
        <v>1</v>
      </c>
      <c r="C500">
        <v>39</v>
      </c>
      <c r="D500" t="s">
        <v>4152</v>
      </c>
      <c r="E500">
        <v>10</v>
      </c>
      <c r="F500">
        <v>2</v>
      </c>
      <c r="G500" t="s">
        <v>4175</v>
      </c>
    </row>
    <row r="501" spans="1:7">
      <c r="A501">
        <v>6650</v>
      </c>
      <c r="B501">
        <v>1</v>
      </c>
      <c r="C501">
        <v>39</v>
      </c>
      <c r="D501" t="s">
        <v>4152</v>
      </c>
      <c r="E501">
        <v>10</v>
      </c>
      <c r="F501">
        <v>2</v>
      </c>
      <c r="G501" t="s">
        <v>4175</v>
      </c>
    </row>
    <row r="502" spans="1:7">
      <c r="A502">
        <v>6657</v>
      </c>
      <c r="B502">
        <v>1</v>
      </c>
      <c r="C502">
        <v>39</v>
      </c>
      <c r="D502" t="s">
        <v>4152</v>
      </c>
      <c r="E502">
        <v>10</v>
      </c>
      <c r="F502">
        <v>2</v>
      </c>
      <c r="G502" t="s">
        <v>4175</v>
      </c>
    </row>
    <row r="503" spans="1:7">
      <c r="A503">
        <v>6667</v>
      </c>
      <c r="B503">
        <v>1</v>
      </c>
      <c r="C503">
        <v>39</v>
      </c>
      <c r="D503" t="s">
        <v>4152</v>
      </c>
      <c r="E503">
        <v>10</v>
      </c>
      <c r="F503">
        <v>2</v>
      </c>
      <c r="G503" t="s">
        <v>4175</v>
      </c>
    </row>
    <row r="504" spans="1:7">
      <c r="A504">
        <v>6695</v>
      </c>
      <c r="B504">
        <v>1</v>
      </c>
      <c r="C504">
        <v>39</v>
      </c>
      <c r="D504" t="s">
        <v>4152</v>
      </c>
      <c r="E504">
        <v>10</v>
      </c>
      <c r="F504">
        <v>2</v>
      </c>
      <c r="G504" t="s">
        <v>4175</v>
      </c>
    </row>
    <row r="505" spans="1:7">
      <c r="A505">
        <v>6718</v>
      </c>
      <c r="B505">
        <v>1</v>
      </c>
      <c r="C505">
        <v>39</v>
      </c>
      <c r="D505" t="s">
        <v>4152</v>
      </c>
      <c r="E505">
        <v>10</v>
      </c>
      <c r="F505">
        <v>2</v>
      </c>
      <c r="G505" t="s">
        <v>4175</v>
      </c>
    </row>
    <row r="506" spans="1:7">
      <c r="A506">
        <v>6727</v>
      </c>
      <c r="B506">
        <v>1</v>
      </c>
      <c r="C506">
        <v>39</v>
      </c>
      <c r="D506" t="s">
        <v>4152</v>
      </c>
      <c r="E506">
        <v>10</v>
      </c>
      <c r="F506">
        <v>2</v>
      </c>
      <c r="G506" t="s">
        <v>4175</v>
      </c>
    </row>
    <row r="507" spans="1:7">
      <c r="A507">
        <v>6743</v>
      </c>
      <c r="B507">
        <v>1</v>
      </c>
      <c r="C507">
        <v>39</v>
      </c>
      <c r="D507" t="s">
        <v>4152</v>
      </c>
      <c r="E507">
        <v>10</v>
      </c>
      <c r="F507">
        <v>2</v>
      </c>
      <c r="G507" t="s">
        <v>4175</v>
      </c>
    </row>
    <row r="508" spans="1:7">
      <c r="A508">
        <v>6781</v>
      </c>
      <c r="B508">
        <v>1</v>
      </c>
      <c r="C508">
        <v>39</v>
      </c>
      <c r="D508" t="s">
        <v>4152</v>
      </c>
      <c r="E508">
        <v>10</v>
      </c>
      <c r="F508">
        <v>2</v>
      </c>
      <c r="G508" t="s">
        <v>4175</v>
      </c>
    </row>
    <row r="509" spans="1:7">
      <c r="A509">
        <v>13693</v>
      </c>
      <c r="B509">
        <v>1</v>
      </c>
      <c r="C509">
        <v>39</v>
      </c>
      <c r="D509" t="s">
        <v>4152</v>
      </c>
      <c r="E509">
        <v>10</v>
      </c>
      <c r="F509">
        <v>2</v>
      </c>
      <c r="G509" t="s">
        <v>4175</v>
      </c>
    </row>
    <row r="510" spans="1:7">
      <c r="A510">
        <v>17854</v>
      </c>
      <c r="B510">
        <v>1</v>
      </c>
      <c r="C510">
        <v>39</v>
      </c>
      <c r="D510" t="s">
        <v>4152</v>
      </c>
      <c r="E510">
        <v>10</v>
      </c>
      <c r="F510">
        <v>2</v>
      </c>
      <c r="G510" t="s">
        <v>4175</v>
      </c>
    </row>
    <row r="511" spans="1:7">
      <c r="A511">
        <v>18437</v>
      </c>
      <c r="B511">
        <v>1</v>
      </c>
      <c r="C511">
        <v>39</v>
      </c>
      <c r="D511" t="s">
        <v>4152</v>
      </c>
      <c r="E511">
        <v>10</v>
      </c>
      <c r="F511">
        <v>2</v>
      </c>
      <c r="G511" t="s">
        <v>4175</v>
      </c>
    </row>
    <row r="512" spans="1:7">
      <c r="A512">
        <v>50283</v>
      </c>
      <c r="B512">
        <v>1</v>
      </c>
      <c r="C512">
        <v>39</v>
      </c>
      <c r="D512" t="s">
        <v>4152</v>
      </c>
      <c r="E512">
        <v>10</v>
      </c>
      <c r="F512">
        <v>2</v>
      </c>
      <c r="G512" t="s">
        <v>4175</v>
      </c>
    </row>
    <row r="513" spans="1:7">
      <c r="A513">
        <v>33687</v>
      </c>
      <c r="B513">
        <v>1</v>
      </c>
      <c r="C513">
        <v>39</v>
      </c>
      <c r="D513" t="s">
        <v>4152</v>
      </c>
      <c r="E513">
        <v>10</v>
      </c>
      <c r="F513">
        <v>2</v>
      </c>
      <c r="G513" t="s">
        <v>4175</v>
      </c>
    </row>
    <row r="514" spans="1:7">
      <c r="A514">
        <v>33608</v>
      </c>
      <c r="B514">
        <v>1</v>
      </c>
      <c r="C514">
        <v>39</v>
      </c>
      <c r="D514" t="s">
        <v>4152</v>
      </c>
      <c r="E514">
        <v>10</v>
      </c>
      <c r="F514">
        <v>2</v>
      </c>
      <c r="G514" t="s">
        <v>4175</v>
      </c>
    </row>
    <row r="515" spans="1:7">
      <c r="A515">
        <v>35213</v>
      </c>
      <c r="B515">
        <v>1</v>
      </c>
      <c r="C515">
        <v>39</v>
      </c>
      <c r="D515" t="s">
        <v>4152</v>
      </c>
      <c r="E515">
        <v>10</v>
      </c>
      <c r="F515">
        <v>2</v>
      </c>
      <c r="G515" t="s">
        <v>4175</v>
      </c>
    </row>
    <row r="516" spans="1:7">
      <c r="A516">
        <v>50281</v>
      </c>
      <c r="B516">
        <v>1</v>
      </c>
      <c r="C516">
        <v>39</v>
      </c>
      <c r="D516" t="s">
        <v>4152</v>
      </c>
      <c r="E516">
        <v>10</v>
      </c>
      <c r="F516">
        <v>2</v>
      </c>
      <c r="G516" t="s">
        <v>4175</v>
      </c>
    </row>
    <row r="517" spans="1:7">
      <c r="A517">
        <v>58345</v>
      </c>
      <c r="B517">
        <v>1</v>
      </c>
      <c r="C517">
        <v>39</v>
      </c>
      <c r="D517" t="s">
        <v>4152</v>
      </c>
      <c r="E517">
        <v>10</v>
      </c>
      <c r="F517">
        <v>2</v>
      </c>
      <c r="G517" t="s">
        <v>4175</v>
      </c>
    </row>
    <row r="518" spans="1:7">
      <c r="B518">
        <v>1</v>
      </c>
      <c r="C518">
        <v>40</v>
      </c>
      <c r="D518" t="s">
        <v>4147</v>
      </c>
      <c r="E518">
        <v>18</v>
      </c>
      <c r="F518">
        <v>3</v>
      </c>
      <c r="G518" t="s">
        <v>4176</v>
      </c>
    </row>
    <row r="519" spans="1:7">
      <c r="A519">
        <v>2054</v>
      </c>
      <c r="B519">
        <v>1</v>
      </c>
      <c r="C519">
        <v>41</v>
      </c>
      <c r="D519" t="s">
        <v>4152</v>
      </c>
      <c r="E519">
        <v>19</v>
      </c>
      <c r="F519">
        <v>3</v>
      </c>
      <c r="G519" t="s">
        <v>4150</v>
      </c>
    </row>
    <row r="520" spans="1:7">
      <c r="A520">
        <v>54201</v>
      </c>
      <c r="B520">
        <v>1</v>
      </c>
      <c r="C520">
        <v>41</v>
      </c>
      <c r="D520" t="s">
        <v>4152</v>
      </c>
      <c r="E520">
        <v>19</v>
      </c>
      <c r="F520">
        <v>3</v>
      </c>
      <c r="G520" t="s">
        <v>4150</v>
      </c>
    </row>
    <row r="521" spans="1:7">
      <c r="A521">
        <v>6797</v>
      </c>
      <c r="B521">
        <v>1</v>
      </c>
      <c r="C521">
        <v>41</v>
      </c>
      <c r="D521" t="s">
        <v>4152</v>
      </c>
      <c r="E521">
        <v>19</v>
      </c>
      <c r="F521">
        <v>3</v>
      </c>
      <c r="G521" t="s">
        <v>4150</v>
      </c>
    </row>
    <row r="522" spans="1:7">
      <c r="A522">
        <v>6426</v>
      </c>
      <c r="B522">
        <v>1</v>
      </c>
      <c r="C522">
        <v>41</v>
      </c>
      <c r="D522" t="s">
        <v>4152</v>
      </c>
      <c r="E522">
        <v>19</v>
      </c>
      <c r="F522">
        <v>3</v>
      </c>
      <c r="G522" t="s">
        <v>4150</v>
      </c>
    </row>
    <row r="523" spans="1:7">
      <c r="A523">
        <v>6444</v>
      </c>
      <c r="B523">
        <v>1</v>
      </c>
      <c r="C523">
        <v>41</v>
      </c>
      <c r="D523" t="s">
        <v>4152</v>
      </c>
      <c r="E523">
        <v>19</v>
      </c>
      <c r="F523">
        <v>3</v>
      </c>
      <c r="G523" t="s">
        <v>4150</v>
      </c>
    </row>
    <row r="524" spans="1:7">
      <c r="A524">
        <v>6459</v>
      </c>
      <c r="B524">
        <v>1</v>
      </c>
      <c r="C524">
        <v>41</v>
      </c>
      <c r="D524" t="s">
        <v>4152</v>
      </c>
      <c r="E524">
        <v>19</v>
      </c>
      <c r="F524">
        <v>3</v>
      </c>
      <c r="G524" t="s">
        <v>4150</v>
      </c>
    </row>
    <row r="525" spans="1:7">
      <c r="A525">
        <v>6470</v>
      </c>
      <c r="B525">
        <v>1</v>
      </c>
      <c r="C525">
        <v>41</v>
      </c>
      <c r="D525" t="s">
        <v>4152</v>
      </c>
      <c r="E525">
        <v>19</v>
      </c>
      <c r="F525">
        <v>3</v>
      </c>
      <c r="G525" t="s">
        <v>4150</v>
      </c>
    </row>
    <row r="526" spans="1:7">
      <c r="A526">
        <v>6477</v>
      </c>
      <c r="B526">
        <v>1</v>
      </c>
      <c r="C526">
        <v>41</v>
      </c>
      <c r="D526" t="s">
        <v>4152</v>
      </c>
      <c r="E526">
        <v>19</v>
      </c>
      <c r="F526">
        <v>3</v>
      </c>
      <c r="G526" t="s">
        <v>4150</v>
      </c>
    </row>
    <row r="527" spans="1:7">
      <c r="A527">
        <v>6491</v>
      </c>
      <c r="B527">
        <v>1</v>
      </c>
      <c r="C527">
        <v>41</v>
      </c>
      <c r="D527" t="s">
        <v>4152</v>
      </c>
      <c r="E527">
        <v>19</v>
      </c>
      <c r="F527">
        <v>3</v>
      </c>
      <c r="G527" t="s">
        <v>4150</v>
      </c>
    </row>
    <row r="528" spans="1:7">
      <c r="A528">
        <v>6498</v>
      </c>
      <c r="B528">
        <v>1</v>
      </c>
      <c r="C528">
        <v>41</v>
      </c>
      <c r="D528" t="s">
        <v>4152</v>
      </c>
      <c r="E528">
        <v>19</v>
      </c>
      <c r="F528">
        <v>3</v>
      </c>
      <c r="G528" t="s">
        <v>4150</v>
      </c>
    </row>
    <row r="529" spans="1:7">
      <c r="A529">
        <v>6678</v>
      </c>
      <c r="B529">
        <v>1</v>
      </c>
      <c r="C529">
        <v>41</v>
      </c>
      <c r="D529" t="s">
        <v>4152</v>
      </c>
      <c r="E529">
        <v>19</v>
      </c>
      <c r="F529">
        <v>3</v>
      </c>
      <c r="G529" t="s">
        <v>4150</v>
      </c>
    </row>
    <row r="530" spans="1:7">
      <c r="A530">
        <v>6511</v>
      </c>
      <c r="B530">
        <v>1</v>
      </c>
      <c r="C530">
        <v>41</v>
      </c>
      <c r="D530" t="s">
        <v>4152</v>
      </c>
      <c r="E530">
        <v>19</v>
      </c>
      <c r="F530">
        <v>3</v>
      </c>
      <c r="G530" t="s">
        <v>4150</v>
      </c>
    </row>
    <row r="531" spans="1:7">
      <c r="A531">
        <v>6524</v>
      </c>
      <c r="B531">
        <v>1</v>
      </c>
      <c r="C531">
        <v>41</v>
      </c>
      <c r="D531" t="s">
        <v>4152</v>
      </c>
      <c r="E531">
        <v>19</v>
      </c>
      <c r="F531">
        <v>3</v>
      </c>
      <c r="G531" t="s">
        <v>4150</v>
      </c>
    </row>
    <row r="532" spans="1:7">
      <c r="A532">
        <v>6533</v>
      </c>
      <c r="B532">
        <v>1</v>
      </c>
      <c r="C532">
        <v>41</v>
      </c>
      <c r="D532" t="s">
        <v>4152</v>
      </c>
      <c r="E532">
        <v>19</v>
      </c>
      <c r="F532">
        <v>3</v>
      </c>
      <c r="G532" t="s">
        <v>4150</v>
      </c>
    </row>
    <row r="533" spans="1:7">
      <c r="A533">
        <v>6541</v>
      </c>
      <c r="B533">
        <v>1</v>
      </c>
      <c r="C533">
        <v>41</v>
      </c>
      <c r="D533" t="s">
        <v>4152</v>
      </c>
      <c r="E533">
        <v>19</v>
      </c>
      <c r="F533">
        <v>3</v>
      </c>
      <c r="G533" t="s">
        <v>4150</v>
      </c>
    </row>
    <row r="534" spans="1:7">
      <c r="A534">
        <v>6546</v>
      </c>
      <c r="B534">
        <v>1</v>
      </c>
      <c r="C534">
        <v>41</v>
      </c>
      <c r="D534" t="s">
        <v>4152</v>
      </c>
      <c r="E534">
        <v>19</v>
      </c>
      <c r="F534">
        <v>3</v>
      </c>
      <c r="G534" t="s">
        <v>4150</v>
      </c>
    </row>
    <row r="535" spans="1:7">
      <c r="A535">
        <v>6551</v>
      </c>
      <c r="B535">
        <v>1</v>
      </c>
      <c r="C535">
        <v>41</v>
      </c>
      <c r="D535" t="s">
        <v>4152</v>
      </c>
      <c r="E535">
        <v>19</v>
      </c>
      <c r="F535">
        <v>3</v>
      </c>
      <c r="G535" t="s">
        <v>4150</v>
      </c>
    </row>
    <row r="536" spans="1:7">
      <c r="A536">
        <v>6556</v>
      </c>
      <c r="B536">
        <v>1</v>
      </c>
      <c r="C536">
        <v>41</v>
      </c>
      <c r="D536" t="s">
        <v>4152</v>
      </c>
      <c r="E536">
        <v>19</v>
      </c>
      <c r="F536">
        <v>3</v>
      </c>
      <c r="G536" t="s">
        <v>4150</v>
      </c>
    </row>
    <row r="537" spans="1:7">
      <c r="A537">
        <v>6564</v>
      </c>
      <c r="B537">
        <v>1</v>
      </c>
      <c r="C537">
        <v>41</v>
      </c>
      <c r="D537" t="s">
        <v>4152</v>
      </c>
      <c r="E537">
        <v>19</v>
      </c>
      <c r="F537">
        <v>3</v>
      </c>
      <c r="G537" t="s">
        <v>4150</v>
      </c>
    </row>
    <row r="538" spans="1:7">
      <c r="A538">
        <v>6568</v>
      </c>
      <c r="B538">
        <v>1</v>
      </c>
      <c r="C538">
        <v>41</v>
      </c>
      <c r="D538" t="s">
        <v>4152</v>
      </c>
      <c r="E538">
        <v>19</v>
      </c>
      <c r="F538">
        <v>3</v>
      </c>
      <c r="G538" t="s">
        <v>4150</v>
      </c>
    </row>
    <row r="539" spans="1:7">
      <c r="A539">
        <v>6582</v>
      </c>
      <c r="B539">
        <v>1</v>
      </c>
      <c r="C539">
        <v>41</v>
      </c>
      <c r="D539" t="s">
        <v>4152</v>
      </c>
      <c r="E539">
        <v>19</v>
      </c>
      <c r="F539">
        <v>3</v>
      </c>
      <c r="G539" t="s">
        <v>4150</v>
      </c>
    </row>
    <row r="540" spans="1:7">
      <c r="A540">
        <v>6594</v>
      </c>
      <c r="B540">
        <v>1</v>
      </c>
      <c r="C540">
        <v>41</v>
      </c>
      <c r="D540" t="s">
        <v>4152</v>
      </c>
      <c r="E540">
        <v>19</v>
      </c>
      <c r="F540">
        <v>3</v>
      </c>
      <c r="G540" t="s">
        <v>4150</v>
      </c>
    </row>
    <row r="541" spans="1:7">
      <c r="A541">
        <v>6605</v>
      </c>
      <c r="B541">
        <v>1</v>
      </c>
      <c r="C541">
        <v>41</v>
      </c>
      <c r="D541" t="s">
        <v>4152</v>
      </c>
      <c r="E541">
        <v>19</v>
      </c>
      <c r="F541">
        <v>3</v>
      </c>
      <c r="G541" t="s">
        <v>4150</v>
      </c>
    </row>
    <row r="542" spans="1:7">
      <c r="A542">
        <v>6616</v>
      </c>
      <c r="B542">
        <v>1</v>
      </c>
      <c r="C542">
        <v>41</v>
      </c>
      <c r="D542" t="s">
        <v>4152</v>
      </c>
      <c r="E542">
        <v>19</v>
      </c>
      <c r="F542">
        <v>3</v>
      </c>
      <c r="G542" t="s">
        <v>4150</v>
      </c>
    </row>
    <row r="543" spans="1:7">
      <c r="A543">
        <v>6627</v>
      </c>
      <c r="B543">
        <v>1</v>
      </c>
      <c r="C543">
        <v>41</v>
      </c>
      <c r="D543" t="s">
        <v>4152</v>
      </c>
      <c r="E543">
        <v>19</v>
      </c>
      <c r="F543">
        <v>3</v>
      </c>
      <c r="G543" t="s">
        <v>4150</v>
      </c>
    </row>
    <row r="544" spans="1:7">
      <c r="A544">
        <v>6635</v>
      </c>
      <c r="B544">
        <v>1</v>
      </c>
      <c r="C544">
        <v>41</v>
      </c>
      <c r="D544" t="s">
        <v>4152</v>
      </c>
      <c r="E544">
        <v>19</v>
      </c>
      <c r="F544">
        <v>3</v>
      </c>
      <c r="G544" t="s">
        <v>4150</v>
      </c>
    </row>
    <row r="545" spans="1:7">
      <c r="A545">
        <v>6645</v>
      </c>
      <c r="B545">
        <v>1</v>
      </c>
      <c r="C545">
        <v>41</v>
      </c>
      <c r="D545" t="s">
        <v>4152</v>
      </c>
      <c r="E545">
        <v>19</v>
      </c>
      <c r="F545">
        <v>3</v>
      </c>
      <c r="G545" t="s">
        <v>4150</v>
      </c>
    </row>
    <row r="546" spans="1:7">
      <c r="A546">
        <v>6661</v>
      </c>
      <c r="B546">
        <v>1</v>
      </c>
      <c r="C546">
        <v>41</v>
      </c>
      <c r="D546" t="s">
        <v>4152</v>
      </c>
      <c r="E546">
        <v>19</v>
      </c>
      <c r="F546">
        <v>3</v>
      </c>
      <c r="G546" t="s">
        <v>4150</v>
      </c>
    </row>
    <row r="547" spans="1:7">
      <c r="A547">
        <v>6671</v>
      </c>
      <c r="B547">
        <v>1</v>
      </c>
      <c r="C547">
        <v>41</v>
      </c>
      <c r="D547" t="s">
        <v>4152</v>
      </c>
      <c r="E547">
        <v>19</v>
      </c>
      <c r="F547">
        <v>3</v>
      </c>
      <c r="G547" t="s">
        <v>4150</v>
      </c>
    </row>
    <row r="548" spans="1:7">
      <c r="A548">
        <v>6699</v>
      </c>
      <c r="B548">
        <v>1</v>
      </c>
      <c r="C548">
        <v>41</v>
      </c>
      <c r="D548" t="s">
        <v>4152</v>
      </c>
      <c r="E548">
        <v>19</v>
      </c>
      <c r="F548">
        <v>3</v>
      </c>
      <c r="G548" t="s">
        <v>4150</v>
      </c>
    </row>
    <row r="549" spans="1:7">
      <c r="A549">
        <v>6705</v>
      </c>
      <c r="B549">
        <v>1</v>
      </c>
      <c r="C549">
        <v>41</v>
      </c>
      <c r="D549" t="s">
        <v>4152</v>
      </c>
      <c r="E549">
        <v>19</v>
      </c>
      <c r="F549">
        <v>3</v>
      </c>
      <c r="G549" t="s">
        <v>4150</v>
      </c>
    </row>
    <row r="550" spans="1:7">
      <c r="A550">
        <v>6713</v>
      </c>
      <c r="B550">
        <v>1</v>
      </c>
      <c r="C550">
        <v>41</v>
      </c>
      <c r="D550" t="s">
        <v>4152</v>
      </c>
      <c r="E550">
        <v>19</v>
      </c>
      <c r="F550">
        <v>3</v>
      </c>
      <c r="G550" t="s">
        <v>4150</v>
      </c>
    </row>
    <row r="551" spans="1:7">
      <c r="A551">
        <v>6722</v>
      </c>
      <c r="B551">
        <v>1</v>
      </c>
      <c r="C551">
        <v>41</v>
      </c>
      <c r="D551" t="s">
        <v>4152</v>
      </c>
      <c r="E551">
        <v>19</v>
      </c>
      <c r="F551">
        <v>3</v>
      </c>
      <c r="G551" t="s">
        <v>4150</v>
      </c>
    </row>
    <row r="552" spans="1:7">
      <c r="A552">
        <v>6731</v>
      </c>
      <c r="B552">
        <v>1</v>
      </c>
      <c r="C552">
        <v>41</v>
      </c>
      <c r="D552" t="s">
        <v>4152</v>
      </c>
      <c r="E552">
        <v>19</v>
      </c>
      <c r="F552">
        <v>3</v>
      </c>
      <c r="G552" t="s">
        <v>4150</v>
      </c>
    </row>
    <row r="553" spans="1:7">
      <c r="A553">
        <v>6738</v>
      </c>
      <c r="B553">
        <v>1</v>
      </c>
      <c r="C553">
        <v>41</v>
      </c>
      <c r="D553" t="s">
        <v>4152</v>
      </c>
      <c r="E553">
        <v>19</v>
      </c>
      <c r="F553">
        <v>3</v>
      </c>
      <c r="G553" t="s">
        <v>4150</v>
      </c>
    </row>
    <row r="554" spans="1:7">
      <c r="A554">
        <v>6747</v>
      </c>
      <c r="B554">
        <v>1</v>
      </c>
      <c r="C554">
        <v>41</v>
      </c>
      <c r="D554" t="s">
        <v>4152</v>
      </c>
      <c r="E554">
        <v>19</v>
      </c>
      <c r="F554">
        <v>3</v>
      </c>
      <c r="G554" t="s">
        <v>4150</v>
      </c>
    </row>
    <row r="555" spans="1:7">
      <c r="A555">
        <v>6750</v>
      </c>
      <c r="B555">
        <v>1</v>
      </c>
      <c r="C555">
        <v>41</v>
      </c>
      <c r="D555" t="s">
        <v>4152</v>
      </c>
      <c r="E555">
        <v>19</v>
      </c>
      <c r="F555">
        <v>3</v>
      </c>
      <c r="G555" t="s">
        <v>4150</v>
      </c>
    </row>
    <row r="556" spans="1:7">
      <c r="A556">
        <v>6756</v>
      </c>
      <c r="B556">
        <v>1</v>
      </c>
      <c r="C556">
        <v>41</v>
      </c>
      <c r="D556" t="s">
        <v>4152</v>
      </c>
      <c r="E556">
        <v>19</v>
      </c>
      <c r="F556">
        <v>3</v>
      </c>
      <c r="G556" t="s">
        <v>4150</v>
      </c>
    </row>
    <row r="557" spans="1:7">
      <c r="A557">
        <v>6763</v>
      </c>
      <c r="B557">
        <v>1</v>
      </c>
      <c r="C557">
        <v>41</v>
      </c>
      <c r="D557" t="s">
        <v>4152</v>
      </c>
      <c r="E557">
        <v>19</v>
      </c>
      <c r="F557">
        <v>3</v>
      </c>
      <c r="G557" t="s">
        <v>4150</v>
      </c>
    </row>
    <row r="558" spans="1:7">
      <c r="A558">
        <v>6767</v>
      </c>
      <c r="B558">
        <v>1</v>
      </c>
      <c r="C558">
        <v>41</v>
      </c>
      <c r="D558" t="s">
        <v>4152</v>
      </c>
      <c r="E558">
        <v>19</v>
      </c>
      <c r="F558">
        <v>3</v>
      </c>
      <c r="G558" t="s">
        <v>4150</v>
      </c>
    </row>
    <row r="559" spans="1:7">
      <c r="A559">
        <v>6774</v>
      </c>
      <c r="B559">
        <v>1</v>
      </c>
      <c r="C559">
        <v>41</v>
      </c>
      <c r="D559" t="s">
        <v>4152</v>
      </c>
      <c r="E559">
        <v>19</v>
      </c>
      <c r="F559">
        <v>3</v>
      </c>
      <c r="G559" t="s">
        <v>4150</v>
      </c>
    </row>
    <row r="560" spans="1:7">
      <c r="A560">
        <v>6777</v>
      </c>
      <c r="B560">
        <v>1</v>
      </c>
      <c r="C560">
        <v>41</v>
      </c>
      <c r="D560" t="s">
        <v>4152</v>
      </c>
      <c r="E560">
        <v>19</v>
      </c>
      <c r="F560">
        <v>3</v>
      </c>
      <c r="G560" t="s">
        <v>4150</v>
      </c>
    </row>
    <row r="561" spans="1:7">
      <c r="A561">
        <v>6783</v>
      </c>
      <c r="B561">
        <v>1</v>
      </c>
      <c r="C561">
        <v>41</v>
      </c>
      <c r="D561" t="s">
        <v>4152</v>
      </c>
      <c r="E561">
        <v>19</v>
      </c>
      <c r="F561">
        <v>3</v>
      </c>
      <c r="G561" t="s">
        <v>4150</v>
      </c>
    </row>
    <row r="562" spans="1:7">
      <c r="A562">
        <v>6045</v>
      </c>
      <c r="B562">
        <v>1</v>
      </c>
      <c r="C562">
        <v>41</v>
      </c>
      <c r="D562" t="s">
        <v>4152</v>
      </c>
      <c r="E562">
        <v>19</v>
      </c>
      <c r="F562">
        <v>3</v>
      </c>
      <c r="G562" t="s">
        <v>4150</v>
      </c>
    </row>
    <row r="563" spans="1:7">
      <c r="A563">
        <v>6095</v>
      </c>
      <c r="B563">
        <v>1</v>
      </c>
      <c r="C563">
        <v>41</v>
      </c>
      <c r="D563" t="s">
        <v>4152</v>
      </c>
      <c r="E563">
        <v>19</v>
      </c>
      <c r="F563">
        <v>3</v>
      </c>
      <c r="G563" t="s">
        <v>4150</v>
      </c>
    </row>
    <row r="564" spans="1:7">
      <c r="A564">
        <v>1897</v>
      </c>
      <c r="B564">
        <v>1</v>
      </c>
      <c r="C564">
        <v>41</v>
      </c>
      <c r="D564" t="s">
        <v>4152</v>
      </c>
      <c r="E564">
        <v>19</v>
      </c>
      <c r="F564">
        <v>3</v>
      </c>
      <c r="G564" t="s">
        <v>4150</v>
      </c>
    </row>
    <row r="565" spans="1:7">
      <c r="A565">
        <v>1913</v>
      </c>
      <c r="B565">
        <v>1</v>
      </c>
      <c r="C565">
        <v>41</v>
      </c>
      <c r="D565" t="s">
        <v>4152</v>
      </c>
      <c r="E565">
        <v>19</v>
      </c>
      <c r="F565">
        <v>3</v>
      </c>
      <c r="G565" t="s">
        <v>4150</v>
      </c>
    </row>
    <row r="566" spans="1:7">
      <c r="A566">
        <v>2108</v>
      </c>
      <c r="B566">
        <v>1</v>
      </c>
      <c r="C566">
        <v>41</v>
      </c>
      <c r="D566" t="s">
        <v>4152</v>
      </c>
      <c r="E566">
        <v>19</v>
      </c>
      <c r="F566">
        <v>3</v>
      </c>
      <c r="G566" t="s">
        <v>4150</v>
      </c>
    </row>
    <row r="567" spans="1:7">
      <c r="A567">
        <v>1925</v>
      </c>
      <c r="B567">
        <v>1</v>
      </c>
      <c r="C567">
        <v>41</v>
      </c>
      <c r="D567" t="s">
        <v>4152</v>
      </c>
      <c r="E567">
        <v>19</v>
      </c>
      <c r="F567">
        <v>3</v>
      </c>
      <c r="G567" t="s">
        <v>4150</v>
      </c>
    </row>
    <row r="568" spans="1:7">
      <c r="A568">
        <v>1936</v>
      </c>
      <c r="B568">
        <v>1</v>
      </c>
      <c r="C568">
        <v>41</v>
      </c>
      <c r="D568" t="s">
        <v>4152</v>
      </c>
      <c r="E568">
        <v>19</v>
      </c>
      <c r="F568">
        <v>3</v>
      </c>
      <c r="G568" t="s">
        <v>4150</v>
      </c>
    </row>
    <row r="569" spans="1:7">
      <c r="A569">
        <v>1952</v>
      </c>
      <c r="B569">
        <v>1</v>
      </c>
      <c r="C569">
        <v>41</v>
      </c>
      <c r="D569" t="s">
        <v>4152</v>
      </c>
      <c r="E569">
        <v>19</v>
      </c>
      <c r="F569">
        <v>3</v>
      </c>
      <c r="G569" t="s">
        <v>4150</v>
      </c>
    </row>
    <row r="570" spans="1:7">
      <c r="A570">
        <v>1959</v>
      </c>
      <c r="B570">
        <v>1</v>
      </c>
      <c r="C570">
        <v>41</v>
      </c>
      <c r="D570" t="s">
        <v>4152</v>
      </c>
      <c r="E570">
        <v>19</v>
      </c>
      <c r="F570">
        <v>3</v>
      </c>
      <c r="G570" t="s">
        <v>4150</v>
      </c>
    </row>
    <row r="571" spans="1:7">
      <c r="A571">
        <v>1966</v>
      </c>
      <c r="B571">
        <v>1</v>
      </c>
      <c r="C571">
        <v>41</v>
      </c>
      <c r="D571" t="s">
        <v>4152</v>
      </c>
      <c r="E571">
        <v>19</v>
      </c>
      <c r="F571">
        <v>3</v>
      </c>
      <c r="G571" t="s">
        <v>4150</v>
      </c>
    </row>
    <row r="572" spans="1:7">
      <c r="A572">
        <v>1975</v>
      </c>
      <c r="B572">
        <v>1</v>
      </c>
      <c r="C572">
        <v>41</v>
      </c>
      <c r="D572" t="s">
        <v>4152</v>
      </c>
      <c r="E572">
        <v>19</v>
      </c>
      <c r="F572">
        <v>3</v>
      </c>
      <c r="G572" t="s">
        <v>4150</v>
      </c>
    </row>
    <row r="573" spans="1:7">
      <c r="A573">
        <v>1979</v>
      </c>
      <c r="B573">
        <v>1</v>
      </c>
      <c r="C573">
        <v>41</v>
      </c>
      <c r="D573" t="s">
        <v>4152</v>
      </c>
      <c r="E573">
        <v>19</v>
      </c>
      <c r="F573">
        <v>3</v>
      </c>
      <c r="G573" t="s">
        <v>4150</v>
      </c>
    </row>
    <row r="574" spans="1:7">
      <c r="A574">
        <v>1986</v>
      </c>
      <c r="B574">
        <v>1</v>
      </c>
      <c r="C574">
        <v>41</v>
      </c>
      <c r="D574" t="s">
        <v>4152</v>
      </c>
      <c r="E574">
        <v>19</v>
      </c>
      <c r="F574">
        <v>3</v>
      </c>
      <c r="G574" t="s">
        <v>4150</v>
      </c>
    </row>
    <row r="575" spans="1:7">
      <c r="A575">
        <v>1990</v>
      </c>
      <c r="B575">
        <v>1</v>
      </c>
      <c r="C575">
        <v>41</v>
      </c>
      <c r="D575" t="s">
        <v>4152</v>
      </c>
      <c r="E575">
        <v>19</v>
      </c>
      <c r="F575">
        <v>3</v>
      </c>
      <c r="G575" t="s">
        <v>4150</v>
      </c>
    </row>
    <row r="576" spans="1:7">
      <c r="A576">
        <v>2072</v>
      </c>
      <c r="B576">
        <v>1</v>
      </c>
      <c r="C576">
        <v>41</v>
      </c>
      <c r="D576" t="s">
        <v>4152</v>
      </c>
      <c r="E576">
        <v>19</v>
      </c>
      <c r="F576">
        <v>3</v>
      </c>
      <c r="G576" t="s">
        <v>4150</v>
      </c>
    </row>
    <row r="577" spans="1:7">
      <c r="A577">
        <v>2099</v>
      </c>
      <c r="B577">
        <v>1</v>
      </c>
      <c r="C577">
        <v>41</v>
      </c>
      <c r="D577" t="s">
        <v>4152</v>
      </c>
      <c r="E577">
        <v>19</v>
      </c>
      <c r="F577">
        <v>3</v>
      </c>
      <c r="G577" t="s">
        <v>4150</v>
      </c>
    </row>
    <row r="578" spans="1:7">
      <c r="A578">
        <v>2120</v>
      </c>
      <c r="B578">
        <v>1</v>
      </c>
      <c r="C578">
        <v>41</v>
      </c>
      <c r="D578" t="s">
        <v>4152</v>
      </c>
      <c r="E578">
        <v>19</v>
      </c>
      <c r="F578">
        <v>3</v>
      </c>
      <c r="G578" t="s">
        <v>4150</v>
      </c>
    </row>
    <row r="579" spans="1:7">
      <c r="A579">
        <v>2128</v>
      </c>
      <c r="B579">
        <v>1</v>
      </c>
      <c r="C579">
        <v>41</v>
      </c>
      <c r="D579" t="s">
        <v>4152</v>
      </c>
      <c r="E579">
        <v>19</v>
      </c>
      <c r="F579">
        <v>3</v>
      </c>
      <c r="G579" t="s">
        <v>4150</v>
      </c>
    </row>
    <row r="580" spans="1:7">
      <c r="A580">
        <v>2133</v>
      </c>
      <c r="B580">
        <v>1</v>
      </c>
      <c r="C580">
        <v>41</v>
      </c>
      <c r="D580" t="s">
        <v>4152</v>
      </c>
      <c r="E580">
        <v>19</v>
      </c>
      <c r="F580">
        <v>3</v>
      </c>
      <c r="G580" t="s">
        <v>4150</v>
      </c>
    </row>
    <row r="581" spans="1:7">
      <c r="A581">
        <v>2142</v>
      </c>
      <c r="B581">
        <v>1</v>
      </c>
      <c r="C581">
        <v>41</v>
      </c>
      <c r="D581" t="s">
        <v>4152</v>
      </c>
      <c r="E581">
        <v>19</v>
      </c>
      <c r="F581">
        <v>3</v>
      </c>
      <c r="G581" t="s">
        <v>4150</v>
      </c>
    </row>
    <row r="582" spans="1:7">
      <c r="A582">
        <v>6007</v>
      </c>
      <c r="B582">
        <v>1</v>
      </c>
      <c r="C582">
        <v>41</v>
      </c>
      <c r="D582" t="s">
        <v>4152</v>
      </c>
      <c r="E582">
        <v>19</v>
      </c>
      <c r="F582">
        <v>3</v>
      </c>
      <c r="G582" t="s">
        <v>4150</v>
      </c>
    </row>
    <row r="583" spans="1:7">
      <c r="A583">
        <v>6016</v>
      </c>
      <c r="B583">
        <v>1</v>
      </c>
      <c r="C583">
        <v>41</v>
      </c>
      <c r="D583" t="s">
        <v>4152</v>
      </c>
      <c r="E583">
        <v>19</v>
      </c>
      <c r="F583">
        <v>3</v>
      </c>
      <c r="G583" t="s">
        <v>4150</v>
      </c>
    </row>
    <row r="584" spans="1:7">
      <c r="A584">
        <v>6022</v>
      </c>
      <c r="B584">
        <v>1</v>
      </c>
      <c r="C584">
        <v>41</v>
      </c>
      <c r="D584" t="s">
        <v>4152</v>
      </c>
      <c r="E584">
        <v>19</v>
      </c>
      <c r="F584">
        <v>3</v>
      </c>
      <c r="G584" t="s">
        <v>4150</v>
      </c>
    </row>
    <row r="585" spans="1:7">
      <c r="A585">
        <v>6031</v>
      </c>
      <c r="B585">
        <v>1</v>
      </c>
      <c r="C585">
        <v>41</v>
      </c>
      <c r="D585" t="s">
        <v>4152</v>
      </c>
      <c r="E585">
        <v>19</v>
      </c>
      <c r="F585">
        <v>3</v>
      </c>
      <c r="G585" t="s">
        <v>4150</v>
      </c>
    </row>
    <row r="586" spans="1:7">
      <c r="A586">
        <v>6036</v>
      </c>
      <c r="B586">
        <v>1</v>
      </c>
      <c r="C586">
        <v>41</v>
      </c>
      <c r="D586" t="s">
        <v>4152</v>
      </c>
      <c r="E586">
        <v>19</v>
      </c>
      <c r="F586">
        <v>3</v>
      </c>
      <c r="G586" t="s">
        <v>4150</v>
      </c>
    </row>
    <row r="587" spans="1:7">
      <c r="A587">
        <v>2065</v>
      </c>
      <c r="B587">
        <v>1</v>
      </c>
      <c r="C587">
        <v>41</v>
      </c>
      <c r="D587" t="s">
        <v>4152</v>
      </c>
      <c r="E587">
        <v>19</v>
      </c>
      <c r="F587">
        <v>3</v>
      </c>
      <c r="G587" t="s">
        <v>4150</v>
      </c>
    </row>
    <row r="588" spans="1:7">
      <c r="A588">
        <v>6652</v>
      </c>
      <c r="B588">
        <v>1</v>
      </c>
      <c r="C588">
        <v>41</v>
      </c>
      <c r="D588" t="s">
        <v>4152</v>
      </c>
      <c r="E588">
        <v>19</v>
      </c>
      <c r="F588">
        <v>3</v>
      </c>
      <c r="G588" t="s">
        <v>4150</v>
      </c>
    </row>
    <row r="589" spans="1:7">
      <c r="A589">
        <v>2090</v>
      </c>
      <c r="B589">
        <v>1</v>
      </c>
      <c r="C589">
        <v>41</v>
      </c>
      <c r="D589" t="s">
        <v>4152</v>
      </c>
      <c r="E589">
        <v>19</v>
      </c>
      <c r="F589">
        <v>3</v>
      </c>
      <c r="G589" t="s">
        <v>4150</v>
      </c>
    </row>
    <row r="590" spans="1:7">
      <c r="A590">
        <v>2081</v>
      </c>
      <c r="B590">
        <v>1</v>
      </c>
      <c r="C590">
        <v>41</v>
      </c>
      <c r="D590" t="s">
        <v>4152</v>
      </c>
      <c r="E590">
        <v>19</v>
      </c>
      <c r="F590">
        <v>3</v>
      </c>
      <c r="G590" t="s">
        <v>4150</v>
      </c>
    </row>
    <row r="591" spans="1:7">
      <c r="A591">
        <v>2045</v>
      </c>
      <c r="B591">
        <v>1</v>
      </c>
      <c r="C591">
        <v>41</v>
      </c>
      <c r="D591" t="s">
        <v>4152</v>
      </c>
      <c r="E591">
        <v>19</v>
      </c>
      <c r="F591">
        <v>3</v>
      </c>
      <c r="G591" t="s">
        <v>4150</v>
      </c>
    </row>
    <row r="592" spans="1:7">
      <c r="A592">
        <v>2036</v>
      </c>
      <c r="B592">
        <v>1</v>
      </c>
      <c r="C592">
        <v>41</v>
      </c>
      <c r="D592" t="s">
        <v>4152</v>
      </c>
      <c r="E592">
        <v>19</v>
      </c>
      <c r="F592">
        <v>3</v>
      </c>
      <c r="G592" t="s">
        <v>4150</v>
      </c>
    </row>
    <row r="593" spans="1:7">
      <c r="A593">
        <v>2026</v>
      </c>
      <c r="B593">
        <v>1</v>
      </c>
      <c r="C593">
        <v>41</v>
      </c>
      <c r="D593" t="s">
        <v>4152</v>
      </c>
      <c r="E593">
        <v>19</v>
      </c>
      <c r="F593">
        <v>3</v>
      </c>
      <c r="G593" t="s">
        <v>4150</v>
      </c>
    </row>
    <row r="594" spans="1:7">
      <c r="A594">
        <v>2002</v>
      </c>
      <c r="B594">
        <v>1</v>
      </c>
      <c r="C594">
        <v>41</v>
      </c>
      <c r="D594" t="s">
        <v>4152</v>
      </c>
      <c r="E594">
        <v>19</v>
      </c>
      <c r="F594">
        <v>3</v>
      </c>
      <c r="G594" t="s">
        <v>4150</v>
      </c>
    </row>
    <row r="595" spans="1:7">
      <c r="A595">
        <v>1945</v>
      </c>
      <c r="B595">
        <v>1</v>
      </c>
      <c r="C595">
        <v>41</v>
      </c>
      <c r="D595" t="s">
        <v>4152</v>
      </c>
      <c r="E595">
        <v>19</v>
      </c>
      <c r="F595">
        <v>3</v>
      </c>
      <c r="G595" t="s">
        <v>4150</v>
      </c>
    </row>
    <row r="596" spans="1:7">
      <c r="A596">
        <v>1908</v>
      </c>
      <c r="B596">
        <v>1</v>
      </c>
      <c r="C596">
        <v>41</v>
      </c>
      <c r="D596" t="s">
        <v>4152</v>
      </c>
      <c r="E596">
        <v>19</v>
      </c>
      <c r="F596">
        <v>3</v>
      </c>
      <c r="G596" t="s">
        <v>4150</v>
      </c>
    </row>
    <row r="597" spans="1:7">
      <c r="A597">
        <v>1888</v>
      </c>
      <c r="B597">
        <v>1</v>
      </c>
      <c r="C597">
        <v>41</v>
      </c>
      <c r="D597" t="s">
        <v>4152</v>
      </c>
      <c r="E597">
        <v>19</v>
      </c>
      <c r="F597">
        <v>3</v>
      </c>
      <c r="G597" t="s">
        <v>4150</v>
      </c>
    </row>
    <row r="598" spans="1:7">
      <c r="A598">
        <v>1877</v>
      </c>
      <c r="B598">
        <v>1</v>
      </c>
      <c r="C598">
        <v>41</v>
      </c>
      <c r="D598" t="s">
        <v>4152</v>
      </c>
      <c r="E598">
        <v>19</v>
      </c>
      <c r="F598">
        <v>3</v>
      </c>
      <c r="G598" t="s">
        <v>4150</v>
      </c>
    </row>
    <row r="599" spans="1:7">
      <c r="A599">
        <v>1866</v>
      </c>
      <c r="B599">
        <v>1</v>
      </c>
      <c r="C599">
        <v>41</v>
      </c>
      <c r="D599" t="s">
        <v>4152</v>
      </c>
      <c r="E599">
        <v>19</v>
      </c>
      <c r="F599">
        <v>3</v>
      </c>
      <c r="G599" t="s">
        <v>4150</v>
      </c>
    </row>
    <row r="600" spans="1:7">
      <c r="A600">
        <v>1855</v>
      </c>
      <c r="B600">
        <v>1</v>
      </c>
      <c r="C600">
        <v>41</v>
      </c>
      <c r="D600" t="s">
        <v>4152</v>
      </c>
      <c r="E600">
        <v>19</v>
      </c>
      <c r="F600">
        <v>3</v>
      </c>
      <c r="G600" t="s">
        <v>4150</v>
      </c>
    </row>
    <row r="601" spans="1:7">
      <c r="A601">
        <v>2013</v>
      </c>
      <c r="B601">
        <v>1</v>
      </c>
      <c r="C601">
        <v>41</v>
      </c>
      <c r="D601" t="s">
        <v>4152</v>
      </c>
      <c r="E601">
        <v>19</v>
      </c>
      <c r="F601">
        <v>3</v>
      </c>
      <c r="G601" t="s">
        <v>4150</v>
      </c>
    </row>
    <row r="602" spans="1:7">
      <c r="A602">
        <v>29649</v>
      </c>
      <c r="B602">
        <v>1</v>
      </c>
      <c r="C602">
        <v>41</v>
      </c>
      <c r="D602" t="s">
        <v>4152</v>
      </c>
      <c r="E602">
        <v>19</v>
      </c>
      <c r="F602">
        <v>3</v>
      </c>
      <c r="G602" t="s">
        <v>4150</v>
      </c>
    </row>
    <row r="603" spans="1:7">
      <c r="A603">
        <v>30889</v>
      </c>
      <c r="B603">
        <v>1</v>
      </c>
      <c r="C603">
        <v>41</v>
      </c>
      <c r="D603" t="s">
        <v>4152</v>
      </c>
      <c r="E603">
        <v>19</v>
      </c>
      <c r="F603">
        <v>3</v>
      </c>
      <c r="G603" t="s">
        <v>4150</v>
      </c>
    </row>
    <row r="604" spans="1:7">
      <c r="A604">
        <v>2007</v>
      </c>
      <c r="B604">
        <v>1</v>
      </c>
      <c r="C604">
        <v>41</v>
      </c>
      <c r="D604" t="s">
        <v>4152</v>
      </c>
      <c r="E604">
        <v>19</v>
      </c>
      <c r="F604">
        <v>3</v>
      </c>
      <c r="G604" t="s">
        <v>4150</v>
      </c>
    </row>
    <row r="605" spans="1:7">
      <c r="A605">
        <v>33612</v>
      </c>
      <c r="B605">
        <v>1</v>
      </c>
      <c r="C605">
        <v>41</v>
      </c>
      <c r="D605" t="s">
        <v>4152</v>
      </c>
      <c r="E605">
        <v>19</v>
      </c>
      <c r="F605">
        <v>3</v>
      </c>
      <c r="G605" t="s">
        <v>4150</v>
      </c>
    </row>
    <row r="606" spans="1:7">
      <c r="A606">
        <v>6798</v>
      </c>
      <c r="B606">
        <v>1</v>
      </c>
      <c r="C606">
        <v>41</v>
      </c>
      <c r="D606" t="s">
        <v>4152</v>
      </c>
      <c r="E606">
        <v>19</v>
      </c>
      <c r="F606">
        <v>3</v>
      </c>
      <c r="G606" t="s">
        <v>4150</v>
      </c>
    </row>
    <row r="607" spans="1:7">
      <c r="A607">
        <v>33421</v>
      </c>
      <c r="B607">
        <v>1</v>
      </c>
      <c r="C607">
        <v>41</v>
      </c>
      <c r="D607" t="s">
        <v>4152</v>
      </c>
      <c r="E607">
        <v>19</v>
      </c>
      <c r="F607">
        <v>3</v>
      </c>
      <c r="G607" t="s">
        <v>4150</v>
      </c>
    </row>
    <row r="608" spans="1:7">
      <c r="A608">
        <v>6826</v>
      </c>
      <c r="B608">
        <v>1</v>
      </c>
      <c r="C608">
        <v>42</v>
      </c>
      <c r="D608" t="s">
        <v>4152</v>
      </c>
      <c r="E608">
        <v>22</v>
      </c>
      <c r="F608">
        <v>3</v>
      </c>
      <c r="G608" t="s">
        <v>301</v>
      </c>
    </row>
    <row r="609" spans="1:7">
      <c r="A609">
        <v>32888</v>
      </c>
      <c r="B609">
        <v>1</v>
      </c>
      <c r="C609">
        <v>42</v>
      </c>
      <c r="D609" t="s">
        <v>4152</v>
      </c>
      <c r="E609">
        <v>22</v>
      </c>
      <c r="F609">
        <v>3</v>
      </c>
      <c r="G609" t="s">
        <v>301</v>
      </c>
    </row>
    <row r="610" spans="1:7">
      <c r="A610">
        <v>33868</v>
      </c>
      <c r="B610">
        <v>1</v>
      </c>
      <c r="C610">
        <v>42</v>
      </c>
      <c r="D610" t="s">
        <v>4152</v>
      </c>
      <c r="E610">
        <v>22</v>
      </c>
      <c r="F610">
        <v>3</v>
      </c>
      <c r="G610" t="s">
        <v>301</v>
      </c>
    </row>
    <row r="611" spans="1:7">
      <c r="A611">
        <v>33870</v>
      </c>
      <c r="B611">
        <v>1</v>
      </c>
      <c r="C611">
        <v>42</v>
      </c>
      <c r="D611" t="s">
        <v>4152</v>
      </c>
      <c r="E611">
        <v>22</v>
      </c>
      <c r="F611">
        <v>3</v>
      </c>
      <c r="G611" t="s">
        <v>301</v>
      </c>
    </row>
    <row r="612" spans="1:7">
      <c r="A612">
        <v>50123</v>
      </c>
      <c r="B612">
        <v>1</v>
      </c>
      <c r="C612">
        <v>42</v>
      </c>
      <c r="D612" t="s">
        <v>4152</v>
      </c>
      <c r="E612">
        <v>22</v>
      </c>
      <c r="F612">
        <v>3</v>
      </c>
      <c r="G612" t="s">
        <v>301</v>
      </c>
    </row>
    <row r="613" spans="1:7">
      <c r="A613">
        <v>6827</v>
      </c>
      <c r="B613">
        <v>1</v>
      </c>
      <c r="C613">
        <v>42</v>
      </c>
      <c r="D613" t="s">
        <v>4152</v>
      </c>
      <c r="E613">
        <v>22</v>
      </c>
      <c r="F613">
        <v>3</v>
      </c>
      <c r="G613" t="s">
        <v>301</v>
      </c>
    </row>
    <row r="614" spans="1:7">
      <c r="A614">
        <v>55979</v>
      </c>
      <c r="B614">
        <v>1</v>
      </c>
      <c r="C614">
        <v>42</v>
      </c>
      <c r="D614" t="s">
        <v>4152</v>
      </c>
      <c r="E614">
        <v>22</v>
      </c>
      <c r="F614">
        <v>3</v>
      </c>
      <c r="G614" t="s">
        <v>301</v>
      </c>
    </row>
    <row r="615" spans="1:7">
      <c r="A615">
        <v>56380</v>
      </c>
      <c r="B615">
        <v>1</v>
      </c>
      <c r="C615">
        <v>42</v>
      </c>
      <c r="D615" t="s">
        <v>4152</v>
      </c>
      <c r="E615">
        <v>22</v>
      </c>
      <c r="F615">
        <v>3</v>
      </c>
      <c r="G615" t="s">
        <v>301</v>
      </c>
    </row>
    <row r="616" spans="1:7">
      <c r="A616">
        <v>56383</v>
      </c>
      <c r="B616">
        <v>1</v>
      </c>
      <c r="C616">
        <v>42</v>
      </c>
      <c r="D616" t="s">
        <v>4152</v>
      </c>
      <c r="E616">
        <v>22</v>
      </c>
      <c r="F616">
        <v>3</v>
      </c>
      <c r="G616" t="s">
        <v>301</v>
      </c>
    </row>
    <row r="617" spans="1:7">
      <c r="A617">
        <v>56384</v>
      </c>
      <c r="B617">
        <v>1</v>
      </c>
      <c r="C617">
        <v>42</v>
      </c>
      <c r="D617" t="s">
        <v>4152</v>
      </c>
      <c r="E617">
        <v>22</v>
      </c>
      <c r="F617">
        <v>3</v>
      </c>
      <c r="G617" t="s">
        <v>301</v>
      </c>
    </row>
    <row r="618" spans="1:7">
      <c r="A618">
        <v>56385</v>
      </c>
      <c r="B618">
        <v>1</v>
      </c>
      <c r="C618">
        <v>42</v>
      </c>
      <c r="D618" t="s">
        <v>4152</v>
      </c>
      <c r="E618">
        <v>22</v>
      </c>
      <c r="F618">
        <v>3</v>
      </c>
      <c r="G618" t="s">
        <v>301</v>
      </c>
    </row>
    <row r="619" spans="1:7">
      <c r="A619">
        <v>56386</v>
      </c>
      <c r="B619">
        <v>1</v>
      </c>
      <c r="C619">
        <v>42</v>
      </c>
      <c r="D619" t="s">
        <v>4152</v>
      </c>
      <c r="E619">
        <v>22</v>
      </c>
      <c r="F619">
        <v>3</v>
      </c>
      <c r="G619" t="s">
        <v>301</v>
      </c>
    </row>
    <row r="620" spans="1:7">
      <c r="A620">
        <v>56387</v>
      </c>
      <c r="B620">
        <v>1</v>
      </c>
      <c r="C620">
        <v>42</v>
      </c>
      <c r="D620" t="s">
        <v>4152</v>
      </c>
      <c r="E620">
        <v>22</v>
      </c>
      <c r="F620">
        <v>3</v>
      </c>
      <c r="G620" t="s">
        <v>301</v>
      </c>
    </row>
    <row r="621" spans="1:7">
      <c r="A621">
        <v>56388</v>
      </c>
      <c r="B621">
        <v>1</v>
      </c>
      <c r="C621">
        <v>42</v>
      </c>
      <c r="D621" t="s">
        <v>4152</v>
      </c>
      <c r="E621">
        <v>22</v>
      </c>
      <c r="F621">
        <v>3</v>
      </c>
      <c r="G621" t="s">
        <v>301</v>
      </c>
    </row>
    <row r="622" spans="1:7">
      <c r="A622">
        <v>56396</v>
      </c>
      <c r="B622">
        <v>1</v>
      </c>
      <c r="C622">
        <v>42</v>
      </c>
      <c r="D622" t="s">
        <v>4152</v>
      </c>
      <c r="E622">
        <v>22</v>
      </c>
      <c r="F622">
        <v>3</v>
      </c>
      <c r="G622" t="s">
        <v>301</v>
      </c>
    </row>
    <row r="623" spans="1:7">
      <c r="A623">
        <v>56694</v>
      </c>
      <c r="B623">
        <v>1</v>
      </c>
      <c r="C623">
        <v>42</v>
      </c>
      <c r="D623" t="s">
        <v>4152</v>
      </c>
      <c r="E623">
        <v>22</v>
      </c>
      <c r="F623">
        <v>3</v>
      </c>
      <c r="G623" t="s">
        <v>301</v>
      </c>
    </row>
    <row r="624" spans="1:7">
      <c r="A624">
        <v>56697</v>
      </c>
      <c r="B624">
        <v>1</v>
      </c>
      <c r="C624">
        <v>42</v>
      </c>
      <c r="D624" t="s">
        <v>4152</v>
      </c>
      <c r="E624">
        <v>22</v>
      </c>
      <c r="F624">
        <v>3</v>
      </c>
      <c r="G624" t="s">
        <v>301</v>
      </c>
    </row>
    <row r="625" spans="1:7">
      <c r="A625">
        <v>1767</v>
      </c>
      <c r="B625">
        <v>1</v>
      </c>
      <c r="C625">
        <v>54</v>
      </c>
      <c r="D625" t="s">
        <v>4152</v>
      </c>
      <c r="E625">
        <v>11</v>
      </c>
      <c r="F625">
        <v>2</v>
      </c>
      <c r="G625" t="s">
        <v>4177</v>
      </c>
    </row>
    <row r="626" spans="1:7">
      <c r="A626">
        <v>1777</v>
      </c>
      <c r="B626">
        <v>1</v>
      </c>
      <c r="C626">
        <v>54</v>
      </c>
      <c r="D626" t="s">
        <v>4152</v>
      </c>
      <c r="E626">
        <v>11</v>
      </c>
      <c r="F626">
        <v>2</v>
      </c>
      <c r="G626" t="s">
        <v>4177</v>
      </c>
    </row>
    <row r="627" spans="1:7">
      <c r="A627">
        <v>1788</v>
      </c>
      <c r="B627">
        <v>1</v>
      </c>
      <c r="C627">
        <v>54</v>
      </c>
      <c r="D627" t="s">
        <v>4152</v>
      </c>
      <c r="E627">
        <v>11</v>
      </c>
      <c r="F627">
        <v>2</v>
      </c>
      <c r="G627" t="s">
        <v>4177</v>
      </c>
    </row>
    <row r="628" spans="1:7">
      <c r="A628">
        <v>6323</v>
      </c>
      <c r="B628">
        <v>1</v>
      </c>
      <c r="C628">
        <v>54</v>
      </c>
      <c r="D628" t="s">
        <v>4152</v>
      </c>
      <c r="E628">
        <v>11</v>
      </c>
      <c r="F628">
        <v>2</v>
      </c>
      <c r="G628" t="s">
        <v>4177</v>
      </c>
    </row>
    <row r="629" spans="1:7">
      <c r="A629">
        <v>6339</v>
      </c>
      <c r="B629">
        <v>1</v>
      </c>
      <c r="C629">
        <v>54</v>
      </c>
      <c r="D629" t="s">
        <v>4152</v>
      </c>
      <c r="E629">
        <v>11</v>
      </c>
      <c r="F629">
        <v>2</v>
      </c>
      <c r="G629" t="s">
        <v>4177</v>
      </c>
    </row>
    <row r="630" spans="1:7">
      <c r="A630">
        <v>6353</v>
      </c>
      <c r="B630">
        <v>1</v>
      </c>
      <c r="C630">
        <v>54</v>
      </c>
      <c r="D630" t="s">
        <v>4152</v>
      </c>
      <c r="E630">
        <v>11</v>
      </c>
      <c r="F630">
        <v>2</v>
      </c>
      <c r="G630" t="s">
        <v>4177</v>
      </c>
    </row>
    <row r="631" spans="1:7">
      <c r="A631">
        <v>29463</v>
      </c>
      <c r="B631">
        <v>1</v>
      </c>
      <c r="C631">
        <v>54</v>
      </c>
      <c r="D631" t="s">
        <v>4152</v>
      </c>
      <c r="E631">
        <v>11</v>
      </c>
      <c r="F631">
        <v>2</v>
      </c>
      <c r="G631" t="s">
        <v>4177</v>
      </c>
    </row>
    <row r="632" spans="1:7">
      <c r="A632">
        <v>20211</v>
      </c>
      <c r="B632">
        <v>1</v>
      </c>
      <c r="C632">
        <v>54</v>
      </c>
      <c r="D632" t="s">
        <v>4152</v>
      </c>
      <c r="E632">
        <v>11</v>
      </c>
      <c r="F632">
        <v>2</v>
      </c>
      <c r="G632" t="s">
        <v>4177</v>
      </c>
    </row>
    <row r="633" spans="1:7">
      <c r="A633">
        <v>52648</v>
      </c>
      <c r="B633">
        <v>1</v>
      </c>
      <c r="C633">
        <v>52</v>
      </c>
      <c r="D633" t="s">
        <v>4149</v>
      </c>
      <c r="E633">
        <v>3</v>
      </c>
      <c r="F633">
        <v>1</v>
      </c>
      <c r="G633" t="s">
        <v>4178</v>
      </c>
    </row>
    <row r="634" spans="1:7">
      <c r="A634">
        <v>1763</v>
      </c>
      <c r="B634">
        <v>1</v>
      </c>
      <c r="C634">
        <v>52</v>
      </c>
      <c r="D634" t="s">
        <v>4149</v>
      </c>
      <c r="E634">
        <v>3</v>
      </c>
      <c r="F634">
        <v>1</v>
      </c>
      <c r="G634" t="s">
        <v>4178</v>
      </c>
    </row>
    <row r="635" spans="1:7">
      <c r="A635">
        <v>29348</v>
      </c>
      <c r="B635">
        <v>1</v>
      </c>
      <c r="C635">
        <v>52</v>
      </c>
      <c r="D635" t="s">
        <v>4149</v>
      </c>
      <c r="E635">
        <v>3</v>
      </c>
      <c r="F635">
        <v>1</v>
      </c>
      <c r="G635" t="s">
        <v>4178</v>
      </c>
    </row>
    <row r="636" spans="1:7">
      <c r="A636">
        <v>19182</v>
      </c>
      <c r="B636">
        <v>1</v>
      </c>
      <c r="C636">
        <v>52</v>
      </c>
      <c r="D636" t="s">
        <v>4149</v>
      </c>
      <c r="E636">
        <v>3</v>
      </c>
      <c r="F636">
        <v>1</v>
      </c>
      <c r="G636" t="s">
        <v>4178</v>
      </c>
    </row>
    <row r="637" spans="1:7">
      <c r="A637">
        <v>1761</v>
      </c>
      <c r="B637">
        <v>1</v>
      </c>
      <c r="C637">
        <v>52</v>
      </c>
      <c r="D637" t="s">
        <v>4149</v>
      </c>
      <c r="E637">
        <v>3</v>
      </c>
      <c r="F637">
        <v>1</v>
      </c>
      <c r="G637" t="s">
        <v>4178</v>
      </c>
    </row>
    <row r="638" spans="1:7">
      <c r="A638">
        <v>1774</v>
      </c>
      <c r="B638">
        <v>1</v>
      </c>
      <c r="C638">
        <v>52</v>
      </c>
      <c r="D638" t="s">
        <v>4149</v>
      </c>
      <c r="E638">
        <v>3</v>
      </c>
      <c r="F638">
        <v>1</v>
      </c>
      <c r="G638" t="s">
        <v>4178</v>
      </c>
    </row>
    <row r="639" spans="1:7">
      <c r="A639">
        <v>1784</v>
      </c>
      <c r="B639">
        <v>1</v>
      </c>
      <c r="C639">
        <v>52</v>
      </c>
      <c r="D639" t="s">
        <v>4149</v>
      </c>
      <c r="E639">
        <v>3</v>
      </c>
      <c r="F639">
        <v>1</v>
      </c>
      <c r="G639" t="s">
        <v>4178</v>
      </c>
    </row>
    <row r="640" spans="1:7">
      <c r="A640">
        <v>1822</v>
      </c>
      <c r="B640">
        <v>1</v>
      </c>
      <c r="C640">
        <v>52</v>
      </c>
      <c r="D640" t="s">
        <v>4149</v>
      </c>
      <c r="E640">
        <v>3</v>
      </c>
      <c r="F640">
        <v>1</v>
      </c>
      <c r="G640" t="s">
        <v>4178</v>
      </c>
    </row>
    <row r="641" spans="1:7">
      <c r="A641">
        <v>6317</v>
      </c>
      <c r="B641">
        <v>1</v>
      </c>
      <c r="C641">
        <v>52</v>
      </c>
      <c r="D641" t="s">
        <v>4149</v>
      </c>
      <c r="E641">
        <v>3</v>
      </c>
      <c r="F641">
        <v>1</v>
      </c>
      <c r="G641" t="s">
        <v>4178</v>
      </c>
    </row>
    <row r="642" spans="1:7">
      <c r="A642">
        <v>6319</v>
      </c>
      <c r="B642">
        <v>1</v>
      </c>
      <c r="C642">
        <v>52</v>
      </c>
      <c r="D642" t="s">
        <v>4149</v>
      </c>
      <c r="E642">
        <v>3</v>
      </c>
      <c r="F642">
        <v>1</v>
      </c>
      <c r="G642" t="s">
        <v>4178</v>
      </c>
    </row>
    <row r="643" spans="1:7">
      <c r="A643">
        <v>6334</v>
      </c>
      <c r="B643">
        <v>1</v>
      </c>
      <c r="C643">
        <v>52</v>
      </c>
      <c r="D643" t="s">
        <v>4149</v>
      </c>
      <c r="E643">
        <v>3</v>
      </c>
      <c r="F643">
        <v>1</v>
      </c>
      <c r="G643" t="s">
        <v>4178</v>
      </c>
    </row>
    <row r="644" spans="1:7">
      <c r="A644">
        <v>6349</v>
      </c>
      <c r="B644">
        <v>1</v>
      </c>
      <c r="C644">
        <v>52</v>
      </c>
      <c r="D644" t="s">
        <v>4149</v>
      </c>
      <c r="E644">
        <v>3</v>
      </c>
      <c r="F644">
        <v>1</v>
      </c>
      <c r="G644" t="s">
        <v>4178</v>
      </c>
    </row>
    <row r="645" spans="1:7">
      <c r="A645">
        <v>9129</v>
      </c>
      <c r="B645">
        <v>1</v>
      </c>
      <c r="C645">
        <v>52</v>
      </c>
      <c r="D645" t="s">
        <v>4149</v>
      </c>
      <c r="E645">
        <v>3</v>
      </c>
      <c r="F645">
        <v>1</v>
      </c>
      <c r="G645" t="s">
        <v>4178</v>
      </c>
    </row>
    <row r="646" spans="1:7">
      <c r="A646">
        <v>34135</v>
      </c>
      <c r="B646">
        <v>1</v>
      </c>
      <c r="C646">
        <v>52</v>
      </c>
      <c r="D646" t="s">
        <v>4149</v>
      </c>
      <c r="E646">
        <v>3</v>
      </c>
      <c r="F646">
        <v>1</v>
      </c>
      <c r="G646" t="s">
        <v>4178</v>
      </c>
    </row>
    <row r="647" spans="1:7">
      <c r="A647">
        <v>33984</v>
      </c>
      <c r="B647">
        <v>1</v>
      </c>
      <c r="C647">
        <v>52</v>
      </c>
      <c r="D647" t="s">
        <v>4149</v>
      </c>
      <c r="E647">
        <v>3</v>
      </c>
      <c r="F647">
        <v>1</v>
      </c>
      <c r="G647" t="s">
        <v>4178</v>
      </c>
    </row>
    <row r="648" spans="1:7">
      <c r="A648">
        <v>29346</v>
      </c>
      <c r="B648">
        <v>1</v>
      </c>
      <c r="C648">
        <v>52</v>
      </c>
      <c r="D648" t="s">
        <v>4149</v>
      </c>
      <c r="E648">
        <v>3</v>
      </c>
      <c r="F648">
        <v>1</v>
      </c>
      <c r="G648" t="s">
        <v>4178</v>
      </c>
    </row>
    <row r="649" spans="1:7">
      <c r="A649">
        <v>8114</v>
      </c>
      <c r="B649">
        <v>1</v>
      </c>
      <c r="C649">
        <v>52</v>
      </c>
      <c r="D649" t="s">
        <v>4149</v>
      </c>
      <c r="E649">
        <v>3</v>
      </c>
      <c r="F649">
        <v>1</v>
      </c>
      <c r="G649" t="s">
        <v>4178</v>
      </c>
    </row>
    <row r="650" spans="1:7">
      <c r="A650">
        <v>1795</v>
      </c>
      <c r="B650">
        <v>1</v>
      </c>
      <c r="C650">
        <v>52</v>
      </c>
      <c r="D650" t="s">
        <v>4149</v>
      </c>
      <c r="E650">
        <v>3</v>
      </c>
      <c r="F650">
        <v>1</v>
      </c>
      <c r="G650" t="s">
        <v>4178</v>
      </c>
    </row>
    <row r="651" spans="1:7">
      <c r="A651">
        <v>1802</v>
      </c>
      <c r="B651">
        <v>1</v>
      </c>
      <c r="C651">
        <v>52</v>
      </c>
      <c r="D651" t="s">
        <v>4149</v>
      </c>
      <c r="E651">
        <v>3</v>
      </c>
      <c r="F651">
        <v>1</v>
      </c>
      <c r="G651" t="s">
        <v>4178</v>
      </c>
    </row>
    <row r="652" spans="1:7">
      <c r="A652">
        <v>6361</v>
      </c>
      <c r="B652">
        <v>1</v>
      </c>
      <c r="C652">
        <v>52</v>
      </c>
      <c r="D652" t="s">
        <v>4149</v>
      </c>
      <c r="E652">
        <v>3</v>
      </c>
      <c r="F652">
        <v>1</v>
      </c>
      <c r="G652" t="s">
        <v>4178</v>
      </c>
    </row>
    <row r="653" spans="1:7">
      <c r="A653">
        <v>6368</v>
      </c>
      <c r="B653">
        <v>1</v>
      </c>
      <c r="C653">
        <v>52</v>
      </c>
      <c r="D653" t="s">
        <v>4149</v>
      </c>
      <c r="E653">
        <v>3</v>
      </c>
      <c r="F653">
        <v>1</v>
      </c>
      <c r="G653" t="s">
        <v>4178</v>
      </c>
    </row>
    <row r="654" spans="1:7">
      <c r="A654">
        <v>52611</v>
      </c>
      <c r="B654">
        <v>1</v>
      </c>
      <c r="C654">
        <v>52</v>
      </c>
      <c r="D654" t="s">
        <v>4149</v>
      </c>
      <c r="E654">
        <v>3</v>
      </c>
      <c r="F654">
        <v>1</v>
      </c>
      <c r="G654" t="s">
        <v>4178</v>
      </c>
    </row>
    <row r="655" spans="1:7">
      <c r="A655">
        <v>52615</v>
      </c>
      <c r="B655">
        <v>1</v>
      </c>
      <c r="C655">
        <v>53</v>
      </c>
      <c r="D655" t="s">
        <v>4152</v>
      </c>
      <c r="E655">
        <v>20</v>
      </c>
      <c r="F655">
        <v>3</v>
      </c>
      <c r="G655" t="s">
        <v>4178</v>
      </c>
    </row>
    <row r="656" spans="1:7">
      <c r="A656">
        <v>1771</v>
      </c>
      <c r="B656">
        <v>1</v>
      </c>
      <c r="C656">
        <v>53</v>
      </c>
      <c r="D656" t="s">
        <v>4152</v>
      </c>
      <c r="E656">
        <v>20</v>
      </c>
      <c r="F656">
        <v>3</v>
      </c>
      <c r="G656" t="s">
        <v>4178</v>
      </c>
    </row>
    <row r="657" spans="1:7">
      <c r="A657">
        <v>1781</v>
      </c>
      <c r="B657">
        <v>1</v>
      </c>
      <c r="C657">
        <v>53</v>
      </c>
      <c r="D657" t="s">
        <v>4152</v>
      </c>
      <c r="E657">
        <v>20</v>
      </c>
      <c r="F657">
        <v>3</v>
      </c>
      <c r="G657" t="s">
        <v>4178</v>
      </c>
    </row>
    <row r="658" spans="1:7">
      <c r="A658">
        <v>1792</v>
      </c>
      <c r="B658">
        <v>1</v>
      </c>
      <c r="C658">
        <v>53</v>
      </c>
      <c r="D658" t="s">
        <v>4152</v>
      </c>
      <c r="E658">
        <v>20</v>
      </c>
      <c r="F658">
        <v>3</v>
      </c>
      <c r="G658" t="s">
        <v>4178</v>
      </c>
    </row>
    <row r="659" spans="1:7">
      <c r="A659">
        <v>1824</v>
      </c>
      <c r="B659">
        <v>1</v>
      </c>
      <c r="C659">
        <v>53</v>
      </c>
      <c r="D659" t="s">
        <v>4152</v>
      </c>
      <c r="E659">
        <v>20</v>
      </c>
      <c r="F659">
        <v>3</v>
      </c>
      <c r="G659" t="s">
        <v>4178</v>
      </c>
    </row>
    <row r="660" spans="1:7">
      <c r="A660">
        <v>1799</v>
      </c>
      <c r="B660">
        <v>1</v>
      </c>
      <c r="C660">
        <v>53</v>
      </c>
      <c r="D660" t="s">
        <v>4152</v>
      </c>
      <c r="E660">
        <v>20</v>
      </c>
      <c r="F660">
        <v>3</v>
      </c>
      <c r="G660" t="s">
        <v>4178</v>
      </c>
    </row>
    <row r="661" spans="1:7">
      <c r="A661">
        <v>1804</v>
      </c>
      <c r="B661">
        <v>1</v>
      </c>
      <c r="C661">
        <v>53</v>
      </c>
      <c r="D661" t="s">
        <v>4152</v>
      </c>
      <c r="E661">
        <v>20</v>
      </c>
      <c r="F661">
        <v>3</v>
      </c>
      <c r="G661" t="s">
        <v>4178</v>
      </c>
    </row>
    <row r="662" spans="1:7">
      <c r="A662">
        <v>1811</v>
      </c>
      <c r="B662">
        <v>1</v>
      </c>
      <c r="C662">
        <v>53</v>
      </c>
      <c r="D662" t="s">
        <v>4152</v>
      </c>
      <c r="E662">
        <v>20</v>
      </c>
      <c r="F662">
        <v>3</v>
      </c>
      <c r="G662" t="s">
        <v>4178</v>
      </c>
    </row>
    <row r="663" spans="1:7">
      <c r="A663">
        <v>6329</v>
      </c>
      <c r="B663">
        <v>1</v>
      </c>
      <c r="C663">
        <v>53</v>
      </c>
      <c r="D663" t="s">
        <v>4152</v>
      </c>
      <c r="E663">
        <v>20</v>
      </c>
      <c r="F663">
        <v>3</v>
      </c>
      <c r="G663" t="s">
        <v>4178</v>
      </c>
    </row>
    <row r="664" spans="1:7">
      <c r="A664">
        <v>6344</v>
      </c>
      <c r="B664">
        <v>1</v>
      </c>
      <c r="C664">
        <v>53</v>
      </c>
      <c r="D664" t="s">
        <v>4152</v>
      </c>
      <c r="E664">
        <v>20</v>
      </c>
      <c r="F664">
        <v>3</v>
      </c>
      <c r="G664" t="s">
        <v>4178</v>
      </c>
    </row>
    <row r="665" spans="1:7">
      <c r="A665">
        <v>6357</v>
      </c>
      <c r="B665">
        <v>1</v>
      </c>
      <c r="C665">
        <v>53</v>
      </c>
      <c r="D665" t="s">
        <v>4152</v>
      </c>
      <c r="E665">
        <v>20</v>
      </c>
      <c r="F665">
        <v>3</v>
      </c>
      <c r="G665" t="s">
        <v>4178</v>
      </c>
    </row>
    <row r="666" spans="1:7">
      <c r="A666">
        <v>6387</v>
      </c>
      <c r="B666">
        <v>1</v>
      </c>
      <c r="C666">
        <v>53</v>
      </c>
      <c r="D666" t="s">
        <v>4152</v>
      </c>
      <c r="E666">
        <v>20</v>
      </c>
      <c r="F666">
        <v>3</v>
      </c>
      <c r="G666" t="s">
        <v>4178</v>
      </c>
    </row>
    <row r="667" spans="1:7">
      <c r="A667">
        <v>6365</v>
      </c>
      <c r="B667">
        <v>1</v>
      </c>
      <c r="C667">
        <v>53</v>
      </c>
      <c r="D667" t="s">
        <v>4152</v>
      </c>
      <c r="E667">
        <v>20</v>
      </c>
      <c r="F667">
        <v>3</v>
      </c>
      <c r="G667" t="s">
        <v>4178</v>
      </c>
    </row>
    <row r="668" spans="1:7">
      <c r="A668">
        <v>6372</v>
      </c>
      <c r="B668">
        <v>1</v>
      </c>
      <c r="C668">
        <v>53</v>
      </c>
      <c r="D668" t="s">
        <v>4152</v>
      </c>
      <c r="E668">
        <v>20</v>
      </c>
      <c r="F668">
        <v>3</v>
      </c>
      <c r="G668" t="s">
        <v>4178</v>
      </c>
    </row>
    <row r="669" spans="1:7">
      <c r="A669">
        <v>34144</v>
      </c>
      <c r="B669">
        <v>1</v>
      </c>
      <c r="C669">
        <v>53</v>
      </c>
      <c r="D669" t="s">
        <v>4152</v>
      </c>
      <c r="E669">
        <v>20</v>
      </c>
      <c r="F669">
        <v>3</v>
      </c>
      <c r="G669" t="s">
        <v>4178</v>
      </c>
    </row>
    <row r="670" spans="1:7">
      <c r="A670">
        <v>33988</v>
      </c>
      <c r="B670">
        <v>1</v>
      </c>
      <c r="C670">
        <v>53</v>
      </c>
      <c r="D670" t="s">
        <v>4152</v>
      </c>
      <c r="E670">
        <v>20</v>
      </c>
      <c r="F670">
        <v>3</v>
      </c>
      <c r="G670" t="s">
        <v>4178</v>
      </c>
    </row>
    <row r="671" spans="1:7">
      <c r="A671">
        <v>33980</v>
      </c>
      <c r="B671">
        <v>1</v>
      </c>
      <c r="C671">
        <v>53</v>
      </c>
      <c r="D671" t="s">
        <v>4152</v>
      </c>
      <c r="E671">
        <v>20</v>
      </c>
      <c r="F671">
        <v>3</v>
      </c>
      <c r="G671" t="s">
        <v>4178</v>
      </c>
    </row>
    <row r="672" spans="1:7">
      <c r="A672">
        <v>6331</v>
      </c>
      <c r="B672">
        <v>1</v>
      </c>
      <c r="C672">
        <v>53</v>
      </c>
      <c r="D672" t="s">
        <v>4152</v>
      </c>
      <c r="E672">
        <v>20</v>
      </c>
      <c r="F672">
        <v>3</v>
      </c>
      <c r="G672" t="s">
        <v>4178</v>
      </c>
    </row>
    <row r="673" spans="1:7">
      <c r="A673">
        <v>56306</v>
      </c>
      <c r="B673">
        <v>1</v>
      </c>
      <c r="C673">
        <v>53</v>
      </c>
      <c r="D673" t="s">
        <v>4152</v>
      </c>
      <c r="E673">
        <v>20</v>
      </c>
      <c r="F673">
        <v>3</v>
      </c>
      <c r="G673" t="s">
        <v>4178</v>
      </c>
    </row>
    <row r="674" spans="1:7">
      <c r="A674">
        <v>24789</v>
      </c>
      <c r="B674">
        <v>1</v>
      </c>
      <c r="C674">
        <v>55</v>
      </c>
      <c r="D674" t="s">
        <v>4152</v>
      </c>
      <c r="E674">
        <v>14</v>
      </c>
      <c r="F674">
        <v>2</v>
      </c>
      <c r="G674" t="s">
        <v>4179</v>
      </c>
    </row>
    <row r="675" spans="1:7">
      <c r="A675">
        <v>38420</v>
      </c>
      <c r="B675">
        <v>1</v>
      </c>
      <c r="C675">
        <v>55</v>
      </c>
      <c r="D675" t="s">
        <v>4152</v>
      </c>
      <c r="E675">
        <v>14</v>
      </c>
      <c r="F675">
        <v>2</v>
      </c>
      <c r="G675" t="s">
        <v>4179</v>
      </c>
    </row>
    <row r="676" spans="1:7">
      <c r="A676">
        <v>31983</v>
      </c>
      <c r="B676">
        <v>1</v>
      </c>
      <c r="C676">
        <v>56</v>
      </c>
      <c r="D676" t="s">
        <v>4149</v>
      </c>
      <c r="E676">
        <v>4</v>
      </c>
      <c r="F676">
        <v>1</v>
      </c>
      <c r="G676" t="s">
        <v>4180</v>
      </c>
    </row>
    <row r="677" spans="1:7">
      <c r="A677">
        <v>31445</v>
      </c>
      <c r="B677">
        <v>1</v>
      </c>
      <c r="C677">
        <v>56</v>
      </c>
      <c r="D677" t="s">
        <v>4149</v>
      </c>
      <c r="E677">
        <v>4</v>
      </c>
      <c r="F677">
        <v>1</v>
      </c>
      <c r="G677" t="s">
        <v>4180</v>
      </c>
    </row>
    <row r="678" spans="1:7">
      <c r="A678">
        <v>32456</v>
      </c>
      <c r="B678">
        <v>1</v>
      </c>
      <c r="C678">
        <v>56</v>
      </c>
      <c r="D678" t="s">
        <v>4149</v>
      </c>
      <c r="E678">
        <v>4</v>
      </c>
      <c r="F678">
        <v>1</v>
      </c>
      <c r="G678" t="s">
        <v>4180</v>
      </c>
    </row>
    <row r="679" spans="1:7">
      <c r="A679">
        <v>32210</v>
      </c>
      <c r="B679">
        <v>1</v>
      </c>
      <c r="C679">
        <v>56</v>
      </c>
      <c r="D679" t="s">
        <v>4149</v>
      </c>
      <c r="E679">
        <v>4</v>
      </c>
      <c r="F679">
        <v>1</v>
      </c>
      <c r="G679" t="s">
        <v>4180</v>
      </c>
    </row>
    <row r="680" spans="1:7">
      <c r="A680">
        <v>31476</v>
      </c>
      <c r="B680">
        <v>1</v>
      </c>
      <c r="C680">
        <v>56</v>
      </c>
      <c r="D680" t="s">
        <v>4149</v>
      </c>
      <c r="E680">
        <v>4</v>
      </c>
      <c r="F680">
        <v>1</v>
      </c>
      <c r="G680" t="s">
        <v>4180</v>
      </c>
    </row>
    <row r="681" spans="1:7">
      <c r="A681">
        <v>31467</v>
      </c>
      <c r="B681">
        <v>1</v>
      </c>
      <c r="C681">
        <v>56</v>
      </c>
      <c r="D681" t="s">
        <v>4149</v>
      </c>
      <c r="E681">
        <v>4</v>
      </c>
      <c r="F681">
        <v>1</v>
      </c>
      <c r="G681" t="s">
        <v>4180</v>
      </c>
    </row>
    <row r="682" spans="1:7">
      <c r="A682">
        <v>31486</v>
      </c>
      <c r="B682">
        <v>1</v>
      </c>
      <c r="C682">
        <v>56</v>
      </c>
      <c r="D682" t="s">
        <v>4149</v>
      </c>
      <c r="E682">
        <v>4</v>
      </c>
      <c r="F682">
        <v>1</v>
      </c>
      <c r="G682" t="s">
        <v>4180</v>
      </c>
    </row>
    <row r="683" spans="1:7">
      <c r="A683">
        <v>33317</v>
      </c>
      <c r="B683">
        <v>1</v>
      </c>
      <c r="C683">
        <v>56</v>
      </c>
      <c r="D683" t="s">
        <v>4149</v>
      </c>
      <c r="E683">
        <v>4</v>
      </c>
      <c r="F683">
        <v>1</v>
      </c>
      <c r="G683" t="s">
        <v>4180</v>
      </c>
    </row>
    <row r="684" spans="1:7">
      <c r="A684">
        <v>32593</v>
      </c>
      <c r="B684">
        <v>1</v>
      </c>
      <c r="C684">
        <v>56</v>
      </c>
      <c r="D684" t="s">
        <v>4149</v>
      </c>
      <c r="E684">
        <v>4</v>
      </c>
      <c r="F684">
        <v>1</v>
      </c>
      <c r="G684" t="s">
        <v>4180</v>
      </c>
    </row>
    <row r="685" spans="1:7">
      <c r="A685">
        <v>31514</v>
      </c>
      <c r="B685">
        <v>1</v>
      </c>
      <c r="C685">
        <v>56</v>
      </c>
      <c r="D685" t="s">
        <v>4149</v>
      </c>
      <c r="E685">
        <v>4</v>
      </c>
      <c r="F685">
        <v>1</v>
      </c>
      <c r="G685" t="s">
        <v>4180</v>
      </c>
    </row>
    <row r="686" spans="1:7">
      <c r="A686">
        <v>31523</v>
      </c>
      <c r="B686">
        <v>1</v>
      </c>
      <c r="C686">
        <v>56</v>
      </c>
      <c r="D686" t="s">
        <v>4149</v>
      </c>
      <c r="E686">
        <v>4</v>
      </c>
      <c r="F686">
        <v>1</v>
      </c>
      <c r="G686" t="s">
        <v>4180</v>
      </c>
    </row>
    <row r="687" spans="1:7">
      <c r="A687">
        <v>34333</v>
      </c>
      <c r="B687">
        <v>1</v>
      </c>
      <c r="C687">
        <v>56</v>
      </c>
      <c r="D687" t="s">
        <v>4149</v>
      </c>
      <c r="E687">
        <v>4</v>
      </c>
      <c r="F687">
        <v>1</v>
      </c>
      <c r="G687" t="s">
        <v>4180</v>
      </c>
    </row>
    <row r="688" spans="1:7">
      <c r="A688">
        <v>34566</v>
      </c>
      <c r="B688">
        <v>1</v>
      </c>
      <c r="C688">
        <v>56</v>
      </c>
      <c r="D688" t="s">
        <v>4149</v>
      </c>
      <c r="E688">
        <v>4</v>
      </c>
      <c r="F688">
        <v>1</v>
      </c>
      <c r="G688" t="s">
        <v>4180</v>
      </c>
    </row>
    <row r="689" spans="1:7">
      <c r="A689">
        <v>31492</v>
      </c>
      <c r="B689">
        <v>1</v>
      </c>
      <c r="C689">
        <v>56</v>
      </c>
      <c r="D689" t="s">
        <v>4149</v>
      </c>
      <c r="E689">
        <v>4</v>
      </c>
      <c r="F689">
        <v>1</v>
      </c>
      <c r="G689" t="s">
        <v>4180</v>
      </c>
    </row>
    <row r="690" spans="1:7">
      <c r="A690">
        <v>40815</v>
      </c>
      <c r="B690">
        <v>1</v>
      </c>
      <c r="C690">
        <v>56</v>
      </c>
      <c r="D690" t="s">
        <v>4149</v>
      </c>
      <c r="E690">
        <v>4</v>
      </c>
      <c r="F690">
        <v>1</v>
      </c>
      <c r="G690" t="s">
        <v>4180</v>
      </c>
    </row>
    <row r="691" spans="1:7">
      <c r="A691">
        <v>48485</v>
      </c>
      <c r="B691">
        <v>1</v>
      </c>
      <c r="C691">
        <v>56</v>
      </c>
      <c r="D691" t="s">
        <v>4149</v>
      </c>
      <c r="E691">
        <v>4</v>
      </c>
      <c r="F691">
        <v>1</v>
      </c>
      <c r="G691" t="s">
        <v>4180</v>
      </c>
    </row>
    <row r="692" spans="1:7">
      <c r="A692">
        <v>31478</v>
      </c>
      <c r="B692">
        <v>1</v>
      </c>
      <c r="C692">
        <v>57</v>
      </c>
      <c r="D692" t="s">
        <v>4152</v>
      </c>
      <c r="E692">
        <v>12</v>
      </c>
      <c r="F692">
        <v>2</v>
      </c>
      <c r="G692" t="s">
        <v>4181</v>
      </c>
    </row>
    <row r="693" spans="1:7">
      <c r="A693">
        <v>33197</v>
      </c>
      <c r="B693">
        <v>1</v>
      </c>
      <c r="C693">
        <v>57</v>
      </c>
      <c r="D693" t="s">
        <v>4152</v>
      </c>
      <c r="E693">
        <v>12</v>
      </c>
      <c r="F693">
        <v>2</v>
      </c>
      <c r="G693" t="s">
        <v>4181</v>
      </c>
    </row>
    <row r="694" spans="1:7">
      <c r="A694">
        <v>33314</v>
      </c>
      <c r="B694">
        <v>1</v>
      </c>
      <c r="C694">
        <v>57</v>
      </c>
      <c r="D694" t="s">
        <v>4152</v>
      </c>
      <c r="E694">
        <v>12</v>
      </c>
      <c r="F694">
        <v>2</v>
      </c>
      <c r="G694" t="s">
        <v>4181</v>
      </c>
    </row>
    <row r="695" spans="1:7">
      <c r="A695">
        <v>33998</v>
      </c>
      <c r="B695">
        <v>1</v>
      </c>
      <c r="C695">
        <v>57</v>
      </c>
      <c r="D695" t="s">
        <v>4152</v>
      </c>
      <c r="E695">
        <v>12</v>
      </c>
      <c r="F695">
        <v>2</v>
      </c>
      <c r="G695" t="s">
        <v>4181</v>
      </c>
    </row>
    <row r="696" spans="1:7">
      <c r="A696">
        <v>31516</v>
      </c>
      <c r="B696">
        <v>1</v>
      </c>
      <c r="C696">
        <v>57</v>
      </c>
      <c r="D696" t="s">
        <v>4152</v>
      </c>
      <c r="E696">
        <v>12</v>
      </c>
      <c r="F696">
        <v>2</v>
      </c>
      <c r="G696" t="s">
        <v>4181</v>
      </c>
    </row>
    <row r="697" spans="1:7">
      <c r="A697">
        <v>31460</v>
      </c>
      <c r="B697">
        <v>1</v>
      </c>
      <c r="C697">
        <v>57</v>
      </c>
      <c r="D697" t="s">
        <v>4152</v>
      </c>
      <c r="E697">
        <v>12</v>
      </c>
      <c r="F697">
        <v>2</v>
      </c>
      <c r="G697" t="s">
        <v>4181</v>
      </c>
    </row>
    <row r="698" spans="1:7">
      <c r="A698">
        <v>35193</v>
      </c>
      <c r="B698">
        <v>1</v>
      </c>
      <c r="C698">
        <v>57</v>
      </c>
      <c r="D698" t="s">
        <v>4152</v>
      </c>
      <c r="E698">
        <v>12</v>
      </c>
      <c r="F698">
        <v>2</v>
      </c>
      <c r="G698" t="s">
        <v>4181</v>
      </c>
    </row>
    <row r="699" spans="1:7">
      <c r="A699">
        <v>31469</v>
      </c>
      <c r="B699">
        <v>1</v>
      </c>
      <c r="C699">
        <v>57</v>
      </c>
      <c r="D699" t="s">
        <v>4152</v>
      </c>
      <c r="E699">
        <v>12</v>
      </c>
      <c r="F699">
        <v>2</v>
      </c>
      <c r="G699" t="s">
        <v>4181</v>
      </c>
    </row>
    <row r="700" spans="1:7">
      <c r="A700">
        <v>35395</v>
      </c>
      <c r="B700">
        <v>1</v>
      </c>
      <c r="C700">
        <v>57</v>
      </c>
      <c r="D700" t="s">
        <v>4152</v>
      </c>
      <c r="E700">
        <v>12</v>
      </c>
      <c r="F700">
        <v>2</v>
      </c>
      <c r="G700" t="s">
        <v>4181</v>
      </c>
    </row>
    <row r="701" spans="1:7">
      <c r="A701">
        <v>31449</v>
      </c>
      <c r="B701">
        <v>1</v>
      </c>
      <c r="C701">
        <v>57</v>
      </c>
      <c r="D701" t="s">
        <v>4152</v>
      </c>
      <c r="E701">
        <v>12</v>
      </c>
      <c r="F701">
        <v>2</v>
      </c>
      <c r="G701" t="s">
        <v>4181</v>
      </c>
    </row>
    <row r="702" spans="1:7">
      <c r="A702">
        <v>35393</v>
      </c>
      <c r="B702">
        <v>1</v>
      </c>
      <c r="C702">
        <v>57</v>
      </c>
      <c r="D702" t="s">
        <v>4152</v>
      </c>
      <c r="E702">
        <v>12</v>
      </c>
      <c r="F702">
        <v>2</v>
      </c>
      <c r="G702" t="s">
        <v>4181</v>
      </c>
    </row>
    <row r="703" spans="1:7">
      <c r="A703">
        <v>31525</v>
      </c>
      <c r="B703">
        <v>1</v>
      </c>
      <c r="C703">
        <v>57</v>
      </c>
      <c r="D703" t="s">
        <v>4152</v>
      </c>
      <c r="E703">
        <v>12</v>
      </c>
      <c r="F703">
        <v>2</v>
      </c>
      <c r="G703" t="s">
        <v>4181</v>
      </c>
    </row>
    <row r="704" spans="1:7">
      <c r="A704">
        <v>32151</v>
      </c>
      <c r="B704">
        <v>1</v>
      </c>
      <c r="C704">
        <v>57</v>
      </c>
      <c r="D704" t="s">
        <v>4152</v>
      </c>
      <c r="E704">
        <v>12</v>
      </c>
      <c r="F704">
        <v>2</v>
      </c>
      <c r="G704" t="s">
        <v>4181</v>
      </c>
    </row>
    <row r="705" spans="1:7">
      <c r="A705">
        <v>48487</v>
      </c>
      <c r="B705">
        <v>1</v>
      </c>
      <c r="C705">
        <v>57</v>
      </c>
      <c r="D705" t="s">
        <v>4152</v>
      </c>
      <c r="E705">
        <v>12</v>
      </c>
      <c r="F705">
        <v>2</v>
      </c>
      <c r="G705" t="s">
        <v>4181</v>
      </c>
    </row>
    <row r="706" spans="1:7">
      <c r="A706">
        <v>53499</v>
      </c>
      <c r="B706">
        <v>1</v>
      </c>
      <c r="C706">
        <v>58</v>
      </c>
      <c r="D706" t="s">
        <v>4152</v>
      </c>
      <c r="E706">
        <v>21</v>
      </c>
      <c r="F706">
        <v>3</v>
      </c>
      <c r="G706" t="s">
        <v>4182</v>
      </c>
    </row>
    <row r="707" spans="1:7">
      <c r="A707">
        <v>31991</v>
      </c>
      <c r="B707">
        <v>1</v>
      </c>
      <c r="C707">
        <v>58</v>
      </c>
      <c r="D707" t="s">
        <v>4152</v>
      </c>
      <c r="E707">
        <v>21</v>
      </c>
      <c r="F707">
        <v>3</v>
      </c>
      <c r="G707" t="s">
        <v>4182</v>
      </c>
    </row>
    <row r="708" spans="1:7">
      <c r="A708">
        <v>33319</v>
      </c>
      <c r="B708">
        <v>1</v>
      </c>
      <c r="C708">
        <v>58</v>
      </c>
      <c r="D708" t="s">
        <v>4152</v>
      </c>
      <c r="E708">
        <v>21</v>
      </c>
      <c r="F708">
        <v>3</v>
      </c>
      <c r="G708" t="s">
        <v>4182</v>
      </c>
    </row>
    <row r="709" spans="1:7">
      <c r="A709">
        <v>32149</v>
      </c>
      <c r="B709">
        <v>1</v>
      </c>
      <c r="C709">
        <v>58</v>
      </c>
      <c r="D709" t="s">
        <v>4152</v>
      </c>
      <c r="E709">
        <v>21</v>
      </c>
      <c r="F709">
        <v>3</v>
      </c>
      <c r="G709" t="s">
        <v>4182</v>
      </c>
    </row>
    <row r="710" spans="1:7">
      <c r="A710">
        <v>32740</v>
      </c>
      <c r="B710">
        <v>1</v>
      </c>
      <c r="C710">
        <v>58</v>
      </c>
      <c r="D710" t="s">
        <v>4152</v>
      </c>
      <c r="E710">
        <v>21</v>
      </c>
      <c r="F710">
        <v>3</v>
      </c>
      <c r="G710" t="s">
        <v>4182</v>
      </c>
    </row>
    <row r="711" spans="1:7">
      <c r="A711">
        <v>31488</v>
      </c>
      <c r="B711">
        <v>1</v>
      </c>
      <c r="C711">
        <v>58</v>
      </c>
      <c r="D711" t="s">
        <v>4152</v>
      </c>
      <c r="E711">
        <v>21</v>
      </c>
      <c r="F711">
        <v>3</v>
      </c>
      <c r="G711" t="s">
        <v>4182</v>
      </c>
    </row>
    <row r="712" spans="1:7">
      <c r="A712">
        <v>31500</v>
      </c>
      <c r="B712">
        <v>1</v>
      </c>
      <c r="C712">
        <v>58</v>
      </c>
      <c r="D712" t="s">
        <v>4152</v>
      </c>
      <c r="E712">
        <v>21</v>
      </c>
      <c r="F712">
        <v>3</v>
      </c>
      <c r="G712" t="s">
        <v>4182</v>
      </c>
    </row>
    <row r="713" spans="1:7">
      <c r="A713">
        <v>31473</v>
      </c>
      <c r="B713">
        <v>1</v>
      </c>
      <c r="C713">
        <v>58</v>
      </c>
      <c r="D713" t="s">
        <v>4152</v>
      </c>
      <c r="E713">
        <v>21</v>
      </c>
      <c r="F713">
        <v>3</v>
      </c>
      <c r="G713" t="s">
        <v>4182</v>
      </c>
    </row>
    <row r="714" spans="1:7">
      <c r="A714">
        <v>31520</v>
      </c>
      <c r="B714">
        <v>1</v>
      </c>
      <c r="C714">
        <v>58</v>
      </c>
      <c r="D714" t="s">
        <v>4152</v>
      </c>
      <c r="E714">
        <v>21</v>
      </c>
      <c r="F714">
        <v>3</v>
      </c>
      <c r="G714" t="s">
        <v>4182</v>
      </c>
    </row>
    <row r="715" spans="1:7">
      <c r="A715">
        <v>33603</v>
      </c>
      <c r="B715">
        <v>1</v>
      </c>
      <c r="C715">
        <v>58</v>
      </c>
      <c r="D715" t="s">
        <v>4152</v>
      </c>
      <c r="E715">
        <v>21</v>
      </c>
      <c r="F715">
        <v>3</v>
      </c>
      <c r="G715" t="s">
        <v>4182</v>
      </c>
    </row>
    <row r="716" spans="1:7">
      <c r="A716">
        <v>31511</v>
      </c>
      <c r="B716">
        <v>1</v>
      </c>
      <c r="C716">
        <v>58</v>
      </c>
      <c r="D716" t="s">
        <v>4152</v>
      </c>
      <c r="E716">
        <v>21</v>
      </c>
      <c r="F716">
        <v>3</v>
      </c>
      <c r="G716" t="s">
        <v>4182</v>
      </c>
    </row>
    <row r="717" spans="1:7">
      <c r="A717">
        <v>34337</v>
      </c>
      <c r="B717">
        <v>1</v>
      </c>
      <c r="C717">
        <v>58</v>
      </c>
      <c r="D717" t="s">
        <v>4152</v>
      </c>
      <c r="E717">
        <v>21</v>
      </c>
      <c r="F717">
        <v>3</v>
      </c>
      <c r="G717" t="s">
        <v>4182</v>
      </c>
    </row>
    <row r="718" spans="1:7">
      <c r="A718">
        <v>34564</v>
      </c>
      <c r="B718">
        <v>1</v>
      </c>
      <c r="C718">
        <v>58</v>
      </c>
      <c r="D718" t="s">
        <v>4152</v>
      </c>
      <c r="E718">
        <v>21</v>
      </c>
      <c r="F718">
        <v>3</v>
      </c>
      <c r="G718" t="s">
        <v>4182</v>
      </c>
    </row>
    <row r="719" spans="1:7">
      <c r="A719">
        <v>31453</v>
      </c>
      <c r="B719">
        <v>1</v>
      </c>
      <c r="C719">
        <v>58</v>
      </c>
      <c r="D719" t="s">
        <v>4152</v>
      </c>
      <c r="E719">
        <v>21</v>
      </c>
      <c r="F719">
        <v>3</v>
      </c>
      <c r="G719" t="s">
        <v>4182</v>
      </c>
    </row>
    <row r="720" spans="1:7">
      <c r="A720">
        <v>31527</v>
      </c>
      <c r="B720">
        <v>1</v>
      </c>
      <c r="C720">
        <v>58</v>
      </c>
      <c r="D720" t="s">
        <v>4152</v>
      </c>
      <c r="E720">
        <v>21</v>
      </c>
      <c r="F720">
        <v>3</v>
      </c>
      <c r="G720" t="s">
        <v>4182</v>
      </c>
    </row>
    <row r="721" spans="1:7">
      <c r="A721">
        <v>31464</v>
      </c>
      <c r="B721">
        <v>1</v>
      </c>
      <c r="C721">
        <v>58</v>
      </c>
      <c r="D721" t="s">
        <v>4152</v>
      </c>
      <c r="E721">
        <v>21</v>
      </c>
      <c r="F721">
        <v>3</v>
      </c>
      <c r="G721" t="s">
        <v>4182</v>
      </c>
    </row>
    <row r="722" spans="1:7">
      <c r="A722">
        <v>40819</v>
      </c>
      <c r="B722">
        <v>1</v>
      </c>
      <c r="C722">
        <v>58</v>
      </c>
      <c r="D722" t="s">
        <v>4152</v>
      </c>
      <c r="E722">
        <v>21</v>
      </c>
      <c r="F722">
        <v>3</v>
      </c>
      <c r="G722" t="s">
        <v>4182</v>
      </c>
    </row>
    <row r="723" spans="1:7">
      <c r="A723">
        <v>48489</v>
      </c>
      <c r="B723">
        <v>1</v>
      </c>
      <c r="C723">
        <v>58</v>
      </c>
      <c r="D723" t="s">
        <v>4152</v>
      </c>
      <c r="E723">
        <v>21</v>
      </c>
      <c r="F723">
        <v>3</v>
      </c>
      <c r="G723" t="s">
        <v>4182</v>
      </c>
    </row>
    <row r="724" spans="1:7">
      <c r="A724">
        <v>6342</v>
      </c>
      <c r="B724">
        <v>1</v>
      </c>
      <c r="C724">
        <v>59</v>
      </c>
      <c r="D724" t="s">
        <v>4152</v>
      </c>
      <c r="E724">
        <v>16</v>
      </c>
      <c r="F724">
        <v>2</v>
      </c>
      <c r="G724" t="s">
        <v>4183</v>
      </c>
    </row>
    <row r="725" spans="1:7">
      <c r="A725">
        <v>36536</v>
      </c>
      <c r="B725">
        <v>1</v>
      </c>
      <c r="C725">
        <v>59</v>
      </c>
      <c r="D725" t="s">
        <v>4152</v>
      </c>
      <c r="E725">
        <v>16</v>
      </c>
      <c r="F725">
        <v>2</v>
      </c>
      <c r="G725" t="s">
        <v>4183</v>
      </c>
    </row>
    <row r="726" spans="1:7">
      <c r="A726">
        <v>36480</v>
      </c>
      <c r="B726">
        <v>1</v>
      </c>
      <c r="C726">
        <v>59</v>
      </c>
      <c r="D726" t="s">
        <v>4152</v>
      </c>
      <c r="E726">
        <v>16</v>
      </c>
      <c r="F726">
        <v>2</v>
      </c>
      <c r="G726" t="s">
        <v>4183</v>
      </c>
    </row>
    <row r="727" spans="1:7">
      <c r="A727">
        <v>36481</v>
      </c>
      <c r="B727">
        <v>1</v>
      </c>
      <c r="C727">
        <v>59</v>
      </c>
      <c r="D727" t="s">
        <v>4152</v>
      </c>
      <c r="E727">
        <v>16</v>
      </c>
      <c r="F727">
        <v>2</v>
      </c>
      <c r="G727" t="s">
        <v>4183</v>
      </c>
    </row>
    <row r="728" spans="1:7">
      <c r="A728">
        <v>36539</v>
      </c>
      <c r="B728">
        <v>1</v>
      </c>
      <c r="C728">
        <v>59</v>
      </c>
      <c r="D728" t="s">
        <v>4152</v>
      </c>
      <c r="E728">
        <v>16</v>
      </c>
      <c r="F728">
        <v>2</v>
      </c>
      <c r="G728" t="s">
        <v>4183</v>
      </c>
    </row>
    <row r="729" spans="1:7">
      <c r="A729">
        <v>36540</v>
      </c>
      <c r="B729">
        <v>1</v>
      </c>
      <c r="C729">
        <v>59</v>
      </c>
      <c r="D729" t="s">
        <v>4152</v>
      </c>
      <c r="E729">
        <v>16</v>
      </c>
      <c r="F729">
        <v>2</v>
      </c>
      <c r="G729" t="s">
        <v>4183</v>
      </c>
    </row>
    <row r="730" spans="1:7">
      <c r="A730">
        <v>36526</v>
      </c>
      <c r="B730">
        <v>1</v>
      </c>
      <c r="C730">
        <v>59</v>
      </c>
      <c r="D730" t="s">
        <v>4152</v>
      </c>
      <c r="E730">
        <v>16</v>
      </c>
      <c r="F730">
        <v>2</v>
      </c>
      <c r="G730" t="s">
        <v>4183</v>
      </c>
    </row>
    <row r="731" spans="1:7">
      <c r="A731">
        <v>36527</v>
      </c>
      <c r="B731">
        <v>1</v>
      </c>
      <c r="C731">
        <v>59</v>
      </c>
      <c r="D731" t="s">
        <v>4152</v>
      </c>
      <c r="E731">
        <v>16</v>
      </c>
      <c r="F731">
        <v>2</v>
      </c>
      <c r="G731" t="s">
        <v>4183</v>
      </c>
    </row>
    <row r="732" spans="1:7">
      <c r="A732">
        <v>36532</v>
      </c>
      <c r="B732">
        <v>1</v>
      </c>
      <c r="C732">
        <v>59</v>
      </c>
      <c r="D732" t="s">
        <v>4152</v>
      </c>
      <c r="E732">
        <v>16</v>
      </c>
      <c r="F732">
        <v>2</v>
      </c>
      <c r="G732" t="s">
        <v>4183</v>
      </c>
    </row>
    <row r="733" spans="1:7">
      <c r="A733">
        <v>36533</v>
      </c>
      <c r="B733">
        <v>1</v>
      </c>
      <c r="C733">
        <v>59</v>
      </c>
      <c r="D733" t="s">
        <v>4152</v>
      </c>
      <c r="E733">
        <v>16</v>
      </c>
      <c r="F733">
        <v>2</v>
      </c>
      <c r="G733" t="s">
        <v>4183</v>
      </c>
    </row>
    <row r="734" spans="1:7">
      <c r="A734">
        <v>36479</v>
      </c>
      <c r="B734">
        <v>1</v>
      </c>
      <c r="C734">
        <v>59</v>
      </c>
      <c r="D734" t="s">
        <v>4152</v>
      </c>
      <c r="E734">
        <v>16</v>
      </c>
      <c r="F734">
        <v>2</v>
      </c>
      <c r="G734" t="s">
        <v>4183</v>
      </c>
    </row>
    <row r="735" spans="1:7">
      <c r="A735">
        <v>36478</v>
      </c>
      <c r="B735">
        <v>1</v>
      </c>
      <c r="C735">
        <v>59</v>
      </c>
      <c r="D735" t="s">
        <v>4152</v>
      </c>
      <c r="E735">
        <v>16</v>
      </c>
      <c r="F735">
        <v>2</v>
      </c>
      <c r="G735" t="s">
        <v>4183</v>
      </c>
    </row>
    <row r="736" spans="1:7">
      <c r="A736">
        <v>36476</v>
      </c>
      <c r="B736">
        <v>1</v>
      </c>
      <c r="C736">
        <v>59</v>
      </c>
      <c r="D736" t="s">
        <v>4152</v>
      </c>
      <c r="E736">
        <v>16</v>
      </c>
      <c r="F736">
        <v>2</v>
      </c>
      <c r="G736" t="s">
        <v>4183</v>
      </c>
    </row>
    <row r="737" spans="1:7">
      <c r="A737">
        <v>36477</v>
      </c>
      <c r="B737">
        <v>1</v>
      </c>
      <c r="C737">
        <v>59</v>
      </c>
      <c r="D737" t="s">
        <v>4152</v>
      </c>
      <c r="E737">
        <v>16</v>
      </c>
      <c r="F737">
        <v>2</v>
      </c>
      <c r="G737" t="s">
        <v>4183</v>
      </c>
    </row>
    <row r="738" spans="1:7">
      <c r="A738">
        <v>36482</v>
      </c>
      <c r="B738">
        <v>1</v>
      </c>
      <c r="C738">
        <v>59</v>
      </c>
      <c r="D738" t="s">
        <v>4152</v>
      </c>
      <c r="E738">
        <v>16</v>
      </c>
      <c r="F738">
        <v>2</v>
      </c>
      <c r="G738" t="s">
        <v>4183</v>
      </c>
    </row>
    <row r="739" spans="1:7">
      <c r="A739">
        <v>36483</v>
      </c>
      <c r="B739">
        <v>1</v>
      </c>
      <c r="C739">
        <v>59</v>
      </c>
      <c r="D739" t="s">
        <v>4152</v>
      </c>
      <c r="E739">
        <v>16</v>
      </c>
      <c r="F739">
        <v>2</v>
      </c>
      <c r="G739" t="s">
        <v>4183</v>
      </c>
    </row>
    <row r="740" spans="1:7">
      <c r="A740">
        <v>36486</v>
      </c>
      <c r="B740">
        <v>1</v>
      </c>
      <c r="C740">
        <v>59</v>
      </c>
      <c r="D740" t="s">
        <v>4152</v>
      </c>
      <c r="E740">
        <v>16</v>
      </c>
      <c r="F740">
        <v>2</v>
      </c>
      <c r="G740" t="s">
        <v>4183</v>
      </c>
    </row>
    <row r="741" spans="1:7">
      <c r="A741">
        <v>36487</v>
      </c>
      <c r="B741">
        <v>1</v>
      </c>
      <c r="C741">
        <v>59</v>
      </c>
      <c r="D741" t="s">
        <v>4152</v>
      </c>
      <c r="E741">
        <v>16</v>
      </c>
      <c r="F741">
        <v>2</v>
      </c>
      <c r="G741" t="s">
        <v>4183</v>
      </c>
    </row>
    <row r="742" spans="1:7">
      <c r="A742">
        <v>36504</v>
      </c>
      <c r="B742">
        <v>1</v>
      </c>
      <c r="C742">
        <v>59</v>
      </c>
      <c r="D742" t="s">
        <v>4152</v>
      </c>
      <c r="E742">
        <v>16</v>
      </c>
      <c r="F742">
        <v>2</v>
      </c>
      <c r="G742" t="s">
        <v>4183</v>
      </c>
    </row>
    <row r="743" spans="1:7">
      <c r="A743">
        <v>36505</v>
      </c>
      <c r="B743">
        <v>1</v>
      </c>
      <c r="C743">
        <v>59</v>
      </c>
      <c r="D743" t="s">
        <v>4152</v>
      </c>
      <c r="E743">
        <v>16</v>
      </c>
      <c r="F743">
        <v>2</v>
      </c>
      <c r="G743" t="s">
        <v>4183</v>
      </c>
    </row>
    <row r="744" spans="1:7">
      <c r="A744">
        <v>36508</v>
      </c>
      <c r="B744">
        <v>1</v>
      </c>
      <c r="C744">
        <v>59</v>
      </c>
      <c r="D744" t="s">
        <v>4152</v>
      </c>
      <c r="E744">
        <v>16</v>
      </c>
      <c r="F744">
        <v>2</v>
      </c>
      <c r="G744" t="s">
        <v>4183</v>
      </c>
    </row>
    <row r="745" spans="1:7">
      <c r="A745">
        <v>36509</v>
      </c>
      <c r="B745">
        <v>1</v>
      </c>
      <c r="C745">
        <v>59</v>
      </c>
      <c r="D745" t="s">
        <v>4152</v>
      </c>
      <c r="E745">
        <v>16</v>
      </c>
      <c r="F745">
        <v>2</v>
      </c>
      <c r="G745" t="s">
        <v>4183</v>
      </c>
    </row>
    <row r="746" spans="1:7">
      <c r="A746">
        <v>36474</v>
      </c>
      <c r="B746">
        <v>1</v>
      </c>
      <c r="C746">
        <v>59</v>
      </c>
      <c r="D746" t="s">
        <v>4152</v>
      </c>
      <c r="E746">
        <v>16</v>
      </c>
      <c r="F746">
        <v>2</v>
      </c>
      <c r="G746" t="s">
        <v>4183</v>
      </c>
    </row>
    <row r="747" spans="1:7">
      <c r="A747">
        <v>36475</v>
      </c>
      <c r="B747">
        <v>1</v>
      </c>
      <c r="C747">
        <v>59</v>
      </c>
      <c r="D747" t="s">
        <v>4152</v>
      </c>
      <c r="E747">
        <v>16</v>
      </c>
      <c r="F747">
        <v>2</v>
      </c>
      <c r="G747" t="s">
        <v>4183</v>
      </c>
    </row>
    <row r="748" spans="1:7">
      <c r="A748">
        <v>36484</v>
      </c>
      <c r="B748">
        <v>1</v>
      </c>
      <c r="C748">
        <v>59</v>
      </c>
      <c r="D748" t="s">
        <v>4152</v>
      </c>
      <c r="E748">
        <v>16</v>
      </c>
      <c r="F748">
        <v>2</v>
      </c>
      <c r="G748" t="s">
        <v>4183</v>
      </c>
    </row>
    <row r="749" spans="1:7">
      <c r="A749">
        <v>36485</v>
      </c>
      <c r="B749">
        <v>1</v>
      </c>
      <c r="C749">
        <v>59</v>
      </c>
      <c r="D749" t="s">
        <v>4152</v>
      </c>
      <c r="E749">
        <v>16</v>
      </c>
      <c r="F749">
        <v>2</v>
      </c>
      <c r="G749" t="s">
        <v>4183</v>
      </c>
    </row>
    <row r="750" spans="1:7">
      <c r="A750">
        <v>36506</v>
      </c>
      <c r="B750">
        <v>1</v>
      </c>
      <c r="C750">
        <v>59</v>
      </c>
      <c r="D750" t="s">
        <v>4152</v>
      </c>
      <c r="E750">
        <v>16</v>
      </c>
      <c r="F750">
        <v>2</v>
      </c>
      <c r="G750" t="s">
        <v>4183</v>
      </c>
    </row>
    <row r="751" spans="1:7">
      <c r="A751">
        <v>36507</v>
      </c>
      <c r="B751">
        <v>1</v>
      </c>
      <c r="C751">
        <v>59</v>
      </c>
      <c r="D751" t="s">
        <v>4152</v>
      </c>
      <c r="E751">
        <v>16</v>
      </c>
      <c r="F751">
        <v>2</v>
      </c>
      <c r="G751" t="s">
        <v>4183</v>
      </c>
    </row>
    <row r="752" spans="1:7">
      <c r="A752">
        <v>36547</v>
      </c>
      <c r="B752">
        <v>1</v>
      </c>
      <c r="C752">
        <v>59</v>
      </c>
      <c r="D752" t="s">
        <v>4152</v>
      </c>
      <c r="E752">
        <v>16</v>
      </c>
      <c r="F752">
        <v>2</v>
      </c>
      <c r="G752" t="s">
        <v>4183</v>
      </c>
    </row>
    <row r="753" spans="1:7">
      <c r="A753">
        <v>36548</v>
      </c>
      <c r="B753">
        <v>1</v>
      </c>
      <c r="C753">
        <v>59</v>
      </c>
      <c r="D753" t="s">
        <v>4152</v>
      </c>
      <c r="E753">
        <v>16</v>
      </c>
      <c r="F753">
        <v>2</v>
      </c>
      <c r="G753" t="s">
        <v>4183</v>
      </c>
    </row>
    <row r="754" spans="1:7">
      <c r="A754">
        <v>36537</v>
      </c>
      <c r="B754">
        <v>1</v>
      </c>
      <c r="C754">
        <v>59</v>
      </c>
      <c r="D754" t="s">
        <v>4152</v>
      </c>
      <c r="E754">
        <v>16</v>
      </c>
      <c r="F754">
        <v>2</v>
      </c>
      <c r="G754" t="s">
        <v>4183</v>
      </c>
    </row>
    <row r="755" spans="1:7">
      <c r="A755">
        <v>36538</v>
      </c>
      <c r="B755">
        <v>1</v>
      </c>
      <c r="C755">
        <v>59</v>
      </c>
      <c r="D755" t="s">
        <v>4152</v>
      </c>
      <c r="E755">
        <v>16</v>
      </c>
      <c r="F755">
        <v>2</v>
      </c>
      <c r="G755" t="s">
        <v>4183</v>
      </c>
    </row>
    <row r="756" spans="1:7">
      <c r="A756">
        <v>36551</v>
      </c>
      <c r="B756">
        <v>1</v>
      </c>
      <c r="C756">
        <v>59</v>
      </c>
      <c r="D756" t="s">
        <v>4152</v>
      </c>
      <c r="E756">
        <v>16</v>
      </c>
      <c r="F756">
        <v>2</v>
      </c>
      <c r="G756" t="s">
        <v>4183</v>
      </c>
    </row>
    <row r="757" spans="1:7">
      <c r="A757">
        <v>36552</v>
      </c>
      <c r="B757">
        <v>1</v>
      </c>
      <c r="C757">
        <v>59</v>
      </c>
      <c r="D757" t="s">
        <v>4152</v>
      </c>
      <c r="E757">
        <v>16</v>
      </c>
      <c r="F757">
        <v>2</v>
      </c>
      <c r="G757" t="s">
        <v>4183</v>
      </c>
    </row>
    <row r="758" spans="1:7">
      <c r="A758">
        <v>36534</v>
      </c>
      <c r="B758">
        <v>1</v>
      </c>
      <c r="C758">
        <v>59</v>
      </c>
      <c r="D758" t="s">
        <v>4152</v>
      </c>
      <c r="E758">
        <v>16</v>
      </c>
      <c r="F758">
        <v>2</v>
      </c>
      <c r="G758" t="s">
        <v>4183</v>
      </c>
    </row>
    <row r="759" spans="1:7">
      <c r="A759">
        <v>36535</v>
      </c>
      <c r="B759">
        <v>1</v>
      </c>
      <c r="C759">
        <v>59</v>
      </c>
      <c r="D759" t="s">
        <v>4152</v>
      </c>
      <c r="E759">
        <v>16</v>
      </c>
      <c r="F759">
        <v>2</v>
      </c>
      <c r="G759" t="s">
        <v>4183</v>
      </c>
    </row>
    <row r="760" spans="1:7">
      <c r="A760">
        <v>36549</v>
      </c>
      <c r="B760">
        <v>1</v>
      </c>
      <c r="C760">
        <v>59</v>
      </c>
      <c r="D760" t="s">
        <v>4152</v>
      </c>
      <c r="E760">
        <v>16</v>
      </c>
      <c r="F760">
        <v>2</v>
      </c>
      <c r="G760" t="s">
        <v>4183</v>
      </c>
    </row>
    <row r="761" spans="1:7">
      <c r="A761">
        <v>36550</v>
      </c>
      <c r="B761">
        <v>1</v>
      </c>
      <c r="C761">
        <v>59</v>
      </c>
      <c r="D761" t="s">
        <v>4152</v>
      </c>
      <c r="E761">
        <v>16</v>
      </c>
      <c r="F761">
        <v>2</v>
      </c>
      <c r="G761" t="s">
        <v>4183</v>
      </c>
    </row>
    <row r="762" spans="1:7">
      <c r="A762">
        <v>36541</v>
      </c>
      <c r="B762">
        <v>1</v>
      </c>
      <c r="C762">
        <v>59</v>
      </c>
      <c r="D762" t="s">
        <v>4152</v>
      </c>
      <c r="E762">
        <v>16</v>
      </c>
      <c r="F762">
        <v>2</v>
      </c>
      <c r="G762" t="s">
        <v>4183</v>
      </c>
    </row>
    <row r="763" spans="1:7">
      <c r="A763">
        <v>36542</v>
      </c>
      <c r="B763">
        <v>1</v>
      </c>
      <c r="C763">
        <v>59</v>
      </c>
      <c r="D763" t="s">
        <v>4152</v>
      </c>
      <c r="E763">
        <v>16</v>
      </c>
      <c r="F763">
        <v>2</v>
      </c>
      <c r="G763" t="s">
        <v>4183</v>
      </c>
    </row>
    <row r="764" spans="1:7">
      <c r="A764">
        <v>40626</v>
      </c>
      <c r="B764">
        <v>1</v>
      </c>
      <c r="C764">
        <v>59</v>
      </c>
      <c r="D764" t="s">
        <v>4152</v>
      </c>
      <c r="E764">
        <v>16</v>
      </c>
      <c r="F764">
        <v>2</v>
      </c>
      <c r="G764" t="s">
        <v>4183</v>
      </c>
    </row>
    <row r="765" spans="1:7">
      <c r="A765">
        <v>40627</v>
      </c>
      <c r="B765">
        <v>1</v>
      </c>
      <c r="C765">
        <v>59</v>
      </c>
      <c r="D765" t="s">
        <v>4152</v>
      </c>
      <c r="E765">
        <v>16</v>
      </c>
      <c r="F765">
        <v>2</v>
      </c>
      <c r="G765" t="s">
        <v>4183</v>
      </c>
    </row>
    <row r="766" spans="1:7">
      <c r="A766">
        <v>48155</v>
      </c>
      <c r="B766">
        <v>1</v>
      </c>
      <c r="C766">
        <v>59</v>
      </c>
      <c r="D766" t="s">
        <v>4152</v>
      </c>
      <c r="E766">
        <v>16</v>
      </c>
      <c r="F766">
        <v>2</v>
      </c>
      <c r="G766" t="s">
        <v>4183</v>
      </c>
    </row>
    <row r="767" spans="1:7">
      <c r="A767">
        <v>48156</v>
      </c>
      <c r="B767">
        <v>1</v>
      </c>
      <c r="C767">
        <v>59</v>
      </c>
      <c r="D767" t="s">
        <v>4152</v>
      </c>
      <c r="E767">
        <v>16</v>
      </c>
      <c r="F767">
        <v>2</v>
      </c>
      <c r="G767" t="s">
        <v>4183</v>
      </c>
    </row>
    <row r="768" spans="1:7">
      <c r="A768">
        <v>6806</v>
      </c>
      <c r="B768">
        <v>1</v>
      </c>
      <c r="C768">
        <v>59</v>
      </c>
      <c r="D768" t="s">
        <v>4152</v>
      </c>
      <c r="E768">
        <v>16</v>
      </c>
      <c r="F768">
        <v>2</v>
      </c>
      <c r="G768" t="s">
        <v>4183</v>
      </c>
    </row>
    <row r="769" spans="1:7">
      <c r="A769">
        <v>6807</v>
      </c>
      <c r="B769">
        <v>1</v>
      </c>
      <c r="C769">
        <v>59</v>
      </c>
      <c r="D769" t="s">
        <v>4152</v>
      </c>
      <c r="E769">
        <v>16</v>
      </c>
      <c r="F769">
        <v>2</v>
      </c>
      <c r="G769" t="s">
        <v>4183</v>
      </c>
    </row>
    <row r="770" spans="1:7">
      <c r="A770">
        <v>49220</v>
      </c>
      <c r="B770">
        <v>1</v>
      </c>
      <c r="C770">
        <v>59</v>
      </c>
      <c r="D770" t="s">
        <v>4152</v>
      </c>
      <c r="E770">
        <v>16</v>
      </c>
      <c r="F770">
        <v>2</v>
      </c>
      <c r="G770" t="s">
        <v>4183</v>
      </c>
    </row>
    <row r="771" spans="1:7">
      <c r="A771">
        <v>49221</v>
      </c>
      <c r="B771">
        <v>1</v>
      </c>
      <c r="C771">
        <v>59</v>
      </c>
      <c r="D771" t="s">
        <v>4152</v>
      </c>
      <c r="E771">
        <v>16</v>
      </c>
      <c r="F771">
        <v>2</v>
      </c>
      <c r="G771" t="s">
        <v>4183</v>
      </c>
    </row>
    <row r="772" spans="1:7">
      <c r="A772">
        <v>48154</v>
      </c>
      <c r="B772">
        <v>1</v>
      </c>
      <c r="C772">
        <v>59</v>
      </c>
      <c r="D772" t="s">
        <v>4152</v>
      </c>
      <c r="E772">
        <v>16</v>
      </c>
      <c r="F772">
        <v>2</v>
      </c>
      <c r="G772" t="s">
        <v>4183</v>
      </c>
    </row>
    <row r="773" spans="1:7">
      <c r="A773">
        <v>6822</v>
      </c>
      <c r="B773">
        <v>1</v>
      </c>
      <c r="C773">
        <v>59</v>
      </c>
      <c r="D773" t="s">
        <v>4152</v>
      </c>
      <c r="E773">
        <v>16</v>
      </c>
      <c r="F773">
        <v>2</v>
      </c>
      <c r="G773" t="s">
        <v>4183</v>
      </c>
    </row>
    <row r="774" spans="1:7">
      <c r="A774">
        <v>6823</v>
      </c>
      <c r="B774">
        <v>1</v>
      </c>
      <c r="C774">
        <v>59</v>
      </c>
      <c r="D774" t="s">
        <v>4152</v>
      </c>
      <c r="E774">
        <v>16</v>
      </c>
      <c r="F774">
        <v>2</v>
      </c>
      <c r="G774" t="s">
        <v>4183</v>
      </c>
    </row>
    <row r="775" spans="1:7">
      <c r="B775">
        <v>1</v>
      </c>
      <c r="C775">
        <v>60</v>
      </c>
      <c r="D775" t="s">
        <v>4149</v>
      </c>
      <c r="E775">
        <v>7</v>
      </c>
      <c r="F775">
        <v>1</v>
      </c>
      <c r="G775" t="s">
        <v>4640</v>
      </c>
    </row>
  </sheetData>
  <sortState ref="J5:J12">
    <sortCondition ref="J6"/>
  </sortState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>
  <sheetPr codeName="Plan6"/>
  <dimension ref="A5:E43"/>
  <sheetViews>
    <sheetView showGridLines="0" workbookViewId="0">
      <selection activeCell="B11" sqref="B11"/>
    </sheetView>
  </sheetViews>
  <sheetFormatPr defaultRowHeight="15"/>
  <cols>
    <col min="1" max="1" width="17" bestFit="1" customWidth="1"/>
    <col min="2" max="2" width="40" bestFit="1" customWidth="1"/>
    <col min="4" max="4" width="21.42578125" bestFit="1" customWidth="1"/>
    <col min="5" max="5" width="35.140625" bestFit="1" customWidth="1"/>
  </cols>
  <sheetData>
    <row r="5" spans="1:5">
      <c r="A5" t="s">
        <v>3</v>
      </c>
      <c r="B5" t="s">
        <v>1</v>
      </c>
      <c r="C5" t="s">
        <v>79</v>
      </c>
      <c r="D5" t="s">
        <v>78</v>
      </c>
      <c r="E5" t="s">
        <v>90</v>
      </c>
    </row>
    <row r="6" spans="1:5">
      <c r="A6" t="s">
        <v>4</v>
      </c>
      <c r="B6" s="3" t="s">
        <v>5</v>
      </c>
      <c r="C6" t="s">
        <v>80</v>
      </c>
      <c r="D6" t="s">
        <v>85</v>
      </c>
      <c r="E6" t="s">
        <v>81</v>
      </c>
    </row>
    <row r="7" spans="1:5">
      <c r="A7" t="s">
        <v>6</v>
      </c>
      <c r="B7" s="3" t="s">
        <v>7</v>
      </c>
      <c r="C7" t="s">
        <v>80</v>
      </c>
      <c r="D7" t="s">
        <v>85</v>
      </c>
      <c r="E7" t="s">
        <v>81</v>
      </c>
    </row>
    <row r="8" spans="1:5">
      <c r="A8" t="s">
        <v>8</v>
      </c>
      <c r="B8" s="3" t="s">
        <v>9</v>
      </c>
      <c r="C8" t="s">
        <v>80</v>
      </c>
      <c r="D8" t="s">
        <v>85</v>
      </c>
      <c r="E8" t="s">
        <v>81</v>
      </c>
    </row>
    <row r="9" spans="1:5">
      <c r="A9" t="s">
        <v>10</v>
      </c>
      <c r="B9" s="3" t="s">
        <v>11</v>
      </c>
      <c r="C9" t="s">
        <v>80</v>
      </c>
      <c r="D9" t="s">
        <v>85</v>
      </c>
      <c r="E9" t="s">
        <v>82</v>
      </c>
    </row>
    <row r="10" spans="1:5">
      <c r="A10" t="s">
        <v>12</v>
      </c>
      <c r="B10" s="3" t="s">
        <v>13</v>
      </c>
      <c r="C10" t="s">
        <v>80</v>
      </c>
      <c r="D10" t="s">
        <v>85</v>
      </c>
      <c r="E10" t="s">
        <v>82</v>
      </c>
    </row>
    <row r="11" spans="1:5">
      <c r="A11" t="s">
        <v>14</v>
      </c>
      <c r="B11" s="3" t="s">
        <v>15</v>
      </c>
      <c r="C11" t="s">
        <v>80</v>
      </c>
      <c r="D11" t="s">
        <v>85</v>
      </c>
      <c r="E11" t="s">
        <v>82</v>
      </c>
    </row>
    <row r="12" spans="1:5">
      <c r="A12" t="s">
        <v>16</v>
      </c>
      <c r="B12" s="3" t="s">
        <v>17</v>
      </c>
      <c r="C12" t="s">
        <v>80</v>
      </c>
      <c r="D12" t="s">
        <v>85</v>
      </c>
      <c r="E12" t="s">
        <v>82</v>
      </c>
    </row>
    <row r="13" spans="1:5">
      <c r="A13" t="s">
        <v>18</v>
      </c>
      <c r="B13" s="3" t="s">
        <v>19</v>
      </c>
      <c r="C13" t="s">
        <v>80</v>
      </c>
      <c r="D13" t="s">
        <v>85</v>
      </c>
      <c r="E13" t="s">
        <v>82</v>
      </c>
    </row>
    <row r="14" spans="1:5">
      <c r="A14" t="s">
        <v>20</v>
      </c>
      <c r="B14" s="3" t="s">
        <v>21</v>
      </c>
      <c r="C14" t="s">
        <v>80</v>
      </c>
      <c r="D14" t="s">
        <v>85</v>
      </c>
      <c r="E14" t="s">
        <v>83</v>
      </c>
    </row>
    <row r="15" spans="1:5">
      <c r="A15" t="s">
        <v>22</v>
      </c>
      <c r="B15" s="3" t="s">
        <v>23</v>
      </c>
      <c r="C15" t="s">
        <v>80</v>
      </c>
      <c r="D15" t="s">
        <v>85</v>
      </c>
      <c r="E15" t="s">
        <v>23</v>
      </c>
    </row>
    <row r="16" spans="1:5">
      <c r="A16" t="s">
        <v>24</v>
      </c>
      <c r="B16" s="3" t="s">
        <v>25</v>
      </c>
      <c r="C16" t="s">
        <v>80</v>
      </c>
      <c r="D16" t="s">
        <v>85</v>
      </c>
      <c r="E16" t="s">
        <v>25</v>
      </c>
    </row>
    <row r="17" spans="1:5">
      <c r="A17" t="s">
        <v>26</v>
      </c>
      <c r="B17" s="3" t="s">
        <v>27</v>
      </c>
      <c r="C17" t="s">
        <v>80</v>
      </c>
      <c r="D17" t="s">
        <v>85</v>
      </c>
      <c r="E17" t="s">
        <v>84</v>
      </c>
    </row>
    <row r="18" spans="1:5">
      <c r="A18" t="s">
        <v>28</v>
      </c>
      <c r="B18" s="3" t="s">
        <v>144</v>
      </c>
      <c r="C18" t="s">
        <v>80</v>
      </c>
      <c r="D18" t="s">
        <v>86</v>
      </c>
      <c r="E18" t="s">
        <v>87</v>
      </c>
    </row>
    <row r="19" spans="1:5">
      <c r="A19" t="s">
        <v>29</v>
      </c>
      <c r="B19" s="3" t="s">
        <v>145</v>
      </c>
      <c r="C19" t="s">
        <v>80</v>
      </c>
      <c r="D19" t="s">
        <v>86</v>
      </c>
      <c r="E19" t="s">
        <v>87</v>
      </c>
    </row>
    <row r="20" spans="1:5">
      <c r="A20" t="s">
        <v>30</v>
      </c>
      <c r="B20" s="3" t="s">
        <v>31</v>
      </c>
      <c r="C20" t="s">
        <v>80</v>
      </c>
      <c r="D20" t="s">
        <v>86</v>
      </c>
      <c r="E20" t="s">
        <v>31</v>
      </c>
    </row>
    <row r="21" spans="1:5">
      <c r="A21" t="s">
        <v>32</v>
      </c>
      <c r="B21" s="3" t="s">
        <v>33</v>
      </c>
      <c r="C21" t="s">
        <v>80</v>
      </c>
      <c r="D21" t="s">
        <v>86</v>
      </c>
      <c r="E21" t="s">
        <v>88</v>
      </c>
    </row>
    <row r="22" spans="1:5">
      <c r="A22" t="s">
        <v>72</v>
      </c>
      <c r="B22" s="3" t="s">
        <v>73</v>
      </c>
      <c r="C22" t="s">
        <v>80</v>
      </c>
      <c r="D22" t="s">
        <v>86</v>
      </c>
      <c r="E22" t="s">
        <v>88</v>
      </c>
    </row>
    <row r="23" spans="1:5">
      <c r="A23" t="s">
        <v>76</v>
      </c>
      <c r="B23" s="3" t="s">
        <v>77</v>
      </c>
      <c r="C23" t="s">
        <v>80</v>
      </c>
      <c r="D23" t="s">
        <v>86</v>
      </c>
      <c r="E23" t="s">
        <v>88</v>
      </c>
    </row>
    <row r="24" spans="1:5">
      <c r="A24" t="s">
        <v>34</v>
      </c>
      <c r="B24" s="3" t="s">
        <v>35</v>
      </c>
      <c r="C24" t="s">
        <v>80</v>
      </c>
      <c r="D24" t="s">
        <v>86</v>
      </c>
      <c r="E24" t="s">
        <v>35</v>
      </c>
    </row>
    <row r="25" spans="1:5">
      <c r="A25" t="s">
        <v>36</v>
      </c>
      <c r="B25" s="3" t="s">
        <v>37</v>
      </c>
      <c r="C25" t="s">
        <v>80</v>
      </c>
      <c r="D25" t="s">
        <v>86</v>
      </c>
      <c r="E25" t="s">
        <v>89</v>
      </c>
    </row>
    <row r="26" spans="1:5">
      <c r="A26" t="s">
        <v>38</v>
      </c>
      <c r="B26" s="3" t="s">
        <v>39</v>
      </c>
      <c r="C26" s="2" t="s">
        <v>93</v>
      </c>
      <c r="D26" s="2" t="s">
        <v>94</v>
      </c>
      <c r="E26" s="2" t="s">
        <v>92</v>
      </c>
    </row>
    <row r="27" spans="1:5">
      <c r="A27" t="s">
        <v>40</v>
      </c>
      <c r="B27" s="3" t="s">
        <v>41</v>
      </c>
      <c r="C27" s="2" t="s">
        <v>93</v>
      </c>
      <c r="D27" s="2" t="s">
        <v>94</v>
      </c>
      <c r="E27" s="2" t="s">
        <v>95</v>
      </c>
    </row>
    <row r="28" spans="1:5">
      <c r="A28" t="s">
        <v>42</v>
      </c>
      <c r="B28" s="3" t="s">
        <v>43</v>
      </c>
      <c r="C28" s="2" t="s">
        <v>93</v>
      </c>
      <c r="D28" s="2" t="s">
        <v>94</v>
      </c>
      <c r="E28" s="2" t="s">
        <v>95</v>
      </c>
    </row>
    <row r="29" spans="1:5">
      <c r="A29" t="s">
        <v>44</v>
      </c>
      <c r="B29" s="3" t="s">
        <v>45</v>
      </c>
      <c r="C29" s="2" t="s">
        <v>93</v>
      </c>
      <c r="D29" s="2" t="s">
        <v>94</v>
      </c>
      <c r="E29" t="s">
        <v>96</v>
      </c>
    </row>
    <row r="30" spans="1:5">
      <c r="A30" t="s">
        <v>46</v>
      </c>
      <c r="B30" s="3" t="s">
        <v>47</v>
      </c>
      <c r="C30" s="2" t="s">
        <v>93</v>
      </c>
      <c r="D30" s="2" t="s">
        <v>94</v>
      </c>
      <c r="E30" t="s">
        <v>96</v>
      </c>
    </row>
    <row r="31" spans="1:5">
      <c r="A31" t="s">
        <v>48</v>
      </c>
      <c r="B31" s="3" t="s">
        <v>49</v>
      </c>
      <c r="C31" s="2" t="s">
        <v>93</v>
      </c>
      <c r="D31" s="2" t="s">
        <v>94</v>
      </c>
      <c r="E31" t="s">
        <v>96</v>
      </c>
    </row>
    <row r="32" spans="1:5">
      <c r="A32" t="s">
        <v>50</v>
      </c>
      <c r="B32" s="3" t="s">
        <v>51</v>
      </c>
      <c r="C32" s="2" t="s">
        <v>93</v>
      </c>
      <c r="D32" s="2" t="s">
        <v>94</v>
      </c>
      <c r="E32" t="s">
        <v>97</v>
      </c>
    </row>
    <row r="33" spans="1:5">
      <c r="A33" t="s">
        <v>52</v>
      </c>
      <c r="B33" s="3" t="s">
        <v>53</v>
      </c>
      <c r="C33" s="2" t="s">
        <v>93</v>
      </c>
      <c r="D33" s="2" t="s">
        <v>94</v>
      </c>
      <c r="E33" t="s">
        <v>97</v>
      </c>
    </row>
    <row r="34" spans="1:5">
      <c r="A34" t="s">
        <v>54</v>
      </c>
      <c r="B34" s="3" t="s">
        <v>55</v>
      </c>
      <c r="C34" s="2" t="s">
        <v>93</v>
      </c>
      <c r="D34" s="2" t="s">
        <v>94</v>
      </c>
      <c r="E34" t="s">
        <v>97</v>
      </c>
    </row>
    <row r="35" spans="1:5">
      <c r="A35" t="s">
        <v>56</v>
      </c>
      <c r="B35" s="3" t="s">
        <v>57</v>
      </c>
      <c r="C35" s="2" t="s">
        <v>93</v>
      </c>
      <c r="D35" s="2" t="s">
        <v>94</v>
      </c>
      <c r="E35" t="s">
        <v>98</v>
      </c>
    </row>
    <row r="36" spans="1:5">
      <c r="A36" t="s">
        <v>58</v>
      </c>
      <c r="B36" s="3" t="s">
        <v>59</v>
      </c>
      <c r="C36" s="2" t="s">
        <v>93</v>
      </c>
      <c r="D36" s="2" t="s">
        <v>94</v>
      </c>
      <c r="E36" t="s">
        <v>98</v>
      </c>
    </row>
    <row r="37" spans="1:5">
      <c r="A37" t="s">
        <v>60</v>
      </c>
      <c r="B37" s="3" t="s">
        <v>61</v>
      </c>
      <c r="C37" s="2" t="s">
        <v>93</v>
      </c>
      <c r="D37" s="2" t="s">
        <v>94</v>
      </c>
      <c r="E37" t="s">
        <v>99</v>
      </c>
    </row>
    <row r="38" spans="1:5">
      <c r="A38" t="s">
        <v>62</v>
      </c>
      <c r="B38" s="3" t="s">
        <v>63</v>
      </c>
      <c r="C38" s="2" t="s">
        <v>93</v>
      </c>
      <c r="D38" s="2" t="s">
        <v>100</v>
      </c>
      <c r="E38" t="s">
        <v>101</v>
      </c>
    </row>
    <row r="39" spans="1:5">
      <c r="A39" t="s">
        <v>64</v>
      </c>
      <c r="B39" s="3" t="s">
        <v>65</v>
      </c>
      <c r="C39" s="2" t="s">
        <v>102</v>
      </c>
      <c r="D39" s="2" t="s">
        <v>102</v>
      </c>
      <c r="E39" s="2" t="s">
        <v>103</v>
      </c>
    </row>
    <row r="40" spans="1:5">
      <c r="A40" t="s">
        <v>66</v>
      </c>
      <c r="B40" s="3" t="s">
        <v>67</v>
      </c>
      <c r="C40" s="2" t="s">
        <v>102</v>
      </c>
      <c r="D40" s="2" t="s">
        <v>102</v>
      </c>
      <c r="E40" s="2" t="s">
        <v>103</v>
      </c>
    </row>
    <row r="41" spans="1:5">
      <c r="A41" t="s">
        <v>68</v>
      </c>
      <c r="B41" s="3" t="s">
        <v>69</v>
      </c>
      <c r="C41" s="2" t="s">
        <v>102</v>
      </c>
      <c r="D41" s="2" t="s">
        <v>102</v>
      </c>
      <c r="E41" t="s">
        <v>104</v>
      </c>
    </row>
    <row r="42" spans="1:5">
      <c r="A42" t="s">
        <v>74</v>
      </c>
      <c r="B42" s="3" t="s">
        <v>75</v>
      </c>
      <c r="C42" s="2" t="s">
        <v>102</v>
      </c>
      <c r="D42" s="2" t="s">
        <v>102</v>
      </c>
      <c r="E42" t="s">
        <v>105</v>
      </c>
    </row>
    <row r="43" spans="1:5">
      <c r="A43" s="2" t="s">
        <v>70</v>
      </c>
      <c r="B43" s="4" t="s">
        <v>71</v>
      </c>
      <c r="C43" s="2" t="s">
        <v>102</v>
      </c>
      <c r="D43" s="2" t="s">
        <v>102</v>
      </c>
      <c r="E43" t="s">
        <v>71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G80"/>
  <sheetViews>
    <sheetView topLeftCell="A6" workbookViewId="0">
      <selection activeCell="F13" sqref="F13"/>
    </sheetView>
  </sheetViews>
  <sheetFormatPr defaultRowHeight="15"/>
  <cols>
    <col min="1" max="1" width="9.42578125" customWidth="1"/>
    <col min="2" max="2" width="44.42578125" bestFit="1" customWidth="1"/>
    <col min="3" max="3" width="21.28515625" customWidth="1"/>
    <col min="4" max="4" width="18.28515625" customWidth="1"/>
    <col min="5" max="6" width="15.5703125" customWidth="1"/>
    <col min="7" max="7" width="13.85546875" customWidth="1"/>
    <col min="8" max="8" width="46.85546875" bestFit="1" customWidth="1"/>
    <col min="9" max="9" width="16.28515625" customWidth="1"/>
  </cols>
  <sheetData>
    <row r="1" spans="1:7">
      <c r="F1" t="s">
        <v>5580</v>
      </c>
      <c r="G1" s="1">
        <f>Parâmetros!D11</f>
        <v>42886</v>
      </c>
    </row>
    <row r="2" spans="1:7">
      <c r="F2" t="s">
        <v>5581</v>
      </c>
      <c r="G2">
        <f>MONTH(G1)</f>
        <v>5</v>
      </c>
    </row>
    <row r="3" spans="1:7">
      <c r="F3" t="s">
        <v>5582</v>
      </c>
      <c r="G3">
        <f>YEAR(G1)</f>
        <v>2017</v>
      </c>
    </row>
    <row r="5" spans="1:7">
      <c r="A5" t="s">
        <v>0</v>
      </c>
      <c r="B5" t="s">
        <v>5583</v>
      </c>
      <c r="C5" t="s">
        <v>5584</v>
      </c>
      <c r="D5" t="s">
        <v>5585</v>
      </c>
      <c r="E5" t="s">
        <v>5586</v>
      </c>
      <c r="F5" t="s">
        <v>5599</v>
      </c>
      <c r="G5" t="s">
        <v>5600</v>
      </c>
    </row>
    <row r="6" spans="1:7">
      <c r="A6">
        <v>1759</v>
      </c>
      <c r="B6" t="s">
        <v>1052</v>
      </c>
      <c r="C6">
        <v>90676314.31999968</v>
      </c>
      <c r="D6">
        <v>11283458.750004053</v>
      </c>
      <c r="E6">
        <v>101959773.07000373</v>
      </c>
      <c r="F6" s="308">
        <f t="shared" ref="F6:F37" si="0">C6/$E6</f>
        <v>0.88933421083374675</v>
      </c>
      <c r="G6" s="308">
        <f t="shared" ref="G6:G37" si="1">D6/$E6</f>
        <v>0.11066578916625319</v>
      </c>
    </row>
    <row r="7" spans="1:7">
      <c r="A7">
        <v>1772</v>
      </c>
      <c r="B7" t="s">
        <v>1076</v>
      </c>
      <c r="C7">
        <v>43334813.460001163</v>
      </c>
      <c r="D7">
        <v>4069175.5399971614</v>
      </c>
      <c r="E7">
        <v>47403988.999998324</v>
      </c>
      <c r="F7" s="308">
        <f t="shared" si="0"/>
        <v>0.9141596387595714</v>
      </c>
      <c r="G7" s="308">
        <f t="shared" si="1"/>
        <v>8.5840361240428639E-2</v>
      </c>
    </row>
    <row r="8" spans="1:7">
      <c r="A8">
        <v>1782</v>
      </c>
      <c r="B8" t="s">
        <v>1088</v>
      </c>
      <c r="C8">
        <v>17088614.160000227</v>
      </c>
      <c r="D8">
        <v>2798433.3300005947</v>
      </c>
      <c r="E8">
        <v>19887047.490000822</v>
      </c>
      <c r="F8" s="308">
        <f t="shared" si="0"/>
        <v>0.85928362008449755</v>
      </c>
      <c r="G8" s="308">
        <f t="shared" si="1"/>
        <v>0.14071637991550243</v>
      </c>
    </row>
    <row r="9" spans="1:7">
      <c r="A9">
        <v>1793</v>
      </c>
      <c r="B9" t="s">
        <v>5403</v>
      </c>
      <c r="C9">
        <v>1.7462298274040222E-9</v>
      </c>
      <c r="D9">
        <v>8.7311491370201111E-11</v>
      </c>
      <c r="E9">
        <v>1.8335413187742233E-9</v>
      </c>
      <c r="F9" s="308">
        <f t="shared" si="0"/>
        <v>0.95238095238095233</v>
      </c>
      <c r="G9" s="308">
        <f t="shared" si="1"/>
        <v>4.7619047619047616E-2</v>
      </c>
    </row>
    <row r="10" spans="1:7">
      <c r="A10">
        <v>1800</v>
      </c>
      <c r="B10" t="s">
        <v>5587</v>
      </c>
      <c r="C10">
        <v>-2.3283064365386963E-10</v>
      </c>
      <c r="D10">
        <v>-3.0267983675003052E-9</v>
      </c>
      <c r="E10">
        <v>-3.2596290111541748E-9</v>
      </c>
      <c r="F10" s="308">
        <f t="shared" si="0"/>
        <v>7.1428571428571425E-2</v>
      </c>
      <c r="G10" s="308">
        <f t="shared" si="1"/>
        <v>0.9285714285714286</v>
      </c>
    </row>
    <row r="11" spans="1:7">
      <c r="A11">
        <v>1805</v>
      </c>
      <c r="B11" t="s">
        <v>5588</v>
      </c>
      <c r="C11">
        <v>0</v>
      </c>
      <c r="D11">
        <v>0</v>
      </c>
      <c r="E11">
        <v>0</v>
      </c>
      <c r="F11" s="308" t="e">
        <f t="shared" si="0"/>
        <v>#DIV/0!</v>
      </c>
      <c r="G11" s="308" t="e">
        <f t="shared" si="1"/>
        <v>#DIV/0!</v>
      </c>
    </row>
    <row r="12" spans="1:7">
      <c r="A12">
        <v>1812</v>
      </c>
      <c r="B12" t="s">
        <v>1102</v>
      </c>
      <c r="C12">
        <v>10686286.779999865</v>
      </c>
      <c r="D12">
        <v>684216.89999827091</v>
      </c>
      <c r="E12">
        <v>11370503.679998137</v>
      </c>
      <c r="F12" s="308">
        <f t="shared" si="0"/>
        <v>0.93982527781932135</v>
      </c>
      <c r="G12" s="308">
        <f t="shared" si="1"/>
        <v>6.0174722180678542E-2</v>
      </c>
    </row>
    <row r="13" spans="1:7">
      <c r="A13">
        <v>1844</v>
      </c>
      <c r="B13" t="s">
        <v>1156</v>
      </c>
      <c r="C13">
        <v>3869139.7700000051</v>
      </c>
      <c r="D13">
        <v>481124.50000001339</v>
      </c>
      <c r="E13">
        <v>4350264.2700000182</v>
      </c>
      <c r="F13" s="308">
        <f t="shared" si="0"/>
        <v>0.88940338560167265</v>
      </c>
      <c r="G13" s="308">
        <f t="shared" si="1"/>
        <v>0.11059661439832744</v>
      </c>
    </row>
    <row r="14" spans="1:7">
      <c r="A14">
        <v>1856</v>
      </c>
      <c r="B14" t="s">
        <v>1178</v>
      </c>
      <c r="C14">
        <v>6042927.900000168</v>
      </c>
      <c r="D14">
        <v>230864.95000000249</v>
      </c>
      <c r="E14">
        <v>6273792.8500001701</v>
      </c>
      <c r="F14" s="308">
        <f t="shared" si="0"/>
        <v>0.96320169385254795</v>
      </c>
      <c r="G14" s="308">
        <f t="shared" si="1"/>
        <v>3.679830614745213E-2</v>
      </c>
    </row>
    <row r="15" spans="1:7">
      <c r="A15">
        <v>1867</v>
      </c>
      <c r="B15" t="s">
        <v>1194</v>
      </c>
      <c r="C15">
        <v>13163656.330000097</v>
      </c>
      <c r="D15">
        <v>924192.93000000413</v>
      </c>
      <c r="E15">
        <v>14087849.2600001</v>
      </c>
      <c r="F15" s="308">
        <f t="shared" si="0"/>
        <v>0.93439786918901224</v>
      </c>
      <c r="G15" s="308">
        <f t="shared" si="1"/>
        <v>6.5602130810987785E-2</v>
      </c>
    </row>
    <row r="16" spans="1:7">
      <c r="A16">
        <v>1878</v>
      </c>
      <c r="B16" t="s">
        <v>1210</v>
      </c>
      <c r="C16">
        <v>59705.649999999565</v>
      </c>
      <c r="D16">
        <v>4006.9500000000044</v>
      </c>
      <c r="E16">
        <v>63712.599999999569</v>
      </c>
      <c r="F16" s="308">
        <f t="shared" si="0"/>
        <v>0.93710898629156503</v>
      </c>
      <c r="G16" s="308">
        <f t="shared" si="1"/>
        <v>6.2891013708434931E-2</v>
      </c>
    </row>
    <row r="17" spans="1:7">
      <c r="A17">
        <v>1889</v>
      </c>
      <c r="B17" t="s">
        <v>1220</v>
      </c>
      <c r="C17">
        <v>3.092281986027956E-11</v>
      </c>
      <c r="D17">
        <v>0</v>
      </c>
      <c r="E17">
        <v>3.092281986027956E-11</v>
      </c>
      <c r="F17" s="308">
        <f t="shared" si="0"/>
        <v>1</v>
      </c>
      <c r="G17" s="308">
        <f t="shared" si="1"/>
        <v>0</v>
      </c>
    </row>
    <row r="18" spans="1:7">
      <c r="A18">
        <v>1898</v>
      </c>
      <c r="B18" t="s">
        <v>1224</v>
      </c>
      <c r="C18">
        <v>649019.02999999351</v>
      </c>
      <c r="D18">
        <v>21250.540000000241</v>
      </c>
      <c r="E18">
        <v>670269.56999999378</v>
      </c>
      <c r="F18" s="308">
        <f t="shared" si="0"/>
        <v>0.96829553219908149</v>
      </c>
      <c r="G18" s="308">
        <f t="shared" si="1"/>
        <v>3.1704467800918422E-2</v>
      </c>
    </row>
    <row r="19" spans="1:7">
      <c r="A19">
        <v>1909</v>
      </c>
      <c r="B19" t="s">
        <v>5464</v>
      </c>
      <c r="C19">
        <v>49.999999999999901</v>
      </c>
      <c r="D19">
        <v>9.0949470177292824E-13</v>
      </c>
      <c r="E19">
        <v>50.00000000000081</v>
      </c>
      <c r="F19" s="308">
        <f t="shared" si="0"/>
        <v>0.99999999999998179</v>
      </c>
      <c r="G19" s="308">
        <f t="shared" si="1"/>
        <v>1.8189894035458269E-14</v>
      </c>
    </row>
    <row r="20" spans="1:7">
      <c r="A20">
        <v>1915</v>
      </c>
      <c r="B20" t="s">
        <v>1245</v>
      </c>
      <c r="C20">
        <v>92558.699999999983</v>
      </c>
      <c r="D20">
        <v>58328.339999999138</v>
      </c>
      <c r="E20">
        <v>150887.03999999911</v>
      </c>
      <c r="F20" s="308">
        <f t="shared" si="0"/>
        <v>0.61343041788082353</v>
      </c>
      <c r="G20" s="308">
        <f t="shared" si="1"/>
        <v>0.38656958211917658</v>
      </c>
    </row>
    <row r="21" spans="1:7">
      <c r="A21">
        <v>1926</v>
      </c>
      <c r="B21" t="s">
        <v>1258</v>
      </c>
      <c r="C21">
        <v>2025582.9100000244</v>
      </c>
      <c r="D21">
        <v>209443.14999999886</v>
      </c>
      <c r="E21">
        <v>2235026.0600000233</v>
      </c>
      <c r="F21" s="308">
        <f t="shared" si="0"/>
        <v>0.90629051099296942</v>
      </c>
      <c r="G21" s="308">
        <f t="shared" si="1"/>
        <v>9.3709489007030494E-2</v>
      </c>
    </row>
    <row r="22" spans="1:7">
      <c r="A22">
        <v>1937</v>
      </c>
      <c r="B22" t="s">
        <v>1272</v>
      </c>
      <c r="C22">
        <v>238930.27000000127</v>
      </c>
      <c r="D22">
        <v>326685.95000000135</v>
      </c>
      <c r="E22">
        <v>565616.22000000265</v>
      </c>
      <c r="F22" s="308">
        <f t="shared" si="0"/>
        <v>0.42242471405788212</v>
      </c>
      <c r="G22" s="308">
        <f t="shared" si="1"/>
        <v>0.57757528594211782</v>
      </c>
    </row>
    <row r="23" spans="1:7">
      <c r="A23">
        <v>1946</v>
      </c>
      <c r="B23" t="s">
        <v>1273</v>
      </c>
      <c r="C23">
        <v>45425.76000000014</v>
      </c>
      <c r="D23">
        <v>1.1823431123048067E-11</v>
      </c>
      <c r="E23">
        <v>45425.760000000155</v>
      </c>
      <c r="F23" s="308">
        <f t="shared" si="0"/>
        <v>0.99999999999999967</v>
      </c>
      <c r="G23" s="308">
        <f t="shared" si="1"/>
        <v>2.6028031502495557E-16</v>
      </c>
    </row>
    <row r="24" spans="1:7">
      <c r="A24">
        <v>1953</v>
      </c>
      <c r="B24" t="s">
        <v>1278</v>
      </c>
      <c r="C24">
        <v>9.0949470177292824E-12</v>
      </c>
      <c r="D24">
        <v>0</v>
      </c>
      <c r="E24">
        <v>9.0949470177292824E-12</v>
      </c>
      <c r="F24" s="308">
        <f t="shared" si="0"/>
        <v>1</v>
      </c>
      <c r="G24" s="308">
        <f t="shared" si="1"/>
        <v>0</v>
      </c>
    </row>
    <row r="25" spans="1:7">
      <c r="A25">
        <v>1960</v>
      </c>
      <c r="B25" t="s">
        <v>1280</v>
      </c>
      <c r="C25">
        <v>3731.9999999999554</v>
      </c>
      <c r="D25">
        <v>-7057.7400000000007</v>
      </c>
      <c r="E25">
        <v>-3325.7400000000453</v>
      </c>
      <c r="F25" s="308">
        <f t="shared" si="0"/>
        <v>-1.1221562719875591</v>
      </c>
      <c r="G25" s="308">
        <f t="shared" si="1"/>
        <v>2.1221562719875591</v>
      </c>
    </row>
    <row r="26" spans="1:7">
      <c r="A26">
        <v>1967</v>
      </c>
      <c r="B26" t="s">
        <v>1282</v>
      </c>
      <c r="C26">
        <v>14375.999999999993</v>
      </c>
      <c r="D26">
        <v>1.3642420526593924E-12</v>
      </c>
      <c r="E26">
        <v>14375.999999999995</v>
      </c>
      <c r="F26" s="308">
        <f t="shared" si="0"/>
        <v>0.99999999999999989</v>
      </c>
      <c r="G26" s="308">
        <f t="shared" si="1"/>
        <v>9.4897193423719597E-17</v>
      </c>
    </row>
    <row r="27" spans="1:7">
      <c r="A27">
        <v>1976</v>
      </c>
      <c r="B27" t="s">
        <v>5611</v>
      </c>
      <c r="C27">
        <v>0</v>
      </c>
      <c r="D27">
        <v>0</v>
      </c>
      <c r="E27">
        <v>0</v>
      </c>
      <c r="F27" s="308" t="e">
        <f t="shared" si="0"/>
        <v>#DIV/0!</v>
      </c>
      <c r="G27" s="308" t="e">
        <f t="shared" si="1"/>
        <v>#DIV/0!</v>
      </c>
    </row>
    <row r="28" spans="1:7">
      <c r="A28">
        <v>1980</v>
      </c>
      <c r="B28" t="s">
        <v>4750</v>
      </c>
      <c r="C28">
        <v>-9.0949470177292824E-13</v>
      </c>
      <c r="D28">
        <v>0</v>
      </c>
      <c r="E28">
        <v>-9.0949470177292824E-13</v>
      </c>
      <c r="F28" s="308">
        <f t="shared" si="0"/>
        <v>1</v>
      </c>
      <c r="G28" s="308">
        <f t="shared" si="1"/>
        <v>0</v>
      </c>
    </row>
    <row r="29" spans="1:7">
      <c r="A29">
        <v>1987</v>
      </c>
      <c r="B29" t="s">
        <v>1292</v>
      </c>
      <c r="C29">
        <v>66368.62</v>
      </c>
      <c r="D29">
        <v>7660</v>
      </c>
      <c r="E29">
        <v>74028.62</v>
      </c>
      <c r="F29" s="308">
        <f t="shared" si="0"/>
        <v>0.89652650555960656</v>
      </c>
      <c r="G29" s="308">
        <f t="shared" si="1"/>
        <v>0.10347349444039347</v>
      </c>
    </row>
    <row r="30" spans="1:7">
      <c r="A30">
        <v>1992</v>
      </c>
      <c r="B30" t="s">
        <v>1305</v>
      </c>
      <c r="C30">
        <v>8097792.2299999194</v>
      </c>
      <c r="D30">
        <v>640918.63000002783</v>
      </c>
      <c r="E30">
        <v>8738710.8599999472</v>
      </c>
      <c r="F30" s="308">
        <f t="shared" si="0"/>
        <v>0.92665753103999238</v>
      </c>
      <c r="G30" s="308">
        <f t="shared" si="1"/>
        <v>7.3342468960007637E-2</v>
      </c>
    </row>
    <row r="31" spans="1:7">
      <c r="A31">
        <v>2003</v>
      </c>
      <c r="B31" t="s">
        <v>1321</v>
      </c>
      <c r="C31">
        <v>3308636.8300000182</v>
      </c>
      <c r="D31">
        <v>107758.36000000266</v>
      </c>
      <c r="E31">
        <v>3416395.1900000209</v>
      </c>
      <c r="F31" s="308">
        <f t="shared" si="0"/>
        <v>0.96845846162194071</v>
      </c>
      <c r="G31" s="308">
        <f t="shared" si="1"/>
        <v>3.1541538378059245E-2</v>
      </c>
    </row>
    <row r="32" spans="1:7">
      <c r="A32">
        <v>2015</v>
      </c>
      <c r="B32" t="s">
        <v>1334</v>
      </c>
      <c r="C32">
        <v>4.0611212170915678E-9</v>
      </c>
      <c r="D32">
        <v>1.222815626533702E-9</v>
      </c>
      <c r="E32">
        <v>5.2839368436252698E-9</v>
      </c>
      <c r="F32" s="308">
        <f t="shared" si="0"/>
        <v>0.76857868238736604</v>
      </c>
      <c r="G32" s="308">
        <f t="shared" si="1"/>
        <v>0.23142131761263393</v>
      </c>
    </row>
    <row r="33" spans="1:7">
      <c r="A33">
        <v>2028</v>
      </c>
      <c r="B33" t="s">
        <v>3672</v>
      </c>
      <c r="C33">
        <v>426921.14999998239</v>
      </c>
      <c r="D33">
        <v>164267.86999999834</v>
      </c>
      <c r="E33">
        <v>591189.01999998069</v>
      </c>
      <c r="F33" s="308">
        <f t="shared" si="0"/>
        <v>0.72213984962034028</v>
      </c>
      <c r="G33" s="308">
        <f t="shared" si="1"/>
        <v>0.27786015037965978</v>
      </c>
    </row>
    <row r="34" spans="1:7">
      <c r="A34">
        <v>2037</v>
      </c>
      <c r="B34" t="s">
        <v>5589</v>
      </c>
      <c r="C34">
        <v>-3.637978807091713E-12</v>
      </c>
      <c r="D34">
        <v>0</v>
      </c>
      <c r="E34">
        <v>-3.637978807091713E-12</v>
      </c>
      <c r="F34" s="308">
        <f t="shared" si="0"/>
        <v>1</v>
      </c>
      <c r="G34" s="308">
        <f t="shared" si="1"/>
        <v>0</v>
      </c>
    </row>
    <row r="35" spans="1:7">
      <c r="A35">
        <v>2046</v>
      </c>
      <c r="B35" t="s">
        <v>321</v>
      </c>
      <c r="C35">
        <v>565197.17000000225</v>
      </c>
      <c r="D35">
        <v>-4.4565240386873484E-11</v>
      </c>
      <c r="E35">
        <v>565197.17000000225</v>
      </c>
      <c r="F35" s="308">
        <f t="shared" si="0"/>
        <v>1</v>
      </c>
      <c r="G35" s="308">
        <f t="shared" si="1"/>
        <v>-7.8849015445129181E-17</v>
      </c>
    </row>
    <row r="36" spans="1:7">
      <c r="A36">
        <v>2055</v>
      </c>
      <c r="B36" t="s">
        <v>4838</v>
      </c>
      <c r="C36">
        <v>1.0368239600211382E-9</v>
      </c>
      <c r="D36">
        <v>0</v>
      </c>
      <c r="E36">
        <v>1.0368239600211382E-9</v>
      </c>
      <c r="F36" s="308">
        <f t="shared" si="0"/>
        <v>1</v>
      </c>
      <c r="G36" s="308">
        <f t="shared" si="1"/>
        <v>0</v>
      </c>
    </row>
    <row r="37" spans="1:7">
      <c r="A37">
        <v>2066</v>
      </c>
      <c r="B37" t="s">
        <v>5590</v>
      </c>
      <c r="C37">
        <v>2.3283064365386963E-10</v>
      </c>
      <c r="D37">
        <v>2.6830093702301383E-11</v>
      </c>
      <c r="E37">
        <v>2.5966073735617101E-10</v>
      </c>
      <c r="F37" s="308">
        <f t="shared" si="0"/>
        <v>0.89667250437828372</v>
      </c>
      <c r="G37" s="308">
        <f t="shared" si="1"/>
        <v>0.10332749562171628</v>
      </c>
    </row>
    <row r="38" spans="1:7">
      <c r="A38">
        <v>2073</v>
      </c>
      <c r="B38" t="s">
        <v>1354</v>
      </c>
      <c r="C38">
        <v>908909.07999999914</v>
      </c>
      <c r="D38">
        <v>1253.2000000001219</v>
      </c>
      <c r="E38">
        <v>910162.27999999921</v>
      </c>
      <c r="F38" s="308">
        <f t="shared" ref="F38:F69" si="2">C38/$E38</f>
        <v>0.99862310268450138</v>
      </c>
      <c r="G38" s="308">
        <f t="shared" ref="G38:G69" si="3">D38/$E38</f>
        <v>1.3768973154986417E-3</v>
      </c>
    </row>
    <row r="39" spans="1:7">
      <c r="A39">
        <v>2082</v>
      </c>
      <c r="B39" t="s">
        <v>3548</v>
      </c>
      <c r="C39">
        <v>2812473.5000001336</v>
      </c>
      <c r="D39">
        <v>346307.95999999787</v>
      </c>
      <c r="E39">
        <v>3158781.4600001313</v>
      </c>
      <c r="F39" s="308">
        <f t="shared" si="2"/>
        <v>0.8903665972510858</v>
      </c>
      <c r="G39" s="308">
        <f t="shared" si="3"/>
        <v>0.10963340274891428</v>
      </c>
    </row>
    <row r="40" spans="1:7">
      <c r="A40">
        <v>2091</v>
      </c>
      <c r="B40" t="s">
        <v>5591</v>
      </c>
      <c r="C40">
        <v>0</v>
      </c>
      <c r="D40">
        <v>0</v>
      </c>
      <c r="E40">
        <v>0</v>
      </c>
      <c r="F40" s="308" t="e">
        <f t="shared" si="2"/>
        <v>#DIV/0!</v>
      </c>
      <c r="G40" s="308" t="e">
        <f t="shared" si="3"/>
        <v>#DIV/0!</v>
      </c>
    </row>
    <row r="41" spans="1:7">
      <c r="A41">
        <v>2100</v>
      </c>
      <c r="B41" t="s">
        <v>5544</v>
      </c>
      <c r="C41">
        <v>0</v>
      </c>
      <c r="D41">
        <v>0</v>
      </c>
      <c r="E41">
        <v>0</v>
      </c>
      <c r="F41" s="308" t="e">
        <f t="shared" si="2"/>
        <v>#DIV/0!</v>
      </c>
      <c r="G41" s="308" t="e">
        <f t="shared" si="3"/>
        <v>#DIV/0!</v>
      </c>
    </row>
    <row r="42" spans="1:7">
      <c r="A42">
        <v>2110</v>
      </c>
      <c r="B42" t="s">
        <v>4927</v>
      </c>
      <c r="C42">
        <v>4469.3999999999978</v>
      </c>
      <c r="D42">
        <v>0</v>
      </c>
      <c r="E42">
        <v>4469.3999999999978</v>
      </c>
      <c r="F42" s="308">
        <f t="shared" si="2"/>
        <v>1</v>
      </c>
      <c r="G42" s="308">
        <f t="shared" si="3"/>
        <v>0</v>
      </c>
    </row>
    <row r="43" spans="1:7">
      <c r="A43">
        <v>2121</v>
      </c>
      <c r="B43" t="s">
        <v>5592</v>
      </c>
      <c r="C43">
        <v>0</v>
      </c>
      <c r="D43">
        <v>0</v>
      </c>
      <c r="E43">
        <v>0</v>
      </c>
      <c r="F43" s="308" t="e">
        <f t="shared" si="2"/>
        <v>#DIV/0!</v>
      </c>
      <c r="G43" s="308" t="e">
        <f t="shared" si="3"/>
        <v>#DIV/0!</v>
      </c>
    </row>
    <row r="44" spans="1:7">
      <c r="A44">
        <v>2129</v>
      </c>
      <c r="B44" t="s">
        <v>5593</v>
      </c>
      <c r="C44">
        <v>0</v>
      </c>
      <c r="D44">
        <v>0</v>
      </c>
      <c r="E44">
        <v>0</v>
      </c>
      <c r="F44" s="308" t="e">
        <f t="shared" si="2"/>
        <v>#DIV/0!</v>
      </c>
      <c r="G44" s="308" t="e">
        <f t="shared" si="3"/>
        <v>#DIV/0!</v>
      </c>
    </row>
    <row r="45" spans="1:7">
      <c r="A45">
        <v>2136</v>
      </c>
      <c r="B45" t="s">
        <v>4434</v>
      </c>
      <c r="C45">
        <v>2.616928895804449E-11</v>
      </c>
      <c r="D45">
        <v>2.8990143619012088E-12</v>
      </c>
      <c r="E45">
        <v>2.9068303319945699E-11</v>
      </c>
      <c r="F45" s="308">
        <f t="shared" si="2"/>
        <v>0.90026888291371299</v>
      </c>
      <c r="G45" s="308">
        <f t="shared" si="3"/>
        <v>9.9731117086286972E-2</v>
      </c>
    </row>
    <row r="46" spans="1:7">
      <c r="A46">
        <v>2143</v>
      </c>
      <c r="B46" t="s">
        <v>1385</v>
      </c>
      <c r="C46">
        <v>278.58999999999907</v>
      </c>
      <c r="D46">
        <v>-3.3750779948604759E-13</v>
      </c>
      <c r="E46">
        <v>278.58999999999872</v>
      </c>
      <c r="F46" s="308">
        <f t="shared" si="2"/>
        <v>1.0000000000000013</v>
      </c>
      <c r="G46" s="308">
        <f t="shared" si="3"/>
        <v>-1.2114856939805776E-15</v>
      </c>
    </row>
    <row r="47" spans="1:7">
      <c r="A47">
        <v>6008</v>
      </c>
      <c r="B47" t="s">
        <v>1389</v>
      </c>
      <c r="C47">
        <v>4502.7600000000566</v>
      </c>
      <c r="D47">
        <v>43.84000000000124</v>
      </c>
      <c r="E47">
        <v>4546.6000000000577</v>
      </c>
      <c r="F47" s="308">
        <f t="shared" si="2"/>
        <v>0.99035762987727083</v>
      </c>
      <c r="G47" s="308">
        <f t="shared" si="3"/>
        <v>9.6423701227292234E-3</v>
      </c>
    </row>
    <row r="48" spans="1:7">
      <c r="A48">
        <v>6017</v>
      </c>
      <c r="B48" t="s">
        <v>1399</v>
      </c>
      <c r="C48">
        <v>273.80000000000172</v>
      </c>
      <c r="D48">
        <v>1.3100631690576847E-12</v>
      </c>
      <c r="E48">
        <v>273.80000000000302</v>
      </c>
      <c r="F48" s="308">
        <f t="shared" si="2"/>
        <v>0.99999999999999523</v>
      </c>
      <c r="G48" s="308">
        <f t="shared" si="3"/>
        <v>4.7847449563830179E-15</v>
      </c>
    </row>
    <row r="49" spans="1:7">
      <c r="A49">
        <v>6023</v>
      </c>
      <c r="B49" t="s">
        <v>4089</v>
      </c>
      <c r="C49">
        <v>0</v>
      </c>
      <c r="D49">
        <v>-2.7178259642823832E-13</v>
      </c>
      <c r="E49">
        <v>-2.7178259642823832E-13</v>
      </c>
      <c r="F49" s="308">
        <f t="shared" si="2"/>
        <v>0</v>
      </c>
      <c r="G49" s="308">
        <f t="shared" si="3"/>
        <v>1</v>
      </c>
    </row>
    <row r="50" spans="1:7">
      <c r="A50">
        <v>6032</v>
      </c>
      <c r="B50" t="s">
        <v>1411</v>
      </c>
      <c r="C50">
        <v>4621.0099999999811</v>
      </c>
      <c r="D50">
        <v>354.00000000000011</v>
      </c>
      <c r="E50">
        <v>4975.0099999999811</v>
      </c>
      <c r="F50" s="308">
        <f t="shared" si="2"/>
        <v>0.92884436413193117</v>
      </c>
      <c r="G50" s="308">
        <f t="shared" si="3"/>
        <v>7.1155635868068903E-2</v>
      </c>
    </row>
    <row r="51" spans="1:7">
      <c r="A51">
        <v>6037</v>
      </c>
      <c r="B51" t="s">
        <v>1421</v>
      </c>
      <c r="C51">
        <v>328.23999999999967</v>
      </c>
      <c r="D51">
        <v>-63.720000000000084</v>
      </c>
      <c r="E51">
        <v>264.51999999999958</v>
      </c>
      <c r="F51" s="308">
        <f t="shared" si="2"/>
        <v>1.2408891577196439</v>
      </c>
      <c r="G51" s="308">
        <f t="shared" si="3"/>
        <v>-0.24088915771964384</v>
      </c>
    </row>
    <row r="52" spans="1:7">
      <c r="A52">
        <v>6093</v>
      </c>
      <c r="B52" t="s">
        <v>1458</v>
      </c>
      <c r="C52">
        <v>0</v>
      </c>
      <c r="D52">
        <v>-1.0913936421275139E-10</v>
      </c>
      <c r="E52">
        <v>-1.0913936421275139E-10</v>
      </c>
      <c r="F52" s="308">
        <f t="shared" si="2"/>
        <v>0</v>
      </c>
      <c r="G52" s="308">
        <f t="shared" si="3"/>
        <v>1</v>
      </c>
    </row>
    <row r="53" spans="1:7">
      <c r="A53">
        <v>6099</v>
      </c>
      <c r="B53" t="s">
        <v>3759</v>
      </c>
      <c r="C53">
        <v>4.1893599700415507E-11</v>
      </c>
      <c r="D53">
        <v>132074.88</v>
      </c>
      <c r="E53">
        <v>132074.88000000003</v>
      </c>
      <c r="F53" s="308">
        <f t="shared" si="2"/>
        <v>3.1719581876898544E-16</v>
      </c>
      <c r="G53" s="308">
        <f t="shared" si="3"/>
        <v>0.99999999999999978</v>
      </c>
    </row>
    <row r="54" spans="1:7">
      <c r="A54">
        <v>6102</v>
      </c>
      <c r="B54" t="s">
        <v>5594</v>
      </c>
      <c r="C54">
        <v>0</v>
      </c>
      <c r="D54">
        <v>-2.4911628315749113E-11</v>
      </c>
      <c r="E54">
        <v>-2.4911628315749113E-11</v>
      </c>
      <c r="F54" s="308">
        <f t="shared" si="2"/>
        <v>0</v>
      </c>
      <c r="G54" s="308">
        <f t="shared" si="3"/>
        <v>1</v>
      </c>
    </row>
    <row r="55" spans="1:7">
      <c r="A55">
        <v>6107</v>
      </c>
      <c r="B55" t="s">
        <v>3762</v>
      </c>
      <c r="C55">
        <v>1762615.8899999654</v>
      </c>
      <c r="D55">
        <v>-3888.6300000003089</v>
      </c>
      <c r="E55">
        <v>1758727.2599999651</v>
      </c>
      <c r="F55" s="308">
        <f t="shared" si="2"/>
        <v>1.0022110477778121</v>
      </c>
      <c r="G55" s="308">
        <f t="shared" si="3"/>
        <v>-2.2110477778119991E-3</v>
      </c>
    </row>
    <row r="56" spans="1:7">
      <c r="A56">
        <v>6112</v>
      </c>
      <c r="B56" t="s">
        <v>5595</v>
      </c>
      <c r="C56">
        <v>0</v>
      </c>
      <c r="D56">
        <v>0</v>
      </c>
      <c r="E56">
        <v>0</v>
      </c>
      <c r="F56" s="308" t="e">
        <f t="shared" si="2"/>
        <v>#DIV/0!</v>
      </c>
      <c r="G56" s="308" t="e">
        <f t="shared" si="3"/>
        <v>#DIV/0!</v>
      </c>
    </row>
    <row r="57" spans="1:7">
      <c r="A57">
        <v>6117</v>
      </c>
      <c r="B57" t="s">
        <v>3771</v>
      </c>
      <c r="C57">
        <v>193738.37999999529</v>
      </c>
      <c r="D57">
        <v>115.37999999999568</v>
      </c>
      <c r="E57">
        <v>193853.75999999529</v>
      </c>
      <c r="F57" s="308">
        <f t="shared" si="2"/>
        <v>0.99940480906844409</v>
      </c>
      <c r="G57" s="308">
        <f t="shared" si="3"/>
        <v>5.9519093155582065E-4</v>
      </c>
    </row>
    <row r="58" spans="1:7">
      <c r="A58">
        <v>6122</v>
      </c>
      <c r="B58" t="s">
        <v>3774</v>
      </c>
      <c r="C58">
        <v>416762.34000000177</v>
      </c>
      <c r="D58">
        <v>669315.99999999313</v>
      </c>
      <c r="E58">
        <v>1086078.339999995</v>
      </c>
      <c r="F58" s="308">
        <f t="shared" si="2"/>
        <v>0.38373137981925293</v>
      </c>
      <c r="G58" s="308">
        <f t="shared" si="3"/>
        <v>0.61626862018074702</v>
      </c>
    </row>
    <row r="59" spans="1:7">
      <c r="A59">
        <v>29641</v>
      </c>
      <c r="B59" t="s">
        <v>1426</v>
      </c>
      <c r="C59">
        <v>-2.2737367544323206E-13</v>
      </c>
      <c r="D59">
        <v>0</v>
      </c>
      <c r="E59">
        <v>-2.2737367544323206E-13</v>
      </c>
      <c r="F59" s="308">
        <f t="shared" si="2"/>
        <v>1</v>
      </c>
      <c r="G59" s="308">
        <f t="shared" si="3"/>
        <v>0</v>
      </c>
    </row>
    <row r="60" spans="1:7">
      <c r="A60">
        <v>23746</v>
      </c>
      <c r="B60" t="s">
        <v>5596</v>
      </c>
      <c r="C60">
        <v>0</v>
      </c>
      <c r="D60">
        <v>0</v>
      </c>
      <c r="E60">
        <v>0</v>
      </c>
      <c r="F60" s="308" t="e">
        <f t="shared" si="2"/>
        <v>#DIV/0!</v>
      </c>
      <c r="G60" s="308" t="e">
        <f t="shared" si="3"/>
        <v>#DIV/0!</v>
      </c>
    </row>
    <row r="61" spans="1:7">
      <c r="A61">
        <v>31443</v>
      </c>
      <c r="B61" t="s">
        <v>3725</v>
      </c>
      <c r="C61">
        <v>1038622.1899998833</v>
      </c>
      <c r="D61">
        <v>5398.230000194123</v>
      </c>
      <c r="E61">
        <v>1044020.4200000775</v>
      </c>
      <c r="F61" s="308">
        <f t="shared" si="2"/>
        <v>0.99482938274311361</v>
      </c>
      <c r="G61" s="308">
        <f t="shared" si="3"/>
        <v>5.1706172568863383E-3</v>
      </c>
    </row>
    <row r="62" spans="1:7">
      <c r="A62">
        <v>31454</v>
      </c>
      <c r="B62" t="s">
        <v>4839</v>
      </c>
      <c r="C62">
        <v>0</v>
      </c>
      <c r="D62">
        <v>0</v>
      </c>
      <c r="E62">
        <v>0</v>
      </c>
      <c r="F62" s="308" t="e">
        <f t="shared" si="2"/>
        <v>#DIV/0!</v>
      </c>
      <c r="G62" s="308" t="e">
        <f t="shared" si="3"/>
        <v>#DIV/0!</v>
      </c>
    </row>
    <row r="63" spans="1:7">
      <c r="A63">
        <v>31465</v>
      </c>
      <c r="B63" t="s">
        <v>4441</v>
      </c>
      <c r="C63">
        <v>4258210.7699999334</v>
      </c>
      <c r="D63">
        <v>114337.20000007018</v>
      </c>
      <c r="E63">
        <v>4372547.9700000035</v>
      </c>
      <c r="F63" s="308">
        <f t="shared" si="2"/>
        <v>0.97385112735536894</v>
      </c>
      <c r="G63" s="308">
        <f t="shared" si="3"/>
        <v>2.6148872644631064E-2</v>
      </c>
    </row>
    <row r="64" spans="1:7">
      <c r="A64">
        <v>31474</v>
      </c>
      <c r="B64" t="s">
        <v>1493</v>
      </c>
      <c r="C64">
        <v>1828434.3199999966</v>
      </c>
      <c r="D64">
        <v>9.6988514997065067E-9</v>
      </c>
      <c r="E64">
        <v>1828434.3200000064</v>
      </c>
      <c r="F64" s="308">
        <f t="shared" si="2"/>
        <v>0.99999999999999467</v>
      </c>
      <c r="G64" s="308">
        <f t="shared" si="3"/>
        <v>5.3044571487295607E-15</v>
      </c>
    </row>
    <row r="65" spans="1:7">
      <c r="A65">
        <v>31481</v>
      </c>
      <c r="B65" t="s">
        <v>5597</v>
      </c>
      <c r="C65">
        <v>0</v>
      </c>
      <c r="D65">
        <v>0</v>
      </c>
      <c r="E65">
        <v>0</v>
      </c>
      <c r="F65" s="308" t="e">
        <f t="shared" si="2"/>
        <v>#DIV/0!</v>
      </c>
      <c r="G65" s="308" t="e">
        <f t="shared" si="3"/>
        <v>#DIV/0!</v>
      </c>
    </row>
    <row r="66" spans="1:7">
      <c r="A66">
        <v>31484</v>
      </c>
      <c r="B66" t="s">
        <v>5598</v>
      </c>
      <c r="C66">
        <v>-1.4551915228366852E-11</v>
      </c>
      <c r="D66">
        <v>0</v>
      </c>
      <c r="E66">
        <v>-1.4551915228366852E-11</v>
      </c>
      <c r="F66" s="308">
        <f t="shared" si="2"/>
        <v>1</v>
      </c>
      <c r="G66" s="308">
        <f t="shared" si="3"/>
        <v>0</v>
      </c>
    </row>
    <row r="67" spans="1:7">
      <c r="A67">
        <v>31490</v>
      </c>
      <c r="B67" t="s">
        <v>1602</v>
      </c>
      <c r="C67">
        <v>66684.680000033783</v>
      </c>
      <c r="D67">
        <v>189.89999995564267</v>
      </c>
      <c r="E67">
        <v>66874.579999989423</v>
      </c>
      <c r="F67" s="308">
        <f t="shared" si="2"/>
        <v>0.99716035599841268</v>
      </c>
      <c r="G67" s="308">
        <f t="shared" si="3"/>
        <v>2.8396440015873402E-3</v>
      </c>
    </row>
    <row r="68" spans="1:7">
      <c r="A68">
        <v>31501</v>
      </c>
      <c r="B68" t="s">
        <v>4898</v>
      </c>
      <c r="C68">
        <v>0</v>
      </c>
      <c r="D68">
        <v>0</v>
      </c>
      <c r="E68">
        <v>0</v>
      </c>
      <c r="F68" s="308" t="e">
        <f t="shared" si="2"/>
        <v>#DIV/0!</v>
      </c>
      <c r="G68" s="308" t="e">
        <f t="shared" si="3"/>
        <v>#DIV/0!</v>
      </c>
    </row>
    <row r="69" spans="1:7">
      <c r="A69">
        <v>31512</v>
      </c>
      <c r="B69" t="s">
        <v>4520</v>
      </c>
      <c r="C69">
        <v>1578991.939999959</v>
      </c>
      <c r="D69">
        <v>38520.999999970583</v>
      </c>
      <c r="E69">
        <v>1617512.9399999296</v>
      </c>
      <c r="F69" s="308">
        <f t="shared" si="2"/>
        <v>0.97618504368813741</v>
      </c>
      <c r="G69" s="308">
        <f t="shared" si="3"/>
        <v>2.3814956311862492E-2</v>
      </c>
    </row>
    <row r="70" spans="1:7">
      <c r="A70">
        <v>31521</v>
      </c>
      <c r="B70" t="s">
        <v>5613</v>
      </c>
      <c r="C70">
        <v>1138733.2800000005</v>
      </c>
      <c r="D70">
        <v>0</v>
      </c>
      <c r="E70">
        <v>1138733.2800000005</v>
      </c>
      <c r="F70" s="308">
        <f t="shared" ref="F70:F80" si="4">C70/$E70</f>
        <v>1</v>
      </c>
      <c r="G70" s="308">
        <f t="shared" ref="G70:G80" si="5">D70/$E70</f>
        <v>0</v>
      </c>
    </row>
    <row r="71" spans="1:7">
      <c r="A71">
        <v>31528</v>
      </c>
      <c r="B71" t="s">
        <v>5614</v>
      </c>
      <c r="C71">
        <v>0</v>
      </c>
      <c r="D71">
        <v>0</v>
      </c>
      <c r="E71">
        <v>0</v>
      </c>
      <c r="F71" s="308" t="e">
        <f t="shared" si="4"/>
        <v>#DIV/0!</v>
      </c>
      <c r="G71" s="308" t="e">
        <f t="shared" si="5"/>
        <v>#DIV/0!</v>
      </c>
    </row>
    <row r="72" spans="1:7">
      <c r="A72">
        <v>31531</v>
      </c>
      <c r="B72" t="s">
        <v>5615</v>
      </c>
      <c r="C72">
        <v>0</v>
      </c>
      <c r="D72">
        <v>0</v>
      </c>
      <c r="E72">
        <v>0</v>
      </c>
      <c r="F72" s="308" t="e">
        <f t="shared" si="4"/>
        <v>#DIV/0!</v>
      </c>
      <c r="G72" s="308" t="e">
        <f t="shared" si="5"/>
        <v>#DIV/0!</v>
      </c>
    </row>
    <row r="73" spans="1:7">
      <c r="A73">
        <v>31536</v>
      </c>
      <c r="B73" t="s">
        <v>5616</v>
      </c>
      <c r="C73">
        <v>0</v>
      </c>
      <c r="D73">
        <v>0</v>
      </c>
      <c r="E73">
        <v>0</v>
      </c>
      <c r="F73" s="308" t="e">
        <f t="shared" si="4"/>
        <v>#DIV/0!</v>
      </c>
      <c r="G73" s="308" t="e">
        <f t="shared" si="5"/>
        <v>#DIV/0!</v>
      </c>
    </row>
    <row r="74" spans="1:7">
      <c r="A74">
        <v>32047</v>
      </c>
      <c r="B74" t="s">
        <v>3784</v>
      </c>
      <c r="C74">
        <v>42570.459999999526</v>
      </c>
      <c r="D74">
        <v>3092.8400000002025</v>
      </c>
      <c r="E74">
        <v>45663.299999999726</v>
      </c>
      <c r="F74" s="308">
        <f t="shared" si="4"/>
        <v>0.93226858330431184</v>
      </c>
      <c r="G74" s="308">
        <f t="shared" si="5"/>
        <v>6.7731416695688246E-2</v>
      </c>
    </row>
    <row r="75" spans="1:7">
      <c r="A75">
        <v>33604</v>
      </c>
      <c r="B75" t="s">
        <v>1428</v>
      </c>
      <c r="C75">
        <v>40077.5</v>
      </c>
      <c r="D75">
        <v>4108.2</v>
      </c>
      <c r="E75">
        <v>44185.7</v>
      </c>
      <c r="F75" s="308">
        <f t="shared" si="4"/>
        <v>0.90702421824255364</v>
      </c>
      <c r="G75" s="308">
        <f t="shared" si="5"/>
        <v>9.2975781757446418E-2</v>
      </c>
    </row>
    <row r="76" spans="1:7">
      <c r="A76">
        <v>34133</v>
      </c>
      <c r="B76" t="s">
        <v>5310</v>
      </c>
      <c r="C76">
        <v>0</v>
      </c>
      <c r="D76">
        <v>0</v>
      </c>
      <c r="E76">
        <v>0</v>
      </c>
      <c r="F76" s="308" t="e">
        <f t="shared" si="4"/>
        <v>#DIV/0!</v>
      </c>
      <c r="G76" s="308" t="e">
        <f t="shared" si="5"/>
        <v>#DIV/0!</v>
      </c>
    </row>
    <row r="77" spans="1:7">
      <c r="A77">
        <v>40813</v>
      </c>
      <c r="B77" t="s">
        <v>1117</v>
      </c>
      <c r="C77">
        <v>1.3824319466948509E-10</v>
      </c>
      <c r="D77">
        <v>0</v>
      </c>
      <c r="E77">
        <v>1.3824319466948509E-10</v>
      </c>
      <c r="F77" s="308">
        <f t="shared" si="4"/>
        <v>1</v>
      </c>
      <c r="G77" s="308">
        <f t="shared" si="5"/>
        <v>0</v>
      </c>
    </row>
    <row r="78" spans="1:7">
      <c r="A78">
        <v>56295</v>
      </c>
      <c r="B78" t="s">
        <v>1442</v>
      </c>
      <c r="C78">
        <v>0</v>
      </c>
      <c r="D78">
        <v>1.4566126083082054E-13</v>
      </c>
      <c r="E78">
        <v>1.4566126083082054E-13</v>
      </c>
      <c r="F78" s="308">
        <f t="shared" si="4"/>
        <v>0</v>
      </c>
      <c r="G78" s="308">
        <f t="shared" si="5"/>
        <v>1</v>
      </c>
    </row>
    <row r="79" spans="1:7">
      <c r="A79">
        <v>48483</v>
      </c>
      <c r="B79" t="s">
        <v>5613</v>
      </c>
      <c r="C79">
        <v>-3.0559021979570389E-10</v>
      </c>
      <c r="D79">
        <v>0</v>
      </c>
      <c r="E79">
        <v>-3.0559021979570389E-10</v>
      </c>
      <c r="F79" s="308">
        <f t="shared" si="4"/>
        <v>1</v>
      </c>
      <c r="G79" s="308">
        <f t="shared" si="5"/>
        <v>0</v>
      </c>
    </row>
    <row r="80" spans="1:7">
      <c r="A80">
        <v>52646</v>
      </c>
      <c r="B80" t="s">
        <v>4649</v>
      </c>
      <c r="C80">
        <v>257442.45999999993</v>
      </c>
      <c r="D80">
        <v>155439.64999999994</v>
      </c>
      <c r="E80">
        <v>412882.10999999987</v>
      </c>
      <c r="F80" s="308">
        <f t="shared" si="4"/>
        <v>0.62352534480120736</v>
      </c>
      <c r="G80" s="308">
        <f t="shared" si="5"/>
        <v>0.37647465519879264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10</vt:i4>
      </vt:variant>
    </vt:vector>
  </HeadingPairs>
  <TitlesOfParts>
    <vt:vector size="25" baseType="lpstr">
      <vt:lpstr>Parâmetros</vt:lpstr>
      <vt:lpstr>Ativo</vt:lpstr>
      <vt:lpstr>Passivo</vt:lpstr>
      <vt:lpstr>Sobras-Perdas</vt:lpstr>
      <vt:lpstr>Base</vt:lpstr>
      <vt:lpstr>Sobras-Perdas Mensal</vt:lpstr>
      <vt:lpstr>Sobras Terceiros (2)</vt:lpstr>
      <vt:lpstr>LUCRO REAL (3)</vt:lpstr>
      <vt:lpstr>CSOCIAL (3)</vt:lpstr>
      <vt:lpstr>Destinações</vt:lpstr>
      <vt:lpstr>Dem. Por Produto</vt:lpstr>
      <vt:lpstr>Dem. Por Produto Insumos</vt:lpstr>
      <vt:lpstr>Contas DRE</vt:lpstr>
      <vt:lpstr>Contas Balanço</vt:lpstr>
      <vt:lpstr>Plan1</vt:lpstr>
      <vt:lpstr>Ativo!Area_de_impressao</vt:lpstr>
      <vt:lpstr>'CSOCIAL (3)'!Area_de_impressao</vt:lpstr>
      <vt:lpstr>'Dem. Por Produto'!Area_de_impressao</vt:lpstr>
      <vt:lpstr>'LUCRO REAL (3)'!Area_de_impressao</vt:lpstr>
      <vt:lpstr>Passivo!Area_de_impressao</vt:lpstr>
      <vt:lpstr>'Sobras Terceiros (2)'!Area_de_impressao</vt:lpstr>
      <vt:lpstr>'Sobras-Perdas'!Area_de_impressao</vt:lpstr>
      <vt:lpstr>'Sobras-Perdas Mensal'!Area_de_impressao</vt:lpstr>
      <vt:lpstr>NCTratamentoSemente</vt:lpstr>
      <vt:lpstr>Passivo!Titulos_de_impressao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luiz.fernando</dc:creator>
  <cp:lastModifiedBy>luiz.fernando</cp:lastModifiedBy>
  <cp:lastPrinted>2017-05-11T20:23:12Z</cp:lastPrinted>
  <dcterms:created xsi:type="dcterms:W3CDTF">2015-09-03T12:06:24Z</dcterms:created>
  <dcterms:modified xsi:type="dcterms:W3CDTF">2017-06-08T20:00:47Z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0b86ffeb-3948-4b9e-b103-b557cb9d267e</vt:lpwstr>
  </property>
</Properties>
</file>